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13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vdc825/protwis_vagrant/shared/data/protwis/gpcr/structure_data/"/>
    </mc:Choice>
  </mc:AlternateContent>
  <xr:revisionPtr revIDLastSave="0" documentId="13_ncr:1_{7842E7F2-7580-D046-96D4-4C9FB39A401E}" xr6:coauthVersionLast="45" xr6:coauthVersionMax="45" xr10:uidLastSave="{00000000-0000-0000-0000-000000000000}"/>
  <bookViews>
    <workbookView xWindow="0" yWindow="460" windowWidth="51200" windowHeight="28340" tabRatio="500" xr2:uid="{00000000-000D-0000-FFFF-FFFF00000000}"/>
  </bookViews>
  <sheets>
    <sheet name="SegEnds_Xtal_Prot#" sheetId="1" r:id="rId1"/>
    <sheet name="SegEnds_Xtal_BW#" sheetId="2" r:id="rId2"/>
    <sheet name="ICL3_classA" sheetId="3" r:id="rId3"/>
    <sheet name="ICL3_classB" sheetId="13" r:id="rId4"/>
    <sheet name="ICL3_classF" sheetId="14" r:id="rId5"/>
    <sheet name="SegEnds_NonXtal_BW#" sheetId="4" r:id="rId6"/>
    <sheet name="SegEnds_NonXtal_Prot#" sheetId="5" r:id="rId7"/>
    <sheet name="Bulges_Constr_NonXtal_GPCRdb#" sheetId="6" r:id="rId8"/>
    <sheet name="Seqs" sheetId="7" r:id="rId9"/>
    <sheet name="Seqs4TemplSearch" sheetId="8" r:id="rId10"/>
    <sheet name="Xtal_Templ" sheetId="9" r:id="rId11"/>
    <sheet name="Classification" sheetId="10" r:id="rId12"/>
    <sheet name="OLD-Templates_ICL3" sheetId="11" r:id="rId13"/>
    <sheet name="SegLen" sheetId="12" r:id="rId14"/>
  </sheets>
  <definedNames>
    <definedName name="_xlnm._FilterDatabase" localSheetId="7" hidden="1">'Bulges_Constr_NonXtal_GPCRdb#'!$A$1:$AE$416</definedName>
    <definedName name="_xlnm._FilterDatabase" localSheetId="5" hidden="1">'SegEnds_NonXtal_BW#'!$A$1:$AL$416</definedName>
    <definedName name="_xlnm._FilterDatabase" localSheetId="6" hidden="1">'SegEnds_NonXtal_Prot#'!$A$1:$BG$416</definedName>
    <definedName name="_xlnm._FilterDatabase" localSheetId="0" hidden="1">'SegEnds_Xtal_Prot#'!$A$1:$CT$456</definedName>
    <definedName name="GPCRdb_alignment" localSheetId="8">Seqs!$A$413:$B$414</definedName>
    <definedName name="human_GPCR_fasta.fas" localSheetId="8">Seqs!$A$8:$B$411</definedName>
    <definedName name="xtal_templates_1" localSheetId="10">Xtal_Templ!$A$2:$B$413</definedName>
    <definedName name="xtal_templates_10" localSheetId="10">Xtal_Templ!$A$2:$B$416</definedName>
    <definedName name="xtal_templates_12" localSheetId="10">Xtal_Templ!$A$2:$B$416</definedName>
    <definedName name="xtal_templates_13" localSheetId="10">Xtal_Templ!$A$2:$B$416</definedName>
    <definedName name="xtal_templates_3" localSheetId="10">Xtal_Templ!$A$2:$B$413</definedName>
    <definedName name="xtal_templates_4" localSheetId="10">Xtal_Templ!$A$2:$B$413</definedName>
    <definedName name="xtal_templates_6" localSheetId="10">Xtal_Templ!$A$2:$B$413</definedName>
    <definedName name="xtal_templates_7" localSheetId="10">Xtal_Templ!$A$2:$B$413</definedName>
    <definedName name="xtal_templates_8" localSheetId="10">Xtal_Templ!$A$2:$B$413</definedName>
    <definedName name="Z_3E3401AF_8459_8641_BD70_AD04F80E86ED_.wvu.FilterData" localSheetId="7" hidden="1">'Bulges_Constr_NonXtal_GPCRdb#'!$A$1:$AE$416</definedName>
    <definedName name="Z_3E3401AF_8459_8641_BD70_AD04F80E86ED_.wvu.FilterData" localSheetId="5" hidden="1">'SegEnds_NonXtal_BW#'!$A$1:$AL$416</definedName>
    <definedName name="Z_3E3401AF_8459_8641_BD70_AD04F80E86ED_.wvu.FilterData" localSheetId="0" hidden="1">'SegEnds_Xtal_Prot#'!$A$1:$CT$456</definedName>
  </definedNames>
  <calcPr calcId="191029"/>
  <customWorkbookViews>
    <customWorkbookView name="Microsoft Office User - Personal View" guid="{3E3401AF-8459-8641-BD70-AD04F80E86ED}" mergeInterval="0" personalView="1" maximized="1" windowWidth="1630" windowHeight="854" tabRatio="500" activeSheetId="5"/>
  </customWorkbookViews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P186" i="1" l="1"/>
  <c r="A431" i="1" l="1"/>
  <c r="D431" i="1"/>
  <c r="F431" i="1"/>
  <c r="H431" i="1"/>
  <c r="J431" i="1"/>
  <c r="L431" i="1"/>
  <c r="N431" i="1"/>
  <c r="P431" i="1"/>
  <c r="R431" i="1"/>
  <c r="T431" i="1"/>
  <c r="V431" i="1"/>
  <c r="X431" i="1"/>
  <c r="Z431" i="1"/>
  <c r="AB431" i="1"/>
  <c r="AD431" i="1"/>
  <c r="AF431" i="1"/>
  <c r="AH431" i="1"/>
  <c r="AJ431" i="1"/>
  <c r="AL431" i="1"/>
  <c r="AN431" i="1"/>
  <c r="AP431" i="1"/>
  <c r="AR431" i="1"/>
  <c r="AT431" i="1"/>
  <c r="AV431" i="1"/>
  <c r="AX431" i="1"/>
  <c r="AZ431" i="1"/>
  <c r="BA431" i="1"/>
  <c r="BB431" i="1"/>
  <c r="CH431" i="1"/>
  <c r="CI431" i="1"/>
  <c r="CJ431" i="1"/>
  <c r="CK431" i="1"/>
  <c r="CL431" i="1"/>
  <c r="CM431" i="1"/>
  <c r="CN431" i="1"/>
  <c r="CO431" i="1"/>
  <c r="CP431" i="1"/>
  <c r="CQ431" i="1"/>
  <c r="CR431" i="1"/>
  <c r="CS431" i="1"/>
  <c r="BV431" i="1"/>
  <c r="BW431" i="1"/>
  <c r="BX431" i="1"/>
  <c r="BY431" i="1"/>
  <c r="BZ431" i="1"/>
  <c r="CA431" i="1"/>
  <c r="CB431" i="1"/>
  <c r="CC431" i="1"/>
  <c r="CD431" i="1"/>
  <c r="CE431" i="1"/>
  <c r="CF431" i="1"/>
  <c r="CG431" i="1"/>
  <c r="CT431" i="1"/>
  <c r="A417" i="1"/>
  <c r="D417" i="1"/>
  <c r="F417" i="1"/>
  <c r="H417" i="1"/>
  <c r="J417" i="1"/>
  <c r="L417" i="1"/>
  <c r="N417" i="1"/>
  <c r="P417" i="1"/>
  <c r="R417" i="1"/>
  <c r="T417" i="1"/>
  <c r="V417" i="1"/>
  <c r="X417" i="1"/>
  <c r="Z417" i="1"/>
  <c r="AB417" i="1"/>
  <c r="AD417" i="1"/>
  <c r="AF417" i="1"/>
  <c r="AH417" i="1"/>
  <c r="AJ417" i="1"/>
  <c r="AL417" i="1"/>
  <c r="AN417" i="1"/>
  <c r="AP417" i="1"/>
  <c r="AR417" i="1"/>
  <c r="AT417" i="1"/>
  <c r="AV417" i="1"/>
  <c r="AX417" i="1"/>
  <c r="AZ417" i="1"/>
  <c r="BA417" i="1"/>
  <c r="BB417" i="1"/>
  <c r="CH417" i="1"/>
  <c r="CI417" i="1"/>
  <c r="CJ417" i="1"/>
  <c r="CK417" i="1"/>
  <c r="CL417" i="1"/>
  <c r="CM417" i="1"/>
  <c r="CN417" i="1"/>
  <c r="CO417" i="1"/>
  <c r="CP417" i="1"/>
  <c r="CQ417" i="1"/>
  <c r="CR417" i="1"/>
  <c r="CS417" i="1"/>
  <c r="BV417" i="1"/>
  <c r="BW417" i="1"/>
  <c r="BX417" i="1"/>
  <c r="BY417" i="1"/>
  <c r="BZ417" i="1"/>
  <c r="CA417" i="1"/>
  <c r="CB417" i="1"/>
  <c r="CC417" i="1"/>
  <c r="CD417" i="1"/>
  <c r="CE417" i="1"/>
  <c r="CF417" i="1"/>
  <c r="CG417" i="1"/>
  <c r="CT417" i="1"/>
  <c r="A416" i="1"/>
  <c r="D416" i="1"/>
  <c r="F416" i="1"/>
  <c r="H416" i="1"/>
  <c r="J416" i="1"/>
  <c r="L416" i="1"/>
  <c r="N416" i="1"/>
  <c r="P416" i="1"/>
  <c r="R416" i="1"/>
  <c r="T416" i="1"/>
  <c r="V416" i="1"/>
  <c r="X416" i="1"/>
  <c r="Z416" i="1"/>
  <c r="AB416" i="1"/>
  <c r="AD416" i="1"/>
  <c r="AF416" i="1"/>
  <c r="AH416" i="1"/>
  <c r="AJ416" i="1"/>
  <c r="AL416" i="1"/>
  <c r="AN416" i="1"/>
  <c r="AP416" i="1"/>
  <c r="AR416" i="1"/>
  <c r="AT416" i="1"/>
  <c r="AV416" i="1"/>
  <c r="AX416" i="1"/>
  <c r="AZ416" i="1"/>
  <c r="BA416" i="1"/>
  <c r="BB416" i="1"/>
  <c r="CH416" i="1"/>
  <c r="CI416" i="1"/>
  <c r="CJ416" i="1"/>
  <c r="CK416" i="1"/>
  <c r="CL416" i="1"/>
  <c r="CM416" i="1"/>
  <c r="CN416" i="1"/>
  <c r="CO416" i="1"/>
  <c r="CP416" i="1"/>
  <c r="CQ416" i="1"/>
  <c r="CR416" i="1"/>
  <c r="CS416" i="1"/>
  <c r="BV416" i="1"/>
  <c r="BW416" i="1"/>
  <c r="BX416" i="1"/>
  <c r="BY416" i="1"/>
  <c r="BZ416" i="1"/>
  <c r="CA416" i="1"/>
  <c r="CB416" i="1"/>
  <c r="CC416" i="1"/>
  <c r="CD416" i="1"/>
  <c r="CE416" i="1"/>
  <c r="CF416" i="1"/>
  <c r="CG416" i="1"/>
  <c r="CT416" i="1"/>
  <c r="A401" i="1"/>
  <c r="D401" i="1"/>
  <c r="F401" i="1"/>
  <c r="H401" i="1"/>
  <c r="J401" i="1"/>
  <c r="L401" i="1"/>
  <c r="N401" i="1"/>
  <c r="P401" i="1"/>
  <c r="R401" i="1"/>
  <c r="T401" i="1"/>
  <c r="V401" i="1"/>
  <c r="X401" i="1"/>
  <c r="Z401" i="1"/>
  <c r="AB401" i="1"/>
  <c r="AD401" i="1"/>
  <c r="AF401" i="1"/>
  <c r="AH401" i="1"/>
  <c r="AJ401" i="1"/>
  <c r="AL401" i="1"/>
  <c r="AN401" i="1"/>
  <c r="AP401" i="1"/>
  <c r="AR401" i="1"/>
  <c r="AT401" i="1"/>
  <c r="AV401" i="1"/>
  <c r="AX401" i="1"/>
  <c r="AZ401" i="1"/>
  <c r="BA401" i="1"/>
  <c r="BB401" i="1"/>
  <c r="CH401" i="1"/>
  <c r="CI401" i="1"/>
  <c r="CJ401" i="1"/>
  <c r="CK401" i="1"/>
  <c r="CL401" i="1"/>
  <c r="CM401" i="1"/>
  <c r="CN401" i="1"/>
  <c r="CO401" i="1"/>
  <c r="CP401" i="1"/>
  <c r="CQ401" i="1"/>
  <c r="CR401" i="1"/>
  <c r="CS401" i="1"/>
  <c r="BV401" i="1"/>
  <c r="BW401" i="1"/>
  <c r="BX401" i="1"/>
  <c r="BY401" i="1"/>
  <c r="BZ401" i="1"/>
  <c r="CA401" i="1"/>
  <c r="CB401" i="1"/>
  <c r="CC401" i="1"/>
  <c r="CD401" i="1"/>
  <c r="CE401" i="1"/>
  <c r="CF401" i="1"/>
  <c r="CG401" i="1"/>
  <c r="CT401" i="1"/>
  <c r="A400" i="1"/>
  <c r="D400" i="1"/>
  <c r="F400" i="1"/>
  <c r="H400" i="1"/>
  <c r="J400" i="1"/>
  <c r="L400" i="1"/>
  <c r="N400" i="1"/>
  <c r="P400" i="1"/>
  <c r="R400" i="1"/>
  <c r="T400" i="1"/>
  <c r="V400" i="1"/>
  <c r="X400" i="1"/>
  <c r="Z400" i="1"/>
  <c r="AB400" i="1"/>
  <c r="AD400" i="1"/>
  <c r="AF400" i="1"/>
  <c r="AH400" i="1"/>
  <c r="AJ400" i="1"/>
  <c r="AL400" i="1"/>
  <c r="AN400" i="1"/>
  <c r="AP400" i="1"/>
  <c r="AR400" i="1"/>
  <c r="AT400" i="1"/>
  <c r="AV400" i="1"/>
  <c r="AX400" i="1"/>
  <c r="AZ400" i="1"/>
  <c r="BA400" i="1"/>
  <c r="BB400" i="1"/>
  <c r="CH400" i="1"/>
  <c r="CI400" i="1"/>
  <c r="CJ400" i="1"/>
  <c r="CK400" i="1"/>
  <c r="CL400" i="1"/>
  <c r="CM400" i="1"/>
  <c r="CN400" i="1"/>
  <c r="CO400" i="1"/>
  <c r="CP400" i="1"/>
  <c r="CQ400" i="1"/>
  <c r="CR400" i="1"/>
  <c r="CS400" i="1"/>
  <c r="BV400" i="1"/>
  <c r="BW400" i="1"/>
  <c r="BX400" i="1"/>
  <c r="BY400" i="1"/>
  <c r="BZ400" i="1"/>
  <c r="CA400" i="1"/>
  <c r="CB400" i="1"/>
  <c r="CC400" i="1"/>
  <c r="CD400" i="1"/>
  <c r="CE400" i="1"/>
  <c r="CF400" i="1"/>
  <c r="CG400" i="1"/>
  <c r="CT400" i="1"/>
  <c r="A399" i="1"/>
  <c r="D399" i="1"/>
  <c r="F399" i="1"/>
  <c r="H399" i="1"/>
  <c r="J399" i="1"/>
  <c r="L399" i="1"/>
  <c r="N399" i="1"/>
  <c r="P399" i="1"/>
  <c r="R399" i="1"/>
  <c r="T399" i="1"/>
  <c r="V399" i="1"/>
  <c r="X399" i="1"/>
  <c r="Z399" i="1"/>
  <c r="AB399" i="1"/>
  <c r="AD399" i="1"/>
  <c r="AF399" i="1"/>
  <c r="AH399" i="1"/>
  <c r="AJ399" i="1"/>
  <c r="AL399" i="1"/>
  <c r="AN399" i="1"/>
  <c r="AP399" i="1"/>
  <c r="AR399" i="1"/>
  <c r="AT399" i="1"/>
  <c r="AV399" i="1"/>
  <c r="AX399" i="1"/>
  <c r="AZ399" i="1"/>
  <c r="BA399" i="1"/>
  <c r="BB399" i="1"/>
  <c r="CH399" i="1"/>
  <c r="CI399" i="1"/>
  <c r="CJ399" i="1"/>
  <c r="CK399" i="1"/>
  <c r="CL399" i="1"/>
  <c r="CM399" i="1"/>
  <c r="CN399" i="1"/>
  <c r="CO399" i="1"/>
  <c r="CP399" i="1"/>
  <c r="CQ399" i="1"/>
  <c r="CR399" i="1"/>
  <c r="CS399" i="1"/>
  <c r="BV399" i="1"/>
  <c r="BW399" i="1"/>
  <c r="BX399" i="1"/>
  <c r="BY399" i="1"/>
  <c r="BZ399" i="1"/>
  <c r="CA399" i="1"/>
  <c r="CB399" i="1"/>
  <c r="CC399" i="1"/>
  <c r="CD399" i="1"/>
  <c r="CE399" i="1"/>
  <c r="CF399" i="1"/>
  <c r="CG399" i="1"/>
  <c r="CT399" i="1"/>
  <c r="A239" i="1"/>
  <c r="D239" i="1"/>
  <c r="F239" i="1"/>
  <c r="H239" i="1"/>
  <c r="J239" i="1"/>
  <c r="L239" i="1"/>
  <c r="N239" i="1"/>
  <c r="P239" i="1"/>
  <c r="R239" i="1"/>
  <c r="T239" i="1"/>
  <c r="V239" i="1"/>
  <c r="X239" i="1"/>
  <c r="Z239" i="1"/>
  <c r="AB239" i="1"/>
  <c r="AD239" i="1"/>
  <c r="AF239" i="1"/>
  <c r="AH239" i="1"/>
  <c r="AJ239" i="1"/>
  <c r="AL239" i="1"/>
  <c r="AN239" i="1"/>
  <c r="AP239" i="1"/>
  <c r="AR239" i="1"/>
  <c r="AT239" i="1"/>
  <c r="AV239" i="1"/>
  <c r="AX239" i="1"/>
  <c r="AZ239" i="1"/>
  <c r="BA239" i="1"/>
  <c r="BB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CT239" i="1"/>
  <c r="A238" i="1"/>
  <c r="D238" i="1"/>
  <c r="F238" i="1"/>
  <c r="H238" i="1"/>
  <c r="J238" i="1"/>
  <c r="L238" i="1"/>
  <c r="N238" i="1"/>
  <c r="P238" i="1"/>
  <c r="R238" i="1"/>
  <c r="T238" i="1"/>
  <c r="V238" i="1"/>
  <c r="X238" i="1"/>
  <c r="Z238" i="1"/>
  <c r="AB238" i="1"/>
  <c r="AD238" i="1"/>
  <c r="AF238" i="1"/>
  <c r="AH238" i="1"/>
  <c r="AJ238" i="1"/>
  <c r="AL238" i="1"/>
  <c r="AN238" i="1"/>
  <c r="AP238" i="1"/>
  <c r="AR238" i="1"/>
  <c r="AT238" i="1"/>
  <c r="AV238" i="1"/>
  <c r="AX238" i="1"/>
  <c r="AZ238" i="1"/>
  <c r="BA238" i="1"/>
  <c r="BB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T238" i="1"/>
  <c r="A237" i="1"/>
  <c r="D237" i="1"/>
  <c r="F237" i="1"/>
  <c r="H237" i="1"/>
  <c r="J237" i="1"/>
  <c r="L237" i="1"/>
  <c r="N237" i="1"/>
  <c r="P237" i="1"/>
  <c r="R237" i="1"/>
  <c r="T237" i="1"/>
  <c r="V237" i="1"/>
  <c r="X237" i="1"/>
  <c r="Z237" i="1"/>
  <c r="AB237" i="1"/>
  <c r="AD237" i="1"/>
  <c r="AF237" i="1"/>
  <c r="AH237" i="1"/>
  <c r="AJ237" i="1"/>
  <c r="AL237" i="1"/>
  <c r="AN237" i="1"/>
  <c r="AP237" i="1"/>
  <c r="AR237" i="1"/>
  <c r="AT237" i="1"/>
  <c r="AV237" i="1"/>
  <c r="AX237" i="1"/>
  <c r="AZ237" i="1"/>
  <c r="BA237" i="1"/>
  <c r="BB237" i="1"/>
  <c r="CH237" i="1"/>
  <c r="CI237" i="1"/>
  <c r="BC237" i="1" s="1"/>
  <c r="CJ237" i="1"/>
  <c r="CK237" i="1"/>
  <c r="CL237" i="1"/>
  <c r="CM237" i="1"/>
  <c r="CN237" i="1"/>
  <c r="CO237" i="1"/>
  <c r="CP237" i="1"/>
  <c r="CQ237" i="1"/>
  <c r="CR237" i="1"/>
  <c r="CS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CT237" i="1"/>
  <c r="A426" i="1"/>
  <c r="D426" i="1"/>
  <c r="F426" i="1"/>
  <c r="H426" i="1"/>
  <c r="J426" i="1"/>
  <c r="L426" i="1"/>
  <c r="N426" i="1"/>
  <c r="P426" i="1"/>
  <c r="R426" i="1"/>
  <c r="T426" i="1"/>
  <c r="V426" i="1"/>
  <c r="X426" i="1"/>
  <c r="Z426" i="1"/>
  <c r="AB426" i="1"/>
  <c r="AD426" i="1"/>
  <c r="AF426" i="1"/>
  <c r="AH426" i="1"/>
  <c r="AJ426" i="1"/>
  <c r="AL426" i="1"/>
  <c r="AN426" i="1"/>
  <c r="AP426" i="1"/>
  <c r="AR426" i="1"/>
  <c r="AT426" i="1"/>
  <c r="AV426" i="1"/>
  <c r="AX426" i="1"/>
  <c r="AZ426" i="1"/>
  <c r="BA426" i="1"/>
  <c r="BB426" i="1"/>
  <c r="CH426" i="1"/>
  <c r="CI426" i="1"/>
  <c r="CJ426" i="1"/>
  <c r="CK426" i="1"/>
  <c r="CL426" i="1"/>
  <c r="CM426" i="1"/>
  <c r="CN426" i="1"/>
  <c r="CO426" i="1"/>
  <c r="CP426" i="1"/>
  <c r="CQ426" i="1"/>
  <c r="CR426" i="1"/>
  <c r="CS426" i="1"/>
  <c r="BV426" i="1"/>
  <c r="BW426" i="1"/>
  <c r="BX426" i="1"/>
  <c r="BY426" i="1"/>
  <c r="BZ426" i="1"/>
  <c r="CA426" i="1"/>
  <c r="CB426" i="1"/>
  <c r="CC426" i="1"/>
  <c r="CD426" i="1"/>
  <c r="CE426" i="1"/>
  <c r="CF426" i="1"/>
  <c r="CG426" i="1"/>
  <c r="CT426" i="1"/>
  <c r="A82" i="2"/>
  <c r="AA82" i="2"/>
  <c r="AB82" i="2"/>
  <c r="B285" i="4"/>
  <c r="B81" i="4"/>
  <c r="I107" i="5"/>
  <c r="AE82" i="2"/>
  <c r="K147" i="5"/>
  <c r="AG82" i="2" s="1"/>
  <c r="AH82" i="2"/>
  <c r="AJ82" i="2"/>
  <c r="O147" i="5"/>
  <c r="AM82" i="2"/>
  <c r="A235" i="1"/>
  <c r="D235" i="1"/>
  <c r="F235" i="1"/>
  <c r="H235" i="1"/>
  <c r="J235" i="1"/>
  <c r="L235" i="1"/>
  <c r="N235" i="1"/>
  <c r="P235" i="1"/>
  <c r="R235" i="1"/>
  <c r="T235" i="1"/>
  <c r="V235" i="1"/>
  <c r="X235" i="1"/>
  <c r="Z235" i="1"/>
  <c r="AB235" i="1"/>
  <c r="AD235" i="1"/>
  <c r="AF235" i="1"/>
  <c r="AH235" i="1"/>
  <c r="AJ235" i="1"/>
  <c r="AL235" i="1"/>
  <c r="AN235" i="1"/>
  <c r="AP235" i="1"/>
  <c r="AR235" i="1"/>
  <c r="AT235" i="1"/>
  <c r="AV235" i="1"/>
  <c r="AX235" i="1"/>
  <c r="AZ235" i="1"/>
  <c r="BA235" i="1"/>
  <c r="BB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CT235" i="1"/>
  <c r="A236" i="1"/>
  <c r="D236" i="1"/>
  <c r="F236" i="1"/>
  <c r="H236" i="1"/>
  <c r="J236" i="1"/>
  <c r="L236" i="1"/>
  <c r="N236" i="1"/>
  <c r="P236" i="1"/>
  <c r="R236" i="1"/>
  <c r="T236" i="1"/>
  <c r="V236" i="1"/>
  <c r="X236" i="1"/>
  <c r="Z236" i="1"/>
  <c r="AB236" i="1"/>
  <c r="AD236" i="1"/>
  <c r="AF236" i="1"/>
  <c r="AH236" i="1"/>
  <c r="AJ236" i="1"/>
  <c r="AL236" i="1"/>
  <c r="AN236" i="1"/>
  <c r="AP236" i="1"/>
  <c r="AR236" i="1"/>
  <c r="AT236" i="1"/>
  <c r="AV236" i="1"/>
  <c r="AX236" i="1"/>
  <c r="AZ236" i="1"/>
  <c r="BA236" i="1"/>
  <c r="BB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CT236" i="1"/>
  <c r="A286" i="1"/>
  <c r="D286" i="1"/>
  <c r="F286" i="1"/>
  <c r="H286" i="1"/>
  <c r="J286" i="1"/>
  <c r="L286" i="1"/>
  <c r="N286" i="1"/>
  <c r="P286" i="1"/>
  <c r="R286" i="1"/>
  <c r="T286" i="1"/>
  <c r="V286" i="1"/>
  <c r="X286" i="1"/>
  <c r="Z286" i="1"/>
  <c r="AB286" i="1"/>
  <c r="AD286" i="1"/>
  <c r="AF286" i="1"/>
  <c r="AH286" i="1"/>
  <c r="AJ286" i="1"/>
  <c r="AL286" i="1"/>
  <c r="AN286" i="1"/>
  <c r="AP286" i="1"/>
  <c r="AR286" i="1"/>
  <c r="AT286" i="1"/>
  <c r="AV286" i="1"/>
  <c r="AX286" i="1"/>
  <c r="AZ286" i="1"/>
  <c r="BA286" i="1"/>
  <c r="BB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CT286" i="1"/>
  <c r="A271" i="1"/>
  <c r="D271" i="1"/>
  <c r="F271" i="1"/>
  <c r="H271" i="1"/>
  <c r="J271" i="1"/>
  <c r="L271" i="1"/>
  <c r="N271" i="1"/>
  <c r="P271" i="1"/>
  <c r="R271" i="1"/>
  <c r="T271" i="1"/>
  <c r="V271" i="1"/>
  <c r="X271" i="1"/>
  <c r="Z271" i="1"/>
  <c r="AB271" i="1"/>
  <c r="AD271" i="1"/>
  <c r="AF271" i="1"/>
  <c r="AH271" i="1"/>
  <c r="AJ271" i="1"/>
  <c r="AL271" i="1"/>
  <c r="AN271" i="1"/>
  <c r="AP271" i="1"/>
  <c r="AR271" i="1"/>
  <c r="AT271" i="1"/>
  <c r="AV271" i="1"/>
  <c r="AX271" i="1"/>
  <c r="AZ271" i="1"/>
  <c r="BA271" i="1"/>
  <c r="BB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CT271" i="1"/>
  <c r="AI285" i="4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A200" i="1"/>
  <c r="A234" i="1"/>
  <c r="D234" i="1"/>
  <c r="F234" i="1"/>
  <c r="H234" i="1"/>
  <c r="J234" i="1"/>
  <c r="L234" i="1"/>
  <c r="N234" i="1"/>
  <c r="P234" i="1"/>
  <c r="R234" i="1"/>
  <c r="T234" i="1"/>
  <c r="V234" i="1"/>
  <c r="X234" i="1"/>
  <c r="Z234" i="1"/>
  <c r="AB234" i="1"/>
  <c r="AD234" i="1"/>
  <c r="AF234" i="1"/>
  <c r="AH234" i="1"/>
  <c r="AJ234" i="1"/>
  <c r="AL234" i="1"/>
  <c r="AN234" i="1"/>
  <c r="AP234" i="1"/>
  <c r="AR234" i="1"/>
  <c r="AT234" i="1"/>
  <c r="AV234" i="1"/>
  <c r="AX234" i="1"/>
  <c r="AZ234" i="1"/>
  <c r="BA234" i="1"/>
  <c r="BB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CT234" i="1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B93" i="4"/>
  <c r="A9" i="3"/>
  <c r="B9" i="3"/>
  <c r="C9" i="3"/>
  <c r="AI179" i="4"/>
  <c r="AD107" i="5"/>
  <c r="AC107" i="5"/>
  <c r="A81" i="2"/>
  <c r="AA81" i="2"/>
  <c r="AB81" i="2"/>
  <c r="B318" i="4"/>
  <c r="AE81" i="2"/>
  <c r="K306" i="5"/>
  <c r="AI80" i="2" s="1"/>
  <c r="AH81" i="2"/>
  <c r="AJ81" i="2"/>
  <c r="O306" i="5"/>
  <c r="AM81" i="2"/>
  <c r="A232" i="1"/>
  <c r="D232" i="1"/>
  <c r="F232" i="1"/>
  <c r="H232" i="1"/>
  <c r="J232" i="1"/>
  <c r="L232" i="1"/>
  <c r="N232" i="1"/>
  <c r="P232" i="1"/>
  <c r="R232" i="1"/>
  <c r="T232" i="1"/>
  <c r="V232" i="1"/>
  <c r="X232" i="1"/>
  <c r="Z232" i="1"/>
  <c r="AB232" i="1"/>
  <c r="AD232" i="1"/>
  <c r="AF232" i="1"/>
  <c r="AH232" i="1"/>
  <c r="AJ232" i="1"/>
  <c r="AL232" i="1"/>
  <c r="AN232" i="1"/>
  <c r="AP232" i="1"/>
  <c r="AR232" i="1"/>
  <c r="AT232" i="1"/>
  <c r="AV232" i="1"/>
  <c r="AX232" i="1"/>
  <c r="AZ232" i="1"/>
  <c r="BA232" i="1"/>
  <c r="BB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CT232" i="1"/>
  <c r="A233" i="1"/>
  <c r="D233" i="1"/>
  <c r="F233" i="1"/>
  <c r="H233" i="1"/>
  <c r="J233" i="1"/>
  <c r="L233" i="1"/>
  <c r="N233" i="1"/>
  <c r="P233" i="1"/>
  <c r="R233" i="1"/>
  <c r="T233" i="1"/>
  <c r="V233" i="1"/>
  <c r="X233" i="1"/>
  <c r="Z233" i="1"/>
  <c r="AB233" i="1"/>
  <c r="AD233" i="1"/>
  <c r="AF233" i="1"/>
  <c r="AH233" i="1"/>
  <c r="AJ233" i="1"/>
  <c r="AL233" i="1"/>
  <c r="AN233" i="1"/>
  <c r="AP233" i="1"/>
  <c r="AR233" i="1"/>
  <c r="AT233" i="1"/>
  <c r="AV233" i="1"/>
  <c r="AX233" i="1"/>
  <c r="AZ233" i="1"/>
  <c r="BA233" i="1"/>
  <c r="BB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CT233" i="1"/>
  <c r="A155" i="1"/>
  <c r="D155" i="1"/>
  <c r="F155" i="1"/>
  <c r="H155" i="1"/>
  <c r="J155" i="1"/>
  <c r="L155" i="1"/>
  <c r="N155" i="1"/>
  <c r="P155" i="1"/>
  <c r="R155" i="1"/>
  <c r="T155" i="1"/>
  <c r="V155" i="1"/>
  <c r="X155" i="1"/>
  <c r="Z155" i="1"/>
  <c r="AB155" i="1"/>
  <c r="AD155" i="1"/>
  <c r="AF155" i="1"/>
  <c r="AH155" i="1"/>
  <c r="AJ155" i="1"/>
  <c r="AL155" i="1"/>
  <c r="AN155" i="1"/>
  <c r="AP155" i="1"/>
  <c r="AR155" i="1"/>
  <c r="AT155" i="1"/>
  <c r="AV155" i="1"/>
  <c r="AX155" i="1"/>
  <c r="AZ155" i="1"/>
  <c r="BA155" i="1"/>
  <c r="BB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T155" i="1"/>
  <c r="A154" i="1"/>
  <c r="D154" i="1"/>
  <c r="F154" i="1"/>
  <c r="H154" i="1"/>
  <c r="J154" i="1"/>
  <c r="L154" i="1"/>
  <c r="N154" i="1"/>
  <c r="P154" i="1"/>
  <c r="R154" i="1"/>
  <c r="T154" i="1"/>
  <c r="V154" i="1"/>
  <c r="X154" i="1"/>
  <c r="Z154" i="1"/>
  <c r="AB154" i="1"/>
  <c r="AD154" i="1"/>
  <c r="AF154" i="1"/>
  <c r="AH154" i="1"/>
  <c r="AJ154" i="1"/>
  <c r="AL154" i="1"/>
  <c r="AN154" i="1"/>
  <c r="AP154" i="1"/>
  <c r="AR154" i="1"/>
  <c r="AT154" i="1"/>
  <c r="AV154" i="1"/>
  <c r="AX154" i="1"/>
  <c r="AZ154" i="1"/>
  <c r="BA154" i="1"/>
  <c r="BB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T154" i="1"/>
  <c r="AB153" i="1"/>
  <c r="A153" i="1"/>
  <c r="D153" i="1"/>
  <c r="F153" i="1"/>
  <c r="H153" i="1"/>
  <c r="J153" i="1"/>
  <c r="L153" i="1"/>
  <c r="N153" i="1"/>
  <c r="P153" i="1"/>
  <c r="R153" i="1"/>
  <c r="T153" i="1"/>
  <c r="V153" i="1"/>
  <c r="X153" i="1"/>
  <c r="Z153" i="1"/>
  <c r="AD153" i="1"/>
  <c r="AF153" i="1"/>
  <c r="AH153" i="1"/>
  <c r="AJ153" i="1"/>
  <c r="AL153" i="1"/>
  <c r="AN153" i="1"/>
  <c r="AP153" i="1"/>
  <c r="AR153" i="1"/>
  <c r="AT153" i="1"/>
  <c r="AV153" i="1"/>
  <c r="AX153" i="1"/>
  <c r="AZ153" i="1"/>
  <c r="BA153" i="1"/>
  <c r="BB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T153" i="1"/>
  <c r="A147" i="1"/>
  <c r="D147" i="1"/>
  <c r="F147" i="1"/>
  <c r="H147" i="1"/>
  <c r="J147" i="1"/>
  <c r="L147" i="1"/>
  <c r="N147" i="1"/>
  <c r="P147" i="1"/>
  <c r="R147" i="1"/>
  <c r="T147" i="1"/>
  <c r="V147" i="1"/>
  <c r="X147" i="1"/>
  <c r="Z147" i="1"/>
  <c r="AB147" i="1"/>
  <c r="AD147" i="1"/>
  <c r="AF147" i="1"/>
  <c r="AH147" i="1"/>
  <c r="AJ147" i="1"/>
  <c r="AL147" i="1"/>
  <c r="AN147" i="1"/>
  <c r="AP147" i="1"/>
  <c r="AR147" i="1"/>
  <c r="AT147" i="1"/>
  <c r="AV147" i="1"/>
  <c r="AX147" i="1"/>
  <c r="AZ147" i="1"/>
  <c r="BA147" i="1"/>
  <c r="BB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T147" i="1"/>
  <c r="A146" i="1"/>
  <c r="A94" i="1"/>
  <c r="D94" i="1"/>
  <c r="F94" i="1"/>
  <c r="H94" i="1"/>
  <c r="J94" i="1"/>
  <c r="L94" i="1"/>
  <c r="N94" i="1"/>
  <c r="P94" i="1"/>
  <c r="R94" i="1"/>
  <c r="T94" i="1"/>
  <c r="V94" i="1"/>
  <c r="X94" i="1"/>
  <c r="Z94" i="1"/>
  <c r="AB94" i="1"/>
  <c r="AD94" i="1"/>
  <c r="AF94" i="1"/>
  <c r="AH94" i="1"/>
  <c r="AJ94" i="1"/>
  <c r="AL94" i="1"/>
  <c r="AN94" i="1"/>
  <c r="AP94" i="1"/>
  <c r="AR94" i="1"/>
  <c r="AT94" i="1"/>
  <c r="AV94" i="1"/>
  <c r="AX94" i="1"/>
  <c r="AZ94" i="1"/>
  <c r="BA94" i="1"/>
  <c r="BB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T94" i="1"/>
  <c r="A212" i="1"/>
  <c r="D212" i="1"/>
  <c r="F212" i="1"/>
  <c r="H212" i="1"/>
  <c r="J212" i="1"/>
  <c r="L212" i="1"/>
  <c r="N212" i="1"/>
  <c r="P212" i="1"/>
  <c r="R212" i="1"/>
  <c r="T212" i="1"/>
  <c r="V212" i="1"/>
  <c r="X212" i="1"/>
  <c r="Z212" i="1"/>
  <c r="AB212" i="1"/>
  <c r="AD212" i="1"/>
  <c r="AF212" i="1"/>
  <c r="AH212" i="1"/>
  <c r="AJ212" i="1"/>
  <c r="AL212" i="1"/>
  <c r="AN212" i="1"/>
  <c r="AP212" i="1"/>
  <c r="AR212" i="1"/>
  <c r="AT212" i="1"/>
  <c r="AV212" i="1"/>
  <c r="AX212" i="1"/>
  <c r="AZ212" i="1"/>
  <c r="BA212" i="1"/>
  <c r="BB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CT212" i="1"/>
  <c r="A87" i="1"/>
  <c r="D87" i="1"/>
  <c r="F87" i="1"/>
  <c r="H87" i="1"/>
  <c r="J87" i="1"/>
  <c r="L87" i="1"/>
  <c r="N87" i="1"/>
  <c r="P87" i="1"/>
  <c r="R87" i="1"/>
  <c r="T87" i="1"/>
  <c r="V87" i="1"/>
  <c r="X87" i="1"/>
  <c r="Z87" i="1"/>
  <c r="AB87" i="1"/>
  <c r="AD87" i="1"/>
  <c r="AF87" i="1"/>
  <c r="AH87" i="1"/>
  <c r="AJ87" i="1"/>
  <c r="AL87" i="1"/>
  <c r="AN87" i="1"/>
  <c r="AP87" i="1"/>
  <c r="AR87" i="1"/>
  <c r="AT87" i="1"/>
  <c r="AV87" i="1"/>
  <c r="AX87" i="1"/>
  <c r="AZ87" i="1"/>
  <c r="BA87" i="1"/>
  <c r="BB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T87" i="1"/>
  <c r="D294" i="6"/>
  <c r="A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8" i="1"/>
  <c r="A89" i="1"/>
  <c r="A90" i="1"/>
  <c r="A91" i="1"/>
  <c r="A92" i="1"/>
  <c r="A93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8" i="1"/>
  <c r="A149" i="1"/>
  <c r="A150" i="1"/>
  <c r="A151" i="1"/>
  <c r="A152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1" i="1"/>
  <c r="A202" i="1"/>
  <c r="A203" i="1"/>
  <c r="A204" i="1"/>
  <c r="A205" i="1"/>
  <c r="A206" i="1"/>
  <c r="A207" i="1"/>
  <c r="A208" i="1"/>
  <c r="A209" i="1"/>
  <c r="A210" i="1"/>
  <c r="A211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8" i="1"/>
  <c r="A419" i="1"/>
  <c r="A420" i="1"/>
  <c r="A421" i="1"/>
  <c r="A422" i="1"/>
  <c r="A423" i="1"/>
  <c r="A424" i="1"/>
  <c r="A425" i="1"/>
  <c r="A427" i="1"/>
  <c r="A428" i="1"/>
  <c r="A429" i="1"/>
  <c r="A430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B262" i="4"/>
  <c r="B127" i="4"/>
  <c r="D297" i="1"/>
  <c r="D296" i="1"/>
  <c r="C394" i="7"/>
  <c r="D322" i="1"/>
  <c r="F322" i="1"/>
  <c r="H322" i="1"/>
  <c r="J322" i="1"/>
  <c r="L322" i="1"/>
  <c r="N322" i="1"/>
  <c r="P322" i="1"/>
  <c r="R322" i="1"/>
  <c r="T322" i="1"/>
  <c r="V322" i="1"/>
  <c r="X322" i="1"/>
  <c r="Z322" i="1"/>
  <c r="AB322" i="1"/>
  <c r="AD322" i="1"/>
  <c r="AF322" i="1"/>
  <c r="AH322" i="1"/>
  <c r="AJ322" i="1"/>
  <c r="AL322" i="1"/>
  <c r="AN322" i="1"/>
  <c r="AP322" i="1"/>
  <c r="AR322" i="1"/>
  <c r="AT322" i="1"/>
  <c r="AV322" i="1"/>
  <c r="AX322" i="1"/>
  <c r="AZ322" i="1"/>
  <c r="BA322" i="1"/>
  <c r="BB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CT322" i="1"/>
  <c r="B303" i="4"/>
  <c r="AI303" i="4"/>
  <c r="B313" i="4"/>
  <c r="A9" i="13"/>
  <c r="B9" i="13"/>
  <c r="C9" i="13"/>
  <c r="F9" i="13"/>
  <c r="A80" i="2"/>
  <c r="AA80" i="2"/>
  <c r="AB80" i="2"/>
  <c r="B314" i="4"/>
  <c r="AE80" i="2"/>
  <c r="K313" i="5"/>
  <c r="AI79" i="2" s="1"/>
  <c r="AG80" i="2"/>
  <c r="AH80" i="2"/>
  <c r="AJ80" i="2"/>
  <c r="O313" i="5"/>
  <c r="AM80" i="2"/>
  <c r="D407" i="1"/>
  <c r="F407" i="1"/>
  <c r="H407" i="1"/>
  <c r="J407" i="1"/>
  <c r="L407" i="1"/>
  <c r="N407" i="1"/>
  <c r="P407" i="1"/>
  <c r="R407" i="1"/>
  <c r="T407" i="1"/>
  <c r="V407" i="1"/>
  <c r="X407" i="1"/>
  <c r="Z407" i="1"/>
  <c r="AB407" i="1"/>
  <c r="AD407" i="1"/>
  <c r="AF407" i="1"/>
  <c r="AH407" i="1"/>
  <c r="AJ407" i="1"/>
  <c r="AL407" i="1"/>
  <c r="AN407" i="1"/>
  <c r="AP407" i="1"/>
  <c r="AR407" i="1"/>
  <c r="AT407" i="1"/>
  <c r="AV407" i="1"/>
  <c r="AX407" i="1"/>
  <c r="AZ407" i="1"/>
  <c r="BA407" i="1"/>
  <c r="BB407" i="1"/>
  <c r="CH407" i="1"/>
  <c r="CI407" i="1"/>
  <c r="CJ407" i="1"/>
  <c r="CK407" i="1"/>
  <c r="CL407" i="1"/>
  <c r="CM407" i="1"/>
  <c r="CN407" i="1"/>
  <c r="CO407" i="1"/>
  <c r="CP407" i="1"/>
  <c r="CQ407" i="1"/>
  <c r="CR407" i="1"/>
  <c r="CS407" i="1"/>
  <c r="BV407" i="1"/>
  <c r="BW407" i="1"/>
  <c r="BX407" i="1"/>
  <c r="BY407" i="1"/>
  <c r="BZ407" i="1"/>
  <c r="CA407" i="1"/>
  <c r="CB407" i="1"/>
  <c r="CC407" i="1"/>
  <c r="CD407" i="1"/>
  <c r="CE407" i="1"/>
  <c r="CF407" i="1"/>
  <c r="CG407" i="1"/>
  <c r="CT407" i="1"/>
  <c r="D408" i="1"/>
  <c r="F408" i="1"/>
  <c r="H408" i="1"/>
  <c r="J408" i="1"/>
  <c r="L408" i="1"/>
  <c r="N408" i="1"/>
  <c r="P408" i="1"/>
  <c r="R408" i="1"/>
  <c r="T408" i="1"/>
  <c r="V408" i="1"/>
  <c r="X408" i="1"/>
  <c r="Z408" i="1"/>
  <c r="AB408" i="1"/>
  <c r="AD408" i="1"/>
  <c r="AF408" i="1"/>
  <c r="AH408" i="1"/>
  <c r="AJ408" i="1"/>
  <c r="AL408" i="1"/>
  <c r="AN408" i="1"/>
  <c r="AP408" i="1"/>
  <c r="AR408" i="1"/>
  <c r="AT408" i="1"/>
  <c r="AV408" i="1"/>
  <c r="AX408" i="1"/>
  <c r="AZ408" i="1"/>
  <c r="BA408" i="1"/>
  <c r="BB408" i="1"/>
  <c r="CH408" i="1"/>
  <c r="CI408" i="1"/>
  <c r="CJ408" i="1"/>
  <c r="CK408" i="1"/>
  <c r="CL408" i="1"/>
  <c r="CM408" i="1"/>
  <c r="CN408" i="1"/>
  <c r="CO408" i="1"/>
  <c r="CP408" i="1"/>
  <c r="CQ408" i="1"/>
  <c r="CR408" i="1"/>
  <c r="CS408" i="1"/>
  <c r="BV408" i="1"/>
  <c r="BW408" i="1"/>
  <c r="BX408" i="1"/>
  <c r="BY408" i="1"/>
  <c r="BZ408" i="1"/>
  <c r="CA408" i="1"/>
  <c r="CB408" i="1"/>
  <c r="CC408" i="1"/>
  <c r="CD408" i="1"/>
  <c r="CE408" i="1"/>
  <c r="CF408" i="1"/>
  <c r="CG408" i="1"/>
  <c r="CT408" i="1"/>
  <c r="D409" i="1"/>
  <c r="F409" i="1"/>
  <c r="H409" i="1"/>
  <c r="J409" i="1"/>
  <c r="L409" i="1"/>
  <c r="N409" i="1"/>
  <c r="P409" i="1"/>
  <c r="R409" i="1"/>
  <c r="T409" i="1"/>
  <c r="V409" i="1"/>
  <c r="X409" i="1"/>
  <c r="Z409" i="1"/>
  <c r="AB409" i="1"/>
  <c r="AD409" i="1"/>
  <c r="AF409" i="1"/>
  <c r="AH409" i="1"/>
  <c r="AJ409" i="1"/>
  <c r="AL409" i="1"/>
  <c r="AN409" i="1"/>
  <c r="AP409" i="1"/>
  <c r="AR409" i="1"/>
  <c r="AT409" i="1"/>
  <c r="AV409" i="1"/>
  <c r="AX409" i="1"/>
  <c r="AZ409" i="1"/>
  <c r="BA409" i="1"/>
  <c r="BB409" i="1"/>
  <c r="CH409" i="1"/>
  <c r="CI409" i="1"/>
  <c r="CJ409" i="1"/>
  <c r="CK409" i="1"/>
  <c r="CL409" i="1"/>
  <c r="CM409" i="1"/>
  <c r="CN409" i="1"/>
  <c r="CO409" i="1"/>
  <c r="CP409" i="1"/>
  <c r="CQ409" i="1"/>
  <c r="CR409" i="1"/>
  <c r="CS409" i="1"/>
  <c r="BV409" i="1"/>
  <c r="BW409" i="1"/>
  <c r="BX409" i="1"/>
  <c r="BY409" i="1"/>
  <c r="BZ409" i="1"/>
  <c r="CA409" i="1"/>
  <c r="CB409" i="1"/>
  <c r="CC409" i="1"/>
  <c r="CD409" i="1"/>
  <c r="CE409" i="1"/>
  <c r="CF409" i="1"/>
  <c r="CG409" i="1"/>
  <c r="CT409" i="1"/>
  <c r="A29" i="3"/>
  <c r="H29" i="3" s="1"/>
  <c r="B29" i="3"/>
  <c r="C29" i="3"/>
  <c r="AI273" i="4"/>
  <c r="D2" i="1"/>
  <c r="F2" i="1"/>
  <c r="H2" i="1"/>
  <c r="J2" i="1"/>
  <c r="L2" i="1"/>
  <c r="N2" i="1"/>
  <c r="P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D3" i="1"/>
  <c r="F3" i="1"/>
  <c r="H3" i="1"/>
  <c r="J3" i="1"/>
  <c r="L3" i="1"/>
  <c r="N3" i="1"/>
  <c r="P3" i="1"/>
  <c r="R3" i="1"/>
  <c r="T3" i="1"/>
  <c r="V3" i="1"/>
  <c r="X3" i="1"/>
  <c r="Z3" i="1"/>
  <c r="AB3" i="1"/>
  <c r="AD3" i="1"/>
  <c r="AF3" i="1"/>
  <c r="AH3" i="1"/>
  <c r="AJ3" i="1"/>
  <c r="AL3" i="1"/>
  <c r="AN3" i="1"/>
  <c r="AP3" i="1"/>
  <c r="AR3" i="1"/>
  <c r="AT3" i="1"/>
  <c r="AV3" i="1"/>
  <c r="AX3" i="1"/>
  <c r="D4" i="1"/>
  <c r="F4" i="1"/>
  <c r="H4" i="1"/>
  <c r="J4" i="1"/>
  <c r="L4" i="1"/>
  <c r="N4" i="1"/>
  <c r="P4" i="1"/>
  <c r="R4" i="1"/>
  <c r="T4" i="1"/>
  <c r="V4" i="1"/>
  <c r="X4" i="1"/>
  <c r="Z4" i="1"/>
  <c r="AB4" i="1"/>
  <c r="AD4" i="1"/>
  <c r="AF4" i="1"/>
  <c r="AH4" i="1"/>
  <c r="AJ4" i="1"/>
  <c r="AL4" i="1"/>
  <c r="AN4" i="1"/>
  <c r="AP4" i="1"/>
  <c r="AR4" i="1"/>
  <c r="AT4" i="1"/>
  <c r="AV4" i="1"/>
  <c r="AX4" i="1"/>
  <c r="D5" i="1"/>
  <c r="F5" i="1"/>
  <c r="H5" i="1"/>
  <c r="J5" i="1"/>
  <c r="L5" i="1"/>
  <c r="N5" i="1"/>
  <c r="P5" i="1"/>
  <c r="R5" i="1"/>
  <c r="T5" i="1"/>
  <c r="V5" i="1"/>
  <c r="X5" i="1"/>
  <c r="Z5" i="1"/>
  <c r="AB5" i="1"/>
  <c r="AD5" i="1"/>
  <c r="AF5" i="1"/>
  <c r="AH5" i="1"/>
  <c r="AJ5" i="1"/>
  <c r="AL5" i="1"/>
  <c r="AN5" i="1"/>
  <c r="AP5" i="1"/>
  <c r="AR5" i="1"/>
  <c r="AT5" i="1"/>
  <c r="AV5" i="1"/>
  <c r="AX5" i="1"/>
  <c r="D6" i="1"/>
  <c r="F6" i="1"/>
  <c r="H6" i="1"/>
  <c r="J6" i="1"/>
  <c r="L6" i="1"/>
  <c r="N6" i="1"/>
  <c r="P6" i="1"/>
  <c r="R6" i="1"/>
  <c r="T6" i="1"/>
  <c r="V6" i="1"/>
  <c r="X6" i="1"/>
  <c r="Z6" i="1"/>
  <c r="AB6" i="1"/>
  <c r="AD6" i="1"/>
  <c r="AF6" i="1"/>
  <c r="AH6" i="1"/>
  <c r="AJ6" i="1"/>
  <c r="AL6" i="1"/>
  <c r="AN6" i="1"/>
  <c r="AP6" i="1"/>
  <c r="AR6" i="1"/>
  <c r="AT6" i="1"/>
  <c r="AV6" i="1"/>
  <c r="AX6" i="1"/>
  <c r="D7" i="1"/>
  <c r="F7" i="1"/>
  <c r="H7" i="1"/>
  <c r="J7" i="1"/>
  <c r="L7" i="1"/>
  <c r="N7" i="1"/>
  <c r="P7" i="1"/>
  <c r="R7" i="1"/>
  <c r="T7" i="1"/>
  <c r="V7" i="1"/>
  <c r="X7" i="1"/>
  <c r="Z7" i="1"/>
  <c r="AB7" i="1"/>
  <c r="AD7" i="1"/>
  <c r="AF7" i="1"/>
  <c r="AH7" i="1"/>
  <c r="AJ7" i="1"/>
  <c r="AL7" i="1"/>
  <c r="AN7" i="1"/>
  <c r="AP7" i="1"/>
  <c r="AR7" i="1"/>
  <c r="AT7" i="1"/>
  <c r="AV7" i="1"/>
  <c r="AX7" i="1"/>
  <c r="D8" i="1"/>
  <c r="F8" i="1"/>
  <c r="H8" i="1"/>
  <c r="J8" i="1"/>
  <c r="L8" i="1"/>
  <c r="N8" i="1"/>
  <c r="P8" i="1"/>
  <c r="R8" i="1"/>
  <c r="T8" i="1"/>
  <c r="V8" i="1"/>
  <c r="X8" i="1"/>
  <c r="Z8" i="1"/>
  <c r="AB8" i="1"/>
  <c r="AD8" i="1"/>
  <c r="AF8" i="1"/>
  <c r="AH8" i="1"/>
  <c r="AJ8" i="1"/>
  <c r="AL8" i="1"/>
  <c r="AN8" i="1"/>
  <c r="AP8" i="1"/>
  <c r="AR8" i="1"/>
  <c r="AT8" i="1"/>
  <c r="AV8" i="1"/>
  <c r="AX8" i="1"/>
  <c r="D9" i="1"/>
  <c r="F9" i="1"/>
  <c r="H9" i="1"/>
  <c r="J9" i="1"/>
  <c r="L9" i="1"/>
  <c r="N9" i="1"/>
  <c r="P9" i="1"/>
  <c r="R9" i="1"/>
  <c r="T9" i="1"/>
  <c r="V9" i="1"/>
  <c r="X9" i="1"/>
  <c r="Z9" i="1"/>
  <c r="AB9" i="1"/>
  <c r="AD9" i="1"/>
  <c r="AF9" i="1"/>
  <c r="AH9" i="1"/>
  <c r="AJ9" i="1"/>
  <c r="AL9" i="1"/>
  <c r="AN9" i="1"/>
  <c r="AP9" i="1"/>
  <c r="AR9" i="1"/>
  <c r="AT9" i="1"/>
  <c r="AV9" i="1"/>
  <c r="AX9" i="1"/>
  <c r="D10" i="1"/>
  <c r="F10" i="1"/>
  <c r="H10" i="1"/>
  <c r="J10" i="1"/>
  <c r="L10" i="1"/>
  <c r="N10" i="1"/>
  <c r="P10" i="1"/>
  <c r="R10" i="1"/>
  <c r="T10" i="1"/>
  <c r="V10" i="1"/>
  <c r="X10" i="1"/>
  <c r="Z10" i="1"/>
  <c r="AB10" i="1"/>
  <c r="AD10" i="1"/>
  <c r="AF10" i="1"/>
  <c r="AH10" i="1"/>
  <c r="AJ10" i="1"/>
  <c r="AL10" i="1"/>
  <c r="AN10" i="1"/>
  <c r="AP10" i="1"/>
  <c r="AR10" i="1"/>
  <c r="AT10" i="1"/>
  <c r="AV10" i="1"/>
  <c r="AX10" i="1"/>
  <c r="D11" i="1"/>
  <c r="F11" i="1"/>
  <c r="H11" i="1"/>
  <c r="J11" i="1"/>
  <c r="L11" i="1"/>
  <c r="N11" i="1"/>
  <c r="P11" i="1"/>
  <c r="R11" i="1"/>
  <c r="T11" i="1"/>
  <c r="V11" i="1"/>
  <c r="X11" i="1"/>
  <c r="Z11" i="1"/>
  <c r="AB11" i="1"/>
  <c r="AD11" i="1"/>
  <c r="AF11" i="1"/>
  <c r="AH11" i="1"/>
  <c r="AJ11" i="1"/>
  <c r="AL11" i="1"/>
  <c r="AN11" i="1"/>
  <c r="AP11" i="1"/>
  <c r="AR11" i="1"/>
  <c r="AT11" i="1"/>
  <c r="AV11" i="1"/>
  <c r="AX11" i="1"/>
  <c r="D12" i="1"/>
  <c r="F12" i="1"/>
  <c r="H12" i="1"/>
  <c r="J12" i="1"/>
  <c r="L12" i="1"/>
  <c r="N12" i="1"/>
  <c r="P12" i="1"/>
  <c r="R12" i="1"/>
  <c r="T12" i="1"/>
  <c r="V12" i="1"/>
  <c r="X12" i="1"/>
  <c r="Z12" i="1"/>
  <c r="AB12" i="1"/>
  <c r="AD12" i="1"/>
  <c r="AF12" i="1"/>
  <c r="AH12" i="1"/>
  <c r="AJ12" i="1"/>
  <c r="AL12" i="1"/>
  <c r="AN12" i="1"/>
  <c r="AP12" i="1"/>
  <c r="AR12" i="1"/>
  <c r="AT12" i="1"/>
  <c r="AV12" i="1"/>
  <c r="AX12" i="1"/>
  <c r="D13" i="1"/>
  <c r="F13" i="1"/>
  <c r="H13" i="1"/>
  <c r="J13" i="1"/>
  <c r="L13" i="1"/>
  <c r="N13" i="1"/>
  <c r="P13" i="1"/>
  <c r="R13" i="1"/>
  <c r="T13" i="1"/>
  <c r="V13" i="1"/>
  <c r="X13" i="1"/>
  <c r="Z13" i="1"/>
  <c r="AB13" i="1"/>
  <c r="AD13" i="1"/>
  <c r="AF13" i="1"/>
  <c r="AH13" i="1"/>
  <c r="AJ13" i="1"/>
  <c r="AL13" i="1"/>
  <c r="AN13" i="1"/>
  <c r="AP13" i="1"/>
  <c r="AR13" i="1"/>
  <c r="AT13" i="1"/>
  <c r="AV13" i="1"/>
  <c r="AX13" i="1"/>
  <c r="D14" i="1"/>
  <c r="F14" i="1"/>
  <c r="H14" i="1"/>
  <c r="J14" i="1"/>
  <c r="L14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D15" i="1"/>
  <c r="F15" i="1"/>
  <c r="H15" i="1"/>
  <c r="J15" i="1"/>
  <c r="L15" i="1"/>
  <c r="N15" i="1"/>
  <c r="P15" i="1"/>
  <c r="R15" i="1"/>
  <c r="T15" i="1"/>
  <c r="V15" i="1"/>
  <c r="X15" i="1"/>
  <c r="Z15" i="1"/>
  <c r="AB15" i="1"/>
  <c r="AD15" i="1"/>
  <c r="AF15" i="1"/>
  <c r="AH15" i="1"/>
  <c r="AJ15" i="1"/>
  <c r="AL15" i="1"/>
  <c r="AN15" i="1"/>
  <c r="AP15" i="1"/>
  <c r="AR15" i="1"/>
  <c r="AT15" i="1"/>
  <c r="AV15" i="1"/>
  <c r="AX15" i="1"/>
  <c r="D16" i="1"/>
  <c r="F16" i="1"/>
  <c r="H16" i="1"/>
  <c r="J16" i="1"/>
  <c r="L16" i="1"/>
  <c r="N16" i="1"/>
  <c r="P16" i="1"/>
  <c r="R16" i="1"/>
  <c r="T16" i="1"/>
  <c r="V16" i="1"/>
  <c r="X16" i="1"/>
  <c r="Z16" i="1"/>
  <c r="AB16" i="1"/>
  <c r="AD16" i="1"/>
  <c r="AF16" i="1"/>
  <c r="AH16" i="1"/>
  <c r="AJ16" i="1"/>
  <c r="AL16" i="1"/>
  <c r="AN16" i="1"/>
  <c r="AP16" i="1"/>
  <c r="AR16" i="1"/>
  <c r="AT16" i="1"/>
  <c r="AV16" i="1"/>
  <c r="AX16" i="1"/>
  <c r="D17" i="1"/>
  <c r="F17" i="1"/>
  <c r="H17" i="1"/>
  <c r="J17" i="1"/>
  <c r="L17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AR17" i="1"/>
  <c r="AT17" i="1"/>
  <c r="AV17" i="1"/>
  <c r="AX17" i="1"/>
  <c r="D18" i="1"/>
  <c r="F18" i="1"/>
  <c r="H18" i="1"/>
  <c r="J18" i="1"/>
  <c r="L18" i="1"/>
  <c r="N18" i="1"/>
  <c r="P18" i="1"/>
  <c r="R18" i="1"/>
  <c r="T18" i="1"/>
  <c r="V18" i="1"/>
  <c r="X18" i="1"/>
  <c r="Z18" i="1"/>
  <c r="AB18" i="1"/>
  <c r="AD18" i="1"/>
  <c r="AF18" i="1"/>
  <c r="AH18" i="1"/>
  <c r="AJ18" i="1"/>
  <c r="AL18" i="1"/>
  <c r="AN18" i="1"/>
  <c r="AP18" i="1"/>
  <c r="AR18" i="1"/>
  <c r="AT18" i="1"/>
  <c r="AV18" i="1"/>
  <c r="AX18" i="1"/>
  <c r="D19" i="1"/>
  <c r="F19" i="1"/>
  <c r="H19" i="1"/>
  <c r="J19" i="1"/>
  <c r="L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AR19" i="1"/>
  <c r="AT19" i="1"/>
  <c r="AV19" i="1"/>
  <c r="AX19" i="1"/>
  <c r="D20" i="1"/>
  <c r="F20" i="1"/>
  <c r="H20" i="1"/>
  <c r="J20" i="1"/>
  <c r="L20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AR20" i="1"/>
  <c r="AT20" i="1"/>
  <c r="AV20" i="1"/>
  <c r="AX20" i="1"/>
  <c r="D21" i="1"/>
  <c r="F21" i="1"/>
  <c r="H21" i="1"/>
  <c r="J21" i="1"/>
  <c r="L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AR21" i="1"/>
  <c r="AT21" i="1"/>
  <c r="AV21" i="1"/>
  <c r="AX21" i="1"/>
  <c r="D22" i="1"/>
  <c r="F22" i="1"/>
  <c r="H22" i="1"/>
  <c r="J22" i="1"/>
  <c r="L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D23" i="1"/>
  <c r="F23" i="1"/>
  <c r="H23" i="1"/>
  <c r="J23" i="1"/>
  <c r="L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AR23" i="1"/>
  <c r="AT23" i="1"/>
  <c r="AV23" i="1"/>
  <c r="AX23" i="1"/>
  <c r="D24" i="1"/>
  <c r="F24" i="1"/>
  <c r="H24" i="1"/>
  <c r="J24" i="1"/>
  <c r="L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AR24" i="1"/>
  <c r="AT24" i="1"/>
  <c r="AV24" i="1"/>
  <c r="AX24" i="1"/>
  <c r="D25" i="1"/>
  <c r="F25" i="1"/>
  <c r="H25" i="1"/>
  <c r="J25" i="1"/>
  <c r="L25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AR25" i="1"/>
  <c r="AT25" i="1"/>
  <c r="AV25" i="1"/>
  <c r="AX25" i="1"/>
  <c r="D26" i="1"/>
  <c r="F26" i="1"/>
  <c r="H26" i="1"/>
  <c r="J26" i="1"/>
  <c r="L26" i="1"/>
  <c r="N26" i="1"/>
  <c r="P26" i="1"/>
  <c r="R26" i="1"/>
  <c r="T26" i="1"/>
  <c r="V26" i="1"/>
  <c r="X26" i="1"/>
  <c r="Z26" i="1"/>
  <c r="AB26" i="1"/>
  <c r="AD26" i="1"/>
  <c r="AF26" i="1"/>
  <c r="AH26" i="1"/>
  <c r="AJ26" i="1"/>
  <c r="AL26" i="1"/>
  <c r="AN26" i="1"/>
  <c r="AP26" i="1"/>
  <c r="AR26" i="1"/>
  <c r="AT26" i="1"/>
  <c r="AV26" i="1"/>
  <c r="AX26" i="1"/>
  <c r="D27" i="1"/>
  <c r="F27" i="1"/>
  <c r="H27" i="1"/>
  <c r="J27" i="1"/>
  <c r="L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D28" i="1"/>
  <c r="F28" i="1"/>
  <c r="H28" i="1"/>
  <c r="J28" i="1"/>
  <c r="L28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D30" i="1"/>
  <c r="F30" i="1"/>
  <c r="H30" i="1"/>
  <c r="J30" i="1"/>
  <c r="L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D32" i="1"/>
  <c r="F32" i="1"/>
  <c r="H32" i="1"/>
  <c r="J32" i="1"/>
  <c r="L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D33" i="1"/>
  <c r="F33" i="1"/>
  <c r="H33" i="1"/>
  <c r="J33" i="1"/>
  <c r="L33" i="1"/>
  <c r="N33" i="1"/>
  <c r="P33" i="1"/>
  <c r="R33" i="1"/>
  <c r="T33" i="1"/>
  <c r="V33" i="1"/>
  <c r="X33" i="1"/>
  <c r="Z33" i="1"/>
  <c r="AB33" i="1"/>
  <c r="AD33" i="1"/>
  <c r="AF33" i="1"/>
  <c r="AH33" i="1"/>
  <c r="AJ33" i="1"/>
  <c r="AL33" i="1"/>
  <c r="AN33" i="1"/>
  <c r="AP33" i="1"/>
  <c r="AR33" i="1"/>
  <c r="AT33" i="1"/>
  <c r="AV33" i="1"/>
  <c r="AX33" i="1"/>
  <c r="D34" i="1"/>
  <c r="F34" i="1"/>
  <c r="H34" i="1"/>
  <c r="J34" i="1"/>
  <c r="L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AR34" i="1"/>
  <c r="AT34" i="1"/>
  <c r="AV34" i="1"/>
  <c r="AX34" i="1"/>
  <c r="D35" i="1"/>
  <c r="F35" i="1"/>
  <c r="H35" i="1"/>
  <c r="J35" i="1"/>
  <c r="L35" i="1"/>
  <c r="N35" i="1"/>
  <c r="P35" i="1"/>
  <c r="R35" i="1"/>
  <c r="T35" i="1"/>
  <c r="V35" i="1"/>
  <c r="X35" i="1"/>
  <c r="Z35" i="1"/>
  <c r="AB35" i="1"/>
  <c r="AD35" i="1"/>
  <c r="AF35" i="1"/>
  <c r="AH35" i="1"/>
  <c r="AJ35" i="1"/>
  <c r="AL35" i="1"/>
  <c r="AN35" i="1"/>
  <c r="AP35" i="1"/>
  <c r="AR35" i="1"/>
  <c r="AT35" i="1"/>
  <c r="AV35" i="1"/>
  <c r="AX35" i="1"/>
  <c r="D36" i="1"/>
  <c r="F36" i="1"/>
  <c r="H36" i="1"/>
  <c r="J36" i="1"/>
  <c r="L36" i="1"/>
  <c r="N36" i="1"/>
  <c r="P36" i="1"/>
  <c r="R36" i="1"/>
  <c r="T36" i="1"/>
  <c r="V36" i="1"/>
  <c r="X36" i="1"/>
  <c r="Z36" i="1"/>
  <c r="AB36" i="1"/>
  <c r="AD36" i="1"/>
  <c r="AF36" i="1"/>
  <c r="AH36" i="1"/>
  <c r="AJ36" i="1"/>
  <c r="AL36" i="1"/>
  <c r="AN36" i="1"/>
  <c r="AP36" i="1"/>
  <c r="AR36" i="1"/>
  <c r="AT36" i="1"/>
  <c r="AV36" i="1"/>
  <c r="AX36" i="1"/>
  <c r="D37" i="1"/>
  <c r="F37" i="1"/>
  <c r="H37" i="1"/>
  <c r="J37" i="1"/>
  <c r="L37" i="1"/>
  <c r="N37" i="1"/>
  <c r="P37" i="1"/>
  <c r="R37" i="1"/>
  <c r="T37" i="1"/>
  <c r="V37" i="1"/>
  <c r="X37" i="1"/>
  <c r="Z37" i="1"/>
  <c r="AB37" i="1"/>
  <c r="AD37" i="1"/>
  <c r="AF37" i="1"/>
  <c r="AH37" i="1"/>
  <c r="AJ37" i="1"/>
  <c r="AL37" i="1"/>
  <c r="AN37" i="1"/>
  <c r="AP37" i="1"/>
  <c r="AR37" i="1"/>
  <c r="AT37" i="1"/>
  <c r="AV37" i="1"/>
  <c r="AX37" i="1"/>
  <c r="D38" i="1"/>
  <c r="F38" i="1"/>
  <c r="H38" i="1"/>
  <c r="J38" i="1"/>
  <c r="L38" i="1"/>
  <c r="N38" i="1"/>
  <c r="P38" i="1"/>
  <c r="R38" i="1"/>
  <c r="T38" i="1"/>
  <c r="V38" i="1"/>
  <c r="X38" i="1"/>
  <c r="Z38" i="1"/>
  <c r="AB38" i="1"/>
  <c r="AD38" i="1"/>
  <c r="AF38" i="1"/>
  <c r="AH38" i="1"/>
  <c r="AJ38" i="1"/>
  <c r="AL38" i="1"/>
  <c r="AN38" i="1"/>
  <c r="AP38" i="1"/>
  <c r="AR38" i="1"/>
  <c r="AT38" i="1"/>
  <c r="AV38" i="1"/>
  <c r="AX38" i="1"/>
  <c r="D39" i="1"/>
  <c r="F39" i="1"/>
  <c r="H39" i="1"/>
  <c r="J39" i="1"/>
  <c r="L39" i="1"/>
  <c r="N39" i="1"/>
  <c r="P39" i="1"/>
  <c r="R39" i="1"/>
  <c r="T39" i="1"/>
  <c r="V39" i="1"/>
  <c r="X39" i="1"/>
  <c r="Z39" i="1"/>
  <c r="AB39" i="1"/>
  <c r="AD39" i="1"/>
  <c r="AF39" i="1"/>
  <c r="AH39" i="1"/>
  <c r="AJ39" i="1"/>
  <c r="AL39" i="1"/>
  <c r="AN39" i="1"/>
  <c r="AP39" i="1"/>
  <c r="AR39" i="1"/>
  <c r="AT39" i="1"/>
  <c r="AV39" i="1"/>
  <c r="AX39" i="1"/>
  <c r="D40" i="1"/>
  <c r="F40" i="1"/>
  <c r="H40" i="1"/>
  <c r="J40" i="1"/>
  <c r="L40" i="1"/>
  <c r="N40" i="1"/>
  <c r="P40" i="1"/>
  <c r="R40" i="1"/>
  <c r="T40" i="1"/>
  <c r="V40" i="1"/>
  <c r="X40" i="1"/>
  <c r="Z40" i="1"/>
  <c r="AB40" i="1"/>
  <c r="AD40" i="1"/>
  <c r="AF40" i="1"/>
  <c r="AH40" i="1"/>
  <c r="AJ40" i="1"/>
  <c r="AL40" i="1"/>
  <c r="AN40" i="1"/>
  <c r="AP40" i="1"/>
  <c r="AR40" i="1"/>
  <c r="AT40" i="1"/>
  <c r="AV40" i="1"/>
  <c r="AX40" i="1"/>
  <c r="D41" i="1"/>
  <c r="F41" i="1"/>
  <c r="H41" i="1"/>
  <c r="J41" i="1"/>
  <c r="L41" i="1"/>
  <c r="N41" i="1"/>
  <c r="P41" i="1"/>
  <c r="R41" i="1"/>
  <c r="T41" i="1"/>
  <c r="V41" i="1"/>
  <c r="X41" i="1"/>
  <c r="Z41" i="1"/>
  <c r="AB41" i="1"/>
  <c r="AD41" i="1"/>
  <c r="AF41" i="1"/>
  <c r="AH41" i="1"/>
  <c r="AJ41" i="1"/>
  <c r="AL41" i="1"/>
  <c r="AN41" i="1"/>
  <c r="AP41" i="1"/>
  <c r="AR41" i="1"/>
  <c r="AT41" i="1"/>
  <c r="AV41" i="1"/>
  <c r="AX41" i="1"/>
  <c r="D42" i="1"/>
  <c r="F42" i="1"/>
  <c r="H42" i="1"/>
  <c r="J42" i="1"/>
  <c r="L42" i="1"/>
  <c r="N42" i="1"/>
  <c r="P42" i="1"/>
  <c r="R42" i="1"/>
  <c r="T42" i="1"/>
  <c r="V42" i="1"/>
  <c r="X42" i="1"/>
  <c r="Z42" i="1"/>
  <c r="AB42" i="1"/>
  <c r="AD42" i="1"/>
  <c r="AF42" i="1"/>
  <c r="AH42" i="1"/>
  <c r="AJ42" i="1"/>
  <c r="AL42" i="1"/>
  <c r="AN42" i="1"/>
  <c r="AP42" i="1"/>
  <c r="AR42" i="1"/>
  <c r="AT42" i="1"/>
  <c r="AV42" i="1"/>
  <c r="AX42" i="1"/>
  <c r="D43" i="1"/>
  <c r="F43" i="1"/>
  <c r="H43" i="1"/>
  <c r="J43" i="1"/>
  <c r="L43" i="1"/>
  <c r="N43" i="1"/>
  <c r="P43" i="1"/>
  <c r="R43" i="1"/>
  <c r="T43" i="1"/>
  <c r="V43" i="1"/>
  <c r="X43" i="1"/>
  <c r="Z43" i="1"/>
  <c r="AB43" i="1"/>
  <c r="AD43" i="1"/>
  <c r="AF43" i="1"/>
  <c r="AH43" i="1"/>
  <c r="AJ43" i="1"/>
  <c r="AL43" i="1"/>
  <c r="AN43" i="1"/>
  <c r="AP43" i="1"/>
  <c r="AR43" i="1"/>
  <c r="AT43" i="1"/>
  <c r="AV43" i="1"/>
  <c r="AX43" i="1"/>
  <c r="D44" i="1"/>
  <c r="F44" i="1"/>
  <c r="H44" i="1"/>
  <c r="J44" i="1"/>
  <c r="L44" i="1"/>
  <c r="N44" i="1"/>
  <c r="P44" i="1"/>
  <c r="R44" i="1"/>
  <c r="T44" i="1"/>
  <c r="V44" i="1"/>
  <c r="X44" i="1"/>
  <c r="Z44" i="1"/>
  <c r="AB44" i="1"/>
  <c r="AD44" i="1"/>
  <c r="AF44" i="1"/>
  <c r="AH44" i="1"/>
  <c r="AJ44" i="1"/>
  <c r="AL44" i="1"/>
  <c r="AN44" i="1"/>
  <c r="AP44" i="1"/>
  <c r="AR44" i="1"/>
  <c r="AT44" i="1"/>
  <c r="AV44" i="1"/>
  <c r="AX44" i="1"/>
  <c r="D45" i="1"/>
  <c r="F45" i="1"/>
  <c r="H45" i="1"/>
  <c r="J45" i="1"/>
  <c r="L45" i="1"/>
  <c r="N45" i="1"/>
  <c r="P45" i="1"/>
  <c r="R45" i="1"/>
  <c r="T45" i="1"/>
  <c r="V45" i="1"/>
  <c r="X45" i="1"/>
  <c r="Z45" i="1"/>
  <c r="AB45" i="1"/>
  <c r="AD45" i="1"/>
  <c r="AF45" i="1"/>
  <c r="AH45" i="1"/>
  <c r="AJ45" i="1"/>
  <c r="AL45" i="1"/>
  <c r="AN45" i="1"/>
  <c r="AP45" i="1"/>
  <c r="AR45" i="1"/>
  <c r="AT45" i="1"/>
  <c r="AV45" i="1"/>
  <c r="AX45" i="1"/>
  <c r="D46" i="1"/>
  <c r="F46" i="1"/>
  <c r="H46" i="1"/>
  <c r="J46" i="1"/>
  <c r="L46" i="1"/>
  <c r="N46" i="1"/>
  <c r="P46" i="1"/>
  <c r="R46" i="1"/>
  <c r="T46" i="1"/>
  <c r="V46" i="1"/>
  <c r="X46" i="1"/>
  <c r="Z46" i="1"/>
  <c r="AB46" i="1"/>
  <c r="AD46" i="1"/>
  <c r="AF46" i="1"/>
  <c r="AH46" i="1"/>
  <c r="AJ46" i="1"/>
  <c r="AL46" i="1"/>
  <c r="AN46" i="1"/>
  <c r="AP46" i="1"/>
  <c r="AR46" i="1"/>
  <c r="AT46" i="1"/>
  <c r="AV46" i="1"/>
  <c r="AX46" i="1"/>
  <c r="D47" i="1"/>
  <c r="F47" i="1"/>
  <c r="H47" i="1"/>
  <c r="J47" i="1"/>
  <c r="L47" i="1"/>
  <c r="N47" i="1"/>
  <c r="P47" i="1"/>
  <c r="R47" i="1"/>
  <c r="T47" i="1"/>
  <c r="V47" i="1"/>
  <c r="X47" i="1"/>
  <c r="Z47" i="1"/>
  <c r="AB47" i="1"/>
  <c r="AD47" i="1"/>
  <c r="AF47" i="1"/>
  <c r="AH47" i="1"/>
  <c r="AJ47" i="1"/>
  <c r="AL47" i="1"/>
  <c r="AN47" i="1"/>
  <c r="AP47" i="1"/>
  <c r="AR47" i="1"/>
  <c r="AT47" i="1"/>
  <c r="AV47" i="1"/>
  <c r="AX47" i="1"/>
  <c r="D48" i="1"/>
  <c r="F48" i="1"/>
  <c r="H48" i="1"/>
  <c r="J48" i="1"/>
  <c r="L48" i="1"/>
  <c r="N48" i="1"/>
  <c r="P48" i="1"/>
  <c r="R48" i="1"/>
  <c r="T48" i="1"/>
  <c r="V48" i="1"/>
  <c r="X48" i="1"/>
  <c r="Z48" i="1"/>
  <c r="AB48" i="1"/>
  <c r="AD48" i="1"/>
  <c r="AF48" i="1"/>
  <c r="AH48" i="1"/>
  <c r="AJ48" i="1"/>
  <c r="AL48" i="1"/>
  <c r="AN48" i="1"/>
  <c r="AP48" i="1"/>
  <c r="AR48" i="1"/>
  <c r="AT48" i="1"/>
  <c r="AV48" i="1"/>
  <c r="AX48" i="1"/>
  <c r="D49" i="1"/>
  <c r="F49" i="1"/>
  <c r="H49" i="1"/>
  <c r="J49" i="1"/>
  <c r="L49" i="1"/>
  <c r="N49" i="1"/>
  <c r="P49" i="1"/>
  <c r="R49" i="1"/>
  <c r="T49" i="1"/>
  <c r="V49" i="1"/>
  <c r="X49" i="1"/>
  <c r="Z49" i="1"/>
  <c r="AB49" i="1"/>
  <c r="AD49" i="1"/>
  <c r="AF49" i="1"/>
  <c r="AH49" i="1"/>
  <c r="AJ49" i="1"/>
  <c r="AL49" i="1"/>
  <c r="AN49" i="1"/>
  <c r="AP49" i="1"/>
  <c r="AR49" i="1"/>
  <c r="AT49" i="1"/>
  <c r="AV49" i="1"/>
  <c r="AX49" i="1"/>
  <c r="D50" i="1"/>
  <c r="F50" i="1"/>
  <c r="H50" i="1"/>
  <c r="J50" i="1"/>
  <c r="L50" i="1"/>
  <c r="N50" i="1"/>
  <c r="P50" i="1"/>
  <c r="R50" i="1"/>
  <c r="T50" i="1"/>
  <c r="V50" i="1"/>
  <c r="X50" i="1"/>
  <c r="Z50" i="1"/>
  <c r="AB50" i="1"/>
  <c r="AD50" i="1"/>
  <c r="AF50" i="1"/>
  <c r="AH50" i="1"/>
  <c r="AJ50" i="1"/>
  <c r="AL50" i="1"/>
  <c r="AN50" i="1"/>
  <c r="AP50" i="1"/>
  <c r="AR50" i="1"/>
  <c r="AT50" i="1"/>
  <c r="AV50" i="1"/>
  <c r="AX50" i="1"/>
  <c r="D51" i="1"/>
  <c r="F51" i="1"/>
  <c r="H51" i="1"/>
  <c r="J51" i="1"/>
  <c r="L51" i="1"/>
  <c r="N51" i="1"/>
  <c r="P51" i="1"/>
  <c r="R51" i="1"/>
  <c r="T51" i="1"/>
  <c r="V51" i="1"/>
  <c r="X51" i="1"/>
  <c r="Z51" i="1"/>
  <c r="AB51" i="1"/>
  <c r="AD51" i="1"/>
  <c r="AF51" i="1"/>
  <c r="AH51" i="1"/>
  <c r="AJ51" i="1"/>
  <c r="AL51" i="1"/>
  <c r="AN51" i="1"/>
  <c r="AP51" i="1"/>
  <c r="AR51" i="1"/>
  <c r="AT51" i="1"/>
  <c r="AV51" i="1"/>
  <c r="AX51" i="1"/>
  <c r="D52" i="1"/>
  <c r="F52" i="1"/>
  <c r="H52" i="1"/>
  <c r="J52" i="1"/>
  <c r="L52" i="1"/>
  <c r="N52" i="1"/>
  <c r="P52" i="1"/>
  <c r="R52" i="1"/>
  <c r="T52" i="1"/>
  <c r="V52" i="1"/>
  <c r="X52" i="1"/>
  <c r="Z52" i="1"/>
  <c r="AB52" i="1"/>
  <c r="AD52" i="1"/>
  <c r="AF52" i="1"/>
  <c r="AH52" i="1"/>
  <c r="AJ52" i="1"/>
  <c r="AL52" i="1"/>
  <c r="AN52" i="1"/>
  <c r="AP52" i="1"/>
  <c r="AR52" i="1"/>
  <c r="AT52" i="1"/>
  <c r="AV52" i="1"/>
  <c r="AX52" i="1"/>
  <c r="D53" i="1"/>
  <c r="F53" i="1"/>
  <c r="H53" i="1"/>
  <c r="J53" i="1"/>
  <c r="L53" i="1"/>
  <c r="N53" i="1"/>
  <c r="P53" i="1"/>
  <c r="R53" i="1"/>
  <c r="T53" i="1"/>
  <c r="V53" i="1"/>
  <c r="X53" i="1"/>
  <c r="Z53" i="1"/>
  <c r="AB53" i="1"/>
  <c r="AD53" i="1"/>
  <c r="AF53" i="1"/>
  <c r="AH53" i="1"/>
  <c r="AJ53" i="1"/>
  <c r="AL53" i="1"/>
  <c r="AN53" i="1"/>
  <c r="AP53" i="1"/>
  <c r="AR53" i="1"/>
  <c r="AT53" i="1"/>
  <c r="AV53" i="1"/>
  <c r="AX53" i="1"/>
  <c r="D54" i="1"/>
  <c r="F54" i="1"/>
  <c r="H54" i="1"/>
  <c r="J54" i="1"/>
  <c r="L54" i="1"/>
  <c r="N54" i="1"/>
  <c r="P54" i="1"/>
  <c r="R54" i="1"/>
  <c r="T54" i="1"/>
  <c r="V54" i="1"/>
  <c r="X54" i="1"/>
  <c r="Z54" i="1"/>
  <c r="AB54" i="1"/>
  <c r="AD54" i="1"/>
  <c r="AF54" i="1"/>
  <c r="AH54" i="1"/>
  <c r="AJ54" i="1"/>
  <c r="AL54" i="1"/>
  <c r="AN54" i="1"/>
  <c r="AP54" i="1"/>
  <c r="AR54" i="1"/>
  <c r="AT54" i="1"/>
  <c r="AV54" i="1"/>
  <c r="AX54" i="1"/>
  <c r="D55" i="1"/>
  <c r="F55" i="1"/>
  <c r="H55" i="1"/>
  <c r="J55" i="1"/>
  <c r="L55" i="1"/>
  <c r="N55" i="1"/>
  <c r="P55" i="1"/>
  <c r="R55" i="1"/>
  <c r="T55" i="1"/>
  <c r="V55" i="1"/>
  <c r="X55" i="1"/>
  <c r="Z55" i="1"/>
  <c r="AB55" i="1"/>
  <c r="AD55" i="1"/>
  <c r="AF55" i="1"/>
  <c r="AH55" i="1"/>
  <c r="AJ55" i="1"/>
  <c r="AL55" i="1"/>
  <c r="AN55" i="1"/>
  <c r="AP55" i="1"/>
  <c r="AR55" i="1"/>
  <c r="AT55" i="1"/>
  <c r="AV55" i="1"/>
  <c r="AX55" i="1"/>
  <c r="D56" i="1"/>
  <c r="F56" i="1"/>
  <c r="H56" i="1"/>
  <c r="J56" i="1"/>
  <c r="L56" i="1"/>
  <c r="N56" i="1"/>
  <c r="P56" i="1"/>
  <c r="R56" i="1"/>
  <c r="T56" i="1"/>
  <c r="V56" i="1"/>
  <c r="X56" i="1"/>
  <c r="Z56" i="1"/>
  <c r="AB56" i="1"/>
  <c r="AD56" i="1"/>
  <c r="AF56" i="1"/>
  <c r="AH56" i="1"/>
  <c r="AJ56" i="1"/>
  <c r="AL56" i="1"/>
  <c r="AN56" i="1"/>
  <c r="AP56" i="1"/>
  <c r="AR56" i="1"/>
  <c r="AT56" i="1"/>
  <c r="AV56" i="1"/>
  <c r="AX56" i="1"/>
  <c r="D57" i="1"/>
  <c r="F57" i="1"/>
  <c r="H57" i="1"/>
  <c r="J57" i="1"/>
  <c r="L57" i="1"/>
  <c r="N57" i="1"/>
  <c r="P57" i="1"/>
  <c r="R57" i="1"/>
  <c r="T57" i="1"/>
  <c r="V57" i="1"/>
  <c r="X57" i="1"/>
  <c r="Z57" i="1"/>
  <c r="AB57" i="1"/>
  <c r="AD57" i="1"/>
  <c r="AF57" i="1"/>
  <c r="AH57" i="1"/>
  <c r="AJ57" i="1"/>
  <c r="AL57" i="1"/>
  <c r="AN57" i="1"/>
  <c r="AP57" i="1"/>
  <c r="AR57" i="1"/>
  <c r="AT57" i="1"/>
  <c r="AV57" i="1"/>
  <c r="AX57" i="1"/>
  <c r="D58" i="1"/>
  <c r="F58" i="1"/>
  <c r="H58" i="1"/>
  <c r="J58" i="1"/>
  <c r="L58" i="1"/>
  <c r="N58" i="1"/>
  <c r="P58" i="1"/>
  <c r="R58" i="1"/>
  <c r="T58" i="1"/>
  <c r="V58" i="1"/>
  <c r="X58" i="1"/>
  <c r="Z58" i="1"/>
  <c r="AB58" i="1"/>
  <c r="AD58" i="1"/>
  <c r="AF58" i="1"/>
  <c r="AH58" i="1"/>
  <c r="AJ58" i="1"/>
  <c r="AL58" i="1"/>
  <c r="AN58" i="1"/>
  <c r="AP58" i="1"/>
  <c r="AR58" i="1"/>
  <c r="AT58" i="1"/>
  <c r="AV58" i="1"/>
  <c r="AX58" i="1"/>
  <c r="D59" i="1"/>
  <c r="F59" i="1"/>
  <c r="H59" i="1"/>
  <c r="J59" i="1"/>
  <c r="L59" i="1"/>
  <c r="N59" i="1"/>
  <c r="P59" i="1"/>
  <c r="R59" i="1"/>
  <c r="T59" i="1"/>
  <c r="V59" i="1"/>
  <c r="X59" i="1"/>
  <c r="Z59" i="1"/>
  <c r="AB59" i="1"/>
  <c r="AD59" i="1"/>
  <c r="AF59" i="1"/>
  <c r="AH59" i="1"/>
  <c r="AJ59" i="1"/>
  <c r="AL59" i="1"/>
  <c r="AN59" i="1"/>
  <c r="AP59" i="1"/>
  <c r="AR59" i="1"/>
  <c r="AT59" i="1"/>
  <c r="AV59" i="1"/>
  <c r="AX59" i="1"/>
  <c r="D60" i="1"/>
  <c r="F60" i="1"/>
  <c r="H60" i="1"/>
  <c r="J60" i="1"/>
  <c r="L60" i="1"/>
  <c r="N60" i="1"/>
  <c r="P60" i="1"/>
  <c r="R60" i="1"/>
  <c r="T60" i="1"/>
  <c r="V60" i="1"/>
  <c r="X60" i="1"/>
  <c r="Z60" i="1"/>
  <c r="AB60" i="1"/>
  <c r="AD60" i="1"/>
  <c r="AF60" i="1"/>
  <c r="AH60" i="1"/>
  <c r="AJ60" i="1"/>
  <c r="AL60" i="1"/>
  <c r="AN60" i="1"/>
  <c r="AP60" i="1"/>
  <c r="AR60" i="1"/>
  <c r="AT60" i="1"/>
  <c r="AV60" i="1"/>
  <c r="AX60" i="1"/>
  <c r="D61" i="1"/>
  <c r="F61" i="1"/>
  <c r="H61" i="1"/>
  <c r="J61" i="1"/>
  <c r="L61" i="1"/>
  <c r="N61" i="1"/>
  <c r="P61" i="1"/>
  <c r="R61" i="1"/>
  <c r="T61" i="1"/>
  <c r="V61" i="1"/>
  <c r="X61" i="1"/>
  <c r="Z61" i="1"/>
  <c r="AB61" i="1"/>
  <c r="AD61" i="1"/>
  <c r="AF61" i="1"/>
  <c r="AH61" i="1"/>
  <c r="AJ61" i="1"/>
  <c r="AL61" i="1"/>
  <c r="AN61" i="1"/>
  <c r="AP61" i="1"/>
  <c r="AR61" i="1"/>
  <c r="AT61" i="1"/>
  <c r="AV61" i="1"/>
  <c r="AX61" i="1"/>
  <c r="D62" i="1"/>
  <c r="F62" i="1"/>
  <c r="H62" i="1"/>
  <c r="J62" i="1"/>
  <c r="L62" i="1"/>
  <c r="N62" i="1"/>
  <c r="P62" i="1"/>
  <c r="R62" i="1"/>
  <c r="T62" i="1"/>
  <c r="V62" i="1"/>
  <c r="X62" i="1"/>
  <c r="Z62" i="1"/>
  <c r="AB62" i="1"/>
  <c r="AD62" i="1"/>
  <c r="AF62" i="1"/>
  <c r="AH62" i="1"/>
  <c r="AJ62" i="1"/>
  <c r="AL62" i="1"/>
  <c r="AN62" i="1"/>
  <c r="AP62" i="1"/>
  <c r="AR62" i="1"/>
  <c r="AT62" i="1"/>
  <c r="AV62" i="1"/>
  <c r="AX62" i="1"/>
  <c r="D63" i="1"/>
  <c r="F63" i="1"/>
  <c r="H63" i="1"/>
  <c r="J63" i="1"/>
  <c r="L63" i="1"/>
  <c r="N63" i="1"/>
  <c r="P63" i="1"/>
  <c r="R63" i="1"/>
  <c r="T63" i="1"/>
  <c r="V63" i="1"/>
  <c r="X63" i="1"/>
  <c r="Z63" i="1"/>
  <c r="AB63" i="1"/>
  <c r="AD63" i="1"/>
  <c r="AF63" i="1"/>
  <c r="AH63" i="1"/>
  <c r="AJ63" i="1"/>
  <c r="AL63" i="1"/>
  <c r="AN63" i="1"/>
  <c r="AP63" i="1"/>
  <c r="AR63" i="1"/>
  <c r="AT63" i="1"/>
  <c r="AV63" i="1"/>
  <c r="AX63" i="1"/>
  <c r="D64" i="1"/>
  <c r="F64" i="1"/>
  <c r="H64" i="1"/>
  <c r="J64" i="1"/>
  <c r="L64" i="1"/>
  <c r="N64" i="1"/>
  <c r="P64" i="1"/>
  <c r="R64" i="1"/>
  <c r="T64" i="1"/>
  <c r="V64" i="1"/>
  <c r="X64" i="1"/>
  <c r="Z64" i="1"/>
  <c r="AB64" i="1"/>
  <c r="AD64" i="1"/>
  <c r="AF64" i="1"/>
  <c r="AH64" i="1"/>
  <c r="AJ64" i="1"/>
  <c r="AL64" i="1"/>
  <c r="AN64" i="1"/>
  <c r="AP64" i="1"/>
  <c r="AR64" i="1"/>
  <c r="AT64" i="1"/>
  <c r="AV64" i="1"/>
  <c r="AX64" i="1"/>
  <c r="D65" i="1"/>
  <c r="F65" i="1"/>
  <c r="H65" i="1"/>
  <c r="J65" i="1"/>
  <c r="L65" i="1"/>
  <c r="N65" i="1"/>
  <c r="P65" i="1"/>
  <c r="R65" i="1"/>
  <c r="T65" i="1"/>
  <c r="V65" i="1"/>
  <c r="X65" i="1"/>
  <c r="Z65" i="1"/>
  <c r="AB65" i="1"/>
  <c r="AD65" i="1"/>
  <c r="AF65" i="1"/>
  <c r="AH65" i="1"/>
  <c r="AJ65" i="1"/>
  <c r="AL65" i="1"/>
  <c r="AN65" i="1"/>
  <c r="AP65" i="1"/>
  <c r="AR65" i="1"/>
  <c r="AT65" i="1"/>
  <c r="AV65" i="1"/>
  <c r="AX65" i="1"/>
  <c r="D66" i="1"/>
  <c r="F66" i="1"/>
  <c r="H66" i="1"/>
  <c r="J66" i="1"/>
  <c r="L66" i="1"/>
  <c r="N66" i="1"/>
  <c r="P66" i="1"/>
  <c r="R66" i="1"/>
  <c r="T66" i="1"/>
  <c r="V66" i="1"/>
  <c r="X66" i="1"/>
  <c r="Z66" i="1"/>
  <c r="AB66" i="1"/>
  <c r="AD66" i="1"/>
  <c r="AF66" i="1"/>
  <c r="AH66" i="1"/>
  <c r="AJ66" i="1"/>
  <c r="AL66" i="1"/>
  <c r="AN66" i="1"/>
  <c r="AP66" i="1"/>
  <c r="AR66" i="1"/>
  <c r="AT66" i="1"/>
  <c r="AV66" i="1"/>
  <c r="AX66" i="1"/>
  <c r="D67" i="1"/>
  <c r="F67" i="1"/>
  <c r="H67" i="1"/>
  <c r="J67" i="1"/>
  <c r="L67" i="1"/>
  <c r="N67" i="1"/>
  <c r="P67" i="1"/>
  <c r="R67" i="1"/>
  <c r="T67" i="1"/>
  <c r="V67" i="1"/>
  <c r="X67" i="1"/>
  <c r="Z67" i="1"/>
  <c r="AB67" i="1"/>
  <c r="AD67" i="1"/>
  <c r="AF67" i="1"/>
  <c r="AH67" i="1"/>
  <c r="AJ67" i="1"/>
  <c r="AL67" i="1"/>
  <c r="AN67" i="1"/>
  <c r="AP67" i="1"/>
  <c r="AR67" i="1"/>
  <c r="AT67" i="1"/>
  <c r="AV67" i="1"/>
  <c r="AX67" i="1"/>
  <c r="D68" i="1"/>
  <c r="F68" i="1"/>
  <c r="H68" i="1"/>
  <c r="J68" i="1"/>
  <c r="L68" i="1"/>
  <c r="N68" i="1"/>
  <c r="P68" i="1"/>
  <c r="R68" i="1"/>
  <c r="T68" i="1"/>
  <c r="V68" i="1"/>
  <c r="X68" i="1"/>
  <c r="Z68" i="1"/>
  <c r="AB68" i="1"/>
  <c r="AD68" i="1"/>
  <c r="AF68" i="1"/>
  <c r="AH68" i="1"/>
  <c r="AJ68" i="1"/>
  <c r="AL68" i="1"/>
  <c r="AN68" i="1"/>
  <c r="AP68" i="1"/>
  <c r="AR68" i="1"/>
  <c r="AT68" i="1"/>
  <c r="AV68" i="1"/>
  <c r="AX68" i="1"/>
  <c r="D69" i="1"/>
  <c r="F69" i="1"/>
  <c r="H69" i="1"/>
  <c r="J69" i="1"/>
  <c r="L69" i="1"/>
  <c r="N69" i="1"/>
  <c r="P69" i="1"/>
  <c r="R69" i="1"/>
  <c r="T69" i="1"/>
  <c r="V69" i="1"/>
  <c r="X69" i="1"/>
  <c r="Z69" i="1"/>
  <c r="AB69" i="1"/>
  <c r="AD69" i="1"/>
  <c r="AF69" i="1"/>
  <c r="AH69" i="1"/>
  <c r="AJ69" i="1"/>
  <c r="AL69" i="1"/>
  <c r="AN69" i="1"/>
  <c r="AP69" i="1"/>
  <c r="AR69" i="1"/>
  <c r="AT69" i="1"/>
  <c r="AV69" i="1"/>
  <c r="AX69" i="1"/>
  <c r="D70" i="1"/>
  <c r="F70" i="1"/>
  <c r="H70" i="1"/>
  <c r="J70" i="1"/>
  <c r="L70" i="1"/>
  <c r="N70" i="1"/>
  <c r="P70" i="1"/>
  <c r="R70" i="1"/>
  <c r="T70" i="1"/>
  <c r="V70" i="1"/>
  <c r="X70" i="1"/>
  <c r="Z70" i="1"/>
  <c r="AB70" i="1"/>
  <c r="AD70" i="1"/>
  <c r="AF70" i="1"/>
  <c r="AH70" i="1"/>
  <c r="AJ70" i="1"/>
  <c r="AL70" i="1"/>
  <c r="AN70" i="1"/>
  <c r="AP70" i="1"/>
  <c r="AR70" i="1"/>
  <c r="AT70" i="1"/>
  <c r="AV70" i="1"/>
  <c r="AX70" i="1"/>
  <c r="D71" i="1"/>
  <c r="F71" i="1"/>
  <c r="H71" i="1"/>
  <c r="J71" i="1"/>
  <c r="L71" i="1"/>
  <c r="N71" i="1"/>
  <c r="P71" i="1"/>
  <c r="R71" i="1"/>
  <c r="T71" i="1"/>
  <c r="V71" i="1"/>
  <c r="X71" i="1"/>
  <c r="Z71" i="1"/>
  <c r="AB71" i="1"/>
  <c r="AD71" i="1"/>
  <c r="AF71" i="1"/>
  <c r="AH71" i="1"/>
  <c r="AJ71" i="1"/>
  <c r="AL71" i="1"/>
  <c r="AN71" i="1"/>
  <c r="AP71" i="1"/>
  <c r="AR71" i="1"/>
  <c r="AT71" i="1"/>
  <c r="AV71" i="1"/>
  <c r="AX71" i="1"/>
  <c r="D72" i="1"/>
  <c r="F72" i="1"/>
  <c r="H72" i="1"/>
  <c r="J72" i="1"/>
  <c r="L72" i="1"/>
  <c r="N72" i="1"/>
  <c r="P72" i="1"/>
  <c r="R72" i="1"/>
  <c r="T72" i="1"/>
  <c r="V72" i="1"/>
  <c r="X72" i="1"/>
  <c r="Z72" i="1"/>
  <c r="AB72" i="1"/>
  <c r="AD72" i="1"/>
  <c r="AF72" i="1"/>
  <c r="AH72" i="1"/>
  <c r="AJ72" i="1"/>
  <c r="AL72" i="1"/>
  <c r="AN72" i="1"/>
  <c r="AP72" i="1"/>
  <c r="AR72" i="1"/>
  <c r="AT72" i="1"/>
  <c r="AV72" i="1"/>
  <c r="AX72" i="1"/>
  <c r="D73" i="1"/>
  <c r="F73" i="1"/>
  <c r="H73" i="1"/>
  <c r="J73" i="1"/>
  <c r="L73" i="1"/>
  <c r="N73" i="1"/>
  <c r="P73" i="1"/>
  <c r="R73" i="1"/>
  <c r="T73" i="1"/>
  <c r="V73" i="1"/>
  <c r="X73" i="1"/>
  <c r="Z73" i="1"/>
  <c r="AB73" i="1"/>
  <c r="AD73" i="1"/>
  <c r="AF73" i="1"/>
  <c r="AH73" i="1"/>
  <c r="AJ73" i="1"/>
  <c r="AL73" i="1"/>
  <c r="AN73" i="1"/>
  <c r="AP73" i="1"/>
  <c r="AR73" i="1"/>
  <c r="AT73" i="1"/>
  <c r="AV73" i="1"/>
  <c r="AX73" i="1"/>
  <c r="D74" i="1"/>
  <c r="F74" i="1"/>
  <c r="H74" i="1"/>
  <c r="J74" i="1"/>
  <c r="L74" i="1"/>
  <c r="N74" i="1"/>
  <c r="P74" i="1"/>
  <c r="R74" i="1"/>
  <c r="T74" i="1"/>
  <c r="V74" i="1"/>
  <c r="X74" i="1"/>
  <c r="Z74" i="1"/>
  <c r="AB74" i="1"/>
  <c r="AD74" i="1"/>
  <c r="AF74" i="1"/>
  <c r="AH74" i="1"/>
  <c r="AJ74" i="1"/>
  <c r="AL74" i="1"/>
  <c r="AN74" i="1"/>
  <c r="AP74" i="1"/>
  <c r="AR74" i="1"/>
  <c r="AT74" i="1"/>
  <c r="AV74" i="1"/>
  <c r="AX74" i="1"/>
  <c r="D75" i="1"/>
  <c r="F75" i="1"/>
  <c r="H75" i="1"/>
  <c r="J75" i="1"/>
  <c r="L75" i="1"/>
  <c r="N75" i="1"/>
  <c r="P75" i="1"/>
  <c r="R75" i="1"/>
  <c r="T75" i="1"/>
  <c r="V75" i="1"/>
  <c r="X75" i="1"/>
  <c r="Z75" i="1"/>
  <c r="AB75" i="1"/>
  <c r="AD75" i="1"/>
  <c r="AF75" i="1"/>
  <c r="AH75" i="1"/>
  <c r="AJ75" i="1"/>
  <c r="AL75" i="1"/>
  <c r="AN75" i="1"/>
  <c r="AP75" i="1"/>
  <c r="AR75" i="1"/>
  <c r="AT75" i="1"/>
  <c r="AV75" i="1"/>
  <c r="AX75" i="1"/>
  <c r="D76" i="1"/>
  <c r="F76" i="1"/>
  <c r="H76" i="1"/>
  <c r="J76" i="1"/>
  <c r="L76" i="1"/>
  <c r="N76" i="1"/>
  <c r="P76" i="1"/>
  <c r="R76" i="1"/>
  <c r="T76" i="1"/>
  <c r="V76" i="1"/>
  <c r="X76" i="1"/>
  <c r="Z76" i="1"/>
  <c r="AB76" i="1"/>
  <c r="AD76" i="1"/>
  <c r="AF76" i="1"/>
  <c r="AH76" i="1"/>
  <c r="AJ76" i="1"/>
  <c r="AL76" i="1"/>
  <c r="AN76" i="1"/>
  <c r="AP76" i="1"/>
  <c r="AR76" i="1"/>
  <c r="AT76" i="1"/>
  <c r="AV76" i="1"/>
  <c r="AX76" i="1"/>
  <c r="D77" i="1"/>
  <c r="F77" i="1"/>
  <c r="H77" i="1"/>
  <c r="J77" i="1"/>
  <c r="L77" i="1"/>
  <c r="N77" i="1"/>
  <c r="P77" i="1"/>
  <c r="R77" i="1"/>
  <c r="T77" i="1"/>
  <c r="V77" i="1"/>
  <c r="X77" i="1"/>
  <c r="Z77" i="1"/>
  <c r="AB77" i="1"/>
  <c r="AD77" i="1"/>
  <c r="AF77" i="1"/>
  <c r="AH77" i="1"/>
  <c r="AJ77" i="1"/>
  <c r="AL77" i="1"/>
  <c r="AN77" i="1"/>
  <c r="AP77" i="1"/>
  <c r="AR77" i="1"/>
  <c r="AT77" i="1"/>
  <c r="AV77" i="1"/>
  <c r="AX77" i="1"/>
  <c r="D78" i="1"/>
  <c r="F78" i="1"/>
  <c r="H78" i="1"/>
  <c r="J78" i="1"/>
  <c r="L78" i="1"/>
  <c r="N78" i="1"/>
  <c r="P78" i="1"/>
  <c r="R78" i="1"/>
  <c r="T78" i="1"/>
  <c r="V78" i="1"/>
  <c r="X78" i="1"/>
  <c r="Z78" i="1"/>
  <c r="AB78" i="1"/>
  <c r="AD78" i="1"/>
  <c r="AF78" i="1"/>
  <c r="AH78" i="1"/>
  <c r="AJ78" i="1"/>
  <c r="AL78" i="1"/>
  <c r="AN78" i="1"/>
  <c r="AP78" i="1"/>
  <c r="AR78" i="1"/>
  <c r="AT78" i="1"/>
  <c r="AV78" i="1"/>
  <c r="AX78" i="1"/>
  <c r="D79" i="1"/>
  <c r="F79" i="1"/>
  <c r="H79" i="1"/>
  <c r="J79" i="1"/>
  <c r="L79" i="1"/>
  <c r="N79" i="1"/>
  <c r="P79" i="1"/>
  <c r="R79" i="1"/>
  <c r="T79" i="1"/>
  <c r="V79" i="1"/>
  <c r="X79" i="1"/>
  <c r="Z79" i="1"/>
  <c r="AB79" i="1"/>
  <c r="AD79" i="1"/>
  <c r="AF79" i="1"/>
  <c r="AH79" i="1"/>
  <c r="AJ79" i="1"/>
  <c r="AL79" i="1"/>
  <c r="AN79" i="1"/>
  <c r="AP79" i="1"/>
  <c r="AR79" i="1"/>
  <c r="AT79" i="1"/>
  <c r="AV79" i="1"/>
  <c r="AX79" i="1"/>
  <c r="D80" i="1"/>
  <c r="F80" i="1"/>
  <c r="H80" i="1"/>
  <c r="J80" i="1"/>
  <c r="L80" i="1"/>
  <c r="N80" i="1"/>
  <c r="P80" i="1"/>
  <c r="R80" i="1"/>
  <c r="T80" i="1"/>
  <c r="V80" i="1"/>
  <c r="X80" i="1"/>
  <c r="Z80" i="1"/>
  <c r="AB80" i="1"/>
  <c r="AD80" i="1"/>
  <c r="AF80" i="1"/>
  <c r="AH80" i="1"/>
  <c r="AJ80" i="1"/>
  <c r="AL80" i="1"/>
  <c r="AN80" i="1"/>
  <c r="AP80" i="1"/>
  <c r="AR80" i="1"/>
  <c r="AT80" i="1"/>
  <c r="AV80" i="1"/>
  <c r="AX80" i="1"/>
  <c r="D81" i="1"/>
  <c r="F81" i="1"/>
  <c r="H81" i="1"/>
  <c r="J81" i="1"/>
  <c r="L81" i="1"/>
  <c r="N81" i="1"/>
  <c r="P81" i="1"/>
  <c r="R81" i="1"/>
  <c r="T81" i="1"/>
  <c r="V81" i="1"/>
  <c r="X81" i="1"/>
  <c r="Z81" i="1"/>
  <c r="AB81" i="1"/>
  <c r="AD81" i="1"/>
  <c r="AF81" i="1"/>
  <c r="AH81" i="1"/>
  <c r="AJ81" i="1"/>
  <c r="AL81" i="1"/>
  <c r="AN81" i="1"/>
  <c r="AP81" i="1"/>
  <c r="AR81" i="1"/>
  <c r="AT81" i="1"/>
  <c r="AV81" i="1"/>
  <c r="AX81" i="1"/>
  <c r="D82" i="1"/>
  <c r="F82" i="1"/>
  <c r="H82" i="1"/>
  <c r="J82" i="1"/>
  <c r="L82" i="1"/>
  <c r="N82" i="1"/>
  <c r="P82" i="1"/>
  <c r="R82" i="1"/>
  <c r="T82" i="1"/>
  <c r="V82" i="1"/>
  <c r="X82" i="1"/>
  <c r="Z82" i="1"/>
  <c r="AB82" i="1"/>
  <c r="AD82" i="1"/>
  <c r="AF82" i="1"/>
  <c r="AH82" i="1"/>
  <c r="AJ82" i="1"/>
  <c r="AL82" i="1"/>
  <c r="AN82" i="1"/>
  <c r="AP82" i="1"/>
  <c r="AR82" i="1"/>
  <c r="AT82" i="1"/>
  <c r="AV82" i="1"/>
  <c r="AX82" i="1"/>
  <c r="D83" i="1"/>
  <c r="F83" i="1"/>
  <c r="H83" i="1"/>
  <c r="J83" i="1"/>
  <c r="L83" i="1"/>
  <c r="N83" i="1"/>
  <c r="P83" i="1"/>
  <c r="R83" i="1"/>
  <c r="T83" i="1"/>
  <c r="V83" i="1"/>
  <c r="X83" i="1"/>
  <c r="Z83" i="1"/>
  <c r="AB83" i="1"/>
  <c r="AD83" i="1"/>
  <c r="AF83" i="1"/>
  <c r="AH83" i="1"/>
  <c r="AJ83" i="1"/>
  <c r="AL83" i="1"/>
  <c r="AN83" i="1"/>
  <c r="AP83" i="1"/>
  <c r="AR83" i="1"/>
  <c r="AT83" i="1"/>
  <c r="AV83" i="1"/>
  <c r="AX83" i="1"/>
  <c r="D84" i="1"/>
  <c r="F84" i="1"/>
  <c r="H84" i="1"/>
  <c r="J84" i="1"/>
  <c r="L84" i="1"/>
  <c r="N84" i="1"/>
  <c r="P84" i="1"/>
  <c r="R84" i="1"/>
  <c r="T84" i="1"/>
  <c r="V84" i="1"/>
  <c r="X84" i="1"/>
  <c r="Z84" i="1"/>
  <c r="AB84" i="1"/>
  <c r="AD84" i="1"/>
  <c r="AF84" i="1"/>
  <c r="AH84" i="1"/>
  <c r="AJ84" i="1"/>
  <c r="AL84" i="1"/>
  <c r="AN84" i="1"/>
  <c r="AP84" i="1"/>
  <c r="AR84" i="1"/>
  <c r="AT84" i="1"/>
  <c r="AV84" i="1"/>
  <c r="AX84" i="1"/>
  <c r="D85" i="1"/>
  <c r="F85" i="1"/>
  <c r="H85" i="1"/>
  <c r="J85" i="1"/>
  <c r="L85" i="1"/>
  <c r="N85" i="1"/>
  <c r="P85" i="1"/>
  <c r="R85" i="1"/>
  <c r="T85" i="1"/>
  <c r="V85" i="1"/>
  <c r="X85" i="1"/>
  <c r="Z85" i="1"/>
  <c r="AB85" i="1"/>
  <c r="AD85" i="1"/>
  <c r="AF85" i="1"/>
  <c r="AH85" i="1"/>
  <c r="AJ85" i="1"/>
  <c r="AL85" i="1"/>
  <c r="AN85" i="1"/>
  <c r="AP85" i="1"/>
  <c r="AR85" i="1"/>
  <c r="AT85" i="1"/>
  <c r="AV85" i="1"/>
  <c r="AX85" i="1"/>
  <c r="D86" i="1"/>
  <c r="F86" i="1"/>
  <c r="H86" i="1"/>
  <c r="J86" i="1"/>
  <c r="L86" i="1"/>
  <c r="N86" i="1"/>
  <c r="P86" i="1"/>
  <c r="R86" i="1"/>
  <c r="T86" i="1"/>
  <c r="V86" i="1"/>
  <c r="X86" i="1"/>
  <c r="Z86" i="1"/>
  <c r="AB86" i="1"/>
  <c r="AD86" i="1"/>
  <c r="AF86" i="1"/>
  <c r="AH86" i="1"/>
  <c r="AJ86" i="1"/>
  <c r="AL86" i="1"/>
  <c r="AN86" i="1"/>
  <c r="AP86" i="1"/>
  <c r="AR86" i="1"/>
  <c r="AT86" i="1"/>
  <c r="AV86" i="1"/>
  <c r="AX86" i="1"/>
  <c r="D88" i="1"/>
  <c r="F88" i="1"/>
  <c r="H88" i="1"/>
  <c r="J88" i="1"/>
  <c r="L88" i="1"/>
  <c r="N88" i="1"/>
  <c r="P88" i="1"/>
  <c r="R88" i="1"/>
  <c r="T88" i="1"/>
  <c r="V88" i="1"/>
  <c r="X88" i="1"/>
  <c r="Z88" i="1"/>
  <c r="AB88" i="1"/>
  <c r="AD88" i="1"/>
  <c r="AF88" i="1"/>
  <c r="AH88" i="1"/>
  <c r="AJ88" i="1"/>
  <c r="AL88" i="1"/>
  <c r="AN88" i="1"/>
  <c r="AP88" i="1"/>
  <c r="AR88" i="1"/>
  <c r="AT88" i="1"/>
  <c r="AV88" i="1"/>
  <c r="AX88" i="1"/>
  <c r="D89" i="1"/>
  <c r="F89" i="1"/>
  <c r="H89" i="1"/>
  <c r="J89" i="1"/>
  <c r="L89" i="1"/>
  <c r="N89" i="1"/>
  <c r="P89" i="1"/>
  <c r="R89" i="1"/>
  <c r="T89" i="1"/>
  <c r="V89" i="1"/>
  <c r="X89" i="1"/>
  <c r="Z89" i="1"/>
  <c r="AB89" i="1"/>
  <c r="AD89" i="1"/>
  <c r="AF89" i="1"/>
  <c r="AH89" i="1"/>
  <c r="AJ89" i="1"/>
  <c r="AL89" i="1"/>
  <c r="AN89" i="1"/>
  <c r="AP89" i="1"/>
  <c r="AR89" i="1"/>
  <c r="AT89" i="1"/>
  <c r="AV89" i="1"/>
  <c r="AX89" i="1"/>
  <c r="D90" i="1"/>
  <c r="F90" i="1"/>
  <c r="H90" i="1"/>
  <c r="J90" i="1"/>
  <c r="L90" i="1"/>
  <c r="N90" i="1"/>
  <c r="P90" i="1"/>
  <c r="R90" i="1"/>
  <c r="T90" i="1"/>
  <c r="V90" i="1"/>
  <c r="X90" i="1"/>
  <c r="Z90" i="1"/>
  <c r="AB90" i="1"/>
  <c r="AD90" i="1"/>
  <c r="AF90" i="1"/>
  <c r="AH90" i="1"/>
  <c r="AJ90" i="1"/>
  <c r="AL90" i="1"/>
  <c r="AN90" i="1"/>
  <c r="AP90" i="1"/>
  <c r="AR90" i="1"/>
  <c r="AT90" i="1"/>
  <c r="AV90" i="1"/>
  <c r="AX90" i="1"/>
  <c r="D91" i="1"/>
  <c r="F91" i="1"/>
  <c r="H91" i="1"/>
  <c r="J91" i="1"/>
  <c r="L91" i="1"/>
  <c r="N91" i="1"/>
  <c r="P91" i="1"/>
  <c r="R91" i="1"/>
  <c r="T91" i="1"/>
  <c r="V91" i="1"/>
  <c r="X91" i="1"/>
  <c r="Z91" i="1"/>
  <c r="AB91" i="1"/>
  <c r="AD91" i="1"/>
  <c r="AF91" i="1"/>
  <c r="AH91" i="1"/>
  <c r="AJ91" i="1"/>
  <c r="AL91" i="1"/>
  <c r="AN91" i="1"/>
  <c r="AP91" i="1"/>
  <c r="AR91" i="1"/>
  <c r="AT91" i="1"/>
  <c r="AV91" i="1"/>
  <c r="AX91" i="1"/>
  <c r="D92" i="1"/>
  <c r="F92" i="1"/>
  <c r="H92" i="1"/>
  <c r="J92" i="1"/>
  <c r="L92" i="1"/>
  <c r="N92" i="1"/>
  <c r="P92" i="1"/>
  <c r="R92" i="1"/>
  <c r="T92" i="1"/>
  <c r="V92" i="1"/>
  <c r="X92" i="1"/>
  <c r="Z92" i="1"/>
  <c r="AB92" i="1"/>
  <c r="AD92" i="1"/>
  <c r="AF92" i="1"/>
  <c r="AH92" i="1"/>
  <c r="AJ92" i="1"/>
  <c r="AL92" i="1"/>
  <c r="AN92" i="1"/>
  <c r="AP92" i="1"/>
  <c r="AR92" i="1"/>
  <c r="AT92" i="1"/>
  <c r="AV92" i="1"/>
  <c r="AX92" i="1"/>
  <c r="D93" i="1"/>
  <c r="F93" i="1"/>
  <c r="H93" i="1"/>
  <c r="J93" i="1"/>
  <c r="L93" i="1"/>
  <c r="N93" i="1"/>
  <c r="P93" i="1"/>
  <c r="R93" i="1"/>
  <c r="T93" i="1"/>
  <c r="V93" i="1"/>
  <c r="X93" i="1"/>
  <c r="Z93" i="1"/>
  <c r="AB93" i="1"/>
  <c r="AD93" i="1"/>
  <c r="AF93" i="1"/>
  <c r="AH93" i="1"/>
  <c r="AJ93" i="1"/>
  <c r="AL93" i="1"/>
  <c r="AN93" i="1"/>
  <c r="AP93" i="1"/>
  <c r="AR93" i="1"/>
  <c r="AT93" i="1"/>
  <c r="AV93" i="1"/>
  <c r="AX93" i="1"/>
  <c r="D95" i="1"/>
  <c r="F95" i="1"/>
  <c r="H95" i="1"/>
  <c r="J95" i="1"/>
  <c r="L95" i="1"/>
  <c r="N95" i="1"/>
  <c r="P95" i="1"/>
  <c r="R95" i="1"/>
  <c r="T95" i="1"/>
  <c r="V95" i="1"/>
  <c r="X95" i="1"/>
  <c r="Z95" i="1"/>
  <c r="AB95" i="1"/>
  <c r="AD95" i="1"/>
  <c r="AF95" i="1"/>
  <c r="AH95" i="1"/>
  <c r="AJ95" i="1"/>
  <c r="AL95" i="1"/>
  <c r="AN95" i="1"/>
  <c r="AP95" i="1"/>
  <c r="AR95" i="1"/>
  <c r="AT95" i="1"/>
  <c r="AV95" i="1"/>
  <c r="AX95" i="1"/>
  <c r="D96" i="1"/>
  <c r="F96" i="1"/>
  <c r="H96" i="1"/>
  <c r="J96" i="1"/>
  <c r="L96" i="1"/>
  <c r="N96" i="1"/>
  <c r="P96" i="1"/>
  <c r="R96" i="1"/>
  <c r="T96" i="1"/>
  <c r="V96" i="1"/>
  <c r="X96" i="1"/>
  <c r="Z96" i="1"/>
  <c r="AB96" i="1"/>
  <c r="AD96" i="1"/>
  <c r="AF96" i="1"/>
  <c r="AH96" i="1"/>
  <c r="AJ96" i="1"/>
  <c r="AL96" i="1"/>
  <c r="AN96" i="1"/>
  <c r="AP96" i="1"/>
  <c r="AR96" i="1"/>
  <c r="AT96" i="1"/>
  <c r="AV96" i="1"/>
  <c r="AX96" i="1"/>
  <c r="D97" i="1"/>
  <c r="F97" i="1"/>
  <c r="H97" i="1"/>
  <c r="J97" i="1"/>
  <c r="L97" i="1"/>
  <c r="N97" i="1"/>
  <c r="P97" i="1"/>
  <c r="R97" i="1"/>
  <c r="T97" i="1"/>
  <c r="V97" i="1"/>
  <c r="X97" i="1"/>
  <c r="Z97" i="1"/>
  <c r="AB97" i="1"/>
  <c r="AD97" i="1"/>
  <c r="AF97" i="1"/>
  <c r="AH97" i="1"/>
  <c r="AJ97" i="1"/>
  <c r="AL97" i="1"/>
  <c r="AN97" i="1"/>
  <c r="AP97" i="1"/>
  <c r="AR97" i="1"/>
  <c r="AT97" i="1"/>
  <c r="AV97" i="1"/>
  <c r="AX97" i="1"/>
  <c r="D98" i="1"/>
  <c r="F98" i="1"/>
  <c r="H98" i="1"/>
  <c r="J98" i="1"/>
  <c r="L98" i="1"/>
  <c r="N98" i="1"/>
  <c r="P98" i="1"/>
  <c r="R98" i="1"/>
  <c r="T98" i="1"/>
  <c r="V98" i="1"/>
  <c r="X98" i="1"/>
  <c r="Z98" i="1"/>
  <c r="AB98" i="1"/>
  <c r="AD98" i="1"/>
  <c r="AF98" i="1"/>
  <c r="AH98" i="1"/>
  <c r="AJ98" i="1"/>
  <c r="AL98" i="1"/>
  <c r="AN98" i="1"/>
  <c r="AP98" i="1"/>
  <c r="AR98" i="1"/>
  <c r="AT98" i="1"/>
  <c r="AV98" i="1"/>
  <c r="AX98" i="1"/>
  <c r="D99" i="1"/>
  <c r="F99" i="1"/>
  <c r="H99" i="1"/>
  <c r="J99" i="1"/>
  <c r="L99" i="1"/>
  <c r="N99" i="1"/>
  <c r="P99" i="1"/>
  <c r="R99" i="1"/>
  <c r="T99" i="1"/>
  <c r="V99" i="1"/>
  <c r="X99" i="1"/>
  <c r="Z99" i="1"/>
  <c r="AB99" i="1"/>
  <c r="AD99" i="1"/>
  <c r="AF99" i="1"/>
  <c r="AH99" i="1"/>
  <c r="AJ99" i="1"/>
  <c r="AL99" i="1"/>
  <c r="AN99" i="1"/>
  <c r="AP99" i="1"/>
  <c r="AR99" i="1"/>
  <c r="AT99" i="1"/>
  <c r="AV99" i="1"/>
  <c r="AX99" i="1"/>
  <c r="D100" i="1"/>
  <c r="F100" i="1"/>
  <c r="H100" i="1"/>
  <c r="J100" i="1"/>
  <c r="L100" i="1"/>
  <c r="N100" i="1"/>
  <c r="P100" i="1"/>
  <c r="R100" i="1"/>
  <c r="T100" i="1"/>
  <c r="V100" i="1"/>
  <c r="X100" i="1"/>
  <c r="Z100" i="1"/>
  <c r="AB100" i="1"/>
  <c r="AD100" i="1"/>
  <c r="AF100" i="1"/>
  <c r="AH100" i="1"/>
  <c r="AJ100" i="1"/>
  <c r="AL100" i="1"/>
  <c r="AN100" i="1"/>
  <c r="AP100" i="1"/>
  <c r="AR100" i="1"/>
  <c r="AT100" i="1"/>
  <c r="AV100" i="1"/>
  <c r="AX100" i="1"/>
  <c r="D101" i="1"/>
  <c r="F101" i="1"/>
  <c r="H101" i="1"/>
  <c r="J101" i="1"/>
  <c r="L101" i="1"/>
  <c r="N101" i="1"/>
  <c r="P101" i="1"/>
  <c r="R101" i="1"/>
  <c r="T101" i="1"/>
  <c r="V101" i="1"/>
  <c r="X101" i="1"/>
  <c r="Z101" i="1"/>
  <c r="AB101" i="1"/>
  <c r="AD101" i="1"/>
  <c r="AF101" i="1"/>
  <c r="AH101" i="1"/>
  <c r="AJ101" i="1"/>
  <c r="AL101" i="1"/>
  <c r="AN101" i="1"/>
  <c r="AP101" i="1"/>
  <c r="AR101" i="1"/>
  <c r="AT101" i="1"/>
  <c r="AV101" i="1"/>
  <c r="AX101" i="1"/>
  <c r="D102" i="1"/>
  <c r="F102" i="1"/>
  <c r="H102" i="1"/>
  <c r="J102" i="1"/>
  <c r="L102" i="1"/>
  <c r="N102" i="1"/>
  <c r="P102" i="1"/>
  <c r="R102" i="1"/>
  <c r="T102" i="1"/>
  <c r="V102" i="1"/>
  <c r="X102" i="1"/>
  <c r="Z102" i="1"/>
  <c r="AB102" i="1"/>
  <c r="AD102" i="1"/>
  <c r="AF102" i="1"/>
  <c r="AH102" i="1"/>
  <c r="AJ102" i="1"/>
  <c r="AL102" i="1"/>
  <c r="AN102" i="1"/>
  <c r="AP102" i="1"/>
  <c r="AR102" i="1"/>
  <c r="AT102" i="1"/>
  <c r="AV102" i="1"/>
  <c r="AX102" i="1"/>
  <c r="D103" i="1"/>
  <c r="F103" i="1"/>
  <c r="H103" i="1"/>
  <c r="J103" i="1"/>
  <c r="L103" i="1"/>
  <c r="N103" i="1"/>
  <c r="P103" i="1"/>
  <c r="R103" i="1"/>
  <c r="T103" i="1"/>
  <c r="V103" i="1"/>
  <c r="X103" i="1"/>
  <c r="Z103" i="1"/>
  <c r="AB103" i="1"/>
  <c r="AD103" i="1"/>
  <c r="AF103" i="1"/>
  <c r="AH103" i="1"/>
  <c r="AJ103" i="1"/>
  <c r="AL103" i="1"/>
  <c r="AN103" i="1"/>
  <c r="AP103" i="1"/>
  <c r="AR103" i="1"/>
  <c r="AT103" i="1"/>
  <c r="AV103" i="1"/>
  <c r="AX103" i="1"/>
  <c r="D104" i="1"/>
  <c r="F104" i="1"/>
  <c r="H104" i="1"/>
  <c r="J104" i="1"/>
  <c r="L104" i="1"/>
  <c r="N104" i="1"/>
  <c r="P104" i="1"/>
  <c r="R104" i="1"/>
  <c r="T104" i="1"/>
  <c r="V104" i="1"/>
  <c r="X104" i="1"/>
  <c r="Z104" i="1"/>
  <c r="AB104" i="1"/>
  <c r="AD104" i="1"/>
  <c r="AF104" i="1"/>
  <c r="AH104" i="1"/>
  <c r="AJ104" i="1"/>
  <c r="AL104" i="1"/>
  <c r="AN104" i="1"/>
  <c r="AP104" i="1"/>
  <c r="AR104" i="1"/>
  <c r="AT104" i="1"/>
  <c r="AV104" i="1"/>
  <c r="AX104" i="1"/>
  <c r="D105" i="1"/>
  <c r="F105" i="1"/>
  <c r="H105" i="1"/>
  <c r="J105" i="1"/>
  <c r="L105" i="1"/>
  <c r="N105" i="1"/>
  <c r="P105" i="1"/>
  <c r="R105" i="1"/>
  <c r="T105" i="1"/>
  <c r="V105" i="1"/>
  <c r="X105" i="1"/>
  <c r="Z105" i="1"/>
  <c r="AB105" i="1"/>
  <c r="AD105" i="1"/>
  <c r="AF105" i="1"/>
  <c r="AH105" i="1"/>
  <c r="AJ105" i="1"/>
  <c r="AL105" i="1"/>
  <c r="AN105" i="1"/>
  <c r="AP105" i="1"/>
  <c r="AR105" i="1"/>
  <c r="AT105" i="1"/>
  <c r="AV105" i="1"/>
  <c r="AX105" i="1"/>
  <c r="D106" i="1"/>
  <c r="F106" i="1"/>
  <c r="H106" i="1"/>
  <c r="J106" i="1"/>
  <c r="L106" i="1"/>
  <c r="N106" i="1"/>
  <c r="P106" i="1"/>
  <c r="R106" i="1"/>
  <c r="T106" i="1"/>
  <c r="V106" i="1"/>
  <c r="X106" i="1"/>
  <c r="Z106" i="1"/>
  <c r="AB106" i="1"/>
  <c r="AD106" i="1"/>
  <c r="AF106" i="1"/>
  <c r="AH106" i="1"/>
  <c r="AJ106" i="1"/>
  <c r="AL106" i="1"/>
  <c r="AN106" i="1"/>
  <c r="AP106" i="1"/>
  <c r="AR106" i="1"/>
  <c r="AT106" i="1"/>
  <c r="AV106" i="1"/>
  <c r="AX106" i="1"/>
  <c r="D107" i="1"/>
  <c r="F107" i="1"/>
  <c r="H107" i="1"/>
  <c r="J107" i="1"/>
  <c r="L107" i="1"/>
  <c r="N107" i="1"/>
  <c r="P107" i="1"/>
  <c r="R107" i="1"/>
  <c r="T107" i="1"/>
  <c r="V107" i="1"/>
  <c r="X107" i="1"/>
  <c r="Z107" i="1"/>
  <c r="AB107" i="1"/>
  <c r="AD107" i="1"/>
  <c r="AF107" i="1"/>
  <c r="AH107" i="1"/>
  <c r="AJ107" i="1"/>
  <c r="AL107" i="1"/>
  <c r="AN107" i="1"/>
  <c r="AP107" i="1"/>
  <c r="AR107" i="1"/>
  <c r="AT107" i="1"/>
  <c r="AV107" i="1"/>
  <c r="AX107" i="1"/>
  <c r="D108" i="1"/>
  <c r="F108" i="1"/>
  <c r="H108" i="1"/>
  <c r="J108" i="1"/>
  <c r="L108" i="1"/>
  <c r="N108" i="1"/>
  <c r="P108" i="1"/>
  <c r="R108" i="1"/>
  <c r="T108" i="1"/>
  <c r="V108" i="1"/>
  <c r="X108" i="1"/>
  <c r="Z108" i="1"/>
  <c r="AB108" i="1"/>
  <c r="AD108" i="1"/>
  <c r="AF108" i="1"/>
  <c r="AH108" i="1"/>
  <c r="AJ108" i="1"/>
  <c r="AL108" i="1"/>
  <c r="AN108" i="1"/>
  <c r="AP108" i="1"/>
  <c r="AR108" i="1"/>
  <c r="AT108" i="1"/>
  <c r="AV108" i="1"/>
  <c r="AX108" i="1"/>
  <c r="D109" i="1"/>
  <c r="F109" i="1"/>
  <c r="H109" i="1"/>
  <c r="J109" i="1"/>
  <c r="L109" i="1"/>
  <c r="N109" i="1"/>
  <c r="P109" i="1"/>
  <c r="R109" i="1"/>
  <c r="T109" i="1"/>
  <c r="V109" i="1"/>
  <c r="X109" i="1"/>
  <c r="Z109" i="1"/>
  <c r="AB109" i="1"/>
  <c r="AD109" i="1"/>
  <c r="AF109" i="1"/>
  <c r="AH109" i="1"/>
  <c r="AJ109" i="1"/>
  <c r="AL109" i="1"/>
  <c r="AN109" i="1"/>
  <c r="AP109" i="1"/>
  <c r="AR109" i="1"/>
  <c r="AT109" i="1"/>
  <c r="AV109" i="1"/>
  <c r="AX109" i="1"/>
  <c r="D110" i="1"/>
  <c r="F110" i="1"/>
  <c r="H110" i="1"/>
  <c r="J110" i="1"/>
  <c r="L110" i="1"/>
  <c r="N110" i="1"/>
  <c r="P110" i="1"/>
  <c r="R110" i="1"/>
  <c r="T110" i="1"/>
  <c r="V110" i="1"/>
  <c r="X110" i="1"/>
  <c r="Z110" i="1"/>
  <c r="AB110" i="1"/>
  <c r="AD110" i="1"/>
  <c r="AF110" i="1"/>
  <c r="AH110" i="1"/>
  <c r="AJ110" i="1"/>
  <c r="AL110" i="1"/>
  <c r="AN110" i="1"/>
  <c r="AP110" i="1"/>
  <c r="AR110" i="1"/>
  <c r="AT110" i="1"/>
  <c r="AV110" i="1"/>
  <c r="AX110" i="1"/>
  <c r="D111" i="1"/>
  <c r="F111" i="1"/>
  <c r="H111" i="1"/>
  <c r="J111" i="1"/>
  <c r="L111" i="1"/>
  <c r="N111" i="1"/>
  <c r="P111" i="1"/>
  <c r="R111" i="1"/>
  <c r="T111" i="1"/>
  <c r="V111" i="1"/>
  <c r="X111" i="1"/>
  <c r="Z111" i="1"/>
  <c r="AB111" i="1"/>
  <c r="AD111" i="1"/>
  <c r="AF111" i="1"/>
  <c r="AH111" i="1"/>
  <c r="AJ111" i="1"/>
  <c r="AL111" i="1"/>
  <c r="AN111" i="1"/>
  <c r="AP111" i="1"/>
  <c r="AR111" i="1"/>
  <c r="AT111" i="1"/>
  <c r="AV111" i="1"/>
  <c r="AX111" i="1"/>
  <c r="D112" i="1"/>
  <c r="F112" i="1"/>
  <c r="H112" i="1"/>
  <c r="J112" i="1"/>
  <c r="L112" i="1"/>
  <c r="N112" i="1"/>
  <c r="P112" i="1"/>
  <c r="R112" i="1"/>
  <c r="T112" i="1"/>
  <c r="V112" i="1"/>
  <c r="X112" i="1"/>
  <c r="Z112" i="1"/>
  <c r="AB112" i="1"/>
  <c r="AD112" i="1"/>
  <c r="AF112" i="1"/>
  <c r="AH112" i="1"/>
  <c r="AJ112" i="1"/>
  <c r="AL112" i="1"/>
  <c r="AN112" i="1"/>
  <c r="AP112" i="1"/>
  <c r="AR112" i="1"/>
  <c r="AT112" i="1"/>
  <c r="AV112" i="1"/>
  <c r="AX112" i="1"/>
  <c r="D113" i="1"/>
  <c r="F113" i="1"/>
  <c r="H113" i="1"/>
  <c r="J113" i="1"/>
  <c r="L113" i="1"/>
  <c r="N113" i="1"/>
  <c r="P113" i="1"/>
  <c r="R113" i="1"/>
  <c r="T113" i="1"/>
  <c r="V113" i="1"/>
  <c r="X113" i="1"/>
  <c r="Z113" i="1"/>
  <c r="AB113" i="1"/>
  <c r="AD113" i="1"/>
  <c r="AF113" i="1"/>
  <c r="AH113" i="1"/>
  <c r="AJ113" i="1"/>
  <c r="AL113" i="1"/>
  <c r="AN113" i="1"/>
  <c r="AP113" i="1"/>
  <c r="AR113" i="1"/>
  <c r="AT113" i="1"/>
  <c r="AV113" i="1"/>
  <c r="AX113" i="1"/>
  <c r="D114" i="1"/>
  <c r="F114" i="1"/>
  <c r="H114" i="1"/>
  <c r="J114" i="1"/>
  <c r="L114" i="1"/>
  <c r="N114" i="1"/>
  <c r="P114" i="1"/>
  <c r="R114" i="1"/>
  <c r="T114" i="1"/>
  <c r="V114" i="1"/>
  <c r="X114" i="1"/>
  <c r="Z114" i="1"/>
  <c r="AB114" i="1"/>
  <c r="AD114" i="1"/>
  <c r="AF114" i="1"/>
  <c r="AH114" i="1"/>
  <c r="AJ114" i="1"/>
  <c r="AL114" i="1"/>
  <c r="AN114" i="1"/>
  <c r="AP114" i="1"/>
  <c r="AR114" i="1"/>
  <c r="AT114" i="1"/>
  <c r="AV114" i="1"/>
  <c r="AX114" i="1"/>
  <c r="D115" i="1"/>
  <c r="F115" i="1"/>
  <c r="H115" i="1"/>
  <c r="J115" i="1"/>
  <c r="L115" i="1"/>
  <c r="N115" i="1"/>
  <c r="P115" i="1"/>
  <c r="R115" i="1"/>
  <c r="T115" i="1"/>
  <c r="V115" i="1"/>
  <c r="X115" i="1"/>
  <c r="Z115" i="1"/>
  <c r="AB115" i="1"/>
  <c r="AD115" i="1"/>
  <c r="AF115" i="1"/>
  <c r="AH115" i="1"/>
  <c r="AJ115" i="1"/>
  <c r="AL115" i="1"/>
  <c r="AN115" i="1"/>
  <c r="AP115" i="1"/>
  <c r="AR115" i="1"/>
  <c r="AT115" i="1"/>
  <c r="AV115" i="1"/>
  <c r="AX115" i="1"/>
  <c r="D116" i="1"/>
  <c r="F116" i="1"/>
  <c r="H116" i="1"/>
  <c r="J116" i="1"/>
  <c r="L116" i="1"/>
  <c r="N116" i="1"/>
  <c r="P116" i="1"/>
  <c r="R116" i="1"/>
  <c r="T116" i="1"/>
  <c r="V116" i="1"/>
  <c r="X116" i="1"/>
  <c r="Z116" i="1"/>
  <c r="AB116" i="1"/>
  <c r="AD116" i="1"/>
  <c r="AF116" i="1"/>
  <c r="AH116" i="1"/>
  <c r="AJ116" i="1"/>
  <c r="AL116" i="1"/>
  <c r="AN116" i="1"/>
  <c r="AP116" i="1"/>
  <c r="AR116" i="1"/>
  <c r="AT116" i="1"/>
  <c r="AV116" i="1"/>
  <c r="AX116" i="1"/>
  <c r="D117" i="1"/>
  <c r="F117" i="1"/>
  <c r="H117" i="1"/>
  <c r="J117" i="1"/>
  <c r="L117" i="1"/>
  <c r="N117" i="1"/>
  <c r="P117" i="1"/>
  <c r="R117" i="1"/>
  <c r="T117" i="1"/>
  <c r="V117" i="1"/>
  <c r="X117" i="1"/>
  <c r="Z117" i="1"/>
  <c r="AB117" i="1"/>
  <c r="AD117" i="1"/>
  <c r="AF117" i="1"/>
  <c r="AH117" i="1"/>
  <c r="AJ117" i="1"/>
  <c r="AL117" i="1"/>
  <c r="AN117" i="1"/>
  <c r="AP117" i="1"/>
  <c r="AR117" i="1"/>
  <c r="AT117" i="1"/>
  <c r="AV117" i="1"/>
  <c r="AX117" i="1"/>
  <c r="D118" i="1"/>
  <c r="F118" i="1"/>
  <c r="H118" i="1"/>
  <c r="J118" i="1"/>
  <c r="L118" i="1"/>
  <c r="N118" i="1"/>
  <c r="P118" i="1"/>
  <c r="R118" i="1"/>
  <c r="T118" i="1"/>
  <c r="V118" i="1"/>
  <c r="X118" i="1"/>
  <c r="Z118" i="1"/>
  <c r="AB118" i="1"/>
  <c r="AD118" i="1"/>
  <c r="AF118" i="1"/>
  <c r="AH118" i="1"/>
  <c r="AJ118" i="1"/>
  <c r="AL118" i="1"/>
  <c r="AN118" i="1"/>
  <c r="AP118" i="1"/>
  <c r="AR118" i="1"/>
  <c r="AT118" i="1"/>
  <c r="AV118" i="1"/>
  <c r="AX118" i="1"/>
  <c r="D119" i="1"/>
  <c r="F119" i="1"/>
  <c r="H119" i="1"/>
  <c r="J119" i="1"/>
  <c r="L119" i="1"/>
  <c r="N119" i="1"/>
  <c r="P119" i="1"/>
  <c r="R119" i="1"/>
  <c r="T119" i="1"/>
  <c r="V119" i="1"/>
  <c r="X119" i="1"/>
  <c r="Z119" i="1"/>
  <c r="AB119" i="1"/>
  <c r="AD119" i="1"/>
  <c r="AF119" i="1"/>
  <c r="AH119" i="1"/>
  <c r="AJ119" i="1"/>
  <c r="AL119" i="1"/>
  <c r="AN119" i="1"/>
  <c r="AP119" i="1"/>
  <c r="AR119" i="1"/>
  <c r="AT119" i="1"/>
  <c r="AV119" i="1"/>
  <c r="AX119" i="1"/>
  <c r="D120" i="1"/>
  <c r="F120" i="1"/>
  <c r="H120" i="1"/>
  <c r="J120" i="1"/>
  <c r="L120" i="1"/>
  <c r="N120" i="1"/>
  <c r="P120" i="1"/>
  <c r="R120" i="1"/>
  <c r="T120" i="1"/>
  <c r="V120" i="1"/>
  <c r="X120" i="1"/>
  <c r="Z120" i="1"/>
  <c r="AB120" i="1"/>
  <c r="AD120" i="1"/>
  <c r="AF120" i="1"/>
  <c r="AH120" i="1"/>
  <c r="AJ120" i="1"/>
  <c r="AL120" i="1"/>
  <c r="AN120" i="1"/>
  <c r="AP120" i="1"/>
  <c r="AR120" i="1"/>
  <c r="AT120" i="1"/>
  <c r="AV120" i="1"/>
  <c r="AX120" i="1"/>
  <c r="D121" i="1"/>
  <c r="F121" i="1"/>
  <c r="H121" i="1"/>
  <c r="J121" i="1"/>
  <c r="L121" i="1"/>
  <c r="N121" i="1"/>
  <c r="P121" i="1"/>
  <c r="R121" i="1"/>
  <c r="T121" i="1"/>
  <c r="V121" i="1"/>
  <c r="X121" i="1"/>
  <c r="Z121" i="1"/>
  <c r="AB121" i="1"/>
  <c r="AD121" i="1"/>
  <c r="AF121" i="1"/>
  <c r="AH121" i="1"/>
  <c r="AJ121" i="1"/>
  <c r="AL121" i="1"/>
  <c r="AN121" i="1"/>
  <c r="AP121" i="1"/>
  <c r="AR121" i="1"/>
  <c r="AT121" i="1"/>
  <c r="AV121" i="1"/>
  <c r="AX121" i="1"/>
  <c r="D122" i="1"/>
  <c r="F122" i="1"/>
  <c r="H122" i="1"/>
  <c r="J122" i="1"/>
  <c r="L122" i="1"/>
  <c r="N122" i="1"/>
  <c r="P122" i="1"/>
  <c r="R122" i="1"/>
  <c r="T122" i="1"/>
  <c r="V122" i="1"/>
  <c r="X122" i="1"/>
  <c r="Z122" i="1"/>
  <c r="AB122" i="1"/>
  <c r="AD122" i="1"/>
  <c r="AF122" i="1"/>
  <c r="AH122" i="1"/>
  <c r="AJ122" i="1"/>
  <c r="AL122" i="1"/>
  <c r="AN122" i="1"/>
  <c r="AP122" i="1"/>
  <c r="AR122" i="1"/>
  <c r="AT122" i="1"/>
  <c r="AV122" i="1"/>
  <c r="AX122" i="1"/>
  <c r="D123" i="1"/>
  <c r="F123" i="1"/>
  <c r="H123" i="1"/>
  <c r="J123" i="1"/>
  <c r="L123" i="1"/>
  <c r="N123" i="1"/>
  <c r="P123" i="1"/>
  <c r="R123" i="1"/>
  <c r="T123" i="1"/>
  <c r="V123" i="1"/>
  <c r="X123" i="1"/>
  <c r="Z123" i="1"/>
  <c r="AB123" i="1"/>
  <c r="AD123" i="1"/>
  <c r="AF123" i="1"/>
  <c r="AH123" i="1"/>
  <c r="AJ123" i="1"/>
  <c r="AL123" i="1"/>
  <c r="AN123" i="1"/>
  <c r="AP123" i="1"/>
  <c r="AR123" i="1"/>
  <c r="AT123" i="1"/>
  <c r="AV123" i="1"/>
  <c r="AX123" i="1"/>
  <c r="D124" i="1"/>
  <c r="F124" i="1"/>
  <c r="H124" i="1"/>
  <c r="J124" i="1"/>
  <c r="L124" i="1"/>
  <c r="N124" i="1"/>
  <c r="P124" i="1"/>
  <c r="R124" i="1"/>
  <c r="T124" i="1"/>
  <c r="V124" i="1"/>
  <c r="X124" i="1"/>
  <c r="Z124" i="1"/>
  <c r="AB124" i="1"/>
  <c r="AD124" i="1"/>
  <c r="AF124" i="1"/>
  <c r="AH124" i="1"/>
  <c r="AJ124" i="1"/>
  <c r="AL124" i="1"/>
  <c r="AN124" i="1"/>
  <c r="AP124" i="1"/>
  <c r="AR124" i="1"/>
  <c r="AT124" i="1"/>
  <c r="AV124" i="1"/>
  <c r="AX124" i="1"/>
  <c r="D125" i="1"/>
  <c r="F125" i="1"/>
  <c r="H125" i="1"/>
  <c r="J125" i="1"/>
  <c r="L125" i="1"/>
  <c r="N125" i="1"/>
  <c r="P125" i="1"/>
  <c r="R125" i="1"/>
  <c r="T125" i="1"/>
  <c r="V125" i="1"/>
  <c r="X125" i="1"/>
  <c r="Z125" i="1"/>
  <c r="AB125" i="1"/>
  <c r="AD125" i="1"/>
  <c r="AF125" i="1"/>
  <c r="AH125" i="1"/>
  <c r="AJ125" i="1"/>
  <c r="AL125" i="1"/>
  <c r="AN125" i="1"/>
  <c r="AP125" i="1"/>
  <c r="AR125" i="1"/>
  <c r="AT125" i="1"/>
  <c r="AV125" i="1"/>
  <c r="AX125" i="1"/>
  <c r="D126" i="1"/>
  <c r="F126" i="1"/>
  <c r="H126" i="1"/>
  <c r="J126" i="1"/>
  <c r="L126" i="1"/>
  <c r="N126" i="1"/>
  <c r="P126" i="1"/>
  <c r="R126" i="1"/>
  <c r="T126" i="1"/>
  <c r="V126" i="1"/>
  <c r="X126" i="1"/>
  <c r="Z126" i="1"/>
  <c r="AB126" i="1"/>
  <c r="AD126" i="1"/>
  <c r="AF126" i="1"/>
  <c r="AH126" i="1"/>
  <c r="AJ126" i="1"/>
  <c r="AL126" i="1"/>
  <c r="AN126" i="1"/>
  <c r="AP126" i="1"/>
  <c r="AR126" i="1"/>
  <c r="AT126" i="1"/>
  <c r="AV126" i="1"/>
  <c r="AX126" i="1"/>
  <c r="D127" i="1"/>
  <c r="F127" i="1"/>
  <c r="H127" i="1"/>
  <c r="J127" i="1"/>
  <c r="L127" i="1"/>
  <c r="N127" i="1"/>
  <c r="P127" i="1"/>
  <c r="R127" i="1"/>
  <c r="T127" i="1"/>
  <c r="V127" i="1"/>
  <c r="X127" i="1"/>
  <c r="Z127" i="1"/>
  <c r="AB127" i="1"/>
  <c r="AD127" i="1"/>
  <c r="AF127" i="1"/>
  <c r="AH127" i="1"/>
  <c r="AJ127" i="1"/>
  <c r="AL127" i="1"/>
  <c r="AN127" i="1"/>
  <c r="AP127" i="1"/>
  <c r="AR127" i="1"/>
  <c r="AT127" i="1"/>
  <c r="AV127" i="1"/>
  <c r="AX127" i="1"/>
  <c r="D128" i="1"/>
  <c r="F128" i="1"/>
  <c r="H128" i="1"/>
  <c r="J128" i="1"/>
  <c r="L128" i="1"/>
  <c r="N128" i="1"/>
  <c r="P128" i="1"/>
  <c r="R128" i="1"/>
  <c r="T128" i="1"/>
  <c r="V128" i="1"/>
  <c r="X128" i="1"/>
  <c r="Z128" i="1"/>
  <c r="AB128" i="1"/>
  <c r="AD128" i="1"/>
  <c r="AF128" i="1"/>
  <c r="AH128" i="1"/>
  <c r="AJ128" i="1"/>
  <c r="AL128" i="1"/>
  <c r="AN128" i="1"/>
  <c r="AP128" i="1"/>
  <c r="AR128" i="1"/>
  <c r="AT128" i="1"/>
  <c r="AV128" i="1"/>
  <c r="AX128" i="1"/>
  <c r="D129" i="1"/>
  <c r="F129" i="1"/>
  <c r="H129" i="1"/>
  <c r="J129" i="1"/>
  <c r="L129" i="1"/>
  <c r="N129" i="1"/>
  <c r="P129" i="1"/>
  <c r="R129" i="1"/>
  <c r="T129" i="1"/>
  <c r="V129" i="1"/>
  <c r="X129" i="1"/>
  <c r="Z129" i="1"/>
  <c r="AB129" i="1"/>
  <c r="AD129" i="1"/>
  <c r="AF129" i="1"/>
  <c r="AH129" i="1"/>
  <c r="AJ129" i="1"/>
  <c r="AL129" i="1"/>
  <c r="AN129" i="1"/>
  <c r="AP129" i="1"/>
  <c r="AR129" i="1"/>
  <c r="AT129" i="1"/>
  <c r="AV129" i="1"/>
  <c r="AX129" i="1"/>
  <c r="D130" i="1"/>
  <c r="F130" i="1"/>
  <c r="H130" i="1"/>
  <c r="J130" i="1"/>
  <c r="L130" i="1"/>
  <c r="N130" i="1"/>
  <c r="P130" i="1"/>
  <c r="R130" i="1"/>
  <c r="T130" i="1"/>
  <c r="V130" i="1"/>
  <c r="X130" i="1"/>
  <c r="Z130" i="1"/>
  <c r="AB130" i="1"/>
  <c r="AD130" i="1"/>
  <c r="AF130" i="1"/>
  <c r="AH130" i="1"/>
  <c r="AJ130" i="1"/>
  <c r="AL130" i="1"/>
  <c r="AN130" i="1"/>
  <c r="AP130" i="1"/>
  <c r="AR130" i="1"/>
  <c r="AT130" i="1"/>
  <c r="AV130" i="1"/>
  <c r="AX130" i="1"/>
  <c r="D131" i="1"/>
  <c r="F131" i="1"/>
  <c r="H131" i="1"/>
  <c r="J131" i="1"/>
  <c r="L131" i="1"/>
  <c r="N131" i="1"/>
  <c r="P131" i="1"/>
  <c r="R131" i="1"/>
  <c r="T131" i="1"/>
  <c r="V131" i="1"/>
  <c r="X131" i="1"/>
  <c r="Z131" i="1"/>
  <c r="AB131" i="1"/>
  <c r="AD131" i="1"/>
  <c r="AF131" i="1"/>
  <c r="AH131" i="1"/>
  <c r="AJ131" i="1"/>
  <c r="AL131" i="1"/>
  <c r="AN131" i="1"/>
  <c r="AP131" i="1"/>
  <c r="AR131" i="1"/>
  <c r="AT131" i="1"/>
  <c r="AV131" i="1"/>
  <c r="AX131" i="1"/>
  <c r="D132" i="1"/>
  <c r="F132" i="1"/>
  <c r="H132" i="1"/>
  <c r="J132" i="1"/>
  <c r="L132" i="1"/>
  <c r="N132" i="1"/>
  <c r="P132" i="1"/>
  <c r="R132" i="1"/>
  <c r="T132" i="1"/>
  <c r="V132" i="1"/>
  <c r="X132" i="1"/>
  <c r="Z132" i="1"/>
  <c r="AB132" i="1"/>
  <c r="AD132" i="1"/>
  <c r="AF132" i="1"/>
  <c r="AH132" i="1"/>
  <c r="AJ132" i="1"/>
  <c r="AL132" i="1"/>
  <c r="AN132" i="1"/>
  <c r="AP132" i="1"/>
  <c r="AR132" i="1"/>
  <c r="AT132" i="1"/>
  <c r="AV132" i="1"/>
  <c r="AX132" i="1"/>
  <c r="D133" i="1"/>
  <c r="F133" i="1"/>
  <c r="H133" i="1"/>
  <c r="J133" i="1"/>
  <c r="L133" i="1"/>
  <c r="N133" i="1"/>
  <c r="P133" i="1"/>
  <c r="R133" i="1"/>
  <c r="T133" i="1"/>
  <c r="V133" i="1"/>
  <c r="X133" i="1"/>
  <c r="Z133" i="1"/>
  <c r="AB133" i="1"/>
  <c r="AD133" i="1"/>
  <c r="AF133" i="1"/>
  <c r="AH133" i="1"/>
  <c r="AJ133" i="1"/>
  <c r="AL133" i="1"/>
  <c r="AN133" i="1"/>
  <c r="AP133" i="1"/>
  <c r="AR133" i="1"/>
  <c r="AT133" i="1"/>
  <c r="AV133" i="1"/>
  <c r="AX133" i="1"/>
  <c r="D134" i="1"/>
  <c r="F134" i="1"/>
  <c r="H134" i="1"/>
  <c r="J134" i="1"/>
  <c r="L134" i="1"/>
  <c r="N134" i="1"/>
  <c r="P134" i="1"/>
  <c r="R134" i="1"/>
  <c r="T134" i="1"/>
  <c r="V134" i="1"/>
  <c r="X134" i="1"/>
  <c r="Z134" i="1"/>
  <c r="AB134" i="1"/>
  <c r="AD134" i="1"/>
  <c r="AF134" i="1"/>
  <c r="AH134" i="1"/>
  <c r="AJ134" i="1"/>
  <c r="AL134" i="1"/>
  <c r="AN134" i="1"/>
  <c r="AP134" i="1"/>
  <c r="AR134" i="1"/>
  <c r="AT134" i="1"/>
  <c r="AV134" i="1"/>
  <c r="AX134" i="1"/>
  <c r="D135" i="1"/>
  <c r="F135" i="1"/>
  <c r="H135" i="1"/>
  <c r="J135" i="1"/>
  <c r="L135" i="1"/>
  <c r="N135" i="1"/>
  <c r="P135" i="1"/>
  <c r="R135" i="1"/>
  <c r="T135" i="1"/>
  <c r="V135" i="1"/>
  <c r="X135" i="1"/>
  <c r="Z135" i="1"/>
  <c r="AB135" i="1"/>
  <c r="AD135" i="1"/>
  <c r="AF135" i="1"/>
  <c r="AH135" i="1"/>
  <c r="AJ135" i="1"/>
  <c r="AL135" i="1"/>
  <c r="AN135" i="1"/>
  <c r="AP135" i="1"/>
  <c r="AR135" i="1"/>
  <c r="AT135" i="1"/>
  <c r="AV135" i="1"/>
  <c r="AX135" i="1"/>
  <c r="D136" i="1"/>
  <c r="F136" i="1"/>
  <c r="H136" i="1"/>
  <c r="J136" i="1"/>
  <c r="L136" i="1"/>
  <c r="N136" i="1"/>
  <c r="P136" i="1"/>
  <c r="R136" i="1"/>
  <c r="T136" i="1"/>
  <c r="V136" i="1"/>
  <c r="X136" i="1"/>
  <c r="Z136" i="1"/>
  <c r="AB136" i="1"/>
  <c r="AD136" i="1"/>
  <c r="AF136" i="1"/>
  <c r="AH136" i="1"/>
  <c r="AJ136" i="1"/>
  <c r="AL136" i="1"/>
  <c r="AN136" i="1"/>
  <c r="AP136" i="1"/>
  <c r="AR136" i="1"/>
  <c r="AT136" i="1"/>
  <c r="AV136" i="1"/>
  <c r="AX136" i="1"/>
  <c r="D137" i="1"/>
  <c r="F137" i="1"/>
  <c r="H137" i="1"/>
  <c r="J137" i="1"/>
  <c r="L137" i="1"/>
  <c r="N137" i="1"/>
  <c r="P137" i="1"/>
  <c r="R137" i="1"/>
  <c r="T137" i="1"/>
  <c r="V137" i="1"/>
  <c r="X137" i="1"/>
  <c r="Z137" i="1"/>
  <c r="AB137" i="1"/>
  <c r="AD137" i="1"/>
  <c r="AF137" i="1"/>
  <c r="AH137" i="1"/>
  <c r="AJ137" i="1"/>
  <c r="AL137" i="1"/>
  <c r="AN137" i="1"/>
  <c r="AP137" i="1"/>
  <c r="AR137" i="1"/>
  <c r="AT137" i="1"/>
  <c r="AV137" i="1"/>
  <c r="AX137" i="1"/>
  <c r="D138" i="1"/>
  <c r="F138" i="1"/>
  <c r="H138" i="1"/>
  <c r="J138" i="1"/>
  <c r="L138" i="1"/>
  <c r="N138" i="1"/>
  <c r="P138" i="1"/>
  <c r="R138" i="1"/>
  <c r="T138" i="1"/>
  <c r="V138" i="1"/>
  <c r="X138" i="1"/>
  <c r="Z138" i="1"/>
  <c r="AB138" i="1"/>
  <c r="AD138" i="1"/>
  <c r="AF138" i="1"/>
  <c r="AH138" i="1"/>
  <c r="AJ138" i="1"/>
  <c r="AL138" i="1"/>
  <c r="AN138" i="1"/>
  <c r="AP138" i="1"/>
  <c r="AR138" i="1"/>
  <c r="AT138" i="1"/>
  <c r="AV138" i="1"/>
  <c r="AX138" i="1"/>
  <c r="D139" i="1"/>
  <c r="F139" i="1"/>
  <c r="H139" i="1"/>
  <c r="J139" i="1"/>
  <c r="L139" i="1"/>
  <c r="N139" i="1"/>
  <c r="P139" i="1"/>
  <c r="R139" i="1"/>
  <c r="T139" i="1"/>
  <c r="V139" i="1"/>
  <c r="X139" i="1"/>
  <c r="Z139" i="1"/>
  <c r="AB139" i="1"/>
  <c r="AD139" i="1"/>
  <c r="AF139" i="1"/>
  <c r="AH139" i="1"/>
  <c r="AJ139" i="1"/>
  <c r="AL139" i="1"/>
  <c r="AN139" i="1"/>
  <c r="AP139" i="1"/>
  <c r="AR139" i="1"/>
  <c r="AT139" i="1"/>
  <c r="AV139" i="1"/>
  <c r="AX139" i="1"/>
  <c r="D140" i="1"/>
  <c r="F140" i="1"/>
  <c r="H140" i="1"/>
  <c r="J140" i="1"/>
  <c r="L140" i="1"/>
  <c r="N140" i="1"/>
  <c r="P140" i="1"/>
  <c r="R140" i="1"/>
  <c r="T140" i="1"/>
  <c r="V140" i="1"/>
  <c r="X140" i="1"/>
  <c r="Z140" i="1"/>
  <c r="AB140" i="1"/>
  <c r="AD140" i="1"/>
  <c r="AF140" i="1"/>
  <c r="AH140" i="1"/>
  <c r="AJ140" i="1"/>
  <c r="AL140" i="1"/>
  <c r="AN140" i="1"/>
  <c r="AP140" i="1"/>
  <c r="AR140" i="1"/>
  <c r="AT140" i="1"/>
  <c r="AV140" i="1"/>
  <c r="AX140" i="1"/>
  <c r="D141" i="1"/>
  <c r="F141" i="1"/>
  <c r="H141" i="1"/>
  <c r="J141" i="1"/>
  <c r="L141" i="1"/>
  <c r="N141" i="1"/>
  <c r="P141" i="1"/>
  <c r="R141" i="1"/>
  <c r="T141" i="1"/>
  <c r="V141" i="1"/>
  <c r="X141" i="1"/>
  <c r="Z141" i="1"/>
  <c r="AB141" i="1"/>
  <c r="AD141" i="1"/>
  <c r="AF141" i="1"/>
  <c r="AH141" i="1"/>
  <c r="AJ141" i="1"/>
  <c r="AL141" i="1"/>
  <c r="AN141" i="1"/>
  <c r="AP141" i="1"/>
  <c r="AR141" i="1"/>
  <c r="AT141" i="1"/>
  <c r="AV141" i="1"/>
  <c r="AX141" i="1"/>
  <c r="D142" i="1"/>
  <c r="F142" i="1"/>
  <c r="H142" i="1"/>
  <c r="J142" i="1"/>
  <c r="L142" i="1"/>
  <c r="N142" i="1"/>
  <c r="P142" i="1"/>
  <c r="R142" i="1"/>
  <c r="T142" i="1"/>
  <c r="V142" i="1"/>
  <c r="X142" i="1"/>
  <c r="Z142" i="1"/>
  <c r="AB142" i="1"/>
  <c r="AD142" i="1"/>
  <c r="AF142" i="1"/>
  <c r="AH142" i="1"/>
  <c r="AJ142" i="1"/>
  <c r="AL142" i="1"/>
  <c r="AN142" i="1"/>
  <c r="AP142" i="1"/>
  <c r="AR142" i="1"/>
  <c r="AT142" i="1"/>
  <c r="AV142" i="1"/>
  <c r="AX142" i="1"/>
  <c r="D143" i="1"/>
  <c r="F143" i="1"/>
  <c r="H143" i="1"/>
  <c r="J143" i="1"/>
  <c r="L143" i="1"/>
  <c r="N143" i="1"/>
  <c r="P143" i="1"/>
  <c r="R143" i="1"/>
  <c r="T143" i="1"/>
  <c r="V143" i="1"/>
  <c r="X143" i="1"/>
  <c r="Z143" i="1"/>
  <c r="AB143" i="1"/>
  <c r="AD143" i="1"/>
  <c r="AF143" i="1"/>
  <c r="AH143" i="1"/>
  <c r="AJ143" i="1"/>
  <c r="AL143" i="1"/>
  <c r="AN143" i="1"/>
  <c r="AP143" i="1"/>
  <c r="AR143" i="1"/>
  <c r="AT143" i="1"/>
  <c r="AV143" i="1"/>
  <c r="AX143" i="1"/>
  <c r="D144" i="1"/>
  <c r="F144" i="1"/>
  <c r="H144" i="1"/>
  <c r="J144" i="1"/>
  <c r="L144" i="1"/>
  <c r="N144" i="1"/>
  <c r="P144" i="1"/>
  <c r="R144" i="1"/>
  <c r="T144" i="1"/>
  <c r="V144" i="1"/>
  <c r="X144" i="1"/>
  <c r="Z144" i="1"/>
  <c r="AB144" i="1"/>
  <c r="AD144" i="1"/>
  <c r="AF144" i="1"/>
  <c r="AH144" i="1"/>
  <c r="AJ144" i="1"/>
  <c r="AL144" i="1"/>
  <c r="AN144" i="1"/>
  <c r="AP144" i="1"/>
  <c r="AR144" i="1"/>
  <c r="AT144" i="1"/>
  <c r="AV144" i="1"/>
  <c r="AX144" i="1"/>
  <c r="D145" i="1"/>
  <c r="F145" i="1"/>
  <c r="H145" i="1"/>
  <c r="J145" i="1"/>
  <c r="L145" i="1"/>
  <c r="N145" i="1"/>
  <c r="P145" i="1"/>
  <c r="R145" i="1"/>
  <c r="T145" i="1"/>
  <c r="V145" i="1"/>
  <c r="X145" i="1"/>
  <c r="Z145" i="1"/>
  <c r="AB145" i="1"/>
  <c r="AD145" i="1"/>
  <c r="AF145" i="1"/>
  <c r="AH145" i="1"/>
  <c r="AJ145" i="1"/>
  <c r="AL145" i="1"/>
  <c r="AN145" i="1"/>
  <c r="AP145" i="1"/>
  <c r="AR145" i="1"/>
  <c r="AT145" i="1"/>
  <c r="AV145" i="1"/>
  <c r="AX145" i="1"/>
  <c r="D146" i="1"/>
  <c r="F146" i="1"/>
  <c r="H146" i="1"/>
  <c r="J146" i="1"/>
  <c r="L146" i="1"/>
  <c r="N146" i="1"/>
  <c r="P146" i="1"/>
  <c r="R146" i="1"/>
  <c r="T146" i="1"/>
  <c r="V146" i="1"/>
  <c r="X146" i="1"/>
  <c r="Z146" i="1"/>
  <c r="AB146" i="1"/>
  <c r="AD146" i="1"/>
  <c r="AF146" i="1"/>
  <c r="AH146" i="1"/>
  <c r="AJ146" i="1"/>
  <c r="AL146" i="1"/>
  <c r="AN146" i="1"/>
  <c r="AP146" i="1"/>
  <c r="AR146" i="1"/>
  <c r="AT146" i="1"/>
  <c r="AV146" i="1"/>
  <c r="AX146" i="1"/>
  <c r="D148" i="1"/>
  <c r="F148" i="1"/>
  <c r="H148" i="1"/>
  <c r="J148" i="1"/>
  <c r="L148" i="1"/>
  <c r="N148" i="1"/>
  <c r="P148" i="1"/>
  <c r="R148" i="1"/>
  <c r="T148" i="1"/>
  <c r="V148" i="1"/>
  <c r="X148" i="1"/>
  <c r="Z148" i="1"/>
  <c r="AB148" i="1"/>
  <c r="AD148" i="1"/>
  <c r="AF148" i="1"/>
  <c r="AH148" i="1"/>
  <c r="AJ148" i="1"/>
  <c r="AL148" i="1"/>
  <c r="AN148" i="1"/>
  <c r="AP148" i="1"/>
  <c r="AR148" i="1"/>
  <c r="AT148" i="1"/>
  <c r="AV148" i="1"/>
  <c r="AX148" i="1"/>
  <c r="D149" i="1"/>
  <c r="F149" i="1"/>
  <c r="H149" i="1"/>
  <c r="J149" i="1"/>
  <c r="L149" i="1"/>
  <c r="N149" i="1"/>
  <c r="P149" i="1"/>
  <c r="R149" i="1"/>
  <c r="T149" i="1"/>
  <c r="V149" i="1"/>
  <c r="X149" i="1"/>
  <c r="Z149" i="1"/>
  <c r="AB149" i="1"/>
  <c r="AD149" i="1"/>
  <c r="AF149" i="1"/>
  <c r="AH149" i="1"/>
  <c r="AJ149" i="1"/>
  <c r="AL149" i="1"/>
  <c r="AN149" i="1"/>
  <c r="AP149" i="1"/>
  <c r="AR149" i="1"/>
  <c r="AT149" i="1"/>
  <c r="AV149" i="1"/>
  <c r="AX149" i="1"/>
  <c r="D150" i="1"/>
  <c r="F150" i="1"/>
  <c r="H150" i="1"/>
  <c r="J150" i="1"/>
  <c r="L150" i="1"/>
  <c r="N150" i="1"/>
  <c r="P150" i="1"/>
  <c r="R150" i="1"/>
  <c r="T150" i="1"/>
  <c r="V150" i="1"/>
  <c r="X150" i="1"/>
  <c r="Z150" i="1"/>
  <c r="AB150" i="1"/>
  <c r="AD150" i="1"/>
  <c r="AF150" i="1"/>
  <c r="AH150" i="1"/>
  <c r="AJ150" i="1"/>
  <c r="AL150" i="1"/>
  <c r="AN150" i="1"/>
  <c r="AP150" i="1"/>
  <c r="AR150" i="1"/>
  <c r="AT150" i="1"/>
  <c r="AV150" i="1"/>
  <c r="AX150" i="1"/>
  <c r="D151" i="1"/>
  <c r="F151" i="1"/>
  <c r="H151" i="1"/>
  <c r="J151" i="1"/>
  <c r="L151" i="1"/>
  <c r="N151" i="1"/>
  <c r="P151" i="1"/>
  <c r="R151" i="1"/>
  <c r="T151" i="1"/>
  <c r="V151" i="1"/>
  <c r="X151" i="1"/>
  <c r="Z151" i="1"/>
  <c r="AB151" i="1"/>
  <c r="AD151" i="1"/>
  <c r="AF151" i="1"/>
  <c r="AH151" i="1"/>
  <c r="AJ151" i="1"/>
  <c r="AL151" i="1"/>
  <c r="AN151" i="1"/>
  <c r="AP151" i="1"/>
  <c r="AR151" i="1"/>
  <c r="AT151" i="1"/>
  <c r="AV151" i="1"/>
  <c r="AX151" i="1"/>
  <c r="D152" i="1"/>
  <c r="F152" i="1"/>
  <c r="H152" i="1"/>
  <c r="J152" i="1"/>
  <c r="L152" i="1"/>
  <c r="N152" i="1"/>
  <c r="P152" i="1"/>
  <c r="R152" i="1"/>
  <c r="T152" i="1"/>
  <c r="V152" i="1"/>
  <c r="X152" i="1"/>
  <c r="Z152" i="1"/>
  <c r="AB152" i="1"/>
  <c r="AD152" i="1"/>
  <c r="AF152" i="1"/>
  <c r="AH152" i="1"/>
  <c r="AJ152" i="1"/>
  <c r="AL152" i="1"/>
  <c r="AN152" i="1"/>
  <c r="AP152" i="1"/>
  <c r="AR152" i="1"/>
  <c r="AT152" i="1"/>
  <c r="AV152" i="1"/>
  <c r="AX152" i="1"/>
  <c r="D156" i="1"/>
  <c r="F156" i="1"/>
  <c r="H156" i="1"/>
  <c r="J156" i="1"/>
  <c r="L156" i="1"/>
  <c r="N156" i="1"/>
  <c r="P156" i="1"/>
  <c r="R156" i="1"/>
  <c r="T156" i="1"/>
  <c r="V156" i="1"/>
  <c r="X156" i="1"/>
  <c r="Z156" i="1"/>
  <c r="AB156" i="1"/>
  <c r="AD156" i="1"/>
  <c r="AF156" i="1"/>
  <c r="AH156" i="1"/>
  <c r="AJ156" i="1"/>
  <c r="AL156" i="1"/>
  <c r="AN156" i="1"/>
  <c r="AP156" i="1"/>
  <c r="AR156" i="1"/>
  <c r="AT156" i="1"/>
  <c r="AV156" i="1"/>
  <c r="AX156" i="1"/>
  <c r="D157" i="1"/>
  <c r="F157" i="1"/>
  <c r="H157" i="1"/>
  <c r="J157" i="1"/>
  <c r="L157" i="1"/>
  <c r="N157" i="1"/>
  <c r="P157" i="1"/>
  <c r="R157" i="1"/>
  <c r="T157" i="1"/>
  <c r="V157" i="1"/>
  <c r="X157" i="1"/>
  <c r="Z157" i="1"/>
  <c r="AB157" i="1"/>
  <c r="AD157" i="1"/>
  <c r="AF157" i="1"/>
  <c r="AH157" i="1"/>
  <c r="AJ157" i="1"/>
  <c r="AL157" i="1"/>
  <c r="AN157" i="1"/>
  <c r="AP157" i="1"/>
  <c r="AR157" i="1"/>
  <c r="AT157" i="1"/>
  <c r="AV157" i="1"/>
  <c r="AX157" i="1"/>
  <c r="D158" i="1"/>
  <c r="F158" i="1"/>
  <c r="H158" i="1"/>
  <c r="J158" i="1"/>
  <c r="L158" i="1"/>
  <c r="N158" i="1"/>
  <c r="P158" i="1"/>
  <c r="R158" i="1"/>
  <c r="T158" i="1"/>
  <c r="V158" i="1"/>
  <c r="X158" i="1"/>
  <c r="Z158" i="1"/>
  <c r="AB158" i="1"/>
  <c r="AD158" i="1"/>
  <c r="AF158" i="1"/>
  <c r="AH158" i="1"/>
  <c r="AJ158" i="1"/>
  <c r="AL158" i="1"/>
  <c r="AN158" i="1"/>
  <c r="AP158" i="1"/>
  <c r="AR158" i="1"/>
  <c r="AT158" i="1"/>
  <c r="AV158" i="1"/>
  <c r="AX158" i="1"/>
  <c r="D159" i="1"/>
  <c r="F159" i="1"/>
  <c r="H159" i="1"/>
  <c r="J159" i="1"/>
  <c r="L159" i="1"/>
  <c r="N159" i="1"/>
  <c r="P159" i="1"/>
  <c r="R159" i="1"/>
  <c r="T159" i="1"/>
  <c r="V159" i="1"/>
  <c r="X159" i="1"/>
  <c r="Z159" i="1"/>
  <c r="AB159" i="1"/>
  <c r="AD159" i="1"/>
  <c r="AF159" i="1"/>
  <c r="AH159" i="1"/>
  <c r="AJ159" i="1"/>
  <c r="AL159" i="1"/>
  <c r="AN159" i="1"/>
  <c r="AP159" i="1"/>
  <c r="AR159" i="1"/>
  <c r="AT159" i="1"/>
  <c r="AV159" i="1"/>
  <c r="AX159" i="1"/>
  <c r="D160" i="1"/>
  <c r="F160" i="1"/>
  <c r="H160" i="1"/>
  <c r="J160" i="1"/>
  <c r="L160" i="1"/>
  <c r="N160" i="1"/>
  <c r="P160" i="1"/>
  <c r="R160" i="1"/>
  <c r="T160" i="1"/>
  <c r="V160" i="1"/>
  <c r="X160" i="1"/>
  <c r="Z160" i="1"/>
  <c r="AB160" i="1"/>
  <c r="AD160" i="1"/>
  <c r="AF160" i="1"/>
  <c r="AH160" i="1"/>
  <c r="AJ160" i="1"/>
  <c r="AL160" i="1"/>
  <c r="AN160" i="1"/>
  <c r="AP160" i="1"/>
  <c r="AR160" i="1"/>
  <c r="AT160" i="1"/>
  <c r="AV160" i="1"/>
  <c r="AX160" i="1"/>
  <c r="D161" i="1"/>
  <c r="F161" i="1"/>
  <c r="H161" i="1"/>
  <c r="J161" i="1"/>
  <c r="L161" i="1"/>
  <c r="N161" i="1"/>
  <c r="P161" i="1"/>
  <c r="R161" i="1"/>
  <c r="T161" i="1"/>
  <c r="V161" i="1"/>
  <c r="X161" i="1"/>
  <c r="Z161" i="1"/>
  <c r="AB161" i="1"/>
  <c r="AD161" i="1"/>
  <c r="AF161" i="1"/>
  <c r="AH161" i="1"/>
  <c r="AJ161" i="1"/>
  <c r="AL161" i="1"/>
  <c r="AN161" i="1"/>
  <c r="AP161" i="1"/>
  <c r="AR161" i="1"/>
  <c r="AT161" i="1"/>
  <c r="AV161" i="1"/>
  <c r="AX161" i="1"/>
  <c r="D162" i="1"/>
  <c r="F162" i="1"/>
  <c r="H162" i="1"/>
  <c r="J162" i="1"/>
  <c r="L162" i="1"/>
  <c r="N162" i="1"/>
  <c r="P162" i="1"/>
  <c r="R162" i="1"/>
  <c r="T162" i="1"/>
  <c r="V162" i="1"/>
  <c r="X162" i="1"/>
  <c r="Z162" i="1"/>
  <c r="AB162" i="1"/>
  <c r="AD162" i="1"/>
  <c r="AF162" i="1"/>
  <c r="AH162" i="1"/>
  <c r="AJ162" i="1"/>
  <c r="AL162" i="1"/>
  <c r="AN162" i="1"/>
  <c r="AP162" i="1"/>
  <c r="AR162" i="1"/>
  <c r="AT162" i="1"/>
  <c r="AV162" i="1"/>
  <c r="AX162" i="1"/>
  <c r="D163" i="1"/>
  <c r="F163" i="1"/>
  <c r="H163" i="1"/>
  <c r="J163" i="1"/>
  <c r="L163" i="1"/>
  <c r="N163" i="1"/>
  <c r="P163" i="1"/>
  <c r="R163" i="1"/>
  <c r="T163" i="1"/>
  <c r="V163" i="1"/>
  <c r="X163" i="1"/>
  <c r="Z163" i="1"/>
  <c r="AB163" i="1"/>
  <c r="AD163" i="1"/>
  <c r="AF163" i="1"/>
  <c r="AH163" i="1"/>
  <c r="AJ163" i="1"/>
  <c r="AL163" i="1"/>
  <c r="AN163" i="1"/>
  <c r="AP163" i="1"/>
  <c r="AR163" i="1"/>
  <c r="AT163" i="1"/>
  <c r="AV163" i="1"/>
  <c r="AX163" i="1"/>
  <c r="D164" i="1"/>
  <c r="F164" i="1"/>
  <c r="H164" i="1"/>
  <c r="J164" i="1"/>
  <c r="L164" i="1"/>
  <c r="N164" i="1"/>
  <c r="P164" i="1"/>
  <c r="R164" i="1"/>
  <c r="T164" i="1"/>
  <c r="V164" i="1"/>
  <c r="X164" i="1"/>
  <c r="Z164" i="1"/>
  <c r="AB164" i="1"/>
  <c r="AD164" i="1"/>
  <c r="AF164" i="1"/>
  <c r="AH164" i="1"/>
  <c r="AJ164" i="1"/>
  <c r="AL164" i="1"/>
  <c r="AN164" i="1"/>
  <c r="AP164" i="1"/>
  <c r="AR164" i="1"/>
  <c r="AT164" i="1"/>
  <c r="AV164" i="1"/>
  <c r="AX164" i="1"/>
  <c r="D165" i="1"/>
  <c r="F165" i="1"/>
  <c r="H165" i="1"/>
  <c r="J165" i="1"/>
  <c r="L165" i="1"/>
  <c r="N165" i="1"/>
  <c r="P165" i="1"/>
  <c r="R165" i="1"/>
  <c r="T165" i="1"/>
  <c r="V165" i="1"/>
  <c r="X165" i="1"/>
  <c r="Z165" i="1"/>
  <c r="AB165" i="1"/>
  <c r="AD165" i="1"/>
  <c r="AF165" i="1"/>
  <c r="AH165" i="1"/>
  <c r="AJ165" i="1"/>
  <c r="AL165" i="1"/>
  <c r="AN165" i="1"/>
  <c r="AP165" i="1"/>
  <c r="AR165" i="1"/>
  <c r="AT165" i="1"/>
  <c r="AV165" i="1"/>
  <c r="AX165" i="1"/>
  <c r="D166" i="1"/>
  <c r="F166" i="1"/>
  <c r="H166" i="1"/>
  <c r="J166" i="1"/>
  <c r="L166" i="1"/>
  <c r="N166" i="1"/>
  <c r="P166" i="1"/>
  <c r="R166" i="1"/>
  <c r="T166" i="1"/>
  <c r="V166" i="1"/>
  <c r="X166" i="1"/>
  <c r="Z166" i="1"/>
  <c r="AB166" i="1"/>
  <c r="AD166" i="1"/>
  <c r="AF166" i="1"/>
  <c r="AH166" i="1"/>
  <c r="AJ166" i="1"/>
  <c r="AL166" i="1"/>
  <c r="AN166" i="1"/>
  <c r="AP166" i="1"/>
  <c r="AR166" i="1"/>
  <c r="AT166" i="1"/>
  <c r="AV166" i="1"/>
  <c r="AX166" i="1"/>
  <c r="D167" i="1"/>
  <c r="F167" i="1"/>
  <c r="H167" i="1"/>
  <c r="J167" i="1"/>
  <c r="L167" i="1"/>
  <c r="N167" i="1"/>
  <c r="P167" i="1"/>
  <c r="R167" i="1"/>
  <c r="T167" i="1"/>
  <c r="V167" i="1"/>
  <c r="X167" i="1"/>
  <c r="Z167" i="1"/>
  <c r="AB167" i="1"/>
  <c r="AD167" i="1"/>
  <c r="AF167" i="1"/>
  <c r="AH167" i="1"/>
  <c r="AJ167" i="1"/>
  <c r="AL167" i="1"/>
  <c r="AN167" i="1"/>
  <c r="AP167" i="1"/>
  <c r="AR167" i="1"/>
  <c r="AT167" i="1"/>
  <c r="AV167" i="1"/>
  <c r="AX167" i="1"/>
  <c r="D168" i="1"/>
  <c r="F168" i="1"/>
  <c r="H168" i="1"/>
  <c r="J168" i="1"/>
  <c r="L168" i="1"/>
  <c r="N168" i="1"/>
  <c r="P168" i="1"/>
  <c r="R168" i="1"/>
  <c r="T168" i="1"/>
  <c r="V168" i="1"/>
  <c r="X168" i="1"/>
  <c r="Z168" i="1"/>
  <c r="AB168" i="1"/>
  <c r="AD168" i="1"/>
  <c r="AF168" i="1"/>
  <c r="AH168" i="1"/>
  <c r="AJ168" i="1"/>
  <c r="AL168" i="1"/>
  <c r="AN168" i="1"/>
  <c r="AP168" i="1"/>
  <c r="AR168" i="1"/>
  <c r="AT168" i="1"/>
  <c r="AV168" i="1"/>
  <c r="AX168" i="1"/>
  <c r="D169" i="1"/>
  <c r="F169" i="1"/>
  <c r="H169" i="1"/>
  <c r="J169" i="1"/>
  <c r="L169" i="1"/>
  <c r="N169" i="1"/>
  <c r="P169" i="1"/>
  <c r="R169" i="1"/>
  <c r="T169" i="1"/>
  <c r="V169" i="1"/>
  <c r="X169" i="1"/>
  <c r="Z169" i="1"/>
  <c r="AB169" i="1"/>
  <c r="AD169" i="1"/>
  <c r="AF169" i="1"/>
  <c r="AH169" i="1"/>
  <c r="AJ169" i="1"/>
  <c r="AL169" i="1"/>
  <c r="AN169" i="1"/>
  <c r="AP169" i="1"/>
  <c r="AR169" i="1"/>
  <c r="AT169" i="1"/>
  <c r="AV169" i="1"/>
  <c r="AX169" i="1"/>
  <c r="D170" i="1"/>
  <c r="F170" i="1"/>
  <c r="H170" i="1"/>
  <c r="J170" i="1"/>
  <c r="L170" i="1"/>
  <c r="N170" i="1"/>
  <c r="P170" i="1"/>
  <c r="R170" i="1"/>
  <c r="T170" i="1"/>
  <c r="V170" i="1"/>
  <c r="X170" i="1"/>
  <c r="Z170" i="1"/>
  <c r="AB170" i="1"/>
  <c r="AD170" i="1"/>
  <c r="AF170" i="1"/>
  <c r="AH170" i="1"/>
  <c r="AJ170" i="1"/>
  <c r="AL170" i="1"/>
  <c r="AN170" i="1"/>
  <c r="AP170" i="1"/>
  <c r="AR170" i="1"/>
  <c r="AT170" i="1"/>
  <c r="AV170" i="1"/>
  <c r="AX170" i="1"/>
  <c r="D171" i="1"/>
  <c r="F171" i="1"/>
  <c r="H171" i="1"/>
  <c r="J171" i="1"/>
  <c r="L171" i="1"/>
  <c r="N171" i="1"/>
  <c r="P171" i="1"/>
  <c r="R171" i="1"/>
  <c r="T171" i="1"/>
  <c r="V171" i="1"/>
  <c r="X171" i="1"/>
  <c r="Z171" i="1"/>
  <c r="AB171" i="1"/>
  <c r="AD171" i="1"/>
  <c r="AF171" i="1"/>
  <c r="AH171" i="1"/>
  <c r="AJ171" i="1"/>
  <c r="AL171" i="1"/>
  <c r="AN171" i="1"/>
  <c r="AP171" i="1"/>
  <c r="AR171" i="1"/>
  <c r="AT171" i="1"/>
  <c r="AV171" i="1"/>
  <c r="AX171" i="1"/>
  <c r="D172" i="1"/>
  <c r="F172" i="1"/>
  <c r="H172" i="1"/>
  <c r="J172" i="1"/>
  <c r="L172" i="1"/>
  <c r="N172" i="1"/>
  <c r="P172" i="1"/>
  <c r="R172" i="1"/>
  <c r="T172" i="1"/>
  <c r="V172" i="1"/>
  <c r="X172" i="1"/>
  <c r="Z172" i="1"/>
  <c r="AB172" i="1"/>
  <c r="AD172" i="1"/>
  <c r="AF172" i="1"/>
  <c r="AH172" i="1"/>
  <c r="AJ172" i="1"/>
  <c r="AL172" i="1"/>
  <c r="AN172" i="1"/>
  <c r="AP172" i="1"/>
  <c r="AR172" i="1"/>
  <c r="AT172" i="1"/>
  <c r="AV172" i="1"/>
  <c r="AX172" i="1"/>
  <c r="D173" i="1"/>
  <c r="F173" i="1"/>
  <c r="H173" i="1"/>
  <c r="J173" i="1"/>
  <c r="L173" i="1"/>
  <c r="N173" i="1"/>
  <c r="P173" i="1"/>
  <c r="R173" i="1"/>
  <c r="T173" i="1"/>
  <c r="V173" i="1"/>
  <c r="X173" i="1"/>
  <c r="Z173" i="1"/>
  <c r="AB173" i="1"/>
  <c r="AD173" i="1"/>
  <c r="AF173" i="1"/>
  <c r="AH173" i="1"/>
  <c r="AJ173" i="1"/>
  <c r="AL173" i="1"/>
  <c r="AN173" i="1"/>
  <c r="AP173" i="1"/>
  <c r="AR173" i="1"/>
  <c r="AT173" i="1"/>
  <c r="AV173" i="1"/>
  <c r="AX173" i="1"/>
  <c r="D174" i="1"/>
  <c r="F174" i="1"/>
  <c r="H174" i="1"/>
  <c r="J174" i="1"/>
  <c r="L174" i="1"/>
  <c r="N174" i="1"/>
  <c r="P174" i="1"/>
  <c r="R174" i="1"/>
  <c r="T174" i="1"/>
  <c r="V174" i="1"/>
  <c r="X174" i="1"/>
  <c r="Z174" i="1"/>
  <c r="AB174" i="1"/>
  <c r="AD174" i="1"/>
  <c r="AF174" i="1"/>
  <c r="AH174" i="1"/>
  <c r="AJ174" i="1"/>
  <c r="AL174" i="1"/>
  <c r="AN174" i="1"/>
  <c r="AP174" i="1"/>
  <c r="AR174" i="1"/>
  <c r="AT174" i="1"/>
  <c r="AV174" i="1"/>
  <c r="AX174" i="1"/>
  <c r="D175" i="1"/>
  <c r="F175" i="1"/>
  <c r="H175" i="1"/>
  <c r="J175" i="1"/>
  <c r="L175" i="1"/>
  <c r="N175" i="1"/>
  <c r="P175" i="1"/>
  <c r="R175" i="1"/>
  <c r="T175" i="1"/>
  <c r="V175" i="1"/>
  <c r="X175" i="1"/>
  <c r="Z175" i="1"/>
  <c r="AB175" i="1"/>
  <c r="AD175" i="1"/>
  <c r="AF175" i="1"/>
  <c r="AH175" i="1"/>
  <c r="AJ175" i="1"/>
  <c r="AL175" i="1"/>
  <c r="AN175" i="1"/>
  <c r="AP175" i="1"/>
  <c r="AR175" i="1"/>
  <c r="AT175" i="1"/>
  <c r="AV175" i="1"/>
  <c r="AX175" i="1"/>
  <c r="D176" i="1"/>
  <c r="F176" i="1"/>
  <c r="H176" i="1"/>
  <c r="J176" i="1"/>
  <c r="L176" i="1"/>
  <c r="N176" i="1"/>
  <c r="P176" i="1"/>
  <c r="R176" i="1"/>
  <c r="T176" i="1"/>
  <c r="V176" i="1"/>
  <c r="X176" i="1"/>
  <c r="Z176" i="1"/>
  <c r="AB176" i="1"/>
  <c r="AD176" i="1"/>
  <c r="AF176" i="1"/>
  <c r="AH176" i="1"/>
  <c r="AJ176" i="1"/>
  <c r="AL176" i="1"/>
  <c r="AN176" i="1"/>
  <c r="AP176" i="1"/>
  <c r="AR176" i="1"/>
  <c r="AT176" i="1"/>
  <c r="AV176" i="1"/>
  <c r="AX176" i="1"/>
  <c r="D177" i="1"/>
  <c r="F177" i="1"/>
  <c r="H177" i="1"/>
  <c r="J177" i="1"/>
  <c r="L177" i="1"/>
  <c r="N177" i="1"/>
  <c r="P177" i="1"/>
  <c r="R177" i="1"/>
  <c r="T177" i="1"/>
  <c r="V177" i="1"/>
  <c r="X177" i="1"/>
  <c r="Z177" i="1"/>
  <c r="AB177" i="1"/>
  <c r="AD177" i="1"/>
  <c r="AF177" i="1"/>
  <c r="AH177" i="1"/>
  <c r="AJ177" i="1"/>
  <c r="AL177" i="1"/>
  <c r="AN177" i="1"/>
  <c r="AP177" i="1"/>
  <c r="AR177" i="1"/>
  <c r="AT177" i="1"/>
  <c r="AV177" i="1"/>
  <c r="AX177" i="1"/>
  <c r="D178" i="1"/>
  <c r="F178" i="1"/>
  <c r="H178" i="1"/>
  <c r="J178" i="1"/>
  <c r="L178" i="1"/>
  <c r="N178" i="1"/>
  <c r="P178" i="1"/>
  <c r="R178" i="1"/>
  <c r="T178" i="1"/>
  <c r="V178" i="1"/>
  <c r="X178" i="1"/>
  <c r="Z178" i="1"/>
  <c r="AB178" i="1"/>
  <c r="AD178" i="1"/>
  <c r="AF178" i="1"/>
  <c r="AH178" i="1"/>
  <c r="AJ178" i="1"/>
  <c r="AL178" i="1"/>
  <c r="AN178" i="1"/>
  <c r="AP178" i="1"/>
  <c r="AR178" i="1"/>
  <c r="AT178" i="1"/>
  <c r="AV178" i="1"/>
  <c r="AX178" i="1"/>
  <c r="D179" i="1"/>
  <c r="F179" i="1"/>
  <c r="H179" i="1"/>
  <c r="J179" i="1"/>
  <c r="L179" i="1"/>
  <c r="N179" i="1"/>
  <c r="P179" i="1"/>
  <c r="R179" i="1"/>
  <c r="T179" i="1"/>
  <c r="V179" i="1"/>
  <c r="X179" i="1"/>
  <c r="Z179" i="1"/>
  <c r="AB179" i="1"/>
  <c r="AD179" i="1"/>
  <c r="AF179" i="1"/>
  <c r="AH179" i="1"/>
  <c r="AJ179" i="1"/>
  <c r="AL179" i="1"/>
  <c r="AN179" i="1"/>
  <c r="AP179" i="1"/>
  <c r="AR179" i="1"/>
  <c r="AT179" i="1"/>
  <c r="AV179" i="1"/>
  <c r="AX179" i="1"/>
  <c r="D180" i="1"/>
  <c r="F180" i="1"/>
  <c r="H180" i="1"/>
  <c r="J180" i="1"/>
  <c r="L180" i="1"/>
  <c r="N180" i="1"/>
  <c r="P180" i="1"/>
  <c r="R180" i="1"/>
  <c r="T180" i="1"/>
  <c r="V180" i="1"/>
  <c r="X180" i="1"/>
  <c r="Z180" i="1"/>
  <c r="AB180" i="1"/>
  <c r="AD180" i="1"/>
  <c r="AF180" i="1"/>
  <c r="AH180" i="1"/>
  <c r="AJ180" i="1"/>
  <c r="AL180" i="1"/>
  <c r="AN180" i="1"/>
  <c r="AP180" i="1"/>
  <c r="AR180" i="1"/>
  <c r="AT180" i="1"/>
  <c r="AV180" i="1"/>
  <c r="AX180" i="1"/>
  <c r="D181" i="1"/>
  <c r="F181" i="1"/>
  <c r="H181" i="1"/>
  <c r="J181" i="1"/>
  <c r="L181" i="1"/>
  <c r="N181" i="1"/>
  <c r="P181" i="1"/>
  <c r="R181" i="1"/>
  <c r="T181" i="1"/>
  <c r="V181" i="1"/>
  <c r="X181" i="1"/>
  <c r="Z181" i="1"/>
  <c r="AB181" i="1"/>
  <c r="AD181" i="1"/>
  <c r="AF181" i="1"/>
  <c r="AH181" i="1"/>
  <c r="AJ181" i="1"/>
  <c r="AL181" i="1"/>
  <c r="AN181" i="1"/>
  <c r="AP181" i="1"/>
  <c r="AR181" i="1"/>
  <c r="AT181" i="1"/>
  <c r="AV181" i="1"/>
  <c r="AX181" i="1"/>
  <c r="D182" i="1"/>
  <c r="F182" i="1"/>
  <c r="H182" i="1"/>
  <c r="J182" i="1"/>
  <c r="L182" i="1"/>
  <c r="N182" i="1"/>
  <c r="P182" i="1"/>
  <c r="R182" i="1"/>
  <c r="T182" i="1"/>
  <c r="V182" i="1"/>
  <c r="X182" i="1"/>
  <c r="Z182" i="1"/>
  <c r="AB182" i="1"/>
  <c r="AD182" i="1"/>
  <c r="AF182" i="1"/>
  <c r="AH182" i="1"/>
  <c r="AJ182" i="1"/>
  <c r="AL182" i="1"/>
  <c r="AN182" i="1"/>
  <c r="AP182" i="1"/>
  <c r="AR182" i="1"/>
  <c r="AT182" i="1"/>
  <c r="AV182" i="1"/>
  <c r="AX182" i="1"/>
  <c r="D183" i="1"/>
  <c r="F183" i="1"/>
  <c r="H183" i="1"/>
  <c r="J183" i="1"/>
  <c r="L183" i="1"/>
  <c r="N183" i="1"/>
  <c r="P183" i="1"/>
  <c r="R183" i="1"/>
  <c r="T183" i="1"/>
  <c r="V183" i="1"/>
  <c r="X183" i="1"/>
  <c r="Z183" i="1"/>
  <c r="AB183" i="1"/>
  <c r="AD183" i="1"/>
  <c r="AF183" i="1"/>
  <c r="AH183" i="1"/>
  <c r="AJ183" i="1"/>
  <c r="AL183" i="1"/>
  <c r="AN183" i="1"/>
  <c r="AP183" i="1"/>
  <c r="AR183" i="1"/>
  <c r="AT183" i="1"/>
  <c r="AV183" i="1"/>
  <c r="AX183" i="1"/>
  <c r="D184" i="1"/>
  <c r="F184" i="1"/>
  <c r="H184" i="1"/>
  <c r="J184" i="1"/>
  <c r="L184" i="1"/>
  <c r="N184" i="1"/>
  <c r="P184" i="1"/>
  <c r="R184" i="1"/>
  <c r="T184" i="1"/>
  <c r="V184" i="1"/>
  <c r="X184" i="1"/>
  <c r="Z184" i="1"/>
  <c r="AB184" i="1"/>
  <c r="AD184" i="1"/>
  <c r="AF184" i="1"/>
  <c r="AH184" i="1"/>
  <c r="AJ184" i="1"/>
  <c r="AL184" i="1"/>
  <c r="AN184" i="1"/>
  <c r="AP184" i="1"/>
  <c r="AR184" i="1"/>
  <c r="AT184" i="1"/>
  <c r="AV184" i="1"/>
  <c r="AX184" i="1"/>
  <c r="D185" i="1"/>
  <c r="F185" i="1"/>
  <c r="H185" i="1"/>
  <c r="J185" i="1"/>
  <c r="L185" i="1"/>
  <c r="N185" i="1"/>
  <c r="P185" i="1"/>
  <c r="R185" i="1"/>
  <c r="T185" i="1"/>
  <c r="V185" i="1"/>
  <c r="X185" i="1"/>
  <c r="Z185" i="1"/>
  <c r="AB185" i="1"/>
  <c r="AD185" i="1"/>
  <c r="AF185" i="1"/>
  <c r="AH185" i="1"/>
  <c r="AJ185" i="1"/>
  <c r="AL185" i="1"/>
  <c r="AN185" i="1"/>
  <c r="AP185" i="1"/>
  <c r="AR185" i="1"/>
  <c r="AT185" i="1"/>
  <c r="AV185" i="1"/>
  <c r="AX185" i="1"/>
  <c r="D186" i="1"/>
  <c r="F186" i="1"/>
  <c r="H186" i="1"/>
  <c r="J186" i="1"/>
  <c r="L186" i="1"/>
  <c r="N186" i="1"/>
  <c r="P186" i="1"/>
  <c r="R186" i="1"/>
  <c r="T186" i="1"/>
  <c r="V186" i="1"/>
  <c r="X186" i="1"/>
  <c r="Z186" i="1"/>
  <c r="AB186" i="1"/>
  <c r="AD186" i="1"/>
  <c r="AF186" i="1"/>
  <c r="AH186" i="1"/>
  <c r="AJ186" i="1"/>
  <c r="AL186" i="1"/>
  <c r="AN186" i="1"/>
  <c r="AR186" i="1"/>
  <c r="AT186" i="1"/>
  <c r="AV186" i="1"/>
  <c r="AX186" i="1"/>
  <c r="D187" i="1"/>
  <c r="F187" i="1"/>
  <c r="H187" i="1"/>
  <c r="J187" i="1"/>
  <c r="L187" i="1"/>
  <c r="N187" i="1"/>
  <c r="P187" i="1"/>
  <c r="R187" i="1"/>
  <c r="T187" i="1"/>
  <c r="V187" i="1"/>
  <c r="X187" i="1"/>
  <c r="Z187" i="1"/>
  <c r="AB187" i="1"/>
  <c r="AD187" i="1"/>
  <c r="AF187" i="1"/>
  <c r="AH187" i="1"/>
  <c r="AJ187" i="1"/>
  <c r="AL187" i="1"/>
  <c r="AN187" i="1"/>
  <c r="AP187" i="1"/>
  <c r="AR187" i="1"/>
  <c r="AT187" i="1"/>
  <c r="AV187" i="1"/>
  <c r="AX187" i="1"/>
  <c r="D188" i="1"/>
  <c r="F188" i="1"/>
  <c r="H188" i="1"/>
  <c r="J188" i="1"/>
  <c r="L188" i="1"/>
  <c r="N188" i="1"/>
  <c r="P188" i="1"/>
  <c r="R188" i="1"/>
  <c r="T188" i="1"/>
  <c r="V188" i="1"/>
  <c r="X188" i="1"/>
  <c r="Z188" i="1"/>
  <c r="AB188" i="1"/>
  <c r="AD188" i="1"/>
  <c r="AF188" i="1"/>
  <c r="AH188" i="1"/>
  <c r="AJ188" i="1"/>
  <c r="AL188" i="1"/>
  <c r="AN188" i="1"/>
  <c r="AP188" i="1"/>
  <c r="AR188" i="1"/>
  <c r="AT188" i="1"/>
  <c r="AV188" i="1"/>
  <c r="AX188" i="1"/>
  <c r="D189" i="1"/>
  <c r="F189" i="1"/>
  <c r="H189" i="1"/>
  <c r="J189" i="1"/>
  <c r="L189" i="1"/>
  <c r="N189" i="1"/>
  <c r="P189" i="1"/>
  <c r="R189" i="1"/>
  <c r="T189" i="1"/>
  <c r="V189" i="1"/>
  <c r="X189" i="1"/>
  <c r="Z189" i="1"/>
  <c r="AB189" i="1"/>
  <c r="AD189" i="1"/>
  <c r="AF189" i="1"/>
  <c r="AH189" i="1"/>
  <c r="AJ189" i="1"/>
  <c r="AL189" i="1"/>
  <c r="AN189" i="1"/>
  <c r="AP189" i="1"/>
  <c r="AR189" i="1"/>
  <c r="AT189" i="1"/>
  <c r="AV189" i="1"/>
  <c r="AX189" i="1"/>
  <c r="D190" i="1"/>
  <c r="F190" i="1"/>
  <c r="H190" i="1"/>
  <c r="J190" i="1"/>
  <c r="L190" i="1"/>
  <c r="N190" i="1"/>
  <c r="P190" i="1"/>
  <c r="R190" i="1"/>
  <c r="T190" i="1"/>
  <c r="V190" i="1"/>
  <c r="X190" i="1"/>
  <c r="Z190" i="1"/>
  <c r="AB190" i="1"/>
  <c r="AD190" i="1"/>
  <c r="AF190" i="1"/>
  <c r="AH190" i="1"/>
  <c r="AJ190" i="1"/>
  <c r="AL190" i="1"/>
  <c r="AN190" i="1"/>
  <c r="AP190" i="1"/>
  <c r="AR190" i="1"/>
  <c r="AT190" i="1"/>
  <c r="AV190" i="1"/>
  <c r="AX190" i="1"/>
  <c r="D191" i="1"/>
  <c r="F191" i="1"/>
  <c r="H191" i="1"/>
  <c r="J191" i="1"/>
  <c r="L191" i="1"/>
  <c r="N191" i="1"/>
  <c r="P191" i="1"/>
  <c r="R191" i="1"/>
  <c r="T191" i="1"/>
  <c r="V191" i="1"/>
  <c r="X191" i="1"/>
  <c r="Z191" i="1"/>
  <c r="AB191" i="1"/>
  <c r="AD191" i="1"/>
  <c r="AF191" i="1"/>
  <c r="AH191" i="1"/>
  <c r="AJ191" i="1"/>
  <c r="AL191" i="1"/>
  <c r="AN191" i="1"/>
  <c r="AP191" i="1"/>
  <c r="AR191" i="1"/>
  <c r="AT191" i="1"/>
  <c r="AV191" i="1"/>
  <c r="AX191" i="1"/>
  <c r="D192" i="1"/>
  <c r="F192" i="1"/>
  <c r="H192" i="1"/>
  <c r="J192" i="1"/>
  <c r="L192" i="1"/>
  <c r="N192" i="1"/>
  <c r="P192" i="1"/>
  <c r="R192" i="1"/>
  <c r="T192" i="1"/>
  <c r="V192" i="1"/>
  <c r="X192" i="1"/>
  <c r="Z192" i="1"/>
  <c r="AB192" i="1"/>
  <c r="AD192" i="1"/>
  <c r="AF192" i="1"/>
  <c r="AH192" i="1"/>
  <c r="AJ192" i="1"/>
  <c r="AL192" i="1"/>
  <c r="AN192" i="1"/>
  <c r="AP192" i="1"/>
  <c r="AR192" i="1"/>
  <c r="AT192" i="1"/>
  <c r="AV192" i="1"/>
  <c r="AX192" i="1"/>
  <c r="D193" i="1"/>
  <c r="F193" i="1"/>
  <c r="H193" i="1"/>
  <c r="J193" i="1"/>
  <c r="L193" i="1"/>
  <c r="N193" i="1"/>
  <c r="P193" i="1"/>
  <c r="R193" i="1"/>
  <c r="T193" i="1"/>
  <c r="V193" i="1"/>
  <c r="X193" i="1"/>
  <c r="Z193" i="1"/>
  <c r="AB193" i="1"/>
  <c r="AD193" i="1"/>
  <c r="AF193" i="1"/>
  <c r="AH193" i="1"/>
  <c r="AJ193" i="1"/>
  <c r="AL193" i="1"/>
  <c r="AN193" i="1"/>
  <c r="AP193" i="1"/>
  <c r="AR193" i="1"/>
  <c r="AT193" i="1"/>
  <c r="AV193" i="1"/>
  <c r="AX193" i="1"/>
  <c r="D194" i="1"/>
  <c r="F194" i="1"/>
  <c r="H194" i="1"/>
  <c r="J194" i="1"/>
  <c r="L194" i="1"/>
  <c r="N194" i="1"/>
  <c r="P194" i="1"/>
  <c r="R194" i="1"/>
  <c r="T194" i="1"/>
  <c r="V194" i="1"/>
  <c r="X194" i="1"/>
  <c r="Z194" i="1"/>
  <c r="AB194" i="1"/>
  <c r="AD194" i="1"/>
  <c r="AF194" i="1"/>
  <c r="AH194" i="1"/>
  <c r="AJ194" i="1"/>
  <c r="AL194" i="1"/>
  <c r="AN194" i="1"/>
  <c r="AP194" i="1"/>
  <c r="AR194" i="1"/>
  <c r="AT194" i="1"/>
  <c r="AV194" i="1"/>
  <c r="AX194" i="1"/>
  <c r="D195" i="1"/>
  <c r="F195" i="1"/>
  <c r="H195" i="1"/>
  <c r="J195" i="1"/>
  <c r="L195" i="1"/>
  <c r="N195" i="1"/>
  <c r="P195" i="1"/>
  <c r="R195" i="1"/>
  <c r="T195" i="1"/>
  <c r="V195" i="1"/>
  <c r="X195" i="1"/>
  <c r="Z195" i="1"/>
  <c r="AB195" i="1"/>
  <c r="AD195" i="1"/>
  <c r="AF195" i="1"/>
  <c r="AH195" i="1"/>
  <c r="AJ195" i="1"/>
  <c r="AL195" i="1"/>
  <c r="AN195" i="1"/>
  <c r="AP195" i="1"/>
  <c r="AR195" i="1"/>
  <c r="AT195" i="1"/>
  <c r="AV195" i="1"/>
  <c r="AX195" i="1"/>
  <c r="D196" i="1"/>
  <c r="F196" i="1"/>
  <c r="H196" i="1"/>
  <c r="J196" i="1"/>
  <c r="L196" i="1"/>
  <c r="N196" i="1"/>
  <c r="P196" i="1"/>
  <c r="R196" i="1"/>
  <c r="T196" i="1"/>
  <c r="V196" i="1"/>
  <c r="X196" i="1"/>
  <c r="Z196" i="1"/>
  <c r="AB196" i="1"/>
  <c r="AD196" i="1"/>
  <c r="AF196" i="1"/>
  <c r="AH196" i="1"/>
  <c r="AJ196" i="1"/>
  <c r="AL196" i="1"/>
  <c r="AN196" i="1"/>
  <c r="AP196" i="1"/>
  <c r="AR196" i="1"/>
  <c r="AT196" i="1"/>
  <c r="AV196" i="1"/>
  <c r="AX196" i="1"/>
  <c r="D197" i="1"/>
  <c r="F197" i="1"/>
  <c r="H197" i="1"/>
  <c r="J197" i="1"/>
  <c r="L197" i="1"/>
  <c r="N197" i="1"/>
  <c r="P197" i="1"/>
  <c r="R197" i="1"/>
  <c r="T197" i="1"/>
  <c r="V197" i="1"/>
  <c r="X197" i="1"/>
  <c r="Z197" i="1"/>
  <c r="AB197" i="1"/>
  <c r="AD197" i="1"/>
  <c r="AF197" i="1"/>
  <c r="AH197" i="1"/>
  <c r="AJ197" i="1"/>
  <c r="AL197" i="1"/>
  <c r="AN197" i="1"/>
  <c r="AP197" i="1"/>
  <c r="AR197" i="1"/>
  <c r="AT197" i="1"/>
  <c r="AV197" i="1"/>
  <c r="AX197" i="1"/>
  <c r="D198" i="1"/>
  <c r="F198" i="1"/>
  <c r="H198" i="1"/>
  <c r="J198" i="1"/>
  <c r="L198" i="1"/>
  <c r="N198" i="1"/>
  <c r="P198" i="1"/>
  <c r="R198" i="1"/>
  <c r="T198" i="1"/>
  <c r="V198" i="1"/>
  <c r="X198" i="1"/>
  <c r="Z198" i="1"/>
  <c r="AB198" i="1"/>
  <c r="AD198" i="1"/>
  <c r="AF198" i="1"/>
  <c r="AH198" i="1"/>
  <c r="AJ198" i="1"/>
  <c r="AL198" i="1"/>
  <c r="AN198" i="1"/>
  <c r="AP198" i="1"/>
  <c r="AR198" i="1"/>
  <c r="AT198" i="1"/>
  <c r="AV198" i="1"/>
  <c r="AX198" i="1"/>
  <c r="D199" i="1"/>
  <c r="F199" i="1"/>
  <c r="H199" i="1"/>
  <c r="J199" i="1"/>
  <c r="L199" i="1"/>
  <c r="N199" i="1"/>
  <c r="P199" i="1"/>
  <c r="R199" i="1"/>
  <c r="T199" i="1"/>
  <c r="V199" i="1"/>
  <c r="X199" i="1"/>
  <c r="Z199" i="1"/>
  <c r="AD199" i="1"/>
  <c r="AF199" i="1"/>
  <c r="AH199" i="1"/>
  <c r="AJ199" i="1"/>
  <c r="AL199" i="1"/>
  <c r="AN199" i="1"/>
  <c r="AP199" i="1"/>
  <c r="AR199" i="1"/>
  <c r="AT199" i="1"/>
  <c r="AV199" i="1"/>
  <c r="AX199" i="1"/>
  <c r="D200" i="1"/>
  <c r="F200" i="1"/>
  <c r="H200" i="1"/>
  <c r="J200" i="1"/>
  <c r="L200" i="1"/>
  <c r="N200" i="1"/>
  <c r="P200" i="1"/>
  <c r="R200" i="1"/>
  <c r="T200" i="1"/>
  <c r="V200" i="1"/>
  <c r="X200" i="1"/>
  <c r="Z200" i="1"/>
  <c r="AD200" i="1"/>
  <c r="AF200" i="1"/>
  <c r="AH200" i="1"/>
  <c r="AJ200" i="1"/>
  <c r="AL200" i="1"/>
  <c r="AN200" i="1"/>
  <c r="AP200" i="1"/>
  <c r="AR200" i="1"/>
  <c r="AT200" i="1"/>
  <c r="AV200" i="1"/>
  <c r="AX200" i="1"/>
  <c r="D201" i="1"/>
  <c r="F201" i="1"/>
  <c r="H201" i="1"/>
  <c r="J201" i="1"/>
  <c r="L201" i="1"/>
  <c r="N201" i="1"/>
  <c r="P201" i="1"/>
  <c r="R201" i="1"/>
  <c r="T201" i="1"/>
  <c r="V201" i="1"/>
  <c r="X201" i="1"/>
  <c r="Z201" i="1"/>
  <c r="AB201" i="1"/>
  <c r="AD201" i="1"/>
  <c r="AF201" i="1"/>
  <c r="AH201" i="1"/>
  <c r="AJ201" i="1"/>
  <c r="AL201" i="1"/>
  <c r="AN201" i="1"/>
  <c r="AP201" i="1"/>
  <c r="AR201" i="1"/>
  <c r="AT201" i="1"/>
  <c r="AV201" i="1"/>
  <c r="AX201" i="1"/>
  <c r="D202" i="1"/>
  <c r="F202" i="1"/>
  <c r="H202" i="1"/>
  <c r="J202" i="1"/>
  <c r="L202" i="1"/>
  <c r="N202" i="1"/>
  <c r="P202" i="1"/>
  <c r="R202" i="1"/>
  <c r="T202" i="1"/>
  <c r="V202" i="1"/>
  <c r="X202" i="1"/>
  <c r="Z202" i="1"/>
  <c r="AB202" i="1"/>
  <c r="AD202" i="1"/>
  <c r="AF202" i="1"/>
  <c r="AH202" i="1"/>
  <c r="AJ202" i="1"/>
  <c r="AL202" i="1"/>
  <c r="AN202" i="1"/>
  <c r="AP202" i="1"/>
  <c r="AR202" i="1"/>
  <c r="AT202" i="1"/>
  <c r="AV202" i="1"/>
  <c r="AX202" i="1"/>
  <c r="D203" i="1"/>
  <c r="F203" i="1"/>
  <c r="H203" i="1"/>
  <c r="J203" i="1"/>
  <c r="L203" i="1"/>
  <c r="N203" i="1"/>
  <c r="P203" i="1"/>
  <c r="R203" i="1"/>
  <c r="T203" i="1"/>
  <c r="V203" i="1"/>
  <c r="X203" i="1"/>
  <c r="Z203" i="1"/>
  <c r="AB203" i="1"/>
  <c r="AD203" i="1"/>
  <c r="AF203" i="1"/>
  <c r="AH203" i="1"/>
  <c r="AJ203" i="1"/>
  <c r="AL203" i="1"/>
  <c r="AN203" i="1"/>
  <c r="AP203" i="1"/>
  <c r="AR203" i="1"/>
  <c r="AT203" i="1"/>
  <c r="AV203" i="1"/>
  <c r="AX203" i="1"/>
  <c r="D204" i="1"/>
  <c r="F204" i="1"/>
  <c r="H204" i="1"/>
  <c r="J204" i="1"/>
  <c r="L204" i="1"/>
  <c r="N204" i="1"/>
  <c r="P204" i="1"/>
  <c r="R204" i="1"/>
  <c r="T204" i="1"/>
  <c r="V204" i="1"/>
  <c r="X204" i="1"/>
  <c r="Z204" i="1"/>
  <c r="AB204" i="1"/>
  <c r="AD204" i="1"/>
  <c r="AF204" i="1"/>
  <c r="AH204" i="1"/>
  <c r="AJ204" i="1"/>
  <c r="AL204" i="1"/>
  <c r="AN204" i="1"/>
  <c r="AP204" i="1"/>
  <c r="AR204" i="1"/>
  <c r="AT204" i="1"/>
  <c r="AV204" i="1"/>
  <c r="AX204" i="1"/>
  <c r="D205" i="1"/>
  <c r="F205" i="1"/>
  <c r="H205" i="1"/>
  <c r="J205" i="1"/>
  <c r="L205" i="1"/>
  <c r="N205" i="1"/>
  <c r="P205" i="1"/>
  <c r="R205" i="1"/>
  <c r="T205" i="1"/>
  <c r="V205" i="1"/>
  <c r="X205" i="1"/>
  <c r="Z205" i="1"/>
  <c r="AB205" i="1"/>
  <c r="AD205" i="1"/>
  <c r="AF205" i="1"/>
  <c r="AH205" i="1"/>
  <c r="AJ205" i="1"/>
  <c r="AL205" i="1"/>
  <c r="AN205" i="1"/>
  <c r="AP205" i="1"/>
  <c r="AR205" i="1"/>
  <c r="AT205" i="1"/>
  <c r="AV205" i="1"/>
  <c r="AX205" i="1"/>
  <c r="D206" i="1"/>
  <c r="F206" i="1"/>
  <c r="H206" i="1"/>
  <c r="J206" i="1"/>
  <c r="L206" i="1"/>
  <c r="N206" i="1"/>
  <c r="P206" i="1"/>
  <c r="R206" i="1"/>
  <c r="T206" i="1"/>
  <c r="V206" i="1"/>
  <c r="X206" i="1"/>
  <c r="Z206" i="1"/>
  <c r="AB206" i="1"/>
  <c r="AD206" i="1"/>
  <c r="AF206" i="1"/>
  <c r="AH206" i="1"/>
  <c r="AJ206" i="1"/>
  <c r="AL206" i="1"/>
  <c r="AN206" i="1"/>
  <c r="AP206" i="1"/>
  <c r="AR206" i="1"/>
  <c r="AT206" i="1"/>
  <c r="AV206" i="1"/>
  <c r="AX206" i="1"/>
  <c r="D207" i="1"/>
  <c r="F207" i="1"/>
  <c r="H207" i="1"/>
  <c r="J207" i="1"/>
  <c r="L207" i="1"/>
  <c r="N207" i="1"/>
  <c r="P207" i="1"/>
  <c r="R207" i="1"/>
  <c r="T207" i="1"/>
  <c r="V207" i="1"/>
  <c r="X207" i="1"/>
  <c r="Z207" i="1"/>
  <c r="AB207" i="1"/>
  <c r="AD207" i="1"/>
  <c r="AF207" i="1"/>
  <c r="AH207" i="1"/>
  <c r="AJ207" i="1"/>
  <c r="AL207" i="1"/>
  <c r="AN207" i="1"/>
  <c r="AP207" i="1"/>
  <c r="AR207" i="1"/>
  <c r="AT207" i="1"/>
  <c r="AV207" i="1"/>
  <c r="AX207" i="1"/>
  <c r="D208" i="1"/>
  <c r="F208" i="1"/>
  <c r="H208" i="1"/>
  <c r="J208" i="1"/>
  <c r="L208" i="1"/>
  <c r="N208" i="1"/>
  <c r="P208" i="1"/>
  <c r="R208" i="1"/>
  <c r="T208" i="1"/>
  <c r="V208" i="1"/>
  <c r="X208" i="1"/>
  <c r="Z208" i="1"/>
  <c r="AB208" i="1"/>
  <c r="AD208" i="1"/>
  <c r="AF208" i="1"/>
  <c r="AH208" i="1"/>
  <c r="AJ208" i="1"/>
  <c r="AL208" i="1"/>
  <c r="AN208" i="1"/>
  <c r="AP208" i="1"/>
  <c r="AR208" i="1"/>
  <c r="AT208" i="1"/>
  <c r="AV208" i="1"/>
  <c r="AX208" i="1"/>
  <c r="D209" i="1"/>
  <c r="F209" i="1"/>
  <c r="H209" i="1"/>
  <c r="J209" i="1"/>
  <c r="L209" i="1"/>
  <c r="N209" i="1"/>
  <c r="P209" i="1"/>
  <c r="R209" i="1"/>
  <c r="T209" i="1"/>
  <c r="V209" i="1"/>
  <c r="X209" i="1"/>
  <c r="Z209" i="1"/>
  <c r="AB209" i="1"/>
  <c r="AD209" i="1"/>
  <c r="AF209" i="1"/>
  <c r="AH209" i="1"/>
  <c r="AJ209" i="1"/>
  <c r="AL209" i="1"/>
  <c r="AN209" i="1"/>
  <c r="AP209" i="1"/>
  <c r="AR209" i="1"/>
  <c r="AT209" i="1"/>
  <c r="AV209" i="1"/>
  <c r="AX209" i="1"/>
  <c r="D210" i="1"/>
  <c r="F210" i="1"/>
  <c r="H210" i="1"/>
  <c r="J210" i="1"/>
  <c r="L210" i="1"/>
  <c r="N210" i="1"/>
  <c r="P210" i="1"/>
  <c r="R210" i="1"/>
  <c r="T210" i="1"/>
  <c r="V210" i="1"/>
  <c r="X210" i="1"/>
  <c r="Z210" i="1"/>
  <c r="AB210" i="1"/>
  <c r="AD210" i="1"/>
  <c r="AF210" i="1"/>
  <c r="AH210" i="1"/>
  <c r="AJ210" i="1"/>
  <c r="AL210" i="1"/>
  <c r="AN210" i="1"/>
  <c r="AP210" i="1"/>
  <c r="AR210" i="1"/>
  <c r="AT210" i="1"/>
  <c r="AV210" i="1"/>
  <c r="AX210" i="1"/>
  <c r="D211" i="1"/>
  <c r="F211" i="1"/>
  <c r="H211" i="1"/>
  <c r="J211" i="1"/>
  <c r="L211" i="1"/>
  <c r="N211" i="1"/>
  <c r="P211" i="1"/>
  <c r="R211" i="1"/>
  <c r="T211" i="1"/>
  <c r="V211" i="1"/>
  <c r="X211" i="1"/>
  <c r="Z211" i="1"/>
  <c r="AB211" i="1"/>
  <c r="AD211" i="1"/>
  <c r="AF211" i="1"/>
  <c r="AH211" i="1"/>
  <c r="AJ211" i="1"/>
  <c r="AL211" i="1"/>
  <c r="AN211" i="1"/>
  <c r="AP211" i="1"/>
  <c r="AR211" i="1"/>
  <c r="AT211" i="1"/>
  <c r="AV211" i="1"/>
  <c r="AX211" i="1"/>
  <c r="D213" i="1"/>
  <c r="F213" i="1"/>
  <c r="H213" i="1"/>
  <c r="J213" i="1"/>
  <c r="L213" i="1"/>
  <c r="N213" i="1"/>
  <c r="P213" i="1"/>
  <c r="R213" i="1"/>
  <c r="T213" i="1"/>
  <c r="V213" i="1"/>
  <c r="X213" i="1"/>
  <c r="Z213" i="1"/>
  <c r="AB213" i="1"/>
  <c r="AD213" i="1"/>
  <c r="AF213" i="1"/>
  <c r="AH213" i="1"/>
  <c r="AJ213" i="1"/>
  <c r="AL213" i="1"/>
  <c r="AN213" i="1"/>
  <c r="AP213" i="1"/>
  <c r="AR213" i="1"/>
  <c r="AT213" i="1"/>
  <c r="AV213" i="1"/>
  <c r="AX213" i="1"/>
  <c r="D214" i="1"/>
  <c r="F214" i="1"/>
  <c r="H214" i="1"/>
  <c r="J214" i="1"/>
  <c r="L214" i="1"/>
  <c r="N214" i="1"/>
  <c r="P214" i="1"/>
  <c r="R214" i="1"/>
  <c r="T214" i="1"/>
  <c r="V214" i="1"/>
  <c r="X214" i="1"/>
  <c r="Z214" i="1"/>
  <c r="AB214" i="1"/>
  <c r="AD214" i="1"/>
  <c r="AF214" i="1"/>
  <c r="AH214" i="1"/>
  <c r="AJ214" i="1"/>
  <c r="AL214" i="1"/>
  <c r="AN214" i="1"/>
  <c r="AP214" i="1"/>
  <c r="AR214" i="1"/>
  <c r="AT214" i="1"/>
  <c r="AV214" i="1"/>
  <c r="AX214" i="1"/>
  <c r="D215" i="1"/>
  <c r="F215" i="1"/>
  <c r="H215" i="1"/>
  <c r="J215" i="1"/>
  <c r="L215" i="1"/>
  <c r="N215" i="1"/>
  <c r="P215" i="1"/>
  <c r="R215" i="1"/>
  <c r="T215" i="1"/>
  <c r="V215" i="1"/>
  <c r="X215" i="1"/>
  <c r="Z215" i="1"/>
  <c r="AB215" i="1"/>
  <c r="AD215" i="1"/>
  <c r="AF215" i="1"/>
  <c r="AH215" i="1"/>
  <c r="AJ215" i="1"/>
  <c r="AL215" i="1"/>
  <c r="AN215" i="1"/>
  <c r="AP215" i="1"/>
  <c r="AR215" i="1"/>
  <c r="AT215" i="1"/>
  <c r="AV215" i="1"/>
  <c r="AX215" i="1"/>
  <c r="D216" i="1"/>
  <c r="F216" i="1"/>
  <c r="H216" i="1"/>
  <c r="J216" i="1"/>
  <c r="L216" i="1"/>
  <c r="N216" i="1"/>
  <c r="P216" i="1"/>
  <c r="R216" i="1"/>
  <c r="T216" i="1"/>
  <c r="V216" i="1"/>
  <c r="X216" i="1"/>
  <c r="Z216" i="1"/>
  <c r="AB216" i="1"/>
  <c r="AD216" i="1"/>
  <c r="AF216" i="1"/>
  <c r="AH216" i="1"/>
  <c r="AJ216" i="1"/>
  <c r="AL216" i="1"/>
  <c r="AN216" i="1"/>
  <c r="AP216" i="1"/>
  <c r="AR216" i="1"/>
  <c r="AT216" i="1"/>
  <c r="AV216" i="1"/>
  <c r="AX216" i="1"/>
  <c r="D217" i="1"/>
  <c r="F217" i="1"/>
  <c r="H217" i="1"/>
  <c r="J217" i="1"/>
  <c r="L217" i="1"/>
  <c r="N217" i="1"/>
  <c r="P217" i="1"/>
  <c r="R217" i="1"/>
  <c r="T217" i="1"/>
  <c r="V217" i="1"/>
  <c r="X217" i="1"/>
  <c r="Z217" i="1"/>
  <c r="AB217" i="1"/>
  <c r="AD217" i="1"/>
  <c r="AF217" i="1"/>
  <c r="AH217" i="1"/>
  <c r="AJ217" i="1"/>
  <c r="AL217" i="1"/>
  <c r="AN217" i="1"/>
  <c r="AP217" i="1"/>
  <c r="AR217" i="1"/>
  <c r="AT217" i="1"/>
  <c r="AV217" i="1"/>
  <c r="AX217" i="1"/>
  <c r="D218" i="1"/>
  <c r="F218" i="1"/>
  <c r="H218" i="1"/>
  <c r="J218" i="1"/>
  <c r="L218" i="1"/>
  <c r="N218" i="1"/>
  <c r="P218" i="1"/>
  <c r="R218" i="1"/>
  <c r="T218" i="1"/>
  <c r="V218" i="1"/>
  <c r="X218" i="1"/>
  <c r="Z218" i="1"/>
  <c r="AB218" i="1"/>
  <c r="AD218" i="1"/>
  <c r="AF218" i="1"/>
  <c r="AH218" i="1"/>
  <c r="AJ218" i="1"/>
  <c r="AL218" i="1"/>
  <c r="AN218" i="1"/>
  <c r="AP218" i="1"/>
  <c r="AR218" i="1"/>
  <c r="AT218" i="1"/>
  <c r="AV218" i="1"/>
  <c r="AX218" i="1"/>
  <c r="D219" i="1"/>
  <c r="F219" i="1"/>
  <c r="H219" i="1"/>
  <c r="J219" i="1"/>
  <c r="L219" i="1"/>
  <c r="N219" i="1"/>
  <c r="P219" i="1"/>
  <c r="R219" i="1"/>
  <c r="T219" i="1"/>
  <c r="V219" i="1"/>
  <c r="X219" i="1"/>
  <c r="Z219" i="1"/>
  <c r="AB219" i="1"/>
  <c r="AD219" i="1"/>
  <c r="AF219" i="1"/>
  <c r="AH219" i="1"/>
  <c r="AJ219" i="1"/>
  <c r="AL219" i="1"/>
  <c r="AN219" i="1"/>
  <c r="AP219" i="1"/>
  <c r="AR219" i="1"/>
  <c r="AT219" i="1"/>
  <c r="AV219" i="1"/>
  <c r="AX219" i="1"/>
  <c r="D220" i="1"/>
  <c r="F220" i="1"/>
  <c r="H220" i="1"/>
  <c r="J220" i="1"/>
  <c r="L220" i="1"/>
  <c r="N220" i="1"/>
  <c r="P220" i="1"/>
  <c r="R220" i="1"/>
  <c r="T220" i="1"/>
  <c r="V220" i="1"/>
  <c r="X220" i="1"/>
  <c r="Z220" i="1"/>
  <c r="AB220" i="1"/>
  <c r="AD220" i="1"/>
  <c r="AF220" i="1"/>
  <c r="AH220" i="1"/>
  <c r="AJ220" i="1"/>
  <c r="AL220" i="1"/>
  <c r="AN220" i="1"/>
  <c r="AP220" i="1"/>
  <c r="AR220" i="1"/>
  <c r="AT220" i="1"/>
  <c r="AV220" i="1"/>
  <c r="AX220" i="1"/>
  <c r="D221" i="1"/>
  <c r="F221" i="1"/>
  <c r="H221" i="1"/>
  <c r="J221" i="1"/>
  <c r="L221" i="1"/>
  <c r="N221" i="1"/>
  <c r="P221" i="1"/>
  <c r="R221" i="1"/>
  <c r="T221" i="1"/>
  <c r="V221" i="1"/>
  <c r="X221" i="1"/>
  <c r="Z221" i="1"/>
  <c r="AB221" i="1"/>
  <c r="AD221" i="1"/>
  <c r="AF221" i="1"/>
  <c r="AH221" i="1"/>
  <c r="AJ221" i="1"/>
  <c r="AL221" i="1"/>
  <c r="AN221" i="1"/>
  <c r="AP221" i="1"/>
  <c r="AR221" i="1"/>
  <c r="AT221" i="1"/>
  <c r="AV221" i="1"/>
  <c r="AX221" i="1"/>
  <c r="D222" i="1"/>
  <c r="F222" i="1"/>
  <c r="H222" i="1"/>
  <c r="J222" i="1"/>
  <c r="L222" i="1"/>
  <c r="N222" i="1"/>
  <c r="P222" i="1"/>
  <c r="R222" i="1"/>
  <c r="T222" i="1"/>
  <c r="V222" i="1"/>
  <c r="X222" i="1"/>
  <c r="Z222" i="1"/>
  <c r="AB222" i="1"/>
  <c r="AD222" i="1"/>
  <c r="AF222" i="1"/>
  <c r="AH222" i="1"/>
  <c r="AJ222" i="1"/>
  <c r="AL222" i="1"/>
  <c r="AN222" i="1"/>
  <c r="AP222" i="1"/>
  <c r="AR222" i="1"/>
  <c r="AT222" i="1"/>
  <c r="AV222" i="1"/>
  <c r="AX222" i="1"/>
  <c r="D223" i="1"/>
  <c r="F223" i="1"/>
  <c r="H223" i="1"/>
  <c r="J223" i="1"/>
  <c r="L223" i="1"/>
  <c r="N223" i="1"/>
  <c r="P223" i="1"/>
  <c r="R223" i="1"/>
  <c r="T223" i="1"/>
  <c r="V223" i="1"/>
  <c r="X223" i="1"/>
  <c r="Z223" i="1"/>
  <c r="AB223" i="1"/>
  <c r="AD223" i="1"/>
  <c r="AF223" i="1"/>
  <c r="AH223" i="1"/>
  <c r="AJ223" i="1"/>
  <c r="AL223" i="1"/>
  <c r="AN223" i="1"/>
  <c r="AP223" i="1"/>
  <c r="AR223" i="1"/>
  <c r="AT223" i="1"/>
  <c r="AV223" i="1"/>
  <c r="AX223" i="1"/>
  <c r="D224" i="1"/>
  <c r="F224" i="1"/>
  <c r="H224" i="1"/>
  <c r="J224" i="1"/>
  <c r="L224" i="1"/>
  <c r="N224" i="1"/>
  <c r="P224" i="1"/>
  <c r="R224" i="1"/>
  <c r="T224" i="1"/>
  <c r="V224" i="1"/>
  <c r="X224" i="1"/>
  <c r="Z224" i="1"/>
  <c r="AB224" i="1"/>
  <c r="AD224" i="1"/>
  <c r="AF224" i="1"/>
  <c r="AH224" i="1"/>
  <c r="AJ224" i="1"/>
  <c r="AL224" i="1"/>
  <c r="AN224" i="1"/>
  <c r="AP224" i="1"/>
  <c r="AR224" i="1"/>
  <c r="AT224" i="1"/>
  <c r="AV224" i="1"/>
  <c r="AX224" i="1"/>
  <c r="D225" i="1"/>
  <c r="F225" i="1"/>
  <c r="H225" i="1"/>
  <c r="J225" i="1"/>
  <c r="L225" i="1"/>
  <c r="N225" i="1"/>
  <c r="P225" i="1"/>
  <c r="R225" i="1"/>
  <c r="T225" i="1"/>
  <c r="V225" i="1"/>
  <c r="X225" i="1"/>
  <c r="Z225" i="1"/>
  <c r="AB225" i="1"/>
  <c r="AD225" i="1"/>
  <c r="AF225" i="1"/>
  <c r="AH225" i="1"/>
  <c r="AJ225" i="1"/>
  <c r="AL225" i="1"/>
  <c r="AN225" i="1"/>
  <c r="AP225" i="1"/>
  <c r="AR225" i="1"/>
  <c r="AT225" i="1"/>
  <c r="AV225" i="1"/>
  <c r="AX225" i="1"/>
  <c r="D226" i="1"/>
  <c r="F226" i="1"/>
  <c r="H226" i="1"/>
  <c r="J226" i="1"/>
  <c r="L226" i="1"/>
  <c r="N226" i="1"/>
  <c r="P226" i="1"/>
  <c r="R226" i="1"/>
  <c r="T226" i="1"/>
  <c r="V226" i="1"/>
  <c r="X226" i="1"/>
  <c r="Z226" i="1"/>
  <c r="AB226" i="1"/>
  <c r="AD226" i="1"/>
  <c r="AF226" i="1"/>
  <c r="AH226" i="1"/>
  <c r="AJ226" i="1"/>
  <c r="AL226" i="1"/>
  <c r="AN226" i="1"/>
  <c r="AP226" i="1"/>
  <c r="AR226" i="1"/>
  <c r="AT226" i="1"/>
  <c r="AV226" i="1"/>
  <c r="AX226" i="1"/>
  <c r="D227" i="1"/>
  <c r="F227" i="1"/>
  <c r="H227" i="1"/>
  <c r="J227" i="1"/>
  <c r="L227" i="1"/>
  <c r="N227" i="1"/>
  <c r="P227" i="1"/>
  <c r="R227" i="1"/>
  <c r="T227" i="1"/>
  <c r="V227" i="1"/>
  <c r="X227" i="1"/>
  <c r="Z227" i="1"/>
  <c r="AB227" i="1"/>
  <c r="AD227" i="1"/>
  <c r="AF227" i="1"/>
  <c r="AH227" i="1"/>
  <c r="AJ227" i="1"/>
  <c r="AL227" i="1"/>
  <c r="AN227" i="1"/>
  <c r="AP227" i="1"/>
  <c r="AR227" i="1"/>
  <c r="AT227" i="1"/>
  <c r="AV227" i="1"/>
  <c r="AX227" i="1"/>
  <c r="D228" i="1"/>
  <c r="F228" i="1"/>
  <c r="H228" i="1"/>
  <c r="J228" i="1"/>
  <c r="L228" i="1"/>
  <c r="N228" i="1"/>
  <c r="P228" i="1"/>
  <c r="R228" i="1"/>
  <c r="T228" i="1"/>
  <c r="V228" i="1"/>
  <c r="X228" i="1"/>
  <c r="Z228" i="1"/>
  <c r="AB228" i="1"/>
  <c r="AD228" i="1"/>
  <c r="AF228" i="1"/>
  <c r="AH228" i="1"/>
  <c r="AJ228" i="1"/>
  <c r="AL228" i="1"/>
  <c r="AN228" i="1"/>
  <c r="AP228" i="1"/>
  <c r="AR228" i="1"/>
  <c r="AT228" i="1"/>
  <c r="AV228" i="1"/>
  <c r="AX228" i="1"/>
  <c r="D229" i="1"/>
  <c r="F229" i="1"/>
  <c r="H229" i="1"/>
  <c r="J229" i="1"/>
  <c r="L229" i="1"/>
  <c r="N229" i="1"/>
  <c r="P229" i="1"/>
  <c r="R229" i="1"/>
  <c r="T229" i="1"/>
  <c r="V229" i="1"/>
  <c r="X229" i="1"/>
  <c r="Z229" i="1"/>
  <c r="AB229" i="1"/>
  <c r="AD229" i="1"/>
  <c r="AF229" i="1"/>
  <c r="AH229" i="1"/>
  <c r="AJ229" i="1"/>
  <c r="AL229" i="1"/>
  <c r="AN229" i="1"/>
  <c r="AP229" i="1"/>
  <c r="AR229" i="1"/>
  <c r="AT229" i="1"/>
  <c r="AV229" i="1"/>
  <c r="AX229" i="1"/>
  <c r="D230" i="1"/>
  <c r="F230" i="1"/>
  <c r="H230" i="1"/>
  <c r="J230" i="1"/>
  <c r="L230" i="1"/>
  <c r="N230" i="1"/>
  <c r="P230" i="1"/>
  <c r="R230" i="1"/>
  <c r="T230" i="1"/>
  <c r="V230" i="1"/>
  <c r="X230" i="1"/>
  <c r="Z230" i="1"/>
  <c r="AB230" i="1"/>
  <c r="AD230" i="1"/>
  <c r="AF230" i="1"/>
  <c r="AH230" i="1"/>
  <c r="AJ230" i="1"/>
  <c r="AL230" i="1"/>
  <c r="AN230" i="1"/>
  <c r="AP230" i="1"/>
  <c r="AR230" i="1"/>
  <c r="AT230" i="1"/>
  <c r="AV230" i="1"/>
  <c r="AX230" i="1"/>
  <c r="D231" i="1"/>
  <c r="F231" i="1"/>
  <c r="H231" i="1"/>
  <c r="J231" i="1"/>
  <c r="L231" i="1"/>
  <c r="N231" i="1"/>
  <c r="P231" i="1"/>
  <c r="R231" i="1"/>
  <c r="T231" i="1"/>
  <c r="V231" i="1"/>
  <c r="X231" i="1"/>
  <c r="Z231" i="1"/>
  <c r="AB231" i="1"/>
  <c r="AD231" i="1"/>
  <c r="AF231" i="1"/>
  <c r="AH231" i="1"/>
  <c r="AJ231" i="1"/>
  <c r="AL231" i="1"/>
  <c r="AN231" i="1"/>
  <c r="AP231" i="1"/>
  <c r="AR231" i="1"/>
  <c r="AT231" i="1"/>
  <c r="AV231" i="1"/>
  <c r="AX231" i="1"/>
  <c r="D240" i="1"/>
  <c r="F240" i="1"/>
  <c r="H240" i="1"/>
  <c r="J240" i="1"/>
  <c r="L240" i="1"/>
  <c r="N240" i="1"/>
  <c r="P240" i="1"/>
  <c r="R240" i="1"/>
  <c r="T240" i="1"/>
  <c r="V240" i="1"/>
  <c r="X240" i="1"/>
  <c r="Z240" i="1"/>
  <c r="AB240" i="1"/>
  <c r="AD240" i="1"/>
  <c r="AF240" i="1"/>
  <c r="AH240" i="1"/>
  <c r="AJ240" i="1"/>
  <c r="AL240" i="1"/>
  <c r="AN240" i="1"/>
  <c r="AP240" i="1"/>
  <c r="AR240" i="1"/>
  <c r="AT240" i="1"/>
  <c r="AV240" i="1"/>
  <c r="AX240" i="1"/>
  <c r="D241" i="1"/>
  <c r="F241" i="1"/>
  <c r="H241" i="1"/>
  <c r="J241" i="1"/>
  <c r="L241" i="1"/>
  <c r="N241" i="1"/>
  <c r="P241" i="1"/>
  <c r="R241" i="1"/>
  <c r="T241" i="1"/>
  <c r="V241" i="1"/>
  <c r="X241" i="1"/>
  <c r="Z241" i="1"/>
  <c r="AB241" i="1"/>
  <c r="AD241" i="1"/>
  <c r="AF241" i="1"/>
  <c r="AH241" i="1"/>
  <c r="AJ241" i="1"/>
  <c r="AL241" i="1"/>
  <c r="AN241" i="1"/>
  <c r="AP241" i="1"/>
  <c r="AR241" i="1"/>
  <c r="AT241" i="1"/>
  <c r="AV241" i="1"/>
  <c r="AX241" i="1"/>
  <c r="D242" i="1"/>
  <c r="F242" i="1"/>
  <c r="H242" i="1"/>
  <c r="J242" i="1"/>
  <c r="L242" i="1"/>
  <c r="N242" i="1"/>
  <c r="P242" i="1"/>
  <c r="R242" i="1"/>
  <c r="T242" i="1"/>
  <c r="V242" i="1"/>
  <c r="X242" i="1"/>
  <c r="Z242" i="1"/>
  <c r="AB242" i="1"/>
  <c r="AD242" i="1"/>
  <c r="AF242" i="1"/>
  <c r="AH242" i="1"/>
  <c r="AJ242" i="1"/>
  <c r="AL242" i="1"/>
  <c r="AN242" i="1"/>
  <c r="AP242" i="1"/>
  <c r="AR242" i="1"/>
  <c r="AT242" i="1"/>
  <c r="AV242" i="1"/>
  <c r="AX242" i="1"/>
  <c r="D243" i="1"/>
  <c r="F243" i="1"/>
  <c r="H243" i="1"/>
  <c r="J243" i="1"/>
  <c r="L243" i="1"/>
  <c r="N243" i="1"/>
  <c r="P243" i="1"/>
  <c r="R243" i="1"/>
  <c r="T243" i="1"/>
  <c r="V243" i="1"/>
  <c r="X243" i="1"/>
  <c r="Z243" i="1"/>
  <c r="AB243" i="1"/>
  <c r="AD243" i="1"/>
  <c r="AF243" i="1"/>
  <c r="AH243" i="1"/>
  <c r="AJ243" i="1"/>
  <c r="AL243" i="1"/>
  <c r="AN243" i="1"/>
  <c r="AP243" i="1"/>
  <c r="AR243" i="1"/>
  <c r="AT243" i="1"/>
  <c r="AV243" i="1"/>
  <c r="AX243" i="1"/>
  <c r="D244" i="1"/>
  <c r="F244" i="1"/>
  <c r="H244" i="1"/>
  <c r="J244" i="1"/>
  <c r="L244" i="1"/>
  <c r="N244" i="1"/>
  <c r="P244" i="1"/>
  <c r="R244" i="1"/>
  <c r="T244" i="1"/>
  <c r="V244" i="1"/>
  <c r="X244" i="1"/>
  <c r="Z244" i="1"/>
  <c r="AB244" i="1"/>
  <c r="AD244" i="1"/>
  <c r="AF244" i="1"/>
  <c r="AH244" i="1"/>
  <c r="AJ244" i="1"/>
  <c r="AL244" i="1"/>
  <c r="AN244" i="1"/>
  <c r="AP244" i="1"/>
  <c r="AR244" i="1"/>
  <c r="AT244" i="1"/>
  <c r="AV244" i="1"/>
  <c r="AX244" i="1"/>
  <c r="D245" i="1"/>
  <c r="F245" i="1"/>
  <c r="H245" i="1"/>
  <c r="J245" i="1"/>
  <c r="L245" i="1"/>
  <c r="N245" i="1"/>
  <c r="P245" i="1"/>
  <c r="R245" i="1"/>
  <c r="T245" i="1"/>
  <c r="V245" i="1"/>
  <c r="X245" i="1"/>
  <c r="Z245" i="1"/>
  <c r="AB245" i="1"/>
  <c r="AD245" i="1"/>
  <c r="AF245" i="1"/>
  <c r="AH245" i="1"/>
  <c r="AJ245" i="1"/>
  <c r="AL245" i="1"/>
  <c r="AN245" i="1"/>
  <c r="AP245" i="1"/>
  <c r="AR245" i="1"/>
  <c r="AT245" i="1"/>
  <c r="AV245" i="1"/>
  <c r="AX245" i="1"/>
  <c r="D246" i="1"/>
  <c r="F246" i="1"/>
  <c r="H246" i="1"/>
  <c r="J246" i="1"/>
  <c r="L246" i="1"/>
  <c r="N246" i="1"/>
  <c r="P246" i="1"/>
  <c r="R246" i="1"/>
  <c r="T246" i="1"/>
  <c r="V246" i="1"/>
  <c r="X246" i="1"/>
  <c r="Z246" i="1"/>
  <c r="AB246" i="1"/>
  <c r="AD246" i="1"/>
  <c r="AF246" i="1"/>
  <c r="AH246" i="1"/>
  <c r="AJ246" i="1"/>
  <c r="AL246" i="1"/>
  <c r="AN246" i="1"/>
  <c r="AP246" i="1"/>
  <c r="AR246" i="1"/>
  <c r="AT246" i="1"/>
  <c r="AV246" i="1"/>
  <c r="AX246" i="1"/>
  <c r="D247" i="1"/>
  <c r="F247" i="1"/>
  <c r="H247" i="1"/>
  <c r="J247" i="1"/>
  <c r="L247" i="1"/>
  <c r="N247" i="1"/>
  <c r="P247" i="1"/>
  <c r="R247" i="1"/>
  <c r="T247" i="1"/>
  <c r="V247" i="1"/>
  <c r="X247" i="1"/>
  <c r="Z247" i="1"/>
  <c r="AB247" i="1"/>
  <c r="AD247" i="1"/>
  <c r="AF247" i="1"/>
  <c r="AH247" i="1"/>
  <c r="AJ247" i="1"/>
  <c r="AL247" i="1"/>
  <c r="AN247" i="1"/>
  <c r="AP247" i="1"/>
  <c r="AR247" i="1"/>
  <c r="AT247" i="1"/>
  <c r="AV247" i="1"/>
  <c r="AX247" i="1"/>
  <c r="D248" i="1"/>
  <c r="F248" i="1"/>
  <c r="H248" i="1"/>
  <c r="J248" i="1"/>
  <c r="L248" i="1"/>
  <c r="N248" i="1"/>
  <c r="P248" i="1"/>
  <c r="R248" i="1"/>
  <c r="T248" i="1"/>
  <c r="V248" i="1"/>
  <c r="X248" i="1"/>
  <c r="Z248" i="1"/>
  <c r="AB248" i="1"/>
  <c r="AD248" i="1"/>
  <c r="AF248" i="1"/>
  <c r="AH248" i="1"/>
  <c r="AJ248" i="1"/>
  <c r="AL248" i="1"/>
  <c r="AN248" i="1"/>
  <c r="AP248" i="1"/>
  <c r="AR248" i="1"/>
  <c r="AT248" i="1"/>
  <c r="AV248" i="1"/>
  <c r="AX248" i="1"/>
  <c r="D249" i="1"/>
  <c r="F249" i="1"/>
  <c r="H249" i="1"/>
  <c r="J249" i="1"/>
  <c r="L249" i="1"/>
  <c r="N249" i="1"/>
  <c r="P249" i="1"/>
  <c r="R249" i="1"/>
  <c r="T249" i="1"/>
  <c r="V249" i="1"/>
  <c r="X249" i="1"/>
  <c r="Z249" i="1"/>
  <c r="AB249" i="1"/>
  <c r="AD249" i="1"/>
  <c r="AF249" i="1"/>
  <c r="AH249" i="1"/>
  <c r="AJ249" i="1"/>
  <c r="AL249" i="1"/>
  <c r="AN249" i="1"/>
  <c r="AP249" i="1"/>
  <c r="AR249" i="1"/>
  <c r="AT249" i="1"/>
  <c r="AV249" i="1"/>
  <c r="AX249" i="1"/>
  <c r="D250" i="1"/>
  <c r="F250" i="1"/>
  <c r="H250" i="1"/>
  <c r="J250" i="1"/>
  <c r="L250" i="1"/>
  <c r="N250" i="1"/>
  <c r="P250" i="1"/>
  <c r="R250" i="1"/>
  <c r="T250" i="1"/>
  <c r="V250" i="1"/>
  <c r="X250" i="1"/>
  <c r="Z250" i="1"/>
  <c r="AB250" i="1"/>
  <c r="AD250" i="1"/>
  <c r="AF250" i="1"/>
  <c r="AH250" i="1"/>
  <c r="AJ250" i="1"/>
  <c r="AL250" i="1"/>
  <c r="AN250" i="1"/>
  <c r="AP250" i="1"/>
  <c r="AR250" i="1"/>
  <c r="AT250" i="1"/>
  <c r="AV250" i="1"/>
  <c r="AX250" i="1"/>
  <c r="D251" i="1"/>
  <c r="F251" i="1"/>
  <c r="H251" i="1"/>
  <c r="J251" i="1"/>
  <c r="L251" i="1"/>
  <c r="N251" i="1"/>
  <c r="P251" i="1"/>
  <c r="R251" i="1"/>
  <c r="T251" i="1"/>
  <c r="V251" i="1"/>
  <c r="X251" i="1"/>
  <c r="Z251" i="1"/>
  <c r="AB251" i="1"/>
  <c r="AD251" i="1"/>
  <c r="AF251" i="1"/>
  <c r="AH251" i="1"/>
  <c r="AJ251" i="1"/>
  <c r="AL251" i="1"/>
  <c r="AN251" i="1"/>
  <c r="AP251" i="1"/>
  <c r="AR251" i="1"/>
  <c r="AT251" i="1"/>
  <c r="AV251" i="1"/>
  <c r="AX251" i="1"/>
  <c r="D252" i="1"/>
  <c r="F252" i="1"/>
  <c r="H252" i="1"/>
  <c r="J252" i="1"/>
  <c r="L252" i="1"/>
  <c r="N252" i="1"/>
  <c r="P252" i="1"/>
  <c r="R252" i="1"/>
  <c r="T252" i="1"/>
  <c r="V252" i="1"/>
  <c r="X252" i="1"/>
  <c r="Z252" i="1"/>
  <c r="AB252" i="1"/>
  <c r="AD252" i="1"/>
  <c r="AF252" i="1"/>
  <c r="AH252" i="1"/>
  <c r="AJ252" i="1"/>
  <c r="AL252" i="1"/>
  <c r="AN252" i="1"/>
  <c r="AP252" i="1"/>
  <c r="AR252" i="1"/>
  <c r="AT252" i="1"/>
  <c r="AV252" i="1"/>
  <c r="AX252" i="1"/>
  <c r="D253" i="1"/>
  <c r="F253" i="1"/>
  <c r="H253" i="1"/>
  <c r="J253" i="1"/>
  <c r="L253" i="1"/>
  <c r="N253" i="1"/>
  <c r="P253" i="1"/>
  <c r="R253" i="1"/>
  <c r="T253" i="1"/>
  <c r="V253" i="1"/>
  <c r="X253" i="1"/>
  <c r="Z253" i="1"/>
  <c r="AB253" i="1"/>
  <c r="AD253" i="1"/>
  <c r="AF253" i="1"/>
  <c r="AH253" i="1"/>
  <c r="AJ253" i="1"/>
  <c r="AL253" i="1"/>
  <c r="AN253" i="1"/>
  <c r="AP253" i="1"/>
  <c r="AR253" i="1"/>
  <c r="AT253" i="1"/>
  <c r="AV253" i="1"/>
  <c r="AX253" i="1"/>
  <c r="D254" i="1"/>
  <c r="F254" i="1"/>
  <c r="H254" i="1"/>
  <c r="J254" i="1"/>
  <c r="L254" i="1"/>
  <c r="N254" i="1"/>
  <c r="P254" i="1"/>
  <c r="R254" i="1"/>
  <c r="T254" i="1"/>
  <c r="V254" i="1"/>
  <c r="X254" i="1"/>
  <c r="Z254" i="1"/>
  <c r="AB254" i="1"/>
  <c r="AD254" i="1"/>
  <c r="AF254" i="1"/>
  <c r="AH254" i="1"/>
  <c r="AJ254" i="1"/>
  <c r="AL254" i="1"/>
  <c r="AN254" i="1"/>
  <c r="AP254" i="1"/>
  <c r="AR254" i="1"/>
  <c r="AT254" i="1"/>
  <c r="AV254" i="1"/>
  <c r="AX254" i="1"/>
  <c r="D255" i="1"/>
  <c r="F255" i="1"/>
  <c r="H255" i="1"/>
  <c r="J255" i="1"/>
  <c r="L255" i="1"/>
  <c r="N255" i="1"/>
  <c r="P255" i="1"/>
  <c r="R255" i="1"/>
  <c r="T255" i="1"/>
  <c r="V255" i="1"/>
  <c r="X255" i="1"/>
  <c r="Z255" i="1"/>
  <c r="AB255" i="1"/>
  <c r="AD255" i="1"/>
  <c r="AF255" i="1"/>
  <c r="AH255" i="1"/>
  <c r="AJ255" i="1"/>
  <c r="AL255" i="1"/>
  <c r="AN255" i="1"/>
  <c r="AP255" i="1"/>
  <c r="AR255" i="1"/>
  <c r="AT255" i="1"/>
  <c r="AV255" i="1"/>
  <c r="AX255" i="1"/>
  <c r="D256" i="1"/>
  <c r="F256" i="1"/>
  <c r="H256" i="1"/>
  <c r="J256" i="1"/>
  <c r="L256" i="1"/>
  <c r="N256" i="1"/>
  <c r="P256" i="1"/>
  <c r="R256" i="1"/>
  <c r="T256" i="1"/>
  <c r="V256" i="1"/>
  <c r="X256" i="1"/>
  <c r="Z256" i="1"/>
  <c r="AB256" i="1"/>
  <c r="AD256" i="1"/>
  <c r="AF256" i="1"/>
  <c r="AH256" i="1"/>
  <c r="AJ256" i="1"/>
  <c r="AL256" i="1"/>
  <c r="AN256" i="1"/>
  <c r="AP256" i="1"/>
  <c r="AR256" i="1"/>
  <c r="AT256" i="1"/>
  <c r="AV256" i="1"/>
  <c r="AX256" i="1"/>
  <c r="D257" i="1"/>
  <c r="F257" i="1"/>
  <c r="H257" i="1"/>
  <c r="J257" i="1"/>
  <c r="L257" i="1"/>
  <c r="N257" i="1"/>
  <c r="P257" i="1"/>
  <c r="R257" i="1"/>
  <c r="T257" i="1"/>
  <c r="V257" i="1"/>
  <c r="X257" i="1"/>
  <c r="Z257" i="1"/>
  <c r="AB257" i="1"/>
  <c r="AD257" i="1"/>
  <c r="AF257" i="1"/>
  <c r="AH257" i="1"/>
  <c r="AJ257" i="1"/>
  <c r="AL257" i="1"/>
  <c r="AN257" i="1"/>
  <c r="AP257" i="1"/>
  <c r="AR257" i="1"/>
  <c r="AT257" i="1"/>
  <c r="AV257" i="1"/>
  <c r="AX257" i="1"/>
  <c r="D258" i="1"/>
  <c r="F258" i="1"/>
  <c r="H258" i="1"/>
  <c r="J258" i="1"/>
  <c r="L258" i="1"/>
  <c r="N258" i="1"/>
  <c r="P258" i="1"/>
  <c r="R258" i="1"/>
  <c r="T258" i="1"/>
  <c r="V258" i="1"/>
  <c r="X258" i="1"/>
  <c r="Z258" i="1"/>
  <c r="AB258" i="1"/>
  <c r="AD258" i="1"/>
  <c r="AF258" i="1"/>
  <c r="AH258" i="1"/>
  <c r="AJ258" i="1"/>
  <c r="AL258" i="1"/>
  <c r="AN258" i="1"/>
  <c r="AP258" i="1"/>
  <c r="AR258" i="1"/>
  <c r="AT258" i="1"/>
  <c r="AV258" i="1"/>
  <c r="AX258" i="1"/>
  <c r="D259" i="1"/>
  <c r="F259" i="1"/>
  <c r="H259" i="1"/>
  <c r="J259" i="1"/>
  <c r="L259" i="1"/>
  <c r="N259" i="1"/>
  <c r="P259" i="1"/>
  <c r="R259" i="1"/>
  <c r="T259" i="1"/>
  <c r="V259" i="1"/>
  <c r="X259" i="1"/>
  <c r="Z259" i="1"/>
  <c r="AB259" i="1"/>
  <c r="AD259" i="1"/>
  <c r="AF259" i="1"/>
  <c r="AH259" i="1"/>
  <c r="AJ259" i="1"/>
  <c r="AL259" i="1"/>
  <c r="AN259" i="1"/>
  <c r="AP259" i="1"/>
  <c r="AR259" i="1"/>
  <c r="AT259" i="1"/>
  <c r="AV259" i="1"/>
  <c r="AX259" i="1"/>
  <c r="D260" i="1"/>
  <c r="F260" i="1"/>
  <c r="H260" i="1"/>
  <c r="J260" i="1"/>
  <c r="L260" i="1"/>
  <c r="N260" i="1"/>
  <c r="P260" i="1"/>
  <c r="R260" i="1"/>
  <c r="T260" i="1"/>
  <c r="V260" i="1"/>
  <c r="X260" i="1"/>
  <c r="Z260" i="1"/>
  <c r="AB260" i="1"/>
  <c r="AD260" i="1"/>
  <c r="AF260" i="1"/>
  <c r="AH260" i="1"/>
  <c r="AJ260" i="1"/>
  <c r="AL260" i="1"/>
  <c r="AN260" i="1"/>
  <c r="AP260" i="1"/>
  <c r="AR260" i="1"/>
  <c r="AT260" i="1"/>
  <c r="AV260" i="1"/>
  <c r="AX260" i="1"/>
  <c r="D261" i="1"/>
  <c r="F261" i="1"/>
  <c r="H261" i="1"/>
  <c r="J261" i="1"/>
  <c r="L261" i="1"/>
  <c r="N261" i="1"/>
  <c r="P261" i="1"/>
  <c r="R261" i="1"/>
  <c r="T261" i="1"/>
  <c r="V261" i="1"/>
  <c r="X261" i="1"/>
  <c r="Z261" i="1"/>
  <c r="AB261" i="1"/>
  <c r="AD261" i="1"/>
  <c r="AF261" i="1"/>
  <c r="AH261" i="1"/>
  <c r="AJ261" i="1"/>
  <c r="AL261" i="1"/>
  <c r="AN261" i="1"/>
  <c r="AP261" i="1"/>
  <c r="AR261" i="1"/>
  <c r="AT261" i="1"/>
  <c r="AV261" i="1"/>
  <c r="AX261" i="1"/>
  <c r="D262" i="1"/>
  <c r="F262" i="1"/>
  <c r="H262" i="1"/>
  <c r="J262" i="1"/>
  <c r="L262" i="1"/>
  <c r="N262" i="1"/>
  <c r="P262" i="1"/>
  <c r="R262" i="1"/>
  <c r="T262" i="1"/>
  <c r="V262" i="1"/>
  <c r="X262" i="1"/>
  <c r="Z262" i="1"/>
  <c r="AB262" i="1"/>
  <c r="AD262" i="1"/>
  <c r="AF262" i="1"/>
  <c r="AH262" i="1"/>
  <c r="AJ262" i="1"/>
  <c r="AL262" i="1"/>
  <c r="AN262" i="1"/>
  <c r="AP262" i="1"/>
  <c r="AR262" i="1"/>
  <c r="AT262" i="1"/>
  <c r="AV262" i="1"/>
  <c r="AX262" i="1"/>
  <c r="D263" i="1"/>
  <c r="F263" i="1"/>
  <c r="H263" i="1"/>
  <c r="J263" i="1"/>
  <c r="L263" i="1"/>
  <c r="N263" i="1"/>
  <c r="P263" i="1"/>
  <c r="R263" i="1"/>
  <c r="T263" i="1"/>
  <c r="V263" i="1"/>
  <c r="X263" i="1"/>
  <c r="Z263" i="1"/>
  <c r="AB263" i="1"/>
  <c r="AD263" i="1"/>
  <c r="AF263" i="1"/>
  <c r="AH263" i="1"/>
  <c r="AJ263" i="1"/>
  <c r="AL263" i="1"/>
  <c r="AN263" i="1"/>
  <c r="AP263" i="1"/>
  <c r="AR263" i="1"/>
  <c r="AT263" i="1"/>
  <c r="AV263" i="1"/>
  <c r="AX263" i="1"/>
  <c r="D264" i="1"/>
  <c r="F264" i="1"/>
  <c r="H264" i="1"/>
  <c r="J264" i="1"/>
  <c r="L264" i="1"/>
  <c r="N264" i="1"/>
  <c r="P264" i="1"/>
  <c r="R264" i="1"/>
  <c r="T264" i="1"/>
  <c r="V264" i="1"/>
  <c r="X264" i="1"/>
  <c r="Z264" i="1"/>
  <c r="AB264" i="1"/>
  <c r="AD264" i="1"/>
  <c r="AF264" i="1"/>
  <c r="AH264" i="1"/>
  <c r="AJ264" i="1"/>
  <c r="AL264" i="1"/>
  <c r="AN264" i="1"/>
  <c r="AP264" i="1"/>
  <c r="AR264" i="1"/>
  <c r="AT264" i="1"/>
  <c r="AV264" i="1"/>
  <c r="AX264" i="1"/>
  <c r="D265" i="1"/>
  <c r="F265" i="1"/>
  <c r="H265" i="1"/>
  <c r="J265" i="1"/>
  <c r="L265" i="1"/>
  <c r="N265" i="1"/>
  <c r="P265" i="1"/>
  <c r="R265" i="1"/>
  <c r="T265" i="1"/>
  <c r="V265" i="1"/>
  <c r="X265" i="1"/>
  <c r="Z265" i="1"/>
  <c r="AB265" i="1"/>
  <c r="AD265" i="1"/>
  <c r="AF265" i="1"/>
  <c r="AH265" i="1"/>
  <c r="AJ265" i="1"/>
  <c r="AL265" i="1"/>
  <c r="AN265" i="1"/>
  <c r="AP265" i="1"/>
  <c r="AR265" i="1"/>
  <c r="AT265" i="1"/>
  <c r="AV265" i="1"/>
  <c r="AX265" i="1"/>
  <c r="D266" i="1"/>
  <c r="F266" i="1"/>
  <c r="H266" i="1"/>
  <c r="J266" i="1"/>
  <c r="L266" i="1"/>
  <c r="N266" i="1"/>
  <c r="P266" i="1"/>
  <c r="R266" i="1"/>
  <c r="T266" i="1"/>
  <c r="V266" i="1"/>
  <c r="X266" i="1"/>
  <c r="Z266" i="1"/>
  <c r="AB266" i="1"/>
  <c r="AD266" i="1"/>
  <c r="AF266" i="1"/>
  <c r="AH266" i="1"/>
  <c r="AJ266" i="1"/>
  <c r="AL266" i="1"/>
  <c r="AN266" i="1"/>
  <c r="AP266" i="1"/>
  <c r="AR266" i="1"/>
  <c r="AT266" i="1"/>
  <c r="AV266" i="1"/>
  <c r="AX266" i="1"/>
  <c r="D267" i="1"/>
  <c r="F267" i="1"/>
  <c r="H267" i="1"/>
  <c r="J267" i="1"/>
  <c r="L267" i="1"/>
  <c r="N267" i="1"/>
  <c r="P267" i="1"/>
  <c r="R267" i="1"/>
  <c r="T267" i="1"/>
  <c r="V267" i="1"/>
  <c r="X267" i="1"/>
  <c r="Z267" i="1"/>
  <c r="AB267" i="1"/>
  <c r="AD267" i="1"/>
  <c r="AF267" i="1"/>
  <c r="AH267" i="1"/>
  <c r="AJ267" i="1"/>
  <c r="AL267" i="1"/>
  <c r="AN267" i="1"/>
  <c r="AP267" i="1"/>
  <c r="AR267" i="1"/>
  <c r="AT267" i="1"/>
  <c r="AV267" i="1"/>
  <c r="AX267" i="1"/>
  <c r="D268" i="1"/>
  <c r="F268" i="1"/>
  <c r="H268" i="1"/>
  <c r="J268" i="1"/>
  <c r="L268" i="1"/>
  <c r="N268" i="1"/>
  <c r="P268" i="1"/>
  <c r="R268" i="1"/>
  <c r="T268" i="1"/>
  <c r="V268" i="1"/>
  <c r="X268" i="1"/>
  <c r="Z268" i="1"/>
  <c r="AB268" i="1"/>
  <c r="AD268" i="1"/>
  <c r="AF268" i="1"/>
  <c r="AH268" i="1"/>
  <c r="AJ268" i="1"/>
  <c r="AL268" i="1"/>
  <c r="AN268" i="1"/>
  <c r="AP268" i="1"/>
  <c r="AR268" i="1"/>
  <c r="AT268" i="1"/>
  <c r="AV268" i="1"/>
  <c r="AX268" i="1"/>
  <c r="D269" i="1"/>
  <c r="F269" i="1"/>
  <c r="H269" i="1"/>
  <c r="J269" i="1"/>
  <c r="L269" i="1"/>
  <c r="N269" i="1"/>
  <c r="P269" i="1"/>
  <c r="R269" i="1"/>
  <c r="T269" i="1"/>
  <c r="V269" i="1"/>
  <c r="X269" i="1"/>
  <c r="Z269" i="1"/>
  <c r="AB269" i="1"/>
  <c r="AD269" i="1"/>
  <c r="AF269" i="1"/>
  <c r="AH269" i="1"/>
  <c r="AJ269" i="1"/>
  <c r="AL269" i="1"/>
  <c r="AN269" i="1"/>
  <c r="AP269" i="1"/>
  <c r="AR269" i="1"/>
  <c r="AT269" i="1"/>
  <c r="AV269" i="1"/>
  <c r="AX269" i="1"/>
  <c r="D270" i="1"/>
  <c r="F270" i="1"/>
  <c r="H270" i="1"/>
  <c r="J270" i="1"/>
  <c r="L270" i="1"/>
  <c r="N270" i="1"/>
  <c r="P270" i="1"/>
  <c r="R270" i="1"/>
  <c r="T270" i="1"/>
  <c r="V270" i="1"/>
  <c r="X270" i="1"/>
  <c r="Z270" i="1"/>
  <c r="AB270" i="1"/>
  <c r="AD270" i="1"/>
  <c r="AF270" i="1"/>
  <c r="AH270" i="1"/>
  <c r="AJ270" i="1"/>
  <c r="AL270" i="1"/>
  <c r="AN270" i="1"/>
  <c r="AP270" i="1"/>
  <c r="AR270" i="1"/>
  <c r="AT270" i="1"/>
  <c r="AV270" i="1"/>
  <c r="AX270" i="1"/>
  <c r="D272" i="1"/>
  <c r="F272" i="1"/>
  <c r="H272" i="1"/>
  <c r="J272" i="1"/>
  <c r="L272" i="1"/>
  <c r="N272" i="1"/>
  <c r="P272" i="1"/>
  <c r="R272" i="1"/>
  <c r="T272" i="1"/>
  <c r="V272" i="1"/>
  <c r="X272" i="1"/>
  <c r="Z272" i="1"/>
  <c r="AB272" i="1"/>
  <c r="AD272" i="1"/>
  <c r="AF272" i="1"/>
  <c r="AH272" i="1"/>
  <c r="AJ272" i="1"/>
  <c r="AL272" i="1"/>
  <c r="AN272" i="1"/>
  <c r="AP272" i="1"/>
  <c r="AR272" i="1"/>
  <c r="AT272" i="1"/>
  <c r="AV272" i="1"/>
  <c r="AX272" i="1"/>
  <c r="D273" i="1"/>
  <c r="F273" i="1"/>
  <c r="H273" i="1"/>
  <c r="J273" i="1"/>
  <c r="L273" i="1"/>
  <c r="N273" i="1"/>
  <c r="P273" i="1"/>
  <c r="R273" i="1"/>
  <c r="T273" i="1"/>
  <c r="V273" i="1"/>
  <c r="X273" i="1"/>
  <c r="Z273" i="1"/>
  <c r="AB273" i="1"/>
  <c r="AD273" i="1"/>
  <c r="AF273" i="1"/>
  <c r="AH273" i="1"/>
  <c r="AJ273" i="1"/>
  <c r="AL273" i="1"/>
  <c r="AN273" i="1"/>
  <c r="AP273" i="1"/>
  <c r="AR273" i="1"/>
  <c r="AT273" i="1"/>
  <c r="AV273" i="1"/>
  <c r="AX273" i="1"/>
  <c r="D274" i="1"/>
  <c r="F274" i="1"/>
  <c r="H274" i="1"/>
  <c r="J274" i="1"/>
  <c r="L274" i="1"/>
  <c r="N274" i="1"/>
  <c r="P274" i="1"/>
  <c r="R274" i="1"/>
  <c r="T274" i="1"/>
  <c r="V274" i="1"/>
  <c r="X274" i="1"/>
  <c r="Z274" i="1"/>
  <c r="AB274" i="1"/>
  <c r="AD274" i="1"/>
  <c r="AF274" i="1"/>
  <c r="AH274" i="1"/>
  <c r="AJ274" i="1"/>
  <c r="AL274" i="1"/>
  <c r="AN274" i="1"/>
  <c r="AP274" i="1"/>
  <c r="AR274" i="1"/>
  <c r="AT274" i="1"/>
  <c r="AV274" i="1"/>
  <c r="AX274" i="1"/>
  <c r="D275" i="1"/>
  <c r="F275" i="1"/>
  <c r="H275" i="1"/>
  <c r="J275" i="1"/>
  <c r="L275" i="1"/>
  <c r="N275" i="1"/>
  <c r="P275" i="1"/>
  <c r="R275" i="1"/>
  <c r="T275" i="1"/>
  <c r="V275" i="1"/>
  <c r="X275" i="1"/>
  <c r="Z275" i="1"/>
  <c r="AB275" i="1"/>
  <c r="AD275" i="1"/>
  <c r="AF275" i="1"/>
  <c r="AH275" i="1"/>
  <c r="AJ275" i="1"/>
  <c r="AL275" i="1"/>
  <c r="AN275" i="1"/>
  <c r="AP275" i="1"/>
  <c r="AR275" i="1"/>
  <c r="AT275" i="1"/>
  <c r="AV275" i="1"/>
  <c r="AX275" i="1"/>
  <c r="D276" i="1"/>
  <c r="F276" i="1"/>
  <c r="H276" i="1"/>
  <c r="J276" i="1"/>
  <c r="L276" i="1"/>
  <c r="N276" i="1"/>
  <c r="P276" i="1"/>
  <c r="R276" i="1"/>
  <c r="T276" i="1"/>
  <c r="V276" i="1"/>
  <c r="X276" i="1"/>
  <c r="Z276" i="1"/>
  <c r="AB276" i="1"/>
  <c r="AD276" i="1"/>
  <c r="AF276" i="1"/>
  <c r="AH276" i="1"/>
  <c r="AJ276" i="1"/>
  <c r="AL276" i="1"/>
  <c r="AN276" i="1"/>
  <c r="AP276" i="1"/>
  <c r="AR276" i="1"/>
  <c r="AT276" i="1"/>
  <c r="AV276" i="1"/>
  <c r="AX276" i="1"/>
  <c r="D277" i="1"/>
  <c r="F277" i="1"/>
  <c r="H277" i="1"/>
  <c r="J277" i="1"/>
  <c r="L277" i="1"/>
  <c r="N277" i="1"/>
  <c r="P277" i="1"/>
  <c r="R277" i="1"/>
  <c r="T277" i="1"/>
  <c r="V277" i="1"/>
  <c r="X277" i="1"/>
  <c r="Z277" i="1"/>
  <c r="AB277" i="1"/>
  <c r="AD277" i="1"/>
  <c r="AF277" i="1"/>
  <c r="AH277" i="1"/>
  <c r="AJ277" i="1"/>
  <c r="AL277" i="1"/>
  <c r="AN277" i="1"/>
  <c r="AP277" i="1"/>
  <c r="AR277" i="1"/>
  <c r="AT277" i="1"/>
  <c r="AV277" i="1"/>
  <c r="AX277" i="1"/>
  <c r="D278" i="1"/>
  <c r="F278" i="1"/>
  <c r="H278" i="1"/>
  <c r="J278" i="1"/>
  <c r="L278" i="1"/>
  <c r="N278" i="1"/>
  <c r="P278" i="1"/>
  <c r="R278" i="1"/>
  <c r="T278" i="1"/>
  <c r="V278" i="1"/>
  <c r="X278" i="1"/>
  <c r="Z278" i="1"/>
  <c r="AB278" i="1"/>
  <c r="AD278" i="1"/>
  <c r="AF278" i="1"/>
  <c r="AH278" i="1"/>
  <c r="AJ278" i="1"/>
  <c r="AL278" i="1"/>
  <c r="AN278" i="1"/>
  <c r="AP278" i="1"/>
  <c r="AR278" i="1"/>
  <c r="AT278" i="1"/>
  <c r="AV278" i="1"/>
  <c r="AX278" i="1"/>
  <c r="D279" i="1"/>
  <c r="F279" i="1"/>
  <c r="H279" i="1"/>
  <c r="J279" i="1"/>
  <c r="L279" i="1"/>
  <c r="N279" i="1"/>
  <c r="P279" i="1"/>
  <c r="R279" i="1"/>
  <c r="T279" i="1"/>
  <c r="V279" i="1"/>
  <c r="X279" i="1"/>
  <c r="Z279" i="1"/>
  <c r="AB279" i="1"/>
  <c r="AD279" i="1"/>
  <c r="AF279" i="1"/>
  <c r="AH279" i="1"/>
  <c r="AJ279" i="1"/>
  <c r="AL279" i="1"/>
  <c r="AN279" i="1"/>
  <c r="AP279" i="1"/>
  <c r="AR279" i="1"/>
  <c r="AT279" i="1"/>
  <c r="AV279" i="1"/>
  <c r="AX279" i="1"/>
  <c r="D280" i="1"/>
  <c r="F280" i="1"/>
  <c r="H280" i="1"/>
  <c r="J280" i="1"/>
  <c r="L280" i="1"/>
  <c r="N280" i="1"/>
  <c r="P280" i="1"/>
  <c r="R280" i="1"/>
  <c r="T280" i="1"/>
  <c r="V280" i="1"/>
  <c r="X280" i="1"/>
  <c r="Z280" i="1"/>
  <c r="AB280" i="1"/>
  <c r="AD280" i="1"/>
  <c r="AF280" i="1"/>
  <c r="AH280" i="1"/>
  <c r="AJ280" i="1"/>
  <c r="AL280" i="1"/>
  <c r="AN280" i="1"/>
  <c r="AP280" i="1"/>
  <c r="AR280" i="1"/>
  <c r="AT280" i="1"/>
  <c r="AV280" i="1"/>
  <c r="AX280" i="1"/>
  <c r="D281" i="1"/>
  <c r="F281" i="1"/>
  <c r="H281" i="1"/>
  <c r="J281" i="1"/>
  <c r="L281" i="1"/>
  <c r="N281" i="1"/>
  <c r="P281" i="1"/>
  <c r="R281" i="1"/>
  <c r="T281" i="1"/>
  <c r="V281" i="1"/>
  <c r="X281" i="1"/>
  <c r="Z281" i="1"/>
  <c r="AB281" i="1"/>
  <c r="AD281" i="1"/>
  <c r="AF281" i="1"/>
  <c r="AH281" i="1"/>
  <c r="AJ281" i="1"/>
  <c r="AL281" i="1"/>
  <c r="AN281" i="1"/>
  <c r="AP281" i="1"/>
  <c r="AR281" i="1"/>
  <c r="AT281" i="1"/>
  <c r="AV281" i="1"/>
  <c r="AX281" i="1"/>
  <c r="D282" i="1"/>
  <c r="F282" i="1"/>
  <c r="H282" i="1"/>
  <c r="J282" i="1"/>
  <c r="L282" i="1"/>
  <c r="N282" i="1"/>
  <c r="P282" i="1"/>
  <c r="R282" i="1"/>
  <c r="T282" i="1"/>
  <c r="V282" i="1"/>
  <c r="X282" i="1"/>
  <c r="Z282" i="1"/>
  <c r="AB282" i="1"/>
  <c r="AD282" i="1"/>
  <c r="AF282" i="1"/>
  <c r="AH282" i="1"/>
  <c r="AJ282" i="1"/>
  <c r="AL282" i="1"/>
  <c r="AN282" i="1"/>
  <c r="AP282" i="1"/>
  <c r="AR282" i="1"/>
  <c r="AT282" i="1"/>
  <c r="AV282" i="1"/>
  <c r="AX282" i="1"/>
  <c r="D283" i="1"/>
  <c r="F283" i="1"/>
  <c r="H283" i="1"/>
  <c r="J283" i="1"/>
  <c r="L283" i="1"/>
  <c r="N283" i="1"/>
  <c r="P283" i="1"/>
  <c r="R283" i="1"/>
  <c r="T283" i="1"/>
  <c r="V283" i="1"/>
  <c r="X283" i="1"/>
  <c r="Z283" i="1"/>
  <c r="AB283" i="1"/>
  <c r="AD283" i="1"/>
  <c r="AF283" i="1"/>
  <c r="AH283" i="1"/>
  <c r="AJ283" i="1"/>
  <c r="AL283" i="1"/>
  <c r="AN283" i="1"/>
  <c r="AP283" i="1"/>
  <c r="AR283" i="1"/>
  <c r="AT283" i="1"/>
  <c r="AV283" i="1"/>
  <c r="AX283" i="1"/>
  <c r="D284" i="1"/>
  <c r="F284" i="1"/>
  <c r="H284" i="1"/>
  <c r="J284" i="1"/>
  <c r="L284" i="1"/>
  <c r="N284" i="1"/>
  <c r="P284" i="1"/>
  <c r="R284" i="1"/>
  <c r="T284" i="1"/>
  <c r="V284" i="1"/>
  <c r="X284" i="1"/>
  <c r="Z284" i="1"/>
  <c r="AB284" i="1"/>
  <c r="AD284" i="1"/>
  <c r="AF284" i="1"/>
  <c r="AH284" i="1"/>
  <c r="AJ284" i="1"/>
  <c r="AL284" i="1"/>
  <c r="AN284" i="1"/>
  <c r="AP284" i="1"/>
  <c r="AR284" i="1"/>
  <c r="AT284" i="1"/>
  <c r="AV284" i="1"/>
  <c r="AX284" i="1"/>
  <c r="D285" i="1"/>
  <c r="F285" i="1"/>
  <c r="H285" i="1"/>
  <c r="J285" i="1"/>
  <c r="L285" i="1"/>
  <c r="N285" i="1"/>
  <c r="P285" i="1"/>
  <c r="R285" i="1"/>
  <c r="T285" i="1"/>
  <c r="V285" i="1"/>
  <c r="X285" i="1"/>
  <c r="Z285" i="1"/>
  <c r="AB285" i="1"/>
  <c r="AD285" i="1"/>
  <c r="AF285" i="1"/>
  <c r="AH285" i="1"/>
  <c r="AJ285" i="1"/>
  <c r="AL285" i="1"/>
  <c r="AN285" i="1"/>
  <c r="AP285" i="1"/>
  <c r="AR285" i="1"/>
  <c r="AT285" i="1"/>
  <c r="AV285" i="1"/>
  <c r="AX285" i="1"/>
  <c r="D287" i="1"/>
  <c r="F287" i="1"/>
  <c r="H287" i="1"/>
  <c r="J287" i="1"/>
  <c r="L287" i="1"/>
  <c r="N287" i="1"/>
  <c r="P287" i="1"/>
  <c r="R287" i="1"/>
  <c r="T287" i="1"/>
  <c r="V287" i="1"/>
  <c r="X287" i="1"/>
  <c r="Z287" i="1"/>
  <c r="AB287" i="1"/>
  <c r="AD287" i="1"/>
  <c r="AF287" i="1"/>
  <c r="AH287" i="1"/>
  <c r="AJ287" i="1"/>
  <c r="AL287" i="1"/>
  <c r="AN287" i="1"/>
  <c r="AP287" i="1"/>
  <c r="AR287" i="1"/>
  <c r="AT287" i="1"/>
  <c r="AV287" i="1"/>
  <c r="AX287" i="1"/>
  <c r="D288" i="1"/>
  <c r="F288" i="1"/>
  <c r="H288" i="1"/>
  <c r="J288" i="1"/>
  <c r="L288" i="1"/>
  <c r="N288" i="1"/>
  <c r="P288" i="1"/>
  <c r="R288" i="1"/>
  <c r="T288" i="1"/>
  <c r="V288" i="1"/>
  <c r="X288" i="1"/>
  <c r="Z288" i="1"/>
  <c r="AB288" i="1"/>
  <c r="AD288" i="1"/>
  <c r="AF288" i="1"/>
  <c r="AH288" i="1"/>
  <c r="AJ288" i="1"/>
  <c r="AL288" i="1"/>
  <c r="AN288" i="1"/>
  <c r="AP288" i="1"/>
  <c r="AR288" i="1"/>
  <c r="AT288" i="1"/>
  <c r="AV288" i="1"/>
  <c r="AX288" i="1"/>
  <c r="D289" i="1"/>
  <c r="F289" i="1"/>
  <c r="H289" i="1"/>
  <c r="J289" i="1"/>
  <c r="L289" i="1"/>
  <c r="N289" i="1"/>
  <c r="P289" i="1"/>
  <c r="R289" i="1"/>
  <c r="T289" i="1"/>
  <c r="V289" i="1"/>
  <c r="X289" i="1"/>
  <c r="Z289" i="1"/>
  <c r="AB289" i="1"/>
  <c r="AD289" i="1"/>
  <c r="AF289" i="1"/>
  <c r="AH289" i="1"/>
  <c r="AJ289" i="1"/>
  <c r="AL289" i="1"/>
  <c r="AN289" i="1"/>
  <c r="AP289" i="1"/>
  <c r="AR289" i="1"/>
  <c r="AT289" i="1"/>
  <c r="AV289" i="1"/>
  <c r="AX289" i="1"/>
  <c r="D290" i="1"/>
  <c r="F290" i="1"/>
  <c r="H290" i="1"/>
  <c r="J290" i="1"/>
  <c r="L290" i="1"/>
  <c r="N290" i="1"/>
  <c r="P290" i="1"/>
  <c r="R290" i="1"/>
  <c r="T290" i="1"/>
  <c r="V290" i="1"/>
  <c r="X290" i="1"/>
  <c r="Z290" i="1"/>
  <c r="AB290" i="1"/>
  <c r="AD290" i="1"/>
  <c r="AF290" i="1"/>
  <c r="AH290" i="1"/>
  <c r="AJ290" i="1"/>
  <c r="AL290" i="1"/>
  <c r="AN290" i="1"/>
  <c r="AP290" i="1"/>
  <c r="AR290" i="1"/>
  <c r="AT290" i="1"/>
  <c r="AV290" i="1"/>
  <c r="AX290" i="1"/>
  <c r="D291" i="1"/>
  <c r="F291" i="1"/>
  <c r="H291" i="1"/>
  <c r="J291" i="1"/>
  <c r="L291" i="1"/>
  <c r="N291" i="1"/>
  <c r="P291" i="1"/>
  <c r="R291" i="1"/>
  <c r="T291" i="1"/>
  <c r="V291" i="1"/>
  <c r="X291" i="1"/>
  <c r="Z291" i="1"/>
  <c r="AB291" i="1"/>
  <c r="AD291" i="1"/>
  <c r="AF291" i="1"/>
  <c r="AH291" i="1"/>
  <c r="AJ291" i="1"/>
  <c r="AL291" i="1"/>
  <c r="AN291" i="1"/>
  <c r="AP291" i="1"/>
  <c r="AR291" i="1"/>
  <c r="AT291" i="1"/>
  <c r="AV291" i="1"/>
  <c r="AX291" i="1"/>
  <c r="D292" i="1"/>
  <c r="F292" i="1"/>
  <c r="H292" i="1"/>
  <c r="J292" i="1"/>
  <c r="L292" i="1"/>
  <c r="N292" i="1"/>
  <c r="P292" i="1"/>
  <c r="R292" i="1"/>
  <c r="T292" i="1"/>
  <c r="V292" i="1"/>
  <c r="X292" i="1"/>
  <c r="Z292" i="1"/>
  <c r="AB292" i="1"/>
  <c r="AD292" i="1"/>
  <c r="AF292" i="1"/>
  <c r="AH292" i="1"/>
  <c r="AJ292" i="1"/>
  <c r="AL292" i="1"/>
  <c r="AN292" i="1"/>
  <c r="AP292" i="1"/>
  <c r="AR292" i="1"/>
  <c r="AT292" i="1"/>
  <c r="AV292" i="1"/>
  <c r="AX292" i="1"/>
  <c r="D293" i="1"/>
  <c r="F293" i="1"/>
  <c r="H293" i="1"/>
  <c r="J293" i="1"/>
  <c r="L293" i="1"/>
  <c r="N293" i="1"/>
  <c r="P293" i="1"/>
  <c r="R293" i="1"/>
  <c r="T293" i="1"/>
  <c r="V293" i="1"/>
  <c r="X293" i="1"/>
  <c r="Z293" i="1"/>
  <c r="AB293" i="1"/>
  <c r="AD293" i="1"/>
  <c r="AF293" i="1"/>
  <c r="AH293" i="1"/>
  <c r="AJ293" i="1"/>
  <c r="AL293" i="1"/>
  <c r="AN293" i="1"/>
  <c r="AP293" i="1"/>
  <c r="AR293" i="1"/>
  <c r="AT293" i="1"/>
  <c r="AV293" i="1"/>
  <c r="AX293" i="1"/>
  <c r="D294" i="1"/>
  <c r="F294" i="1"/>
  <c r="H294" i="1"/>
  <c r="J294" i="1"/>
  <c r="L294" i="1"/>
  <c r="N294" i="1"/>
  <c r="P294" i="1"/>
  <c r="R294" i="1"/>
  <c r="T294" i="1"/>
  <c r="V294" i="1"/>
  <c r="X294" i="1"/>
  <c r="Z294" i="1"/>
  <c r="AB294" i="1"/>
  <c r="AD294" i="1"/>
  <c r="AF294" i="1"/>
  <c r="AH294" i="1"/>
  <c r="AJ294" i="1"/>
  <c r="AL294" i="1"/>
  <c r="AN294" i="1"/>
  <c r="AP294" i="1"/>
  <c r="AR294" i="1"/>
  <c r="AT294" i="1"/>
  <c r="AV294" i="1"/>
  <c r="AX294" i="1"/>
  <c r="D295" i="1"/>
  <c r="F295" i="1"/>
  <c r="H295" i="1"/>
  <c r="J295" i="1"/>
  <c r="L295" i="1"/>
  <c r="N295" i="1"/>
  <c r="P295" i="1"/>
  <c r="R295" i="1"/>
  <c r="T295" i="1"/>
  <c r="V295" i="1"/>
  <c r="X295" i="1"/>
  <c r="Z295" i="1"/>
  <c r="AB295" i="1"/>
  <c r="AD295" i="1"/>
  <c r="AF295" i="1"/>
  <c r="AH295" i="1"/>
  <c r="AJ295" i="1"/>
  <c r="AL295" i="1"/>
  <c r="AN295" i="1"/>
  <c r="AP295" i="1"/>
  <c r="AR295" i="1"/>
  <c r="AT295" i="1"/>
  <c r="AV295" i="1"/>
  <c r="AX295" i="1"/>
  <c r="F296" i="1"/>
  <c r="H296" i="1"/>
  <c r="J296" i="1"/>
  <c r="L296" i="1"/>
  <c r="N296" i="1"/>
  <c r="P296" i="1"/>
  <c r="R296" i="1"/>
  <c r="T296" i="1"/>
  <c r="V296" i="1"/>
  <c r="X296" i="1"/>
  <c r="Z296" i="1"/>
  <c r="AB296" i="1"/>
  <c r="AD296" i="1"/>
  <c r="AF296" i="1"/>
  <c r="AH296" i="1"/>
  <c r="AJ296" i="1"/>
  <c r="AL296" i="1"/>
  <c r="AN296" i="1"/>
  <c r="AP296" i="1"/>
  <c r="AR296" i="1"/>
  <c r="AT296" i="1"/>
  <c r="AV296" i="1"/>
  <c r="AX296" i="1"/>
  <c r="F297" i="1"/>
  <c r="H297" i="1"/>
  <c r="J297" i="1"/>
  <c r="L297" i="1"/>
  <c r="N297" i="1"/>
  <c r="P297" i="1"/>
  <c r="R297" i="1"/>
  <c r="T297" i="1"/>
  <c r="V297" i="1"/>
  <c r="X297" i="1"/>
  <c r="Z297" i="1"/>
  <c r="AB297" i="1"/>
  <c r="AD297" i="1"/>
  <c r="AF297" i="1"/>
  <c r="AH297" i="1"/>
  <c r="AJ297" i="1"/>
  <c r="AL297" i="1"/>
  <c r="AN297" i="1"/>
  <c r="AP297" i="1"/>
  <c r="AR297" i="1"/>
  <c r="AT297" i="1"/>
  <c r="AV297" i="1"/>
  <c r="AX297" i="1"/>
  <c r="D298" i="1"/>
  <c r="F298" i="1"/>
  <c r="H298" i="1"/>
  <c r="J298" i="1"/>
  <c r="L298" i="1"/>
  <c r="N298" i="1"/>
  <c r="P298" i="1"/>
  <c r="R298" i="1"/>
  <c r="T298" i="1"/>
  <c r="V298" i="1"/>
  <c r="X298" i="1"/>
  <c r="Z298" i="1"/>
  <c r="AB298" i="1"/>
  <c r="AD298" i="1"/>
  <c r="AF298" i="1"/>
  <c r="AH298" i="1"/>
  <c r="AJ298" i="1"/>
  <c r="AL298" i="1"/>
  <c r="AN298" i="1"/>
  <c r="AP298" i="1"/>
  <c r="AR298" i="1"/>
  <c r="AT298" i="1"/>
  <c r="AV298" i="1"/>
  <c r="AX298" i="1"/>
  <c r="D299" i="1"/>
  <c r="F299" i="1"/>
  <c r="H299" i="1"/>
  <c r="J299" i="1"/>
  <c r="L299" i="1"/>
  <c r="N299" i="1"/>
  <c r="P299" i="1"/>
  <c r="R299" i="1"/>
  <c r="T299" i="1"/>
  <c r="V299" i="1"/>
  <c r="X299" i="1"/>
  <c r="Z299" i="1"/>
  <c r="AB299" i="1"/>
  <c r="AD299" i="1"/>
  <c r="AF299" i="1"/>
  <c r="AH299" i="1"/>
  <c r="AJ299" i="1"/>
  <c r="AL299" i="1"/>
  <c r="AN299" i="1"/>
  <c r="AP299" i="1"/>
  <c r="AR299" i="1"/>
  <c r="AT299" i="1"/>
  <c r="AV299" i="1"/>
  <c r="AX299" i="1"/>
  <c r="D300" i="1"/>
  <c r="F300" i="1"/>
  <c r="H300" i="1"/>
  <c r="J300" i="1"/>
  <c r="L300" i="1"/>
  <c r="N300" i="1"/>
  <c r="P300" i="1"/>
  <c r="R300" i="1"/>
  <c r="T300" i="1"/>
  <c r="V300" i="1"/>
  <c r="X300" i="1"/>
  <c r="Z300" i="1"/>
  <c r="AB300" i="1"/>
  <c r="AD300" i="1"/>
  <c r="AF300" i="1"/>
  <c r="AH300" i="1"/>
  <c r="AJ300" i="1"/>
  <c r="AL300" i="1"/>
  <c r="AN300" i="1"/>
  <c r="AP300" i="1"/>
  <c r="AR300" i="1"/>
  <c r="AT300" i="1"/>
  <c r="AV300" i="1"/>
  <c r="AX300" i="1"/>
  <c r="D301" i="1"/>
  <c r="F301" i="1"/>
  <c r="H301" i="1"/>
  <c r="J301" i="1"/>
  <c r="L301" i="1"/>
  <c r="N301" i="1"/>
  <c r="P301" i="1"/>
  <c r="R301" i="1"/>
  <c r="T301" i="1"/>
  <c r="V301" i="1"/>
  <c r="X301" i="1"/>
  <c r="Z301" i="1"/>
  <c r="AB301" i="1"/>
  <c r="AD301" i="1"/>
  <c r="AF301" i="1"/>
  <c r="AH301" i="1"/>
  <c r="AJ301" i="1"/>
  <c r="AL301" i="1"/>
  <c r="AN301" i="1"/>
  <c r="AP301" i="1"/>
  <c r="AR301" i="1"/>
  <c r="AT301" i="1"/>
  <c r="AV301" i="1"/>
  <c r="AX301" i="1"/>
  <c r="D302" i="1"/>
  <c r="F302" i="1"/>
  <c r="H302" i="1"/>
  <c r="J302" i="1"/>
  <c r="L302" i="1"/>
  <c r="N302" i="1"/>
  <c r="P302" i="1"/>
  <c r="R302" i="1"/>
  <c r="T302" i="1"/>
  <c r="V302" i="1"/>
  <c r="X302" i="1"/>
  <c r="Z302" i="1"/>
  <c r="AB302" i="1"/>
  <c r="AD302" i="1"/>
  <c r="AF302" i="1"/>
  <c r="AH302" i="1"/>
  <c r="AJ302" i="1"/>
  <c r="AL302" i="1"/>
  <c r="AN302" i="1"/>
  <c r="AP302" i="1"/>
  <c r="AR302" i="1"/>
  <c r="AT302" i="1"/>
  <c r="AV302" i="1"/>
  <c r="AX302" i="1"/>
  <c r="D303" i="1"/>
  <c r="F303" i="1"/>
  <c r="H303" i="1"/>
  <c r="J303" i="1"/>
  <c r="L303" i="1"/>
  <c r="N303" i="1"/>
  <c r="P303" i="1"/>
  <c r="R303" i="1"/>
  <c r="T303" i="1"/>
  <c r="V303" i="1"/>
  <c r="X303" i="1"/>
  <c r="Z303" i="1"/>
  <c r="AB303" i="1"/>
  <c r="AD303" i="1"/>
  <c r="AF303" i="1"/>
  <c r="AH303" i="1"/>
  <c r="AJ303" i="1"/>
  <c r="AL303" i="1"/>
  <c r="AN303" i="1"/>
  <c r="AP303" i="1"/>
  <c r="AR303" i="1"/>
  <c r="AT303" i="1"/>
  <c r="AV303" i="1"/>
  <c r="AX303" i="1"/>
  <c r="D304" i="1"/>
  <c r="F304" i="1"/>
  <c r="H304" i="1"/>
  <c r="J304" i="1"/>
  <c r="L304" i="1"/>
  <c r="N304" i="1"/>
  <c r="P304" i="1"/>
  <c r="R304" i="1"/>
  <c r="T304" i="1"/>
  <c r="V304" i="1"/>
  <c r="X304" i="1"/>
  <c r="Z304" i="1"/>
  <c r="AB304" i="1"/>
  <c r="AD304" i="1"/>
  <c r="AF304" i="1"/>
  <c r="AH304" i="1"/>
  <c r="AJ304" i="1"/>
  <c r="AL304" i="1"/>
  <c r="AN304" i="1"/>
  <c r="AP304" i="1"/>
  <c r="AR304" i="1"/>
  <c r="AT304" i="1"/>
  <c r="AV304" i="1"/>
  <c r="AX304" i="1"/>
  <c r="D305" i="1"/>
  <c r="F305" i="1"/>
  <c r="H305" i="1"/>
  <c r="J305" i="1"/>
  <c r="L305" i="1"/>
  <c r="N305" i="1"/>
  <c r="P305" i="1"/>
  <c r="R305" i="1"/>
  <c r="T305" i="1"/>
  <c r="V305" i="1"/>
  <c r="X305" i="1"/>
  <c r="Z305" i="1"/>
  <c r="AB305" i="1"/>
  <c r="AD305" i="1"/>
  <c r="AF305" i="1"/>
  <c r="AH305" i="1"/>
  <c r="AJ305" i="1"/>
  <c r="AL305" i="1"/>
  <c r="AN305" i="1"/>
  <c r="AP305" i="1"/>
  <c r="AR305" i="1"/>
  <c r="AT305" i="1"/>
  <c r="AV305" i="1"/>
  <c r="AX305" i="1"/>
  <c r="D306" i="1"/>
  <c r="F306" i="1"/>
  <c r="H306" i="1"/>
  <c r="J306" i="1"/>
  <c r="L306" i="1"/>
  <c r="N306" i="1"/>
  <c r="P306" i="1"/>
  <c r="R306" i="1"/>
  <c r="T306" i="1"/>
  <c r="V306" i="1"/>
  <c r="X306" i="1"/>
  <c r="Z306" i="1"/>
  <c r="AB306" i="1"/>
  <c r="AD306" i="1"/>
  <c r="AF306" i="1"/>
  <c r="AH306" i="1"/>
  <c r="AJ306" i="1"/>
  <c r="AL306" i="1"/>
  <c r="AN306" i="1"/>
  <c r="AP306" i="1"/>
  <c r="AR306" i="1"/>
  <c r="AT306" i="1"/>
  <c r="AV306" i="1"/>
  <c r="AX306" i="1"/>
  <c r="D307" i="1"/>
  <c r="F307" i="1"/>
  <c r="H307" i="1"/>
  <c r="J307" i="1"/>
  <c r="L307" i="1"/>
  <c r="N307" i="1"/>
  <c r="P307" i="1"/>
  <c r="R307" i="1"/>
  <c r="T307" i="1"/>
  <c r="V307" i="1"/>
  <c r="X307" i="1"/>
  <c r="Z307" i="1"/>
  <c r="AB307" i="1"/>
  <c r="AD307" i="1"/>
  <c r="AF307" i="1"/>
  <c r="AH307" i="1"/>
  <c r="AJ307" i="1"/>
  <c r="AL307" i="1"/>
  <c r="AN307" i="1"/>
  <c r="AP307" i="1"/>
  <c r="AR307" i="1"/>
  <c r="AT307" i="1"/>
  <c r="AV307" i="1"/>
  <c r="AX307" i="1"/>
  <c r="D308" i="1"/>
  <c r="F308" i="1"/>
  <c r="H308" i="1"/>
  <c r="J308" i="1"/>
  <c r="L308" i="1"/>
  <c r="N308" i="1"/>
  <c r="P308" i="1"/>
  <c r="R308" i="1"/>
  <c r="T308" i="1"/>
  <c r="V308" i="1"/>
  <c r="X308" i="1"/>
  <c r="Z308" i="1"/>
  <c r="AB308" i="1"/>
  <c r="AD308" i="1"/>
  <c r="AF308" i="1"/>
  <c r="AH308" i="1"/>
  <c r="AJ308" i="1"/>
  <c r="AL308" i="1"/>
  <c r="AN308" i="1"/>
  <c r="AP308" i="1"/>
  <c r="AR308" i="1"/>
  <c r="AT308" i="1"/>
  <c r="AV308" i="1"/>
  <c r="AX308" i="1"/>
  <c r="D309" i="1"/>
  <c r="F309" i="1"/>
  <c r="H309" i="1"/>
  <c r="J309" i="1"/>
  <c r="L309" i="1"/>
  <c r="N309" i="1"/>
  <c r="P309" i="1"/>
  <c r="R309" i="1"/>
  <c r="T309" i="1"/>
  <c r="V309" i="1"/>
  <c r="X309" i="1"/>
  <c r="Z309" i="1"/>
  <c r="AB309" i="1"/>
  <c r="AD309" i="1"/>
  <c r="AF309" i="1"/>
  <c r="AH309" i="1"/>
  <c r="AJ309" i="1"/>
  <c r="AL309" i="1"/>
  <c r="AN309" i="1"/>
  <c r="AP309" i="1"/>
  <c r="AR309" i="1"/>
  <c r="AT309" i="1"/>
  <c r="AV309" i="1"/>
  <c r="AX309" i="1"/>
  <c r="D310" i="1"/>
  <c r="F310" i="1"/>
  <c r="H310" i="1"/>
  <c r="J310" i="1"/>
  <c r="L310" i="1"/>
  <c r="N310" i="1"/>
  <c r="P310" i="1"/>
  <c r="R310" i="1"/>
  <c r="T310" i="1"/>
  <c r="V310" i="1"/>
  <c r="X310" i="1"/>
  <c r="Z310" i="1"/>
  <c r="AB310" i="1"/>
  <c r="AD310" i="1"/>
  <c r="AF310" i="1"/>
  <c r="AH310" i="1"/>
  <c r="AJ310" i="1"/>
  <c r="AL310" i="1"/>
  <c r="AN310" i="1"/>
  <c r="AP310" i="1"/>
  <c r="AR310" i="1"/>
  <c r="AT310" i="1"/>
  <c r="AV310" i="1"/>
  <c r="AX310" i="1"/>
  <c r="D311" i="1"/>
  <c r="F311" i="1"/>
  <c r="H311" i="1"/>
  <c r="J311" i="1"/>
  <c r="L311" i="1"/>
  <c r="N311" i="1"/>
  <c r="P311" i="1"/>
  <c r="R311" i="1"/>
  <c r="T311" i="1"/>
  <c r="V311" i="1"/>
  <c r="X311" i="1"/>
  <c r="Z311" i="1"/>
  <c r="AB311" i="1"/>
  <c r="AD311" i="1"/>
  <c r="AF311" i="1"/>
  <c r="AH311" i="1"/>
  <c r="AJ311" i="1"/>
  <c r="AL311" i="1"/>
  <c r="AN311" i="1"/>
  <c r="AP311" i="1"/>
  <c r="AR311" i="1"/>
  <c r="AT311" i="1"/>
  <c r="AV311" i="1"/>
  <c r="AX311" i="1"/>
  <c r="D312" i="1"/>
  <c r="F312" i="1"/>
  <c r="H312" i="1"/>
  <c r="J312" i="1"/>
  <c r="L312" i="1"/>
  <c r="N312" i="1"/>
  <c r="P312" i="1"/>
  <c r="R312" i="1"/>
  <c r="T312" i="1"/>
  <c r="V312" i="1"/>
  <c r="X312" i="1"/>
  <c r="Z312" i="1"/>
  <c r="AB312" i="1"/>
  <c r="AD312" i="1"/>
  <c r="AF312" i="1"/>
  <c r="AH312" i="1"/>
  <c r="AJ312" i="1"/>
  <c r="AL312" i="1"/>
  <c r="AN312" i="1"/>
  <c r="AP312" i="1"/>
  <c r="AR312" i="1"/>
  <c r="AT312" i="1"/>
  <c r="AV312" i="1"/>
  <c r="AX312" i="1"/>
  <c r="D313" i="1"/>
  <c r="F313" i="1"/>
  <c r="H313" i="1"/>
  <c r="J313" i="1"/>
  <c r="L313" i="1"/>
  <c r="N313" i="1"/>
  <c r="P313" i="1"/>
  <c r="R313" i="1"/>
  <c r="T313" i="1"/>
  <c r="V313" i="1"/>
  <c r="X313" i="1"/>
  <c r="Z313" i="1"/>
  <c r="AB313" i="1"/>
  <c r="AD313" i="1"/>
  <c r="AF313" i="1"/>
  <c r="AH313" i="1"/>
  <c r="AJ313" i="1"/>
  <c r="AL313" i="1"/>
  <c r="AN313" i="1"/>
  <c r="AP313" i="1"/>
  <c r="AR313" i="1"/>
  <c r="AT313" i="1"/>
  <c r="AV313" i="1"/>
  <c r="AX313" i="1"/>
  <c r="D314" i="1"/>
  <c r="F314" i="1"/>
  <c r="H314" i="1"/>
  <c r="J314" i="1"/>
  <c r="L314" i="1"/>
  <c r="N314" i="1"/>
  <c r="P314" i="1"/>
  <c r="R314" i="1"/>
  <c r="T314" i="1"/>
  <c r="V314" i="1"/>
  <c r="X314" i="1"/>
  <c r="Z314" i="1"/>
  <c r="AB314" i="1"/>
  <c r="AD314" i="1"/>
  <c r="AF314" i="1"/>
  <c r="AH314" i="1"/>
  <c r="AJ314" i="1"/>
  <c r="AL314" i="1"/>
  <c r="AN314" i="1"/>
  <c r="AP314" i="1"/>
  <c r="AR314" i="1"/>
  <c r="AT314" i="1"/>
  <c r="AV314" i="1"/>
  <c r="AX314" i="1"/>
  <c r="D315" i="1"/>
  <c r="F315" i="1"/>
  <c r="H315" i="1"/>
  <c r="J315" i="1"/>
  <c r="L315" i="1"/>
  <c r="N315" i="1"/>
  <c r="P315" i="1"/>
  <c r="R315" i="1"/>
  <c r="T315" i="1"/>
  <c r="V315" i="1"/>
  <c r="X315" i="1"/>
  <c r="Z315" i="1"/>
  <c r="AB315" i="1"/>
  <c r="AD315" i="1"/>
  <c r="AF315" i="1"/>
  <c r="AH315" i="1"/>
  <c r="AJ315" i="1"/>
  <c r="AL315" i="1"/>
  <c r="AN315" i="1"/>
  <c r="AP315" i="1"/>
  <c r="AR315" i="1"/>
  <c r="AT315" i="1"/>
  <c r="AV315" i="1"/>
  <c r="AX315" i="1"/>
  <c r="D316" i="1"/>
  <c r="F316" i="1"/>
  <c r="H316" i="1"/>
  <c r="J316" i="1"/>
  <c r="L316" i="1"/>
  <c r="N316" i="1"/>
  <c r="P316" i="1"/>
  <c r="R316" i="1"/>
  <c r="T316" i="1"/>
  <c r="V316" i="1"/>
  <c r="X316" i="1"/>
  <c r="Z316" i="1"/>
  <c r="AB316" i="1"/>
  <c r="AD316" i="1"/>
  <c r="AF316" i="1"/>
  <c r="AH316" i="1"/>
  <c r="AJ316" i="1"/>
  <c r="AL316" i="1"/>
  <c r="AN316" i="1"/>
  <c r="AP316" i="1"/>
  <c r="AR316" i="1"/>
  <c r="AT316" i="1"/>
  <c r="AV316" i="1"/>
  <c r="AX316" i="1"/>
  <c r="D317" i="1"/>
  <c r="F317" i="1"/>
  <c r="H317" i="1"/>
  <c r="J317" i="1"/>
  <c r="L317" i="1"/>
  <c r="N317" i="1"/>
  <c r="P317" i="1"/>
  <c r="R317" i="1"/>
  <c r="T317" i="1"/>
  <c r="V317" i="1"/>
  <c r="X317" i="1"/>
  <c r="Z317" i="1"/>
  <c r="AB317" i="1"/>
  <c r="AD317" i="1"/>
  <c r="AF317" i="1"/>
  <c r="AH317" i="1"/>
  <c r="AJ317" i="1"/>
  <c r="AL317" i="1"/>
  <c r="AN317" i="1"/>
  <c r="AP317" i="1"/>
  <c r="AR317" i="1"/>
  <c r="AT317" i="1"/>
  <c r="AV317" i="1"/>
  <c r="AX317" i="1"/>
  <c r="D318" i="1"/>
  <c r="F318" i="1"/>
  <c r="H318" i="1"/>
  <c r="J318" i="1"/>
  <c r="L318" i="1"/>
  <c r="N318" i="1"/>
  <c r="P318" i="1"/>
  <c r="R318" i="1"/>
  <c r="T318" i="1"/>
  <c r="V318" i="1"/>
  <c r="X318" i="1"/>
  <c r="Z318" i="1"/>
  <c r="AB318" i="1"/>
  <c r="AD318" i="1"/>
  <c r="AF318" i="1"/>
  <c r="AH318" i="1"/>
  <c r="AJ318" i="1"/>
  <c r="AL318" i="1"/>
  <c r="AN318" i="1"/>
  <c r="AP318" i="1"/>
  <c r="AR318" i="1"/>
  <c r="AT318" i="1"/>
  <c r="AV318" i="1"/>
  <c r="AX318" i="1"/>
  <c r="D319" i="1"/>
  <c r="F319" i="1"/>
  <c r="H319" i="1"/>
  <c r="J319" i="1"/>
  <c r="L319" i="1"/>
  <c r="N319" i="1"/>
  <c r="P319" i="1"/>
  <c r="R319" i="1"/>
  <c r="T319" i="1"/>
  <c r="V319" i="1"/>
  <c r="X319" i="1"/>
  <c r="Z319" i="1"/>
  <c r="AB319" i="1"/>
  <c r="AD319" i="1"/>
  <c r="AF319" i="1"/>
  <c r="AH319" i="1"/>
  <c r="AJ319" i="1"/>
  <c r="AL319" i="1"/>
  <c r="AN319" i="1"/>
  <c r="AP319" i="1"/>
  <c r="AR319" i="1"/>
  <c r="AT319" i="1"/>
  <c r="AV319" i="1"/>
  <c r="AX319" i="1"/>
  <c r="D320" i="1"/>
  <c r="F320" i="1"/>
  <c r="H320" i="1"/>
  <c r="J320" i="1"/>
  <c r="L320" i="1"/>
  <c r="N320" i="1"/>
  <c r="P320" i="1"/>
  <c r="R320" i="1"/>
  <c r="T320" i="1"/>
  <c r="V320" i="1"/>
  <c r="X320" i="1"/>
  <c r="Z320" i="1"/>
  <c r="AB320" i="1"/>
  <c r="AD320" i="1"/>
  <c r="AF320" i="1"/>
  <c r="AH320" i="1"/>
  <c r="AJ320" i="1"/>
  <c r="AL320" i="1"/>
  <c r="AN320" i="1"/>
  <c r="AP320" i="1"/>
  <c r="AR320" i="1"/>
  <c r="AT320" i="1"/>
  <c r="AV320" i="1"/>
  <c r="AX320" i="1"/>
  <c r="D321" i="1"/>
  <c r="F321" i="1"/>
  <c r="H321" i="1"/>
  <c r="J321" i="1"/>
  <c r="L321" i="1"/>
  <c r="N321" i="1"/>
  <c r="P321" i="1"/>
  <c r="R321" i="1"/>
  <c r="T321" i="1"/>
  <c r="V321" i="1"/>
  <c r="X321" i="1"/>
  <c r="Z321" i="1"/>
  <c r="AB321" i="1"/>
  <c r="AD321" i="1"/>
  <c r="AF321" i="1"/>
  <c r="AH321" i="1"/>
  <c r="AJ321" i="1"/>
  <c r="AL321" i="1"/>
  <c r="AN321" i="1"/>
  <c r="AP321" i="1"/>
  <c r="AR321" i="1"/>
  <c r="AT321" i="1"/>
  <c r="AV321" i="1"/>
  <c r="AX321" i="1"/>
  <c r="D323" i="1"/>
  <c r="F323" i="1"/>
  <c r="H323" i="1"/>
  <c r="J323" i="1"/>
  <c r="L323" i="1"/>
  <c r="N323" i="1"/>
  <c r="P323" i="1"/>
  <c r="R323" i="1"/>
  <c r="T323" i="1"/>
  <c r="V323" i="1"/>
  <c r="X323" i="1"/>
  <c r="Z323" i="1"/>
  <c r="AB323" i="1"/>
  <c r="AD323" i="1"/>
  <c r="AF323" i="1"/>
  <c r="AH323" i="1"/>
  <c r="AJ323" i="1"/>
  <c r="AL323" i="1"/>
  <c r="AN323" i="1"/>
  <c r="AP323" i="1"/>
  <c r="AR323" i="1"/>
  <c r="AT323" i="1"/>
  <c r="AV323" i="1"/>
  <c r="AX323" i="1"/>
  <c r="D324" i="1"/>
  <c r="F324" i="1"/>
  <c r="H324" i="1"/>
  <c r="J324" i="1"/>
  <c r="L324" i="1"/>
  <c r="N324" i="1"/>
  <c r="P324" i="1"/>
  <c r="R324" i="1"/>
  <c r="T324" i="1"/>
  <c r="V324" i="1"/>
  <c r="X324" i="1"/>
  <c r="Z324" i="1"/>
  <c r="AB324" i="1"/>
  <c r="AD324" i="1"/>
  <c r="AF324" i="1"/>
  <c r="AH324" i="1"/>
  <c r="AJ324" i="1"/>
  <c r="AL324" i="1"/>
  <c r="AN324" i="1"/>
  <c r="AP324" i="1"/>
  <c r="AR324" i="1"/>
  <c r="AT324" i="1"/>
  <c r="AV324" i="1"/>
  <c r="AX324" i="1"/>
  <c r="D325" i="1"/>
  <c r="F325" i="1"/>
  <c r="H325" i="1"/>
  <c r="J325" i="1"/>
  <c r="L325" i="1"/>
  <c r="N325" i="1"/>
  <c r="P325" i="1"/>
  <c r="R325" i="1"/>
  <c r="T325" i="1"/>
  <c r="V325" i="1"/>
  <c r="X325" i="1"/>
  <c r="Z325" i="1"/>
  <c r="AB325" i="1"/>
  <c r="AD325" i="1"/>
  <c r="AF325" i="1"/>
  <c r="AH325" i="1"/>
  <c r="AJ325" i="1"/>
  <c r="AL325" i="1"/>
  <c r="AN325" i="1"/>
  <c r="AP325" i="1"/>
  <c r="AR325" i="1"/>
  <c r="AT325" i="1"/>
  <c r="AV325" i="1"/>
  <c r="AX325" i="1"/>
  <c r="D326" i="1"/>
  <c r="F326" i="1"/>
  <c r="H326" i="1"/>
  <c r="J326" i="1"/>
  <c r="L326" i="1"/>
  <c r="N326" i="1"/>
  <c r="P326" i="1"/>
  <c r="R326" i="1"/>
  <c r="T326" i="1"/>
  <c r="V326" i="1"/>
  <c r="X326" i="1"/>
  <c r="Z326" i="1"/>
  <c r="AB326" i="1"/>
  <c r="AD326" i="1"/>
  <c r="AF326" i="1"/>
  <c r="AH326" i="1"/>
  <c r="AJ326" i="1"/>
  <c r="AL326" i="1"/>
  <c r="AN326" i="1"/>
  <c r="AP326" i="1"/>
  <c r="AR326" i="1"/>
  <c r="AT326" i="1"/>
  <c r="AV326" i="1"/>
  <c r="AX326" i="1"/>
  <c r="D327" i="1"/>
  <c r="F327" i="1"/>
  <c r="H327" i="1"/>
  <c r="J327" i="1"/>
  <c r="L327" i="1"/>
  <c r="N327" i="1"/>
  <c r="P327" i="1"/>
  <c r="R327" i="1"/>
  <c r="T327" i="1"/>
  <c r="V327" i="1"/>
  <c r="X327" i="1"/>
  <c r="Z327" i="1"/>
  <c r="AB327" i="1"/>
  <c r="AD327" i="1"/>
  <c r="AF327" i="1"/>
  <c r="AH327" i="1"/>
  <c r="AJ327" i="1"/>
  <c r="AL327" i="1"/>
  <c r="AN327" i="1"/>
  <c r="AP327" i="1"/>
  <c r="AR327" i="1"/>
  <c r="AT327" i="1"/>
  <c r="AV327" i="1"/>
  <c r="AX327" i="1"/>
  <c r="D328" i="1"/>
  <c r="F328" i="1"/>
  <c r="H328" i="1"/>
  <c r="J328" i="1"/>
  <c r="L328" i="1"/>
  <c r="N328" i="1"/>
  <c r="P328" i="1"/>
  <c r="R328" i="1"/>
  <c r="T328" i="1"/>
  <c r="V328" i="1"/>
  <c r="X328" i="1"/>
  <c r="Z328" i="1"/>
  <c r="AB328" i="1"/>
  <c r="AD328" i="1"/>
  <c r="AF328" i="1"/>
  <c r="AH328" i="1"/>
  <c r="AJ328" i="1"/>
  <c r="AL328" i="1"/>
  <c r="AN328" i="1"/>
  <c r="AP328" i="1"/>
  <c r="AR328" i="1"/>
  <c r="AT328" i="1"/>
  <c r="AV328" i="1"/>
  <c r="AX328" i="1"/>
  <c r="D329" i="1"/>
  <c r="F329" i="1"/>
  <c r="H329" i="1"/>
  <c r="J329" i="1"/>
  <c r="L329" i="1"/>
  <c r="N329" i="1"/>
  <c r="P329" i="1"/>
  <c r="R329" i="1"/>
  <c r="T329" i="1"/>
  <c r="V329" i="1"/>
  <c r="X329" i="1"/>
  <c r="Z329" i="1"/>
  <c r="AB329" i="1"/>
  <c r="AD329" i="1"/>
  <c r="AF329" i="1"/>
  <c r="AH329" i="1"/>
  <c r="AJ329" i="1"/>
  <c r="AL329" i="1"/>
  <c r="AN329" i="1"/>
  <c r="AP329" i="1"/>
  <c r="AR329" i="1"/>
  <c r="AT329" i="1"/>
  <c r="AV329" i="1"/>
  <c r="AX329" i="1"/>
  <c r="D330" i="1"/>
  <c r="F330" i="1"/>
  <c r="H330" i="1"/>
  <c r="J330" i="1"/>
  <c r="L330" i="1"/>
  <c r="N330" i="1"/>
  <c r="P330" i="1"/>
  <c r="R330" i="1"/>
  <c r="T330" i="1"/>
  <c r="V330" i="1"/>
  <c r="X330" i="1"/>
  <c r="Z330" i="1"/>
  <c r="AB330" i="1"/>
  <c r="AD330" i="1"/>
  <c r="AF330" i="1"/>
  <c r="AH330" i="1"/>
  <c r="AJ330" i="1"/>
  <c r="AL330" i="1"/>
  <c r="AN330" i="1"/>
  <c r="AP330" i="1"/>
  <c r="AR330" i="1"/>
  <c r="AT330" i="1"/>
  <c r="AV330" i="1"/>
  <c r="AX330" i="1"/>
  <c r="D331" i="1"/>
  <c r="F331" i="1"/>
  <c r="H331" i="1"/>
  <c r="J331" i="1"/>
  <c r="L331" i="1"/>
  <c r="N331" i="1"/>
  <c r="P331" i="1"/>
  <c r="R331" i="1"/>
  <c r="T331" i="1"/>
  <c r="V331" i="1"/>
  <c r="X331" i="1"/>
  <c r="Z331" i="1"/>
  <c r="AB331" i="1"/>
  <c r="AD331" i="1"/>
  <c r="AF331" i="1"/>
  <c r="AH331" i="1"/>
  <c r="AJ331" i="1"/>
  <c r="AL331" i="1"/>
  <c r="AN331" i="1"/>
  <c r="AP331" i="1"/>
  <c r="AR331" i="1"/>
  <c r="AT331" i="1"/>
  <c r="AV331" i="1"/>
  <c r="AX331" i="1"/>
  <c r="D332" i="1"/>
  <c r="F332" i="1"/>
  <c r="H332" i="1"/>
  <c r="J332" i="1"/>
  <c r="L332" i="1"/>
  <c r="N332" i="1"/>
  <c r="P332" i="1"/>
  <c r="R332" i="1"/>
  <c r="T332" i="1"/>
  <c r="V332" i="1"/>
  <c r="X332" i="1"/>
  <c r="Z332" i="1"/>
  <c r="AB332" i="1"/>
  <c r="AD332" i="1"/>
  <c r="AF332" i="1"/>
  <c r="AH332" i="1"/>
  <c r="AJ332" i="1"/>
  <c r="AL332" i="1"/>
  <c r="AN332" i="1"/>
  <c r="AP332" i="1"/>
  <c r="AR332" i="1"/>
  <c r="AT332" i="1"/>
  <c r="AV332" i="1"/>
  <c r="AX332" i="1"/>
  <c r="D333" i="1"/>
  <c r="F333" i="1"/>
  <c r="H333" i="1"/>
  <c r="J333" i="1"/>
  <c r="L333" i="1"/>
  <c r="N333" i="1"/>
  <c r="P333" i="1"/>
  <c r="R333" i="1"/>
  <c r="T333" i="1"/>
  <c r="V333" i="1"/>
  <c r="X333" i="1"/>
  <c r="Z333" i="1"/>
  <c r="AB333" i="1"/>
  <c r="AD333" i="1"/>
  <c r="AF333" i="1"/>
  <c r="AH333" i="1"/>
  <c r="AJ333" i="1"/>
  <c r="AL333" i="1"/>
  <c r="AN333" i="1"/>
  <c r="AP333" i="1"/>
  <c r="AR333" i="1"/>
  <c r="AT333" i="1"/>
  <c r="AV333" i="1"/>
  <c r="AX333" i="1"/>
  <c r="D334" i="1"/>
  <c r="F334" i="1"/>
  <c r="H334" i="1"/>
  <c r="J334" i="1"/>
  <c r="L334" i="1"/>
  <c r="N334" i="1"/>
  <c r="P334" i="1"/>
  <c r="R334" i="1"/>
  <c r="T334" i="1"/>
  <c r="V334" i="1"/>
  <c r="X334" i="1"/>
  <c r="Z334" i="1"/>
  <c r="AB334" i="1"/>
  <c r="AD334" i="1"/>
  <c r="AF334" i="1"/>
  <c r="AH334" i="1"/>
  <c r="AJ334" i="1"/>
  <c r="AL334" i="1"/>
  <c r="AN334" i="1"/>
  <c r="AP334" i="1"/>
  <c r="AR334" i="1"/>
  <c r="AT334" i="1"/>
  <c r="AV334" i="1"/>
  <c r="AX334" i="1"/>
  <c r="D335" i="1"/>
  <c r="F335" i="1"/>
  <c r="H335" i="1"/>
  <c r="J335" i="1"/>
  <c r="L335" i="1"/>
  <c r="N335" i="1"/>
  <c r="P335" i="1"/>
  <c r="R335" i="1"/>
  <c r="T335" i="1"/>
  <c r="V335" i="1"/>
  <c r="X335" i="1"/>
  <c r="Z335" i="1"/>
  <c r="AB335" i="1"/>
  <c r="AD335" i="1"/>
  <c r="AF335" i="1"/>
  <c r="AH335" i="1"/>
  <c r="AJ335" i="1"/>
  <c r="AL335" i="1"/>
  <c r="AN335" i="1"/>
  <c r="AP335" i="1"/>
  <c r="AR335" i="1"/>
  <c r="AT335" i="1"/>
  <c r="AV335" i="1"/>
  <c r="AX335" i="1"/>
  <c r="D336" i="1"/>
  <c r="F336" i="1"/>
  <c r="H336" i="1"/>
  <c r="J336" i="1"/>
  <c r="L336" i="1"/>
  <c r="N336" i="1"/>
  <c r="P336" i="1"/>
  <c r="R336" i="1"/>
  <c r="T336" i="1"/>
  <c r="V336" i="1"/>
  <c r="X336" i="1"/>
  <c r="Z336" i="1"/>
  <c r="AB336" i="1"/>
  <c r="AD336" i="1"/>
  <c r="AF336" i="1"/>
  <c r="AH336" i="1"/>
  <c r="AJ336" i="1"/>
  <c r="AL336" i="1"/>
  <c r="AN336" i="1"/>
  <c r="AP336" i="1"/>
  <c r="AR336" i="1"/>
  <c r="AT336" i="1"/>
  <c r="AV336" i="1"/>
  <c r="AX336" i="1"/>
  <c r="D337" i="1"/>
  <c r="F337" i="1"/>
  <c r="H337" i="1"/>
  <c r="J337" i="1"/>
  <c r="L337" i="1"/>
  <c r="N337" i="1"/>
  <c r="P337" i="1"/>
  <c r="R337" i="1"/>
  <c r="T337" i="1"/>
  <c r="V337" i="1"/>
  <c r="X337" i="1"/>
  <c r="Z337" i="1"/>
  <c r="AB337" i="1"/>
  <c r="AD337" i="1"/>
  <c r="AF337" i="1"/>
  <c r="AH337" i="1"/>
  <c r="AJ337" i="1"/>
  <c r="AL337" i="1"/>
  <c r="AN337" i="1"/>
  <c r="AP337" i="1"/>
  <c r="AR337" i="1"/>
  <c r="AT337" i="1"/>
  <c r="AV337" i="1"/>
  <c r="AX337" i="1"/>
  <c r="D338" i="1"/>
  <c r="F338" i="1"/>
  <c r="H338" i="1"/>
  <c r="J338" i="1"/>
  <c r="L338" i="1"/>
  <c r="N338" i="1"/>
  <c r="P338" i="1"/>
  <c r="R338" i="1"/>
  <c r="T338" i="1"/>
  <c r="V338" i="1"/>
  <c r="X338" i="1"/>
  <c r="Z338" i="1"/>
  <c r="AB338" i="1"/>
  <c r="AD338" i="1"/>
  <c r="AF338" i="1"/>
  <c r="AH338" i="1"/>
  <c r="AJ338" i="1"/>
  <c r="AL338" i="1"/>
  <c r="AN338" i="1"/>
  <c r="AP338" i="1"/>
  <c r="AR338" i="1"/>
  <c r="AT338" i="1"/>
  <c r="AV338" i="1"/>
  <c r="AX338" i="1"/>
  <c r="D339" i="1"/>
  <c r="F339" i="1"/>
  <c r="H339" i="1"/>
  <c r="J339" i="1"/>
  <c r="L339" i="1"/>
  <c r="N339" i="1"/>
  <c r="P339" i="1"/>
  <c r="R339" i="1"/>
  <c r="T339" i="1"/>
  <c r="V339" i="1"/>
  <c r="X339" i="1"/>
  <c r="Z339" i="1"/>
  <c r="AB339" i="1"/>
  <c r="AD339" i="1"/>
  <c r="AF339" i="1"/>
  <c r="AH339" i="1"/>
  <c r="AJ339" i="1"/>
  <c r="AL339" i="1"/>
  <c r="AN339" i="1"/>
  <c r="AP339" i="1"/>
  <c r="AR339" i="1"/>
  <c r="AT339" i="1"/>
  <c r="AV339" i="1"/>
  <c r="AX339" i="1"/>
  <c r="D340" i="1"/>
  <c r="F340" i="1"/>
  <c r="H340" i="1"/>
  <c r="J340" i="1"/>
  <c r="L340" i="1"/>
  <c r="N340" i="1"/>
  <c r="P340" i="1"/>
  <c r="R340" i="1"/>
  <c r="T340" i="1"/>
  <c r="V340" i="1"/>
  <c r="X340" i="1"/>
  <c r="Z340" i="1"/>
  <c r="AB340" i="1"/>
  <c r="AD340" i="1"/>
  <c r="AF340" i="1"/>
  <c r="AH340" i="1"/>
  <c r="AJ340" i="1"/>
  <c r="AL340" i="1"/>
  <c r="AN340" i="1"/>
  <c r="AP340" i="1"/>
  <c r="AR340" i="1"/>
  <c r="AT340" i="1"/>
  <c r="AV340" i="1"/>
  <c r="AX340" i="1"/>
  <c r="D341" i="1"/>
  <c r="F341" i="1"/>
  <c r="H341" i="1"/>
  <c r="J341" i="1"/>
  <c r="L341" i="1"/>
  <c r="N341" i="1"/>
  <c r="P341" i="1"/>
  <c r="R341" i="1"/>
  <c r="T341" i="1"/>
  <c r="V341" i="1"/>
  <c r="X341" i="1"/>
  <c r="Z341" i="1"/>
  <c r="AB341" i="1"/>
  <c r="AD341" i="1"/>
  <c r="AF341" i="1"/>
  <c r="AH341" i="1"/>
  <c r="AJ341" i="1"/>
  <c r="AL341" i="1"/>
  <c r="AN341" i="1"/>
  <c r="AP341" i="1"/>
  <c r="AR341" i="1"/>
  <c r="AT341" i="1"/>
  <c r="AV341" i="1"/>
  <c r="AX341" i="1"/>
  <c r="D342" i="1"/>
  <c r="F342" i="1"/>
  <c r="H342" i="1"/>
  <c r="J342" i="1"/>
  <c r="L342" i="1"/>
  <c r="N342" i="1"/>
  <c r="P342" i="1"/>
  <c r="R342" i="1"/>
  <c r="T342" i="1"/>
  <c r="V342" i="1"/>
  <c r="X342" i="1"/>
  <c r="Z342" i="1"/>
  <c r="AB342" i="1"/>
  <c r="AD342" i="1"/>
  <c r="AF342" i="1"/>
  <c r="AH342" i="1"/>
  <c r="AJ342" i="1"/>
  <c r="AL342" i="1"/>
  <c r="AN342" i="1"/>
  <c r="AP342" i="1"/>
  <c r="AR342" i="1"/>
  <c r="AT342" i="1"/>
  <c r="AV342" i="1"/>
  <c r="AX342" i="1"/>
  <c r="D343" i="1"/>
  <c r="F343" i="1"/>
  <c r="H343" i="1"/>
  <c r="J343" i="1"/>
  <c r="L343" i="1"/>
  <c r="N343" i="1"/>
  <c r="P343" i="1"/>
  <c r="R343" i="1"/>
  <c r="T343" i="1"/>
  <c r="V343" i="1"/>
  <c r="X343" i="1"/>
  <c r="Z343" i="1"/>
  <c r="AB343" i="1"/>
  <c r="AD343" i="1"/>
  <c r="AF343" i="1"/>
  <c r="AH343" i="1"/>
  <c r="AJ343" i="1"/>
  <c r="AL343" i="1"/>
  <c r="AN343" i="1"/>
  <c r="AP343" i="1"/>
  <c r="AR343" i="1"/>
  <c r="AT343" i="1"/>
  <c r="AV343" i="1"/>
  <c r="AX343" i="1"/>
  <c r="D344" i="1"/>
  <c r="F344" i="1"/>
  <c r="H344" i="1"/>
  <c r="J344" i="1"/>
  <c r="L344" i="1"/>
  <c r="N344" i="1"/>
  <c r="P344" i="1"/>
  <c r="R344" i="1"/>
  <c r="T344" i="1"/>
  <c r="V344" i="1"/>
  <c r="X344" i="1"/>
  <c r="Z344" i="1"/>
  <c r="AB344" i="1"/>
  <c r="AD344" i="1"/>
  <c r="AF344" i="1"/>
  <c r="AH344" i="1"/>
  <c r="AJ344" i="1"/>
  <c r="AL344" i="1"/>
  <c r="AN344" i="1"/>
  <c r="AP344" i="1"/>
  <c r="AR344" i="1"/>
  <c r="AT344" i="1"/>
  <c r="AV344" i="1"/>
  <c r="AX344" i="1"/>
  <c r="D345" i="1"/>
  <c r="F345" i="1"/>
  <c r="H345" i="1"/>
  <c r="J345" i="1"/>
  <c r="L345" i="1"/>
  <c r="N345" i="1"/>
  <c r="P345" i="1"/>
  <c r="R345" i="1"/>
  <c r="T345" i="1"/>
  <c r="V345" i="1"/>
  <c r="X345" i="1"/>
  <c r="Z345" i="1"/>
  <c r="AB345" i="1"/>
  <c r="AD345" i="1"/>
  <c r="AF345" i="1"/>
  <c r="AH345" i="1"/>
  <c r="AJ345" i="1"/>
  <c r="AL345" i="1"/>
  <c r="AN345" i="1"/>
  <c r="AP345" i="1"/>
  <c r="AR345" i="1"/>
  <c r="AT345" i="1"/>
  <c r="AV345" i="1"/>
  <c r="AX345" i="1"/>
  <c r="D346" i="1"/>
  <c r="F346" i="1"/>
  <c r="H346" i="1"/>
  <c r="J346" i="1"/>
  <c r="L346" i="1"/>
  <c r="N346" i="1"/>
  <c r="P346" i="1"/>
  <c r="R346" i="1"/>
  <c r="T346" i="1"/>
  <c r="V346" i="1"/>
  <c r="X346" i="1"/>
  <c r="Z346" i="1"/>
  <c r="AB346" i="1"/>
  <c r="AD346" i="1"/>
  <c r="AF346" i="1"/>
  <c r="AH346" i="1"/>
  <c r="AJ346" i="1"/>
  <c r="AL346" i="1"/>
  <c r="AN346" i="1"/>
  <c r="AP346" i="1"/>
  <c r="AR346" i="1"/>
  <c r="AT346" i="1"/>
  <c r="AV346" i="1"/>
  <c r="AX346" i="1"/>
  <c r="D347" i="1"/>
  <c r="F347" i="1"/>
  <c r="H347" i="1"/>
  <c r="J347" i="1"/>
  <c r="L347" i="1"/>
  <c r="N347" i="1"/>
  <c r="P347" i="1"/>
  <c r="R347" i="1"/>
  <c r="T347" i="1"/>
  <c r="V347" i="1"/>
  <c r="X347" i="1"/>
  <c r="Z347" i="1"/>
  <c r="AB347" i="1"/>
  <c r="AD347" i="1"/>
  <c r="AF347" i="1"/>
  <c r="AH347" i="1"/>
  <c r="AJ347" i="1"/>
  <c r="AL347" i="1"/>
  <c r="AN347" i="1"/>
  <c r="AP347" i="1"/>
  <c r="AR347" i="1"/>
  <c r="AT347" i="1"/>
  <c r="AV347" i="1"/>
  <c r="AX347" i="1"/>
  <c r="D348" i="1"/>
  <c r="F348" i="1"/>
  <c r="H348" i="1"/>
  <c r="J348" i="1"/>
  <c r="L348" i="1"/>
  <c r="N348" i="1"/>
  <c r="P348" i="1"/>
  <c r="R348" i="1"/>
  <c r="T348" i="1"/>
  <c r="V348" i="1"/>
  <c r="X348" i="1"/>
  <c r="Z348" i="1"/>
  <c r="AB348" i="1"/>
  <c r="AD348" i="1"/>
  <c r="AF348" i="1"/>
  <c r="AH348" i="1"/>
  <c r="AJ348" i="1"/>
  <c r="AL348" i="1"/>
  <c r="AN348" i="1"/>
  <c r="AP348" i="1"/>
  <c r="AR348" i="1"/>
  <c r="AT348" i="1"/>
  <c r="AV348" i="1"/>
  <c r="AX348" i="1"/>
  <c r="D349" i="1"/>
  <c r="F349" i="1"/>
  <c r="H349" i="1"/>
  <c r="J349" i="1"/>
  <c r="L349" i="1"/>
  <c r="N349" i="1"/>
  <c r="P349" i="1"/>
  <c r="R349" i="1"/>
  <c r="T349" i="1"/>
  <c r="V349" i="1"/>
  <c r="X349" i="1"/>
  <c r="Z349" i="1"/>
  <c r="AB349" i="1"/>
  <c r="AD349" i="1"/>
  <c r="AF349" i="1"/>
  <c r="AH349" i="1"/>
  <c r="AJ349" i="1"/>
  <c r="AL349" i="1"/>
  <c r="AN349" i="1"/>
  <c r="AP349" i="1"/>
  <c r="AR349" i="1"/>
  <c r="AT349" i="1"/>
  <c r="AV349" i="1"/>
  <c r="AX349" i="1"/>
  <c r="D350" i="1"/>
  <c r="F350" i="1"/>
  <c r="H350" i="1"/>
  <c r="J350" i="1"/>
  <c r="L350" i="1"/>
  <c r="N350" i="1"/>
  <c r="P350" i="1"/>
  <c r="R350" i="1"/>
  <c r="T350" i="1"/>
  <c r="V350" i="1"/>
  <c r="X350" i="1"/>
  <c r="Z350" i="1"/>
  <c r="AB350" i="1"/>
  <c r="AD350" i="1"/>
  <c r="AF350" i="1"/>
  <c r="AH350" i="1"/>
  <c r="AJ350" i="1"/>
  <c r="AL350" i="1"/>
  <c r="AN350" i="1"/>
  <c r="AP350" i="1"/>
  <c r="AR350" i="1"/>
  <c r="AT350" i="1"/>
  <c r="AV350" i="1"/>
  <c r="AX350" i="1"/>
  <c r="D351" i="1"/>
  <c r="F351" i="1"/>
  <c r="H351" i="1"/>
  <c r="J351" i="1"/>
  <c r="L351" i="1"/>
  <c r="N351" i="1"/>
  <c r="P351" i="1"/>
  <c r="R351" i="1"/>
  <c r="T351" i="1"/>
  <c r="V351" i="1"/>
  <c r="X351" i="1"/>
  <c r="Z351" i="1"/>
  <c r="AB351" i="1"/>
  <c r="AD351" i="1"/>
  <c r="AF351" i="1"/>
  <c r="AH351" i="1"/>
  <c r="AJ351" i="1"/>
  <c r="AL351" i="1"/>
  <c r="AN351" i="1"/>
  <c r="AP351" i="1"/>
  <c r="AR351" i="1"/>
  <c r="AT351" i="1"/>
  <c r="AV351" i="1"/>
  <c r="AX351" i="1"/>
  <c r="D352" i="1"/>
  <c r="F352" i="1"/>
  <c r="H352" i="1"/>
  <c r="J352" i="1"/>
  <c r="L352" i="1"/>
  <c r="N352" i="1"/>
  <c r="P352" i="1"/>
  <c r="R352" i="1"/>
  <c r="T352" i="1"/>
  <c r="V352" i="1"/>
  <c r="X352" i="1"/>
  <c r="Z352" i="1"/>
  <c r="AB352" i="1"/>
  <c r="AD352" i="1"/>
  <c r="AF352" i="1"/>
  <c r="AH352" i="1"/>
  <c r="AJ352" i="1"/>
  <c r="AL352" i="1"/>
  <c r="AN352" i="1"/>
  <c r="AP352" i="1"/>
  <c r="AR352" i="1"/>
  <c r="AT352" i="1"/>
  <c r="AV352" i="1"/>
  <c r="AX352" i="1"/>
  <c r="D353" i="1"/>
  <c r="F353" i="1"/>
  <c r="H353" i="1"/>
  <c r="J353" i="1"/>
  <c r="L353" i="1"/>
  <c r="N353" i="1"/>
  <c r="P353" i="1"/>
  <c r="R353" i="1"/>
  <c r="T353" i="1"/>
  <c r="V353" i="1"/>
  <c r="X353" i="1"/>
  <c r="Z353" i="1"/>
  <c r="AB353" i="1"/>
  <c r="AD353" i="1"/>
  <c r="AF353" i="1"/>
  <c r="AH353" i="1"/>
  <c r="AJ353" i="1"/>
  <c r="AL353" i="1"/>
  <c r="AN353" i="1"/>
  <c r="AP353" i="1"/>
  <c r="AR353" i="1"/>
  <c r="AT353" i="1"/>
  <c r="AV353" i="1"/>
  <c r="AX353" i="1"/>
  <c r="D354" i="1"/>
  <c r="F354" i="1"/>
  <c r="H354" i="1"/>
  <c r="J354" i="1"/>
  <c r="L354" i="1"/>
  <c r="N354" i="1"/>
  <c r="P354" i="1"/>
  <c r="R354" i="1"/>
  <c r="T354" i="1"/>
  <c r="V354" i="1"/>
  <c r="X354" i="1"/>
  <c r="Z354" i="1"/>
  <c r="AB354" i="1"/>
  <c r="AD354" i="1"/>
  <c r="AF354" i="1"/>
  <c r="AH354" i="1"/>
  <c r="AJ354" i="1"/>
  <c r="AL354" i="1"/>
  <c r="AN354" i="1"/>
  <c r="AP354" i="1"/>
  <c r="AR354" i="1"/>
  <c r="AT354" i="1"/>
  <c r="AV354" i="1"/>
  <c r="AX354" i="1"/>
  <c r="D355" i="1"/>
  <c r="F355" i="1"/>
  <c r="H355" i="1"/>
  <c r="J355" i="1"/>
  <c r="L355" i="1"/>
  <c r="N355" i="1"/>
  <c r="P355" i="1"/>
  <c r="R355" i="1"/>
  <c r="T355" i="1"/>
  <c r="V355" i="1"/>
  <c r="X355" i="1"/>
  <c r="Z355" i="1"/>
  <c r="AB355" i="1"/>
  <c r="AD355" i="1"/>
  <c r="AF355" i="1"/>
  <c r="AH355" i="1"/>
  <c r="AJ355" i="1"/>
  <c r="AL355" i="1"/>
  <c r="AN355" i="1"/>
  <c r="AP355" i="1"/>
  <c r="AR355" i="1"/>
  <c r="AT355" i="1"/>
  <c r="AV355" i="1"/>
  <c r="AX355" i="1"/>
  <c r="D356" i="1"/>
  <c r="F356" i="1"/>
  <c r="H356" i="1"/>
  <c r="J356" i="1"/>
  <c r="L356" i="1"/>
  <c r="N356" i="1"/>
  <c r="P356" i="1"/>
  <c r="R356" i="1"/>
  <c r="T356" i="1"/>
  <c r="V356" i="1"/>
  <c r="X356" i="1"/>
  <c r="Z356" i="1"/>
  <c r="AB356" i="1"/>
  <c r="AD356" i="1"/>
  <c r="AF356" i="1"/>
  <c r="AH356" i="1"/>
  <c r="AJ356" i="1"/>
  <c r="AL356" i="1"/>
  <c r="AN356" i="1"/>
  <c r="AP356" i="1"/>
  <c r="AR356" i="1"/>
  <c r="AT356" i="1"/>
  <c r="AV356" i="1"/>
  <c r="AX356" i="1"/>
  <c r="D357" i="1"/>
  <c r="F357" i="1"/>
  <c r="H357" i="1"/>
  <c r="J357" i="1"/>
  <c r="L357" i="1"/>
  <c r="N357" i="1"/>
  <c r="P357" i="1"/>
  <c r="R357" i="1"/>
  <c r="T357" i="1"/>
  <c r="V357" i="1"/>
  <c r="X357" i="1"/>
  <c r="Z357" i="1"/>
  <c r="AB357" i="1"/>
  <c r="AD357" i="1"/>
  <c r="AF357" i="1"/>
  <c r="AH357" i="1"/>
  <c r="AJ357" i="1"/>
  <c r="AL357" i="1"/>
  <c r="AN357" i="1"/>
  <c r="AP357" i="1"/>
  <c r="AR357" i="1"/>
  <c r="AT357" i="1"/>
  <c r="AV357" i="1"/>
  <c r="AX357" i="1"/>
  <c r="D358" i="1"/>
  <c r="F358" i="1"/>
  <c r="H358" i="1"/>
  <c r="J358" i="1"/>
  <c r="L358" i="1"/>
  <c r="N358" i="1"/>
  <c r="P358" i="1"/>
  <c r="R358" i="1"/>
  <c r="T358" i="1"/>
  <c r="V358" i="1"/>
  <c r="X358" i="1"/>
  <c r="Z358" i="1"/>
  <c r="AB358" i="1"/>
  <c r="AD358" i="1"/>
  <c r="AF358" i="1"/>
  <c r="AH358" i="1"/>
  <c r="AJ358" i="1"/>
  <c r="AL358" i="1"/>
  <c r="AN358" i="1"/>
  <c r="AP358" i="1"/>
  <c r="AR358" i="1"/>
  <c r="AT358" i="1"/>
  <c r="AV358" i="1"/>
  <c r="AX358" i="1"/>
  <c r="D359" i="1"/>
  <c r="F359" i="1"/>
  <c r="H359" i="1"/>
  <c r="J359" i="1"/>
  <c r="L359" i="1"/>
  <c r="N359" i="1"/>
  <c r="P359" i="1"/>
  <c r="R359" i="1"/>
  <c r="T359" i="1"/>
  <c r="V359" i="1"/>
  <c r="X359" i="1"/>
  <c r="Z359" i="1"/>
  <c r="AB359" i="1"/>
  <c r="AD359" i="1"/>
  <c r="AF359" i="1"/>
  <c r="AH359" i="1"/>
  <c r="AJ359" i="1"/>
  <c r="AL359" i="1"/>
  <c r="AN359" i="1"/>
  <c r="AP359" i="1"/>
  <c r="AR359" i="1"/>
  <c r="AT359" i="1"/>
  <c r="AV359" i="1"/>
  <c r="AX359" i="1"/>
  <c r="D360" i="1"/>
  <c r="F360" i="1"/>
  <c r="H360" i="1"/>
  <c r="J360" i="1"/>
  <c r="L360" i="1"/>
  <c r="N360" i="1"/>
  <c r="P360" i="1"/>
  <c r="R360" i="1"/>
  <c r="T360" i="1"/>
  <c r="V360" i="1"/>
  <c r="X360" i="1"/>
  <c r="Z360" i="1"/>
  <c r="AB360" i="1"/>
  <c r="AD360" i="1"/>
  <c r="AF360" i="1"/>
  <c r="AH360" i="1"/>
  <c r="AJ360" i="1"/>
  <c r="AL360" i="1"/>
  <c r="AN360" i="1"/>
  <c r="AP360" i="1"/>
  <c r="AR360" i="1"/>
  <c r="AT360" i="1"/>
  <c r="AV360" i="1"/>
  <c r="AX360" i="1"/>
  <c r="D361" i="1"/>
  <c r="F361" i="1"/>
  <c r="H361" i="1"/>
  <c r="J361" i="1"/>
  <c r="L361" i="1"/>
  <c r="N361" i="1"/>
  <c r="P361" i="1"/>
  <c r="R361" i="1"/>
  <c r="T361" i="1"/>
  <c r="V361" i="1"/>
  <c r="X361" i="1"/>
  <c r="Z361" i="1"/>
  <c r="AB361" i="1"/>
  <c r="AD361" i="1"/>
  <c r="AF361" i="1"/>
  <c r="AH361" i="1"/>
  <c r="AJ361" i="1"/>
  <c r="AL361" i="1"/>
  <c r="AN361" i="1"/>
  <c r="AP361" i="1"/>
  <c r="AR361" i="1"/>
  <c r="AT361" i="1"/>
  <c r="AV361" i="1"/>
  <c r="AX361" i="1"/>
  <c r="D362" i="1"/>
  <c r="F362" i="1"/>
  <c r="H362" i="1"/>
  <c r="J362" i="1"/>
  <c r="L362" i="1"/>
  <c r="N362" i="1"/>
  <c r="P362" i="1"/>
  <c r="R362" i="1"/>
  <c r="T362" i="1"/>
  <c r="V362" i="1"/>
  <c r="X362" i="1"/>
  <c r="Z362" i="1"/>
  <c r="AB362" i="1"/>
  <c r="AD362" i="1"/>
  <c r="AF362" i="1"/>
  <c r="AH362" i="1"/>
  <c r="AJ362" i="1"/>
  <c r="AL362" i="1"/>
  <c r="AN362" i="1"/>
  <c r="AP362" i="1"/>
  <c r="AR362" i="1"/>
  <c r="AT362" i="1"/>
  <c r="AV362" i="1"/>
  <c r="AX362" i="1"/>
  <c r="D363" i="1"/>
  <c r="F363" i="1"/>
  <c r="H363" i="1"/>
  <c r="J363" i="1"/>
  <c r="L363" i="1"/>
  <c r="N363" i="1"/>
  <c r="P363" i="1"/>
  <c r="R363" i="1"/>
  <c r="T363" i="1"/>
  <c r="V363" i="1"/>
  <c r="X363" i="1"/>
  <c r="Z363" i="1"/>
  <c r="AB363" i="1"/>
  <c r="AD363" i="1"/>
  <c r="AF363" i="1"/>
  <c r="AH363" i="1"/>
  <c r="AJ363" i="1"/>
  <c r="AL363" i="1"/>
  <c r="AN363" i="1"/>
  <c r="AP363" i="1"/>
  <c r="AR363" i="1"/>
  <c r="AT363" i="1"/>
  <c r="AV363" i="1"/>
  <c r="AX363" i="1"/>
  <c r="D364" i="1"/>
  <c r="F364" i="1"/>
  <c r="H364" i="1"/>
  <c r="J364" i="1"/>
  <c r="L364" i="1"/>
  <c r="N364" i="1"/>
  <c r="P364" i="1"/>
  <c r="R364" i="1"/>
  <c r="T364" i="1"/>
  <c r="V364" i="1"/>
  <c r="X364" i="1"/>
  <c r="Z364" i="1"/>
  <c r="AB364" i="1"/>
  <c r="AD364" i="1"/>
  <c r="AF364" i="1"/>
  <c r="AH364" i="1"/>
  <c r="AJ364" i="1"/>
  <c r="AL364" i="1"/>
  <c r="AN364" i="1"/>
  <c r="AP364" i="1"/>
  <c r="AR364" i="1"/>
  <c r="AT364" i="1"/>
  <c r="AV364" i="1"/>
  <c r="AX364" i="1"/>
  <c r="D365" i="1"/>
  <c r="F365" i="1"/>
  <c r="H365" i="1"/>
  <c r="J365" i="1"/>
  <c r="L365" i="1"/>
  <c r="N365" i="1"/>
  <c r="P365" i="1"/>
  <c r="R365" i="1"/>
  <c r="T365" i="1"/>
  <c r="V365" i="1"/>
  <c r="X365" i="1"/>
  <c r="Z365" i="1"/>
  <c r="AB365" i="1"/>
  <c r="AD365" i="1"/>
  <c r="AF365" i="1"/>
  <c r="AH365" i="1"/>
  <c r="AJ365" i="1"/>
  <c r="AL365" i="1"/>
  <c r="AN365" i="1"/>
  <c r="AP365" i="1"/>
  <c r="AR365" i="1"/>
  <c r="AT365" i="1"/>
  <c r="AV365" i="1"/>
  <c r="AX365" i="1"/>
  <c r="D366" i="1"/>
  <c r="F366" i="1"/>
  <c r="H366" i="1"/>
  <c r="J366" i="1"/>
  <c r="L366" i="1"/>
  <c r="N366" i="1"/>
  <c r="P366" i="1"/>
  <c r="R366" i="1"/>
  <c r="T366" i="1"/>
  <c r="V366" i="1"/>
  <c r="X366" i="1"/>
  <c r="Z366" i="1"/>
  <c r="AB366" i="1"/>
  <c r="AD366" i="1"/>
  <c r="AF366" i="1"/>
  <c r="AH366" i="1"/>
  <c r="AJ366" i="1"/>
  <c r="AL366" i="1"/>
  <c r="AN366" i="1"/>
  <c r="AP366" i="1"/>
  <c r="AR366" i="1"/>
  <c r="AT366" i="1"/>
  <c r="AV366" i="1"/>
  <c r="AX366" i="1"/>
  <c r="D367" i="1"/>
  <c r="F367" i="1"/>
  <c r="H367" i="1"/>
  <c r="J367" i="1"/>
  <c r="L367" i="1"/>
  <c r="N367" i="1"/>
  <c r="P367" i="1"/>
  <c r="R367" i="1"/>
  <c r="T367" i="1"/>
  <c r="V367" i="1"/>
  <c r="X367" i="1"/>
  <c r="Z367" i="1"/>
  <c r="AB367" i="1"/>
  <c r="AD367" i="1"/>
  <c r="AF367" i="1"/>
  <c r="AH367" i="1"/>
  <c r="AJ367" i="1"/>
  <c r="AL367" i="1"/>
  <c r="AN367" i="1"/>
  <c r="AP367" i="1"/>
  <c r="AR367" i="1"/>
  <c r="AT367" i="1"/>
  <c r="AV367" i="1"/>
  <c r="AX367" i="1"/>
  <c r="D368" i="1"/>
  <c r="F368" i="1"/>
  <c r="H368" i="1"/>
  <c r="J368" i="1"/>
  <c r="L368" i="1"/>
  <c r="N368" i="1"/>
  <c r="P368" i="1"/>
  <c r="R368" i="1"/>
  <c r="T368" i="1"/>
  <c r="V368" i="1"/>
  <c r="X368" i="1"/>
  <c r="Z368" i="1"/>
  <c r="AB368" i="1"/>
  <c r="AD368" i="1"/>
  <c r="AF368" i="1"/>
  <c r="AH368" i="1"/>
  <c r="AJ368" i="1"/>
  <c r="AL368" i="1"/>
  <c r="AN368" i="1"/>
  <c r="AP368" i="1"/>
  <c r="AR368" i="1"/>
  <c r="AT368" i="1"/>
  <c r="AV368" i="1"/>
  <c r="AX368" i="1"/>
  <c r="D369" i="1"/>
  <c r="F369" i="1"/>
  <c r="H369" i="1"/>
  <c r="J369" i="1"/>
  <c r="L369" i="1"/>
  <c r="N369" i="1"/>
  <c r="P369" i="1"/>
  <c r="R369" i="1"/>
  <c r="T369" i="1"/>
  <c r="V369" i="1"/>
  <c r="X369" i="1"/>
  <c r="Z369" i="1"/>
  <c r="AB369" i="1"/>
  <c r="AD369" i="1"/>
  <c r="AF369" i="1"/>
  <c r="AH369" i="1"/>
  <c r="AJ369" i="1"/>
  <c r="AL369" i="1"/>
  <c r="AN369" i="1"/>
  <c r="AP369" i="1"/>
  <c r="AR369" i="1"/>
  <c r="AT369" i="1"/>
  <c r="AV369" i="1"/>
  <c r="AX369" i="1"/>
  <c r="D370" i="1"/>
  <c r="F370" i="1"/>
  <c r="H370" i="1"/>
  <c r="J370" i="1"/>
  <c r="L370" i="1"/>
  <c r="N370" i="1"/>
  <c r="P370" i="1"/>
  <c r="R370" i="1"/>
  <c r="T370" i="1"/>
  <c r="V370" i="1"/>
  <c r="X370" i="1"/>
  <c r="Z370" i="1"/>
  <c r="AB370" i="1"/>
  <c r="AD370" i="1"/>
  <c r="AF370" i="1"/>
  <c r="AH370" i="1"/>
  <c r="AJ370" i="1"/>
  <c r="AL370" i="1"/>
  <c r="AN370" i="1"/>
  <c r="AP370" i="1"/>
  <c r="AR370" i="1"/>
  <c r="AT370" i="1"/>
  <c r="AV370" i="1"/>
  <c r="AX370" i="1"/>
  <c r="D371" i="1"/>
  <c r="F371" i="1"/>
  <c r="H371" i="1"/>
  <c r="J371" i="1"/>
  <c r="L371" i="1"/>
  <c r="N371" i="1"/>
  <c r="P371" i="1"/>
  <c r="R371" i="1"/>
  <c r="T371" i="1"/>
  <c r="V371" i="1"/>
  <c r="X371" i="1"/>
  <c r="Z371" i="1"/>
  <c r="AB371" i="1"/>
  <c r="AD371" i="1"/>
  <c r="AF371" i="1"/>
  <c r="AH371" i="1"/>
  <c r="AJ371" i="1"/>
  <c r="AL371" i="1"/>
  <c r="AN371" i="1"/>
  <c r="AP371" i="1"/>
  <c r="AR371" i="1"/>
  <c r="AT371" i="1"/>
  <c r="AV371" i="1"/>
  <c r="AX371" i="1"/>
  <c r="D372" i="1"/>
  <c r="F372" i="1"/>
  <c r="H372" i="1"/>
  <c r="J372" i="1"/>
  <c r="L372" i="1"/>
  <c r="N372" i="1"/>
  <c r="P372" i="1"/>
  <c r="R372" i="1"/>
  <c r="T372" i="1"/>
  <c r="V372" i="1"/>
  <c r="X372" i="1"/>
  <c r="Z372" i="1"/>
  <c r="AB372" i="1"/>
  <c r="AD372" i="1"/>
  <c r="AF372" i="1"/>
  <c r="AH372" i="1"/>
  <c r="AJ372" i="1"/>
  <c r="AL372" i="1"/>
  <c r="AN372" i="1"/>
  <c r="AP372" i="1"/>
  <c r="AR372" i="1"/>
  <c r="AT372" i="1"/>
  <c r="AV372" i="1"/>
  <c r="AX372" i="1"/>
  <c r="D373" i="1"/>
  <c r="F373" i="1"/>
  <c r="H373" i="1"/>
  <c r="J373" i="1"/>
  <c r="L373" i="1"/>
  <c r="N373" i="1"/>
  <c r="P373" i="1"/>
  <c r="R373" i="1"/>
  <c r="T373" i="1"/>
  <c r="V373" i="1"/>
  <c r="X373" i="1"/>
  <c r="Z373" i="1"/>
  <c r="AB373" i="1"/>
  <c r="AD373" i="1"/>
  <c r="AF373" i="1"/>
  <c r="AH373" i="1"/>
  <c r="AJ373" i="1"/>
  <c r="AL373" i="1"/>
  <c r="AN373" i="1"/>
  <c r="AP373" i="1"/>
  <c r="AR373" i="1"/>
  <c r="AT373" i="1"/>
  <c r="AV373" i="1"/>
  <c r="AX373" i="1"/>
  <c r="D374" i="1"/>
  <c r="F374" i="1"/>
  <c r="H374" i="1"/>
  <c r="J374" i="1"/>
  <c r="L374" i="1"/>
  <c r="N374" i="1"/>
  <c r="P374" i="1"/>
  <c r="R374" i="1"/>
  <c r="T374" i="1"/>
  <c r="V374" i="1"/>
  <c r="X374" i="1"/>
  <c r="Z374" i="1"/>
  <c r="AB374" i="1"/>
  <c r="AD374" i="1"/>
  <c r="AF374" i="1"/>
  <c r="AH374" i="1"/>
  <c r="AJ374" i="1"/>
  <c r="AL374" i="1"/>
  <c r="AN374" i="1"/>
  <c r="AP374" i="1"/>
  <c r="AR374" i="1"/>
  <c r="AT374" i="1"/>
  <c r="AV374" i="1"/>
  <c r="AX374" i="1"/>
  <c r="D375" i="1"/>
  <c r="F375" i="1"/>
  <c r="H375" i="1"/>
  <c r="J375" i="1"/>
  <c r="L375" i="1"/>
  <c r="N375" i="1"/>
  <c r="P375" i="1"/>
  <c r="R375" i="1"/>
  <c r="T375" i="1"/>
  <c r="V375" i="1"/>
  <c r="X375" i="1"/>
  <c r="Z375" i="1"/>
  <c r="AB375" i="1"/>
  <c r="AD375" i="1"/>
  <c r="AF375" i="1"/>
  <c r="AH375" i="1"/>
  <c r="AJ375" i="1"/>
  <c r="AL375" i="1"/>
  <c r="AN375" i="1"/>
  <c r="AP375" i="1"/>
  <c r="AR375" i="1"/>
  <c r="AT375" i="1"/>
  <c r="AV375" i="1"/>
  <c r="AX375" i="1"/>
  <c r="D376" i="1"/>
  <c r="F376" i="1"/>
  <c r="H376" i="1"/>
  <c r="J376" i="1"/>
  <c r="L376" i="1"/>
  <c r="N376" i="1"/>
  <c r="P376" i="1"/>
  <c r="R376" i="1"/>
  <c r="T376" i="1"/>
  <c r="V376" i="1"/>
  <c r="X376" i="1"/>
  <c r="Z376" i="1"/>
  <c r="AB376" i="1"/>
  <c r="AD376" i="1"/>
  <c r="AF376" i="1"/>
  <c r="AH376" i="1"/>
  <c r="AJ376" i="1"/>
  <c r="AL376" i="1"/>
  <c r="AN376" i="1"/>
  <c r="AP376" i="1"/>
  <c r="AR376" i="1"/>
  <c r="AT376" i="1"/>
  <c r="AV376" i="1"/>
  <c r="AX376" i="1"/>
  <c r="D377" i="1"/>
  <c r="F377" i="1"/>
  <c r="H377" i="1"/>
  <c r="J377" i="1"/>
  <c r="L377" i="1"/>
  <c r="N377" i="1"/>
  <c r="P377" i="1"/>
  <c r="R377" i="1"/>
  <c r="T377" i="1"/>
  <c r="V377" i="1"/>
  <c r="X377" i="1"/>
  <c r="Z377" i="1"/>
  <c r="AB377" i="1"/>
  <c r="AD377" i="1"/>
  <c r="AF377" i="1"/>
  <c r="AH377" i="1"/>
  <c r="AJ377" i="1"/>
  <c r="AL377" i="1"/>
  <c r="AN377" i="1"/>
  <c r="AP377" i="1"/>
  <c r="AR377" i="1"/>
  <c r="AT377" i="1"/>
  <c r="AV377" i="1"/>
  <c r="AX377" i="1"/>
  <c r="D378" i="1"/>
  <c r="F378" i="1"/>
  <c r="H378" i="1"/>
  <c r="J378" i="1"/>
  <c r="L378" i="1"/>
  <c r="N378" i="1"/>
  <c r="P378" i="1"/>
  <c r="R378" i="1"/>
  <c r="T378" i="1"/>
  <c r="V378" i="1"/>
  <c r="X378" i="1"/>
  <c r="Z378" i="1"/>
  <c r="AB378" i="1"/>
  <c r="AD378" i="1"/>
  <c r="AF378" i="1"/>
  <c r="AH378" i="1"/>
  <c r="AJ378" i="1"/>
  <c r="AL378" i="1"/>
  <c r="AN378" i="1"/>
  <c r="AP378" i="1"/>
  <c r="AR378" i="1"/>
  <c r="AT378" i="1"/>
  <c r="AV378" i="1"/>
  <c r="AX378" i="1"/>
  <c r="D379" i="1"/>
  <c r="F379" i="1"/>
  <c r="H379" i="1"/>
  <c r="J379" i="1"/>
  <c r="L379" i="1"/>
  <c r="N379" i="1"/>
  <c r="P379" i="1"/>
  <c r="R379" i="1"/>
  <c r="T379" i="1"/>
  <c r="V379" i="1"/>
  <c r="X379" i="1"/>
  <c r="Z379" i="1"/>
  <c r="AB379" i="1"/>
  <c r="AD379" i="1"/>
  <c r="AF379" i="1"/>
  <c r="AH379" i="1"/>
  <c r="AJ379" i="1"/>
  <c r="AL379" i="1"/>
  <c r="AN379" i="1"/>
  <c r="AP379" i="1"/>
  <c r="AR379" i="1"/>
  <c r="AT379" i="1"/>
  <c r="AV379" i="1"/>
  <c r="AX379" i="1"/>
  <c r="D380" i="1"/>
  <c r="F380" i="1"/>
  <c r="H380" i="1"/>
  <c r="J380" i="1"/>
  <c r="L380" i="1"/>
  <c r="N380" i="1"/>
  <c r="P380" i="1"/>
  <c r="R380" i="1"/>
  <c r="T380" i="1"/>
  <c r="V380" i="1"/>
  <c r="X380" i="1"/>
  <c r="Z380" i="1"/>
  <c r="AB380" i="1"/>
  <c r="AD380" i="1"/>
  <c r="AF380" i="1"/>
  <c r="AH380" i="1"/>
  <c r="AJ380" i="1"/>
  <c r="AL380" i="1"/>
  <c r="AN380" i="1"/>
  <c r="AP380" i="1"/>
  <c r="AR380" i="1"/>
  <c r="AT380" i="1"/>
  <c r="AV380" i="1"/>
  <c r="AX380" i="1"/>
  <c r="D381" i="1"/>
  <c r="F381" i="1"/>
  <c r="H381" i="1"/>
  <c r="J381" i="1"/>
  <c r="L381" i="1"/>
  <c r="N381" i="1"/>
  <c r="P381" i="1"/>
  <c r="R381" i="1"/>
  <c r="T381" i="1"/>
  <c r="V381" i="1"/>
  <c r="X381" i="1"/>
  <c r="Z381" i="1"/>
  <c r="AB381" i="1"/>
  <c r="AD381" i="1"/>
  <c r="AF381" i="1"/>
  <c r="AH381" i="1"/>
  <c r="AJ381" i="1"/>
  <c r="AL381" i="1"/>
  <c r="AN381" i="1"/>
  <c r="AP381" i="1"/>
  <c r="AR381" i="1"/>
  <c r="AT381" i="1"/>
  <c r="AV381" i="1"/>
  <c r="AX381" i="1"/>
  <c r="D382" i="1"/>
  <c r="F382" i="1"/>
  <c r="H382" i="1"/>
  <c r="J382" i="1"/>
  <c r="L382" i="1"/>
  <c r="N382" i="1"/>
  <c r="P382" i="1"/>
  <c r="R382" i="1"/>
  <c r="T382" i="1"/>
  <c r="V382" i="1"/>
  <c r="X382" i="1"/>
  <c r="Z382" i="1"/>
  <c r="AB382" i="1"/>
  <c r="AD382" i="1"/>
  <c r="AF382" i="1"/>
  <c r="AH382" i="1"/>
  <c r="AJ382" i="1"/>
  <c r="AL382" i="1"/>
  <c r="AN382" i="1"/>
  <c r="AP382" i="1"/>
  <c r="AR382" i="1"/>
  <c r="AT382" i="1"/>
  <c r="AV382" i="1"/>
  <c r="AX382" i="1"/>
  <c r="D383" i="1"/>
  <c r="F383" i="1"/>
  <c r="H383" i="1"/>
  <c r="J383" i="1"/>
  <c r="L383" i="1"/>
  <c r="N383" i="1"/>
  <c r="P383" i="1"/>
  <c r="R383" i="1"/>
  <c r="T383" i="1"/>
  <c r="V383" i="1"/>
  <c r="X383" i="1"/>
  <c r="Z383" i="1"/>
  <c r="AB383" i="1"/>
  <c r="AD383" i="1"/>
  <c r="AF383" i="1"/>
  <c r="AH383" i="1"/>
  <c r="AJ383" i="1"/>
  <c r="AL383" i="1"/>
  <c r="AN383" i="1"/>
  <c r="AP383" i="1"/>
  <c r="AR383" i="1"/>
  <c r="AT383" i="1"/>
  <c r="AV383" i="1"/>
  <c r="AX383" i="1"/>
  <c r="D384" i="1"/>
  <c r="F384" i="1"/>
  <c r="H384" i="1"/>
  <c r="J384" i="1"/>
  <c r="L384" i="1"/>
  <c r="N384" i="1"/>
  <c r="P384" i="1"/>
  <c r="R384" i="1"/>
  <c r="T384" i="1"/>
  <c r="V384" i="1"/>
  <c r="X384" i="1"/>
  <c r="Z384" i="1"/>
  <c r="AB384" i="1"/>
  <c r="AD384" i="1"/>
  <c r="AF384" i="1"/>
  <c r="AH384" i="1"/>
  <c r="AJ384" i="1"/>
  <c r="AL384" i="1"/>
  <c r="AN384" i="1"/>
  <c r="AP384" i="1"/>
  <c r="AR384" i="1"/>
  <c r="AT384" i="1"/>
  <c r="AV384" i="1"/>
  <c r="AX384" i="1"/>
  <c r="D385" i="1"/>
  <c r="F385" i="1"/>
  <c r="H385" i="1"/>
  <c r="J385" i="1"/>
  <c r="L385" i="1"/>
  <c r="N385" i="1"/>
  <c r="P385" i="1"/>
  <c r="R385" i="1"/>
  <c r="T385" i="1"/>
  <c r="V385" i="1"/>
  <c r="X385" i="1"/>
  <c r="Z385" i="1"/>
  <c r="AB385" i="1"/>
  <c r="AD385" i="1"/>
  <c r="AF385" i="1"/>
  <c r="AH385" i="1"/>
  <c r="AJ385" i="1"/>
  <c r="AL385" i="1"/>
  <c r="AN385" i="1"/>
  <c r="AP385" i="1"/>
  <c r="AR385" i="1"/>
  <c r="AT385" i="1"/>
  <c r="AV385" i="1"/>
  <c r="AX385" i="1"/>
  <c r="D386" i="1"/>
  <c r="F386" i="1"/>
  <c r="H386" i="1"/>
  <c r="J386" i="1"/>
  <c r="L386" i="1"/>
  <c r="N386" i="1"/>
  <c r="P386" i="1"/>
  <c r="R386" i="1"/>
  <c r="T386" i="1"/>
  <c r="V386" i="1"/>
  <c r="X386" i="1"/>
  <c r="Z386" i="1"/>
  <c r="AB386" i="1"/>
  <c r="AD386" i="1"/>
  <c r="AF386" i="1"/>
  <c r="AH386" i="1"/>
  <c r="AJ386" i="1"/>
  <c r="AL386" i="1"/>
  <c r="AN386" i="1"/>
  <c r="AP386" i="1"/>
  <c r="AR386" i="1"/>
  <c r="AT386" i="1"/>
  <c r="AV386" i="1"/>
  <c r="AX386" i="1"/>
  <c r="D387" i="1"/>
  <c r="F387" i="1"/>
  <c r="H387" i="1"/>
  <c r="J387" i="1"/>
  <c r="L387" i="1"/>
  <c r="N387" i="1"/>
  <c r="P387" i="1"/>
  <c r="R387" i="1"/>
  <c r="T387" i="1"/>
  <c r="V387" i="1"/>
  <c r="X387" i="1"/>
  <c r="Z387" i="1"/>
  <c r="AB387" i="1"/>
  <c r="AD387" i="1"/>
  <c r="AF387" i="1"/>
  <c r="AH387" i="1"/>
  <c r="AJ387" i="1"/>
  <c r="AL387" i="1"/>
  <c r="AN387" i="1"/>
  <c r="AP387" i="1"/>
  <c r="AR387" i="1"/>
  <c r="AT387" i="1"/>
  <c r="AV387" i="1"/>
  <c r="AX387" i="1"/>
  <c r="D388" i="1"/>
  <c r="F388" i="1"/>
  <c r="H388" i="1"/>
  <c r="J388" i="1"/>
  <c r="L388" i="1"/>
  <c r="N388" i="1"/>
  <c r="P388" i="1"/>
  <c r="R388" i="1"/>
  <c r="T388" i="1"/>
  <c r="V388" i="1"/>
  <c r="X388" i="1"/>
  <c r="Z388" i="1"/>
  <c r="AB388" i="1"/>
  <c r="AD388" i="1"/>
  <c r="AF388" i="1"/>
  <c r="AH388" i="1"/>
  <c r="AJ388" i="1"/>
  <c r="AL388" i="1"/>
  <c r="AN388" i="1"/>
  <c r="AP388" i="1"/>
  <c r="AR388" i="1"/>
  <c r="AT388" i="1"/>
  <c r="AV388" i="1"/>
  <c r="AX388" i="1"/>
  <c r="D389" i="1"/>
  <c r="F389" i="1"/>
  <c r="H389" i="1"/>
  <c r="J389" i="1"/>
  <c r="L389" i="1"/>
  <c r="N389" i="1"/>
  <c r="P389" i="1"/>
  <c r="R389" i="1"/>
  <c r="T389" i="1"/>
  <c r="V389" i="1"/>
  <c r="X389" i="1"/>
  <c r="Z389" i="1"/>
  <c r="AB389" i="1"/>
  <c r="AD389" i="1"/>
  <c r="AF389" i="1"/>
  <c r="AH389" i="1"/>
  <c r="AJ389" i="1"/>
  <c r="AL389" i="1"/>
  <c r="AN389" i="1"/>
  <c r="AP389" i="1"/>
  <c r="AR389" i="1"/>
  <c r="AT389" i="1"/>
  <c r="AV389" i="1"/>
  <c r="AX389" i="1"/>
  <c r="D390" i="1"/>
  <c r="F390" i="1"/>
  <c r="H390" i="1"/>
  <c r="J390" i="1"/>
  <c r="L390" i="1"/>
  <c r="N390" i="1"/>
  <c r="P390" i="1"/>
  <c r="R390" i="1"/>
  <c r="T390" i="1"/>
  <c r="V390" i="1"/>
  <c r="X390" i="1"/>
  <c r="Z390" i="1"/>
  <c r="AB390" i="1"/>
  <c r="AD390" i="1"/>
  <c r="AF390" i="1"/>
  <c r="AH390" i="1"/>
  <c r="AJ390" i="1"/>
  <c r="AL390" i="1"/>
  <c r="AN390" i="1"/>
  <c r="AP390" i="1"/>
  <c r="AR390" i="1"/>
  <c r="AT390" i="1"/>
  <c r="AV390" i="1"/>
  <c r="AX390" i="1"/>
  <c r="D391" i="1"/>
  <c r="F391" i="1"/>
  <c r="H391" i="1"/>
  <c r="J391" i="1"/>
  <c r="L391" i="1"/>
  <c r="N391" i="1"/>
  <c r="P391" i="1"/>
  <c r="R391" i="1"/>
  <c r="T391" i="1"/>
  <c r="V391" i="1"/>
  <c r="X391" i="1"/>
  <c r="Z391" i="1"/>
  <c r="AB391" i="1"/>
  <c r="AD391" i="1"/>
  <c r="AF391" i="1"/>
  <c r="AH391" i="1"/>
  <c r="AJ391" i="1"/>
  <c r="AL391" i="1"/>
  <c r="AN391" i="1"/>
  <c r="AP391" i="1"/>
  <c r="AR391" i="1"/>
  <c r="AT391" i="1"/>
  <c r="AV391" i="1"/>
  <c r="AX391" i="1"/>
  <c r="D392" i="1"/>
  <c r="F392" i="1"/>
  <c r="H392" i="1"/>
  <c r="J392" i="1"/>
  <c r="L392" i="1"/>
  <c r="N392" i="1"/>
  <c r="P392" i="1"/>
  <c r="R392" i="1"/>
  <c r="T392" i="1"/>
  <c r="V392" i="1"/>
  <c r="X392" i="1"/>
  <c r="Z392" i="1"/>
  <c r="AB392" i="1"/>
  <c r="AD392" i="1"/>
  <c r="AF392" i="1"/>
  <c r="AH392" i="1"/>
  <c r="AJ392" i="1"/>
  <c r="AL392" i="1"/>
  <c r="AN392" i="1"/>
  <c r="AP392" i="1"/>
  <c r="AR392" i="1"/>
  <c r="AT392" i="1"/>
  <c r="AV392" i="1"/>
  <c r="AX392" i="1"/>
  <c r="D393" i="1"/>
  <c r="F393" i="1"/>
  <c r="H393" i="1"/>
  <c r="J393" i="1"/>
  <c r="L393" i="1"/>
  <c r="N393" i="1"/>
  <c r="P393" i="1"/>
  <c r="R393" i="1"/>
  <c r="T393" i="1"/>
  <c r="V393" i="1"/>
  <c r="X393" i="1"/>
  <c r="Z393" i="1"/>
  <c r="AB393" i="1"/>
  <c r="AD393" i="1"/>
  <c r="AF393" i="1"/>
  <c r="AH393" i="1"/>
  <c r="AJ393" i="1"/>
  <c r="AL393" i="1"/>
  <c r="AN393" i="1"/>
  <c r="AP393" i="1"/>
  <c r="AR393" i="1"/>
  <c r="AT393" i="1"/>
  <c r="AV393" i="1"/>
  <c r="AX393" i="1"/>
  <c r="D394" i="1"/>
  <c r="F394" i="1"/>
  <c r="H394" i="1"/>
  <c r="J394" i="1"/>
  <c r="L394" i="1"/>
  <c r="N394" i="1"/>
  <c r="P394" i="1"/>
  <c r="R394" i="1"/>
  <c r="T394" i="1"/>
  <c r="V394" i="1"/>
  <c r="X394" i="1"/>
  <c r="Z394" i="1"/>
  <c r="AB394" i="1"/>
  <c r="AD394" i="1"/>
  <c r="AF394" i="1"/>
  <c r="AH394" i="1"/>
  <c r="AJ394" i="1"/>
  <c r="AL394" i="1"/>
  <c r="AN394" i="1"/>
  <c r="AP394" i="1"/>
  <c r="AR394" i="1"/>
  <c r="AT394" i="1"/>
  <c r="AV394" i="1"/>
  <c r="AX394" i="1"/>
  <c r="D395" i="1"/>
  <c r="F395" i="1"/>
  <c r="H395" i="1"/>
  <c r="J395" i="1"/>
  <c r="L395" i="1"/>
  <c r="N395" i="1"/>
  <c r="P395" i="1"/>
  <c r="R395" i="1"/>
  <c r="T395" i="1"/>
  <c r="V395" i="1"/>
  <c r="X395" i="1"/>
  <c r="Z395" i="1"/>
  <c r="AB395" i="1"/>
  <c r="AD395" i="1"/>
  <c r="AF395" i="1"/>
  <c r="AH395" i="1"/>
  <c r="AJ395" i="1"/>
  <c r="AL395" i="1"/>
  <c r="AN395" i="1"/>
  <c r="AP395" i="1"/>
  <c r="AR395" i="1"/>
  <c r="AT395" i="1"/>
  <c r="AV395" i="1"/>
  <c r="AX395" i="1"/>
  <c r="D396" i="1"/>
  <c r="F396" i="1"/>
  <c r="H396" i="1"/>
  <c r="J396" i="1"/>
  <c r="L396" i="1"/>
  <c r="N396" i="1"/>
  <c r="P396" i="1"/>
  <c r="R396" i="1"/>
  <c r="T396" i="1"/>
  <c r="V396" i="1"/>
  <c r="X396" i="1"/>
  <c r="Z396" i="1"/>
  <c r="AB396" i="1"/>
  <c r="AD396" i="1"/>
  <c r="AF396" i="1"/>
  <c r="AH396" i="1"/>
  <c r="AJ396" i="1"/>
  <c r="AL396" i="1"/>
  <c r="AN396" i="1"/>
  <c r="AP396" i="1"/>
  <c r="AR396" i="1"/>
  <c r="AT396" i="1"/>
  <c r="AV396" i="1"/>
  <c r="AX396" i="1"/>
  <c r="D397" i="1"/>
  <c r="F397" i="1"/>
  <c r="H397" i="1"/>
  <c r="J397" i="1"/>
  <c r="L397" i="1"/>
  <c r="N397" i="1"/>
  <c r="P397" i="1"/>
  <c r="R397" i="1"/>
  <c r="T397" i="1"/>
  <c r="V397" i="1"/>
  <c r="X397" i="1"/>
  <c r="Z397" i="1"/>
  <c r="AB397" i="1"/>
  <c r="AD397" i="1"/>
  <c r="AF397" i="1"/>
  <c r="AH397" i="1"/>
  <c r="AJ397" i="1"/>
  <c r="AL397" i="1"/>
  <c r="AN397" i="1"/>
  <c r="AP397" i="1"/>
  <c r="AR397" i="1"/>
  <c r="AT397" i="1"/>
  <c r="AV397" i="1"/>
  <c r="AX397" i="1"/>
  <c r="D398" i="1"/>
  <c r="F398" i="1"/>
  <c r="H398" i="1"/>
  <c r="J398" i="1"/>
  <c r="L398" i="1"/>
  <c r="N398" i="1"/>
  <c r="P398" i="1"/>
  <c r="R398" i="1"/>
  <c r="T398" i="1"/>
  <c r="V398" i="1"/>
  <c r="X398" i="1"/>
  <c r="Z398" i="1"/>
  <c r="AB398" i="1"/>
  <c r="AD398" i="1"/>
  <c r="AF398" i="1"/>
  <c r="AH398" i="1"/>
  <c r="AJ398" i="1"/>
  <c r="AL398" i="1"/>
  <c r="AN398" i="1"/>
  <c r="AP398" i="1"/>
  <c r="AR398" i="1"/>
  <c r="AT398" i="1"/>
  <c r="AV398" i="1"/>
  <c r="AX398" i="1"/>
  <c r="D402" i="1"/>
  <c r="F402" i="1"/>
  <c r="H402" i="1"/>
  <c r="J402" i="1"/>
  <c r="L402" i="1"/>
  <c r="N402" i="1"/>
  <c r="P402" i="1"/>
  <c r="R402" i="1"/>
  <c r="T402" i="1"/>
  <c r="V402" i="1"/>
  <c r="X402" i="1"/>
  <c r="Z402" i="1"/>
  <c r="AB402" i="1"/>
  <c r="AD402" i="1"/>
  <c r="AF402" i="1"/>
  <c r="AH402" i="1"/>
  <c r="AJ402" i="1"/>
  <c r="AL402" i="1"/>
  <c r="AN402" i="1"/>
  <c r="AP402" i="1"/>
  <c r="AR402" i="1"/>
  <c r="AT402" i="1"/>
  <c r="AV402" i="1"/>
  <c r="AX402" i="1"/>
  <c r="D403" i="1"/>
  <c r="F403" i="1"/>
  <c r="H403" i="1"/>
  <c r="J403" i="1"/>
  <c r="L403" i="1"/>
  <c r="N403" i="1"/>
  <c r="P403" i="1"/>
  <c r="R403" i="1"/>
  <c r="T403" i="1"/>
  <c r="V403" i="1"/>
  <c r="X403" i="1"/>
  <c r="Z403" i="1"/>
  <c r="AB403" i="1"/>
  <c r="AD403" i="1"/>
  <c r="AF403" i="1"/>
  <c r="AH403" i="1"/>
  <c r="AJ403" i="1"/>
  <c r="AL403" i="1"/>
  <c r="AN403" i="1"/>
  <c r="AP403" i="1"/>
  <c r="AR403" i="1"/>
  <c r="AT403" i="1"/>
  <c r="AV403" i="1"/>
  <c r="AX403" i="1"/>
  <c r="D404" i="1"/>
  <c r="F404" i="1"/>
  <c r="H404" i="1"/>
  <c r="J404" i="1"/>
  <c r="L404" i="1"/>
  <c r="N404" i="1"/>
  <c r="P404" i="1"/>
  <c r="R404" i="1"/>
  <c r="T404" i="1"/>
  <c r="V404" i="1"/>
  <c r="X404" i="1"/>
  <c r="Z404" i="1"/>
  <c r="AB404" i="1"/>
  <c r="AD404" i="1"/>
  <c r="AF404" i="1"/>
  <c r="AH404" i="1"/>
  <c r="AJ404" i="1"/>
  <c r="AL404" i="1"/>
  <c r="AN404" i="1"/>
  <c r="AP404" i="1"/>
  <c r="AR404" i="1"/>
  <c r="AT404" i="1"/>
  <c r="AV404" i="1"/>
  <c r="AX404" i="1"/>
  <c r="D405" i="1"/>
  <c r="F405" i="1"/>
  <c r="H405" i="1"/>
  <c r="J405" i="1"/>
  <c r="L405" i="1"/>
  <c r="N405" i="1"/>
  <c r="P405" i="1"/>
  <c r="R405" i="1"/>
  <c r="T405" i="1"/>
  <c r="V405" i="1"/>
  <c r="X405" i="1"/>
  <c r="Z405" i="1"/>
  <c r="AB405" i="1"/>
  <c r="AD405" i="1"/>
  <c r="AF405" i="1"/>
  <c r="AH405" i="1"/>
  <c r="AJ405" i="1"/>
  <c r="AL405" i="1"/>
  <c r="AN405" i="1"/>
  <c r="AP405" i="1"/>
  <c r="AR405" i="1"/>
  <c r="AT405" i="1"/>
  <c r="AV405" i="1"/>
  <c r="AX405" i="1"/>
  <c r="D406" i="1"/>
  <c r="F406" i="1"/>
  <c r="H406" i="1"/>
  <c r="J406" i="1"/>
  <c r="L406" i="1"/>
  <c r="N406" i="1"/>
  <c r="P406" i="1"/>
  <c r="R406" i="1"/>
  <c r="T406" i="1"/>
  <c r="V406" i="1"/>
  <c r="X406" i="1"/>
  <c r="Z406" i="1"/>
  <c r="AB406" i="1"/>
  <c r="AD406" i="1"/>
  <c r="AF406" i="1"/>
  <c r="AH406" i="1"/>
  <c r="AJ406" i="1"/>
  <c r="AL406" i="1"/>
  <c r="AN406" i="1"/>
  <c r="AP406" i="1"/>
  <c r="AR406" i="1"/>
  <c r="AT406" i="1"/>
  <c r="AV406" i="1"/>
  <c r="AX406" i="1"/>
  <c r="D410" i="1"/>
  <c r="F410" i="1"/>
  <c r="H410" i="1"/>
  <c r="J410" i="1"/>
  <c r="L410" i="1"/>
  <c r="N410" i="1"/>
  <c r="P410" i="1"/>
  <c r="R410" i="1"/>
  <c r="T410" i="1"/>
  <c r="V410" i="1"/>
  <c r="X410" i="1"/>
  <c r="Z410" i="1"/>
  <c r="AB410" i="1"/>
  <c r="AD410" i="1"/>
  <c r="AF410" i="1"/>
  <c r="AH410" i="1"/>
  <c r="AJ410" i="1"/>
  <c r="AL410" i="1"/>
  <c r="AN410" i="1"/>
  <c r="AP410" i="1"/>
  <c r="AR410" i="1"/>
  <c r="AT410" i="1"/>
  <c r="AV410" i="1"/>
  <c r="AX410" i="1"/>
  <c r="D411" i="1"/>
  <c r="F411" i="1"/>
  <c r="H411" i="1"/>
  <c r="J411" i="1"/>
  <c r="L411" i="1"/>
  <c r="N411" i="1"/>
  <c r="P411" i="1"/>
  <c r="R411" i="1"/>
  <c r="T411" i="1"/>
  <c r="V411" i="1"/>
  <c r="X411" i="1"/>
  <c r="Z411" i="1"/>
  <c r="AB411" i="1"/>
  <c r="AD411" i="1"/>
  <c r="AF411" i="1"/>
  <c r="AH411" i="1"/>
  <c r="AJ411" i="1"/>
  <c r="AL411" i="1"/>
  <c r="AN411" i="1"/>
  <c r="AP411" i="1"/>
  <c r="AR411" i="1"/>
  <c r="AT411" i="1"/>
  <c r="AV411" i="1"/>
  <c r="AX411" i="1"/>
  <c r="D412" i="1"/>
  <c r="F412" i="1"/>
  <c r="H412" i="1"/>
  <c r="J412" i="1"/>
  <c r="L412" i="1"/>
  <c r="N412" i="1"/>
  <c r="P412" i="1"/>
  <c r="R412" i="1"/>
  <c r="T412" i="1"/>
  <c r="V412" i="1"/>
  <c r="X412" i="1"/>
  <c r="Z412" i="1"/>
  <c r="AB412" i="1"/>
  <c r="AD412" i="1"/>
  <c r="AF412" i="1"/>
  <c r="AH412" i="1"/>
  <c r="AJ412" i="1"/>
  <c r="AL412" i="1"/>
  <c r="AN412" i="1"/>
  <c r="AP412" i="1"/>
  <c r="AR412" i="1"/>
  <c r="AT412" i="1"/>
  <c r="AV412" i="1"/>
  <c r="AX412" i="1"/>
  <c r="D413" i="1"/>
  <c r="F413" i="1"/>
  <c r="H413" i="1"/>
  <c r="J413" i="1"/>
  <c r="L413" i="1"/>
  <c r="N413" i="1"/>
  <c r="P413" i="1"/>
  <c r="R413" i="1"/>
  <c r="T413" i="1"/>
  <c r="V413" i="1"/>
  <c r="X413" i="1"/>
  <c r="Z413" i="1"/>
  <c r="AB413" i="1"/>
  <c r="AD413" i="1"/>
  <c r="AF413" i="1"/>
  <c r="AH413" i="1"/>
  <c r="AJ413" i="1"/>
  <c r="AL413" i="1"/>
  <c r="AN413" i="1"/>
  <c r="AP413" i="1"/>
  <c r="AR413" i="1"/>
  <c r="AT413" i="1"/>
  <c r="AV413" i="1"/>
  <c r="AX413" i="1"/>
  <c r="D414" i="1"/>
  <c r="F414" i="1"/>
  <c r="H414" i="1"/>
  <c r="J414" i="1"/>
  <c r="L414" i="1"/>
  <c r="N414" i="1"/>
  <c r="P414" i="1"/>
  <c r="R414" i="1"/>
  <c r="T414" i="1"/>
  <c r="V414" i="1"/>
  <c r="X414" i="1"/>
  <c r="Z414" i="1"/>
  <c r="AB414" i="1"/>
  <c r="AD414" i="1"/>
  <c r="AF414" i="1"/>
  <c r="AH414" i="1"/>
  <c r="AJ414" i="1"/>
  <c r="AL414" i="1"/>
  <c r="AN414" i="1"/>
  <c r="AP414" i="1"/>
  <c r="AR414" i="1"/>
  <c r="AT414" i="1"/>
  <c r="AV414" i="1"/>
  <c r="AX414" i="1"/>
  <c r="D415" i="1"/>
  <c r="F415" i="1"/>
  <c r="H415" i="1"/>
  <c r="J415" i="1"/>
  <c r="L415" i="1"/>
  <c r="N415" i="1"/>
  <c r="P415" i="1"/>
  <c r="R415" i="1"/>
  <c r="T415" i="1"/>
  <c r="V415" i="1"/>
  <c r="X415" i="1"/>
  <c r="Z415" i="1"/>
  <c r="AB415" i="1"/>
  <c r="AD415" i="1"/>
  <c r="AF415" i="1"/>
  <c r="AH415" i="1"/>
  <c r="AJ415" i="1"/>
  <c r="AL415" i="1"/>
  <c r="AN415" i="1"/>
  <c r="AP415" i="1"/>
  <c r="AR415" i="1"/>
  <c r="AT415" i="1"/>
  <c r="AV415" i="1"/>
  <c r="AX415" i="1"/>
  <c r="D418" i="1"/>
  <c r="F418" i="1"/>
  <c r="H418" i="1"/>
  <c r="J418" i="1"/>
  <c r="L418" i="1"/>
  <c r="N418" i="1"/>
  <c r="P418" i="1"/>
  <c r="R418" i="1"/>
  <c r="T418" i="1"/>
  <c r="V418" i="1"/>
  <c r="X418" i="1"/>
  <c r="Z418" i="1"/>
  <c r="AB418" i="1"/>
  <c r="AD418" i="1"/>
  <c r="AF418" i="1"/>
  <c r="AH418" i="1"/>
  <c r="AJ418" i="1"/>
  <c r="AL418" i="1"/>
  <c r="AN418" i="1"/>
  <c r="AP418" i="1"/>
  <c r="AR418" i="1"/>
  <c r="AT418" i="1"/>
  <c r="AV418" i="1"/>
  <c r="AX418" i="1"/>
  <c r="D419" i="1"/>
  <c r="F419" i="1"/>
  <c r="H419" i="1"/>
  <c r="J419" i="1"/>
  <c r="L419" i="1"/>
  <c r="N419" i="1"/>
  <c r="P419" i="1"/>
  <c r="R419" i="1"/>
  <c r="T419" i="1"/>
  <c r="V419" i="1"/>
  <c r="X419" i="1"/>
  <c r="Z419" i="1"/>
  <c r="AB419" i="1"/>
  <c r="AD419" i="1"/>
  <c r="AF419" i="1"/>
  <c r="AH419" i="1"/>
  <c r="AJ419" i="1"/>
  <c r="AL419" i="1"/>
  <c r="AN419" i="1"/>
  <c r="AP419" i="1"/>
  <c r="AR419" i="1"/>
  <c r="AT419" i="1"/>
  <c r="AV419" i="1"/>
  <c r="AX419" i="1"/>
  <c r="D420" i="1"/>
  <c r="F420" i="1"/>
  <c r="H420" i="1"/>
  <c r="J420" i="1"/>
  <c r="L420" i="1"/>
  <c r="N420" i="1"/>
  <c r="P420" i="1"/>
  <c r="R420" i="1"/>
  <c r="T420" i="1"/>
  <c r="V420" i="1"/>
  <c r="X420" i="1"/>
  <c r="Z420" i="1"/>
  <c r="AB420" i="1"/>
  <c r="AD420" i="1"/>
  <c r="AF420" i="1"/>
  <c r="AH420" i="1"/>
  <c r="AJ420" i="1"/>
  <c r="AL420" i="1"/>
  <c r="AN420" i="1"/>
  <c r="AP420" i="1"/>
  <c r="AR420" i="1"/>
  <c r="AT420" i="1"/>
  <c r="AV420" i="1"/>
  <c r="AX420" i="1"/>
  <c r="D421" i="1"/>
  <c r="F421" i="1"/>
  <c r="H421" i="1"/>
  <c r="J421" i="1"/>
  <c r="L421" i="1"/>
  <c r="N421" i="1"/>
  <c r="P421" i="1"/>
  <c r="R421" i="1"/>
  <c r="T421" i="1"/>
  <c r="V421" i="1"/>
  <c r="X421" i="1"/>
  <c r="Z421" i="1"/>
  <c r="AB421" i="1"/>
  <c r="AD421" i="1"/>
  <c r="AF421" i="1"/>
  <c r="AH421" i="1"/>
  <c r="AJ421" i="1"/>
  <c r="AL421" i="1"/>
  <c r="AN421" i="1"/>
  <c r="AP421" i="1"/>
  <c r="AR421" i="1"/>
  <c r="AT421" i="1"/>
  <c r="AV421" i="1"/>
  <c r="AX421" i="1"/>
  <c r="D422" i="1"/>
  <c r="F422" i="1"/>
  <c r="H422" i="1"/>
  <c r="J422" i="1"/>
  <c r="L422" i="1"/>
  <c r="N422" i="1"/>
  <c r="P422" i="1"/>
  <c r="R422" i="1"/>
  <c r="T422" i="1"/>
  <c r="V422" i="1"/>
  <c r="X422" i="1"/>
  <c r="Z422" i="1"/>
  <c r="AB422" i="1"/>
  <c r="AD422" i="1"/>
  <c r="AF422" i="1"/>
  <c r="AH422" i="1"/>
  <c r="AJ422" i="1"/>
  <c r="AL422" i="1"/>
  <c r="AN422" i="1"/>
  <c r="AP422" i="1"/>
  <c r="AR422" i="1"/>
  <c r="AT422" i="1"/>
  <c r="AV422" i="1"/>
  <c r="AX422" i="1"/>
  <c r="D423" i="1"/>
  <c r="F423" i="1"/>
  <c r="H423" i="1"/>
  <c r="J423" i="1"/>
  <c r="L423" i="1"/>
  <c r="N423" i="1"/>
  <c r="P423" i="1"/>
  <c r="R423" i="1"/>
  <c r="T423" i="1"/>
  <c r="V423" i="1"/>
  <c r="X423" i="1"/>
  <c r="Z423" i="1"/>
  <c r="AB423" i="1"/>
  <c r="AD423" i="1"/>
  <c r="AF423" i="1"/>
  <c r="AH423" i="1"/>
  <c r="AJ423" i="1"/>
  <c r="AL423" i="1"/>
  <c r="AN423" i="1"/>
  <c r="AP423" i="1"/>
  <c r="AR423" i="1"/>
  <c r="AT423" i="1"/>
  <c r="AV423" i="1"/>
  <c r="AX423" i="1"/>
  <c r="D424" i="1"/>
  <c r="F424" i="1"/>
  <c r="H424" i="1"/>
  <c r="J424" i="1"/>
  <c r="L424" i="1"/>
  <c r="N424" i="1"/>
  <c r="P424" i="1"/>
  <c r="R424" i="1"/>
  <c r="T424" i="1"/>
  <c r="V424" i="1"/>
  <c r="X424" i="1"/>
  <c r="Z424" i="1"/>
  <c r="AB424" i="1"/>
  <c r="AD424" i="1"/>
  <c r="AF424" i="1"/>
  <c r="AH424" i="1"/>
  <c r="AJ424" i="1"/>
  <c r="AL424" i="1"/>
  <c r="AN424" i="1"/>
  <c r="AP424" i="1"/>
  <c r="AR424" i="1"/>
  <c r="AT424" i="1"/>
  <c r="AV424" i="1"/>
  <c r="AX424" i="1"/>
  <c r="D425" i="1"/>
  <c r="F425" i="1"/>
  <c r="H425" i="1"/>
  <c r="J425" i="1"/>
  <c r="L425" i="1"/>
  <c r="N425" i="1"/>
  <c r="P425" i="1"/>
  <c r="R425" i="1"/>
  <c r="T425" i="1"/>
  <c r="V425" i="1"/>
  <c r="X425" i="1"/>
  <c r="Z425" i="1"/>
  <c r="AB425" i="1"/>
  <c r="AD425" i="1"/>
  <c r="AF425" i="1"/>
  <c r="AH425" i="1"/>
  <c r="AJ425" i="1"/>
  <c r="AL425" i="1"/>
  <c r="AN425" i="1"/>
  <c r="AP425" i="1"/>
  <c r="AR425" i="1"/>
  <c r="AT425" i="1"/>
  <c r="AV425" i="1"/>
  <c r="AX425" i="1"/>
  <c r="D427" i="1"/>
  <c r="F427" i="1"/>
  <c r="H427" i="1"/>
  <c r="J427" i="1"/>
  <c r="L427" i="1"/>
  <c r="N427" i="1"/>
  <c r="P427" i="1"/>
  <c r="R427" i="1"/>
  <c r="T427" i="1"/>
  <c r="V427" i="1"/>
  <c r="X427" i="1"/>
  <c r="Z427" i="1"/>
  <c r="AB427" i="1"/>
  <c r="AD427" i="1"/>
  <c r="AF427" i="1"/>
  <c r="AH427" i="1"/>
  <c r="AJ427" i="1"/>
  <c r="AL427" i="1"/>
  <c r="AN427" i="1"/>
  <c r="AP427" i="1"/>
  <c r="AR427" i="1"/>
  <c r="AT427" i="1"/>
  <c r="AV427" i="1"/>
  <c r="AX427" i="1"/>
  <c r="D428" i="1"/>
  <c r="F428" i="1"/>
  <c r="H428" i="1"/>
  <c r="J428" i="1"/>
  <c r="L428" i="1"/>
  <c r="N428" i="1"/>
  <c r="P428" i="1"/>
  <c r="R428" i="1"/>
  <c r="T428" i="1"/>
  <c r="V428" i="1"/>
  <c r="X428" i="1"/>
  <c r="Z428" i="1"/>
  <c r="AB428" i="1"/>
  <c r="AD428" i="1"/>
  <c r="AF428" i="1"/>
  <c r="AH428" i="1"/>
  <c r="AJ428" i="1"/>
  <c r="AL428" i="1"/>
  <c r="AN428" i="1"/>
  <c r="AP428" i="1"/>
  <c r="AR428" i="1"/>
  <c r="AT428" i="1"/>
  <c r="AV428" i="1"/>
  <c r="AX428" i="1"/>
  <c r="D429" i="1"/>
  <c r="F429" i="1"/>
  <c r="H429" i="1"/>
  <c r="J429" i="1"/>
  <c r="L429" i="1"/>
  <c r="N429" i="1"/>
  <c r="P429" i="1"/>
  <c r="R429" i="1"/>
  <c r="T429" i="1"/>
  <c r="V429" i="1"/>
  <c r="X429" i="1"/>
  <c r="Z429" i="1"/>
  <c r="AB429" i="1"/>
  <c r="AD429" i="1"/>
  <c r="AF429" i="1"/>
  <c r="AH429" i="1"/>
  <c r="AJ429" i="1"/>
  <c r="AL429" i="1"/>
  <c r="AN429" i="1"/>
  <c r="AP429" i="1"/>
  <c r="AR429" i="1"/>
  <c r="AT429" i="1"/>
  <c r="AV429" i="1"/>
  <c r="AX429" i="1"/>
  <c r="D430" i="1"/>
  <c r="F430" i="1"/>
  <c r="H430" i="1"/>
  <c r="J430" i="1"/>
  <c r="L430" i="1"/>
  <c r="N430" i="1"/>
  <c r="P430" i="1"/>
  <c r="R430" i="1"/>
  <c r="T430" i="1"/>
  <c r="V430" i="1"/>
  <c r="X430" i="1"/>
  <c r="Z430" i="1"/>
  <c r="AB430" i="1"/>
  <c r="AD430" i="1"/>
  <c r="AF430" i="1"/>
  <c r="AH430" i="1"/>
  <c r="AJ430" i="1"/>
  <c r="AL430" i="1"/>
  <c r="AN430" i="1"/>
  <c r="AP430" i="1"/>
  <c r="AR430" i="1"/>
  <c r="AT430" i="1"/>
  <c r="AV430" i="1"/>
  <c r="AX430" i="1"/>
  <c r="D432" i="1"/>
  <c r="F432" i="1"/>
  <c r="H432" i="1"/>
  <c r="J432" i="1"/>
  <c r="L432" i="1"/>
  <c r="N432" i="1"/>
  <c r="P432" i="1"/>
  <c r="R432" i="1"/>
  <c r="T432" i="1"/>
  <c r="V432" i="1"/>
  <c r="X432" i="1"/>
  <c r="Z432" i="1"/>
  <c r="AB432" i="1"/>
  <c r="AD432" i="1"/>
  <c r="AF432" i="1"/>
  <c r="AH432" i="1"/>
  <c r="AJ432" i="1"/>
  <c r="AL432" i="1"/>
  <c r="AN432" i="1"/>
  <c r="AP432" i="1"/>
  <c r="AR432" i="1"/>
  <c r="AT432" i="1"/>
  <c r="AV432" i="1"/>
  <c r="AX432" i="1"/>
  <c r="D433" i="1"/>
  <c r="F433" i="1"/>
  <c r="H433" i="1"/>
  <c r="J433" i="1"/>
  <c r="L433" i="1"/>
  <c r="N433" i="1"/>
  <c r="P433" i="1"/>
  <c r="R433" i="1"/>
  <c r="T433" i="1"/>
  <c r="V433" i="1"/>
  <c r="X433" i="1"/>
  <c r="Z433" i="1"/>
  <c r="AB433" i="1"/>
  <c r="AD433" i="1"/>
  <c r="AF433" i="1"/>
  <c r="AH433" i="1"/>
  <c r="AJ433" i="1"/>
  <c r="AL433" i="1"/>
  <c r="AN433" i="1"/>
  <c r="AP433" i="1"/>
  <c r="AR433" i="1"/>
  <c r="AT433" i="1"/>
  <c r="AV433" i="1"/>
  <c r="AX433" i="1"/>
  <c r="D434" i="1"/>
  <c r="F434" i="1"/>
  <c r="H434" i="1"/>
  <c r="J434" i="1"/>
  <c r="L434" i="1"/>
  <c r="N434" i="1"/>
  <c r="P434" i="1"/>
  <c r="R434" i="1"/>
  <c r="T434" i="1"/>
  <c r="V434" i="1"/>
  <c r="X434" i="1"/>
  <c r="Z434" i="1"/>
  <c r="AB434" i="1"/>
  <c r="AD434" i="1"/>
  <c r="AF434" i="1"/>
  <c r="AH434" i="1"/>
  <c r="AJ434" i="1"/>
  <c r="AL434" i="1"/>
  <c r="AN434" i="1"/>
  <c r="AP434" i="1"/>
  <c r="AR434" i="1"/>
  <c r="AT434" i="1"/>
  <c r="AV434" i="1"/>
  <c r="AX434" i="1"/>
  <c r="D435" i="1"/>
  <c r="F435" i="1"/>
  <c r="H435" i="1"/>
  <c r="J435" i="1"/>
  <c r="L435" i="1"/>
  <c r="N435" i="1"/>
  <c r="P435" i="1"/>
  <c r="R435" i="1"/>
  <c r="T435" i="1"/>
  <c r="V435" i="1"/>
  <c r="X435" i="1"/>
  <c r="Z435" i="1"/>
  <c r="AB435" i="1"/>
  <c r="AD435" i="1"/>
  <c r="AF435" i="1"/>
  <c r="AH435" i="1"/>
  <c r="AJ435" i="1"/>
  <c r="AL435" i="1"/>
  <c r="AN435" i="1"/>
  <c r="AP435" i="1"/>
  <c r="AR435" i="1"/>
  <c r="AT435" i="1"/>
  <c r="AV435" i="1"/>
  <c r="AX435" i="1"/>
  <c r="D436" i="1"/>
  <c r="F436" i="1"/>
  <c r="H436" i="1"/>
  <c r="J436" i="1"/>
  <c r="L436" i="1"/>
  <c r="N436" i="1"/>
  <c r="P436" i="1"/>
  <c r="R436" i="1"/>
  <c r="T436" i="1"/>
  <c r="V436" i="1"/>
  <c r="X436" i="1"/>
  <c r="Z436" i="1"/>
  <c r="AB436" i="1"/>
  <c r="AD436" i="1"/>
  <c r="AF436" i="1"/>
  <c r="AH436" i="1"/>
  <c r="AJ436" i="1"/>
  <c r="AL436" i="1"/>
  <c r="AN436" i="1"/>
  <c r="AP436" i="1"/>
  <c r="AR436" i="1"/>
  <c r="AT436" i="1"/>
  <c r="AV436" i="1"/>
  <c r="AX436" i="1"/>
  <c r="D437" i="1"/>
  <c r="F437" i="1"/>
  <c r="H437" i="1"/>
  <c r="J437" i="1"/>
  <c r="L437" i="1"/>
  <c r="N437" i="1"/>
  <c r="P437" i="1"/>
  <c r="R437" i="1"/>
  <c r="T437" i="1"/>
  <c r="V437" i="1"/>
  <c r="X437" i="1"/>
  <c r="Z437" i="1"/>
  <c r="AB437" i="1"/>
  <c r="AD437" i="1"/>
  <c r="AF437" i="1"/>
  <c r="AH437" i="1"/>
  <c r="AJ437" i="1"/>
  <c r="AL437" i="1"/>
  <c r="AN437" i="1"/>
  <c r="AP437" i="1"/>
  <c r="AR437" i="1"/>
  <c r="AT437" i="1"/>
  <c r="AV437" i="1"/>
  <c r="AX437" i="1"/>
  <c r="D438" i="1"/>
  <c r="F438" i="1"/>
  <c r="H438" i="1"/>
  <c r="J438" i="1"/>
  <c r="L438" i="1"/>
  <c r="N438" i="1"/>
  <c r="P438" i="1"/>
  <c r="R438" i="1"/>
  <c r="T438" i="1"/>
  <c r="V438" i="1"/>
  <c r="X438" i="1"/>
  <c r="Z438" i="1"/>
  <c r="AB438" i="1"/>
  <c r="AD438" i="1"/>
  <c r="AF438" i="1"/>
  <c r="AH438" i="1"/>
  <c r="AJ438" i="1"/>
  <c r="AL438" i="1"/>
  <c r="AN438" i="1"/>
  <c r="AP438" i="1"/>
  <c r="AR438" i="1"/>
  <c r="AT438" i="1"/>
  <c r="AV438" i="1"/>
  <c r="AX438" i="1"/>
  <c r="D439" i="1"/>
  <c r="F439" i="1"/>
  <c r="H439" i="1"/>
  <c r="J439" i="1"/>
  <c r="L439" i="1"/>
  <c r="N439" i="1"/>
  <c r="P439" i="1"/>
  <c r="R439" i="1"/>
  <c r="T439" i="1"/>
  <c r="V439" i="1"/>
  <c r="X439" i="1"/>
  <c r="Z439" i="1"/>
  <c r="AB439" i="1"/>
  <c r="AD439" i="1"/>
  <c r="AF439" i="1"/>
  <c r="AH439" i="1"/>
  <c r="AJ439" i="1"/>
  <c r="AL439" i="1"/>
  <c r="AN439" i="1"/>
  <c r="AP439" i="1"/>
  <c r="AR439" i="1"/>
  <c r="AT439" i="1"/>
  <c r="AV439" i="1"/>
  <c r="AX439" i="1"/>
  <c r="D440" i="1"/>
  <c r="F440" i="1"/>
  <c r="H440" i="1"/>
  <c r="J440" i="1"/>
  <c r="L440" i="1"/>
  <c r="N440" i="1"/>
  <c r="P440" i="1"/>
  <c r="R440" i="1"/>
  <c r="T440" i="1"/>
  <c r="V440" i="1"/>
  <c r="X440" i="1"/>
  <c r="Z440" i="1"/>
  <c r="AB440" i="1"/>
  <c r="AD440" i="1"/>
  <c r="AF440" i="1"/>
  <c r="AH440" i="1"/>
  <c r="AJ440" i="1"/>
  <c r="AL440" i="1"/>
  <c r="AN440" i="1"/>
  <c r="AP440" i="1"/>
  <c r="AR440" i="1"/>
  <c r="AT440" i="1"/>
  <c r="AV440" i="1"/>
  <c r="AX440" i="1"/>
  <c r="D441" i="1"/>
  <c r="F441" i="1"/>
  <c r="H441" i="1"/>
  <c r="J441" i="1"/>
  <c r="L441" i="1"/>
  <c r="N441" i="1"/>
  <c r="P441" i="1"/>
  <c r="R441" i="1"/>
  <c r="T441" i="1"/>
  <c r="V441" i="1"/>
  <c r="X441" i="1"/>
  <c r="Z441" i="1"/>
  <c r="AB441" i="1"/>
  <c r="AD441" i="1"/>
  <c r="AF441" i="1"/>
  <c r="AH441" i="1"/>
  <c r="AJ441" i="1"/>
  <c r="AL441" i="1"/>
  <c r="AN441" i="1"/>
  <c r="AP441" i="1"/>
  <c r="AR441" i="1"/>
  <c r="AT441" i="1"/>
  <c r="AV441" i="1"/>
  <c r="AX441" i="1"/>
  <c r="D442" i="1"/>
  <c r="F442" i="1"/>
  <c r="H442" i="1"/>
  <c r="J442" i="1"/>
  <c r="L442" i="1"/>
  <c r="N442" i="1"/>
  <c r="P442" i="1"/>
  <c r="R442" i="1"/>
  <c r="T442" i="1"/>
  <c r="V442" i="1"/>
  <c r="X442" i="1"/>
  <c r="Z442" i="1"/>
  <c r="AB442" i="1"/>
  <c r="AD442" i="1"/>
  <c r="AF442" i="1"/>
  <c r="AH442" i="1"/>
  <c r="AJ442" i="1"/>
  <c r="AL442" i="1"/>
  <c r="AN442" i="1"/>
  <c r="AP442" i="1"/>
  <c r="AR442" i="1"/>
  <c r="AT442" i="1"/>
  <c r="AV442" i="1"/>
  <c r="AX442" i="1"/>
  <c r="D443" i="1"/>
  <c r="F443" i="1"/>
  <c r="H443" i="1"/>
  <c r="J443" i="1"/>
  <c r="L443" i="1"/>
  <c r="N443" i="1"/>
  <c r="P443" i="1"/>
  <c r="R443" i="1"/>
  <c r="T443" i="1"/>
  <c r="V443" i="1"/>
  <c r="X443" i="1"/>
  <c r="Z443" i="1"/>
  <c r="AB443" i="1"/>
  <c r="AD443" i="1"/>
  <c r="AF443" i="1"/>
  <c r="AH443" i="1"/>
  <c r="AJ443" i="1"/>
  <c r="AL443" i="1"/>
  <c r="AN443" i="1"/>
  <c r="AP443" i="1"/>
  <c r="AR443" i="1"/>
  <c r="AT443" i="1"/>
  <c r="AV443" i="1"/>
  <c r="AX443" i="1"/>
  <c r="D444" i="1"/>
  <c r="F444" i="1"/>
  <c r="H444" i="1"/>
  <c r="J444" i="1"/>
  <c r="L444" i="1"/>
  <c r="N444" i="1"/>
  <c r="P444" i="1"/>
  <c r="R444" i="1"/>
  <c r="T444" i="1"/>
  <c r="V444" i="1"/>
  <c r="X444" i="1"/>
  <c r="Z444" i="1"/>
  <c r="AB444" i="1"/>
  <c r="AD444" i="1"/>
  <c r="AF444" i="1"/>
  <c r="AH444" i="1"/>
  <c r="AJ444" i="1"/>
  <c r="AL444" i="1"/>
  <c r="AN444" i="1"/>
  <c r="AP444" i="1"/>
  <c r="AR444" i="1"/>
  <c r="AT444" i="1"/>
  <c r="AV444" i="1"/>
  <c r="AX444" i="1"/>
  <c r="D445" i="1"/>
  <c r="F445" i="1"/>
  <c r="H445" i="1"/>
  <c r="J445" i="1"/>
  <c r="L445" i="1"/>
  <c r="N445" i="1"/>
  <c r="P445" i="1"/>
  <c r="R445" i="1"/>
  <c r="T445" i="1"/>
  <c r="V445" i="1"/>
  <c r="X445" i="1"/>
  <c r="Z445" i="1"/>
  <c r="AB445" i="1"/>
  <c r="AD445" i="1"/>
  <c r="AF445" i="1"/>
  <c r="AH445" i="1"/>
  <c r="AJ445" i="1"/>
  <c r="AL445" i="1"/>
  <c r="AN445" i="1"/>
  <c r="AP445" i="1"/>
  <c r="AR445" i="1"/>
  <c r="AT445" i="1"/>
  <c r="AV445" i="1"/>
  <c r="AX445" i="1"/>
  <c r="D446" i="1"/>
  <c r="F446" i="1"/>
  <c r="H446" i="1"/>
  <c r="J446" i="1"/>
  <c r="L446" i="1"/>
  <c r="N446" i="1"/>
  <c r="P446" i="1"/>
  <c r="R446" i="1"/>
  <c r="T446" i="1"/>
  <c r="V446" i="1"/>
  <c r="X446" i="1"/>
  <c r="Z446" i="1"/>
  <c r="AB446" i="1"/>
  <c r="AD446" i="1"/>
  <c r="AF446" i="1"/>
  <c r="AH446" i="1"/>
  <c r="AJ446" i="1"/>
  <c r="AL446" i="1"/>
  <c r="AN446" i="1"/>
  <c r="AP446" i="1"/>
  <c r="AR446" i="1"/>
  <c r="AT446" i="1"/>
  <c r="AV446" i="1"/>
  <c r="AX446" i="1"/>
  <c r="D447" i="1"/>
  <c r="F447" i="1"/>
  <c r="H447" i="1"/>
  <c r="J447" i="1"/>
  <c r="L447" i="1"/>
  <c r="N447" i="1"/>
  <c r="P447" i="1"/>
  <c r="R447" i="1"/>
  <c r="T447" i="1"/>
  <c r="V447" i="1"/>
  <c r="X447" i="1"/>
  <c r="Z447" i="1"/>
  <c r="AB447" i="1"/>
  <c r="AD447" i="1"/>
  <c r="AF447" i="1"/>
  <c r="AH447" i="1"/>
  <c r="AJ447" i="1"/>
  <c r="AL447" i="1"/>
  <c r="AN447" i="1"/>
  <c r="AP447" i="1"/>
  <c r="AR447" i="1"/>
  <c r="AT447" i="1"/>
  <c r="AV447" i="1"/>
  <c r="AX447" i="1"/>
  <c r="D448" i="1"/>
  <c r="F448" i="1"/>
  <c r="H448" i="1"/>
  <c r="J448" i="1"/>
  <c r="L448" i="1"/>
  <c r="N448" i="1"/>
  <c r="P448" i="1"/>
  <c r="R448" i="1"/>
  <c r="T448" i="1"/>
  <c r="V448" i="1"/>
  <c r="X448" i="1"/>
  <c r="Z448" i="1"/>
  <c r="AB448" i="1"/>
  <c r="AD448" i="1"/>
  <c r="AF448" i="1"/>
  <c r="AH448" i="1"/>
  <c r="AJ448" i="1"/>
  <c r="AL448" i="1"/>
  <c r="AN448" i="1"/>
  <c r="AP448" i="1"/>
  <c r="AR448" i="1"/>
  <c r="AT448" i="1"/>
  <c r="AV448" i="1"/>
  <c r="AX448" i="1"/>
  <c r="D449" i="1"/>
  <c r="F449" i="1"/>
  <c r="H449" i="1"/>
  <c r="J449" i="1"/>
  <c r="L449" i="1"/>
  <c r="N449" i="1"/>
  <c r="P449" i="1"/>
  <c r="R449" i="1"/>
  <c r="T449" i="1"/>
  <c r="V449" i="1"/>
  <c r="X449" i="1"/>
  <c r="Z449" i="1"/>
  <c r="AB449" i="1"/>
  <c r="AD449" i="1"/>
  <c r="AF449" i="1"/>
  <c r="AH449" i="1"/>
  <c r="AJ449" i="1"/>
  <c r="AL449" i="1"/>
  <c r="AN449" i="1"/>
  <c r="AP449" i="1"/>
  <c r="AR449" i="1"/>
  <c r="AT449" i="1"/>
  <c r="AV449" i="1"/>
  <c r="AX449" i="1"/>
  <c r="D450" i="1"/>
  <c r="F450" i="1"/>
  <c r="H450" i="1"/>
  <c r="J450" i="1"/>
  <c r="L450" i="1"/>
  <c r="N450" i="1"/>
  <c r="P450" i="1"/>
  <c r="R450" i="1"/>
  <c r="T450" i="1"/>
  <c r="V450" i="1"/>
  <c r="X450" i="1"/>
  <c r="Z450" i="1"/>
  <c r="AB450" i="1"/>
  <c r="AD450" i="1"/>
  <c r="AF450" i="1"/>
  <c r="AH450" i="1"/>
  <c r="AJ450" i="1"/>
  <c r="AL450" i="1"/>
  <c r="AN450" i="1"/>
  <c r="AP450" i="1"/>
  <c r="AR450" i="1"/>
  <c r="AT450" i="1"/>
  <c r="AV450" i="1"/>
  <c r="AX450" i="1"/>
  <c r="D451" i="1"/>
  <c r="F451" i="1"/>
  <c r="H451" i="1"/>
  <c r="J451" i="1"/>
  <c r="L451" i="1"/>
  <c r="N451" i="1"/>
  <c r="P451" i="1"/>
  <c r="R451" i="1"/>
  <c r="T451" i="1"/>
  <c r="V451" i="1"/>
  <c r="X451" i="1"/>
  <c r="Z451" i="1"/>
  <c r="AB451" i="1"/>
  <c r="AD451" i="1"/>
  <c r="AF451" i="1"/>
  <c r="AH451" i="1"/>
  <c r="AJ451" i="1"/>
  <c r="AL451" i="1"/>
  <c r="AN451" i="1"/>
  <c r="AP451" i="1"/>
  <c r="AR451" i="1"/>
  <c r="AT451" i="1"/>
  <c r="AV451" i="1"/>
  <c r="AX451" i="1"/>
  <c r="D452" i="1"/>
  <c r="F452" i="1"/>
  <c r="H452" i="1"/>
  <c r="J452" i="1"/>
  <c r="L452" i="1"/>
  <c r="N452" i="1"/>
  <c r="P452" i="1"/>
  <c r="R452" i="1"/>
  <c r="T452" i="1"/>
  <c r="V452" i="1"/>
  <c r="X452" i="1"/>
  <c r="Z452" i="1"/>
  <c r="AB452" i="1"/>
  <c r="AD452" i="1"/>
  <c r="AF452" i="1"/>
  <c r="AH452" i="1"/>
  <c r="AJ452" i="1"/>
  <c r="AL452" i="1"/>
  <c r="AN452" i="1"/>
  <c r="AP452" i="1"/>
  <c r="AR452" i="1"/>
  <c r="AT452" i="1"/>
  <c r="AV452" i="1"/>
  <c r="AX452" i="1"/>
  <c r="D453" i="1"/>
  <c r="F453" i="1"/>
  <c r="H453" i="1"/>
  <c r="J453" i="1"/>
  <c r="L453" i="1"/>
  <c r="N453" i="1"/>
  <c r="P453" i="1"/>
  <c r="R453" i="1"/>
  <c r="T453" i="1"/>
  <c r="V453" i="1"/>
  <c r="X453" i="1"/>
  <c r="Z453" i="1"/>
  <c r="AB453" i="1"/>
  <c r="AD453" i="1"/>
  <c r="AF453" i="1"/>
  <c r="AH453" i="1"/>
  <c r="AJ453" i="1"/>
  <c r="AL453" i="1"/>
  <c r="AN453" i="1"/>
  <c r="AP453" i="1"/>
  <c r="AR453" i="1"/>
  <c r="AT453" i="1"/>
  <c r="AV453" i="1"/>
  <c r="AX453" i="1"/>
  <c r="D454" i="1"/>
  <c r="F454" i="1"/>
  <c r="H454" i="1"/>
  <c r="J454" i="1"/>
  <c r="L454" i="1"/>
  <c r="N454" i="1"/>
  <c r="P454" i="1"/>
  <c r="R454" i="1"/>
  <c r="T454" i="1"/>
  <c r="V454" i="1"/>
  <c r="X454" i="1"/>
  <c r="Z454" i="1"/>
  <c r="AB454" i="1"/>
  <c r="AD454" i="1"/>
  <c r="AF454" i="1"/>
  <c r="AH454" i="1"/>
  <c r="AJ454" i="1"/>
  <c r="AL454" i="1"/>
  <c r="AN454" i="1"/>
  <c r="AP454" i="1"/>
  <c r="AR454" i="1"/>
  <c r="AT454" i="1"/>
  <c r="AV454" i="1"/>
  <c r="AX454" i="1"/>
  <c r="D455" i="1"/>
  <c r="F455" i="1"/>
  <c r="H455" i="1"/>
  <c r="J455" i="1"/>
  <c r="L455" i="1"/>
  <c r="N455" i="1"/>
  <c r="P455" i="1"/>
  <c r="R455" i="1"/>
  <c r="T455" i="1"/>
  <c r="V455" i="1"/>
  <c r="X455" i="1"/>
  <c r="Z455" i="1"/>
  <c r="AB455" i="1"/>
  <c r="AD455" i="1"/>
  <c r="AF455" i="1"/>
  <c r="AH455" i="1"/>
  <c r="AJ455" i="1"/>
  <c r="AL455" i="1"/>
  <c r="AN455" i="1"/>
  <c r="AP455" i="1"/>
  <c r="AR455" i="1"/>
  <c r="AT455" i="1"/>
  <c r="AV455" i="1"/>
  <c r="AX455" i="1"/>
  <c r="D456" i="1"/>
  <c r="F456" i="1"/>
  <c r="H456" i="1"/>
  <c r="J456" i="1"/>
  <c r="L456" i="1"/>
  <c r="N456" i="1"/>
  <c r="P456" i="1"/>
  <c r="R456" i="1"/>
  <c r="T456" i="1"/>
  <c r="V456" i="1"/>
  <c r="X456" i="1"/>
  <c r="Z456" i="1"/>
  <c r="AB456" i="1"/>
  <c r="AD456" i="1"/>
  <c r="AF456" i="1"/>
  <c r="AH456" i="1"/>
  <c r="AJ456" i="1"/>
  <c r="AL456" i="1"/>
  <c r="AN456" i="1"/>
  <c r="AP456" i="1"/>
  <c r="AR456" i="1"/>
  <c r="AT456" i="1"/>
  <c r="AV456" i="1"/>
  <c r="AX456" i="1"/>
  <c r="D457" i="1"/>
  <c r="F457" i="1"/>
  <c r="H457" i="1"/>
  <c r="J457" i="1"/>
  <c r="L457" i="1"/>
  <c r="N457" i="1"/>
  <c r="P457" i="1"/>
  <c r="R457" i="1"/>
  <c r="T457" i="1"/>
  <c r="V457" i="1"/>
  <c r="X457" i="1"/>
  <c r="Z457" i="1"/>
  <c r="AB457" i="1"/>
  <c r="AD457" i="1"/>
  <c r="AF457" i="1"/>
  <c r="AH457" i="1"/>
  <c r="AJ457" i="1"/>
  <c r="AL457" i="1"/>
  <c r="AN457" i="1"/>
  <c r="AP457" i="1"/>
  <c r="AR457" i="1"/>
  <c r="AT457" i="1"/>
  <c r="AV457" i="1"/>
  <c r="AX457" i="1"/>
  <c r="D458" i="1"/>
  <c r="F458" i="1"/>
  <c r="H458" i="1"/>
  <c r="J458" i="1"/>
  <c r="L458" i="1"/>
  <c r="N458" i="1"/>
  <c r="P458" i="1"/>
  <c r="R458" i="1"/>
  <c r="T458" i="1"/>
  <c r="V458" i="1"/>
  <c r="X458" i="1"/>
  <c r="Z458" i="1"/>
  <c r="AB458" i="1"/>
  <c r="AD458" i="1"/>
  <c r="AF458" i="1"/>
  <c r="AH458" i="1"/>
  <c r="AJ458" i="1"/>
  <c r="AL458" i="1"/>
  <c r="AN458" i="1"/>
  <c r="AP458" i="1"/>
  <c r="AR458" i="1"/>
  <c r="AT458" i="1"/>
  <c r="AV458" i="1"/>
  <c r="AX458" i="1"/>
  <c r="D459" i="1"/>
  <c r="F459" i="1"/>
  <c r="H459" i="1"/>
  <c r="J459" i="1"/>
  <c r="L459" i="1"/>
  <c r="N459" i="1"/>
  <c r="P459" i="1"/>
  <c r="R459" i="1"/>
  <c r="T459" i="1"/>
  <c r="V459" i="1"/>
  <c r="X459" i="1"/>
  <c r="Z459" i="1"/>
  <c r="AB459" i="1"/>
  <c r="AD459" i="1"/>
  <c r="AF459" i="1"/>
  <c r="AH459" i="1"/>
  <c r="AJ459" i="1"/>
  <c r="AL459" i="1"/>
  <c r="AN459" i="1"/>
  <c r="AP459" i="1"/>
  <c r="AR459" i="1"/>
  <c r="AT459" i="1"/>
  <c r="AV459" i="1"/>
  <c r="AX459" i="1"/>
  <c r="D460" i="1"/>
  <c r="F460" i="1"/>
  <c r="H460" i="1"/>
  <c r="J460" i="1"/>
  <c r="L460" i="1"/>
  <c r="N460" i="1"/>
  <c r="P460" i="1"/>
  <c r="R460" i="1"/>
  <c r="T460" i="1"/>
  <c r="V460" i="1"/>
  <c r="X460" i="1"/>
  <c r="Z460" i="1"/>
  <c r="AB460" i="1"/>
  <c r="AD460" i="1"/>
  <c r="AF460" i="1"/>
  <c r="AH460" i="1"/>
  <c r="AJ460" i="1"/>
  <c r="AL460" i="1"/>
  <c r="AN460" i="1"/>
  <c r="AP460" i="1"/>
  <c r="AR460" i="1"/>
  <c r="AT460" i="1"/>
  <c r="AV460" i="1"/>
  <c r="AX460" i="1"/>
  <c r="D461" i="1"/>
  <c r="F461" i="1"/>
  <c r="H461" i="1"/>
  <c r="J461" i="1"/>
  <c r="L461" i="1"/>
  <c r="N461" i="1"/>
  <c r="P461" i="1"/>
  <c r="R461" i="1"/>
  <c r="T461" i="1"/>
  <c r="V461" i="1"/>
  <c r="X461" i="1"/>
  <c r="Z461" i="1"/>
  <c r="AB461" i="1"/>
  <c r="AD461" i="1"/>
  <c r="AF461" i="1"/>
  <c r="AH461" i="1"/>
  <c r="AJ461" i="1"/>
  <c r="AL461" i="1"/>
  <c r="AN461" i="1"/>
  <c r="AP461" i="1"/>
  <c r="AR461" i="1"/>
  <c r="AT461" i="1"/>
  <c r="AV461" i="1"/>
  <c r="AX461" i="1"/>
  <c r="D462" i="1"/>
  <c r="F462" i="1"/>
  <c r="H462" i="1"/>
  <c r="J462" i="1"/>
  <c r="L462" i="1"/>
  <c r="N462" i="1"/>
  <c r="P462" i="1"/>
  <c r="R462" i="1"/>
  <c r="T462" i="1"/>
  <c r="V462" i="1"/>
  <c r="X462" i="1"/>
  <c r="Z462" i="1"/>
  <c r="AB462" i="1"/>
  <c r="AD462" i="1"/>
  <c r="AF462" i="1"/>
  <c r="AH462" i="1"/>
  <c r="AJ462" i="1"/>
  <c r="AL462" i="1"/>
  <c r="AN462" i="1"/>
  <c r="AP462" i="1"/>
  <c r="AR462" i="1"/>
  <c r="AT462" i="1"/>
  <c r="AV462" i="1"/>
  <c r="AX462" i="1"/>
  <c r="D463" i="1"/>
  <c r="F463" i="1"/>
  <c r="H463" i="1"/>
  <c r="J463" i="1"/>
  <c r="L463" i="1"/>
  <c r="N463" i="1"/>
  <c r="P463" i="1"/>
  <c r="R463" i="1"/>
  <c r="T463" i="1"/>
  <c r="V463" i="1"/>
  <c r="X463" i="1"/>
  <c r="Z463" i="1"/>
  <c r="AB463" i="1"/>
  <c r="AD463" i="1"/>
  <c r="AF463" i="1"/>
  <c r="AH463" i="1"/>
  <c r="AJ463" i="1"/>
  <c r="AL463" i="1"/>
  <c r="AN463" i="1"/>
  <c r="AP463" i="1"/>
  <c r="AR463" i="1"/>
  <c r="AT463" i="1"/>
  <c r="AV463" i="1"/>
  <c r="AX463" i="1"/>
  <c r="D464" i="1"/>
  <c r="F464" i="1"/>
  <c r="H464" i="1"/>
  <c r="J464" i="1"/>
  <c r="L464" i="1"/>
  <c r="N464" i="1"/>
  <c r="P464" i="1"/>
  <c r="R464" i="1"/>
  <c r="T464" i="1"/>
  <c r="V464" i="1"/>
  <c r="X464" i="1"/>
  <c r="Z464" i="1"/>
  <c r="AB464" i="1"/>
  <c r="AD464" i="1"/>
  <c r="AF464" i="1"/>
  <c r="AH464" i="1"/>
  <c r="AJ464" i="1"/>
  <c r="AL464" i="1"/>
  <c r="AN464" i="1"/>
  <c r="AP464" i="1"/>
  <c r="AR464" i="1"/>
  <c r="AT464" i="1"/>
  <c r="AV464" i="1"/>
  <c r="AX464" i="1"/>
  <c r="AI21" i="4"/>
  <c r="AD91" i="5"/>
  <c r="AZ205" i="1"/>
  <c r="BA205" i="1"/>
  <c r="BB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T205" i="1"/>
  <c r="AZ204" i="1"/>
  <c r="BA204" i="1"/>
  <c r="BB204" i="1"/>
  <c r="CH204" i="1"/>
  <c r="CI204" i="1"/>
  <c r="BC204" i="1" s="1"/>
  <c r="CJ204" i="1"/>
  <c r="CK204" i="1"/>
  <c r="CL204" i="1"/>
  <c r="CM204" i="1"/>
  <c r="CN204" i="1"/>
  <c r="CO204" i="1"/>
  <c r="CP204" i="1"/>
  <c r="CQ204" i="1"/>
  <c r="CR204" i="1"/>
  <c r="CS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T204" i="1"/>
  <c r="AZ203" i="1"/>
  <c r="BA203" i="1"/>
  <c r="BB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T203" i="1"/>
  <c r="AZ200" i="1"/>
  <c r="BA200" i="1"/>
  <c r="BB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T200" i="1"/>
  <c r="AZ226" i="1"/>
  <c r="BA226" i="1"/>
  <c r="BB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CT226" i="1"/>
  <c r="AZ349" i="1"/>
  <c r="BA349" i="1"/>
  <c r="BB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CT349" i="1"/>
  <c r="AZ348" i="1"/>
  <c r="BA348" i="1"/>
  <c r="BB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CT348" i="1"/>
  <c r="A79" i="2"/>
  <c r="AA79" i="2"/>
  <c r="AB79" i="2"/>
  <c r="B108" i="4"/>
  <c r="AE79" i="2"/>
  <c r="AH79" i="2"/>
  <c r="AJ79" i="2"/>
  <c r="AM79" i="2"/>
  <c r="AZ429" i="1"/>
  <c r="BA429" i="1"/>
  <c r="BB429" i="1"/>
  <c r="CH429" i="1"/>
  <c r="CI429" i="1"/>
  <c r="CJ429" i="1"/>
  <c r="CK429" i="1"/>
  <c r="CL429" i="1"/>
  <c r="CM429" i="1"/>
  <c r="CN429" i="1"/>
  <c r="CO429" i="1"/>
  <c r="CP429" i="1"/>
  <c r="CQ429" i="1"/>
  <c r="CR429" i="1"/>
  <c r="CS429" i="1"/>
  <c r="BV429" i="1"/>
  <c r="BW429" i="1"/>
  <c r="BX429" i="1"/>
  <c r="BY429" i="1"/>
  <c r="BZ429" i="1"/>
  <c r="CA429" i="1"/>
  <c r="CB429" i="1"/>
  <c r="CC429" i="1"/>
  <c r="CD429" i="1"/>
  <c r="CE429" i="1"/>
  <c r="CF429" i="1"/>
  <c r="CG429" i="1"/>
  <c r="CT429" i="1"/>
  <c r="AZ430" i="1"/>
  <c r="BA430" i="1"/>
  <c r="BB430" i="1"/>
  <c r="CH430" i="1"/>
  <c r="CI430" i="1"/>
  <c r="CJ430" i="1"/>
  <c r="CK430" i="1"/>
  <c r="CL430" i="1"/>
  <c r="CM430" i="1"/>
  <c r="CN430" i="1"/>
  <c r="CO430" i="1"/>
  <c r="CP430" i="1"/>
  <c r="CQ430" i="1"/>
  <c r="CR430" i="1"/>
  <c r="CS430" i="1"/>
  <c r="BV430" i="1"/>
  <c r="BW430" i="1"/>
  <c r="BX430" i="1"/>
  <c r="BY430" i="1"/>
  <c r="BZ430" i="1"/>
  <c r="CA430" i="1"/>
  <c r="CB430" i="1"/>
  <c r="CC430" i="1"/>
  <c r="CD430" i="1"/>
  <c r="CE430" i="1"/>
  <c r="CF430" i="1"/>
  <c r="CG430" i="1"/>
  <c r="CT430" i="1"/>
  <c r="AZ164" i="1"/>
  <c r="BA164" i="1"/>
  <c r="BB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T164" i="1"/>
  <c r="B277" i="4"/>
  <c r="B276" i="4"/>
  <c r="B275" i="4"/>
  <c r="B302" i="6"/>
  <c r="C302" i="6"/>
  <c r="D302" i="6"/>
  <c r="V302" i="6"/>
  <c r="W302" i="6"/>
  <c r="X302" i="6"/>
  <c r="Y302" i="6"/>
  <c r="Z302" i="6"/>
  <c r="AA302" i="6"/>
  <c r="AB302" i="6"/>
  <c r="AC302" i="6"/>
  <c r="AD302" i="6"/>
  <c r="AE302" i="6"/>
  <c r="AF302" i="6"/>
  <c r="AG302" i="6"/>
  <c r="AH302" i="6"/>
  <c r="AI276" i="4"/>
  <c r="AA276" i="4"/>
  <c r="AB276" i="4"/>
  <c r="AC276" i="4"/>
  <c r="AD276" i="4"/>
  <c r="AE276" i="4"/>
  <c r="AF276" i="4"/>
  <c r="AG276" i="4"/>
  <c r="AH276" i="4"/>
  <c r="AJ276" i="4"/>
  <c r="AK276" i="4"/>
  <c r="AL276" i="4"/>
  <c r="B302" i="5"/>
  <c r="F302" i="5"/>
  <c r="H302" i="5"/>
  <c r="I302" i="5" s="1"/>
  <c r="AQ302" i="5" s="1"/>
  <c r="K302" i="5"/>
  <c r="Z302" i="5"/>
  <c r="AA302" i="5"/>
  <c r="AW302" i="5" s="1"/>
  <c r="AI277" i="4"/>
  <c r="AF302" i="5"/>
  <c r="AG302" i="5"/>
  <c r="AM302" i="5"/>
  <c r="AO302" i="5"/>
  <c r="BB302" i="5"/>
  <c r="BC302" i="5"/>
  <c r="BD302" i="5"/>
  <c r="BE302" i="5"/>
  <c r="D416" i="9"/>
  <c r="E416" i="9"/>
  <c r="F416" i="9"/>
  <c r="H416" i="9"/>
  <c r="C418" i="7"/>
  <c r="D418" i="7"/>
  <c r="E418" i="7"/>
  <c r="B301" i="6"/>
  <c r="C301" i="6"/>
  <c r="D301" i="6"/>
  <c r="V301" i="6"/>
  <c r="W301" i="6"/>
  <c r="X301" i="6"/>
  <c r="Y301" i="6"/>
  <c r="Z301" i="6"/>
  <c r="AA301" i="6"/>
  <c r="AB301" i="6"/>
  <c r="AC301" i="6"/>
  <c r="AD301" i="6"/>
  <c r="AE301" i="6"/>
  <c r="AF301" i="6"/>
  <c r="AG301" i="6"/>
  <c r="AH301" i="6"/>
  <c r="AA277" i="4"/>
  <c r="AB277" i="4"/>
  <c r="AC277" i="4"/>
  <c r="AD277" i="4"/>
  <c r="AE277" i="4"/>
  <c r="AF277" i="4"/>
  <c r="AG277" i="4"/>
  <c r="AH277" i="4"/>
  <c r="AJ277" i="4"/>
  <c r="AK277" i="4"/>
  <c r="AL277" i="4"/>
  <c r="B3" i="4"/>
  <c r="B301" i="5"/>
  <c r="F301" i="5"/>
  <c r="H301" i="5"/>
  <c r="I301" i="5"/>
  <c r="AQ301" i="5" s="1"/>
  <c r="K301" i="5"/>
  <c r="Z301" i="5"/>
  <c r="AA301" i="5"/>
  <c r="AW301" i="5" s="1"/>
  <c r="AI275" i="4"/>
  <c r="AF301" i="5"/>
  <c r="AG301" i="5"/>
  <c r="AM301" i="5"/>
  <c r="AO301" i="5"/>
  <c r="BB301" i="5"/>
  <c r="BC301" i="5"/>
  <c r="BD301" i="5"/>
  <c r="BE301" i="5"/>
  <c r="D415" i="9"/>
  <c r="E415" i="9"/>
  <c r="F415" i="9"/>
  <c r="H415" i="9"/>
  <c r="C417" i="7"/>
  <c r="D417" i="7"/>
  <c r="E417" i="7"/>
  <c r="K300" i="5"/>
  <c r="AG300" i="5"/>
  <c r="AF300" i="5"/>
  <c r="W300" i="5"/>
  <c r="AA300" i="5"/>
  <c r="AW300" i="5" s="1"/>
  <c r="H300" i="5"/>
  <c r="I300" i="5" s="1"/>
  <c r="AQ300" i="5" s="1"/>
  <c r="Z300" i="5"/>
  <c r="AA275" i="4"/>
  <c r="AB275" i="4"/>
  <c r="AC275" i="4"/>
  <c r="AD275" i="4"/>
  <c r="AE275" i="4"/>
  <c r="AF275" i="4"/>
  <c r="AG275" i="4"/>
  <c r="AH275" i="4"/>
  <c r="AJ275" i="4"/>
  <c r="AK275" i="4"/>
  <c r="AL275" i="4"/>
  <c r="B300" i="5"/>
  <c r="B86" i="4"/>
  <c r="F300" i="5"/>
  <c r="AI86" i="4"/>
  <c r="AM300" i="5"/>
  <c r="AO300" i="5"/>
  <c r="BB300" i="5"/>
  <c r="BC300" i="5"/>
  <c r="BD300" i="5"/>
  <c r="BE300" i="5"/>
  <c r="V300" i="6"/>
  <c r="W300" i="6"/>
  <c r="X300" i="6"/>
  <c r="Y300" i="6"/>
  <c r="Z300" i="6"/>
  <c r="AA300" i="6"/>
  <c r="AB300" i="6"/>
  <c r="AC300" i="6"/>
  <c r="AD300" i="6"/>
  <c r="AE300" i="6"/>
  <c r="AF300" i="6"/>
  <c r="AG300" i="6"/>
  <c r="AH300" i="6"/>
  <c r="D300" i="6"/>
  <c r="C300" i="6"/>
  <c r="B300" i="6"/>
  <c r="D414" i="9"/>
  <c r="G414" i="9" s="1"/>
  <c r="E414" i="9"/>
  <c r="F414" i="9"/>
  <c r="H414" i="9"/>
  <c r="E416" i="7"/>
  <c r="C416" i="7"/>
  <c r="D416" i="7"/>
  <c r="AZ343" i="1"/>
  <c r="BA343" i="1"/>
  <c r="BB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CT343" i="1"/>
  <c r="AZ342" i="1"/>
  <c r="BA342" i="1"/>
  <c r="BB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CT342" i="1"/>
  <c r="AZ161" i="1"/>
  <c r="BA161" i="1"/>
  <c r="BB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T161" i="1"/>
  <c r="AZ341" i="1"/>
  <c r="BA341" i="1"/>
  <c r="BB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CT341" i="1"/>
  <c r="AZ340" i="1"/>
  <c r="BA340" i="1"/>
  <c r="BB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CT340" i="1"/>
  <c r="AZ339" i="1"/>
  <c r="BA339" i="1"/>
  <c r="BB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CT339" i="1"/>
  <c r="AZ338" i="1"/>
  <c r="BA338" i="1"/>
  <c r="BB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CT338" i="1"/>
  <c r="AZ337" i="1"/>
  <c r="BA337" i="1"/>
  <c r="BB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CT337" i="1"/>
  <c r="AZ336" i="1"/>
  <c r="BA336" i="1"/>
  <c r="BB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CT336" i="1"/>
  <c r="AZ335" i="1"/>
  <c r="BA335" i="1"/>
  <c r="BB335" i="1"/>
  <c r="CH335" i="1"/>
  <c r="CI335" i="1"/>
  <c r="CJ335" i="1"/>
  <c r="CK335" i="1"/>
  <c r="CL335" i="1"/>
  <c r="BC335" i="1" s="1"/>
  <c r="CM335" i="1"/>
  <c r="CN335" i="1"/>
  <c r="CO335" i="1"/>
  <c r="CP335" i="1"/>
  <c r="CQ335" i="1"/>
  <c r="CR335" i="1"/>
  <c r="CS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CT335" i="1"/>
  <c r="AZ334" i="1"/>
  <c r="BA334" i="1"/>
  <c r="BB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CT334" i="1"/>
  <c r="AZ333" i="1"/>
  <c r="BA333" i="1"/>
  <c r="BB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CT333" i="1"/>
  <c r="AZ350" i="1"/>
  <c r="BA350" i="1"/>
  <c r="BB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BV350" i="1"/>
  <c r="BW350" i="1"/>
  <c r="BX350" i="1"/>
  <c r="BY350" i="1"/>
  <c r="BZ350" i="1"/>
  <c r="CA350" i="1"/>
  <c r="CB350" i="1"/>
  <c r="CC350" i="1"/>
  <c r="CD350" i="1"/>
  <c r="CE350" i="1"/>
  <c r="CF350" i="1"/>
  <c r="CG350" i="1"/>
  <c r="CT350" i="1"/>
  <c r="A78" i="2"/>
  <c r="AA78" i="2"/>
  <c r="AB78" i="2"/>
  <c r="B110" i="4"/>
  <c r="I88" i="5"/>
  <c r="AE78" i="2"/>
  <c r="L60" i="5"/>
  <c r="AH78" i="2"/>
  <c r="AJ78" i="2"/>
  <c r="N60" i="5"/>
  <c r="O60" i="5"/>
  <c r="AK78" i="2"/>
  <c r="AM78" i="2"/>
  <c r="AZ95" i="1"/>
  <c r="BA95" i="1"/>
  <c r="BB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T95" i="1"/>
  <c r="AZ96" i="1"/>
  <c r="BA96" i="1"/>
  <c r="BB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T96" i="1"/>
  <c r="AZ192" i="1"/>
  <c r="BA192" i="1"/>
  <c r="BB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T192" i="1"/>
  <c r="AZ191" i="1"/>
  <c r="BA191" i="1"/>
  <c r="BB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T191" i="1"/>
  <c r="AZ190" i="1"/>
  <c r="BA190" i="1"/>
  <c r="BB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T190" i="1"/>
  <c r="B21" i="4"/>
  <c r="A77" i="2"/>
  <c r="AA77" i="2"/>
  <c r="AB77" i="2"/>
  <c r="B180" i="4"/>
  <c r="I87" i="5"/>
  <c r="AE77" i="2"/>
  <c r="AH77" i="2"/>
  <c r="AJ77" i="2"/>
  <c r="AM77" i="2"/>
  <c r="AZ188" i="1"/>
  <c r="BA188" i="1"/>
  <c r="BB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T188" i="1"/>
  <c r="AZ189" i="1"/>
  <c r="BA189" i="1"/>
  <c r="BB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T189" i="1"/>
  <c r="AZ270" i="1"/>
  <c r="BA270" i="1"/>
  <c r="BB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CT270" i="1"/>
  <c r="AZ146" i="1"/>
  <c r="BA146" i="1"/>
  <c r="BB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T146" i="1"/>
  <c r="AZ73" i="1"/>
  <c r="BA73" i="1"/>
  <c r="BB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T73" i="1"/>
  <c r="AZ251" i="1"/>
  <c r="BA251" i="1"/>
  <c r="BB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T251" i="1"/>
  <c r="AZ145" i="1"/>
  <c r="BA145" i="1"/>
  <c r="BB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T145" i="1"/>
  <c r="AZ144" i="1"/>
  <c r="BA144" i="1"/>
  <c r="BB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T144" i="1"/>
  <c r="AZ143" i="1"/>
  <c r="BA143" i="1"/>
  <c r="BB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T143" i="1"/>
  <c r="AZ142" i="1"/>
  <c r="BA142" i="1"/>
  <c r="BB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T142" i="1"/>
  <c r="AZ141" i="1"/>
  <c r="BA141" i="1"/>
  <c r="BB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T141" i="1"/>
  <c r="AZ140" i="1"/>
  <c r="BA140" i="1"/>
  <c r="BB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T140" i="1"/>
  <c r="AZ139" i="1"/>
  <c r="BA139" i="1"/>
  <c r="BB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T139" i="1"/>
  <c r="AZ138" i="1"/>
  <c r="BA138" i="1"/>
  <c r="BB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T138" i="1"/>
  <c r="AZ425" i="1"/>
  <c r="BA425" i="1"/>
  <c r="BB425" i="1"/>
  <c r="CH425" i="1"/>
  <c r="CI425" i="1"/>
  <c r="CJ425" i="1"/>
  <c r="CK425" i="1"/>
  <c r="CL425" i="1"/>
  <c r="CM425" i="1"/>
  <c r="CN425" i="1"/>
  <c r="CO425" i="1"/>
  <c r="CP425" i="1"/>
  <c r="CQ425" i="1"/>
  <c r="CR425" i="1"/>
  <c r="CS425" i="1"/>
  <c r="BV425" i="1"/>
  <c r="BW425" i="1"/>
  <c r="BX425" i="1"/>
  <c r="BY425" i="1"/>
  <c r="BZ425" i="1"/>
  <c r="CA425" i="1"/>
  <c r="CB425" i="1"/>
  <c r="CC425" i="1"/>
  <c r="CD425" i="1"/>
  <c r="CE425" i="1"/>
  <c r="CF425" i="1"/>
  <c r="CG425" i="1"/>
  <c r="CT425" i="1"/>
  <c r="AZ424" i="1"/>
  <c r="BA424" i="1"/>
  <c r="BB424" i="1"/>
  <c r="CH424" i="1"/>
  <c r="CI424" i="1"/>
  <c r="CJ424" i="1"/>
  <c r="CK424" i="1"/>
  <c r="CL424" i="1"/>
  <c r="CM424" i="1"/>
  <c r="CN424" i="1"/>
  <c r="CO424" i="1"/>
  <c r="CP424" i="1"/>
  <c r="CQ424" i="1"/>
  <c r="CR424" i="1"/>
  <c r="CS424" i="1"/>
  <c r="BV424" i="1"/>
  <c r="BW424" i="1"/>
  <c r="BX424" i="1"/>
  <c r="BY424" i="1"/>
  <c r="BZ424" i="1"/>
  <c r="CA424" i="1"/>
  <c r="CB424" i="1"/>
  <c r="CC424" i="1"/>
  <c r="CD424" i="1"/>
  <c r="CE424" i="1"/>
  <c r="CF424" i="1"/>
  <c r="CG424" i="1"/>
  <c r="CT424" i="1"/>
  <c r="B317" i="4"/>
  <c r="B316" i="4"/>
  <c r="B315" i="4"/>
  <c r="B312" i="4"/>
  <c r="B304" i="4"/>
  <c r="B305" i="4"/>
  <c r="B306" i="4"/>
  <c r="B307" i="4"/>
  <c r="B308" i="4"/>
  <c r="B311" i="4"/>
  <c r="B310" i="4"/>
  <c r="B309" i="4"/>
  <c r="B302" i="4"/>
  <c r="AZ423" i="1"/>
  <c r="BA423" i="1"/>
  <c r="BB423" i="1"/>
  <c r="CH423" i="1"/>
  <c r="CI423" i="1"/>
  <c r="CJ423" i="1"/>
  <c r="CK423" i="1"/>
  <c r="CL423" i="1"/>
  <c r="CM423" i="1"/>
  <c r="CN423" i="1"/>
  <c r="CO423" i="1"/>
  <c r="CP423" i="1"/>
  <c r="CQ423" i="1"/>
  <c r="CR423" i="1"/>
  <c r="CS423" i="1"/>
  <c r="BV423" i="1"/>
  <c r="BW423" i="1"/>
  <c r="BX423" i="1"/>
  <c r="BY423" i="1"/>
  <c r="BZ423" i="1"/>
  <c r="CA423" i="1"/>
  <c r="CB423" i="1"/>
  <c r="CC423" i="1"/>
  <c r="CD423" i="1"/>
  <c r="CE423" i="1"/>
  <c r="CF423" i="1"/>
  <c r="CG423" i="1"/>
  <c r="CT423" i="1"/>
  <c r="B122" i="4"/>
  <c r="B13" i="4"/>
  <c r="AZ72" i="1"/>
  <c r="BA72" i="1"/>
  <c r="BB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T72" i="1"/>
  <c r="AZ187" i="1"/>
  <c r="BA187" i="1"/>
  <c r="BB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T187" i="1"/>
  <c r="AA76" i="2"/>
  <c r="AB76" i="2"/>
  <c r="B164" i="4"/>
  <c r="I240" i="5"/>
  <c r="AE76" i="2"/>
  <c r="AH76" i="2"/>
  <c r="AJ76" i="2"/>
  <c r="AM76" i="2"/>
  <c r="AZ185" i="1"/>
  <c r="BA185" i="1"/>
  <c r="BB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T185" i="1"/>
  <c r="AZ186" i="1"/>
  <c r="BA186" i="1"/>
  <c r="BB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T186" i="1"/>
  <c r="AZ384" i="1"/>
  <c r="BA384" i="1"/>
  <c r="BB384" i="1"/>
  <c r="CH384" i="1"/>
  <c r="CI384" i="1"/>
  <c r="CJ384" i="1"/>
  <c r="CK384" i="1"/>
  <c r="CL384" i="1"/>
  <c r="CM384" i="1"/>
  <c r="CN384" i="1"/>
  <c r="CO384" i="1"/>
  <c r="CP384" i="1"/>
  <c r="CQ384" i="1"/>
  <c r="CR384" i="1"/>
  <c r="CS384" i="1"/>
  <c r="BV384" i="1"/>
  <c r="BW384" i="1"/>
  <c r="BX384" i="1"/>
  <c r="BY384" i="1"/>
  <c r="BZ384" i="1"/>
  <c r="CA384" i="1"/>
  <c r="CB384" i="1"/>
  <c r="CC384" i="1"/>
  <c r="CD384" i="1"/>
  <c r="CE384" i="1"/>
  <c r="CF384" i="1"/>
  <c r="CG384" i="1"/>
  <c r="CT384" i="1"/>
  <c r="B260" i="6"/>
  <c r="C260" i="6"/>
  <c r="D260" i="6"/>
  <c r="V260" i="6"/>
  <c r="W260" i="6"/>
  <c r="X260" i="6"/>
  <c r="Y260" i="6"/>
  <c r="Z260" i="6"/>
  <c r="AA260" i="6"/>
  <c r="AB260" i="6"/>
  <c r="AC260" i="6"/>
  <c r="AD260" i="6"/>
  <c r="AE260" i="6"/>
  <c r="AF260" i="6"/>
  <c r="AG260" i="6"/>
  <c r="AH260" i="6"/>
  <c r="B240" i="5"/>
  <c r="B163" i="4"/>
  <c r="L240" i="5"/>
  <c r="N240" i="5"/>
  <c r="O240" i="5" s="1"/>
  <c r="Z240" i="5"/>
  <c r="AI163" i="4"/>
  <c r="AI164" i="4"/>
  <c r="AF240" i="5"/>
  <c r="AG240" i="5"/>
  <c r="AM240" i="5"/>
  <c r="AO240" i="5"/>
  <c r="BB240" i="5"/>
  <c r="BC240" i="5"/>
  <c r="BD240" i="5"/>
  <c r="BE240" i="5"/>
  <c r="BF240" i="5"/>
  <c r="AA164" i="4"/>
  <c r="AB164" i="4"/>
  <c r="AC164" i="4"/>
  <c r="AD164" i="4"/>
  <c r="AE164" i="4"/>
  <c r="AF164" i="4"/>
  <c r="AG164" i="4"/>
  <c r="AH164" i="4"/>
  <c r="AJ164" i="4"/>
  <c r="AK164" i="4"/>
  <c r="AL164" i="4"/>
  <c r="AA75" i="2"/>
  <c r="AB75" i="2"/>
  <c r="B386" i="4"/>
  <c r="AE75" i="2"/>
  <c r="AH75" i="2"/>
  <c r="AJ75" i="2"/>
  <c r="AM75" i="2"/>
  <c r="D335" i="9"/>
  <c r="G335" i="9" s="1"/>
  <c r="E335" i="9"/>
  <c r="F335" i="9"/>
  <c r="H335" i="9"/>
  <c r="C415" i="7"/>
  <c r="D415" i="7"/>
  <c r="E415" i="7"/>
  <c r="AZ382" i="1"/>
  <c r="BA382" i="1"/>
  <c r="BB382" i="1"/>
  <c r="CH382" i="1"/>
  <c r="CI382" i="1"/>
  <c r="CJ382" i="1"/>
  <c r="CK382" i="1"/>
  <c r="CL382" i="1"/>
  <c r="CM382" i="1"/>
  <c r="CN382" i="1"/>
  <c r="CO382" i="1"/>
  <c r="CP382" i="1"/>
  <c r="CQ382" i="1"/>
  <c r="CR382" i="1"/>
  <c r="CS382" i="1"/>
  <c r="BV382" i="1"/>
  <c r="BW382" i="1"/>
  <c r="BX382" i="1"/>
  <c r="BY382" i="1"/>
  <c r="BZ382" i="1"/>
  <c r="CA382" i="1"/>
  <c r="CB382" i="1"/>
  <c r="CC382" i="1"/>
  <c r="CD382" i="1"/>
  <c r="CE382" i="1"/>
  <c r="CF382" i="1"/>
  <c r="CG382" i="1"/>
  <c r="CT382" i="1"/>
  <c r="AZ383" i="1"/>
  <c r="BA383" i="1"/>
  <c r="BB383" i="1"/>
  <c r="CH383" i="1"/>
  <c r="CI383" i="1"/>
  <c r="CJ383" i="1"/>
  <c r="CK383" i="1"/>
  <c r="CL383" i="1"/>
  <c r="CM383" i="1"/>
  <c r="CN383" i="1"/>
  <c r="CO383" i="1"/>
  <c r="CP383" i="1"/>
  <c r="CQ383" i="1"/>
  <c r="CR383" i="1"/>
  <c r="CS383" i="1"/>
  <c r="BV383" i="1"/>
  <c r="BW383" i="1"/>
  <c r="BX383" i="1"/>
  <c r="BY383" i="1"/>
  <c r="BZ383" i="1"/>
  <c r="CA383" i="1"/>
  <c r="CB383" i="1"/>
  <c r="CC383" i="1"/>
  <c r="CD383" i="1"/>
  <c r="CE383" i="1"/>
  <c r="CF383" i="1"/>
  <c r="CG383" i="1"/>
  <c r="CT383" i="1"/>
  <c r="B385" i="6"/>
  <c r="C385" i="6"/>
  <c r="D385" i="6"/>
  <c r="V385" i="6"/>
  <c r="W385" i="6"/>
  <c r="X385" i="6"/>
  <c r="Y385" i="6"/>
  <c r="Z385" i="6"/>
  <c r="AA385" i="6"/>
  <c r="AB385" i="6"/>
  <c r="AC385" i="6"/>
  <c r="AD385" i="6"/>
  <c r="AE385" i="6"/>
  <c r="AF385" i="6"/>
  <c r="AG385" i="6"/>
  <c r="AH385" i="6"/>
  <c r="B385" i="5"/>
  <c r="B385" i="4"/>
  <c r="F385" i="5"/>
  <c r="H385" i="5"/>
  <c r="I385" i="5"/>
  <c r="Z385" i="5"/>
  <c r="AM385" i="5"/>
  <c r="AO385" i="5"/>
  <c r="AQ385" i="5"/>
  <c r="BB385" i="5"/>
  <c r="BC385" i="5"/>
  <c r="BD385" i="5"/>
  <c r="BE385" i="5"/>
  <c r="AA386" i="4"/>
  <c r="AB386" i="4"/>
  <c r="AC386" i="4"/>
  <c r="AD386" i="4"/>
  <c r="AE386" i="4"/>
  <c r="AF386" i="4"/>
  <c r="AG386" i="4"/>
  <c r="AH386" i="4"/>
  <c r="AI386" i="4"/>
  <c r="AJ386" i="4"/>
  <c r="AK386" i="4"/>
  <c r="AL386" i="4"/>
  <c r="AA74" i="2"/>
  <c r="AB74" i="2"/>
  <c r="B137" i="4"/>
  <c r="AD74" i="2"/>
  <c r="AE74" i="2"/>
  <c r="K260" i="5"/>
  <c r="AG73" i="2" s="1"/>
  <c r="AH74" i="2"/>
  <c r="AJ74" i="2"/>
  <c r="AM74" i="2"/>
  <c r="A7" i="14"/>
  <c r="G7" i="14" s="1"/>
  <c r="B7" i="14"/>
  <c r="C7" i="14"/>
  <c r="F7" i="14"/>
  <c r="H7" i="14"/>
  <c r="D408" i="9"/>
  <c r="E408" i="9"/>
  <c r="F408" i="9"/>
  <c r="G408" i="9" s="1"/>
  <c r="H408" i="9"/>
  <c r="C414" i="7"/>
  <c r="D414" i="7"/>
  <c r="E414" i="7"/>
  <c r="AZ460" i="1"/>
  <c r="BA460" i="1"/>
  <c r="BB460" i="1"/>
  <c r="CH460" i="1"/>
  <c r="CI460" i="1"/>
  <c r="CJ460" i="1"/>
  <c r="CK460" i="1"/>
  <c r="CL460" i="1"/>
  <c r="CM460" i="1"/>
  <c r="CN460" i="1"/>
  <c r="CO460" i="1"/>
  <c r="CP460" i="1"/>
  <c r="CQ460" i="1"/>
  <c r="CR460" i="1"/>
  <c r="CS460" i="1"/>
  <c r="BV460" i="1"/>
  <c r="BW460" i="1"/>
  <c r="BX460" i="1"/>
  <c r="BY460" i="1"/>
  <c r="BZ460" i="1"/>
  <c r="CA460" i="1"/>
  <c r="CB460" i="1"/>
  <c r="CC460" i="1"/>
  <c r="CD460" i="1"/>
  <c r="CE460" i="1"/>
  <c r="CF460" i="1"/>
  <c r="CG460" i="1"/>
  <c r="CT460" i="1"/>
  <c r="AZ461" i="1"/>
  <c r="BA461" i="1"/>
  <c r="BB461" i="1"/>
  <c r="CH461" i="1"/>
  <c r="CI461" i="1"/>
  <c r="CJ461" i="1"/>
  <c r="CK461" i="1"/>
  <c r="CL461" i="1"/>
  <c r="CM461" i="1"/>
  <c r="CN461" i="1"/>
  <c r="CO461" i="1"/>
  <c r="CP461" i="1"/>
  <c r="CQ461" i="1"/>
  <c r="CR461" i="1"/>
  <c r="CS461" i="1"/>
  <c r="BV461" i="1"/>
  <c r="BW461" i="1"/>
  <c r="BX461" i="1"/>
  <c r="BY461" i="1"/>
  <c r="BZ461" i="1"/>
  <c r="CA461" i="1"/>
  <c r="CB461" i="1"/>
  <c r="CC461" i="1"/>
  <c r="CD461" i="1"/>
  <c r="CE461" i="1"/>
  <c r="CF461" i="1"/>
  <c r="CG461" i="1"/>
  <c r="CT461" i="1"/>
  <c r="AZ199" i="1"/>
  <c r="BA199" i="1"/>
  <c r="BB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T199" i="1"/>
  <c r="AA73" i="2"/>
  <c r="AB73" i="2"/>
  <c r="B225" i="4"/>
  <c r="I196" i="5"/>
  <c r="AD72" i="2" s="1"/>
  <c r="AE73" i="2"/>
  <c r="AH73" i="2"/>
  <c r="AJ73" i="2"/>
  <c r="AM73" i="2"/>
  <c r="AZ180" i="1"/>
  <c r="BA180" i="1"/>
  <c r="BB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T180" i="1"/>
  <c r="AZ181" i="1"/>
  <c r="BA181" i="1"/>
  <c r="BB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T181" i="1"/>
  <c r="AZ321" i="1"/>
  <c r="BA321" i="1"/>
  <c r="BB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CT321" i="1"/>
  <c r="AZ71" i="1"/>
  <c r="BA71" i="1"/>
  <c r="BB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T71" i="1"/>
  <c r="AZ320" i="1"/>
  <c r="BA320" i="1"/>
  <c r="BB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CT320" i="1"/>
  <c r="AZ319" i="1"/>
  <c r="BA319" i="1"/>
  <c r="BB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CT319" i="1"/>
  <c r="AZ225" i="1"/>
  <c r="BA225" i="1"/>
  <c r="BB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T225" i="1"/>
  <c r="I197" i="5"/>
  <c r="I198" i="5"/>
  <c r="AZ318" i="1"/>
  <c r="BA318" i="1"/>
  <c r="BB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CT318" i="1"/>
  <c r="AZ269" i="1"/>
  <c r="BA269" i="1"/>
  <c r="BB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CT269" i="1"/>
  <c r="AA72" i="2"/>
  <c r="AB72" i="2"/>
  <c r="B72" i="4"/>
  <c r="AE72" i="2"/>
  <c r="AH72" i="2"/>
  <c r="AJ72" i="2"/>
  <c r="AM72" i="2"/>
  <c r="AZ268" i="1"/>
  <c r="BA268" i="1"/>
  <c r="BB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CT268" i="1"/>
  <c r="AZ267" i="1"/>
  <c r="BA267" i="1"/>
  <c r="BB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CT267" i="1"/>
  <c r="AZ70" i="1"/>
  <c r="BA70" i="1"/>
  <c r="BB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T70" i="1"/>
  <c r="AZ137" i="1"/>
  <c r="BA137" i="1"/>
  <c r="BB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T137" i="1"/>
  <c r="AZ459" i="1"/>
  <c r="BA459" i="1"/>
  <c r="BB459" i="1"/>
  <c r="CH459" i="1"/>
  <c r="CI459" i="1"/>
  <c r="CJ459" i="1"/>
  <c r="CK459" i="1"/>
  <c r="CL459" i="1"/>
  <c r="CM459" i="1"/>
  <c r="CN459" i="1"/>
  <c r="CO459" i="1"/>
  <c r="CP459" i="1"/>
  <c r="CQ459" i="1"/>
  <c r="CR459" i="1"/>
  <c r="CS459" i="1"/>
  <c r="BV459" i="1"/>
  <c r="BW459" i="1"/>
  <c r="BX459" i="1"/>
  <c r="BY459" i="1"/>
  <c r="BZ459" i="1"/>
  <c r="CA459" i="1"/>
  <c r="CB459" i="1"/>
  <c r="CC459" i="1"/>
  <c r="CD459" i="1"/>
  <c r="CE459" i="1"/>
  <c r="CF459" i="1"/>
  <c r="CG459" i="1"/>
  <c r="CT459" i="1"/>
  <c r="AZ135" i="1"/>
  <c r="BA135" i="1"/>
  <c r="BB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T135" i="1"/>
  <c r="AZ86" i="1"/>
  <c r="BA86" i="1"/>
  <c r="BB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T86" i="1"/>
  <c r="AZ76" i="1"/>
  <c r="BA76" i="1"/>
  <c r="BB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BC76" i="1"/>
  <c r="CT76" i="1"/>
  <c r="AZ91" i="1"/>
  <c r="BA91" i="1"/>
  <c r="BB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T91" i="1"/>
  <c r="AZ436" i="1"/>
  <c r="BA436" i="1"/>
  <c r="BB436" i="1"/>
  <c r="CH436" i="1"/>
  <c r="CI436" i="1"/>
  <c r="CJ436" i="1"/>
  <c r="CK436" i="1"/>
  <c r="CL436" i="1"/>
  <c r="CM436" i="1"/>
  <c r="CN436" i="1"/>
  <c r="CO436" i="1"/>
  <c r="CP436" i="1"/>
  <c r="CQ436" i="1"/>
  <c r="CR436" i="1"/>
  <c r="CS436" i="1"/>
  <c r="BV436" i="1"/>
  <c r="BW436" i="1"/>
  <c r="BX436" i="1"/>
  <c r="BY436" i="1"/>
  <c r="BZ436" i="1"/>
  <c r="CA436" i="1"/>
  <c r="CB436" i="1"/>
  <c r="CC436" i="1"/>
  <c r="CD436" i="1"/>
  <c r="CE436" i="1"/>
  <c r="CF436" i="1"/>
  <c r="CG436" i="1"/>
  <c r="CT436" i="1"/>
  <c r="AZ435" i="1"/>
  <c r="BA435" i="1"/>
  <c r="BB435" i="1"/>
  <c r="CH435" i="1"/>
  <c r="CI435" i="1"/>
  <c r="CJ435" i="1"/>
  <c r="CK435" i="1"/>
  <c r="CL435" i="1"/>
  <c r="CM435" i="1"/>
  <c r="CN435" i="1"/>
  <c r="CO435" i="1"/>
  <c r="CP435" i="1"/>
  <c r="CQ435" i="1"/>
  <c r="CR435" i="1"/>
  <c r="CS435" i="1"/>
  <c r="BV435" i="1"/>
  <c r="BW435" i="1"/>
  <c r="BX435" i="1"/>
  <c r="BY435" i="1"/>
  <c r="BZ435" i="1"/>
  <c r="CA435" i="1"/>
  <c r="CB435" i="1"/>
  <c r="CC435" i="1"/>
  <c r="CD435" i="1"/>
  <c r="CE435" i="1"/>
  <c r="CF435" i="1"/>
  <c r="CG435" i="1"/>
  <c r="CT435" i="1"/>
  <c r="AZ434" i="1"/>
  <c r="BA434" i="1"/>
  <c r="BB434" i="1"/>
  <c r="CH434" i="1"/>
  <c r="CI434" i="1"/>
  <c r="CJ434" i="1"/>
  <c r="CK434" i="1"/>
  <c r="CL434" i="1"/>
  <c r="CM434" i="1"/>
  <c r="CN434" i="1"/>
  <c r="CO434" i="1"/>
  <c r="CP434" i="1"/>
  <c r="CQ434" i="1"/>
  <c r="CR434" i="1"/>
  <c r="CS434" i="1"/>
  <c r="BV434" i="1"/>
  <c r="BW434" i="1"/>
  <c r="BX434" i="1"/>
  <c r="BY434" i="1"/>
  <c r="BZ434" i="1"/>
  <c r="CA434" i="1"/>
  <c r="CB434" i="1"/>
  <c r="CC434" i="1"/>
  <c r="CD434" i="1"/>
  <c r="CE434" i="1"/>
  <c r="CF434" i="1"/>
  <c r="CG434" i="1"/>
  <c r="CT434" i="1"/>
  <c r="AZ69" i="1"/>
  <c r="BA69" i="1"/>
  <c r="BB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T69" i="1"/>
  <c r="AZ256" i="1"/>
  <c r="BA256" i="1"/>
  <c r="BB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CT256" i="1"/>
  <c r="AZ255" i="1"/>
  <c r="BA255" i="1"/>
  <c r="BB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CT255" i="1"/>
  <c r="AZ254" i="1"/>
  <c r="BA254" i="1"/>
  <c r="BB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CT254" i="1"/>
  <c r="AA71" i="2"/>
  <c r="AB71" i="2"/>
  <c r="B71" i="4"/>
  <c r="AE71" i="2"/>
  <c r="AH71" i="2"/>
  <c r="AJ71" i="2"/>
  <c r="AM71" i="2"/>
  <c r="AZ252" i="1"/>
  <c r="BA252" i="1"/>
  <c r="BB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T252" i="1"/>
  <c r="AZ253" i="1"/>
  <c r="BA253" i="1"/>
  <c r="BB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BC253" i="1"/>
  <c r="CT253" i="1"/>
  <c r="AZ250" i="1"/>
  <c r="BA250" i="1"/>
  <c r="BB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T250" i="1"/>
  <c r="AZ249" i="1"/>
  <c r="BA249" i="1"/>
  <c r="BB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T249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AZ248" i="1"/>
  <c r="BA248" i="1"/>
  <c r="BB248" i="1"/>
  <c r="AA70" i="2"/>
  <c r="AB70" i="2"/>
  <c r="B53" i="4"/>
  <c r="AE70" i="2"/>
  <c r="AH70" i="2"/>
  <c r="AJ70" i="2"/>
  <c r="AM70" i="2"/>
  <c r="AZ246" i="1"/>
  <c r="BA246" i="1"/>
  <c r="BB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CT246" i="1"/>
  <c r="AZ247" i="1"/>
  <c r="BA247" i="1"/>
  <c r="BB247" i="1"/>
  <c r="CT247" i="1"/>
  <c r="AZ263" i="1"/>
  <c r="BA263" i="1"/>
  <c r="BB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CT263" i="1"/>
  <c r="AZ262" i="1"/>
  <c r="BA262" i="1"/>
  <c r="BB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CT262" i="1"/>
  <c r="AZ56" i="1"/>
  <c r="BA56" i="1"/>
  <c r="BB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T56" i="1"/>
  <c r="AZ55" i="1"/>
  <c r="BA55" i="1"/>
  <c r="BB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T55" i="1"/>
  <c r="AZ127" i="1"/>
  <c r="BA127" i="1"/>
  <c r="BB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T127" i="1"/>
  <c r="AA69" i="2"/>
  <c r="AB69" i="2"/>
  <c r="AE69" i="2"/>
  <c r="L91" i="5"/>
  <c r="K91" i="5"/>
  <c r="AI68" i="2" s="1"/>
  <c r="AH69" i="2"/>
  <c r="AJ69" i="2"/>
  <c r="O91" i="5"/>
  <c r="N91" i="5"/>
  <c r="AM69" i="2"/>
  <c r="AZ8" i="1"/>
  <c r="BA8" i="1"/>
  <c r="BB8" i="1"/>
  <c r="CH8" i="1"/>
  <c r="CI8" i="1"/>
  <c r="CJ8" i="1"/>
  <c r="CK8" i="1"/>
  <c r="CL8" i="1"/>
  <c r="CM8" i="1"/>
  <c r="CN8" i="1"/>
  <c r="CO8" i="1"/>
  <c r="CP8" i="1"/>
  <c r="CQ8" i="1"/>
  <c r="CR8" i="1"/>
  <c r="CS8" i="1"/>
  <c r="BV8" i="1"/>
  <c r="BW8" i="1"/>
  <c r="BX8" i="1"/>
  <c r="BY8" i="1"/>
  <c r="BZ8" i="1"/>
  <c r="CA8" i="1"/>
  <c r="CB8" i="1"/>
  <c r="CC8" i="1"/>
  <c r="CD8" i="1"/>
  <c r="CE8" i="1"/>
  <c r="CF8" i="1"/>
  <c r="CG8" i="1"/>
  <c r="CT8" i="1"/>
  <c r="AZ7" i="1"/>
  <c r="BA7" i="1"/>
  <c r="BB7" i="1"/>
  <c r="CH7" i="1"/>
  <c r="CI7" i="1"/>
  <c r="CJ7" i="1"/>
  <c r="CK7" i="1"/>
  <c r="CL7" i="1"/>
  <c r="CM7" i="1"/>
  <c r="CN7" i="1"/>
  <c r="CO7" i="1"/>
  <c r="CP7" i="1"/>
  <c r="CQ7" i="1"/>
  <c r="CR7" i="1"/>
  <c r="CS7" i="1"/>
  <c r="BV7" i="1"/>
  <c r="BW7" i="1"/>
  <c r="BX7" i="1"/>
  <c r="BY7" i="1"/>
  <c r="BZ7" i="1"/>
  <c r="CA7" i="1"/>
  <c r="CB7" i="1"/>
  <c r="CC7" i="1"/>
  <c r="CD7" i="1"/>
  <c r="CE7" i="1"/>
  <c r="CF7" i="1"/>
  <c r="CG7" i="1"/>
  <c r="CT7" i="1"/>
  <c r="AZ9" i="1"/>
  <c r="BA9" i="1"/>
  <c r="BB9" i="1"/>
  <c r="CH9" i="1"/>
  <c r="CI9" i="1"/>
  <c r="CJ9" i="1"/>
  <c r="CK9" i="1"/>
  <c r="CL9" i="1"/>
  <c r="CM9" i="1"/>
  <c r="CN9" i="1"/>
  <c r="CO9" i="1"/>
  <c r="CP9" i="1"/>
  <c r="CQ9" i="1"/>
  <c r="CR9" i="1"/>
  <c r="CS9" i="1"/>
  <c r="BV9" i="1"/>
  <c r="BW9" i="1"/>
  <c r="BX9" i="1"/>
  <c r="BY9" i="1"/>
  <c r="BZ9" i="1"/>
  <c r="CA9" i="1"/>
  <c r="CB9" i="1"/>
  <c r="CC9" i="1"/>
  <c r="CD9" i="1"/>
  <c r="CE9" i="1"/>
  <c r="CF9" i="1"/>
  <c r="CG9" i="1"/>
  <c r="CT9" i="1"/>
  <c r="AA68" i="2"/>
  <c r="AB68" i="2"/>
  <c r="B378" i="4"/>
  <c r="AE68" i="2"/>
  <c r="AH68" i="2"/>
  <c r="AJ68" i="2"/>
  <c r="R91" i="5"/>
  <c r="AM68" i="2"/>
  <c r="AZ202" i="1"/>
  <c r="BA202" i="1"/>
  <c r="BB202" i="1"/>
  <c r="CH202" i="1"/>
  <c r="CI202" i="1"/>
  <c r="BC202" i="1" s="1"/>
  <c r="CJ202" i="1"/>
  <c r="CK202" i="1"/>
  <c r="CL202" i="1"/>
  <c r="CM202" i="1"/>
  <c r="CN202" i="1"/>
  <c r="CO202" i="1"/>
  <c r="CP202" i="1"/>
  <c r="CQ202" i="1"/>
  <c r="CR202" i="1"/>
  <c r="CS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T202" i="1"/>
  <c r="AZ201" i="1"/>
  <c r="BA201" i="1"/>
  <c r="BB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T201" i="1"/>
  <c r="AZ198" i="1"/>
  <c r="BA198" i="1"/>
  <c r="BB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T198" i="1"/>
  <c r="AZ152" i="1"/>
  <c r="BA152" i="1"/>
  <c r="BB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T152" i="1"/>
  <c r="AA67" i="2"/>
  <c r="AB67" i="2"/>
  <c r="B119" i="4"/>
  <c r="I241" i="5"/>
  <c r="AE67" i="2"/>
  <c r="K241" i="5"/>
  <c r="AG66" i="2" s="1"/>
  <c r="AH67" i="2"/>
  <c r="AJ67" i="2"/>
  <c r="AM67" i="2"/>
  <c r="AZ447" i="1"/>
  <c r="BA447" i="1"/>
  <c r="BB447" i="1"/>
  <c r="CH447" i="1"/>
  <c r="CI447" i="1"/>
  <c r="CJ447" i="1"/>
  <c r="CK447" i="1"/>
  <c r="CL447" i="1"/>
  <c r="CM447" i="1"/>
  <c r="CN447" i="1"/>
  <c r="CO447" i="1"/>
  <c r="CP447" i="1"/>
  <c r="CQ447" i="1"/>
  <c r="CR447" i="1"/>
  <c r="CS447" i="1"/>
  <c r="BV447" i="1"/>
  <c r="BW447" i="1"/>
  <c r="BX447" i="1"/>
  <c r="BY447" i="1"/>
  <c r="BZ447" i="1"/>
  <c r="CA447" i="1"/>
  <c r="CB447" i="1"/>
  <c r="CC447" i="1"/>
  <c r="CD447" i="1"/>
  <c r="CE447" i="1"/>
  <c r="CF447" i="1"/>
  <c r="CG447" i="1"/>
  <c r="CT447" i="1"/>
  <c r="AZ448" i="1"/>
  <c r="BA448" i="1"/>
  <c r="BB448" i="1"/>
  <c r="CH448" i="1"/>
  <c r="CI448" i="1"/>
  <c r="CJ448" i="1"/>
  <c r="CK448" i="1"/>
  <c r="CL448" i="1"/>
  <c r="CM448" i="1"/>
  <c r="CN448" i="1"/>
  <c r="CO448" i="1"/>
  <c r="CP448" i="1"/>
  <c r="CQ448" i="1"/>
  <c r="CR448" i="1"/>
  <c r="CS448" i="1"/>
  <c r="BV448" i="1"/>
  <c r="BW448" i="1"/>
  <c r="BX448" i="1"/>
  <c r="BY448" i="1"/>
  <c r="BZ448" i="1"/>
  <c r="CA448" i="1"/>
  <c r="CB448" i="1"/>
  <c r="CC448" i="1"/>
  <c r="CD448" i="1"/>
  <c r="CE448" i="1"/>
  <c r="CF448" i="1"/>
  <c r="CG448" i="1"/>
  <c r="CT448" i="1"/>
  <c r="AZ446" i="1"/>
  <c r="BA446" i="1"/>
  <c r="BB446" i="1"/>
  <c r="CH446" i="1"/>
  <c r="CI446" i="1"/>
  <c r="CJ446" i="1"/>
  <c r="CK446" i="1"/>
  <c r="CL446" i="1"/>
  <c r="CM446" i="1"/>
  <c r="CN446" i="1"/>
  <c r="CO446" i="1"/>
  <c r="CP446" i="1"/>
  <c r="CQ446" i="1"/>
  <c r="CR446" i="1"/>
  <c r="CS446" i="1"/>
  <c r="BV446" i="1"/>
  <c r="BW446" i="1"/>
  <c r="BX446" i="1"/>
  <c r="BY446" i="1"/>
  <c r="BZ446" i="1"/>
  <c r="CA446" i="1"/>
  <c r="CB446" i="1"/>
  <c r="CC446" i="1"/>
  <c r="CD446" i="1"/>
  <c r="CE446" i="1"/>
  <c r="CF446" i="1"/>
  <c r="CG446" i="1"/>
  <c r="CT446" i="1"/>
  <c r="AZ445" i="1"/>
  <c r="BA445" i="1"/>
  <c r="BB445" i="1"/>
  <c r="CH445" i="1"/>
  <c r="CI445" i="1"/>
  <c r="CJ445" i="1"/>
  <c r="CK445" i="1"/>
  <c r="CL445" i="1"/>
  <c r="CM445" i="1"/>
  <c r="CN445" i="1"/>
  <c r="CO445" i="1"/>
  <c r="CP445" i="1"/>
  <c r="CQ445" i="1"/>
  <c r="CR445" i="1"/>
  <c r="CS445" i="1"/>
  <c r="BV445" i="1"/>
  <c r="BW445" i="1"/>
  <c r="BX445" i="1"/>
  <c r="BY445" i="1"/>
  <c r="BZ445" i="1"/>
  <c r="CA445" i="1"/>
  <c r="CB445" i="1"/>
  <c r="CC445" i="1"/>
  <c r="CD445" i="1"/>
  <c r="CE445" i="1"/>
  <c r="CF445" i="1"/>
  <c r="CG445" i="1"/>
  <c r="CT445" i="1"/>
  <c r="AZ396" i="1"/>
  <c r="BA396" i="1"/>
  <c r="BB396" i="1"/>
  <c r="CH396" i="1"/>
  <c r="CI396" i="1"/>
  <c r="BC396" i="1" s="1"/>
  <c r="CJ396" i="1"/>
  <c r="CK396" i="1"/>
  <c r="CL396" i="1"/>
  <c r="CM396" i="1"/>
  <c r="CN396" i="1"/>
  <c r="CO396" i="1"/>
  <c r="CP396" i="1"/>
  <c r="CQ396" i="1"/>
  <c r="CR396" i="1"/>
  <c r="CS396" i="1"/>
  <c r="BV396" i="1"/>
  <c r="BW396" i="1"/>
  <c r="BX396" i="1"/>
  <c r="BY396" i="1"/>
  <c r="BZ396" i="1"/>
  <c r="CA396" i="1"/>
  <c r="CB396" i="1"/>
  <c r="CC396" i="1"/>
  <c r="CD396" i="1"/>
  <c r="CE396" i="1"/>
  <c r="CF396" i="1"/>
  <c r="CG396" i="1"/>
  <c r="CT396" i="1"/>
  <c r="B265" i="4"/>
  <c r="B266" i="4"/>
  <c r="N226" i="5"/>
  <c r="L226" i="5"/>
  <c r="B229" i="4"/>
  <c r="B289" i="4"/>
  <c r="B139" i="4"/>
  <c r="B92" i="4"/>
  <c r="B222" i="4"/>
  <c r="B30" i="4"/>
  <c r="B2" i="4"/>
  <c r="B18" i="4"/>
  <c r="B19" i="4"/>
  <c r="B20" i="4"/>
  <c r="B146" i="4"/>
  <c r="B192" i="4"/>
  <c r="B130" i="4"/>
  <c r="B151" i="4"/>
  <c r="B256" i="4"/>
  <c r="B48" i="4"/>
  <c r="B198" i="4"/>
  <c r="B118" i="4"/>
  <c r="B100" i="4"/>
  <c r="B227" i="4"/>
  <c r="B152" i="4"/>
  <c r="B153" i="4"/>
  <c r="B5" i="4"/>
  <c r="B221" i="4"/>
  <c r="B61" i="4"/>
  <c r="B291" i="4"/>
  <c r="B238" i="4"/>
  <c r="B121" i="4"/>
  <c r="B22" i="4"/>
  <c r="B23" i="4"/>
  <c r="B297" i="4"/>
  <c r="B292" i="4"/>
  <c r="B124" i="4"/>
  <c r="B125" i="4"/>
  <c r="B6" i="4"/>
  <c r="B7" i="4"/>
  <c r="B8" i="4"/>
  <c r="B9" i="4"/>
  <c r="B301" i="4"/>
  <c r="B73" i="4"/>
  <c r="B191" i="4"/>
  <c r="B129" i="4"/>
  <c r="B263" i="4"/>
  <c r="B280" i="4"/>
  <c r="B270" i="4"/>
  <c r="B244" i="4"/>
  <c r="B230" i="4"/>
  <c r="B196" i="4"/>
  <c r="B101" i="4"/>
  <c r="B202" i="4"/>
  <c r="B203" i="4"/>
  <c r="B274" i="4"/>
  <c r="B149" i="4"/>
  <c r="B150" i="4"/>
  <c r="B133" i="4"/>
  <c r="B190" i="4"/>
  <c r="AZ117" i="1"/>
  <c r="BA117" i="1"/>
  <c r="BB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T117" i="1"/>
  <c r="AZ393" i="1"/>
  <c r="BA393" i="1"/>
  <c r="BB393" i="1"/>
  <c r="CH393" i="1"/>
  <c r="CI393" i="1"/>
  <c r="BC393" i="1" s="1"/>
  <c r="CJ393" i="1"/>
  <c r="CK393" i="1"/>
  <c r="CL393" i="1"/>
  <c r="CM393" i="1"/>
  <c r="CN393" i="1"/>
  <c r="CO393" i="1"/>
  <c r="CP393" i="1"/>
  <c r="CQ393" i="1"/>
  <c r="CR393" i="1"/>
  <c r="CS393" i="1"/>
  <c r="BV393" i="1"/>
  <c r="BW393" i="1"/>
  <c r="BX393" i="1"/>
  <c r="BY393" i="1"/>
  <c r="BZ393" i="1"/>
  <c r="CA393" i="1"/>
  <c r="CB393" i="1"/>
  <c r="CC393" i="1"/>
  <c r="CD393" i="1"/>
  <c r="CE393" i="1"/>
  <c r="CF393" i="1"/>
  <c r="CG393" i="1"/>
  <c r="CT393" i="1"/>
  <c r="AA66" i="2"/>
  <c r="AB66" i="2"/>
  <c r="I226" i="5"/>
  <c r="AE66" i="2"/>
  <c r="L241" i="5"/>
  <c r="AH66" i="2"/>
  <c r="AJ66" i="2"/>
  <c r="O226" i="5"/>
  <c r="AK65" i="2" s="1"/>
  <c r="AK66" i="2"/>
  <c r="AM66" i="2"/>
  <c r="AZ391" i="1"/>
  <c r="BA391" i="1"/>
  <c r="BB391" i="1"/>
  <c r="CH391" i="1"/>
  <c r="CI391" i="1"/>
  <c r="CJ391" i="1"/>
  <c r="CK391" i="1"/>
  <c r="CL391" i="1"/>
  <c r="CM391" i="1"/>
  <c r="CN391" i="1"/>
  <c r="CO391" i="1"/>
  <c r="CP391" i="1"/>
  <c r="CQ391" i="1"/>
  <c r="CR391" i="1"/>
  <c r="CS391" i="1"/>
  <c r="BV391" i="1"/>
  <c r="BW391" i="1"/>
  <c r="BX391" i="1"/>
  <c r="BY391" i="1"/>
  <c r="BZ391" i="1"/>
  <c r="CA391" i="1"/>
  <c r="CB391" i="1"/>
  <c r="CC391" i="1"/>
  <c r="CD391" i="1"/>
  <c r="CE391" i="1"/>
  <c r="CF391" i="1"/>
  <c r="CG391" i="1"/>
  <c r="CT391" i="1"/>
  <c r="AZ392" i="1"/>
  <c r="BA392" i="1"/>
  <c r="BB392" i="1"/>
  <c r="CH392" i="1"/>
  <c r="CI392" i="1"/>
  <c r="CJ392" i="1"/>
  <c r="CK392" i="1"/>
  <c r="CL392" i="1"/>
  <c r="CM392" i="1"/>
  <c r="CN392" i="1"/>
  <c r="CO392" i="1"/>
  <c r="CP392" i="1"/>
  <c r="CQ392" i="1"/>
  <c r="CR392" i="1"/>
  <c r="CS392" i="1"/>
  <c r="BV392" i="1"/>
  <c r="BW392" i="1"/>
  <c r="BX392" i="1"/>
  <c r="BY392" i="1"/>
  <c r="BZ392" i="1"/>
  <c r="CA392" i="1"/>
  <c r="CB392" i="1"/>
  <c r="CC392" i="1"/>
  <c r="CD392" i="1"/>
  <c r="CE392" i="1"/>
  <c r="CF392" i="1"/>
  <c r="CG392" i="1"/>
  <c r="CT392" i="1"/>
  <c r="AZ172" i="1"/>
  <c r="BA172" i="1"/>
  <c r="BB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T172" i="1"/>
  <c r="AZ171" i="1"/>
  <c r="BA171" i="1"/>
  <c r="BB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T171" i="1"/>
  <c r="AZ261" i="1"/>
  <c r="BA261" i="1"/>
  <c r="BB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CT261" i="1"/>
  <c r="AZ260" i="1"/>
  <c r="BA260" i="1"/>
  <c r="BB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BC260" i="1"/>
  <c r="CT260" i="1"/>
  <c r="AZ259" i="1"/>
  <c r="BA259" i="1"/>
  <c r="BB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CT259" i="1"/>
  <c r="AA64" i="2"/>
  <c r="AB64" i="2"/>
  <c r="B271" i="4"/>
  <c r="I225" i="5"/>
  <c r="AE64" i="2"/>
  <c r="L225" i="5"/>
  <c r="AH64" i="2"/>
  <c r="AJ64" i="2"/>
  <c r="N225" i="5"/>
  <c r="O225" i="5"/>
  <c r="AK64" i="2" s="1"/>
  <c r="AM64" i="2"/>
  <c r="AG171" i="5"/>
  <c r="AF171" i="5"/>
  <c r="K171" i="5"/>
  <c r="T171" i="5"/>
  <c r="U171" i="5"/>
  <c r="AA171" i="5"/>
  <c r="AI127" i="4"/>
  <c r="AZ178" i="1"/>
  <c r="BA178" i="1"/>
  <c r="BB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T178" i="1"/>
  <c r="AD78" i="5"/>
  <c r="AI173" i="4"/>
  <c r="A6" i="3"/>
  <c r="A7" i="3"/>
  <c r="A8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6" i="3"/>
  <c r="A27" i="3"/>
  <c r="A28" i="3"/>
  <c r="A30" i="3"/>
  <c r="A31" i="3"/>
  <c r="A32" i="3"/>
  <c r="A33" i="3"/>
  <c r="A34" i="3"/>
  <c r="A35" i="3"/>
  <c r="A36" i="3"/>
  <c r="A37" i="3"/>
  <c r="A38" i="3"/>
  <c r="A39" i="3"/>
  <c r="AI178" i="4"/>
  <c r="AZ179" i="1"/>
  <c r="BA179" i="1"/>
  <c r="BB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T179" i="1"/>
  <c r="AZ368" i="1"/>
  <c r="BA368" i="1"/>
  <c r="BB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CT368" i="1"/>
  <c r="AZ367" i="1"/>
  <c r="BA367" i="1"/>
  <c r="BB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CT367" i="1"/>
  <c r="AZ369" i="1"/>
  <c r="BA369" i="1"/>
  <c r="BB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BV369" i="1"/>
  <c r="BW369" i="1"/>
  <c r="BX369" i="1"/>
  <c r="BY369" i="1"/>
  <c r="BZ369" i="1"/>
  <c r="CA369" i="1"/>
  <c r="CB369" i="1"/>
  <c r="CC369" i="1"/>
  <c r="CD369" i="1"/>
  <c r="CE369" i="1"/>
  <c r="CF369" i="1"/>
  <c r="CG369" i="1"/>
  <c r="CT369" i="1"/>
  <c r="AZ372" i="1"/>
  <c r="BA372" i="1"/>
  <c r="BB372" i="1"/>
  <c r="CH372" i="1"/>
  <c r="CI372" i="1"/>
  <c r="CJ372" i="1"/>
  <c r="CK372" i="1"/>
  <c r="CL372" i="1"/>
  <c r="CM372" i="1"/>
  <c r="CN372" i="1"/>
  <c r="CO372" i="1"/>
  <c r="CP372" i="1"/>
  <c r="CQ372" i="1"/>
  <c r="CR372" i="1"/>
  <c r="CS372" i="1"/>
  <c r="BV372" i="1"/>
  <c r="BW372" i="1"/>
  <c r="BX372" i="1"/>
  <c r="BY372" i="1"/>
  <c r="BZ372" i="1"/>
  <c r="CA372" i="1"/>
  <c r="CB372" i="1"/>
  <c r="CC372" i="1"/>
  <c r="CD372" i="1"/>
  <c r="CE372" i="1"/>
  <c r="CF372" i="1"/>
  <c r="CG372" i="1"/>
  <c r="CT372" i="1"/>
  <c r="AA65" i="2"/>
  <c r="AB65" i="2"/>
  <c r="AE65" i="2"/>
  <c r="AH65" i="2"/>
  <c r="AJ65" i="2"/>
  <c r="AM65" i="2"/>
  <c r="AZ371" i="1"/>
  <c r="BA371" i="1"/>
  <c r="BB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BV371" i="1"/>
  <c r="BW371" i="1"/>
  <c r="BX371" i="1"/>
  <c r="BY371" i="1"/>
  <c r="BZ371" i="1"/>
  <c r="CA371" i="1"/>
  <c r="CB371" i="1"/>
  <c r="CC371" i="1"/>
  <c r="CD371" i="1"/>
  <c r="CE371" i="1"/>
  <c r="CF371" i="1"/>
  <c r="CG371" i="1"/>
  <c r="CT371" i="1"/>
  <c r="AZ366" i="1"/>
  <c r="BA366" i="1"/>
  <c r="BB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BV366" i="1"/>
  <c r="BW366" i="1"/>
  <c r="BX366" i="1"/>
  <c r="BY366" i="1"/>
  <c r="BZ366" i="1"/>
  <c r="CA366" i="1"/>
  <c r="CB366" i="1"/>
  <c r="CC366" i="1"/>
  <c r="CD366" i="1"/>
  <c r="CE366" i="1"/>
  <c r="CF366" i="1"/>
  <c r="CG366" i="1"/>
  <c r="CT366" i="1"/>
  <c r="AA63" i="2"/>
  <c r="AB63" i="2"/>
  <c r="AE63" i="2"/>
  <c r="K314" i="5"/>
  <c r="AI62" i="2" s="1"/>
  <c r="AH63" i="2"/>
  <c r="AJ63" i="2"/>
  <c r="O314" i="5"/>
  <c r="AM63" i="2"/>
  <c r="AZ258" i="1"/>
  <c r="BA258" i="1"/>
  <c r="BB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CT258" i="1"/>
  <c r="AZ257" i="1"/>
  <c r="BA257" i="1"/>
  <c r="BB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CT257" i="1"/>
  <c r="AZ85" i="1"/>
  <c r="BA85" i="1"/>
  <c r="BB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T85" i="1"/>
  <c r="AZ84" i="1"/>
  <c r="BA84" i="1"/>
  <c r="BB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T84" i="1"/>
  <c r="AZ83" i="1"/>
  <c r="BA83" i="1"/>
  <c r="BB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T83" i="1"/>
  <c r="AZ82" i="1"/>
  <c r="BA82" i="1"/>
  <c r="BB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T82" i="1"/>
  <c r="AZ81" i="1"/>
  <c r="BA81" i="1"/>
  <c r="BB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T81" i="1"/>
  <c r="AZ224" i="1"/>
  <c r="BA224" i="1"/>
  <c r="BB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T224" i="1"/>
  <c r="AZ223" i="1"/>
  <c r="BA223" i="1"/>
  <c r="BB223" i="1"/>
  <c r="CH223" i="1"/>
  <c r="CI223" i="1"/>
  <c r="BC223" i="1" s="1"/>
  <c r="CJ223" i="1"/>
  <c r="CK223" i="1"/>
  <c r="CL223" i="1"/>
  <c r="CM223" i="1"/>
  <c r="CN223" i="1"/>
  <c r="CO223" i="1"/>
  <c r="CP223" i="1"/>
  <c r="CQ223" i="1"/>
  <c r="CR223" i="1"/>
  <c r="CS22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T223" i="1"/>
  <c r="AA62" i="2"/>
  <c r="AB62" i="2"/>
  <c r="B282" i="4"/>
  <c r="I222" i="5"/>
  <c r="AE62" i="2"/>
  <c r="AH62" i="2"/>
  <c r="AJ62" i="2"/>
  <c r="AM62" i="2"/>
  <c r="AZ433" i="1"/>
  <c r="BA433" i="1"/>
  <c r="BB433" i="1"/>
  <c r="CH433" i="1"/>
  <c r="CI433" i="1"/>
  <c r="CJ433" i="1"/>
  <c r="CK433" i="1"/>
  <c r="CL433" i="1"/>
  <c r="CM433" i="1"/>
  <c r="CN433" i="1"/>
  <c r="CO433" i="1"/>
  <c r="CP433" i="1"/>
  <c r="CQ433" i="1"/>
  <c r="CR433" i="1"/>
  <c r="CS433" i="1"/>
  <c r="BV433" i="1"/>
  <c r="BW433" i="1"/>
  <c r="BX433" i="1"/>
  <c r="BY433" i="1"/>
  <c r="BZ433" i="1"/>
  <c r="CA433" i="1"/>
  <c r="CB433" i="1"/>
  <c r="CC433" i="1"/>
  <c r="CD433" i="1"/>
  <c r="CE433" i="1"/>
  <c r="CF433" i="1"/>
  <c r="CG433" i="1"/>
  <c r="CT433" i="1"/>
  <c r="AZ432" i="1"/>
  <c r="BA432" i="1"/>
  <c r="BB432" i="1"/>
  <c r="CH432" i="1"/>
  <c r="CI432" i="1"/>
  <c r="CJ432" i="1"/>
  <c r="CK432" i="1"/>
  <c r="CL432" i="1"/>
  <c r="CM432" i="1"/>
  <c r="CN432" i="1"/>
  <c r="CO432" i="1"/>
  <c r="CP432" i="1"/>
  <c r="CQ432" i="1"/>
  <c r="CR432" i="1"/>
  <c r="CS432" i="1"/>
  <c r="BV432" i="1"/>
  <c r="BW432" i="1"/>
  <c r="BX432" i="1"/>
  <c r="BY432" i="1"/>
  <c r="BZ432" i="1"/>
  <c r="CA432" i="1"/>
  <c r="CB432" i="1"/>
  <c r="CC432" i="1"/>
  <c r="CD432" i="1"/>
  <c r="CE432" i="1"/>
  <c r="CF432" i="1"/>
  <c r="CG432" i="1"/>
  <c r="CT432" i="1"/>
  <c r="AZ136" i="1"/>
  <c r="BA136" i="1"/>
  <c r="BB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T136" i="1"/>
  <c r="AZ177" i="1"/>
  <c r="BA177" i="1"/>
  <c r="BB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T177" i="1"/>
  <c r="AZ176" i="1"/>
  <c r="BA176" i="1"/>
  <c r="BB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T176" i="1"/>
  <c r="AZ116" i="1"/>
  <c r="BA116" i="1"/>
  <c r="BB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T116" i="1"/>
  <c r="AZ115" i="1"/>
  <c r="BA115" i="1"/>
  <c r="BB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T115" i="1"/>
  <c r="AZ114" i="1"/>
  <c r="BA114" i="1"/>
  <c r="BB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T114" i="1"/>
  <c r="AZ113" i="1"/>
  <c r="BA113" i="1"/>
  <c r="BB113" i="1"/>
  <c r="CH113" i="1"/>
  <c r="CI113" i="1"/>
  <c r="BC113" i="1" s="1"/>
  <c r="CJ113" i="1"/>
  <c r="CK113" i="1"/>
  <c r="CL113" i="1"/>
  <c r="CM113" i="1"/>
  <c r="CN113" i="1"/>
  <c r="CO113" i="1"/>
  <c r="CP113" i="1"/>
  <c r="CQ113" i="1"/>
  <c r="CR113" i="1"/>
  <c r="CS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T113" i="1"/>
  <c r="AZ112" i="1"/>
  <c r="BA112" i="1"/>
  <c r="BB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T112" i="1"/>
  <c r="AZ317" i="1"/>
  <c r="BA317" i="1"/>
  <c r="BB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CT317" i="1"/>
  <c r="AZ370" i="1"/>
  <c r="BA370" i="1"/>
  <c r="BB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BV370" i="1"/>
  <c r="BW370" i="1"/>
  <c r="BX370" i="1"/>
  <c r="BY370" i="1"/>
  <c r="BZ370" i="1"/>
  <c r="CA370" i="1"/>
  <c r="CB370" i="1"/>
  <c r="CC370" i="1"/>
  <c r="CD370" i="1"/>
  <c r="CE370" i="1"/>
  <c r="CF370" i="1"/>
  <c r="CG370" i="1"/>
  <c r="CT370" i="1"/>
  <c r="AA61" i="2"/>
  <c r="AB61" i="2"/>
  <c r="AE61" i="2"/>
  <c r="K304" i="5"/>
  <c r="AI60" i="2" s="1"/>
  <c r="L222" i="5"/>
  <c r="AH61" i="2"/>
  <c r="AJ61" i="2"/>
  <c r="O304" i="5"/>
  <c r="N222" i="5"/>
  <c r="O222" i="5"/>
  <c r="AK61" i="2" s="1"/>
  <c r="AM61" i="2"/>
  <c r="AZ365" i="1"/>
  <c r="BA365" i="1"/>
  <c r="BB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BV365" i="1"/>
  <c r="BW365" i="1"/>
  <c r="BX365" i="1"/>
  <c r="BY365" i="1"/>
  <c r="BZ365" i="1"/>
  <c r="CA365" i="1"/>
  <c r="CB365" i="1"/>
  <c r="CC365" i="1"/>
  <c r="CD365" i="1"/>
  <c r="CE365" i="1"/>
  <c r="CF365" i="1"/>
  <c r="CG365" i="1"/>
  <c r="CT365" i="1"/>
  <c r="AZ364" i="1"/>
  <c r="BA364" i="1"/>
  <c r="BB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BV364" i="1"/>
  <c r="BW364" i="1"/>
  <c r="BX364" i="1"/>
  <c r="BY364" i="1"/>
  <c r="BZ364" i="1"/>
  <c r="CA364" i="1"/>
  <c r="CB364" i="1"/>
  <c r="CC364" i="1"/>
  <c r="CD364" i="1"/>
  <c r="CE364" i="1"/>
  <c r="CF364" i="1"/>
  <c r="CG364" i="1"/>
  <c r="CT364" i="1"/>
  <c r="AA60" i="2"/>
  <c r="AB60" i="2"/>
  <c r="AE60" i="2"/>
  <c r="K299" i="5"/>
  <c r="AG59" i="2" s="1"/>
  <c r="AH60" i="2"/>
  <c r="AJ60" i="2"/>
  <c r="O299" i="5"/>
  <c r="AM60" i="2"/>
  <c r="AZ398" i="1"/>
  <c r="BA398" i="1"/>
  <c r="BB398" i="1"/>
  <c r="CH398" i="1"/>
  <c r="CI398" i="1"/>
  <c r="CJ398" i="1"/>
  <c r="CK398" i="1"/>
  <c r="CL398" i="1"/>
  <c r="CM398" i="1"/>
  <c r="CN398" i="1"/>
  <c r="CO398" i="1"/>
  <c r="CP398" i="1"/>
  <c r="CQ398" i="1"/>
  <c r="CR398" i="1"/>
  <c r="CS398" i="1"/>
  <c r="BV398" i="1"/>
  <c r="BW398" i="1"/>
  <c r="BX398" i="1"/>
  <c r="BY398" i="1"/>
  <c r="BZ398" i="1"/>
  <c r="CA398" i="1"/>
  <c r="CB398" i="1"/>
  <c r="CC398" i="1"/>
  <c r="CD398" i="1"/>
  <c r="CE398" i="1"/>
  <c r="CF398" i="1"/>
  <c r="CG398" i="1"/>
  <c r="CT398" i="1"/>
  <c r="AZ397" i="1"/>
  <c r="BA397" i="1"/>
  <c r="BB397" i="1"/>
  <c r="CH397" i="1"/>
  <c r="CI397" i="1"/>
  <c r="CJ397" i="1"/>
  <c r="CK397" i="1"/>
  <c r="CL397" i="1"/>
  <c r="CM397" i="1"/>
  <c r="BC397" i="1" s="1"/>
  <c r="CN397" i="1"/>
  <c r="CO397" i="1"/>
  <c r="CP397" i="1"/>
  <c r="CQ397" i="1"/>
  <c r="CR397" i="1"/>
  <c r="CS397" i="1"/>
  <c r="BV397" i="1"/>
  <c r="BW397" i="1"/>
  <c r="BX397" i="1"/>
  <c r="BY397" i="1"/>
  <c r="BZ397" i="1"/>
  <c r="CA397" i="1"/>
  <c r="CB397" i="1"/>
  <c r="CC397" i="1"/>
  <c r="CD397" i="1"/>
  <c r="CE397" i="1"/>
  <c r="CF397" i="1"/>
  <c r="CG397" i="1"/>
  <c r="CT397" i="1"/>
  <c r="AZ19" i="1"/>
  <c r="BA19" i="1"/>
  <c r="BB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T19" i="1"/>
  <c r="AZ18" i="1"/>
  <c r="BA18" i="1"/>
  <c r="BB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T18" i="1"/>
  <c r="AZ17" i="1"/>
  <c r="BA17" i="1"/>
  <c r="BB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T17" i="1"/>
  <c r="AZ16" i="1"/>
  <c r="BA16" i="1"/>
  <c r="BB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T16" i="1"/>
  <c r="AZ160" i="1"/>
  <c r="BA160" i="1"/>
  <c r="BB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T160" i="1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9" i="9"/>
  <c r="H410" i="9"/>
  <c r="H411" i="9"/>
  <c r="H412" i="9"/>
  <c r="H413" i="9"/>
  <c r="H2" i="9"/>
  <c r="AL106" i="4"/>
  <c r="A6" i="14"/>
  <c r="H6" i="14" s="1"/>
  <c r="G6" i="14"/>
  <c r="F6" i="14"/>
  <c r="C6" i="14"/>
  <c r="B6" i="14"/>
  <c r="A8" i="13"/>
  <c r="H8" i="13"/>
  <c r="G8" i="13"/>
  <c r="F8" i="13"/>
  <c r="C8" i="13"/>
  <c r="B8" i="13"/>
  <c r="A7" i="13"/>
  <c r="H7" i="13"/>
  <c r="G7" i="13"/>
  <c r="F7" i="13"/>
  <c r="C7" i="13"/>
  <c r="B7" i="13"/>
  <c r="A6" i="13"/>
  <c r="F6" i="13"/>
  <c r="C6" i="13"/>
  <c r="B6" i="13"/>
  <c r="B299" i="6"/>
  <c r="C299" i="6"/>
  <c r="D299" i="6"/>
  <c r="V299" i="6"/>
  <c r="W299" i="6"/>
  <c r="X299" i="6"/>
  <c r="Y299" i="6"/>
  <c r="Z299" i="6"/>
  <c r="AA299" i="6"/>
  <c r="AB299" i="6"/>
  <c r="AC299" i="6"/>
  <c r="AD299" i="6"/>
  <c r="AE299" i="6"/>
  <c r="AF299" i="6"/>
  <c r="AG299" i="6"/>
  <c r="AH299" i="6"/>
  <c r="F299" i="5"/>
  <c r="B299" i="5"/>
  <c r="B87" i="4"/>
  <c r="H299" i="5"/>
  <c r="I299" i="5"/>
  <c r="Z299" i="5"/>
  <c r="AI87" i="4"/>
  <c r="AD299" i="5"/>
  <c r="AF299" i="5"/>
  <c r="AG299" i="5"/>
  <c r="AM299" i="5"/>
  <c r="AO299" i="5"/>
  <c r="BB299" i="5"/>
  <c r="BC299" i="5"/>
  <c r="BD299" i="5"/>
  <c r="BE299" i="5"/>
  <c r="AA86" i="4"/>
  <c r="AB86" i="4"/>
  <c r="AC86" i="4"/>
  <c r="AD86" i="4"/>
  <c r="AE86" i="4"/>
  <c r="AF86" i="4"/>
  <c r="AG86" i="4"/>
  <c r="AH86" i="4"/>
  <c r="AJ86" i="4"/>
  <c r="AK86" i="4"/>
  <c r="AL86" i="4"/>
  <c r="AA59" i="2"/>
  <c r="AB59" i="2"/>
  <c r="B246" i="4"/>
  <c r="I230" i="5"/>
  <c r="AE59" i="2"/>
  <c r="AH59" i="2"/>
  <c r="AJ59" i="2"/>
  <c r="AM59" i="2"/>
  <c r="D413" i="9"/>
  <c r="E413" i="9"/>
  <c r="F413" i="9"/>
  <c r="AZ390" i="1"/>
  <c r="BA390" i="1"/>
  <c r="BB390" i="1"/>
  <c r="CH390" i="1"/>
  <c r="CI390" i="1"/>
  <c r="CJ390" i="1"/>
  <c r="CK390" i="1"/>
  <c r="CL390" i="1"/>
  <c r="CM390" i="1"/>
  <c r="CN390" i="1"/>
  <c r="CO390" i="1"/>
  <c r="CP390" i="1"/>
  <c r="CQ390" i="1"/>
  <c r="CR390" i="1"/>
  <c r="CS390" i="1"/>
  <c r="BV390" i="1"/>
  <c r="BW390" i="1"/>
  <c r="BX390" i="1"/>
  <c r="BY390" i="1"/>
  <c r="BZ390" i="1"/>
  <c r="CA390" i="1"/>
  <c r="CB390" i="1"/>
  <c r="CC390" i="1"/>
  <c r="CD390" i="1"/>
  <c r="CE390" i="1"/>
  <c r="CF390" i="1"/>
  <c r="CG390" i="1"/>
  <c r="CT390" i="1"/>
  <c r="AZ389" i="1"/>
  <c r="BA389" i="1"/>
  <c r="BB389" i="1"/>
  <c r="CH389" i="1"/>
  <c r="CI389" i="1"/>
  <c r="CJ389" i="1"/>
  <c r="CK389" i="1"/>
  <c r="CL389" i="1"/>
  <c r="CM389" i="1"/>
  <c r="CN389" i="1"/>
  <c r="CO389" i="1"/>
  <c r="CP389" i="1"/>
  <c r="CQ389" i="1"/>
  <c r="CR389" i="1"/>
  <c r="CS389" i="1"/>
  <c r="BV389" i="1"/>
  <c r="BW389" i="1"/>
  <c r="BX389" i="1"/>
  <c r="BY389" i="1"/>
  <c r="BZ389" i="1"/>
  <c r="CA389" i="1"/>
  <c r="CB389" i="1"/>
  <c r="CC389" i="1"/>
  <c r="CD389" i="1"/>
  <c r="CE389" i="1"/>
  <c r="CF389" i="1"/>
  <c r="CG389" i="1"/>
  <c r="CT389" i="1"/>
  <c r="AZ388" i="1"/>
  <c r="BA388" i="1"/>
  <c r="BB388" i="1"/>
  <c r="CH388" i="1"/>
  <c r="CI388" i="1"/>
  <c r="CJ388" i="1"/>
  <c r="CK388" i="1"/>
  <c r="CL388" i="1"/>
  <c r="CM388" i="1"/>
  <c r="CN388" i="1"/>
  <c r="CO388" i="1"/>
  <c r="CP388" i="1"/>
  <c r="CQ388" i="1"/>
  <c r="CR388" i="1"/>
  <c r="CS388" i="1"/>
  <c r="BV388" i="1"/>
  <c r="BW388" i="1"/>
  <c r="BX388" i="1"/>
  <c r="BY388" i="1"/>
  <c r="BZ388" i="1"/>
  <c r="CA388" i="1"/>
  <c r="CB388" i="1"/>
  <c r="CC388" i="1"/>
  <c r="CD388" i="1"/>
  <c r="CE388" i="1"/>
  <c r="CF388" i="1"/>
  <c r="CG388" i="1"/>
  <c r="CT388" i="1"/>
  <c r="C124" i="7"/>
  <c r="D124" i="7"/>
  <c r="E124" i="7"/>
  <c r="AZ375" i="1"/>
  <c r="BA375" i="1"/>
  <c r="BB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BV375" i="1"/>
  <c r="BW375" i="1"/>
  <c r="BX375" i="1"/>
  <c r="BY375" i="1"/>
  <c r="BZ375" i="1"/>
  <c r="CA375" i="1"/>
  <c r="CB375" i="1"/>
  <c r="CC375" i="1"/>
  <c r="CD375" i="1"/>
  <c r="CE375" i="1"/>
  <c r="CF375" i="1"/>
  <c r="CG375" i="1"/>
  <c r="CT375" i="1"/>
  <c r="AB16" i="4"/>
  <c r="AB27" i="4"/>
  <c r="AB32" i="4"/>
  <c r="AB33" i="4"/>
  <c r="AB13" i="4"/>
  <c r="AB34" i="4"/>
  <c r="AB17" i="4"/>
  <c r="AB19" i="4"/>
  <c r="AB20" i="4"/>
  <c r="AB63" i="4"/>
  <c r="AB30" i="4"/>
  <c r="AB2" i="4"/>
  <c r="AB65" i="4"/>
  <c r="AB272" i="4"/>
  <c r="AB273" i="4"/>
  <c r="AB289" i="4"/>
  <c r="AB205" i="4"/>
  <c r="AB169" i="4"/>
  <c r="AB102" i="4"/>
  <c r="AB176" i="4"/>
  <c r="AB90" i="4"/>
  <c r="AB136" i="4"/>
  <c r="AB178" i="4"/>
  <c r="AB137" i="4"/>
  <c r="AB138" i="4"/>
  <c r="AB179" i="4"/>
  <c r="AB91" i="4"/>
  <c r="AB181" i="4"/>
  <c r="AB182" i="4"/>
  <c r="AB120" i="4"/>
  <c r="AB111" i="4"/>
  <c r="AB236" i="4"/>
  <c r="AB61" i="4"/>
  <c r="AB3" i="4"/>
  <c r="AB31" i="4"/>
  <c r="AB87" i="4"/>
  <c r="AB25" i="4"/>
  <c r="AB175" i="4"/>
  <c r="AB177" i="4"/>
  <c r="AB209" i="4"/>
  <c r="AB40" i="4"/>
  <c r="AB21" i="4"/>
  <c r="AB261" i="4"/>
  <c r="AB295" i="4"/>
  <c r="AB238" i="4"/>
  <c r="AB240" i="4"/>
  <c r="AB223" i="4"/>
  <c r="AB184" i="4"/>
  <c r="AB278" i="4"/>
  <c r="AB57" i="4"/>
  <c r="AB42" i="4"/>
  <c r="AB43" i="4"/>
  <c r="AB44" i="4"/>
  <c r="AB189" i="4"/>
  <c r="AB253" i="4"/>
  <c r="AB224" i="4"/>
  <c r="AB127" i="4"/>
  <c r="AB70" i="4"/>
  <c r="AB14" i="4"/>
  <c r="AB146" i="4"/>
  <c r="AB192" i="4"/>
  <c r="AB149" i="4"/>
  <c r="AB150" i="4"/>
  <c r="AB227" i="4"/>
  <c r="AB151" i="4"/>
  <c r="AB152" i="4"/>
  <c r="AB153" i="4"/>
  <c r="AB194" i="4"/>
  <c r="AB216" i="4"/>
  <c r="AB232" i="4"/>
  <c r="AB134" i="4"/>
  <c r="AB45" i="4"/>
  <c r="AB46" i="4"/>
  <c r="AB47" i="4"/>
  <c r="AB48" i="4"/>
  <c r="AB49" i="4"/>
  <c r="AB197" i="4"/>
  <c r="AB198" i="4"/>
  <c r="AB118" i="4"/>
  <c r="AB162" i="4"/>
  <c r="AB100" i="4"/>
  <c r="AB163" i="4"/>
  <c r="AB101" i="4"/>
  <c r="AB50" i="4"/>
  <c r="AB51" i="4"/>
  <c r="AB52" i="4"/>
  <c r="AB58" i="4"/>
  <c r="AB36" i="4"/>
  <c r="AB260" i="4"/>
  <c r="AB89" i="4"/>
  <c r="AB219" i="4"/>
  <c r="AB103" i="4"/>
  <c r="AB104" i="4"/>
  <c r="AB105" i="4"/>
  <c r="AB106" i="4"/>
  <c r="AB107" i="4"/>
  <c r="AB108" i="4"/>
  <c r="AB37" i="4"/>
  <c r="AB38" i="4"/>
  <c r="AB39" i="4"/>
  <c r="AB109" i="4"/>
  <c r="AB60" i="4"/>
  <c r="AB55" i="4"/>
  <c r="AB170" i="4"/>
  <c r="AB171" i="4"/>
  <c r="AB172" i="4"/>
  <c r="AB206" i="4"/>
  <c r="AB207" i="4"/>
  <c r="AB220" i="4"/>
  <c r="AB267" i="4"/>
  <c r="AB135" i="4"/>
  <c r="AB208" i="4"/>
  <c r="AB248" i="4"/>
  <c r="AB302" i="4"/>
  <c r="AB173" i="4"/>
  <c r="AB174" i="4"/>
  <c r="AB221" i="4"/>
  <c r="AB180" i="4"/>
  <c r="AB110" i="4"/>
  <c r="AB293" i="4"/>
  <c r="AB10" i="4"/>
  <c r="AB268" i="4"/>
  <c r="AB291" i="4"/>
  <c r="AB283" i="4"/>
  <c r="AB250" i="4"/>
  <c r="AB237" i="4"/>
  <c r="AB284" i="4"/>
  <c r="AB285" i="4"/>
  <c r="AB286" i="4"/>
  <c r="AB139" i="4"/>
  <c r="AB92" i="4"/>
  <c r="AB93" i="4"/>
  <c r="AB121" i="4"/>
  <c r="AB239" i="4"/>
  <c r="AB269" i="4"/>
  <c r="AB76" i="4"/>
  <c r="AB56" i="4"/>
  <c r="AB29" i="4"/>
  <c r="AB140" i="4"/>
  <c r="AB77" i="4"/>
  <c r="AB78" i="4"/>
  <c r="AB141" i="4"/>
  <c r="AB142" i="4"/>
  <c r="AB143" i="4"/>
  <c r="AB241" i="4"/>
  <c r="AB97" i="4"/>
  <c r="AB79" i="4"/>
  <c r="AB64" i="4"/>
  <c r="AB80" i="4"/>
  <c r="AB262" i="4"/>
  <c r="AB113" i="4"/>
  <c r="AB185" i="4"/>
  <c r="AB114" i="4"/>
  <c r="AB290" i="4"/>
  <c r="AB122" i="4"/>
  <c r="AB292" i="4"/>
  <c r="AB123" i="4"/>
  <c r="AB242" i="4"/>
  <c r="AB124" i="4"/>
  <c r="AB81" i="4"/>
  <c r="AB125" i="4"/>
  <c r="AB187" i="4"/>
  <c r="AB251" i="4"/>
  <c r="AB300" i="4"/>
  <c r="AB144" i="4"/>
  <c r="AB252" i="4"/>
  <c r="AB82" i="4"/>
  <c r="AB83" i="4"/>
  <c r="AB84" i="4"/>
  <c r="AB115" i="4"/>
  <c r="AB126" i="4"/>
  <c r="AB116" i="4"/>
  <c r="AB98" i="4"/>
  <c r="AB4" i="4"/>
  <c r="AB145" i="4"/>
  <c r="AB128" i="4"/>
  <c r="AB15" i="4"/>
  <c r="AB24" i="4"/>
  <c r="AB18" i="4"/>
  <c r="AB301" i="4"/>
  <c r="AB71" i="4"/>
  <c r="AB72" i="4"/>
  <c r="AB73" i="4"/>
  <c r="AB190" i="4"/>
  <c r="AB191" i="4"/>
  <c r="AB129" i="4"/>
  <c r="AB243" i="4"/>
  <c r="AB279" i="4"/>
  <c r="AB287" i="4"/>
  <c r="AB130" i="4"/>
  <c r="AB274" i="4"/>
  <c r="AB263" i="4"/>
  <c r="AB280" i="4"/>
  <c r="AB270" i="4"/>
  <c r="AB281" i="4"/>
  <c r="AB131" i="4"/>
  <c r="AB147" i="4"/>
  <c r="AB148" i="4"/>
  <c r="AB210" i="4"/>
  <c r="AB211" i="4"/>
  <c r="AB212" i="4"/>
  <c r="AB213" i="4"/>
  <c r="AB214" i="4"/>
  <c r="AB215" i="4"/>
  <c r="AB265" i="4"/>
  <c r="AB266" i="4"/>
  <c r="AB74" i="4"/>
  <c r="AB155" i="4"/>
  <c r="AB132" i="4"/>
  <c r="AB193" i="4"/>
  <c r="AB156" i="4"/>
  <c r="AB157" i="4"/>
  <c r="AB158" i="4"/>
  <c r="AB256" i="4"/>
  <c r="AB288" i="4"/>
  <c r="AB159" i="4"/>
  <c r="AB160" i="4"/>
  <c r="AB161" i="4"/>
  <c r="AB228" i="4"/>
  <c r="AB229" i="4"/>
  <c r="AB244" i="4"/>
  <c r="AB230" i="4"/>
  <c r="AB282" i="4"/>
  <c r="AB133" i="4"/>
  <c r="AB245" i="4"/>
  <c r="AB246" i="4"/>
  <c r="AB247" i="4"/>
  <c r="AB259" i="4"/>
  <c r="AB117" i="4"/>
  <c r="AB218" i="4"/>
  <c r="AB199" i="4"/>
  <c r="AB200" i="4"/>
  <c r="AB165" i="4"/>
  <c r="AB166" i="4"/>
  <c r="AB167" i="4"/>
  <c r="AB168" i="4"/>
  <c r="AB201" i="4"/>
  <c r="AB202" i="4"/>
  <c r="AB203" i="4"/>
  <c r="AB204" i="4"/>
  <c r="AB53" i="4"/>
  <c r="AB88" i="4"/>
  <c r="AB59" i="4"/>
  <c r="AB54" i="4"/>
  <c r="AB26" i="4"/>
  <c r="AB12" i="4"/>
  <c r="AB28" i="4"/>
  <c r="AB22" i="4"/>
  <c r="AB23" i="4"/>
  <c r="AB298" i="4"/>
  <c r="AB41" i="4"/>
  <c r="AB299" i="4"/>
  <c r="AB35" i="4"/>
  <c r="AB254" i="4"/>
  <c r="AB255" i="4"/>
  <c r="AB154" i="4"/>
  <c r="AB196" i="4"/>
  <c r="AB297" i="4"/>
  <c r="AB95" i="4"/>
  <c r="AB294" i="4"/>
  <c r="AB186" i="4"/>
  <c r="AB225" i="4"/>
  <c r="AB226" i="4"/>
  <c r="AB264" i="4"/>
  <c r="AB257" i="4"/>
  <c r="AB258" i="4"/>
  <c r="AB112" i="4"/>
  <c r="AB66" i="4"/>
  <c r="AB94" i="4"/>
  <c r="AB11" i="4"/>
  <c r="AB188" i="4"/>
  <c r="AB85" i="4"/>
  <c r="AB271" i="4"/>
  <c r="AB217" i="4"/>
  <c r="AB119" i="4"/>
  <c r="AB249" i="4"/>
  <c r="AB96" i="4"/>
  <c r="AB7" i="4"/>
  <c r="AB195" i="4"/>
  <c r="AB5" i="4"/>
  <c r="AB6" i="4"/>
  <c r="AB8" i="4"/>
  <c r="AB9" i="4"/>
  <c r="AB231" i="4"/>
  <c r="AB62" i="4"/>
  <c r="AB67" i="4"/>
  <c r="AB68" i="4"/>
  <c r="AB99" i="4"/>
  <c r="AB69" i="4"/>
  <c r="AB233" i="4"/>
  <c r="AB234" i="4"/>
  <c r="AB75" i="4"/>
  <c r="AB222" i="4"/>
  <c r="AB296" i="4"/>
  <c r="AB183" i="4"/>
  <c r="AB318" i="4"/>
  <c r="AB317" i="4"/>
  <c r="AB303" i="4"/>
  <c r="AB304" i="4"/>
  <c r="AB309" i="4"/>
  <c r="AB314" i="4"/>
  <c r="AB315" i="4"/>
  <c r="AB307" i="4"/>
  <c r="AB316" i="4"/>
  <c r="AB310" i="4"/>
  <c r="AB308" i="4"/>
  <c r="AB311" i="4"/>
  <c r="AB312" i="4"/>
  <c r="AB313" i="4"/>
  <c r="AB306" i="4"/>
  <c r="AB305" i="4"/>
  <c r="AB334" i="4"/>
  <c r="AB335" i="4"/>
  <c r="AB321" i="4"/>
  <c r="AB322" i="4"/>
  <c r="AB323" i="4"/>
  <c r="AB324" i="4"/>
  <c r="AB325" i="4"/>
  <c r="AB319" i="4"/>
  <c r="AB326" i="4"/>
  <c r="AB327" i="4"/>
  <c r="AB328" i="4"/>
  <c r="AB329" i="4"/>
  <c r="AB336" i="4"/>
  <c r="AB331" i="4"/>
  <c r="AB332" i="4"/>
  <c r="AB333" i="4"/>
  <c r="AB339" i="4"/>
  <c r="AB320" i="4"/>
  <c r="AB337" i="4"/>
  <c r="AB349" i="4"/>
  <c r="AB347" i="4"/>
  <c r="AB345" i="4"/>
  <c r="AB344" i="4"/>
  <c r="AB346" i="4"/>
  <c r="AB330" i="4"/>
  <c r="AB348" i="4"/>
  <c r="AB350" i="4"/>
  <c r="AB338" i="4"/>
  <c r="AB343" i="4"/>
  <c r="AB340" i="4"/>
  <c r="AB341" i="4"/>
  <c r="AB342" i="4"/>
  <c r="AB351" i="4"/>
  <c r="AB358" i="4"/>
  <c r="AB372" i="4"/>
  <c r="AB373" i="4"/>
  <c r="AB352" i="4"/>
  <c r="AB364" i="4"/>
  <c r="AB353" i="4"/>
  <c r="AB357" i="4"/>
  <c r="AB355" i="4"/>
  <c r="AB359" i="4"/>
  <c r="AB360" i="4"/>
  <c r="AB365" i="4"/>
  <c r="AB356" i="4"/>
  <c r="AB366" i="4"/>
  <c r="AB367" i="4"/>
  <c r="AB368" i="4"/>
  <c r="AB354" i="4"/>
  <c r="AB361" i="4"/>
  <c r="AB363" i="4"/>
  <c r="AB362" i="4"/>
  <c r="AB371" i="4"/>
  <c r="AB369" i="4"/>
  <c r="AB370" i="4"/>
  <c r="AB379" i="4"/>
  <c r="AB375" i="4"/>
  <c r="AB383" i="4"/>
  <c r="AB374" i="4"/>
  <c r="AB376" i="4"/>
  <c r="AB378" i="4"/>
  <c r="AB381" i="4"/>
  <c r="AB385" i="4"/>
  <c r="AB384" i="4"/>
  <c r="AB377" i="4"/>
  <c r="AB380" i="4"/>
  <c r="AB382" i="4"/>
  <c r="AB387" i="4"/>
  <c r="AB388" i="4"/>
  <c r="AB389" i="4"/>
  <c r="AB390" i="4"/>
  <c r="AB391" i="4"/>
  <c r="AB407" i="4"/>
  <c r="AB405" i="4"/>
  <c r="AB392" i="4"/>
  <c r="AB394" i="4"/>
  <c r="AB395" i="4"/>
  <c r="AB396" i="4"/>
  <c r="AB397" i="4"/>
  <c r="AB398" i="4"/>
  <c r="AB399" i="4"/>
  <c r="AB400" i="4"/>
  <c r="AB401" i="4"/>
  <c r="AB402" i="4"/>
  <c r="AB393" i="4"/>
  <c r="AB403" i="4"/>
  <c r="AB404" i="4"/>
  <c r="AB408" i="4"/>
  <c r="AB412" i="4"/>
  <c r="AB409" i="4"/>
  <c r="AB410" i="4"/>
  <c r="AB415" i="4"/>
  <c r="AB411" i="4"/>
  <c r="AB413" i="4"/>
  <c r="AB414" i="4"/>
  <c r="AB406" i="4"/>
  <c r="AB416" i="4"/>
  <c r="AB235" i="4"/>
  <c r="AA58" i="2"/>
  <c r="AB58" i="2"/>
  <c r="AE58" i="2"/>
  <c r="L230" i="5"/>
  <c r="AH58" i="2"/>
  <c r="AJ58" i="2"/>
  <c r="N230" i="5"/>
  <c r="O230" i="5"/>
  <c r="AK58" i="2" s="1"/>
  <c r="AM58" i="2"/>
  <c r="AZ374" i="1"/>
  <c r="BA374" i="1"/>
  <c r="BB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BV374" i="1"/>
  <c r="BW374" i="1"/>
  <c r="BX374" i="1"/>
  <c r="BY374" i="1"/>
  <c r="BZ374" i="1"/>
  <c r="CA374" i="1"/>
  <c r="CB374" i="1"/>
  <c r="CC374" i="1"/>
  <c r="CD374" i="1"/>
  <c r="CE374" i="1"/>
  <c r="CF374" i="1"/>
  <c r="CG374" i="1"/>
  <c r="CT374" i="1"/>
  <c r="AZ373" i="1"/>
  <c r="BA373" i="1"/>
  <c r="BB373" i="1"/>
  <c r="CH373" i="1"/>
  <c r="CI373" i="1"/>
  <c r="CJ373" i="1"/>
  <c r="CK373" i="1"/>
  <c r="CL373" i="1"/>
  <c r="CM373" i="1"/>
  <c r="CN373" i="1"/>
  <c r="CO373" i="1"/>
  <c r="CP373" i="1"/>
  <c r="CQ373" i="1"/>
  <c r="CR373" i="1"/>
  <c r="CS373" i="1"/>
  <c r="BV373" i="1"/>
  <c r="BW373" i="1"/>
  <c r="BX373" i="1"/>
  <c r="BY373" i="1"/>
  <c r="BZ373" i="1"/>
  <c r="CA373" i="1"/>
  <c r="CB373" i="1"/>
  <c r="CC373" i="1"/>
  <c r="CD373" i="1"/>
  <c r="CE373" i="1"/>
  <c r="CF373" i="1"/>
  <c r="CG373" i="1"/>
  <c r="CT373" i="1"/>
  <c r="AZ6" i="1"/>
  <c r="BA6" i="1"/>
  <c r="BB6" i="1"/>
  <c r="CH6" i="1"/>
  <c r="CI6" i="1"/>
  <c r="CJ6" i="1"/>
  <c r="CK6" i="1"/>
  <c r="CL6" i="1"/>
  <c r="CM6" i="1"/>
  <c r="BC6" i="1" s="1"/>
  <c r="CN6" i="1"/>
  <c r="CO6" i="1"/>
  <c r="CP6" i="1"/>
  <c r="CQ6" i="1"/>
  <c r="CR6" i="1"/>
  <c r="CS6" i="1"/>
  <c r="BV6" i="1"/>
  <c r="BW6" i="1"/>
  <c r="BX6" i="1"/>
  <c r="BY6" i="1"/>
  <c r="BZ6" i="1"/>
  <c r="CA6" i="1"/>
  <c r="CB6" i="1"/>
  <c r="CC6" i="1"/>
  <c r="CD6" i="1"/>
  <c r="CE6" i="1"/>
  <c r="CF6" i="1"/>
  <c r="CG6" i="1"/>
  <c r="CT6" i="1"/>
  <c r="AZ26" i="1"/>
  <c r="BA26" i="1"/>
  <c r="BB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T26" i="1"/>
  <c r="AZ327" i="1"/>
  <c r="BA327" i="1"/>
  <c r="BB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CT327" i="1"/>
  <c r="AZ291" i="1"/>
  <c r="BA291" i="1"/>
  <c r="BB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CT291" i="1"/>
  <c r="AZ290" i="1"/>
  <c r="BA290" i="1"/>
  <c r="BB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CT290" i="1"/>
  <c r="AZ168" i="1"/>
  <c r="BA168" i="1"/>
  <c r="BB168" i="1"/>
  <c r="CH168" i="1"/>
  <c r="CI168" i="1"/>
  <c r="CJ168" i="1"/>
  <c r="CK168" i="1"/>
  <c r="BC168" i="1" s="1"/>
  <c r="CL168" i="1"/>
  <c r="CM168" i="1"/>
  <c r="CN168" i="1"/>
  <c r="CO168" i="1"/>
  <c r="CP168" i="1"/>
  <c r="CQ168" i="1"/>
  <c r="CR168" i="1"/>
  <c r="CS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T168" i="1"/>
  <c r="AZ167" i="1"/>
  <c r="BA167" i="1"/>
  <c r="BB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T167" i="1"/>
  <c r="B386" i="6"/>
  <c r="C386" i="6"/>
  <c r="D386" i="6"/>
  <c r="V386" i="6"/>
  <c r="W386" i="6"/>
  <c r="X386" i="6"/>
  <c r="Y386" i="6"/>
  <c r="Z386" i="6"/>
  <c r="AA386" i="6"/>
  <c r="AB386" i="6"/>
  <c r="AC386" i="6"/>
  <c r="AD386" i="6"/>
  <c r="AE386" i="6"/>
  <c r="AF386" i="6"/>
  <c r="AG386" i="6"/>
  <c r="AH386" i="6"/>
  <c r="AZ464" i="1"/>
  <c r="BA464" i="1"/>
  <c r="BB464" i="1"/>
  <c r="CH464" i="1"/>
  <c r="CI464" i="1"/>
  <c r="CJ464" i="1"/>
  <c r="CK464" i="1"/>
  <c r="CL464" i="1"/>
  <c r="CM464" i="1"/>
  <c r="CN464" i="1"/>
  <c r="CO464" i="1"/>
  <c r="CP464" i="1"/>
  <c r="CQ464" i="1"/>
  <c r="CR464" i="1"/>
  <c r="CS464" i="1"/>
  <c r="BV464" i="1"/>
  <c r="BW464" i="1"/>
  <c r="BX464" i="1"/>
  <c r="BY464" i="1"/>
  <c r="BZ464" i="1"/>
  <c r="CA464" i="1"/>
  <c r="CB464" i="1"/>
  <c r="CC464" i="1"/>
  <c r="CD464" i="1"/>
  <c r="CE464" i="1"/>
  <c r="CF464" i="1"/>
  <c r="CG464" i="1"/>
  <c r="CT464" i="1"/>
  <c r="H386" i="5"/>
  <c r="B384" i="4"/>
  <c r="B386" i="5"/>
  <c r="F386" i="5"/>
  <c r="I386" i="5"/>
  <c r="AD53" i="2" s="1"/>
  <c r="Z386" i="5"/>
  <c r="AM386" i="5"/>
  <c r="AO386" i="5"/>
  <c r="BB386" i="5"/>
  <c r="BC386" i="5"/>
  <c r="BD386" i="5"/>
  <c r="BE386" i="5"/>
  <c r="D412" i="9"/>
  <c r="E412" i="9"/>
  <c r="F412" i="9"/>
  <c r="AA384" i="4"/>
  <c r="AC384" i="4"/>
  <c r="AD384" i="4"/>
  <c r="AE384" i="4"/>
  <c r="AF384" i="4"/>
  <c r="AG384" i="4"/>
  <c r="AH384" i="4"/>
  <c r="AI384" i="4"/>
  <c r="AJ384" i="4"/>
  <c r="AK384" i="4"/>
  <c r="AL384" i="4"/>
  <c r="AA53" i="2"/>
  <c r="AB53" i="2"/>
  <c r="AE53" i="2"/>
  <c r="AH53" i="2"/>
  <c r="AJ53" i="2"/>
  <c r="AM53" i="2"/>
  <c r="AZ463" i="1"/>
  <c r="BA463" i="1"/>
  <c r="BB463" i="1"/>
  <c r="CH463" i="1"/>
  <c r="CI463" i="1"/>
  <c r="CJ463" i="1"/>
  <c r="CK463" i="1"/>
  <c r="CL463" i="1"/>
  <c r="CM463" i="1"/>
  <c r="CN463" i="1"/>
  <c r="CO463" i="1"/>
  <c r="CP463" i="1"/>
  <c r="CQ463" i="1"/>
  <c r="CR463" i="1"/>
  <c r="CS463" i="1"/>
  <c r="BV463" i="1"/>
  <c r="BW463" i="1"/>
  <c r="BX463" i="1"/>
  <c r="BY463" i="1"/>
  <c r="BZ463" i="1"/>
  <c r="CA463" i="1"/>
  <c r="CB463" i="1"/>
  <c r="CC463" i="1"/>
  <c r="CD463" i="1"/>
  <c r="CE463" i="1"/>
  <c r="CF463" i="1"/>
  <c r="CG463" i="1"/>
  <c r="CT463" i="1"/>
  <c r="AZ462" i="1"/>
  <c r="BA462" i="1"/>
  <c r="BB462" i="1"/>
  <c r="CH462" i="1"/>
  <c r="CI462" i="1"/>
  <c r="CJ462" i="1"/>
  <c r="CK462" i="1"/>
  <c r="CL462" i="1"/>
  <c r="CM462" i="1"/>
  <c r="CN462" i="1"/>
  <c r="CO462" i="1"/>
  <c r="CP462" i="1"/>
  <c r="CQ462" i="1"/>
  <c r="CR462" i="1"/>
  <c r="CS462" i="1"/>
  <c r="BV462" i="1"/>
  <c r="BW462" i="1"/>
  <c r="BX462" i="1"/>
  <c r="BY462" i="1"/>
  <c r="BZ462" i="1"/>
  <c r="CA462" i="1"/>
  <c r="CB462" i="1"/>
  <c r="CC462" i="1"/>
  <c r="CD462" i="1"/>
  <c r="CE462" i="1"/>
  <c r="CF462" i="1"/>
  <c r="CG462" i="1"/>
  <c r="CT462" i="1"/>
  <c r="D44" i="7"/>
  <c r="E44" i="7"/>
  <c r="AZ68" i="1"/>
  <c r="BA68" i="1"/>
  <c r="BB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T68" i="1"/>
  <c r="AZ229" i="1"/>
  <c r="BA229" i="1"/>
  <c r="BB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T229" i="1"/>
  <c r="AA57" i="2"/>
  <c r="AB57" i="2"/>
  <c r="B173" i="4"/>
  <c r="F288" i="5"/>
  <c r="I78" i="5"/>
  <c r="H288" i="5"/>
  <c r="I288" i="5"/>
  <c r="AD57" i="2"/>
  <c r="AE57" i="2"/>
  <c r="L288" i="5"/>
  <c r="AH57" i="2"/>
  <c r="AJ57" i="2"/>
  <c r="N288" i="5"/>
  <c r="O288" i="5"/>
  <c r="AK57" i="2" s="1"/>
  <c r="AM57" i="2"/>
  <c r="AZ266" i="1"/>
  <c r="BA266" i="1"/>
  <c r="BB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CT266" i="1"/>
  <c r="AZ265" i="1"/>
  <c r="BA265" i="1"/>
  <c r="BB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CT265" i="1"/>
  <c r="AZ264" i="1"/>
  <c r="BA264" i="1"/>
  <c r="BB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CT264" i="1"/>
  <c r="AZ316" i="1"/>
  <c r="BA316" i="1"/>
  <c r="BB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CT316" i="1"/>
  <c r="AZ315" i="1"/>
  <c r="BA315" i="1"/>
  <c r="BB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CT315" i="1"/>
  <c r="AZ314" i="1"/>
  <c r="BA314" i="1"/>
  <c r="BB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CT314" i="1"/>
  <c r="AZ313" i="1"/>
  <c r="BA313" i="1"/>
  <c r="BB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CT313" i="1"/>
  <c r="AZ312" i="1"/>
  <c r="BA312" i="1"/>
  <c r="BB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CT312" i="1"/>
  <c r="AZ311" i="1"/>
  <c r="BA311" i="1"/>
  <c r="BB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CT311" i="1"/>
  <c r="AZ310" i="1"/>
  <c r="BA310" i="1"/>
  <c r="BB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CT310" i="1"/>
  <c r="AZ309" i="1"/>
  <c r="BA309" i="1"/>
  <c r="BB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CT309" i="1"/>
  <c r="B232" i="4"/>
  <c r="AK66" i="4"/>
  <c r="AK4" i="4"/>
  <c r="AK32" i="4"/>
  <c r="AK33" i="4"/>
  <c r="AK34" i="4"/>
  <c r="AK237" i="4"/>
  <c r="AK242" i="4"/>
  <c r="AK250" i="4"/>
  <c r="AK85" i="4"/>
  <c r="AK300" i="4"/>
  <c r="AK16" i="4"/>
  <c r="AK35" i="4"/>
  <c r="AK15" i="4"/>
  <c r="AK24" i="4"/>
  <c r="AK283" i="4"/>
  <c r="AK197" i="4"/>
  <c r="AK162" i="4"/>
  <c r="AK205" i="4"/>
  <c r="AK296" i="4"/>
  <c r="AK80" i="4"/>
  <c r="AK81" i="4"/>
  <c r="AK94" i="4"/>
  <c r="AK89" i="4"/>
  <c r="AK96" i="4"/>
  <c r="AK183" i="4"/>
  <c r="AK109" i="4"/>
  <c r="AK233" i="4"/>
  <c r="AK234" i="4"/>
  <c r="AK251" i="4"/>
  <c r="AK42" i="4"/>
  <c r="AK199" i="4"/>
  <c r="AK165" i="4"/>
  <c r="AK195" i="4"/>
  <c r="AK95" i="4"/>
  <c r="AK200" i="4"/>
  <c r="AK218" i="4"/>
  <c r="AK166" i="4"/>
  <c r="AK167" i="4"/>
  <c r="AK168" i="4"/>
  <c r="AK260" i="4"/>
  <c r="AK185" i="4"/>
  <c r="AK187" i="4"/>
  <c r="AK172" i="4"/>
  <c r="AK171" i="4"/>
  <c r="AK54" i="4"/>
  <c r="AK170" i="4"/>
  <c r="AK58" i="4"/>
  <c r="AK103" i="4"/>
  <c r="AK10" i="4"/>
  <c r="AK104" i="4"/>
  <c r="AK107" i="4"/>
  <c r="AK115" i="4"/>
  <c r="AK108" i="4"/>
  <c r="AK105" i="4"/>
  <c r="AK106" i="4"/>
  <c r="AK290" i="4"/>
  <c r="AK67" i="4"/>
  <c r="AK68" i="4"/>
  <c r="AK99" i="4"/>
  <c r="AK62" i="4"/>
  <c r="AK69" i="4"/>
  <c r="AK75" i="4"/>
  <c r="AK184" i="4"/>
  <c r="AK211" i="4"/>
  <c r="AK212" i="4"/>
  <c r="AK213" i="4"/>
  <c r="AK214" i="4"/>
  <c r="AK215" i="4"/>
  <c r="AK126" i="4"/>
  <c r="AK64" i="4"/>
  <c r="AK43" i="4"/>
  <c r="AK44" i="4"/>
  <c r="AK147" i="4"/>
  <c r="AK210" i="4"/>
  <c r="AK272" i="4"/>
  <c r="AK21" i="4"/>
  <c r="AK56" i="4"/>
  <c r="AK112" i="4"/>
  <c r="AK148" i="4"/>
  <c r="AK154" i="4"/>
  <c r="AK298" i="4"/>
  <c r="AK299" i="4"/>
  <c r="AK204" i="4"/>
  <c r="AK40" i="4"/>
  <c r="AK132" i="4"/>
  <c r="AK201" i="4"/>
  <c r="AK186" i="4"/>
  <c r="AK78" i="4"/>
  <c r="AK37" i="4"/>
  <c r="AK206" i="4"/>
  <c r="AK38" i="4"/>
  <c r="AK216" i="4"/>
  <c r="AK39" i="4"/>
  <c r="AK262" i="4"/>
  <c r="AK11" i="4"/>
  <c r="AK36" i="4"/>
  <c r="AK12" i="4"/>
  <c r="AK116" i="4"/>
  <c r="AK28" i="4"/>
  <c r="AK14" i="4"/>
  <c r="AK46" i="4"/>
  <c r="AK217" i="4"/>
  <c r="AK145" i="4"/>
  <c r="AK47" i="4"/>
  <c r="AK128" i="4"/>
  <c r="AK45" i="4"/>
  <c r="AK273" i="4"/>
  <c r="AK49" i="4"/>
  <c r="AK52" i="4"/>
  <c r="AK51" i="4"/>
  <c r="AK41" i="4"/>
  <c r="AK57" i="4"/>
  <c r="AK50" i="4"/>
  <c r="AK55" i="4"/>
  <c r="AK60" i="4"/>
  <c r="AK76" i="4"/>
  <c r="AK17" i="4"/>
  <c r="AK18" i="4"/>
  <c r="AK19" i="4"/>
  <c r="AK20" i="4"/>
  <c r="AK293" i="4"/>
  <c r="AK256" i="4"/>
  <c r="AK2" i="4"/>
  <c r="AK139" i="4"/>
  <c r="AK100" i="4"/>
  <c r="AK140" i="4"/>
  <c r="AK146" i="4"/>
  <c r="AK192" i="4"/>
  <c r="AK227" i="4"/>
  <c r="AK151" i="4"/>
  <c r="AK152" i="4"/>
  <c r="AK153" i="4"/>
  <c r="AK48" i="4"/>
  <c r="AK198" i="4"/>
  <c r="AK92" i="4"/>
  <c r="AK93" i="4"/>
  <c r="AK118" i="4"/>
  <c r="AK289" i="4"/>
  <c r="AK222" i="4"/>
  <c r="AK269" i="4"/>
  <c r="AK30" i="4"/>
  <c r="AK130" i="4"/>
  <c r="AK88" i="4"/>
  <c r="AK5" i="4"/>
  <c r="AK244" i="4"/>
  <c r="AK230" i="4"/>
  <c r="AK61" i="4"/>
  <c r="AK7" i="4"/>
  <c r="AK8" i="4"/>
  <c r="AK23" i="4"/>
  <c r="AK9" i="4"/>
  <c r="AK22" i="4"/>
  <c r="AK6" i="4"/>
  <c r="AK229" i="4"/>
  <c r="AK101" i="4"/>
  <c r="AK149" i="4"/>
  <c r="AK150" i="4"/>
  <c r="AK73" i="4"/>
  <c r="AK263" i="4"/>
  <c r="AK291" i="4"/>
  <c r="AK292" i="4"/>
  <c r="AK301" i="4"/>
  <c r="AK71" i="4"/>
  <c r="AK72" i="4"/>
  <c r="AK280" i="4"/>
  <c r="AK190" i="4"/>
  <c r="AK129" i="4"/>
  <c r="AK274" i="4"/>
  <c r="AK191" i="4"/>
  <c r="AK196" i="4"/>
  <c r="AK297" i="4"/>
  <c r="AK124" i="4"/>
  <c r="AK125" i="4"/>
  <c r="AK238" i="4"/>
  <c r="AK202" i="4"/>
  <c r="AK203" i="4"/>
  <c r="AK133" i="4"/>
  <c r="AK26" i="4"/>
  <c r="AK53" i="4"/>
  <c r="AK59" i="4"/>
  <c r="AK221" i="4"/>
  <c r="AK121" i="4"/>
  <c r="AK270" i="4"/>
  <c r="AK174" i="4"/>
  <c r="AK173" i="4"/>
  <c r="AK241" i="4"/>
  <c r="AK282" i="4"/>
  <c r="AK302" i="4"/>
  <c r="AK240" i="4"/>
  <c r="AK131" i="4"/>
  <c r="AK228" i="4"/>
  <c r="AK82" i="4"/>
  <c r="AK77" i="4"/>
  <c r="AK110" i="4"/>
  <c r="AK257" i="4"/>
  <c r="AK258" i="4"/>
  <c r="AK252" i="4"/>
  <c r="AK243" i="4"/>
  <c r="AK231" i="4"/>
  <c r="AK13" i="4"/>
  <c r="AK255" i="4"/>
  <c r="AK248" i="4"/>
  <c r="AK279" i="4"/>
  <c r="AK287" i="4"/>
  <c r="AK247" i="4"/>
  <c r="AK254" i="4"/>
  <c r="AK261" i="4"/>
  <c r="AK284" i="4"/>
  <c r="AK278" i="4"/>
  <c r="AK74" i="4"/>
  <c r="AK114" i="4"/>
  <c r="AK188" i="4"/>
  <c r="AK239" i="4"/>
  <c r="AK98" i="4"/>
  <c r="AK266" i="4"/>
  <c r="AK265" i="4"/>
  <c r="AK285" i="4"/>
  <c r="AK286" i="4"/>
  <c r="AK134" i="4"/>
  <c r="AK155" i="4"/>
  <c r="AK157" i="4"/>
  <c r="AK97" i="4"/>
  <c r="AK246" i="4"/>
  <c r="AK267" i="4"/>
  <c r="AK156" i="4"/>
  <c r="AK122" i="4"/>
  <c r="AK294" i="4"/>
  <c r="AK225" i="4"/>
  <c r="AK226" i="4"/>
  <c r="AK264" i="4"/>
  <c r="AK235" i="4"/>
  <c r="AK169" i="4"/>
  <c r="AK175" i="4"/>
  <c r="AK177" i="4"/>
  <c r="AK136" i="4"/>
  <c r="AK209" i="4"/>
  <c r="AK138" i="4"/>
  <c r="AK91" i="4"/>
  <c r="AK142" i="4"/>
  <c r="AK25" i="4"/>
  <c r="AK90" i="4"/>
  <c r="AK178" i="4"/>
  <c r="AK79" i="4"/>
  <c r="AK123" i="4"/>
  <c r="AK180" i="4"/>
  <c r="AK141" i="4"/>
  <c r="AK207" i="4"/>
  <c r="AK220" i="4"/>
  <c r="AK223" i="4"/>
  <c r="AK65" i="4"/>
  <c r="AK189" i="4"/>
  <c r="AK224" i="4"/>
  <c r="AK194" i="4"/>
  <c r="AK208" i="4"/>
  <c r="AK144" i="4"/>
  <c r="AK232" i="4"/>
  <c r="AK158" i="4"/>
  <c r="AK159" i="4"/>
  <c r="AK160" i="4"/>
  <c r="AK161" i="4"/>
  <c r="AK135" i="4"/>
  <c r="AK119" i="4"/>
  <c r="AK219" i="4"/>
  <c r="AK102" i="4"/>
  <c r="AK176" i="4"/>
  <c r="AK137" i="4"/>
  <c r="AK179" i="4"/>
  <c r="AK181" i="4"/>
  <c r="AK182" i="4"/>
  <c r="AK120" i="4"/>
  <c r="AK111" i="4"/>
  <c r="AK87" i="4"/>
  <c r="AK236" i="4"/>
  <c r="AK113" i="4"/>
  <c r="AK117" i="4"/>
  <c r="AK83" i="4"/>
  <c r="AK84" i="4"/>
  <c r="AK253" i="4"/>
  <c r="AK163" i="4"/>
  <c r="AK63" i="4"/>
  <c r="AK268" i="4"/>
  <c r="AK249" i="4"/>
  <c r="AK259" i="4"/>
  <c r="AK295" i="4"/>
  <c r="AK27" i="4"/>
  <c r="AK127" i="4"/>
  <c r="AK70" i="4"/>
  <c r="AK193" i="4"/>
  <c r="AK245" i="4"/>
  <c r="AK143" i="4"/>
  <c r="AK271" i="4"/>
  <c r="AK31" i="4"/>
  <c r="AK29" i="4"/>
  <c r="AK288" i="4"/>
  <c r="AK281" i="4"/>
  <c r="AK315" i="4"/>
  <c r="AK309" i="4"/>
  <c r="AK314" i="4"/>
  <c r="AK307" i="4"/>
  <c r="AK316" i="4"/>
  <c r="AK303" i="4"/>
  <c r="AK304" i="4"/>
  <c r="AK317" i="4"/>
  <c r="AK318" i="4"/>
  <c r="AK306" i="4"/>
  <c r="AK308" i="4"/>
  <c r="AK310" i="4"/>
  <c r="AK311" i="4"/>
  <c r="AK312" i="4"/>
  <c r="AK313" i="4"/>
  <c r="AK305" i="4"/>
  <c r="AK322" i="4"/>
  <c r="AK340" i="4"/>
  <c r="AK345" i="4"/>
  <c r="AK333" i="4"/>
  <c r="AK331" i="4"/>
  <c r="AK332" i="4"/>
  <c r="AK350" i="4"/>
  <c r="AK348" i="4"/>
  <c r="AK344" i="4"/>
  <c r="AK347" i="4"/>
  <c r="AK346" i="4"/>
  <c r="AK321" i="4"/>
  <c r="AK323" i="4"/>
  <c r="AK324" i="4"/>
  <c r="AK325" i="4"/>
  <c r="AK326" i="4"/>
  <c r="AK327" i="4"/>
  <c r="AK328" i="4"/>
  <c r="AK329" i="4"/>
  <c r="AK330" i="4"/>
  <c r="AK336" i="4"/>
  <c r="AK341" i="4"/>
  <c r="AK343" i="4"/>
  <c r="AK338" i="4"/>
  <c r="AK342" i="4"/>
  <c r="AK334" i="4"/>
  <c r="AK335" i="4"/>
  <c r="AK349" i="4"/>
  <c r="AK351" i="4"/>
  <c r="AK337" i="4"/>
  <c r="AK339" i="4"/>
  <c r="AK320" i="4"/>
  <c r="AK319" i="4"/>
  <c r="AK355" i="4"/>
  <c r="AK356" i="4"/>
  <c r="AK357" i="4"/>
  <c r="AK358" i="4"/>
  <c r="AK361" i="4"/>
  <c r="AK363" i="4"/>
  <c r="AK362" i="4"/>
  <c r="AK371" i="4"/>
  <c r="AK359" i="4"/>
  <c r="AK360" i="4"/>
  <c r="AK369" i="4"/>
  <c r="AK370" i="4"/>
  <c r="AK354" i="4"/>
  <c r="AK372" i="4"/>
  <c r="AK373" i="4"/>
  <c r="AK365" i="4"/>
  <c r="AK366" i="4"/>
  <c r="AK367" i="4"/>
  <c r="AK368" i="4"/>
  <c r="AK364" i="4"/>
  <c r="AK352" i="4"/>
  <c r="AK353" i="4"/>
  <c r="AK378" i="4"/>
  <c r="AK379" i="4"/>
  <c r="AK382" i="4"/>
  <c r="AK376" i="4"/>
  <c r="AK377" i="4"/>
  <c r="AK380" i="4"/>
  <c r="AK381" i="4"/>
  <c r="AK375" i="4"/>
  <c r="AK383" i="4"/>
  <c r="AK374" i="4"/>
  <c r="AK385" i="4"/>
  <c r="AK391" i="4"/>
  <c r="AK387" i="4"/>
  <c r="AK390" i="4"/>
  <c r="AK388" i="4"/>
  <c r="AK389" i="4"/>
  <c r="AK399" i="4"/>
  <c r="AK407" i="4"/>
  <c r="AK404" i="4"/>
  <c r="AK403" i="4"/>
  <c r="AK408" i="4"/>
  <c r="AK412" i="4"/>
  <c r="AK409" i="4"/>
  <c r="AK415" i="4"/>
  <c r="AK405" i="4"/>
  <c r="AK393" i="4"/>
  <c r="AK394" i="4"/>
  <c r="AK395" i="4"/>
  <c r="AK396" i="4"/>
  <c r="AK397" i="4"/>
  <c r="AK416" i="4"/>
  <c r="AK410" i="4"/>
  <c r="AK398" i="4"/>
  <c r="AK400" i="4"/>
  <c r="AK401" i="4"/>
  <c r="AK411" i="4"/>
  <c r="AK402" i="4"/>
  <c r="AK392" i="4"/>
  <c r="AK413" i="4"/>
  <c r="AK414" i="4"/>
  <c r="AK406" i="4"/>
  <c r="AK3" i="4"/>
  <c r="B7" i="3"/>
  <c r="C7" i="3"/>
  <c r="AI111" i="4"/>
  <c r="AA56" i="2"/>
  <c r="AB56" i="2"/>
  <c r="AE56" i="2"/>
  <c r="L78" i="5"/>
  <c r="AH56" i="2"/>
  <c r="AJ56" i="2"/>
  <c r="N78" i="5"/>
  <c r="O78" i="5" s="1"/>
  <c r="AK56" i="2" s="1"/>
  <c r="AM56" i="2"/>
  <c r="AZ166" i="1"/>
  <c r="BA166" i="1"/>
  <c r="BB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T166" i="1"/>
  <c r="AZ165" i="1"/>
  <c r="BA165" i="1"/>
  <c r="BB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T165" i="1"/>
  <c r="AZ458" i="1"/>
  <c r="BA458" i="1"/>
  <c r="BB458" i="1"/>
  <c r="CH458" i="1"/>
  <c r="CI458" i="1"/>
  <c r="CJ458" i="1"/>
  <c r="CK458" i="1"/>
  <c r="CL458" i="1"/>
  <c r="CM458" i="1"/>
  <c r="CN458" i="1"/>
  <c r="CO458" i="1"/>
  <c r="CP458" i="1"/>
  <c r="CQ458" i="1"/>
  <c r="CR458" i="1"/>
  <c r="CS458" i="1"/>
  <c r="BV458" i="1"/>
  <c r="BW458" i="1"/>
  <c r="BX458" i="1"/>
  <c r="BY458" i="1"/>
  <c r="BZ458" i="1"/>
  <c r="CA458" i="1"/>
  <c r="CB458" i="1"/>
  <c r="CC458" i="1"/>
  <c r="CD458" i="1"/>
  <c r="CE458" i="1"/>
  <c r="CF458" i="1"/>
  <c r="CG458" i="1"/>
  <c r="CT458" i="1"/>
  <c r="AZ457" i="1"/>
  <c r="BA457" i="1"/>
  <c r="BB457" i="1"/>
  <c r="CH457" i="1"/>
  <c r="CI457" i="1"/>
  <c r="CJ457" i="1"/>
  <c r="CK457" i="1"/>
  <c r="CL457" i="1"/>
  <c r="CM457" i="1"/>
  <c r="CN457" i="1"/>
  <c r="CO457" i="1"/>
  <c r="CP457" i="1"/>
  <c r="CQ457" i="1"/>
  <c r="CR457" i="1"/>
  <c r="CS457" i="1"/>
  <c r="BV457" i="1"/>
  <c r="BW457" i="1"/>
  <c r="BX457" i="1"/>
  <c r="BY457" i="1"/>
  <c r="BZ457" i="1"/>
  <c r="CA457" i="1"/>
  <c r="CB457" i="1"/>
  <c r="CC457" i="1"/>
  <c r="CD457" i="1"/>
  <c r="CE457" i="1"/>
  <c r="CF457" i="1"/>
  <c r="CG457" i="1"/>
  <c r="CT457" i="1"/>
  <c r="AZ211" i="1"/>
  <c r="BA211" i="1"/>
  <c r="BB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T211" i="1"/>
  <c r="B372" i="4"/>
  <c r="AZ444" i="1"/>
  <c r="BA444" i="1"/>
  <c r="BB444" i="1"/>
  <c r="CH444" i="1"/>
  <c r="CI444" i="1"/>
  <c r="CJ444" i="1"/>
  <c r="CK444" i="1"/>
  <c r="CL444" i="1"/>
  <c r="CM444" i="1"/>
  <c r="CN444" i="1"/>
  <c r="CO444" i="1"/>
  <c r="CP444" i="1"/>
  <c r="CQ444" i="1"/>
  <c r="CR444" i="1"/>
  <c r="CS444" i="1"/>
  <c r="BV444" i="1"/>
  <c r="BW444" i="1"/>
  <c r="BX444" i="1"/>
  <c r="BY444" i="1"/>
  <c r="BZ444" i="1"/>
  <c r="CA444" i="1"/>
  <c r="CB444" i="1"/>
  <c r="CC444" i="1"/>
  <c r="CD444" i="1"/>
  <c r="CE444" i="1"/>
  <c r="CF444" i="1"/>
  <c r="CG444" i="1"/>
  <c r="CT444" i="1"/>
  <c r="AZ443" i="1"/>
  <c r="BA443" i="1"/>
  <c r="BB443" i="1"/>
  <c r="CH443" i="1"/>
  <c r="CI443" i="1"/>
  <c r="CJ443" i="1"/>
  <c r="CK443" i="1"/>
  <c r="CL443" i="1"/>
  <c r="CM443" i="1"/>
  <c r="CN443" i="1"/>
  <c r="CO443" i="1"/>
  <c r="CP443" i="1"/>
  <c r="CQ443" i="1"/>
  <c r="CR443" i="1"/>
  <c r="CS443" i="1"/>
  <c r="BV443" i="1"/>
  <c r="BW443" i="1"/>
  <c r="BX443" i="1"/>
  <c r="BY443" i="1"/>
  <c r="BZ443" i="1"/>
  <c r="CA443" i="1"/>
  <c r="CB443" i="1"/>
  <c r="CC443" i="1"/>
  <c r="CD443" i="1"/>
  <c r="CE443" i="1"/>
  <c r="CF443" i="1"/>
  <c r="CG443" i="1"/>
  <c r="CT443" i="1"/>
  <c r="AZ422" i="1"/>
  <c r="BA422" i="1"/>
  <c r="BB422" i="1"/>
  <c r="CH422" i="1"/>
  <c r="CI422" i="1"/>
  <c r="CJ422" i="1"/>
  <c r="CK422" i="1"/>
  <c r="CL422" i="1"/>
  <c r="CM422" i="1"/>
  <c r="CN422" i="1"/>
  <c r="CO422" i="1"/>
  <c r="CP422" i="1"/>
  <c r="CQ422" i="1"/>
  <c r="CR422" i="1"/>
  <c r="CS422" i="1"/>
  <c r="BV422" i="1"/>
  <c r="BW422" i="1"/>
  <c r="BX422" i="1"/>
  <c r="BY422" i="1"/>
  <c r="BZ422" i="1"/>
  <c r="CA422" i="1"/>
  <c r="CB422" i="1"/>
  <c r="CC422" i="1"/>
  <c r="CD422" i="1"/>
  <c r="CE422" i="1"/>
  <c r="CF422" i="1"/>
  <c r="CG422" i="1"/>
  <c r="CT422" i="1"/>
  <c r="AZ67" i="1"/>
  <c r="BA67" i="1"/>
  <c r="BB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T67" i="1"/>
  <c r="AZ66" i="1"/>
  <c r="BA66" i="1"/>
  <c r="BB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T66" i="1"/>
  <c r="B168" i="4"/>
  <c r="B59" i="4"/>
  <c r="B264" i="4"/>
  <c r="B54" i="4"/>
  <c r="AA9" i="2"/>
  <c r="AB9" i="2"/>
  <c r="B88" i="4"/>
  <c r="F45" i="5"/>
  <c r="H45" i="5"/>
  <c r="I45" i="5"/>
  <c r="AD9" i="2" s="1"/>
  <c r="AE9" i="2"/>
  <c r="L45" i="5"/>
  <c r="AH9" i="2"/>
  <c r="AJ9" i="2"/>
  <c r="N45" i="5"/>
  <c r="O45" i="5"/>
  <c r="AK9" i="2"/>
  <c r="AM9" i="2"/>
  <c r="AZ5" i="1"/>
  <c r="BA5" i="1"/>
  <c r="BB5" i="1"/>
  <c r="CH5" i="1"/>
  <c r="CI5" i="1"/>
  <c r="CJ5" i="1"/>
  <c r="CK5" i="1"/>
  <c r="CL5" i="1"/>
  <c r="CM5" i="1"/>
  <c r="CN5" i="1"/>
  <c r="CO5" i="1"/>
  <c r="CP5" i="1"/>
  <c r="CQ5" i="1"/>
  <c r="CR5" i="1"/>
  <c r="CS5" i="1"/>
  <c r="BV5" i="1"/>
  <c r="BW5" i="1"/>
  <c r="BX5" i="1"/>
  <c r="BY5" i="1"/>
  <c r="BZ5" i="1"/>
  <c r="CA5" i="1"/>
  <c r="CB5" i="1"/>
  <c r="CC5" i="1"/>
  <c r="CD5" i="1"/>
  <c r="CE5" i="1"/>
  <c r="CF5" i="1"/>
  <c r="CG5" i="1"/>
  <c r="CT5" i="1"/>
  <c r="AZ22" i="1"/>
  <c r="BA22" i="1"/>
  <c r="BB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T22" i="1"/>
  <c r="AZ21" i="1"/>
  <c r="BA21" i="1"/>
  <c r="BB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T21" i="1"/>
  <c r="AZ20" i="1"/>
  <c r="BA20" i="1"/>
  <c r="BB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T20" i="1"/>
  <c r="B10" i="4"/>
  <c r="B170" i="4"/>
  <c r="B171" i="4"/>
  <c r="B172" i="4"/>
  <c r="B106" i="4"/>
  <c r="B107" i="4"/>
  <c r="B103" i="4"/>
  <c r="B104" i="4"/>
  <c r="B105" i="4"/>
  <c r="B260" i="4"/>
  <c r="B58" i="4"/>
  <c r="AA4" i="2"/>
  <c r="AB4" i="2"/>
  <c r="B12" i="4"/>
  <c r="F254" i="5"/>
  <c r="H254" i="5"/>
  <c r="I254" i="5" s="1"/>
  <c r="AD4" i="2"/>
  <c r="AE4" i="2"/>
  <c r="L254" i="5"/>
  <c r="AH4" i="2"/>
  <c r="AJ4" i="2"/>
  <c r="N254" i="5"/>
  <c r="O254" i="5"/>
  <c r="AK4" i="2" s="1"/>
  <c r="AM4" i="2"/>
  <c r="AZ210" i="1"/>
  <c r="BA210" i="1"/>
  <c r="BB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T210" i="1"/>
  <c r="AZ285" i="1"/>
  <c r="BA285" i="1"/>
  <c r="BB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CT285" i="1"/>
  <c r="AZ415" i="1"/>
  <c r="BA415" i="1"/>
  <c r="BB415" i="1"/>
  <c r="CH415" i="1"/>
  <c r="CI415" i="1"/>
  <c r="CJ415" i="1"/>
  <c r="CK415" i="1"/>
  <c r="CL415" i="1"/>
  <c r="CM415" i="1"/>
  <c r="CN415" i="1"/>
  <c r="CO415" i="1"/>
  <c r="CP415" i="1"/>
  <c r="CQ415" i="1"/>
  <c r="CR415" i="1"/>
  <c r="CS415" i="1"/>
  <c r="BV415" i="1"/>
  <c r="BW415" i="1"/>
  <c r="BX415" i="1"/>
  <c r="BY415" i="1"/>
  <c r="BZ415" i="1"/>
  <c r="CA415" i="1"/>
  <c r="CB415" i="1"/>
  <c r="CC415" i="1"/>
  <c r="CD415" i="1"/>
  <c r="CE415" i="1"/>
  <c r="CF415" i="1"/>
  <c r="CG415" i="1"/>
  <c r="CT415" i="1"/>
  <c r="AZ65" i="1"/>
  <c r="BA65" i="1"/>
  <c r="BB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T65" i="1"/>
  <c r="AZ64" i="1"/>
  <c r="BA64" i="1"/>
  <c r="BB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T64" i="1"/>
  <c r="AZ63" i="1"/>
  <c r="BA63" i="1"/>
  <c r="BB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T63" i="1"/>
  <c r="AZ62" i="1"/>
  <c r="BA62" i="1"/>
  <c r="BB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T62" i="1"/>
  <c r="AZ61" i="1"/>
  <c r="BA61" i="1"/>
  <c r="BB61" i="1"/>
  <c r="CH61" i="1"/>
  <c r="CI61" i="1"/>
  <c r="BC61" i="1" s="1"/>
  <c r="CJ61" i="1"/>
  <c r="CK61" i="1"/>
  <c r="CL61" i="1"/>
  <c r="CM61" i="1"/>
  <c r="CN61" i="1"/>
  <c r="CO61" i="1"/>
  <c r="CP61" i="1"/>
  <c r="CQ61" i="1"/>
  <c r="CR61" i="1"/>
  <c r="CS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T61" i="1"/>
  <c r="AZ60" i="1"/>
  <c r="BA60" i="1"/>
  <c r="BB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T60" i="1"/>
  <c r="AZ59" i="1"/>
  <c r="BA59" i="1"/>
  <c r="BB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T59" i="1"/>
  <c r="AZ58" i="1"/>
  <c r="BA58" i="1"/>
  <c r="BB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T58" i="1"/>
  <c r="B208" i="4"/>
  <c r="B175" i="4"/>
  <c r="B135" i="4"/>
  <c r="B90" i="4"/>
  <c r="B177" i="4"/>
  <c r="B136" i="4"/>
  <c r="B178" i="4"/>
  <c r="B220" i="4"/>
  <c r="B74" i="4"/>
  <c r="B267" i="4"/>
  <c r="B286" i="4"/>
  <c r="B97" i="4"/>
  <c r="B294" i="4"/>
  <c r="B226" i="4"/>
  <c r="B155" i="4"/>
  <c r="B156" i="4"/>
  <c r="B157" i="4"/>
  <c r="B169" i="4"/>
  <c r="B207" i="4"/>
  <c r="B140" i="6"/>
  <c r="C140" i="6"/>
  <c r="D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AH140" i="6"/>
  <c r="B20" i="5"/>
  <c r="F20" i="5"/>
  <c r="H20" i="5"/>
  <c r="I20" i="5" s="1"/>
  <c r="AQ20" i="5" s="1"/>
  <c r="L20" i="5"/>
  <c r="N20" i="5"/>
  <c r="O20" i="5" s="1"/>
  <c r="AI232" i="4"/>
  <c r="AI134" i="4"/>
  <c r="AF20" i="5"/>
  <c r="AG20" i="5"/>
  <c r="AM20" i="5"/>
  <c r="AO20" i="5"/>
  <c r="BB20" i="5"/>
  <c r="BC20" i="5"/>
  <c r="BD20" i="5"/>
  <c r="BE20" i="5"/>
  <c r="AA134" i="4"/>
  <c r="AC134" i="4"/>
  <c r="AD134" i="4"/>
  <c r="AE134" i="4"/>
  <c r="AF134" i="4"/>
  <c r="AG134" i="4"/>
  <c r="AH134" i="4"/>
  <c r="AJ134" i="4"/>
  <c r="AL134" i="4"/>
  <c r="AA55" i="2"/>
  <c r="AB55" i="2"/>
  <c r="AE55" i="2"/>
  <c r="AH55" i="2"/>
  <c r="AJ55" i="2"/>
  <c r="AM55" i="2"/>
  <c r="AZ378" i="1"/>
  <c r="BA378" i="1"/>
  <c r="BB378" i="1"/>
  <c r="CH378" i="1"/>
  <c r="CI378" i="1"/>
  <c r="CJ378" i="1"/>
  <c r="CK378" i="1"/>
  <c r="CL378" i="1"/>
  <c r="CM378" i="1"/>
  <c r="CN378" i="1"/>
  <c r="CO378" i="1"/>
  <c r="CP378" i="1"/>
  <c r="CQ378" i="1"/>
  <c r="CR378" i="1"/>
  <c r="CS378" i="1"/>
  <c r="BV378" i="1"/>
  <c r="BW378" i="1"/>
  <c r="BX378" i="1"/>
  <c r="BY378" i="1"/>
  <c r="BZ378" i="1"/>
  <c r="CA378" i="1"/>
  <c r="CB378" i="1"/>
  <c r="CC378" i="1"/>
  <c r="CD378" i="1"/>
  <c r="CE378" i="1"/>
  <c r="CF378" i="1"/>
  <c r="CG378" i="1"/>
  <c r="CT378" i="1"/>
  <c r="D348" i="9"/>
  <c r="E348" i="9"/>
  <c r="F348" i="9"/>
  <c r="C125" i="7"/>
  <c r="D125" i="7"/>
  <c r="E125" i="7"/>
  <c r="AZ379" i="1"/>
  <c r="BA379" i="1"/>
  <c r="BB379" i="1"/>
  <c r="CH379" i="1"/>
  <c r="CI379" i="1"/>
  <c r="CJ379" i="1"/>
  <c r="BC379" i="1" s="1"/>
  <c r="CK379" i="1"/>
  <c r="CL379" i="1"/>
  <c r="CM379" i="1"/>
  <c r="CN379" i="1"/>
  <c r="CO379" i="1"/>
  <c r="CP379" i="1"/>
  <c r="CQ379" i="1"/>
  <c r="CR379" i="1"/>
  <c r="CS379" i="1"/>
  <c r="BV379" i="1"/>
  <c r="BW379" i="1"/>
  <c r="BX379" i="1"/>
  <c r="BY379" i="1"/>
  <c r="BZ379" i="1"/>
  <c r="CA379" i="1"/>
  <c r="CB379" i="1"/>
  <c r="CC379" i="1"/>
  <c r="CD379" i="1"/>
  <c r="CE379" i="1"/>
  <c r="CF379" i="1"/>
  <c r="CG379" i="1"/>
  <c r="CT379" i="1"/>
  <c r="AZ308" i="1"/>
  <c r="BA308" i="1"/>
  <c r="BB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CT308" i="1"/>
  <c r="AZ57" i="1"/>
  <c r="BA57" i="1"/>
  <c r="BB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T57" i="1"/>
  <c r="AZ347" i="1"/>
  <c r="BA347" i="1"/>
  <c r="BB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CT347" i="1"/>
  <c r="AZ346" i="1"/>
  <c r="BA346" i="1"/>
  <c r="BB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CT346" i="1"/>
  <c r="B45" i="4"/>
  <c r="B41" i="4"/>
  <c r="B214" i="4"/>
  <c r="B215" i="4"/>
  <c r="B212" i="4"/>
  <c r="B213" i="4"/>
  <c r="B43" i="4"/>
  <c r="B44" i="4"/>
  <c r="B42" i="4"/>
  <c r="B353" i="4"/>
  <c r="AZ217" i="1"/>
  <c r="BA217" i="1"/>
  <c r="BB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T217" i="1"/>
  <c r="B28" i="4"/>
  <c r="AI28" i="4"/>
  <c r="AA28" i="4"/>
  <c r="AC28" i="4"/>
  <c r="AD28" i="4"/>
  <c r="AE28" i="4"/>
  <c r="AF28" i="4"/>
  <c r="AG28" i="4"/>
  <c r="AH28" i="4"/>
  <c r="AJ28" i="4"/>
  <c r="AL28" i="4"/>
  <c r="AA6" i="2"/>
  <c r="AB6" i="2"/>
  <c r="F97" i="5"/>
  <c r="H97" i="5"/>
  <c r="I97" i="5" s="1"/>
  <c r="AD6" i="2" s="1"/>
  <c r="AE6" i="2"/>
  <c r="L97" i="5"/>
  <c r="AH6" i="2"/>
  <c r="AJ6" i="2"/>
  <c r="N97" i="5"/>
  <c r="O97" i="5"/>
  <c r="AK6" i="2" s="1"/>
  <c r="AM6" i="2"/>
  <c r="AZ215" i="1"/>
  <c r="BA215" i="1"/>
  <c r="BB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T215" i="1"/>
  <c r="AZ216" i="1"/>
  <c r="BA216" i="1"/>
  <c r="BB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CT216" i="1"/>
  <c r="AZ54" i="1"/>
  <c r="BA54" i="1"/>
  <c r="BB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T54" i="1"/>
  <c r="B139" i="6"/>
  <c r="C139" i="6"/>
  <c r="D139" i="6"/>
  <c r="V139" i="6"/>
  <c r="W139" i="6"/>
  <c r="X139" i="6"/>
  <c r="Y139" i="6"/>
  <c r="Z139" i="6"/>
  <c r="AA139" i="6"/>
  <c r="AB139" i="6"/>
  <c r="AC139" i="6"/>
  <c r="AD139" i="6"/>
  <c r="AE139" i="6"/>
  <c r="AF139" i="6"/>
  <c r="AG139" i="6"/>
  <c r="AH139" i="6"/>
  <c r="N19" i="5"/>
  <c r="L19" i="5"/>
  <c r="B19" i="5"/>
  <c r="F19" i="5"/>
  <c r="H19" i="5"/>
  <c r="I19" i="5" s="1"/>
  <c r="O19" i="5"/>
  <c r="AK54" i="2" s="1"/>
  <c r="AI44" i="4"/>
  <c r="AF19" i="5"/>
  <c r="AG19" i="5"/>
  <c r="AM19" i="5"/>
  <c r="AO19" i="5"/>
  <c r="AS19" i="5"/>
  <c r="BB19" i="5"/>
  <c r="BC19" i="5"/>
  <c r="BD19" i="5"/>
  <c r="BE19" i="5"/>
  <c r="AA232" i="4"/>
  <c r="AC232" i="4"/>
  <c r="AD232" i="4"/>
  <c r="AE232" i="4"/>
  <c r="AF232" i="4"/>
  <c r="AG232" i="4"/>
  <c r="AH232" i="4"/>
  <c r="AJ232" i="4"/>
  <c r="AL232" i="4"/>
  <c r="AA54" i="2"/>
  <c r="AB54" i="2"/>
  <c r="AE54" i="2"/>
  <c r="AH54" i="2"/>
  <c r="AJ54" i="2"/>
  <c r="AM54" i="2"/>
  <c r="AZ377" i="1"/>
  <c r="BA377" i="1"/>
  <c r="BB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BV377" i="1"/>
  <c r="BW377" i="1"/>
  <c r="BX377" i="1"/>
  <c r="BY377" i="1"/>
  <c r="BZ377" i="1"/>
  <c r="CA377" i="1"/>
  <c r="CB377" i="1"/>
  <c r="CC377" i="1"/>
  <c r="CD377" i="1"/>
  <c r="CE377" i="1"/>
  <c r="CF377" i="1"/>
  <c r="CG377" i="1"/>
  <c r="CT377" i="1"/>
  <c r="AZ376" i="1"/>
  <c r="BA376" i="1"/>
  <c r="BB376" i="1"/>
  <c r="CH376" i="1"/>
  <c r="CI376" i="1"/>
  <c r="CJ376" i="1"/>
  <c r="CK376" i="1"/>
  <c r="CL376" i="1"/>
  <c r="CM376" i="1"/>
  <c r="CN376" i="1"/>
  <c r="CO376" i="1"/>
  <c r="CP376" i="1"/>
  <c r="CQ376" i="1"/>
  <c r="CR376" i="1"/>
  <c r="CS376" i="1"/>
  <c r="BV376" i="1"/>
  <c r="BW376" i="1"/>
  <c r="BX376" i="1"/>
  <c r="BY376" i="1"/>
  <c r="BZ376" i="1"/>
  <c r="CA376" i="1"/>
  <c r="CB376" i="1"/>
  <c r="CC376" i="1"/>
  <c r="CD376" i="1"/>
  <c r="CE376" i="1"/>
  <c r="CF376" i="1"/>
  <c r="CG376" i="1"/>
  <c r="CT376" i="1"/>
  <c r="D347" i="9"/>
  <c r="E347" i="9"/>
  <c r="F347" i="9"/>
  <c r="C123" i="7"/>
  <c r="E123" i="7"/>
  <c r="D123" i="7"/>
  <c r="AG3" i="5"/>
  <c r="AF3" i="5"/>
  <c r="B64" i="4"/>
  <c r="T3" i="5"/>
  <c r="AI64" i="4"/>
  <c r="F3" i="5"/>
  <c r="L3" i="5"/>
  <c r="N3" i="5"/>
  <c r="O3" i="5" s="1"/>
  <c r="H3" i="5"/>
  <c r="I3" i="5"/>
  <c r="Z3" i="5"/>
  <c r="O4" i="5"/>
  <c r="AG4" i="5"/>
  <c r="AF4" i="5"/>
  <c r="T4" i="5"/>
  <c r="W4" i="5"/>
  <c r="AA4" i="5"/>
  <c r="AI262" i="4"/>
  <c r="F4" i="5"/>
  <c r="H4" i="5"/>
  <c r="I4" i="5" s="1"/>
  <c r="Z4" i="5"/>
  <c r="AF5" i="5"/>
  <c r="I5" i="5"/>
  <c r="T5" i="5"/>
  <c r="U5" i="5"/>
  <c r="AI130" i="4"/>
  <c r="L5" i="5"/>
  <c r="N5" i="5"/>
  <c r="O5" i="5" s="1"/>
  <c r="Z5" i="5"/>
  <c r="AG6" i="5"/>
  <c r="AF6" i="5"/>
  <c r="AD6" i="5"/>
  <c r="F6" i="5"/>
  <c r="H6" i="5"/>
  <c r="I6" i="5"/>
  <c r="L6" i="5"/>
  <c r="N6" i="5"/>
  <c r="O6" i="5"/>
  <c r="Z6" i="5"/>
  <c r="AG7" i="5"/>
  <c r="AF7" i="5"/>
  <c r="AD7" i="5"/>
  <c r="F7" i="5"/>
  <c r="H7" i="5"/>
  <c r="I7" i="5"/>
  <c r="L7" i="5"/>
  <c r="N7" i="5"/>
  <c r="O7" i="5"/>
  <c r="Z7" i="5"/>
  <c r="AF8" i="5"/>
  <c r="T8" i="5"/>
  <c r="AI196" i="4"/>
  <c r="F8" i="5"/>
  <c r="H8" i="5"/>
  <c r="I8" i="5" s="1"/>
  <c r="L8" i="5"/>
  <c r="N8" i="5"/>
  <c r="O8" i="5"/>
  <c r="Z8" i="5"/>
  <c r="AG9" i="5"/>
  <c r="AF9" i="5"/>
  <c r="I9" i="5"/>
  <c r="AI220" i="4"/>
  <c r="L9" i="5"/>
  <c r="N9" i="5"/>
  <c r="O9" i="5"/>
  <c r="Z9" i="5"/>
  <c r="AG10" i="5"/>
  <c r="AF10" i="5"/>
  <c r="B181" i="4"/>
  <c r="K10" i="5"/>
  <c r="T10" i="5"/>
  <c r="AI181" i="4"/>
  <c r="F10" i="5"/>
  <c r="H10" i="5"/>
  <c r="I10" i="5"/>
  <c r="L10" i="5"/>
  <c r="N10" i="5"/>
  <c r="O10" i="5" s="1"/>
  <c r="Z10" i="5"/>
  <c r="AG11" i="5"/>
  <c r="AF11" i="5"/>
  <c r="B182" i="4"/>
  <c r="K11" i="5"/>
  <c r="T11" i="5"/>
  <c r="U11" i="5"/>
  <c r="AI182" i="4"/>
  <c r="F11" i="5"/>
  <c r="H11" i="5"/>
  <c r="I11" i="5"/>
  <c r="L11" i="5"/>
  <c r="N11" i="5"/>
  <c r="O11" i="5"/>
  <c r="Z11" i="5"/>
  <c r="O12" i="5"/>
  <c r="K12" i="5"/>
  <c r="AF12" i="5"/>
  <c r="I12" i="5"/>
  <c r="T12" i="5"/>
  <c r="AI22" i="4"/>
  <c r="O13" i="5"/>
  <c r="K13" i="5"/>
  <c r="AF13" i="5"/>
  <c r="I13" i="5"/>
  <c r="T13" i="5"/>
  <c r="AI23" i="4"/>
  <c r="AG14" i="5"/>
  <c r="AF14" i="5"/>
  <c r="B140" i="4"/>
  <c r="I14" i="5"/>
  <c r="T14" i="5"/>
  <c r="AI140" i="4"/>
  <c r="L14" i="5"/>
  <c r="N14" i="5"/>
  <c r="O14" i="5" s="1"/>
  <c r="Z14" i="5"/>
  <c r="AG15" i="5"/>
  <c r="AF15" i="5"/>
  <c r="B223" i="4"/>
  <c r="I15" i="5"/>
  <c r="K15" i="5"/>
  <c r="T15" i="5"/>
  <c r="AI223" i="4"/>
  <c r="L15" i="5"/>
  <c r="N15" i="5"/>
  <c r="O15" i="5"/>
  <c r="Z15" i="5"/>
  <c r="AG16" i="5"/>
  <c r="AF16" i="5"/>
  <c r="K16" i="5"/>
  <c r="AI42" i="4"/>
  <c r="L16" i="5"/>
  <c r="N16" i="5"/>
  <c r="O16" i="5"/>
  <c r="F16" i="5"/>
  <c r="H16" i="5"/>
  <c r="I16" i="5" s="1"/>
  <c r="AG17" i="5"/>
  <c r="AF17" i="5"/>
  <c r="T17" i="5"/>
  <c r="AI43" i="4"/>
  <c r="L17" i="5"/>
  <c r="N17" i="5"/>
  <c r="O17" i="5" s="1"/>
  <c r="F17" i="5"/>
  <c r="H17" i="5"/>
  <c r="I17" i="5" s="1"/>
  <c r="AG18" i="5"/>
  <c r="AF18" i="5"/>
  <c r="T18" i="5"/>
  <c r="L18" i="5"/>
  <c r="N18" i="5"/>
  <c r="O18" i="5" s="1"/>
  <c r="F18" i="5"/>
  <c r="H18" i="5"/>
  <c r="I18" i="5" s="1"/>
  <c r="AG21" i="5"/>
  <c r="AF21" i="5"/>
  <c r="B210" i="4"/>
  <c r="T21" i="5"/>
  <c r="AI210" i="4"/>
  <c r="L21" i="5"/>
  <c r="N21" i="5"/>
  <c r="O21" i="5" s="1"/>
  <c r="F21" i="5"/>
  <c r="H21" i="5"/>
  <c r="I21" i="5"/>
  <c r="Z21" i="5"/>
  <c r="AG22" i="5"/>
  <c r="AF22" i="5"/>
  <c r="B211" i="4"/>
  <c r="T22" i="5"/>
  <c r="AI211" i="4"/>
  <c r="L22" i="5"/>
  <c r="N22" i="5"/>
  <c r="O22" i="5" s="1"/>
  <c r="F22" i="5"/>
  <c r="H22" i="5"/>
  <c r="I22" i="5" s="1"/>
  <c r="Z22" i="5"/>
  <c r="AG23" i="5"/>
  <c r="AF23" i="5"/>
  <c r="AI212" i="4"/>
  <c r="F23" i="5"/>
  <c r="H23" i="5"/>
  <c r="I23" i="5"/>
  <c r="Z23" i="5"/>
  <c r="AG24" i="5"/>
  <c r="AF24" i="5"/>
  <c r="AI213" i="4"/>
  <c r="L24" i="5"/>
  <c r="N24" i="5"/>
  <c r="O24" i="5"/>
  <c r="F24" i="5"/>
  <c r="H24" i="5"/>
  <c r="I24" i="5" s="1"/>
  <c r="Z24" i="5"/>
  <c r="AG25" i="5"/>
  <c r="AF25" i="5"/>
  <c r="AI214" i="4"/>
  <c r="L25" i="5"/>
  <c r="N25" i="5"/>
  <c r="O25" i="5"/>
  <c r="F25" i="5"/>
  <c r="H25" i="5"/>
  <c r="I25" i="5"/>
  <c r="Z25" i="5"/>
  <c r="AG26" i="5"/>
  <c r="AF26" i="5"/>
  <c r="AI215" i="4"/>
  <c r="L26" i="5"/>
  <c r="N26" i="5"/>
  <c r="O26" i="5"/>
  <c r="F26" i="5"/>
  <c r="H26" i="5"/>
  <c r="I26" i="5" s="1"/>
  <c r="Z26" i="5"/>
  <c r="AG27" i="5"/>
  <c r="AF27" i="5"/>
  <c r="B194" i="4"/>
  <c r="I27" i="5"/>
  <c r="K27" i="5"/>
  <c r="T27" i="5"/>
  <c r="AI194" i="4"/>
  <c r="L27" i="5"/>
  <c r="N27" i="5"/>
  <c r="O27" i="5" s="1"/>
  <c r="Z27" i="5"/>
  <c r="AF28" i="5"/>
  <c r="I28" i="5"/>
  <c r="AI229" i="4"/>
  <c r="L28" i="5"/>
  <c r="N28" i="5"/>
  <c r="O28" i="5" s="1"/>
  <c r="Z28" i="5"/>
  <c r="O29" i="5"/>
  <c r="B233" i="4"/>
  <c r="AG29" i="5"/>
  <c r="AF29" i="5"/>
  <c r="T29" i="5"/>
  <c r="AA29" i="5"/>
  <c r="AI233" i="4"/>
  <c r="F29" i="5"/>
  <c r="H29" i="5"/>
  <c r="I29" i="5"/>
  <c r="Z29" i="5"/>
  <c r="AG30" i="5"/>
  <c r="AF30" i="5"/>
  <c r="B234" i="4"/>
  <c r="T30" i="5"/>
  <c r="AA30" i="5"/>
  <c r="AI234" i="4"/>
  <c r="L30" i="5"/>
  <c r="N30" i="5"/>
  <c r="O30" i="5" s="1"/>
  <c r="F30" i="5"/>
  <c r="H30" i="5"/>
  <c r="I30" i="5" s="1"/>
  <c r="Z30" i="5"/>
  <c r="AG31" i="5"/>
  <c r="AF31" i="5"/>
  <c r="K31" i="5"/>
  <c r="AI45" i="4"/>
  <c r="L31" i="5"/>
  <c r="N31" i="5"/>
  <c r="O31" i="5"/>
  <c r="F31" i="5"/>
  <c r="H31" i="5"/>
  <c r="I31" i="5" s="1"/>
  <c r="B46" i="4"/>
  <c r="AG32" i="5"/>
  <c r="AF32" i="5"/>
  <c r="K32" i="5"/>
  <c r="T32" i="5"/>
  <c r="AI46" i="4"/>
  <c r="L32" i="5"/>
  <c r="N32" i="5"/>
  <c r="O32" i="5" s="1"/>
  <c r="F32" i="5"/>
  <c r="H32" i="5"/>
  <c r="I32" i="5" s="1"/>
  <c r="B47" i="4"/>
  <c r="AG33" i="5"/>
  <c r="AF33" i="5"/>
  <c r="K33" i="5"/>
  <c r="T33" i="5"/>
  <c r="AI47" i="4"/>
  <c r="L33" i="5"/>
  <c r="N33" i="5"/>
  <c r="O33" i="5"/>
  <c r="F33" i="5"/>
  <c r="H33" i="5"/>
  <c r="I33" i="5"/>
  <c r="B49" i="4"/>
  <c r="AG34" i="5"/>
  <c r="AF34" i="5"/>
  <c r="K34" i="5"/>
  <c r="T34" i="5"/>
  <c r="AI49" i="4"/>
  <c r="L34" i="5"/>
  <c r="N34" i="5"/>
  <c r="O34" i="5" s="1"/>
  <c r="F34" i="5"/>
  <c r="H34" i="5"/>
  <c r="I34" i="5" s="1"/>
  <c r="AF35" i="5"/>
  <c r="K35" i="5"/>
  <c r="T35" i="5"/>
  <c r="AI101" i="4"/>
  <c r="AI35" i="5"/>
  <c r="L35" i="5"/>
  <c r="F35" i="5"/>
  <c r="H35" i="5"/>
  <c r="I35" i="5" s="1"/>
  <c r="N35" i="5"/>
  <c r="O35" i="5" s="1"/>
  <c r="Z35" i="5"/>
  <c r="AF36" i="5"/>
  <c r="K36" i="5"/>
  <c r="T36" i="5"/>
  <c r="AI202" i="4"/>
  <c r="L36" i="5"/>
  <c r="F36" i="5"/>
  <c r="H36" i="5"/>
  <c r="I36" i="5"/>
  <c r="N36" i="5"/>
  <c r="O36" i="5" s="1"/>
  <c r="Z36" i="5"/>
  <c r="AF37" i="5"/>
  <c r="K37" i="5"/>
  <c r="T37" i="5"/>
  <c r="AI203" i="4"/>
  <c r="L37" i="5"/>
  <c r="F37" i="5"/>
  <c r="H37" i="5"/>
  <c r="I37" i="5" s="1"/>
  <c r="N37" i="5"/>
  <c r="O37" i="5"/>
  <c r="Z37" i="5"/>
  <c r="AG38" i="5"/>
  <c r="AF38" i="5"/>
  <c r="B50" i="4"/>
  <c r="T38" i="5"/>
  <c r="U38" i="5"/>
  <c r="AA38" i="5"/>
  <c r="AI50" i="4"/>
  <c r="F38" i="5"/>
  <c r="H38" i="5"/>
  <c r="I38" i="5" s="1"/>
  <c r="L38" i="5"/>
  <c r="N38" i="5"/>
  <c r="O38" i="5"/>
  <c r="Z38" i="5"/>
  <c r="AG39" i="5"/>
  <c r="AF39" i="5"/>
  <c r="B51" i="4"/>
  <c r="AA39" i="5"/>
  <c r="AI51" i="4"/>
  <c r="F39" i="5"/>
  <c r="H39" i="5"/>
  <c r="I39" i="5"/>
  <c r="L39" i="5"/>
  <c r="N39" i="5"/>
  <c r="O39" i="5"/>
  <c r="Z39" i="5"/>
  <c r="AG40" i="5"/>
  <c r="AF40" i="5"/>
  <c r="B52" i="4"/>
  <c r="T40" i="5"/>
  <c r="U40" i="5"/>
  <c r="AA40" i="5"/>
  <c r="AI52" i="4"/>
  <c r="F40" i="5"/>
  <c r="H40" i="5"/>
  <c r="I40" i="5" s="1"/>
  <c r="L40" i="5"/>
  <c r="N40" i="5"/>
  <c r="O40" i="5"/>
  <c r="Z40" i="5"/>
  <c r="AG41" i="5"/>
  <c r="AF41" i="5"/>
  <c r="T41" i="5"/>
  <c r="U41" i="5"/>
  <c r="AI58" i="4"/>
  <c r="F41" i="5"/>
  <c r="H41" i="5"/>
  <c r="I41" i="5"/>
  <c r="L41" i="5"/>
  <c r="N41" i="5"/>
  <c r="O41" i="5"/>
  <c r="Z41" i="5"/>
  <c r="AG42" i="5"/>
  <c r="AF42" i="5"/>
  <c r="B36" i="4"/>
  <c r="T42" i="5"/>
  <c r="U42" i="5"/>
  <c r="AA42" i="5"/>
  <c r="AI36" i="4"/>
  <c r="F42" i="5"/>
  <c r="H42" i="5"/>
  <c r="I42" i="5" s="1"/>
  <c r="L42" i="5"/>
  <c r="N42" i="5"/>
  <c r="O42" i="5" s="1"/>
  <c r="Z42" i="5"/>
  <c r="AG43" i="5"/>
  <c r="AF43" i="5"/>
  <c r="T43" i="5"/>
  <c r="AA43" i="5"/>
  <c r="AI53" i="4"/>
  <c r="F43" i="5"/>
  <c r="H43" i="5"/>
  <c r="I43" i="5" s="1"/>
  <c r="AD69" i="2" s="1"/>
  <c r="L43" i="5"/>
  <c r="N43" i="5"/>
  <c r="O43" i="5" s="1"/>
  <c r="AK69" i="2" s="1"/>
  <c r="Z43" i="5"/>
  <c r="AG44" i="5"/>
  <c r="AF44" i="5"/>
  <c r="AA44" i="5"/>
  <c r="AI88" i="4"/>
  <c r="F44" i="5"/>
  <c r="H44" i="5"/>
  <c r="I44" i="5"/>
  <c r="L44" i="5"/>
  <c r="N44" i="5"/>
  <c r="O44" i="5"/>
  <c r="Z44" i="5"/>
  <c r="AG45" i="5"/>
  <c r="AF45" i="5"/>
  <c r="T45" i="5"/>
  <c r="AI59" i="4"/>
  <c r="Z45" i="5"/>
  <c r="AG46" i="5"/>
  <c r="AF46" i="5"/>
  <c r="T46" i="5"/>
  <c r="U46" i="5"/>
  <c r="AI260" i="4"/>
  <c r="F46" i="5"/>
  <c r="H46" i="5"/>
  <c r="I46" i="5" s="1"/>
  <c r="L46" i="5"/>
  <c r="N46" i="5"/>
  <c r="O46" i="5" s="1"/>
  <c r="Z46" i="5"/>
  <c r="AG47" i="5"/>
  <c r="AF47" i="5"/>
  <c r="AI54" i="4"/>
  <c r="F47" i="5"/>
  <c r="H47" i="5"/>
  <c r="I47" i="5" s="1"/>
  <c r="L47" i="5"/>
  <c r="N47" i="5"/>
  <c r="O47" i="5" s="1"/>
  <c r="Z47" i="5"/>
  <c r="AG48" i="5"/>
  <c r="AF48" i="5"/>
  <c r="B89" i="4"/>
  <c r="T48" i="5"/>
  <c r="U48" i="5"/>
  <c r="AA48" i="5"/>
  <c r="AI89" i="4"/>
  <c r="F48" i="5"/>
  <c r="H48" i="5"/>
  <c r="I48" i="5"/>
  <c r="L48" i="5"/>
  <c r="N48" i="5"/>
  <c r="O48" i="5"/>
  <c r="Z48" i="5"/>
  <c r="AG49" i="5"/>
  <c r="AF49" i="5"/>
  <c r="B26" i="4"/>
  <c r="T49" i="5"/>
  <c r="AA49" i="5"/>
  <c r="AI26" i="4"/>
  <c r="F49" i="5"/>
  <c r="H49" i="5"/>
  <c r="I49" i="5"/>
  <c r="L49" i="5"/>
  <c r="N49" i="5"/>
  <c r="O49" i="5"/>
  <c r="Z49" i="5"/>
  <c r="AG50" i="5"/>
  <c r="AF50" i="5"/>
  <c r="B272" i="4"/>
  <c r="T50" i="5"/>
  <c r="U50" i="5"/>
  <c r="AI272" i="4"/>
  <c r="L50" i="5"/>
  <c r="F50" i="5"/>
  <c r="H50" i="5"/>
  <c r="I50" i="5"/>
  <c r="N50" i="5"/>
  <c r="O50" i="5" s="1"/>
  <c r="Z50" i="5"/>
  <c r="AG51" i="5"/>
  <c r="AF51" i="5"/>
  <c r="B273" i="4"/>
  <c r="L51" i="5"/>
  <c r="F51" i="5"/>
  <c r="H51" i="5"/>
  <c r="I51" i="5" s="1"/>
  <c r="N51" i="5"/>
  <c r="O51" i="5"/>
  <c r="Z51" i="5"/>
  <c r="AF52" i="5"/>
  <c r="T52" i="5"/>
  <c r="U52" i="5"/>
  <c r="AI289" i="4"/>
  <c r="L52" i="5"/>
  <c r="F52" i="5"/>
  <c r="H52" i="5"/>
  <c r="I52" i="5" s="1"/>
  <c r="N52" i="5"/>
  <c r="O52" i="5"/>
  <c r="Z52" i="5"/>
  <c r="AG53" i="5"/>
  <c r="AF53" i="5"/>
  <c r="B205" i="4"/>
  <c r="T53" i="5"/>
  <c r="U53" i="5"/>
  <c r="AI205" i="4"/>
  <c r="L53" i="5"/>
  <c r="F53" i="5"/>
  <c r="H53" i="5"/>
  <c r="I53" i="5" s="1"/>
  <c r="N53" i="5"/>
  <c r="O53" i="5"/>
  <c r="Z53" i="5"/>
  <c r="AG54" i="5"/>
  <c r="AF54" i="5"/>
  <c r="K54" i="5"/>
  <c r="O54" i="5"/>
  <c r="AI169" i="4"/>
  <c r="F54" i="5"/>
  <c r="H54" i="5"/>
  <c r="I54" i="5"/>
  <c r="Z54" i="5"/>
  <c r="AG55" i="5"/>
  <c r="AF55" i="5"/>
  <c r="AI103" i="4"/>
  <c r="L55" i="5"/>
  <c r="N55" i="5"/>
  <c r="O55" i="5"/>
  <c r="F55" i="5"/>
  <c r="H55" i="5"/>
  <c r="I55" i="5"/>
  <c r="Z55" i="5"/>
  <c r="AG56" i="5"/>
  <c r="AF56" i="5"/>
  <c r="AI104" i="4"/>
  <c r="L56" i="5"/>
  <c r="N56" i="5"/>
  <c r="O56" i="5"/>
  <c r="F56" i="5"/>
  <c r="H56" i="5"/>
  <c r="I56" i="5"/>
  <c r="Z56" i="5"/>
  <c r="AG57" i="5"/>
  <c r="AF57" i="5"/>
  <c r="T57" i="5"/>
  <c r="U57" i="5"/>
  <c r="AI105" i="4"/>
  <c r="L57" i="5"/>
  <c r="N57" i="5"/>
  <c r="O57" i="5" s="1"/>
  <c r="F57" i="5"/>
  <c r="H57" i="5"/>
  <c r="I57" i="5"/>
  <c r="Z57" i="5"/>
  <c r="AG58" i="5"/>
  <c r="AF58" i="5"/>
  <c r="AI106" i="4"/>
  <c r="F58" i="5"/>
  <c r="H58" i="5"/>
  <c r="I58" i="5"/>
  <c r="Z58" i="5"/>
  <c r="AG59" i="5"/>
  <c r="AF59" i="5"/>
  <c r="AI107" i="4"/>
  <c r="L59" i="5"/>
  <c r="N59" i="5"/>
  <c r="O59" i="5"/>
  <c r="F59" i="5"/>
  <c r="H59" i="5"/>
  <c r="I59" i="5"/>
  <c r="Z59" i="5"/>
  <c r="AG60" i="5"/>
  <c r="AF60" i="5"/>
  <c r="T60" i="5"/>
  <c r="U60" i="5"/>
  <c r="AI108" i="4"/>
  <c r="F60" i="5"/>
  <c r="H60" i="5"/>
  <c r="I60" i="5" s="1"/>
  <c r="AD78" i="2" s="1"/>
  <c r="Z60" i="5"/>
  <c r="AA61" i="5"/>
  <c r="O61" i="5"/>
  <c r="K61" i="5"/>
  <c r="AF61" i="5"/>
  <c r="L61" i="5"/>
  <c r="N61" i="5"/>
  <c r="AI5" i="4"/>
  <c r="R61" i="5"/>
  <c r="T61" i="5"/>
  <c r="F61" i="5"/>
  <c r="H61" i="5"/>
  <c r="I61" i="5" s="1"/>
  <c r="AG62" i="5"/>
  <c r="AF62" i="5"/>
  <c r="B37" i="4"/>
  <c r="T62" i="5"/>
  <c r="U62" i="5"/>
  <c r="AA62" i="5"/>
  <c r="AI37" i="4"/>
  <c r="AI62" i="5"/>
  <c r="F62" i="5"/>
  <c r="H62" i="5"/>
  <c r="I62" i="5" s="1"/>
  <c r="L62" i="5"/>
  <c r="N62" i="5"/>
  <c r="O62" i="5" s="1"/>
  <c r="Z62" i="5"/>
  <c r="AG63" i="5"/>
  <c r="AF63" i="5"/>
  <c r="B38" i="4"/>
  <c r="T63" i="5"/>
  <c r="U63" i="5"/>
  <c r="AA63" i="5"/>
  <c r="AI38" i="4"/>
  <c r="F63" i="5"/>
  <c r="H63" i="5"/>
  <c r="I63" i="5" s="1"/>
  <c r="L63" i="5"/>
  <c r="N63" i="5"/>
  <c r="O63" i="5" s="1"/>
  <c r="Z63" i="5"/>
  <c r="AG64" i="5"/>
  <c r="AF64" i="5"/>
  <c r="B39" i="4"/>
  <c r="T64" i="5"/>
  <c r="U64" i="5"/>
  <c r="AA64" i="5"/>
  <c r="AI39" i="4"/>
  <c r="F64" i="5"/>
  <c r="H64" i="5"/>
  <c r="I64" i="5" s="1"/>
  <c r="L64" i="5"/>
  <c r="N64" i="5"/>
  <c r="O64" i="5" s="1"/>
  <c r="Z64" i="5"/>
  <c r="AG65" i="5"/>
  <c r="AF65" i="5"/>
  <c r="B109" i="4"/>
  <c r="T65" i="5"/>
  <c r="U65" i="5"/>
  <c r="AA65" i="5"/>
  <c r="AI109" i="4"/>
  <c r="F65" i="5"/>
  <c r="H65" i="5"/>
  <c r="I65" i="5"/>
  <c r="L65" i="5"/>
  <c r="N65" i="5"/>
  <c r="O65" i="5"/>
  <c r="Z65" i="5"/>
  <c r="AG66" i="5"/>
  <c r="AF66" i="5"/>
  <c r="B60" i="4"/>
  <c r="T66" i="5"/>
  <c r="U66" i="5"/>
  <c r="AA66" i="5"/>
  <c r="AI60" i="4"/>
  <c r="F66" i="5"/>
  <c r="H66" i="5"/>
  <c r="I66" i="5"/>
  <c r="L66" i="5"/>
  <c r="N66" i="5"/>
  <c r="O66" i="5" s="1"/>
  <c r="Z66" i="5"/>
  <c r="AG67" i="5"/>
  <c r="AF67" i="5"/>
  <c r="B55" i="4"/>
  <c r="T67" i="5"/>
  <c r="U67" i="5"/>
  <c r="AA67" i="5"/>
  <c r="AI55" i="4"/>
  <c r="F67" i="5"/>
  <c r="H67" i="5"/>
  <c r="I67" i="5" s="1"/>
  <c r="L67" i="5"/>
  <c r="N67" i="5"/>
  <c r="O67" i="5" s="1"/>
  <c r="Z67" i="5"/>
  <c r="AG68" i="5"/>
  <c r="AF68" i="5"/>
  <c r="T68" i="5"/>
  <c r="U68" i="5"/>
  <c r="AI170" i="4"/>
  <c r="F68" i="5"/>
  <c r="H68" i="5"/>
  <c r="I68" i="5"/>
  <c r="L68" i="5"/>
  <c r="N68" i="5"/>
  <c r="O68" i="5"/>
  <c r="Z68" i="5"/>
  <c r="AG69" i="5"/>
  <c r="AF69" i="5"/>
  <c r="AI171" i="4"/>
  <c r="AD69" i="5"/>
  <c r="F69" i="5"/>
  <c r="H69" i="5"/>
  <c r="I69" i="5"/>
  <c r="Z69" i="5"/>
  <c r="AG70" i="5"/>
  <c r="AF70" i="5"/>
  <c r="AI172" i="4"/>
  <c r="F70" i="5"/>
  <c r="H70" i="5"/>
  <c r="I70" i="5" s="1"/>
  <c r="L70" i="5"/>
  <c r="N70" i="5"/>
  <c r="O70" i="5" s="1"/>
  <c r="Z70" i="5"/>
  <c r="AG71" i="5"/>
  <c r="AF71" i="5"/>
  <c r="B206" i="4"/>
  <c r="T71" i="5"/>
  <c r="U71" i="5"/>
  <c r="AA71" i="5"/>
  <c r="AI206" i="4"/>
  <c r="F71" i="5"/>
  <c r="H71" i="5"/>
  <c r="I71" i="5" s="1"/>
  <c r="L71" i="5"/>
  <c r="N71" i="5"/>
  <c r="O71" i="5" s="1"/>
  <c r="Z71" i="5"/>
  <c r="AG72" i="5"/>
  <c r="AF72" i="5"/>
  <c r="AI207" i="4"/>
  <c r="F72" i="5"/>
  <c r="H72" i="5"/>
  <c r="I72" i="5"/>
  <c r="L72" i="5"/>
  <c r="N72" i="5"/>
  <c r="O72" i="5" s="1"/>
  <c r="Z72" i="5"/>
  <c r="AG73" i="5"/>
  <c r="AF73" i="5"/>
  <c r="I73" i="5"/>
  <c r="U73" i="5"/>
  <c r="AI267" i="4"/>
  <c r="L73" i="5"/>
  <c r="N73" i="5"/>
  <c r="O73" i="5"/>
  <c r="Z73" i="5"/>
  <c r="AG74" i="5"/>
  <c r="AF74" i="5"/>
  <c r="U74" i="5"/>
  <c r="AI135" i="4"/>
  <c r="F74" i="5"/>
  <c r="H74" i="5"/>
  <c r="I74" i="5"/>
  <c r="L74" i="5"/>
  <c r="N74" i="5"/>
  <c r="O74" i="5" s="1"/>
  <c r="Z74" i="5"/>
  <c r="AG75" i="5"/>
  <c r="AF75" i="5"/>
  <c r="T75" i="5"/>
  <c r="AI208" i="4"/>
  <c r="F75" i="5"/>
  <c r="H75" i="5"/>
  <c r="I75" i="5"/>
  <c r="L75" i="5"/>
  <c r="N75" i="5"/>
  <c r="O75" i="5"/>
  <c r="Z75" i="5"/>
  <c r="AG76" i="5"/>
  <c r="AF76" i="5"/>
  <c r="B248" i="4"/>
  <c r="T76" i="5"/>
  <c r="U76" i="5"/>
  <c r="AI248" i="4"/>
  <c r="F76" i="5"/>
  <c r="H76" i="5"/>
  <c r="I76" i="5" s="1"/>
  <c r="L76" i="5"/>
  <c r="N76" i="5"/>
  <c r="O76" i="5"/>
  <c r="Z76" i="5"/>
  <c r="AG77" i="5"/>
  <c r="AF77" i="5"/>
  <c r="I77" i="5"/>
  <c r="T77" i="5"/>
  <c r="U77" i="5"/>
  <c r="AI302" i="4"/>
  <c r="AD77" i="5"/>
  <c r="L77" i="5"/>
  <c r="N77" i="5"/>
  <c r="O77" i="5" s="1"/>
  <c r="Z77" i="5"/>
  <c r="AG78" i="5"/>
  <c r="AF78" i="5"/>
  <c r="T78" i="5"/>
  <c r="U78" i="5"/>
  <c r="Z78" i="5"/>
  <c r="AG79" i="5"/>
  <c r="AF79" i="5"/>
  <c r="B174" i="4"/>
  <c r="I79" i="5"/>
  <c r="T79" i="5"/>
  <c r="U79" i="5"/>
  <c r="AI174" i="4"/>
  <c r="T174" i="4" s="1" a="1"/>
  <c r="T174" i="4" s="1"/>
  <c r="AC79" i="5" s="1"/>
  <c r="AD79" i="5"/>
  <c r="L79" i="5"/>
  <c r="N79" i="5"/>
  <c r="O79" i="5"/>
  <c r="Z79" i="5"/>
  <c r="AF80" i="5"/>
  <c r="T80" i="5"/>
  <c r="AI221" i="4"/>
  <c r="F80" i="5"/>
  <c r="H80" i="5"/>
  <c r="I80" i="5"/>
  <c r="L80" i="5"/>
  <c r="N80" i="5"/>
  <c r="O80" i="5"/>
  <c r="Z80" i="5"/>
  <c r="AG81" i="5"/>
  <c r="AF81" i="5"/>
  <c r="K81" i="5"/>
  <c r="AI175" i="4"/>
  <c r="F81" i="5"/>
  <c r="H81" i="5"/>
  <c r="I81" i="5" s="1"/>
  <c r="L81" i="5"/>
  <c r="N81" i="5"/>
  <c r="O81" i="5"/>
  <c r="Z81" i="5"/>
  <c r="AG82" i="5"/>
  <c r="AF82" i="5"/>
  <c r="K82" i="5"/>
  <c r="AI3" i="2" s="1"/>
  <c r="AI90" i="4"/>
  <c r="F82" i="5"/>
  <c r="H82" i="5"/>
  <c r="I82" i="5"/>
  <c r="L82" i="5"/>
  <c r="N82" i="5"/>
  <c r="O82" i="5" s="1"/>
  <c r="Z82" i="5"/>
  <c r="AG83" i="5"/>
  <c r="AF83" i="5"/>
  <c r="K83" i="5"/>
  <c r="AI177" i="4"/>
  <c r="F83" i="5"/>
  <c r="H83" i="5"/>
  <c r="I83" i="5" s="1"/>
  <c r="L83" i="5"/>
  <c r="N83" i="5"/>
  <c r="O83" i="5" s="1"/>
  <c r="Z83" i="5"/>
  <c r="AG84" i="5"/>
  <c r="AF84" i="5"/>
  <c r="K84" i="5"/>
  <c r="U84" i="5"/>
  <c r="AI136" i="4"/>
  <c r="F84" i="5"/>
  <c r="H84" i="5"/>
  <c r="I84" i="5"/>
  <c r="L84" i="5"/>
  <c r="N84" i="5"/>
  <c r="O84" i="5"/>
  <c r="Z84" i="5"/>
  <c r="AG85" i="5"/>
  <c r="AF85" i="5"/>
  <c r="K85" i="5"/>
  <c r="F85" i="5"/>
  <c r="H85" i="5"/>
  <c r="I85" i="5" s="1"/>
  <c r="L85" i="5"/>
  <c r="N85" i="5"/>
  <c r="O85" i="5" s="1"/>
  <c r="Z85" i="5"/>
  <c r="AG86" i="5"/>
  <c r="AF86" i="5"/>
  <c r="B138" i="4"/>
  <c r="K86" i="5"/>
  <c r="T86" i="5"/>
  <c r="U86" i="5"/>
  <c r="AI138" i="4"/>
  <c r="F86" i="5"/>
  <c r="H86" i="5"/>
  <c r="I86" i="5"/>
  <c r="L86" i="5"/>
  <c r="N86" i="5"/>
  <c r="O86" i="5"/>
  <c r="Z86" i="5"/>
  <c r="AG87" i="5"/>
  <c r="AF87" i="5"/>
  <c r="T87" i="5"/>
  <c r="AI180" i="4"/>
  <c r="L87" i="5"/>
  <c r="N87" i="5"/>
  <c r="O87" i="5"/>
  <c r="AK76" i="2" s="1"/>
  <c r="Z87" i="5"/>
  <c r="AG88" i="5"/>
  <c r="T88" i="5"/>
  <c r="AI110" i="4"/>
  <c r="L88" i="5"/>
  <c r="N88" i="5"/>
  <c r="O88" i="5" s="1"/>
  <c r="AK77" i="2" s="1"/>
  <c r="Z88" i="5"/>
  <c r="AG89" i="5"/>
  <c r="AF89" i="5"/>
  <c r="B293" i="4"/>
  <c r="I89" i="5"/>
  <c r="T89" i="5"/>
  <c r="U89" i="5"/>
  <c r="AI293" i="4"/>
  <c r="L89" i="5"/>
  <c r="N89" i="5"/>
  <c r="O89" i="5"/>
  <c r="Z89" i="5"/>
  <c r="B40" i="4"/>
  <c r="AI40" i="4"/>
  <c r="R90" i="5"/>
  <c r="T90" i="5"/>
  <c r="F90" i="5"/>
  <c r="H90" i="5"/>
  <c r="T91" i="5"/>
  <c r="F91" i="5"/>
  <c r="H91" i="5"/>
  <c r="AD68" i="2" s="1"/>
  <c r="O92" i="5"/>
  <c r="K92" i="5"/>
  <c r="AG92" i="5"/>
  <c r="AF92" i="5"/>
  <c r="B91" i="4"/>
  <c r="T92" i="5"/>
  <c r="U92" i="5"/>
  <c r="AI91" i="4"/>
  <c r="F92" i="5"/>
  <c r="H92" i="5"/>
  <c r="I92" i="5" s="1"/>
  <c r="Z92" i="5"/>
  <c r="AG93" i="5"/>
  <c r="AF93" i="5"/>
  <c r="B120" i="4"/>
  <c r="K93" i="5"/>
  <c r="T93" i="5"/>
  <c r="U93" i="5"/>
  <c r="AI120" i="4"/>
  <c r="F93" i="5"/>
  <c r="H93" i="5"/>
  <c r="I93" i="5" s="1"/>
  <c r="L93" i="5"/>
  <c r="N93" i="5"/>
  <c r="O93" i="5"/>
  <c r="Z93" i="5"/>
  <c r="AG94" i="5"/>
  <c r="AF94" i="5"/>
  <c r="B111" i="4"/>
  <c r="K94" i="5"/>
  <c r="F94" i="5"/>
  <c r="H94" i="5"/>
  <c r="I94" i="5" s="1"/>
  <c r="L94" i="5"/>
  <c r="N94" i="5"/>
  <c r="O94" i="5"/>
  <c r="Z94" i="5"/>
  <c r="AG95" i="5"/>
  <c r="AF95" i="5"/>
  <c r="B236" i="4"/>
  <c r="K95" i="5"/>
  <c r="T95" i="5"/>
  <c r="U95" i="5"/>
  <c r="AI236" i="4"/>
  <c r="F95" i="5"/>
  <c r="H95" i="5"/>
  <c r="I95" i="5" s="1"/>
  <c r="L95" i="5"/>
  <c r="N95" i="5"/>
  <c r="O95" i="5"/>
  <c r="Z95" i="5"/>
  <c r="AG96" i="5"/>
  <c r="AF96" i="5"/>
  <c r="B261" i="4"/>
  <c r="K96" i="5"/>
  <c r="T96" i="5"/>
  <c r="U96" i="5"/>
  <c r="AA96" i="5"/>
  <c r="AI261" i="4"/>
  <c r="F96" i="5"/>
  <c r="H96" i="5"/>
  <c r="I96" i="5"/>
  <c r="L96" i="5"/>
  <c r="N96" i="5"/>
  <c r="O96" i="5" s="1"/>
  <c r="Z96" i="5"/>
  <c r="AG97" i="5"/>
  <c r="AA97" i="5"/>
  <c r="Z97" i="5"/>
  <c r="AG98" i="5"/>
  <c r="AF98" i="5"/>
  <c r="B295" i="4"/>
  <c r="K98" i="5"/>
  <c r="T98" i="5"/>
  <c r="U98" i="5"/>
  <c r="AA98" i="5"/>
  <c r="AI295" i="4"/>
  <c r="F98" i="5"/>
  <c r="H98" i="5"/>
  <c r="I98" i="5" s="1"/>
  <c r="L98" i="5"/>
  <c r="N98" i="5"/>
  <c r="O98" i="5"/>
  <c r="Z98" i="5"/>
  <c r="AG99" i="5"/>
  <c r="AF99" i="5"/>
  <c r="B249" i="4"/>
  <c r="K99" i="5"/>
  <c r="T99" i="5"/>
  <c r="AI249" i="4"/>
  <c r="F99" i="5"/>
  <c r="I99" i="5"/>
  <c r="L99" i="5"/>
  <c r="N99" i="5"/>
  <c r="O99" i="5"/>
  <c r="Z99" i="5"/>
  <c r="AG100" i="5"/>
  <c r="AF100" i="5"/>
  <c r="B268" i="4"/>
  <c r="AI268" i="4"/>
  <c r="F100" i="5"/>
  <c r="I100" i="5"/>
  <c r="L100" i="5"/>
  <c r="N100" i="5"/>
  <c r="O100" i="5"/>
  <c r="Z100" i="5"/>
  <c r="O101" i="5"/>
  <c r="AF101" i="5"/>
  <c r="T101" i="5"/>
  <c r="U101" i="5"/>
  <c r="AI291" i="4"/>
  <c r="H101" i="5"/>
  <c r="I101" i="5"/>
  <c r="F101" i="5"/>
  <c r="Z101" i="5"/>
  <c r="AG102" i="5"/>
  <c r="AF102" i="5"/>
  <c r="B283" i="4"/>
  <c r="I102" i="5"/>
  <c r="AI283" i="4"/>
  <c r="L102" i="5"/>
  <c r="N102" i="5"/>
  <c r="O102" i="5"/>
  <c r="Z102" i="5"/>
  <c r="AG103" i="5"/>
  <c r="AF103" i="5"/>
  <c r="B250" i="4"/>
  <c r="I103" i="5"/>
  <c r="T103" i="5"/>
  <c r="AI250" i="4"/>
  <c r="L103" i="5"/>
  <c r="N103" i="5"/>
  <c r="O103" i="5" s="1"/>
  <c r="Z103" i="5"/>
  <c r="AG104" i="5"/>
  <c r="AF104" i="5"/>
  <c r="B237" i="4"/>
  <c r="I104" i="5"/>
  <c r="T104" i="5"/>
  <c r="AI237" i="4"/>
  <c r="L104" i="5"/>
  <c r="N104" i="5"/>
  <c r="O104" i="5"/>
  <c r="Z104" i="5"/>
  <c r="AF105" i="5"/>
  <c r="I105" i="5"/>
  <c r="K105" i="5"/>
  <c r="T105" i="5"/>
  <c r="AI238" i="4"/>
  <c r="L105" i="5"/>
  <c r="N105" i="5"/>
  <c r="O105" i="5"/>
  <c r="Z105" i="5"/>
  <c r="AG106" i="5"/>
  <c r="AF106" i="5"/>
  <c r="B284" i="4"/>
  <c r="I106" i="5"/>
  <c r="T106" i="5"/>
  <c r="U106" i="5"/>
  <c r="AI284" i="4"/>
  <c r="L106" i="5"/>
  <c r="N106" i="5"/>
  <c r="O106" i="5" s="1"/>
  <c r="Z106" i="5"/>
  <c r="AF107" i="5"/>
  <c r="U107" i="5"/>
  <c r="AI107" i="5"/>
  <c r="L107" i="5"/>
  <c r="N107" i="5"/>
  <c r="O107" i="5" s="1"/>
  <c r="AK81" i="2" s="1"/>
  <c r="Z107" i="5"/>
  <c r="AG108" i="5"/>
  <c r="AF108" i="5"/>
  <c r="I108" i="5"/>
  <c r="U108" i="5"/>
  <c r="AI286" i="4"/>
  <c r="AI108" i="5"/>
  <c r="L108" i="5"/>
  <c r="N108" i="5"/>
  <c r="O108" i="5"/>
  <c r="Z108" i="5"/>
  <c r="AG109" i="5"/>
  <c r="AF109" i="5"/>
  <c r="B62" i="4"/>
  <c r="T109" i="5"/>
  <c r="AI62" i="4"/>
  <c r="F109" i="5"/>
  <c r="H109" i="5"/>
  <c r="I109" i="5" s="1"/>
  <c r="L109" i="5"/>
  <c r="N109" i="5"/>
  <c r="O109" i="5" s="1"/>
  <c r="Z109" i="5"/>
  <c r="AF110" i="5"/>
  <c r="I110" i="5"/>
  <c r="T110" i="5"/>
  <c r="AI139" i="4"/>
  <c r="L110" i="5"/>
  <c r="N110" i="5"/>
  <c r="O110" i="5"/>
  <c r="Z110" i="5"/>
  <c r="AF111" i="5"/>
  <c r="T111" i="5"/>
  <c r="AI92" i="4"/>
  <c r="F111" i="5"/>
  <c r="H111" i="5"/>
  <c r="I111" i="5" s="1"/>
  <c r="L111" i="5"/>
  <c r="N111" i="5"/>
  <c r="O111" i="5"/>
  <c r="Z111" i="5"/>
  <c r="AF112" i="5"/>
  <c r="T112" i="5"/>
  <c r="AI93" i="4"/>
  <c r="F112" i="5"/>
  <c r="H112" i="5"/>
  <c r="I112" i="5"/>
  <c r="L112" i="5"/>
  <c r="N112" i="5"/>
  <c r="O112" i="5"/>
  <c r="Z112" i="5"/>
  <c r="AF113" i="5"/>
  <c r="T113" i="5"/>
  <c r="AI121" i="4"/>
  <c r="F113" i="5"/>
  <c r="H113" i="5"/>
  <c r="I113" i="5" s="1"/>
  <c r="L113" i="5"/>
  <c r="N113" i="5"/>
  <c r="O113" i="5"/>
  <c r="Z113" i="5"/>
  <c r="AG114" i="5"/>
  <c r="AF114" i="5"/>
  <c r="B239" i="4"/>
  <c r="K114" i="5"/>
  <c r="T114" i="5"/>
  <c r="AI239" i="4"/>
  <c r="F114" i="5"/>
  <c r="H114" i="5"/>
  <c r="I114" i="5"/>
  <c r="L114" i="5"/>
  <c r="N114" i="5"/>
  <c r="O114" i="5"/>
  <c r="Z114" i="5"/>
  <c r="AG115" i="5"/>
  <c r="AF115" i="5"/>
  <c r="B76" i="4"/>
  <c r="T115" i="5"/>
  <c r="U115" i="5"/>
  <c r="AA115" i="5"/>
  <c r="AI76" i="4"/>
  <c r="F115" i="5"/>
  <c r="H115" i="5"/>
  <c r="I115" i="5" s="1"/>
  <c r="L115" i="5"/>
  <c r="N115" i="5"/>
  <c r="O115" i="5" s="1"/>
  <c r="Z115" i="5"/>
  <c r="O116" i="5"/>
  <c r="K116" i="5"/>
  <c r="AG116" i="5"/>
  <c r="AF116" i="5"/>
  <c r="B56" i="4"/>
  <c r="I116" i="5"/>
  <c r="T116" i="5"/>
  <c r="U116" i="5"/>
  <c r="AA116" i="5"/>
  <c r="AI56" i="4"/>
  <c r="X116" i="5"/>
  <c r="Z116" i="5"/>
  <c r="AG117" i="5"/>
  <c r="AF117" i="5"/>
  <c r="B240" i="4"/>
  <c r="K117" i="5"/>
  <c r="T117" i="5"/>
  <c r="U117" i="5"/>
  <c r="AI240" i="4"/>
  <c r="F117" i="5"/>
  <c r="H117" i="5"/>
  <c r="I117" i="5"/>
  <c r="L117" i="5"/>
  <c r="N117" i="5"/>
  <c r="O117" i="5"/>
  <c r="Z117" i="5"/>
  <c r="AA118" i="5"/>
  <c r="AG118" i="5"/>
  <c r="AF118" i="5"/>
  <c r="K118" i="5"/>
  <c r="T118" i="5"/>
  <c r="U118" i="5"/>
  <c r="AI3" i="4"/>
  <c r="F118" i="5"/>
  <c r="H118" i="5"/>
  <c r="I118" i="5" s="1"/>
  <c r="L118" i="5"/>
  <c r="N118" i="5"/>
  <c r="O118" i="5" s="1"/>
  <c r="AG119" i="5"/>
  <c r="AF119" i="5"/>
  <c r="B77" i="4"/>
  <c r="I119" i="5"/>
  <c r="K119" i="5"/>
  <c r="T119" i="5"/>
  <c r="AA119" i="5"/>
  <c r="AI77" i="4"/>
  <c r="L119" i="5"/>
  <c r="N119" i="5"/>
  <c r="O119" i="5"/>
  <c r="Z119" i="5"/>
  <c r="AG120" i="5"/>
  <c r="AF120" i="5"/>
  <c r="B94" i="4"/>
  <c r="T120" i="5"/>
  <c r="W120" i="5"/>
  <c r="AA120" i="5"/>
  <c r="AI94" i="4"/>
  <c r="F120" i="5"/>
  <c r="H120" i="5"/>
  <c r="I120" i="5"/>
  <c r="L120" i="5"/>
  <c r="N120" i="5"/>
  <c r="O120" i="5" s="1"/>
  <c r="Z120" i="5"/>
  <c r="AG121" i="5"/>
  <c r="AF121" i="5"/>
  <c r="B78" i="4"/>
  <c r="U121" i="5"/>
  <c r="W121" i="5"/>
  <c r="AA121" i="5"/>
  <c r="AI78" i="4"/>
  <c r="F121" i="5"/>
  <c r="H121" i="5"/>
  <c r="I121" i="5"/>
  <c r="L121" i="5"/>
  <c r="N121" i="5"/>
  <c r="O121" i="5" s="1"/>
  <c r="Z121" i="5"/>
  <c r="AG122" i="5"/>
  <c r="AF122" i="5"/>
  <c r="B96" i="4"/>
  <c r="R122" i="5"/>
  <c r="T122" i="5"/>
  <c r="AA122" i="5"/>
  <c r="AI96" i="4"/>
  <c r="F122" i="5"/>
  <c r="H122" i="5"/>
  <c r="I122" i="5" s="1"/>
  <c r="L122" i="5"/>
  <c r="N122" i="5"/>
  <c r="O122" i="5"/>
  <c r="Z122" i="5"/>
  <c r="O123" i="5"/>
  <c r="B141" i="4"/>
  <c r="AG123" i="5"/>
  <c r="AF123" i="5"/>
  <c r="I123" i="5"/>
  <c r="T123" i="5"/>
  <c r="AI141" i="4"/>
  <c r="Z123" i="5"/>
  <c r="AG124" i="5"/>
  <c r="AF124" i="5"/>
  <c r="B298" i="4"/>
  <c r="T124" i="5"/>
  <c r="AA124" i="5"/>
  <c r="AI298" i="4"/>
  <c r="F124" i="5"/>
  <c r="H124" i="5"/>
  <c r="I124" i="5" s="1"/>
  <c r="L124" i="5"/>
  <c r="N124" i="5"/>
  <c r="O124" i="5"/>
  <c r="Z124" i="5"/>
  <c r="AG125" i="5"/>
  <c r="AF125" i="5"/>
  <c r="B142" i="4"/>
  <c r="T125" i="5"/>
  <c r="U125" i="5"/>
  <c r="AI142" i="4"/>
  <c r="F125" i="5"/>
  <c r="H125" i="5"/>
  <c r="I125" i="5"/>
  <c r="L125" i="5"/>
  <c r="N125" i="5"/>
  <c r="O125" i="5" s="1"/>
  <c r="Z125" i="5"/>
  <c r="AG126" i="5"/>
  <c r="AF126" i="5"/>
  <c r="B143" i="4"/>
  <c r="T126" i="5"/>
  <c r="AI143" i="4"/>
  <c r="F126" i="5"/>
  <c r="H126" i="5"/>
  <c r="I126" i="5" s="1"/>
  <c r="L126" i="5"/>
  <c r="N126" i="5"/>
  <c r="O126" i="5"/>
  <c r="Z126" i="5"/>
  <c r="AG127" i="5"/>
  <c r="AF127" i="5"/>
  <c r="B31" i="4"/>
  <c r="K127" i="5"/>
  <c r="T127" i="5"/>
  <c r="AA127" i="5"/>
  <c r="AI31" i="4"/>
  <c r="F127" i="5"/>
  <c r="H127" i="5"/>
  <c r="I127" i="5"/>
  <c r="L127" i="5"/>
  <c r="N127" i="5"/>
  <c r="O127" i="5" s="1"/>
  <c r="Z127" i="5"/>
  <c r="AG128" i="5"/>
  <c r="AF128" i="5"/>
  <c r="B241" i="4"/>
  <c r="I128" i="5"/>
  <c r="T128" i="5"/>
  <c r="U128" i="5"/>
  <c r="AI241" i="4"/>
  <c r="L128" i="5"/>
  <c r="N128" i="5"/>
  <c r="O128" i="5" s="1"/>
  <c r="Z128" i="5"/>
  <c r="B32" i="4"/>
  <c r="AG129" i="5"/>
  <c r="AF129" i="5"/>
  <c r="I129" i="5"/>
  <c r="K129" i="5"/>
  <c r="U129" i="5"/>
  <c r="AI32" i="4"/>
  <c r="R129" i="5"/>
  <c r="T129" i="5"/>
  <c r="L129" i="5"/>
  <c r="N129" i="5"/>
  <c r="O129" i="5" s="1"/>
  <c r="AG130" i="5"/>
  <c r="AF130" i="5"/>
  <c r="I130" i="5"/>
  <c r="U130" i="5"/>
  <c r="AI97" i="4"/>
  <c r="Z130" i="5"/>
  <c r="L130" i="5"/>
  <c r="N130" i="5"/>
  <c r="O130" i="5" s="1"/>
  <c r="AG131" i="5"/>
  <c r="AF131" i="5"/>
  <c r="B79" i="4"/>
  <c r="I131" i="5"/>
  <c r="T131" i="5"/>
  <c r="AA131" i="5"/>
  <c r="AI79" i="4"/>
  <c r="Z131" i="5"/>
  <c r="L131" i="5"/>
  <c r="N131" i="5"/>
  <c r="O131" i="5"/>
  <c r="AG132" i="5"/>
  <c r="AF132" i="5"/>
  <c r="B184" i="4"/>
  <c r="I132" i="5"/>
  <c r="K132" i="5"/>
  <c r="T132" i="5"/>
  <c r="U132" i="5"/>
  <c r="AI184" i="4"/>
  <c r="Z132" i="5"/>
  <c r="L132" i="5"/>
  <c r="N132" i="5"/>
  <c r="O132" i="5" s="1"/>
  <c r="AA133" i="5"/>
  <c r="O133" i="5"/>
  <c r="K133" i="5"/>
  <c r="AF133" i="5"/>
  <c r="T133" i="5"/>
  <c r="U133" i="5"/>
  <c r="AI2" i="4"/>
  <c r="F133" i="5"/>
  <c r="H133" i="5"/>
  <c r="I133" i="5" s="1"/>
  <c r="O134" i="5"/>
  <c r="K134" i="5"/>
  <c r="AG134" i="5"/>
  <c r="AF134" i="5"/>
  <c r="B80" i="4"/>
  <c r="T134" i="5"/>
  <c r="U134" i="5"/>
  <c r="AA134" i="5"/>
  <c r="AI80" i="4"/>
  <c r="Z134" i="5"/>
  <c r="F134" i="5"/>
  <c r="H134" i="5"/>
  <c r="I134" i="5"/>
  <c r="AG135" i="5"/>
  <c r="AF135" i="5"/>
  <c r="B113" i="4"/>
  <c r="T135" i="5"/>
  <c r="AI113" i="4"/>
  <c r="L135" i="5"/>
  <c r="N135" i="5"/>
  <c r="O135" i="5" s="1"/>
  <c r="Z135" i="5"/>
  <c r="F135" i="5"/>
  <c r="H135" i="5"/>
  <c r="I135" i="5"/>
  <c r="O136" i="5"/>
  <c r="B185" i="4"/>
  <c r="AG136" i="5"/>
  <c r="AF136" i="5"/>
  <c r="T136" i="5"/>
  <c r="U136" i="5"/>
  <c r="AA136" i="5"/>
  <c r="AI185" i="4"/>
  <c r="Z136" i="5"/>
  <c r="F136" i="5"/>
  <c r="H136" i="5"/>
  <c r="I136" i="5"/>
  <c r="B33" i="4"/>
  <c r="AG137" i="5"/>
  <c r="AF137" i="5"/>
  <c r="K137" i="5"/>
  <c r="U137" i="5"/>
  <c r="AI33" i="4"/>
  <c r="L137" i="5"/>
  <c r="N137" i="5"/>
  <c r="O137" i="5" s="1"/>
  <c r="R137" i="5"/>
  <c r="T137" i="5"/>
  <c r="F137" i="5"/>
  <c r="H137" i="5"/>
  <c r="I137" i="5"/>
  <c r="AG138" i="5"/>
  <c r="AF138" i="5"/>
  <c r="B114" i="4"/>
  <c r="T138" i="5"/>
  <c r="AI114" i="4"/>
  <c r="L138" i="5"/>
  <c r="N138" i="5"/>
  <c r="O138" i="5" s="1"/>
  <c r="F138" i="5"/>
  <c r="H138" i="5"/>
  <c r="I138" i="5"/>
  <c r="Z138" i="5"/>
  <c r="AG139" i="5"/>
  <c r="AF139" i="5"/>
  <c r="B278" i="4"/>
  <c r="I139" i="5"/>
  <c r="K139" i="5"/>
  <c r="T139" i="5"/>
  <c r="U139" i="5"/>
  <c r="AI278" i="4"/>
  <c r="L139" i="5"/>
  <c r="N139" i="5"/>
  <c r="O139" i="5"/>
  <c r="Z139" i="5"/>
  <c r="AG140" i="5"/>
  <c r="AF140" i="5"/>
  <c r="B290" i="4"/>
  <c r="I140" i="5"/>
  <c r="T140" i="5"/>
  <c r="U140" i="5"/>
  <c r="AI290" i="4"/>
  <c r="L140" i="5"/>
  <c r="N140" i="5"/>
  <c r="O140" i="5" s="1"/>
  <c r="Z140" i="5"/>
  <c r="AG141" i="5"/>
  <c r="AF141" i="5"/>
  <c r="I141" i="5"/>
  <c r="AI122" i="4"/>
  <c r="L141" i="5"/>
  <c r="N141" i="5"/>
  <c r="O141" i="5" s="1"/>
  <c r="Z141" i="5"/>
  <c r="O142" i="5"/>
  <c r="K142" i="5"/>
  <c r="AG142" i="5"/>
  <c r="AF142" i="5"/>
  <c r="E142" i="5"/>
  <c r="T142" i="5"/>
  <c r="U142" i="5"/>
  <c r="AA142" i="5"/>
  <c r="AI13" i="4"/>
  <c r="F142" i="5"/>
  <c r="H142" i="5"/>
  <c r="I142" i="5"/>
  <c r="Z142" i="5"/>
  <c r="AF143" i="5"/>
  <c r="T143" i="5"/>
  <c r="U143" i="5"/>
  <c r="AI292" i="4"/>
  <c r="F143" i="5"/>
  <c r="H143" i="5"/>
  <c r="I143" i="5"/>
  <c r="L143" i="5"/>
  <c r="N143" i="5"/>
  <c r="O143" i="5" s="1"/>
  <c r="Z143" i="5"/>
  <c r="O144" i="5"/>
  <c r="AG144" i="5"/>
  <c r="AF144" i="5"/>
  <c r="I144" i="5"/>
  <c r="AA144" i="5"/>
  <c r="AI294" i="4"/>
  <c r="Z144" i="5"/>
  <c r="AG145" i="5"/>
  <c r="AF145" i="5"/>
  <c r="B123" i="4"/>
  <c r="I145" i="5"/>
  <c r="T145" i="5"/>
  <c r="AI123" i="4"/>
  <c r="L145" i="5"/>
  <c r="N145" i="5"/>
  <c r="O145" i="5" s="1"/>
  <c r="Z145" i="5"/>
  <c r="AG146" i="5"/>
  <c r="AF146" i="5"/>
  <c r="B242" i="4"/>
  <c r="I146" i="5"/>
  <c r="T146" i="5"/>
  <c r="AI242" i="4"/>
  <c r="L146" i="5"/>
  <c r="N146" i="5"/>
  <c r="O146" i="5"/>
  <c r="Z146" i="5"/>
  <c r="AG147" i="5"/>
  <c r="AF147" i="5"/>
  <c r="T147" i="5"/>
  <c r="U147" i="5"/>
  <c r="AA147" i="5"/>
  <c r="AI81" i="4"/>
  <c r="F147" i="5"/>
  <c r="H147" i="5"/>
  <c r="I147" i="5" s="1"/>
  <c r="AD82" i="2" s="1"/>
  <c r="Z147" i="5"/>
  <c r="O148" i="5"/>
  <c r="K148" i="5"/>
  <c r="AG148" i="5"/>
  <c r="AF148" i="5"/>
  <c r="B65" i="4"/>
  <c r="I148" i="5"/>
  <c r="T148" i="5"/>
  <c r="U148" i="5"/>
  <c r="AI65" i="4"/>
  <c r="Z148" i="5"/>
  <c r="B34" i="4"/>
  <c r="AG149" i="5"/>
  <c r="AF149" i="5"/>
  <c r="K149" i="5"/>
  <c r="U149" i="5"/>
  <c r="AI34" i="4"/>
  <c r="F149" i="5"/>
  <c r="H149" i="5"/>
  <c r="I149" i="5" s="1"/>
  <c r="L149" i="5"/>
  <c r="N149" i="5"/>
  <c r="O149" i="5"/>
  <c r="R149" i="5"/>
  <c r="T149" i="5"/>
  <c r="AG150" i="5"/>
  <c r="AF150" i="5"/>
  <c r="B186" i="4"/>
  <c r="I150" i="5"/>
  <c r="T150" i="5"/>
  <c r="AA150" i="5"/>
  <c r="AI186" i="4"/>
  <c r="L150" i="5"/>
  <c r="N150" i="5"/>
  <c r="O150" i="5" s="1"/>
  <c r="Z150" i="5"/>
  <c r="O151" i="5"/>
  <c r="B187" i="4"/>
  <c r="AG151" i="5"/>
  <c r="AF151" i="5"/>
  <c r="T151" i="5"/>
  <c r="U151" i="5"/>
  <c r="AI187" i="4"/>
  <c r="F151" i="5"/>
  <c r="H151" i="5"/>
  <c r="I151" i="5" s="1"/>
  <c r="Z151" i="5"/>
  <c r="B188" i="4"/>
  <c r="AG152" i="5"/>
  <c r="AF152" i="5"/>
  <c r="I152" i="5"/>
  <c r="K152" i="5"/>
  <c r="T152" i="5"/>
  <c r="AI188" i="4"/>
  <c r="L152" i="5"/>
  <c r="N152" i="5"/>
  <c r="O152" i="5" s="1"/>
  <c r="O153" i="5"/>
  <c r="B300" i="4"/>
  <c r="AG153" i="5"/>
  <c r="AF153" i="5"/>
  <c r="T153" i="5"/>
  <c r="U153" i="5"/>
  <c r="AI300" i="4"/>
  <c r="F153" i="5"/>
  <c r="H153" i="5"/>
  <c r="I153" i="5"/>
  <c r="Z153" i="5"/>
  <c r="AG154" i="5"/>
  <c r="AF154" i="5"/>
  <c r="B299" i="4"/>
  <c r="T154" i="5"/>
  <c r="AA154" i="5"/>
  <c r="AI299" i="4"/>
  <c r="F154" i="5"/>
  <c r="H154" i="5"/>
  <c r="I154" i="5" s="1"/>
  <c r="L154" i="5"/>
  <c r="N154" i="5"/>
  <c r="O154" i="5"/>
  <c r="Z154" i="5"/>
  <c r="AG155" i="5"/>
  <c r="AF155" i="5"/>
  <c r="B144" i="4"/>
  <c r="I155" i="5"/>
  <c r="T155" i="5"/>
  <c r="AI144" i="4"/>
  <c r="L155" i="5"/>
  <c r="N155" i="5"/>
  <c r="O155" i="5" s="1"/>
  <c r="Z155" i="5"/>
  <c r="AA156" i="5"/>
  <c r="B296" i="4"/>
  <c r="O156" i="5"/>
  <c r="AG156" i="5"/>
  <c r="AF156" i="5"/>
  <c r="T156" i="5"/>
  <c r="AI296" i="4"/>
  <c r="F156" i="5"/>
  <c r="H156" i="5"/>
  <c r="I156" i="5" s="1"/>
  <c r="AG157" i="5"/>
  <c r="AF157" i="5"/>
  <c r="B252" i="4"/>
  <c r="T157" i="5"/>
  <c r="U157" i="5"/>
  <c r="AI252" i="4"/>
  <c r="F157" i="5"/>
  <c r="H157" i="5"/>
  <c r="I157" i="5"/>
  <c r="L157" i="5"/>
  <c r="N157" i="5"/>
  <c r="O157" i="5"/>
  <c r="Z157" i="5"/>
  <c r="AG158" i="5"/>
  <c r="AF158" i="5"/>
  <c r="B82" i="4"/>
  <c r="I158" i="5"/>
  <c r="T158" i="5"/>
  <c r="AI82" i="4"/>
  <c r="L158" i="5"/>
  <c r="N158" i="5"/>
  <c r="O158" i="5"/>
  <c r="Z158" i="5"/>
  <c r="AG159" i="5"/>
  <c r="AF159" i="5"/>
  <c r="B83" i="4"/>
  <c r="I159" i="5"/>
  <c r="T159" i="5"/>
  <c r="AI83" i="4"/>
  <c r="L159" i="5"/>
  <c r="N159" i="5"/>
  <c r="O159" i="5"/>
  <c r="Z159" i="5"/>
  <c r="AG160" i="5"/>
  <c r="AF160" i="5"/>
  <c r="B84" i="4"/>
  <c r="I160" i="5"/>
  <c r="T160" i="5"/>
  <c r="AI84" i="4"/>
  <c r="L160" i="5"/>
  <c r="N160" i="5"/>
  <c r="O160" i="5" s="1"/>
  <c r="Z160" i="5"/>
  <c r="AG161" i="5"/>
  <c r="AF161" i="5"/>
  <c r="B115" i="4"/>
  <c r="AA161" i="5"/>
  <c r="AI115" i="4"/>
  <c r="F161" i="5"/>
  <c r="H161" i="5"/>
  <c r="I161" i="5" s="1"/>
  <c r="L161" i="5"/>
  <c r="N161" i="5"/>
  <c r="O161" i="5" s="1"/>
  <c r="Z161" i="5"/>
  <c r="AG162" i="5"/>
  <c r="AF162" i="5"/>
  <c r="B126" i="4"/>
  <c r="T162" i="5"/>
  <c r="U162" i="5"/>
  <c r="AA162" i="5"/>
  <c r="AI126" i="4"/>
  <c r="F162" i="5"/>
  <c r="H162" i="5"/>
  <c r="I162" i="5" s="1"/>
  <c r="L162" i="5"/>
  <c r="N162" i="5"/>
  <c r="O162" i="5" s="1"/>
  <c r="Z162" i="5"/>
  <c r="AG163" i="5"/>
  <c r="AF163" i="5"/>
  <c r="B98" i="4"/>
  <c r="T163" i="5"/>
  <c r="AI98" i="4"/>
  <c r="F163" i="5"/>
  <c r="H163" i="5"/>
  <c r="I163" i="5" s="1"/>
  <c r="L163" i="5"/>
  <c r="N163" i="5"/>
  <c r="O163" i="5"/>
  <c r="Z163" i="5"/>
  <c r="O164" i="5"/>
  <c r="K164" i="5"/>
  <c r="AG164" i="5"/>
  <c r="AF164" i="5"/>
  <c r="B67" i="4"/>
  <c r="I164" i="5"/>
  <c r="T164" i="5"/>
  <c r="AI67" i="4"/>
  <c r="Z164" i="5"/>
  <c r="O165" i="5"/>
  <c r="B68" i="4"/>
  <c r="AG165" i="5"/>
  <c r="AF165" i="5"/>
  <c r="I165" i="5"/>
  <c r="L165" i="5"/>
  <c r="T165" i="5"/>
  <c r="AI68" i="4"/>
  <c r="Z165" i="5"/>
  <c r="O166" i="5"/>
  <c r="B99" i="4"/>
  <c r="AG166" i="5"/>
  <c r="AF166" i="5"/>
  <c r="I166" i="5"/>
  <c r="T166" i="5"/>
  <c r="AA166" i="5"/>
  <c r="AI99" i="4"/>
  <c r="AI166" i="5"/>
  <c r="Z166" i="5"/>
  <c r="AG167" i="5"/>
  <c r="AF167" i="5"/>
  <c r="B189" i="4"/>
  <c r="K167" i="5"/>
  <c r="T167" i="5"/>
  <c r="U167" i="5"/>
  <c r="AI189" i="4"/>
  <c r="F167" i="5"/>
  <c r="H167" i="5"/>
  <c r="I167" i="5" s="1"/>
  <c r="L167" i="5"/>
  <c r="N167" i="5"/>
  <c r="O167" i="5"/>
  <c r="Z167" i="5"/>
  <c r="AG168" i="5"/>
  <c r="AF168" i="5"/>
  <c r="B253" i="4"/>
  <c r="K168" i="5"/>
  <c r="T168" i="5"/>
  <c r="U168" i="5"/>
  <c r="AI253" i="4"/>
  <c r="F168" i="5"/>
  <c r="H168" i="5"/>
  <c r="I168" i="5"/>
  <c r="L168" i="5"/>
  <c r="N168" i="5"/>
  <c r="O168" i="5"/>
  <c r="Z168" i="5"/>
  <c r="AG169" i="5"/>
  <c r="AF169" i="5"/>
  <c r="B224" i="4"/>
  <c r="E169" i="5"/>
  <c r="K169" i="5"/>
  <c r="T169" i="5"/>
  <c r="AI224" i="4"/>
  <c r="F169" i="5"/>
  <c r="H169" i="5"/>
  <c r="I169" i="5"/>
  <c r="L169" i="5"/>
  <c r="N169" i="5"/>
  <c r="O169" i="5" s="1"/>
  <c r="Z169" i="5"/>
  <c r="AG170" i="5"/>
  <c r="AF170" i="5"/>
  <c r="B69" i="4"/>
  <c r="T170" i="5"/>
  <c r="AI69" i="4"/>
  <c r="F170" i="5"/>
  <c r="H170" i="5"/>
  <c r="I170" i="5"/>
  <c r="L170" i="5"/>
  <c r="N170" i="5"/>
  <c r="O170" i="5" s="1"/>
  <c r="Z170" i="5"/>
  <c r="F171" i="5"/>
  <c r="H171" i="5"/>
  <c r="I171" i="5" s="1"/>
  <c r="L171" i="5"/>
  <c r="N171" i="5"/>
  <c r="O171" i="5" s="1"/>
  <c r="Z171" i="5"/>
  <c r="AG172" i="5"/>
  <c r="AF172" i="5"/>
  <c r="B70" i="4"/>
  <c r="K172" i="5"/>
  <c r="T172" i="5"/>
  <c r="U172" i="5"/>
  <c r="AA172" i="5"/>
  <c r="AI70" i="4"/>
  <c r="AI172" i="5"/>
  <c r="F172" i="5"/>
  <c r="H172" i="5"/>
  <c r="I172" i="5"/>
  <c r="L172" i="5"/>
  <c r="N172" i="5"/>
  <c r="O172" i="5" s="1"/>
  <c r="Z172" i="5"/>
  <c r="B35" i="4"/>
  <c r="O173" i="5"/>
  <c r="K173" i="5"/>
  <c r="AG173" i="5"/>
  <c r="AF173" i="5"/>
  <c r="I173" i="5"/>
  <c r="T173" i="5"/>
  <c r="AI35" i="4"/>
  <c r="U35" i="4" s="1" a="1"/>
  <c r="U35" i="4" s="1"/>
  <c r="AD173" i="5" s="1"/>
  <c r="B4" i="4"/>
  <c r="O174" i="5"/>
  <c r="AG174" i="5"/>
  <c r="AF174" i="5"/>
  <c r="I174" i="5"/>
  <c r="T174" i="5"/>
  <c r="U174" i="5"/>
  <c r="AI4" i="4"/>
  <c r="AA175" i="5"/>
  <c r="O175" i="5"/>
  <c r="K175" i="5"/>
  <c r="AF175" i="5"/>
  <c r="L175" i="5"/>
  <c r="N175" i="5"/>
  <c r="AI6" i="4"/>
  <c r="AD175" i="5"/>
  <c r="F175" i="5"/>
  <c r="R175" i="5"/>
  <c r="T175" i="5"/>
  <c r="H175" i="5"/>
  <c r="I175" i="5"/>
  <c r="AA176" i="5"/>
  <c r="O176" i="5"/>
  <c r="K176" i="5"/>
  <c r="AF176" i="5"/>
  <c r="L176" i="5"/>
  <c r="N176" i="5"/>
  <c r="AI7" i="4"/>
  <c r="AD176" i="5"/>
  <c r="F176" i="5"/>
  <c r="R176" i="5"/>
  <c r="T176" i="5"/>
  <c r="H176" i="5"/>
  <c r="I176" i="5"/>
  <c r="AA177" i="5"/>
  <c r="O177" i="5"/>
  <c r="AF177" i="5"/>
  <c r="L177" i="5"/>
  <c r="T177" i="5"/>
  <c r="AI8" i="4"/>
  <c r="AD177" i="5"/>
  <c r="F177" i="5"/>
  <c r="H177" i="5"/>
  <c r="I177" i="5" s="1"/>
  <c r="AG178" i="5"/>
  <c r="AF178" i="5"/>
  <c r="B145" i="4"/>
  <c r="T178" i="5"/>
  <c r="U178" i="5"/>
  <c r="AI145" i="4"/>
  <c r="F178" i="5"/>
  <c r="L178" i="5"/>
  <c r="N178" i="5"/>
  <c r="O178" i="5" s="1"/>
  <c r="Z178" i="5"/>
  <c r="H178" i="5"/>
  <c r="I178" i="5"/>
  <c r="AG179" i="5"/>
  <c r="AF179" i="5"/>
  <c r="B128" i="4"/>
  <c r="I179" i="5"/>
  <c r="T179" i="5"/>
  <c r="AI128" i="4"/>
  <c r="L179" i="5"/>
  <c r="N179" i="5"/>
  <c r="O179" i="5"/>
  <c r="Z179" i="5"/>
  <c r="B14" i="4"/>
  <c r="O180" i="5"/>
  <c r="K180" i="5"/>
  <c r="AG180" i="5"/>
  <c r="AF180" i="5"/>
  <c r="I180" i="5"/>
  <c r="T180" i="5"/>
  <c r="U180" i="5"/>
  <c r="AI14" i="4"/>
  <c r="AI180" i="5"/>
  <c r="B15" i="4"/>
  <c r="O181" i="5"/>
  <c r="AG181" i="5"/>
  <c r="AF181" i="5"/>
  <c r="I181" i="5"/>
  <c r="T181" i="5"/>
  <c r="U181" i="5"/>
  <c r="AI15" i="4"/>
  <c r="T15" i="4" s="1" a="1"/>
  <c r="T15" i="4" s="1"/>
  <c r="AC181" i="5" s="1"/>
  <c r="B24" i="4"/>
  <c r="O182" i="5"/>
  <c r="AG182" i="5"/>
  <c r="AF182" i="5"/>
  <c r="I182" i="5"/>
  <c r="T182" i="5"/>
  <c r="U182" i="5"/>
  <c r="AI24" i="4"/>
  <c r="AI182" i="5"/>
  <c r="B16" i="4"/>
  <c r="O183" i="5"/>
  <c r="K183" i="5"/>
  <c r="AG183" i="5"/>
  <c r="AF183" i="5"/>
  <c r="I183" i="5"/>
  <c r="T183" i="5"/>
  <c r="U183" i="5"/>
  <c r="AI16" i="4"/>
  <c r="B17" i="4"/>
  <c r="O184" i="5"/>
  <c r="K184" i="5"/>
  <c r="AG184" i="5"/>
  <c r="AF184" i="5"/>
  <c r="I184" i="5"/>
  <c r="T184" i="5"/>
  <c r="U184" i="5"/>
  <c r="AI17" i="4"/>
  <c r="T17" i="4" s="1" a="1"/>
  <c r="T17" i="4" s="1"/>
  <c r="AC184" i="5" s="1"/>
  <c r="O185" i="5"/>
  <c r="AF185" i="5"/>
  <c r="I185" i="5"/>
  <c r="T185" i="5"/>
  <c r="AI18" i="4"/>
  <c r="AI185" i="5"/>
  <c r="O186" i="5"/>
  <c r="K186" i="5"/>
  <c r="AF186" i="5"/>
  <c r="I186" i="5"/>
  <c r="T186" i="5"/>
  <c r="U186" i="5"/>
  <c r="AI19" i="4"/>
  <c r="T19" i="4" s="1" a="1"/>
  <c r="T19" i="4" s="1"/>
  <c r="AC186" i="5" s="1"/>
  <c r="O187" i="5"/>
  <c r="K187" i="5"/>
  <c r="AF187" i="5"/>
  <c r="I187" i="5"/>
  <c r="T187" i="5"/>
  <c r="U187" i="5"/>
  <c r="AI20" i="4"/>
  <c r="AI187" i="5"/>
  <c r="AA188" i="5"/>
  <c r="O188" i="5"/>
  <c r="K188" i="5"/>
  <c r="AF188" i="5"/>
  <c r="L188" i="5"/>
  <c r="N188" i="5"/>
  <c r="AI9" i="4"/>
  <c r="AD188" i="5"/>
  <c r="R188" i="5"/>
  <c r="T188" i="5"/>
  <c r="F188" i="5"/>
  <c r="H188" i="5"/>
  <c r="I188" i="5" s="1"/>
  <c r="AF189" i="5"/>
  <c r="K189" i="5"/>
  <c r="T189" i="5"/>
  <c r="AI301" i="4"/>
  <c r="F189" i="5"/>
  <c r="H189" i="5"/>
  <c r="I189" i="5"/>
  <c r="L189" i="5"/>
  <c r="N189" i="5"/>
  <c r="O189" i="5"/>
  <c r="Z189" i="5"/>
  <c r="AF190" i="5"/>
  <c r="T190" i="5"/>
  <c r="AI71" i="4"/>
  <c r="F190" i="5"/>
  <c r="H190" i="5"/>
  <c r="I190" i="5" s="1"/>
  <c r="AD70" i="2" s="1"/>
  <c r="L190" i="5"/>
  <c r="N190" i="5"/>
  <c r="O190" i="5"/>
  <c r="AK70" i="2" s="1"/>
  <c r="Z190" i="5"/>
  <c r="AF191" i="5"/>
  <c r="T191" i="5"/>
  <c r="AA191" i="5"/>
  <c r="AI72" i="4"/>
  <c r="F191" i="5"/>
  <c r="H191" i="5"/>
  <c r="I191" i="5" s="1"/>
  <c r="AD71" i="2" s="1"/>
  <c r="L191" i="5"/>
  <c r="N191" i="5"/>
  <c r="O191" i="5" s="1"/>
  <c r="AK71" i="2" s="1"/>
  <c r="Z191" i="5"/>
  <c r="AF192" i="5"/>
  <c r="T192" i="5"/>
  <c r="AA192" i="5"/>
  <c r="AI73" i="4"/>
  <c r="F192" i="5"/>
  <c r="H192" i="5"/>
  <c r="I192" i="5" s="1"/>
  <c r="L192" i="5"/>
  <c r="N192" i="5"/>
  <c r="O192" i="5" s="1"/>
  <c r="Z192" i="5"/>
  <c r="AG193" i="5"/>
  <c r="AF193" i="5"/>
  <c r="B243" i="4"/>
  <c r="T193" i="5"/>
  <c r="U193" i="5"/>
  <c r="AI243" i="4"/>
  <c r="F193" i="5"/>
  <c r="H193" i="5"/>
  <c r="I193" i="5"/>
  <c r="L193" i="5"/>
  <c r="N193" i="5"/>
  <c r="O193" i="5"/>
  <c r="Z193" i="5"/>
  <c r="AG194" i="5"/>
  <c r="AF194" i="5"/>
  <c r="B254" i="4"/>
  <c r="K194" i="5"/>
  <c r="T194" i="5"/>
  <c r="AI254" i="4"/>
  <c r="F194" i="5"/>
  <c r="H194" i="5"/>
  <c r="I194" i="5" s="1"/>
  <c r="L194" i="5"/>
  <c r="N194" i="5"/>
  <c r="O194" i="5" s="1"/>
  <c r="Z194" i="5"/>
  <c r="AG195" i="5"/>
  <c r="AF195" i="5"/>
  <c r="B255" i="4"/>
  <c r="K195" i="5"/>
  <c r="T195" i="5"/>
  <c r="AI255" i="4"/>
  <c r="F195" i="5"/>
  <c r="H195" i="5"/>
  <c r="I195" i="5"/>
  <c r="L195" i="5"/>
  <c r="N195" i="5"/>
  <c r="O195" i="5"/>
  <c r="Z195" i="5"/>
  <c r="AG196" i="5"/>
  <c r="AF196" i="5"/>
  <c r="AI225" i="4"/>
  <c r="L196" i="5"/>
  <c r="N196" i="5"/>
  <c r="O196" i="5"/>
  <c r="AK72" i="2" s="1"/>
  <c r="Z196" i="5"/>
  <c r="AG197" i="5"/>
  <c r="AF197" i="5"/>
  <c r="AI226" i="4"/>
  <c r="Z197" i="5"/>
  <c r="AG198" i="5"/>
  <c r="AF198" i="5"/>
  <c r="AI264" i="4"/>
  <c r="L198" i="5"/>
  <c r="N198" i="5"/>
  <c r="O198" i="5"/>
  <c r="Z198" i="5"/>
  <c r="AG199" i="5"/>
  <c r="AF199" i="5"/>
  <c r="B131" i="4"/>
  <c r="E199" i="5"/>
  <c r="F199" i="5"/>
  <c r="H199" i="5"/>
  <c r="I199" i="5"/>
  <c r="T199" i="5"/>
  <c r="AI131" i="4"/>
  <c r="L199" i="5"/>
  <c r="N199" i="5"/>
  <c r="O199" i="5" s="1"/>
  <c r="Z199" i="5"/>
  <c r="AG200" i="5"/>
  <c r="AF200" i="5"/>
  <c r="B148" i="4"/>
  <c r="T200" i="5"/>
  <c r="AI148" i="4"/>
  <c r="L200" i="5"/>
  <c r="N200" i="5"/>
  <c r="O200" i="5"/>
  <c r="F200" i="5"/>
  <c r="H200" i="5"/>
  <c r="I200" i="5" s="1"/>
  <c r="Z200" i="5"/>
  <c r="AF201" i="5"/>
  <c r="K201" i="5"/>
  <c r="AI149" i="4"/>
  <c r="L201" i="5"/>
  <c r="N201" i="5"/>
  <c r="O201" i="5"/>
  <c r="F201" i="5"/>
  <c r="H201" i="5"/>
  <c r="I201" i="5"/>
  <c r="Z201" i="5"/>
  <c r="AF202" i="5"/>
  <c r="K202" i="5"/>
  <c r="AI150" i="4"/>
  <c r="F202" i="5"/>
  <c r="H202" i="5"/>
  <c r="I202" i="5" s="1"/>
  <c r="Z202" i="5"/>
  <c r="AF203" i="5"/>
  <c r="K203" i="5"/>
  <c r="AI227" i="4"/>
  <c r="L203" i="5"/>
  <c r="N203" i="5"/>
  <c r="O203" i="5" s="1"/>
  <c r="F203" i="5"/>
  <c r="H203" i="5"/>
  <c r="I203" i="5"/>
  <c r="Z203" i="5"/>
  <c r="AF204" i="5"/>
  <c r="K204" i="5"/>
  <c r="T204" i="5"/>
  <c r="U204" i="5"/>
  <c r="AI151" i="4"/>
  <c r="L204" i="5"/>
  <c r="N204" i="5"/>
  <c r="O204" i="5" s="1"/>
  <c r="F204" i="5"/>
  <c r="H204" i="5"/>
  <c r="I204" i="5" s="1"/>
  <c r="Z204" i="5"/>
  <c r="AF205" i="5"/>
  <c r="K205" i="5"/>
  <c r="AI152" i="4"/>
  <c r="F205" i="5"/>
  <c r="H205" i="5"/>
  <c r="I205" i="5"/>
  <c r="Z205" i="5"/>
  <c r="AF206" i="5"/>
  <c r="K206" i="5"/>
  <c r="AI153" i="4"/>
  <c r="L206" i="5"/>
  <c r="N206" i="5"/>
  <c r="O206" i="5" s="1"/>
  <c r="F206" i="5"/>
  <c r="H206" i="5"/>
  <c r="I206" i="5" s="1"/>
  <c r="Z206" i="5"/>
  <c r="AG207" i="5"/>
  <c r="AF207" i="5"/>
  <c r="B154" i="4"/>
  <c r="F207" i="5"/>
  <c r="H207" i="5"/>
  <c r="I207" i="5"/>
  <c r="Z207" i="5"/>
  <c r="AG208" i="5"/>
  <c r="AF208" i="5"/>
  <c r="AI74" i="4"/>
  <c r="F208" i="5"/>
  <c r="H208" i="5"/>
  <c r="I208" i="5"/>
  <c r="L208" i="5"/>
  <c r="N208" i="5"/>
  <c r="O208" i="5" s="1"/>
  <c r="Z208" i="5"/>
  <c r="AG209" i="5"/>
  <c r="AF209" i="5"/>
  <c r="I209" i="5"/>
  <c r="AI155" i="4"/>
  <c r="L209" i="5"/>
  <c r="N209" i="5"/>
  <c r="O209" i="5" s="1"/>
  <c r="Z209" i="5"/>
  <c r="AG210" i="5"/>
  <c r="AF210" i="5"/>
  <c r="B193" i="4"/>
  <c r="I210" i="5"/>
  <c r="AC210" i="5"/>
  <c r="AD210" i="5"/>
  <c r="L210" i="5"/>
  <c r="N210" i="5"/>
  <c r="O210" i="5" s="1"/>
  <c r="Z210" i="5"/>
  <c r="AG211" i="5"/>
  <c r="AF211" i="5"/>
  <c r="I211" i="5"/>
  <c r="AI156" i="4"/>
  <c r="L211" i="5"/>
  <c r="N211" i="5"/>
  <c r="O211" i="5"/>
  <c r="Z211" i="5"/>
  <c r="AG212" i="5"/>
  <c r="AF212" i="5"/>
  <c r="I212" i="5"/>
  <c r="AI157" i="4"/>
  <c r="L212" i="5"/>
  <c r="N212" i="5"/>
  <c r="O212" i="5"/>
  <c r="Z212" i="5"/>
  <c r="AF213" i="5"/>
  <c r="I213" i="5"/>
  <c r="T213" i="5"/>
  <c r="AI256" i="4"/>
  <c r="L213" i="5"/>
  <c r="N213" i="5"/>
  <c r="O213" i="5" s="1"/>
  <c r="Z213" i="5"/>
  <c r="AG214" i="5"/>
  <c r="AF214" i="5"/>
  <c r="B288" i="4"/>
  <c r="I214" i="5"/>
  <c r="T214" i="5"/>
  <c r="AI288" i="4"/>
  <c r="L214" i="5"/>
  <c r="N214" i="5"/>
  <c r="O214" i="5"/>
  <c r="Z214" i="5"/>
  <c r="O215" i="5"/>
  <c r="B159" i="4"/>
  <c r="AG215" i="5"/>
  <c r="AF215" i="5"/>
  <c r="I215" i="5"/>
  <c r="AI159" i="4"/>
  <c r="Z215" i="5"/>
  <c r="O216" i="5"/>
  <c r="B160" i="4"/>
  <c r="AG216" i="5"/>
  <c r="AF216" i="5"/>
  <c r="I216" i="5"/>
  <c r="T216" i="5"/>
  <c r="AI160" i="4"/>
  <c r="Z216" i="5"/>
  <c r="O217" i="5"/>
  <c r="B161" i="4"/>
  <c r="AG217" i="5"/>
  <c r="AF217" i="5"/>
  <c r="I217" i="5"/>
  <c r="T217" i="5"/>
  <c r="AI161" i="4"/>
  <c r="Z217" i="5"/>
  <c r="AG218" i="5"/>
  <c r="AF218" i="5"/>
  <c r="B228" i="4"/>
  <c r="AI228" i="4"/>
  <c r="F218" i="5"/>
  <c r="H218" i="5"/>
  <c r="I218" i="5" s="1"/>
  <c r="L218" i="5"/>
  <c r="N218" i="5"/>
  <c r="O218" i="5"/>
  <c r="Z218" i="5"/>
  <c r="AF219" i="5"/>
  <c r="I219" i="5"/>
  <c r="T219" i="5"/>
  <c r="AA219" i="5"/>
  <c r="AI244" i="4"/>
  <c r="L219" i="5"/>
  <c r="N219" i="5"/>
  <c r="O219" i="5"/>
  <c r="Z219" i="5"/>
  <c r="AF220" i="5"/>
  <c r="I220" i="5"/>
  <c r="T220" i="5"/>
  <c r="AI230" i="4"/>
  <c r="T230" i="4" s="1" a="1"/>
  <c r="T230" i="4" s="1"/>
  <c r="AC220" i="5" s="1"/>
  <c r="AL233" i="8" s="1"/>
  <c r="L220" i="5"/>
  <c r="N220" i="5"/>
  <c r="O220" i="5"/>
  <c r="Z220" i="5"/>
  <c r="O221" i="5"/>
  <c r="B231" i="4"/>
  <c r="AG221" i="5"/>
  <c r="AF221" i="5"/>
  <c r="I221" i="5"/>
  <c r="T221" i="5"/>
  <c r="AI231" i="4"/>
  <c r="Z221" i="5"/>
  <c r="AG222" i="5"/>
  <c r="AF222" i="5"/>
  <c r="T222" i="5"/>
  <c r="AI282" i="4"/>
  <c r="Z222" i="5"/>
  <c r="AG223" i="5"/>
  <c r="AF223" i="5"/>
  <c r="B216" i="4"/>
  <c r="E223" i="5"/>
  <c r="K223" i="5"/>
  <c r="T223" i="5"/>
  <c r="X223" i="5"/>
  <c r="AA223" i="5"/>
  <c r="AI216" i="4"/>
  <c r="F223" i="5"/>
  <c r="H223" i="5"/>
  <c r="I223" i="5" s="1"/>
  <c r="L223" i="5"/>
  <c r="N223" i="5"/>
  <c r="O223" i="5" s="1"/>
  <c r="Z223" i="5"/>
  <c r="O224" i="5"/>
  <c r="B85" i="4"/>
  <c r="AG224" i="5"/>
  <c r="AF224" i="5"/>
  <c r="T224" i="5"/>
  <c r="AI237" i="8" s="1"/>
  <c r="AA224" i="5"/>
  <c r="AI85" i="4"/>
  <c r="F224" i="5"/>
  <c r="H224" i="5"/>
  <c r="I224" i="5"/>
  <c r="Z224" i="5"/>
  <c r="AG225" i="5"/>
  <c r="AF225" i="5"/>
  <c r="T225" i="5"/>
  <c r="AI271" i="4"/>
  <c r="X225" i="5"/>
  <c r="Z225" i="5"/>
  <c r="AF226" i="5"/>
  <c r="U226" i="5"/>
  <c r="AI133" i="4"/>
  <c r="AG227" i="5"/>
  <c r="AF227" i="5"/>
  <c r="B217" i="4"/>
  <c r="E227" i="5"/>
  <c r="T227" i="5"/>
  <c r="X227" i="5"/>
  <c r="AA227" i="5"/>
  <c r="AI217" i="4"/>
  <c r="AI227" i="5"/>
  <c r="AJ227" i="5"/>
  <c r="F227" i="5"/>
  <c r="H227" i="5"/>
  <c r="I227" i="5" s="1"/>
  <c r="L227" i="5"/>
  <c r="N227" i="5"/>
  <c r="O227" i="5" s="1"/>
  <c r="Z227" i="5"/>
  <c r="O228" i="5"/>
  <c r="K228" i="5"/>
  <c r="AG228" i="5"/>
  <c r="AF228" i="5"/>
  <c r="B195" i="4"/>
  <c r="I228" i="5"/>
  <c r="T24" i="8" s="1"/>
  <c r="T228" i="5"/>
  <c r="AI195" i="4"/>
  <c r="AI228" i="5"/>
  <c r="Z228" i="5"/>
  <c r="AG229" i="5"/>
  <c r="AF229" i="5"/>
  <c r="B245" i="4"/>
  <c r="I229" i="5"/>
  <c r="T229" i="5"/>
  <c r="AI245" i="4"/>
  <c r="L229" i="5"/>
  <c r="N229" i="5"/>
  <c r="O229" i="5"/>
  <c r="Z229" i="5"/>
  <c r="AG230" i="5"/>
  <c r="AF230" i="5"/>
  <c r="U230" i="5"/>
  <c r="AI246" i="4"/>
  <c r="Z230" i="5"/>
  <c r="AG231" i="5"/>
  <c r="AF231" i="5"/>
  <c r="B247" i="4"/>
  <c r="T231" i="5"/>
  <c r="AI247" i="4"/>
  <c r="L231" i="5"/>
  <c r="N231" i="5"/>
  <c r="O231" i="5"/>
  <c r="F231" i="5"/>
  <c r="H231" i="5"/>
  <c r="I231" i="5" s="1"/>
  <c r="Z231" i="5"/>
  <c r="AG232" i="5"/>
  <c r="AF232" i="5"/>
  <c r="B117" i="4"/>
  <c r="T232" i="5"/>
  <c r="AI117" i="4"/>
  <c r="L232" i="5"/>
  <c r="N232" i="5"/>
  <c r="O232" i="5"/>
  <c r="F232" i="5"/>
  <c r="H232" i="5"/>
  <c r="I232" i="5" s="1"/>
  <c r="Z232" i="5"/>
  <c r="AF233" i="5"/>
  <c r="K233" i="5"/>
  <c r="T233" i="5"/>
  <c r="U233" i="5"/>
  <c r="AI48" i="4"/>
  <c r="L233" i="5"/>
  <c r="N233" i="5"/>
  <c r="O233" i="5" s="1"/>
  <c r="F233" i="5"/>
  <c r="H233" i="5"/>
  <c r="I233" i="5" s="1"/>
  <c r="AG234" i="5"/>
  <c r="AF234" i="5"/>
  <c r="B197" i="4"/>
  <c r="K234" i="5"/>
  <c r="T234" i="5"/>
  <c r="U234" i="5"/>
  <c r="AI197" i="4"/>
  <c r="F234" i="5"/>
  <c r="H234" i="5"/>
  <c r="I234" i="5"/>
  <c r="L234" i="5"/>
  <c r="N234" i="5"/>
  <c r="O234" i="5" s="1"/>
  <c r="Z234" i="5"/>
  <c r="AF235" i="5"/>
  <c r="K235" i="5"/>
  <c r="T235" i="5"/>
  <c r="U235" i="5"/>
  <c r="AI198" i="4"/>
  <c r="F235" i="5"/>
  <c r="H235" i="5"/>
  <c r="I235" i="5"/>
  <c r="L235" i="5"/>
  <c r="N235" i="5"/>
  <c r="O235" i="5"/>
  <c r="Z235" i="5"/>
  <c r="AF236" i="5"/>
  <c r="K236" i="5"/>
  <c r="T236" i="5"/>
  <c r="U236" i="5"/>
  <c r="AI118" i="4"/>
  <c r="F236" i="5"/>
  <c r="H236" i="5"/>
  <c r="I236" i="5" s="1"/>
  <c r="L236" i="5"/>
  <c r="N236" i="5"/>
  <c r="O236" i="5" s="1"/>
  <c r="Z236" i="5"/>
  <c r="AG237" i="5"/>
  <c r="AF237" i="5"/>
  <c r="B162" i="4"/>
  <c r="K237" i="5"/>
  <c r="T237" i="5"/>
  <c r="U237" i="5"/>
  <c r="AI162" i="4"/>
  <c r="F237" i="5"/>
  <c r="H237" i="5"/>
  <c r="I237" i="5" s="1"/>
  <c r="L237" i="5"/>
  <c r="N237" i="5"/>
  <c r="O237" i="5"/>
  <c r="Z237" i="5"/>
  <c r="AF238" i="5"/>
  <c r="K238" i="5"/>
  <c r="T238" i="5"/>
  <c r="U238" i="5"/>
  <c r="AI100" i="4"/>
  <c r="F238" i="5"/>
  <c r="H238" i="5"/>
  <c r="I238" i="5"/>
  <c r="L238" i="5"/>
  <c r="N238" i="5"/>
  <c r="O238" i="5" s="1"/>
  <c r="Z238" i="5"/>
  <c r="AG239" i="5"/>
  <c r="AF239" i="5"/>
  <c r="I239" i="5"/>
  <c r="K239" i="5"/>
  <c r="T239" i="5"/>
  <c r="L239" i="5"/>
  <c r="N239" i="5"/>
  <c r="O239" i="5"/>
  <c r="Z239" i="5"/>
  <c r="AG241" i="5"/>
  <c r="AF241" i="5"/>
  <c r="T241" i="5"/>
  <c r="AI119" i="4"/>
  <c r="X241" i="5"/>
  <c r="Z241" i="5"/>
  <c r="AG242" i="5"/>
  <c r="AF242" i="5"/>
  <c r="B218" i="4"/>
  <c r="T242" i="5"/>
  <c r="U242" i="5"/>
  <c r="AA242" i="5"/>
  <c r="AI218" i="4"/>
  <c r="F242" i="5"/>
  <c r="H242" i="5"/>
  <c r="I242" i="5"/>
  <c r="L242" i="5"/>
  <c r="N242" i="5"/>
  <c r="O242" i="5" s="1"/>
  <c r="Z242" i="5"/>
  <c r="AG243" i="5"/>
  <c r="AF243" i="5"/>
  <c r="B199" i="4"/>
  <c r="T243" i="5"/>
  <c r="AA243" i="5"/>
  <c r="AI199" i="4"/>
  <c r="AI243" i="5"/>
  <c r="F243" i="5"/>
  <c r="H243" i="5"/>
  <c r="I243" i="5" s="1"/>
  <c r="L243" i="5"/>
  <c r="N243" i="5"/>
  <c r="O243" i="5" s="1"/>
  <c r="Z243" i="5"/>
  <c r="AG244" i="5"/>
  <c r="AF244" i="5"/>
  <c r="B200" i="4"/>
  <c r="T244" i="5"/>
  <c r="AA244" i="5"/>
  <c r="AI200" i="4"/>
  <c r="AI244" i="5"/>
  <c r="F244" i="5"/>
  <c r="H244" i="5"/>
  <c r="I244" i="5"/>
  <c r="L244" i="5"/>
  <c r="N244" i="5"/>
  <c r="O244" i="5" s="1"/>
  <c r="Z244" i="5"/>
  <c r="AG245" i="5"/>
  <c r="AF245" i="5"/>
  <c r="B165" i="4"/>
  <c r="T245" i="5"/>
  <c r="U245" i="5"/>
  <c r="AA245" i="5"/>
  <c r="AI165" i="4"/>
  <c r="F245" i="5"/>
  <c r="H245" i="5"/>
  <c r="I245" i="5" s="1"/>
  <c r="L245" i="5"/>
  <c r="N245" i="5"/>
  <c r="O245" i="5" s="1"/>
  <c r="Z245" i="5"/>
  <c r="AG246" i="5"/>
  <c r="AF246" i="5"/>
  <c r="B166" i="4"/>
  <c r="T246" i="5"/>
  <c r="U246" i="5"/>
  <c r="AA246" i="5"/>
  <c r="AI166" i="4"/>
  <c r="F246" i="5"/>
  <c r="H246" i="5"/>
  <c r="I246" i="5" s="1"/>
  <c r="L246" i="5"/>
  <c r="N246" i="5"/>
  <c r="O246" i="5" s="1"/>
  <c r="Z246" i="5"/>
  <c r="AG247" i="5"/>
  <c r="AF247" i="5"/>
  <c r="B167" i="4"/>
  <c r="T247" i="5"/>
  <c r="U247" i="5"/>
  <c r="AA247" i="5"/>
  <c r="AI167" i="4"/>
  <c r="F247" i="5"/>
  <c r="H247" i="5"/>
  <c r="I247" i="5" s="1"/>
  <c r="L247" i="5"/>
  <c r="N247" i="5"/>
  <c r="O247" i="5"/>
  <c r="Z247" i="5"/>
  <c r="AG248" i="5"/>
  <c r="AF248" i="5"/>
  <c r="T248" i="5"/>
  <c r="U248" i="5"/>
  <c r="AA248" i="5"/>
  <c r="AI168" i="4"/>
  <c r="F248" i="5"/>
  <c r="H248" i="5"/>
  <c r="I248" i="5"/>
  <c r="L248" i="5"/>
  <c r="N248" i="5"/>
  <c r="O248" i="5"/>
  <c r="Z248" i="5"/>
  <c r="AG249" i="5"/>
  <c r="AF249" i="5"/>
  <c r="B201" i="4"/>
  <c r="T249" i="5"/>
  <c r="AI201" i="4"/>
  <c r="F249" i="5"/>
  <c r="H249" i="5"/>
  <c r="I249" i="5" s="1"/>
  <c r="L249" i="5"/>
  <c r="N249" i="5"/>
  <c r="O249" i="5"/>
  <c r="Z249" i="5"/>
  <c r="AG250" i="5"/>
  <c r="AF250" i="5"/>
  <c r="B75" i="4"/>
  <c r="T250" i="5"/>
  <c r="AI75" i="4"/>
  <c r="F250" i="5"/>
  <c r="H250" i="5"/>
  <c r="I250" i="5" s="1"/>
  <c r="L250" i="5"/>
  <c r="N250" i="5"/>
  <c r="O250" i="5"/>
  <c r="Z250" i="5"/>
  <c r="AG251" i="5"/>
  <c r="AF251" i="5"/>
  <c r="B204" i="4"/>
  <c r="K251" i="5"/>
  <c r="T251" i="5"/>
  <c r="AI204" i="4"/>
  <c r="F251" i="5"/>
  <c r="H251" i="5"/>
  <c r="I251" i="5"/>
  <c r="L251" i="5"/>
  <c r="N251" i="5"/>
  <c r="O251" i="5" s="1"/>
  <c r="Z251" i="5"/>
  <c r="AG252" i="5"/>
  <c r="AF252" i="5"/>
  <c r="B25" i="4"/>
  <c r="K252" i="5"/>
  <c r="T252" i="5"/>
  <c r="U252" i="5"/>
  <c r="AA252" i="5"/>
  <c r="AI25" i="4"/>
  <c r="F252" i="5"/>
  <c r="H252" i="5"/>
  <c r="I252" i="5"/>
  <c r="L252" i="5"/>
  <c r="N252" i="5"/>
  <c r="O252" i="5"/>
  <c r="Z252" i="5"/>
  <c r="O253" i="5"/>
  <c r="K253" i="5"/>
  <c r="AG253" i="5"/>
  <c r="AF253" i="5"/>
  <c r="B235" i="4"/>
  <c r="T253" i="5"/>
  <c r="U253" i="5"/>
  <c r="AI235" i="4"/>
  <c r="F253" i="5"/>
  <c r="H253" i="5"/>
  <c r="I253" i="5"/>
  <c r="Z253" i="5"/>
  <c r="AG254" i="5"/>
  <c r="AF254" i="5"/>
  <c r="U254" i="5"/>
  <c r="AI10" i="4"/>
  <c r="Z254" i="5"/>
  <c r="O255" i="5"/>
  <c r="B11" i="4"/>
  <c r="AG255" i="5"/>
  <c r="AF255" i="5"/>
  <c r="T255" i="5"/>
  <c r="AA255" i="5"/>
  <c r="AI11" i="4"/>
  <c r="F255" i="5"/>
  <c r="H255" i="5"/>
  <c r="I255" i="5"/>
  <c r="Z255" i="5"/>
  <c r="AG256" i="5"/>
  <c r="AF256" i="5"/>
  <c r="B116" i="4"/>
  <c r="T256" i="5"/>
  <c r="W256" i="5"/>
  <c r="AA256" i="5"/>
  <c r="AI116" i="4"/>
  <c r="F256" i="5"/>
  <c r="H256" i="5"/>
  <c r="I256" i="5"/>
  <c r="L256" i="5"/>
  <c r="N256" i="5"/>
  <c r="O256" i="5" s="1"/>
  <c r="Z256" i="5"/>
  <c r="AG257" i="5"/>
  <c r="AF257" i="5"/>
  <c r="B57" i="4"/>
  <c r="K257" i="5"/>
  <c r="T257" i="5"/>
  <c r="U257" i="5"/>
  <c r="W257" i="5"/>
  <c r="AA257" i="5"/>
  <c r="AI57" i="4"/>
  <c r="F257" i="5"/>
  <c r="H257" i="5"/>
  <c r="I257" i="5" s="1"/>
  <c r="L257" i="5"/>
  <c r="N257" i="5"/>
  <c r="O257" i="5" s="1"/>
  <c r="Z257" i="5"/>
  <c r="AG258" i="5"/>
  <c r="AF258" i="5"/>
  <c r="B158" i="4"/>
  <c r="T258" i="5"/>
  <c r="AI158" i="4"/>
  <c r="F258" i="5"/>
  <c r="H258" i="5"/>
  <c r="I258" i="5"/>
  <c r="L258" i="5"/>
  <c r="N258" i="5"/>
  <c r="O258" i="5" s="1"/>
  <c r="Z258" i="5"/>
  <c r="AG259" i="5"/>
  <c r="AF259" i="5"/>
  <c r="B209" i="4"/>
  <c r="K259" i="5"/>
  <c r="T259" i="5"/>
  <c r="U259" i="5"/>
  <c r="AI209" i="4"/>
  <c r="F259" i="5"/>
  <c r="H259" i="5"/>
  <c r="I259" i="5" s="1"/>
  <c r="L259" i="5"/>
  <c r="N259" i="5"/>
  <c r="O259" i="5" s="1"/>
  <c r="Z259" i="5"/>
  <c r="AG260" i="5"/>
  <c r="AF260" i="5"/>
  <c r="T260" i="5"/>
  <c r="U260" i="5"/>
  <c r="AI137" i="4"/>
  <c r="F260" i="5"/>
  <c r="H260" i="5"/>
  <c r="I260" i="5"/>
  <c r="AD73" i="2" s="1"/>
  <c r="L260" i="5"/>
  <c r="AF73" i="2" s="1"/>
  <c r="N260" i="5"/>
  <c r="O260" i="5" s="1"/>
  <c r="AK73" i="2" s="1"/>
  <c r="Z260" i="5"/>
  <c r="AG261" i="5"/>
  <c r="AF261" i="5"/>
  <c r="B179" i="4"/>
  <c r="K261" i="5"/>
  <c r="F261" i="5"/>
  <c r="H261" i="5"/>
  <c r="I261" i="5"/>
  <c r="L261" i="5"/>
  <c r="N261" i="5"/>
  <c r="O261" i="5" s="1"/>
  <c r="Z261" i="5"/>
  <c r="AF262" i="5"/>
  <c r="K262" i="5"/>
  <c r="T262" i="5"/>
  <c r="U262" i="5"/>
  <c r="AI61" i="4"/>
  <c r="F262" i="5"/>
  <c r="H262" i="5"/>
  <c r="I262" i="5"/>
  <c r="L262" i="5"/>
  <c r="N262" i="5"/>
  <c r="O262" i="5"/>
  <c r="Z262" i="5"/>
  <c r="AG263" i="5"/>
  <c r="AA263" i="5"/>
  <c r="AI12" i="4"/>
  <c r="F263" i="5"/>
  <c r="H263" i="5"/>
  <c r="I263" i="5" s="1"/>
  <c r="L263" i="5"/>
  <c r="N263" i="5"/>
  <c r="O263" i="5"/>
  <c r="Z263" i="5"/>
  <c r="O264" i="5"/>
  <c r="K264" i="5"/>
  <c r="AG264" i="5"/>
  <c r="AF264" i="5"/>
  <c r="B27" i="4"/>
  <c r="I264" i="5"/>
  <c r="U264" i="5"/>
  <c r="AA264" i="5"/>
  <c r="AI27" i="4"/>
  <c r="AI264" i="5"/>
  <c r="Z264" i="5"/>
  <c r="AG265" i="5"/>
  <c r="AF265" i="5"/>
  <c r="B219" i="4"/>
  <c r="O265" i="5"/>
  <c r="AI219" i="4"/>
  <c r="F265" i="5"/>
  <c r="H265" i="5"/>
  <c r="I265" i="5" s="1"/>
  <c r="Z265" i="5"/>
  <c r="AG266" i="5"/>
  <c r="AF266" i="5"/>
  <c r="B102" i="4"/>
  <c r="K266" i="5"/>
  <c r="O266" i="5"/>
  <c r="U266" i="5"/>
  <c r="AI102" i="4"/>
  <c r="F266" i="5"/>
  <c r="H266" i="5"/>
  <c r="I266" i="5"/>
  <c r="Z266" i="5"/>
  <c r="AG267" i="5"/>
  <c r="AF267" i="5"/>
  <c r="B176" i="4"/>
  <c r="K267" i="5"/>
  <c r="U267" i="5"/>
  <c r="AI176" i="4"/>
  <c r="F267" i="5"/>
  <c r="L267" i="5"/>
  <c r="N267" i="5"/>
  <c r="O267" i="5" s="1"/>
  <c r="H267" i="5"/>
  <c r="I267" i="5" s="1"/>
  <c r="Z267" i="5"/>
  <c r="AG268" i="5"/>
  <c r="AF268" i="5"/>
  <c r="B29" i="4"/>
  <c r="I268" i="5"/>
  <c r="AI29" i="4"/>
  <c r="L268" i="5"/>
  <c r="N268" i="5"/>
  <c r="O268" i="5" s="1"/>
  <c r="Z268" i="5"/>
  <c r="O269" i="5"/>
  <c r="AF269" i="5"/>
  <c r="T269" i="5"/>
  <c r="AI222" i="4"/>
  <c r="F269" i="5"/>
  <c r="H269" i="5"/>
  <c r="I269" i="5"/>
  <c r="Z269" i="5"/>
  <c r="B63" i="4"/>
  <c r="AG270" i="5"/>
  <c r="AF270" i="5"/>
  <c r="I270" i="5"/>
  <c r="K270" i="5"/>
  <c r="T270" i="5"/>
  <c r="U270" i="5"/>
  <c r="AI63" i="4"/>
  <c r="L270" i="5"/>
  <c r="N270" i="5"/>
  <c r="O270" i="5" s="1"/>
  <c r="B183" i="4"/>
  <c r="AG271" i="5"/>
  <c r="AF271" i="5"/>
  <c r="I271" i="5"/>
  <c r="K271" i="5"/>
  <c r="AI183" i="4"/>
  <c r="L271" i="5"/>
  <c r="N271" i="5"/>
  <c r="O271" i="5"/>
  <c r="R271" i="5"/>
  <c r="O272" i="5"/>
  <c r="AF272" i="5"/>
  <c r="I272" i="5"/>
  <c r="AI297" i="4"/>
  <c r="Z272" i="5"/>
  <c r="O273" i="5"/>
  <c r="B95" i="4"/>
  <c r="AG273" i="5"/>
  <c r="AF273" i="5"/>
  <c r="I273" i="5"/>
  <c r="T273" i="5"/>
  <c r="W273" i="5"/>
  <c r="AA273" i="5"/>
  <c r="AI95" i="4"/>
  <c r="Z273" i="5"/>
  <c r="AG274" i="5"/>
  <c r="AF274" i="5"/>
  <c r="B112" i="4"/>
  <c r="T274" i="5"/>
  <c r="AI112" i="4"/>
  <c r="F274" i="5"/>
  <c r="L274" i="5"/>
  <c r="N274" i="5"/>
  <c r="O274" i="5"/>
  <c r="H274" i="5"/>
  <c r="I274" i="5"/>
  <c r="Z274" i="5"/>
  <c r="O275" i="5"/>
  <c r="K275" i="5"/>
  <c r="AF275" i="5"/>
  <c r="L275" i="5"/>
  <c r="N275" i="5"/>
  <c r="U275" i="5"/>
  <c r="X275" i="5"/>
  <c r="AA275" i="5"/>
  <c r="AI30" i="4"/>
  <c r="F275" i="5"/>
  <c r="H275" i="5"/>
  <c r="I275" i="5"/>
  <c r="Z275" i="5"/>
  <c r="AF276" i="5"/>
  <c r="U276" i="5"/>
  <c r="AA276" i="5"/>
  <c r="AI124" i="4"/>
  <c r="F276" i="5"/>
  <c r="L276" i="5"/>
  <c r="N276" i="5"/>
  <c r="O276" i="5" s="1"/>
  <c r="H276" i="5"/>
  <c r="I276" i="5" s="1"/>
  <c r="Z276" i="5"/>
  <c r="O277" i="5"/>
  <c r="B66" i="4"/>
  <c r="AG277" i="5"/>
  <c r="AF277" i="5"/>
  <c r="I277" i="5"/>
  <c r="AA277" i="5"/>
  <c r="AI66" i="4"/>
  <c r="Z277" i="5"/>
  <c r="AF278" i="5"/>
  <c r="U278" i="5"/>
  <c r="AA278" i="5"/>
  <c r="AI125" i="4"/>
  <c r="L278" i="5"/>
  <c r="N278" i="5"/>
  <c r="O278" i="5" s="1"/>
  <c r="F278" i="5"/>
  <c r="H278" i="5"/>
  <c r="I278" i="5"/>
  <c r="Z278" i="5"/>
  <c r="O279" i="5"/>
  <c r="K279" i="5"/>
  <c r="AG279" i="5"/>
  <c r="AF279" i="5"/>
  <c r="AI41" i="4"/>
  <c r="F279" i="5"/>
  <c r="H279" i="5"/>
  <c r="I279" i="5"/>
  <c r="Z279" i="5"/>
  <c r="AG280" i="5"/>
  <c r="AF280" i="5"/>
  <c r="B251" i="4"/>
  <c r="T280" i="5"/>
  <c r="AI251" i="4"/>
  <c r="F280" i="5"/>
  <c r="H280" i="5"/>
  <c r="I280" i="5" s="1"/>
  <c r="L280" i="5"/>
  <c r="N280" i="5"/>
  <c r="O280" i="5"/>
  <c r="Z280" i="5"/>
  <c r="AF281" i="5"/>
  <c r="T281" i="5"/>
  <c r="AI190" i="4"/>
  <c r="F281" i="5"/>
  <c r="H281" i="5"/>
  <c r="I281" i="5" s="1"/>
  <c r="AD63" i="2" s="1"/>
  <c r="L281" i="5"/>
  <c r="N281" i="5"/>
  <c r="O281" i="5" s="1"/>
  <c r="AK63" i="2" s="1"/>
  <c r="Z281" i="5"/>
  <c r="AF282" i="5"/>
  <c r="T282" i="5"/>
  <c r="AI191" i="4"/>
  <c r="F282" i="5"/>
  <c r="H282" i="5"/>
  <c r="I282" i="5"/>
  <c r="L282" i="5"/>
  <c r="N282" i="5"/>
  <c r="O282" i="5"/>
  <c r="Z282" i="5"/>
  <c r="AF283" i="5"/>
  <c r="T283" i="5"/>
  <c r="AI129" i="4"/>
  <c r="F283" i="5"/>
  <c r="H283" i="5"/>
  <c r="I283" i="5" s="1"/>
  <c r="L283" i="5"/>
  <c r="N283" i="5"/>
  <c r="O283" i="5" s="1"/>
  <c r="Z283" i="5"/>
  <c r="AF284" i="5"/>
  <c r="K284" i="5"/>
  <c r="U284" i="5"/>
  <c r="AI146" i="4"/>
  <c r="F284" i="5"/>
  <c r="H284" i="5"/>
  <c r="I284" i="5" s="1"/>
  <c r="L284" i="5"/>
  <c r="N284" i="5"/>
  <c r="O284" i="5" s="1"/>
  <c r="Z284" i="5"/>
  <c r="AF285" i="5"/>
  <c r="K285" i="5"/>
  <c r="U285" i="5"/>
  <c r="AI192" i="4"/>
  <c r="F285" i="5"/>
  <c r="H285" i="5"/>
  <c r="I285" i="5" s="1"/>
  <c r="L285" i="5"/>
  <c r="N285" i="5"/>
  <c r="O285" i="5" s="1"/>
  <c r="Z285" i="5"/>
  <c r="AG286" i="5"/>
  <c r="AF286" i="5"/>
  <c r="B279" i="4"/>
  <c r="T286" i="5"/>
  <c r="AI279" i="4"/>
  <c r="F286" i="5"/>
  <c r="H286" i="5"/>
  <c r="I286" i="5" s="1"/>
  <c r="L286" i="5"/>
  <c r="N286" i="5"/>
  <c r="O286" i="5" s="1"/>
  <c r="Z286" i="5"/>
  <c r="AG287" i="5"/>
  <c r="AF287" i="5"/>
  <c r="B287" i="4"/>
  <c r="T287" i="5"/>
  <c r="AI287" i="4"/>
  <c r="F287" i="5"/>
  <c r="H287" i="5"/>
  <c r="I287" i="5" s="1"/>
  <c r="L287" i="5"/>
  <c r="N287" i="5"/>
  <c r="O287" i="5" s="1"/>
  <c r="Z287" i="5"/>
  <c r="AF288" i="5"/>
  <c r="T288" i="5"/>
  <c r="AI274" i="4"/>
  <c r="Z288" i="5"/>
  <c r="AF289" i="5"/>
  <c r="T289" i="5"/>
  <c r="AI263" i="4"/>
  <c r="F289" i="5"/>
  <c r="H289" i="5"/>
  <c r="I289" i="5" s="1"/>
  <c r="L289" i="5"/>
  <c r="N289" i="5"/>
  <c r="O289" i="5" s="1"/>
  <c r="Z289" i="5"/>
  <c r="AF290" i="5"/>
  <c r="T290" i="5"/>
  <c r="AI280" i="4"/>
  <c r="F290" i="5"/>
  <c r="H290" i="5"/>
  <c r="I290" i="5"/>
  <c r="L290" i="5"/>
  <c r="N290" i="5"/>
  <c r="O290" i="5"/>
  <c r="Z290" i="5"/>
  <c r="AF291" i="5"/>
  <c r="T291" i="5"/>
  <c r="AI270" i="4"/>
  <c r="F291" i="5"/>
  <c r="H291" i="5"/>
  <c r="I291" i="5" s="1"/>
  <c r="L291" i="5"/>
  <c r="N291" i="5"/>
  <c r="O291" i="5" s="1"/>
  <c r="Z291" i="5"/>
  <c r="B281" i="4"/>
  <c r="AG292" i="5"/>
  <c r="AF292" i="5"/>
  <c r="AI281" i="4"/>
  <c r="F292" i="5"/>
  <c r="H292" i="5"/>
  <c r="I292" i="5" s="1"/>
  <c r="L292" i="5"/>
  <c r="N292" i="5"/>
  <c r="O292" i="5"/>
  <c r="AG293" i="5"/>
  <c r="AF293" i="5"/>
  <c r="B147" i="4"/>
  <c r="AI147" i="4"/>
  <c r="F293" i="5"/>
  <c r="H293" i="5"/>
  <c r="I293" i="5" s="1"/>
  <c r="L293" i="5"/>
  <c r="N293" i="5"/>
  <c r="O293" i="5" s="1"/>
  <c r="Z293" i="5"/>
  <c r="AG294" i="5"/>
  <c r="AF294" i="5"/>
  <c r="B132" i="4"/>
  <c r="K294" i="5"/>
  <c r="T294" i="5"/>
  <c r="U294" i="5"/>
  <c r="AI132" i="4"/>
  <c r="F294" i="5"/>
  <c r="H294" i="5"/>
  <c r="I294" i="5" s="1"/>
  <c r="L294" i="5"/>
  <c r="N294" i="5"/>
  <c r="O294" i="5"/>
  <c r="Z294" i="5"/>
  <c r="AG295" i="5"/>
  <c r="AF295" i="5"/>
  <c r="B257" i="4"/>
  <c r="T295" i="5"/>
  <c r="AI257" i="4"/>
  <c r="F295" i="5"/>
  <c r="H295" i="5"/>
  <c r="I295" i="5"/>
  <c r="L295" i="5"/>
  <c r="N295" i="5"/>
  <c r="O295" i="5"/>
  <c r="Z295" i="5"/>
  <c r="AG296" i="5"/>
  <c r="AF296" i="5"/>
  <c r="B258" i="4"/>
  <c r="T296" i="5"/>
  <c r="AI258" i="4"/>
  <c r="F296" i="5"/>
  <c r="H296" i="5"/>
  <c r="I296" i="5"/>
  <c r="L296" i="5"/>
  <c r="N296" i="5"/>
  <c r="O296" i="5"/>
  <c r="Z296" i="5"/>
  <c r="AG297" i="5"/>
  <c r="AF297" i="5"/>
  <c r="B259" i="4"/>
  <c r="T297" i="5"/>
  <c r="AI259" i="4"/>
  <c r="F297" i="5"/>
  <c r="H297" i="5"/>
  <c r="I297" i="5"/>
  <c r="L297" i="5"/>
  <c r="N297" i="5"/>
  <c r="O297" i="5" s="1"/>
  <c r="Z297" i="5"/>
  <c r="O298" i="5"/>
  <c r="K298" i="5"/>
  <c r="AG298" i="5"/>
  <c r="AF298" i="5"/>
  <c r="AD298" i="5"/>
  <c r="F298" i="5"/>
  <c r="H298" i="5"/>
  <c r="I298" i="5" s="1"/>
  <c r="Z298" i="5"/>
  <c r="O303" i="5"/>
  <c r="K303" i="5"/>
  <c r="AI45" i="2" s="1"/>
  <c r="AG303" i="5"/>
  <c r="F303" i="5"/>
  <c r="H303" i="5"/>
  <c r="I303" i="5" s="1"/>
  <c r="Z303" i="5"/>
  <c r="AG304" i="5"/>
  <c r="F304" i="5"/>
  <c r="H304" i="5"/>
  <c r="I304" i="5"/>
  <c r="AD60" i="2" s="1"/>
  <c r="Z304" i="5"/>
  <c r="O305" i="5"/>
  <c r="K305" i="5"/>
  <c r="AG305" i="5"/>
  <c r="F305" i="5"/>
  <c r="H305" i="5"/>
  <c r="I305" i="5"/>
  <c r="Z305" i="5"/>
  <c r="AG306" i="5"/>
  <c r="F306" i="5"/>
  <c r="H306" i="5"/>
  <c r="I306" i="5" s="1"/>
  <c r="AD80" i="2" s="1"/>
  <c r="Z306" i="5"/>
  <c r="O307" i="5"/>
  <c r="K307" i="5"/>
  <c r="AG307" i="5"/>
  <c r="F307" i="5"/>
  <c r="H307" i="5"/>
  <c r="I307" i="5"/>
  <c r="Z307" i="5"/>
  <c r="O308" i="5"/>
  <c r="K308" i="5"/>
  <c r="AG308" i="5"/>
  <c r="AC308" i="5"/>
  <c r="AD308" i="5"/>
  <c r="F308" i="5"/>
  <c r="H308" i="5"/>
  <c r="I308" i="5"/>
  <c r="Z308" i="5"/>
  <c r="O309" i="5"/>
  <c r="K309" i="5"/>
  <c r="AG309" i="5"/>
  <c r="AD309" i="5"/>
  <c r="F309" i="5"/>
  <c r="H309" i="5"/>
  <c r="I309" i="5"/>
  <c r="Z309" i="5"/>
  <c r="O310" i="5"/>
  <c r="K310" i="5"/>
  <c r="AG310" i="5"/>
  <c r="F310" i="5"/>
  <c r="H310" i="5"/>
  <c r="I310" i="5" s="1"/>
  <c r="Z310" i="5"/>
  <c r="O311" i="5"/>
  <c r="K311" i="5"/>
  <c r="AG311" i="5"/>
  <c r="AD311" i="5"/>
  <c r="F311" i="5"/>
  <c r="H311" i="5"/>
  <c r="I311" i="5"/>
  <c r="Z311" i="5"/>
  <c r="O312" i="5"/>
  <c r="K312" i="5"/>
  <c r="AG312" i="5"/>
  <c r="F312" i="5"/>
  <c r="H312" i="5"/>
  <c r="I312" i="5" s="1"/>
  <c r="Z312" i="5"/>
  <c r="AG313" i="5"/>
  <c r="AC313" i="5"/>
  <c r="AD313" i="5"/>
  <c r="F313" i="5"/>
  <c r="H313" i="5"/>
  <c r="I313" i="5"/>
  <c r="AD79" i="2" s="1"/>
  <c r="Z313" i="5"/>
  <c r="AG314" i="5"/>
  <c r="AC314" i="5"/>
  <c r="AD314" i="5"/>
  <c r="F314" i="5"/>
  <c r="H314" i="5"/>
  <c r="I314" i="5"/>
  <c r="AD62" i="2" s="1"/>
  <c r="Z314" i="5"/>
  <c r="O315" i="5"/>
  <c r="K315" i="5"/>
  <c r="AG315" i="5"/>
  <c r="AC315" i="5"/>
  <c r="AD315" i="5"/>
  <c r="F315" i="5"/>
  <c r="H315" i="5"/>
  <c r="I315" i="5" s="1"/>
  <c r="Z315" i="5"/>
  <c r="O316" i="5"/>
  <c r="K316" i="5"/>
  <c r="AG316" i="5"/>
  <c r="AC316" i="5"/>
  <c r="AD316" i="5"/>
  <c r="F316" i="5"/>
  <c r="H316" i="5"/>
  <c r="I316" i="5" s="1"/>
  <c r="Z316" i="5"/>
  <c r="O317" i="5"/>
  <c r="K317" i="5"/>
  <c r="AG317" i="5"/>
  <c r="AC317" i="5"/>
  <c r="AD317" i="5"/>
  <c r="F317" i="5"/>
  <c r="H317" i="5"/>
  <c r="I317" i="5"/>
  <c r="Z317" i="5"/>
  <c r="O318" i="5"/>
  <c r="K318" i="5"/>
  <c r="AG318" i="5"/>
  <c r="AC318" i="5"/>
  <c r="AD318" i="5"/>
  <c r="F318" i="5"/>
  <c r="H318" i="5"/>
  <c r="I318" i="5"/>
  <c r="Z318" i="5"/>
  <c r="O319" i="5"/>
  <c r="K319" i="5"/>
  <c r="AG319" i="5"/>
  <c r="B339" i="4"/>
  <c r="C319" i="5"/>
  <c r="I319" i="5"/>
  <c r="AA319" i="5"/>
  <c r="AC319" i="5"/>
  <c r="AL321" i="8" s="1"/>
  <c r="AD319" i="5"/>
  <c r="AL319" i="5"/>
  <c r="Z319" i="5"/>
  <c r="O320" i="5"/>
  <c r="K320" i="5"/>
  <c r="AG320" i="5"/>
  <c r="B320" i="4"/>
  <c r="C320" i="5"/>
  <c r="I320" i="5"/>
  <c r="AA320" i="5"/>
  <c r="AC320" i="5"/>
  <c r="AD320" i="5"/>
  <c r="AL320" i="5"/>
  <c r="Z320" i="5"/>
  <c r="O321" i="5"/>
  <c r="K321" i="5"/>
  <c r="AG321" i="5"/>
  <c r="B337" i="4"/>
  <c r="C321" i="5"/>
  <c r="I321" i="5"/>
  <c r="AA321" i="5"/>
  <c r="AC321" i="5"/>
  <c r="AD321" i="5"/>
  <c r="AL321" i="5"/>
  <c r="Z321" i="5"/>
  <c r="O322" i="5"/>
  <c r="K322" i="5"/>
  <c r="AG322" i="5"/>
  <c r="B334" i="4"/>
  <c r="C322" i="5"/>
  <c r="I322" i="5"/>
  <c r="AA322" i="5"/>
  <c r="AC322" i="5"/>
  <c r="AD322" i="5"/>
  <c r="AL322" i="5"/>
  <c r="Z322" i="5"/>
  <c r="O323" i="5"/>
  <c r="K323" i="5"/>
  <c r="AG323" i="5"/>
  <c r="B335" i="4"/>
  <c r="C323" i="5"/>
  <c r="I323" i="5"/>
  <c r="AA323" i="5"/>
  <c r="AC323" i="5"/>
  <c r="AD323" i="5"/>
  <c r="AL323" i="5"/>
  <c r="Z323" i="5"/>
  <c r="O324" i="5"/>
  <c r="K324" i="5"/>
  <c r="AG324" i="5"/>
  <c r="B321" i="4"/>
  <c r="C324" i="5"/>
  <c r="AA324" i="5"/>
  <c r="AC324" i="5"/>
  <c r="AD324" i="5"/>
  <c r="AL324" i="5"/>
  <c r="F324" i="5"/>
  <c r="H324" i="5"/>
  <c r="I324" i="5"/>
  <c r="Z324" i="5"/>
  <c r="O325" i="5"/>
  <c r="K325" i="5"/>
  <c r="AG325" i="5"/>
  <c r="AF325" i="5"/>
  <c r="C325" i="5"/>
  <c r="B322" i="4"/>
  <c r="I325" i="5"/>
  <c r="AA325" i="5"/>
  <c r="AC325" i="5"/>
  <c r="AD325" i="5"/>
  <c r="AL325" i="5"/>
  <c r="Z325" i="5"/>
  <c r="O326" i="5"/>
  <c r="K326" i="5"/>
  <c r="AG326" i="5"/>
  <c r="B323" i="4"/>
  <c r="C326" i="5"/>
  <c r="I326" i="5"/>
  <c r="AA326" i="5"/>
  <c r="AC326" i="5"/>
  <c r="AD326" i="5"/>
  <c r="AL326" i="5"/>
  <c r="Z326" i="5"/>
  <c r="O327" i="5"/>
  <c r="K327" i="5"/>
  <c r="AG327" i="5"/>
  <c r="B324" i="4"/>
  <c r="C327" i="5"/>
  <c r="AA327" i="5"/>
  <c r="AC327" i="5"/>
  <c r="AD327" i="5"/>
  <c r="AL327" i="5"/>
  <c r="F327" i="5"/>
  <c r="H327" i="5"/>
  <c r="I327" i="5"/>
  <c r="Z327" i="5"/>
  <c r="O328" i="5"/>
  <c r="K328" i="5"/>
  <c r="AG328" i="5"/>
  <c r="B325" i="4"/>
  <c r="C328" i="5"/>
  <c r="AA328" i="5"/>
  <c r="AC328" i="5"/>
  <c r="AD328" i="5"/>
  <c r="AL328" i="5"/>
  <c r="F328" i="5"/>
  <c r="H328" i="5"/>
  <c r="I328" i="5"/>
  <c r="Z328" i="5"/>
  <c r="O329" i="5"/>
  <c r="K329" i="5"/>
  <c r="AG329" i="5"/>
  <c r="B319" i="4"/>
  <c r="C329" i="5"/>
  <c r="AA329" i="5"/>
  <c r="AC329" i="5"/>
  <c r="AD329" i="5"/>
  <c r="AL329" i="5"/>
  <c r="F329" i="5"/>
  <c r="H329" i="5"/>
  <c r="I329" i="5" s="1"/>
  <c r="Z329" i="5"/>
  <c r="O330" i="5"/>
  <c r="K330" i="5"/>
  <c r="AG330" i="5"/>
  <c r="B343" i="4"/>
  <c r="C330" i="5"/>
  <c r="I330" i="5"/>
  <c r="AA330" i="5"/>
  <c r="AC330" i="5"/>
  <c r="AD330" i="5"/>
  <c r="AL330" i="5"/>
  <c r="Z330" i="5"/>
  <c r="O331" i="5"/>
  <c r="K331" i="5"/>
  <c r="AG331" i="5"/>
  <c r="B340" i="4"/>
  <c r="AF331" i="5"/>
  <c r="C331" i="5"/>
  <c r="I331" i="5"/>
  <c r="AA331" i="5"/>
  <c r="AC331" i="5"/>
  <c r="AD331" i="5"/>
  <c r="Z331" i="5"/>
  <c r="O332" i="5"/>
  <c r="K332" i="5"/>
  <c r="AG332" i="5"/>
  <c r="B338" i="4"/>
  <c r="C332" i="5"/>
  <c r="I332" i="5"/>
  <c r="AA332" i="5"/>
  <c r="AC332" i="5"/>
  <c r="AD332" i="5"/>
  <c r="AL332" i="5"/>
  <c r="Z332" i="5"/>
  <c r="O333" i="5"/>
  <c r="K333" i="5"/>
  <c r="AG333" i="5"/>
  <c r="B341" i="4"/>
  <c r="C333" i="5"/>
  <c r="I333" i="5"/>
  <c r="AA333" i="5"/>
  <c r="AC333" i="5"/>
  <c r="AD333" i="5"/>
  <c r="AL333" i="5"/>
  <c r="Z333" i="5"/>
  <c r="O334" i="5"/>
  <c r="K334" i="5"/>
  <c r="AG334" i="5"/>
  <c r="B342" i="4"/>
  <c r="C334" i="5"/>
  <c r="AA334" i="5"/>
  <c r="AC334" i="5"/>
  <c r="AD334" i="5"/>
  <c r="AL334" i="5"/>
  <c r="F334" i="5"/>
  <c r="H334" i="5"/>
  <c r="I334" i="5" s="1"/>
  <c r="Z334" i="5"/>
  <c r="O335" i="5"/>
  <c r="K335" i="5"/>
  <c r="AG335" i="5"/>
  <c r="B349" i="4"/>
  <c r="C335" i="5"/>
  <c r="AA335" i="5"/>
  <c r="AC335" i="5"/>
  <c r="AD335" i="5"/>
  <c r="AL335" i="5"/>
  <c r="F335" i="5"/>
  <c r="H335" i="5"/>
  <c r="I335" i="5"/>
  <c r="Z335" i="5"/>
  <c r="O336" i="5"/>
  <c r="K336" i="5"/>
  <c r="AG336" i="5"/>
  <c r="B347" i="4"/>
  <c r="C336" i="5"/>
  <c r="I336" i="5"/>
  <c r="AA336" i="5"/>
  <c r="AC336" i="5"/>
  <c r="AD336" i="5"/>
  <c r="AL336" i="5"/>
  <c r="Z336" i="5"/>
  <c r="O337" i="5"/>
  <c r="K337" i="5"/>
  <c r="AG337" i="5"/>
  <c r="AF337" i="5"/>
  <c r="C337" i="5"/>
  <c r="B345" i="4"/>
  <c r="I337" i="5"/>
  <c r="AA337" i="5"/>
  <c r="AC337" i="5"/>
  <c r="AD337" i="5"/>
  <c r="AL337" i="5"/>
  <c r="Z337" i="5"/>
  <c r="O338" i="5"/>
  <c r="K338" i="5"/>
  <c r="AG338" i="5"/>
  <c r="B344" i="4"/>
  <c r="C338" i="5"/>
  <c r="I338" i="5"/>
  <c r="AA338" i="5"/>
  <c r="AC338" i="5"/>
  <c r="AD338" i="5"/>
  <c r="AL338" i="5"/>
  <c r="Z338" i="5"/>
  <c r="O339" i="5"/>
  <c r="K339" i="5"/>
  <c r="AG339" i="5"/>
  <c r="B350" i="4"/>
  <c r="C339" i="5"/>
  <c r="I339" i="5"/>
  <c r="AA339" i="5"/>
  <c r="AC339" i="5"/>
  <c r="AD339" i="5"/>
  <c r="AL339" i="5"/>
  <c r="Z339" i="5"/>
  <c r="O340" i="5"/>
  <c r="K340" i="5"/>
  <c r="AG340" i="5"/>
  <c r="B346" i="4"/>
  <c r="C340" i="5"/>
  <c r="R340" i="8" s="1"/>
  <c r="AA340" i="5"/>
  <c r="AC340" i="5"/>
  <c r="AD340" i="5"/>
  <c r="AL340" i="5"/>
  <c r="F340" i="5"/>
  <c r="H340" i="5"/>
  <c r="I340" i="5"/>
  <c r="Z340" i="5"/>
  <c r="O341" i="5"/>
  <c r="K341" i="5"/>
  <c r="AG341" i="5"/>
  <c r="B351" i="4"/>
  <c r="C341" i="5"/>
  <c r="I341" i="5"/>
  <c r="AA341" i="5"/>
  <c r="AC341" i="5"/>
  <c r="AD341" i="5"/>
  <c r="AL341" i="5"/>
  <c r="Z341" i="5"/>
  <c r="O342" i="5"/>
  <c r="K342" i="5"/>
  <c r="AG342" i="5"/>
  <c r="B326" i="4"/>
  <c r="C342" i="5"/>
  <c r="R342" i="8" s="1"/>
  <c r="AA342" i="5"/>
  <c r="AC342" i="5"/>
  <c r="AD342" i="5"/>
  <c r="AL342" i="5"/>
  <c r="F342" i="5"/>
  <c r="H342" i="5"/>
  <c r="I342" i="5" s="1"/>
  <c r="Z342" i="5"/>
  <c r="O343" i="5"/>
  <c r="K343" i="5"/>
  <c r="AG343" i="5"/>
  <c r="B327" i="4"/>
  <c r="C343" i="5"/>
  <c r="I343" i="5"/>
  <c r="AA343" i="5"/>
  <c r="AC343" i="5"/>
  <c r="AD343" i="5"/>
  <c r="AL343" i="5"/>
  <c r="Z343" i="5"/>
  <c r="O344" i="5"/>
  <c r="K344" i="5"/>
  <c r="AG344" i="5"/>
  <c r="B328" i="4"/>
  <c r="C344" i="5"/>
  <c r="AA344" i="5"/>
  <c r="AC344" i="5"/>
  <c r="AD344" i="5"/>
  <c r="AL344" i="5"/>
  <c r="F344" i="5"/>
  <c r="H344" i="5"/>
  <c r="I344" i="5"/>
  <c r="Z344" i="5"/>
  <c r="O345" i="5"/>
  <c r="K345" i="5"/>
  <c r="AG345" i="5"/>
  <c r="B329" i="4"/>
  <c r="C345" i="5"/>
  <c r="I345" i="5"/>
  <c r="AA345" i="5"/>
  <c r="AC345" i="5"/>
  <c r="AD345" i="5"/>
  <c r="AL345" i="5"/>
  <c r="Z345" i="5"/>
  <c r="O346" i="5"/>
  <c r="K346" i="5"/>
  <c r="AG346" i="5"/>
  <c r="B336" i="4"/>
  <c r="C346" i="5"/>
  <c r="I346" i="5"/>
  <c r="AA346" i="5"/>
  <c r="AC346" i="5"/>
  <c r="AD346" i="5"/>
  <c r="AL346" i="5"/>
  <c r="Z346" i="5"/>
  <c r="O347" i="5"/>
  <c r="K347" i="5"/>
  <c r="AG347" i="5"/>
  <c r="B330" i="4"/>
  <c r="C347" i="5"/>
  <c r="I347" i="5"/>
  <c r="AA347" i="5"/>
  <c r="AC347" i="5"/>
  <c r="AD347" i="5"/>
  <c r="AL347" i="5"/>
  <c r="Z347" i="5"/>
  <c r="O348" i="5"/>
  <c r="K348" i="5"/>
  <c r="AG348" i="5"/>
  <c r="AB348" i="8" s="1"/>
  <c r="B331" i="4"/>
  <c r="C348" i="5"/>
  <c r="AA348" i="5"/>
  <c r="AC348" i="5"/>
  <c r="AL348" i="8" s="1"/>
  <c r="AD348" i="5"/>
  <c r="AL348" i="5"/>
  <c r="F348" i="5"/>
  <c r="H348" i="5"/>
  <c r="I348" i="5" s="1"/>
  <c r="Z348" i="5"/>
  <c r="O349" i="5"/>
  <c r="K349" i="5"/>
  <c r="AG349" i="5"/>
  <c r="B332" i="4"/>
  <c r="C349" i="5"/>
  <c r="AA349" i="5"/>
  <c r="AC349" i="5"/>
  <c r="AL349" i="8" s="1"/>
  <c r="AD349" i="5"/>
  <c r="AL349" i="5"/>
  <c r="F349" i="5"/>
  <c r="H349" i="5"/>
  <c r="I349" i="5" s="1"/>
  <c r="Z349" i="5"/>
  <c r="O350" i="5"/>
  <c r="K350" i="5"/>
  <c r="AG350" i="5"/>
  <c r="AB350" i="8" s="1"/>
  <c r="B333" i="4"/>
  <c r="C350" i="5"/>
  <c r="R350" i="8" s="1"/>
  <c r="AA350" i="5"/>
  <c r="AC350" i="5"/>
  <c r="AL350" i="8" s="1"/>
  <c r="AD350" i="5"/>
  <c r="AL350" i="5"/>
  <c r="F350" i="5"/>
  <c r="H350" i="5"/>
  <c r="I350" i="5"/>
  <c r="Z350" i="5"/>
  <c r="O351" i="5"/>
  <c r="K351" i="5"/>
  <c r="AG351" i="5"/>
  <c r="B348" i="4"/>
  <c r="C351" i="5"/>
  <c r="R32" i="8" s="1"/>
  <c r="I351" i="5"/>
  <c r="AQ351" i="5" s="1"/>
  <c r="AA351" i="5"/>
  <c r="AC351" i="5"/>
  <c r="AD351" i="5"/>
  <c r="AL351" i="5"/>
  <c r="Z351" i="5"/>
  <c r="B358" i="4"/>
  <c r="F352" i="5"/>
  <c r="H352" i="5"/>
  <c r="I352" i="5" s="1"/>
  <c r="Z352" i="5"/>
  <c r="B369" i="4"/>
  <c r="F353" i="5"/>
  <c r="H353" i="5"/>
  <c r="I353" i="5" s="1"/>
  <c r="Z353" i="5"/>
  <c r="B370" i="4"/>
  <c r="F354" i="5"/>
  <c r="H354" i="5"/>
  <c r="I354" i="5" s="1"/>
  <c r="Z354" i="5"/>
  <c r="B371" i="4"/>
  <c r="F355" i="5"/>
  <c r="H355" i="5"/>
  <c r="I355" i="5"/>
  <c r="Z356" i="5"/>
  <c r="F356" i="5"/>
  <c r="H356" i="5"/>
  <c r="I356" i="5"/>
  <c r="B373" i="4"/>
  <c r="Z357" i="5"/>
  <c r="F357" i="5"/>
  <c r="H357" i="5"/>
  <c r="I357" i="5" s="1"/>
  <c r="B352" i="4"/>
  <c r="Z358" i="5"/>
  <c r="F358" i="5"/>
  <c r="H358" i="5"/>
  <c r="I358" i="5" s="1"/>
  <c r="B364" i="4"/>
  <c r="Z359" i="5"/>
  <c r="F359" i="5"/>
  <c r="H359" i="5"/>
  <c r="I359" i="5" s="1"/>
  <c r="F360" i="5"/>
  <c r="H360" i="5"/>
  <c r="I360" i="5"/>
  <c r="B357" i="4"/>
  <c r="F361" i="5"/>
  <c r="H361" i="5"/>
  <c r="I361" i="5" s="1"/>
  <c r="Z361" i="5"/>
  <c r="B355" i="4"/>
  <c r="F362" i="5"/>
  <c r="H362" i="5"/>
  <c r="I362" i="5" s="1"/>
  <c r="Z362" i="5"/>
  <c r="B359" i="4"/>
  <c r="F363" i="5"/>
  <c r="H363" i="5"/>
  <c r="I363" i="5" s="1"/>
  <c r="Z363" i="5"/>
  <c r="B360" i="4"/>
  <c r="F364" i="5"/>
  <c r="H364" i="5"/>
  <c r="I364" i="5" s="1"/>
  <c r="Z364" i="5"/>
  <c r="B365" i="4"/>
  <c r="F365" i="5"/>
  <c r="H365" i="5"/>
  <c r="I365" i="5" s="1"/>
  <c r="Z365" i="5"/>
  <c r="B356" i="4"/>
  <c r="F366" i="5"/>
  <c r="H366" i="5"/>
  <c r="I366" i="5" s="1"/>
  <c r="Z366" i="5"/>
  <c r="B366" i="4"/>
  <c r="F367" i="5"/>
  <c r="H367" i="5"/>
  <c r="I367" i="5" s="1"/>
  <c r="Z367" i="5"/>
  <c r="B367" i="4"/>
  <c r="F368" i="5"/>
  <c r="H368" i="5"/>
  <c r="I368" i="5" s="1"/>
  <c r="Z368" i="5"/>
  <c r="B368" i="4"/>
  <c r="F369" i="5"/>
  <c r="H369" i="5"/>
  <c r="I369" i="5" s="1"/>
  <c r="Z369" i="5"/>
  <c r="B354" i="4"/>
  <c r="F370" i="5"/>
  <c r="H370" i="5"/>
  <c r="I370" i="5" s="1"/>
  <c r="B361" i="4"/>
  <c r="F371" i="5"/>
  <c r="H371" i="5"/>
  <c r="I371" i="5"/>
  <c r="Z371" i="5"/>
  <c r="B363" i="4"/>
  <c r="F372" i="5"/>
  <c r="H372" i="5"/>
  <c r="I372" i="5"/>
  <c r="Z372" i="5"/>
  <c r="B362" i="4"/>
  <c r="F373" i="5"/>
  <c r="H373" i="5"/>
  <c r="I373" i="5"/>
  <c r="Z373" i="5"/>
  <c r="B374" i="4"/>
  <c r="AF374" i="5"/>
  <c r="F374" i="5"/>
  <c r="H374" i="5"/>
  <c r="I374" i="5" s="1"/>
  <c r="Z374" i="5"/>
  <c r="B375" i="4"/>
  <c r="AF375" i="5"/>
  <c r="F375" i="5"/>
  <c r="H375" i="5"/>
  <c r="I375" i="5" s="1"/>
  <c r="Z375" i="5"/>
  <c r="B376" i="4"/>
  <c r="AF376" i="5"/>
  <c r="F376" i="5"/>
  <c r="H376" i="5"/>
  <c r="I376" i="5"/>
  <c r="Z376" i="5"/>
  <c r="B377" i="4"/>
  <c r="AF377" i="5"/>
  <c r="F377" i="5"/>
  <c r="H377" i="5"/>
  <c r="I377" i="5"/>
  <c r="Z377" i="5"/>
  <c r="F378" i="5"/>
  <c r="H378" i="5"/>
  <c r="I378" i="5" s="1"/>
  <c r="AD67" i="2" s="1"/>
  <c r="Z378" i="5"/>
  <c r="B379" i="4"/>
  <c r="AF379" i="5"/>
  <c r="F379" i="5"/>
  <c r="H379" i="5"/>
  <c r="I379" i="5" s="1"/>
  <c r="Z379" i="5"/>
  <c r="B380" i="4"/>
  <c r="AF380" i="5"/>
  <c r="F380" i="5"/>
  <c r="H380" i="5"/>
  <c r="I380" i="5"/>
  <c r="Z380" i="5"/>
  <c r="B381" i="4"/>
  <c r="AF381" i="5"/>
  <c r="F381" i="5"/>
  <c r="H381" i="5"/>
  <c r="I381" i="5"/>
  <c r="Z381" i="5"/>
  <c r="B382" i="4"/>
  <c r="AF382" i="5"/>
  <c r="F382" i="5"/>
  <c r="H382" i="5"/>
  <c r="I382" i="5" s="1"/>
  <c r="Z382" i="5"/>
  <c r="B383" i="4"/>
  <c r="AF383" i="5"/>
  <c r="F383" i="5"/>
  <c r="H383" i="5"/>
  <c r="I383" i="5"/>
  <c r="Z383" i="5"/>
  <c r="F384" i="5"/>
  <c r="H384" i="5"/>
  <c r="I384" i="5"/>
  <c r="Z384" i="5"/>
  <c r="AA387" i="5"/>
  <c r="Z380" i="8" s="1"/>
  <c r="B391" i="4"/>
  <c r="O387" i="5"/>
  <c r="V380" i="8" s="1"/>
  <c r="K387" i="5"/>
  <c r="AF380" i="8" s="1"/>
  <c r="AG387" i="5"/>
  <c r="AB380" i="8" s="1"/>
  <c r="AF387" i="5"/>
  <c r="E387" i="5"/>
  <c r="F387" i="5"/>
  <c r="S380" i="8" s="1"/>
  <c r="H387" i="5"/>
  <c r="I387" i="5"/>
  <c r="L387" i="5"/>
  <c r="N387" i="5"/>
  <c r="AG380" i="8" s="1"/>
  <c r="Q387" i="5"/>
  <c r="R387" i="5"/>
  <c r="W380" i="8" s="1"/>
  <c r="T387" i="5"/>
  <c r="AI380" i="8" s="1"/>
  <c r="U387" i="5"/>
  <c r="X387" i="5"/>
  <c r="Z387" i="5"/>
  <c r="AK380" i="8" s="1"/>
  <c r="AC387" i="5"/>
  <c r="AD387" i="5"/>
  <c r="AI387" i="5"/>
  <c r="AN380" i="8" s="1"/>
  <c r="AJ387" i="5"/>
  <c r="AL387" i="5"/>
  <c r="AA388" i="5"/>
  <c r="W388" i="5"/>
  <c r="O388" i="5"/>
  <c r="K388" i="5"/>
  <c r="AG388" i="5"/>
  <c r="AF388" i="5"/>
  <c r="E388" i="5"/>
  <c r="AD384" i="8" s="1"/>
  <c r="F388" i="5"/>
  <c r="H388" i="5"/>
  <c r="I388" i="5"/>
  <c r="T384" i="8" s="1"/>
  <c r="L388" i="5"/>
  <c r="N388" i="5"/>
  <c r="Q388" i="5"/>
  <c r="R388" i="5"/>
  <c r="T388" i="5"/>
  <c r="U388" i="5"/>
  <c r="X384" i="8" s="1"/>
  <c r="X388" i="5"/>
  <c r="Z388" i="5"/>
  <c r="AC388" i="5"/>
  <c r="AD388" i="5"/>
  <c r="AI388" i="5"/>
  <c r="AN384" i="8" s="1"/>
  <c r="AJ388" i="5"/>
  <c r="AL388" i="5"/>
  <c r="AA389" i="5"/>
  <c r="W389" i="5"/>
  <c r="AJ382" i="8" s="1"/>
  <c r="O389" i="5"/>
  <c r="V382" i="8" s="1"/>
  <c r="K389" i="5"/>
  <c r="AG389" i="5"/>
  <c r="AB382" i="8" s="1"/>
  <c r="AF389" i="5"/>
  <c r="E389" i="5"/>
  <c r="F389" i="5"/>
  <c r="S382" i="8" s="1"/>
  <c r="H389" i="5"/>
  <c r="I389" i="5"/>
  <c r="T382" i="8" s="1"/>
  <c r="L389" i="5"/>
  <c r="U382" i="8" s="1"/>
  <c r="N389" i="5"/>
  <c r="Q389" i="5"/>
  <c r="R389" i="5"/>
  <c r="T389" i="5"/>
  <c r="AI382" i="8" s="1"/>
  <c r="U389" i="5"/>
  <c r="X389" i="5"/>
  <c r="Y382" i="8" s="1"/>
  <c r="Z389" i="5"/>
  <c r="AC389" i="5"/>
  <c r="AD389" i="5"/>
  <c r="AI389" i="5"/>
  <c r="AJ389" i="5"/>
  <c r="AC382" i="8" s="1"/>
  <c r="AL389" i="5"/>
  <c r="BA389" i="5" s="1"/>
  <c r="AA390" i="5"/>
  <c r="W390" i="5"/>
  <c r="O390" i="5"/>
  <c r="K390" i="5"/>
  <c r="AF383" i="8" s="1"/>
  <c r="AG390" i="5"/>
  <c r="AB383" i="8" s="1"/>
  <c r="AF390" i="5"/>
  <c r="B388" i="4"/>
  <c r="E390" i="5"/>
  <c r="AD383" i="8" s="1"/>
  <c r="F390" i="5"/>
  <c r="H390" i="5"/>
  <c r="I390" i="5"/>
  <c r="L390" i="5"/>
  <c r="N390" i="5"/>
  <c r="Q390" i="5"/>
  <c r="R390" i="5"/>
  <c r="T390" i="5"/>
  <c r="U390" i="5"/>
  <c r="X390" i="5"/>
  <c r="Y383" i="8" s="1"/>
  <c r="Z390" i="5"/>
  <c r="AK383" i="8" s="1"/>
  <c r="AC390" i="5"/>
  <c r="AL383" i="8" s="1"/>
  <c r="AD390" i="5"/>
  <c r="AI390" i="5"/>
  <c r="AL390" i="5"/>
  <c r="AA391" i="5"/>
  <c r="W391" i="5"/>
  <c r="O391" i="5"/>
  <c r="K391" i="5"/>
  <c r="AG391" i="5"/>
  <c r="AF391" i="5"/>
  <c r="E391" i="5"/>
  <c r="AD385" i="8" s="1"/>
  <c r="F391" i="5"/>
  <c r="S385" i="8" s="1"/>
  <c r="H391" i="5"/>
  <c r="I391" i="5"/>
  <c r="L391" i="5"/>
  <c r="N391" i="5"/>
  <c r="Q391" i="5"/>
  <c r="R391" i="5"/>
  <c r="T391" i="5"/>
  <c r="U391" i="5"/>
  <c r="X391" i="5"/>
  <c r="Z391" i="5"/>
  <c r="AC391" i="5"/>
  <c r="AL385" i="8" s="1"/>
  <c r="AD391" i="5"/>
  <c r="AI391" i="5"/>
  <c r="AL391" i="5"/>
  <c r="AA392" i="5"/>
  <c r="Z36" i="8" s="1"/>
  <c r="B393" i="4"/>
  <c r="O392" i="5"/>
  <c r="K392" i="5"/>
  <c r="AG392" i="5"/>
  <c r="AF392" i="5"/>
  <c r="C392" i="5"/>
  <c r="L392" i="5"/>
  <c r="N392" i="5"/>
  <c r="U392" i="5"/>
  <c r="AC392" i="5"/>
  <c r="AD392" i="5"/>
  <c r="AL392" i="5"/>
  <c r="F392" i="5"/>
  <c r="E392" i="5"/>
  <c r="H392" i="5"/>
  <c r="I392" i="5" s="1"/>
  <c r="R392" i="5"/>
  <c r="T392" i="5"/>
  <c r="AA393" i="5"/>
  <c r="Z386" i="8" s="1"/>
  <c r="B403" i="4"/>
  <c r="O393" i="5"/>
  <c r="K393" i="5"/>
  <c r="AF386" i="8" s="1"/>
  <c r="AG393" i="5"/>
  <c r="AB386" i="8" s="1"/>
  <c r="AF393" i="5"/>
  <c r="C393" i="5"/>
  <c r="L393" i="5"/>
  <c r="U386" i="8" s="1"/>
  <c r="N393" i="5"/>
  <c r="U393" i="5"/>
  <c r="AC393" i="5"/>
  <c r="AD393" i="5"/>
  <c r="AA386" i="8" s="1"/>
  <c r="AL393" i="5"/>
  <c r="AO386" i="8" s="1"/>
  <c r="F393" i="5"/>
  <c r="E393" i="5" s="1"/>
  <c r="H393" i="5"/>
  <c r="I393" i="5" s="1"/>
  <c r="R393" i="5"/>
  <c r="T393" i="5"/>
  <c r="AA394" i="5"/>
  <c r="B404" i="4"/>
  <c r="O394" i="5"/>
  <c r="K394" i="5"/>
  <c r="AF387" i="8" s="1"/>
  <c r="AG394" i="5"/>
  <c r="AF394" i="5"/>
  <c r="C394" i="5"/>
  <c r="L394" i="5"/>
  <c r="U387" i="8" s="1"/>
  <c r="N394" i="5"/>
  <c r="U394" i="5"/>
  <c r="AU394" i="5" s="1"/>
  <c r="AC394" i="5"/>
  <c r="AD394" i="5"/>
  <c r="AL394" i="5"/>
  <c r="F394" i="5"/>
  <c r="E394" i="5" s="1"/>
  <c r="H394" i="5"/>
  <c r="I394" i="5"/>
  <c r="R394" i="5"/>
  <c r="T394" i="5"/>
  <c r="AA395" i="5"/>
  <c r="B407" i="4"/>
  <c r="O395" i="5"/>
  <c r="V388" i="8" s="1"/>
  <c r="K395" i="5"/>
  <c r="AG395" i="5"/>
  <c r="AF395" i="5"/>
  <c r="C395" i="5"/>
  <c r="R388" i="8" s="1"/>
  <c r="L395" i="5"/>
  <c r="N395" i="5"/>
  <c r="U395" i="5"/>
  <c r="X388" i="8" s="1"/>
  <c r="AC395" i="5"/>
  <c r="AD395" i="5"/>
  <c r="F395" i="5"/>
  <c r="E395" i="5" s="1"/>
  <c r="H395" i="5"/>
  <c r="I395" i="5"/>
  <c r="R395" i="5"/>
  <c r="T395" i="5"/>
  <c r="AA396" i="5"/>
  <c r="B394" i="4"/>
  <c r="O396" i="5"/>
  <c r="K396" i="5"/>
  <c r="AG396" i="5"/>
  <c r="AF396" i="5"/>
  <c r="C396" i="5"/>
  <c r="L396" i="5"/>
  <c r="N396" i="5"/>
  <c r="U396" i="5"/>
  <c r="X389" i="8" s="1"/>
  <c r="AC396" i="5"/>
  <c r="AD396" i="5"/>
  <c r="AL396" i="5"/>
  <c r="F396" i="5"/>
  <c r="E396" i="5" s="1"/>
  <c r="H396" i="5"/>
  <c r="I396" i="5"/>
  <c r="R396" i="5"/>
  <c r="T396" i="5"/>
  <c r="AA397" i="5"/>
  <c r="B395" i="4"/>
  <c r="O397" i="5"/>
  <c r="K397" i="5"/>
  <c r="AG397" i="5"/>
  <c r="AB390" i="8" s="1"/>
  <c r="AF397" i="5"/>
  <c r="C397" i="5"/>
  <c r="R390" i="8" s="1"/>
  <c r="L397" i="5"/>
  <c r="U390" i="8" s="1"/>
  <c r="N397" i="5"/>
  <c r="U397" i="5"/>
  <c r="X390" i="8" s="1"/>
  <c r="AC397" i="5"/>
  <c r="AD397" i="5"/>
  <c r="AL397" i="5"/>
  <c r="F397" i="5"/>
  <c r="E397" i="5"/>
  <c r="H397" i="5"/>
  <c r="I397" i="5"/>
  <c r="R397" i="5"/>
  <c r="T397" i="5"/>
  <c r="AA398" i="5"/>
  <c r="B396" i="4"/>
  <c r="O398" i="5"/>
  <c r="K398" i="5"/>
  <c r="AG398" i="5"/>
  <c r="AF398" i="5"/>
  <c r="C398" i="5"/>
  <c r="L398" i="5"/>
  <c r="U391" i="8" s="1"/>
  <c r="N398" i="5"/>
  <c r="U398" i="5"/>
  <c r="AU398" i="5" s="1"/>
  <c r="AC398" i="5"/>
  <c r="AD398" i="5"/>
  <c r="AL398" i="5"/>
  <c r="F398" i="5"/>
  <c r="E398" i="5" s="1"/>
  <c r="H398" i="5"/>
  <c r="I398" i="5"/>
  <c r="R398" i="5"/>
  <c r="T398" i="5"/>
  <c r="AA399" i="5"/>
  <c r="B397" i="4"/>
  <c r="O399" i="5"/>
  <c r="K399" i="5"/>
  <c r="AF392" i="8" s="1"/>
  <c r="AG399" i="5"/>
  <c r="AF399" i="5"/>
  <c r="C399" i="5"/>
  <c r="L399" i="5"/>
  <c r="N399" i="5"/>
  <c r="AG392" i="8" s="1"/>
  <c r="U399" i="5"/>
  <c r="AU399" i="5" s="1"/>
  <c r="AC399" i="5"/>
  <c r="AD399" i="5"/>
  <c r="AL399" i="5"/>
  <c r="F399" i="5"/>
  <c r="E399" i="5" s="1"/>
  <c r="H399" i="5"/>
  <c r="I399" i="5"/>
  <c r="R399" i="5"/>
  <c r="T399" i="5"/>
  <c r="AA400" i="5"/>
  <c r="B416" i="4"/>
  <c r="O400" i="5"/>
  <c r="K400" i="5"/>
  <c r="AG400" i="5"/>
  <c r="AF400" i="5"/>
  <c r="C400" i="5"/>
  <c r="L400" i="5"/>
  <c r="U393" i="8" s="1"/>
  <c r="N400" i="5"/>
  <c r="U400" i="5"/>
  <c r="AU400" i="5" s="1"/>
  <c r="AC400" i="5"/>
  <c r="AD400" i="5"/>
  <c r="AL400" i="5"/>
  <c r="F400" i="5"/>
  <c r="E400" i="5"/>
  <c r="H400" i="5"/>
  <c r="I400" i="5"/>
  <c r="R400" i="5"/>
  <c r="T400" i="5"/>
  <c r="AA401" i="5"/>
  <c r="Z37" i="8" s="1"/>
  <c r="B408" i="4"/>
  <c r="O401" i="5"/>
  <c r="V37" i="8" s="1"/>
  <c r="K401" i="5"/>
  <c r="AF37" i="8" s="1"/>
  <c r="AG401" i="5"/>
  <c r="AB37" i="8" s="1"/>
  <c r="AF401" i="5"/>
  <c r="AM37" i="8" s="1"/>
  <c r="C401" i="5"/>
  <c r="R37" i="8" s="1"/>
  <c r="L401" i="5"/>
  <c r="N401" i="5"/>
  <c r="AG37" i="8" s="1"/>
  <c r="U401" i="5"/>
  <c r="AC401" i="5"/>
  <c r="AD401" i="5"/>
  <c r="AL401" i="5"/>
  <c r="AO37" i="8" s="1"/>
  <c r="F401" i="5"/>
  <c r="E401" i="5" s="1"/>
  <c r="H401" i="5"/>
  <c r="I401" i="5"/>
  <c r="R401" i="5"/>
  <c r="T401" i="5"/>
  <c r="AA402" i="5"/>
  <c r="Z394" i="8" s="1"/>
  <c r="B412" i="4"/>
  <c r="O402" i="5"/>
  <c r="K402" i="5"/>
  <c r="AG402" i="5"/>
  <c r="AF402" i="5"/>
  <c r="C402" i="5"/>
  <c r="L402" i="5"/>
  <c r="U394" i="8" s="1"/>
  <c r="N402" i="5"/>
  <c r="U402" i="5"/>
  <c r="AC402" i="5"/>
  <c r="AD402" i="5"/>
  <c r="AL402" i="5"/>
  <c r="F402" i="5"/>
  <c r="E402" i="5" s="1"/>
  <c r="H402" i="5"/>
  <c r="I402" i="5"/>
  <c r="R402" i="5"/>
  <c r="T402" i="5"/>
  <c r="AA403" i="5"/>
  <c r="B409" i="4"/>
  <c r="O403" i="5"/>
  <c r="V395" i="8" s="1"/>
  <c r="K403" i="5"/>
  <c r="AG403" i="5"/>
  <c r="AF403" i="5"/>
  <c r="C403" i="5"/>
  <c r="L403" i="5"/>
  <c r="N403" i="5"/>
  <c r="AG395" i="8" s="1"/>
  <c r="U403" i="5"/>
  <c r="AC403" i="5"/>
  <c r="AD403" i="5"/>
  <c r="AL403" i="5"/>
  <c r="F403" i="5"/>
  <c r="E403" i="5"/>
  <c r="H403" i="5"/>
  <c r="I403" i="5"/>
  <c r="R403" i="5"/>
  <c r="T403" i="5"/>
  <c r="AA404" i="5"/>
  <c r="B410" i="4"/>
  <c r="O404" i="5"/>
  <c r="K404" i="5"/>
  <c r="AG404" i="5"/>
  <c r="AB396" i="8" s="1"/>
  <c r="AF404" i="5"/>
  <c r="C404" i="5"/>
  <c r="L404" i="5"/>
  <c r="N404" i="5"/>
  <c r="U404" i="5"/>
  <c r="AC404" i="5"/>
  <c r="AL396" i="8" s="1"/>
  <c r="AD404" i="5"/>
  <c r="AL404" i="5"/>
  <c r="BA404" i="5" s="1"/>
  <c r="F404" i="5"/>
  <c r="E404" i="5" s="1"/>
  <c r="H404" i="5"/>
  <c r="I404" i="5"/>
  <c r="R404" i="5"/>
  <c r="T404" i="5"/>
  <c r="AA405" i="5"/>
  <c r="Z397" i="8" s="1"/>
  <c r="B398" i="4"/>
  <c r="O405" i="5"/>
  <c r="K405" i="5"/>
  <c r="AG405" i="5"/>
  <c r="AF405" i="5"/>
  <c r="C405" i="5"/>
  <c r="R397" i="8" s="1"/>
  <c r="L405" i="5"/>
  <c r="U397" i="8" s="1"/>
  <c r="N405" i="5"/>
  <c r="U405" i="5"/>
  <c r="AC405" i="5"/>
  <c r="AD405" i="5"/>
  <c r="AL405" i="5"/>
  <c r="AO397" i="8" s="1"/>
  <c r="F405" i="5"/>
  <c r="E405" i="5" s="1"/>
  <c r="H405" i="5"/>
  <c r="I405" i="5"/>
  <c r="R405" i="5"/>
  <c r="T405" i="5"/>
  <c r="AA406" i="5"/>
  <c r="Z398" i="8" s="1"/>
  <c r="B399" i="4"/>
  <c r="O406" i="5"/>
  <c r="K406" i="5"/>
  <c r="AG406" i="5"/>
  <c r="AF406" i="5"/>
  <c r="AM398" i="8" s="1"/>
  <c r="C406" i="5"/>
  <c r="R398" i="8" s="1"/>
  <c r="L406" i="5"/>
  <c r="U398" i="8" s="1"/>
  <c r="N406" i="5"/>
  <c r="U406" i="5"/>
  <c r="X398" i="8" s="1"/>
  <c r="AC406" i="5"/>
  <c r="AL398" i="8" s="1"/>
  <c r="AD406" i="5"/>
  <c r="AL406" i="5"/>
  <c r="AO398" i="8" s="1"/>
  <c r="F406" i="5"/>
  <c r="E406" i="5"/>
  <c r="H406" i="5"/>
  <c r="I406" i="5"/>
  <c r="R406" i="5"/>
  <c r="T406" i="5"/>
  <c r="AA407" i="5"/>
  <c r="Z38" i="8" s="1"/>
  <c r="B400" i="4"/>
  <c r="O407" i="5"/>
  <c r="V38" i="8" s="1"/>
  <c r="K407" i="5"/>
  <c r="AG407" i="5"/>
  <c r="AF407" i="5"/>
  <c r="AM38" i="8" s="1"/>
  <c r="C407" i="5"/>
  <c r="R38" i="8" s="1"/>
  <c r="L407" i="5"/>
  <c r="N407" i="5"/>
  <c r="U407" i="5"/>
  <c r="AC407" i="5"/>
  <c r="AD407" i="5"/>
  <c r="AL407" i="5"/>
  <c r="F407" i="5"/>
  <c r="E407" i="5" s="1"/>
  <c r="H407" i="5"/>
  <c r="I407" i="5"/>
  <c r="R407" i="5"/>
  <c r="T407" i="5"/>
  <c r="AA408" i="5"/>
  <c r="B401" i="4"/>
  <c r="O408" i="5"/>
  <c r="K408" i="5"/>
  <c r="AG408" i="5"/>
  <c r="AB399" i="8" s="1"/>
  <c r="AF408" i="5"/>
  <c r="AM399" i="8" s="1"/>
  <c r="C408" i="5"/>
  <c r="R399" i="8" s="1"/>
  <c r="L408" i="5"/>
  <c r="U399" i="8" s="1"/>
  <c r="N408" i="5"/>
  <c r="U408" i="5"/>
  <c r="AC408" i="5"/>
  <c r="AD408" i="5"/>
  <c r="AL408" i="5"/>
  <c r="F408" i="5"/>
  <c r="E408" i="5" s="1"/>
  <c r="H408" i="5"/>
  <c r="I408" i="5"/>
  <c r="R408" i="5"/>
  <c r="T408" i="5"/>
  <c r="AA409" i="5"/>
  <c r="Z400" i="8" s="1"/>
  <c r="B415" i="4"/>
  <c r="O409" i="5"/>
  <c r="K409" i="5"/>
  <c r="AG409" i="5"/>
  <c r="AF409" i="5"/>
  <c r="C409" i="5"/>
  <c r="R400" i="8" s="1"/>
  <c r="L409" i="5"/>
  <c r="N409" i="5"/>
  <c r="U409" i="5"/>
  <c r="AU409" i="5" s="1"/>
  <c r="AC409" i="5"/>
  <c r="AD409" i="5"/>
  <c r="AL409" i="5"/>
  <c r="BA409" i="5" s="1"/>
  <c r="F409" i="5"/>
  <c r="E409" i="5"/>
  <c r="H409" i="5"/>
  <c r="I409" i="5"/>
  <c r="R409" i="5"/>
  <c r="T409" i="5"/>
  <c r="AA410" i="5"/>
  <c r="B405" i="4"/>
  <c r="O410" i="5"/>
  <c r="K410" i="5"/>
  <c r="AG410" i="5"/>
  <c r="AF410" i="5"/>
  <c r="AM401" i="8" s="1"/>
  <c r="C410" i="5"/>
  <c r="R401" i="8" s="1"/>
  <c r="L410" i="5"/>
  <c r="U401" i="8" s="1"/>
  <c r="N410" i="5"/>
  <c r="U410" i="5"/>
  <c r="AU410" i="5" s="1"/>
  <c r="AC410" i="5"/>
  <c r="AD410" i="5"/>
  <c r="AL410" i="5"/>
  <c r="F410" i="5"/>
  <c r="E410" i="5" s="1"/>
  <c r="H410" i="5"/>
  <c r="I410" i="5"/>
  <c r="R410" i="5"/>
  <c r="T410" i="5"/>
  <c r="AA411" i="5"/>
  <c r="B411" i="4"/>
  <c r="O411" i="5"/>
  <c r="K411" i="5"/>
  <c r="AG411" i="5"/>
  <c r="AF411" i="5"/>
  <c r="AM402" i="8" s="1"/>
  <c r="C411" i="5"/>
  <c r="L411" i="5"/>
  <c r="N411" i="5"/>
  <c r="U411" i="5"/>
  <c r="AU411" i="5" s="1"/>
  <c r="AC411" i="5"/>
  <c r="AL402" i="8" s="1"/>
  <c r="AD411" i="5"/>
  <c r="AL411" i="5"/>
  <c r="AO402" i="8" s="1"/>
  <c r="F411" i="5"/>
  <c r="E411" i="5" s="1"/>
  <c r="H411" i="5"/>
  <c r="I411" i="5"/>
  <c r="R411" i="5"/>
  <c r="T411" i="5"/>
  <c r="AA412" i="5"/>
  <c r="B402" i="4"/>
  <c r="O412" i="5"/>
  <c r="K412" i="5"/>
  <c r="AG412" i="5"/>
  <c r="AF412" i="5"/>
  <c r="C412" i="5"/>
  <c r="L412" i="5"/>
  <c r="U403" i="8" s="1"/>
  <c r="N412" i="5"/>
  <c r="U412" i="5"/>
  <c r="AC412" i="5"/>
  <c r="AD412" i="5"/>
  <c r="AL412" i="5"/>
  <c r="F412" i="5"/>
  <c r="E412" i="5"/>
  <c r="H412" i="5"/>
  <c r="I412" i="5"/>
  <c r="R412" i="5"/>
  <c r="T412" i="5"/>
  <c r="AA413" i="5"/>
  <c r="Z404" i="8" s="1"/>
  <c r="B392" i="4"/>
  <c r="O413" i="5"/>
  <c r="K413" i="5"/>
  <c r="AG413" i="5"/>
  <c r="AF413" i="5"/>
  <c r="C413" i="5"/>
  <c r="L413" i="5"/>
  <c r="N413" i="5"/>
  <c r="U413" i="5"/>
  <c r="AU413" i="5" s="1"/>
  <c r="AC413" i="5"/>
  <c r="AD413" i="5"/>
  <c r="AL413" i="5"/>
  <c r="F413" i="5"/>
  <c r="E413" i="5" s="1"/>
  <c r="H413" i="5"/>
  <c r="I413" i="5"/>
  <c r="R413" i="5"/>
  <c r="T413" i="5"/>
  <c r="AA414" i="5"/>
  <c r="B413" i="4"/>
  <c r="O414" i="5"/>
  <c r="K414" i="5"/>
  <c r="AG414" i="5"/>
  <c r="AB405" i="8" s="1"/>
  <c r="AF414" i="5"/>
  <c r="C414" i="5"/>
  <c r="R405" i="8" s="1"/>
  <c r="L414" i="5"/>
  <c r="N414" i="5"/>
  <c r="U414" i="5"/>
  <c r="X405" i="8" s="1"/>
  <c r="AC414" i="5"/>
  <c r="AD414" i="5"/>
  <c r="AL414" i="5"/>
  <c r="F414" i="5"/>
  <c r="E414" i="5" s="1"/>
  <c r="H414" i="5"/>
  <c r="I414" i="5"/>
  <c r="R414" i="5"/>
  <c r="T414" i="5"/>
  <c r="AA415" i="5"/>
  <c r="B414" i="4"/>
  <c r="O415" i="5"/>
  <c r="K415" i="5"/>
  <c r="AF406" i="8" s="1"/>
  <c r="AG415" i="5"/>
  <c r="AF415" i="5"/>
  <c r="C415" i="5"/>
  <c r="L415" i="5"/>
  <c r="N415" i="5"/>
  <c r="AG406" i="8" s="1"/>
  <c r="U415" i="5"/>
  <c r="X406" i="8" s="1"/>
  <c r="AC415" i="5"/>
  <c r="AD415" i="5"/>
  <c r="AL415" i="5"/>
  <c r="F415" i="5"/>
  <c r="E415" i="5"/>
  <c r="H415" i="5"/>
  <c r="I415" i="5"/>
  <c r="R415" i="5"/>
  <c r="T415" i="5"/>
  <c r="AA416" i="5"/>
  <c r="B406" i="4"/>
  <c r="O416" i="5"/>
  <c r="K416" i="5"/>
  <c r="AG416" i="5"/>
  <c r="AF416" i="5"/>
  <c r="C416" i="5"/>
  <c r="L416" i="5"/>
  <c r="N416" i="5"/>
  <c r="U416" i="5"/>
  <c r="AC416" i="5"/>
  <c r="AD416" i="5"/>
  <c r="AL416" i="5"/>
  <c r="F416" i="5"/>
  <c r="E416" i="5" s="1"/>
  <c r="H416" i="5"/>
  <c r="I416" i="5"/>
  <c r="R416" i="5"/>
  <c r="T416" i="5"/>
  <c r="AG2" i="5"/>
  <c r="AF2" i="5"/>
  <c r="B269" i="4"/>
  <c r="K2" i="5"/>
  <c r="AF39" i="8" s="1"/>
  <c r="T2" i="5"/>
  <c r="U2" i="5"/>
  <c r="AI269" i="4"/>
  <c r="F2" i="5"/>
  <c r="L2" i="5"/>
  <c r="N2" i="5"/>
  <c r="O2" i="5"/>
  <c r="H2" i="5"/>
  <c r="I2" i="5" s="1"/>
  <c r="Z2" i="5"/>
  <c r="AZ222" i="1"/>
  <c r="BA222" i="1"/>
  <c r="BB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T222" i="1"/>
  <c r="AZ221" i="1"/>
  <c r="BA221" i="1"/>
  <c r="BB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T221" i="1"/>
  <c r="AZ134" i="1"/>
  <c r="BA134" i="1"/>
  <c r="BB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T134" i="1"/>
  <c r="AZ49" i="1"/>
  <c r="BA49" i="1"/>
  <c r="BB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T49" i="1"/>
  <c r="AZ48" i="1"/>
  <c r="BA48" i="1"/>
  <c r="BB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T48" i="1"/>
  <c r="AZ325" i="1"/>
  <c r="BA325" i="1"/>
  <c r="BB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CT325" i="1"/>
  <c r="AZ326" i="1"/>
  <c r="BA326" i="1"/>
  <c r="BB326" i="1"/>
  <c r="CH326" i="1"/>
  <c r="CI326" i="1"/>
  <c r="BC326" i="1" s="1"/>
  <c r="CJ326" i="1"/>
  <c r="CK326" i="1"/>
  <c r="CL326" i="1"/>
  <c r="CM326" i="1"/>
  <c r="CN326" i="1"/>
  <c r="CO326" i="1"/>
  <c r="CP326" i="1"/>
  <c r="CQ326" i="1"/>
  <c r="CR326" i="1"/>
  <c r="CS326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CT326" i="1"/>
  <c r="BB24" i="1"/>
  <c r="AZ24" i="1"/>
  <c r="BA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T24" i="1"/>
  <c r="AZ14" i="1"/>
  <c r="BA14" i="1"/>
  <c r="BB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T14" i="1"/>
  <c r="AZ50" i="1"/>
  <c r="BA50" i="1"/>
  <c r="BB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T50" i="1"/>
  <c r="CH2" i="1"/>
  <c r="CI2" i="1"/>
  <c r="CJ2" i="1"/>
  <c r="CK2" i="1"/>
  <c r="CL2" i="1"/>
  <c r="CM2" i="1"/>
  <c r="CN2" i="1"/>
  <c r="CO2" i="1"/>
  <c r="CP2" i="1"/>
  <c r="CQ2" i="1"/>
  <c r="CR2" i="1"/>
  <c r="CS2" i="1"/>
  <c r="BV2" i="1"/>
  <c r="BW2" i="1"/>
  <c r="BX2" i="1"/>
  <c r="BY2" i="1"/>
  <c r="BZ2" i="1"/>
  <c r="CA2" i="1"/>
  <c r="CB2" i="1"/>
  <c r="CC2" i="1"/>
  <c r="CD2" i="1"/>
  <c r="CE2" i="1"/>
  <c r="CF2" i="1"/>
  <c r="CG2" i="1"/>
  <c r="AZ197" i="1"/>
  <c r="BA197" i="1"/>
  <c r="BB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T197" i="1"/>
  <c r="AZ196" i="1"/>
  <c r="BA196" i="1"/>
  <c r="BB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T196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AZ175" i="1"/>
  <c r="BA175" i="1"/>
  <c r="BB175" i="1"/>
  <c r="CT175" i="1"/>
  <c r="AI309" i="4"/>
  <c r="AI310" i="4"/>
  <c r="AZ427" i="1"/>
  <c r="BA427" i="1"/>
  <c r="BB427" i="1"/>
  <c r="CH427" i="1"/>
  <c r="CI427" i="1"/>
  <c r="CJ427" i="1"/>
  <c r="CK427" i="1"/>
  <c r="CL427" i="1"/>
  <c r="CM427" i="1"/>
  <c r="CN427" i="1"/>
  <c r="CO427" i="1"/>
  <c r="CP427" i="1"/>
  <c r="CQ427" i="1"/>
  <c r="CR427" i="1"/>
  <c r="CS427" i="1"/>
  <c r="BV427" i="1"/>
  <c r="BW427" i="1"/>
  <c r="BX427" i="1"/>
  <c r="BY427" i="1"/>
  <c r="BZ427" i="1"/>
  <c r="CA427" i="1"/>
  <c r="CB427" i="1"/>
  <c r="CC427" i="1"/>
  <c r="CD427" i="1"/>
  <c r="CE427" i="1"/>
  <c r="CF427" i="1"/>
  <c r="CG427" i="1"/>
  <c r="CT427" i="1"/>
  <c r="AZ428" i="1"/>
  <c r="BA428" i="1"/>
  <c r="BB428" i="1"/>
  <c r="CH428" i="1"/>
  <c r="CI428" i="1"/>
  <c r="CJ428" i="1"/>
  <c r="CK428" i="1"/>
  <c r="CL428" i="1"/>
  <c r="CM428" i="1"/>
  <c r="CN428" i="1"/>
  <c r="CO428" i="1"/>
  <c r="CP428" i="1"/>
  <c r="CQ428" i="1"/>
  <c r="CR428" i="1"/>
  <c r="CS428" i="1"/>
  <c r="BV428" i="1"/>
  <c r="BW428" i="1"/>
  <c r="BX428" i="1"/>
  <c r="BY428" i="1"/>
  <c r="BZ428" i="1"/>
  <c r="CA428" i="1"/>
  <c r="CB428" i="1"/>
  <c r="CC428" i="1"/>
  <c r="CD428" i="1"/>
  <c r="CE428" i="1"/>
  <c r="CF428" i="1"/>
  <c r="CG428" i="1"/>
  <c r="CT428" i="1"/>
  <c r="AM49" i="2"/>
  <c r="AJ49" i="2"/>
  <c r="AI49" i="2"/>
  <c r="AH49" i="2"/>
  <c r="AG49" i="2"/>
  <c r="AE49" i="2"/>
  <c r="AD49" i="2"/>
  <c r="AB49" i="2"/>
  <c r="AA49" i="2"/>
  <c r="AA308" i="4"/>
  <c r="AC308" i="4"/>
  <c r="AD308" i="4"/>
  <c r="AE308" i="4"/>
  <c r="AF308" i="4"/>
  <c r="AG308" i="4"/>
  <c r="AH308" i="4"/>
  <c r="AI308" i="4"/>
  <c r="AJ308" i="4"/>
  <c r="AL308" i="4"/>
  <c r="B307" i="5"/>
  <c r="AM307" i="5"/>
  <c r="AO307" i="5"/>
  <c r="AQ307" i="5"/>
  <c r="BB307" i="5"/>
  <c r="BC307" i="5"/>
  <c r="BD307" i="5"/>
  <c r="BE307" i="5"/>
  <c r="B318" i="6"/>
  <c r="C318" i="6"/>
  <c r="D318" i="6"/>
  <c r="V318" i="6"/>
  <c r="W318" i="6"/>
  <c r="X318" i="6"/>
  <c r="Y318" i="6"/>
  <c r="Z318" i="6"/>
  <c r="AA318" i="6"/>
  <c r="AB318" i="6"/>
  <c r="AC318" i="6"/>
  <c r="AD318" i="6"/>
  <c r="AE318" i="6"/>
  <c r="AF318" i="6"/>
  <c r="AG318" i="6"/>
  <c r="AH318" i="6"/>
  <c r="D411" i="9"/>
  <c r="E411" i="9"/>
  <c r="F411" i="9"/>
  <c r="C115" i="7"/>
  <c r="D115" i="7"/>
  <c r="E115" i="7"/>
  <c r="AZ421" i="1"/>
  <c r="BA421" i="1"/>
  <c r="BB421" i="1"/>
  <c r="CH421" i="1"/>
  <c r="CI421" i="1"/>
  <c r="CJ421" i="1"/>
  <c r="CK421" i="1"/>
  <c r="CL421" i="1"/>
  <c r="CM421" i="1"/>
  <c r="CN421" i="1"/>
  <c r="CO421" i="1"/>
  <c r="CP421" i="1"/>
  <c r="CQ421" i="1"/>
  <c r="CR421" i="1"/>
  <c r="CS421" i="1"/>
  <c r="BV421" i="1"/>
  <c r="BW421" i="1"/>
  <c r="BX421" i="1"/>
  <c r="BY421" i="1"/>
  <c r="BZ421" i="1"/>
  <c r="CA421" i="1"/>
  <c r="CB421" i="1"/>
  <c r="CC421" i="1"/>
  <c r="CD421" i="1"/>
  <c r="CE421" i="1"/>
  <c r="CF421" i="1"/>
  <c r="CG421" i="1"/>
  <c r="CT421" i="1"/>
  <c r="AZ231" i="1"/>
  <c r="BA231" i="1"/>
  <c r="BB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T231" i="1"/>
  <c r="AZ230" i="1"/>
  <c r="BA230" i="1"/>
  <c r="BB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CT230" i="1"/>
  <c r="AA20" i="2"/>
  <c r="AB20" i="2"/>
  <c r="AE20" i="2"/>
  <c r="AH20" i="2"/>
  <c r="AJ20" i="2"/>
  <c r="AK20" i="2"/>
  <c r="AM20" i="2"/>
  <c r="AZ162" i="1"/>
  <c r="BA162" i="1"/>
  <c r="BB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T162" i="1"/>
  <c r="AZ163" i="1"/>
  <c r="BA163" i="1"/>
  <c r="BB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T163" i="1"/>
  <c r="AZ53" i="1"/>
  <c r="BA53" i="1"/>
  <c r="BB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T53" i="1"/>
  <c r="AZ52" i="1"/>
  <c r="BA52" i="1"/>
  <c r="BB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T52" i="1"/>
  <c r="D410" i="9"/>
  <c r="F410" i="9"/>
  <c r="E410" i="9"/>
  <c r="D409" i="9"/>
  <c r="F409" i="9"/>
  <c r="E409" i="9"/>
  <c r="D407" i="9"/>
  <c r="F407" i="9"/>
  <c r="E407" i="9"/>
  <c r="D406" i="9"/>
  <c r="F406" i="9"/>
  <c r="E406" i="9"/>
  <c r="D405" i="9"/>
  <c r="F405" i="9"/>
  <c r="E405" i="9"/>
  <c r="D404" i="9"/>
  <c r="F404" i="9"/>
  <c r="E404" i="9"/>
  <c r="D403" i="9"/>
  <c r="F403" i="9"/>
  <c r="E403" i="9"/>
  <c r="D402" i="9"/>
  <c r="F402" i="9"/>
  <c r="E402" i="9"/>
  <c r="D401" i="9"/>
  <c r="F401" i="9"/>
  <c r="E401" i="9"/>
  <c r="D400" i="9"/>
  <c r="F400" i="9"/>
  <c r="E400" i="9"/>
  <c r="D399" i="9"/>
  <c r="F399" i="9"/>
  <c r="E399" i="9"/>
  <c r="D398" i="9"/>
  <c r="F398" i="9"/>
  <c r="E398" i="9"/>
  <c r="D397" i="9"/>
  <c r="F397" i="9"/>
  <c r="E397" i="9"/>
  <c r="D396" i="9"/>
  <c r="F396" i="9"/>
  <c r="E396" i="9"/>
  <c r="D395" i="9"/>
  <c r="F395" i="9"/>
  <c r="E395" i="9"/>
  <c r="D394" i="9"/>
  <c r="F394" i="9"/>
  <c r="E394" i="9"/>
  <c r="D393" i="9"/>
  <c r="F393" i="9"/>
  <c r="E393" i="9"/>
  <c r="D392" i="9"/>
  <c r="F392" i="9"/>
  <c r="E392" i="9"/>
  <c r="D391" i="9"/>
  <c r="F391" i="9"/>
  <c r="E391" i="9"/>
  <c r="D390" i="9"/>
  <c r="F390" i="9"/>
  <c r="E390" i="9"/>
  <c r="D389" i="9"/>
  <c r="F389" i="9"/>
  <c r="E389" i="9"/>
  <c r="D388" i="9"/>
  <c r="F388" i="9"/>
  <c r="E388" i="9"/>
  <c r="D387" i="9"/>
  <c r="F387" i="9"/>
  <c r="E387" i="9"/>
  <c r="D386" i="9"/>
  <c r="F386" i="9"/>
  <c r="E386" i="9"/>
  <c r="D385" i="9"/>
  <c r="F385" i="9"/>
  <c r="E385" i="9"/>
  <c r="D384" i="9"/>
  <c r="F384" i="9"/>
  <c r="E384" i="9"/>
  <c r="D383" i="9"/>
  <c r="F383" i="9"/>
  <c r="E383" i="9"/>
  <c r="D382" i="9"/>
  <c r="F382" i="9"/>
  <c r="E382" i="9"/>
  <c r="D381" i="9"/>
  <c r="F381" i="9"/>
  <c r="E381" i="9"/>
  <c r="D380" i="9"/>
  <c r="F380" i="9"/>
  <c r="E380" i="9"/>
  <c r="D379" i="9"/>
  <c r="F379" i="9"/>
  <c r="E379" i="9"/>
  <c r="D378" i="9"/>
  <c r="F378" i="9"/>
  <c r="E378" i="9"/>
  <c r="D377" i="9"/>
  <c r="F377" i="9"/>
  <c r="E377" i="9"/>
  <c r="D376" i="9"/>
  <c r="F376" i="9"/>
  <c r="E376" i="9"/>
  <c r="D375" i="9"/>
  <c r="F375" i="9"/>
  <c r="E375" i="9"/>
  <c r="D374" i="9"/>
  <c r="F374" i="9"/>
  <c r="E374" i="9"/>
  <c r="D373" i="9"/>
  <c r="F373" i="9"/>
  <c r="E373" i="9"/>
  <c r="D372" i="9"/>
  <c r="F372" i="9"/>
  <c r="E372" i="9"/>
  <c r="D371" i="9"/>
  <c r="F371" i="9"/>
  <c r="E371" i="9"/>
  <c r="D370" i="9"/>
  <c r="F370" i="9"/>
  <c r="E370" i="9"/>
  <c r="D369" i="9"/>
  <c r="F369" i="9"/>
  <c r="E369" i="9"/>
  <c r="D368" i="9"/>
  <c r="F368" i="9"/>
  <c r="E368" i="9"/>
  <c r="D367" i="9"/>
  <c r="F367" i="9"/>
  <c r="E367" i="9"/>
  <c r="D366" i="9"/>
  <c r="F366" i="9"/>
  <c r="E366" i="9"/>
  <c r="D365" i="9"/>
  <c r="F365" i="9"/>
  <c r="E365" i="9"/>
  <c r="D364" i="9"/>
  <c r="F364" i="9"/>
  <c r="E364" i="9"/>
  <c r="D363" i="9"/>
  <c r="F363" i="9"/>
  <c r="E363" i="9"/>
  <c r="D362" i="9"/>
  <c r="F362" i="9"/>
  <c r="E362" i="9"/>
  <c r="D361" i="9"/>
  <c r="F361" i="9"/>
  <c r="E361" i="9"/>
  <c r="D360" i="9"/>
  <c r="F360" i="9"/>
  <c r="E360" i="9"/>
  <c r="D359" i="9"/>
  <c r="F359" i="9"/>
  <c r="E359" i="9"/>
  <c r="D358" i="9"/>
  <c r="F358" i="9"/>
  <c r="E358" i="9"/>
  <c r="D357" i="9"/>
  <c r="F357" i="9"/>
  <c r="E357" i="9"/>
  <c r="D356" i="9"/>
  <c r="F356" i="9"/>
  <c r="E356" i="9"/>
  <c r="D355" i="9"/>
  <c r="F355" i="9"/>
  <c r="E355" i="9"/>
  <c r="D354" i="9"/>
  <c r="F354" i="9"/>
  <c r="E354" i="9"/>
  <c r="D353" i="9"/>
  <c r="F353" i="9"/>
  <c r="E353" i="9"/>
  <c r="D352" i="9"/>
  <c r="F352" i="9"/>
  <c r="E352" i="9"/>
  <c r="D351" i="9"/>
  <c r="F351" i="9"/>
  <c r="E351" i="9"/>
  <c r="D350" i="9"/>
  <c r="F350" i="9"/>
  <c r="E350" i="9"/>
  <c r="D349" i="9"/>
  <c r="F349" i="9"/>
  <c r="E349" i="9"/>
  <c r="D346" i="9"/>
  <c r="F346" i="9"/>
  <c r="E346" i="9"/>
  <c r="D345" i="9"/>
  <c r="F345" i="9"/>
  <c r="E345" i="9"/>
  <c r="D344" i="9"/>
  <c r="F344" i="9"/>
  <c r="E344" i="9"/>
  <c r="D343" i="9"/>
  <c r="F343" i="9"/>
  <c r="E343" i="9"/>
  <c r="D342" i="9"/>
  <c r="F342" i="9"/>
  <c r="E342" i="9"/>
  <c r="D341" i="9"/>
  <c r="F341" i="9"/>
  <c r="E341" i="9"/>
  <c r="D340" i="9"/>
  <c r="F340" i="9"/>
  <c r="E340" i="9"/>
  <c r="D339" i="9"/>
  <c r="F339" i="9"/>
  <c r="E339" i="9"/>
  <c r="D338" i="9"/>
  <c r="F338" i="9"/>
  <c r="E338" i="9"/>
  <c r="D337" i="9"/>
  <c r="F337" i="9"/>
  <c r="E337" i="9"/>
  <c r="D336" i="9"/>
  <c r="F336" i="9"/>
  <c r="E336" i="9"/>
  <c r="D334" i="9"/>
  <c r="F334" i="9"/>
  <c r="E334" i="9"/>
  <c r="D333" i="9"/>
  <c r="F333" i="9"/>
  <c r="E333" i="9"/>
  <c r="D332" i="9"/>
  <c r="F332" i="9"/>
  <c r="E332" i="9"/>
  <c r="D331" i="9"/>
  <c r="F331" i="9"/>
  <c r="E331" i="9"/>
  <c r="D330" i="9"/>
  <c r="F330" i="9"/>
  <c r="E330" i="9"/>
  <c r="D329" i="9"/>
  <c r="F329" i="9"/>
  <c r="E329" i="9"/>
  <c r="D328" i="9"/>
  <c r="F328" i="9"/>
  <c r="E328" i="9"/>
  <c r="D327" i="9"/>
  <c r="F327" i="9"/>
  <c r="E327" i="9"/>
  <c r="D326" i="9"/>
  <c r="F326" i="9"/>
  <c r="E326" i="9"/>
  <c r="D325" i="9"/>
  <c r="F325" i="9"/>
  <c r="E325" i="9"/>
  <c r="D324" i="9"/>
  <c r="F324" i="9"/>
  <c r="E324" i="9"/>
  <c r="D323" i="9"/>
  <c r="F323" i="9"/>
  <c r="E323" i="9"/>
  <c r="D322" i="9"/>
  <c r="F322" i="9"/>
  <c r="E322" i="9"/>
  <c r="D321" i="9"/>
  <c r="F321" i="9"/>
  <c r="E321" i="9"/>
  <c r="D320" i="9"/>
  <c r="F320" i="9"/>
  <c r="E320" i="9"/>
  <c r="D319" i="9"/>
  <c r="F319" i="9"/>
  <c r="E319" i="9"/>
  <c r="D318" i="9"/>
  <c r="F318" i="9"/>
  <c r="E318" i="9"/>
  <c r="D317" i="9"/>
  <c r="F317" i="9"/>
  <c r="E317" i="9"/>
  <c r="D316" i="9"/>
  <c r="F316" i="9"/>
  <c r="E316" i="9"/>
  <c r="D315" i="9"/>
  <c r="F315" i="9"/>
  <c r="E315" i="9"/>
  <c r="D314" i="9"/>
  <c r="F314" i="9"/>
  <c r="E314" i="9"/>
  <c r="D313" i="9"/>
  <c r="F313" i="9"/>
  <c r="E313" i="9"/>
  <c r="D312" i="9"/>
  <c r="F312" i="9"/>
  <c r="E312" i="9"/>
  <c r="D311" i="9"/>
  <c r="F311" i="9"/>
  <c r="E311" i="9"/>
  <c r="D310" i="9"/>
  <c r="F310" i="9"/>
  <c r="E310" i="9"/>
  <c r="D309" i="9"/>
  <c r="F309" i="9"/>
  <c r="E309" i="9"/>
  <c r="D308" i="9"/>
  <c r="F308" i="9"/>
  <c r="E308" i="9"/>
  <c r="D307" i="9"/>
  <c r="F307" i="9"/>
  <c r="E307" i="9"/>
  <c r="D306" i="9"/>
  <c r="F306" i="9"/>
  <c r="E306" i="9"/>
  <c r="D305" i="9"/>
  <c r="F305" i="9"/>
  <c r="E305" i="9"/>
  <c r="D304" i="9"/>
  <c r="F304" i="9"/>
  <c r="E304" i="9"/>
  <c r="D303" i="9"/>
  <c r="F303" i="9"/>
  <c r="E303" i="9"/>
  <c r="D302" i="9"/>
  <c r="F302" i="9"/>
  <c r="E302" i="9"/>
  <c r="D301" i="9"/>
  <c r="F301" i="9"/>
  <c r="E301" i="9"/>
  <c r="D300" i="9"/>
  <c r="F300" i="9"/>
  <c r="E300" i="9"/>
  <c r="D299" i="9"/>
  <c r="F299" i="9"/>
  <c r="E299" i="9"/>
  <c r="D298" i="9"/>
  <c r="F298" i="9"/>
  <c r="E298" i="9"/>
  <c r="D297" i="9"/>
  <c r="F297" i="9"/>
  <c r="E297" i="9"/>
  <c r="D296" i="9"/>
  <c r="F296" i="9"/>
  <c r="E296" i="9"/>
  <c r="D295" i="9"/>
  <c r="F295" i="9"/>
  <c r="E295" i="9"/>
  <c r="D294" i="9"/>
  <c r="F294" i="9"/>
  <c r="E294" i="9"/>
  <c r="D293" i="9"/>
  <c r="F293" i="9"/>
  <c r="E293" i="9"/>
  <c r="D292" i="9"/>
  <c r="F292" i="9"/>
  <c r="E292" i="9"/>
  <c r="D291" i="9"/>
  <c r="F291" i="9"/>
  <c r="E291" i="9"/>
  <c r="D290" i="9"/>
  <c r="F290" i="9"/>
  <c r="E290" i="9"/>
  <c r="D289" i="9"/>
  <c r="F289" i="9"/>
  <c r="E289" i="9"/>
  <c r="D288" i="9"/>
  <c r="F288" i="9"/>
  <c r="E288" i="9"/>
  <c r="D287" i="9"/>
  <c r="F287" i="9"/>
  <c r="E287" i="9"/>
  <c r="D286" i="9"/>
  <c r="F286" i="9"/>
  <c r="E286" i="9"/>
  <c r="D285" i="9"/>
  <c r="F285" i="9"/>
  <c r="E285" i="9"/>
  <c r="D284" i="9"/>
  <c r="F284" i="9"/>
  <c r="E284" i="9"/>
  <c r="D283" i="9"/>
  <c r="F283" i="9"/>
  <c r="E283" i="9"/>
  <c r="D282" i="9"/>
  <c r="F282" i="9"/>
  <c r="E282" i="9"/>
  <c r="D281" i="9"/>
  <c r="F281" i="9"/>
  <c r="E281" i="9"/>
  <c r="D280" i="9"/>
  <c r="F280" i="9"/>
  <c r="E280" i="9"/>
  <c r="D279" i="9"/>
  <c r="F279" i="9"/>
  <c r="E279" i="9"/>
  <c r="D278" i="9"/>
  <c r="F278" i="9"/>
  <c r="E278" i="9"/>
  <c r="D277" i="9"/>
  <c r="F277" i="9"/>
  <c r="E277" i="9"/>
  <c r="D276" i="9"/>
  <c r="F276" i="9"/>
  <c r="E276" i="9"/>
  <c r="D275" i="9"/>
  <c r="F275" i="9"/>
  <c r="E275" i="9"/>
  <c r="D274" i="9"/>
  <c r="F274" i="9"/>
  <c r="E274" i="9"/>
  <c r="D273" i="9"/>
  <c r="F273" i="9"/>
  <c r="E273" i="9"/>
  <c r="D272" i="9"/>
  <c r="F272" i="9"/>
  <c r="E272" i="9"/>
  <c r="D271" i="9"/>
  <c r="F271" i="9"/>
  <c r="E271" i="9"/>
  <c r="D270" i="9"/>
  <c r="F270" i="9"/>
  <c r="E270" i="9"/>
  <c r="D269" i="9"/>
  <c r="F269" i="9"/>
  <c r="E269" i="9"/>
  <c r="D268" i="9"/>
  <c r="F268" i="9"/>
  <c r="E268" i="9"/>
  <c r="D267" i="9"/>
  <c r="F267" i="9"/>
  <c r="E267" i="9"/>
  <c r="D266" i="9"/>
  <c r="F266" i="9"/>
  <c r="E266" i="9"/>
  <c r="D265" i="9"/>
  <c r="F265" i="9"/>
  <c r="E265" i="9"/>
  <c r="D264" i="9"/>
  <c r="F264" i="9"/>
  <c r="E264" i="9"/>
  <c r="D263" i="9"/>
  <c r="F263" i="9"/>
  <c r="E263" i="9"/>
  <c r="D262" i="9"/>
  <c r="F262" i="9"/>
  <c r="E262" i="9"/>
  <c r="D261" i="9"/>
  <c r="F261" i="9"/>
  <c r="E261" i="9"/>
  <c r="D260" i="9"/>
  <c r="F260" i="9"/>
  <c r="E260" i="9"/>
  <c r="D259" i="9"/>
  <c r="F259" i="9"/>
  <c r="E259" i="9"/>
  <c r="D258" i="9"/>
  <c r="F258" i="9"/>
  <c r="E258" i="9"/>
  <c r="D257" i="9"/>
  <c r="F257" i="9"/>
  <c r="E257" i="9"/>
  <c r="D256" i="9"/>
  <c r="F256" i="9"/>
  <c r="E256" i="9"/>
  <c r="D255" i="9"/>
  <c r="F255" i="9"/>
  <c r="E255" i="9"/>
  <c r="D254" i="9"/>
  <c r="F254" i="9"/>
  <c r="E254" i="9"/>
  <c r="D253" i="9"/>
  <c r="F253" i="9"/>
  <c r="E253" i="9"/>
  <c r="D252" i="9"/>
  <c r="F252" i="9"/>
  <c r="E252" i="9"/>
  <c r="D251" i="9"/>
  <c r="F251" i="9"/>
  <c r="E251" i="9"/>
  <c r="D250" i="9"/>
  <c r="F250" i="9"/>
  <c r="E250" i="9"/>
  <c r="D249" i="9"/>
  <c r="F249" i="9"/>
  <c r="E249" i="9"/>
  <c r="D248" i="9"/>
  <c r="F248" i="9"/>
  <c r="E248" i="9"/>
  <c r="D247" i="9"/>
  <c r="F247" i="9"/>
  <c r="E247" i="9"/>
  <c r="D246" i="9"/>
  <c r="F246" i="9"/>
  <c r="E246" i="9"/>
  <c r="D245" i="9"/>
  <c r="F245" i="9"/>
  <c r="E245" i="9"/>
  <c r="D244" i="9"/>
  <c r="F244" i="9"/>
  <c r="E244" i="9"/>
  <c r="D243" i="9"/>
  <c r="F243" i="9"/>
  <c r="E243" i="9"/>
  <c r="D242" i="9"/>
  <c r="F242" i="9"/>
  <c r="E242" i="9"/>
  <c r="D241" i="9"/>
  <c r="F241" i="9"/>
  <c r="E241" i="9"/>
  <c r="D240" i="9"/>
  <c r="F240" i="9"/>
  <c r="E240" i="9"/>
  <c r="D239" i="9"/>
  <c r="F239" i="9"/>
  <c r="E239" i="9"/>
  <c r="D238" i="9"/>
  <c r="F238" i="9"/>
  <c r="E238" i="9"/>
  <c r="D237" i="9"/>
  <c r="F237" i="9"/>
  <c r="E237" i="9"/>
  <c r="D236" i="9"/>
  <c r="F236" i="9"/>
  <c r="E236" i="9"/>
  <c r="D235" i="9"/>
  <c r="F235" i="9"/>
  <c r="E235" i="9"/>
  <c r="D234" i="9"/>
  <c r="F234" i="9"/>
  <c r="E234" i="9"/>
  <c r="D233" i="9"/>
  <c r="F233" i="9"/>
  <c r="E233" i="9"/>
  <c r="D232" i="9"/>
  <c r="F232" i="9"/>
  <c r="E232" i="9"/>
  <c r="D231" i="9"/>
  <c r="F231" i="9"/>
  <c r="E231" i="9"/>
  <c r="D230" i="9"/>
  <c r="F230" i="9"/>
  <c r="E230" i="9"/>
  <c r="D229" i="9"/>
  <c r="F229" i="9"/>
  <c r="E229" i="9"/>
  <c r="D228" i="9"/>
  <c r="F228" i="9"/>
  <c r="E228" i="9"/>
  <c r="D227" i="9"/>
  <c r="F227" i="9"/>
  <c r="E227" i="9"/>
  <c r="D226" i="9"/>
  <c r="F226" i="9"/>
  <c r="E226" i="9"/>
  <c r="D225" i="9"/>
  <c r="F225" i="9"/>
  <c r="E225" i="9"/>
  <c r="D224" i="9"/>
  <c r="F224" i="9"/>
  <c r="E224" i="9"/>
  <c r="D223" i="9"/>
  <c r="F223" i="9"/>
  <c r="E223" i="9"/>
  <c r="D222" i="9"/>
  <c r="F222" i="9"/>
  <c r="E222" i="9"/>
  <c r="D221" i="9"/>
  <c r="F221" i="9"/>
  <c r="E221" i="9"/>
  <c r="D220" i="9"/>
  <c r="F220" i="9"/>
  <c r="E220" i="9"/>
  <c r="D219" i="9"/>
  <c r="F219" i="9"/>
  <c r="E219" i="9"/>
  <c r="D218" i="9"/>
  <c r="F218" i="9"/>
  <c r="E218" i="9"/>
  <c r="D217" i="9"/>
  <c r="F217" i="9"/>
  <c r="E217" i="9"/>
  <c r="D216" i="9"/>
  <c r="F216" i="9"/>
  <c r="E216" i="9"/>
  <c r="D215" i="9"/>
  <c r="F215" i="9"/>
  <c r="E215" i="9"/>
  <c r="D214" i="9"/>
  <c r="F214" i="9"/>
  <c r="E214" i="9"/>
  <c r="D213" i="9"/>
  <c r="F213" i="9"/>
  <c r="E213" i="9"/>
  <c r="D212" i="9"/>
  <c r="F212" i="9"/>
  <c r="E212" i="9"/>
  <c r="D211" i="9"/>
  <c r="F211" i="9"/>
  <c r="E211" i="9"/>
  <c r="D210" i="9"/>
  <c r="F210" i="9"/>
  <c r="E210" i="9"/>
  <c r="D209" i="9"/>
  <c r="F209" i="9"/>
  <c r="E209" i="9"/>
  <c r="D208" i="9"/>
  <c r="F208" i="9"/>
  <c r="E208" i="9"/>
  <c r="D207" i="9"/>
  <c r="F207" i="9"/>
  <c r="E207" i="9"/>
  <c r="D206" i="9"/>
  <c r="F206" i="9"/>
  <c r="E206" i="9"/>
  <c r="D205" i="9"/>
  <c r="F205" i="9"/>
  <c r="E205" i="9"/>
  <c r="D204" i="9"/>
  <c r="F204" i="9"/>
  <c r="E204" i="9"/>
  <c r="D203" i="9"/>
  <c r="F203" i="9"/>
  <c r="E203" i="9"/>
  <c r="D202" i="9"/>
  <c r="F202" i="9"/>
  <c r="E202" i="9"/>
  <c r="D201" i="9"/>
  <c r="F201" i="9"/>
  <c r="E201" i="9"/>
  <c r="D200" i="9"/>
  <c r="F200" i="9"/>
  <c r="E200" i="9"/>
  <c r="D199" i="9"/>
  <c r="F199" i="9"/>
  <c r="E199" i="9"/>
  <c r="D198" i="9"/>
  <c r="F198" i="9"/>
  <c r="E198" i="9"/>
  <c r="D197" i="9"/>
  <c r="F197" i="9"/>
  <c r="E197" i="9"/>
  <c r="D196" i="9"/>
  <c r="F196" i="9"/>
  <c r="E196" i="9"/>
  <c r="D195" i="9"/>
  <c r="F195" i="9"/>
  <c r="E195" i="9"/>
  <c r="D194" i="9"/>
  <c r="F194" i="9"/>
  <c r="E194" i="9"/>
  <c r="D193" i="9"/>
  <c r="F193" i="9"/>
  <c r="E193" i="9"/>
  <c r="D192" i="9"/>
  <c r="F192" i="9"/>
  <c r="E192" i="9"/>
  <c r="D191" i="9"/>
  <c r="F191" i="9"/>
  <c r="E191" i="9"/>
  <c r="D190" i="9"/>
  <c r="F190" i="9"/>
  <c r="E190" i="9"/>
  <c r="D189" i="9"/>
  <c r="F189" i="9"/>
  <c r="E189" i="9"/>
  <c r="D188" i="9"/>
  <c r="F188" i="9"/>
  <c r="E188" i="9"/>
  <c r="D187" i="9"/>
  <c r="F187" i="9"/>
  <c r="E187" i="9"/>
  <c r="D186" i="9"/>
  <c r="F186" i="9"/>
  <c r="E186" i="9"/>
  <c r="D185" i="9"/>
  <c r="F185" i="9"/>
  <c r="E185" i="9"/>
  <c r="D184" i="9"/>
  <c r="F184" i="9"/>
  <c r="E184" i="9"/>
  <c r="D183" i="9"/>
  <c r="F183" i="9"/>
  <c r="E183" i="9"/>
  <c r="D182" i="9"/>
  <c r="F182" i="9"/>
  <c r="E182" i="9"/>
  <c r="D181" i="9"/>
  <c r="F181" i="9"/>
  <c r="E181" i="9"/>
  <c r="D180" i="9"/>
  <c r="F180" i="9"/>
  <c r="E180" i="9"/>
  <c r="D179" i="9"/>
  <c r="F179" i="9"/>
  <c r="E179" i="9"/>
  <c r="D178" i="9"/>
  <c r="F178" i="9"/>
  <c r="E178" i="9"/>
  <c r="D177" i="9"/>
  <c r="F177" i="9"/>
  <c r="E177" i="9"/>
  <c r="D176" i="9"/>
  <c r="F176" i="9"/>
  <c r="E176" i="9"/>
  <c r="D175" i="9"/>
  <c r="F175" i="9"/>
  <c r="E175" i="9"/>
  <c r="D174" i="9"/>
  <c r="F174" i="9"/>
  <c r="E174" i="9"/>
  <c r="D173" i="9"/>
  <c r="F173" i="9"/>
  <c r="E173" i="9"/>
  <c r="D172" i="9"/>
  <c r="F172" i="9"/>
  <c r="E172" i="9"/>
  <c r="D171" i="9"/>
  <c r="F171" i="9"/>
  <c r="E171" i="9"/>
  <c r="D170" i="9"/>
  <c r="F170" i="9"/>
  <c r="E170" i="9"/>
  <c r="D169" i="9"/>
  <c r="F169" i="9"/>
  <c r="E169" i="9"/>
  <c r="D168" i="9"/>
  <c r="F168" i="9"/>
  <c r="E168" i="9"/>
  <c r="D167" i="9"/>
  <c r="F167" i="9"/>
  <c r="E167" i="9"/>
  <c r="D166" i="9"/>
  <c r="F166" i="9"/>
  <c r="E166" i="9"/>
  <c r="D165" i="9"/>
  <c r="F165" i="9"/>
  <c r="E165" i="9"/>
  <c r="D164" i="9"/>
  <c r="F164" i="9"/>
  <c r="E164" i="9"/>
  <c r="D163" i="9"/>
  <c r="F163" i="9"/>
  <c r="E163" i="9"/>
  <c r="D162" i="9"/>
  <c r="F162" i="9"/>
  <c r="E162" i="9"/>
  <c r="D161" i="9"/>
  <c r="F161" i="9"/>
  <c r="E161" i="9"/>
  <c r="D160" i="9"/>
  <c r="F160" i="9"/>
  <c r="E160" i="9"/>
  <c r="D159" i="9"/>
  <c r="F159" i="9"/>
  <c r="E159" i="9"/>
  <c r="D158" i="9"/>
  <c r="F158" i="9"/>
  <c r="E158" i="9"/>
  <c r="D157" i="9"/>
  <c r="F157" i="9"/>
  <c r="E157" i="9"/>
  <c r="D156" i="9"/>
  <c r="F156" i="9"/>
  <c r="E156" i="9"/>
  <c r="D155" i="9"/>
  <c r="F155" i="9"/>
  <c r="E155" i="9"/>
  <c r="D154" i="9"/>
  <c r="F154" i="9"/>
  <c r="E154" i="9"/>
  <c r="D153" i="9"/>
  <c r="F153" i="9"/>
  <c r="E153" i="9"/>
  <c r="D152" i="9"/>
  <c r="F152" i="9"/>
  <c r="E152" i="9"/>
  <c r="D151" i="9"/>
  <c r="F151" i="9"/>
  <c r="E151" i="9"/>
  <c r="D150" i="9"/>
  <c r="F150" i="9"/>
  <c r="E150" i="9"/>
  <c r="D149" i="9"/>
  <c r="F149" i="9"/>
  <c r="E149" i="9"/>
  <c r="D148" i="9"/>
  <c r="F148" i="9"/>
  <c r="E148" i="9"/>
  <c r="D147" i="9"/>
  <c r="F147" i="9"/>
  <c r="E147" i="9"/>
  <c r="D146" i="9"/>
  <c r="F146" i="9"/>
  <c r="E146" i="9"/>
  <c r="D145" i="9"/>
  <c r="F145" i="9"/>
  <c r="E145" i="9"/>
  <c r="D144" i="9"/>
  <c r="F144" i="9"/>
  <c r="E144" i="9"/>
  <c r="D143" i="9"/>
  <c r="F143" i="9"/>
  <c r="E143" i="9"/>
  <c r="D142" i="9"/>
  <c r="F142" i="9"/>
  <c r="E142" i="9"/>
  <c r="D141" i="9"/>
  <c r="F141" i="9"/>
  <c r="E141" i="9"/>
  <c r="D140" i="9"/>
  <c r="F140" i="9"/>
  <c r="E140" i="9"/>
  <c r="D139" i="9"/>
  <c r="F139" i="9"/>
  <c r="E139" i="9"/>
  <c r="D138" i="9"/>
  <c r="F138" i="9"/>
  <c r="E138" i="9"/>
  <c r="D137" i="9"/>
  <c r="F137" i="9"/>
  <c r="E137" i="9"/>
  <c r="D136" i="9"/>
  <c r="F136" i="9"/>
  <c r="E136" i="9"/>
  <c r="D135" i="9"/>
  <c r="F135" i="9"/>
  <c r="E135" i="9"/>
  <c r="D134" i="9"/>
  <c r="F134" i="9"/>
  <c r="E134" i="9"/>
  <c r="D133" i="9"/>
  <c r="F133" i="9"/>
  <c r="E133" i="9"/>
  <c r="D132" i="9"/>
  <c r="F132" i="9"/>
  <c r="E132" i="9"/>
  <c r="D131" i="9"/>
  <c r="F131" i="9"/>
  <c r="E131" i="9"/>
  <c r="D130" i="9"/>
  <c r="F130" i="9"/>
  <c r="E130" i="9"/>
  <c r="D129" i="9"/>
  <c r="F129" i="9"/>
  <c r="E129" i="9"/>
  <c r="D128" i="9"/>
  <c r="F128" i="9"/>
  <c r="E128" i="9"/>
  <c r="D127" i="9"/>
  <c r="F127" i="9"/>
  <c r="E127" i="9"/>
  <c r="D126" i="9"/>
  <c r="F126" i="9"/>
  <c r="E126" i="9"/>
  <c r="D125" i="9"/>
  <c r="F125" i="9"/>
  <c r="E125" i="9"/>
  <c r="D124" i="9"/>
  <c r="F124" i="9"/>
  <c r="E124" i="9"/>
  <c r="D123" i="9"/>
  <c r="F123" i="9"/>
  <c r="E123" i="9"/>
  <c r="D122" i="9"/>
  <c r="F122" i="9"/>
  <c r="E122" i="9"/>
  <c r="D121" i="9"/>
  <c r="F121" i="9"/>
  <c r="E121" i="9"/>
  <c r="D120" i="9"/>
  <c r="F120" i="9"/>
  <c r="E120" i="9"/>
  <c r="D119" i="9"/>
  <c r="F119" i="9"/>
  <c r="E119" i="9"/>
  <c r="D118" i="9"/>
  <c r="F118" i="9"/>
  <c r="E118" i="9"/>
  <c r="D117" i="9"/>
  <c r="F117" i="9"/>
  <c r="E117" i="9"/>
  <c r="D116" i="9"/>
  <c r="F116" i="9"/>
  <c r="E116" i="9"/>
  <c r="D115" i="9"/>
  <c r="F115" i="9"/>
  <c r="E115" i="9"/>
  <c r="D114" i="9"/>
  <c r="F114" i="9"/>
  <c r="E114" i="9"/>
  <c r="D113" i="9"/>
  <c r="F113" i="9"/>
  <c r="E113" i="9"/>
  <c r="D112" i="9"/>
  <c r="F112" i="9"/>
  <c r="E112" i="9"/>
  <c r="D111" i="9"/>
  <c r="F111" i="9"/>
  <c r="E111" i="9"/>
  <c r="D110" i="9"/>
  <c r="F110" i="9"/>
  <c r="E110" i="9"/>
  <c r="D109" i="9"/>
  <c r="F109" i="9"/>
  <c r="E109" i="9"/>
  <c r="D108" i="9"/>
  <c r="F108" i="9"/>
  <c r="E108" i="9"/>
  <c r="D107" i="9"/>
  <c r="F107" i="9"/>
  <c r="E107" i="9"/>
  <c r="D106" i="9"/>
  <c r="F106" i="9"/>
  <c r="E106" i="9"/>
  <c r="D105" i="9"/>
  <c r="F105" i="9"/>
  <c r="E105" i="9"/>
  <c r="D104" i="9"/>
  <c r="F104" i="9"/>
  <c r="E104" i="9"/>
  <c r="D103" i="9"/>
  <c r="F103" i="9"/>
  <c r="E103" i="9"/>
  <c r="D102" i="9"/>
  <c r="F102" i="9"/>
  <c r="E102" i="9"/>
  <c r="D101" i="9"/>
  <c r="F101" i="9"/>
  <c r="E101" i="9"/>
  <c r="D100" i="9"/>
  <c r="F100" i="9"/>
  <c r="E100" i="9"/>
  <c r="D99" i="9"/>
  <c r="F99" i="9"/>
  <c r="E99" i="9"/>
  <c r="D98" i="9"/>
  <c r="F98" i="9"/>
  <c r="E98" i="9"/>
  <c r="D97" i="9"/>
  <c r="F97" i="9"/>
  <c r="E97" i="9"/>
  <c r="D96" i="9"/>
  <c r="F96" i="9"/>
  <c r="E96" i="9"/>
  <c r="D95" i="9"/>
  <c r="F95" i="9"/>
  <c r="E95" i="9"/>
  <c r="D94" i="9"/>
  <c r="F94" i="9"/>
  <c r="E94" i="9"/>
  <c r="D93" i="9"/>
  <c r="F93" i="9"/>
  <c r="E93" i="9"/>
  <c r="D92" i="9"/>
  <c r="F92" i="9"/>
  <c r="E92" i="9"/>
  <c r="D91" i="9"/>
  <c r="F91" i="9"/>
  <c r="E91" i="9"/>
  <c r="D90" i="9"/>
  <c r="F90" i="9"/>
  <c r="E90" i="9"/>
  <c r="D89" i="9"/>
  <c r="F89" i="9"/>
  <c r="E89" i="9"/>
  <c r="D88" i="9"/>
  <c r="F88" i="9"/>
  <c r="E88" i="9"/>
  <c r="D87" i="9"/>
  <c r="F87" i="9"/>
  <c r="E87" i="9"/>
  <c r="D86" i="9"/>
  <c r="F86" i="9"/>
  <c r="E86" i="9"/>
  <c r="D85" i="9"/>
  <c r="F85" i="9"/>
  <c r="E85" i="9"/>
  <c r="D84" i="9"/>
  <c r="F84" i="9"/>
  <c r="E84" i="9"/>
  <c r="D83" i="9"/>
  <c r="F83" i="9"/>
  <c r="E83" i="9"/>
  <c r="D82" i="9"/>
  <c r="F82" i="9"/>
  <c r="E82" i="9"/>
  <c r="D81" i="9"/>
  <c r="F81" i="9"/>
  <c r="E81" i="9"/>
  <c r="D80" i="9"/>
  <c r="F80" i="9"/>
  <c r="E80" i="9"/>
  <c r="D79" i="9"/>
  <c r="F79" i="9"/>
  <c r="E79" i="9"/>
  <c r="D78" i="9"/>
  <c r="F78" i="9"/>
  <c r="E78" i="9"/>
  <c r="D77" i="9"/>
  <c r="F77" i="9"/>
  <c r="E77" i="9"/>
  <c r="D76" i="9"/>
  <c r="F76" i="9"/>
  <c r="E76" i="9"/>
  <c r="D75" i="9"/>
  <c r="F75" i="9"/>
  <c r="E75" i="9"/>
  <c r="D74" i="9"/>
  <c r="F74" i="9"/>
  <c r="E74" i="9"/>
  <c r="D73" i="9"/>
  <c r="F73" i="9"/>
  <c r="E73" i="9"/>
  <c r="D72" i="9"/>
  <c r="F72" i="9"/>
  <c r="E72" i="9"/>
  <c r="D71" i="9"/>
  <c r="F71" i="9"/>
  <c r="E71" i="9"/>
  <c r="D70" i="9"/>
  <c r="F70" i="9"/>
  <c r="E70" i="9"/>
  <c r="D69" i="9"/>
  <c r="F69" i="9"/>
  <c r="E69" i="9"/>
  <c r="D68" i="9"/>
  <c r="F68" i="9"/>
  <c r="E68" i="9"/>
  <c r="D67" i="9"/>
  <c r="F67" i="9"/>
  <c r="E67" i="9"/>
  <c r="D66" i="9"/>
  <c r="F66" i="9"/>
  <c r="E66" i="9"/>
  <c r="D65" i="9"/>
  <c r="F65" i="9"/>
  <c r="E65" i="9"/>
  <c r="D64" i="9"/>
  <c r="F64" i="9"/>
  <c r="E64" i="9"/>
  <c r="D63" i="9"/>
  <c r="F63" i="9"/>
  <c r="E63" i="9"/>
  <c r="D62" i="9"/>
  <c r="F62" i="9"/>
  <c r="E62" i="9"/>
  <c r="D61" i="9"/>
  <c r="F61" i="9"/>
  <c r="E61" i="9"/>
  <c r="D60" i="9"/>
  <c r="F60" i="9"/>
  <c r="E60" i="9"/>
  <c r="D59" i="9"/>
  <c r="F59" i="9"/>
  <c r="E59" i="9"/>
  <c r="D58" i="9"/>
  <c r="F58" i="9"/>
  <c r="E58" i="9"/>
  <c r="D57" i="9"/>
  <c r="F57" i="9"/>
  <c r="E57" i="9"/>
  <c r="D56" i="9"/>
  <c r="F56" i="9"/>
  <c r="E56" i="9"/>
  <c r="D55" i="9"/>
  <c r="F55" i="9"/>
  <c r="E55" i="9"/>
  <c r="D54" i="9"/>
  <c r="F54" i="9"/>
  <c r="E54" i="9"/>
  <c r="D53" i="9"/>
  <c r="F53" i="9"/>
  <c r="E53" i="9"/>
  <c r="D52" i="9"/>
  <c r="F52" i="9"/>
  <c r="E52" i="9"/>
  <c r="D51" i="9"/>
  <c r="F51" i="9"/>
  <c r="E51" i="9"/>
  <c r="D50" i="9"/>
  <c r="F50" i="9"/>
  <c r="E50" i="9"/>
  <c r="D49" i="9"/>
  <c r="F49" i="9"/>
  <c r="E49" i="9"/>
  <c r="D48" i="9"/>
  <c r="F48" i="9"/>
  <c r="E48" i="9"/>
  <c r="D47" i="9"/>
  <c r="F47" i="9"/>
  <c r="E47" i="9"/>
  <c r="D46" i="9"/>
  <c r="F46" i="9"/>
  <c r="E46" i="9"/>
  <c r="D45" i="9"/>
  <c r="F45" i="9"/>
  <c r="E45" i="9"/>
  <c r="D44" i="9"/>
  <c r="F44" i="9"/>
  <c r="E44" i="9"/>
  <c r="D43" i="9"/>
  <c r="F43" i="9"/>
  <c r="E43" i="9"/>
  <c r="D42" i="9"/>
  <c r="F42" i="9"/>
  <c r="E42" i="9"/>
  <c r="D41" i="9"/>
  <c r="F41" i="9"/>
  <c r="E41" i="9"/>
  <c r="D40" i="9"/>
  <c r="F40" i="9"/>
  <c r="E40" i="9"/>
  <c r="D39" i="9"/>
  <c r="F39" i="9"/>
  <c r="E39" i="9"/>
  <c r="D38" i="9"/>
  <c r="F38" i="9"/>
  <c r="E38" i="9"/>
  <c r="D37" i="9"/>
  <c r="F37" i="9"/>
  <c r="E37" i="9"/>
  <c r="D36" i="9"/>
  <c r="F36" i="9"/>
  <c r="E36" i="9"/>
  <c r="D35" i="9"/>
  <c r="F35" i="9"/>
  <c r="E35" i="9"/>
  <c r="D34" i="9"/>
  <c r="F34" i="9"/>
  <c r="E34" i="9"/>
  <c r="D33" i="9"/>
  <c r="F33" i="9"/>
  <c r="E33" i="9"/>
  <c r="D32" i="9"/>
  <c r="F32" i="9"/>
  <c r="E32" i="9"/>
  <c r="D31" i="9"/>
  <c r="F31" i="9"/>
  <c r="E31" i="9"/>
  <c r="D30" i="9"/>
  <c r="F30" i="9"/>
  <c r="E30" i="9"/>
  <c r="D29" i="9"/>
  <c r="F29" i="9"/>
  <c r="E29" i="9"/>
  <c r="D28" i="9"/>
  <c r="F28" i="9"/>
  <c r="E28" i="9"/>
  <c r="D27" i="9"/>
  <c r="F27" i="9"/>
  <c r="E27" i="9"/>
  <c r="D26" i="9"/>
  <c r="F26" i="9"/>
  <c r="E26" i="9"/>
  <c r="D25" i="9"/>
  <c r="F25" i="9"/>
  <c r="E25" i="9"/>
  <c r="D24" i="9"/>
  <c r="F24" i="9"/>
  <c r="E24" i="9"/>
  <c r="D23" i="9"/>
  <c r="F23" i="9"/>
  <c r="E23" i="9"/>
  <c r="D22" i="9"/>
  <c r="F22" i="9"/>
  <c r="E22" i="9"/>
  <c r="D21" i="9"/>
  <c r="F21" i="9"/>
  <c r="E21" i="9"/>
  <c r="D20" i="9"/>
  <c r="F20" i="9"/>
  <c r="E20" i="9"/>
  <c r="D19" i="9"/>
  <c r="F19" i="9"/>
  <c r="E19" i="9"/>
  <c r="D18" i="9"/>
  <c r="F18" i="9"/>
  <c r="E18" i="9"/>
  <c r="D17" i="9"/>
  <c r="F17" i="9"/>
  <c r="E17" i="9"/>
  <c r="D16" i="9"/>
  <c r="F16" i="9"/>
  <c r="E16" i="9"/>
  <c r="D15" i="9"/>
  <c r="F15" i="9"/>
  <c r="E15" i="9"/>
  <c r="D14" i="9"/>
  <c r="F14" i="9"/>
  <c r="E14" i="9"/>
  <c r="D13" i="9"/>
  <c r="F13" i="9"/>
  <c r="E13" i="9"/>
  <c r="D12" i="9"/>
  <c r="F12" i="9"/>
  <c r="E12" i="9"/>
  <c r="D11" i="9"/>
  <c r="F11" i="9"/>
  <c r="E11" i="9"/>
  <c r="D10" i="9"/>
  <c r="F10" i="9"/>
  <c r="E10" i="9"/>
  <c r="D9" i="9"/>
  <c r="F9" i="9"/>
  <c r="E9" i="9"/>
  <c r="D8" i="9"/>
  <c r="F8" i="9"/>
  <c r="E8" i="9"/>
  <c r="D7" i="9"/>
  <c r="F7" i="9"/>
  <c r="E7" i="9"/>
  <c r="D6" i="9"/>
  <c r="F6" i="9"/>
  <c r="E6" i="9"/>
  <c r="D5" i="9"/>
  <c r="F5" i="9"/>
  <c r="E5" i="9"/>
  <c r="D4" i="9"/>
  <c r="F4" i="9"/>
  <c r="E4" i="9"/>
  <c r="D3" i="9"/>
  <c r="F3" i="9"/>
  <c r="E3" i="9"/>
  <c r="D2" i="9"/>
  <c r="F2" i="9"/>
  <c r="E2" i="9"/>
  <c r="AZ414" i="1"/>
  <c r="BA414" i="1"/>
  <c r="BB414" i="1"/>
  <c r="CH414" i="1"/>
  <c r="CI414" i="1"/>
  <c r="CJ414" i="1"/>
  <c r="CK414" i="1"/>
  <c r="CL414" i="1"/>
  <c r="CM414" i="1"/>
  <c r="CN414" i="1"/>
  <c r="CO414" i="1"/>
  <c r="CP414" i="1"/>
  <c r="CQ414" i="1"/>
  <c r="CR414" i="1"/>
  <c r="CS414" i="1"/>
  <c r="BV414" i="1"/>
  <c r="BW414" i="1"/>
  <c r="BX414" i="1"/>
  <c r="BY414" i="1"/>
  <c r="BZ414" i="1"/>
  <c r="CA414" i="1"/>
  <c r="CB414" i="1"/>
  <c r="CC414" i="1"/>
  <c r="CD414" i="1"/>
  <c r="CE414" i="1"/>
  <c r="CF414" i="1"/>
  <c r="CG414" i="1"/>
  <c r="CT414" i="1"/>
  <c r="AZ413" i="1"/>
  <c r="BA413" i="1"/>
  <c r="BB413" i="1"/>
  <c r="CH413" i="1"/>
  <c r="CI413" i="1"/>
  <c r="CJ413" i="1"/>
  <c r="CK413" i="1"/>
  <c r="CL413" i="1"/>
  <c r="CM413" i="1"/>
  <c r="CN413" i="1"/>
  <c r="CO413" i="1"/>
  <c r="CP413" i="1"/>
  <c r="CQ413" i="1"/>
  <c r="CR413" i="1"/>
  <c r="CS413" i="1"/>
  <c r="BV413" i="1"/>
  <c r="BW413" i="1"/>
  <c r="BX413" i="1"/>
  <c r="BY413" i="1"/>
  <c r="BZ413" i="1"/>
  <c r="CA413" i="1"/>
  <c r="CB413" i="1"/>
  <c r="CC413" i="1"/>
  <c r="CD413" i="1"/>
  <c r="CE413" i="1"/>
  <c r="CF413" i="1"/>
  <c r="CG413" i="1"/>
  <c r="CT413" i="1"/>
  <c r="AZ419" i="1"/>
  <c r="BA419" i="1"/>
  <c r="BB419" i="1"/>
  <c r="CH419" i="1"/>
  <c r="CI419" i="1"/>
  <c r="CJ419" i="1"/>
  <c r="CK419" i="1"/>
  <c r="CL419" i="1"/>
  <c r="CM419" i="1"/>
  <c r="CN419" i="1"/>
  <c r="CO419" i="1"/>
  <c r="CP419" i="1"/>
  <c r="CQ419" i="1"/>
  <c r="CR419" i="1"/>
  <c r="CS419" i="1"/>
  <c r="BV419" i="1"/>
  <c r="BW419" i="1"/>
  <c r="BX419" i="1"/>
  <c r="BY419" i="1"/>
  <c r="BZ419" i="1"/>
  <c r="CA419" i="1"/>
  <c r="CB419" i="1"/>
  <c r="CC419" i="1"/>
  <c r="CD419" i="1"/>
  <c r="CE419" i="1"/>
  <c r="CF419" i="1"/>
  <c r="CG419" i="1"/>
  <c r="CT419" i="1"/>
  <c r="AA48" i="2"/>
  <c r="AB48" i="2"/>
  <c r="AD48" i="2"/>
  <c r="AE48" i="2"/>
  <c r="AG48" i="2"/>
  <c r="AH48" i="2"/>
  <c r="AI48" i="2"/>
  <c r="AJ48" i="2"/>
  <c r="AM48" i="2"/>
  <c r="AZ418" i="1"/>
  <c r="BA418" i="1"/>
  <c r="BB418" i="1"/>
  <c r="CH418" i="1"/>
  <c r="CI418" i="1"/>
  <c r="CJ418" i="1"/>
  <c r="CK418" i="1"/>
  <c r="CL418" i="1"/>
  <c r="CM418" i="1"/>
  <c r="CN418" i="1"/>
  <c r="CO418" i="1"/>
  <c r="CP418" i="1"/>
  <c r="CQ418" i="1"/>
  <c r="CR418" i="1"/>
  <c r="CS418" i="1"/>
  <c r="BV418" i="1"/>
  <c r="BW418" i="1"/>
  <c r="BX418" i="1"/>
  <c r="BY418" i="1"/>
  <c r="BZ418" i="1"/>
  <c r="CA418" i="1"/>
  <c r="CB418" i="1"/>
  <c r="CC418" i="1"/>
  <c r="CD418" i="1"/>
  <c r="CE418" i="1"/>
  <c r="CF418" i="1"/>
  <c r="CG418" i="1"/>
  <c r="CT418" i="1"/>
  <c r="AZ420" i="1"/>
  <c r="BA420" i="1"/>
  <c r="BB420" i="1"/>
  <c r="CH420" i="1"/>
  <c r="CI420" i="1"/>
  <c r="CJ420" i="1"/>
  <c r="CK420" i="1"/>
  <c r="CL420" i="1"/>
  <c r="CM420" i="1"/>
  <c r="CN420" i="1"/>
  <c r="CO420" i="1"/>
  <c r="CP420" i="1"/>
  <c r="CQ420" i="1"/>
  <c r="CR420" i="1"/>
  <c r="CS420" i="1"/>
  <c r="BV420" i="1"/>
  <c r="BW420" i="1"/>
  <c r="BX420" i="1"/>
  <c r="BY420" i="1"/>
  <c r="BZ420" i="1"/>
  <c r="CA420" i="1"/>
  <c r="CB420" i="1"/>
  <c r="CC420" i="1"/>
  <c r="CD420" i="1"/>
  <c r="CE420" i="1"/>
  <c r="CF420" i="1"/>
  <c r="CG420" i="1"/>
  <c r="CT420" i="1"/>
  <c r="AA45" i="2"/>
  <c r="AB45" i="2"/>
  <c r="AD45" i="2"/>
  <c r="AE45" i="2"/>
  <c r="AH45" i="2"/>
  <c r="AJ45" i="2"/>
  <c r="AM45" i="2"/>
  <c r="AZ394" i="1"/>
  <c r="BA394" i="1"/>
  <c r="BB394" i="1"/>
  <c r="CH394" i="1"/>
  <c r="CI394" i="1"/>
  <c r="CJ394" i="1"/>
  <c r="CK394" i="1"/>
  <c r="CL394" i="1"/>
  <c r="CM394" i="1"/>
  <c r="CN394" i="1"/>
  <c r="CO394" i="1"/>
  <c r="CP394" i="1"/>
  <c r="CQ394" i="1"/>
  <c r="CR394" i="1"/>
  <c r="CS394" i="1"/>
  <c r="BV394" i="1"/>
  <c r="BW394" i="1"/>
  <c r="BX394" i="1"/>
  <c r="BY394" i="1"/>
  <c r="BZ394" i="1"/>
  <c r="CA394" i="1"/>
  <c r="CB394" i="1"/>
  <c r="CC394" i="1"/>
  <c r="CD394" i="1"/>
  <c r="CE394" i="1"/>
  <c r="CF394" i="1"/>
  <c r="CG394" i="1"/>
  <c r="CT394" i="1"/>
  <c r="AZ395" i="1"/>
  <c r="BA395" i="1"/>
  <c r="BB395" i="1"/>
  <c r="CH395" i="1"/>
  <c r="CI395" i="1"/>
  <c r="CJ395" i="1"/>
  <c r="BC395" i="1" s="1"/>
  <c r="CK395" i="1"/>
  <c r="CL395" i="1"/>
  <c r="CM395" i="1"/>
  <c r="CN395" i="1"/>
  <c r="CO395" i="1"/>
  <c r="CP395" i="1"/>
  <c r="CQ395" i="1"/>
  <c r="CR395" i="1"/>
  <c r="CS395" i="1"/>
  <c r="BV395" i="1"/>
  <c r="BW395" i="1"/>
  <c r="BX395" i="1"/>
  <c r="BY395" i="1"/>
  <c r="BZ395" i="1"/>
  <c r="CA395" i="1"/>
  <c r="CB395" i="1"/>
  <c r="CC395" i="1"/>
  <c r="CD395" i="1"/>
  <c r="CE395" i="1"/>
  <c r="CF395" i="1"/>
  <c r="CG395" i="1"/>
  <c r="CT395" i="1"/>
  <c r="AZ307" i="1"/>
  <c r="BA307" i="1"/>
  <c r="BB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CT307" i="1"/>
  <c r="AZ306" i="1"/>
  <c r="BA306" i="1"/>
  <c r="BB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CT306" i="1"/>
  <c r="AZ363" i="1"/>
  <c r="BA363" i="1"/>
  <c r="BB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CT363" i="1"/>
  <c r="AA44" i="2"/>
  <c r="AB44" i="2"/>
  <c r="AE44" i="2"/>
  <c r="AH44" i="2"/>
  <c r="AJ44" i="2"/>
  <c r="AK44" i="2"/>
  <c r="AM44" i="2"/>
  <c r="AZ362" i="1"/>
  <c r="BA362" i="1"/>
  <c r="BB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BV362" i="1"/>
  <c r="BW362" i="1"/>
  <c r="BX362" i="1"/>
  <c r="BY362" i="1"/>
  <c r="BZ362" i="1"/>
  <c r="CA362" i="1"/>
  <c r="CB362" i="1"/>
  <c r="CC362" i="1"/>
  <c r="CD362" i="1"/>
  <c r="CE362" i="1"/>
  <c r="CF362" i="1"/>
  <c r="CG362" i="1"/>
  <c r="CT362" i="1"/>
  <c r="AZ360" i="1"/>
  <c r="BA360" i="1"/>
  <c r="BB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CT360" i="1"/>
  <c r="AZ361" i="1"/>
  <c r="BA361" i="1"/>
  <c r="BB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CT361" i="1"/>
  <c r="AZ159" i="1"/>
  <c r="BA159" i="1"/>
  <c r="BB159" i="1"/>
  <c r="CH159" i="1"/>
  <c r="CI159" i="1"/>
  <c r="CJ159" i="1"/>
  <c r="BC159" i="1" s="1"/>
  <c r="CK159" i="1"/>
  <c r="CL159" i="1"/>
  <c r="CM159" i="1"/>
  <c r="CN159" i="1"/>
  <c r="CO159" i="1"/>
  <c r="CP159" i="1"/>
  <c r="CQ159" i="1"/>
  <c r="CR159" i="1"/>
  <c r="CS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T159" i="1"/>
  <c r="AZ158" i="1"/>
  <c r="BA158" i="1"/>
  <c r="BB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T158" i="1"/>
  <c r="B15" i="3"/>
  <c r="C15" i="3"/>
  <c r="AA19" i="2"/>
  <c r="AB19" i="2"/>
  <c r="AE19" i="2"/>
  <c r="AH19" i="2"/>
  <c r="AJ19" i="2"/>
  <c r="AK19" i="2"/>
  <c r="AM19" i="2"/>
  <c r="AZ156" i="1"/>
  <c r="BA156" i="1"/>
  <c r="BB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T156" i="1"/>
  <c r="BA157" i="1"/>
  <c r="BB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T157" i="1"/>
  <c r="AH27" i="4"/>
  <c r="AH16" i="4"/>
  <c r="AH235" i="4"/>
  <c r="AH18" i="4"/>
  <c r="AH20" i="4"/>
  <c r="AH17" i="4"/>
  <c r="AH4" i="4"/>
  <c r="AH35" i="4"/>
  <c r="AH19" i="4"/>
  <c r="AH15" i="4"/>
  <c r="AH244" i="4"/>
  <c r="AH230" i="4"/>
  <c r="AH119" i="4"/>
  <c r="AH127" i="4"/>
  <c r="AH173" i="4"/>
  <c r="AH142" i="4"/>
  <c r="AH290" i="4"/>
  <c r="AH241" i="4"/>
  <c r="AH293" i="4"/>
  <c r="AH219" i="4"/>
  <c r="AH181" i="4"/>
  <c r="AH182" i="4"/>
  <c r="AH169" i="4"/>
  <c r="AH91" i="4"/>
  <c r="AH136" i="4"/>
  <c r="AH138" i="4"/>
  <c r="AH25" i="4"/>
  <c r="AH61" i="4"/>
  <c r="AH137" i="4"/>
  <c r="AH102" i="4"/>
  <c r="AH176" i="4"/>
  <c r="AH175" i="4"/>
  <c r="AH177" i="4"/>
  <c r="AH209" i="4"/>
  <c r="AH179" i="4"/>
  <c r="AH111" i="4"/>
  <c r="AH120" i="4"/>
  <c r="AH284" i="4"/>
  <c r="AH285" i="4"/>
  <c r="AH286" i="4"/>
  <c r="AH282" i="4"/>
  <c r="AH278" i="4"/>
  <c r="AH24" i="4"/>
  <c r="AH87" i="4"/>
  <c r="AH90" i="4"/>
  <c r="AH178" i="4"/>
  <c r="AH236" i="4"/>
  <c r="AH302" i="4"/>
  <c r="AH240" i="4"/>
  <c r="AH14" i="4"/>
  <c r="AH237" i="4"/>
  <c r="AH242" i="4"/>
  <c r="AH68" i="4"/>
  <c r="AH113" i="4"/>
  <c r="AH117" i="4"/>
  <c r="AH67" i="4"/>
  <c r="AH283" i="4"/>
  <c r="AH99" i="4"/>
  <c r="AH62" i="4"/>
  <c r="AH69" i="4"/>
  <c r="AH75" i="4"/>
  <c r="AH131" i="4"/>
  <c r="AH70" i="4"/>
  <c r="AH250" i="4"/>
  <c r="AH74" i="4"/>
  <c r="AH253" i="4"/>
  <c r="AH193" i="4"/>
  <c r="AH79" i="4"/>
  <c r="AH123" i="4"/>
  <c r="AH83" i="4"/>
  <c r="AH84" i="4"/>
  <c r="AH155" i="4"/>
  <c r="AH288" i="4"/>
  <c r="AH245" i="4"/>
  <c r="AH29" i="4"/>
  <c r="AH228" i="4"/>
  <c r="AH23" i="4"/>
  <c r="AH180" i="4"/>
  <c r="AH82" i="4"/>
  <c r="AH141" i="4"/>
  <c r="AH256" i="4"/>
  <c r="AH46" i="4"/>
  <c r="AH31" i="4"/>
  <c r="AH220" i="4"/>
  <c r="AH207" i="4"/>
  <c r="AH77" i="4"/>
  <c r="AH22" i="4"/>
  <c r="AH223" i="4"/>
  <c r="AH194" i="4"/>
  <c r="AH163" i="4"/>
  <c r="AH224" i="4"/>
  <c r="AH189" i="4"/>
  <c r="AH184" i="4"/>
  <c r="AH157" i="4"/>
  <c r="AH114" i="4"/>
  <c r="AH2" i="4"/>
  <c r="AH65" i="4"/>
  <c r="AH229" i="4"/>
  <c r="AH208" i="4"/>
  <c r="AH97" i="4"/>
  <c r="AH63" i="4"/>
  <c r="AH110" i="4"/>
  <c r="AH246" i="4"/>
  <c r="AH144" i="4"/>
  <c r="AH13" i="4"/>
  <c r="AH5" i="4"/>
  <c r="AH267" i="4"/>
  <c r="AH100" i="4"/>
  <c r="AH139" i="4"/>
  <c r="AH101" i="4"/>
  <c r="AH156" i="4"/>
  <c r="AH158" i="4"/>
  <c r="AH159" i="4"/>
  <c r="AH161" i="4"/>
  <c r="AH160" i="4"/>
  <c r="AH217" i="4"/>
  <c r="AH135" i="4"/>
  <c r="AH149" i="4"/>
  <c r="AH150" i="4"/>
  <c r="AH162" i="4"/>
  <c r="AH192" i="4"/>
  <c r="AH188" i="4"/>
  <c r="AH227" i="4"/>
  <c r="AH152" i="4"/>
  <c r="AH197" i="4"/>
  <c r="AH151" i="4"/>
  <c r="AH198" i="4"/>
  <c r="AH153" i="4"/>
  <c r="AH146" i="4"/>
  <c r="AH145" i="4"/>
  <c r="AH140" i="4"/>
  <c r="AH143" i="4"/>
  <c r="AH122" i="4"/>
  <c r="AH47" i="4"/>
  <c r="AH48" i="4"/>
  <c r="AH234" i="4"/>
  <c r="AH233" i="4"/>
  <c r="AH92" i="4"/>
  <c r="AH212" i="4"/>
  <c r="AH213" i="4"/>
  <c r="AH211" i="4"/>
  <c r="AH215" i="4"/>
  <c r="AH214" i="4"/>
  <c r="AH263" i="4"/>
  <c r="AH73" i="4"/>
  <c r="AH268" i="4"/>
  <c r="AH291" i="4"/>
  <c r="AH292" i="4"/>
  <c r="AH71" i="4"/>
  <c r="AH249" i="4"/>
  <c r="AH239" i="4"/>
  <c r="AH301" i="4"/>
  <c r="AH93" i="4"/>
  <c r="AH118" i="4"/>
  <c r="AH72" i="4"/>
  <c r="AH280" i="4"/>
  <c r="AH271" i="4"/>
  <c r="AH289" i="4"/>
  <c r="AH126" i="4"/>
  <c r="AH255" i="4"/>
  <c r="AH190" i="4"/>
  <c r="AH129" i="4"/>
  <c r="AH274" i="4"/>
  <c r="AH281" i="4"/>
  <c r="AH257" i="4"/>
  <c r="AH258" i="4"/>
  <c r="AH199" i="4"/>
  <c r="AH165" i="4"/>
  <c r="AH205" i="4"/>
  <c r="AH8" i="4"/>
  <c r="AH42" i="4"/>
  <c r="AH43" i="4"/>
  <c r="AH44" i="4"/>
  <c r="AH147" i="4"/>
  <c r="AH210" i="4"/>
  <c r="AH191" i="4"/>
  <c r="AH64" i="4"/>
  <c r="AH251" i="4"/>
  <c r="AH196" i="4"/>
  <c r="AH7" i="4"/>
  <c r="AH272" i="4"/>
  <c r="AH195" i="4"/>
  <c r="AH252" i="4"/>
  <c r="AH243" i="4"/>
  <c r="AH33" i="4"/>
  <c r="AH128" i="4"/>
  <c r="AH222" i="4"/>
  <c r="AH248" i="4"/>
  <c r="AH279" i="4"/>
  <c r="AH34" i="4"/>
  <c r="AH32" i="4"/>
  <c r="AH9" i="4"/>
  <c r="AH95" i="4"/>
  <c r="AH287" i="4"/>
  <c r="AH45" i="4"/>
  <c r="AH6" i="4"/>
  <c r="AH273" i="4"/>
  <c r="AH21" i="4"/>
  <c r="AH269" i="4"/>
  <c r="AH296" i="4"/>
  <c r="AH200" i="4"/>
  <c r="AH259" i="4"/>
  <c r="AH98" i="4"/>
  <c r="AH247" i="4"/>
  <c r="AH49" i="4"/>
  <c r="AH30" i="4"/>
  <c r="AH166" i="4"/>
  <c r="AH168" i="4"/>
  <c r="AH167" i="4"/>
  <c r="AH218" i="4"/>
  <c r="AH148" i="4"/>
  <c r="AH154" i="4"/>
  <c r="AH112" i="4"/>
  <c r="AH56" i="4"/>
  <c r="AH80" i="4"/>
  <c r="AH298" i="4"/>
  <c r="AH297" i="4"/>
  <c r="AH81" i="4"/>
  <c r="AH299" i="4"/>
  <c r="AH294" i="4"/>
  <c r="AH130" i="4"/>
  <c r="AH3" i="4"/>
  <c r="AH231" i="4"/>
  <c r="AH254" i="4"/>
  <c r="AH204" i="4"/>
  <c r="AH260" i="4"/>
  <c r="AH225" i="4"/>
  <c r="AH85" i="4"/>
  <c r="AH40" i="4"/>
  <c r="AH66" i="4"/>
  <c r="AH187" i="4"/>
  <c r="AH185" i="4"/>
  <c r="AH295" i="4"/>
  <c r="AH226" i="4"/>
  <c r="AH125" i="4"/>
  <c r="AH124" i="4"/>
  <c r="AH238" i="4"/>
  <c r="AH94" i="4"/>
  <c r="AH172" i="4"/>
  <c r="AH202" i="4"/>
  <c r="AH201" i="4"/>
  <c r="AH132" i="4"/>
  <c r="AH261" i="4"/>
  <c r="AH186" i="4"/>
  <c r="AH89" i="4"/>
  <c r="AH266" i="4"/>
  <c r="AH78" i="4"/>
  <c r="AH203" i="4"/>
  <c r="AH171" i="4"/>
  <c r="AH265" i="4"/>
  <c r="AH54" i="4"/>
  <c r="AH133" i="4"/>
  <c r="AH37" i="4"/>
  <c r="AH26" i="4"/>
  <c r="AH206" i="4"/>
  <c r="AH53" i="4"/>
  <c r="AH38" i="4"/>
  <c r="AH264" i="4"/>
  <c r="AH216" i="4"/>
  <c r="AH96" i="4"/>
  <c r="AH39" i="4"/>
  <c r="AH300" i="4"/>
  <c r="AH59" i="4"/>
  <c r="AH170" i="4"/>
  <c r="AH262" i="4"/>
  <c r="AH52" i="4"/>
  <c r="AH221" i="4"/>
  <c r="AH51" i="4"/>
  <c r="AH88" i="4"/>
  <c r="AH11" i="4"/>
  <c r="AH58" i="4"/>
  <c r="AH183" i="4"/>
  <c r="AH36" i="4"/>
  <c r="AH121" i="4"/>
  <c r="AH41" i="4"/>
  <c r="AH57" i="4"/>
  <c r="AH12" i="4"/>
  <c r="AH50" i="4"/>
  <c r="AH270" i="4"/>
  <c r="AH116" i="4"/>
  <c r="AH55" i="4"/>
  <c r="AH103" i="4"/>
  <c r="AH109" i="4"/>
  <c r="AH10" i="4"/>
  <c r="AH60" i="4"/>
  <c r="AH104" i="4"/>
  <c r="AH107" i="4"/>
  <c r="AH76" i="4"/>
  <c r="AH115" i="4"/>
  <c r="AH108" i="4"/>
  <c r="AH106" i="4"/>
  <c r="AH105" i="4"/>
  <c r="AH318" i="4"/>
  <c r="AH317" i="4"/>
  <c r="AH303" i="4"/>
  <c r="AH304" i="4"/>
  <c r="AH310" i="4"/>
  <c r="AH311" i="4"/>
  <c r="AH312" i="4"/>
  <c r="AH313" i="4"/>
  <c r="AH309" i="4"/>
  <c r="AH314" i="4"/>
  <c r="AH315" i="4"/>
  <c r="AH307" i="4"/>
  <c r="AH316" i="4"/>
  <c r="AH306" i="4"/>
  <c r="AH305" i="4"/>
  <c r="AH349" i="4"/>
  <c r="AH333" i="4"/>
  <c r="AH331" i="4"/>
  <c r="AH332" i="4"/>
  <c r="AH348" i="4"/>
  <c r="AH350" i="4"/>
  <c r="AH336" i="4"/>
  <c r="AH344" i="4"/>
  <c r="AH347" i="4"/>
  <c r="AH346" i="4"/>
  <c r="AH341" i="4"/>
  <c r="AH351" i="4"/>
  <c r="AH321" i="4"/>
  <c r="AH326" i="4"/>
  <c r="AH327" i="4"/>
  <c r="AH328" i="4"/>
  <c r="AH329" i="4"/>
  <c r="AH323" i="4"/>
  <c r="AH324" i="4"/>
  <c r="AH325" i="4"/>
  <c r="AH319" i="4"/>
  <c r="AH338" i="4"/>
  <c r="AH343" i="4"/>
  <c r="AH342" i="4"/>
  <c r="AH330" i="4"/>
  <c r="AH345" i="4"/>
  <c r="AH340" i="4"/>
  <c r="AH322" i="4"/>
  <c r="AH334" i="4"/>
  <c r="AH335" i="4"/>
  <c r="AH337" i="4"/>
  <c r="AH339" i="4"/>
  <c r="AH320" i="4"/>
  <c r="AH357" i="4"/>
  <c r="AH355" i="4"/>
  <c r="AH372" i="4"/>
  <c r="AH373" i="4"/>
  <c r="AH361" i="4"/>
  <c r="AH363" i="4"/>
  <c r="AH362" i="4"/>
  <c r="AH356" i="4"/>
  <c r="AH358" i="4"/>
  <c r="AH359" i="4"/>
  <c r="AH360" i="4"/>
  <c r="AH365" i="4"/>
  <c r="AH366" i="4"/>
  <c r="AH367" i="4"/>
  <c r="AH368" i="4"/>
  <c r="AH369" i="4"/>
  <c r="AH370" i="4"/>
  <c r="AH352" i="4"/>
  <c r="AH364" i="4"/>
  <c r="AH353" i="4"/>
  <c r="AH354" i="4"/>
  <c r="AH371" i="4"/>
  <c r="AH379" i="4"/>
  <c r="AH375" i="4"/>
  <c r="AH383" i="4"/>
  <c r="AH374" i="4"/>
  <c r="AH376" i="4"/>
  <c r="AH378" i="4"/>
  <c r="AH381" i="4"/>
  <c r="AH377" i="4"/>
  <c r="AH380" i="4"/>
  <c r="AH385" i="4"/>
  <c r="AH382" i="4"/>
  <c r="AH390" i="4"/>
  <c r="AH389" i="4"/>
  <c r="AH388" i="4"/>
  <c r="AH387" i="4"/>
  <c r="AH391" i="4"/>
  <c r="AH407" i="4"/>
  <c r="AH404" i="4"/>
  <c r="AH415" i="4"/>
  <c r="AH403" i="4"/>
  <c r="AH402" i="4"/>
  <c r="AH408" i="4"/>
  <c r="AH394" i="4"/>
  <c r="AH395" i="4"/>
  <c r="AH396" i="4"/>
  <c r="AH397" i="4"/>
  <c r="AH398" i="4"/>
  <c r="AH400" i="4"/>
  <c r="AH401" i="4"/>
  <c r="AH409" i="4"/>
  <c r="AH410" i="4"/>
  <c r="AH411" i="4"/>
  <c r="AH413" i="4"/>
  <c r="AH414" i="4"/>
  <c r="AH406" i="4"/>
  <c r="AH416" i="4"/>
  <c r="AH412" i="4"/>
  <c r="AH405" i="4"/>
  <c r="AH393" i="4"/>
  <c r="AH392" i="4"/>
  <c r="AH399" i="4"/>
  <c r="AH174" i="4"/>
  <c r="AA14" i="2"/>
  <c r="AB14" i="2"/>
  <c r="AD14" i="2"/>
  <c r="AE14" i="2"/>
  <c r="AF14" i="2"/>
  <c r="AG14" i="2"/>
  <c r="AH14" i="2"/>
  <c r="AI14" i="2"/>
  <c r="AJ14" i="2"/>
  <c r="AK14" i="2"/>
  <c r="AM14" i="2"/>
  <c r="AZ23" i="1"/>
  <c r="BA23" i="1"/>
  <c r="BB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T23" i="1"/>
  <c r="AZ25" i="1"/>
  <c r="BA25" i="1"/>
  <c r="BB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T25" i="1"/>
  <c r="CT51" i="1"/>
  <c r="CS51" i="1"/>
  <c r="CR51" i="1"/>
  <c r="CQ51" i="1"/>
  <c r="CP51" i="1"/>
  <c r="CO51" i="1"/>
  <c r="CN51" i="1"/>
  <c r="CM51" i="1"/>
  <c r="CL51" i="1"/>
  <c r="CK51" i="1"/>
  <c r="CJ51" i="1"/>
  <c r="CI51" i="1"/>
  <c r="CH51" i="1"/>
  <c r="CG51" i="1"/>
  <c r="CF51" i="1"/>
  <c r="CE51" i="1"/>
  <c r="CD51" i="1"/>
  <c r="CC51" i="1"/>
  <c r="CB51" i="1"/>
  <c r="CA51" i="1"/>
  <c r="BZ51" i="1"/>
  <c r="BY51" i="1"/>
  <c r="BX51" i="1"/>
  <c r="BW51" i="1"/>
  <c r="BV51" i="1"/>
  <c r="BB51" i="1"/>
  <c r="BA51" i="1"/>
  <c r="AZ51" i="1"/>
  <c r="AZ15" i="1"/>
  <c r="BA15" i="1"/>
  <c r="BB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T15" i="1"/>
  <c r="AZ277" i="1"/>
  <c r="BA277" i="1"/>
  <c r="BB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T277" i="1"/>
  <c r="AZ387" i="1"/>
  <c r="BA387" i="1"/>
  <c r="BB387" i="1"/>
  <c r="CH387" i="1"/>
  <c r="CI387" i="1"/>
  <c r="CJ387" i="1"/>
  <c r="CK387" i="1"/>
  <c r="CL387" i="1"/>
  <c r="CM387" i="1"/>
  <c r="CN387" i="1"/>
  <c r="CO387" i="1"/>
  <c r="CP387" i="1"/>
  <c r="CQ387" i="1"/>
  <c r="CR387" i="1"/>
  <c r="CS387" i="1"/>
  <c r="BV387" i="1"/>
  <c r="BW387" i="1"/>
  <c r="BX387" i="1"/>
  <c r="BY387" i="1"/>
  <c r="BZ387" i="1"/>
  <c r="CA387" i="1"/>
  <c r="CB387" i="1"/>
  <c r="CC387" i="1"/>
  <c r="CD387" i="1"/>
  <c r="CE387" i="1"/>
  <c r="CF387" i="1"/>
  <c r="CG387" i="1"/>
  <c r="CT387" i="1"/>
  <c r="AZ302" i="1"/>
  <c r="BA302" i="1"/>
  <c r="BB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CT302" i="1"/>
  <c r="AZ299" i="1"/>
  <c r="BA299" i="1"/>
  <c r="BB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CT299" i="1"/>
  <c r="AZ184" i="1"/>
  <c r="BA184" i="1"/>
  <c r="BB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T184" i="1"/>
  <c r="AA22" i="6"/>
  <c r="AA28" i="6"/>
  <c r="AA37" i="6"/>
  <c r="AA40" i="6"/>
  <c r="AA42" i="6"/>
  <c r="AA45" i="6"/>
  <c r="AA52" i="6"/>
  <c r="AA62" i="6"/>
  <c r="AA65" i="6"/>
  <c r="AA85" i="6"/>
  <c r="AA93" i="6"/>
  <c r="AA103" i="6"/>
  <c r="AA104" i="6"/>
  <c r="AA108" i="6"/>
  <c r="AA116" i="6"/>
  <c r="AA124" i="6"/>
  <c r="AA129" i="6"/>
  <c r="AA134" i="6"/>
  <c r="AA136" i="6"/>
  <c r="AA149" i="6"/>
  <c r="AA152" i="6"/>
  <c r="AA156" i="6"/>
  <c r="AA163" i="6"/>
  <c r="AA170" i="6"/>
  <c r="AA180" i="6"/>
  <c r="AA189" i="6"/>
  <c r="AA192" i="6"/>
  <c r="AA195" i="6"/>
  <c r="AA204" i="6"/>
  <c r="AA226" i="6"/>
  <c r="AA252" i="6"/>
  <c r="AA266" i="6"/>
  <c r="AA279" i="6"/>
  <c r="AA291" i="6"/>
  <c r="AA298" i="6"/>
  <c r="AA2" i="6"/>
  <c r="AA4" i="6"/>
  <c r="AA5" i="6"/>
  <c r="AA6" i="6"/>
  <c r="AA21" i="6"/>
  <c r="AA23" i="6"/>
  <c r="AA47" i="6"/>
  <c r="AA7" i="6"/>
  <c r="AA48" i="6"/>
  <c r="AA8" i="6"/>
  <c r="AA27" i="6"/>
  <c r="AA29" i="6"/>
  <c r="AA30" i="6"/>
  <c r="AA86" i="6"/>
  <c r="AA87" i="6"/>
  <c r="AA64" i="6"/>
  <c r="AA88" i="6"/>
  <c r="AA41" i="6"/>
  <c r="AA43" i="6"/>
  <c r="AA283" i="6"/>
  <c r="AA9" i="6"/>
  <c r="AA49" i="6"/>
  <c r="AA50" i="6"/>
  <c r="AA10" i="6"/>
  <c r="AA114" i="6"/>
  <c r="AA11" i="6"/>
  <c r="AA51" i="6"/>
  <c r="AA53" i="6"/>
  <c r="AA66" i="6"/>
  <c r="AA67" i="6"/>
  <c r="AA68" i="6"/>
  <c r="AA69" i="6"/>
  <c r="AA206" i="6"/>
  <c r="AA159" i="6"/>
  <c r="AA70" i="6"/>
  <c r="AA106" i="6"/>
  <c r="AA207" i="6"/>
  <c r="AA89" i="6"/>
  <c r="AA90" i="6"/>
  <c r="AA91" i="6"/>
  <c r="AA92" i="6"/>
  <c r="AA94" i="6"/>
  <c r="AA95" i="6"/>
  <c r="AA96" i="6"/>
  <c r="AA97" i="6"/>
  <c r="AA232" i="6"/>
  <c r="AA233" i="6"/>
  <c r="AA71" i="6"/>
  <c r="AA105" i="6"/>
  <c r="AA98" i="6"/>
  <c r="AA99" i="6"/>
  <c r="AA100" i="6"/>
  <c r="AA107" i="6"/>
  <c r="AA109" i="6"/>
  <c r="AA101" i="6"/>
  <c r="AA54" i="6"/>
  <c r="AA115" i="6"/>
  <c r="AA117" i="6"/>
  <c r="AA55" i="6"/>
  <c r="AA123" i="6"/>
  <c r="AA125" i="6"/>
  <c r="AA130" i="6"/>
  <c r="AA272" i="6"/>
  <c r="AA160" i="6"/>
  <c r="AA110" i="6"/>
  <c r="AA111" i="6"/>
  <c r="AA112" i="6"/>
  <c r="AA31" i="6"/>
  <c r="AA165" i="6"/>
  <c r="AA166" i="6"/>
  <c r="AA167" i="6"/>
  <c r="AA208" i="6"/>
  <c r="AA141" i="6"/>
  <c r="AA168" i="6"/>
  <c r="AA56" i="6"/>
  <c r="AA284" i="6"/>
  <c r="AA234" i="6"/>
  <c r="AA196" i="6"/>
  <c r="AA142" i="6"/>
  <c r="AA175" i="6"/>
  <c r="AA176" i="6"/>
  <c r="AA131" i="6"/>
  <c r="AA12" i="6"/>
  <c r="AA297" i="6"/>
  <c r="AA197" i="6"/>
  <c r="AA209" i="6"/>
  <c r="AA143" i="6"/>
  <c r="AA210" i="6"/>
  <c r="AA132" i="6"/>
  <c r="AA13" i="6"/>
  <c r="AA46" i="6"/>
  <c r="AA261" i="6"/>
  <c r="AA24" i="6"/>
  <c r="AA235" i="6"/>
  <c r="AA198" i="6"/>
  <c r="AA72" i="6"/>
  <c r="AA262" i="6"/>
  <c r="AA38" i="6"/>
  <c r="AA73" i="6"/>
  <c r="AA74" i="6"/>
  <c r="AA285" i="6"/>
  <c r="AA75" i="6"/>
  <c r="AA236" i="6"/>
  <c r="AA237" i="6"/>
  <c r="AA211" i="6"/>
  <c r="AA273" i="6"/>
  <c r="AA212" i="6"/>
  <c r="AA133" i="6"/>
  <c r="AA76" i="6"/>
  <c r="AA213" i="6"/>
  <c r="AA25" i="6"/>
  <c r="AA135" i="6"/>
  <c r="AA238" i="6"/>
  <c r="AA161" i="6"/>
  <c r="AA77" i="6"/>
  <c r="AA263" i="6"/>
  <c r="AA274" i="6"/>
  <c r="AA126" i="6"/>
  <c r="AA144" i="6"/>
  <c r="AA239" i="6"/>
  <c r="AA275" i="6"/>
  <c r="AA57" i="6"/>
  <c r="AA214" i="6"/>
  <c r="AA276" i="6"/>
  <c r="AA286" i="6"/>
  <c r="AA118" i="6"/>
  <c r="AA119" i="6"/>
  <c r="AA14" i="6"/>
  <c r="AA120" i="6"/>
  <c r="AA199" i="6"/>
  <c r="AA153" i="6"/>
  <c r="AA215" i="6"/>
  <c r="AA200" i="6"/>
  <c r="AA26" i="6"/>
  <c r="AA264" i="6"/>
  <c r="AA121" i="6"/>
  <c r="AA127" i="6"/>
  <c r="AA240" i="6"/>
  <c r="AA241" i="6"/>
  <c r="AA242" i="6"/>
  <c r="AA58" i="6"/>
  <c r="AA39" i="6"/>
  <c r="AA44" i="6"/>
  <c r="AA177" i="6"/>
  <c r="AA78" i="6"/>
  <c r="AA32" i="6"/>
  <c r="AA190" i="6"/>
  <c r="AA137" i="6"/>
  <c r="AA138" i="6"/>
  <c r="AA243" i="6"/>
  <c r="AA244" i="6"/>
  <c r="AA245" i="6"/>
  <c r="AA33" i="6"/>
  <c r="AA79" i="6"/>
  <c r="AA113" i="6"/>
  <c r="AA246" i="6"/>
  <c r="AA247" i="6"/>
  <c r="AA287" i="6"/>
  <c r="AA288" i="6"/>
  <c r="AA34" i="6"/>
  <c r="AA178" i="6"/>
  <c r="AA154" i="6"/>
  <c r="AA248" i="6"/>
  <c r="AA277" i="6"/>
  <c r="AA249" i="6"/>
  <c r="AA80" i="6"/>
  <c r="AA250" i="6"/>
  <c r="AA81" i="6"/>
  <c r="AA265" i="6"/>
  <c r="AA162" i="6"/>
  <c r="AA289" i="6"/>
  <c r="AA145" i="6"/>
  <c r="AA59" i="6"/>
  <c r="AA216" i="6"/>
  <c r="AA217" i="6"/>
  <c r="AA218" i="6"/>
  <c r="AA201" i="6"/>
  <c r="AA219" i="6"/>
  <c r="AA128" i="6"/>
  <c r="AA146" i="6"/>
  <c r="AA147" i="6"/>
  <c r="AA179" i="6"/>
  <c r="AA155" i="6"/>
  <c r="AA220" i="6"/>
  <c r="AA202" i="6"/>
  <c r="AA221" i="6"/>
  <c r="AA222" i="6"/>
  <c r="AA203" i="6"/>
  <c r="AA223" i="6"/>
  <c r="AA224" i="6"/>
  <c r="AA225" i="6"/>
  <c r="AA148" i="6"/>
  <c r="AA150" i="6"/>
  <c r="AA82" i="6"/>
  <c r="AA186" i="6"/>
  <c r="AA187" i="6"/>
  <c r="AA188" i="6"/>
  <c r="AA169" i="6"/>
  <c r="AA191" i="6"/>
  <c r="AA193" i="6"/>
  <c r="AA194" i="6"/>
  <c r="AA164" i="6"/>
  <c r="AA251" i="6"/>
  <c r="AA205" i="6"/>
  <c r="AA253" i="6"/>
  <c r="AA254" i="6"/>
  <c r="AA255" i="6"/>
  <c r="AA278" i="6"/>
  <c r="AA256" i="6"/>
  <c r="AA257" i="6"/>
  <c r="AA267" i="6"/>
  <c r="AA268" i="6"/>
  <c r="AA280" i="6"/>
  <c r="AA281" i="6"/>
  <c r="AA282" i="6"/>
  <c r="AA227" i="6"/>
  <c r="AA157" i="6"/>
  <c r="AA35" i="6"/>
  <c r="AA151" i="6"/>
  <c r="AA290" i="6"/>
  <c r="AA269" i="6"/>
  <c r="AA270" i="6"/>
  <c r="AA122" i="6"/>
  <c r="AA228" i="6"/>
  <c r="AA229" i="6"/>
  <c r="AA230" i="6"/>
  <c r="AA258" i="6"/>
  <c r="AA271" i="6"/>
  <c r="AA231" i="6"/>
  <c r="AA83" i="6"/>
  <c r="AA84" i="6"/>
  <c r="AA63" i="6"/>
  <c r="AA60" i="6"/>
  <c r="AA292" i="6"/>
  <c r="AA293" i="6"/>
  <c r="AA294" i="6"/>
  <c r="AA295" i="6"/>
  <c r="AA171" i="6"/>
  <c r="AA172" i="6"/>
  <c r="AA181" i="6"/>
  <c r="AA158" i="6"/>
  <c r="AA173" i="6"/>
  <c r="AA259" i="6"/>
  <c r="AA296" i="6"/>
  <c r="AA61" i="6"/>
  <c r="AA15" i="6"/>
  <c r="AA16" i="6"/>
  <c r="AA17" i="6"/>
  <c r="AA18" i="6"/>
  <c r="AA19" i="6"/>
  <c r="AA20" i="6"/>
  <c r="AA182" i="6"/>
  <c r="AA36" i="6"/>
  <c r="AA183" i="6"/>
  <c r="AA174" i="6"/>
  <c r="AA184" i="6"/>
  <c r="AA185" i="6"/>
  <c r="AA102" i="6"/>
  <c r="AA305" i="6"/>
  <c r="AA311" i="6"/>
  <c r="AA303" i="6"/>
  <c r="AA304" i="6"/>
  <c r="AA306" i="6"/>
  <c r="AA307" i="6"/>
  <c r="AA308" i="6"/>
  <c r="AA309" i="6"/>
  <c r="AA310" i="6"/>
  <c r="AA312" i="6"/>
  <c r="AA313" i="6"/>
  <c r="AA314" i="6"/>
  <c r="AA315" i="6"/>
  <c r="AA316" i="6"/>
  <c r="AA317" i="6"/>
  <c r="AA319" i="6"/>
  <c r="AA320" i="6"/>
  <c r="AA321" i="6"/>
  <c r="AA322" i="6"/>
  <c r="AA323" i="6"/>
  <c r="AA324" i="6"/>
  <c r="AA325" i="6"/>
  <c r="AA326" i="6"/>
  <c r="AA327" i="6"/>
  <c r="AA328" i="6"/>
  <c r="AA329" i="6"/>
  <c r="AA330" i="6"/>
  <c r="AA331" i="6"/>
  <c r="AA332" i="6"/>
  <c r="AA333" i="6"/>
  <c r="AA334" i="6"/>
  <c r="AA335" i="6"/>
  <c r="AA336" i="6"/>
  <c r="AA337" i="6"/>
  <c r="AA338" i="6"/>
  <c r="AA339" i="6"/>
  <c r="AA340" i="6"/>
  <c r="AA341" i="6"/>
  <c r="AA342" i="6"/>
  <c r="AA343" i="6"/>
  <c r="AA344" i="6"/>
  <c r="AA345" i="6"/>
  <c r="AA350" i="6"/>
  <c r="AA346" i="6"/>
  <c r="AA347" i="6"/>
  <c r="AA351" i="6"/>
  <c r="AA348" i="6"/>
  <c r="AA349" i="6"/>
  <c r="AA360" i="6"/>
  <c r="AA370" i="6"/>
  <c r="AA365" i="6"/>
  <c r="AA352" i="6"/>
  <c r="AA366" i="6"/>
  <c r="AA353" i="6"/>
  <c r="AA354" i="6"/>
  <c r="AA355" i="6"/>
  <c r="AA356" i="6"/>
  <c r="AA357" i="6"/>
  <c r="AA358" i="6"/>
  <c r="AA359" i="6"/>
  <c r="AA367" i="6"/>
  <c r="AA368" i="6"/>
  <c r="AA369" i="6"/>
  <c r="AA371" i="6"/>
  <c r="AA372" i="6"/>
  <c r="AA373" i="6"/>
  <c r="AA361" i="6"/>
  <c r="AA362" i="6"/>
  <c r="AA363" i="6"/>
  <c r="AA364" i="6"/>
  <c r="AA384" i="6"/>
  <c r="AA374" i="6"/>
  <c r="AA375" i="6"/>
  <c r="AA376" i="6"/>
  <c r="AA377" i="6"/>
  <c r="AA378" i="6"/>
  <c r="AA379" i="6"/>
  <c r="AA380" i="6"/>
  <c r="AA381" i="6"/>
  <c r="AA382" i="6"/>
  <c r="AA383" i="6"/>
  <c r="AA388" i="6"/>
  <c r="AA391" i="6"/>
  <c r="AA387" i="6"/>
  <c r="AA390" i="6"/>
  <c r="AA389" i="6"/>
  <c r="AA415" i="6"/>
  <c r="AA393" i="6"/>
  <c r="AA414" i="6"/>
  <c r="AA413" i="6"/>
  <c r="AA396" i="6"/>
  <c r="AA397" i="6"/>
  <c r="AA398" i="6"/>
  <c r="AA399" i="6"/>
  <c r="AA400" i="6"/>
  <c r="AA395" i="6"/>
  <c r="AA411" i="6"/>
  <c r="AA401" i="6"/>
  <c r="AA402" i="6"/>
  <c r="AA403" i="6"/>
  <c r="AA404" i="6"/>
  <c r="AA405" i="6"/>
  <c r="AA406" i="6"/>
  <c r="AA392" i="6"/>
  <c r="AA412" i="6"/>
  <c r="AA407" i="6"/>
  <c r="AA394" i="6"/>
  <c r="AA416" i="6"/>
  <c r="AA408" i="6"/>
  <c r="AA409" i="6"/>
  <c r="AA410" i="6"/>
  <c r="AA3" i="6"/>
  <c r="Z22" i="6"/>
  <c r="Z28" i="6"/>
  <c r="Z37" i="6"/>
  <c r="Z40" i="6"/>
  <c r="Z42" i="6"/>
  <c r="Z45" i="6"/>
  <c r="Z52" i="6"/>
  <c r="Z62" i="6"/>
  <c r="Z65" i="6"/>
  <c r="Z85" i="6"/>
  <c r="Z93" i="6"/>
  <c r="Z103" i="6"/>
  <c r="Z104" i="6"/>
  <c r="Z108" i="6"/>
  <c r="Z116" i="6"/>
  <c r="Z124" i="6"/>
  <c r="Z129" i="6"/>
  <c r="Z134" i="6"/>
  <c r="Z136" i="6"/>
  <c r="Z149" i="6"/>
  <c r="Z152" i="6"/>
  <c r="Z156" i="6"/>
  <c r="Z163" i="6"/>
  <c r="Z170" i="6"/>
  <c r="Z180" i="6"/>
  <c r="Z189" i="6"/>
  <c r="Z192" i="6"/>
  <c r="Z195" i="6"/>
  <c r="Z204" i="6"/>
  <c r="Z226" i="6"/>
  <c r="Z252" i="6"/>
  <c r="Z266" i="6"/>
  <c r="Z279" i="6"/>
  <c r="Z291" i="6"/>
  <c r="Z298" i="6"/>
  <c r="Z2" i="6"/>
  <c r="Z4" i="6"/>
  <c r="Z5" i="6"/>
  <c r="Z6" i="6"/>
  <c r="Z21" i="6"/>
  <c r="Z23" i="6"/>
  <c r="Z47" i="6"/>
  <c r="Z7" i="6"/>
  <c r="Z48" i="6"/>
  <c r="Z8" i="6"/>
  <c r="Z27" i="6"/>
  <c r="Z29" i="6"/>
  <c r="Z30" i="6"/>
  <c r="Z86" i="6"/>
  <c r="Z87" i="6"/>
  <c r="Z64" i="6"/>
  <c r="Z88" i="6"/>
  <c r="Z41" i="6"/>
  <c r="Z43" i="6"/>
  <c r="Z283" i="6"/>
  <c r="Z9" i="6"/>
  <c r="Z49" i="6"/>
  <c r="Z50" i="6"/>
  <c r="Z10" i="6"/>
  <c r="Z114" i="6"/>
  <c r="Z11" i="6"/>
  <c r="Z51" i="6"/>
  <c r="Z53" i="6"/>
  <c r="Z66" i="6"/>
  <c r="Z67" i="6"/>
  <c r="Z68" i="6"/>
  <c r="Z69" i="6"/>
  <c r="Z206" i="6"/>
  <c r="Z159" i="6"/>
  <c r="Z70" i="6"/>
  <c r="Z106" i="6"/>
  <c r="Z207" i="6"/>
  <c r="Z89" i="6"/>
  <c r="Z90" i="6"/>
  <c r="Z91" i="6"/>
  <c r="Z92" i="6"/>
  <c r="Z94" i="6"/>
  <c r="Z95" i="6"/>
  <c r="Z96" i="6"/>
  <c r="Z97" i="6"/>
  <c r="Z232" i="6"/>
  <c r="Z233" i="6"/>
  <c r="Z71" i="6"/>
  <c r="Z105" i="6"/>
  <c r="Z98" i="6"/>
  <c r="Z99" i="6"/>
  <c r="Z100" i="6"/>
  <c r="Z107" i="6"/>
  <c r="Z109" i="6"/>
  <c r="Z101" i="6"/>
  <c r="Z54" i="6"/>
  <c r="Z115" i="6"/>
  <c r="Z117" i="6"/>
  <c r="Z55" i="6"/>
  <c r="Z123" i="6"/>
  <c r="Z125" i="6"/>
  <c r="Z130" i="6"/>
  <c r="Z272" i="6"/>
  <c r="Z160" i="6"/>
  <c r="Z110" i="6"/>
  <c r="Z111" i="6"/>
  <c r="Z112" i="6"/>
  <c r="Z31" i="6"/>
  <c r="Z165" i="6"/>
  <c r="Z166" i="6"/>
  <c r="Z167" i="6"/>
  <c r="Z208" i="6"/>
  <c r="Z141" i="6"/>
  <c r="Z168" i="6"/>
  <c r="Z56" i="6"/>
  <c r="Z284" i="6"/>
  <c r="Z234" i="6"/>
  <c r="Z196" i="6"/>
  <c r="Z142" i="6"/>
  <c r="Z175" i="6"/>
  <c r="Z176" i="6"/>
  <c r="Z131" i="6"/>
  <c r="Z12" i="6"/>
  <c r="Z297" i="6"/>
  <c r="Z197" i="6"/>
  <c r="Z209" i="6"/>
  <c r="Z143" i="6"/>
  <c r="Z210" i="6"/>
  <c r="Z132" i="6"/>
  <c r="Z13" i="6"/>
  <c r="Z46" i="6"/>
  <c r="Z261" i="6"/>
  <c r="Z24" i="6"/>
  <c r="Z235" i="6"/>
  <c r="Z198" i="6"/>
  <c r="Z72" i="6"/>
  <c r="Z262" i="6"/>
  <c r="Z38" i="6"/>
  <c r="Z73" i="6"/>
  <c r="Z74" i="6"/>
  <c r="Z285" i="6"/>
  <c r="Z75" i="6"/>
  <c r="Z236" i="6"/>
  <c r="Z237" i="6"/>
  <c r="Z211" i="6"/>
  <c r="Z273" i="6"/>
  <c r="Z212" i="6"/>
  <c r="Z133" i="6"/>
  <c r="Z76" i="6"/>
  <c r="Z213" i="6"/>
  <c r="Z25" i="6"/>
  <c r="Z135" i="6"/>
  <c r="Z238" i="6"/>
  <c r="Z161" i="6"/>
  <c r="Z77" i="6"/>
  <c r="Z263" i="6"/>
  <c r="Z274" i="6"/>
  <c r="Z126" i="6"/>
  <c r="Z144" i="6"/>
  <c r="Z239" i="6"/>
  <c r="Z275" i="6"/>
  <c r="Z57" i="6"/>
  <c r="Z214" i="6"/>
  <c r="Z276" i="6"/>
  <c r="Z286" i="6"/>
  <c r="Z118" i="6"/>
  <c r="Z119" i="6"/>
  <c r="Z14" i="6"/>
  <c r="Z120" i="6"/>
  <c r="Z199" i="6"/>
  <c r="Z153" i="6"/>
  <c r="Z215" i="6"/>
  <c r="Z200" i="6"/>
  <c r="Z26" i="6"/>
  <c r="Z264" i="6"/>
  <c r="Z121" i="6"/>
  <c r="Z127" i="6"/>
  <c r="Z240" i="6"/>
  <c r="Z241" i="6"/>
  <c r="Z242" i="6"/>
  <c r="Z58" i="6"/>
  <c r="Z39" i="6"/>
  <c r="Z44" i="6"/>
  <c r="Z177" i="6"/>
  <c r="Z78" i="6"/>
  <c r="Z32" i="6"/>
  <c r="Z190" i="6"/>
  <c r="Z137" i="6"/>
  <c r="Z138" i="6"/>
  <c r="Z243" i="6"/>
  <c r="Z244" i="6"/>
  <c r="Z245" i="6"/>
  <c r="Z33" i="6"/>
  <c r="Z79" i="6"/>
  <c r="Z113" i="6"/>
  <c r="Z246" i="6"/>
  <c r="Z247" i="6"/>
  <c r="Z287" i="6"/>
  <c r="Z288" i="6"/>
  <c r="Z34" i="6"/>
  <c r="Z178" i="6"/>
  <c r="Z154" i="6"/>
  <c r="Z248" i="6"/>
  <c r="Z277" i="6"/>
  <c r="Z249" i="6"/>
  <c r="Z80" i="6"/>
  <c r="Z250" i="6"/>
  <c r="Z81" i="6"/>
  <c r="Z265" i="6"/>
  <c r="Z162" i="6"/>
  <c r="Z289" i="6"/>
  <c r="Z145" i="6"/>
  <c r="Z59" i="6"/>
  <c r="Z216" i="6"/>
  <c r="Z217" i="6"/>
  <c r="Z218" i="6"/>
  <c r="Z201" i="6"/>
  <c r="Z219" i="6"/>
  <c r="Z128" i="6"/>
  <c r="Z146" i="6"/>
  <c r="Z147" i="6"/>
  <c r="Z179" i="6"/>
  <c r="Z155" i="6"/>
  <c r="Z220" i="6"/>
  <c r="Z202" i="6"/>
  <c r="Z221" i="6"/>
  <c r="Z222" i="6"/>
  <c r="Z203" i="6"/>
  <c r="Z223" i="6"/>
  <c r="Z224" i="6"/>
  <c r="Z225" i="6"/>
  <c r="Z148" i="6"/>
  <c r="Z150" i="6"/>
  <c r="Z82" i="6"/>
  <c r="Z186" i="6"/>
  <c r="Z187" i="6"/>
  <c r="Z188" i="6"/>
  <c r="Z169" i="6"/>
  <c r="Z191" i="6"/>
  <c r="Z193" i="6"/>
  <c r="Z194" i="6"/>
  <c r="Z164" i="6"/>
  <c r="Z251" i="6"/>
  <c r="Z205" i="6"/>
  <c r="Z253" i="6"/>
  <c r="Z254" i="6"/>
  <c r="Z255" i="6"/>
  <c r="Z278" i="6"/>
  <c r="Z256" i="6"/>
  <c r="Z257" i="6"/>
  <c r="Z267" i="6"/>
  <c r="Z268" i="6"/>
  <c r="Z280" i="6"/>
  <c r="Z281" i="6"/>
  <c r="Z282" i="6"/>
  <c r="Z227" i="6"/>
  <c r="Z157" i="6"/>
  <c r="Z35" i="6"/>
  <c r="Z151" i="6"/>
  <c r="Z290" i="6"/>
  <c r="Z269" i="6"/>
  <c r="Z270" i="6"/>
  <c r="Z122" i="6"/>
  <c r="Z228" i="6"/>
  <c r="Z229" i="6"/>
  <c r="Z230" i="6"/>
  <c r="Z258" i="6"/>
  <c r="Z271" i="6"/>
  <c r="Z231" i="6"/>
  <c r="Z83" i="6"/>
  <c r="Z84" i="6"/>
  <c r="Z63" i="6"/>
  <c r="Z60" i="6"/>
  <c r="Z292" i="6"/>
  <c r="Z293" i="6"/>
  <c r="Z294" i="6"/>
  <c r="Z295" i="6"/>
  <c r="Z171" i="6"/>
  <c r="Z172" i="6"/>
  <c r="Z181" i="6"/>
  <c r="Z158" i="6"/>
  <c r="Z173" i="6"/>
  <c r="Z259" i="6"/>
  <c r="Z296" i="6"/>
  <c r="Z61" i="6"/>
  <c r="Z15" i="6"/>
  <c r="Z16" i="6"/>
  <c r="Z17" i="6"/>
  <c r="Z18" i="6"/>
  <c r="Z19" i="6"/>
  <c r="Z20" i="6"/>
  <c r="Z182" i="6"/>
  <c r="Z36" i="6"/>
  <c r="Z183" i="6"/>
  <c r="Z174" i="6"/>
  <c r="Z184" i="6"/>
  <c r="Z185" i="6"/>
  <c r="Z102" i="6"/>
  <c r="Z305" i="6"/>
  <c r="Z311" i="6"/>
  <c r="Z303" i="6"/>
  <c r="Z304" i="6"/>
  <c r="Z306" i="6"/>
  <c r="Z307" i="6"/>
  <c r="Z308" i="6"/>
  <c r="Z309" i="6"/>
  <c r="Z310" i="6"/>
  <c r="Z312" i="6"/>
  <c r="Z313" i="6"/>
  <c r="Z314" i="6"/>
  <c r="Z315" i="6"/>
  <c r="Z316" i="6"/>
  <c r="Z317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0" i="6"/>
  <c r="Z341" i="6"/>
  <c r="Z342" i="6"/>
  <c r="Z343" i="6"/>
  <c r="Z344" i="6"/>
  <c r="Z345" i="6"/>
  <c r="Z350" i="6"/>
  <c r="Z346" i="6"/>
  <c r="Z347" i="6"/>
  <c r="Z351" i="6"/>
  <c r="Z348" i="6"/>
  <c r="Z349" i="6"/>
  <c r="Z360" i="6"/>
  <c r="Z370" i="6"/>
  <c r="Z365" i="6"/>
  <c r="Z352" i="6"/>
  <c r="Z366" i="6"/>
  <c r="Z353" i="6"/>
  <c r="Z354" i="6"/>
  <c r="Z355" i="6"/>
  <c r="Z356" i="6"/>
  <c r="Z357" i="6"/>
  <c r="Z358" i="6"/>
  <c r="Z359" i="6"/>
  <c r="Z367" i="6"/>
  <c r="Z368" i="6"/>
  <c r="Z369" i="6"/>
  <c r="Z371" i="6"/>
  <c r="Z372" i="6"/>
  <c r="Z373" i="6"/>
  <c r="Z361" i="6"/>
  <c r="Z362" i="6"/>
  <c r="Z363" i="6"/>
  <c r="Z364" i="6"/>
  <c r="Z384" i="6"/>
  <c r="Z374" i="6"/>
  <c r="Z375" i="6"/>
  <c r="Z376" i="6"/>
  <c r="Z377" i="6"/>
  <c r="Z378" i="6"/>
  <c r="Z379" i="6"/>
  <c r="Z380" i="6"/>
  <c r="Z381" i="6"/>
  <c r="Z382" i="6"/>
  <c r="Z383" i="6"/>
  <c r="Z388" i="6"/>
  <c r="Z391" i="6"/>
  <c r="Z387" i="6"/>
  <c r="Z390" i="6"/>
  <c r="Z389" i="6"/>
  <c r="Z415" i="6"/>
  <c r="Z393" i="6"/>
  <c r="Z414" i="6"/>
  <c r="Z413" i="6"/>
  <c r="Z396" i="6"/>
  <c r="Z397" i="6"/>
  <c r="Z398" i="6"/>
  <c r="Z399" i="6"/>
  <c r="Z400" i="6"/>
  <c r="Z395" i="6"/>
  <c r="Z411" i="6"/>
  <c r="Z401" i="6"/>
  <c r="Z402" i="6"/>
  <c r="Z403" i="6"/>
  <c r="Z404" i="6"/>
  <c r="Z405" i="6"/>
  <c r="Z406" i="6"/>
  <c r="Z392" i="6"/>
  <c r="Z412" i="6"/>
  <c r="Z407" i="6"/>
  <c r="Z394" i="6"/>
  <c r="Z416" i="6"/>
  <c r="Z408" i="6"/>
  <c r="Z409" i="6"/>
  <c r="Z410" i="6"/>
  <c r="Z3" i="6"/>
  <c r="AO29" i="5"/>
  <c r="AO9" i="5"/>
  <c r="AO11" i="5"/>
  <c r="AO10" i="5"/>
  <c r="AO270" i="5"/>
  <c r="AO4" i="5"/>
  <c r="AO17" i="5"/>
  <c r="AO18" i="5"/>
  <c r="AO12" i="5"/>
  <c r="AO36" i="5"/>
  <c r="AO2" i="5"/>
  <c r="AO13" i="5"/>
  <c r="AO35" i="5"/>
  <c r="AO37" i="5"/>
  <c r="AO21" i="5"/>
  <c r="AO25" i="5"/>
  <c r="AO26" i="5"/>
  <c r="AO22" i="5"/>
  <c r="AO287" i="5"/>
  <c r="AO269" i="5"/>
  <c r="AO289" i="5"/>
  <c r="AO274" i="5"/>
  <c r="AO294" i="5"/>
  <c r="AO282" i="5"/>
  <c r="AO292" i="5"/>
  <c r="AO283" i="5"/>
  <c r="AO280" i="5"/>
  <c r="AO295" i="5"/>
  <c r="AO8" i="5"/>
  <c r="AO3" i="5"/>
  <c r="AO296" i="5"/>
  <c r="AO286" i="5"/>
  <c r="AO290" i="5"/>
  <c r="AO288" i="5"/>
  <c r="AO291" i="5"/>
  <c r="AO5" i="5"/>
  <c r="AO14" i="5"/>
  <c r="AO281" i="5"/>
  <c r="AO27" i="5"/>
  <c r="AO15" i="5"/>
  <c r="AO28" i="5"/>
  <c r="AO32" i="5"/>
  <c r="AO33" i="5"/>
  <c r="AO118" i="5"/>
  <c r="AO409" i="5"/>
  <c r="AO49" i="5"/>
  <c r="AO278" i="5"/>
  <c r="AO67" i="5"/>
  <c r="AO243" i="5"/>
  <c r="AO39" i="5"/>
  <c r="AO47" i="5"/>
  <c r="AO245" i="5"/>
  <c r="AO246" i="5"/>
  <c r="AO248" i="5"/>
  <c r="AO244" i="5"/>
  <c r="AO247" i="5"/>
  <c r="AO40" i="5"/>
  <c r="AO65" i="5"/>
  <c r="AO38" i="5"/>
  <c r="AO121" i="5"/>
  <c r="AO62" i="5"/>
  <c r="AO41" i="5"/>
  <c r="AO42" i="5"/>
  <c r="AO393" i="5"/>
  <c r="AO43" i="5"/>
  <c r="AO44" i="5"/>
  <c r="AO45" i="5"/>
  <c r="AO124" i="5"/>
  <c r="AO154" i="5"/>
  <c r="AO255" i="5"/>
  <c r="AO177" i="5"/>
  <c r="AO165" i="5"/>
  <c r="AO250" i="5"/>
  <c r="AO109" i="5"/>
  <c r="AO170" i="5"/>
  <c r="AO223" i="5"/>
  <c r="AO52" i="5"/>
  <c r="AO50" i="5"/>
  <c r="AO51" i="5"/>
  <c r="AO53" i="5"/>
  <c r="AO256" i="5"/>
  <c r="AO55" i="5"/>
  <c r="AO275" i="5"/>
  <c r="AO412" i="5"/>
  <c r="AO56" i="5"/>
  <c r="AO401" i="5"/>
  <c r="AO57" i="5"/>
  <c r="AO58" i="5"/>
  <c r="AO60" i="5"/>
  <c r="AO257" i="5"/>
  <c r="AO59" i="5"/>
  <c r="AO122" i="5"/>
  <c r="AO64" i="5"/>
  <c r="AO98" i="5"/>
  <c r="AO68" i="5"/>
  <c r="AO69" i="5"/>
  <c r="AO71" i="5"/>
  <c r="AO63" i="5"/>
  <c r="AO96" i="5"/>
  <c r="AO46" i="5"/>
  <c r="AO115" i="5"/>
  <c r="AO276" i="5"/>
  <c r="AO242" i="5"/>
  <c r="AO48" i="5"/>
  <c r="AO190" i="5"/>
  <c r="AO162" i="5"/>
  <c r="AO70" i="5"/>
  <c r="AO183" i="5"/>
  <c r="AO185" i="5"/>
  <c r="AO389" i="5"/>
  <c r="AO396" i="5"/>
  <c r="AO397" i="5"/>
  <c r="AO398" i="5"/>
  <c r="AO399" i="5"/>
  <c r="AO400" i="5"/>
  <c r="AO403" i="5"/>
  <c r="AO404" i="5"/>
  <c r="AO405" i="5"/>
  <c r="AO406" i="5"/>
  <c r="AO407" i="5"/>
  <c r="AO408" i="5"/>
  <c r="AO411" i="5"/>
  <c r="AO414" i="5"/>
  <c r="AO415" i="5"/>
  <c r="AO416" i="5"/>
  <c r="AO164" i="5"/>
  <c r="AO297" i="5"/>
  <c r="AO75" i="5"/>
  <c r="AO127" i="5"/>
  <c r="AO125" i="5"/>
  <c r="AO265" i="5"/>
  <c r="AO135" i="5"/>
  <c r="AO232" i="5"/>
  <c r="AO74" i="5"/>
  <c r="AO89" i="5"/>
  <c r="AO78" i="5"/>
  <c r="AO128" i="5"/>
  <c r="AO130" i="5"/>
  <c r="AO73" i="5"/>
  <c r="AO72" i="5"/>
  <c r="AO140" i="5"/>
  <c r="AO199" i="5"/>
  <c r="AO171" i="5"/>
  <c r="AO260" i="5"/>
  <c r="AO261" i="5"/>
  <c r="AO259" i="5"/>
  <c r="AO264" i="5"/>
  <c r="AO54" i="5"/>
  <c r="AO267" i="5"/>
  <c r="AO82" i="5"/>
  <c r="AO84" i="5"/>
  <c r="AO266" i="5"/>
  <c r="AO81" i="5"/>
  <c r="AO83" i="5"/>
  <c r="AO86" i="5"/>
  <c r="AO253" i="5"/>
  <c r="AO262" i="5"/>
  <c r="AO85" i="5"/>
  <c r="AO92" i="5"/>
  <c r="AO252" i="5"/>
  <c r="AO351" i="5"/>
  <c r="AO338" i="5"/>
  <c r="AO348" i="5"/>
  <c r="AO349" i="5"/>
  <c r="AO334" i="5"/>
  <c r="AO346" i="5"/>
  <c r="AO322" i="5"/>
  <c r="AO323" i="5"/>
  <c r="AO340" i="5"/>
  <c r="AO344" i="5"/>
  <c r="AO342" i="5"/>
  <c r="AO343" i="5"/>
  <c r="AO320" i="5"/>
  <c r="AO332" i="5"/>
  <c r="AO321" i="5"/>
  <c r="AO325" i="5"/>
  <c r="AO336" i="5"/>
  <c r="AO326" i="5"/>
  <c r="AO330" i="5"/>
  <c r="AO324" i="5"/>
  <c r="AO327" i="5"/>
  <c r="AO341" i="5"/>
  <c r="AO331" i="5"/>
  <c r="AO335" i="5"/>
  <c r="AO345" i="5"/>
  <c r="AO333" i="5"/>
  <c r="AO328" i="5"/>
  <c r="AO337" i="5"/>
  <c r="AO339" i="5"/>
  <c r="AO329" i="5"/>
  <c r="AO303" i="5"/>
  <c r="AO304" i="5"/>
  <c r="AO305" i="5"/>
  <c r="AO306" i="5"/>
  <c r="AO319" i="5"/>
  <c r="AO387" i="5"/>
  <c r="AO391" i="5"/>
  <c r="AO93" i="5"/>
  <c r="AO95" i="5"/>
  <c r="AO172" i="5"/>
  <c r="AO79" i="5"/>
  <c r="AO94" i="5"/>
  <c r="AO106" i="5"/>
  <c r="AO107" i="5"/>
  <c r="AO108" i="5"/>
  <c r="AO156" i="5"/>
  <c r="AO150" i="5"/>
  <c r="AO279" i="5"/>
  <c r="AO97" i="5"/>
  <c r="AO254" i="5"/>
  <c r="AO263" i="5"/>
  <c r="AO228" i="5"/>
  <c r="AO66" i="5"/>
  <c r="AO277" i="5"/>
  <c r="AO143" i="5"/>
  <c r="AO101" i="5"/>
  <c r="AO100" i="5"/>
  <c r="AO99" i="5"/>
  <c r="AO193" i="5"/>
  <c r="AO157" i="5"/>
  <c r="AO102" i="5"/>
  <c r="AO103" i="5"/>
  <c r="AO350" i="5"/>
  <c r="AO347" i="5"/>
  <c r="AO314" i="5"/>
  <c r="AO311" i="5"/>
  <c r="AO315" i="5"/>
  <c r="AO310" i="5"/>
  <c r="AO313" i="5"/>
  <c r="AO312" i="5"/>
  <c r="AO309" i="5"/>
  <c r="AO316" i="5"/>
  <c r="AO317" i="5"/>
  <c r="AO308" i="5"/>
  <c r="AO318" i="5"/>
  <c r="AO355" i="5"/>
  <c r="AO360" i="5"/>
  <c r="AO370" i="5"/>
  <c r="AO390" i="5"/>
  <c r="AO353" i="5"/>
  <c r="AO362" i="5"/>
  <c r="AO361" i="5"/>
  <c r="AO373" i="5"/>
  <c r="AO371" i="5"/>
  <c r="AO372" i="5"/>
  <c r="AO356" i="5"/>
  <c r="AO357" i="5"/>
  <c r="AO359" i="5"/>
  <c r="AO358" i="5"/>
  <c r="AO352" i="5"/>
  <c r="AO368" i="5"/>
  <c r="AO365" i="5"/>
  <c r="AO367" i="5"/>
  <c r="AO369" i="5"/>
  <c r="AO366" i="5"/>
  <c r="AO364" i="5"/>
  <c r="AO363" i="5"/>
  <c r="AO354" i="5"/>
  <c r="AO161" i="5"/>
  <c r="AO273" i="5"/>
  <c r="AO90" i="5"/>
  <c r="AO91" i="5"/>
  <c r="AO137" i="5"/>
  <c r="AO16" i="5"/>
  <c r="AO189" i="5"/>
  <c r="AO197" i="5"/>
  <c r="AO196" i="5"/>
  <c r="AO194" i="5"/>
  <c r="AO144" i="5"/>
  <c r="AO195" i="5"/>
  <c r="AO114" i="5"/>
  <c r="AO198" i="5"/>
  <c r="AO224" i="5"/>
  <c r="AO119" i="5"/>
  <c r="AO152" i="5"/>
  <c r="AO201" i="5"/>
  <c r="AO202" i="5"/>
  <c r="AO237" i="5"/>
  <c r="AO285" i="5"/>
  <c r="AO179" i="5"/>
  <c r="AO222" i="5"/>
  <c r="AO187" i="5"/>
  <c r="AO208" i="5"/>
  <c r="AO203" i="5"/>
  <c r="AO105" i="5"/>
  <c r="AO139" i="5"/>
  <c r="AO77" i="5"/>
  <c r="AO402" i="5"/>
  <c r="AO204" i="5"/>
  <c r="AO205" i="5"/>
  <c r="AO234" i="5"/>
  <c r="AO235" i="5"/>
  <c r="AO110" i="5"/>
  <c r="AO238" i="5"/>
  <c r="AO111" i="5"/>
  <c r="AO112" i="5"/>
  <c r="AO178" i="5"/>
  <c r="AO206" i="5"/>
  <c r="AO251" i="5"/>
  <c r="AO163" i="5"/>
  <c r="AO236" i="5"/>
  <c r="AO284" i="5"/>
  <c r="AO249" i="5"/>
  <c r="AO117" i="5"/>
  <c r="AO200" i="5"/>
  <c r="AO293" i="5"/>
  <c r="AO23" i="5"/>
  <c r="AO410" i="5"/>
  <c r="AO166" i="5"/>
  <c r="AO24" i="5"/>
  <c r="AO207" i="5"/>
  <c r="AO272" i="5"/>
  <c r="AO6" i="5"/>
  <c r="AO153" i="5"/>
  <c r="AO151" i="5"/>
  <c r="AO395" i="5"/>
  <c r="AO7" i="5"/>
  <c r="AO113" i="5"/>
  <c r="AO76" i="5"/>
  <c r="AO231" i="5"/>
  <c r="AO80" i="5"/>
  <c r="AO147" i="5"/>
  <c r="AO191" i="5"/>
  <c r="AO221" i="5"/>
  <c r="AO134" i="5"/>
  <c r="AO192" i="5"/>
  <c r="AO120" i="5"/>
  <c r="AO136" i="5"/>
  <c r="AO173" i="5"/>
  <c r="AO174" i="5"/>
  <c r="AO180" i="5"/>
  <c r="AO182" i="5"/>
  <c r="AO184" i="5"/>
  <c r="AO394" i="5"/>
  <c r="AO131" i="5"/>
  <c r="AO210" i="5"/>
  <c r="AO214" i="5"/>
  <c r="AO167" i="5"/>
  <c r="AO88" i="5"/>
  <c r="AO268" i="5"/>
  <c r="AO212" i="5"/>
  <c r="AO209" i="5"/>
  <c r="AO211" i="5"/>
  <c r="AO159" i="5"/>
  <c r="AO160" i="5"/>
  <c r="AO258" i="5"/>
  <c r="AO168" i="5"/>
  <c r="AO87" i="5"/>
  <c r="AO132" i="5"/>
  <c r="AO239" i="5"/>
  <c r="AO229" i="5"/>
  <c r="AO145" i="5"/>
  <c r="AO169" i="5"/>
  <c r="AO158" i="5"/>
  <c r="AO138" i="5"/>
  <c r="AO186" i="5"/>
  <c r="AO226" i="5"/>
  <c r="AO388" i="5"/>
  <c r="AO141" i="5"/>
  <c r="AO216" i="5"/>
  <c r="AO155" i="5"/>
  <c r="AO227" i="5"/>
  <c r="AO126" i="5"/>
  <c r="AO215" i="5"/>
  <c r="AO230" i="5"/>
  <c r="AO217" i="5"/>
  <c r="AO123" i="5"/>
  <c r="AO133" i="5"/>
  <c r="AO181" i="5"/>
  <c r="AO218" i="5"/>
  <c r="AO219" i="5"/>
  <c r="AO220" i="5"/>
  <c r="AO213" i="5"/>
  <c r="AO104" i="5"/>
  <c r="AO146" i="5"/>
  <c r="AO148" i="5"/>
  <c r="AO142" i="5"/>
  <c r="AO61" i="5"/>
  <c r="AO116" i="5"/>
  <c r="AO129" i="5"/>
  <c r="AO149" i="5"/>
  <c r="AO175" i="5"/>
  <c r="AO176" i="5"/>
  <c r="AO188" i="5"/>
  <c r="AO225" i="5"/>
  <c r="AO31" i="5"/>
  <c r="AO233" i="5"/>
  <c r="AO34" i="5"/>
  <c r="AO241" i="5"/>
  <c r="AO392" i="5"/>
  <c r="AO374" i="5"/>
  <c r="AO382" i="5"/>
  <c r="AO381" i="5"/>
  <c r="AO376" i="5"/>
  <c r="AO379" i="5"/>
  <c r="AO384" i="5"/>
  <c r="AO383" i="5"/>
  <c r="AO375" i="5"/>
  <c r="AO378" i="5"/>
  <c r="AO377" i="5"/>
  <c r="AO380" i="5"/>
  <c r="AO271" i="5"/>
  <c r="AO413" i="5"/>
  <c r="AO298" i="5"/>
  <c r="AO30" i="5"/>
  <c r="C2" i="7"/>
  <c r="AZ182" i="1"/>
  <c r="BA182" i="1"/>
  <c r="BB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T182" i="1"/>
  <c r="AB40" i="2"/>
  <c r="AB28" i="2"/>
  <c r="AB38" i="2"/>
  <c r="AB46" i="2"/>
  <c r="AB47" i="2"/>
  <c r="AB50" i="2"/>
  <c r="AB51" i="2"/>
  <c r="AB52" i="2"/>
  <c r="AB31" i="2"/>
  <c r="AB32" i="2"/>
  <c r="AB41" i="2"/>
  <c r="AB22" i="2"/>
  <c r="AB29" i="2"/>
  <c r="AB21" i="2"/>
  <c r="AB30" i="2"/>
  <c r="AB25" i="2"/>
  <c r="AB3" i="2"/>
  <c r="AB10" i="2"/>
  <c r="AB26" i="2"/>
  <c r="AB16" i="2"/>
  <c r="AB42" i="2"/>
  <c r="AB36" i="2"/>
  <c r="AB43" i="2"/>
  <c r="AB2" i="2"/>
  <c r="AB17" i="2"/>
  <c r="AB7" i="2"/>
  <c r="AB15" i="2"/>
  <c r="AB23" i="2"/>
  <c r="AB24" i="2"/>
  <c r="AB5" i="2"/>
  <c r="AB11" i="2"/>
  <c r="AB18" i="2"/>
  <c r="AB8" i="2"/>
  <c r="AB33" i="2"/>
  <c r="AB12" i="2"/>
  <c r="AB34" i="2"/>
  <c r="AB35" i="2"/>
  <c r="AB13" i="2"/>
  <c r="AB37" i="2"/>
  <c r="AB39" i="2"/>
  <c r="AB27" i="2"/>
  <c r="BA2" i="1"/>
  <c r="BA28" i="1"/>
  <c r="BA80" i="1"/>
  <c r="BA79" i="1"/>
  <c r="BA126" i="1"/>
  <c r="BA124" i="1"/>
  <c r="BA128" i="1"/>
  <c r="BA129" i="1"/>
  <c r="BA130" i="1"/>
  <c r="BA131" i="1"/>
  <c r="BA289" i="1"/>
  <c r="BA300" i="1"/>
  <c r="BA301" i="1"/>
  <c r="BA386" i="1"/>
  <c r="BA3" i="1"/>
  <c r="BA4" i="1"/>
  <c r="BA10" i="1"/>
  <c r="BA12" i="1"/>
  <c r="BA11" i="1"/>
  <c r="BA13" i="1"/>
  <c r="BA27" i="1"/>
  <c r="BA37" i="1"/>
  <c r="BA35" i="1"/>
  <c r="BA40" i="1"/>
  <c r="BA44" i="1"/>
  <c r="BA45" i="1"/>
  <c r="BA46" i="1"/>
  <c r="BA47" i="1"/>
  <c r="BA36" i="1"/>
  <c r="BA42" i="1"/>
  <c r="BA32" i="1"/>
  <c r="BA33" i="1"/>
  <c r="BA34" i="1"/>
  <c r="BA39" i="1"/>
  <c r="BA41" i="1"/>
  <c r="BA43" i="1"/>
  <c r="BA38" i="1"/>
  <c r="BA31" i="1"/>
  <c r="BA30" i="1"/>
  <c r="BA74" i="1"/>
  <c r="BA75" i="1"/>
  <c r="BA77" i="1"/>
  <c r="BA78" i="1"/>
  <c r="BA88" i="1"/>
  <c r="BA89" i="1"/>
  <c r="BA90" i="1"/>
  <c r="BA92" i="1"/>
  <c r="BA93" i="1"/>
  <c r="BA97" i="1"/>
  <c r="BA98" i="1"/>
  <c r="BA99" i="1"/>
  <c r="BA100" i="1"/>
  <c r="BA101" i="1"/>
  <c r="BA104" i="1"/>
  <c r="BA105" i="1"/>
  <c r="BA107" i="1"/>
  <c r="BA108" i="1"/>
  <c r="BA103" i="1"/>
  <c r="BA110" i="1"/>
  <c r="BA106" i="1"/>
  <c r="BA102" i="1"/>
  <c r="BA111" i="1"/>
  <c r="BA109" i="1"/>
  <c r="BA118" i="1"/>
  <c r="BA133" i="1"/>
  <c r="BA125" i="1"/>
  <c r="BA119" i="1"/>
  <c r="BA132" i="1"/>
  <c r="BA120" i="1"/>
  <c r="BA121" i="1"/>
  <c r="BA122" i="1"/>
  <c r="BA123" i="1"/>
  <c r="BA148" i="1"/>
  <c r="BA150" i="1"/>
  <c r="BA151" i="1"/>
  <c r="BA149" i="1"/>
  <c r="BA169" i="1"/>
  <c r="BA170" i="1"/>
  <c r="BA173" i="1"/>
  <c r="BA174" i="1"/>
  <c r="BA183" i="1"/>
  <c r="BA193" i="1"/>
  <c r="BA194" i="1"/>
  <c r="BA195" i="1"/>
  <c r="BA402" i="1"/>
  <c r="BA406" i="1"/>
  <c r="BA405" i="1"/>
  <c r="BA404" i="1"/>
  <c r="BA403" i="1"/>
  <c r="BA206" i="1"/>
  <c r="BA207" i="1"/>
  <c r="BA209" i="1"/>
  <c r="BA208" i="1"/>
  <c r="BA213" i="1"/>
  <c r="BA214" i="1"/>
  <c r="BA220" i="1"/>
  <c r="BA219" i="1"/>
  <c r="BA218" i="1"/>
  <c r="BA227" i="1"/>
  <c r="BA228" i="1"/>
  <c r="BA411" i="1"/>
  <c r="BA410" i="1"/>
  <c r="BA412" i="1"/>
  <c r="BA437" i="1"/>
  <c r="BA438" i="1"/>
  <c r="BA439" i="1"/>
  <c r="BA440" i="1"/>
  <c r="BA441" i="1"/>
  <c r="BA442" i="1"/>
  <c r="BA240" i="1"/>
  <c r="BA241" i="1"/>
  <c r="BA242" i="1"/>
  <c r="BA243" i="1"/>
  <c r="BA244" i="1"/>
  <c r="BA245" i="1"/>
  <c r="BA272" i="1"/>
  <c r="BA273" i="1"/>
  <c r="BA276" i="1"/>
  <c r="BA275" i="1"/>
  <c r="BA274" i="1"/>
  <c r="BA278" i="1"/>
  <c r="BA279" i="1"/>
  <c r="BA280" i="1"/>
  <c r="BA281" i="1"/>
  <c r="BA282" i="1"/>
  <c r="BA283" i="1"/>
  <c r="BA284" i="1"/>
  <c r="BA287" i="1"/>
  <c r="BA288" i="1"/>
  <c r="BA292" i="1"/>
  <c r="BA294" i="1"/>
  <c r="BA293" i="1"/>
  <c r="BA295" i="1"/>
  <c r="BA296" i="1"/>
  <c r="BA303" i="1"/>
  <c r="BA304" i="1"/>
  <c r="BA305" i="1"/>
  <c r="BA297" i="1"/>
  <c r="BA298" i="1"/>
  <c r="BA323" i="1"/>
  <c r="BA324" i="1"/>
  <c r="BA328" i="1"/>
  <c r="BA329" i="1"/>
  <c r="BA330" i="1"/>
  <c r="BA331" i="1"/>
  <c r="BA332" i="1"/>
  <c r="BA344" i="1"/>
  <c r="BA345" i="1"/>
  <c r="BA351" i="1"/>
  <c r="BA353" i="1"/>
  <c r="BA352" i="1"/>
  <c r="BA354" i="1"/>
  <c r="BA355" i="1"/>
  <c r="BA356" i="1"/>
  <c r="BA357" i="1"/>
  <c r="BA358" i="1"/>
  <c r="BA359" i="1"/>
  <c r="BA380" i="1"/>
  <c r="BA381" i="1"/>
  <c r="BA449" i="1"/>
  <c r="BA451" i="1"/>
  <c r="BA450" i="1"/>
  <c r="BA453" i="1"/>
  <c r="BA454" i="1"/>
  <c r="BA455" i="1"/>
  <c r="BA456" i="1"/>
  <c r="BA452" i="1"/>
  <c r="BA385" i="1"/>
  <c r="BA29" i="1"/>
  <c r="AZ29" i="1"/>
  <c r="AA3" i="2"/>
  <c r="AD3" i="2"/>
  <c r="AE3" i="2"/>
  <c r="AF3" i="2"/>
  <c r="AG3" i="2"/>
  <c r="AH3" i="2"/>
  <c r="AJ3" i="2"/>
  <c r="AK3" i="2"/>
  <c r="AM3" i="2"/>
  <c r="AZ170" i="1"/>
  <c r="BB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T170" i="1"/>
  <c r="CT169" i="1"/>
  <c r="CS169" i="1"/>
  <c r="CR169" i="1"/>
  <c r="CQ169" i="1"/>
  <c r="CP169" i="1"/>
  <c r="CO169" i="1"/>
  <c r="CN169" i="1"/>
  <c r="CM169" i="1"/>
  <c r="CL169" i="1"/>
  <c r="CK169" i="1"/>
  <c r="CJ169" i="1"/>
  <c r="CI169" i="1"/>
  <c r="CH169" i="1"/>
  <c r="CG169" i="1"/>
  <c r="CF169" i="1"/>
  <c r="CE169" i="1"/>
  <c r="CD169" i="1"/>
  <c r="CC169" i="1"/>
  <c r="CB169" i="1"/>
  <c r="CA169" i="1"/>
  <c r="BZ169" i="1"/>
  <c r="BY169" i="1"/>
  <c r="BX169" i="1"/>
  <c r="BW169" i="1"/>
  <c r="BV169" i="1"/>
  <c r="BB169" i="1"/>
  <c r="AZ169" i="1"/>
  <c r="BB301" i="1"/>
  <c r="BB4" i="1"/>
  <c r="BB13" i="1"/>
  <c r="BB298" i="1"/>
  <c r="BB300" i="1"/>
  <c r="BB303" i="1"/>
  <c r="BB304" i="1"/>
  <c r="BB305" i="1"/>
  <c r="BB323" i="1"/>
  <c r="BB42" i="1"/>
  <c r="BB43" i="1"/>
  <c r="BB44" i="1"/>
  <c r="BB45" i="1"/>
  <c r="BB46" i="1"/>
  <c r="BB47" i="1"/>
  <c r="BB74" i="1"/>
  <c r="BB75" i="1"/>
  <c r="BB77" i="1"/>
  <c r="BB78" i="1"/>
  <c r="BB79" i="1"/>
  <c r="BB80" i="1"/>
  <c r="BB88" i="1"/>
  <c r="BB89" i="1"/>
  <c r="BB90" i="1"/>
  <c r="BB92" i="1"/>
  <c r="BB93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8" i="1"/>
  <c r="BB119" i="1"/>
  <c r="BB120" i="1"/>
  <c r="BB121" i="1"/>
  <c r="BB122" i="1"/>
  <c r="BB123" i="1"/>
  <c r="BB124" i="1"/>
  <c r="BB125" i="1"/>
  <c r="BB126" i="1"/>
  <c r="BB128" i="1"/>
  <c r="BB129" i="1"/>
  <c r="BB130" i="1"/>
  <c r="BB131" i="1"/>
  <c r="BB132" i="1"/>
  <c r="BB133" i="1"/>
  <c r="BB148" i="1"/>
  <c r="BB149" i="1"/>
  <c r="BB150" i="1"/>
  <c r="BB151" i="1"/>
  <c r="BB173" i="1"/>
  <c r="BB174" i="1"/>
  <c r="BB183" i="1"/>
  <c r="BB193" i="1"/>
  <c r="BB194" i="1"/>
  <c r="BB195" i="1"/>
  <c r="BB402" i="1"/>
  <c r="BB403" i="1"/>
  <c r="BB404" i="1"/>
  <c r="BB405" i="1"/>
  <c r="BB406" i="1"/>
  <c r="BB206" i="1"/>
  <c r="BB207" i="1"/>
  <c r="BB208" i="1"/>
  <c r="BB209" i="1"/>
  <c r="BB213" i="1"/>
  <c r="BB214" i="1"/>
  <c r="BB218" i="1"/>
  <c r="BB219" i="1"/>
  <c r="BB220" i="1"/>
  <c r="BB227" i="1"/>
  <c r="BB228" i="1"/>
  <c r="BB410" i="1"/>
  <c r="BB411" i="1"/>
  <c r="BB412" i="1"/>
  <c r="BB437" i="1"/>
  <c r="BB438" i="1"/>
  <c r="BB439" i="1"/>
  <c r="BB440" i="1"/>
  <c r="BB441" i="1"/>
  <c r="BB442" i="1"/>
  <c r="BB240" i="1"/>
  <c r="BB241" i="1"/>
  <c r="BB242" i="1"/>
  <c r="BB243" i="1"/>
  <c r="BB244" i="1"/>
  <c r="BB245" i="1"/>
  <c r="BB272" i="1"/>
  <c r="BB273" i="1"/>
  <c r="BB274" i="1"/>
  <c r="BB275" i="1"/>
  <c r="BB276" i="1"/>
  <c r="BB278" i="1"/>
  <c r="BB279" i="1"/>
  <c r="BB280" i="1"/>
  <c r="BB281" i="1"/>
  <c r="BB282" i="1"/>
  <c r="BB283" i="1"/>
  <c r="BB284" i="1"/>
  <c r="BB287" i="1"/>
  <c r="BB288" i="1"/>
  <c r="BB289" i="1"/>
  <c r="BB292" i="1"/>
  <c r="BB293" i="1"/>
  <c r="BB294" i="1"/>
  <c r="BB295" i="1"/>
  <c r="BB296" i="1"/>
  <c r="BB297" i="1"/>
  <c r="BB39" i="1"/>
  <c r="BB40" i="1"/>
  <c r="BB41" i="1"/>
  <c r="AZ39" i="1"/>
  <c r="AZ300" i="1"/>
  <c r="AZ301" i="1"/>
  <c r="AZ303" i="1"/>
  <c r="AZ304" i="1"/>
  <c r="AZ305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BC194" i="1" s="1"/>
  <c r="CQ194" i="1"/>
  <c r="CR194" i="1"/>
  <c r="CS194" i="1"/>
  <c r="CT194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BC183" i="1" s="1"/>
  <c r="CP183" i="1"/>
  <c r="CQ183" i="1"/>
  <c r="CR183" i="1"/>
  <c r="CS183" i="1"/>
  <c r="CT183" i="1"/>
  <c r="BV456" i="1"/>
  <c r="BW456" i="1"/>
  <c r="BX456" i="1"/>
  <c r="BY456" i="1"/>
  <c r="BZ456" i="1"/>
  <c r="CA456" i="1"/>
  <c r="CB456" i="1"/>
  <c r="CC456" i="1"/>
  <c r="CD456" i="1"/>
  <c r="CE456" i="1"/>
  <c r="CF456" i="1"/>
  <c r="CG456" i="1"/>
  <c r="CH456" i="1"/>
  <c r="CI456" i="1"/>
  <c r="CJ456" i="1"/>
  <c r="CK456" i="1"/>
  <c r="CL456" i="1"/>
  <c r="CM456" i="1"/>
  <c r="CN456" i="1"/>
  <c r="CO456" i="1"/>
  <c r="CP456" i="1"/>
  <c r="CQ456" i="1"/>
  <c r="CR456" i="1"/>
  <c r="CS456" i="1"/>
  <c r="CT456" i="1"/>
  <c r="BV455" i="1"/>
  <c r="BW455" i="1"/>
  <c r="BX455" i="1"/>
  <c r="BY455" i="1"/>
  <c r="BZ455" i="1"/>
  <c r="CA455" i="1"/>
  <c r="CB455" i="1"/>
  <c r="CC455" i="1"/>
  <c r="CD455" i="1"/>
  <c r="CE455" i="1"/>
  <c r="CF455" i="1"/>
  <c r="CG455" i="1"/>
  <c r="CH455" i="1"/>
  <c r="CI455" i="1"/>
  <c r="CJ455" i="1"/>
  <c r="CK455" i="1"/>
  <c r="CL455" i="1"/>
  <c r="CM455" i="1"/>
  <c r="BC455" i="1" s="1"/>
  <c r="CN455" i="1"/>
  <c r="CO455" i="1"/>
  <c r="CP455" i="1"/>
  <c r="CQ455" i="1"/>
  <c r="CR455" i="1"/>
  <c r="CS455" i="1"/>
  <c r="CT455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BC47" i="1" s="1"/>
  <c r="CI47" i="1"/>
  <c r="CJ47" i="1"/>
  <c r="CK47" i="1"/>
  <c r="CL47" i="1"/>
  <c r="CM47" i="1"/>
  <c r="CN47" i="1"/>
  <c r="CO47" i="1"/>
  <c r="CP47" i="1"/>
  <c r="CQ47" i="1"/>
  <c r="CR47" i="1"/>
  <c r="CS47" i="1"/>
  <c r="CT47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BC45" i="1" s="1"/>
  <c r="CI45" i="1"/>
  <c r="CJ45" i="1"/>
  <c r="CK45" i="1"/>
  <c r="CL45" i="1"/>
  <c r="CM45" i="1"/>
  <c r="CN45" i="1"/>
  <c r="CO45" i="1"/>
  <c r="CP45" i="1"/>
  <c r="CQ45" i="1"/>
  <c r="CR45" i="1"/>
  <c r="CS45" i="1"/>
  <c r="CT45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BC40" i="1" s="1"/>
  <c r="CQ40" i="1"/>
  <c r="CR40" i="1"/>
  <c r="CS40" i="1"/>
  <c r="CT40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BC111" i="1" s="1"/>
  <c r="CJ111" i="1"/>
  <c r="CK111" i="1"/>
  <c r="CL111" i="1"/>
  <c r="CM111" i="1"/>
  <c r="CN111" i="1"/>
  <c r="CO111" i="1"/>
  <c r="CP111" i="1"/>
  <c r="CQ111" i="1"/>
  <c r="CR111" i="1"/>
  <c r="CS111" i="1"/>
  <c r="CT111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CT305" i="1"/>
  <c r="BV412" i="1"/>
  <c r="BW412" i="1"/>
  <c r="BX412" i="1"/>
  <c r="BY412" i="1"/>
  <c r="BZ412" i="1"/>
  <c r="CA412" i="1"/>
  <c r="CB412" i="1"/>
  <c r="CC412" i="1"/>
  <c r="CD412" i="1"/>
  <c r="CE412" i="1"/>
  <c r="CF412" i="1"/>
  <c r="CG412" i="1"/>
  <c r="CH412" i="1"/>
  <c r="CI412" i="1"/>
  <c r="CJ412" i="1"/>
  <c r="CK412" i="1"/>
  <c r="CL412" i="1"/>
  <c r="CM412" i="1"/>
  <c r="CN412" i="1"/>
  <c r="CO412" i="1"/>
  <c r="CP412" i="1"/>
  <c r="CQ412" i="1"/>
  <c r="CR412" i="1"/>
  <c r="CS412" i="1"/>
  <c r="CT412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CT304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BC93" i="1" s="1"/>
  <c r="CT93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CH295" i="1"/>
  <c r="CI295" i="1"/>
  <c r="CJ295" i="1"/>
  <c r="BC295" i="1" s="1"/>
  <c r="CK295" i="1"/>
  <c r="CL295" i="1"/>
  <c r="CM295" i="1"/>
  <c r="CN295" i="1"/>
  <c r="CO295" i="1"/>
  <c r="CP295" i="1"/>
  <c r="CQ295" i="1"/>
  <c r="CR295" i="1"/>
  <c r="CS295" i="1"/>
  <c r="CT295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BC75" i="1" s="1"/>
  <c r="CK75" i="1"/>
  <c r="CL75" i="1"/>
  <c r="CM75" i="1"/>
  <c r="CN75" i="1"/>
  <c r="CO75" i="1"/>
  <c r="CP75" i="1"/>
  <c r="CQ75" i="1"/>
  <c r="CR75" i="1"/>
  <c r="CS75" i="1"/>
  <c r="CT75" i="1"/>
  <c r="BV442" i="1"/>
  <c r="BW442" i="1"/>
  <c r="BX442" i="1"/>
  <c r="BY442" i="1"/>
  <c r="BZ442" i="1"/>
  <c r="CA442" i="1"/>
  <c r="CB442" i="1"/>
  <c r="CC442" i="1"/>
  <c r="CD442" i="1"/>
  <c r="CE442" i="1"/>
  <c r="CF442" i="1"/>
  <c r="CG442" i="1"/>
  <c r="CH442" i="1"/>
  <c r="CI442" i="1"/>
  <c r="CJ442" i="1"/>
  <c r="CK442" i="1"/>
  <c r="CL442" i="1"/>
  <c r="CM442" i="1"/>
  <c r="CN442" i="1"/>
  <c r="CO442" i="1"/>
  <c r="CP442" i="1"/>
  <c r="CQ442" i="1"/>
  <c r="CR442" i="1"/>
  <c r="CS442" i="1"/>
  <c r="CT442" i="1"/>
  <c r="BV441" i="1"/>
  <c r="BW441" i="1"/>
  <c r="BX441" i="1"/>
  <c r="BY441" i="1"/>
  <c r="BZ441" i="1"/>
  <c r="CA441" i="1"/>
  <c r="CB441" i="1"/>
  <c r="CC441" i="1"/>
  <c r="CD441" i="1"/>
  <c r="CE441" i="1"/>
  <c r="CF441" i="1"/>
  <c r="CG441" i="1"/>
  <c r="CH441" i="1"/>
  <c r="BC441" i="1" s="1"/>
  <c r="CI441" i="1"/>
  <c r="CJ441" i="1"/>
  <c r="CK441" i="1"/>
  <c r="CL441" i="1"/>
  <c r="CM441" i="1"/>
  <c r="CN441" i="1"/>
  <c r="CO441" i="1"/>
  <c r="CP441" i="1"/>
  <c r="CQ441" i="1"/>
  <c r="CR441" i="1"/>
  <c r="CS441" i="1"/>
  <c r="CT441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CH289" i="1"/>
  <c r="CI289" i="1"/>
  <c r="CJ289" i="1"/>
  <c r="CK289" i="1"/>
  <c r="CL289" i="1"/>
  <c r="BC289" i="1" s="1"/>
  <c r="CM289" i="1"/>
  <c r="CN289" i="1"/>
  <c r="CO289" i="1"/>
  <c r="CP289" i="1"/>
  <c r="CQ289" i="1"/>
  <c r="CR289" i="1"/>
  <c r="CS289" i="1"/>
  <c r="CT289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BC110" i="1" s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CT324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BC151" i="1" s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CT332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BC331" i="1" s="1"/>
  <c r="CT331" i="1"/>
  <c r="BV405" i="1"/>
  <c r="BW405" i="1"/>
  <c r="BX405" i="1"/>
  <c r="BY405" i="1"/>
  <c r="BZ405" i="1"/>
  <c r="CA405" i="1"/>
  <c r="CB405" i="1"/>
  <c r="CC405" i="1"/>
  <c r="CD405" i="1"/>
  <c r="CE405" i="1"/>
  <c r="CF405" i="1"/>
  <c r="CG405" i="1"/>
  <c r="CH405" i="1"/>
  <c r="CI405" i="1"/>
  <c r="CJ405" i="1"/>
  <c r="CK405" i="1"/>
  <c r="CL405" i="1"/>
  <c r="CM405" i="1"/>
  <c r="CN405" i="1"/>
  <c r="CO405" i="1"/>
  <c r="CP405" i="1"/>
  <c r="CQ405" i="1"/>
  <c r="CR405" i="1"/>
  <c r="BC405" i="1" s="1"/>
  <c r="CS405" i="1"/>
  <c r="CT40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BC245" i="1" s="1"/>
  <c r="CR245" i="1"/>
  <c r="CS245" i="1"/>
  <c r="CT245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CT244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BV386" i="1"/>
  <c r="BW386" i="1"/>
  <c r="BX386" i="1"/>
  <c r="BY386" i="1"/>
  <c r="BZ386" i="1"/>
  <c r="CA386" i="1"/>
  <c r="CB386" i="1"/>
  <c r="CC386" i="1"/>
  <c r="CD386" i="1"/>
  <c r="CE386" i="1"/>
  <c r="CF386" i="1"/>
  <c r="CG386" i="1"/>
  <c r="CH386" i="1"/>
  <c r="CI386" i="1"/>
  <c r="CJ386" i="1"/>
  <c r="CK386" i="1"/>
  <c r="CL386" i="1"/>
  <c r="CM386" i="1"/>
  <c r="CN386" i="1"/>
  <c r="CO386" i="1"/>
  <c r="CP386" i="1"/>
  <c r="CQ386" i="1"/>
  <c r="CR386" i="1"/>
  <c r="CS386" i="1"/>
  <c r="CT386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CT353" i="1"/>
  <c r="BV352" i="1"/>
  <c r="BW352" i="1"/>
  <c r="BX352" i="1"/>
  <c r="BY352" i="1"/>
  <c r="BZ352" i="1"/>
  <c r="CA352" i="1"/>
  <c r="CB352" i="1"/>
  <c r="CC352" i="1"/>
  <c r="CD352" i="1"/>
  <c r="CE352" i="1"/>
  <c r="CF352" i="1"/>
  <c r="CG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CT352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CH276" i="1"/>
  <c r="BC276" i="1" s="1"/>
  <c r="CI276" i="1"/>
  <c r="CJ276" i="1"/>
  <c r="CK276" i="1"/>
  <c r="CL276" i="1"/>
  <c r="CM276" i="1"/>
  <c r="CN276" i="1"/>
  <c r="CO276" i="1"/>
  <c r="CP276" i="1"/>
  <c r="CQ276" i="1"/>
  <c r="CR276" i="1"/>
  <c r="CS276" i="1"/>
  <c r="CT276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BC275" i="1" s="1"/>
  <c r="CJ275" i="1"/>
  <c r="CK275" i="1"/>
  <c r="CL275" i="1"/>
  <c r="CM275" i="1"/>
  <c r="CN275" i="1"/>
  <c r="CO275" i="1"/>
  <c r="CP275" i="1"/>
  <c r="CQ275" i="1"/>
  <c r="CR275" i="1"/>
  <c r="CS275" i="1"/>
  <c r="CT275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BC37" i="1" s="1"/>
  <c r="CI37" i="1"/>
  <c r="CJ37" i="1"/>
  <c r="CK37" i="1"/>
  <c r="CL37" i="1"/>
  <c r="CM37" i="1"/>
  <c r="CN37" i="1"/>
  <c r="CO37" i="1"/>
  <c r="CP37" i="1"/>
  <c r="CQ37" i="1"/>
  <c r="CR37" i="1"/>
  <c r="CS37" i="1"/>
  <c r="CT37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BC90" i="1" s="1"/>
  <c r="CT90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CH345" i="1"/>
  <c r="CI345" i="1"/>
  <c r="CJ345" i="1"/>
  <c r="CK345" i="1"/>
  <c r="CL345" i="1"/>
  <c r="CM345" i="1"/>
  <c r="CN345" i="1"/>
  <c r="CO345" i="1"/>
  <c r="CP345" i="1"/>
  <c r="CQ345" i="1"/>
  <c r="BC345" i="1" s="1"/>
  <c r="CR345" i="1"/>
  <c r="CS345" i="1"/>
  <c r="CT345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BC209" i="1" s="1"/>
  <c r="CQ209" i="1"/>
  <c r="CR209" i="1"/>
  <c r="CS209" i="1"/>
  <c r="CT209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BC131" i="1" s="1"/>
  <c r="CO131" i="1"/>
  <c r="CP131" i="1"/>
  <c r="CQ131" i="1"/>
  <c r="CR131" i="1"/>
  <c r="CS131" i="1"/>
  <c r="CT131" i="1"/>
  <c r="BV454" i="1"/>
  <c r="BW454" i="1"/>
  <c r="BX454" i="1"/>
  <c r="BY454" i="1"/>
  <c r="BZ454" i="1"/>
  <c r="CA454" i="1"/>
  <c r="CB454" i="1"/>
  <c r="CC454" i="1"/>
  <c r="CD454" i="1"/>
  <c r="CE454" i="1"/>
  <c r="CF454" i="1"/>
  <c r="CG454" i="1"/>
  <c r="CH454" i="1"/>
  <c r="CI454" i="1"/>
  <c r="CJ454" i="1"/>
  <c r="CK454" i="1"/>
  <c r="CL454" i="1"/>
  <c r="CM454" i="1"/>
  <c r="BC454" i="1" s="1"/>
  <c r="CN454" i="1"/>
  <c r="CO454" i="1"/>
  <c r="CP454" i="1"/>
  <c r="CQ454" i="1"/>
  <c r="CR454" i="1"/>
  <c r="CS454" i="1"/>
  <c r="CT454" i="1"/>
  <c r="BV453" i="1"/>
  <c r="BW453" i="1"/>
  <c r="BX453" i="1"/>
  <c r="BY453" i="1"/>
  <c r="BZ453" i="1"/>
  <c r="CA453" i="1"/>
  <c r="CB453" i="1"/>
  <c r="CC453" i="1"/>
  <c r="CD453" i="1"/>
  <c r="CE453" i="1"/>
  <c r="CF453" i="1"/>
  <c r="CG453" i="1"/>
  <c r="CH453" i="1"/>
  <c r="CI453" i="1"/>
  <c r="CJ453" i="1"/>
  <c r="CK453" i="1"/>
  <c r="CL453" i="1"/>
  <c r="CM453" i="1"/>
  <c r="CN453" i="1"/>
  <c r="CO453" i="1"/>
  <c r="CP453" i="1"/>
  <c r="CQ453" i="1"/>
  <c r="CR453" i="1"/>
  <c r="CS453" i="1"/>
  <c r="CT453" i="1"/>
  <c r="BV357" i="1"/>
  <c r="BW357" i="1"/>
  <c r="BX357" i="1"/>
  <c r="BY357" i="1"/>
  <c r="BZ357" i="1"/>
  <c r="CA357" i="1"/>
  <c r="CB357" i="1"/>
  <c r="CC357" i="1"/>
  <c r="CD357" i="1"/>
  <c r="CE357" i="1"/>
  <c r="CF357" i="1"/>
  <c r="CG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CT357" i="1"/>
  <c r="BV356" i="1"/>
  <c r="BW356" i="1"/>
  <c r="BX356" i="1"/>
  <c r="BY356" i="1"/>
  <c r="BZ356" i="1"/>
  <c r="CA356" i="1"/>
  <c r="CB356" i="1"/>
  <c r="CC356" i="1"/>
  <c r="CD356" i="1"/>
  <c r="CE356" i="1"/>
  <c r="CF356" i="1"/>
  <c r="CG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CT356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BC228" i="1" s="1"/>
  <c r="CJ228" i="1"/>
  <c r="CK228" i="1"/>
  <c r="CL228" i="1"/>
  <c r="CM228" i="1"/>
  <c r="CN228" i="1"/>
  <c r="CO228" i="1"/>
  <c r="CP228" i="1"/>
  <c r="CQ228" i="1"/>
  <c r="CR228" i="1"/>
  <c r="CS228" i="1"/>
  <c r="CT228" i="1"/>
  <c r="BV438" i="1"/>
  <c r="BW438" i="1"/>
  <c r="BX438" i="1"/>
  <c r="BY438" i="1"/>
  <c r="BZ438" i="1"/>
  <c r="CA438" i="1"/>
  <c r="CB438" i="1"/>
  <c r="CC438" i="1"/>
  <c r="CD438" i="1"/>
  <c r="CE438" i="1"/>
  <c r="CF438" i="1"/>
  <c r="CG438" i="1"/>
  <c r="CH438" i="1"/>
  <c r="BC438" i="1" s="1"/>
  <c r="CI438" i="1"/>
  <c r="CJ438" i="1"/>
  <c r="CK438" i="1"/>
  <c r="CL438" i="1"/>
  <c r="CM438" i="1"/>
  <c r="CN438" i="1"/>
  <c r="CO438" i="1"/>
  <c r="CP438" i="1"/>
  <c r="CQ438" i="1"/>
  <c r="CR438" i="1"/>
  <c r="CS438" i="1"/>
  <c r="CT438" i="1"/>
  <c r="BV440" i="1"/>
  <c r="BW440" i="1"/>
  <c r="BX440" i="1"/>
  <c r="BY440" i="1"/>
  <c r="BZ440" i="1"/>
  <c r="CA440" i="1"/>
  <c r="CB440" i="1"/>
  <c r="CC440" i="1"/>
  <c r="CD440" i="1"/>
  <c r="CE440" i="1"/>
  <c r="CF440" i="1"/>
  <c r="CG440" i="1"/>
  <c r="CH440" i="1"/>
  <c r="CI440" i="1"/>
  <c r="CJ440" i="1"/>
  <c r="CK440" i="1"/>
  <c r="CL440" i="1"/>
  <c r="CM440" i="1"/>
  <c r="CN440" i="1"/>
  <c r="CO440" i="1"/>
  <c r="CP440" i="1"/>
  <c r="CQ440" i="1"/>
  <c r="CR440" i="1"/>
  <c r="CS440" i="1"/>
  <c r="CT440" i="1"/>
  <c r="BV452" i="1"/>
  <c r="BW452" i="1"/>
  <c r="BX452" i="1"/>
  <c r="BY452" i="1"/>
  <c r="BZ452" i="1"/>
  <c r="CA452" i="1"/>
  <c r="CB452" i="1"/>
  <c r="CC452" i="1"/>
  <c r="CD452" i="1"/>
  <c r="CE452" i="1"/>
  <c r="CF452" i="1"/>
  <c r="CG452" i="1"/>
  <c r="CH452" i="1"/>
  <c r="CI452" i="1"/>
  <c r="CJ452" i="1"/>
  <c r="CK452" i="1"/>
  <c r="CL452" i="1"/>
  <c r="CM452" i="1"/>
  <c r="CN452" i="1"/>
  <c r="CO452" i="1"/>
  <c r="CP452" i="1"/>
  <c r="CQ452" i="1"/>
  <c r="CR452" i="1"/>
  <c r="CS452" i="1"/>
  <c r="CT452" i="1"/>
  <c r="BV355" i="1"/>
  <c r="BW355" i="1"/>
  <c r="BX355" i="1"/>
  <c r="BY355" i="1"/>
  <c r="BZ355" i="1"/>
  <c r="CA355" i="1"/>
  <c r="CB355" i="1"/>
  <c r="CC355" i="1"/>
  <c r="CD355" i="1"/>
  <c r="CE355" i="1"/>
  <c r="CF355" i="1"/>
  <c r="CG355" i="1"/>
  <c r="CH355" i="1"/>
  <c r="BC355" i="1" s="1"/>
  <c r="CI355" i="1"/>
  <c r="CJ355" i="1"/>
  <c r="CK355" i="1"/>
  <c r="CL355" i="1"/>
  <c r="CM355" i="1"/>
  <c r="CN355" i="1"/>
  <c r="CO355" i="1"/>
  <c r="CP355" i="1"/>
  <c r="CQ355" i="1"/>
  <c r="CR355" i="1"/>
  <c r="CS355" i="1"/>
  <c r="CT355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BC279" i="1" s="1"/>
  <c r="CP279" i="1"/>
  <c r="CQ279" i="1"/>
  <c r="CR279" i="1"/>
  <c r="CS279" i="1"/>
  <c r="CT279" i="1"/>
  <c r="BV451" i="1"/>
  <c r="BW451" i="1"/>
  <c r="BX451" i="1"/>
  <c r="BY451" i="1"/>
  <c r="BZ451" i="1"/>
  <c r="CA451" i="1"/>
  <c r="CB451" i="1"/>
  <c r="CC451" i="1"/>
  <c r="CD451" i="1"/>
  <c r="CE451" i="1"/>
  <c r="CF451" i="1"/>
  <c r="CG451" i="1"/>
  <c r="CH451" i="1"/>
  <c r="CI451" i="1"/>
  <c r="CJ451" i="1"/>
  <c r="CK451" i="1"/>
  <c r="CL451" i="1"/>
  <c r="CM451" i="1"/>
  <c r="CN451" i="1"/>
  <c r="CO451" i="1"/>
  <c r="CP451" i="1"/>
  <c r="CQ451" i="1"/>
  <c r="CR451" i="1"/>
  <c r="CS451" i="1"/>
  <c r="CT451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BC174" i="1" s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BC128" i="1" s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BV410" i="1"/>
  <c r="BW410" i="1"/>
  <c r="BX410" i="1"/>
  <c r="BY410" i="1"/>
  <c r="BZ410" i="1"/>
  <c r="CA410" i="1"/>
  <c r="CB410" i="1"/>
  <c r="CC410" i="1"/>
  <c r="CD410" i="1"/>
  <c r="CE410" i="1"/>
  <c r="CF410" i="1"/>
  <c r="CG410" i="1"/>
  <c r="CH410" i="1"/>
  <c r="CI410" i="1"/>
  <c r="CJ410" i="1"/>
  <c r="CK410" i="1"/>
  <c r="CL410" i="1"/>
  <c r="CM410" i="1"/>
  <c r="CN410" i="1"/>
  <c r="CO410" i="1"/>
  <c r="CP410" i="1"/>
  <c r="CQ410" i="1"/>
  <c r="CR410" i="1"/>
  <c r="CS410" i="1"/>
  <c r="CT410" i="1"/>
  <c r="BV403" i="1"/>
  <c r="BW403" i="1"/>
  <c r="BX403" i="1"/>
  <c r="BY403" i="1"/>
  <c r="BZ403" i="1"/>
  <c r="CA403" i="1"/>
  <c r="CB403" i="1"/>
  <c r="CC403" i="1"/>
  <c r="CD403" i="1"/>
  <c r="CE403" i="1"/>
  <c r="CF403" i="1"/>
  <c r="CG403" i="1"/>
  <c r="CH403" i="1"/>
  <c r="CI403" i="1"/>
  <c r="CJ403" i="1"/>
  <c r="CK403" i="1"/>
  <c r="CL403" i="1"/>
  <c r="CM403" i="1"/>
  <c r="CN403" i="1"/>
  <c r="CO403" i="1"/>
  <c r="CP403" i="1"/>
  <c r="CQ403" i="1"/>
  <c r="CR403" i="1"/>
  <c r="BC403" i="1" s="1"/>
  <c r="CS403" i="1"/>
  <c r="CT403" i="1"/>
  <c r="BV450" i="1"/>
  <c r="BW450" i="1"/>
  <c r="BX450" i="1"/>
  <c r="BY450" i="1"/>
  <c r="BZ450" i="1"/>
  <c r="CA450" i="1"/>
  <c r="CB450" i="1"/>
  <c r="CC450" i="1"/>
  <c r="CD450" i="1"/>
  <c r="CE450" i="1"/>
  <c r="CF450" i="1"/>
  <c r="CG450" i="1"/>
  <c r="CH450" i="1"/>
  <c r="CI450" i="1"/>
  <c r="CJ450" i="1"/>
  <c r="CK450" i="1"/>
  <c r="CL450" i="1"/>
  <c r="CM450" i="1"/>
  <c r="CN450" i="1"/>
  <c r="CO450" i="1"/>
  <c r="CP450" i="1"/>
  <c r="CQ450" i="1"/>
  <c r="BC450" i="1" s="1"/>
  <c r="CR450" i="1"/>
  <c r="CS450" i="1"/>
  <c r="CT450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CT303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BC3" i="1" s="1"/>
  <c r="CI3" i="1"/>
  <c r="CJ3" i="1"/>
  <c r="CK3" i="1"/>
  <c r="CL3" i="1"/>
  <c r="CM3" i="1"/>
  <c r="CN3" i="1"/>
  <c r="CO3" i="1"/>
  <c r="CP3" i="1"/>
  <c r="CQ3" i="1"/>
  <c r="CR3" i="1"/>
  <c r="CS3" i="1"/>
  <c r="CT3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CH274" i="1"/>
  <c r="BC274" i="1" s="1"/>
  <c r="CI274" i="1"/>
  <c r="CJ274" i="1"/>
  <c r="CK274" i="1"/>
  <c r="CL274" i="1"/>
  <c r="CM274" i="1"/>
  <c r="CN274" i="1"/>
  <c r="CO274" i="1"/>
  <c r="CP274" i="1"/>
  <c r="CQ274" i="1"/>
  <c r="CR274" i="1"/>
  <c r="CS274" i="1"/>
  <c r="CT274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CT282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CH293" i="1"/>
  <c r="BC293" i="1" s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CT288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CT284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BC107" i="1" s="1"/>
  <c r="CK107" i="1"/>
  <c r="CL107" i="1"/>
  <c r="CM107" i="1"/>
  <c r="CN107" i="1"/>
  <c r="CO107" i="1"/>
  <c r="CP107" i="1"/>
  <c r="CQ107" i="1"/>
  <c r="CR107" i="1"/>
  <c r="CS107" i="1"/>
  <c r="CT107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BC106" i="1" s="1"/>
  <c r="CO106" i="1"/>
  <c r="CP106" i="1"/>
  <c r="CQ106" i="1"/>
  <c r="CR106" i="1"/>
  <c r="CS106" i="1"/>
  <c r="CT106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BC104" i="1" s="1"/>
  <c r="CM104" i="1"/>
  <c r="CN104" i="1"/>
  <c r="CO104" i="1"/>
  <c r="CP104" i="1"/>
  <c r="CQ104" i="1"/>
  <c r="CR104" i="1"/>
  <c r="CS104" i="1"/>
  <c r="CT104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CH359" i="1"/>
  <c r="CI359" i="1"/>
  <c r="CJ359" i="1"/>
  <c r="CK359" i="1"/>
  <c r="BC359" i="1" s="1"/>
  <c r="CL359" i="1"/>
  <c r="CM359" i="1"/>
  <c r="CN359" i="1"/>
  <c r="CO359" i="1"/>
  <c r="CP359" i="1"/>
  <c r="CQ359" i="1"/>
  <c r="CR359" i="1"/>
  <c r="CS359" i="1"/>
  <c r="CT359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BV381" i="1"/>
  <c r="BW381" i="1"/>
  <c r="BX381" i="1"/>
  <c r="BY381" i="1"/>
  <c r="BZ381" i="1"/>
  <c r="CA381" i="1"/>
  <c r="CB381" i="1"/>
  <c r="CC381" i="1"/>
  <c r="CD381" i="1"/>
  <c r="CE381" i="1"/>
  <c r="CF381" i="1"/>
  <c r="CG381" i="1"/>
  <c r="CH381" i="1"/>
  <c r="CI381" i="1"/>
  <c r="BC381" i="1" s="1"/>
  <c r="CJ381" i="1"/>
  <c r="CK381" i="1"/>
  <c r="CL381" i="1"/>
  <c r="CM381" i="1"/>
  <c r="CN381" i="1"/>
  <c r="CO381" i="1"/>
  <c r="CP381" i="1"/>
  <c r="CQ381" i="1"/>
  <c r="CR381" i="1"/>
  <c r="CS381" i="1"/>
  <c r="CT381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BC125" i="1" s="1"/>
  <c r="CL125" i="1"/>
  <c r="CM125" i="1"/>
  <c r="CN125" i="1"/>
  <c r="CO125" i="1"/>
  <c r="CP125" i="1"/>
  <c r="CQ125" i="1"/>
  <c r="CR125" i="1"/>
  <c r="CS125" i="1"/>
  <c r="CT125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BC214" i="1" s="1"/>
  <c r="CK214" i="1"/>
  <c r="CL214" i="1"/>
  <c r="CM214" i="1"/>
  <c r="CN214" i="1"/>
  <c r="CO214" i="1"/>
  <c r="CP214" i="1"/>
  <c r="CQ214" i="1"/>
  <c r="CR214" i="1"/>
  <c r="CS214" i="1"/>
  <c r="CT21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BC123" i="1" s="1"/>
  <c r="CS123" i="1"/>
  <c r="CT123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BC122" i="1" s="1"/>
  <c r="CR122" i="1"/>
  <c r="CS122" i="1"/>
  <c r="CT122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CT30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BC329" i="1" s="1"/>
  <c r="CN329" i="1"/>
  <c r="CO329" i="1"/>
  <c r="CP329" i="1"/>
  <c r="CQ329" i="1"/>
  <c r="CR329" i="1"/>
  <c r="CS329" i="1"/>
  <c r="CT3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BC29" i="1" s="1"/>
  <c r="CM29" i="1"/>
  <c r="CN29" i="1"/>
  <c r="CO29" i="1"/>
  <c r="CP29" i="1"/>
  <c r="CQ29" i="1"/>
  <c r="CR29" i="1"/>
  <c r="CS29" i="1"/>
  <c r="CT29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BC103" i="1" s="1"/>
  <c r="CK103" i="1"/>
  <c r="CL103" i="1"/>
  <c r="CM103" i="1"/>
  <c r="CN103" i="1"/>
  <c r="CO103" i="1"/>
  <c r="CP103" i="1"/>
  <c r="CQ103" i="1"/>
  <c r="CR103" i="1"/>
  <c r="CS103" i="1"/>
  <c r="CT103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BC99" i="1" s="1"/>
  <c r="CS99" i="1"/>
  <c r="CT99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BC297" i="1" s="1"/>
  <c r="CJ297" i="1"/>
  <c r="CK297" i="1"/>
  <c r="CL297" i="1"/>
  <c r="CM297" i="1"/>
  <c r="CN297" i="1"/>
  <c r="CO297" i="1"/>
  <c r="CP297" i="1"/>
  <c r="CQ297" i="1"/>
  <c r="CR297" i="1"/>
  <c r="CS297" i="1"/>
  <c r="CT297" i="1"/>
  <c r="CT2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BC10" i="1" s="1"/>
  <c r="CM10" i="1"/>
  <c r="CN10" i="1"/>
  <c r="CO10" i="1"/>
  <c r="CP10" i="1"/>
  <c r="CQ10" i="1"/>
  <c r="CR10" i="1"/>
  <c r="CS10" i="1"/>
  <c r="CT10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BC74" i="1" s="1"/>
  <c r="CI74" i="1"/>
  <c r="CJ74" i="1"/>
  <c r="CK74" i="1"/>
  <c r="CL74" i="1"/>
  <c r="CM74" i="1"/>
  <c r="CN74" i="1"/>
  <c r="CO74" i="1"/>
  <c r="CP74" i="1"/>
  <c r="CQ74" i="1"/>
  <c r="CR74" i="1"/>
  <c r="CS74" i="1"/>
  <c r="CT74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BC88" i="1" s="1"/>
  <c r="CI88" i="1"/>
  <c r="CJ88" i="1"/>
  <c r="CK88" i="1"/>
  <c r="CL88" i="1"/>
  <c r="CM88" i="1"/>
  <c r="CN88" i="1"/>
  <c r="CO88" i="1"/>
  <c r="CP88" i="1"/>
  <c r="CQ88" i="1"/>
  <c r="CR88" i="1"/>
  <c r="CS88" i="1"/>
  <c r="CT88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BC148" i="1" s="1"/>
  <c r="CQ148" i="1"/>
  <c r="CR148" i="1"/>
  <c r="CS148" i="1"/>
  <c r="CT148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BC193" i="1" s="1"/>
  <c r="CJ193" i="1"/>
  <c r="CK193" i="1"/>
  <c r="CL193" i="1"/>
  <c r="CM193" i="1"/>
  <c r="CN193" i="1"/>
  <c r="CO193" i="1"/>
  <c r="CP193" i="1"/>
  <c r="CQ193" i="1"/>
  <c r="CR193" i="1"/>
  <c r="CS193" i="1"/>
  <c r="CT193" i="1"/>
  <c r="BV402" i="1"/>
  <c r="BW402" i="1"/>
  <c r="BX402" i="1"/>
  <c r="BY402" i="1"/>
  <c r="BZ402" i="1"/>
  <c r="CA402" i="1"/>
  <c r="CB402" i="1"/>
  <c r="CC402" i="1"/>
  <c r="CD402" i="1"/>
  <c r="CE402" i="1"/>
  <c r="CF402" i="1"/>
  <c r="CG402" i="1"/>
  <c r="CH402" i="1"/>
  <c r="CI402" i="1"/>
  <c r="CJ402" i="1"/>
  <c r="CK402" i="1"/>
  <c r="CL402" i="1"/>
  <c r="CM402" i="1"/>
  <c r="BC402" i="1" s="1"/>
  <c r="CN402" i="1"/>
  <c r="CO402" i="1"/>
  <c r="CP402" i="1"/>
  <c r="CQ402" i="1"/>
  <c r="CR402" i="1"/>
  <c r="CS402" i="1"/>
  <c r="CT402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BC213" i="1" s="1"/>
  <c r="CL213" i="1"/>
  <c r="CM213" i="1"/>
  <c r="CN213" i="1"/>
  <c r="CO213" i="1"/>
  <c r="CP213" i="1"/>
  <c r="CQ213" i="1"/>
  <c r="CR213" i="1"/>
  <c r="CS213" i="1"/>
  <c r="CT213" i="1"/>
  <c r="BV411" i="1"/>
  <c r="BW411" i="1"/>
  <c r="BX411" i="1"/>
  <c r="BY411" i="1"/>
  <c r="BZ411" i="1"/>
  <c r="CA411" i="1"/>
  <c r="CB411" i="1"/>
  <c r="CC411" i="1"/>
  <c r="CD411" i="1"/>
  <c r="CE411" i="1"/>
  <c r="CF411" i="1"/>
  <c r="CG411" i="1"/>
  <c r="CH411" i="1"/>
  <c r="CI411" i="1"/>
  <c r="CJ411" i="1"/>
  <c r="BC411" i="1" s="1"/>
  <c r="CK411" i="1"/>
  <c r="CL411" i="1"/>
  <c r="CM411" i="1"/>
  <c r="CN411" i="1"/>
  <c r="CO411" i="1"/>
  <c r="CP411" i="1"/>
  <c r="CQ411" i="1"/>
  <c r="CR411" i="1"/>
  <c r="CS411" i="1"/>
  <c r="CT411" i="1"/>
  <c r="AJ50" i="2"/>
  <c r="AJ46" i="2"/>
  <c r="AJ47" i="2"/>
  <c r="AJ26" i="2"/>
  <c r="AJ12" i="2"/>
  <c r="AJ28" i="2"/>
  <c r="AJ17" i="2"/>
  <c r="AJ16" i="2"/>
  <c r="AJ10" i="2"/>
  <c r="AJ13" i="2"/>
  <c r="AJ11" i="2"/>
  <c r="AJ27" i="2"/>
  <c r="AJ37" i="2"/>
  <c r="AJ38" i="2"/>
  <c r="AJ36" i="2"/>
  <c r="AJ5" i="2"/>
  <c r="AJ7" i="2"/>
  <c r="AJ29" i="2"/>
  <c r="AJ15" i="2"/>
  <c r="AJ8" i="2"/>
  <c r="AJ33" i="2"/>
  <c r="AJ34" i="2"/>
  <c r="AJ32" i="2"/>
  <c r="AJ35" i="2"/>
  <c r="AJ31" i="2"/>
  <c r="AJ43" i="2"/>
  <c r="AJ39" i="2"/>
  <c r="AJ40" i="2"/>
  <c r="AJ30" i="2"/>
  <c r="AJ2" i="2"/>
  <c r="AJ42" i="2"/>
  <c r="AJ24" i="2"/>
  <c r="AJ18" i="2"/>
  <c r="AJ22" i="2"/>
  <c r="AJ25" i="2"/>
  <c r="AJ23" i="2"/>
  <c r="AJ41" i="2"/>
  <c r="AJ52" i="2"/>
  <c r="AJ21" i="2"/>
  <c r="AJ51" i="2"/>
  <c r="AF61" i="4"/>
  <c r="AF30" i="4"/>
  <c r="AF297" i="4"/>
  <c r="AF147" i="4"/>
  <c r="AF87" i="4"/>
  <c r="AF124" i="4"/>
  <c r="AF125" i="4"/>
  <c r="AF132" i="4"/>
  <c r="AF66" i="4"/>
  <c r="AF63" i="4"/>
  <c r="AF102" i="4"/>
  <c r="AF269" i="4"/>
  <c r="AF280" i="4"/>
  <c r="AF190" i="4"/>
  <c r="AF129" i="4"/>
  <c r="AF274" i="4"/>
  <c r="AF281" i="4"/>
  <c r="AF64" i="4"/>
  <c r="AF251" i="4"/>
  <c r="AF191" i="4"/>
  <c r="AF279" i="4"/>
  <c r="AF287" i="4"/>
  <c r="AF130" i="4"/>
  <c r="AF262" i="4"/>
  <c r="AF270" i="4"/>
  <c r="AF263" i="4"/>
  <c r="AF196" i="4"/>
  <c r="AF257" i="4"/>
  <c r="AF258" i="4"/>
  <c r="AF112" i="4"/>
  <c r="AF222" i="4"/>
  <c r="AF266" i="4"/>
  <c r="AF265" i="4"/>
  <c r="AF181" i="4"/>
  <c r="AF182" i="4"/>
  <c r="AF46" i="4"/>
  <c r="AF101" i="4"/>
  <c r="AF43" i="4"/>
  <c r="AF44" i="4"/>
  <c r="AF49" i="4"/>
  <c r="AF47" i="4"/>
  <c r="AF223" i="4"/>
  <c r="AF194" i="4"/>
  <c r="AF220" i="4"/>
  <c r="AF229" i="4"/>
  <c r="AF211" i="4"/>
  <c r="AF215" i="4"/>
  <c r="AF210" i="4"/>
  <c r="AF203" i="4"/>
  <c r="AF202" i="4"/>
  <c r="AF140" i="4"/>
  <c r="AF214" i="4"/>
  <c r="AF22" i="4"/>
  <c r="AF41" i="4"/>
  <c r="AF23" i="4"/>
  <c r="AF233" i="4"/>
  <c r="AF234" i="4"/>
  <c r="AF45" i="4"/>
  <c r="AF42" i="4"/>
  <c r="AF212" i="4"/>
  <c r="AF213" i="4"/>
  <c r="AF16" i="4"/>
  <c r="AF17" i="4"/>
  <c r="AF19" i="4"/>
  <c r="AF20" i="4"/>
  <c r="AF13" i="4"/>
  <c r="AF33" i="4"/>
  <c r="AF34" i="4"/>
  <c r="AF32" i="4"/>
  <c r="AF2" i="4"/>
  <c r="AF65" i="4"/>
  <c r="AF169" i="4"/>
  <c r="AF91" i="4"/>
  <c r="AF289" i="4"/>
  <c r="AF3" i="4"/>
  <c r="AF236" i="4"/>
  <c r="AF31" i="4"/>
  <c r="AF120" i="4"/>
  <c r="AF136" i="4"/>
  <c r="AF138" i="4"/>
  <c r="AF25" i="4"/>
  <c r="AF90" i="4"/>
  <c r="AF205" i="4"/>
  <c r="AF272" i="4"/>
  <c r="AF127" i="4"/>
  <c r="AF70" i="4"/>
  <c r="AF197" i="4"/>
  <c r="AF21" i="4"/>
  <c r="AF295" i="4"/>
  <c r="AF238" i="4"/>
  <c r="AF261" i="4"/>
  <c r="AF216" i="4"/>
  <c r="AF175" i="4"/>
  <c r="AF177" i="4"/>
  <c r="AF48" i="4"/>
  <c r="AF118" i="4"/>
  <c r="AF163" i="4"/>
  <c r="AF151" i="4"/>
  <c r="AF198" i="4"/>
  <c r="AF253" i="4"/>
  <c r="AF224" i="4"/>
  <c r="AF100" i="4"/>
  <c r="AF14" i="4"/>
  <c r="AF278" i="4"/>
  <c r="AF240" i="4"/>
  <c r="AF189" i="4"/>
  <c r="AF162" i="4"/>
  <c r="AF184" i="4"/>
  <c r="AF173" i="4"/>
  <c r="AF284" i="4"/>
  <c r="AF142" i="4"/>
  <c r="AF290" i="4"/>
  <c r="AF24" i="4"/>
  <c r="AF302" i="4"/>
  <c r="AF237" i="4"/>
  <c r="AF113" i="4"/>
  <c r="AF117" i="4"/>
  <c r="AF250" i="4"/>
  <c r="AF29" i="4"/>
  <c r="AF79" i="4"/>
  <c r="AF123" i="4"/>
  <c r="AF83" i="4"/>
  <c r="AF84" i="4"/>
  <c r="AF131" i="4"/>
  <c r="AF74" i="4"/>
  <c r="AF155" i="4"/>
  <c r="AF288" i="4"/>
  <c r="AF245" i="4"/>
  <c r="AF180" i="4"/>
  <c r="AF141" i="4"/>
  <c r="AF82" i="4"/>
  <c r="AF256" i="4"/>
  <c r="AF77" i="4"/>
  <c r="AF157" i="4"/>
  <c r="AF208" i="4"/>
  <c r="AF97" i="4"/>
  <c r="AF246" i="4"/>
  <c r="AF139" i="4"/>
  <c r="AF156" i="4"/>
  <c r="AF161" i="4"/>
  <c r="AF135" i="4"/>
  <c r="AF143" i="4"/>
  <c r="AF122" i="4"/>
  <c r="AF145" i="4"/>
  <c r="AF92" i="4"/>
  <c r="AF93" i="4"/>
  <c r="AF239" i="4"/>
  <c r="AF301" i="4"/>
  <c r="AF71" i="4"/>
  <c r="AF72" i="4"/>
  <c r="AF126" i="4"/>
  <c r="AF199" i="4"/>
  <c r="AF165" i="4"/>
  <c r="AF248" i="4"/>
  <c r="AF252" i="4"/>
  <c r="AF128" i="4"/>
  <c r="AF98" i="4"/>
  <c r="AF200" i="4"/>
  <c r="AF148" i="4"/>
  <c r="AF218" i="4"/>
  <c r="AF166" i="4"/>
  <c r="AF168" i="4"/>
  <c r="AF80" i="4"/>
  <c r="AF204" i="4"/>
  <c r="AF187" i="4"/>
  <c r="AF201" i="4"/>
  <c r="AF78" i="4"/>
  <c r="AF133" i="4"/>
  <c r="AF206" i="4"/>
  <c r="AF38" i="4"/>
  <c r="AF39" i="4"/>
  <c r="AF300" i="4"/>
  <c r="AF170" i="4"/>
  <c r="AF52" i="4"/>
  <c r="AF58" i="4"/>
  <c r="AF36" i="4"/>
  <c r="AF121" i="4"/>
  <c r="AF50" i="4"/>
  <c r="AF109" i="4"/>
  <c r="AF60" i="4"/>
  <c r="AF76" i="4"/>
  <c r="AF108" i="4"/>
  <c r="AF105" i="4"/>
  <c r="AF174" i="4"/>
  <c r="AF15" i="4"/>
  <c r="AF285" i="4"/>
  <c r="AF114" i="4"/>
  <c r="AF243" i="4"/>
  <c r="AF247" i="4"/>
  <c r="AF4" i="4"/>
  <c r="AF244" i="4"/>
  <c r="AF241" i="4"/>
  <c r="AF110" i="4"/>
  <c r="AF56" i="4"/>
  <c r="AF167" i="4"/>
  <c r="AF37" i="4"/>
  <c r="AF18" i="4"/>
  <c r="AF219" i="4"/>
  <c r="AF282" i="4"/>
  <c r="AF267" i="4"/>
  <c r="AF73" i="4"/>
  <c r="AF81" i="4"/>
  <c r="AF185" i="4"/>
  <c r="AF221" i="4"/>
  <c r="AF230" i="4"/>
  <c r="AF293" i="4"/>
  <c r="AF242" i="4"/>
  <c r="AF160" i="4"/>
  <c r="AF89" i="4"/>
  <c r="AF55" i="4"/>
  <c r="AF286" i="4"/>
  <c r="AF144" i="4"/>
  <c r="AF35" i="4"/>
  <c r="AF255" i="4"/>
  <c r="AF298" i="4"/>
  <c r="AF299" i="4"/>
  <c r="AF254" i="4"/>
  <c r="AF54" i="4"/>
  <c r="AF26" i="4"/>
  <c r="AF53" i="4"/>
  <c r="AF59" i="4"/>
  <c r="AF95" i="4"/>
  <c r="AF294" i="4"/>
  <c r="AF225" i="4"/>
  <c r="AF186" i="4"/>
  <c r="AF264" i="4"/>
  <c r="AF94" i="4"/>
  <c r="AF119" i="4"/>
  <c r="AF217" i="4"/>
  <c r="AF271" i="4"/>
  <c r="AF85" i="4"/>
  <c r="AF96" i="4"/>
  <c r="AF7" i="4"/>
  <c r="AF195" i="4"/>
  <c r="AF249" i="4"/>
  <c r="AF5" i="4"/>
  <c r="AF8" i="4"/>
  <c r="AF9" i="4"/>
  <c r="AF6" i="4"/>
  <c r="AF231" i="4"/>
  <c r="AF67" i="4"/>
  <c r="AF68" i="4"/>
  <c r="AF99" i="4"/>
  <c r="AF62" i="4"/>
  <c r="AF69" i="4"/>
  <c r="AF75" i="4"/>
  <c r="AF183" i="4"/>
  <c r="AF178" i="4"/>
  <c r="AF111" i="4"/>
  <c r="AF273" i="4"/>
  <c r="AF40" i="4"/>
  <c r="AF149" i="4"/>
  <c r="AF152" i="4"/>
  <c r="AF153" i="4"/>
  <c r="AF150" i="4"/>
  <c r="AF227" i="4"/>
  <c r="AF283" i="4"/>
  <c r="AF193" i="4"/>
  <c r="AF228" i="4"/>
  <c r="AF207" i="4"/>
  <c r="AF159" i="4"/>
  <c r="AF172" i="4"/>
  <c r="AF171" i="4"/>
  <c r="AF51" i="4"/>
  <c r="AF103" i="4"/>
  <c r="AF104" i="4"/>
  <c r="AF107" i="4"/>
  <c r="AF115" i="4"/>
  <c r="AF106" i="4"/>
  <c r="AF268" i="4"/>
  <c r="AF154" i="4"/>
  <c r="AF88" i="4"/>
  <c r="AF226" i="4"/>
  <c r="AF235" i="4"/>
  <c r="AF176" i="4"/>
  <c r="AF57" i="4"/>
  <c r="AF291" i="4"/>
  <c r="AF292" i="4"/>
  <c r="AF10" i="4"/>
  <c r="AF158" i="4"/>
  <c r="AF260" i="4"/>
  <c r="AF116" i="4"/>
  <c r="AF11" i="4"/>
  <c r="AF296" i="4"/>
  <c r="AF137" i="4"/>
  <c r="AF146" i="4"/>
  <c r="AF192" i="4"/>
  <c r="AF209" i="4"/>
  <c r="AF179" i="4"/>
  <c r="AF12" i="4"/>
  <c r="AF259" i="4"/>
  <c r="AF188" i="4"/>
  <c r="AF316" i="4"/>
  <c r="AF318" i="4"/>
  <c r="AF303" i="4"/>
  <c r="AF304" i="4"/>
  <c r="AF309" i="4"/>
  <c r="AF314" i="4"/>
  <c r="AF315" i="4"/>
  <c r="AF307" i="4"/>
  <c r="AF310" i="4"/>
  <c r="AF311" i="4"/>
  <c r="AF312" i="4"/>
  <c r="AF306" i="4"/>
  <c r="AF305" i="4"/>
  <c r="AF317" i="4"/>
  <c r="AF313" i="4"/>
  <c r="AF336" i="4"/>
  <c r="AF334" i="4"/>
  <c r="AF335" i="4"/>
  <c r="AF333" i="4"/>
  <c r="AF331" i="4"/>
  <c r="AF332" i="4"/>
  <c r="AF321" i="4"/>
  <c r="AF326" i="4"/>
  <c r="AF327" i="4"/>
  <c r="AF328" i="4"/>
  <c r="AF329" i="4"/>
  <c r="AF322" i="4"/>
  <c r="AF348" i="4"/>
  <c r="AF330" i="4"/>
  <c r="AF349" i="4"/>
  <c r="AF344" i="4"/>
  <c r="AF347" i="4"/>
  <c r="AF346" i="4"/>
  <c r="AF345" i="4"/>
  <c r="AF350" i="4"/>
  <c r="AF351" i="4"/>
  <c r="AF338" i="4"/>
  <c r="AF341" i="4"/>
  <c r="AF343" i="4"/>
  <c r="AF340" i="4"/>
  <c r="AF342" i="4"/>
  <c r="AF323" i="4"/>
  <c r="AF324" i="4"/>
  <c r="AF325" i="4"/>
  <c r="AF319" i="4"/>
  <c r="AF337" i="4"/>
  <c r="AF339" i="4"/>
  <c r="AF320" i="4"/>
  <c r="AF372" i="4"/>
  <c r="AF373" i="4"/>
  <c r="AF352" i="4"/>
  <c r="AF364" i="4"/>
  <c r="AF353" i="4"/>
  <c r="AF354" i="4"/>
  <c r="AF370" i="4"/>
  <c r="AF357" i="4"/>
  <c r="AF371" i="4"/>
  <c r="AF358" i="4"/>
  <c r="AF359" i="4"/>
  <c r="AF360" i="4"/>
  <c r="AF365" i="4"/>
  <c r="AF366" i="4"/>
  <c r="AF367" i="4"/>
  <c r="AF368" i="4"/>
  <c r="AF369" i="4"/>
  <c r="AF361" i="4"/>
  <c r="AF363" i="4"/>
  <c r="AF362" i="4"/>
  <c r="AF355" i="4"/>
  <c r="AF356" i="4"/>
  <c r="AF379" i="4"/>
  <c r="AF375" i="4"/>
  <c r="AF383" i="4"/>
  <c r="AF374" i="4"/>
  <c r="AF376" i="4"/>
  <c r="AF378" i="4"/>
  <c r="AF381" i="4"/>
  <c r="AF377" i="4"/>
  <c r="AF380" i="4"/>
  <c r="AF382" i="4"/>
  <c r="AF385" i="4"/>
  <c r="AF389" i="4"/>
  <c r="AF387" i="4"/>
  <c r="AF388" i="4"/>
  <c r="AF391" i="4"/>
  <c r="AF390" i="4"/>
  <c r="AF407" i="4"/>
  <c r="AF405" i="4"/>
  <c r="AF392" i="4"/>
  <c r="AF394" i="4"/>
  <c r="AF395" i="4"/>
  <c r="AF396" i="4"/>
  <c r="AF397" i="4"/>
  <c r="AF398" i="4"/>
  <c r="AF400" i="4"/>
  <c r="AF401" i="4"/>
  <c r="AF402" i="4"/>
  <c r="AF399" i="4"/>
  <c r="AF404" i="4"/>
  <c r="AF393" i="4"/>
  <c r="AF403" i="4"/>
  <c r="AF408" i="4"/>
  <c r="AF412" i="4"/>
  <c r="AF409" i="4"/>
  <c r="AF410" i="4"/>
  <c r="AF415" i="4"/>
  <c r="AF411" i="4"/>
  <c r="AF413" i="4"/>
  <c r="AF414" i="4"/>
  <c r="AF406" i="4"/>
  <c r="AF416" i="4"/>
  <c r="AF27" i="4"/>
  <c r="AE235" i="4"/>
  <c r="BC118" i="5"/>
  <c r="B8" i="3"/>
  <c r="C8" i="3"/>
  <c r="B10" i="3"/>
  <c r="C10" i="3"/>
  <c r="AA2" i="2"/>
  <c r="AD2" i="2"/>
  <c r="AE2" i="2"/>
  <c r="AF2" i="2"/>
  <c r="AG2" i="2"/>
  <c r="AH2" i="2"/>
  <c r="AI2" i="2"/>
  <c r="AK2" i="2"/>
  <c r="AM2" i="2"/>
  <c r="D67" i="6"/>
  <c r="D206" i="6"/>
  <c r="D90" i="6"/>
  <c r="D91" i="6"/>
  <c r="D98" i="6"/>
  <c r="D100" i="6"/>
  <c r="D107" i="6"/>
  <c r="D109" i="6"/>
  <c r="D117" i="6"/>
  <c r="D123" i="6"/>
  <c r="D124" i="6"/>
  <c r="D125" i="6"/>
  <c r="D160" i="6"/>
  <c r="D165" i="6"/>
  <c r="D141" i="6"/>
  <c r="D168" i="6"/>
  <c r="D126" i="6"/>
  <c r="D144" i="6"/>
  <c r="D57" i="6"/>
  <c r="D14" i="6"/>
  <c r="D127" i="6"/>
  <c r="D244" i="6"/>
  <c r="D79" i="6"/>
  <c r="D113" i="6"/>
  <c r="D154" i="6"/>
  <c r="D145" i="6"/>
  <c r="D218" i="6"/>
  <c r="D201" i="6"/>
  <c r="D219" i="6"/>
  <c r="D128" i="6"/>
  <c r="D203" i="6"/>
  <c r="D148" i="6"/>
  <c r="D149" i="6"/>
  <c r="D150" i="6"/>
  <c r="D282" i="6"/>
  <c r="D228" i="6"/>
  <c r="D229" i="6"/>
  <c r="D230" i="6"/>
  <c r="D298" i="6"/>
  <c r="D159" i="6"/>
  <c r="D103" i="6"/>
  <c r="D224" i="6"/>
  <c r="D212" i="6"/>
  <c r="D214" i="6"/>
  <c r="D200" i="6"/>
  <c r="D234" i="6"/>
  <c r="D153" i="6"/>
  <c r="D178" i="6"/>
  <c r="D171" i="6"/>
  <c r="D172" i="6"/>
  <c r="D216" i="6"/>
  <c r="D259" i="6"/>
  <c r="D207" i="6"/>
  <c r="D208" i="6"/>
  <c r="D261" i="6"/>
  <c r="D236" i="6"/>
  <c r="D220" i="6"/>
  <c r="D202" i="6"/>
  <c r="D204" i="6"/>
  <c r="D226" i="6"/>
  <c r="D281" i="6"/>
  <c r="D44" i="6"/>
  <c r="D209" i="6"/>
  <c r="D72" i="6"/>
  <c r="D21" i="6"/>
  <c r="D23" i="6"/>
  <c r="D87" i="6"/>
  <c r="D64" i="6"/>
  <c r="D88" i="6"/>
  <c r="D65" i="6"/>
  <c r="D66" i="6"/>
  <c r="D68" i="6"/>
  <c r="D69" i="6"/>
  <c r="D89" i="6"/>
  <c r="D85" i="6"/>
  <c r="D92" i="6"/>
  <c r="D93" i="6"/>
  <c r="D95" i="6"/>
  <c r="D232" i="6"/>
  <c r="D71" i="6"/>
  <c r="D99" i="6"/>
  <c r="D101" i="6"/>
  <c r="D115" i="6"/>
  <c r="D116" i="6"/>
  <c r="D166" i="6"/>
  <c r="D167" i="6"/>
  <c r="D196" i="6"/>
  <c r="D143" i="6"/>
  <c r="D198" i="6"/>
  <c r="D77" i="6"/>
  <c r="D276" i="6"/>
  <c r="D215" i="6"/>
  <c r="D264" i="6"/>
  <c r="D177" i="6"/>
  <c r="D245" i="6"/>
  <c r="D146" i="6"/>
  <c r="D147" i="6"/>
  <c r="D221" i="6"/>
  <c r="D222" i="6"/>
  <c r="D223" i="6"/>
  <c r="D225" i="6"/>
  <c r="D205" i="6"/>
  <c r="D83" i="6"/>
  <c r="D173" i="6"/>
  <c r="D174" i="6"/>
  <c r="D184" i="6"/>
  <c r="D185" i="6"/>
  <c r="D86" i="6"/>
  <c r="D70" i="6"/>
  <c r="D106" i="6"/>
  <c r="D96" i="6"/>
  <c r="D97" i="6"/>
  <c r="D108" i="6"/>
  <c r="D110" i="6"/>
  <c r="D111" i="6"/>
  <c r="D112" i="6"/>
  <c r="D262" i="6"/>
  <c r="D237" i="6"/>
  <c r="D238" i="6"/>
  <c r="D280" i="6"/>
  <c r="D157" i="6"/>
  <c r="D84" i="6"/>
  <c r="D158" i="6"/>
  <c r="D183" i="6"/>
  <c r="D175" i="6"/>
  <c r="D211" i="6"/>
  <c r="D134" i="6"/>
  <c r="D59" i="6"/>
  <c r="D217" i="6"/>
  <c r="D179" i="6"/>
  <c r="D155" i="6"/>
  <c r="D251" i="6"/>
  <c r="D279" i="6"/>
  <c r="D181" i="6"/>
  <c r="D39" i="6"/>
  <c r="D104" i="6"/>
  <c r="D31" i="6"/>
  <c r="D197" i="6"/>
  <c r="D24" i="6"/>
  <c r="D38" i="6"/>
  <c r="D25" i="6"/>
  <c r="D118" i="6"/>
  <c r="D120" i="6"/>
  <c r="D26" i="6"/>
  <c r="D32" i="6"/>
  <c r="D190" i="6"/>
  <c r="D33" i="6"/>
  <c r="D186" i="6"/>
  <c r="D189" i="6"/>
  <c r="D192" i="6"/>
  <c r="D195" i="6"/>
  <c r="D257" i="6"/>
  <c r="D268" i="6"/>
  <c r="D35" i="6"/>
  <c r="D290" i="6"/>
  <c r="D270" i="6"/>
  <c r="D271" i="6"/>
  <c r="D63" i="6"/>
  <c r="D60" i="6"/>
  <c r="D61" i="6"/>
  <c r="D15" i="6"/>
  <c r="D36" i="6"/>
  <c r="D130" i="6"/>
  <c r="D272" i="6"/>
  <c r="D13" i="6"/>
  <c r="D235" i="6"/>
  <c r="D161" i="6"/>
  <c r="D275" i="6"/>
  <c r="D255" i="6"/>
  <c r="D256" i="6"/>
  <c r="D227" i="6"/>
  <c r="D151" i="6"/>
  <c r="D269" i="6"/>
  <c r="D122" i="6"/>
  <c r="D182" i="6"/>
  <c r="D133" i="6"/>
  <c r="D263" i="6"/>
  <c r="D27" i="6"/>
  <c r="D28" i="6"/>
  <c r="D29" i="6"/>
  <c r="D30" i="6"/>
  <c r="D283" i="6"/>
  <c r="D284" i="6"/>
  <c r="D74" i="6"/>
  <c r="D285" i="6"/>
  <c r="D75" i="6"/>
  <c r="D76" i="6"/>
  <c r="D135" i="6"/>
  <c r="D286" i="6"/>
  <c r="D119" i="6"/>
  <c r="D78" i="6"/>
  <c r="D136" i="6"/>
  <c r="D137" i="6"/>
  <c r="D138" i="6"/>
  <c r="D243" i="6"/>
  <c r="D287" i="6"/>
  <c r="D288" i="6"/>
  <c r="D34" i="6"/>
  <c r="D152" i="6"/>
  <c r="D156" i="6"/>
  <c r="D163" i="6"/>
  <c r="D169" i="6"/>
  <c r="D170" i="6"/>
  <c r="D180" i="6"/>
  <c r="D231" i="6"/>
  <c r="D291" i="6"/>
  <c r="D292" i="6"/>
  <c r="D293" i="6"/>
  <c r="D295" i="6"/>
  <c r="D296" i="6"/>
  <c r="D277" i="6"/>
  <c r="D252" i="6"/>
  <c r="D129" i="6"/>
  <c r="D274" i="6"/>
  <c r="D254" i="6"/>
  <c r="D278" i="6"/>
  <c r="D239" i="6"/>
  <c r="D247" i="6"/>
  <c r="D248" i="6"/>
  <c r="D164" i="6"/>
  <c r="D258" i="6"/>
  <c r="D12" i="6"/>
  <c r="D213" i="6"/>
  <c r="D253" i="6"/>
  <c r="D2" i="6"/>
  <c r="D3" i="6"/>
  <c r="D4" i="6"/>
  <c r="D5" i="6"/>
  <c r="D6" i="6"/>
  <c r="D47" i="6"/>
  <c r="D7" i="6"/>
  <c r="D48" i="6"/>
  <c r="D9" i="6"/>
  <c r="D49" i="6"/>
  <c r="D50" i="6"/>
  <c r="D10" i="6"/>
  <c r="D114" i="6"/>
  <c r="D11" i="6"/>
  <c r="D51" i="6"/>
  <c r="D52" i="6"/>
  <c r="D62" i="6"/>
  <c r="D53" i="6"/>
  <c r="D94" i="6"/>
  <c r="D233" i="6"/>
  <c r="D105" i="6"/>
  <c r="D54" i="6"/>
  <c r="D55" i="6"/>
  <c r="D56" i="6"/>
  <c r="D131" i="6"/>
  <c r="D297" i="6"/>
  <c r="D210" i="6"/>
  <c r="D46" i="6"/>
  <c r="D199" i="6"/>
  <c r="D58" i="6"/>
  <c r="D250" i="6"/>
  <c r="D81" i="6"/>
  <c r="D265" i="6"/>
  <c r="D162" i="6"/>
  <c r="D289" i="6"/>
  <c r="D82" i="6"/>
  <c r="D187" i="6"/>
  <c r="D191" i="6"/>
  <c r="D266" i="6"/>
  <c r="D267" i="6"/>
  <c r="D16" i="6"/>
  <c r="D18" i="6"/>
  <c r="D19" i="6"/>
  <c r="D20" i="6"/>
  <c r="D102" i="6"/>
  <c r="D8" i="6"/>
  <c r="D142" i="6"/>
  <c r="D176" i="6"/>
  <c r="D73" i="6"/>
  <c r="D273" i="6"/>
  <c r="D240" i="6"/>
  <c r="D241" i="6"/>
  <c r="D242" i="6"/>
  <c r="D246" i="6"/>
  <c r="D249" i="6"/>
  <c r="D188" i="6"/>
  <c r="D193" i="6"/>
  <c r="D194" i="6"/>
  <c r="D17" i="6"/>
  <c r="D132" i="6"/>
  <c r="D121" i="6"/>
  <c r="D80" i="6"/>
  <c r="D37" i="6"/>
  <c r="D40" i="6"/>
  <c r="D41" i="6"/>
  <c r="D42" i="6"/>
  <c r="D45" i="6"/>
  <c r="D43" i="6"/>
  <c r="D308" i="6"/>
  <c r="D309" i="6"/>
  <c r="D310" i="6"/>
  <c r="D311" i="6"/>
  <c r="D304" i="6"/>
  <c r="D305" i="6"/>
  <c r="D306" i="6"/>
  <c r="D317" i="6"/>
  <c r="D303" i="6"/>
  <c r="D307" i="6"/>
  <c r="D316" i="6"/>
  <c r="D312" i="6"/>
  <c r="D313" i="6"/>
  <c r="D314" i="6"/>
  <c r="D315" i="6"/>
  <c r="D331" i="6"/>
  <c r="D332" i="6"/>
  <c r="D333" i="6"/>
  <c r="D319" i="6"/>
  <c r="D320" i="6"/>
  <c r="D321" i="6"/>
  <c r="D324" i="6"/>
  <c r="D329" i="6"/>
  <c r="D351" i="6"/>
  <c r="D330" i="6"/>
  <c r="D334" i="6"/>
  <c r="D346" i="6"/>
  <c r="D347" i="6"/>
  <c r="D322" i="6"/>
  <c r="D323" i="6"/>
  <c r="D325" i="6"/>
  <c r="D326" i="6"/>
  <c r="D327" i="6"/>
  <c r="D328" i="6"/>
  <c r="D335" i="6"/>
  <c r="D336" i="6"/>
  <c r="D337" i="6"/>
  <c r="D338" i="6"/>
  <c r="D339" i="6"/>
  <c r="D340" i="6"/>
  <c r="D341" i="6"/>
  <c r="D342" i="6"/>
  <c r="D343" i="6"/>
  <c r="D344" i="6"/>
  <c r="D345" i="6"/>
  <c r="D350" i="6"/>
  <c r="D348" i="6"/>
  <c r="D349" i="6"/>
  <c r="D354" i="6"/>
  <c r="D356" i="6"/>
  <c r="D358" i="6"/>
  <c r="D361" i="6"/>
  <c r="D365" i="6"/>
  <c r="D359" i="6"/>
  <c r="D362" i="6"/>
  <c r="D364" i="6"/>
  <c r="D355" i="6"/>
  <c r="D369" i="6"/>
  <c r="D370" i="6"/>
  <c r="D352" i="6"/>
  <c r="D366" i="6"/>
  <c r="D353" i="6"/>
  <c r="D371" i="6"/>
  <c r="D357" i="6"/>
  <c r="D360" i="6"/>
  <c r="D367" i="6"/>
  <c r="D368" i="6"/>
  <c r="D372" i="6"/>
  <c r="D373" i="6"/>
  <c r="D363" i="6"/>
  <c r="D379" i="6"/>
  <c r="D382" i="6"/>
  <c r="D374" i="6"/>
  <c r="D375" i="6"/>
  <c r="D376" i="6"/>
  <c r="D377" i="6"/>
  <c r="D378" i="6"/>
  <c r="D380" i="6"/>
  <c r="D381" i="6"/>
  <c r="D383" i="6"/>
  <c r="D384" i="6"/>
  <c r="D388" i="6"/>
  <c r="D387" i="6"/>
  <c r="D391" i="6"/>
  <c r="D390" i="6"/>
  <c r="D389" i="6"/>
  <c r="D396" i="6"/>
  <c r="D397" i="6"/>
  <c r="D398" i="6"/>
  <c r="D399" i="6"/>
  <c r="D403" i="6"/>
  <c r="D404" i="6"/>
  <c r="D405" i="6"/>
  <c r="D406" i="6"/>
  <c r="D402" i="6"/>
  <c r="D392" i="6"/>
  <c r="D394" i="6"/>
  <c r="D408" i="6"/>
  <c r="D407" i="6"/>
  <c r="D400" i="6"/>
  <c r="D401" i="6"/>
  <c r="D410" i="6"/>
  <c r="D415" i="6"/>
  <c r="D393" i="6"/>
  <c r="D414" i="6"/>
  <c r="D416" i="6"/>
  <c r="D409" i="6"/>
  <c r="D412" i="6"/>
  <c r="D395" i="6"/>
  <c r="D411" i="6"/>
  <c r="D413" i="6"/>
  <c r="D22" i="6"/>
  <c r="A171" i="8"/>
  <c r="C171" i="8"/>
  <c r="AZ183" i="1"/>
  <c r="AZ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CT195" i="1"/>
  <c r="AL16" i="4"/>
  <c r="AL27" i="4"/>
  <c r="AL17" i="4"/>
  <c r="AL19" i="4"/>
  <c r="AL20" i="4"/>
  <c r="AL13" i="4"/>
  <c r="AL33" i="4"/>
  <c r="AL34" i="4"/>
  <c r="AL2" i="4"/>
  <c r="AL65" i="4"/>
  <c r="AL63" i="4"/>
  <c r="AL30" i="4"/>
  <c r="AL169" i="4"/>
  <c r="AL102" i="4"/>
  <c r="AL91" i="4"/>
  <c r="AL181" i="4"/>
  <c r="AL61" i="4"/>
  <c r="AL289" i="4"/>
  <c r="AL3" i="4"/>
  <c r="AL178" i="4"/>
  <c r="AL236" i="4"/>
  <c r="AL31" i="4"/>
  <c r="AL176" i="4"/>
  <c r="AL120" i="4"/>
  <c r="AL111" i="4"/>
  <c r="AL182" i="4"/>
  <c r="AL136" i="4"/>
  <c r="AL137" i="4"/>
  <c r="AL273" i="4"/>
  <c r="AL179" i="4"/>
  <c r="AL127" i="4"/>
  <c r="AL70" i="4"/>
  <c r="AL46" i="4"/>
  <c r="AL101" i="4"/>
  <c r="AL146" i="4"/>
  <c r="AL197" i="4"/>
  <c r="AL43" i="4"/>
  <c r="AL44" i="4"/>
  <c r="AL45" i="4"/>
  <c r="AL21" i="4"/>
  <c r="AL49" i="4"/>
  <c r="AL295" i="4"/>
  <c r="AL238" i="4"/>
  <c r="AL261" i="4"/>
  <c r="AL216" i="4"/>
  <c r="AL57" i="4"/>
  <c r="AL40" i="4"/>
  <c r="AL175" i="4"/>
  <c r="AL177" i="4"/>
  <c r="AL149" i="4"/>
  <c r="AL152" i="4"/>
  <c r="AL153" i="4"/>
  <c r="AL48" i="4"/>
  <c r="AL118" i="4"/>
  <c r="AL269" i="4"/>
  <c r="AL163" i="4"/>
  <c r="AL192" i="4"/>
  <c r="AL150" i="4"/>
  <c r="AL151" i="4"/>
  <c r="AL198" i="4"/>
  <c r="AL253" i="4"/>
  <c r="AL224" i="4"/>
  <c r="AL100" i="4"/>
  <c r="AL227" i="4"/>
  <c r="AL47" i="4"/>
  <c r="AL14" i="4"/>
  <c r="AL209" i="4"/>
  <c r="AL278" i="4"/>
  <c r="AL240" i="4"/>
  <c r="AL223" i="4"/>
  <c r="AL194" i="4"/>
  <c r="AL189" i="4"/>
  <c r="AL173" i="4"/>
  <c r="AL284" i="4"/>
  <c r="AL142" i="4"/>
  <c r="AL290" i="4"/>
  <c r="AL24" i="4"/>
  <c r="AL302" i="4"/>
  <c r="AL237" i="4"/>
  <c r="AL283" i="4"/>
  <c r="AL113" i="4"/>
  <c r="AL117" i="4"/>
  <c r="AL250" i="4"/>
  <c r="AL29" i="4"/>
  <c r="AL79" i="4"/>
  <c r="AL123" i="4"/>
  <c r="AL83" i="4"/>
  <c r="AL84" i="4"/>
  <c r="AL131" i="4"/>
  <c r="AL74" i="4"/>
  <c r="AL155" i="4"/>
  <c r="AL193" i="4"/>
  <c r="AL288" i="4"/>
  <c r="AL228" i="4"/>
  <c r="AL245" i="4"/>
  <c r="AL180" i="4"/>
  <c r="AL141" i="4"/>
  <c r="AL82" i="4"/>
  <c r="AL256" i="4"/>
  <c r="AL207" i="4"/>
  <c r="AL220" i="4"/>
  <c r="AL77" i="4"/>
  <c r="AL157" i="4"/>
  <c r="AL229" i="4"/>
  <c r="AL208" i="4"/>
  <c r="AL97" i="4"/>
  <c r="AL246" i="4"/>
  <c r="AL139" i="4"/>
  <c r="AL156" i="4"/>
  <c r="AL159" i="4"/>
  <c r="AL161" i="4"/>
  <c r="AL135" i="4"/>
  <c r="AL143" i="4"/>
  <c r="AL122" i="4"/>
  <c r="AL145" i="4"/>
  <c r="AL92" i="4"/>
  <c r="AL211" i="4"/>
  <c r="AL212" i="4"/>
  <c r="AL213" i="4"/>
  <c r="AL215" i="4"/>
  <c r="AL291" i="4"/>
  <c r="AL292" i="4"/>
  <c r="AL93" i="4"/>
  <c r="AL239" i="4"/>
  <c r="AL301" i="4"/>
  <c r="AL71" i="4"/>
  <c r="AL72" i="4"/>
  <c r="AL280" i="4"/>
  <c r="AL126" i="4"/>
  <c r="AL190" i="4"/>
  <c r="AL129" i="4"/>
  <c r="AL274" i="4"/>
  <c r="AL281" i="4"/>
  <c r="AL64" i="4"/>
  <c r="AL251" i="4"/>
  <c r="AL191" i="4"/>
  <c r="AL147" i="4"/>
  <c r="AL210" i="4"/>
  <c r="AL199" i="4"/>
  <c r="AL165" i="4"/>
  <c r="AL248" i="4"/>
  <c r="AL252" i="4"/>
  <c r="AL128" i="4"/>
  <c r="AL279" i="4"/>
  <c r="AL287" i="4"/>
  <c r="AL98" i="4"/>
  <c r="AL259" i="4"/>
  <c r="AL200" i="4"/>
  <c r="AL148" i="4"/>
  <c r="AL218" i="4"/>
  <c r="AL166" i="4"/>
  <c r="AL168" i="4"/>
  <c r="AL80" i="4"/>
  <c r="AL130" i="4"/>
  <c r="AL204" i="4"/>
  <c r="AL187" i="4"/>
  <c r="AL124" i="4"/>
  <c r="AL172" i="4"/>
  <c r="AL201" i="4"/>
  <c r="AL266" i="4"/>
  <c r="AL78" i="4"/>
  <c r="AL203" i="4"/>
  <c r="AL171" i="4"/>
  <c r="AL265" i="4"/>
  <c r="AL133" i="4"/>
  <c r="AL206" i="4"/>
  <c r="AL38" i="4"/>
  <c r="AL39" i="4"/>
  <c r="AL300" i="4"/>
  <c r="AL170" i="4"/>
  <c r="AL262" i="4"/>
  <c r="AL52" i="4"/>
  <c r="AL51" i="4"/>
  <c r="AL58" i="4"/>
  <c r="AL36" i="4"/>
  <c r="AL121" i="4"/>
  <c r="AL50" i="4"/>
  <c r="AL270" i="4"/>
  <c r="AL103" i="4"/>
  <c r="AL109" i="4"/>
  <c r="AL10" i="4"/>
  <c r="AL60" i="4"/>
  <c r="AL104" i="4"/>
  <c r="AL107" i="4"/>
  <c r="AL76" i="4"/>
  <c r="AL115" i="4"/>
  <c r="AL108" i="4"/>
  <c r="AL105" i="4"/>
  <c r="AL268" i="4"/>
  <c r="AL174" i="4"/>
  <c r="AL15" i="4"/>
  <c r="AL285" i="4"/>
  <c r="AL114" i="4"/>
  <c r="AL158" i="4"/>
  <c r="AL243" i="4"/>
  <c r="AL247" i="4"/>
  <c r="AL202" i="4"/>
  <c r="AL4" i="4"/>
  <c r="AL244" i="4"/>
  <c r="AL241" i="4"/>
  <c r="AL110" i="4"/>
  <c r="AL140" i="4"/>
  <c r="AL56" i="4"/>
  <c r="AL167" i="4"/>
  <c r="AL37" i="4"/>
  <c r="AL18" i="4"/>
  <c r="AL219" i="4"/>
  <c r="AL282" i="4"/>
  <c r="AL267" i="4"/>
  <c r="AL73" i="4"/>
  <c r="AL81" i="4"/>
  <c r="AL185" i="4"/>
  <c r="AL221" i="4"/>
  <c r="AL230" i="4"/>
  <c r="AL293" i="4"/>
  <c r="AL242" i="4"/>
  <c r="AL160" i="4"/>
  <c r="AL214" i="4"/>
  <c r="AL125" i="4"/>
  <c r="AL89" i="4"/>
  <c r="AL55" i="4"/>
  <c r="AL35" i="4"/>
  <c r="AL22" i="4"/>
  <c r="AL255" i="4"/>
  <c r="AL196" i="4"/>
  <c r="AL154" i="4"/>
  <c r="AL298" i="4"/>
  <c r="AL299" i="4"/>
  <c r="AL254" i="4"/>
  <c r="AL54" i="4"/>
  <c r="AL26" i="4"/>
  <c r="AL53" i="4"/>
  <c r="AL59" i="4"/>
  <c r="AL88" i="4"/>
  <c r="AL41" i="4"/>
  <c r="AL12" i="4"/>
  <c r="AL257" i="4"/>
  <c r="AL258" i="4"/>
  <c r="AL95" i="4"/>
  <c r="AL297" i="4"/>
  <c r="AL294" i="4"/>
  <c r="AL225" i="4"/>
  <c r="AL226" i="4"/>
  <c r="AL186" i="4"/>
  <c r="AL264" i="4"/>
  <c r="AL112" i="4"/>
  <c r="AL66" i="4"/>
  <c r="AL94" i="4"/>
  <c r="AL119" i="4"/>
  <c r="AL217" i="4"/>
  <c r="AL188" i="4"/>
  <c r="AL271" i="4"/>
  <c r="AL85" i="4"/>
  <c r="AL96" i="4"/>
  <c r="AL11" i="4"/>
  <c r="AL7" i="4"/>
  <c r="AL195" i="4"/>
  <c r="AL249" i="4"/>
  <c r="AL5" i="4"/>
  <c r="AL8" i="4"/>
  <c r="AL9" i="4"/>
  <c r="AL6" i="4"/>
  <c r="AL231" i="4"/>
  <c r="AL67" i="4"/>
  <c r="AL68" i="4"/>
  <c r="AL99" i="4"/>
  <c r="AL62" i="4"/>
  <c r="AL69" i="4"/>
  <c r="AL75" i="4"/>
  <c r="AL233" i="4"/>
  <c r="AL234" i="4"/>
  <c r="AL222" i="4"/>
  <c r="AL296" i="4"/>
  <c r="AL183" i="4"/>
  <c r="AL318" i="4"/>
  <c r="AL317" i="4"/>
  <c r="AL303" i="4"/>
  <c r="AL304" i="4"/>
  <c r="AL309" i="4"/>
  <c r="AL314" i="4"/>
  <c r="AL315" i="4"/>
  <c r="AL307" i="4"/>
  <c r="AL316" i="4"/>
  <c r="AL310" i="4"/>
  <c r="AL311" i="4"/>
  <c r="AL312" i="4"/>
  <c r="AL313" i="4"/>
  <c r="AL306" i="4"/>
  <c r="AL305" i="4"/>
  <c r="AL333" i="4"/>
  <c r="AL331" i="4"/>
  <c r="AL332" i="4"/>
  <c r="AL336" i="4"/>
  <c r="AL321" i="4"/>
  <c r="AL323" i="4"/>
  <c r="AL324" i="4"/>
  <c r="AL325" i="4"/>
  <c r="AL319" i="4"/>
  <c r="AL326" i="4"/>
  <c r="AL327" i="4"/>
  <c r="AL328" i="4"/>
  <c r="AL329" i="4"/>
  <c r="AL322" i="4"/>
  <c r="AL334" i="4"/>
  <c r="AL335" i="4"/>
  <c r="AL349" i="4"/>
  <c r="AL348" i="4"/>
  <c r="AL344" i="4"/>
  <c r="AL347" i="4"/>
  <c r="AL346" i="4"/>
  <c r="AL330" i="4"/>
  <c r="AL345" i="4"/>
  <c r="AL337" i="4"/>
  <c r="AL339" i="4"/>
  <c r="AL320" i="4"/>
  <c r="AL350" i="4"/>
  <c r="AL338" i="4"/>
  <c r="AL341" i="4"/>
  <c r="AL343" i="4"/>
  <c r="AL340" i="4"/>
  <c r="AL342" i="4"/>
  <c r="AL351" i="4"/>
  <c r="AL357" i="4"/>
  <c r="AL358" i="4"/>
  <c r="AL372" i="4"/>
  <c r="AL373" i="4"/>
  <c r="AL355" i="4"/>
  <c r="AL359" i="4"/>
  <c r="AL360" i="4"/>
  <c r="AL365" i="4"/>
  <c r="AL356" i="4"/>
  <c r="AL366" i="4"/>
  <c r="AL367" i="4"/>
  <c r="AL368" i="4"/>
  <c r="AL361" i="4"/>
  <c r="AL363" i="4"/>
  <c r="AL362" i="4"/>
  <c r="AL352" i="4"/>
  <c r="AL364" i="4"/>
  <c r="AL353" i="4"/>
  <c r="AL354" i="4"/>
  <c r="AL371" i="4"/>
  <c r="AL369" i="4"/>
  <c r="AL370" i="4"/>
  <c r="AL379" i="4"/>
  <c r="AL375" i="4"/>
  <c r="AL383" i="4"/>
  <c r="AL374" i="4"/>
  <c r="AL376" i="4"/>
  <c r="AL378" i="4"/>
  <c r="AL381" i="4"/>
  <c r="AL385" i="4"/>
  <c r="AL377" i="4"/>
  <c r="AL380" i="4"/>
  <c r="AL382" i="4"/>
  <c r="AL387" i="4"/>
  <c r="AL388" i="4"/>
  <c r="AL389" i="4"/>
  <c r="AL390" i="4"/>
  <c r="AL391" i="4"/>
  <c r="AL407" i="4"/>
  <c r="AL405" i="4"/>
  <c r="AL392" i="4"/>
  <c r="AL394" i="4"/>
  <c r="AL395" i="4"/>
  <c r="AL396" i="4"/>
  <c r="AL397" i="4"/>
  <c r="AL398" i="4"/>
  <c r="AL400" i="4"/>
  <c r="AL401" i="4"/>
  <c r="AL402" i="4"/>
  <c r="AL399" i="4"/>
  <c r="AL404" i="4"/>
  <c r="AL393" i="4"/>
  <c r="AL403" i="4"/>
  <c r="AL408" i="4"/>
  <c r="AL412" i="4"/>
  <c r="AL409" i="4"/>
  <c r="AL410" i="4"/>
  <c r="AL415" i="4"/>
  <c r="AL411" i="4"/>
  <c r="AL413" i="4"/>
  <c r="AL414" i="4"/>
  <c r="AL406" i="4"/>
  <c r="AL416" i="4"/>
  <c r="AL32" i="4"/>
  <c r="AL138" i="4"/>
  <c r="AL25" i="4"/>
  <c r="AL90" i="4"/>
  <c r="AL205" i="4"/>
  <c r="AL272" i="4"/>
  <c r="AL87" i="4"/>
  <c r="AL162" i="4"/>
  <c r="AL42" i="4"/>
  <c r="AL184" i="4"/>
  <c r="AL286" i="4"/>
  <c r="AL144" i="4"/>
  <c r="AL263" i="4"/>
  <c r="AL260" i="4"/>
  <c r="AL132" i="4"/>
  <c r="AL116" i="4"/>
  <c r="AL23" i="4"/>
  <c r="AL235" i="4"/>
  <c r="AA21" i="2"/>
  <c r="AE21" i="2"/>
  <c r="AH21" i="2"/>
  <c r="AM21" i="2"/>
  <c r="AZ193" i="1"/>
  <c r="AZ194" i="1"/>
  <c r="AZ295" i="1"/>
  <c r="AZ294" i="1"/>
  <c r="AZ111" i="1"/>
  <c r="AZ456" i="1"/>
  <c r="BB456" i="1"/>
  <c r="AZ455" i="1"/>
  <c r="BB455" i="1"/>
  <c r="AZ276" i="1"/>
  <c r="AZ275" i="1"/>
  <c r="AZ43" i="1"/>
  <c r="AZ42" i="1"/>
  <c r="AZ41" i="1"/>
  <c r="BC41" i="1"/>
  <c r="AZ40" i="1"/>
  <c r="AZ133" i="1"/>
  <c r="AZ132" i="1"/>
  <c r="AZ47" i="1"/>
  <c r="AZ46" i="1"/>
  <c r="AZ3" i="1"/>
  <c r="AZ4" i="1"/>
  <c r="AZ10" i="1"/>
  <c r="AZ11" i="1"/>
  <c r="AZ12" i="1"/>
  <c r="AZ13" i="1"/>
  <c r="AZ27" i="1"/>
  <c r="AZ28" i="1"/>
  <c r="AZ30" i="1"/>
  <c r="AZ31" i="1"/>
  <c r="AZ32" i="1"/>
  <c r="AZ33" i="1"/>
  <c r="AZ34" i="1"/>
  <c r="AZ35" i="1"/>
  <c r="AZ36" i="1"/>
  <c r="AZ37" i="1"/>
  <c r="AZ38" i="1"/>
  <c r="AZ44" i="1"/>
  <c r="AZ45" i="1"/>
  <c r="AZ74" i="1"/>
  <c r="AZ75" i="1"/>
  <c r="AZ77" i="1"/>
  <c r="AZ78" i="1"/>
  <c r="AZ79" i="1"/>
  <c r="AZ80" i="1"/>
  <c r="AZ88" i="1"/>
  <c r="AZ89" i="1"/>
  <c r="AZ90" i="1"/>
  <c r="AZ92" i="1"/>
  <c r="AZ93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8" i="1"/>
  <c r="AZ119" i="1"/>
  <c r="AZ120" i="1"/>
  <c r="AZ121" i="1"/>
  <c r="AZ122" i="1"/>
  <c r="AZ123" i="1"/>
  <c r="AZ124" i="1"/>
  <c r="AZ125" i="1"/>
  <c r="AZ126" i="1"/>
  <c r="AZ128" i="1"/>
  <c r="AZ129" i="1"/>
  <c r="AZ130" i="1"/>
  <c r="AZ131" i="1"/>
  <c r="AZ148" i="1"/>
  <c r="AZ149" i="1"/>
  <c r="AZ150" i="1"/>
  <c r="AZ151" i="1"/>
  <c r="AZ173" i="1"/>
  <c r="AZ174" i="1"/>
  <c r="AZ206" i="1"/>
  <c r="AZ207" i="1"/>
  <c r="AZ208" i="1"/>
  <c r="AZ209" i="1"/>
  <c r="AZ213" i="1"/>
  <c r="AZ214" i="1"/>
  <c r="AZ218" i="1"/>
  <c r="AZ219" i="1"/>
  <c r="AZ220" i="1"/>
  <c r="AZ227" i="1"/>
  <c r="AZ228" i="1"/>
  <c r="AZ240" i="1"/>
  <c r="AZ241" i="1"/>
  <c r="AZ242" i="1"/>
  <c r="AZ243" i="1"/>
  <c r="AZ244" i="1"/>
  <c r="AZ245" i="1"/>
  <c r="AZ272" i="1"/>
  <c r="AZ273" i="1"/>
  <c r="AZ274" i="1"/>
  <c r="AZ278" i="1"/>
  <c r="AZ279" i="1"/>
  <c r="AZ280" i="1"/>
  <c r="AZ281" i="1"/>
  <c r="AZ282" i="1"/>
  <c r="AZ283" i="1"/>
  <c r="AZ284" i="1"/>
  <c r="AZ287" i="1"/>
  <c r="AZ288" i="1"/>
  <c r="AZ289" i="1"/>
  <c r="AZ292" i="1"/>
  <c r="AZ293" i="1"/>
  <c r="AZ296" i="1"/>
  <c r="AZ297" i="1"/>
  <c r="AZ298" i="1"/>
  <c r="AZ323" i="1"/>
  <c r="AZ324" i="1"/>
  <c r="AZ328" i="1"/>
  <c r="AZ329" i="1"/>
  <c r="AZ330" i="1"/>
  <c r="AZ331" i="1"/>
  <c r="AZ332" i="1"/>
  <c r="AZ344" i="1"/>
  <c r="AZ345" i="1"/>
  <c r="AZ351" i="1"/>
  <c r="AZ352" i="1"/>
  <c r="AZ353" i="1"/>
  <c r="AZ354" i="1"/>
  <c r="AZ355" i="1"/>
  <c r="AZ356" i="1"/>
  <c r="AZ357" i="1"/>
  <c r="AZ358" i="1"/>
  <c r="AZ359" i="1"/>
  <c r="AZ380" i="1"/>
  <c r="AZ381" i="1"/>
  <c r="AZ385" i="1"/>
  <c r="AZ386" i="1"/>
  <c r="AZ402" i="1"/>
  <c r="AZ403" i="1"/>
  <c r="AZ404" i="1"/>
  <c r="AZ405" i="1"/>
  <c r="AZ406" i="1"/>
  <c r="AZ410" i="1"/>
  <c r="AZ411" i="1"/>
  <c r="AZ412" i="1"/>
  <c r="AZ437" i="1"/>
  <c r="AZ438" i="1"/>
  <c r="AZ439" i="1"/>
  <c r="AZ440" i="1"/>
  <c r="AZ441" i="1"/>
  <c r="AZ442" i="1"/>
  <c r="AZ449" i="1"/>
  <c r="AZ450" i="1"/>
  <c r="AZ451" i="1"/>
  <c r="AZ452" i="1"/>
  <c r="AZ453" i="1"/>
  <c r="AZ454" i="1"/>
  <c r="AZ2" i="1"/>
  <c r="BB454" i="1"/>
  <c r="BB453" i="1"/>
  <c r="BB452" i="1"/>
  <c r="BC452" i="1"/>
  <c r="BB451" i="1"/>
  <c r="BB450" i="1"/>
  <c r="CT449" i="1"/>
  <c r="CS449" i="1"/>
  <c r="CR449" i="1"/>
  <c r="CQ449" i="1"/>
  <c r="CP449" i="1"/>
  <c r="CO449" i="1"/>
  <c r="CN449" i="1"/>
  <c r="CM449" i="1"/>
  <c r="CL449" i="1"/>
  <c r="CK449" i="1"/>
  <c r="CJ449" i="1"/>
  <c r="CI449" i="1"/>
  <c r="CH449" i="1"/>
  <c r="CG449" i="1"/>
  <c r="CF449" i="1"/>
  <c r="CE449" i="1"/>
  <c r="CD449" i="1"/>
  <c r="CC449" i="1"/>
  <c r="CB449" i="1"/>
  <c r="CA449" i="1"/>
  <c r="BZ449" i="1"/>
  <c r="BY449" i="1"/>
  <c r="BX449" i="1"/>
  <c r="BW449" i="1"/>
  <c r="BV449" i="1"/>
  <c r="BB449" i="1"/>
  <c r="BC442" i="1"/>
  <c r="CT439" i="1"/>
  <c r="CS439" i="1"/>
  <c r="CR439" i="1"/>
  <c r="CQ439" i="1"/>
  <c r="CP439" i="1"/>
  <c r="CO439" i="1"/>
  <c r="CN439" i="1"/>
  <c r="CM439" i="1"/>
  <c r="CL439" i="1"/>
  <c r="CK439" i="1"/>
  <c r="CJ439" i="1"/>
  <c r="CI439" i="1"/>
  <c r="CH439" i="1"/>
  <c r="CG439" i="1"/>
  <c r="CF439" i="1"/>
  <c r="CE439" i="1"/>
  <c r="CD439" i="1"/>
  <c r="CC439" i="1"/>
  <c r="CB439" i="1"/>
  <c r="CA439" i="1"/>
  <c r="BZ439" i="1"/>
  <c r="BY439" i="1"/>
  <c r="BX439" i="1"/>
  <c r="BW439" i="1"/>
  <c r="BV439" i="1"/>
  <c r="CT437" i="1"/>
  <c r="CS437" i="1"/>
  <c r="CR437" i="1"/>
  <c r="CQ437" i="1"/>
  <c r="CP437" i="1"/>
  <c r="CO437" i="1"/>
  <c r="CN437" i="1"/>
  <c r="CM437" i="1"/>
  <c r="CL437" i="1"/>
  <c r="CK437" i="1"/>
  <c r="CJ437" i="1"/>
  <c r="CI437" i="1"/>
  <c r="CH437" i="1"/>
  <c r="CG437" i="1"/>
  <c r="CF437" i="1"/>
  <c r="CE437" i="1"/>
  <c r="CD437" i="1"/>
  <c r="CC437" i="1"/>
  <c r="CB437" i="1"/>
  <c r="CA437" i="1"/>
  <c r="BZ437" i="1"/>
  <c r="BY437" i="1"/>
  <c r="BX437" i="1"/>
  <c r="BW437" i="1"/>
  <c r="BV437" i="1"/>
  <c r="CT406" i="1"/>
  <c r="CS406" i="1"/>
  <c r="CR406" i="1"/>
  <c r="CQ406" i="1"/>
  <c r="CP406" i="1"/>
  <c r="CO406" i="1"/>
  <c r="CN406" i="1"/>
  <c r="CM406" i="1"/>
  <c r="CL406" i="1"/>
  <c r="CK406" i="1"/>
  <c r="CJ406" i="1"/>
  <c r="CI406" i="1"/>
  <c r="CH406" i="1"/>
  <c r="CG406" i="1"/>
  <c r="CF406" i="1"/>
  <c r="CE406" i="1"/>
  <c r="CD406" i="1"/>
  <c r="CC406" i="1"/>
  <c r="CB406" i="1"/>
  <c r="CA406" i="1"/>
  <c r="BZ406" i="1"/>
  <c r="BY406" i="1"/>
  <c r="BX406" i="1"/>
  <c r="BW406" i="1"/>
  <c r="BV406" i="1"/>
  <c r="CT404" i="1"/>
  <c r="CS404" i="1"/>
  <c r="CR404" i="1"/>
  <c r="CQ404" i="1"/>
  <c r="CP404" i="1"/>
  <c r="CO404" i="1"/>
  <c r="CN404" i="1"/>
  <c r="CM404" i="1"/>
  <c r="CL404" i="1"/>
  <c r="CK404" i="1"/>
  <c r="CJ404" i="1"/>
  <c r="CI404" i="1"/>
  <c r="CH404" i="1"/>
  <c r="CG404" i="1"/>
  <c r="CF404" i="1"/>
  <c r="CE404" i="1"/>
  <c r="CD404" i="1"/>
  <c r="CC404" i="1"/>
  <c r="CB404" i="1"/>
  <c r="CA404" i="1"/>
  <c r="BZ404" i="1"/>
  <c r="BY404" i="1"/>
  <c r="BX404" i="1"/>
  <c r="BW404" i="1"/>
  <c r="BV404" i="1"/>
  <c r="BB386" i="1"/>
  <c r="CT385" i="1"/>
  <c r="CS385" i="1"/>
  <c r="CR385" i="1"/>
  <c r="CQ385" i="1"/>
  <c r="CP385" i="1"/>
  <c r="CO385" i="1"/>
  <c r="CN385" i="1"/>
  <c r="CM385" i="1"/>
  <c r="CL385" i="1"/>
  <c r="CK385" i="1"/>
  <c r="CJ385" i="1"/>
  <c r="CI385" i="1"/>
  <c r="CH385" i="1"/>
  <c r="CG385" i="1"/>
  <c r="CF385" i="1"/>
  <c r="CE385" i="1"/>
  <c r="CD385" i="1"/>
  <c r="CC385" i="1"/>
  <c r="CB385" i="1"/>
  <c r="CA385" i="1"/>
  <c r="BZ385" i="1"/>
  <c r="BY385" i="1"/>
  <c r="BX385" i="1"/>
  <c r="BW385" i="1"/>
  <c r="BV385" i="1"/>
  <c r="BB385" i="1"/>
  <c r="BB381" i="1"/>
  <c r="CT380" i="1"/>
  <c r="CS380" i="1"/>
  <c r="CR380" i="1"/>
  <c r="CQ380" i="1"/>
  <c r="CP380" i="1"/>
  <c r="CO380" i="1"/>
  <c r="CN380" i="1"/>
  <c r="CM380" i="1"/>
  <c r="CL380" i="1"/>
  <c r="CK380" i="1"/>
  <c r="CJ380" i="1"/>
  <c r="CI380" i="1"/>
  <c r="CH380" i="1"/>
  <c r="CG380" i="1"/>
  <c r="CF380" i="1"/>
  <c r="CE380" i="1"/>
  <c r="CD380" i="1"/>
  <c r="CC380" i="1"/>
  <c r="CB380" i="1"/>
  <c r="CA380" i="1"/>
  <c r="BZ380" i="1"/>
  <c r="BY380" i="1"/>
  <c r="BX380" i="1"/>
  <c r="BW380" i="1"/>
  <c r="BV380" i="1"/>
  <c r="BB380" i="1"/>
  <c r="BB359" i="1"/>
  <c r="CT358" i="1"/>
  <c r="CS358" i="1"/>
  <c r="CR358" i="1"/>
  <c r="CQ358" i="1"/>
  <c r="CP358" i="1"/>
  <c r="CO358" i="1"/>
  <c r="CN358" i="1"/>
  <c r="CM358" i="1"/>
  <c r="CL358" i="1"/>
  <c r="CK358" i="1"/>
  <c r="CJ358" i="1"/>
  <c r="CI358" i="1"/>
  <c r="CH358" i="1"/>
  <c r="CG358" i="1"/>
  <c r="CF358" i="1"/>
  <c r="CE358" i="1"/>
  <c r="CD358" i="1"/>
  <c r="CC358" i="1"/>
  <c r="CB358" i="1"/>
  <c r="CA358" i="1"/>
  <c r="BZ358" i="1"/>
  <c r="BY358" i="1"/>
  <c r="BX358" i="1"/>
  <c r="BW358" i="1"/>
  <c r="BV358" i="1"/>
  <c r="BB358" i="1"/>
  <c r="BB357" i="1"/>
  <c r="BB356" i="1"/>
  <c r="BC356" i="1"/>
  <c r="BB355" i="1"/>
  <c r="CT354" i="1"/>
  <c r="CS354" i="1"/>
  <c r="CR354" i="1"/>
  <c r="CQ354" i="1"/>
  <c r="CP354" i="1"/>
  <c r="CO354" i="1"/>
  <c r="CN354" i="1"/>
  <c r="CM354" i="1"/>
  <c r="CL354" i="1"/>
  <c r="CK354" i="1"/>
  <c r="CJ354" i="1"/>
  <c r="CI354" i="1"/>
  <c r="CH354" i="1"/>
  <c r="CG354" i="1"/>
  <c r="CF354" i="1"/>
  <c r="CE354" i="1"/>
  <c r="CD354" i="1"/>
  <c r="CC354" i="1"/>
  <c r="CB354" i="1"/>
  <c r="CA354" i="1"/>
  <c r="BZ354" i="1"/>
  <c r="BY354" i="1"/>
  <c r="BX354" i="1"/>
  <c r="BW354" i="1"/>
  <c r="BV354" i="1"/>
  <c r="BB354" i="1"/>
  <c r="BB353" i="1"/>
  <c r="BB352" i="1"/>
  <c r="CT351" i="1"/>
  <c r="CS351" i="1"/>
  <c r="CR351" i="1"/>
  <c r="CQ351" i="1"/>
  <c r="CP351" i="1"/>
  <c r="CO351" i="1"/>
  <c r="CN351" i="1"/>
  <c r="CM351" i="1"/>
  <c r="CL351" i="1"/>
  <c r="CK351" i="1"/>
  <c r="CJ351" i="1"/>
  <c r="CI351" i="1"/>
  <c r="CH351" i="1"/>
  <c r="CG351" i="1"/>
  <c r="CF351" i="1"/>
  <c r="CE351" i="1"/>
  <c r="CD351" i="1"/>
  <c r="CC351" i="1"/>
  <c r="CB351" i="1"/>
  <c r="CA351" i="1"/>
  <c r="BZ351" i="1"/>
  <c r="BY351" i="1"/>
  <c r="BX351" i="1"/>
  <c r="BW351" i="1"/>
  <c r="BV351" i="1"/>
  <c r="BB351" i="1"/>
  <c r="BB345" i="1"/>
  <c r="CT344" i="1"/>
  <c r="CS344" i="1"/>
  <c r="CR344" i="1"/>
  <c r="CQ344" i="1"/>
  <c r="CP344" i="1"/>
  <c r="CO344" i="1"/>
  <c r="CN344" i="1"/>
  <c r="CM344" i="1"/>
  <c r="CL344" i="1"/>
  <c r="CK344" i="1"/>
  <c r="CJ344" i="1"/>
  <c r="CI344" i="1"/>
  <c r="CH344" i="1"/>
  <c r="CG344" i="1"/>
  <c r="CF344" i="1"/>
  <c r="CE344" i="1"/>
  <c r="CD344" i="1"/>
  <c r="CC344" i="1"/>
  <c r="CB344" i="1"/>
  <c r="CA344" i="1"/>
  <c r="BZ344" i="1"/>
  <c r="BY344" i="1"/>
  <c r="BX344" i="1"/>
  <c r="BW344" i="1"/>
  <c r="BV344" i="1"/>
  <c r="BB344" i="1"/>
  <c r="BB332" i="1"/>
  <c r="BB331" i="1"/>
  <c r="CT330" i="1"/>
  <c r="CS330" i="1"/>
  <c r="CR330" i="1"/>
  <c r="CQ330" i="1"/>
  <c r="CP330" i="1"/>
  <c r="CO330" i="1"/>
  <c r="CN330" i="1"/>
  <c r="CM330" i="1"/>
  <c r="CL330" i="1"/>
  <c r="CK330" i="1"/>
  <c r="CJ330" i="1"/>
  <c r="CI330" i="1"/>
  <c r="CH330" i="1"/>
  <c r="CG330" i="1"/>
  <c r="CF330" i="1"/>
  <c r="CE330" i="1"/>
  <c r="CD330" i="1"/>
  <c r="CC330" i="1"/>
  <c r="CB330" i="1"/>
  <c r="CA330" i="1"/>
  <c r="BZ330" i="1"/>
  <c r="BY330" i="1"/>
  <c r="BX330" i="1"/>
  <c r="BW330" i="1"/>
  <c r="BV330" i="1"/>
  <c r="BB330" i="1"/>
  <c r="BB329" i="1"/>
  <c r="CT328" i="1"/>
  <c r="CS328" i="1"/>
  <c r="CR328" i="1"/>
  <c r="CQ328" i="1"/>
  <c r="CP328" i="1"/>
  <c r="CO328" i="1"/>
  <c r="CN328" i="1"/>
  <c r="CM328" i="1"/>
  <c r="CL328" i="1"/>
  <c r="CK328" i="1"/>
  <c r="CJ328" i="1"/>
  <c r="CI328" i="1"/>
  <c r="CH328" i="1"/>
  <c r="CG328" i="1"/>
  <c r="CF328" i="1"/>
  <c r="CE328" i="1"/>
  <c r="CD328" i="1"/>
  <c r="CC328" i="1"/>
  <c r="CB328" i="1"/>
  <c r="CA328" i="1"/>
  <c r="BZ328" i="1"/>
  <c r="BY328" i="1"/>
  <c r="BX328" i="1"/>
  <c r="BW328" i="1"/>
  <c r="BV328" i="1"/>
  <c r="BB328" i="1"/>
  <c r="BB324" i="1"/>
  <c r="CT323" i="1"/>
  <c r="CS323" i="1"/>
  <c r="CR323" i="1"/>
  <c r="CQ323" i="1"/>
  <c r="CP323" i="1"/>
  <c r="CO323" i="1"/>
  <c r="CN323" i="1"/>
  <c r="CM323" i="1"/>
  <c r="CL323" i="1"/>
  <c r="CK323" i="1"/>
  <c r="CJ323" i="1"/>
  <c r="CI323" i="1"/>
  <c r="CH323" i="1"/>
  <c r="CG323" i="1"/>
  <c r="CF323" i="1"/>
  <c r="CE323" i="1"/>
  <c r="CD323" i="1"/>
  <c r="CC323" i="1"/>
  <c r="CB323" i="1"/>
  <c r="CA323" i="1"/>
  <c r="BZ323" i="1"/>
  <c r="BY323" i="1"/>
  <c r="BX323" i="1"/>
  <c r="BW323" i="1"/>
  <c r="BV323" i="1"/>
  <c r="BC300" i="1"/>
  <c r="CT296" i="1"/>
  <c r="CS296" i="1"/>
  <c r="CR296" i="1"/>
  <c r="CQ296" i="1"/>
  <c r="CP296" i="1"/>
  <c r="CO296" i="1"/>
  <c r="CN296" i="1"/>
  <c r="CM296" i="1"/>
  <c r="CL296" i="1"/>
  <c r="CK296" i="1"/>
  <c r="CJ296" i="1"/>
  <c r="CI296" i="1"/>
  <c r="CH296" i="1"/>
  <c r="CG296" i="1"/>
  <c r="CF296" i="1"/>
  <c r="CE296" i="1"/>
  <c r="CD296" i="1"/>
  <c r="CC296" i="1"/>
  <c r="CB296" i="1"/>
  <c r="CA296" i="1"/>
  <c r="BZ296" i="1"/>
  <c r="BY296" i="1"/>
  <c r="BX296" i="1"/>
  <c r="BW296" i="1"/>
  <c r="BV296" i="1"/>
  <c r="CT292" i="1"/>
  <c r="CS292" i="1"/>
  <c r="CR292" i="1"/>
  <c r="CQ292" i="1"/>
  <c r="CP292" i="1"/>
  <c r="CO292" i="1"/>
  <c r="CN292" i="1"/>
  <c r="CM292" i="1"/>
  <c r="CL292" i="1"/>
  <c r="CK292" i="1"/>
  <c r="CJ292" i="1"/>
  <c r="CI292" i="1"/>
  <c r="CH292" i="1"/>
  <c r="CG292" i="1"/>
  <c r="CF292" i="1"/>
  <c r="CE292" i="1"/>
  <c r="CD292" i="1"/>
  <c r="CC292" i="1"/>
  <c r="CB292" i="1"/>
  <c r="CA292" i="1"/>
  <c r="BZ292" i="1"/>
  <c r="BY292" i="1"/>
  <c r="BX292" i="1"/>
  <c r="BW292" i="1"/>
  <c r="BV292" i="1"/>
  <c r="BC288" i="1"/>
  <c r="CT287" i="1"/>
  <c r="CS287" i="1"/>
  <c r="CR287" i="1"/>
  <c r="CQ287" i="1"/>
  <c r="CP287" i="1"/>
  <c r="CO287" i="1"/>
  <c r="CN287" i="1"/>
  <c r="CM287" i="1"/>
  <c r="CL287" i="1"/>
  <c r="CK287" i="1"/>
  <c r="CJ287" i="1"/>
  <c r="CI287" i="1"/>
  <c r="CH287" i="1"/>
  <c r="CG287" i="1"/>
  <c r="CF287" i="1"/>
  <c r="CE287" i="1"/>
  <c r="CD287" i="1"/>
  <c r="CC287" i="1"/>
  <c r="CB287" i="1"/>
  <c r="CA287" i="1"/>
  <c r="BZ287" i="1"/>
  <c r="BY287" i="1"/>
  <c r="BX287" i="1"/>
  <c r="BW287" i="1"/>
  <c r="BV287" i="1"/>
  <c r="CT283" i="1"/>
  <c r="CS283" i="1"/>
  <c r="CR283" i="1"/>
  <c r="CQ283" i="1"/>
  <c r="CP283" i="1"/>
  <c r="CO283" i="1"/>
  <c r="CN283" i="1"/>
  <c r="CM283" i="1"/>
  <c r="CL283" i="1"/>
  <c r="CK283" i="1"/>
  <c r="CJ283" i="1"/>
  <c r="CI283" i="1"/>
  <c r="CH283" i="1"/>
  <c r="CG283" i="1"/>
  <c r="CF283" i="1"/>
  <c r="CE283" i="1"/>
  <c r="CD283" i="1"/>
  <c r="CC283" i="1"/>
  <c r="CB283" i="1"/>
  <c r="CA283" i="1"/>
  <c r="BZ283" i="1"/>
  <c r="BY283" i="1"/>
  <c r="BX283" i="1"/>
  <c r="BW283" i="1"/>
  <c r="BV283" i="1"/>
  <c r="CT281" i="1"/>
  <c r="CS281" i="1"/>
  <c r="CR281" i="1"/>
  <c r="CQ281" i="1"/>
  <c r="CP281" i="1"/>
  <c r="CO281" i="1"/>
  <c r="CN281" i="1"/>
  <c r="CM281" i="1"/>
  <c r="CL281" i="1"/>
  <c r="CK281" i="1"/>
  <c r="CJ281" i="1"/>
  <c r="CI281" i="1"/>
  <c r="CH281" i="1"/>
  <c r="CG281" i="1"/>
  <c r="CF281" i="1"/>
  <c r="CE281" i="1"/>
  <c r="CD281" i="1"/>
  <c r="CC281" i="1"/>
  <c r="CB281" i="1"/>
  <c r="CA281" i="1"/>
  <c r="BZ281" i="1"/>
  <c r="BY281" i="1"/>
  <c r="BX281" i="1"/>
  <c r="BW281" i="1"/>
  <c r="BV281" i="1"/>
  <c r="CT278" i="1"/>
  <c r="CS278" i="1"/>
  <c r="CR278" i="1"/>
  <c r="CQ278" i="1"/>
  <c r="CP278" i="1"/>
  <c r="CO278" i="1"/>
  <c r="CN278" i="1"/>
  <c r="CM278" i="1"/>
  <c r="CL278" i="1"/>
  <c r="CK278" i="1"/>
  <c r="BC278" i="1" s="1"/>
  <c r="CJ278" i="1"/>
  <c r="CI278" i="1"/>
  <c r="CH278" i="1"/>
  <c r="CG278" i="1"/>
  <c r="CF278" i="1"/>
  <c r="CE278" i="1"/>
  <c r="CD278" i="1"/>
  <c r="CC278" i="1"/>
  <c r="CB278" i="1"/>
  <c r="CA278" i="1"/>
  <c r="BZ278" i="1"/>
  <c r="BY278" i="1"/>
  <c r="BX278" i="1"/>
  <c r="BW278" i="1"/>
  <c r="BV278" i="1"/>
  <c r="CT272" i="1"/>
  <c r="CS272" i="1"/>
  <c r="CR272" i="1"/>
  <c r="CQ272" i="1"/>
  <c r="CP272" i="1"/>
  <c r="CO272" i="1"/>
  <c r="CN272" i="1"/>
  <c r="CM272" i="1"/>
  <c r="CL272" i="1"/>
  <c r="CK272" i="1"/>
  <c r="CJ272" i="1"/>
  <c r="CI272" i="1"/>
  <c r="CH272" i="1"/>
  <c r="CG272" i="1"/>
  <c r="CF272" i="1"/>
  <c r="CE272" i="1"/>
  <c r="CD272" i="1"/>
  <c r="CC272" i="1"/>
  <c r="CB272" i="1"/>
  <c r="CA272" i="1"/>
  <c r="BZ272" i="1"/>
  <c r="BY272" i="1"/>
  <c r="BX272" i="1"/>
  <c r="BW272" i="1"/>
  <c r="BV272" i="1"/>
  <c r="CT242" i="1"/>
  <c r="CS242" i="1"/>
  <c r="CR242" i="1"/>
  <c r="CQ242" i="1"/>
  <c r="CP242" i="1"/>
  <c r="CO242" i="1"/>
  <c r="CN242" i="1"/>
  <c r="CM242" i="1"/>
  <c r="CL242" i="1"/>
  <c r="CK242" i="1"/>
  <c r="CJ242" i="1"/>
  <c r="CI242" i="1"/>
  <c r="CH242" i="1"/>
  <c r="CG242" i="1"/>
  <c r="CF242" i="1"/>
  <c r="CE242" i="1"/>
  <c r="CD242" i="1"/>
  <c r="CC242" i="1"/>
  <c r="CB242" i="1"/>
  <c r="CA242" i="1"/>
  <c r="BZ242" i="1"/>
  <c r="BY242" i="1"/>
  <c r="BX242" i="1"/>
  <c r="BW242" i="1"/>
  <c r="BV242" i="1"/>
  <c r="CT240" i="1"/>
  <c r="CS240" i="1"/>
  <c r="CR240" i="1"/>
  <c r="CQ240" i="1"/>
  <c r="CP240" i="1"/>
  <c r="CO240" i="1"/>
  <c r="CN240" i="1"/>
  <c r="CM240" i="1"/>
  <c r="BC240" i="1" s="1"/>
  <c r="CL240" i="1"/>
  <c r="CK240" i="1"/>
  <c r="CJ240" i="1"/>
  <c r="CI240" i="1"/>
  <c r="CH240" i="1"/>
  <c r="CG240" i="1"/>
  <c r="CF240" i="1"/>
  <c r="CE240" i="1"/>
  <c r="CD240" i="1"/>
  <c r="CC240" i="1"/>
  <c r="CB240" i="1"/>
  <c r="CA240" i="1"/>
  <c r="BZ240" i="1"/>
  <c r="BY240" i="1"/>
  <c r="BX240" i="1"/>
  <c r="BW240" i="1"/>
  <c r="BV240" i="1"/>
  <c r="CT227" i="1"/>
  <c r="CS227" i="1"/>
  <c r="CR227" i="1"/>
  <c r="CQ227" i="1"/>
  <c r="CP227" i="1"/>
  <c r="CO227" i="1"/>
  <c r="CN227" i="1"/>
  <c r="CM227" i="1"/>
  <c r="CL227" i="1"/>
  <c r="CK227" i="1"/>
  <c r="CJ227" i="1"/>
  <c r="CI227" i="1"/>
  <c r="CH227" i="1"/>
  <c r="CG227" i="1"/>
  <c r="CF227" i="1"/>
  <c r="CE227" i="1"/>
  <c r="CD227" i="1"/>
  <c r="CC227" i="1"/>
  <c r="CB227" i="1"/>
  <c r="CA227" i="1"/>
  <c r="BZ227" i="1"/>
  <c r="BY227" i="1"/>
  <c r="BX227" i="1"/>
  <c r="BW227" i="1"/>
  <c r="BV227" i="1"/>
  <c r="BC207" i="1"/>
  <c r="CT150" i="1"/>
  <c r="CS150" i="1"/>
  <c r="CR150" i="1"/>
  <c r="CQ150" i="1"/>
  <c r="CP150" i="1"/>
  <c r="CO150" i="1"/>
  <c r="CN150" i="1"/>
  <c r="CM150" i="1"/>
  <c r="CL150" i="1"/>
  <c r="CK150" i="1"/>
  <c r="CJ150" i="1"/>
  <c r="CI150" i="1"/>
  <c r="CH150" i="1"/>
  <c r="CG150" i="1"/>
  <c r="CF150" i="1"/>
  <c r="CE150" i="1"/>
  <c r="CD150" i="1"/>
  <c r="CC150" i="1"/>
  <c r="CB150" i="1"/>
  <c r="CA150" i="1"/>
  <c r="BZ150" i="1"/>
  <c r="BY150" i="1"/>
  <c r="BX150" i="1"/>
  <c r="BW150" i="1"/>
  <c r="BV150" i="1"/>
  <c r="BC130" i="1"/>
  <c r="BC126" i="1"/>
  <c r="BC118" i="1"/>
  <c r="BC100" i="1"/>
  <c r="BC98" i="1"/>
  <c r="BC77" i="1"/>
  <c r="BB38" i="1"/>
  <c r="BB37" i="1"/>
  <c r="BB36" i="1"/>
  <c r="BB35" i="1"/>
  <c r="BB34" i="1"/>
  <c r="BB33" i="1"/>
  <c r="BB32" i="1"/>
  <c r="BB31" i="1"/>
  <c r="BC31" i="1"/>
  <c r="BB30" i="1"/>
  <c r="BB29" i="1"/>
  <c r="BB28" i="1"/>
  <c r="BB27" i="1"/>
  <c r="BC13" i="1"/>
  <c r="CT12" i="1"/>
  <c r="CS12" i="1"/>
  <c r="CR12" i="1"/>
  <c r="CQ12" i="1"/>
  <c r="CP12" i="1"/>
  <c r="CO12" i="1"/>
  <c r="CN12" i="1"/>
  <c r="CM12" i="1"/>
  <c r="CL12" i="1"/>
  <c r="CK12" i="1"/>
  <c r="CJ12" i="1"/>
  <c r="CI12" i="1"/>
  <c r="CH12" i="1"/>
  <c r="CG12" i="1"/>
  <c r="CF12" i="1"/>
  <c r="CE12" i="1"/>
  <c r="CD12" i="1"/>
  <c r="CC12" i="1"/>
  <c r="CB12" i="1"/>
  <c r="CA12" i="1"/>
  <c r="BZ12" i="1"/>
  <c r="BY12" i="1"/>
  <c r="BX12" i="1"/>
  <c r="BW12" i="1"/>
  <c r="BV12" i="1"/>
  <c r="BB12" i="1"/>
  <c r="BB11" i="1"/>
  <c r="BB10" i="1"/>
  <c r="BB3" i="1"/>
  <c r="BB2" i="1"/>
  <c r="B271" i="6"/>
  <c r="F40" i="3"/>
  <c r="A40" i="3"/>
  <c r="G40" i="3" s="1"/>
  <c r="F41" i="3"/>
  <c r="F42" i="3"/>
  <c r="F43" i="3"/>
  <c r="A41" i="3"/>
  <c r="H41" i="3"/>
  <c r="A42" i="3"/>
  <c r="G42" i="3" s="1"/>
  <c r="H42" i="3"/>
  <c r="A43" i="3"/>
  <c r="H43" i="3" s="1"/>
  <c r="AI193" i="4"/>
  <c r="AI154" i="4"/>
  <c r="AI266" i="4"/>
  <c r="AI265" i="4"/>
  <c r="G41" i="3"/>
  <c r="G43" i="3"/>
  <c r="I43" i="3" s="1"/>
  <c r="B25" i="3"/>
  <c r="C25" i="3"/>
  <c r="AA25" i="2"/>
  <c r="AD25" i="2"/>
  <c r="AE25" i="2"/>
  <c r="AH25" i="2"/>
  <c r="AK25" i="2"/>
  <c r="B390" i="4"/>
  <c r="C390" i="4" s="1"/>
  <c r="B389" i="4"/>
  <c r="B387" i="4"/>
  <c r="AG3" i="6"/>
  <c r="AH3" i="6"/>
  <c r="AG4" i="6"/>
  <c r="AH4" i="6"/>
  <c r="AG5" i="6"/>
  <c r="AH5" i="6"/>
  <c r="AG6" i="6"/>
  <c r="AH6" i="6"/>
  <c r="AG21" i="6"/>
  <c r="AH21" i="6"/>
  <c r="AG22" i="6"/>
  <c r="AH22" i="6"/>
  <c r="AG23" i="6"/>
  <c r="AH23" i="6"/>
  <c r="AG47" i="6"/>
  <c r="AH47" i="6"/>
  <c r="AG7" i="6"/>
  <c r="AH7" i="6"/>
  <c r="AG48" i="6"/>
  <c r="AH48" i="6"/>
  <c r="AG8" i="6"/>
  <c r="AH8" i="6"/>
  <c r="AG27" i="6"/>
  <c r="AH27" i="6"/>
  <c r="AG28" i="6"/>
  <c r="AH28" i="6"/>
  <c r="AG29" i="6"/>
  <c r="AH29" i="6"/>
  <c r="AG30" i="6"/>
  <c r="AH30" i="6"/>
  <c r="AG86" i="6"/>
  <c r="AH86" i="6"/>
  <c r="AG87" i="6"/>
  <c r="AH87" i="6"/>
  <c r="AG64" i="6"/>
  <c r="AH64" i="6"/>
  <c r="AG88" i="6"/>
  <c r="AH88" i="6"/>
  <c r="AG37" i="6"/>
  <c r="AH37" i="6"/>
  <c r="AG40" i="6"/>
  <c r="AH40" i="6"/>
  <c r="AG41" i="6"/>
  <c r="AH41" i="6"/>
  <c r="AG42" i="6"/>
  <c r="AH42" i="6"/>
  <c r="AG45" i="6"/>
  <c r="AH45" i="6"/>
  <c r="AG43" i="6"/>
  <c r="AH43" i="6"/>
  <c r="AG283" i="6"/>
  <c r="AH283" i="6"/>
  <c r="AG9" i="6"/>
  <c r="AH9" i="6"/>
  <c r="AG49" i="6"/>
  <c r="AH49" i="6"/>
  <c r="AG50" i="6"/>
  <c r="AH50" i="6"/>
  <c r="AG10" i="6"/>
  <c r="AH10" i="6"/>
  <c r="AG114" i="6"/>
  <c r="AH114" i="6"/>
  <c r="AG11" i="6"/>
  <c r="AH11" i="6"/>
  <c r="AG51" i="6"/>
  <c r="AH51" i="6"/>
  <c r="AG52" i="6"/>
  <c r="AH52" i="6"/>
  <c r="AG62" i="6"/>
  <c r="AH62" i="6"/>
  <c r="AG53" i="6"/>
  <c r="AH53" i="6"/>
  <c r="AG65" i="6"/>
  <c r="AH65" i="6"/>
  <c r="AG66" i="6"/>
  <c r="AH66" i="6"/>
  <c r="AG67" i="6"/>
  <c r="AH67" i="6"/>
  <c r="AG68" i="6"/>
  <c r="AH68" i="6"/>
  <c r="AG69" i="6"/>
  <c r="AH69" i="6"/>
  <c r="AG206" i="6"/>
  <c r="AH206" i="6"/>
  <c r="AG159" i="6"/>
  <c r="AH159" i="6"/>
  <c r="AG70" i="6"/>
  <c r="AH70" i="6"/>
  <c r="AG106" i="6"/>
  <c r="AH106" i="6"/>
  <c r="AG207" i="6"/>
  <c r="AH207" i="6"/>
  <c r="AG89" i="6"/>
  <c r="AH89" i="6"/>
  <c r="AG90" i="6"/>
  <c r="AH90" i="6"/>
  <c r="AG85" i="6"/>
  <c r="AH85" i="6"/>
  <c r="AG91" i="6"/>
  <c r="AH91" i="6"/>
  <c r="AG92" i="6"/>
  <c r="AH92" i="6"/>
  <c r="AG93" i="6"/>
  <c r="AH93" i="6"/>
  <c r="AG94" i="6"/>
  <c r="AH94" i="6"/>
  <c r="AG95" i="6"/>
  <c r="AH95" i="6"/>
  <c r="AG96" i="6"/>
  <c r="AH96" i="6"/>
  <c r="AG103" i="6"/>
  <c r="AH103" i="6"/>
  <c r="AG97" i="6"/>
  <c r="AH97" i="6"/>
  <c r="AG232" i="6"/>
  <c r="AH232" i="6"/>
  <c r="AG233" i="6"/>
  <c r="AH233" i="6"/>
  <c r="AG71" i="6"/>
  <c r="AH71" i="6"/>
  <c r="AG104" i="6"/>
  <c r="AH104" i="6"/>
  <c r="AG105" i="6"/>
  <c r="AH105" i="6"/>
  <c r="AG98" i="6"/>
  <c r="AH98" i="6"/>
  <c r="AG99" i="6"/>
  <c r="AH99" i="6"/>
  <c r="AG100" i="6"/>
  <c r="AH100" i="6"/>
  <c r="AG107" i="6"/>
  <c r="AH107" i="6"/>
  <c r="AG108" i="6"/>
  <c r="AH108" i="6"/>
  <c r="AG109" i="6"/>
  <c r="AH109" i="6"/>
  <c r="AG101" i="6"/>
  <c r="AH101" i="6"/>
  <c r="AG54" i="6"/>
  <c r="AH54" i="6"/>
  <c r="AG115" i="6"/>
  <c r="AH115" i="6"/>
  <c r="AG116" i="6"/>
  <c r="AH116" i="6"/>
  <c r="AG117" i="6"/>
  <c r="AH117" i="6"/>
  <c r="AG55" i="6"/>
  <c r="AH55" i="6"/>
  <c r="AG123" i="6"/>
  <c r="AH123" i="6"/>
  <c r="AG124" i="6"/>
  <c r="AH124" i="6"/>
  <c r="AG125" i="6"/>
  <c r="AH125" i="6"/>
  <c r="AG129" i="6"/>
  <c r="AH129" i="6"/>
  <c r="AG130" i="6"/>
  <c r="AH130" i="6"/>
  <c r="AG272" i="6"/>
  <c r="AH272" i="6"/>
  <c r="AG160" i="6"/>
  <c r="AH160" i="6"/>
  <c r="AG110" i="6"/>
  <c r="AH110" i="6"/>
  <c r="AG111" i="6"/>
  <c r="AH111" i="6"/>
  <c r="AG112" i="6"/>
  <c r="AH112" i="6"/>
  <c r="AG31" i="6"/>
  <c r="AH31" i="6"/>
  <c r="AG165" i="6"/>
  <c r="AH165" i="6"/>
  <c r="AG166" i="6"/>
  <c r="AH166" i="6"/>
  <c r="AG167" i="6"/>
  <c r="AH167" i="6"/>
  <c r="AG208" i="6"/>
  <c r="AH208" i="6"/>
  <c r="AG141" i="6"/>
  <c r="AH141" i="6"/>
  <c r="AG168" i="6"/>
  <c r="AH168" i="6"/>
  <c r="AG56" i="6"/>
  <c r="AH56" i="6"/>
  <c r="AG284" i="6"/>
  <c r="AH284" i="6"/>
  <c r="AG234" i="6"/>
  <c r="AH234" i="6"/>
  <c r="AG196" i="6"/>
  <c r="AH196" i="6"/>
  <c r="AG142" i="6"/>
  <c r="AH142" i="6"/>
  <c r="AG175" i="6"/>
  <c r="AH175" i="6"/>
  <c r="AG176" i="6"/>
  <c r="AH176" i="6"/>
  <c r="AG131" i="6"/>
  <c r="AH131" i="6"/>
  <c r="AG12" i="6"/>
  <c r="AH12" i="6"/>
  <c r="AG297" i="6"/>
  <c r="AH297" i="6"/>
  <c r="AG197" i="6"/>
  <c r="AH197" i="6"/>
  <c r="AG209" i="6"/>
  <c r="AH209" i="6"/>
  <c r="AG143" i="6"/>
  <c r="AH143" i="6"/>
  <c r="AG210" i="6"/>
  <c r="AH210" i="6"/>
  <c r="AG132" i="6"/>
  <c r="AH132" i="6"/>
  <c r="AG13" i="6"/>
  <c r="AH13" i="6"/>
  <c r="AG46" i="6"/>
  <c r="AH46" i="6"/>
  <c r="AG261" i="6"/>
  <c r="AH261" i="6"/>
  <c r="AG24" i="6"/>
  <c r="AH24" i="6"/>
  <c r="AG235" i="6"/>
  <c r="AH235" i="6"/>
  <c r="AG198" i="6"/>
  <c r="AH198" i="6"/>
  <c r="AG72" i="6"/>
  <c r="AH72" i="6"/>
  <c r="AG262" i="6"/>
  <c r="AH262" i="6"/>
  <c r="AG38" i="6"/>
  <c r="AH38" i="6"/>
  <c r="AG73" i="6"/>
  <c r="AH73" i="6"/>
  <c r="AG74" i="6"/>
  <c r="AH74" i="6"/>
  <c r="AG285" i="6"/>
  <c r="AH285" i="6"/>
  <c r="AG75" i="6"/>
  <c r="AH75" i="6"/>
  <c r="AG236" i="6"/>
  <c r="AH236" i="6"/>
  <c r="AG237" i="6"/>
  <c r="AH237" i="6"/>
  <c r="AG211" i="6"/>
  <c r="AH211" i="6"/>
  <c r="AG273" i="6"/>
  <c r="AH273" i="6"/>
  <c r="AG212" i="6"/>
  <c r="AH212" i="6"/>
  <c r="AG133" i="6"/>
  <c r="AH133" i="6"/>
  <c r="AG76" i="6"/>
  <c r="AH76" i="6"/>
  <c r="AG213" i="6"/>
  <c r="AH213" i="6"/>
  <c r="AG25" i="6"/>
  <c r="AH25" i="6"/>
  <c r="AG135" i="6"/>
  <c r="AH135" i="6"/>
  <c r="AG238" i="6"/>
  <c r="AH238" i="6"/>
  <c r="AG161" i="6"/>
  <c r="AH161" i="6"/>
  <c r="AG77" i="6"/>
  <c r="AH77" i="6"/>
  <c r="AG263" i="6"/>
  <c r="AH263" i="6"/>
  <c r="AG274" i="6"/>
  <c r="AH274" i="6"/>
  <c r="AG126" i="6"/>
  <c r="AH126" i="6"/>
  <c r="AG144" i="6"/>
  <c r="AH144" i="6"/>
  <c r="AG239" i="6"/>
  <c r="AH239" i="6"/>
  <c r="AG275" i="6"/>
  <c r="AH275" i="6"/>
  <c r="AG57" i="6"/>
  <c r="AH57" i="6"/>
  <c r="AG214" i="6"/>
  <c r="AH214" i="6"/>
  <c r="AG276" i="6"/>
  <c r="AH276" i="6"/>
  <c r="AG286" i="6"/>
  <c r="AH286" i="6"/>
  <c r="AG118" i="6"/>
  <c r="AH118" i="6"/>
  <c r="AG119" i="6"/>
  <c r="AH119" i="6"/>
  <c r="AG14" i="6"/>
  <c r="AH14" i="6"/>
  <c r="AG120" i="6"/>
  <c r="AH120" i="6"/>
  <c r="AG199" i="6"/>
  <c r="AH199" i="6"/>
  <c r="AG153" i="6"/>
  <c r="AH153" i="6"/>
  <c r="AG215" i="6"/>
  <c r="AH215" i="6"/>
  <c r="AG200" i="6"/>
  <c r="AH200" i="6"/>
  <c r="AG26" i="6"/>
  <c r="AH26" i="6"/>
  <c r="AG264" i="6"/>
  <c r="AH264" i="6"/>
  <c r="AG121" i="6"/>
  <c r="AH121" i="6"/>
  <c r="AG127" i="6"/>
  <c r="AH127" i="6"/>
  <c r="AG240" i="6"/>
  <c r="AH240" i="6"/>
  <c r="AG241" i="6"/>
  <c r="AH241" i="6"/>
  <c r="AG242" i="6"/>
  <c r="AH242" i="6"/>
  <c r="AG134" i="6"/>
  <c r="AH134" i="6"/>
  <c r="AG58" i="6"/>
  <c r="AH58" i="6"/>
  <c r="AG39" i="6"/>
  <c r="AH39" i="6"/>
  <c r="AG44" i="6"/>
  <c r="AH44" i="6"/>
  <c r="AG177" i="6"/>
  <c r="AH177" i="6"/>
  <c r="AG78" i="6"/>
  <c r="AH78" i="6"/>
  <c r="AG32" i="6"/>
  <c r="AH32" i="6"/>
  <c r="AG190" i="6"/>
  <c r="AH190" i="6"/>
  <c r="AG136" i="6"/>
  <c r="AH136" i="6"/>
  <c r="AG137" i="6"/>
  <c r="AH137" i="6"/>
  <c r="AG138" i="6"/>
  <c r="AH138" i="6"/>
  <c r="AG243" i="6"/>
  <c r="AH243" i="6"/>
  <c r="AG244" i="6"/>
  <c r="AH244" i="6"/>
  <c r="AG245" i="6"/>
  <c r="AH245" i="6"/>
  <c r="AG33" i="6"/>
  <c r="AH33" i="6"/>
  <c r="AG79" i="6"/>
  <c r="AH79" i="6"/>
  <c r="AG113" i="6"/>
  <c r="AH113" i="6"/>
  <c r="AG246" i="6"/>
  <c r="AH246" i="6"/>
  <c r="AG247" i="6"/>
  <c r="AH247" i="6"/>
  <c r="AG287" i="6"/>
  <c r="AH287" i="6"/>
  <c r="AG288" i="6"/>
  <c r="AH288" i="6"/>
  <c r="AG34" i="6"/>
  <c r="AH34" i="6"/>
  <c r="AG178" i="6"/>
  <c r="AH178" i="6"/>
  <c r="AG154" i="6"/>
  <c r="AH154" i="6"/>
  <c r="AG248" i="6"/>
  <c r="AH248" i="6"/>
  <c r="AG277" i="6"/>
  <c r="AH277" i="6"/>
  <c r="AG249" i="6"/>
  <c r="AH249" i="6"/>
  <c r="AG80" i="6"/>
  <c r="AH80" i="6"/>
  <c r="AG250" i="6"/>
  <c r="AH250" i="6"/>
  <c r="AG81" i="6"/>
  <c r="AH81" i="6"/>
  <c r="AG265" i="6"/>
  <c r="AH265" i="6"/>
  <c r="AG162" i="6"/>
  <c r="AH162" i="6"/>
  <c r="AG289" i="6"/>
  <c r="AH289" i="6"/>
  <c r="AG145" i="6"/>
  <c r="AH145" i="6"/>
  <c r="AG59" i="6"/>
  <c r="AH59" i="6"/>
  <c r="AG216" i="6"/>
  <c r="AH216" i="6"/>
  <c r="AG217" i="6"/>
  <c r="AH217" i="6"/>
  <c r="AG218" i="6"/>
  <c r="AH218" i="6"/>
  <c r="AG201" i="6"/>
  <c r="AH201" i="6"/>
  <c r="AG219" i="6"/>
  <c r="AH219" i="6"/>
  <c r="AG128" i="6"/>
  <c r="AH128" i="6"/>
  <c r="AG146" i="6"/>
  <c r="AH146" i="6"/>
  <c r="AG147" i="6"/>
  <c r="AH147" i="6"/>
  <c r="AG179" i="6"/>
  <c r="AH179" i="6"/>
  <c r="AG155" i="6"/>
  <c r="AH155" i="6"/>
  <c r="AG220" i="6"/>
  <c r="AH220" i="6"/>
  <c r="AG202" i="6"/>
  <c r="AH202" i="6"/>
  <c r="AG221" i="6"/>
  <c r="AH221" i="6"/>
  <c r="AG222" i="6"/>
  <c r="AH222" i="6"/>
  <c r="AG203" i="6"/>
  <c r="AH203" i="6"/>
  <c r="AG223" i="6"/>
  <c r="AH223" i="6"/>
  <c r="AG224" i="6"/>
  <c r="AH224" i="6"/>
  <c r="AG225" i="6"/>
  <c r="AH225" i="6"/>
  <c r="AG148" i="6"/>
  <c r="AH148" i="6"/>
  <c r="AG149" i="6"/>
  <c r="AH149" i="6"/>
  <c r="AG150" i="6"/>
  <c r="AH150" i="6"/>
  <c r="AG82" i="6"/>
  <c r="AH82" i="6"/>
  <c r="AG186" i="6"/>
  <c r="AH186" i="6"/>
  <c r="AG187" i="6"/>
  <c r="AH187" i="6"/>
  <c r="AG188" i="6"/>
  <c r="AH188" i="6"/>
  <c r="AG152" i="6"/>
  <c r="AH152" i="6"/>
  <c r="AG156" i="6"/>
  <c r="AH156" i="6"/>
  <c r="AG163" i="6"/>
  <c r="AH163" i="6"/>
  <c r="AG169" i="6"/>
  <c r="AH169" i="6"/>
  <c r="AG170" i="6"/>
  <c r="AH170" i="6"/>
  <c r="AG180" i="6"/>
  <c r="AH180" i="6"/>
  <c r="AG191" i="6"/>
  <c r="AH191" i="6"/>
  <c r="AG189" i="6"/>
  <c r="AH189" i="6"/>
  <c r="AG192" i="6"/>
  <c r="AH192" i="6"/>
  <c r="AG195" i="6"/>
  <c r="AH195" i="6"/>
  <c r="AG193" i="6"/>
  <c r="AH193" i="6"/>
  <c r="AG194" i="6"/>
  <c r="AH194" i="6"/>
  <c r="AG204" i="6"/>
  <c r="AH204" i="6"/>
  <c r="AG226" i="6"/>
  <c r="AH226" i="6"/>
  <c r="AG164" i="6"/>
  <c r="AH164" i="6"/>
  <c r="AG251" i="6"/>
  <c r="AH251" i="6"/>
  <c r="AG205" i="6"/>
  <c r="AH205" i="6"/>
  <c r="AG252" i="6"/>
  <c r="AH252" i="6"/>
  <c r="AG253" i="6"/>
  <c r="AH253" i="6"/>
  <c r="AG254" i="6"/>
  <c r="AH254" i="6"/>
  <c r="AG255" i="6"/>
  <c r="AH255" i="6"/>
  <c r="AG278" i="6"/>
  <c r="AH278" i="6"/>
  <c r="AG256" i="6"/>
  <c r="AH256" i="6"/>
  <c r="AG257" i="6"/>
  <c r="AH257" i="6"/>
  <c r="AG266" i="6"/>
  <c r="AH266" i="6"/>
  <c r="AG267" i="6"/>
  <c r="AH267" i="6"/>
  <c r="AG268" i="6"/>
  <c r="AH268" i="6"/>
  <c r="AG279" i="6"/>
  <c r="AH279" i="6"/>
  <c r="AG280" i="6"/>
  <c r="AH280" i="6"/>
  <c r="AG281" i="6"/>
  <c r="AH281" i="6"/>
  <c r="AG282" i="6"/>
  <c r="AH282" i="6"/>
  <c r="AG227" i="6"/>
  <c r="AH227" i="6"/>
  <c r="AG157" i="6"/>
  <c r="AH157" i="6"/>
  <c r="AG35" i="6"/>
  <c r="AH35" i="6"/>
  <c r="AG151" i="6"/>
  <c r="AH151" i="6"/>
  <c r="AG290" i="6"/>
  <c r="AH290" i="6"/>
  <c r="AG269" i="6"/>
  <c r="AH269" i="6"/>
  <c r="AG270" i="6"/>
  <c r="AH270" i="6"/>
  <c r="AG122" i="6"/>
  <c r="AH122" i="6"/>
  <c r="AG228" i="6"/>
  <c r="AH228" i="6"/>
  <c r="AG229" i="6"/>
  <c r="AH229" i="6"/>
  <c r="AG230" i="6"/>
  <c r="AH230" i="6"/>
  <c r="AG258" i="6"/>
  <c r="AH258" i="6"/>
  <c r="AG271" i="6"/>
  <c r="AH271" i="6"/>
  <c r="AG231" i="6"/>
  <c r="AH231" i="6"/>
  <c r="AG83" i="6"/>
  <c r="AH83" i="6"/>
  <c r="AG84" i="6"/>
  <c r="AH84" i="6"/>
  <c r="AG63" i="6"/>
  <c r="AH63" i="6"/>
  <c r="AG60" i="6"/>
  <c r="AH60" i="6"/>
  <c r="AG291" i="6"/>
  <c r="AH291" i="6"/>
  <c r="AG292" i="6"/>
  <c r="AH292" i="6"/>
  <c r="AG293" i="6"/>
  <c r="AH293" i="6"/>
  <c r="AG294" i="6"/>
  <c r="AH294" i="6"/>
  <c r="AG295" i="6"/>
  <c r="AH295" i="6"/>
  <c r="AG171" i="6"/>
  <c r="AH171" i="6"/>
  <c r="AG172" i="6"/>
  <c r="AH172" i="6"/>
  <c r="AG181" i="6"/>
  <c r="AH181" i="6"/>
  <c r="AG158" i="6"/>
  <c r="AH158" i="6"/>
  <c r="AG173" i="6"/>
  <c r="AH173" i="6"/>
  <c r="AG259" i="6"/>
  <c r="AH259" i="6"/>
  <c r="AG296" i="6"/>
  <c r="AH296" i="6"/>
  <c r="AG61" i="6"/>
  <c r="AH61" i="6"/>
  <c r="AG15" i="6"/>
  <c r="AH15" i="6"/>
  <c r="AG16" i="6"/>
  <c r="AH16" i="6"/>
  <c r="AG17" i="6"/>
  <c r="AH17" i="6"/>
  <c r="AG18" i="6"/>
  <c r="AH18" i="6"/>
  <c r="AG19" i="6"/>
  <c r="AH19" i="6"/>
  <c r="AG20" i="6"/>
  <c r="AH20" i="6"/>
  <c r="AG182" i="6"/>
  <c r="AH182" i="6"/>
  <c r="AG36" i="6"/>
  <c r="AH36" i="6"/>
  <c r="AG183" i="6"/>
  <c r="AH183" i="6"/>
  <c r="AG298" i="6"/>
  <c r="AH298" i="6"/>
  <c r="AG174" i="6"/>
  <c r="AH174" i="6"/>
  <c r="AG184" i="6"/>
  <c r="AH184" i="6"/>
  <c r="AG185" i="6"/>
  <c r="AH185" i="6"/>
  <c r="AG102" i="6"/>
  <c r="AH102" i="6"/>
  <c r="AG303" i="6"/>
  <c r="AH303" i="6"/>
  <c r="AG304" i="6"/>
  <c r="AH304" i="6"/>
  <c r="AG305" i="6"/>
  <c r="AH305" i="6"/>
  <c r="AG306" i="6"/>
  <c r="AH306" i="6"/>
  <c r="AG307" i="6"/>
  <c r="AH307" i="6"/>
  <c r="AG308" i="6"/>
  <c r="AH308" i="6"/>
  <c r="AG309" i="6"/>
  <c r="AH309" i="6"/>
  <c r="AG310" i="6"/>
  <c r="AH310" i="6"/>
  <c r="AG311" i="6"/>
  <c r="AH311" i="6"/>
  <c r="AG312" i="6"/>
  <c r="AH312" i="6"/>
  <c r="AG313" i="6"/>
  <c r="AH313" i="6"/>
  <c r="AG314" i="6"/>
  <c r="AH314" i="6"/>
  <c r="AG315" i="6"/>
  <c r="AH315" i="6"/>
  <c r="AG316" i="6"/>
  <c r="AH316" i="6"/>
  <c r="AG317" i="6"/>
  <c r="AH317" i="6"/>
  <c r="AG319" i="6"/>
  <c r="AH319" i="6"/>
  <c r="AG320" i="6"/>
  <c r="AH320" i="6"/>
  <c r="AG321" i="6"/>
  <c r="AH321" i="6"/>
  <c r="AG322" i="6"/>
  <c r="AH322" i="6"/>
  <c r="AG323" i="6"/>
  <c r="AH323" i="6"/>
  <c r="AG324" i="6"/>
  <c r="AH324" i="6"/>
  <c r="AG325" i="6"/>
  <c r="AH325" i="6"/>
  <c r="AG326" i="6"/>
  <c r="AH326" i="6"/>
  <c r="AG327" i="6"/>
  <c r="AH327" i="6"/>
  <c r="AG328" i="6"/>
  <c r="AH328" i="6"/>
  <c r="AG329" i="6"/>
  <c r="AH329" i="6"/>
  <c r="AG330" i="6"/>
  <c r="AH330" i="6"/>
  <c r="AG331" i="6"/>
  <c r="AH331" i="6"/>
  <c r="AG332" i="6"/>
  <c r="AH332" i="6"/>
  <c r="AG333" i="6"/>
  <c r="AH333" i="6"/>
  <c r="AG334" i="6"/>
  <c r="AH334" i="6"/>
  <c r="AG335" i="6"/>
  <c r="AH335" i="6"/>
  <c r="AG336" i="6"/>
  <c r="AH336" i="6"/>
  <c r="AG337" i="6"/>
  <c r="AH337" i="6"/>
  <c r="AG338" i="6"/>
  <c r="AH338" i="6"/>
  <c r="AG339" i="6"/>
  <c r="AH339" i="6"/>
  <c r="AG340" i="6"/>
  <c r="AH340" i="6"/>
  <c r="AG341" i="6"/>
  <c r="AH341" i="6"/>
  <c r="AG342" i="6"/>
  <c r="AH342" i="6"/>
  <c r="AG343" i="6"/>
  <c r="AH343" i="6"/>
  <c r="AG344" i="6"/>
  <c r="AH344" i="6"/>
  <c r="AG345" i="6"/>
  <c r="AH345" i="6"/>
  <c r="AG350" i="6"/>
  <c r="AH350" i="6"/>
  <c r="AG346" i="6"/>
  <c r="AH346" i="6"/>
  <c r="AG347" i="6"/>
  <c r="AH347" i="6"/>
  <c r="AG351" i="6"/>
  <c r="AH351" i="6"/>
  <c r="AG348" i="6"/>
  <c r="AH348" i="6"/>
  <c r="AG349" i="6"/>
  <c r="AH349" i="6"/>
  <c r="AG365" i="6"/>
  <c r="AH365" i="6"/>
  <c r="AG352" i="6"/>
  <c r="AH352" i="6"/>
  <c r="AG366" i="6"/>
  <c r="AH366" i="6"/>
  <c r="AG353" i="6"/>
  <c r="AH353" i="6"/>
  <c r="AG354" i="6"/>
  <c r="AH354" i="6"/>
  <c r="AG355" i="6"/>
  <c r="AH355" i="6"/>
  <c r="AG356" i="6"/>
  <c r="AH356" i="6"/>
  <c r="AG357" i="6"/>
  <c r="AH357" i="6"/>
  <c r="AG358" i="6"/>
  <c r="AH358" i="6"/>
  <c r="AG359" i="6"/>
  <c r="AH359" i="6"/>
  <c r="AG360" i="6"/>
  <c r="AH360" i="6"/>
  <c r="AG367" i="6"/>
  <c r="AH367" i="6"/>
  <c r="AG368" i="6"/>
  <c r="AH368" i="6"/>
  <c r="AG369" i="6"/>
  <c r="AH369" i="6"/>
  <c r="AG370" i="6"/>
  <c r="AH370" i="6"/>
  <c r="AG371" i="6"/>
  <c r="AH371" i="6"/>
  <c r="AG372" i="6"/>
  <c r="AH372" i="6"/>
  <c r="AG373" i="6"/>
  <c r="AH373" i="6"/>
  <c r="AG361" i="6"/>
  <c r="AH361" i="6"/>
  <c r="AG362" i="6"/>
  <c r="AH362" i="6"/>
  <c r="AG363" i="6"/>
  <c r="AH363" i="6"/>
  <c r="AG364" i="6"/>
  <c r="AH364" i="6"/>
  <c r="AG374" i="6"/>
  <c r="AH374" i="6"/>
  <c r="AG375" i="6"/>
  <c r="AH375" i="6"/>
  <c r="AG376" i="6"/>
  <c r="AH376" i="6"/>
  <c r="AG377" i="6"/>
  <c r="AH377" i="6"/>
  <c r="AG378" i="6"/>
  <c r="AH378" i="6"/>
  <c r="AG379" i="6"/>
  <c r="AH379" i="6"/>
  <c r="AG380" i="6"/>
  <c r="AH380" i="6"/>
  <c r="AG381" i="6"/>
  <c r="AH381" i="6"/>
  <c r="AG382" i="6"/>
  <c r="AH382" i="6"/>
  <c r="AG383" i="6"/>
  <c r="AH383" i="6"/>
  <c r="AG384" i="6"/>
  <c r="AH384" i="6"/>
  <c r="AG388" i="6"/>
  <c r="AH388" i="6"/>
  <c r="AG391" i="6"/>
  <c r="AH391" i="6"/>
  <c r="AG387" i="6"/>
  <c r="AH387" i="6"/>
  <c r="AG390" i="6"/>
  <c r="AH390" i="6"/>
  <c r="AG389" i="6"/>
  <c r="AH389" i="6"/>
  <c r="AG415" i="6"/>
  <c r="AH415" i="6"/>
  <c r="AG393" i="6"/>
  <c r="AH393" i="6"/>
  <c r="AG414" i="6"/>
  <c r="AH414" i="6"/>
  <c r="AG413" i="6"/>
  <c r="AH413" i="6"/>
  <c r="AG396" i="6"/>
  <c r="AH396" i="6"/>
  <c r="AG397" i="6"/>
  <c r="AH397" i="6"/>
  <c r="AG398" i="6"/>
  <c r="AH398" i="6"/>
  <c r="AG399" i="6"/>
  <c r="AH399" i="6"/>
  <c r="AG400" i="6"/>
  <c r="AH400" i="6"/>
  <c r="AG395" i="6"/>
  <c r="AH395" i="6"/>
  <c r="AG411" i="6"/>
  <c r="AH411" i="6"/>
  <c r="AG401" i="6"/>
  <c r="AH401" i="6"/>
  <c r="AG402" i="6"/>
  <c r="AH402" i="6"/>
  <c r="AG403" i="6"/>
  <c r="AH403" i="6"/>
  <c r="AG404" i="6"/>
  <c r="AH404" i="6"/>
  <c r="AG405" i="6"/>
  <c r="AH405" i="6"/>
  <c r="AG406" i="6"/>
  <c r="AH406" i="6"/>
  <c r="AG392" i="6"/>
  <c r="AH392" i="6"/>
  <c r="AG412" i="6"/>
  <c r="AH412" i="6"/>
  <c r="AG407" i="6"/>
  <c r="AH407" i="6"/>
  <c r="AG394" i="6"/>
  <c r="AH394" i="6"/>
  <c r="AG416" i="6"/>
  <c r="AH416" i="6"/>
  <c r="AG408" i="6"/>
  <c r="AH408" i="6"/>
  <c r="AG409" i="6"/>
  <c r="AH409" i="6"/>
  <c r="AG410" i="6"/>
  <c r="AH410" i="6"/>
  <c r="AH2" i="6"/>
  <c r="AG2" i="6"/>
  <c r="AF3" i="6"/>
  <c r="AF4" i="6"/>
  <c r="AF5" i="6"/>
  <c r="AF6" i="6"/>
  <c r="AF21" i="6"/>
  <c r="AF22" i="6"/>
  <c r="AF23" i="6"/>
  <c r="AF47" i="6"/>
  <c r="AF7" i="6"/>
  <c r="AF48" i="6"/>
  <c r="AF8" i="6"/>
  <c r="AF27" i="6"/>
  <c r="AF28" i="6"/>
  <c r="AF29" i="6"/>
  <c r="AF30" i="6"/>
  <c r="AF86" i="6"/>
  <c r="AF87" i="6"/>
  <c r="AF64" i="6"/>
  <c r="AF88" i="6"/>
  <c r="AF37" i="6"/>
  <c r="AF40" i="6"/>
  <c r="AF41" i="6"/>
  <c r="AF42" i="6"/>
  <c r="AF45" i="6"/>
  <c r="AF43" i="6"/>
  <c r="AF283" i="6"/>
  <c r="AF9" i="6"/>
  <c r="AF49" i="6"/>
  <c r="AF50" i="6"/>
  <c r="AF10" i="6"/>
  <c r="AF114" i="6"/>
  <c r="AF11" i="6"/>
  <c r="AF51" i="6"/>
  <c r="AF52" i="6"/>
  <c r="AF62" i="6"/>
  <c r="AF53" i="6"/>
  <c r="AF65" i="6"/>
  <c r="AF66" i="6"/>
  <c r="AF67" i="6"/>
  <c r="AF68" i="6"/>
  <c r="AF69" i="6"/>
  <c r="AF206" i="6"/>
  <c r="AF159" i="6"/>
  <c r="AF70" i="6"/>
  <c r="AF106" i="6"/>
  <c r="AF207" i="6"/>
  <c r="AF89" i="6"/>
  <c r="AF90" i="6"/>
  <c r="AF85" i="6"/>
  <c r="AF91" i="6"/>
  <c r="AF92" i="6"/>
  <c r="AF93" i="6"/>
  <c r="AF94" i="6"/>
  <c r="AF95" i="6"/>
  <c r="AF96" i="6"/>
  <c r="AF103" i="6"/>
  <c r="AF97" i="6"/>
  <c r="AF232" i="6"/>
  <c r="AF233" i="6"/>
  <c r="AF71" i="6"/>
  <c r="AF104" i="6"/>
  <c r="AF105" i="6"/>
  <c r="AF98" i="6"/>
  <c r="AF99" i="6"/>
  <c r="AF100" i="6"/>
  <c r="AF107" i="6"/>
  <c r="AF108" i="6"/>
  <c r="AF109" i="6"/>
  <c r="AF101" i="6"/>
  <c r="AF54" i="6"/>
  <c r="AF115" i="6"/>
  <c r="AF116" i="6"/>
  <c r="AF117" i="6"/>
  <c r="AF55" i="6"/>
  <c r="AF123" i="6"/>
  <c r="AF124" i="6"/>
  <c r="AF125" i="6"/>
  <c r="AF129" i="6"/>
  <c r="AF130" i="6"/>
  <c r="AF272" i="6"/>
  <c r="AF160" i="6"/>
  <c r="AF110" i="6"/>
  <c r="AF111" i="6"/>
  <c r="AF112" i="6"/>
  <c r="AF31" i="6"/>
  <c r="AF165" i="6"/>
  <c r="AF166" i="6"/>
  <c r="AF167" i="6"/>
  <c r="AF208" i="6"/>
  <c r="AF141" i="6"/>
  <c r="AF168" i="6"/>
  <c r="AF56" i="6"/>
  <c r="AF284" i="6"/>
  <c r="AF234" i="6"/>
  <c r="AF196" i="6"/>
  <c r="AF142" i="6"/>
  <c r="AF175" i="6"/>
  <c r="AF176" i="6"/>
  <c r="AF131" i="6"/>
  <c r="AF12" i="6"/>
  <c r="AF297" i="6"/>
  <c r="AF197" i="6"/>
  <c r="AF209" i="6"/>
  <c r="AF143" i="6"/>
  <c r="AF210" i="6"/>
  <c r="AF132" i="6"/>
  <c r="AF13" i="6"/>
  <c r="AF46" i="6"/>
  <c r="AF261" i="6"/>
  <c r="AF24" i="6"/>
  <c r="AF235" i="6"/>
  <c r="AF198" i="6"/>
  <c r="AF72" i="6"/>
  <c r="AF262" i="6"/>
  <c r="AF38" i="6"/>
  <c r="AF73" i="6"/>
  <c r="AF74" i="6"/>
  <c r="AF285" i="6"/>
  <c r="AF75" i="6"/>
  <c r="AF236" i="6"/>
  <c r="AF237" i="6"/>
  <c r="AF211" i="6"/>
  <c r="AF273" i="6"/>
  <c r="AF212" i="6"/>
  <c r="AF133" i="6"/>
  <c r="AF76" i="6"/>
  <c r="AF213" i="6"/>
  <c r="AF25" i="6"/>
  <c r="AF135" i="6"/>
  <c r="AF238" i="6"/>
  <c r="AF161" i="6"/>
  <c r="AF77" i="6"/>
  <c r="AF263" i="6"/>
  <c r="AF274" i="6"/>
  <c r="AF126" i="6"/>
  <c r="AF144" i="6"/>
  <c r="AF239" i="6"/>
  <c r="AF275" i="6"/>
  <c r="AF57" i="6"/>
  <c r="AF214" i="6"/>
  <c r="AF276" i="6"/>
  <c r="AF286" i="6"/>
  <c r="AF118" i="6"/>
  <c r="AF119" i="6"/>
  <c r="AF14" i="6"/>
  <c r="AF120" i="6"/>
  <c r="AF199" i="6"/>
  <c r="AF153" i="6"/>
  <c r="AF215" i="6"/>
  <c r="AF200" i="6"/>
  <c r="AF26" i="6"/>
  <c r="AF264" i="6"/>
  <c r="AF121" i="6"/>
  <c r="AF127" i="6"/>
  <c r="AF240" i="6"/>
  <c r="AF241" i="6"/>
  <c r="AF242" i="6"/>
  <c r="AF134" i="6"/>
  <c r="AF58" i="6"/>
  <c r="AF39" i="6"/>
  <c r="AF44" i="6"/>
  <c r="AF177" i="6"/>
  <c r="AF78" i="6"/>
  <c r="AF32" i="6"/>
  <c r="AF190" i="6"/>
  <c r="AF136" i="6"/>
  <c r="AF137" i="6"/>
  <c r="AF138" i="6"/>
  <c r="AF243" i="6"/>
  <c r="AF244" i="6"/>
  <c r="AF245" i="6"/>
  <c r="AF33" i="6"/>
  <c r="AF79" i="6"/>
  <c r="AF113" i="6"/>
  <c r="AF246" i="6"/>
  <c r="AF247" i="6"/>
  <c r="AF287" i="6"/>
  <c r="AF288" i="6"/>
  <c r="AF34" i="6"/>
  <c r="AF178" i="6"/>
  <c r="AF154" i="6"/>
  <c r="AF248" i="6"/>
  <c r="AF277" i="6"/>
  <c r="AF249" i="6"/>
  <c r="AF80" i="6"/>
  <c r="AF250" i="6"/>
  <c r="AF81" i="6"/>
  <c r="AF265" i="6"/>
  <c r="AF162" i="6"/>
  <c r="AF289" i="6"/>
  <c r="AF145" i="6"/>
  <c r="AF59" i="6"/>
  <c r="AF216" i="6"/>
  <c r="AF217" i="6"/>
  <c r="AF218" i="6"/>
  <c r="AF201" i="6"/>
  <c r="AF219" i="6"/>
  <c r="AF128" i="6"/>
  <c r="AF146" i="6"/>
  <c r="AF147" i="6"/>
  <c r="AF179" i="6"/>
  <c r="AF155" i="6"/>
  <c r="AF220" i="6"/>
  <c r="AF202" i="6"/>
  <c r="AF221" i="6"/>
  <c r="AF222" i="6"/>
  <c r="AF203" i="6"/>
  <c r="AF223" i="6"/>
  <c r="AF224" i="6"/>
  <c r="AF225" i="6"/>
  <c r="AF148" i="6"/>
  <c r="AF149" i="6"/>
  <c r="AF150" i="6"/>
  <c r="AF82" i="6"/>
  <c r="AF186" i="6"/>
  <c r="AF187" i="6"/>
  <c r="AF188" i="6"/>
  <c r="AF152" i="6"/>
  <c r="AF156" i="6"/>
  <c r="AF163" i="6"/>
  <c r="AF169" i="6"/>
  <c r="AF170" i="6"/>
  <c r="AF180" i="6"/>
  <c r="AF191" i="6"/>
  <c r="AF189" i="6"/>
  <c r="AF192" i="6"/>
  <c r="AF195" i="6"/>
  <c r="AF193" i="6"/>
  <c r="AF194" i="6"/>
  <c r="AF204" i="6"/>
  <c r="AF226" i="6"/>
  <c r="AF164" i="6"/>
  <c r="AF251" i="6"/>
  <c r="AF205" i="6"/>
  <c r="AF252" i="6"/>
  <c r="AF253" i="6"/>
  <c r="AF254" i="6"/>
  <c r="AF255" i="6"/>
  <c r="AF278" i="6"/>
  <c r="AF256" i="6"/>
  <c r="AF257" i="6"/>
  <c r="AF266" i="6"/>
  <c r="AF267" i="6"/>
  <c r="AF268" i="6"/>
  <c r="AF279" i="6"/>
  <c r="AF280" i="6"/>
  <c r="AF281" i="6"/>
  <c r="AF282" i="6"/>
  <c r="AF227" i="6"/>
  <c r="AF157" i="6"/>
  <c r="AF35" i="6"/>
  <c r="AF151" i="6"/>
  <c r="AF290" i="6"/>
  <c r="AF269" i="6"/>
  <c r="AF270" i="6"/>
  <c r="AF122" i="6"/>
  <c r="AF228" i="6"/>
  <c r="AF229" i="6"/>
  <c r="AF230" i="6"/>
  <c r="AF258" i="6"/>
  <c r="AF271" i="6"/>
  <c r="AF231" i="6"/>
  <c r="AF83" i="6"/>
  <c r="AF84" i="6"/>
  <c r="AF63" i="6"/>
  <c r="AF60" i="6"/>
  <c r="AF291" i="6"/>
  <c r="AF292" i="6"/>
  <c r="AF293" i="6"/>
  <c r="AF294" i="6"/>
  <c r="AF295" i="6"/>
  <c r="AF171" i="6"/>
  <c r="AF172" i="6"/>
  <c r="AF181" i="6"/>
  <c r="AF158" i="6"/>
  <c r="AF173" i="6"/>
  <c r="AF259" i="6"/>
  <c r="AF296" i="6"/>
  <c r="AF61" i="6"/>
  <c r="AF15" i="6"/>
  <c r="AF16" i="6"/>
  <c r="AF17" i="6"/>
  <c r="AF18" i="6"/>
  <c r="AF19" i="6"/>
  <c r="AF20" i="6"/>
  <c r="AF182" i="6"/>
  <c r="AF36" i="6"/>
  <c r="AF183" i="6"/>
  <c r="AF298" i="6"/>
  <c r="AF174" i="6"/>
  <c r="AF184" i="6"/>
  <c r="AF185" i="6"/>
  <c r="AF102" i="6"/>
  <c r="AF303" i="6"/>
  <c r="AF304" i="6"/>
  <c r="AF305" i="6"/>
  <c r="AF306" i="6"/>
  <c r="AF307" i="6"/>
  <c r="AF308" i="6"/>
  <c r="AF309" i="6"/>
  <c r="AF310" i="6"/>
  <c r="AF311" i="6"/>
  <c r="AF312" i="6"/>
  <c r="AF313" i="6"/>
  <c r="AF314" i="6"/>
  <c r="AF315" i="6"/>
  <c r="AF316" i="6"/>
  <c r="AF317" i="6"/>
  <c r="AF319" i="6"/>
  <c r="AF320" i="6"/>
  <c r="AF321" i="6"/>
  <c r="AF322" i="6"/>
  <c r="AF323" i="6"/>
  <c r="AF324" i="6"/>
  <c r="AF325" i="6"/>
  <c r="AF326" i="6"/>
  <c r="AF327" i="6"/>
  <c r="AF328" i="6"/>
  <c r="AF329" i="6"/>
  <c r="AF330" i="6"/>
  <c r="AF331" i="6"/>
  <c r="AF332" i="6"/>
  <c r="AF333" i="6"/>
  <c r="AF334" i="6"/>
  <c r="AF335" i="6"/>
  <c r="AF336" i="6"/>
  <c r="AF337" i="6"/>
  <c r="AF338" i="6"/>
  <c r="AF339" i="6"/>
  <c r="AF340" i="6"/>
  <c r="AF341" i="6"/>
  <c r="AF342" i="6"/>
  <c r="AF343" i="6"/>
  <c r="AF344" i="6"/>
  <c r="AF345" i="6"/>
  <c r="AF350" i="6"/>
  <c r="AF346" i="6"/>
  <c r="AF347" i="6"/>
  <c r="AF351" i="6"/>
  <c r="AF348" i="6"/>
  <c r="AF349" i="6"/>
  <c r="AF365" i="6"/>
  <c r="AF352" i="6"/>
  <c r="AF366" i="6"/>
  <c r="AF353" i="6"/>
  <c r="AF354" i="6"/>
  <c r="AF355" i="6"/>
  <c r="AF356" i="6"/>
  <c r="AF357" i="6"/>
  <c r="AF358" i="6"/>
  <c r="AF359" i="6"/>
  <c r="AF360" i="6"/>
  <c r="AF367" i="6"/>
  <c r="AF368" i="6"/>
  <c r="AF369" i="6"/>
  <c r="AF370" i="6"/>
  <c r="AF371" i="6"/>
  <c r="AF372" i="6"/>
  <c r="AF373" i="6"/>
  <c r="AF361" i="6"/>
  <c r="AF362" i="6"/>
  <c r="AF363" i="6"/>
  <c r="AF364" i="6"/>
  <c r="AF374" i="6"/>
  <c r="AF375" i="6"/>
  <c r="AF376" i="6"/>
  <c r="AF377" i="6"/>
  <c r="AF378" i="6"/>
  <c r="AF379" i="6"/>
  <c r="AF380" i="6"/>
  <c r="AF381" i="6"/>
  <c r="AF382" i="6"/>
  <c r="AF383" i="6"/>
  <c r="AF384" i="6"/>
  <c r="AF388" i="6"/>
  <c r="AF391" i="6"/>
  <c r="AF387" i="6"/>
  <c r="AF390" i="6"/>
  <c r="AF389" i="6"/>
  <c r="AF415" i="6"/>
  <c r="AF393" i="6"/>
  <c r="AF414" i="6"/>
  <c r="AF413" i="6"/>
  <c r="AF396" i="6"/>
  <c r="AF397" i="6"/>
  <c r="AF398" i="6"/>
  <c r="AF399" i="6"/>
  <c r="AF400" i="6"/>
  <c r="AF395" i="6"/>
  <c r="AF411" i="6"/>
  <c r="AF401" i="6"/>
  <c r="AF402" i="6"/>
  <c r="AF403" i="6"/>
  <c r="AF404" i="6"/>
  <c r="AF405" i="6"/>
  <c r="AF406" i="6"/>
  <c r="AF392" i="6"/>
  <c r="AF412" i="6"/>
  <c r="AF407" i="6"/>
  <c r="AF394" i="6"/>
  <c r="AF416" i="6"/>
  <c r="AF408" i="6"/>
  <c r="AF409" i="6"/>
  <c r="AF410" i="6"/>
  <c r="AF2" i="6"/>
  <c r="AB3" i="6"/>
  <c r="AC3" i="6"/>
  <c r="AD3" i="6"/>
  <c r="AE3" i="6"/>
  <c r="AB4" i="6"/>
  <c r="AC4" i="6"/>
  <c r="AD4" i="6"/>
  <c r="AE4" i="6"/>
  <c r="AB5" i="6"/>
  <c r="AC5" i="6"/>
  <c r="AD5" i="6"/>
  <c r="AE5" i="6"/>
  <c r="AB6" i="6"/>
  <c r="AC6" i="6"/>
  <c r="AD6" i="6"/>
  <c r="AE6" i="6"/>
  <c r="AB21" i="6"/>
  <c r="AC21" i="6"/>
  <c r="AD21" i="6"/>
  <c r="AE21" i="6"/>
  <c r="AB22" i="6"/>
  <c r="AC22" i="6"/>
  <c r="AD22" i="6"/>
  <c r="AE22" i="6"/>
  <c r="AB23" i="6"/>
  <c r="AC23" i="6"/>
  <c r="AD23" i="6"/>
  <c r="AE23" i="6"/>
  <c r="AB47" i="6"/>
  <c r="AC47" i="6"/>
  <c r="AD47" i="6"/>
  <c r="AE47" i="6"/>
  <c r="AB7" i="6"/>
  <c r="AC7" i="6"/>
  <c r="AD7" i="6"/>
  <c r="AE7" i="6"/>
  <c r="AB48" i="6"/>
  <c r="AC48" i="6"/>
  <c r="AD48" i="6"/>
  <c r="AE48" i="6"/>
  <c r="AB8" i="6"/>
  <c r="AC8" i="6"/>
  <c r="AD8" i="6"/>
  <c r="AE8" i="6"/>
  <c r="AB27" i="6"/>
  <c r="AC27" i="6"/>
  <c r="AD27" i="6"/>
  <c r="AE27" i="6"/>
  <c r="AB28" i="6"/>
  <c r="AC28" i="6"/>
  <c r="AD28" i="6"/>
  <c r="AE28" i="6"/>
  <c r="AB29" i="6"/>
  <c r="AC29" i="6"/>
  <c r="AD29" i="6"/>
  <c r="AE29" i="6"/>
  <c r="AB30" i="6"/>
  <c r="AC30" i="6"/>
  <c r="AD30" i="6"/>
  <c r="AE30" i="6"/>
  <c r="AB86" i="6"/>
  <c r="AC86" i="6"/>
  <c r="AD86" i="6"/>
  <c r="AE86" i="6"/>
  <c r="AB87" i="6"/>
  <c r="AC87" i="6"/>
  <c r="AD87" i="6"/>
  <c r="AE87" i="6"/>
  <c r="AB64" i="6"/>
  <c r="AC64" i="6"/>
  <c r="AD64" i="6"/>
  <c r="AE64" i="6"/>
  <c r="AB88" i="6"/>
  <c r="AC88" i="6"/>
  <c r="AD88" i="6"/>
  <c r="AE88" i="6"/>
  <c r="AB37" i="6"/>
  <c r="AC37" i="6"/>
  <c r="AD37" i="6"/>
  <c r="AE37" i="6"/>
  <c r="AB40" i="6"/>
  <c r="AC40" i="6"/>
  <c r="AD40" i="6"/>
  <c r="AE40" i="6"/>
  <c r="AB41" i="6"/>
  <c r="AC41" i="6"/>
  <c r="AD41" i="6"/>
  <c r="AE41" i="6"/>
  <c r="AB42" i="6"/>
  <c r="AC42" i="6"/>
  <c r="AD42" i="6"/>
  <c r="AE42" i="6"/>
  <c r="AB45" i="6"/>
  <c r="AC45" i="6"/>
  <c r="AD45" i="6"/>
  <c r="AE45" i="6"/>
  <c r="AB43" i="6"/>
  <c r="AC43" i="6"/>
  <c r="AD43" i="6"/>
  <c r="AE43" i="6"/>
  <c r="AB283" i="6"/>
  <c r="AC283" i="6"/>
  <c r="AD283" i="6"/>
  <c r="AE283" i="6"/>
  <c r="AB9" i="6"/>
  <c r="AC9" i="6"/>
  <c r="AD9" i="6"/>
  <c r="AE9" i="6"/>
  <c r="AB49" i="6"/>
  <c r="AC49" i="6"/>
  <c r="AD49" i="6"/>
  <c r="AE49" i="6"/>
  <c r="AB50" i="6"/>
  <c r="AC50" i="6"/>
  <c r="AD50" i="6"/>
  <c r="AE50" i="6"/>
  <c r="AB10" i="6"/>
  <c r="AC10" i="6"/>
  <c r="AD10" i="6"/>
  <c r="AE10" i="6"/>
  <c r="AB114" i="6"/>
  <c r="AC114" i="6"/>
  <c r="AD114" i="6"/>
  <c r="AE114" i="6"/>
  <c r="AB11" i="6"/>
  <c r="AC11" i="6"/>
  <c r="AD11" i="6"/>
  <c r="AE11" i="6"/>
  <c r="AB51" i="6"/>
  <c r="AC51" i="6"/>
  <c r="AD51" i="6"/>
  <c r="AE51" i="6"/>
  <c r="AB52" i="6"/>
  <c r="AC52" i="6"/>
  <c r="AD52" i="6"/>
  <c r="AE52" i="6"/>
  <c r="AB62" i="6"/>
  <c r="AC62" i="6"/>
  <c r="AD62" i="6"/>
  <c r="AE62" i="6"/>
  <c r="AB53" i="6"/>
  <c r="AC53" i="6"/>
  <c r="AD53" i="6"/>
  <c r="AE53" i="6"/>
  <c r="AB65" i="6"/>
  <c r="AC65" i="6"/>
  <c r="AD65" i="6"/>
  <c r="AE65" i="6"/>
  <c r="AB66" i="6"/>
  <c r="AC66" i="6"/>
  <c r="AD66" i="6"/>
  <c r="AE66" i="6"/>
  <c r="AB67" i="6"/>
  <c r="AC67" i="6"/>
  <c r="AD67" i="6"/>
  <c r="AE67" i="6"/>
  <c r="AB68" i="6"/>
  <c r="AC68" i="6"/>
  <c r="AD68" i="6"/>
  <c r="AE68" i="6"/>
  <c r="AB69" i="6"/>
  <c r="AC69" i="6"/>
  <c r="AD69" i="6"/>
  <c r="AE69" i="6"/>
  <c r="AB206" i="6"/>
  <c r="AC206" i="6"/>
  <c r="AD206" i="6"/>
  <c r="AE206" i="6"/>
  <c r="AB159" i="6"/>
  <c r="AC159" i="6"/>
  <c r="AD159" i="6"/>
  <c r="AE159" i="6"/>
  <c r="AB70" i="6"/>
  <c r="AC70" i="6"/>
  <c r="AD70" i="6"/>
  <c r="AE70" i="6"/>
  <c r="AB106" i="6"/>
  <c r="AC106" i="6"/>
  <c r="AD106" i="6"/>
  <c r="AE106" i="6"/>
  <c r="AB207" i="6"/>
  <c r="AC207" i="6"/>
  <c r="AD207" i="6"/>
  <c r="AE207" i="6"/>
  <c r="AB89" i="6"/>
  <c r="AC89" i="6"/>
  <c r="AD89" i="6"/>
  <c r="AE89" i="6"/>
  <c r="AB90" i="6"/>
  <c r="AC90" i="6"/>
  <c r="AD90" i="6"/>
  <c r="AE90" i="6"/>
  <c r="AB85" i="6"/>
  <c r="AC85" i="6"/>
  <c r="AD85" i="6"/>
  <c r="AE85" i="6"/>
  <c r="AB91" i="6"/>
  <c r="AC91" i="6"/>
  <c r="AD91" i="6"/>
  <c r="AE91" i="6"/>
  <c r="AB92" i="6"/>
  <c r="AC92" i="6"/>
  <c r="AD92" i="6"/>
  <c r="AE92" i="6"/>
  <c r="AB93" i="6"/>
  <c r="AC93" i="6"/>
  <c r="AD93" i="6"/>
  <c r="AE93" i="6"/>
  <c r="AB94" i="6"/>
  <c r="AC94" i="6"/>
  <c r="AD94" i="6"/>
  <c r="AE94" i="6"/>
  <c r="AB95" i="6"/>
  <c r="AC95" i="6"/>
  <c r="AD95" i="6"/>
  <c r="AE95" i="6"/>
  <c r="AB96" i="6"/>
  <c r="AC96" i="6"/>
  <c r="AD96" i="6"/>
  <c r="AE96" i="6"/>
  <c r="AB103" i="6"/>
  <c r="AC103" i="6"/>
  <c r="AD103" i="6"/>
  <c r="AE103" i="6"/>
  <c r="AB97" i="6"/>
  <c r="AC97" i="6"/>
  <c r="AD97" i="6"/>
  <c r="AE97" i="6"/>
  <c r="AB232" i="6"/>
  <c r="AC232" i="6"/>
  <c r="AD232" i="6"/>
  <c r="AE232" i="6"/>
  <c r="AB233" i="6"/>
  <c r="AC233" i="6"/>
  <c r="AD233" i="6"/>
  <c r="AE233" i="6"/>
  <c r="AB71" i="6"/>
  <c r="AC71" i="6"/>
  <c r="AD71" i="6"/>
  <c r="AE71" i="6"/>
  <c r="AB104" i="6"/>
  <c r="AC104" i="6"/>
  <c r="AD104" i="6"/>
  <c r="AE104" i="6"/>
  <c r="AB105" i="6"/>
  <c r="AC105" i="6"/>
  <c r="AD105" i="6"/>
  <c r="AE105" i="6"/>
  <c r="AB98" i="6"/>
  <c r="AC98" i="6"/>
  <c r="AD98" i="6"/>
  <c r="AE98" i="6"/>
  <c r="AB99" i="6"/>
  <c r="AC99" i="6"/>
  <c r="AD99" i="6"/>
  <c r="AE99" i="6"/>
  <c r="AB100" i="6"/>
  <c r="AC100" i="6"/>
  <c r="AD100" i="6"/>
  <c r="AE100" i="6"/>
  <c r="AB107" i="6"/>
  <c r="AC107" i="6"/>
  <c r="AD107" i="6"/>
  <c r="AE107" i="6"/>
  <c r="AB108" i="6"/>
  <c r="AC108" i="6"/>
  <c r="AD108" i="6"/>
  <c r="AE108" i="6"/>
  <c r="AB109" i="6"/>
  <c r="AC109" i="6"/>
  <c r="AD109" i="6"/>
  <c r="AE109" i="6"/>
  <c r="AB101" i="6"/>
  <c r="AC101" i="6"/>
  <c r="AD101" i="6"/>
  <c r="AE101" i="6"/>
  <c r="AB54" i="6"/>
  <c r="AC54" i="6"/>
  <c r="AD54" i="6"/>
  <c r="AE54" i="6"/>
  <c r="AB115" i="6"/>
  <c r="AC115" i="6"/>
  <c r="AD115" i="6"/>
  <c r="AE115" i="6"/>
  <c r="AB116" i="6"/>
  <c r="AC116" i="6"/>
  <c r="AD116" i="6"/>
  <c r="AE116" i="6"/>
  <c r="AB117" i="6"/>
  <c r="AC117" i="6"/>
  <c r="AD117" i="6"/>
  <c r="AE117" i="6"/>
  <c r="AB55" i="6"/>
  <c r="AC55" i="6"/>
  <c r="AD55" i="6"/>
  <c r="AE55" i="6"/>
  <c r="AB123" i="6"/>
  <c r="AC123" i="6"/>
  <c r="AD123" i="6"/>
  <c r="AE123" i="6"/>
  <c r="AB124" i="6"/>
  <c r="AC124" i="6"/>
  <c r="AD124" i="6"/>
  <c r="AE124" i="6"/>
  <c r="AB125" i="6"/>
  <c r="AC125" i="6"/>
  <c r="AD125" i="6"/>
  <c r="AE125" i="6"/>
  <c r="AB129" i="6"/>
  <c r="AC129" i="6"/>
  <c r="AD129" i="6"/>
  <c r="AE129" i="6"/>
  <c r="AB130" i="6"/>
  <c r="AC130" i="6"/>
  <c r="AD130" i="6"/>
  <c r="AE130" i="6"/>
  <c r="AB272" i="6"/>
  <c r="AC272" i="6"/>
  <c r="AD272" i="6"/>
  <c r="AE272" i="6"/>
  <c r="AB160" i="6"/>
  <c r="AC160" i="6"/>
  <c r="AD160" i="6"/>
  <c r="AE160" i="6"/>
  <c r="AB110" i="6"/>
  <c r="AC110" i="6"/>
  <c r="AD110" i="6"/>
  <c r="AE110" i="6"/>
  <c r="AB111" i="6"/>
  <c r="AC111" i="6"/>
  <c r="AD111" i="6"/>
  <c r="AE111" i="6"/>
  <c r="AB112" i="6"/>
  <c r="AC112" i="6"/>
  <c r="AD112" i="6"/>
  <c r="AE112" i="6"/>
  <c r="AB31" i="6"/>
  <c r="AC31" i="6"/>
  <c r="AD31" i="6"/>
  <c r="AE31" i="6"/>
  <c r="AB165" i="6"/>
  <c r="AC165" i="6"/>
  <c r="AD165" i="6"/>
  <c r="AE165" i="6"/>
  <c r="AB166" i="6"/>
  <c r="AC166" i="6"/>
  <c r="AD166" i="6"/>
  <c r="AE166" i="6"/>
  <c r="AB167" i="6"/>
  <c r="AC167" i="6"/>
  <c r="AD167" i="6"/>
  <c r="AE167" i="6"/>
  <c r="AB208" i="6"/>
  <c r="AC208" i="6"/>
  <c r="AD208" i="6"/>
  <c r="AE208" i="6"/>
  <c r="AB141" i="6"/>
  <c r="AC141" i="6"/>
  <c r="AD141" i="6"/>
  <c r="AE141" i="6"/>
  <c r="AB168" i="6"/>
  <c r="AC168" i="6"/>
  <c r="AD168" i="6"/>
  <c r="AE168" i="6"/>
  <c r="AB56" i="6"/>
  <c r="AC56" i="6"/>
  <c r="AD56" i="6"/>
  <c r="AE56" i="6"/>
  <c r="AB284" i="6"/>
  <c r="AC284" i="6"/>
  <c r="AD284" i="6"/>
  <c r="AE284" i="6"/>
  <c r="AB234" i="6"/>
  <c r="AC234" i="6"/>
  <c r="AD234" i="6"/>
  <c r="AE234" i="6"/>
  <c r="AB196" i="6"/>
  <c r="AC196" i="6"/>
  <c r="AD196" i="6"/>
  <c r="AE196" i="6"/>
  <c r="AB142" i="6"/>
  <c r="AC142" i="6"/>
  <c r="AD142" i="6"/>
  <c r="AE142" i="6"/>
  <c r="AB175" i="6"/>
  <c r="AC175" i="6"/>
  <c r="AD175" i="6"/>
  <c r="AE175" i="6"/>
  <c r="AB176" i="6"/>
  <c r="AC176" i="6"/>
  <c r="AD176" i="6"/>
  <c r="AE176" i="6"/>
  <c r="AB131" i="6"/>
  <c r="AC131" i="6"/>
  <c r="AD131" i="6"/>
  <c r="AE131" i="6"/>
  <c r="AB12" i="6"/>
  <c r="AC12" i="6"/>
  <c r="AD12" i="6"/>
  <c r="AE12" i="6"/>
  <c r="AB297" i="6"/>
  <c r="AC297" i="6"/>
  <c r="AD297" i="6"/>
  <c r="AE297" i="6"/>
  <c r="AB197" i="6"/>
  <c r="AC197" i="6"/>
  <c r="AD197" i="6"/>
  <c r="AE197" i="6"/>
  <c r="AB209" i="6"/>
  <c r="AC209" i="6"/>
  <c r="AD209" i="6"/>
  <c r="AE209" i="6"/>
  <c r="AB143" i="6"/>
  <c r="AC143" i="6"/>
  <c r="AD143" i="6"/>
  <c r="AE143" i="6"/>
  <c r="AB210" i="6"/>
  <c r="AC210" i="6"/>
  <c r="AD210" i="6"/>
  <c r="AE210" i="6"/>
  <c r="AB132" i="6"/>
  <c r="AC132" i="6"/>
  <c r="AD132" i="6"/>
  <c r="AE132" i="6"/>
  <c r="AB13" i="6"/>
  <c r="AC13" i="6"/>
  <c r="AD13" i="6"/>
  <c r="AE13" i="6"/>
  <c r="AB46" i="6"/>
  <c r="AC46" i="6"/>
  <c r="AD46" i="6"/>
  <c r="AE46" i="6"/>
  <c r="AB261" i="6"/>
  <c r="AC261" i="6"/>
  <c r="AD261" i="6"/>
  <c r="AE261" i="6"/>
  <c r="AB24" i="6"/>
  <c r="AC24" i="6"/>
  <c r="AD24" i="6"/>
  <c r="AE24" i="6"/>
  <c r="AB235" i="6"/>
  <c r="AC235" i="6"/>
  <c r="AD235" i="6"/>
  <c r="AE235" i="6"/>
  <c r="AB198" i="6"/>
  <c r="AC198" i="6"/>
  <c r="AD198" i="6"/>
  <c r="AE198" i="6"/>
  <c r="AB72" i="6"/>
  <c r="AC72" i="6"/>
  <c r="AD72" i="6"/>
  <c r="AE72" i="6"/>
  <c r="AB262" i="6"/>
  <c r="AC262" i="6"/>
  <c r="AD262" i="6"/>
  <c r="AE262" i="6"/>
  <c r="AB38" i="6"/>
  <c r="AC38" i="6"/>
  <c r="AD38" i="6"/>
  <c r="AE38" i="6"/>
  <c r="AB73" i="6"/>
  <c r="AC73" i="6"/>
  <c r="AD73" i="6"/>
  <c r="AE73" i="6"/>
  <c r="AB74" i="6"/>
  <c r="AC74" i="6"/>
  <c r="AD74" i="6"/>
  <c r="AE74" i="6"/>
  <c r="AB285" i="6"/>
  <c r="AC285" i="6"/>
  <c r="AD285" i="6"/>
  <c r="AE285" i="6"/>
  <c r="AB75" i="6"/>
  <c r="AC75" i="6"/>
  <c r="AD75" i="6"/>
  <c r="AE75" i="6"/>
  <c r="AB236" i="6"/>
  <c r="AC236" i="6"/>
  <c r="AD236" i="6"/>
  <c r="AE236" i="6"/>
  <c r="AB237" i="6"/>
  <c r="AC237" i="6"/>
  <c r="AD237" i="6"/>
  <c r="AE237" i="6"/>
  <c r="AB211" i="6"/>
  <c r="AC211" i="6"/>
  <c r="AD211" i="6"/>
  <c r="AE211" i="6"/>
  <c r="AB273" i="6"/>
  <c r="AC273" i="6"/>
  <c r="AD273" i="6"/>
  <c r="AE273" i="6"/>
  <c r="AB212" i="6"/>
  <c r="AC212" i="6"/>
  <c r="AD212" i="6"/>
  <c r="AE212" i="6"/>
  <c r="AB133" i="6"/>
  <c r="AC133" i="6"/>
  <c r="AD133" i="6"/>
  <c r="AE133" i="6"/>
  <c r="AB76" i="6"/>
  <c r="AC76" i="6"/>
  <c r="AD76" i="6"/>
  <c r="AE76" i="6"/>
  <c r="AB213" i="6"/>
  <c r="AC213" i="6"/>
  <c r="AD213" i="6"/>
  <c r="AE213" i="6"/>
  <c r="AB25" i="6"/>
  <c r="AC25" i="6"/>
  <c r="AD25" i="6"/>
  <c r="AE25" i="6"/>
  <c r="AB135" i="6"/>
  <c r="AC135" i="6"/>
  <c r="AD135" i="6"/>
  <c r="AE135" i="6"/>
  <c r="AB238" i="6"/>
  <c r="AC238" i="6"/>
  <c r="AD238" i="6"/>
  <c r="AE238" i="6"/>
  <c r="AB161" i="6"/>
  <c r="AC161" i="6"/>
  <c r="AD161" i="6"/>
  <c r="AE161" i="6"/>
  <c r="AB77" i="6"/>
  <c r="AC77" i="6"/>
  <c r="AD77" i="6"/>
  <c r="AE77" i="6"/>
  <c r="AB263" i="6"/>
  <c r="AC263" i="6"/>
  <c r="AD263" i="6"/>
  <c r="AE263" i="6"/>
  <c r="AB274" i="6"/>
  <c r="AC274" i="6"/>
  <c r="AD274" i="6"/>
  <c r="AE274" i="6"/>
  <c r="AB126" i="6"/>
  <c r="AC126" i="6"/>
  <c r="AD126" i="6"/>
  <c r="AE126" i="6"/>
  <c r="AB144" i="6"/>
  <c r="AC144" i="6"/>
  <c r="AD144" i="6"/>
  <c r="AE144" i="6"/>
  <c r="AB239" i="6"/>
  <c r="AC239" i="6"/>
  <c r="AD239" i="6"/>
  <c r="AE239" i="6"/>
  <c r="AB275" i="6"/>
  <c r="AC275" i="6"/>
  <c r="AD275" i="6"/>
  <c r="AE275" i="6"/>
  <c r="AB57" i="6"/>
  <c r="AC57" i="6"/>
  <c r="AD57" i="6"/>
  <c r="AE57" i="6"/>
  <c r="AB214" i="6"/>
  <c r="AC214" i="6"/>
  <c r="AD214" i="6"/>
  <c r="AE214" i="6"/>
  <c r="AB276" i="6"/>
  <c r="AC276" i="6"/>
  <c r="AD276" i="6"/>
  <c r="AE276" i="6"/>
  <c r="AB286" i="6"/>
  <c r="AC286" i="6"/>
  <c r="AD286" i="6"/>
  <c r="AE286" i="6"/>
  <c r="AB118" i="6"/>
  <c r="AC118" i="6"/>
  <c r="AD118" i="6"/>
  <c r="AE118" i="6"/>
  <c r="AB119" i="6"/>
  <c r="AC119" i="6"/>
  <c r="AD119" i="6"/>
  <c r="AE119" i="6"/>
  <c r="AB14" i="6"/>
  <c r="AC14" i="6"/>
  <c r="AD14" i="6"/>
  <c r="AE14" i="6"/>
  <c r="AB120" i="6"/>
  <c r="AC120" i="6"/>
  <c r="AD120" i="6"/>
  <c r="AE120" i="6"/>
  <c r="AB199" i="6"/>
  <c r="AC199" i="6"/>
  <c r="AD199" i="6"/>
  <c r="AE199" i="6"/>
  <c r="AB153" i="6"/>
  <c r="AC153" i="6"/>
  <c r="AD153" i="6"/>
  <c r="AE153" i="6"/>
  <c r="AB215" i="6"/>
  <c r="AC215" i="6"/>
  <c r="AD215" i="6"/>
  <c r="AE215" i="6"/>
  <c r="AB200" i="6"/>
  <c r="AC200" i="6"/>
  <c r="AD200" i="6"/>
  <c r="AE200" i="6"/>
  <c r="AB26" i="6"/>
  <c r="AC26" i="6"/>
  <c r="AD26" i="6"/>
  <c r="AE26" i="6"/>
  <c r="AB264" i="6"/>
  <c r="AC264" i="6"/>
  <c r="AD264" i="6"/>
  <c r="AE264" i="6"/>
  <c r="AB121" i="6"/>
  <c r="AC121" i="6"/>
  <c r="AD121" i="6"/>
  <c r="AE121" i="6"/>
  <c r="AB127" i="6"/>
  <c r="AC127" i="6"/>
  <c r="AD127" i="6"/>
  <c r="AE127" i="6"/>
  <c r="AB240" i="6"/>
  <c r="AC240" i="6"/>
  <c r="AD240" i="6"/>
  <c r="AE240" i="6"/>
  <c r="AB241" i="6"/>
  <c r="AC241" i="6"/>
  <c r="AD241" i="6"/>
  <c r="AE241" i="6"/>
  <c r="AB242" i="6"/>
  <c r="AC242" i="6"/>
  <c r="AD242" i="6"/>
  <c r="AE242" i="6"/>
  <c r="AB134" i="6"/>
  <c r="AC134" i="6"/>
  <c r="AD134" i="6"/>
  <c r="AE134" i="6"/>
  <c r="AB58" i="6"/>
  <c r="AC58" i="6"/>
  <c r="AD58" i="6"/>
  <c r="AE58" i="6"/>
  <c r="AB39" i="6"/>
  <c r="AC39" i="6"/>
  <c r="AD39" i="6"/>
  <c r="AE39" i="6"/>
  <c r="AB44" i="6"/>
  <c r="AC44" i="6"/>
  <c r="AD44" i="6"/>
  <c r="AE44" i="6"/>
  <c r="AB177" i="6"/>
  <c r="AC177" i="6"/>
  <c r="AD177" i="6"/>
  <c r="AE177" i="6"/>
  <c r="AB78" i="6"/>
  <c r="AC78" i="6"/>
  <c r="AD78" i="6"/>
  <c r="AE78" i="6"/>
  <c r="AB32" i="6"/>
  <c r="AC32" i="6"/>
  <c r="AD32" i="6"/>
  <c r="AE32" i="6"/>
  <c r="AB190" i="6"/>
  <c r="AC190" i="6"/>
  <c r="AD190" i="6"/>
  <c r="AE190" i="6"/>
  <c r="AB136" i="6"/>
  <c r="AC136" i="6"/>
  <c r="AD136" i="6"/>
  <c r="AE136" i="6"/>
  <c r="AB137" i="6"/>
  <c r="AC137" i="6"/>
  <c r="AD137" i="6"/>
  <c r="AE137" i="6"/>
  <c r="AB138" i="6"/>
  <c r="AC138" i="6"/>
  <c r="AD138" i="6"/>
  <c r="AE138" i="6"/>
  <c r="AB243" i="6"/>
  <c r="AC243" i="6"/>
  <c r="AD243" i="6"/>
  <c r="AE243" i="6"/>
  <c r="AB244" i="6"/>
  <c r="AC244" i="6"/>
  <c r="AD244" i="6"/>
  <c r="AE244" i="6"/>
  <c r="AB245" i="6"/>
  <c r="AC245" i="6"/>
  <c r="AD245" i="6"/>
  <c r="AE245" i="6"/>
  <c r="AB33" i="6"/>
  <c r="AC33" i="6"/>
  <c r="AD33" i="6"/>
  <c r="AE33" i="6"/>
  <c r="AB79" i="6"/>
  <c r="AC79" i="6"/>
  <c r="AD79" i="6"/>
  <c r="AE79" i="6"/>
  <c r="AB113" i="6"/>
  <c r="AC113" i="6"/>
  <c r="AD113" i="6"/>
  <c r="AE113" i="6"/>
  <c r="AB246" i="6"/>
  <c r="AC246" i="6"/>
  <c r="AD246" i="6"/>
  <c r="AE246" i="6"/>
  <c r="AB247" i="6"/>
  <c r="AC247" i="6"/>
  <c r="AD247" i="6"/>
  <c r="AE247" i="6"/>
  <c r="AB287" i="6"/>
  <c r="AC287" i="6"/>
  <c r="AD287" i="6"/>
  <c r="AE287" i="6"/>
  <c r="AB288" i="6"/>
  <c r="AC288" i="6"/>
  <c r="AD288" i="6"/>
  <c r="AE288" i="6"/>
  <c r="AB34" i="6"/>
  <c r="AC34" i="6"/>
  <c r="AD34" i="6"/>
  <c r="AE34" i="6"/>
  <c r="AB178" i="6"/>
  <c r="AC178" i="6"/>
  <c r="AD178" i="6"/>
  <c r="AE178" i="6"/>
  <c r="AB154" i="6"/>
  <c r="AC154" i="6"/>
  <c r="AD154" i="6"/>
  <c r="AE154" i="6"/>
  <c r="AB248" i="6"/>
  <c r="AC248" i="6"/>
  <c r="AD248" i="6"/>
  <c r="AE248" i="6"/>
  <c r="AB277" i="6"/>
  <c r="AC277" i="6"/>
  <c r="AD277" i="6"/>
  <c r="AE277" i="6"/>
  <c r="AB249" i="6"/>
  <c r="AC249" i="6"/>
  <c r="AD249" i="6"/>
  <c r="AE249" i="6"/>
  <c r="AB80" i="6"/>
  <c r="AC80" i="6"/>
  <c r="AD80" i="6"/>
  <c r="AE80" i="6"/>
  <c r="AB250" i="6"/>
  <c r="AC250" i="6"/>
  <c r="AD250" i="6"/>
  <c r="AE250" i="6"/>
  <c r="AB81" i="6"/>
  <c r="AC81" i="6"/>
  <c r="AD81" i="6"/>
  <c r="AE81" i="6"/>
  <c r="AB265" i="6"/>
  <c r="AC265" i="6"/>
  <c r="AD265" i="6"/>
  <c r="AE265" i="6"/>
  <c r="AB162" i="6"/>
  <c r="AC162" i="6"/>
  <c r="AD162" i="6"/>
  <c r="AE162" i="6"/>
  <c r="AB289" i="6"/>
  <c r="AC289" i="6"/>
  <c r="AD289" i="6"/>
  <c r="AE289" i="6"/>
  <c r="AB145" i="6"/>
  <c r="AC145" i="6"/>
  <c r="AD145" i="6"/>
  <c r="AE145" i="6"/>
  <c r="AB59" i="6"/>
  <c r="AC59" i="6"/>
  <c r="AD59" i="6"/>
  <c r="AE59" i="6"/>
  <c r="AB216" i="6"/>
  <c r="AC216" i="6"/>
  <c r="AD216" i="6"/>
  <c r="AE216" i="6"/>
  <c r="AB217" i="6"/>
  <c r="AC217" i="6"/>
  <c r="AD217" i="6"/>
  <c r="AE217" i="6"/>
  <c r="AB218" i="6"/>
  <c r="AC218" i="6"/>
  <c r="AD218" i="6"/>
  <c r="AE218" i="6"/>
  <c r="AB201" i="6"/>
  <c r="AC201" i="6"/>
  <c r="AD201" i="6"/>
  <c r="AE201" i="6"/>
  <c r="AB219" i="6"/>
  <c r="AC219" i="6"/>
  <c r="AD219" i="6"/>
  <c r="AE219" i="6"/>
  <c r="AB128" i="6"/>
  <c r="AC128" i="6"/>
  <c r="AD128" i="6"/>
  <c r="AE128" i="6"/>
  <c r="AB146" i="6"/>
  <c r="AC146" i="6"/>
  <c r="AD146" i="6"/>
  <c r="AE146" i="6"/>
  <c r="AB147" i="6"/>
  <c r="AC147" i="6"/>
  <c r="AD147" i="6"/>
  <c r="AE147" i="6"/>
  <c r="AB179" i="6"/>
  <c r="AC179" i="6"/>
  <c r="AD179" i="6"/>
  <c r="AE179" i="6"/>
  <c r="AB155" i="6"/>
  <c r="AC155" i="6"/>
  <c r="AD155" i="6"/>
  <c r="AE155" i="6"/>
  <c r="AB220" i="6"/>
  <c r="AC220" i="6"/>
  <c r="AD220" i="6"/>
  <c r="AE220" i="6"/>
  <c r="AB202" i="6"/>
  <c r="AC202" i="6"/>
  <c r="AD202" i="6"/>
  <c r="AE202" i="6"/>
  <c r="AB221" i="6"/>
  <c r="AC221" i="6"/>
  <c r="AD221" i="6"/>
  <c r="AE221" i="6"/>
  <c r="AB222" i="6"/>
  <c r="AC222" i="6"/>
  <c r="AD222" i="6"/>
  <c r="AE222" i="6"/>
  <c r="AB203" i="6"/>
  <c r="AC203" i="6"/>
  <c r="AD203" i="6"/>
  <c r="AE203" i="6"/>
  <c r="AB223" i="6"/>
  <c r="AC223" i="6"/>
  <c r="AD223" i="6"/>
  <c r="AE223" i="6"/>
  <c r="AB224" i="6"/>
  <c r="AC224" i="6"/>
  <c r="AD224" i="6"/>
  <c r="AE224" i="6"/>
  <c r="AB225" i="6"/>
  <c r="AC225" i="6"/>
  <c r="AD225" i="6"/>
  <c r="AE225" i="6"/>
  <c r="AB148" i="6"/>
  <c r="AC148" i="6"/>
  <c r="AD148" i="6"/>
  <c r="AE148" i="6"/>
  <c r="AB149" i="6"/>
  <c r="AC149" i="6"/>
  <c r="AD149" i="6"/>
  <c r="AE149" i="6"/>
  <c r="AB150" i="6"/>
  <c r="AC150" i="6"/>
  <c r="AD150" i="6"/>
  <c r="AE150" i="6"/>
  <c r="AB82" i="6"/>
  <c r="AC82" i="6"/>
  <c r="AD82" i="6"/>
  <c r="AE82" i="6"/>
  <c r="AB186" i="6"/>
  <c r="AC186" i="6"/>
  <c r="AD186" i="6"/>
  <c r="AE186" i="6"/>
  <c r="AB187" i="6"/>
  <c r="AC187" i="6"/>
  <c r="AD187" i="6"/>
  <c r="AE187" i="6"/>
  <c r="AB188" i="6"/>
  <c r="AC188" i="6"/>
  <c r="AD188" i="6"/>
  <c r="AE188" i="6"/>
  <c r="AB152" i="6"/>
  <c r="AC152" i="6"/>
  <c r="AD152" i="6"/>
  <c r="AE152" i="6"/>
  <c r="AB156" i="6"/>
  <c r="AC156" i="6"/>
  <c r="AD156" i="6"/>
  <c r="AE156" i="6"/>
  <c r="AB163" i="6"/>
  <c r="AC163" i="6"/>
  <c r="AD163" i="6"/>
  <c r="AE163" i="6"/>
  <c r="AB169" i="6"/>
  <c r="AC169" i="6"/>
  <c r="AD169" i="6"/>
  <c r="AE169" i="6"/>
  <c r="AB170" i="6"/>
  <c r="AC170" i="6"/>
  <c r="AD170" i="6"/>
  <c r="AE170" i="6"/>
  <c r="AB180" i="6"/>
  <c r="AC180" i="6"/>
  <c r="AD180" i="6"/>
  <c r="AE180" i="6"/>
  <c r="AB191" i="6"/>
  <c r="AC191" i="6"/>
  <c r="AD191" i="6"/>
  <c r="AE191" i="6"/>
  <c r="AB189" i="6"/>
  <c r="AC189" i="6"/>
  <c r="AD189" i="6"/>
  <c r="AE189" i="6"/>
  <c r="AB192" i="6"/>
  <c r="AC192" i="6"/>
  <c r="AD192" i="6"/>
  <c r="AE192" i="6"/>
  <c r="AB195" i="6"/>
  <c r="AC195" i="6"/>
  <c r="AD195" i="6"/>
  <c r="AE195" i="6"/>
  <c r="AB193" i="6"/>
  <c r="AC193" i="6"/>
  <c r="AD193" i="6"/>
  <c r="AE193" i="6"/>
  <c r="AB194" i="6"/>
  <c r="AC194" i="6"/>
  <c r="AD194" i="6"/>
  <c r="AE194" i="6"/>
  <c r="AB204" i="6"/>
  <c r="AC204" i="6"/>
  <c r="AD204" i="6"/>
  <c r="AE204" i="6"/>
  <c r="AB226" i="6"/>
  <c r="AC226" i="6"/>
  <c r="AD226" i="6"/>
  <c r="AE226" i="6"/>
  <c r="AB164" i="6"/>
  <c r="AC164" i="6"/>
  <c r="AD164" i="6"/>
  <c r="AE164" i="6"/>
  <c r="AB251" i="6"/>
  <c r="AC251" i="6"/>
  <c r="AD251" i="6"/>
  <c r="AE251" i="6"/>
  <c r="AB205" i="6"/>
  <c r="AC205" i="6"/>
  <c r="AD205" i="6"/>
  <c r="AE205" i="6"/>
  <c r="AB252" i="6"/>
  <c r="AC252" i="6"/>
  <c r="AD252" i="6"/>
  <c r="AE252" i="6"/>
  <c r="AB253" i="6"/>
  <c r="AC253" i="6"/>
  <c r="AD253" i="6"/>
  <c r="AE253" i="6"/>
  <c r="AB254" i="6"/>
  <c r="AC254" i="6"/>
  <c r="AD254" i="6"/>
  <c r="AE254" i="6"/>
  <c r="AB255" i="6"/>
  <c r="AC255" i="6"/>
  <c r="AD255" i="6"/>
  <c r="AE255" i="6"/>
  <c r="AB278" i="6"/>
  <c r="AC278" i="6"/>
  <c r="AD278" i="6"/>
  <c r="AE278" i="6"/>
  <c r="AB256" i="6"/>
  <c r="AC256" i="6"/>
  <c r="AD256" i="6"/>
  <c r="AE256" i="6"/>
  <c r="AB257" i="6"/>
  <c r="AC257" i="6"/>
  <c r="AD257" i="6"/>
  <c r="AE257" i="6"/>
  <c r="AB266" i="6"/>
  <c r="AC266" i="6"/>
  <c r="AD266" i="6"/>
  <c r="AE266" i="6"/>
  <c r="AB267" i="6"/>
  <c r="AC267" i="6"/>
  <c r="AD267" i="6"/>
  <c r="AE267" i="6"/>
  <c r="AB268" i="6"/>
  <c r="AC268" i="6"/>
  <c r="AD268" i="6"/>
  <c r="AE268" i="6"/>
  <c r="AB279" i="6"/>
  <c r="AC279" i="6"/>
  <c r="AD279" i="6"/>
  <c r="AE279" i="6"/>
  <c r="AB280" i="6"/>
  <c r="AC280" i="6"/>
  <c r="AD280" i="6"/>
  <c r="AE280" i="6"/>
  <c r="AB281" i="6"/>
  <c r="AC281" i="6"/>
  <c r="AD281" i="6"/>
  <c r="AE281" i="6"/>
  <c r="AB282" i="6"/>
  <c r="AC282" i="6"/>
  <c r="AD282" i="6"/>
  <c r="AE282" i="6"/>
  <c r="AB227" i="6"/>
  <c r="AC227" i="6"/>
  <c r="AD227" i="6"/>
  <c r="AE227" i="6"/>
  <c r="AB157" i="6"/>
  <c r="AC157" i="6"/>
  <c r="AD157" i="6"/>
  <c r="AE157" i="6"/>
  <c r="AB35" i="6"/>
  <c r="AC35" i="6"/>
  <c r="AD35" i="6"/>
  <c r="AE35" i="6"/>
  <c r="AB151" i="6"/>
  <c r="AC151" i="6"/>
  <c r="AD151" i="6"/>
  <c r="AE151" i="6"/>
  <c r="AB290" i="6"/>
  <c r="AC290" i="6"/>
  <c r="AD290" i="6"/>
  <c r="AE290" i="6"/>
  <c r="AB269" i="6"/>
  <c r="AC269" i="6"/>
  <c r="AD269" i="6"/>
  <c r="AE269" i="6"/>
  <c r="AB270" i="6"/>
  <c r="AC270" i="6"/>
  <c r="AD270" i="6"/>
  <c r="AE270" i="6"/>
  <c r="AB122" i="6"/>
  <c r="AC122" i="6"/>
  <c r="AD122" i="6"/>
  <c r="AE122" i="6"/>
  <c r="AB228" i="6"/>
  <c r="AC228" i="6"/>
  <c r="AD228" i="6"/>
  <c r="AE228" i="6"/>
  <c r="AB229" i="6"/>
  <c r="AC229" i="6"/>
  <c r="AD229" i="6"/>
  <c r="AE229" i="6"/>
  <c r="AB230" i="6"/>
  <c r="AC230" i="6"/>
  <c r="AD230" i="6"/>
  <c r="AE230" i="6"/>
  <c r="AB258" i="6"/>
  <c r="AC258" i="6"/>
  <c r="AD258" i="6"/>
  <c r="AE258" i="6"/>
  <c r="AB271" i="6"/>
  <c r="AC271" i="6"/>
  <c r="AD271" i="6"/>
  <c r="AE271" i="6"/>
  <c r="AB231" i="6"/>
  <c r="AC231" i="6"/>
  <c r="AD231" i="6"/>
  <c r="AE231" i="6"/>
  <c r="AB83" i="6"/>
  <c r="AC83" i="6"/>
  <c r="AD83" i="6"/>
  <c r="AE83" i="6"/>
  <c r="AB84" i="6"/>
  <c r="AC84" i="6"/>
  <c r="AD84" i="6"/>
  <c r="AE84" i="6"/>
  <c r="AB63" i="6"/>
  <c r="AC63" i="6"/>
  <c r="AD63" i="6"/>
  <c r="AE63" i="6"/>
  <c r="AB60" i="6"/>
  <c r="AC60" i="6"/>
  <c r="AD60" i="6"/>
  <c r="AE60" i="6"/>
  <c r="AB291" i="6"/>
  <c r="AC291" i="6"/>
  <c r="AD291" i="6"/>
  <c r="AE291" i="6"/>
  <c r="AB292" i="6"/>
  <c r="AC292" i="6"/>
  <c r="AD292" i="6"/>
  <c r="AE292" i="6"/>
  <c r="AB293" i="6"/>
  <c r="AC293" i="6"/>
  <c r="AD293" i="6"/>
  <c r="AE293" i="6"/>
  <c r="AB294" i="6"/>
  <c r="AC294" i="6"/>
  <c r="AD294" i="6"/>
  <c r="AE294" i="6"/>
  <c r="AB295" i="6"/>
  <c r="AC295" i="6"/>
  <c r="AD295" i="6"/>
  <c r="AE295" i="6"/>
  <c r="AB171" i="6"/>
  <c r="AC171" i="6"/>
  <c r="AD171" i="6"/>
  <c r="AE171" i="6"/>
  <c r="AB172" i="6"/>
  <c r="AC172" i="6"/>
  <c r="AD172" i="6"/>
  <c r="AE172" i="6"/>
  <c r="AB181" i="6"/>
  <c r="AC181" i="6"/>
  <c r="AD181" i="6"/>
  <c r="AE181" i="6"/>
  <c r="AB158" i="6"/>
  <c r="AC158" i="6"/>
  <c r="AD158" i="6"/>
  <c r="AE158" i="6"/>
  <c r="AB173" i="6"/>
  <c r="AC173" i="6"/>
  <c r="AD173" i="6"/>
  <c r="AE173" i="6"/>
  <c r="AB259" i="6"/>
  <c r="AC259" i="6"/>
  <c r="AD259" i="6"/>
  <c r="AE259" i="6"/>
  <c r="AB296" i="6"/>
  <c r="AC296" i="6"/>
  <c r="AD296" i="6"/>
  <c r="AE296" i="6"/>
  <c r="AB61" i="6"/>
  <c r="AC61" i="6"/>
  <c r="AD61" i="6"/>
  <c r="AE61" i="6"/>
  <c r="AB15" i="6"/>
  <c r="AC15" i="6"/>
  <c r="AD15" i="6"/>
  <c r="AE15" i="6"/>
  <c r="AB16" i="6"/>
  <c r="AC16" i="6"/>
  <c r="AD16" i="6"/>
  <c r="AE16" i="6"/>
  <c r="AB17" i="6"/>
  <c r="AC17" i="6"/>
  <c r="AD17" i="6"/>
  <c r="AE17" i="6"/>
  <c r="AB18" i="6"/>
  <c r="AC18" i="6"/>
  <c r="AD18" i="6"/>
  <c r="AE18" i="6"/>
  <c r="AB19" i="6"/>
  <c r="AC19" i="6"/>
  <c r="AD19" i="6"/>
  <c r="AE19" i="6"/>
  <c r="AB20" i="6"/>
  <c r="AC20" i="6"/>
  <c r="AD20" i="6"/>
  <c r="AE20" i="6"/>
  <c r="AB182" i="6"/>
  <c r="AC182" i="6"/>
  <c r="AD182" i="6"/>
  <c r="AE182" i="6"/>
  <c r="AB36" i="6"/>
  <c r="AC36" i="6"/>
  <c r="AD36" i="6"/>
  <c r="AE36" i="6"/>
  <c r="AB183" i="6"/>
  <c r="AC183" i="6"/>
  <c r="AD183" i="6"/>
  <c r="AE183" i="6"/>
  <c r="AB298" i="6"/>
  <c r="AC298" i="6"/>
  <c r="AD298" i="6"/>
  <c r="AE298" i="6"/>
  <c r="AB174" i="6"/>
  <c r="AC174" i="6"/>
  <c r="AD174" i="6"/>
  <c r="AE174" i="6"/>
  <c r="AB184" i="6"/>
  <c r="AC184" i="6"/>
  <c r="AD184" i="6"/>
  <c r="AE184" i="6"/>
  <c r="AB185" i="6"/>
  <c r="AC185" i="6"/>
  <c r="AD185" i="6"/>
  <c r="AE185" i="6"/>
  <c r="AB102" i="6"/>
  <c r="AC102" i="6"/>
  <c r="AD102" i="6"/>
  <c r="AE102" i="6"/>
  <c r="AB303" i="6"/>
  <c r="AC303" i="6"/>
  <c r="AD303" i="6"/>
  <c r="AE303" i="6"/>
  <c r="AB304" i="6"/>
  <c r="AC304" i="6"/>
  <c r="AD304" i="6"/>
  <c r="AE304" i="6"/>
  <c r="AB305" i="6"/>
  <c r="AC305" i="6"/>
  <c r="AD305" i="6"/>
  <c r="AE305" i="6"/>
  <c r="AB306" i="6"/>
  <c r="AC306" i="6"/>
  <c r="AD306" i="6"/>
  <c r="AE306" i="6"/>
  <c r="AB307" i="6"/>
  <c r="AC307" i="6"/>
  <c r="AD307" i="6"/>
  <c r="AE307" i="6"/>
  <c r="AB308" i="6"/>
  <c r="AC308" i="6"/>
  <c r="AD308" i="6"/>
  <c r="AE308" i="6"/>
  <c r="AB309" i="6"/>
  <c r="AC309" i="6"/>
  <c r="AD309" i="6"/>
  <c r="AE309" i="6"/>
  <c r="AB310" i="6"/>
  <c r="AC310" i="6"/>
  <c r="AD310" i="6"/>
  <c r="AE310" i="6"/>
  <c r="AB311" i="6"/>
  <c r="AC311" i="6"/>
  <c r="AD311" i="6"/>
  <c r="AE311" i="6"/>
  <c r="AB312" i="6"/>
  <c r="AC312" i="6"/>
  <c r="AD312" i="6"/>
  <c r="AE312" i="6"/>
  <c r="AB313" i="6"/>
  <c r="AC313" i="6"/>
  <c r="AD313" i="6"/>
  <c r="AE313" i="6"/>
  <c r="AB314" i="6"/>
  <c r="AC314" i="6"/>
  <c r="AD314" i="6"/>
  <c r="AE314" i="6"/>
  <c r="AB315" i="6"/>
  <c r="AC315" i="6"/>
  <c r="AD315" i="6"/>
  <c r="AE315" i="6"/>
  <c r="AB316" i="6"/>
  <c r="AC316" i="6"/>
  <c r="AD316" i="6"/>
  <c r="AE316" i="6"/>
  <c r="AB317" i="6"/>
  <c r="AC317" i="6"/>
  <c r="AD317" i="6"/>
  <c r="AE317" i="6"/>
  <c r="AB319" i="6"/>
  <c r="AC319" i="6"/>
  <c r="AD319" i="6"/>
  <c r="AE319" i="6"/>
  <c r="AB320" i="6"/>
  <c r="AC320" i="6"/>
  <c r="AD320" i="6"/>
  <c r="AE320" i="6"/>
  <c r="AB321" i="6"/>
  <c r="AC321" i="6"/>
  <c r="AD321" i="6"/>
  <c r="AE321" i="6"/>
  <c r="AB322" i="6"/>
  <c r="AC322" i="6"/>
  <c r="AD322" i="6"/>
  <c r="AE322" i="6"/>
  <c r="AB323" i="6"/>
  <c r="AC323" i="6"/>
  <c r="AD323" i="6"/>
  <c r="AE323" i="6"/>
  <c r="AB324" i="6"/>
  <c r="AC324" i="6"/>
  <c r="AD324" i="6"/>
  <c r="AE324" i="6"/>
  <c r="AB325" i="6"/>
  <c r="AC325" i="6"/>
  <c r="AD325" i="6"/>
  <c r="AE325" i="6"/>
  <c r="AB326" i="6"/>
  <c r="AC326" i="6"/>
  <c r="AD326" i="6"/>
  <c r="AE326" i="6"/>
  <c r="AB327" i="6"/>
  <c r="AC327" i="6"/>
  <c r="AD327" i="6"/>
  <c r="AE327" i="6"/>
  <c r="AB328" i="6"/>
  <c r="AC328" i="6"/>
  <c r="AD328" i="6"/>
  <c r="AE328" i="6"/>
  <c r="AB329" i="6"/>
  <c r="AC329" i="6"/>
  <c r="AD329" i="6"/>
  <c r="AE329" i="6"/>
  <c r="AB330" i="6"/>
  <c r="AC330" i="6"/>
  <c r="AD330" i="6"/>
  <c r="AE330" i="6"/>
  <c r="AB331" i="6"/>
  <c r="AC331" i="6"/>
  <c r="AD331" i="6"/>
  <c r="AE331" i="6"/>
  <c r="AB332" i="6"/>
  <c r="AC332" i="6"/>
  <c r="AD332" i="6"/>
  <c r="AE332" i="6"/>
  <c r="AB333" i="6"/>
  <c r="AC333" i="6"/>
  <c r="AD333" i="6"/>
  <c r="AE333" i="6"/>
  <c r="AB334" i="6"/>
  <c r="AC334" i="6"/>
  <c r="AD334" i="6"/>
  <c r="AE334" i="6"/>
  <c r="AB335" i="6"/>
  <c r="AC335" i="6"/>
  <c r="AD335" i="6"/>
  <c r="AE335" i="6"/>
  <c r="AB336" i="6"/>
  <c r="AC336" i="6"/>
  <c r="AD336" i="6"/>
  <c r="AE336" i="6"/>
  <c r="AB337" i="6"/>
  <c r="AC337" i="6"/>
  <c r="AD337" i="6"/>
  <c r="AE337" i="6"/>
  <c r="AB338" i="6"/>
  <c r="AC338" i="6"/>
  <c r="AD338" i="6"/>
  <c r="AE338" i="6"/>
  <c r="AB339" i="6"/>
  <c r="AC339" i="6"/>
  <c r="AD339" i="6"/>
  <c r="AE339" i="6"/>
  <c r="AB340" i="6"/>
  <c r="AC340" i="6"/>
  <c r="AD340" i="6"/>
  <c r="AE340" i="6"/>
  <c r="AB341" i="6"/>
  <c r="AC341" i="6"/>
  <c r="AD341" i="6"/>
  <c r="AE341" i="6"/>
  <c r="AB342" i="6"/>
  <c r="AC342" i="6"/>
  <c r="AD342" i="6"/>
  <c r="AE342" i="6"/>
  <c r="AB343" i="6"/>
  <c r="AC343" i="6"/>
  <c r="AD343" i="6"/>
  <c r="AE343" i="6"/>
  <c r="AB344" i="6"/>
  <c r="AC344" i="6"/>
  <c r="AD344" i="6"/>
  <c r="AE344" i="6"/>
  <c r="AB345" i="6"/>
  <c r="AC345" i="6"/>
  <c r="AD345" i="6"/>
  <c r="AE345" i="6"/>
  <c r="AB350" i="6"/>
  <c r="AC350" i="6"/>
  <c r="AD350" i="6"/>
  <c r="AE350" i="6"/>
  <c r="AB346" i="6"/>
  <c r="AC346" i="6"/>
  <c r="AD346" i="6"/>
  <c r="AE346" i="6"/>
  <c r="AB347" i="6"/>
  <c r="AC347" i="6"/>
  <c r="AD347" i="6"/>
  <c r="AE347" i="6"/>
  <c r="AB351" i="6"/>
  <c r="AC351" i="6"/>
  <c r="AD351" i="6"/>
  <c r="AE351" i="6"/>
  <c r="AB348" i="6"/>
  <c r="AC348" i="6"/>
  <c r="AD348" i="6"/>
  <c r="AE348" i="6"/>
  <c r="AB349" i="6"/>
  <c r="AC349" i="6"/>
  <c r="AD349" i="6"/>
  <c r="AE349" i="6"/>
  <c r="AB365" i="6"/>
  <c r="AC365" i="6"/>
  <c r="AD365" i="6"/>
  <c r="AE365" i="6"/>
  <c r="AB352" i="6"/>
  <c r="AC352" i="6"/>
  <c r="AD352" i="6"/>
  <c r="AE352" i="6"/>
  <c r="AB366" i="6"/>
  <c r="AC366" i="6"/>
  <c r="AD366" i="6"/>
  <c r="AE366" i="6"/>
  <c r="AB353" i="6"/>
  <c r="AC353" i="6"/>
  <c r="AD353" i="6"/>
  <c r="AE353" i="6"/>
  <c r="AB354" i="6"/>
  <c r="AC354" i="6"/>
  <c r="AD354" i="6"/>
  <c r="AE354" i="6"/>
  <c r="AB355" i="6"/>
  <c r="AC355" i="6"/>
  <c r="AD355" i="6"/>
  <c r="AE355" i="6"/>
  <c r="AB356" i="6"/>
  <c r="AC356" i="6"/>
  <c r="AD356" i="6"/>
  <c r="AE356" i="6"/>
  <c r="AB357" i="6"/>
  <c r="AC357" i="6"/>
  <c r="AD357" i="6"/>
  <c r="AE357" i="6"/>
  <c r="AB358" i="6"/>
  <c r="AC358" i="6"/>
  <c r="AD358" i="6"/>
  <c r="AE358" i="6"/>
  <c r="AB359" i="6"/>
  <c r="AC359" i="6"/>
  <c r="AD359" i="6"/>
  <c r="AE359" i="6"/>
  <c r="AB360" i="6"/>
  <c r="AC360" i="6"/>
  <c r="AD360" i="6"/>
  <c r="AE360" i="6"/>
  <c r="AB367" i="6"/>
  <c r="AC367" i="6"/>
  <c r="AD367" i="6"/>
  <c r="AE367" i="6"/>
  <c r="AB368" i="6"/>
  <c r="AC368" i="6"/>
  <c r="AD368" i="6"/>
  <c r="AE368" i="6"/>
  <c r="AB369" i="6"/>
  <c r="AC369" i="6"/>
  <c r="AD369" i="6"/>
  <c r="AE369" i="6"/>
  <c r="AB370" i="6"/>
  <c r="AC370" i="6"/>
  <c r="AD370" i="6"/>
  <c r="AE370" i="6"/>
  <c r="AB371" i="6"/>
  <c r="AC371" i="6"/>
  <c r="AD371" i="6"/>
  <c r="AE371" i="6"/>
  <c r="AB372" i="6"/>
  <c r="AC372" i="6"/>
  <c r="AD372" i="6"/>
  <c r="AE372" i="6"/>
  <c r="AB373" i="6"/>
  <c r="AC373" i="6"/>
  <c r="AD373" i="6"/>
  <c r="AE373" i="6"/>
  <c r="AB361" i="6"/>
  <c r="AC361" i="6"/>
  <c r="AD361" i="6"/>
  <c r="AE361" i="6"/>
  <c r="AB362" i="6"/>
  <c r="AC362" i="6"/>
  <c r="AD362" i="6"/>
  <c r="AE362" i="6"/>
  <c r="AB363" i="6"/>
  <c r="AC363" i="6"/>
  <c r="AD363" i="6"/>
  <c r="AE363" i="6"/>
  <c r="AB364" i="6"/>
  <c r="AC364" i="6"/>
  <c r="AD364" i="6"/>
  <c r="AE364" i="6"/>
  <c r="AB374" i="6"/>
  <c r="AC374" i="6"/>
  <c r="AD374" i="6"/>
  <c r="AE374" i="6"/>
  <c r="AB375" i="6"/>
  <c r="AC375" i="6"/>
  <c r="AD375" i="6"/>
  <c r="AE375" i="6"/>
  <c r="AB376" i="6"/>
  <c r="AC376" i="6"/>
  <c r="AD376" i="6"/>
  <c r="AE376" i="6"/>
  <c r="AB377" i="6"/>
  <c r="AC377" i="6"/>
  <c r="AD377" i="6"/>
  <c r="AE377" i="6"/>
  <c r="AB378" i="6"/>
  <c r="AC378" i="6"/>
  <c r="AD378" i="6"/>
  <c r="AE378" i="6"/>
  <c r="AB379" i="6"/>
  <c r="AC379" i="6"/>
  <c r="AD379" i="6"/>
  <c r="AE379" i="6"/>
  <c r="AB380" i="6"/>
  <c r="AC380" i="6"/>
  <c r="AD380" i="6"/>
  <c r="AE380" i="6"/>
  <c r="AB381" i="6"/>
  <c r="AC381" i="6"/>
  <c r="AD381" i="6"/>
  <c r="AE381" i="6"/>
  <c r="AB382" i="6"/>
  <c r="AC382" i="6"/>
  <c r="AD382" i="6"/>
  <c r="AE382" i="6"/>
  <c r="AB383" i="6"/>
  <c r="AC383" i="6"/>
  <c r="AD383" i="6"/>
  <c r="AE383" i="6"/>
  <c r="AB384" i="6"/>
  <c r="AC384" i="6"/>
  <c r="AD384" i="6"/>
  <c r="AE384" i="6"/>
  <c r="AB388" i="6"/>
  <c r="AC388" i="6"/>
  <c r="AD388" i="6"/>
  <c r="AE388" i="6"/>
  <c r="AB391" i="6"/>
  <c r="AC391" i="6"/>
  <c r="AD391" i="6"/>
  <c r="AE391" i="6"/>
  <c r="AB387" i="6"/>
  <c r="AC387" i="6"/>
  <c r="AD387" i="6"/>
  <c r="AE387" i="6"/>
  <c r="AB390" i="6"/>
  <c r="AC390" i="6"/>
  <c r="AD390" i="6"/>
  <c r="AE390" i="6"/>
  <c r="AB389" i="6"/>
  <c r="AC389" i="6"/>
  <c r="AD389" i="6"/>
  <c r="AE389" i="6"/>
  <c r="AB415" i="6"/>
  <c r="AC415" i="6"/>
  <c r="AD415" i="6"/>
  <c r="AE415" i="6"/>
  <c r="AB393" i="6"/>
  <c r="AC393" i="6"/>
  <c r="AD393" i="6"/>
  <c r="AE393" i="6"/>
  <c r="AB414" i="6"/>
  <c r="AC414" i="6"/>
  <c r="AD414" i="6"/>
  <c r="AE414" i="6"/>
  <c r="AB413" i="6"/>
  <c r="AC413" i="6"/>
  <c r="AD413" i="6"/>
  <c r="AE413" i="6"/>
  <c r="AB396" i="6"/>
  <c r="AC396" i="6"/>
  <c r="AD396" i="6"/>
  <c r="AE396" i="6"/>
  <c r="AB397" i="6"/>
  <c r="AC397" i="6"/>
  <c r="AD397" i="6"/>
  <c r="AE397" i="6"/>
  <c r="AB398" i="6"/>
  <c r="AC398" i="6"/>
  <c r="AD398" i="6"/>
  <c r="AE398" i="6"/>
  <c r="AB399" i="6"/>
  <c r="AC399" i="6"/>
  <c r="AD399" i="6"/>
  <c r="AE399" i="6"/>
  <c r="AB400" i="6"/>
  <c r="AC400" i="6"/>
  <c r="AD400" i="6"/>
  <c r="AE400" i="6"/>
  <c r="AB395" i="6"/>
  <c r="AC395" i="6"/>
  <c r="AD395" i="6"/>
  <c r="AE395" i="6"/>
  <c r="AB411" i="6"/>
  <c r="AC411" i="6"/>
  <c r="AD411" i="6"/>
  <c r="AE411" i="6"/>
  <c r="AB401" i="6"/>
  <c r="AC401" i="6"/>
  <c r="AD401" i="6"/>
  <c r="AE401" i="6"/>
  <c r="AB402" i="6"/>
  <c r="AC402" i="6"/>
  <c r="AD402" i="6"/>
  <c r="AE402" i="6"/>
  <c r="AB403" i="6"/>
  <c r="AC403" i="6"/>
  <c r="AD403" i="6"/>
  <c r="AE403" i="6"/>
  <c r="AB404" i="6"/>
  <c r="AC404" i="6"/>
  <c r="AD404" i="6"/>
  <c r="AE404" i="6"/>
  <c r="AB405" i="6"/>
  <c r="AC405" i="6"/>
  <c r="AD405" i="6"/>
  <c r="AE405" i="6"/>
  <c r="AB406" i="6"/>
  <c r="AC406" i="6"/>
  <c r="AD406" i="6"/>
  <c r="AE406" i="6"/>
  <c r="AB392" i="6"/>
  <c r="AC392" i="6"/>
  <c r="AD392" i="6"/>
  <c r="AE392" i="6"/>
  <c r="AB412" i="6"/>
  <c r="AC412" i="6"/>
  <c r="AD412" i="6"/>
  <c r="AE412" i="6"/>
  <c r="AB407" i="6"/>
  <c r="AC407" i="6"/>
  <c r="AD407" i="6"/>
  <c r="AE407" i="6"/>
  <c r="AB394" i="6"/>
  <c r="AC394" i="6"/>
  <c r="AD394" i="6"/>
  <c r="AE394" i="6"/>
  <c r="AB416" i="6"/>
  <c r="AC416" i="6"/>
  <c r="AD416" i="6"/>
  <c r="AE416" i="6"/>
  <c r="AB408" i="6"/>
  <c r="AC408" i="6"/>
  <c r="AD408" i="6"/>
  <c r="AE408" i="6"/>
  <c r="AB409" i="6"/>
  <c r="AC409" i="6"/>
  <c r="AD409" i="6"/>
  <c r="AE409" i="6"/>
  <c r="AB410" i="6"/>
  <c r="AC410" i="6"/>
  <c r="AD410" i="6"/>
  <c r="AE410" i="6"/>
  <c r="AB2" i="6"/>
  <c r="AC2" i="6"/>
  <c r="AD2" i="6"/>
  <c r="AE2" i="6"/>
  <c r="Y2" i="6"/>
  <c r="X2" i="6"/>
  <c r="W2" i="6"/>
  <c r="V2" i="6"/>
  <c r="V3" i="6"/>
  <c r="W3" i="6"/>
  <c r="X3" i="6"/>
  <c r="Y3" i="6"/>
  <c r="V4" i="6"/>
  <c r="W4" i="6"/>
  <c r="X4" i="6"/>
  <c r="Y4" i="6"/>
  <c r="V5" i="6"/>
  <c r="W5" i="6"/>
  <c r="X5" i="6"/>
  <c r="Y5" i="6"/>
  <c r="V6" i="6"/>
  <c r="W6" i="6"/>
  <c r="X6" i="6"/>
  <c r="Y6" i="6"/>
  <c r="V21" i="6"/>
  <c r="W21" i="6"/>
  <c r="X21" i="6"/>
  <c r="Y21" i="6"/>
  <c r="V22" i="6"/>
  <c r="W22" i="6"/>
  <c r="X22" i="6"/>
  <c r="Y22" i="6"/>
  <c r="V23" i="6"/>
  <c r="W23" i="6"/>
  <c r="X23" i="6"/>
  <c r="Y23" i="6"/>
  <c r="V47" i="6"/>
  <c r="W47" i="6"/>
  <c r="X47" i="6"/>
  <c r="Y47" i="6"/>
  <c r="V7" i="6"/>
  <c r="W7" i="6"/>
  <c r="X7" i="6"/>
  <c r="Y7" i="6"/>
  <c r="V48" i="6"/>
  <c r="W48" i="6"/>
  <c r="X48" i="6"/>
  <c r="Y48" i="6"/>
  <c r="V8" i="6"/>
  <c r="W8" i="6"/>
  <c r="X8" i="6"/>
  <c r="Y8" i="6"/>
  <c r="V27" i="6"/>
  <c r="W27" i="6"/>
  <c r="X27" i="6"/>
  <c r="Y27" i="6"/>
  <c r="V28" i="6"/>
  <c r="W28" i="6"/>
  <c r="X28" i="6"/>
  <c r="Y28" i="6"/>
  <c r="V29" i="6"/>
  <c r="W29" i="6"/>
  <c r="X29" i="6"/>
  <c r="Y29" i="6"/>
  <c r="V30" i="6"/>
  <c r="W30" i="6"/>
  <c r="X30" i="6"/>
  <c r="Y30" i="6"/>
  <c r="V86" i="6"/>
  <c r="W86" i="6"/>
  <c r="X86" i="6"/>
  <c r="Y86" i="6"/>
  <c r="V87" i="6"/>
  <c r="W87" i="6"/>
  <c r="X87" i="6"/>
  <c r="Y87" i="6"/>
  <c r="V64" i="6"/>
  <c r="W64" i="6"/>
  <c r="X64" i="6"/>
  <c r="Y64" i="6"/>
  <c r="V88" i="6"/>
  <c r="W88" i="6"/>
  <c r="X88" i="6"/>
  <c r="Y88" i="6"/>
  <c r="V37" i="6"/>
  <c r="W37" i="6"/>
  <c r="X37" i="6"/>
  <c r="Y37" i="6"/>
  <c r="V40" i="6"/>
  <c r="W40" i="6"/>
  <c r="X40" i="6"/>
  <c r="Y40" i="6"/>
  <c r="V41" i="6"/>
  <c r="W41" i="6"/>
  <c r="X41" i="6"/>
  <c r="Y41" i="6"/>
  <c r="V42" i="6"/>
  <c r="W42" i="6"/>
  <c r="X42" i="6"/>
  <c r="Y42" i="6"/>
  <c r="V45" i="6"/>
  <c r="W45" i="6"/>
  <c r="X45" i="6"/>
  <c r="Y45" i="6"/>
  <c r="V43" i="6"/>
  <c r="W43" i="6"/>
  <c r="X43" i="6"/>
  <c r="Y43" i="6"/>
  <c r="V283" i="6"/>
  <c r="W283" i="6"/>
  <c r="X283" i="6"/>
  <c r="Y283" i="6"/>
  <c r="V9" i="6"/>
  <c r="W9" i="6"/>
  <c r="X9" i="6"/>
  <c r="Y9" i="6"/>
  <c r="V49" i="6"/>
  <c r="W49" i="6"/>
  <c r="X49" i="6"/>
  <c r="Y49" i="6"/>
  <c r="V50" i="6"/>
  <c r="W50" i="6"/>
  <c r="X50" i="6"/>
  <c r="Y50" i="6"/>
  <c r="V10" i="6"/>
  <c r="W10" i="6"/>
  <c r="X10" i="6"/>
  <c r="Y10" i="6"/>
  <c r="V114" i="6"/>
  <c r="W114" i="6"/>
  <c r="X114" i="6"/>
  <c r="Y114" i="6"/>
  <c r="V11" i="6"/>
  <c r="W11" i="6"/>
  <c r="X11" i="6"/>
  <c r="Y11" i="6"/>
  <c r="V51" i="6"/>
  <c r="W51" i="6"/>
  <c r="X51" i="6"/>
  <c r="Y51" i="6"/>
  <c r="V52" i="6"/>
  <c r="W52" i="6"/>
  <c r="X52" i="6"/>
  <c r="Y52" i="6"/>
  <c r="V62" i="6"/>
  <c r="W62" i="6"/>
  <c r="X62" i="6"/>
  <c r="Y62" i="6"/>
  <c r="V53" i="6"/>
  <c r="W53" i="6"/>
  <c r="X53" i="6"/>
  <c r="Y53" i="6"/>
  <c r="V65" i="6"/>
  <c r="W65" i="6"/>
  <c r="X65" i="6"/>
  <c r="Y65" i="6"/>
  <c r="V66" i="6"/>
  <c r="W66" i="6"/>
  <c r="X66" i="6"/>
  <c r="Y66" i="6"/>
  <c r="V67" i="6"/>
  <c r="W67" i="6"/>
  <c r="X67" i="6"/>
  <c r="Y67" i="6"/>
  <c r="V68" i="6"/>
  <c r="W68" i="6"/>
  <c r="X68" i="6"/>
  <c r="Y68" i="6"/>
  <c r="V69" i="6"/>
  <c r="W69" i="6"/>
  <c r="X69" i="6"/>
  <c r="Y69" i="6"/>
  <c r="V206" i="6"/>
  <c r="W206" i="6"/>
  <c r="X206" i="6"/>
  <c r="Y206" i="6"/>
  <c r="V159" i="6"/>
  <c r="W159" i="6"/>
  <c r="X159" i="6"/>
  <c r="Y159" i="6"/>
  <c r="V70" i="6"/>
  <c r="W70" i="6"/>
  <c r="X70" i="6"/>
  <c r="Y70" i="6"/>
  <c r="V106" i="6"/>
  <c r="W106" i="6"/>
  <c r="X106" i="6"/>
  <c r="Y106" i="6"/>
  <c r="V207" i="6"/>
  <c r="W207" i="6"/>
  <c r="X207" i="6"/>
  <c r="Y207" i="6"/>
  <c r="V89" i="6"/>
  <c r="W89" i="6"/>
  <c r="X89" i="6"/>
  <c r="Y89" i="6"/>
  <c r="V90" i="6"/>
  <c r="W90" i="6"/>
  <c r="X90" i="6"/>
  <c r="Y90" i="6"/>
  <c r="V85" i="6"/>
  <c r="W85" i="6"/>
  <c r="X85" i="6"/>
  <c r="Y85" i="6"/>
  <c r="V91" i="6"/>
  <c r="W91" i="6"/>
  <c r="X91" i="6"/>
  <c r="Y91" i="6"/>
  <c r="V92" i="6"/>
  <c r="W92" i="6"/>
  <c r="X92" i="6"/>
  <c r="Y92" i="6"/>
  <c r="V93" i="6"/>
  <c r="W93" i="6"/>
  <c r="X93" i="6"/>
  <c r="Y93" i="6"/>
  <c r="V94" i="6"/>
  <c r="W94" i="6"/>
  <c r="X94" i="6"/>
  <c r="Y94" i="6"/>
  <c r="V95" i="6"/>
  <c r="W95" i="6"/>
  <c r="X95" i="6"/>
  <c r="Y95" i="6"/>
  <c r="V96" i="6"/>
  <c r="W96" i="6"/>
  <c r="X96" i="6"/>
  <c r="Y96" i="6"/>
  <c r="V103" i="6"/>
  <c r="W103" i="6"/>
  <c r="X103" i="6"/>
  <c r="Y103" i="6"/>
  <c r="V97" i="6"/>
  <c r="W97" i="6"/>
  <c r="X97" i="6"/>
  <c r="Y97" i="6"/>
  <c r="V232" i="6"/>
  <c r="W232" i="6"/>
  <c r="X232" i="6"/>
  <c r="Y232" i="6"/>
  <c r="V233" i="6"/>
  <c r="W233" i="6"/>
  <c r="X233" i="6"/>
  <c r="Y233" i="6"/>
  <c r="V71" i="6"/>
  <c r="W71" i="6"/>
  <c r="X71" i="6"/>
  <c r="Y71" i="6"/>
  <c r="V104" i="6"/>
  <c r="W104" i="6"/>
  <c r="X104" i="6"/>
  <c r="Y104" i="6"/>
  <c r="V105" i="6"/>
  <c r="W105" i="6"/>
  <c r="X105" i="6"/>
  <c r="Y105" i="6"/>
  <c r="V98" i="6"/>
  <c r="W98" i="6"/>
  <c r="X98" i="6"/>
  <c r="Y98" i="6"/>
  <c r="V99" i="6"/>
  <c r="W99" i="6"/>
  <c r="X99" i="6"/>
  <c r="Y99" i="6"/>
  <c r="V100" i="6"/>
  <c r="W100" i="6"/>
  <c r="X100" i="6"/>
  <c r="Y100" i="6"/>
  <c r="V107" i="6"/>
  <c r="W107" i="6"/>
  <c r="X107" i="6"/>
  <c r="Y107" i="6"/>
  <c r="V108" i="6"/>
  <c r="W108" i="6"/>
  <c r="X108" i="6"/>
  <c r="Y108" i="6"/>
  <c r="V109" i="6"/>
  <c r="W109" i="6"/>
  <c r="X109" i="6"/>
  <c r="Y109" i="6"/>
  <c r="V101" i="6"/>
  <c r="W101" i="6"/>
  <c r="X101" i="6"/>
  <c r="Y101" i="6"/>
  <c r="V54" i="6"/>
  <c r="W54" i="6"/>
  <c r="X54" i="6"/>
  <c r="Y54" i="6"/>
  <c r="V115" i="6"/>
  <c r="W115" i="6"/>
  <c r="X115" i="6"/>
  <c r="Y115" i="6"/>
  <c r="V116" i="6"/>
  <c r="W116" i="6"/>
  <c r="X116" i="6"/>
  <c r="Y116" i="6"/>
  <c r="V117" i="6"/>
  <c r="W117" i="6"/>
  <c r="X117" i="6"/>
  <c r="Y117" i="6"/>
  <c r="V55" i="6"/>
  <c r="W55" i="6"/>
  <c r="X55" i="6"/>
  <c r="Y55" i="6"/>
  <c r="V123" i="6"/>
  <c r="W123" i="6"/>
  <c r="X123" i="6"/>
  <c r="Y123" i="6"/>
  <c r="V124" i="6"/>
  <c r="W124" i="6"/>
  <c r="X124" i="6"/>
  <c r="Y124" i="6"/>
  <c r="V125" i="6"/>
  <c r="W125" i="6"/>
  <c r="X125" i="6"/>
  <c r="Y125" i="6"/>
  <c r="V129" i="6"/>
  <c r="W129" i="6"/>
  <c r="X129" i="6"/>
  <c r="Y129" i="6"/>
  <c r="V130" i="6"/>
  <c r="W130" i="6"/>
  <c r="X130" i="6"/>
  <c r="Y130" i="6"/>
  <c r="V272" i="6"/>
  <c r="W272" i="6"/>
  <c r="X272" i="6"/>
  <c r="Y272" i="6"/>
  <c r="V160" i="6"/>
  <c r="W160" i="6"/>
  <c r="X160" i="6"/>
  <c r="Y160" i="6"/>
  <c r="V110" i="6"/>
  <c r="W110" i="6"/>
  <c r="X110" i="6"/>
  <c r="Y110" i="6"/>
  <c r="V111" i="6"/>
  <c r="W111" i="6"/>
  <c r="X111" i="6"/>
  <c r="Y111" i="6"/>
  <c r="V112" i="6"/>
  <c r="W112" i="6"/>
  <c r="X112" i="6"/>
  <c r="Y112" i="6"/>
  <c r="V31" i="6"/>
  <c r="W31" i="6"/>
  <c r="X31" i="6"/>
  <c r="Y31" i="6"/>
  <c r="V165" i="6"/>
  <c r="W165" i="6"/>
  <c r="X165" i="6"/>
  <c r="Y165" i="6"/>
  <c r="V166" i="6"/>
  <c r="W166" i="6"/>
  <c r="X166" i="6"/>
  <c r="Y166" i="6"/>
  <c r="V167" i="6"/>
  <c r="W167" i="6"/>
  <c r="X167" i="6"/>
  <c r="Y167" i="6"/>
  <c r="V208" i="6"/>
  <c r="W208" i="6"/>
  <c r="X208" i="6"/>
  <c r="Y208" i="6"/>
  <c r="V141" i="6"/>
  <c r="W141" i="6"/>
  <c r="X141" i="6"/>
  <c r="Y141" i="6"/>
  <c r="V168" i="6"/>
  <c r="W168" i="6"/>
  <c r="X168" i="6"/>
  <c r="Y168" i="6"/>
  <c r="V56" i="6"/>
  <c r="W56" i="6"/>
  <c r="X56" i="6"/>
  <c r="Y56" i="6"/>
  <c r="V284" i="6"/>
  <c r="W284" i="6"/>
  <c r="X284" i="6"/>
  <c r="Y284" i="6"/>
  <c r="V234" i="6"/>
  <c r="W234" i="6"/>
  <c r="X234" i="6"/>
  <c r="Y234" i="6"/>
  <c r="V196" i="6"/>
  <c r="W196" i="6"/>
  <c r="X196" i="6"/>
  <c r="Y196" i="6"/>
  <c r="V142" i="6"/>
  <c r="W142" i="6"/>
  <c r="X142" i="6"/>
  <c r="Y142" i="6"/>
  <c r="V175" i="6"/>
  <c r="W175" i="6"/>
  <c r="X175" i="6"/>
  <c r="Y175" i="6"/>
  <c r="V176" i="6"/>
  <c r="W176" i="6"/>
  <c r="X176" i="6"/>
  <c r="Y176" i="6"/>
  <c r="V131" i="6"/>
  <c r="W131" i="6"/>
  <c r="X131" i="6"/>
  <c r="Y131" i="6"/>
  <c r="V12" i="6"/>
  <c r="W12" i="6"/>
  <c r="X12" i="6"/>
  <c r="Y12" i="6"/>
  <c r="V297" i="6"/>
  <c r="W297" i="6"/>
  <c r="X297" i="6"/>
  <c r="Y297" i="6"/>
  <c r="V197" i="6"/>
  <c r="W197" i="6"/>
  <c r="X197" i="6"/>
  <c r="Y197" i="6"/>
  <c r="V209" i="6"/>
  <c r="W209" i="6"/>
  <c r="X209" i="6"/>
  <c r="Y209" i="6"/>
  <c r="V143" i="6"/>
  <c r="W143" i="6"/>
  <c r="X143" i="6"/>
  <c r="Y143" i="6"/>
  <c r="V210" i="6"/>
  <c r="W210" i="6"/>
  <c r="X210" i="6"/>
  <c r="Y210" i="6"/>
  <c r="V132" i="6"/>
  <c r="W132" i="6"/>
  <c r="X132" i="6"/>
  <c r="Y132" i="6"/>
  <c r="V13" i="6"/>
  <c r="W13" i="6"/>
  <c r="X13" i="6"/>
  <c r="Y13" i="6"/>
  <c r="V46" i="6"/>
  <c r="W46" i="6"/>
  <c r="X46" i="6"/>
  <c r="Y46" i="6"/>
  <c r="V261" i="6"/>
  <c r="W261" i="6"/>
  <c r="X261" i="6"/>
  <c r="Y261" i="6"/>
  <c r="V24" i="6"/>
  <c r="W24" i="6"/>
  <c r="X24" i="6"/>
  <c r="Y24" i="6"/>
  <c r="V235" i="6"/>
  <c r="W235" i="6"/>
  <c r="X235" i="6"/>
  <c r="Y235" i="6"/>
  <c r="V198" i="6"/>
  <c r="W198" i="6"/>
  <c r="X198" i="6"/>
  <c r="Y198" i="6"/>
  <c r="V72" i="6"/>
  <c r="W72" i="6"/>
  <c r="X72" i="6"/>
  <c r="Y72" i="6"/>
  <c r="V262" i="6"/>
  <c r="W262" i="6"/>
  <c r="X262" i="6"/>
  <c r="Y262" i="6"/>
  <c r="V38" i="6"/>
  <c r="W38" i="6"/>
  <c r="X38" i="6"/>
  <c r="Y38" i="6"/>
  <c r="V73" i="6"/>
  <c r="W73" i="6"/>
  <c r="X73" i="6"/>
  <c r="Y73" i="6"/>
  <c r="V74" i="6"/>
  <c r="W74" i="6"/>
  <c r="X74" i="6"/>
  <c r="Y74" i="6"/>
  <c r="V285" i="6"/>
  <c r="W285" i="6"/>
  <c r="X285" i="6"/>
  <c r="Y285" i="6"/>
  <c r="V75" i="6"/>
  <c r="W75" i="6"/>
  <c r="X75" i="6"/>
  <c r="Y75" i="6"/>
  <c r="V236" i="6"/>
  <c r="W236" i="6"/>
  <c r="X236" i="6"/>
  <c r="Y236" i="6"/>
  <c r="V237" i="6"/>
  <c r="W237" i="6"/>
  <c r="X237" i="6"/>
  <c r="Y237" i="6"/>
  <c r="V211" i="6"/>
  <c r="W211" i="6"/>
  <c r="X211" i="6"/>
  <c r="Y211" i="6"/>
  <c r="V273" i="6"/>
  <c r="W273" i="6"/>
  <c r="X273" i="6"/>
  <c r="Y273" i="6"/>
  <c r="V212" i="6"/>
  <c r="W212" i="6"/>
  <c r="X212" i="6"/>
  <c r="Y212" i="6"/>
  <c r="V133" i="6"/>
  <c r="W133" i="6"/>
  <c r="X133" i="6"/>
  <c r="Y133" i="6"/>
  <c r="V76" i="6"/>
  <c r="W76" i="6"/>
  <c r="X76" i="6"/>
  <c r="Y76" i="6"/>
  <c r="V213" i="6"/>
  <c r="W213" i="6"/>
  <c r="X213" i="6"/>
  <c r="Y213" i="6"/>
  <c r="V25" i="6"/>
  <c r="W25" i="6"/>
  <c r="X25" i="6"/>
  <c r="Y25" i="6"/>
  <c r="V135" i="6"/>
  <c r="W135" i="6"/>
  <c r="X135" i="6"/>
  <c r="Y135" i="6"/>
  <c r="V238" i="6"/>
  <c r="W238" i="6"/>
  <c r="X238" i="6"/>
  <c r="Y238" i="6"/>
  <c r="V161" i="6"/>
  <c r="W161" i="6"/>
  <c r="X161" i="6"/>
  <c r="Y161" i="6"/>
  <c r="V77" i="6"/>
  <c r="W77" i="6"/>
  <c r="X77" i="6"/>
  <c r="Y77" i="6"/>
  <c r="V263" i="6"/>
  <c r="W263" i="6"/>
  <c r="X263" i="6"/>
  <c r="Y263" i="6"/>
  <c r="V274" i="6"/>
  <c r="W274" i="6"/>
  <c r="X274" i="6"/>
  <c r="Y274" i="6"/>
  <c r="V126" i="6"/>
  <c r="W126" i="6"/>
  <c r="X126" i="6"/>
  <c r="Y126" i="6"/>
  <c r="V144" i="6"/>
  <c r="W144" i="6"/>
  <c r="X144" i="6"/>
  <c r="Y144" i="6"/>
  <c r="V239" i="6"/>
  <c r="W239" i="6"/>
  <c r="X239" i="6"/>
  <c r="Y239" i="6"/>
  <c r="V275" i="6"/>
  <c r="W275" i="6"/>
  <c r="X275" i="6"/>
  <c r="Y275" i="6"/>
  <c r="V57" i="6"/>
  <c r="W57" i="6"/>
  <c r="X57" i="6"/>
  <c r="Y57" i="6"/>
  <c r="V214" i="6"/>
  <c r="W214" i="6"/>
  <c r="X214" i="6"/>
  <c r="Y214" i="6"/>
  <c r="V276" i="6"/>
  <c r="W276" i="6"/>
  <c r="X276" i="6"/>
  <c r="Y276" i="6"/>
  <c r="V286" i="6"/>
  <c r="W286" i="6"/>
  <c r="X286" i="6"/>
  <c r="Y286" i="6"/>
  <c r="V118" i="6"/>
  <c r="W118" i="6"/>
  <c r="X118" i="6"/>
  <c r="Y118" i="6"/>
  <c r="V119" i="6"/>
  <c r="W119" i="6"/>
  <c r="X119" i="6"/>
  <c r="Y119" i="6"/>
  <c r="V14" i="6"/>
  <c r="W14" i="6"/>
  <c r="X14" i="6"/>
  <c r="Y14" i="6"/>
  <c r="V120" i="6"/>
  <c r="W120" i="6"/>
  <c r="X120" i="6"/>
  <c r="Y120" i="6"/>
  <c r="V199" i="6"/>
  <c r="W199" i="6"/>
  <c r="X199" i="6"/>
  <c r="Y199" i="6"/>
  <c r="V153" i="6"/>
  <c r="W153" i="6"/>
  <c r="X153" i="6"/>
  <c r="Y153" i="6"/>
  <c r="V215" i="6"/>
  <c r="W215" i="6"/>
  <c r="X215" i="6"/>
  <c r="Y215" i="6"/>
  <c r="V200" i="6"/>
  <c r="W200" i="6"/>
  <c r="X200" i="6"/>
  <c r="Y200" i="6"/>
  <c r="V26" i="6"/>
  <c r="W26" i="6"/>
  <c r="X26" i="6"/>
  <c r="Y26" i="6"/>
  <c r="V264" i="6"/>
  <c r="W264" i="6"/>
  <c r="X264" i="6"/>
  <c r="Y264" i="6"/>
  <c r="V121" i="6"/>
  <c r="W121" i="6"/>
  <c r="X121" i="6"/>
  <c r="Y121" i="6"/>
  <c r="V127" i="6"/>
  <c r="W127" i="6"/>
  <c r="X127" i="6"/>
  <c r="Y127" i="6"/>
  <c r="V240" i="6"/>
  <c r="W240" i="6"/>
  <c r="X240" i="6"/>
  <c r="Y240" i="6"/>
  <c r="V241" i="6"/>
  <c r="W241" i="6"/>
  <c r="X241" i="6"/>
  <c r="Y241" i="6"/>
  <c r="V242" i="6"/>
  <c r="W242" i="6"/>
  <c r="X242" i="6"/>
  <c r="Y242" i="6"/>
  <c r="V134" i="6"/>
  <c r="W134" i="6"/>
  <c r="X134" i="6"/>
  <c r="Y134" i="6"/>
  <c r="V58" i="6"/>
  <c r="W58" i="6"/>
  <c r="X58" i="6"/>
  <c r="Y58" i="6"/>
  <c r="V39" i="6"/>
  <c r="W39" i="6"/>
  <c r="X39" i="6"/>
  <c r="Y39" i="6"/>
  <c r="V44" i="6"/>
  <c r="W44" i="6"/>
  <c r="X44" i="6"/>
  <c r="Y44" i="6"/>
  <c r="V177" i="6"/>
  <c r="W177" i="6"/>
  <c r="X177" i="6"/>
  <c r="Y177" i="6"/>
  <c r="V78" i="6"/>
  <c r="W78" i="6"/>
  <c r="X78" i="6"/>
  <c r="Y78" i="6"/>
  <c r="V32" i="6"/>
  <c r="W32" i="6"/>
  <c r="X32" i="6"/>
  <c r="Y32" i="6"/>
  <c r="V190" i="6"/>
  <c r="W190" i="6"/>
  <c r="X190" i="6"/>
  <c r="Y190" i="6"/>
  <c r="V136" i="6"/>
  <c r="W136" i="6"/>
  <c r="X136" i="6"/>
  <c r="Y136" i="6"/>
  <c r="V137" i="6"/>
  <c r="W137" i="6"/>
  <c r="X137" i="6"/>
  <c r="Y137" i="6"/>
  <c r="V138" i="6"/>
  <c r="W138" i="6"/>
  <c r="X138" i="6"/>
  <c r="Y138" i="6"/>
  <c r="V243" i="6"/>
  <c r="W243" i="6"/>
  <c r="X243" i="6"/>
  <c r="Y243" i="6"/>
  <c r="V244" i="6"/>
  <c r="W244" i="6"/>
  <c r="X244" i="6"/>
  <c r="Y244" i="6"/>
  <c r="V245" i="6"/>
  <c r="W245" i="6"/>
  <c r="X245" i="6"/>
  <c r="Y245" i="6"/>
  <c r="V33" i="6"/>
  <c r="W33" i="6"/>
  <c r="X33" i="6"/>
  <c r="Y33" i="6"/>
  <c r="V79" i="6"/>
  <c r="W79" i="6"/>
  <c r="X79" i="6"/>
  <c r="Y79" i="6"/>
  <c r="V113" i="6"/>
  <c r="W113" i="6"/>
  <c r="X113" i="6"/>
  <c r="Y113" i="6"/>
  <c r="V246" i="6"/>
  <c r="W246" i="6"/>
  <c r="X246" i="6"/>
  <c r="Y246" i="6"/>
  <c r="V247" i="6"/>
  <c r="W247" i="6"/>
  <c r="X247" i="6"/>
  <c r="Y247" i="6"/>
  <c r="V287" i="6"/>
  <c r="W287" i="6"/>
  <c r="X287" i="6"/>
  <c r="Y287" i="6"/>
  <c r="V288" i="6"/>
  <c r="W288" i="6"/>
  <c r="X288" i="6"/>
  <c r="Y288" i="6"/>
  <c r="V34" i="6"/>
  <c r="W34" i="6"/>
  <c r="X34" i="6"/>
  <c r="Y34" i="6"/>
  <c r="V178" i="6"/>
  <c r="W178" i="6"/>
  <c r="X178" i="6"/>
  <c r="Y178" i="6"/>
  <c r="V154" i="6"/>
  <c r="W154" i="6"/>
  <c r="X154" i="6"/>
  <c r="Y154" i="6"/>
  <c r="V248" i="6"/>
  <c r="W248" i="6"/>
  <c r="X248" i="6"/>
  <c r="Y248" i="6"/>
  <c r="V277" i="6"/>
  <c r="W277" i="6"/>
  <c r="X277" i="6"/>
  <c r="Y277" i="6"/>
  <c r="V249" i="6"/>
  <c r="W249" i="6"/>
  <c r="X249" i="6"/>
  <c r="Y249" i="6"/>
  <c r="V80" i="6"/>
  <c r="W80" i="6"/>
  <c r="X80" i="6"/>
  <c r="Y80" i="6"/>
  <c r="V250" i="6"/>
  <c r="W250" i="6"/>
  <c r="X250" i="6"/>
  <c r="Y250" i="6"/>
  <c r="V81" i="6"/>
  <c r="W81" i="6"/>
  <c r="X81" i="6"/>
  <c r="Y81" i="6"/>
  <c r="V265" i="6"/>
  <c r="W265" i="6"/>
  <c r="X265" i="6"/>
  <c r="Y265" i="6"/>
  <c r="V162" i="6"/>
  <c r="W162" i="6"/>
  <c r="X162" i="6"/>
  <c r="Y162" i="6"/>
  <c r="V289" i="6"/>
  <c r="W289" i="6"/>
  <c r="X289" i="6"/>
  <c r="Y289" i="6"/>
  <c r="V145" i="6"/>
  <c r="W145" i="6"/>
  <c r="X145" i="6"/>
  <c r="Y145" i="6"/>
  <c r="V59" i="6"/>
  <c r="W59" i="6"/>
  <c r="X59" i="6"/>
  <c r="Y59" i="6"/>
  <c r="V216" i="6"/>
  <c r="W216" i="6"/>
  <c r="X216" i="6"/>
  <c r="Y216" i="6"/>
  <c r="V217" i="6"/>
  <c r="W217" i="6"/>
  <c r="X217" i="6"/>
  <c r="Y217" i="6"/>
  <c r="V218" i="6"/>
  <c r="W218" i="6"/>
  <c r="X218" i="6"/>
  <c r="Y218" i="6"/>
  <c r="V201" i="6"/>
  <c r="W201" i="6"/>
  <c r="X201" i="6"/>
  <c r="Y201" i="6"/>
  <c r="V219" i="6"/>
  <c r="W219" i="6"/>
  <c r="X219" i="6"/>
  <c r="Y219" i="6"/>
  <c r="V128" i="6"/>
  <c r="W128" i="6"/>
  <c r="X128" i="6"/>
  <c r="Y128" i="6"/>
  <c r="V146" i="6"/>
  <c r="W146" i="6"/>
  <c r="X146" i="6"/>
  <c r="Y146" i="6"/>
  <c r="V147" i="6"/>
  <c r="W147" i="6"/>
  <c r="X147" i="6"/>
  <c r="Y147" i="6"/>
  <c r="V179" i="6"/>
  <c r="W179" i="6"/>
  <c r="X179" i="6"/>
  <c r="Y179" i="6"/>
  <c r="V155" i="6"/>
  <c r="W155" i="6"/>
  <c r="X155" i="6"/>
  <c r="Y155" i="6"/>
  <c r="V220" i="6"/>
  <c r="W220" i="6"/>
  <c r="X220" i="6"/>
  <c r="Y220" i="6"/>
  <c r="V202" i="6"/>
  <c r="W202" i="6"/>
  <c r="X202" i="6"/>
  <c r="Y202" i="6"/>
  <c r="V221" i="6"/>
  <c r="W221" i="6"/>
  <c r="X221" i="6"/>
  <c r="Y221" i="6"/>
  <c r="V222" i="6"/>
  <c r="W222" i="6"/>
  <c r="X222" i="6"/>
  <c r="Y222" i="6"/>
  <c r="V203" i="6"/>
  <c r="W203" i="6"/>
  <c r="X203" i="6"/>
  <c r="Y203" i="6"/>
  <c r="V223" i="6"/>
  <c r="W223" i="6"/>
  <c r="X223" i="6"/>
  <c r="Y223" i="6"/>
  <c r="V224" i="6"/>
  <c r="W224" i="6"/>
  <c r="X224" i="6"/>
  <c r="Y224" i="6"/>
  <c r="V225" i="6"/>
  <c r="W225" i="6"/>
  <c r="X225" i="6"/>
  <c r="Y225" i="6"/>
  <c r="V148" i="6"/>
  <c r="W148" i="6"/>
  <c r="X148" i="6"/>
  <c r="Y148" i="6"/>
  <c r="V149" i="6"/>
  <c r="W149" i="6"/>
  <c r="X149" i="6"/>
  <c r="Y149" i="6"/>
  <c r="V150" i="6"/>
  <c r="W150" i="6"/>
  <c r="X150" i="6"/>
  <c r="Y150" i="6"/>
  <c r="V82" i="6"/>
  <c r="W82" i="6"/>
  <c r="X82" i="6"/>
  <c r="Y82" i="6"/>
  <c r="V186" i="6"/>
  <c r="W186" i="6"/>
  <c r="X186" i="6"/>
  <c r="Y186" i="6"/>
  <c r="V187" i="6"/>
  <c r="W187" i="6"/>
  <c r="X187" i="6"/>
  <c r="Y187" i="6"/>
  <c r="V188" i="6"/>
  <c r="W188" i="6"/>
  <c r="X188" i="6"/>
  <c r="Y188" i="6"/>
  <c r="V152" i="6"/>
  <c r="W152" i="6"/>
  <c r="X152" i="6"/>
  <c r="Y152" i="6"/>
  <c r="V156" i="6"/>
  <c r="W156" i="6"/>
  <c r="X156" i="6"/>
  <c r="Y156" i="6"/>
  <c r="V163" i="6"/>
  <c r="W163" i="6"/>
  <c r="X163" i="6"/>
  <c r="Y163" i="6"/>
  <c r="V169" i="6"/>
  <c r="W169" i="6"/>
  <c r="X169" i="6"/>
  <c r="Y169" i="6"/>
  <c r="V170" i="6"/>
  <c r="W170" i="6"/>
  <c r="X170" i="6"/>
  <c r="Y170" i="6"/>
  <c r="V180" i="6"/>
  <c r="W180" i="6"/>
  <c r="X180" i="6"/>
  <c r="Y180" i="6"/>
  <c r="V191" i="6"/>
  <c r="W191" i="6"/>
  <c r="X191" i="6"/>
  <c r="Y191" i="6"/>
  <c r="V189" i="6"/>
  <c r="W189" i="6"/>
  <c r="X189" i="6"/>
  <c r="Y189" i="6"/>
  <c r="V192" i="6"/>
  <c r="W192" i="6"/>
  <c r="X192" i="6"/>
  <c r="Y192" i="6"/>
  <c r="V195" i="6"/>
  <c r="W195" i="6"/>
  <c r="X195" i="6"/>
  <c r="Y195" i="6"/>
  <c r="V193" i="6"/>
  <c r="W193" i="6"/>
  <c r="X193" i="6"/>
  <c r="Y193" i="6"/>
  <c r="V194" i="6"/>
  <c r="W194" i="6"/>
  <c r="X194" i="6"/>
  <c r="Y194" i="6"/>
  <c r="V204" i="6"/>
  <c r="W204" i="6"/>
  <c r="X204" i="6"/>
  <c r="Y204" i="6"/>
  <c r="V226" i="6"/>
  <c r="W226" i="6"/>
  <c r="X226" i="6"/>
  <c r="Y226" i="6"/>
  <c r="V164" i="6"/>
  <c r="W164" i="6"/>
  <c r="X164" i="6"/>
  <c r="Y164" i="6"/>
  <c r="V251" i="6"/>
  <c r="W251" i="6"/>
  <c r="X251" i="6"/>
  <c r="Y251" i="6"/>
  <c r="V205" i="6"/>
  <c r="W205" i="6"/>
  <c r="X205" i="6"/>
  <c r="Y205" i="6"/>
  <c r="V252" i="6"/>
  <c r="W252" i="6"/>
  <c r="X252" i="6"/>
  <c r="Y252" i="6"/>
  <c r="V253" i="6"/>
  <c r="W253" i="6"/>
  <c r="X253" i="6"/>
  <c r="Y253" i="6"/>
  <c r="V254" i="6"/>
  <c r="W254" i="6"/>
  <c r="X254" i="6"/>
  <c r="Y254" i="6"/>
  <c r="V255" i="6"/>
  <c r="W255" i="6"/>
  <c r="X255" i="6"/>
  <c r="Y255" i="6"/>
  <c r="V278" i="6"/>
  <c r="W278" i="6"/>
  <c r="X278" i="6"/>
  <c r="Y278" i="6"/>
  <c r="V256" i="6"/>
  <c r="W256" i="6"/>
  <c r="X256" i="6"/>
  <c r="Y256" i="6"/>
  <c r="V257" i="6"/>
  <c r="W257" i="6"/>
  <c r="X257" i="6"/>
  <c r="Y257" i="6"/>
  <c r="V266" i="6"/>
  <c r="W266" i="6"/>
  <c r="X266" i="6"/>
  <c r="Y266" i="6"/>
  <c r="V267" i="6"/>
  <c r="W267" i="6"/>
  <c r="X267" i="6"/>
  <c r="Y267" i="6"/>
  <c r="V268" i="6"/>
  <c r="W268" i="6"/>
  <c r="X268" i="6"/>
  <c r="Y268" i="6"/>
  <c r="V279" i="6"/>
  <c r="W279" i="6"/>
  <c r="X279" i="6"/>
  <c r="Y279" i="6"/>
  <c r="V280" i="6"/>
  <c r="W280" i="6"/>
  <c r="X280" i="6"/>
  <c r="Y280" i="6"/>
  <c r="V281" i="6"/>
  <c r="W281" i="6"/>
  <c r="X281" i="6"/>
  <c r="Y281" i="6"/>
  <c r="V282" i="6"/>
  <c r="W282" i="6"/>
  <c r="X282" i="6"/>
  <c r="Y282" i="6"/>
  <c r="V227" i="6"/>
  <c r="W227" i="6"/>
  <c r="X227" i="6"/>
  <c r="Y227" i="6"/>
  <c r="V157" i="6"/>
  <c r="W157" i="6"/>
  <c r="X157" i="6"/>
  <c r="Y157" i="6"/>
  <c r="V35" i="6"/>
  <c r="W35" i="6"/>
  <c r="X35" i="6"/>
  <c r="Y35" i="6"/>
  <c r="V151" i="6"/>
  <c r="W151" i="6"/>
  <c r="X151" i="6"/>
  <c r="Y151" i="6"/>
  <c r="V290" i="6"/>
  <c r="W290" i="6"/>
  <c r="X290" i="6"/>
  <c r="Y290" i="6"/>
  <c r="V269" i="6"/>
  <c r="W269" i="6"/>
  <c r="X269" i="6"/>
  <c r="Y269" i="6"/>
  <c r="V270" i="6"/>
  <c r="W270" i="6"/>
  <c r="X270" i="6"/>
  <c r="Y270" i="6"/>
  <c r="V122" i="6"/>
  <c r="W122" i="6"/>
  <c r="X122" i="6"/>
  <c r="Y122" i="6"/>
  <c r="V228" i="6"/>
  <c r="W228" i="6"/>
  <c r="X228" i="6"/>
  <c r="Y228" i="6"/>
  <c r="V229" i="6"/>
  <c r="W229" i="6"/>
  <c r="X229" i="6"/>
  <c r="Y229" i="6"/>
  <c r="V230" i="6"/>
  <c r="W230" i="6"/>
  <c r="X230" i="6"/>
  <c r="Y230" i="6"/>
  <c r="V258" i="6"/>
  <c r="W258" i="6"/>
  <c r="X258" i="6"/>
  <c r="Y258" i="6"/>
  <c r="V271" i="6"/>
  <c r="W271" i="6"/>
  <c r="X271" i="6"/>
  <c r="Y271" i="6"/>
  <c r="V231" i="6"/>
  <c r="W231" i="6"/>
  <c r="X231" i="6"/>
  <c r="Y231" i="6"/>
  <c r="V83" i="6"/>
  <c r="W83" i="6"/>
  <c r="X83" i="6"/>
  <c r="Y83" i="6"/>
  <c r="V84" i="6"/>
  <c r="W84" i="6"/>
  <c r="X84" i="6"/>
  <c r="Y84" i="6"/>
  <c r="V63" i="6"/>
  <c r="W63" i="6"/>
  <c r="X63" i="6"/>
  <c r="Y63" i="6"/>
  <c r="V60" i="6"/>
  <c r="W60" i="6"/>
  <c r="X60" i="6"/>
  <c r="Y60" i="6"/>
  <c r="V291" i="6"/>
  <c r="W291" i="6"/>
  <c r="X291" i="6"/>
  <c r="Y291" i="6"/>
  <c r="V292" i="6"/>
  <c r="W292" i="6"/>
  <c r="X292" i="6"/>
  <c r="Y292" i="6"/>
  <c r="V293" i="6"/>
  <c r="W293" i="6"/>
  <c r="X293" i="6"/>
  <c r="Y293" i="6"/>
  <c r="V294" i="6"/>
  <c r="W294" i="6"/>
  <c r="X294" i="6"/>
  <c r="Y294" i="6"/>
  <c r="V295" i="6"/>
  <c r="W295" i="6"/>
  <c r="X295" i="6"/>
  <c r="Y295" i="6"/>
  <c r="V171" i="6"/>
  <c r="W171" i="6"/>
  <c r="X171" i="6"/>
  <c r="Y171" i="6"/>
  <c r="V172" i="6"/>
  <c r="W172" i="6"/>
  <c r="X172" i="6"/>
  <c r="Y172" i="6"/>
  <c r="V181" i="6"/>
  <c r="W181" i="6"/>
  <c r="X181" i="6"/>
  <c r="Y181" i="6"/>
  <c r="V158" i="6"/>
  <c r="W158" i="6"/>
  <c r="X158" i="6"/>
  <c r="Y158" i="6"/>
  <c r="V173" i="6"/>
  <c r="W173" i="6"/>
  <c r="X173" i="6"/>
  <c r="Y173" i="6"/>
  <c r="V259" i="6"/>
  <c r="W259" i="6"/>
  <c r="X259" i="6"/>
  <c r="Y259" i="6"/>
  <c r="V296" i="6"/>
  <c r="W296" i="6"/>
  <c r="X296" i="6"/>
  <c r="Y296" i="6"/>
  <c r="V61" i="6"/>
  <c r="W61" i="6"/>
  <c r="X61" i="6"/>
  <c r="Y61" i="6"/>
  <c r="V15" i="6"/>
  <c r="W15" i="6"/>
  <c r="X15" i="6"/>
  <c r="Y15" i="6"/>
  <c r="V16" i="6"/>
  <c r="W16" i="6"/>
  <c r="X16" i="6"/>
  <c r="Y16" i="6"/>
  <c r="V17" i="6"/>
  <c r="W17" i="6"/>
  <c r="X17" i="6"/>
  <c r="Y17" i="6"/>
  <c r="V18" i="6"/>
  <c r="W18" i="6"/>
  <c r="X18" i="6"/>
  <c r="Y18" i="6"/>
  <c r="V19" i="6"/>
  <c r="W19" i="6"/>
  <c r="X19" i="6"/>
  <c r="Y19" i="6"/>
  <c r="V20" i="6"/>
  <c r="W20" i="6"/>
  <c r="X20" i="6"/>
  <c r="Y20" i="6"/>
  <c r="V182" i="6"/>
  <c r="W182" i="6"/>
  <c r="X182" i="6"/>
  <c r="Y182" i="6"/>
  <c r="V36" i="6"/>
  <c r="W36" i="6"/>
  <c r="X36" i="6"/>
  <c r="Y36" i="6"/>
  <c r="V183" i="6"/>
  <c r="W183" i="6"/>
  <c r="X183" i="6"/>
  <c r="Y183" i="6"/>
  <c r="V298" i="6"/>
  <c r="W298" i="6"/>
  <c r="X298" i="6"/>
  <c r="Y298" i="6"/>
  <c r="V174" i="6"/>
  <c r="W174" i="6"/>
  <c r="X174" i="6"/>
  <c r="Y174" i="6"/>
  <c r="V184" i="6"/>
  <c r="W184" i="6"/>
  <c r="X184" i="6"/>
  <c r="Y184" i="6"/>
  <c r="V185" i="6"/>
  <c r="W185" i="6"/>
  <c r="X185" i="6"/>
  <c r="Y185" i="6"/>
  <c r="V102" i="6"/>
  <c r="W102" i="6"/>
  <c r="X102" i="6"/>
  <c r="Y102" i="6"/>
  <c r="V303" i="6"/>
  <c r="W303" i="6"/>
  <c r="X303" i="6"/>
  <c r="Y303" i="6"/>
  <c r="V304" i="6"/>
  <c r="W304" i="6"/>
  <c r="X304" i="6"/>
  <c r="Y304" i="6"/>
  <c r="V305" i="6"/>
  <c r="W305" i="6"/>
  <c r="X305" i="6"/>
  <c r="Y305" i="6"/>
  <c r="V306" i="6"/>
  <c r="W306" i="6"/>
  <c r="X306" i="6"/>
  <c r="Y306" i="6"/>
  <c r="V307" i="6"/>
  <c r="W307" i="6"/>
  <c r="X307" i="6"/>
  <c r="Y307" i="6"/>
  <c r="V308" i="6"/>
  <c r="W308" i="6"/>
  <c r="X308" i="6"/>
  <c r="Y308" i="6"/>
  <c r="V309" i="6"/>
  <c r="W309" i="6"/>
  <c r="X309" i="6"/>
  <c r="Y309" i="6"/>
  <c r="V310" i="6"/>
  <c r="W310" i="6"/>
  <c r="X310" i="6"/>
  <c r="Y310" i="6"/>
  <c r="V311" i="6"/>
  <c r="W311" i="6"/>
  <c r="X311" i="6"/>
  <c r="Y311" i="6"/>
  <c r="V312" i="6"/>
  <c r="W312" i="6"/>
  <c r="X312" i="6"/>
  <c r="Y312" i="6"/>
  <c r="V313" i="6"/>
  <c r="W313" i="6"/>
  <c r="X313" i="6"/>
  <c r="Y313" i="6"/>
  <c r="V314" i="6"/>
  <c r="W314" i="6"/>
  <c r="X314" i="6"/>
  <c r="Y314" i="6"/>
  <c r="V315" i="6"/>
  <c r="W315" i="6"/>
  <c r="X315" i="6"/>
  <c r="Y315" i="6"/>
  <c r="V316" i="6"/>
  <c r="W316" i="6"/>
  <c r="X316" i="6"/>
  <c r="Y316" i="6"/>
  <c r="V317" i="6"/>
  <c r="W317" i="6"/>
  <c r="X317" i="6"/>
  <c r="Y317" i="6"/>
  <c r="V319" i="6"/>
  <c r="W319" i="6"/>
  <c r="X319" i="6"/>
  <c r="Y319" i="6"/>
  <c r="V320" i="6"/>
  <c r="W320" i="6"/>
  <c r="X320" i="6"/>
  <c r="Y320" i="6"/>
  <c r="V321" i="6"/>
  <c r="W321" i="6"/>
  <c r="X321" i="6"/>
  <c r="Y321" i="6"/>
  <c r="V322" i="6"/>
  <c r="W322" i="6"/>
  <c r="X322" i="6"/>
  <c r="Y322" i="6"/>
  <c r="V323" i="6"/>
  <c r="W323" i="6"/>
  <c r="X323" i="6"/>
  <c r="Y323" i="6"/>
  <c r="V324" i="6"/>
  <c r="W324" i="6"/>
  <c r="X324" i="6"/>
  <c r="Y324" i="6"/>
  <c r="V325" i="6"/>
  <c r="W325" i="6"/>
  <c r="X325" i="6"/>
  <c r="Y325" i="6"/>
  <c r="V326" i="6"/>
  <c r="W326" i="6"/>
  <c r="X326" i="6"/>
  <c r="Y326" i="6"/>
  <c r="V327" i="6"/>
  <c r="W327" i="6"/>
  <c r="X327" i="6"/>
  <c r="Y327" i="6"/>
  <c r="V328" i="6"/>
  <c r="W328" i="6"/>
  <c r="X328" i="6"/>
  <c r="Y328" i="6"/>
  <c r="V329" i="6"/>
  <c r="W329" i="6"/>
  <c r="X329" i="6"/>
  <c r="Y329" i="6"/>
  <c r="V330" i="6"/>
  <c r="W330" i="6"/>
  <c r="X330" i="6"/>
  <c r="Y330" i="6"/>
  <c r="V331" i="6"/>
  <c r="W331" i="6"/>
  <c r="X331" i="6"/>
  <c r="Y331" i="6"/>
  <c r="V332" i="6"/>
  <c r="W332" i="6"/>
  <c r="X332" i="6"/>
  <c r="Y332" i="6"/>
  <c r="V333" i="6"/>
  <c r="W333" i="6"/>
  <c r="X333" i="6"/>
  <c r="Y333" i="6"/>
  <c r="V334" i="6"/>
  <c r="W334" i="6"/>
  <c r="X334" i="6"/>
  <c r="Y334" i="6"/>
  <c r="V335" i="6"/>
  <c r="W335" i="6"/>
  <c r="X335" i="6"/>
  <c r="Y335" i="6"/>
  <c r="V336" i="6"/>
  <c r="W336" i="6"/>
  <c r="X336" i="6"/>
  <c r="Y336" i="6"/>
  <c r="V337" i="6"/>
  <c r="W337" i="6"/>
  <c r="X337" i="6"/>
  <c r="Y337" i="6"/>
  <c r="V338" i="6"/>
  <c r="W338" i="6"/>
  <c r="X338" i="6"/>
  <c r="Y338" i="6"/>
  <c r="V339" i="6"/>
  <c r="W339" i="6"/>
  <c r="X339" i="6"/>
  <c r="Y339" i="6"/>
  <c r="V340" i="6"/>
  <c r="W340" i="6"/>
  <c r="X340" i="6"/>
  <c r="Y340" i="6"/>
  <c r="V341" i="6"/>
  <c r="W341" i="6"/>
  <c r="X341" i="6"/>
  <c r="Y341" i="6"/>
  <c r="V342" i="6"/>
  <c r="W342" i="6"/>
  <c r="X342" i="6"/>
  <c r="Y342" i="6"/>
  <c r="V343" i="6"/>
  <c r="W343" i="6"/>
  <c r="X343" i="6"/>
  <c r="Y343" i="6"/>
  <c r="V344" i="6"/>
  <c r="W344" i="6"/>
  <c r="X344" i="6"/>
  <c r="Y344" i="6"/>
  <c r="V345" i="6"/>
  <c r="W345" i="6"/>
  <c r="X345" i="6"/>
  <c r="Y345" i="6"/>
  <c r="V350" i="6"/>
  <c r="W350" i="6"/>
  <c r="X350" i="6"/>
  <c r="Y350" i="6"/>
  <c r="V346" i="6"/>
  <c r="W346" i="6"/>
  <c r="X346" i="6"/>
  <c r="Y346" i="6"/>
  <c r="V347" i="6"/>
  <c r="W347" i="6"/>
  <c r="X347" i="6"/>
  <c r="Y347" i="6"/>
  <c r="V351" i="6"/>
  <c r="W351" i="6"/>
  <c r="X351" i="6"/>
  <c r="Y351" i="6"/>
  <c r="V348" i="6"/>
  <c r="W348" i="6"/>
  <c r="X348" i="6"/>
  <c r="Y348" i="6"/>
  <c r="V349" i="6"/>
  <c r="W349" i="6"/>
  <c r="X349" i="6"/>
  <c r="Y349" i="6"/>
  <c r="V365" i="6"/>
  <c r="W365" i="6"/>
  <c r="X365" i="6"/>
  <c r="Y365" i="6"/>
  <c r="V352" i="6"/>
  <c r="W352" i="6"/>
  <c r="X352" i="6"/>
  <c r="Y352" i="6"/>
  <c r="V366" i="6"/>
  <c r="W366" i="6"/>
  <c r="X366" i="6"/>
  <c r="Y366" i="6"/>
  <c r="V353" i="6"/>
  <c r="W353" i="6"/>
  <c r="X353" i="6"/>
  <c r="Y353" i="6"/>
  <c r="V354" i="6"/>
  <c r="W354" i="6"/>
  <c r="X354" i="6"/>
  <c r="Y354" i="6"/>
  <c r="V355" i="6"/>
  <c r="W355" i="6"/>
  <c r="X355" i="6"/>
  <c r="Y355" i="6"/>
  <c r="V356" i="6"/>
  <c r="W356" i="6"/>
  <c r="X356" i="6"/>
  <c r="Y356" i="6"/>
  <c r="V357" i="6"/>
  <c r="W357" i="6"/>
  <c r="X357" i="6"/>
  <c r="Y357" i="6"/>
  <c r="V358" i="6"/>
  <c r="W358" i="6"/>
  <c r="X358" i="6"/>
  <c r="Y358" i="6"/>
  <c r="V359" i="6"/>
  <c r="W359" i="6"/>
  <c r="X359" i="6"/>
  <c r="Y359" i="6"/>
  <c r="V360" i="6"/>
  <c r="W360" i="6"/>
  <c r="X360" i="6"/>
  <c r="Y360" i="6"/>
  <c r="V367" i="6"/>
  <c r="W367" i="6"/>
  <c r="X367" i="6"/>
  <c r="Y367" i="6"/>
  <c r="V368" i="6"/>
  <c r="W368" i="6"/>
  <c r="X368" i="6"/>
  <c r="Y368" i="6"/>
  <c r="V369" i="6"/>
  <c r="W369" i="6"/>
  <c r="X369" i="6"/>
  <c r="Y369" i="6"/>
  <c r="V370" i="6"/>
  <c r="W370" i="6"/>
  <c r="X370" i="6"/>
  <c r="Y370" i="6"/>
  <c r="V371" i="6"/>
  <c r="W371" i="6"/>
  <c r="X371" i="6"/>
  <c r="Y371" i="6"/>
  <c r="V372" i="6"/>
  <c r="W372" i="6"/>
  <c r="X372" i="6"/>
  <c r="Y372" i="6"/>
  <c r="V373" i="6"/>
  <c r="W373" i="6"/>
  <c r="X373" i="6"/>
  <c r="Y373" i="6"/>
  <c r="V361" i="6"/>
  <c r="W361" i="6"/>
  <c r="X361" i="6"/>
  <c r="Y361" i="6"/>
  <c r="V362" i="6"/>
  <c r="W362" i="6"/>
  <c r="X362" i="6"/>
  <c r="Y362" i="6"/>
  <c r="V363" i="6"/>
  <c r="W363" i="6"/>
  <c r="X363" i="6"/>
  <c r="Y363" i="6"/>
  <c r="V364" i="6"/>
  <c r="W364" i="6"/>
  <c r="X364" i="6"/>
  <c r="Y364" i="6"/>
  <c r="V374" i="6"/>
  <c r="W374" i="6"/>
  <c r="X374" i="6"/>
  <c r="Y374" i="6"/>
  <c r="V375" i="6"/>
  <c r="W375" i="6"/>
  <c r="X375" i="6"/>
  <c r="Y375" i="6"/>
  <c r="V376" i="6"/>
  <c r="W376" i="6"/>
  <c r="X376" i="6"/>
  <c r="Y376" i="6"/>
  <c r="V377" i="6"/>
  <c r="W377" i="6"/>
  <c r="X377" i="6"/>
  <c r="Y377" i="6"/>
  <c r="V378" i="6"/>
  <c r="W378" i="6"/>
  <c r="X378" i="6"/>
  <c r="Y378" i="6"/>
  <c r="V379" i="6"/>
  <c r="W379" i="6"/>
  <c r="X379" i="6"/>
  <c r="Y379" i="6"/>
  <c r="V380" i="6"/>
  <c r="W380" i="6"/>
  <c r="X380" i="6"/>
  <c r="Y380" i="6"/>
  <c r="V381" i="6"/>
  <c r="W381" i="6"/>
  <c r="X381" i="6"/>
  <c r="Y381" i="6"/>
  <c r="V382" i="6"/>
  <c r="W382" i="6"/>
  <c r="X382" i="6"/>
  <c r="Y382" i="6"/>
  <c r="V383" i="6"/>
  <c r="W383" i="6"/>
  <c r="X383" i="6"/>
  <c r="Y383" i="6"/>
  <c r="V384" i="6"/>
  <c r="W384" i="6"/>
  <c r="X384" i="6"/>
  <c r="Y384" i="6"/>
  <c r="V388" i="6"/>
  <c r="W388" i="6"/>
  <c r="X388" i="6"/>
  <c r="Y388" i="6"/>
  <c r="V391" i="6"/>
  <c r="W391" i="6"/>
  <c r="X391" i="6"/>
  <c r="Y391" i="6"/>
  <c r="V387" i="6"/>
  <c r="W387" i="6"/>
  <c r="X387" i="6"/>
  <c r="Y387" i="6"/>
  <c r="V390" i="6"/>
  <c r="W390" i="6"/>
  <c r="X390" i="6"/>
  <c r="Y390" i="6"/>
  <c r="V389" i="6"/>
  <c r="W389" i="6"/>
  <c r="X389" i="6"/>
  <c r="Y389" i="6"/>
  <c r="V415" i="6"/>
  <c r="W415" i="6"/>
  <c r="X415" i="6"/>
  <c r="Y415" i="6"/>
  <c r="V393" i="6"/>
  <c r="W393" i="6"/>
  <c r="X393" i="6"/>
  <c r="Y393" i="6"/>
  <c r="V414" i="6"/>
  <c r="W414" i="6"/>
  <c r="X414" i="6"/>
  <c r="Y414" i="6"/>
  <c r="V413" i="6"/>
  <c r="W413" i="6"/>
  <c r="X413" i="6"/>
  <c r="Y413" i="6"/>
  <c r="V396" i="6"/>
  <c r="W396" i="6"/>
  <c r="X396" i="6"/>
  <c r="Y396" i="6"/>
  <c r="V397" i="6"/>
  <c r="W397" i="6"/>
  <c r="X397" i="6"/>
  <c r="Y397" i="6"/>
  <c r="V398" i="6"/>
  <c r="W398" i="6"/>
  <c r="X398" i="6"/>
  <c r="Y398" i="6"/>
  <c r="V399" i="6"/>
  <c r="W399" i="6"/>
  <c r="X399" i="6"/>
  <c r="Y399" i="6"/>
  <c r="V400" i="6"/>
  <c r="W400" i="6"/>
  <c r="X400" i="6"/>
  <c r="Y400" i="6"/>
  <c r="V395" i="6"/>
  <c r="W395" i="6"/>
  <c r="X395" i="6"/>
  <c r="Y395" i="6"/>
  <c r="V411" i="6"/>
  <c r="W411" i="6"/>
  <c r="X411" i="6"/>
  <c r="Y411" i="6"/>
  <c r="V401" i="6"/>
  <c r="W401" i="6"/>
  <c r="X401" i="6"/>
  <c r="Y401" i="6"/>
  <c r="V402" i="6"/>
  <c r="W402" i="6"/>
  <c r="X402" i="6"/>
  <c r="Y402" i="6"/>
  <c r="V403" i="6"/>
  <c r="W403" i="6"/>
  <c r="X403" i="6"/>
  <c r="Y403" i="6"/>
  <c r="V404" i="6"/>
  <c r="W404" i="6"/>
  <c r="X404" i="6"/>
  <c r="Y404" i="6"/>
  <c r="V405" i="6"/>
  <c r="W405" i="6"/>
  <c r="X405" i="6"/>
  <c r="Y405" i="6"/>
  <c r="V406" i="6"/>
  <c r="W406" i="6"/>
  <c r="X406" i="6"/>
  <c r="Y406" i="6"/>
  <c r="V392" i="6"/>
  <c r="W392" i="6"/>
  <c r="X392" i="6"/>
  <c r="Y392" i="6"/>
  <c r="V412" i="6"/>
  <c r="W412" i="6"/>
  <c r="X412" i="6"/>
  <c r="Y412" i="6"/>
  <c r="V407" i="6"/>
  <c r="W407" i="6"/>
  <c r="X407" i="6"/>
  <c r="Y407" i="6"/>
  <c r="V394" i="6"/>
  <c r="W394" i="6"/>
  <c r="X394" i="6"/>
  <c r="Y394" i="6"/>
  <c r="V416" i="6"/>
  <c r="W416" i="6"/>
  <c r="X416" i="6"/>
  <c r="Y416" i="6"/>
  <c r="V408" i="6"/>
  <c r="W408" i="6"/>
  <c r="X408" i="6"/>
  <c r="Y408" i="6"/>
  <c r="V409" i="6"/>
  <c r="W409" i="6"/>
  <c r="X409" i="6"/>
  <c r="Y409" i="6"/>
  <c r="V410" i="6"/>
  <c r="W410" i="6"/>
  <c r="X410" i="6"/>
  <c r="Y410" i="6"/>
  <c r="C413" i="6"/>
  <c r="C155" i="6"/>
  <c r="C116" i="6"/>
  <c r="C115" i="6"/>
  <c r="C394" i="6"/>
  <c r="C329" i="6"/>
  <c r="C396" i="6"/>
  <c r="C404" i="6"/>
  <c r="C406" i="6"/>
  <c r="C134" i="6"/>
  <c r="C117" i="6"/>
  <c r="C289" i="6"/>
  <c r="C6" i="6"/>
  <c r="C34" i="6"/>
  <c r="C7" i="6"/>
  <c r="C393" i="6"/>
  <c r="C412" i="6"/>
  <c r="C175" i="6"/>
  <c r="C392" i="6"/>
  <c r="C283" i="6"/>
  <c r="C179" i="6"/>
  <c r="C224" i="6"/>
  <c r="C339" i="6"/>
  <c r="C129" i="6"/>
  <c r="C5" i="6"/>
  <c r="C4" i="6"/>
  <c r="C3" i="6"/>
  <c r="C344" i="6"/>
  <c r="C401" i="6"/>
  <c r="C409" i="6"/>
  <c r="C2" i="6"/>
  <c r="C114" i="6"/>
  <c r="C287" i="6"/>
  <c r="C337" i="6"/>
  <c r="C10" i="6"/>
  <c r="C376" i="6"/>
  <c r="C381" i="6"/>
  <c r="C374" i="6"/>
  <c r="C363" i="6"/>
  <c r="C416" i="6"/>
  <c r="C30" i="6"/>
  <c r="C153" i="6"/>
  <c r="C411" i="6"/>
  <c r="C40" i="6"/>
  <c r="C45" i="6"/>
  <c r="C395" i="6"/>
  <c r="C11" i="6"/>
  <c r="C200" i="6"/>
  <c r="C255" i="6"/>
  <c r="C362" i="6"/>
  <c r="C27" i="6"/>
  <c r="C415" i="6"/>
  <c r="C397" i="6"/>
  <c r="C399" i="6"/>
  <c r="C402" i="6"/>
  <c r="C403" i="6"/>
  <c r="C405" i="6"/>
  <c r="C410" i="6"/>
  <c r="C276" i="6"/>
  <c r="C288" i="6"/>
  <c r="C407" i="6"/>
  <c r="C274" i="6"/>
  <c r="C335" i="6"/>
  <c r="C29" i="6"/>
  <c r="C408" i="6"/>
  <c r="C26" i="6"/>
  <c r="C77" i="6"/>
  <c r="C86" i="6"/>
  <c r="C44" i="6"/>
  <c r="C19" i="6"/>
  <c r="C154" i="6"/>
  <c r="C39" i="6"/>
  <c r="C17" i="6"/>
  <c r="C135" i="6"/>
  <c r="C285" i="6"/>
  <c r="C286" i="6"/>
  <c r="C24" i="6"/>
  <c r="C256" i="6"/>
  <c r="C307" i="6"/>
  <c r="C400" i="6"/>
  <c r="C61" i="6"/>
  <c r="C296" i="6"/>
  <c r="C16" i="6"/>
  <c r="C18" i="6"/>
  <c r="C251" i="6"/>
  <c r="C12" i="6"/>
  <c r="C371" i="6"/>
  <c r="C414" i="6"/>
  <c r="C261" i="6"/>
  <c r="C388" i="6"/>
  <c r="C230" i="6"/>
  <c r="C364" i="6"/>
  <c r="C80" i="6"/>
  <c r="C238" i="6"/>
  <c r="C227" i="6"/>
  <c r="C131" i="6"/>
  <c r="C15" i="6"/>
  <c r="C25" i="6"/>
  <c r="C43" i="6"/>
  <c r="C20" i="6"/>
  <c r="C326" i="6"/>
  <c r="C398" i="6"/>
  <c r="C259" i="6"/>
  <c r="C68" i="6"/>
  <c r="C267" i="6"/>
  <c r="C306" i="6"/>
  <c r="C315" i="6"/>
  <c r="C305" i="6"/>
  <c r="C333" i="6"/>
  <c r="C160" i="6"/>
  <c r="C161" i="6"/>
  <c r="C235" i="6"/>
  <c r="C277" i="6"/>
  <c r="C35" i="6"/>
  <c r="C233" i="6"/>
  <c r="C378" i="6"/>
  <c r="C327" i="6"/>
  <c r="C232" i="6"/>
  <c r="C37" i="6"/>
  <c r="C189" i="6"/>
  <c r="C192" i="6"/>
  <c r="C221" i="6"/>
  <c r="C193" i="6"/>
  <c r="C194" i="6"/>
  <c r="C236" i="6"/>
  <c r="C178" i="6"/>
  <c r="C66" i="6"/>
  <c r="C282" i="6"/>
  <c r="C213" i="6"/>
  <c r="C151" i="6"/>
  <c r="C97" i="6"/>
  <c r="C141" i="6"/>
  <c r="C290" i="6"/>
  <c r="C268" i="6"/>
  <c r="C237" i="6"/>
  <c r="C248" i="6"/>
  <c r="C246" i="6"/>
  <c r="C191" i="6"/>
  <c r="C99" i="6"/>
  <c r="C214" i="6"/>
  <c r="C64" i="6"/>
  <c r="C391" i="6"/>
  <c r="C350" i="6"/>
  <c r="C132" i="6"/>
  <c r="C266" i="6"/>
  <c r="C212" i="6"/>
  <c r="C102" i="6"/>
  <c r="C106" i="6"/>
  <c r="C165" i="6"/>
  <c r="C185" i="6"/>
  <c r="C264" i="6"/>
  <c r="C100" i="6"/>
  <c r="C258" i="6"/>
  <c r="C159" i="6"/>
  <c r="C88" i="6"/>
  <c r="C42" i="6"/>
  <c r="C41" i="6"/>
  <c r="C121" i="6"/>
  <c r="C57" i="6"/>
  <c r="C70" i="6"/>
  <c r="C309" i="6"/>
  <c r="C176" i="6"/>
  <c r="C110" i="6"/>
  <c r="C111" i="6"/>
  <c r="C81" i="6"/>
  <c r="C188" i="6"/>
  <c r="C74" i="6"/>
  <c r="C252" i="6"/>
  <c r="C389" i="6"/>
  <c r="C73" i="6"/>
  <c r="C14" i="6"/>
  <c r="C390" i="6"/>
  <c r="C38" i="6"/>
  <c r="C250" i="6"/>
  <c r="C162" i="6"/>
  <c r="C108" i="6"/>
  <c r="C109" i="6"/>
  <c r="C107" i="6"/>
  <c r="C163" i="6"/>
  <c r="C317" i="6"/>
  <c r="C328" i="6"/>
  <c r="C271" i="6"/>
  <c r="C112" i="6"/>
  <c r="C180" i="6"/>
  <c r="C229" i="6"/>
  <c r="C228" i="6"/>
  <c r="C280" i="6"/>
  <c r="C265" i="6"/>
  <c r="C76" i="6"/>
  <c r="C90" i="6"/>
  <c r="C249" i="6"/>
  <c r="C103" i="6"/>
  <c r="C95" i="6"/>
  <c r="C279" i="6"/>
  <c r="C245" i="6"/>
  <c r="C257" i="6"/>
  <c r="C150" i="6"/>
  <c r="C136" i="6"/>
  <c r="C152" i="6"/>
  <c r="C156" i="6"/>
  <c r="C101" i="6"/>
  <c r="C56" i="6"/>
  <c r="C89" i="6"/>
  <c r="C91" i="6"/>
  <c r="C223" i="6"/>
  <c r="C368" i="6"/>
  <c r="C130" i="6"/>
  <c r="C59" i="6"/>
  <c r="C65" i="6"/>
  <c r="C93" i="6"/>
  <c r="C262" i="6"/>
  <c r="C96" i="6"/>
  <c r="C71" i="6"/>
  <c r="C216" i="6"/>
  <c r="C148" i="6"/>
  <c r="C312" i="6"/>
  <c r="C332" i="6"/>
  <c r="C284" i="6"/>
  <c r="C137" i="6"/>
  <c r="C75" i="6"/>
  <c r="C92" i="6"/>
  <c r="C263" i="6"/>
  <c r="C149" i="6"/>
  <c r="C316" i="6"/>
  <c r="C367" i="6"/>
  <c r="C270" i="6"/>
  <c r="C172" i="6"/>
  <c r="C203" i="6"/>
  <c r="C69" i="6"/>
  <c r="C124" i="6"/>
  <c r="C145" i="6"/>
  <c r="C94" i="6"/>
  <c r="C208" i="6"/>
  <c r="C123" i="6"/>
  <c r="C375" i="6"/>
  <c r="C325" i="6"/>
  <c r="C254" i="6"/>
  <c r="C243" i="6"/>
  <c r="C207" i="6"/>
  <c r="C273" i="6"/>
  <c r="C31" i="6"/>
  <c r="C138" i="6"/>
  <c r="C298" i="6"/>
  <c r="C173" i="6"/>
  <c r="C105" i="6"/>
  <c r="C205" i="6"/>
  <c r="C308" i="6"/>
  <c r="C98" i="6"/>
  <c r="C170" i="6"/>
  <c r="C169" i="6"/>
  <c r="C383" i="6"/>
  <c r="C53" i="6"/>
  <c r="C127" i="6"/>
  <c r="C84" i="6"/>
  <c r="C379" i="6"/>
  <c r="C60" i="6"/>
  <c r="C278" i="6"/>
  <c r="C247" i="6"/>
  <c r="C304" i="6"/>
  <c r="C311" i="6"/>
  <c r="C324" i="6"/>
  <c r="C79" i="6"/>
  <c r="C292" i="6"/>
  <c r="C222" i="6"/>
  <c r="C126" i="6"/>
  <c r="C133" i="6"/>
  <c r="C125" i="6"/>
  <c r="C33" i="6"/>
  <c r="C128" i="6"/>
  <c r="C272" i="6"/>
  <c r="C275" i="6"/>
  <c r="C240" i="6"/>
  <c r="C204" i="6"/>
  <c r="C171" i="6"/>
  <c r="C164" i="6"/>
  <c r="C330" i="6"/>
  <c r="C373" i="6"/>
  <c r="C369" i="6"/>
  <c r="C372" i="6"/>
  <c r="C142" i="6"/>
  <c r="C241" i="6"/>
  <c r="C67" i="6"/>
  <c r="C85" i="6"/>
  <c r="C199" i="6"/>
  <c r="C206" i="6"/>
  <c r="C113" i="6"/>
  <c r="C174" i="6"/>
  <c r="C303" i="6"/>
  <c r="C58" i="6"/>
  <c r="C253" i="6"/>
  <c r="C291" i="6"/>
  <c r="C146" i="6"/>
  <c r="C234" i="6"/>
  <c r="C87" i="6"/>
  <c r="C340" i="6"/>
  <c r="C183" i="6"/>
  <c r="C244" i="6"/>
  <c r="C177" i="6"/>
  <c r="C104" i="6"/>
  <c r="C239" i="6"/>
  <c r="C47" i="6"/>
  <c r="C158" i="6"/>
  <c r="C63" i="6"/>
  <c r="C36" i="6"/>
  <c r="C334" i="6"/>
  <c r="C167" i="6"/>
  <c r="C82" i="6"/>
  <c r="C294" i="6"/>
  <c r="C32" i="6"/>
  <c r="C119" i="6"/>
  <c r="C182" i="6"/>
  <c r="C83" i="6"/>
  <c r="C215" i="6"/>
  <c r="C358" i="6"/>
  <c r="C293" i="6"/>
  <c r="C226" i="6"/>
  <c r="C72" i="6"/>
  <c r="C197" i="6"/>
  <c r="C184" i="6"/>
  <c r="C211" i="6"/>
  <c r="C361" i="6"/>
  <c r="C62" i="6"/>
  <c r="C202" i="6"/>
  <c r="C147" i="6"/>
  <c r="C382" i="6"/>
  <c r="C157" i="6"/>
  <c r="C359" i="6"/>
  <c r="C338" i="6"/>
  <c r="C23" i="6"/>
  <c r="C201" i="6"/>
  <c r="C295" i="6"/>
  <c r="C21" i="6"/>
  <c r="C242" i="6"/>
  <c r="C186" i="6"/>
  <c r="C122" i="6"/>
  <c r="C166" i="6"/>
  <c r="C387" i="6"/>
  <c r="C8" i="6"/>
  <c r="C231" i="6"/>
  <c r="C51" i="6"/>
  <c r="C220" i="6"/>
  <c r="C22" i="6"/>
  <c r="C352" i="6"/>
  <c r="C218" i="6"/>
  <c r="C348" i="6"/>
  <c r="C310" i="6"/>
  <c r="C181" i="6"/>
  <c r="C196" i="6"/>
  <c r="C144" i="6"/>
  <c r="C118" i="6"/>
  <c r="C356" i="6"/>
  <c r="C219" i="6"/>
  <c r="C28" i="6"/>
  <c r="C209" i="6"/>
  <c r="C54" i="6"/>
  <c r="C55" i="6"/>
  <c r="C48" i="6"/>
  <c r="C313" i="6"/>
  <c r="C314" i="6"/>
  <c r="C187" i="6"/>
  <c r="C195" i="6"/>
  <c r="C336" i="6"/>
  <c r="C357" i="6"/>
  <c r="C190" i="6"/>
  <c r="C9" i="6"/>
  <c r="C52" i="6"/>
  <c r="C78" i="6"/>
  <c r="C349" i="6"/>
  <c r="C269" i="6"/>
  <c r="C120" i="6"/>
  <c r="C377" i="6"/>
  <c r="C50" i="6"/>
  <c r="C49" i="6"/>
  <c r="C143" i="6"/>
  <c r="C366" i="6"/>
  <c r="C198" i="6"/>
  <c r="C13" i="6"/>
  <c r="C380" i="6"/>
  <c r="C365" i="6"/>
  <c r="C319" i="6"/>
  <c r="C384" i="6"/>
  <c r="C46" i="6"/>
  <c r="C320" i="6"/>
  <c r="C321" i="6"/>
  <c r="C346" i="6"/>
  <c r="C347" i="6"/>
  <c r="C210" i="6"/>
  <c r="C217" i="6"/>
  <c r="C343" i="6"/>
  <c r="C360" i="6"/>
  <c r="C297" i="6"/>
  <c r="C342" i="6"/>
  <c r="C323" i="6"/>
  <c r="C341" i="6"/>
  <c r="C322" i="6"/>
  <c r="C370" i="6"/>
  <c r="C345" i="6"/>
  <c r="C353" i="6"/>
  <c r="C351" i="6"/>
  <c r="C354" i="6"/>
  <c r="C355" i="6"/>
  <c r="C168" i="6"/>
  <c r="C281" i="6"/>
  <c r="C331" i="6"/>
  <c r="C225" i="6"/>
  <c r="B331" i="6"/>
  <c r="B281" i="6"/>
  <c r="B168" i="6"/>
  <c r="B355" i="6"/>
  <c r="B354" i="6"/>
  <c r="B351" i="6"/>
  <c r="B353" i="6"/>
  <c r="B345" i="6"/>
  <c r="B370" i="6"/>
  <c r="B322" i="6"/>
  <c r="B341" i="6"/>
  <c r="B323" i="6"/>
  <c r="B342" i="6"/>
  <c r="B297" i="6"/>
  <c r="B360" i="6"/>
  <c r="B343" i="6"/>
  <c r="B217" i="6"/>
  <c r="B210" i="6"/>
  <c r="B347" i="6"/>
  <c r="B346" i="6"/>
  <c r="B321" i="6"/>
  <c r="B320" i="6"/>
  <c r="B46" i="6"/>
  <c r="B384" i="6"/>
  <c r="B319" i="6"/>
  <c r="B365" i="6"/>
  <c r="B380" i="6"/>
  <c r="B13" i="6"/>
  <c r="B198" i="6"/>
  <c r="B366" i="6"/>
  <c r="B143" i="6"/>
  <c r="B49" i="6"/>
  <c r="B50" i="6"/>
  <c r="B377" i="6"/>
  <c r="B120" i="6"/>
  <c r="B269" i="6"/>
  <c r="B349" i="6"/>
  <c r="B78" i="6"/>
  <c r="B52" i="6"/>
  <c r="B9" i="6"/>
  <c r="B190" i="6"/>
  <c r="B357" i="6"/>
  <c r="B336" i="6"/>
  <c r="B195" i="6"/>
  <c r="B314" i="6"/>
  <c r="B313" i="6"/>
  <c r="B48" i="6"/>
  <c r="B55" i="6"/>
  <c r="B54" i="6"/>
  <c r="B209" i="6"/>
  <c r="B28" i="6"/>
  <c r="B219" i="6"/>
  <c r="B356" i="6"/>
  <c r="B118" i="6"/>
  <c r="B144" i="6"/>
  <c r="B196" i="6"/>
  <c r="B181" i="6"/>
  <c r="B310" i="6"/>
  <c r="B348" i="6"/>
  <c r="B218" i="6"/>
  <c r="B352" i="6"/>
  <c r="B22" i="6"/>
  <c r="B220" i="6"/>
  <c r="B51" i="6"/>
  <c r="B231" i="6"/>
  <c r="B8" i="6"/>
  <c r="B387" i="6"/>
  <c r="B166" i="6"/>
  <c r="B122" i="6"/>
  <c r="B186" i="6"/>
  <c r="B242" i="6"/>
  <c r="B21" i="6"/>
  <c r="B295" i="6"/>
  <c r="B201" i="6"/>
  <c r="B23" i="6"/>
  <c r="B338" i="6"/>
  <c r="B359" i="6"/>
  <c r="B157" i="6"/>
  <c r="B382" i="6"/>
  <c r="B147" i="6"/>
  <c r="B202" i="6"/>
  <c r="B62" i="6"/>
  <c r="B361" i="6"/>
  <c r="B211" i="6"/>
  <c r="B184" i="6"/>
  <c r="B197" i="6"/>
  <c r="B72" i="6"/>
  <c r="B226" i="6"/>
  <c r="B293" i="6"/>
  <c r="B358" i="6"/>
  <c r="B215" i="6"/>
  <c r="B83" i="6"/>
  <c r="B182" i="6"/>
  <c r="B119" i="6"/>
  <c r="B32" i="6"/>
  <c r="B294" i="6"/>
  <c r="B82" i="6"/>
  <c r="B167" i="6"/>
  <c r="B334" i="6"/>
  <c r="B36" i="6"/>
  <c r="B63" i="6"/>
  <c r="B158" i="6"/>
  <c r="B47" i="6"/>
  <c r="B239" i="6"/>
  <c r="B104" i="6"/>
  <c r="B177" i="6"/>
  <c r="B244" i="6"/>
  <c r="B183" i="6"/>
  <c r="B340" i="6"/>
  <c r="B87" i="6"/>
  <c r="B234" i="6"/>
  <c r="B146" i="6"/>
  <c r="B291" i="6"/>
  <c r="B253" i="6"/>
  <c r="B58" i="6"/>
  <c r="B303" i="6"/>
  <c r="B174" i="6"/>
  <c r="B113" i="6"/>
  <c r="B206" i="6"/>
  <c r="B199" i="6"/>
  <c r="B85" i="6"/>
  <c r="B67" i="6"/>
  <c r="B241" i="6"/>
  <c r="B142" i="6"/>
  <c r="B372" i="6"/>
  <c r="B369" i="6"/>
  <c r="B373" i="6"/>
  <c r="B330" i="6"/>
  <c r="B164" i="6"/>
  <c r="B171" i="6"/>
  <c r="B204" i="6"/>
  <c r="B240" i="6"/>
  <c r="B275" i="6"/>
  <c r="B272" i="6"/>
  <c r="B128" i="6"/>
  <c r="B33" i="6"/>
  <c r="B125" i="6"/>
  <c r="B133" i="6"/>
  <c r="B126" i="6"/>
  <c r="B222" i="6"/>
  <c r="B292" i="6"/>
  <c r="B79" i="6"/>
  <c r="B324" i="6"/>
  <c r="B311" i="6"/>
  <c r="B304" i="6"/>
  <c r="B247" i="6"/>
  <c r="B278" i="6"/>
  <c r="B60" i="6"/>
  <c r="B379" i="6"/>
  <c r="B84" i="6"/>
  <c r="B127" i="6"/>
  <c r="B53" i="6"/>
  <c r="B383" i="6"/>
  <c r="B169" i="6"/>
  <c r="B170" i="6"/>
  <c r="B98" i="6"/>
  <c r="B308" i="6"/>
  <c r="B205" i="6"/>
  <c r="B105" i="6"/>
  <c r="B173" i="6"/>
  <c r="B298" i="6"/>
  <c r="B138" i="6"/>
  <c r="B31" i="6"/>
  <c r="B273" i="6"/>
  <c r="B207" i="6"/>
  <c r="B243" i="6"/>
  <c r="B254" i="6"/>
  <c r="B325" i="6"/>
  <c r="B375" i="6"/>
  <c r="B123" i="6"/>
  <c r="B208" i="6"/>
  <c r="B94" i="6"/>
  <c r="B145" i="6"/>
  <c r="B124" i="6"/>
  <c r="B69" i="6"/>
  <c r="B203" i="6"/>
  <c r="B172" i="6"/>
  <c r="B270" i="6"/>
  <c r="B367" i="6"/>
  <c r="B316" i="6"/>
  <c r="B149" i="6"/>
  <c r="B263" i="6"/>
  <c r="B92" i="6"/>
  <c r="B75" i="6"/>
  <c r="B137" i="6"/>
  <c r="B284" i="6"/>
  <c r="B332" i="6"/>
  <c r="B312" i="6"/>
  <c r="B148" i="6"/>
  <c r="B216" i="6"/>
  <c r="B71" i="6"/>
  <c r="B96" i="6"/>
  <c r="B262" i="6"/>
  <c r="B93" i="6"/>
  <c r="B65" i="6"/>
  <c r="B59" i="6"/>
  <c r="B130" i="6"/>
  <c r="B368" i="6"/>
  <c r="B223" i="6"/>
  <c r="B91" i="6"/>
  <c r="B89" i="6"/>
  <c r="B56" i="6"/>
  <c r="B101" i="6"/>
  <c r="B156" i="6"/>
  <c r="B152" i="6"/>
  <c r="B136" i="6"/>
  <c r="B150" i="6"/>
  <c r="B257" i="6"/>
  <c r="B245" i="6"/>
  <c r="B279" i="6"/>
  <c r="B95" i="6"/>
  <c r="B103" i="6"/>
  <c r="B249" i="6"/>
  <c r="B90" i="6"/>
  <c r="B76" i="6"/>
  <c r="B265" i="6"/>
  <c r="B280" i="6"/>
  <c r="B228" i="6"/>
  <c r="B229" i="6"/>
  <c r="B180" i="6"/>
  <c r="B112" i="6"/>
  <c r="B328" i="6"/>
  <c r="B317" i="6"/>
  <c r="B163" i="6"/>
  <c r="B107" i="6"/>
  <c r="B109" i="6"/>
  <c r="B108" i="6"/>
  <c r="B162" i="6"/>
  <c r="B250" i="6"/>
  <c r="B38" i="6"/>
  <c r="B390" i="6"/>
  <c r="B14" i="6"/>
  <c r="B73" i="6"/>
  <c r="B389" i="6"/>
  <c r="B252" i="6"/>
  <c r="B74" i="6"/>
  <c r="B81" i="6"/>
  <c r="B111" i="6"/>
  <c r="B110" i="6"/>
  <c r="B176" i="6"/>
  <c r="B309" i="6"/>
  <c r="B70" i="6"/>
  <c r="B57" i="6"/>
  <c r="B121" i="6"/>
  <c r="B41" i="6"/>
  <c r="B42" i="6"/>
  <c r="B88" i="6"/>
  <c r="B159" i="6"/>
  <c r="B258" i="6"/>
  <c r="B100" i="6"/>
  <c r="B264" i="6"/>
  <c r="B185" i="6"/>
  <c r="B165" i="6"/>
  <c r="B106" i="6"/>
  <c r="B102" i="6"/>
  <c r="B212" i="6"/>
  <c r="B266" i="6"/>
  <c r="B132" i="6"/>
  <c r="B350" i="6"/>
  <c r="B391" i="6"/>
  <c r="B64" i="6"/>
  <c r="B214" i="6"/>
  <c r="B99" i="6"/>
  <c r="B191" i="6"/>
  <c r="B246" i="6"/>
  <c r="B248" i="6"/>
  <c r="B237" i="6"/>
  <c r="B268" i="6"/>
  <c r="B290" i="6"/>
  <c r="B141" i="6"/>
  <c r="B97" i="6"/>
  <c r="B151" i="6"/>
  <c r="B213" i="6"/>
  <c r="B282" i="6"/>
  <c r="B178" i="6"/>
  <c r="B236" i="6"/>
  <c r="B194" i="6"/>
  <c r="B193" i="6"/>
  <c r="B221" i="6"/>
  <c r="B192" i="6"/>
  <c r="B189" i="6"/>
  <c r="B37" i="6"/>
  <c r="B232" i="6"/>
  <c r="B327" i="6"/>
  <c r="B378" i="6"/>
  <c r="B233" i="6"/>
  <c r="B35" i="6"/>
  <c r="B277" i="6"/>
  <c r="B235" i="6"/>
  <c r="B161" i="6"/>
  <c r="B160" i="6"/>
  <c r="B333" i="6"/>
  <c r="B305" i="6"/>
  <c r="B315" i="6"/>
  <c r="B306" i="6"/>
  <c r="B267" i="6"/>
  <c r="B68" i="6"/>
  <c r="B259" i="6"/>
  <c r="B398" i="6"/>
  <c r="B326" i="6"/>
  <c r="B20" i="6"/>
  <c r="B43" i="6"/>
  <c r="B25" i="6"/>
  <c r="B15" i="6"/>
  <c r="B131" i="6"/>
  <c r="B227" i="6"/>
  <c r="B238" i="6"/>
  <c r="B80" i="6"/>
  <c r="B364" i="6"/>
  <c r="B230" i="6"/>
  <c r="B388" i="6"/>
  <c r="B261" i="6"/>
  <c r="B414" i="6"/>
  <c r="B371" i="6"/>
  <c r="B12" i="6"/>
  <c r="B251" i="6"/>
  <c r="B18" i="6"/>
  <c r="B16" i="6"/>
  <c r="B296" i="6"/>
  <c r="B61" i="6"/>
  <c r="B400" i="6"/>
  <c r="B307" i="6"/>
  <c r="B256" i="6"/>
  <c r="B24" i="6"/>
  <c r="B286" i="6"/>
  <c r="B285" i="6"/>
  <c r="B135" i="6"/>
  <c r="B17" i="6"/>
  <c r="B39" i="6"/>
  <c r="B154" i="6"/>
  <c r="B19" i="6"/>
  <c r="B44" i="6"/>
  <c r="B86" i="6"/>
  <c r="B77" i="6"/>
  <c r="B26" i="6"/>
  <c r="B408" i="6"/>
  <c r="B29" i="6"/>
  <c r="B335" i="6"/>
  <c r="B274" i="6"/>
  <c r="B407" i="6"/>
  <c r="B288" i="6"/>
  <c r="B276" i="6"/>
  <c r="B410" i="6"/>
  <c r="B405" i="6"/>
  <c r="B403" i="6"/>
  <c r="B402" i="6"/>
  <c r="B399" i="6"/>
  <c r="B397" i="6"/>
  <c r="B415" i="6"/>
  <c r="B27" i="6"/>
  <c r="B362" i="6"/>
  <c r="B255" i="6"/>
  <c r="B200" i="6"/>
  <c r="B11" i="6"/>
  <c r="B395" i="6"/>
  <c r="B45" i="6"/>
  <c r="B40" i="6"/>
  <c r="B411" i="6"/>
  <c r="B153" i="6"/>
  <c r="B30" i="6"/>
  <c r="B416" i="6"/>
  <c r="B363" i="6"/>
  <c r="B374" i="6"/>
  <c r="B381" i="6"/>
  <c r="B376" i="6"/>
  <c r="B10" i="6"/>
  <c r="B337" i="6"/>
  <c r="B287" i="6"/>
  <c r="B114" i="6"/>
  <c r="B2" i="6"/>
  <c r="B409" i="6"/>
  <c r="B401" i="6"/>
  <c r="B344" i="6"/>
  <c r="B3" i="6"/>
  <c r="B4" i="6"/>
  <c r="B5" i="6"/>
  <c r="B129" i="6"/>
  <c r="B339" i="6"/>
  <c r="B224" i="6"/>
  <c r="B179" i="6"/>
  <c r="B283" i="6"/>
  <c r="B392" i="6"/>
  <c r="B175" i="6"/>
  <c r="B412" i="6"/>
  <c r="B393" i="6"/>
  <c r="B7" i="6"/>
  <c r="B34" i="6"/>
  <c r="B6" i="6"/>
  <c r="B289" i="6"/>
  <c r="B117" i="6"/>
  <c r="B134" i="6"/>
  <c r="B406" i="6"/>
  <c r="B404" i="6"/>
  <c r="B396" i="6"/>
  <c r="B329" i="6"/>
  <c r="B394" i="6"/>
  <c r="B115" i="6"/>
  <c r="B116" i="6"/>
  <c r="B155" i="6"/>
  <c r="B413" i="6"/>
  <c r="B225" i="6"/>
  <c r="A3" i="8"/>
  <c r="V3" i="8" s="1"/>
  <c r="A4" i="8"/>
  <c r="A5" i="8"/>
  <c r="AE5" i="8"/>
  <c r="AF5" i="8"/>
  <c r="AG5" i="8"/>
  <c r="A6" i="8"/>
  <c r="A7" i="8"/>
  <c r="AG7" i="8"/>
  <c r="AK7" i="8"/>
  <c r="A8" i="8"/>
  <c r="AE8" i="8"/>
  <c r="AG8" i="8"/>
  <c r="AI8" i="8"/>
  <c r="AK8" i="8"/>
  <c r="A9" i="8"/>
  <c r="A10" i="8"/>
  <c r="A11" i="8"/>
  <c r="AI11" i="8" s="1"/>
  <c r="AE11" i="8"/>
  <c r="AG11" i="8"/>
  <c r="AK11" i="8"/>
  <c r="A12" i="8"/>
  <c r="AI12" i="8"/>
  <c r="A13" i="8"/>
  <c r="AK13" i="8" s="1"/>
  <c r="AI13" i="8"/>
  <c r="AM13" i="8"/>
  <c r="A14" i="8"/>
  <c r="A15" i="8"/>
  <c r="A16" i="8"/>
  <c r="A17" i="8"/>
  <c r="AE17" i="8"/>
  <c r="AG17" i="8"/>
  <c r="AI17" i="8"/>
  <c r="AK17" i="8"/>
  <c r="AM17" i="8"/>
  <c r="A18" i="8"/>
  <c r="AG18" i="8" s="1"/>
  <c r="AE18" i="8"/>
  <c r="AF18" i="8"/>
  <c r="AI18" i="8"/>
  <c r="A19" i="8"/>
  <c r="A20" i="8"/>
  <c r="AE20" i="8"/>
  <c r="AF20" i="8"/>
  <c r="AG20" i="8"/>
  <c r="AI20" i="8"/>
  <c r="AK20" i="8"/>
  <c r="AM20" i="8"/>
  <c r="A21" i="8"/>
  <c r="AE21" i="8" s="1"/>
  <c r="AF21" i="8"/>
  <c r="AM21" i="8"/>
  <c r="A22" i="8"/>
  <c r="AM22" i="8" s="1"/>
  <c r="A23" i="8"/>
  <c r="AM23" i="8" s="1"/>
  <c r="AK23" i="8"/>
  <c r="A24" i="8"/>
  <c r="A25" i="8"/>
  <c r="AG25" i="8"/>
  <c r="AK25" i="8"/>
  <c r="A26" i="8"/>
  <c r="AE26" i="8"/>
  <c r="A27" i="8"/>
  <c r="A28" i="8"/>
  <c r="AE28" i="8"/>
  <c r="AF28" i="8"/>
  <c r="AK28" i="8"/>
  <c r="A29" i="8"/>
  <c r="AE29" i="8"/>
  <c r="AG29" i="8"/>
  <c r="AK29" i="8"/>
  <c r="A30" i="8"/>
  <c r="AL30" i="8" s="1"/>
  <c r="AE30" i="8"/>
  <c r="AF30" i="8"/>
  <c r="AK30" i="8"/>
  <c r="A31" i="8"/>
  <c r="AE31" i="8"/>
  <c r="AF31" i="8"/>
  <c r="AL31" i="8"/>
  <c r="A32" i="8"/>
  <c r="T32" i="8" s="1"/>
  <c r="A33" i="8"/>
  <c r="AE33" i="8"/>
  <c r="AK33" i="8"/>
  <c r="A34" i="8"/>
  <c r="AE34" i="8"/>
  <c r="A35" i="8"/>
  <c r="AK35" i="8"/>
  <c r="A36" i="8"/>
  <c r="A37" i="8"/>
  <c r="AD37" i="8"/>
  <c r="AE37" i="8"/>
  <c r="AI37" i="8"/>
  <c r="AL37" i="8"/>
  <c r="A38" i="8"/>
  <c r="AI38" i="8"/>
  <c r="AL38" i="8"/>
  <c r="A39" i="8"/>
  <c r="A40" i="8"/>
  <c r="AE40" i="8"/>
  <c r="A41" i="8"/>
  <c r="AE41" i="8"/>
  <c r="AI41" i="8"/>
  <c r="AJ41" i="8"/>
  <c r="A42" i="8"/>
  <c r="AL42" i="8"/>
  <c r="A43" i="8"/>
  <c r="AE43" i="8"/>
  <c r="AG43" i="8"/>
  <c r="AK43" i="8"/>
  <c r="AL43" i="8"/>
  <c r="A44" i="8"/>
  <c r="AE44" i="8" s="1"/>
  <c r="AG44" i="8"/>
  <c r="AI44" i="8"/>
  <c r="AK44" i="8"/>
  <c r="A45" i="8"/>
  <c r="A46" i="8"/>
  <c r="A47" i="8"/>
  <c r="AG47" i="8"/>
  <c r="A48" i="8"/>
  <c r="AF48" i="8"/>
  <c r="AI48" i="8"/>
  <c r="A49" i="8"/>
  <c r="AG49" i="8"/>
  <c r="AI49" i="8"/>
  <c r="AK49" i="8"/>
  <c r="A50" i="8"/>
  <c r="A51" i="8"/>
  <c r="A52" i="8"/>
  <c r="A53" i="8"/>
  <c r="AI53" i="8"/>
  <c r="A54" i="8"/>
  <c r="AK54" i="8"/>
  <c r="A55" i="8"/>
  <c r="AE55" i="8"/>
  <c r="AG55" i="8"/>
  <c r="AI55" i="8"/>
  <c r="AK55" i="8"/>
  <c r="A56" i="8"/>
  <c r="AK56" i="8"/>
  <c r="A57" i="8"/>
  <c r="AK57" i="8"/>
  <c r="AM57" i="8"/>
  <c r="A58" i="8"/>
  <c r="AG58" i="8" s="1"/>
  <c r="AE58" i="8"/>
  <c r="AK58" i="8"/>
  <c r="A59" i="8"/>
  <c r="AE59" i="8"/>
  <c r="A60" i="8"/>
  <c r="AF60" i="8"/>
  <c r="AG60" i="8"/>
  <c r="A61" i="8"/>
  <c r="AK61" i="8"/>
  <c r="A62" i="8"/>
  <c r="AE62" i="8"/>
  <c r="AG62" i="8"/>
  <c r="AI62" i="8"/>
  <c r="AK62" i="8"/>
  <c r="A63" i="8"/>
  <c r="AF63" i="8" s="1"/>
  <c r="AG63" i="8"/>
  <c r="AI63" i="8"/>
  <c r="A64" i="8"/>
  <c r="AE64" i="8" s="1"/>
  <c r="A65" i="8"/>
  <c r="AE65" i="8"/>
  <c r="AG65" i="8"/>
  <c r="A66" i="8"/>
  <c r="AE66" i="8"/>
  <c r="AF66" i="8"/>
  <c r="AG66" i="8"/>
  <c r="AI66" i="8"/>
  <c r="A67" i="8"/>
  <c r="A68" i="8"/>
  <c r="AE68" i="8"/>
  <c r="AF68" i="8"/>
  <c r="AG68" i="8"/>
  <c r="AI68" i="8"/>
  <c r="AK68" i="8"/>
  <c r="A69" i="8"/>
  <c r="AK69" i="8"/>
  <c r="A70" i="8"/>
  <c r="AE70" i="8"/>
  <c r="A71" i="8"/>
  <c r="AE71" i="8"/>
  <c r="AG71" i="8"/>
  <c r="AK71" i="8"/>
  <c r="A72" i="8"/>
  <c r="AG72" i="8"/>
  <c r="AI72" i="8"/>
  <c r="A73" i="8"/>
  <c r="A74" i="8"/>
  <c r="AE74" i="8"/>
  <c r="AG74" i="8"/>
  <c r="AI74" i="8"/>
  <c r="AK74" i="8"/>
  <c r="A75" i="8"/>
  <c r="AG75" i="8"/>
  <c r="AK75" i="8"/>
  <c r="A76" i="8"/>
  <c r="A77" i="8"/>
  <c r="AI77" i="8"/>
  <c r="AN77" i="8"/>
  <c r="A78" i="8"/>
  <c r="A79" i="8"/>
  <c r="AF79" i="8" s="1"/>
  <c r="AG79" i="8"/>
  <c r="AK79" i="8"/>
  <c r="A80" i="8"/>
  <c r="AE80" i="8"/>
  <c r="AG80" i="8"/>
  <c r="A81" i="8"/>
  <c r="AF81" i="8"/>
  <c r="AI81" i="8"/>
  <c r="A82" i="8"/>
  <c r="AE82" i="8"/>
  <c r="AF82" i="8"/>
  <c r="AG82" i="8"/>
  <c r="AI82" i="8"/>
  <c r="AK82" i="8"/>
  <c r="A83" i="8"/>
  <c r="AF83" i="8"/>
  <c r="AK83" i="8"/>
  <c r="A84" i="8"/>
  <c r="AK84" i="8"/>
  <c r="A85" i="8"/>
  <c r="AG85" i="8"/>
  <c r="AK85" i="8"/>
  <c r="A86" i="8"/>
  <c r="AK86" i="8" s="1"/>
  <c r="AE86" i="8"/>
  <c r="AG86" i="8"/>
  <c r="AI86" i="8"/>
  <c r="A87" i="8"/>
  <c r="AK87" i="8"/>
  <c r="A88" i="8"/>
  <c r="AE88" i="8"/>
  <c r="AG88" i="8"/>
  <c r="AK88" i="8"/>
  <c r="A89" i="8"/>
  <c r="AG89" i="8"/>
  <c r="A90" i="8"/>
  <c r="AG90" i="8" s="1"/>
  <c r="AE90" i="8"/>
  <c r="AF90" i="8"/>
  <c r="AI90" i="8"/>
  <c r="A91" i="8"/>
  <c r="AE91" i="8"/>
  <c r="AK91" i="8"/>
  <c r="A92" i="8"/>
  <c r="A93" i="8"/>
  <c r="AE93" i="8" s="1"/>
  <c r="A94" i="8"/>
  <c r="AE94" i="8"/>
  <c r="AG94" i="8"/>
  <c r="AI94" i="8"/>
  <c r="AK94" i="8"/>
  <c r="A95" i="8"/>
  <c r="AK95" i="8"/>
  <c r="A96" i="8"/>
  <c r="AI96" i="8"/>
  <c r="AK96" i="8"/>
  <c r="A97" i="8"/>
  <c r="AE97" i="8"/>
  <c r="AG97" i="8"/>
  <c r="AK97" i="8"/>
  <c r="A98" i="8"/>
  <c r="A99" i="8"/>
  <c r="A100" i="8"/>
  <c r="AE100" i="8"/>
  <c r="AG100" i="8"/>
  <c r="AI100" i="8"/>
  <c r="AK100" i="8"/>
  <c r="A101" i="8"/>
  <c r="AE101" i="8"/>
  <c r="AG101" i="8"/>
  <c r="AK101" i="8"/>
  <c r="AM101" i="8"/>
  <c r="A102" i="8"/>
  <c r="AK102" i="8"/>
  <c r="AM102" i="8"/>
  <c r="A103" i="8"/>
  <c r="AK103" i="8" s="1"/>
  <c r="AE103" i="8"/>
  <c r="AG103" i="8"/>
  <c r="AM103" i="8"/>
  <c r="A104" i="8"/>
  <c r="AE104" i="8"/>
  <c r="AK104" i="8"/>
  <c r="A105" i="8"/>
  <c r="AK105" i="8" s="1"/>
  <c r="AG105" i="8"/>
  <c r="A106" i="8"/>
  <c r="AG106" i="8"/>
  <c r="A107" i="8"/>
  <c r="A108" i="8"/>
  <c r="A109" i="8"/>
  <c r="AI109" i="8"/>
  <c r="A110" i="8"/>
  <c r="AE110" i="8"/>
  <c r="AG110" i="8"/>
  <c r="AK110" i="8"/>
  <c r="A111" i="8"/>
  <c r="A112" i="8"/>
  <c r="AE112" i="8"/>
  <c r="AF112" i="8"/>
  <c r="AG112" i="8"/>
  <c r="AK112" i="8"/>
  <c r="AM112" i="8"/>
  <c r="A113" i="8"/>
  <c r="AF113" i="8" s="1"/>
  <c r="A114" i="8"/>
  <c r="A115" i="8"/>
  <c r="AM115" i="8" s="1"/>
  <c r="AG115" i="8"/>
  <c r="AI115" i="8"/>
  <c r="AK115" i="8"/>
  <c r="A116" i="8"/>
  <c r="A117" i="8"/>
  <c r="A118" i="8"/>
  <c r="A119" i="8"/>
  <c r="A120" i="8"/>
  <c r="A121" i="8"/>
  <c r="AE121" i="8"/>
  <c r="AF121" i="8"/>
  <c r="AK121" i="8"/>
  <c r="A122" i="8"/>
  <c r="AE122" i="8"/>
  <c r="AF122" i="8"/>
  <c r="AI122" i="8"/>
  <c r="AK122" i="8"/>
  <c r="A123" i="8"/>
  <c r="AE123" i="8" s="1"/>
  <c r="AF123" i="8"/>
  <c r="AG123" i="8"/>
  <c r="AK123" i="8"/>
  <c r="A124" i="8"/>
  <c r="AE124" i="8"/>
  <c r="AF124" i="8"/>
  <c r="AG124" i="8"/>
  <c r="AI124" i="8"/>
  <c r="AK124" i="8"/>
  <c r="A125" i="8"/>
  <c r="A126" i="8"/>
  <c r="AG126" i="8"/>
  <c r="AK126" i="8"/>
  <c r="A127" i="8"/>
  <c r="AF127" i="8"/>
  <c r="AG127" i="8"/>
  <c r="AI127" i="8"/>
  <c r="AK127" i="8"/>
  <c r="A128" i="8"/>
  <c r="AE128" i="8"/>
  <c r="AF128" i="8"/>
  <c r="AG128" i="8"/>
  <c r="AI128" i="8"/>
  <c r="AK128" i="8"/>
  <c r="A129" i="8"/>
  <c r="AE130" i="8"/>
  <c r="AK130" i="8"/>
  <c r="A131" i="8"/>
  <c r="AK131" i="8"/>
  <c r="A132" i="8"/>
  <c r="AG132" i="8"/>
  <c r="AI132" i="8"/>
  <c r="A133" i="8"/>
  <c r="AG133" i="8"/>
  <c r="AI133" i="8"/>
  <c r="AK133" i="8"/>
  <c r="A134" i="8"/>
  <c r="AK134" i="8" s="1"/>
  <c r="AF134" i="8"/>
  <c r="AG134" i="8"/>
  <c r="A135" i="8"/>
  <c r="AG135" i="8"/>
  <c r="A136" i="8"/>
  <c r="A137" i="8"/>
  <c r="AG137" i="8"/>
  <c r="AK137" i="8"/>
  <c r="A138" i="8"/>
  <c r="A139" i="8"/>
  <c r="AI139" i="8"/>
  <c r="A140" i="8"/>
  <c r="AE140" i="8"/>
  <c r="AG140" i="8"/>
  <c r="AI140" i="8"/>
  <c r="AK140" i="8"/>
  <c r="A141" i="8"/>
  <c r="AE141" i="8" s="1"/>
  <c r="AI141" i="8"/>
  <c r="A142" i="8"/>
  <c r="AE142" i="8" s="1"/>
  <c r="AF142" i="8"/>
  <c r="AI142" i="8"/>
  <c r="A143" i="8"/>
  <c r="A144" i="8"/>
  <c r="AF144" i="8"/>
  <c r="AK144" i="8"/>
  <c r="A145" i="8"/>
  <c r="AE145" i="8"/>
  <c r="AF145" i="8"/>
  <c r="AG145" i="8"/>
  <c r="AI145" i="8"/>
  <c r="AK145" i="8"/>
  <c r="A146" i="8"/>
  <c r="AE146" i="8"/>
  <c r="AG146" i="8"/>
  <c r="A147" i="8"/>
  <c r="AI147" i="8" s="1"/>
  <c r="AF147" i="8"/>
  <c r="AG147" i="8"/>
  <c r="AK147" i="8"/>
  <c r="A148" i="8"/>
  <c r="AE148" i="8" s="1"/>
  <c r="AI148" i="8"/>
  <c r="AJ148" i="8"/>
  <c r="AK148" i="8"/>
  <c r="A149" i="8"/>
  <c r="AE149" i="8"/>
  <c r="A150" i="8"/>
  <c r="A151" i="8"/>
  <c r="AM151" i="8"/>
  <c r="A152" i="8"/>
  <c r="AE152" i="8"/>
  <c r="AK152" i="8"/>
  <c r="AM152" i="8"/>
  <c r="A153" i="8"/>
  <c r="AM153" i="8"/>
  <c r="A154" i="8"/>
  <c r="A155" i="8"/>
  <c r="AG155" i="8"/>
  <c r="AM155" i="8"/>
  <c r="A156" i="8"/>
  <c r="AG156" i="8"/>
  <c r="AK156" i="8"/>
  <c r="AM156" i="8"/>
  <c r="A157" i="8"/>
  <c r="AK157" i="8" s="1"/>
  <c r="AG157" i="8"/>
  <c r="A158" i="8"/>
  <c r="AE158" i="8"/>
  <c r="AF158" i="8"/>
  <c r="AI158" i="8"/>
  <c r="AM158" i="8"/>
  <c r="A159" i="8"/>
  <c r="AE159" i="8"/>
  <c r="AM159" i="8"/>
  <c r="A160" i="8"/>
  <c r="AG160" i="8"/>
  <c r="A161" i="8"/>
  <c r="AE161" i="8"/>
  <c r="AI161" i="8"/>
  <c r="AK161" i="8"/>
  <c r="AM161" i="8"/>
  <c r="A162" i="8"/>
  <c r="AE162" i="8"/>
  <c r="AF162" i="8"/>
  <c r="AG162" i="8"/>
  <c r="AI162" i="8"/>
  <c r="A163" i="8"/>
  <c r="AM163" i="8"/>
  <c r="A164" i="8"/>
  <c r="AG164" i="8"/>
  <c r="AK164" i="8"/>
  <c r="AM164" i="8"/>
  <c r="A165" i="8"/>
  <c r="AM165" i="8"/>
  <c r="A166" i="8"/>
  <c r="AM166" i="8"/>
  <c r="A167" i="8"/>
  <c r="AD167" i="8"/>
  <c r="AE167" i="8"/>
  <c r="A168" i="8"/>
  <c r="AM168" i="8"/>
  <c r="A169" i="8"/>
  <c r="A170" i="8"/>
  <c r="AG170" i="8"/>
  <c r="AI170" i="8"/>
  <c r="AK170" i="8"/>
  <c r="AM170" i="8"/>
  <c r="AG171" i="8"/>
  <c r="AI171" i="8"/>
  <c r="AK171" i="8"/>
  <c r="AM171" i="8"/>
  <c r="A172" i="8"/>
  <c r="AK172" i="8"/>
  <c r="AM172" i="8"/>
  <c r="A173" i="8"/>
  <c r="AE173" i="8"/>
  <c r="AF173" i="8"/>
  <c r="AG173" i="8"/>
  <c r="A174" i="8"/>
  <c r="A175" i="8"/>
  <c r="A176" i="8"/>
  <c r="AG176" i="8"/>
  <c r="AM176" i="8"/>
  <c r="A177" i="8"/>
  <c r="AE177" i="8"/>
  <c r="AK177" i="8"/>
  <c r="AM177" i="8"/>
  <c r="A178" i="8"/>
  <c r="AG178" i="8"/>
  <c r="A179" i="8"/>
  <c r="AI179" i="8"/>
  <c r="AM179" i="8"/>
  <c r="A180" i="8"/>
  <c r="AE180" i="8"/>
  <c r="A181" i="8"/>
  <c r="AK181" i="8"/>
  <c r="A182" i="8"/>
  <c r="AG182" i="8"/>
  <c r="AI182" i="8"/>
  <c r="AK182" i="8"/>
  <c r="A183" i="8"/>
  <c r="AG183" i="8"/>
  <c r="AI183" i="8"/>
  <c r="AK183" i="8"/>
  <c r="AM183" i="8"/>
  <c r="A184" i="8"/>
  <c r="AE184" i="8"/>
  <c r="AG184" i="8"/>
  <c r="AK184" i="8"/>
  <c r="AM184" i="8"/>
  <c r="A185" i="8"/>
  <c r="AK185" i="8"/>
  <c r="A186" i="8"/>
  <c r="AE186" i="8"/>
  <c r="AG186" i="8"/>
  <c r="AK186" i="8"/>
  <c r="A187" i="8"/>
  <c r="A188" i="8"/>
  <c r="A189" i="8"/>
  <c r="A190" i="8"/>
  <c r="AK190" i="8"/>
  <c r="A191" i="8"/>
  <c r="AE191" i="8"/>
  <c r="AF191" i="8"/>
  <c r="AG191" i="8"/>
  <c r="AK191" i="8"/>
  <c r="A192" i="8"/>
  <c r="AK192" i="8" s="1"/>
  <c r="AD192" i="8"/>
  <c r="AE192" i="8"/>
  <c r="AF192" i="8"/>
  <c r="AI192" i="8"/>
  <c r="A193" i="8"/>
  <c r="AG193" i="8"/>
  <c r="AI193" i="8"/>
  <c r="AK193" i="8"/>
  <c r="A194" i="8"/>
  <c r="AE194" i="8"/>
  <c r="AF194" i="8"/>
  <c r="AG194" i="8"/>
  <c r="AK194" i="8"/>
  <c r="A195" i="8"/>
  <c r="A196" i="8"/>
  <c r="AI196" i="8"/>
  <c r="A197" i="8"/>
  <c r="AE197" i="8"/>
  <c r="AF197" i="8"/>
  <c r="AI197" i="8"/>
  <c r="A198" i="8"/>
  <c r="AE198" i="8"/>
  <c r="AF198" i="8"/>
  <c r="A199" i="8"/>
  <c r="AI199" i="8" s="1"/>
  <c r="AE199" i="8"/>
  <c r="A200" i="8"/>
  <c r="AE200" i="8" s="1"/>
  <c r="AG200" i="8"/>
  <c r="AI200" i="8"/>
  <c r="AK200" i="8"/>
  <c r="A201" i="8"/>
  <c r="AG201" i="8"/>
  <c r="AI201" i="8"/>
  <c r="AK201" i="8"/>
  <c r="A202" i="8"/>
  <c r="AI202" i="8"/>
  <c r="A203" i="8"/>
  <c r="A204" i="8"/>
  <c r="A205" i="8"/>
  <c r="AI205" i="8"/>
  <c r="A206" i="8"/>
  <c r="A207" i="8"/>
  <c r="A208" i="8"/>
  <c r="AE208" i="8"/>
  <c r="AF208" i="8"/>
  <c r="AG208" i="8"/>
  <c r="A209" i="8"/>
  <c r="AE209" i="8"/>
  <c r="AF209" i="8"/>
  <c r="AK209" i="8"/>
  <c r="AM209" i="8"/>
  <c r="A210" i="8"/>
  <c r="AE210" i="8"/>
  <c r="AG210" i="8"/>
  <c r="AI210" i="8"/>
  <c r="AM210" i="8"/>
  <c r="A211" i="8"/>
  <c r="AG211" i="8"/>
  <c r="A212" i="8"/>
  <c r="AE212" i="8" s="1"/>
  <c r="AI212" i="8"/>
  <c r="AK212" i="8"/>
  <c r="AM212" i="8"/>
  <c r="A213" i="8"/>
  <c r="AE213" i="8"/>
  <c r="AF213" i="8"/>
  <c r="AG213" i="8"/>
  <c r="AI213" i="8"/>
  <c r="AK213" i="8"/>
  <c r="AM213" i="8"/>
  <c r="A214" i="8"/>
  <c r="AE214" i="8"/>
  <c r="AF214" i="8"/>
  <c r="AG214" i="8"/>
  <c r="A215" i="8"/>
  <c r="AE215" i="8"/>
  <c r="A216" i="8"/>
  <c r="AE216" i="8"/>
  <c r="AM216" i="8"/>
  <c r="A217" i="8"/>
  <c r="AM217" i="8"/>
  <c r="A218" i="8"/>
  <c r="AD218" i="8"/>
  <c r="AG218" i="8"/>
  <c r="AI218" i="8"/>
  <c r="AK218" i="8"/>
  <c r="AM218" i="8"/>
  <c r="A219" i="8"/>
  <c r="AG219" i="8"/>
  <c r="AM219" i="8"/>
  <c r="A220" i="8"/>
  <c r="AE220" i="8"/>
  <c r="AK220" i="8"/>
  <c r="AM220" i="8"/>
  <c r="A221" i="8"/>
  <c r="A222" i="8"/>
  <c r="AM222" i="8" s="1"/>
  <c r="AE222" i="8"/>
  <c r="AL222" i="8"/>
  <c r="A223" i="8"/>
  <c r="AM223" i="8"/>
  <c r="A224" i="8"/>
  <c r="AG224" i="8"/>
  <c r="AK224" i="8"/>
  <c r="A225" i="8"/>
  <c r="AG225" i="8"/>
  <c r="AK225" i="8"/>
  <c r="AL225" i="8"/>
  <c r="AM225" i="8"/>
  <c r="A226" i="8"/>
  <c r="A227" i="8"/>
  <c r="A228" i="8"/>
  <c r="AK228" i="8"/>
  <c r="AM228" i="8"/>
  <c r="A229" i="8"/>
  <c r="AI229" i="8"/>
  <c r="AM229" i="8"/>
  <c r="A230" i="8"/>
  <c r="AI230" i="8"/>
  <c r="AK230" i="8"/>
  <c r="AM230" i="8"/>
  <c r="A231" i="8"/>
  <c r="AK231" i="8" s="1"/>
  <c r="AM231" i="8"/>
  <c r="A232" i="8"/>
  <c r="AI232" i="8"/>
  <c r="AK232" i="8"/>
  <c r="AO232" i="8"/>
  <c r="A233" i="8"/>
  <c r="AM233" i="8"/>
  <c r="A234" i="8"/>
  <c r="AK234" i="8"/>
  <c r="AM234" i="8"/>
  <c r="A235" i="8"/>
  <c r="A236" i="8"/>
  <c r="AE236" i="8" s="1"/>
  <c r="AF236" i="8"/>
  <c r="AG236" i="8"/>
  <c r="AI236" i="8"/>
  <c r="A237" i="8"/>
  <c r="AE237" i="8"/>
  <c r="AK237" i="8"/>
  <c r="A238" i="8"/>
  <c r="AG238" i="8"/>
  <c r="AI238" i="8"/>
  <c r="AK238" i="8"/>
  <c r="A239" i="8"/>
  <c r="A240" i="8"/>
  <c r="AI240" i="8" s="1"/>
  <c r="AD240" i="8"/>
  <c r="AE240" i="8"/>
  <c r="AG240" i="8"/>
  <c r="AK240" i="8"/>
  <c r="A241" i="8"/>
  <c r="A242" i="8"/>
  <c r="AG242" i="8"/>
  <c r="AK242" i="8"/>
  <c r="A243" i="8"/>
  <c r="AE243" i="8"/>
  <c r="AG243" i="8"/>
  <c r="AI243" i="8"/>
  <c r="AK243" i="8"/>
  <c r="A244" i="8"/>
  <c r="AG244" i="8"/>
  <c r="AK244" i="8"/>
  <c r="A245" i="8"/>
  <c r="AE245" i="8"/>
  <c r="AF245" i="8"/>
  <c r="AI245" i="8"/>
  <c r="A246" i="8"/>
  <c r="AE246" i="8"/>
  <c r="AF246" i="8"/>
  <c r="AK246" i="8"/>
  <c r="A247" i="8"/>
  <c r="A248" i="8"/>
  <c r="AE248" i="8"/>
  <c r="AI248" i="8"/>
  <c r="A249" i="8"/>
  <c r="AE249" i="8"/>
  <c r="AF249" i="8"/>
  <c r="AG249" i="8"/>
  <c r="AI249" i="8"/>
  <c r="AK249" i="8"/>
  <c r="A250" i="8"/>
  <c r="AG250" i="8"/>
  <c r="AI250" i="8"/>
  <c r="AK250" i="8"/>
  <c r="A251" i="8"/>
  <c r="A252" i="8"/>
  <c r="AG252" i="8"/>
  <c r="AK252" i="8"/>
  <c r="A253" i="8"/>
  <c r="AK253" i="8" s="1"/>
  <c r="AE253" i="8"/>
  <c r="AG253" i="8"/>
  <c r="AI253" i="8"/>
  <c r="A254" i="8"/>
  <c r="A255" i="8"/>
  <c r="AE255" i="8"/>
  <c r="AG255" i="8"/>
  <c r="AI255" i="8"/>
  <c r="AK255" i="8"/>
  <c r="A256" i="8"/>
  <c r="AK256" i="8" s="1"/>
  <c r="AG256" i="8"/>
  <c r="AI256" i="8"/>
  <c r="A257" i="8"/>
  <c r="AG257" i="8" s="1"/>
  <c r="AE257" i="8"/>
  <c r="AI257" i="8"/>
  <c r="AK257" i="8"/>
  <c r="A258" i="8"/>
  <c r="AI258" i="8" s="1"/>
  <c r="AE258" i="8"/>
  <c r="AG258" i="8"/>
  <c r="AK258" i="8"/>
  <c r="A259" i="8"/>
  <c r="AE259" i="8"/>
  <c r="AG259" i="8"/>
  <c r="AI259" i="8"/>
  <c r="A260" i="8"/>
  <c r="AE260" i="8"/>
  <c r="AG260" i="8"/>
  <c r="AK260" i="8"/>
  <c r="A261" i="8"/>
  <c r="AE261" i="8"/>
  <c r="AF261" i="8"/>
  <c r="AG261" i="8"/>
  <c r="AI261" i="8"/>
  <c r="AK261" i="8"/>
  <c r="A262" i="8"/>
  <c r="AF262" i="8"/>
  <c r="AI262" i="8"/>
  <c r="AK262" i="8"/>
  <c r="A263" i="8"/>
  <c r="AE263" i="8"/>
  <c r="AF263" i="8"/>
  <c r="AI263" i="8"/>
  <c r="A264" i="8"/>
  <c r="AE264" i="8"/>
  <c r="A265" i="8"/>
  <c r="AG265" i="8"/>
  <c r="A266" i="8"/>
  <c r="A267" i="8"/>
  <c r="AE267" i="8"/>
  <c r="AG267" i="8"/>
  <c r="AI267" i="8"/>
  <c r="AK267" i="8"/>
  <c r="A268" i="8"/>
  <c r="AG268" i="8" s="1"/>
  <c r="A269" i="8"/>
  <c r="AF269" i="8"/>
  <c r="AI269" i="8"/>
  <c r="AK269" i="8"/>
  <c r="A270" i="8"/>
  <c r="AE270" i="8"/>
  <c r="AF270" i="8"/>
  <c r="AK270" i="8"/>
  <c r="A271" i="8"/>
  <c r="AE271" i="8"/>
  <c r="AF271" i="8"/>
  <c r="AG271" i="8"/>
  <c r="AK271" i="8"/>
  <c r="A272" i="8"/>
  <c r="AK272" i="8" s="1"/>
  <c r="AE272" i="8"/>
  <c r="AG272" i="8"/>
  <c r="A273" i="8"/>
  <c r="AK273" i="8"/>
  <c r="A274" i="8"/>
  <c r="AE274" i="8"/>
  <c r="AF274" i="8"/>
  <c r="AK274" i="8"/>
  <c r="A275" i="8"/>
  <c r="AG275" i="8" s="1"/>
  <c r="AE275" i="8"/>
  <c r="AF275" i="8"/>
  <c r="AK275" i="8"/>
  <c r="A276" i="8"/>
  <c r="AG276" i="8"/>
  <c r="AK276" i="8"/>
  <c r="A277" i="8"/>
  <c r="AI277" i="8"/>
  <c r="AK277" i="8"/>
  <c r="A278" i="8"/>
  <c r="A279" i="8"/>
  <c r="AI279" i="8"/>
  <c r="A280" i="8"/>
  <c r="A281" i="8"/>
  <c r="AI281" i="8" s="1"/>
  <c r="A282" i="8"/>
  <c r="AE282" i="8"/>
  <c r="AK282" i="8"/>
  <c r="A283" i="8"/>
  <c r="AG283" i="8"/>
  <c r="A284" i="8"/>
  <c r="AE284" i="8"/>
  <c r="AG284" i="8"/>
  <c r="A285" i="8"/>
  <c r="AK285" i="8"/>
  <c r="A286" i="8"/>
  <c r="AK286" i="8"/>
  <c r="A287" i="8"/>
  <c r="AE287" i="8"/>
  <c r="AG287" i="8"/>
  <c r="A288" i="8"/>
  <c r="AE288" i="8" s="1"/>
  <c r="A289" i="8"/>
  <c r="AE289" i="8"/>
  <c r="AG289" i="8"/>
  <c r="AI289" i="8"/>
  <c r="AK289" i="8"/>
  <c r="A290" i="8"/>
  <c r="AE290" i="8"/>
  <c r="AG290" i="8"/>
  <c r="AI290" i="8"/>
  <c r="AK290" i="8"/>
  <c r="A291" i="8"/>
  <c r="A292" i="8"/>
  <c r="AE292" i="8"/>
  <c r="AF292" i="8"/>
  <c r="AM292" i="8"/>
  <c r="A293" i="8"/>
  <c r="AI293" i="8"/>
  <c r="A294" i="8"/>
  <c r="A295" i="8"/>
  <c r="AG295" i="8"/>
  <c r="AI295" i="8"/>
  <c r="A296" i="8"/>
  <c r="AI296" i="8" s="1"/>
  <c r="AE296" i="8"/>
  <c r="AK296" i="8"/>
  <c r="A297" i="8"/>
  <c r="AE297" i="8"/>
  <c r="AG297" i="8"/>
  <c r="AI297" i="8"/>
  <c r="AK297" i="8"/>
  <c r="A298" i="8"/>
  <c r="AG298" i="8"/>
  <c r="AI298" i="8"/>
  <c r="AK298" i="8"/>
  <c r="A299" i="8"/>
  <c r="AG299" i="8" s="1"/>
  <c r="AE299" i="8"/>
  <c r="A300" i="8"/>
  <c r="AG300" i="8"/>
  <c r="AK300" i="8"/>
  <c r="A301" i="8"/>
  <c r="AE301" i="8"/>
  <c r="AF301" i="8"/>
  <c r="AG301" i="8"/>
  <c r="A302" i="8"/>
  <c r="AG302" i="8" s="1"/>
  <c r="AE302" i="8"/>
  <c r="AI302" i="8"/>
  <c r="A303" i="8"/>
  <c r="AE303" i="8"/>
  <c r="AG303" i="8"/>
  <c r="AI303" i="8"/>
  <c r="AK303" i="8"/>
  <c r="A304" i="8"/>
  <c r="AE304" i="8" s="1"/>
  <c r="AF304" i="8"/>
  <c r="AK304" i="8"/>
  <c r="A305" i="8"/>
  <c r="A306" i="8"/>
  <c r="A307" i="8"/>
  <c r="AE307" i="8"/>
  <c r="AF307" i="8"/>
  <c r="A308" i="8"/>
  <c r="AE308" i="8"/>
  <c r="AF308" i="8"/>
  <c r="AK308" i="8"/>
  <c r="A309" i="8"/>
  <c r="AE309" i="8"/>
  <c r="AF309" i="8"/>
  <c r="AK309" i="8"/>
  <c r="A310" i="8"/>
  <c r="AE310" i="8"/>
  <c r="AF310" i="8"/>
  <c r="AK310" i="8"/>
  <c r="AL310" i="8"/>
  <c r="A311" i="8"/>
  <c r="AK311" i="8" s="1"/>
  <c r="A312" i="8"/>
  <c r="AF312" i="8"/>
  <c r="A313" i="8"/>
  <c r="AE313" i="8"/>
  <c r="AF313" i="8"/>
  <c r="AK313" i="8"/>
  <c r="A314" i="8"/>
  <c r="AE314" i="8"/>
  <c r="AF314" i="8"/>
  <c r="AK314" i="8"/>
  <c r="A315" i="8"/>
  <c r="AE315" i="8"/>
  <c r="AK315" i="8"/>
  <c r="A316" i="8"/>
  <c r="AE316" i="8"/>
  <c r="AF316" i="8"/>
  <c r="AL316" i="8"/>
  <c r="A317" i="8"/>
  <c r="AE317" i="8"/>
  <c r="AF317" i="8"/>
  <c r="AK317" i="8"/>
  <c r="AL317" i="8"/>
  <c r="A318" i="8"/>
  <c r="AF318" i="8"/>
  <c r="AK318" i="8"/>
  <c r="AL318" i="8"/>
  <c r="A319" i="8"/>
  <c r="AE319" i="8"/>
  <c r="AF319" i="8"/>
  <c r="AK319" i="8"/>
  <c r="AL319" i="8"/>
  <c r="A320" i="8"/>
  <c r="AL320" i="8" s="1"/>
  <c r="AE320" i="8"/>
  <c r="AK320" i="8"/>
  <c r="A321" i="8"/>
  <c r="AE321" i="8"/>
  <c r="AF321" i="8"/>
  <c r="A322" i="8"/>
  <c r="AE322" i="8"/>
  <c r="AF322" i="8"/>
  <c r="AK322" i="8"/>
  <c r="A323" i="8"/>
  <c r="AE323" i="8"/>
  <c r="AF323" i="8"/>
  <c r="AK323" i="8"/>
  <c r="AL323" i="8"/>
  <c r="A324" i="8"/>
  <c r="AL324" i="8"/>
  <c r="A325" i="8"/>
  <c r="AL325" i="8" s="1"/>
  <c r="A326" i="8"/>
  <c r="A327" i="8"/>
  <c r="AE327" i="8"/>
  <c r="AF327" i="8"/>
  <c r="AL327" i="8"/>
  <c r="A328" i="8"/>
  <c r="A329" i="8"/>
  <c r="AE329" i="8"/>
  <c r="AF329" i="8"/>
  <c r="AK329" i="8"/>
  <c r="AL329" i="8"/>
  <c r="A330" i="8"/>
  <c r="AF330" i="8"/>
  <c r="A331" i="8"/>
  <c r="AE331" i="8"/>
  <c r="A332" i="8"/>
  <c r="AE332" i="8"/>
  <c r="AF332" i="8"/>
  <c r="AK332" i="8"/>
  <c r="AL332" i="8"/>
  <c r="A333" i="8"/>
  <c r="A334" i="8"/>
  <c r="AE334" i="8"/>
  <c r="AL334" i="8"/>
  <c r="A335" i="8"/>
  <c r="AE335" i="8"/>
  <c r="AF335" i="8"/>
  <c r="AK335" i="8"/>
  <c r="AL335" i="8"/>
  <c r="A336" i="8"/>
  <c r="AL336" i="8" s="1"/>
  <c r="AF336" i="8"/>
  <c r="AK336" i="8"/>
  <c r="A337" i="8"/>
  <c r="AE337" i="8"/>
  <c r="AF337" i="8"/>
  <c r="AK337" i="8"/>
  <c r="AL337" i="8"/>
  <c r="A338" i="8"/>
  <c r="AE338" i="8"/>
  <c r="A339" i="8"/>
  <c r="A340" i="8"/>
  <c r="AF340" i="8" s="1"/>
  <c r="A341" i="8"/>
  <c r="AA341" i="8" s="1"/>
  <c r="AE341" i="8"/>
  <c r="AF341" i="8"/>
  <c r="AK341" i="8"/>
  <c r="AL341" i="8"/>
  <c r="A342" i="8"/>
  <c r="AE342" i="8"/>
  <c r="AF342" i="8"/>
  <c r="AK342" i="8"/>
  <c r="AL342" i="8"/>
  <c r="A343" i="8"/>
  <c r="V343" i="8" s="1"/>
  <c r="A344" i="8"/>
  <c r="AE344" i="8" s="1"/>
  <c r="A345" i="8"/>
  <c r="AK345" i="8" s="1"/>
  <c r="A346" i="8"/>
  <c r="AF346" i="8" s="1"/>
  <c r="A347" i="8"/>
  <c r="S347" i="8" s="1"/>
  <c r="AL347" i="8"/>
  <c r="A348" i="8"/>
  <c r="AE348" i="8"/>
  <c r="AF348" i="8"/>
  <c r="AK348" i="8"/>
  <c r="A349" i="8"/>
  <c r="AF349" i="8"/>
  <c r="A350" i="8"/>
  <c r="AE350" i="8"/>
  <c r="AF350" i="8"/>
  <c r="AK350" i="8"/>
  <c r="A351" i="8"/>
  <c r="AE351" i="8"/>
  <c r="AK351" i="8"/>
  <c r="A352" i="8"/>
  <c r="AE352" i="8"/>
  <c r="A353" i="8"/>
  <c r="AE353" i="8"/>
  <c r="AK353" i="8"/>
  <c r="A354" i="8"/>
  <c r="AE354" i="8"/>
  <c r="A355" i="8"/>
  <c r="AK355" i="8"/>
  <c r="A356" i="8"/>
  <c r="A357" i="8"/>
  <c r="A358" i="8"/>
  <c r="A359" i="8"/>
  <c r="AE359" i="8"/>
  <c r="A360" i="8"/>
  <c r="AE360" i="8"/>
  <c r="AK360" i="8"/>
  <c r="A361" i="8"/>
  <c r="AK361" i="8"/>
  <c r="A362" i="8"/>
  <c r="AE362" i="8"/>
  <c r="A363" i="8"/>
  <c r="AE363" i="8"/>
  <c r="AK363" i="8"/>
  <c r="A364" i="8"/>
  <c r="AE364" i="8"/>
  <c r="AK364" i="8"/>
  <c r="A365" i="8"/>
  <c r="AE365" i="8"/>
  <c r="AK365" i="8"/>
  <c r="A366" i="8"/>
  <c r="AK366" i="8" s="1"/>
  <c r="A367" i="8"/>
  <c r="AE367" i="8"/>
  <c r="AK367" i="8"/>
  <c r="A368" i="8"/>
  <c r="AE368" i="8" s="1"/>
  <c r="A369" i="8"/>
  <c r="AK369" i="8"/>
  <c r="A370" i="8"/>
  <c r="AK370" i="8"/>
  <c r="A371" i="8"/>
  <c r="AE371" i="8"/>
  <c r="A372" i="8"/>
  <c r="A373" i="8"/>
  <c r="A374" i="8"/>
  <c r="AE374" i="8"/>
  <c r="AK374" i="8"/>
  <c r="A375" i="8"/>
  <c r="AK375" i="8"/>
  <c r="A376" i="8"/>
  <c r="AE376" i="8"/>
  <c r="AK376" i="8"/>
  <c r="A377" i="8"/>
  <c r="AE377" i="8"/>
  <c r="A378" i="8"/>
  <c r="A379" i="8"/>
  <c r="AK379" i="8"/>
  <c r="A380" i="8"/>
  <c r="AD380" i="8"/>
  <c r="AE380" i="8"/>
  <c r="AH380" i="8"/>
  <c r="AL380" i="8"/>
  <c r="A381" i="8"/>
  <c r="AK381" i="8"/>
  <c r="A382" i="8"/>
  <c r="AD382" i="8"/>
  <c r="AE382" i="8"/>
  <c r="AF382" i="8"/>
  <c r="AH382" i="8"/>
  <c r="AK382" i="8"/>
  <c r="A383" i="8"/>
  <c r="AI383" i="8" s="1"/>
  <c r="AE383" i="8"/>
  <c r="AG383" i="8"/>
  <c r="AH383" i="8"/>
  <c r="AJ383" i="8"/>
  <c r="A384" i="8"/>
  <c r="AL384" i="8" s="1"/>
  <c r="AG384" i="8"/>
  <c r="AH384" i="8"/>
  <c r="AI384" i="8"/>
  <c r="AJ384" i="8"/>
  <c r="A385" i="8"/>
  <c r="AF385" i="8"/>
  <c r="AJ385" i="8"/>
  <c r="AK385" i="8"/>
  <c r="A386" i="8"/>
  <c r="AD386" i="8"/>
  <c r="AE386" i="8"/>
  <c r="AG386" i="8"/>
  <c r="AI386" i="8"/>
  <c r="AL386" i="8"/>
  <c r="A387" i="8"/>
  <c r="AI387" i="8"/>
  <c r="A388" i="8"/>
  <c r="AE388" i="8"/>
  <c r="AI388" i="8"/>
  <c r="AL388" i="8"/>
  <c r="A389" i="8"/>
  <c r="AD389" i="8" s="1"/>
  <c r="A390" i="8"/>
  <c r="AE390" i="8"/>
  <c r="AG390" i="8"/>
  <c r="AL390" i="8"/>
  <c r="A391" i="8"/>
  <c r="AD391" i="8" s="1"/>
  <c r="AE391" i="8"/>
  <c r="AF391" i="8"/>
  <c r="AG391" i="8"/>
  <c r="AI391" i="8"/>
  <c r="A392" i="8"/>
  <c r="AD392" i="8"/>
  <c r="AE392" i="8"/>
  <c r="AI392" i="8"/>
  <c r="AL392" i="8"/>
  <c r="A393" i="8"/>
  <c r="A394" i="8"/>
  <c r="AM394" i="8" s="1"/>
  <c r="A395" i="8"/>
  <c r="AD395" i="8" s="1"/>
  <c r="AE395" i="8"/>
  <c r="AL395" i="8"/>
  <c r="AM395" i="8"/>
  <c r="AO395" i="8"/>
  <c r="A396" i="8"/>
  <c r="AD396" i="8"/>
  <c r="A397" i="8"/>
  <c r="AE397" i="8"/>
  <c r="AG397" i="8"/>
  <c r="AS397" i="8" s="1"/>
  <c r="AL397" i="8"/>
  <c r="AM397" i="8"/>
  <c r="A398" i="8"/>
  <c r="AD398" i="8"/>
  <c r="AP398" i="8" s="1"/>
  <c r="AE398" i="8"/>
  <c r="AF398" i="8"/>
  <c r="AG398" i="8"/>
  <c r="AI398" i="8"/>
  <c r="A399" i="8"/>
  <c r="AD399" i="8"/>
  <c r="AE399" i="8"/>
  <c r="AI399" i="8"/>
  <c r="AO399" i="8"/>
  <c r="A400" i="8"/>
  <c r="AL400" i="8"/>
  <c r="A401" i="8"/>
  <c r="AD401" i="8"/>
  <c r="AE401" i="8"/>
  <c r="A402" i="8"/>
  <c r="AD402" i="8" s="1"/>
  <c r="AE402" i="8"/>
  <c r="AI402" i="8"/>
  <c r="A403" i="8"/>
  <c r="AI403" i="8" s="1"/>
  <c r="AD403" i="8"/>
  <c r="AO403" i="8"/>
  <c r="A404" i="8"/>
  <c r="AD404" i="8"/>
  <c r="AE404" i="8"/>
  <c r="A405" i="8"/>
  <c r="AE405" i="8" s="1"/>
  <c r="AD405" i="8"/>
  <c r="AM405" i="8"/>
  <c r="A406" i="8"/>
  <c r="AD406" i="8" s="1"/>
  <c r="AE406" i="8"/>
  <c r="AI406" i="8"/>
  <c r="A2" i="8"/>
  <c r="AA42" i="2"/>
  <c r="S40" i="8"/>
  <c r="T40" i="8"/>
  <c r="U40" i="8"/>
  <c r="V40" i="8"/>
  <c r="S41" i="8"/>
  <c r="T41" i="8"/>
  <c r="V41" i="8"/>
  <c r="Z41" i="8"/>
  <c r="U2" i="8"/>
  <c r="U42" i="8"/>
  <c r="V42" i="8"/>
  <c r="AA42" i="8"/>
  <c r="S43" i="8"/>
  <c r="T43" i="8"/>
  <c r="U43" i="8"/>
  <c r="V43" i="8"/>
  <c r="AA43" i="8"/>
  <c r="AB43" i="8"/>
  <c r="S44" i="8"/>
  <c r="T44" i="8"/>
  <c r="U44" i="8"/>
  <c r="V44" i="8"/>
  <c r="T45" i="8"/>
  <c r="S46" i="8"/>
  <c r="T46" i="8"/>
  <c r="U46" i="8"/>
  <c r="S47" i="8"/>
  <c r="T47" i="8"/>
  <c r="U47" i="8"/>
  <c r="V47" i="8"/>
  <c r="T48" i="8"/>
  <c r="V48" i="8"/>
  <c r="T49" i="8"/>
  <c r="U49" i="8"/>
  <c r="V49" i="8"/>
  <c r="AB49" i="8"/>
  <c r="T50" i="8"/>
  <c r="U50" i="8"/>
  <c r="U51" i="8"/>
  <c r="V51" i="8"/>
  <c r="T52" i="8"/>
  <c r="S53" i="8"/>
  <c r="T53" i="8"/>
  <c r="U53" i="8"/>
  <c r="V53" i="8"/>
  <c r="T54" i="8"/>
  <c r="U54" i="8"/>
  <c r="V54" i="8"/>
  <c r="S55" i="8"/>
  <c r="T55" i="8"/>
  <c r="U55" i="8"/>
  <c r="V55" i="8"/>
  <c r="AB55" i="8"/>
  <c r="S57" i="8"/>
  <c r="T57" i="8"/>
  <c r="V57" i="8"/>
  <c r="S58" i="8"/>
  <c r="T58" i="8"/>
  <c r="U58" i="8"/>
  <c r="V58" i="8"/>
  <c r="AB58" i="8"/>
  <c r="S59" i="8"/>
  <c r="T59" i="8"/>
  <c r="T60" i="8"/>
  <c r="U60" i="8"/>
  <c r="V60" i="8"/>
  <c r="T4" i="8"/>
  <c r="U4" i="8"/>
  <c r="V4" i="8"/>
  <c r="T61" i="8"/>
  <c r="V61" i="8"/>
  <c r="Z61" i="8"/>
  <c r="S62" i="8"/>
  <c r="T62" i="8"/>
  <c r="U62" i="8"/>
  <c r="V62" i="8"/>
  <c r="Z62" i="8"/>
  <c r="AB62" i="8"/>
  <c r="S5" i="8"/>
  <c r="T5" i="8"/>
  <c r="U5" i="8"/>
  <c r="V5" i="8"/>
  <c r="S63" i="8"/>
  <c r="T63" i="8"/>
  <c r="U63" i="8"/>
  <c r="V63" i="8"/>
  <c r="S64" i="8"/>
  <c r="T64" i="8"/>
  <c r="U64" i="8"/>
  <c r="S65" i="8"/>
  <c r="T65" i="8"/>
  <c r="U65" i="8"/>
  <c r="V65" i="8"/>
  <c r="S66" i="8"/>
  <c r="T66" i="8"/>
  <c r="U66" i="8"/>
  <c r="V66" i="8"/>
  <c r="T67" i="8"/>
  <c r="U67" i="8"/>
  <c r="V67" i="8"/>
  <c r="S68" i="8"/>
  <c r="T68" i="8"/>
  <c r="U68" i="8"/>
  <c r="V68" i="8"/>
  <c r="Y68" i="8"/>
  <c r="S69" i="8"/>
  <c r="V69" i="8"/>
  <c r="X69" i="8"/>
  <c r="Z69" i="8"/>
  <c r="S70" i="8"/>
  <c r="T70" i="8"/>
  <c r="Z70" i="8"/>
  <c r="S71" i="8"/>
  <c r="T71" i="8"/>
  <c r="U71" i="8"/>
  <c r="X71" i="8"/>
  <c r="Z71" i="8"/>
  <c r="S72" i="8"/>
  <c r="T72" i="8"/>
  <c r="U72" i="8"/>
  <c r="V72" i="8"/>
  <c r="X72" i="8"/>
  <c r="S73" i="8"/>
  <c r="U73" i="8"/>
  <c r="V73" i="8"/>
  <c r="Z73" i="8"/>
  <c r="S74" i="8"/>
  <c r="T74" i="8"/>
  <c r="U74" i="8"/>
  <c r="V74" i="8"/>
  <c r="Z74" i="8"/>
  <c r="AB74" i="8"/>
  <c r="S75" i="8"/>
  <c r="T75" i="8"/>
  <c r="U75" i="8"/>
  <c r="V75" i="8"/>
  <c r="Z75" i="8"/>
  <c r="AB75" i="8"/>
  <c r="U76" i="8"/>
  <c r="V76" i="8"/>
  <c r="S77" i="8"/>
  <c r="T77" i="8"/>
  <c r="U77" i="8"/>
  <c r="X77" i="8"/>
  <c r="S78" i="8"/>
  <c r="T78" i="8"/>
  <c r="U78" i="8"/>
  <c r="V78" i="8"/>
  <c r="S6" i="8"/>
  <c r="T6" i="8"/>
  <c r="U6" i="8"/>
  <c r="V6" i="8"/>
  <c r="X6" i="8"/>
  <c r="Z6" i="8"/>
  <c r="S7" i="8"/>
  <c r="T7" i="8"/>
  <c r="U7" i="8"/>
  <c r="V7" i="8"/>
  <c r="Z7" i="8"/>
  <c r="T79" i="8"/>
  <c r="U79" i="8"/>
  <c r="V79" i="8"/>
  <c r="X79" i="8"/>
  <c r="U80" i="8"/>
  <c r="V80" i="8"/>
  <c r="S81" i="8"/>
  <c r="V81" i="8"/>
  <c r="X81" i="8"/>
  <c r="S82" i="8"/>
  <c r="T82" i="8"/>
  <c r="U82" i="8"/>
  <c r="V82" i="8"/>
  <c r="X82" i="8"/>
  <c r="AB82" i="8"/>
  <c r="S83" i="8"/>
  <c r="T83" i="8"/>
  <c r="V83" i="8"/>
  <c r="AB83" i="8"/>
  <c r="S84" i="8"/>
  <c r="T84" i="8"/>
  <c r="S85" i="8"/>
  <c r="T85" i="8"/>
  <c r="U85" i="8"/>
  <c r="S86" i="8"/>
  <c r="T86" i="8"/>
  <c r="U86" i="8"/>
  <c r="V86" i="8"/>
  <c r="X86" i="8"/>
  <c r="AB86" i="8"/>
  <c r="S87" i="8"/>
  <c r="T87" i="8"/>
  <c r="S88" i="8"/>
  <c r="T88" i="8"/>
  <c r="U88" i="8"/>
  <c r="V88" i="8"/>
  <c r="AB88" i="8"/>
  <c r="S89" i="8"/>
  <c r="T89" i="8"/>
  <c r="U89" i="8"/>
  <c r="V89" i="8"/>
  <c r="S90" i="8"/>
  <c r="T90" i="8"/>
  <c r="U90" i="8"/>
  <c r="V90" i="8"/>
  <c r="W90" i="8"/>
  <c r="Z90" i="8"/>
  <c r="S91" i="8"/>
  <c r="T91" i="8"/>
  <c r="U91" i="8"/>
  <c r="V91" i="8"/>
  <c r="X91" i="8"/>
  <c r="Z91" i="8"/>
  <c r="T92" i="8"/>
  <c r="U92" i="8"/>
  <c r="V92" i="8"/>
  <c r="X92" i="8"/>
  <c r="S93" i="8"/>
  <c r="T93" i="8"/>
  <c r="U93" i="8"/>
  <c r="X93" i="8"/>
  <c r="Z93" i="8"/>
  <c r="S94" i="8"/>
  <c r="T94" i="8"/>
  <c r="U94" i="8"/>
  <c r="V94" i="8"/>
  <c r="X94" i="8"/>
  <c r="Z94" i="8"/>
  <c r="AB94" i="8"/>
  <c r="S95" i="8"/>
  <c r="T95" i="8"/>
  <c r="U95" i="8"/>
  <c r="V95" i="8"/>
  <c r="X95" i="8"/>
  <c r="Z95" i="8"/>
  <c r="T96" i="8"/>
  <c r="U96" i="8"/>
  <c r="V96" i="8"/>
  <c r="X96" i="8"/>
  <c r="Z96" i="8"/>
  <c r="S97" i="8"/>
  <c r="T97" i="8"/>
  <c r="U97" i="8"/>
  <c r="V97" i="8"/>
  <c r="X97" i="8"/>
  <c r="AB97" i="8"/>
  <c r="S99" i="8"/>
  <c r="V99" i="8"/>
  <c r="S100" i="8"/>
  <c r="T100" i="8"/>
  <c r="U100" i="8"/>
  <c r="V100" i="8"/>
  <c r="X100" i="8"/>
  <c r="Z100" i="8"/>
  <c r="AB100" i="8"/>
  <c r="S101" i="8"/>
  <c r="T101" i="8"/>
  <c r="U101" i="8"/>
  <c r="V101" i="8"/>
  <c r="AB101" i="8"/>
  <c r="T102" i="8"/>
  <c r="X102" i="8"/>
  <c r="S103" i="8"/>
  <c r="T103" i="8"/>
  <c r="U103" i="8"/>
  <c r="X103" i="8"/>
  <c r="S104" i="8"/>
  <c r="T104" i="8"/>
  <c r="U104" i="8"/>
  <c r="V104" i="8"/>
  <c r="U105" i="8"/>
  <c r="T106" i="8"/>
  <c r="U106" i="8"/>
  <c r="V106" i="8"/>
  <c r="X106" i="8"/>
  <c r="AA106" i="8"/>
  <c r="T107" i="8"/>
  <c r="U107" i="8"/>
  <c r="X107" i="8"/>
  <c r="AB107" i="8"/>
  <c r="T108" i="8"/>
  <c r="U108" i="8"/>
  <c r="V108" i="8"/>
  <c r="AB108" i="8"/>
  <c r="S109" i="8"/>
  <c r="T109" i="8"/>
  <c r="U109" i="8"/>
  <c r="V109" i="8"/>
  <c r="S110" i="8"/>
  <c r="T110" i="8"/>
  <c r="U110" i="8"/>
  <c r="V110" i="8"/>
  <c r="AB110" i="8"/>
  <c r="T111" i="8"/>
  <c r="U111" i="8"/>
  <c r="V111" i="8"/>
  <c r="AB111" i="8"/>
  <c r="S112" i="8"/>
  <c r="T112" i="8"/>
  <c r="U112" i="8"/>
  <c r="V112" i="8"/>
  <c r="AB112" i="8"/>
  <c r="S113" i="8"/>
  <c r="T113" i="8"/>
  <c r="U113" i="8"/>
  <c r="X113" i="8"/>
  <c r="AB113" i="8"/>
  <c r="S114" i="8"/>
  <c r="T114" i="8"/>
  <c r="U114" i="8"/>
  <c r="V114" i="8"/>
  <c r="AB114" i="8"/>
  <c r="S115" i="8"/>
  <c r="T115" i="8"/>
  <c r="U115" i="8"/>
  <c r="V115" i="8"/>
  <c r="X115" i="8"/>
  <c r="AB115" i="8"/>
  <c r="T116" i="8"/>
  <c r="U116" i="8"/>
  <c r="AB116" i="8"/>
  <c r="T117" i="8"/>
  <c r="U117" i="8"/>
  <c r="V117" i="8"/>
  <c r="AB117" i="8"/>
  <c r="T118" i="8"/>
  <c r="U118" i="8"/>
  <c r="V118" i="8"/>
  <c r="X118" i="8"/>
  <c r="AB118" i="8"/>
  <c r="S119" i="8"/>
  <c r="S120" i="8"/>
  <c r="T120" i="8"/>
  <c r="U120" i="8"/>
  <c r="V120" i="8"/>
  <c r="W120" i="8"/>
  <c r="S121" i="8"/>
  <c r="T121" i="8"/>
  <c r="V121" i="8"/>
  <c r="X121" i="8"/>
  <c r="AB121" i="8"/>
  <c r="S122" i="8"/>
  <c r="T122" i="8"/>
  <c r="U122" i="8"/>
  <c r="V122" i="8"/>
  <c r="X122" i="8"/>
  <c r="AB122" i="8"/>
  <c r="S123" i="8"/>
  <c r="T123" i="8"/>
  <c r="U123" i="8"/>
  <c r="V123" i="8"/>
  <c r="AB123" i="8"/>
  <c r="S124" i="8"/>
  <c r="T124" i="8"/>
  <c r="U124" i="8"/>
  <c r="V124" i="8"/>
  <c r="X124" i="8"/>
  <c r="AB124" i="8"/>
  <c r="S125" i="8"/>
  <c r="T125" i="8"/>
  <c r="U125" i="8"/>
  <c r="X125" i="8"/>
  <c r="AB125" i="8"/>
  <c r="S126" i="8"/>
  <c r="T126" i="8"/>
  <c r="U126" i="8"/>
  <c r="V126" i="8"/>
  <c r="AB126" i="8"/>
  <c r="S127" i="8"/>
  <c r="T127" i="8"/>
  <c r="U127" i="8"/>
  <c r="V127" i="8"/>
  <c r="X127" i="8"/>
  <c r="Z127" i="8"/>
  <c r="AB127" i="8"/>
  <c r="S128" i="8"/>
  <c r="T128" i="8"/>
  <c r="U128" i="8"/>
  <c r="V128" i="8"/>
  <c r="AB128" i="8"/>
  <c r="S129" i="8"/>
  <c r="T129" i="8"/>
  <c r="U129" i="8"/>
  <c r="V129" i="8"/>
  <c r="AB129" i="8"/>
  <c r="S130" i="8"/>
  <c r="T130" i="8"/>
  <c r="V130" i="8"/>
  <c r="X130" i="8"/>
  <c r="T131" i="8"/>
  <c r="U131" i="8"/>
  <c r="V131" i="8"/>
  <c r="AB131" i="8"/>
  <c r="T132" i="8"/>
  <c r="U132" i="8"/>
  <c r="AB132" i="8"/>
  <c r="T133" i="8"/>
  <c r="U133" i="8"/>
  <c r="V133" i="8"/>
  <c r="AB133" i="8"/>
  <c r="T134" i="8"/>
  <c r="U134" i="8"/>
  <c r="V134" i="8"/>
  <c r="T135" i="8"/>
  <c r="U135" i="8"/>
  <c r="V135" i="8"/>
  <c r="X135" i="8"/>
  <c r="AB135" i="8"/>
  <c r="U136" i="8"/>
  <c r="T137" i="8"/>
  <c r="U137" i="8"/>
  <c r="V137" i="8"/>
  <c r="X137" i="8"/>
  <c r="AB137" i="8"/>
  <c r="S138" i="8"/>
  <c r="T138" i="8"/>
  <c r="U138" i="8"/>
  <c r="V138" i="8"/>
  <c r="AB138" i="8"/>
  <c r="T139" i="8"/>
  <c r="U139" i="8"/>
  <c r="V139" i="8"/>
  <c r="S140" i="8"/>
  <c r="T140" i="8"/>
  <c r="U140" i="8"/>
  <c r="V140" i="8"/>
  <c r="S141" i="8"/>
  <c r="T141" i="8"/>
  <c r="U141" i="8"/>
  <c r="V141" i="8"/>
  <c r="S8" i="8"/>
  <c r="T8" i="8"/>
  <c r="U8" i="8"/>
  <c r="V8" i="8"/>
  <c r="S142" i="8"/>
  <c r="T142" i="8"/>
  <c r="U142" i="8"/>
  <c r="V142" i="8"/>
  <c r="AB142" i="8"/>
  <c r="S143" i="8"/>
  <c r="T143" i="8"/>
  <c r="U143" i="8"/>
  <c r="X143" i="8"/>
  <c r="Z143" i="8"/>
  <c r="AB143" i="8"/>
  <c r="T144" i="8"/>
  <c r="V144" i="8"/>
  <c r="X144" i="8"/>
  <c r="Y144" i="8"/>
  <c r="Z144" i="8"/>
  <c r="AB144" i="8"/>
  <c r="S145" i="8"/>
  <c r="T145" i="8"/>
  <c r="U145" i="8"/>
  <c r="V145" i="8"/>
  <c r="X145" i="8"/>
  <c r="AB145" i="8"/>
  <c r="AC145" i="8"/>
  <c r="S146" i="8"/>
  <c r="T146" i="8"/>
  <c r="U146" i="8"/>
  <c r="V146" i="8"/>
  <c r="X146" i="8"/>
  <c r="Z146" i="8"/>
  <c r="AB146" i="8"/>
  <c r="T147" i="8"/>
  <c r="U147" i="8"/>
  <c r="V147" i="8"/>
  <c r="Z147" i="8"/>
  <c r="AB147" i="8"/>
  <c r="S148" i="8"/>
  <c r="T148" i="8"/>
  <c r="U148" i="8"/>
  <c r="V148" i="8"/>
  <c r="Z148" i="8"/>
  <c r="AB148" i="8"/>
  <c r="S149" i="8"/>
  <c r="T149" i="8"/>
  <c r="U149" i="8"/>
  <c r="V149" i="8"/>
  <c r="X149" i="8"/>
  <c r="Z149" i="8"/>
  <c r="AB149" i="8"/>
  <c r="S150" i="8"/>
  <c r="T150" i="8"/>
  <c r="U150" i="8"/>
  <c r="V150" i="8"/>
  <c r="W150" i="8"/>
  <c r="Z150" i="8"/>
  <c r="AB150" i="8"/>
  <c r="T9" i="8"/>
  <c r="V9" i="8"/>
  <c r="AB9" i="8"/>
  <c r="S11" i="8"/>
  <c r="T11" i="8"/>
  <c r="U11" i="8"/>
  <c r="V11" i="8"/>
  <c r="X11" i="8"/>
  <c r="AB11" i="8"/>
  <c r="S151" i="8"/>
  <c r="T151" i="8"/>
  <c r="AB151" i="8"/>
  <c r="S152" i="8"/>
  <c r="T152" i="8"/>
  <c r="U152" i="8"/>
  <c r="V152" i="8"/>
  <c r="Z152" i="8"/>
  <c r="AB152" i="8"/>
  <c r="T153" i="8"/>
  <c r="U153" i="8"/>
  <c r="V153" i="8"/>
  <c r="AB153" i="8"/>
  <c r="T154" i="8"/>
  <c r="U154" i="8"/>
  <c r="V154" i="8"/>
  <c r="W154" i="8"/>
  <c r="AB154" i="8"/>
  <c r="T155" i="8"/>
  <c r="U155" i="8"/>
  <c r="V155" i="8"/>
  <c r="X155" i="8"/>
  <c r="AB155" i="8"/>
  <c r="T156" i="8"/>
  <c r="U156" i="8"/>
  <c r="V156" i="8"/>
  <c r="Z156" i="8"/>
  <c r="AB156" i="8"/>
  <c r="T157" i="8"/>
  <c r="U157" i="8"/>
  <c r="V157" i="8"/>
  <c r="X157" i="8"/>
  <c r="AB157" i="8"/>
  <c r="S158" i="8"/>
  <c r="T158" i="8"/>
  <c r="V158" i="8"/>
  <c r="X158" i="8"/>
  <c r="Z158" i="8"/>
  <c r="S159" i="8"/>
  <c r="T159" i="8"/>
  <c r="V159" i="8"/>
  <c r="X159" i="8"/>
  <c r="Z159" i="8"/>
  <c r="AB159" i="8"/>
  <c r="T160" i="8"/>
  <c r="U160" i="8"/>
  <c r="V160" i="8"/>
  <c r="AB160" i="8"/>
  <c r="S161" i="8"/>
  <c r="T161" i="8"/>
  <c r="V161" i="8"/>
  <c r="X161" i="8"/>
  <c r="Z161" i="8"/>
  <c r="AB161" i="8"/>
  <c r="S162" i="8"/>
  <c r="T162" i="8"/>
  <c r="U162" i="8"/>
  <c r="V162" i="8"/>
  <c r="W162" i="8"/>
  <c r="X162" i="8"/>
  <c r="AB162" i="8"/>
  <c r="S163" i="8"/>
  <c r="T163" i="8"/>
  <c r="AB163" i="8"/>
  <c r="T164" i="8"/>
  <c r="U164" i="8"/>
  <c r="V164" i="8"/>
  <c r="X164" i="8"/>
  <c r="AB164" i="8"/>
  <c r="T165" i="8"/>
  <c r="U165" i="8"/>
  <c r="V165" i="8"/>
  <c r="AB165" i="8"/>
  <c r="T166" i="8"/>
  <c r="U166" i="8"/>
  <c r="V166" i="8"/>
  <c r="AB166" i="8"/>
  <c r="S167" i="8"/>
  <c r="T167" i="8"/>
  <c r="V167" i="8"/>
  <c r="X167" i="8"/>
  <c r="Z167" i="8"/>
  <c r="AB167" i="8"/>
  <c r="S168" i="8"/>
  <c r="T168" i="8"/>
  <c r="U168" i="8"/>
  <c r="V168" i="8"/>
  <c r="X168" i="8"/>
  <c r="T169" i="8"/>
  <c r="V169" i="8"/>
  <c r="Z169" i="8"/>
  <c r="T170" i="8"/>
  <c r="U170" i="8"/>
  <c r="V170" i="8"/>
  <c r="AB170" i="8"/>
  <c r="T171" i="8"/>
  <c r="U171" i="8"/>
  <c r="V171" i="8"/>
  <c r="AB171" i="8"/>
  <c r="T172" i="8"/>
  <c r="V172" i="8"/>
  <c r="X172" i="8"/>
  <c r="Z172" i="8"/>
  <c r="AB172" i="8"/>
  <c r="T12" i="8"/>
  <c r="V12" i="8"/>
  <c r="X12" i="8"/>
  <c r="AB12" i="8"/>
  <c r="S173" i="8"/>
  <c r="T173" i="8"/>
  <c r="U173" i="8"/>
  <c r="V173" i="8"/>
  <c r="W173" i="8"/>
  <c r="X173" i="8"/>
  <c r="AB173" i="8"/>
  <c r="T174" i="8"/>
  <c r="Z174" i="8"/>
  <c r="AB174" i="8"/>
  <c r="S175" i="8"/>
  <c r="T175" i="8"/>
  <c r="V175" i="8"/>
  <c r="X175" i="8"/>
  <c r="AB175" i="8"/>
  <c r="T176" i="8"/>
  <c r="U176" i="8"/>
  <c r="V176" i="8"/>
  <c r="AB176" i="8"/>
  <c r="S177" i="8"/>
  <c r="T177" i="8"/>
  <c r="V177" i="8"/>
  <c r="X177" i="8"/>
  <c r="AB177" i="8"/>
  <c r="S178" i="8"/>
  <c r="T178" i="8"/>
  <c r="U178" i="8"/>
  <c r="V178" i="8"/>
  <c r="Z178" i="8"/>
  <c r="AB178" i="8"/>
  <c r="T179" i="8"/>
  <c r="U179" i="8"/>
  <c r="V179" i="8"/>
  <c r="AB179" i="8"/>
  <c r="S180" i="8"/>
  <c r="T180" i="8"/>
  <c r="V180" i="8"/>
  <c r="Z180" i="8"/>
  <c r="AB180" i="8"/>
  <c r="S181" i="8"/>
  <c r="T181" i="8"/>
  <c r="U181" i="8"/>
  <c r="V181" i="8"/>
  <c r="X181" i="8"/>
  <c r="AB181" i="8"/>
  <c r="T182" i="8"/>
  <c r="U182" i="8"/>
  <c r="V182" i="8"/>
  <c r="AB182" i="8"/>
  <c r="T13" i="8"/>
  <c r="U13" i="8"/>
  <c r="V13" i="8"/>
  <c r="AB13" i="8"/>
  <c r="T183" i="8"/>
  <c r="U183" i="8"/>
  <c r="V183" i="8"/>
  <c r="AB183" i="8"/>
  <c r="S184" i="8"/>
  <c r="T184" i="8"/>
  <c r="U184" i="8"/>
  <c r="V184" i="8"/>
  <c r="Z184" i="8"/>
  <c r="AB184" i="8"/>
  <c r="S185" i="8"/>
  <c r="T185" i="8"/>
  <c r="X185" i="8"/>
  <c r="Z185" i="8"/>
  <c r="AB185" i="8"/>
  <c r="S186" i="8"/>
  <c r="T186" i="8"/>
  <c r="U186" i="8"/>
  <c r="V186" i="8"/>
  <c r="AB186" i="8"/>
  <c r="T187" i="8"/>
  <c r="V187" i="8"/>
  <c r="AB187" i="8"/>
  <c r="T188" i="8"/>
  <c r="U188" i="8"/>
  <c r="V188" i="8"/>
  <c r="AB188" i="8"/>
  <c r="T189" i="8"/>
  <c r="V189" i="8"/>
  <c r="Z189" i="8"/>
  <c r="AB189" i="8"/>
  <c r="S190" i="8"/>
  <c r="T190" i="8"/>
  <c r="U190" i="8"/>
  <c r="V190" i="8"/>
  <c r="X190" i="8"/>
  <c r="S191" i="8"/>
  <c r="T191" i="8"/>
  <c r="U191" i="8"/>
  <c r="V191" i="8"/>
  <c r="X191" i="8"/>
  <c r="AB191" i="8"/>
  <c r="S192" i="8"/>
  <c r="T192" i="8"/>
  <c r="U192" i="8"/>
  <c r="V192" i="8"/>
  <c r="AB192" i="8"/>
  <c r="S193" i="8"/>
  <c r="T193" i="8"/>
  <c r="U193" i="8"/>
  <c r="V193" i="8"/>
  <c r="AB193" i="8"/>
  <c r="S194" i="8"/>
  <c r="T194" i="8"/>
  <c r="U194" i="8"/>
  <c r="V194" i="8"/>
  <c r="X194" i="8"/>
  <c r="Z194" i="8"/>
  <c r="AB194" i="8"/>
  <c r="U14" i="8"/>
  <c r="V14" i="8"/>
  <c r="X14" i="8"/>
  <c r="Z14" i="8"/>
  <c r="AB14" i="8"/>
  <c r="T195" i="8"/>
  <c r="U195" i="8"/>
  <c r="V195" i="8"/>
  <c r="AB195" i="8"/>
  <c r="T196" i="8"/>
  <c r="V196" i="8"/>
  <c r="X196" i="8"/>
  <c r="AB196" i="8"/>
  <c r="S197" i="8"/>
  <c r="T197" i="8"/>
  <c r="U197" i="8"/>
  <c r="V197" i="8"/>
  <c r="W197" i="8"/>
  <c r="Z197" i="8"/>
  <c r="AA197" i="8"/>
  <c r="S198" i="8"/>
  <c r="T198" i="8"/>
  <c r="U198" i="8"/>
  <c r="V198" i="8"/>
  <c r="W198" i="8"/>
  <c r="Z198" i="8"/>
  <c r="S199" i="8"/>
  <c r="T199" i="8"/>
  <c r="U199" i="8"/>
  <c r="V199" i="8"/>
  <c r="Z199" i="8"/>
  <c r="S200" i="8"/>
  <c r="T200" i="8"/>
  <c r="U200" i="8"/>
  <c r="V200" i="8"/>
  <c r="X200" i="8"/>
  <c r="AB200" i="8"/>
  <c r="T201" i="8"/>
  <c r="U201" i="8"/>
  <c r="V201" i="8"/>
  <c r="AB201" i="8"/>
  <c r="T15" i="8"/>
  <c r="V15" i="8"/>
  <c r="X15" i="8"/>
  <c r="AB15" i="8"/>
  <c r="T202" i="8"/>
  <c r="V202" i="8"/>
  <c r="X202" i="8"/>
  <c r="AB202" i="8"/>
  <c r="T203" i="8"/>
  <c r="V203" i="8"/>
  <c r="X203" i="8"/>
  <c r="AB203" i="8"/>
  <c r="T16" i="8"/>
  <c r="V16" i="8"/>
  <c r="X16" i="8"/>
  <c r="AB16" i="8"/>
  <c r="T204" i="8"/>
  <c r="V204" i="8"/>
  <c r="X204" i="8"/>
  <c r="AB204" i="8"/>
  <c r="T205" i="8"/>
  <c r="V205" i="8"/>
  <c r="T206" i="8"/>
  <c r="V206" i="8"/>
  <c r="X206" i="8"/>
  <c r="T207" i="8"/>
  <c r="V207" i="8"/>
  <c r="X207" i="8"/>
  <c r="S208" i="8"/>
  <c r="T208" i="8"/>
  <c r="U208" i="8"/>
  <c r="V208" i="8"/>
  <c r="W208" i="8"/>
  <c r="Z208" i="8"/>
  <c r="S209" i="8"/>
  <c r="T209" i="8"/>
  <c r="U209" i="8"/>
  <c r="V209" i="8"/>
  <c r="S17" i="8"/>
  <c r="T17" i="8"/>
  <c r="U17" i="8"/>
  <c r="V17" i="8"/>
  <c r="S210" i="8"/>
  <c r="T210" i="8"/>
  <c r="U210" i="8"/>
  <c r="V210" i="8"/>
  <c r="Z210" i="8"/>
  <c r="S211" i="8"/>
  <c r="T211" i="8"/>
  <c r="U211" i="8"/>
  <c r="V211" i="8"/>
  <c r="Z211" i="8"/>
  <c r="S212" i="8"/>
  <c r="T212" i="8"/>
  <c r="U212" i="8"/>
  <c r="V212" i="8"/>
  <c r="X212" i="8"/>
  <c r="AB212" i="8"/>
  <c r="S213" i="8"/>
  <c r="T213" i="8"/>
  <c r="U213" i="8"/>
  <c r="V213" i="8"/>
  <c r="AB213" i="8"/>
  <c r="S214" i="8"/>
  <c r="T214" i="8"/>
  <c r="U214" i="8"/>
  <c r="V214" i="8"/>
  <c r="AB214" i="8"/>
  <c r="S215" i="8"/>
  <c r="T215" i="8"/>
  <c r="U215" i="8"/>
  <c r="V215" i="8"/>
  <c r="AB215" i="8"/>
  <c r="S216" i="8"/>
  <c r="T216" i="8"/>
  <c r="AB216" i="8"/>
  <c r="U217" i="8"/>
  <c r="V217" i="8"/>
  <c r="AB217" i="8"/>
  <c r="S218" i="8"/>
  <c r="T218" i="8"/>
  <c r="U218" i="8"/>
  <c r="V218" i="8"/>
  <c r="AB218" i="8"/>
  <c r="S18" i="8"/>
  <c r="T18" i="8"/>
  <c r="U18" i="8"/>
  <c r="V18" i="8"/>
  <c r="AB18" i="8"/>
  <c r="S219" i="8"/>
  <c r="T219" i="8"/>
  <c r="U219" i="8"/>
  <c r="V219" i="8"/>
  <c r="S220" i="8"/>
  <c r="T220" i="8"/>
  <c r="S19" i="8"/>
  <c r="T19" i="8"/>
  <c r="U19" i="8"/>
  <c r="V19" i="8"/>
  <c r="S20" i="8"/>
  <c r="T20" i="8"/>
  <c r="U20" i="8"/>
  <c r="V20" i="8"/>
  <c r="X20" i="8"/>
  <c r="S21" i="8"/>
  <c r="T21" i="8"/>
  <c r="S221" i="8"/>
  <c r="T221" i="8"/>
  <c r="U221" i="8"/>
  <c r="V221" i="8"/>
  <c r="S222" i="8"/>
  <c r="T222" i="8"/>
  <c r="AB222" i="8"/>
  <c r="S223" i="8"/>
  <c r="T223" i="8"/>
  <c r="U223" i="8"/>
  <c r="V223" i="8"/>
  <c r="AB223" i="8"/>
  <c r="T224" i="8"/>
  <c r="U224" i="8"/>
  <c r="V224" i="8"/>
  <c r="AB224" i="8"/>
  <c r="T225" i="8"/>
  <c r="U225" i="8"/>
  <c r="V225" i="8"/>
  <c r="AA225" i="8"/>
  <c r="AB225" i="8"/>
  <c r="T227" i="8"/>
  <c r="U227" i="8"/>
  <c r="V227" i="8"/>
  <c r="AB227" i="8"/>
  <c r="T228" i="8"/>
  <c r="U228" i="8"/>
  <c r="V228" i="8"/>
  <c r="T22" i="8"/>
  <c r="U22" i="8"/>
  <c r="V22" i="8"/>
  <c r="AB22" i="8"/>
  <c r="T23" i="8"/>
  <c r="V23" i="8"/>
  <c r="AB23" i="8"/>
  <c r="T229" i="8"/>
  <c r="U229" i="8"/>
  <c r="V229" i="8"/>
  <c r="AB229" i="8"/>
  <c r="T230" i="8"/>
  <c r="V230" i="8"/>
  <c r="AB230" i="8"/>
  <c r="S231" i="8"/>
  <c r="T231" i="8"/>
  <c r="U231" i="8"/>
  <c r="V231" i="8"/>
  <c r="AB231" i="8"/>
  <c r="T232" i="8"/>
  <c r="U232" i="8"/>
  <c r="V232" i="8"/>
  <c r="Z232" i="8"/>
  <c r="AC232" i="8"/>
  <c r="T233" i="8"/>
  <c r="U233" i="8"/>
  <c r="V233" i="8"/>
  <c r="T234" i="8"/>
  <c r="V234" i="8"/>
  <c r="AB234" i="8"/>
  <c r="U235" i="8"/>
  <c r="V235" i="8"/>
  <c r="AB235" i="8"/>
  <c r="S236" i="8"/>
  <c r="T236" i="8"/>
  <c r="U236" i="8"/>
  <c r="V236" i="8"/>
  <c r="Y236" i="8"/>
  <c r="Z236" i="8"/>
  <c r="AB236" i="8"/>
  <c r="S237" i="8"/>
  <c r="T237" i="8"/>
  <c r="V237" i="8"/>
  <c r="Z237" i="8"/>
  <c r="AB237" i="8"/>
  <c r="T238" i="8"/>
  <c r="U238" i="8"/>
  <c r="V238" i="8"/>
  <c r="Y238" i="8"/>
  <c r="AB238" i="8"/>
  <c r="T239" i="8"/>
  <c r="U239" i="8"/>
  <c r="V239" i="8"/>
  <c r="X239" i="8"/>
  <c r="S240" i="8"/>
  <c r="T240" i="8"/>
  <c r="U240" i="8"/>
  <c r="V240" i="8"/>
  <c r="Y240" i="8"/>
  <c r="Z240" i="8"/>
  <c r="AB240" i="8"/>
  <c r="AC240" i="8"/>
  <c r="V24" i="8"/>
  <c r="AB24" i="8"/>
  <c r="T241" i="8"/>
  <c r="U241" i="8"/>
  <c r="V241" i="8"/>
  <c r="AB241" i="8"/>
  <c r="T242" i="8"/>
  <c r="U242" i="8"/>
  <c r="V242" i="8"/>
  <c r="X242" i="8"/>
  <c r="AB242" i="8"/>
  <c r="S243" i="8"/>
  <c r="T243" i="8"/>
  <c r="U243" i="8"/>
  <c r="V243" i="8"/>
  <c r="AB243" i="8"/>
  <c r="S244" i="8"/>
  <c r="T244" i="8"/>
  <c r="U244" i="8"/>
  <c r="V244" i="8"/>
  <c r="AB244" i="8"/>
  <c r="S245" i="8"/>
  <c r="T245" i="8"/>
  <c r="U245" i="8"/>
  <c r="V245" i="8"/>
  <c r="X245" i="8"/>
  <c r="S246" i="8"/>
  <c r="T246" i="8"/>
  <c r="U246" i="8"/>
  <c r="V246" i="8"/>
  <c r="X246" i="8"/>
  <c r="AB246" i="8"/>
  <c r="S247" i="8"/>
  <c r="T247" i="8"/>
  <c r="V247" i="8"/>
  <c r="X247" i="8"/>
  <c r="S248" i="8"/>
  <c r="T248" i="8"/>
  <c r="U248" i="8"/>
  <c r="V248" i="8"/>
  <c r="X248" i="8"/>
  <c r="S249" i="8"/>
  <c r="T249" i="8"/>
  <c r="U249" i="8"/>
  <c r="V249" i="8"/>
  <c r="X249" i="8"/>
  <c r="AB249" i="8"/>
  <c r="S250" i="8"/>
  <c r="T250" i="8"/>
  <c r="U250" i="8"/>
  <c r="V250" i="8"/>
  <c r="X250" i="8"/>
  <c r="T251" i="8"/>
  <c r="U251" i="8"/>
  <c r="V251" i="8"/>
  <c r="AB251" i="8"/>
  <c r="T252" i="8"/>
  <c r="U252" i="8"/>
  <c r="V252" i="8"/>
  <c r="Y252" i="8"/>
  <c r="AB252" i="8"/>
  <c r="S253" i="8"/>
  <c r="T253" i="8"/>
  <c r="U253" i="8"/>
  <c r="V253" i="8"/>
  <c r="X253" i="8"/>
  <c r="Z253" i="8"/>
  <c r="AB253" i="8"/>
  <c r="S254" i="8"/>
  <c r="T254" i="8"/>
  <c r="U254" i="8"/>
  <c r="V254" i="8"/>
  <c r="Z254" i="8"/>
  <c r="AB254" i="8"/>
  <c r="S255" i="8"/>
  <c r="T255" i="8"/>
  <c r="U255" i="8"/>
  <c r="V255" i="8"/>
  <c r="Z255" i="8"/>
  <c r="AB255" i="8"/>
  <c r="S256" i="8"/>
  <c r="T256" i="8"/>
  <c r="U256" i="8"/>
  <c r="V256" i="8"/>
  <c r="X256" i="8"/>
  <c r="Z256" i="8"/>
  <c r="AB256" i="8"/>
  <c r="S257" i="8"/>
  <c r="T257" i="8"/>
  <c r="U257" i="8"/>
  <c r="V257" i="8"/>
  <c r="X257" i="8"/>
  <c r="Z257" i="8"/>
  <c r="AB257" i="8"/>
  <c r="S258" i="8"/>
  <c r="T258" i="8"/>
  <c r="U258" i="8"/>
  <c r="V258" i="8"/>
  <c r="X258" i="8"/>
  <c r="Z258" i="8"/>
  <c r="AB258" i="8"/>
  <c r="S25" i="8"/>
  <c r="T25" i="8"/>
  <c r="U25" i="8"/>
  <c r="V25" i="8"/>
  <c r="X25" i="8"/>
  <c r="Z25" i="8"/>
  <c r="AB25" i="8"/>
  <c r="S259" i="8"/>
  <c r="T259" i="8"/>
  <c r="U259" i="8"/>
  <c r="V259" i="8"/>
  <c r="AB259" i="8"/>
  <c r="S260" i="8"/>
  <c r="T260" i="8"/>
  <c r="U260" i="8"/>
  <c r="V260" i="8"/>
  <c r="AB260" i="8"/>
  <c r="S261" i="8"/>
  <c r="T261" i="8"/>
  <c r="U261" i="8"/>
  <c r="V261" i="8"/>
  <c r="AB261" i="8"/>
  <c r="S262" i="8"/>
  <c r="T262" i="8"/>
  <c r="U262" i="8"/>
  <c r="V262" i="8"/>
  <c r="X262" i="8"/>
  <c r="Z262" i="8"/>
  <c r="AB262" i="8"/>
  <c r="S263" i="8"/>
  <c r="T263" i="8"/>
  <c r="V263" i="8"/>
  <c r="X263" i="8"/>
  <c r="AB263" i="8"/>
  <c r="S26" i="8"/>
  <c r="T26" i="8"/>
  <c r="U26" i="8"/>
  <c r="V26" i="8"/>
  <c r="X26" i="8"/>
  <c r="AB26" i="8"/>
  <c r="S264" i="8"/>
  <c r="T264" i="8"/>
  <c r="V264" i="8"/>
  <c r="Z264" i="8"/>
  <c r="AB264" i="8"/>
  <c r="S265" i="8"/>
  <c r="T265" i="8"/>
  <c r="U265" i="8"/>
  <c r="V265" i="8"/>
  <c r="Z265" i="8"/>
  <c r="AB265" i="8"/>
  <c r="S266" i="8"/>
  <c r="T266" i="8"/>
  <c r="U266" i="8"/>
  <c r="V266" i="8"/>
  <c r="X266" i="8"/>
  <c r="Z266" i="8"/>
  <c r="AB266" i="8"/>
  <c r="S267" i="8"/>
  <c r="T267" i="8"/>
  <c r="U267" i="8"/>
  <c r="V267" i="8"/>
  <c r="AB267" i="8"/>
  <c r="S268" i="8"/>
  <c r="T268" i="8"/>
  <c r="U268" i="8"/>
  <c r="V268" i="8"/>
  <c r="X268" i="8"/>
  <c r="AB268" i="8"/>
  <c r="S269" i="8"/>
  <c r="T269" i="8"/>
  <c r="U269" i="8"/>
  <c r="V269" i="8"/>
  <c r="X269" i="8"/>
  <c r="AB269" i="8"/>
  <c r="S270" i="8"/>
  <c r="T270" i="8"/>
  <c r="U270" i="8"/>
  <c r="V270" i="8"/>
  <c r="AB270" i="8"/>
  <c r="S271" i="8"/>
  <c r="T271" i="8"/>
  <c r="U271" i="8"/>
  <c r="V271" i="8"/>
  <c r="X271" i="8"/>
  <c r="S272" i="8"/>
  <c r="T272" i="8"/>
  <c r="U272" i="8"/>
  <c r="V272" i="8"/>
  <c r="Z272" i="8"/>
  <c r="AB272" i="8"/>
  <c r="T273" i="8"/>
  <c r="V273" i="8"/>
  <c r="X273" i="8"/>
  <c r="Z273" i="8"/>
  <c r="AB273" i="8"/>
  <c r="S27" i="8"/>
  <c r="T27" i="8"/>
  <c r="V27" i="8"/>
  <c r="AB27" i="8"/>
  <c r="S274" i="8"/>
  <c r="T274" i="8"/>
  <c r="V274" i="8"/>
  <c r="X274" i="8"/>
  <c r="AB274" i="8"/>
  <c r="S275" i="8"/>
  <c r="T275" i="8"/>
  <c r="U275" i="8"/>
  <c r="V275" i="8"/>
  <c r="X275" i="8"/>
  <c r="AB275" i="8"/>
  <c r="T276" i="8"/>
  <c r="U276" i="8"/>
  <c r="V276" i="8"/>
  <c r="AB276" i="8"/>
  <c r="S277" i="8"/>
  <c r="T277" i="8"/>
  <c r="V277" i="8"/>
  <c r="T278" i="8"/>
  <c r="U278" i="8"/>
  <c r="V278" i="8"/>
  <c r="X278" i="8"/>
  <c r="AB278" i="8"/>
  <c r="T279" i="8"/>
  <c r="U279" i="8"/>
  <c r="V279" i="8"/>
  <c r="W279" i="8"/>
  <c r="AB279" i="8"/>
  <c r="T280" i="8"/>
  <c r="V280" i="8"/>
  <c r="T281" i="8"/>
  <c r="V281" i="8"/>
  <c r="Z281" i="8"/>
  <c r="AB281" i="8"/>
  <c r="S282" i="8"/>
  <c r="T282" i="8"/>
  <c r="U282" i="8"/>
  <c r="V282" i="8"/>
  <c r="AB282" i="8"/>
  <c r="S283" i="8"/>
  <c r="T283" i="8"/>
  <c r="U283" i="8"/>
  <c r="V283" i="8"/>
  <c r="X283" i="8"/>
  <c r="Y283" i="8"/>
  <c r="Z283" i="8"/>
  <c r="S284" i="8"/>
  <c r="T284" i="8"/>
  <c r="U284" i="8"/>
  <c r="V284" i="8"/>
  <c r="X284" i="8"/>
  <c r="Z284" i="8"/>
  <c r="T285" i="8"/>
  <c r="V285" i="8"/>
  <c r="Z285" i="8"/>
  <c r="AB285" i="8"/>
  <c r="S286" i="8"/>
  <c r="T286" i="8"/>
  <c r="U286" i="8"/>
  <c r="V286" i="8"/>
  <c r="X286" i="8"/>
  <c r="Z286" i="8"/>
  <c r="S28" i="8"/>
  <c r="T28" i="8"/>
  <c r="V28" i="8"/>
  <c r="AB28" i="8"/>
  <c r="S287" i="8"/>
  <c r="T287" i="8"/>
  <c r="U287" i="8"/>
  <c r="V287" i="8"/>
  <c r="AB287" i="8"/>
  <c r="S288" i="8"/>
  <c r="T288" i="8"/>
  <c r="U288" i="8"/>
  <c r="V288" i="8"/>
  <c r="S289" i="8"/>
  <c r="T289" i="8"/>
  <c r="U289" i="8"/>
  <c r="V289" i="8"/>
  <c r="S290" i="8"/>
  <c r="T290" i="8"/>
  <c r="U290" i="8"/>
  <c r="V290" i="8"/>
  <c r="S291" i="8"/>
  <c r="T291" i="8"/>
  <c r="V291" i="8"/>
  <c r="X291" i="8"/>
  <c r="S292" i="8"/>
  <c r="T292" i="8"/>
  <c r="U292" i="8"/>
  <c r="V292" i="8"/>
  <c r="X292" i="8"/>
  <c r="S293" i="8"/>
  <c r="T293" i="8"/>
  <c r="U293" i="8"/>
  <c r="V293" i="8"/>
  <c r="AB293" i="8"/>
  <c r="V294" i="8"/>
  <c r="S295" i="8"/>
  <c r="T295" i="8"/>
  <c r="U295" i="8"/>
  <c r="V295" i="8"/>
  <c r="S296" i="8"/>
  <c r="T296" i="8"/>
  <c r="U296" i="8"/>
  <c r="V296" i="8"/>
  <c r="S297" i="8"/>
  <c r="T297" i="8"/>
  <c r="U297" i="8"/>
  <c r="V297" i="8"/>
  <c r="S298" i="8"/>
  <c r="T298" i="8"/>
  <c r="U298" i="8"/>
  <c r="V298" i="8"/>
  <c r="S299" i="8"/>
  <c r="T299" i="8"/>
  <c r="U299" i="8"/>
  <c r="V299" i="8"/>
  <c r="AB299" i="8"/>
  <c r="S300" i="8"/>
  <c r="T300" i="8"/>
  <c r="U300" i="8"/>
  <c r="V300" i="8"/>
  <c r="AB300" i="8"/>
  <c r="S301" i="8"/>
  <c r="T301" i="8"/>
  <c r="U301" i="8"/>
  <c r="V301" i="8"/>
  <c r="X301" i="8"/>
  <c r="AB301" i="8"/>
  <c r="S302" i="8"/>
  <c r="T302" i="8"/>
  <c r="U302" i="8"/>
  <c r="V302" i="8"/>
  <c r="AB302" i="8"/>
  <c r="AC302" i="8"/>
  <c r="S29" i="8"/>
  <c r="T29" i="8"/>
  <c r="U29" i="8"/>
  <c r="V29" i="8"/>
  <c r="AB29" i="8"/>
  <c r="AC29" i="8"/>
  <c r="S303" i="8"/>
  <c r="T303" i="8"/>
  <c r="U303" i="8"/>
  <c r="V303" i="8"/>
  <c r="AB303" i="8"/>
  <c r="S304" i="8"/>
  <c r="T304" i="8"/>
  <c r="V304" i="8"/>
  <c r="AB304" i="8"/>
  <c r="S305" i="8"/>
  <c r="T305" i="8"/>
  <c r="V305" i="8"/>
  <c r="AB305" i="8"/>
  <c r="S306" i="8"/>
  <c r="T306" i="8"/>
  <c r="V306" i="8"/>
  <c r="AB306" i="8"/>
  <c r="S307" i="8"/>
  <c r="T307" i="8"/>
  <c r="V307" i="8"/>
  <c r="AB307" i="8"/>
  <c r="S308" i="8"/>
  <c r="T308" i="8"/>
  <c r="V308" i="8"/>
  <c r="AB308" i="8"/>
  <c r="S309" i="8"/>
  <c r="T309" i="8"/>
  <c r="V309" i="8"/>
  <c r="AB309" i="8"/>
  <c r="S310" i="8"/>
  <c r="T310" i="8"/>
  <c r="V310" i="8"/>
  <c r="AA310" i="8"/>
  <c r="AB310" i="8"/>
  <c r="S311" i="8"/>
  <c r="T311" i="8"/>
  <c r="V311" i="8"/>
  <c r="AB311" i="8"/>
  <c r="S312" i="8"/>
  <c r="T312" i="8"/>
  <c r="V312" i="8"/>
  <c r="AB312" i="8"/>
  <c r="S313" i="8"/>
  <c r="T313" i="8"/>
  <c r="V313" i="8"/>
  <c r="AB313" i="8"/>
  <c r="S314" i="8"/>
  <c r="T314" i="8"/>
  <c r="V314" i="8"/>
  <c r="AB314" i="8"/>
  <c r="S315" i="8"/>
  <c r="T315" i="8"/>
  <c r="V315" i="8"/>
  <c r="AB315" i="8"/>
  <c r="S316" i="8"/>
  <c r="T316" i="8"/>
  <c r="V316" i="8"/>
  <c r="AB316" i="8"/>
  <c r="S317" i="8"/>
  <c r="T317" i="8"/>
  <c r="V317" i="8"/>
  <c r="AA317" i="8"/>
  <c r="AB317" i="8"/>
  <c r="S318" i="8"/>
  <c r="T318" i="8"/>
  <c r="V318" i="8"/>
  <c r="AB318" i="8"/>
  <c r="S319" i="8"/>
  <c r="T319" i="8"/>
  <c r="V319" i="8"/>
  <c r="AB319" i="8"/>
  <c r="S320" i="8"/>
  <c r="T320" i="8"/>
  <c r="V320" i="8"/>
  <c r="AB320" i="8"/>
  <c r="R321" i="8"/>
  <c r="S321" i="8"/>
  <c r="T321" i="8"/>
  <c r="V321" i="8"/>
  <c r="Z321" i="8"/>
  <c r="AB321" i="8"/>
  <c r="R322" i="8"/>
  <c r="S322" i="8"/>
  <c r="T322" i="8"/>
  <c r="V322" i="8"/>
  <c r="Z322" i="8"/>
  <c r="AB322" i="8"/>
  <c r="R323" i="8"/>
  <c r="S323" i="8"/>
  <c r="T323" i="8"/>
  <c r="V323" i="8"/>
  <c r="Z323" i="8"/>
  <c r="AA323" i="8"/>
  <c r="AB323" i="8"/>
  <c r="R324" i="8"/>
  <c r="S324" i="8"/>
  <c r="T324" i="8"/>
  <c r="V324" i="8"/>
  <c r="Z324" i="8"/>
  <c r="AB324" i="8"/>
  <c r="R325" i="8"/>
  <c r="S325" i="8"/>
  <c r="T325" i="8"/>
  <c r="V325" i="8"/>
  <c r="Z325" i="8"/>
  <c r="AB325" i="8"/>
  <c r="S326" i="8"/>
  <c r="T326" i="8"/>
  <c r="V326" i="8"/>
  <c r="Z326" i="8"/>
  <c r="AB326" i="8"/>
  <c r="R30" i="8"/>
  <c r="S30" i="8"/>
  <c r="T30" i="8"/>
  <c r="V30" i="8"/>
  <c r="Z30" i="8"/>
  <c r="AB30" i="8"/>
  <c r="R327" i="8"/>
  <c r="S327" i="8"/>
  <c r="T327" i="8"/>
  <c r="V327" i="8"/>
  <c r="Z327" i="8"/>
  <c r="AB327" i="8"/>
  <c r="R328" i="8"/>
  <c r="S328" i="8"/>
  <c r="T328" i="8"/>
  <c r="V328" i="8"/>
  <c r="Z328" i="8"/>
  <c r="AB328" i="8"/>
  <c r="R329" i="8"/>
  <c r="S329" i="8"/>
  <c r="T329" i="8"/>
  <c r="V329" i="8"/>
  <c r="Z329" i="8"/>
  <c r="AA329" i="8"/>
  <c r="AB329" i="8"/>
  <c r="R330" i="8"/>
  <c r="S330" i="8"/>
  <c r="T330" i="8"/>
  <c r="V330" i="8"/>
  <c r="Z330" i="8"/>
  <c r="AB330" i="8"/>
  <c r="R331" i="8"/>
  <c r="S331" i="8"/>
  <c r="T331" i="8"/>
  <c r="V331" i="8"/>
  <c r="Z331" i="8"/>
  <c r="AB331" i="8"/>
  <c r="R31" i="8"/>
  <c r="S31" i="8"/>
  <c r="T31" i="8"/>
  <c r="V31" i="8"/>
  <c r="Z31" i="8"/>
  <c r="AA31" i="8"/>
  <c r="AB31" i="8"/>
  <c r="AC31" i="8"/>
  <c r="R332" i="8"/>
  <c r="S332" i="8"/>
  <c r="T332" i="8"/>
  <c r="V332" i="8"/>
  <c r="Z332" i="8"/>
  <c r="AA332" i="8"/>
  <c r="AB332" i="8"/>
  <c r="R333" i="8"/>
  <c r="S333" i="8"/>
  <c r="T333" i="8"/>
  <c r="V333" i="8"/>
  <c r="Z333" i="8"/>
  <c r="AB333" i="8"/>
  <c r="R334" i="8"/>
  <c r="S334" i="8"/>
  <c r="T334" i="8"/>
  <c r="V334" i="8"/>
  <c r="Z334" i="8"/>
  <c r="AB334" i="8"/>
  <c r="R335" i="8"/>
  <c r="S335" i="8"/>
  <c r="T335" i="8"/>
  <c r="V335" i="8"/>
  <c r="Z335" i="8"/>
  <c r="AA335" i="8"/>
  <c r="AB335" i="8"/>
  <c r="R336" i="8"/>
  <c r="S336" i="8"/>
  <c r="T336" i="8"/>
  <c r="V336" i="8"/>
  <c r="Z336" i="8"/>
  <c r="AB336" i="8"/>
  <c r="R337" i="8"/>
  <c r="S337" i="8"/>
  <c r="T337" i="8"/>
  <c r="V337" i="8"/>
  <c r="Z337" i="8"/>
  <c r="AB337" i="8"/>
  <c r="R338" i="8"/>
  <c r="S338" i="8"/>
  <c r="T338" i="8"/>
  <c r="V338" i="8"/>
  <c r="Z338" i="8"/>
  <c r="AB338" i="8"/>
  <c r="R339" i="8"/>
  <c r="S339" i="8"/>
  <c r="T339" i="8"/>
  <c r="V339" i="8"/>
  <c r="Z339" i="8"/>
  <c r="AB339" i="8"/>
  <c r="S340" i="8"/>
  <c r="T340" i="8"/>
  <c r="V340" i="8"/>
  <c r="Z340" i="8"/>
  <c r="AB340" i="8"/>
  <c r="R341" i="8"/>
  <c r="S341" i="8"/>
  <c r="T341" i="8"/>
  <c r="V341" i="8"/>
  <c r="Z341" i="8"/>
  <c r="AB341" i="8"/>
  <c r="S342" i="8"/>
  <c r="T342" i="8"/>
  <c r="V342" i="8"/>
  <c r="Z342" i="8"/>
  <c r="AA342" i="8"/>
  <c r="AB342" i="8"/>
  <c r="R343" i="8"/>
  <c r="S343" i="8"/>
  <c r="T343" i="8"/>
  <c r="Z343" i="8"/>
  <c r="R344" i="8"/>
  <c r="S344" i="8"/>
  <c r="T344" i="8"/>
  <c r="V344" i="8"/>
  <c r="Z344" i="8"/>
  <c r="AB344" i="8"/>
  <c r="R345" i="8"/>
  <c r="S345" i="8"/>
  <c r="T345" i="8"/>
  <c r="V345" i="8"/>
  <c r="Z345" i="8"/>
  <c r="AB345" i="8"/>
  <c r="AA346" i="8"/>
  <c r="V347" i="8"/>
  <c r="R348" i="8"/>
  <c r="S348" i="8"/>
  <c r="T348" i="8"/>
  <c r="V348" i="8"/>
  <c r="Z348" i="8"/>
  <c r="AA348" i="8"/>
  <c r="R349" i="8"/>
  <c r="S349" i="8"/>
  <c r="T349" i="8"/>
  <c r="V349" i="8"/>
  <c r="Z349" i="8"/>
  <c r="AB349" i="8"/>
  <c r="S350" i="8"/>
  <c r="T350" i="8"/>
  <c r="V350" i="8"/>
  <c r="Z350" i="8"/>
  <c r="S32" i="8"/>
  <c r="S351" i="8"/>
  <c r="T351" i="8"/>
  <c r="S352" i="8"/>
  <c r="T352" i="8"/>
  <c r="S353" i="8"/>
  <c r="T353" i="8"/>
  <c r="S354" i="8"/>
  <c r="T354" i="8"/>
  <c r="S355" i="8"/>
  <c r="T355" i="8"/>
  <c r="Z355" i="8"/>
  <c r="S356" i="8"/>
  <c r="T356" i="8"/>
  <c r="Z356" i="8"/>
  <c r="S357" i="8"/>
  <c r="T357" i="8"/>
  <c r="S358" i="8"/>
  <c r="T358" i="8"/>
  <c r="S359" i="8"/>
  <c r="T359" i="8"/>
  <c r="Z359" i="8"/>
  <c r="S360" i="8"/>
  <c r="T360" i="8"/>
  <c r="S33" i="8"/>
  <c r="T33" i="8"/>
  <c r="S361" i="8"/>
  <c r="T361" i="8"/>
  <c r="S362" i="8"/>
  <c r="T362" i="8"/>
  <c r="S363" i="8"/>
  <c r="T363" i="8"/>
  <c r="S364" i="8"/>
  <c r="T364" i="8"/>
  <c r="S365" i="8"/>
  <c r="T365" i="8"/>
  <c r="S366" i="8"/>
  <c r="T366" i="8"/>
  <c r="S367" i="8"/>
  <c r="T367" i="8"/>
  <c r="S34" i="8"/>
  <c r="T34" i="8"/>
  <c r="AC34" i="8"/>
  <c r="S368" i="8"/>
  <c r="T368" i="8"/>
  <c r="S369" i="8"/>
  <c r="T369" i="8"/>
  <c r="S370" i="8"/>
  <c r="T370" i="8"/>
  <c r="S35" i="8"/>
  <c r="T35" i="8"/>
  <c r="S371" i="8"/>
  <c r="T371" i="8"/>
  <c r="S372" i="8"/>
  <c r="T372" i="8"/>
  <c r="S373" i="8"/>
  <c r="T373" i="8"/>
  <c r="S374" i="8"/>
  <c r="T374" i="8"/>
  <c r="S375" i="8"/>
  <c r="T375" i="8"/>
  <c r="S376" i="8"/>
  <c r="T376" i="8"/>
  <c r="S377" i="8"/>
  <c r="T377" i="8"/>
  <c r="S378" i="8"/>
  <c r="T378" i="8"/>
  <c r="S379" i="8"/>
  <c r="T379" i="8"/>
  <c r="R380" i="8"/>
  <c r="T380" i="8"/>
  <c r="U380" i="8"/>
  <c r="X380" i="8"/>
  <c r="Y380" i="8"/>
  <c r="AA380" i="8"/>
  <c r="AC380" i="8"/>
  <c r="S381" i="8"/>
  <c r="T381" i="8"/>
  <c r="R382" i="8"/>
  <c r="W382" i="8"/>
  <c r="X382" i="8"/>
  <c r="Z382" i="8"/>
  <c r="S383" i="8"/>
  <c r="T383" i="8"/>
  <c r="U383" i="8"/>
  <c r="V383" i="8"/>
  <c r="W383" i="8"/>
  <c r="X383" i="8"/>
  <c r="Z383" i="8"/>
  <c r="AA383" i="8"/>
  <c r="AC383" i="8"/>
  <c r="R384" i="8"/>
  <c r="S384" i="8"/>
  <c r="U384" i="8"/>
  <c r="V384" i="8"/>
  <c r="W384" i="8"/>
  <c r="Y384" i="8"/>
  <c r="Z384" i="8"/>
  <c r="AB384" i="8"/>
  <c r="AC384" i="8"/>
  <c r="R385" i="8"/>
  <c r="T385" i="8"/>
  <c r="U385" i="8"/>
  <c r="V385" i="8"/>
  <c r="W385" i="8"/>
  <c r="X385" i="8"/>
  <c r="Y385" i="8"/>
  <c r="Z385" i="8"/>
  <c r="AB385" i="8"/>
  <c r="AC385" i="8"/>
  <c r="R36" i="8"/>
  <c r="S36" i="8"/>
  <c r="T36" i="8"/>
  <c r="U36" i="8"/>
  <c r="W36" i="8"/>
  <c r="X36" i="8"/>
  <c r="AB36" i="8"/>
  <c r="R386" i="8"/>
  <c r="S386" i="8"/>
  <c r="T386" i="8"/>
  <c r="W386" i="8"/>
  <c r="X386" i="8"/>
  <c r="R387" i="8"/>
  <c r="S387" i="8"/>
  <c r="T387" i="8"/>
  <c r="V387" i="8"/>
  <c r="W387" i="8"/>
  <c r="Z387" i="8"/>
  <c r="AB387" i="8"/>
  <c r="S388" i="8"/>
  <c r="T388" i="8"/>
  <c r="U388" i="8"/>
  <c r="W388" i="8"/>
  <c r="Z388" i="8"/>
  <c r="AB388" i="8"/>
  <c r="R389" i="8"/>
  <c r="S389" i="8"/>
  <c r="U389" i="8"/>
  <c r="V389" i="8"/>
  <c r="W389" i="8"/>
  <c r="Z389" i="8"/>
  <c r="AB389" i="8"/>
  <c r="S390" i="8"/>
  <c r="T390" i="8"/>
  <c r="V390" i="8"/>
  <c r="W390" i="8"/>
  <c r="Z390" i="8"/>
  <c r="R391" i="8"/>
  <c r="S391" i="8"/>
  <c r="T391" i="8"/>
  <c r="V391" i="8"/>
  <c r="W391" i="8"/>
  <c r="Z391" i="8"/>
  <c r="AB391" i="8"/>
  <c r="R392" i="8"/>
  <c r="S392" i="8"/>
  <c r="T392" i="8"/>
  <c r="U392" i="8"/>
  <c r="W392" i="8"/>
  <c r="X392" i="8"/>
  <c r="Z392" i="8"/>
  <c r="AA392" i="8"/>
  <c r="AB392" i="8"/>
  <c r="R393" i="8"/>
  <c r="S393" i="8"/>
  <c r="T393" i="8"/>
  <c r="V393" i="8"/>
  <c r="W393" i="8"/>
  <c r="X393" i="8"/>
  <c r="Z393" i="8"/>
  <c r="AB393" i="8"/>
  <c r="S37" i="8"/>
  <c r="T37" i="8"/>
  <c r="U37" i="8"/>
  <c r="W37" i="8"/>
  <c r="X37" i="8"/>
  <c r="AA37" i="8"/>
  <c r="R394" i="8"/>
  <c r="S394" i="8"/>
  <c r="T394" i="8"/>
  <c r="V394" i="8"/>
  <c r="W394" i="8"/>
  <c r="AB394" i="8"/>
  <c r="R395" i="8"/>
  <c r="S395" i="8"/>
  <c r="T395" i="8"/>
  <c r="W395" i="8"/>
  <c r="X395" i="8"/>
  <c r="Z395" i="8"/>
  <c r="AB395" i="8"/>
  <c r="R396" i="8"/>
  <c r="S396" i="8"/>
  <c r="T396" i="8"/>
  <c r="V396" i="8"/>
  <c r="W396" i="8"/>
  <c r="X396" i="8"/>
  <c r="Z396" i="8"/>
  <c r="S397" i="8"/>
  <c r="T397" i="8"/>
  <c r="V397" i="8"/>
  <c r="W397" i="8"/>
  <c r="X397" i="8"/>
  <c r="AB397" i="8"/>
  <c r="S398" i="8"/>
  <c r="T398" i="8"/>
  <c r="V398" i="8"/>
  <c r="W398" i="8"/>
  <c r="AA398" i="8"/>
  <c r="AB398" i="8"/>
  <c r="S38" i="8"/>
  <c r="T38" i="8"/>
  <c r="U38" i="8"/>
  <c r="W38" i="8"/>
  <c r="X38" i="8"/>
  <c r="AB38" i="8"/>
  <c r="S399" i="8"/>
  <c r="T399" i="8"/>
  <c r="V399" i="8"/>
  <c r="W399" i="8"/>
  <c r="X399" i="8"/>
  <c r="Z399" i="8"/>
  <c r="S400" i="8"/>
  <c r="T400" i="8"/>
  <c r="U400" i="8"/>
  <c r="V400" i="8"/>
  <c r="W400" i="8"/>
  <c r="X400" i="8"/>
  <c r="AB400" i="8"/>
  <c r="S401" i="8"/>
  <c r="T401" i="8"/>
  <c r="V401" i="8"/>
  <c r="W401" i="8"/>
  <c r="X401" i="8"/>
  <c r="Z401" i="8"/>
  <c r="AB401" i="8"/>
  <c r="R402" i="8"/>
  <c r="S402" i="8"/>
  <c r="T402" i="8"/>
  <c r="U402" i="8"/>
  <c r="V402" i="8"/>
  <c r="W402" i="8"/>
  <c r="Z402" i="8"/>
  <c r="AB402" i="8"/>
  <c r="R403" i="8"/>
  <c r="S403" i="8"/>
  <c r="T403" i="8"/>
  <c r="V403" i="8"/>
  <c r="W403" i="8"/>
  <c r="X403" i="8"/>
  <c r="Z403" i="8"/>
  <c r="AB403" i="8"/>
  <c r="R404" i="8"/>
  <c r="S404" i="8"/>
  <c r="T404" i="8"/>
  <c r="U404" i="8"/>
  <c r="V404" i="8"/>
  <c r="W404" i="8"/>
  <c r="X404" i="8"/>
  <c r="AB404" i="8"/>
  <c r="S405" i="8"/>
  <c r="T405" i="8"/>
  <c r="U405" i="8"/>
  <c r="V405" i="8"/>
  <c r="W405" i="8"/>
  <c r="Z405" i="8"/>
  <c r="R406" i="8"/>
  <c r="S406" i="8"/>
  <c r="T406" i="8"/>
  <c r="U406" i="8"/>
  <c r="V406" i="8"/>
  <c r="W406" i="8"/>
  <c r="Z406" i="8"/>
  <c r="AB406" i="8"/>
  <c r="AB39" i="8"/>
  <c r="X39" i="8"/>
  <c r="V39" i="8"/>
  <c r="U39" i="8"/>
  <c r="S39" i="8"/>
  <c r="E39" i="8"/>
  <c r="BA219" i="5"/>
  <c r="BA329" i="5"/>
  <c r="BA117" i="5"/>
  <c r="BA339" i="5"/>
  <c r="BA345" i="5"/>
  <c r="BA337" i="5"/>
  <c r="BA335" i="5"/>
  <c r="BA387" i="5"/>
  <c r="BA326" i="5"/>
  <c r="BA333" i="5"/>
  <c r="BA327" i="5"/>
  <c r="BA388" i="5"/>
  <c r="BA347" i="5"/>
  <c r="BA391" i="5"/>
  <c r="BA390" i="5"/>
  <c r="BA328" i="5"/>
  <c r="BA296" i="5"/>
  <c r="BA295" i="5"/>
  <c r="BA332" i="5"/>
  <c r="BA325" i="5"/>
  <c r="BA324" i="5"/>
  <c r="BA330" i="5"/>
  <c r="BA341" i="5"/>
  <c r="BA334" i="5"/>
  <c r="BA360" i="5"/>
  <c r="BA370" i="5"/>
  <c r="BA338" i="5"/>
  <c r="BA340" i="5"/>
  <c r="BA336" i="5"/>
  <c r="BA359" i="5"/>
  <c r="BA351" i="5"/>
  <c r="BA319" i="5"/>
  <c r="BA320" i="5"/>
  <c r="BA321" i="5"/>
  <c r="BA348" i="5"/>
  <c r="BA349" i="5"/>
  <c r="BA344" i="5"/>
  <c r="BA343" i="5"/>
  <c r="BA323" i="5"/>
  <c r="BA342" i="5"/>
  <c r="BA322" i="5"/>
  <c r="BA346" i="5"/>
  <c r="BA350" i="5"/>
  <c r="BA331" i="5"/>
  <c r="BA395" i="5"/>
  <c r="BF219" i="5"/>
  <c r="BF329" i="5"/>
  <c r="BF331" i="5"/>
  <c r="BF337" i="5"/>
  <c r="BF339" i="5"/>
  <c r="BF345" i="5"/>
  <c r="BF395" i="5"/>
  <c r="BF254" i="5"/>
  <c r="BF263" i="5"/>
  <c r="BF412" i="5"/>
  <c r="BF396" i="5"/>
  <c r="BF406" i="5"/>
  <c r="BF408" i="5"/>
  <c r="BF97" i="5"/>
  <c r="BF161" i="5"/>
  <c r="BF188" i="5"/>
  <c r="BF42" i="5"/>
  <c r="BF47" i="5"/>
  <c r="BF177" i="5"/>
  <c r="BF393" i="5"/>
  <c r="BF409" i="5"/>
  <c r="BF410" i="5"/>
  <c r="BF61" i="5"/>
  <c r="BF117" i="5"/>
  <c r="BF284" i="5"/>
  <c r="BF291" i="5"/>
  <c r="BF39" i="5"/>
  <c r="BF40" i="5"/>
  <c r="BF41" i="5"/>
  <c r="BF102" i="5"/>
  <c r="BF335" i="5"/>
  <c r="BF403" i="5"/>
  <c r="BF415" i="5"/>
  <c r="BF38" i="5"/>
  <c r="BF66" i="5"/>
  <c r="BF175" i="5"/>
  <c r="BF65" i="5"/>
  <c r="BF67" i="5"/>
  <c r="BF372" i="5"/>
  <c r="BF374" i="5"/>
  <c r="BF376" i="5"/>
  <c r="BF381" i="5"/>
  <c r="BF401" i="5"/>
  <c r="BF402" i="5"/>
  <c r="BF413" i="5"/>
  <c r="BF53" i="5"/>
  <c r="BF56" i="5"/>
  <c r="BF59" i="5"/>
  <c r="BF153" i="5"/>
  <c r="BF258" i="5"/>
  <c r="BF371" i="5"/>
  <c r="BF50" i="5"/>
  <c r="BF392" i="5"/>
  <c r="BF397" i="5"/>
  <c r="BF399" i="5"/>
  <c r="BF404" i="5"/>
  <c r="BF405" i="5"/>
  <c r="BF407" i="5"/>
  <c r="BF416" i="5"/>
  <c r="BF148" i="5"/>
  <c r="BF152" i="5"/>
  <c r="BF326" i="5"/>
  <c r="BF176" i="5"/>
  <c r="BF333" i="5"/>
  <c r="BF411" i="5"/>
  <c r="BF142" i="5"/>
  <c r="BF414" i="5"/>
  <c r="BF52" i="5"/>
  <c r="BF264" i="5"/>
  <c r="BF140" i="5"/>
  <c r="BF154" i="5"/>
  <c r="BF327" i="5"/>
  <c r="BF129" i="5"/>
  <c r="BF137" i="5"/>
  <c r="BF149" i="5"/>
  <c r="BF257" i="5"/>
  <c r="BF179" i="5"/>
  <c r="BF245" i="5"/>
  <c r="BF247" i="5"/>
  <c r="BF124" i="5"/>
  <c r="BF256" i="5"/>
  <c r="BF27" i="5"/>
  <c r="BF225" i="5"/>
  <c r="BF308" i="5"/>
  <c r="BF400" i="5"/>
  <c r="BF118" i="5"/>
  <c r="BF209" i="5"/>
  <c r="BF242" i="5"/>
  <c r="BF244" i="5"/>
  <c r="BF246" i="5"/>
  <c r="BF367" i="5"/>
  <c r="BF394" i="5"/>
  <c r="BF123" i="5"/>
  <c r="BF8" i="5"/>
  <c r="BF347" i="5"/>
  <c r="BF373" i="5"/>
  <c r="BF387" i="5"/>
  <c r="BF270" i="5"/>
  <c r="BF138" i="5"/>
  <c r="BF183" i="5"/>
  <c r="BF221" i="5"/>
  <c r="BF241" i="5"/>
  <c r="BF243" i="5"/>
  <c r="BF60" i="5"/>
  <c r="BF255" i="5"/>
  <c r="BF248" i="5"/>
  <c r="BF398" i="5"/>
  <c r="BF74" i="5"/>
  <c r="BF216" i="5"/>
  <c r="BF239" i="5"/>
  <c r="BF305" i="5"/>
  <c r="BF306" i="5"/>
  <c r="BF316" i="5"/>
  <c r="BF105" i="5"/>
  <c r="BF139" i="5"/>
  <c r="BF88" i="5"/>
  <c r="BF15" i="5"/>
  <c r="BF181" i="5"/>
  <c r="BF328" i="5"/>
  <c r="BF378" i="5"/>
  <c r="BF55" i="5"/>
  <c r="BF87" i="5"/>
  <c r="BF131" i="5"/>
  <c r="BF178" i="5"/>
  <c r="BF5" i="5"/>
  <c r="BF23" i="5"/>
  <c r="BF24" i="5"/>
  <c r="BF25" i="5"/>
  <c r="BF26" i="5"/>
  <c r="BF9" i="5"/>
  <c r="BF136" i="5"/>
  <c r="BF180" i="5"/>
  <c r="BF220" i="5"/>
  <c r="BF253" i="5"/>
  <c r="BF114" i="5"/>
  <c r="BF224" i="5"/>
  <c r="BF265" i="5"/>
  <c r="BF10" i="5"/>
  <c r="BF132" i="5"/>
  <c r="BF147" i="5"/>
  <c r="BF173" i="5"/>
  <c r="BF22" i="5"/>
  <c r="BF217" i="5"/>
  <c r="BF388" i="5"/>
  <c r="BF285" i="5"/>
  <c r="BE285" i="5"/>
  <c r="E117" i="7"/>
  <c r="E118" i="7"/>
  <c r="E119" i="7"/>
  <c r="E120" i="7"/>
  <c r="E121" i="7"/>
  <c r="E122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00" i="7"/>
  <c r="E101" i="7"/>
  <c r="E45" i="7"/>
  <c r="E46" i="7"/>
  <c r="E33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3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4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34" i="7"/>
  <c r="E35" i="7"/>
  <c r="E36" i="7"/>
  <c r="E37" i="7"/>
  <c r="E38" i="7"/>
  <c r="E39" i="7"/>
  <c r="E40" i="7"/>
  <c r="E41" i="7"/>
  <c r="E42" i="7"/>
  <c r="E43" i="7"/>
  <c r="E27" i="7"/>
  <c r="E28" i="7"/>
  <c r="E29" i="7"/>
  <c r="E30" i="7"/>
  <c r="E31" i="7"/>
  <c r="E32" i="7"/>
  <c r="E116" i="7"/>
  <c r="AM292" i="5"/>
  <c r="BE391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53" i="5"/>
  <c r="BE264" i="5"/>
  <c r="BE54" i="5"/>
  <c r="BE265" i="5"/>
  <c r="BE266" i="5"/>
  <c r="BE55" i="5"/>
  <c r="BE56" i="5"/>
  <c r="BE57" i="5"/>
  <c r="BE58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9" i="5"/>
  <c r="BE73" i="5"/>
  <c r="BE74" i="5"/>
  <c r="BE75" i="5"/>
  <c r="BE76" i="5"/>
  <c r="BE77" i="5"/>
  <c r="BE78" i="5"/>
  <c r="BE79" i="5"/>
  <c r="BE80" i="5"/>
  <c r="BE81" i="5"/>
  <c r="BE267" i="5"/>
  <c r="BE82" i="5"/>
  <c r="BE83" i="5"/>
  <c r="BE84" i="5"/>
  <c r="BE85" i="5"/>
  <c r="BE259" i="5"/>
  <c r="BE260" i="5"/>
  <c r="BE86" i="5"/>
  <c r="BE261" i="5"/>
  <c r="BE253" i="5"/>
  <c r="BE87" i="5"/>
  <c r="BE88" i="5"/>
  <c r="BE89" i="5"/>
  <c r="BE90" i="5"/>
  <c r="BE91" i="5"/>
  <c r="BE92" i="5"/>
  <c r="BE10" i="5"/>
  <c r="BE11" i="5"/>
  <c r="BE93" i="5"/>
  <c r="BE94" i="5"/>
  <c r="BE95" i="5"/>
  <c r="BE262" i="5"/>
  <c r="BE96" i="5"/>
  <c r="BE254" i="5"/>
  <c r="BE263" i="5"/>
  <c r="BE97" i="5"/>
  <c r="BE98" i="5"/>
  <c r="BE99" i="5"/>
  <c r="BE100" i="5"/>
  <c r="BE101" i="5"/>
  <c r="BE102" i="5"/>
  <c r="BE103" i="5"/>
  <c r="BE104" i="5"/>
  <c r="BE105" i="5"/>
  <c r="BE106" i="5"/>
  <c r="BE107" i="5"/>
  <c r="BE108" i="5"/>
  <c r="BE109" i="5"/>
  <c r="BE110" i="5"/>
  <c r="BE111" i="5"/>
  <c r="BE112" i="5"/>
  <c r="BE113" i="5"/>
  <c r="BE114" i="5"/>
  <c r="BE2" i="5"/>
  <c r="BE115" i="5"/>
  <c r="BE116" i="5"/>
  <c r="BE268" i="5"/>
  <c r="BE269" i="5"/>
  <c r="BE12" i="5"/>
  <c r="BE117" i="5"/>
  <c r="BE13" i="5"/>
  <c r="BE270" i="5"/>
  <c r="BE118" i="5"/>
  <c r="BE271" i="5"/>
  <c r="BE272" i="5"/>
  <c r="BE14" i="5"/>
  <c r="BE119" i="5"/>
  <c r="BE120" i="5"/>
  <c r="BE273" i="5"/>
  <c r="BE121" i="5"/>
  <c r="BE122" i="5"/>
  <c r="BE123" i="5"/>
  <c r="BE124" i="5"/>
  <c r="BE15" i="5"/>
  <c r="BE274" i="5"/>
  <c r="BE125" i="5"/>
  <c r="BE126" i="5"/>
  <c r="BE275" i="5"/>
  <c r="BE127" i="5"/>
  <c r="BE128" i="5"/>
  <c r="BE129" i="5"/>
  <c r="BE130" i="5"/>
  <c r="BE131" i="5"/>
  <c r="BE132" i="5"/>
  <c r="BE3" i="5"/>
  <c r="BE133" i="5"/>
  <c r="BE134" i="5"/>
  <c r="BE4" i="5"/>
  <c r="BE135" i="5"/>
  <c r="BE136" i="5"/>
  <c r="BE255" i="5"/>
  <c r="BE137" i="5"/>
  <c r="BE138" i="5"/>
  <c r="BE139" i="5"/>
  <c r="BE140" i="5"/>
  <c r="BE141" i="5"/>
  <c r="BE142" i="5"/>
  <c r="BE143" i="5"/>
  <c r="BE144" i="5"/>
  <c r="BE145" i="5"/>
  <c r="BE146" i="5"/>
  <c r="BE276" i="5"/>
  <c r="BE147" i="5"/>
  <c r="BE148" i="5"/>
  <c r="BE149" i="5"/>
  <c r="BE150" i="5"/>
  <c r="BE277" i="5"/>
  <c r="BE278" i="5"/>
  <c r="BE279" i="5"/>
  <c r="BE151" i="5"/>
  <c r="BE152" i="5"/>
  <c r="BE280" i="5"/>
  <c r="BE153" i="5"/>
  <c r="BE154" i="5"/>
  <c r="BE155" i="5"/>
  <c r="BE156" i="5"/>
  <c r="BE157" i="5"/>
  <c r="BE158" i="5"/>
  <c r="BE159" i="5"/>
  <c r="BE160" i="5"/>
  <c r="BE161" i="5"/>
  <c r="BE162" i="5"/>
  <c r="BE256" i="5"/>
  <c r="BE257" i="5"/>
  <c r="BE163" i="5"/>
  <c r="BE164" i="5"/>
  <c r="BE165" i="5"/>
  <c r="BE166" i="5"/>
  <c r="BE16" i="5"/>
  <c r="BE17" i="5"/>
  <c r="BE18" i="5"/>
  <c r="BE167" i="5"/>
  <c r="BE168" i="5"/>
  <c r="BE169" i="5"/>
  <c r="BE170" i="5"/>
  <c r="BE171" i="5"/>
  <c r="BE172" i="5"/>
  <c r="BE173" i="5"/>
  <c r="BE174" i="5"/>
  <c r="BE175" i="5"/>
  <c r="BE176" i="5"/>
  <c r="BE177" i="5"/>
  <c r="BE178" i="5"/>
  <c r="BE179" i="5"/>
  <c r="BE180" i="5"/>
  <c r="BE181" i="5"/>
  <c r="BE182" i="5"/>
  <c r="BE183" i="5"/>
  <c r="BE184" i="5"/>
  <c r="BE185" i="5"/>
  <c r="BE186" i="5"/>
  <c r="BE187" i="5"/>
  <c r="BE188" i="5"/>
  <c r="BE189" i="5"/>
  <c r="BE190" i="5"/>
  <c r="BE191" i="5"/>
  <c r="BE192" i="5"/>
  <c r="BE281" i="5"/>
  <c r="BE282" i="5"/>
  <c r="BE283" i="5"/>
  <c r="BE193" i="5"/>
  <c r="BE194" i="5"/>
  <c r="BE195" i="5"/>
  <c r="BE284" i="5"/>
  <c r="BE286" i="5"/>
  <c r="BE287" i="5"/>
  <c r="BE5" i="5"/>
  <c r="BE288" i="5"/>
  <c r="BE289" i="5"/>
  <c r="BE290" i="5"/>
  <c r="BE291" i="5"/>
  <c r="BE196" i="5"/>
  <c r="BE197" i="5"/>
  <c r="BE198" i="5"/>
  <c r="BE199" i="5"/>
  <c r="BE293" i="5"/>
  <c r="BE200" i="5"/>
  <c r="BE21" i="5"/>
  <c r="BE201" i="5"/>
  <c r="BE202" i="5"/>
  <c r="BE203" i="5"/>
  <c r="BE204" i="5"/>
  <c r="BE205" i="5"/>
  <c r="BE206" i="5"/>
  <c r="BE22" i="5"/>
  <c r="BE23" i="5"/>
  <c r="BE24" i="5"/>
  <c r="BE207" i="5"/>
  <c r="BE25" i="5"/>
  <c r="BE26" i="5"/>
  <c r="BE6" i="5"/>
  <c r="BE7" i="5"/>
  <c r="BE208" i="5"/>
  <c r="BE209" i="5"/>
  <c r="BE294" i="5"/>
  <c r="BE210" i="5"/>
  <c r="BE211" i="5"/>
  <c r="BE212" i="5"/>
  <c r="BE258" i="5"/>
  <c r="BE213" i="5"/>
  <c r="BE27" i="5"/>
  <c r="BE214" i="5"/>
  <c r="BE215" i="5"/>
  <c r="BE216" i="5"/>
  <c r="BE217" i="5"/>
  <c r="BE218" i="5"/>
  <c r="BE28" i="5"/>
  <c r="BE219" i="5"/>
  <c r="BE220" i="5"/>
  <c r="BE221" i="5"/>
  <c r="BE222" i="5"/>
  <c r="BE223" i="5"/>
  <c r="BE224" i="5"/>
  <c r="BE225" i="5"/>
  <c r="BE226" i="5"/>
  <c r="BE227" i="5"/>
  <c r="BE228" i="5"/>
  <c r="BE295" i="5"/>
  <c r="BE296" i="5"/>
  <c r="BE8" i="5"/>
  <c r="BE229" i="5"/>
  <c r="BE230" i="5"/>
  <c r="BE231" i="5"/>
  <c r="BE297" i="5"/>
  <c r="BE232" i="5"/>
  <c r="BE29" i="5"/>
  <c r="BE30" i="5"/>
  <c r="BE31" i="5"/>
  <c r="BE32" i="5"/>
  <c r="BE33" i="5"/>
  <c r="BE233" i="5"/>
  <c r="BE34" i="5"/>
  <c r="BE234" i="5"/>
  <c r="BE235" i="5"/>
  <c r="BE236" i="5"/>
  <c r="BE237" i="5"/>
  <c r="BE238" i="5"/>
  <c r="BE239" i="5"/>
  <c r="BE241" i="5"/>
  <c r="BE242" i="5"/>
  <c r="BE243" i="5"/>
  <c r="BE244" i="5"/>
  <c r="BE245" i="5"/>
  <c r="BE246" i="5"/>
  <c r="BE247" i="5"/>
  <c r="BE248" i="5"/>
  <c r="BE249" i="5"/>
  <c r="BE250" i="5"/>
  <c r="BE35" i="5"/>
  <c r="BE298" i="5"/>
  <c r="BE36" i="5"/>
  <c r="BE37" i="5"/>
  <c r="BE251" i="5"/>
  <c r="BE252" i="5"/>
  <c r="BE303" i="5"/>
  <c r="BE304" i="5"/>
  <c r="BE305" i="5"/>
  <c r="BE306" i="5"/>
  <c r="BE308" i="5"/>
  <c r="BE309" i="5"/>
  <c r="BE310" i="5"/>
  <c r="BE311" i="5"/>
  <c r="BE312" i="5"/>
  <c r="BE313" i="5"/>
  <c r="BE314" i="5"/>
  <c r="BE315" i="5"/>
  <c r="BE316" i="5"/>
  <c r="BE317" i="5"/>
  <c r="BE318" i="5"/>
  <c r="BE319" i="5"/>
  <c r="BE320" i="5"/>
  <c r="BE321" i="5"/>
  <c r="BE322" i="5"/>
  <c r="BE323" i="5"/>
  <c r="BE324" i="5"/>
  <c r="BE325" i="5"/>
  <c r="BE326" i="5"/>
  <c r="BE327" i="5"/>
  <c r="BE328" i="5"/>
  <c r="BE329" i="5"/>
  <c r="BE330" i="5"/>
  <c r="BE331" i="5"/>
  <c r="BE332" i="5"/>
  <c r="BE333" i="5"/>
  <c r="BE334" i="5"/>
  <c r="BE335" i="5"/>
  <c r="BE336" i="5"/>
  <c r="BE337" i="5"/>
  <c r="BE338" i="5"/>
  <c r="BE339" i="5"/>
  <c r="BE341" i="5"/>
  <c r="BE342" i="5"/>
  <c r="BE343" i="5"/>
  <c r="BE344" i="5"/>
  <c r="BE345" i="5"/>
  <c r="BE346" i="5"/>
  <c r="BE347" i="5"/>
  <c r="BE348" i="5"/>
  <c r="BE349" i="5"/>
  <c r="BE350" i="5"/>
  <c r="BE340" i="5"/>
  <c r="BE351" i="5"/>
  <c r="BE352" i="5"/>
  <c r="BE353" i="5"/>
  <c r="BE354" i="5"/>
  <c r="BE355" i="5"/>
  <c r="BE356" i="5"/>
  <c r="BE357" i="5"/>
  <c r="BE358" i="5"/>
  <c r="BE359" i="5"/>
  <c r="BE360" i="5"/>
  <c r="BE361" i="5"/>
  <c r="BE362" i="5"/>
  <c r="BE363" i="5"/>
  <c r="BE364" i="5"/>
  <c r="BE365" i="5"/>
  <c r="BE366" i="5"/>
  <c r="BE367" i="5"/>
  <c r="BE368" i="5"/>
  <c r="BE369" i="5"/>
  <c r="BE370" i="5"/>
  <c r="BE371" i="5"/>
  <c r="BE372" i="5"/>
  <c r="BE373" i="5"/>
  <c r="BE374" i="5"/>
  <c r="BE375" i="5"/>
  <c r="BE376" i="5"/>
  <c r="BE377" i="5"/>
  <c r="BE378" i="5"/>
  <c r="BE379" i="5"/>
  <c r="BE380" i="5"/>
  <c r="BE381" i="5"/>
  <c r="BE382" i="5"/>
  <c r="BE383" i="5"/>
  <c r="BE384" i="5"/>
  <c r="BE387" i="5"/>
  <c r="BE388" i="5"/>
  <c r="BE389" i="5"/>
  <c r="BE390" i="5"/>
  <c r="BE392" i="5"/>
  <c r="BE393" i="5"/>
  <c r="BE394" i="5"/>
  <c r="BE395" i="5"/>
  <c r="BE396" i="5"/>
  <c r="BE397" i="5"/>
  <c r="BE398" i="5"/>
  <c r="BE399" i="5"/>
  <c r="BE400" i="5"/>
  <c r="BE401" i="5"/>
  <c r="BE402" i="5"/>
  <c r="BE403" i="5"/>
  <c r="BE404" i="5"/>
  <c r="BE405" i="5"/>
  <c r="BE406" i="5"/>
  <c r="BE407" i="5"/>
  <c r="BE408" i="5"/>
  <c r="BE409" i="5"/>
  <c r="BE410" i="5"/>
  <c r="BE411" i="5"/>
  <c r="BE412" i="5"/>
  <c r="BE413" i="5"/>
  <c r="BE414" i="5"/>
  <c r="BE415" i="5"/>
  <c r="BE416" i="5"/>
  <c r="BE292" i="5"/>
  <c r="BC292" i="5"/>
  <c r="BC391" i="5"/>
  <c r="BC38" i="5"/>
  <c r="BC39" i="5"/>
  <c r="BC40" i="5"/>
  <c r="BC41" i="5"/>
  <c r="BC42" i="5"/>
  <c r="BC43" i="5"/>
  <c r="BC44" i="5"/>
  <c r="BC45" i="5"/>
  <c r="BC46" i="5"/>
  <c r="BC47" i="5"/>
  <c r="BC48" i="5"/>
  <c r="BC49" i="5"/>
  <c r="BC50" i="5"/>
  <c r="BC51" i="5"/>
  <c r="BC52" i="5"/>
  <c r="BC53" i="5"/>
  <c r="BC264" i="5"/>
  <c r="BC54" i="5"/>
  <c r="BC265" i="5"/>
  <c r="BC266" i="5"/>
  <c r="BC55" i="5"/>
  <c r="BC56" i="5"/>
  <c r="BC57" i="5"/>
  <c r="BC58" i="5"/>
  <c r="BC59" i="5"/>
  <c r="BC60" i="5"/>
  <c r="BC61" i="5"/>
  <c r="BC62" i="5"/>
  <c r="BC63" i="5"/>
  <c r="BC64" i="5"/>
  <c r="BC65" i="5"/>
  <c r="BC66" i="5"/>
  <c r="BC67" i="5"/>
  <c r="BC68" i="5"/>
  <c r="BC69" i="5"/>
  <c r="BC70" i="5"/>
  <c r="BC71" i="5"/>
  <c r="BC72" i="5"/>
  <c r="BC9" i="5"/>
  <c r="BC73" i="5"/>
  <c r="BC74" i="5"/>
  <c r="BC75" i="5"/>
  <c r="BC76" i="5"/>
  <c r="BC77" i="5"/>
  <c r="BC78" i="5"/>
  <c r="BC79" i="5"/>
  <c r="BC80" i="5"/>
  <c r="BC81" i="5"/>
  <c r="BC267" i="5"/>
  <c r="BC82" i="5"/>
  <c r="BC83" i="5"/>
  <c r="BC84" i="5"/>
  <c r="BC85" i="5"/>
  <c r="BC259" i="5"/>
  <c r="BC260" i="5"/>
  <c r="BC86" i="5"/>
  <c r="BC261" i="5"/>
  <c r="BC253" i="5"/>
  <c r="BC87" i="5"/>
  <c r="BC88" i="5"/>
  <c r="BC89" i="5"/>
  <c r="BC90" i="5"/>
  <c r="BC91" i="5"/>
  <c r="BC92" i="5"/>
  <c r="BC10" i="5"/>
  <c r="BC11" i="5"/>
  <c r="BC93" i="5"/>
  <c r="BC94" i="5"/>
  <c r="BC95" i="5"/>
  <c r="BC262" i="5"/>
  <c r="BC96" i="5"/>
  <c r="BC254" i="5"/>
  <c r="BC263" i="5"/>
  <c r="BC97" i="5"/>
  <c r="BC98" i="5"/>
  <c r="BC99" i="5"/>
  <c r="BC100" i="5"/>
  <c r="BC101" i="5"/>
  <c r="BC102" i="5"/>
  <c r="BC103" i="5"/>
  <c r="BC104" i="5"/>
  <c r="BC105" i="5"/>
  <c r="BC106" i="5"/>
  <c r="BC107" i="5"/>
  <c r="BC108" i="5"/>
  <c r="BC109" i="5"/>
  <c r="BC110" i="5"/>
  <c r="BC111" i="5"/>
  <c r="BC112" i="5"/>
  <c r="BC113" i="5"/>
  <c r="BC114" i="5"/>
  <c r="BC2" i="5"/>
  <c r="BC115" i="5"/>
  <c r="BC116" i="5"/>
  <c r="BC268" i="5"/>
  <c r="BC269" i="5"/>
  <c r="BC12" i="5"/>
  <c r="BC117" i="5"/>
  <c r="BC13" i="5"/>
  <c r="BC270" i="5"/>
  <c r="BC271" i="5"/>
  <c r="BC272" i="5"/>
  <c r="BC14" i="5"/>
  <c r="BC119" i="5"/>
  <c r="BC120" i="5"/>
  <c r="BC273" i="5"/>
  <c r="BC121" i="5"/>
  <c r="BC122" i="5"/>
  <c r="BC123" i="5"/>
  <c r="BC124" i="5"/>
  <c r="BC15" i="5"/>
  <c r="BC274" i="5"/>
  <c r="BC125" i="5"/>
  <c r="BC126" i="5"/>
  <c r="BC275" i="5"/>
  <c r="BC127" i="5"/>
  <c r="BC128" i="5"/>
  <c r="BC129" i="5"/>
  <c r="BC130" i="5"/>
  <c r="BC131" i="5"/>
  <c r="BC132" i="5"/>
  <c r="BC3" i="5"/>
  <c r="BC133" i="5"/>
  <c r="BC134" i="5"/>
  <c r="BC4" i="5"/>
  <c r="BC135" i="5"/>
  <c r="BC136" i="5"/>
  <c r="BC255" i="5"/>
  <c r="BC137" i="5"/>
  <c r="BC138" i="5"/>
  <c r="BC139" i="5"/>
  <c r="BC140" i="5"/>
  <c r="BC141" i="5"/>
  <c r="BC142" i="5"/>
  <c r="BC143" i="5"/>
  <c r="BC144" i="5"/>
  <c r="BC145" i="5"/>
  <c r="BC146" i="5"/>
  <c r="BC276" i="5"/>
  <c r="BC147" i="5"/>
  <c r="BC148" i="5"/>
  <c r="BC149" i="5"/>
  <c r="BC150" i="5"/>
  <c r="BC277" i="5"/>
  <c r="BC278" i="5"/>
  <c r="BC279" i="5"/>
  <c r="BC151" i="5"/>
  <c r="BC152" i="5"/>
  <c r="BC280" i="5"/>
  <c r="BC153" i="5"/>
  <c r="BC154" i="5"/>
  <c r="BC155" i="5"/>
  <c r="BC156" i="5"/>
  <c r="BC157" i="5"/>
  <c r="BC158" i="5"/>
  <c r="BC159" i="5"/>
  <c r="BC160" i="5"/>
  <c r="BC161" i="5"/>
  <c r="BC162" i="5"/>
  <c r="BC256" i="5"/>
  <c r="BC257" i="5"/>
  <c r="BC163" i="5"/>
  <c r="BC164" i="5"/>
  <c r="BC165" i="5"/>
  <c r="BC166" i="5"/>
  <c r="BC16" i="5"/>
  <c r="BC17" i="5"/>
  <c r="BC18" i="5"/>
  <c r="BC167" i="5"/>
  <c r="BC168" i="5"/>
  <c r="BC169" i="5"/>
  <c r="BC170" i="5"/>
  <c r="BC171" i="5"/>
  <c r="BC172" i="5"/>
  <c r="BC173" i="5"/>
  <c r="BC174" i="5"/>
  <c r="BC175" i="5"/>
  <c r="BC176" i="5"/>
  <c r="BC177" i="5"/>
  <c r="BC178" i="5"/>
  <c r="BC179" i="5"/>
  <c r="BC180" i="5"/>
  <c r="BC181" i="5"/>
  <c r="BC182" i="5"/>
  <c r="BC183" i="5"/>
  <c r="BC184" i="5"/>
  <c r="BC185" i="5"/>
  <c r="BC186" i="5"/>
  <c r="BC187" i="5"/>
  <c r="BC188" i="5"/>
  <c r="BC189" i="5"/>
  <c r="BC190" i="5"/>
  <c r="BC191" i="5"/>
  <c r="BC192" i="5"/>
  <c r="BC281" i="5"/>
  <c r="BC282" i="5"/>
  <c r="BC283" i="5"/>
  <c r="BC193" i="5"/>
  <c r="BC194" i="5"/>
  <c r="BC195" i="5"/>
  <c r="BC284" i="5"/>
  <c r="BC285" i="5"/>
  <c r="BC286" i="5"/>
  <c r="BC287" i="5"/>
  <c r="BC5" i="5"/>
  <c r="BC288" i="5"/>
  <c r="BC289" i="5"/>
  <c r="BC290" i="5"/>
  <c r="BC291" i="5"/>
  <c r="BC196" i="5"/>
  <c r="BC197" i="5"/>
  <c r="BC198" i="5"/>
  <c r="BC199" i="5"/>
  <c r="BC293" i="5"/>
  <c r="BC200" i="5"/>
  <c r="BC21" i="5"/>
  <c r="BC201" i="5"/>
  <c r="BC202" i="5"/>
  <c r="BC203" i="5"/>
  <c r="BC204" i="5"/>
  <c r="BC205" i="5"/>
  <c r="BC206" i="5"/>
  <c r="BC22" i="5"/>
  <c r="BC23" i="5"/>
  <c r="BC24" i="5"/>
  <c r="BC207" i="5"/>
  <c r="BC25" i="5"/>
  <c r="BC26" i="5"/>
  <c r="BC6" i="5"/>
  <c r="BC7" i="5"/>
  <c r="BC208" i="5"/>
  <c r="BC209" i="5"/>
  <c r="BC294" i="5"/>
  <c r="BC210" i="5"/>
  <c r="BC211" i="5"/>
  <c r="BC212" i="5"/>
  <c r="BC258" i="5"/>
  <c r="BC213" i="5"/>
  <c r="BC27" i="5"/>
  <c r="BC214" i="5"/>
  <c r="BC215" i="5"/>
  <c r="BC216" i="5"/>
  <c r="BC217" i="5"/>
  <c r="BC218" i="5"/>
  <c r="BC28" i="5"/>
  <c r="BC219" i="5"/>
  <c r="BC220" i="5"/>
  <c r="BC221" i="5"/>
  <c r="BC222" i="5"/>
  <c r="BC223" i="5"/>
  <c r="BC224" i="5"/>
  <c r="BC225" i="5"/>
  <c r="BC226" i="5"/>
  <c r="BC227" i="5"/>
  <c r="BC228" i="5"/>
  <c r="BC295" i="5"/>
  <c r="BC296" i="5"/>
  <c r="BC8" i="5"/>
  <c r="BC229" i="5"/>
  <c r="BC230" i="5"/>
  <c r="BC231" i="5"/>
  <c r="BC297" i="5"/>
  <c r="BC232" i="5"/>
  <c r="BC29" i="5"/>
  <c r="BC30" i="5"/>
  <c r="BC31" i="5"/>
  <c r="BC32" i="5"/>
  <c r="BC33" i="5"/>
  <c r="BC233" i="5"/>
  <c r="BC34" i="5"/>
  <c r="BC234" i="5"/>
  <c r="BC235" i="5"/>
  <c r="BC236" i="5"/>
  <c r="BC237" i="5"/>
  <c r="BC238" i="5"/>
  <c r="BC239" i="5"/>
  <c r="BC241" i="5"/>
  <c r="BC242" i="5"/>
  <c r="BC243" i="5"/>
  <c r="BC244" i="5"/>
  <c r="BC245" i="5"/>
  <c r="BC246" i="5"/>
  <c r="BC247" i="5"/>
  <c r="BC248" i="5"/>
  <c r="BC249" i="5"/>
  <c r="BC250" i="5"/>
  <c r="BC35" i="5"/>
  <c r="BC298" i="5"/>
  <c r="BC36" i="5"/>
  <c r="BC37" i="5"/>
  <c r="BC251" i="5"/>
  <c r="BC252" i="5"/>
  <c r="BC303" i="5"/>
  <c r="BC304" i="5"/>
  <c r="BC305" i="5"/>
  <c r="BC306" i="5"/>
  <c r="BC308" i="5"/>
  <c r="BC309" i="5"/>
  <c r="BC310" i="5"/>
  <c r="BC311" i="5"/>
  <c r="BC312" i="5"/>
  <c r="BC313" i="5"/>
  <c r="BC314" i="5"/>
  <c r="BC315" i="5"/>
  <c r="BC316" i="5"/>
  <c r="BC317" i="5"/>
  <c r="BC318" i="5"/>
  <c r="BC319" i="5"/>
  <c r="BC320" i="5"/>
  <c r="BC321" i="5"/>
  <c r="BC322" i="5"/>
  <c r="BC323" i="5"/>
  <c r="BC324" i="5"/>
  <c r="BC325" i="5"/>
  <c r="BC326" i="5"/>
  <c r="BC327" i="5"/>
  <c r="BC328" i="5"/>
  <c r="BC329" i="5"/>
  <c r="BC330" i="5"/>
  <c r="BC331" i="5"/>
  <c r="BC332" i="5"/>
  <c r="BC333" i="5"/>
  <c r="BC334" i="5"/>
  <c r="BC335" i="5"/>
  <c r="BC336" i="5"/>
  <c r="BC337" i="5"/>
  <c r="BC338" i="5"/>
  <c r="BC339" i="5"/>
  <c r="BC341" i="5"/>
  <c r="BC342" i="5"/>
  <c r="BC343" i="5"/>
  <c r="BC344" i="5"/>
  <c r="BC345" i="5"/>
  <c r="BC346" i="5"/>
  <c r="BC347" i="5"/>
  <c r="BC348" i="5"/>
  <c r="BC349" i="5"/>
  <c r="BC350" i="5"/>
  <c r="BC340" i="5"/>
  <c r="BC351" i="5"/>
  <c r="BC352" i="5"/>
  <c r="BC353" i="5"/>
  <c r="BC354" i="5"/>
  <c r="BC355" i="5"/>
  <c r="BC356" i="5"/>
  <c r="BC357" i="5"/>
  <c r="BC358" i="5"/>
  <c r="BC359" i="5"/>
  <c r="BC360" i="5"/>
  <c r="BC361" i="5"/>
  <c r="BC362" i="5"/>
  <c r="BC363" i="5"/>
  <c r="BC364" i="5"/>
  <c r="BC365" i="5"/>
  <c r="BC366" i="5"/>
  <c r="BC367" i="5"/>
  <c r="BC368" i="5"/>
  <c r="BC369" i="5"/>
  <c r="BC370" i="5"/>
  <c r="BC371" i="5"/>
  <c r="BC372" i="5"/>
  <c r="BC373" i="5"/>
  <c r="BC374" i="5"/>
  <c r="BC375" i="5"/>
  <c r="BC376" i="5"/>
  <c r="BC377" i="5"/>
  <c r="BC378" i="5"/>
  <c r="BC379" i="5"/>
  <c r="BC380" i="5"/>
  <c r="BC381" i="5"/>
  <c r="BC382" i="5"/>
  <c r="BC383" i="5"/>
  <c r="BC384" i="5"/>
  <c r="BC387" i="5"/>
  <c r="BC388" i="5"/>
  <c r="BC389" i="5"/>
  <c r="BC390" i="5"/>
  <c r="BC392" i="5"/>
  <c r="BC393" i="5"/>
  <c r="BC394" i="5"/>
  <c r="BC395" i="5"/>
  <c r="BC396" i="5"/>
  <c r="BC397" i="5"/>
  <c r="BC398" i="5"/>
  <c r="BC399" i="5"/>
  <c r="BC400" i="5"/>
  <c r="BC401" i="5"/>
  <c r="BC402" i="5"/>
  <c r="BC403" i="5"/>
  <c r="BC404" i="5"/>
  <c r="BC405" i="5"/>
  <c r="BC406" i="5"/>
  <c r="BC407" i="5"/>
  <c r="BC408" i="5"/>
  <c r="BC409" i="5"/>
  <c r="BC410" i="5"/>
  <c r="BC411" i="5"/>
  <c r="BC412" i="5"/>
  <c r="BC413" i="5"/>
  <c r="BC414" i="5"/>
  <c r="BC415" i="5"/>
  <c r="BC416" i="5"/>
  <c r="BB391" i="5"/>
  <c r="BB38" i="5"/>
  <c r="BB39" i="5"/>
  <c r="BB40" i="5"/>
  <c r="BB41" i="5"/>
  <c r="BB42" i="5"/>
  <c r="BB43" i="5"/>
  <c r="BB44" i="5"/>
  <c r="BB45" i="5"/>
  <c r="BB46" i="5"/>
  <c r="BB47" i="5"/>
  <c r="BB48" i="5"/>
  <c r="BB49" i="5"/>
  <c r="BB50" i="5"/>
  <c r="BB51" i="5"/>
  <c r="BB52" i="5"/>
  <c r="BB53" i="5"/>
  <c r="BB264" i="5"/>
  <c r="BB54" i="5"/>
  <c r="BB265" i="5"/>
  <c r="BB266" i="5"/>
  <c r="BB55" i="5"/>
  <c r="BB56" i="5"/>
  <c r="BB57" i="5"/>
  <c r="BB58" i="5"/>
  <c r="BB59" i="5"/>
  <c r="BB60" i="5"/>
  <c r="BB61" i="5"/>
  <c r="BB62" i="5"/>
  <c r="BB63" i="5"/>
  <c r="BB64" i="5"/>
  <c r="BB65" i="5"/>
  <c r="BB66" i="5"/>
  <c r="BB67" i="5"/>
  <c r="BB68" i="5"/>
  <c r="BB69" i="5"/>
  <c r="BB70" i="5"/>
  <c r="BB71" i="5"/>
  <c r="BB72" i="5"/>
  <c r="BB9" i="5"/>
  <c r="BB73" i="5"/>
  <c r="BB74" i="5"/>
  <c r="BB75" i="5"/>
  <c r="BB76" i="5"/>
  <c r="BB77" i="5"/>
  <c r="BB78" i="5"/>
  <c r="BB79" i="5"/>
  <c r="BB80" i="5"/>
  <c r="BB81" i="5"/>
  <c r="BB267" i="5"/>
  <c r="BB82" i="5"/>
  <c r="BB83" i="5"/>
  <c r="BB84" i="5"/>
  <c r="BB85" i="5"/>
  <c r="BB259" i="5"/>
  <c r="BB260" i="5"/>
  <c r="BB86" i="5"/>
  <c r="BB261" i="5"/>
  <c r="BB253" i="5"/>
  <c r="BB87" i="5"/>
  <c r="BB88" i="5"/>
  <c r="BB89" i="5"/>
  <c r="BB90" i="5"/>
  <c r="BB91" i="5"/>
  <c r="BB92" i="5"/>
  <c r="BB10" i="5"/>
  <c r="BB11" i="5"/>
  <c r="BB93" i="5"/>
  <c r="BB94" i="5"/>
  <c r="BB95" i="5"/>
  <c r="BB262" i="5"/>
  <c r="BB96" i="5"/>
  <c r="BB254" i="5"/>
  <c r="BB263" i="5"/>
  <c r="BB97" i="5"/>
  <c r="BB98" i="5"/>
  <c r="BB99" i="5"/>
  <c r="BB100" i="5"/>
  <c r="BB101" i="5"/>
  <c r="BB102" i="5"/>
  <c r="BB103" i="5"/>
  <c r="BB104" i="5"/>
  <c r="BB105" i="5"/>
  <c r="BB106" i="5"/>
  <c r="BB107" i="5"/>
  <c r="BB108" i="5"/>
  <c r="BB109" i="5"/>
  <c r="BB110" i="5"/>
  <c r="BB111" i="5"/>
  <c r="BB112" i="5"/>
  <c r="BB113" i="5"/>
  <c r="BB114" i="5"/>
  <c r="BB2" i="5"/>
  <c r="BB115" i="5"/>
  <c r="BB116" i="5"/>
  <c r="BB268" i="5"/>
  <c r="BB269" i="5"/>
  <c r="BB12" i="5"/>
  <c r="BB117" i="5"/>
  <c r="BB13" i="5"/>
  <c r="BB270" i="5"/>
  <c r="BB118" i="5"/>
  <c r="BB271" i="5"/>
  <c r="BB272" i="5"/>
  <c r="BB14" i="5"/>
  <c r="BB119" i="5"/>
  <c r="BB120" i="5"/>
  <c r="BB273" i="5"/>
  <c r="BB121" i="5"/>
  <c r="BB122" i="5"/>
  <c r="BB123" i="5"/>
  <c r="BB124" i="5"/>
  <c r="BB15" i="5"/>
  <c r="BB274" i="5"/>
  <c r="BB125" i="5"/>
  <c r="BB126" i="5"/>
  <c r="BB275" i="5"/>
  <c r="BB127" i="5"/>
  <c r="BB128" i="5"/>
  <c r="BB129" i="5"/>
  <c r="BB130" i="5"/>
  <c r="BB131" i="5"/>
  <c r="BB132" i="5"/>
  <c r="BB3" i="5"/>
  <c r="BB133" i="5"/>
  <c r="BB134" i="5"/>
  <c r="BB4" i="5"/>
  <c r="BB135" i="5"/>
  <c r="BB136" i="5"/>
  <c r="BB255" i="5"/>
  <c r="BB137" i="5"/>
  <c r="BB138" i="5"/>
  <c r="BB139" i="5"/>
  <c r="BB140" i="5"/>
  <c r="BB141" i="5"/>
  <c r="BB142" i="5"/>
  <c r="BB143" i="5"/>
  <c r="BB144" i="5"/>
  <c r="BB145" i="5"/>
  <c r="BB146" i="5"/>
  <c r="BB276" i="5"/>
  <c r="BB147" i="5"/>
  <c r="BB148" i="5"/>
  <c r="BB149" i="5"/>
  <c r="BB150" i="5"/>
  <c r="BB277" i="5"/>
  <c r="BB278" i="5"/>
  <c r="BB279" i="5"/>
  <c r="BB151" i="5"/>
  <c r="BB152" i="5"/>
  <c r="BB280" i="5"/>
  <c r="BB153" i="5"/>
  <c r="BB154" i="5"/>
  <c r="BB155" i="5"/>
  <c r="BB156" i="5"/>
  <c r="BB157" i="5"/>
  <c r="BB158" i="5"/>
  <c r="BB159" i="5"/>
  <c r="BB160" i="5"/>
  <c r="BB161" i="5"/>
  <c r="BB162" i="5"/>
  <c r="BB256" i="5"/>
  <c r="BB257" i="5"/>
  <c r="BB163" i="5"/>
  <c r="BB164" i="5"/>
  <c r="BB165" i="5"/>
  <c r="BB166" i="5"/>
  <c r="BB16" i="5"/>
  <c r="BB17" i="5"/>
  <c r="BB18" i="5"/>
  <c r="BB167" i="5"/>
  <c r="BB168" i="5"/>
  <c r="BB169" i="5"/>
  <c r="BB170" i="5"/>
  <c r="BB171" i="5"/>
  <c r="BB172" i="5"/>
  <c r="BB173" i="5"/>
  <c r="BB174" i="5"/>
  <c r="BB175" i="5"/>
  <c r="BB176" i="5"/>
  <c r="BB177" i="5"/>
  <c r="BB178" i="5"/>
  <c r="BB179" i="5"/>
  <c r="BB180" i="5"/>
  <c r="BB181" i="5"/>
  <c r="BB182" i="5"/>
  <c r="BB183" i="5"/>
  <c r="BB184" i="5"/>
  <c r="BB185" i="5"/>
  <c r="BB186" i="5"/>
  <c r="BB187" i="5"/>
  <c r="BB188" i="5"/>
  <c r="BB189" i="5"/>
  <c r="BB190" i="5"/>
  <c r="BB191" i="5"/>
  <c r="BB192" i="5"/>
  <c r="BB281" i="5"/>
  <c r="BB282" i="5"/>
  <c r="BB283" i="5"/>
  <c r="BB193" i="5"/>
  <c r="BB194" i="5"/>
  <c r="BB195" i="5"/>
  <c r="BB284" i="5"/>
  <c r="BB285" i="5"/>
  <c r="BB286" i="5"/>
  <c r="BB287" i="5"/>
  <c r="BB5" i="5"/>
  <c r="BB288" i="5"/>
  <c r="BB289" i="5"/>
  <c r="BB290" i="5"/>
  <c r="BB291" i="5"/>
  <c r="BB196" i="5"/>
  <c r="BB197" i="5"/>
  <c r="BB198" i="5"/>
  <c r="BB199" i="5"/>
  <c r="BB293" i="5"/>
  <c r="BB200" i="5"/>
  <c r="BB21" i="5"/>
  <c r="BB201" i="5"/>
  <c r="BB202" i="5"/>
  <c r="BB203" i="5"/>
  <c r="BB204" i="5"/>
  <c r="BB205" i="5"/>
  <c r="BB206" i="5"/>
  <c r="BB22" i="5"/>
  <c r="BB23" i="5"/>
  <c r="BB24" i="5"/>
  <c r="BB207" i="5"/>
  <c r="BB25" i="5"/>
  <c r="BB26" i="5"/>
  <c r="BB6" i="5"/>
  <c r="BB7" i="5"/>
  <c r="BB208" i="5"/>
  <c r="BB209" i="5"/>
  <c r="BB294" i="5"/>
  <c r="BB210" i="5"/>
  <c r="BB211" i="5"/>
  <c r="BB212" i="5"/>
  <c r="BB258" i="5"/>
  <c r="BB213" i="5"/>
  <c r="BB27" i="5"/>
  <c r="BB214" i="5"/>
  <c r="BB215" i="5"/>
  <c r="BB216" i="5"/>
  <c r="BB217" i="5"/>
  <c r="BB218" i="5"/>
  <c r="BB28" i="5"/>
  <c r="BB219" i="5"/>
  <c r="BB220" i="5"/>
  <c r="BB221" i="5"/>
  <c r="BB222" i="5"/>
  <c r="BB223" i="5"/>
  <c r="BB224" i="5"/>
  <c r="BB225" i="5"/>
  <c r="BB226" i="5"/>
  <c r="BB227" i="5"/>
  <c r="BB228" i="5"/>
  <c r="BB295" i="5"/>
  <c r="BB296" i="5"/>
  <c r="BB8" i="5"/>
  <c r="BB229" i="5"/>
  <c r="BB230" i="5"/>
  <c r="BB231" i="5"/>
  <c r="BB297" i="5"/>
  <c r="BB232" i="5"/>
  <c r="BB29" i="5"/>
  <c r="BB30" i="5"/>
  <c r="BB31" i="5"/>
  <c r="BB32" i="5"/>
  <c r="BB33" i="5"/>
  <c r="BB233" i="5"/>
  <c r="BB34" i="5"/>
  <c r="BB234" i="5"/>
  <c r="BB235" i="5"/>
  <c r="BB236" i="5"/>
  <c r="BB237" i="5"/>
  <c r="BB238" i="5"/>
  <c r="BB239" i="5"/>
  <c r="BB241" i="5"/>
  <c r="BB242" i="5"/>
  <c r="BB243" i="5"/>
  <c r="BB244" i="5"/>
  <c r="BB245" i="5"/>
  <c r="BB246" i="5"/>
  <c r="BB247" i="5"/>
  <c r="BB248" i="5"/>
  <c r="BB249" i="5"/>
  <c r="BB250" i="5"/>
  <c r="BB35" i="5"/>
  <c r="BB298" i="5"/>
  <c r="BB36" i="5"/>
  <c r="BB37" i="5"/>
  <c r="BB251" i="5"/>
  <c r="BB252" i="5"/>
  <c r="BB303" i="5"/>
  <c r="BB304" i="5"/>
  <c r="BB305" i="5"/>
  <c r="BB306" i="5"/>
  <c r="BB308" i="5"/>
  <c r="BB309" i="5"/>
  <c r="BB310" i="5"/>
  <c r="BB311" i="5"/>
  <c r="BB312" i="5"/>
  <c r="BB313" i="5"/>
  <c r="BB314" i="5"/>
  <c r="BB315" i="5"/>
  <c r="BB316" i="5"/>
  <c r="BB317" i="5"/>
  <c r="BB318" i="5"/>
  <c r="BB319" i="5"/>
  <c r="BB320" i="5"/>
  <c r="BB321" i="5"/>
  <c r="BB322" i="5"/>
  <c r="BB323" i="5"/>
  <c r="BB324" i="5"/>
  <c r="BB325" i="5"/>
  <c r="BB326" i="5"/>
  <c r="BB327" i="5"/>
  <c r="BB328" i="5"/>
  <c r="BB329" i="5"/>
  <c r="BB330" i="5"/>
  <c r="BB331" i="5"/>
  <c r="BB332" i="5"/>
  <c r="BB333" i="5"/>
  <c r="BB334" i="5"/>
  <c r="BB335" i="5"/>
  <c r="BB336" i="5"/>
  <c r="BB337" i="5"/>
  <c r="BB338" i="5"/>
  <c r="BB339" i="5"/>
  <c r="BB341" i="5"/>
  <c r="BB342" i="5"/>
  <c r="BB343" i="5"/>
  <c r="BB344" i="5"/>
  <c r="BB345" i="5"/>
  <c r="BB346" i="5"/>
  <c r="BB347" i="5"/>
  <c r="BB348" i="5"/>
  <c r="BB349" i="5"/>
  <c r="BB350" i="5"/>
  <c r="BB340" i="5"/>
  <c r="BB351" i="5"/>
  <c r="BB352" i="5"/>
  <c r="BB353" i="5"/>
  <c r="BB354" i="5"/>
  <c r="BB355" i="5"/>
  <c r="BB356" i="5"/>
  <c r="BB357" i="5"/>
  <c r="BB358" i="5"/>
  <c r="BB359" i="5"/>
  <c r="BB360" i="5"/>
  <c r="BB361" i="5"/>
  <c r="BB362" i="5"/>
  <c r="BB363" i="5"/>
  <c r="BB364" i="5"/>
  <c r="BB365" i="5"/>
  <c r="BB366" i="5"/>
  <c r="BB367" i="5"/>
  <c r="BB368" i="5"/>
  <c r="BB369" i="5"/>
  <c r="BB370" i="5"/>
  <c r="BB371" i="5"/>
  <c r="BB372" i="5"/>
  <c r="BB373" i="5"/>
  <c r="BB374" i="5"/>
  <c r="BB375" i="5"/>
  <c r="BB376" i="5"/>
  <c r="BB377" i="5"/>
  <c r="BB378" i="5"/>
  <c r="BB379" i="5"/>
  <c r="BB380" i="5"/>
  <c r="BB381" i="5"/>
  <c r="BB382" i="5"/>
  <c r="BB383" i="5"/>
  <c r="BB384" i="5"/>
  <c r="BB387" i="5"/>
  <c r="BB388" i="5"/>
  <c r="BB389" i="5"/>
  <c r="BB390" i="5"/>
  <c r="BB392" i="5"/>
  <c r="BB393" i="5"/>
  <c r="BB394" i="5"/>
  <c r="BB395" i="5"/>
  <c r="BB396" i="5"/>
  <c r="BB397" i="5"/>
  <c r="BB398" i="5"/>
  <c r="BB399" i="5"/>
  <c r="BB400" i="5"/>
  <c r="BB401" i="5"/>
  <c r="BB402" i="5"/>
  <c r="BB403" i="5"/>
  <c r="BB404" i="5"/>
  <c r="BB405" i="5"/>
  <c r="BB406" i="5"/>
  <c r="BB407" i="5"/>
  <c r="BB408" i="5"/>
  <c r="BB409" i="5"/>
  <c r="BB410" i="5"/>
  <c r="BB411" i="5"/>
  <c r="BB412" i="5"/>
  <c r="BB413" i="5"/>
  <c r="BB414" i="5"/>
  <c r="BB415" i="5"/>
  <c r="BB416" i="5"/>
  <c r="BB292" i="5"/>
  <c r="AI304" i="4"/>
  <c r="AI317" i="4"/>
  <c r="AI318" i="4"/>
  <c r="AI311" i="4"/>
  <c r="AI312" i="4"/>
  <c r="AI313" i="4"/>
  <c r="AI314" i="4"/>
  <c r="AI315" i="4"/>
  <c r="AI307" i="4"/>
  <c r="AI316" i="4"/>
  <c r="AI305" i="4"/>
  <c r="AI306" i="4"/>
  <c r="AI349" i="4"/>
  <c r="AI333" i="4"/>
  <c r="AI331" i="4"/>
  <c r="AI332" i="4"/>
  <c r="AI350" i="4"/>
  <c r="AI348" i="4"/>
  <c r="AI344" i="4"/>
  <c r="AI336" i="4"/>
  <c r="AI340" i="4"/>
  <c r="AI341" i="4"/>
  <c r="AI347" i="4"/>
  <c r="AI351" i="4"/>
  <c r="AI346" i="4"/>
  <c r="AI321" i="4"/>
  <c r="AI323" i="4"/>
  <c r="AI324" i="4"/>
  <c r="AI325" i="4"/>
  <c r="AI319" i="4"/>
  <c r="AI343" i="4"/>
  <c r="AI338" i="4"/>
  <c r="AI342" i="4"/>
  <c r="AI326" i="4"/>
  <c r="AI327" i="4"/>
  <c r="AI328" i="4"/>
  <c r="AI329" i="4"/>
  <c r="AI330" i="4"/>
  <c r="AI345" i="4"/>
  <c r="AI322" i="4"/>
  <c r="AI334" i="4"/>
  <c r="AI335" i="4"/>
  <c r="AI337" i="4"/>
  <c r="AI339" i="4"/>
  <c r="AI320" i="4"/>
  <c r="AI357" i="4"/>
  <c r="AI358" i="4"/>
  <c r="AI372" i="4"/>
  <c r="AI373" i="4"/>
  <c r="AI355" i="4"/>
  <c r="AI359" i="4"/>
  <c r="AI360" i="4"/>
  <c r="AI365" i="4"/>
  <c r="AI356" i="4"/>
  <c r="AI366" i="4"/>
  <c r="AI367" i="4"/>
  <c r="AI368" i="4"/>
  <c r="AI361" i="4"/>
  <c r="AI363" i="4"/>
  <c r="AI362" i="4"/>
  <c r="AI369" i="4"/>
  <c r="AI370" i="4"/>
  <c r="AI371" i="4"/>
  <c r="AI352" i="4"/>
  <c r="AI364" i="4"/>
  <c r="AI353" i="4"/>
  <c r="AI354" i="4"/>
  <c r="AI374" i="4"/>
  <c r="AI375" i="4"/>
  <c r="AI376" i="4"/>
  <c r="AI377" i="4"/>
  <c r="AI378" i="4"/>
  <c r="AI379" i="4"/>
  <c r="AI380" i="4"/>
  <c r="AI381" i="4"/>
  <c r="AI383" i="4"/>
  <c r="AI382" i="4"/>
  <c r="AI385" i="4"/>
  <c r="AI390" i="4"/>
  <c r="AI389" i="4"/>
  <c r="AI388" i="4"/>
  <c r="AI387" i="4"/>
  <c r="AI391" i="4"/>
  <c r="AI407" i="4"/>
  <c r="AI404" i="4"/>
  <c r="AI393" i="4"/>
  <c r="AI403" i="4"/>
  <c r="AI394" i="4"/>
  <c r="AI395" i="4"/>
  <c r="AI396" i="4"/>
  <c r="AI397" i="4"/>
  <c r="AI416" i="4"/>
  <c r="AI408" i="4"/>
  <c r="AI412" i="4"/>
  <c r="AI409" i="4"/>
  <c r="AI410" i="4"/>
  <c r="AI398" i="4"/>
  <c r="AI400" i="4"/>
  <c r="AI401" i="4"/>
  <c r="AI415" i="4"/>
  <c r="AI405" i="4"/>
  <c r="AI411" i="4"/>
  <c r="AI402" i="4"/>
  <c r="AI392" i="4"/>
  <c r="AI413" i="4"/>
  <c r="AI414" i="4"/>
  <c r="AI406" i="4"/>
  <c r="AI399" i="4"/>
  <c r="BF79" i="5"/>
  <c r="E14" i="3"/>
  <c r="E40" i="3"/>
  <c r="E41" i="3"/>
  <c r="E42" i="3"/>
  <c r="AM264" i="5"/>
  <c r="D40" i="8"/>
  <c r="D41" i="8"/>
  <c r="D2" i="8"/>
  <c r="D42" i="8"/>
  <c r="D43" i="8"/>
  <c r="D44" i="8"/>
  <c r="D45" i="8"/>
  <c r="D46" i="8"/>
  <c r="D47" i="8"/>
  <c r="D3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4" i="8"/>
  <c r="D61" i="8"/>
  <c r="D62" i="8"/>
  <c r="D5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6" i="8"/>
  <c r="D7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8" i="8"/>
  <c r="D142" i="8"/>
  <c r="D143" i="8"/>
  <c r="D144" i="8"/>
  <c r="D145" i="8"/>
  <c r="D146" i="8"/>
  <c r="D147" i="8"/>
  <c r="D148" i="8"/>
  <c r="D149" i="8"/>
  <c r="D150" i="8"/>
  <c r="D9" i="8"/>
  <c r="D10" i="8"/>
  <c r="D11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2" i="8"/>
  <c r="D173" i="8"/>
  <c r="D174" i="8"/>
  <c r="D175" i="8"/>
  <c r="D176" i="8"/>
  <c r="D177" i="8"/>
  <c r="D178" i="8"/>
  <c r="D179" i="8"/>
  <c r="D180" i="8"/>
  <c r="D181" i="8"/>
  <c r="D182" i="8"/>
  <c r="D13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4" i="8"/>
  <c r="D195" i="8"/>
  <c r="D196" i="8"/>
  <c r="D197" i="8"/>
  <c r="D198" i="8"/>
  <c r="D199" i="8"/>
  <c r="D200" i="8"/>
  <c r="D201" i="8"/>
  <c r="D15" i="8"/>
  <c r="D202" i="8"/>
  <c r="D203" i="8"/>
  <c r="D16" i="8"/>
  <c r="D204" i="8"/>
  <c r="D205" i="8"/>
  <c r="D206" i="8"/>
  <c r="D207" i="8"/>
  <c r="D208" i="8"/>
  <c r="D209" i="8"/>
  <c r="D17" i="8"/>
  <c r="D210" i="8"/>
  <c r="D211" i="8"/>
  <c r="D212" i="8"/>
  <c r="D213" i="8"/>
  <c r="D214" i="8"/>
  <c r="D215" i="8"/>
  <c r="D216" i="8"/>
  <c r="D217" i="8"/>
  <c r="D218" i="8"/>
  <c r="D18" i="8"/>
  <c r="D219" i="8"/>
  <c r="D220" i="8"/>
  <c r="D19" i="8"/>
  <c r="D20" i="8"/>
  <c r="D21" i="8"/>
  <c r="D221" i="8"/>
  <c r="D222" i="8"/>
  <c r="D223" i="8"/>
  <c r="D224" i="8"/>
  <c r="D225" i="8"/>
  <c r="D226" i="8"/>
  <c r="D227" i="8"/>
  <c r="D228" i="8"/>
  <c r="D22" i="8"/>
  <c r="D23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" i="8"/>
  <c r="D259" i="8"/>
  <c r="D260" i="8"/>
  <c r="D261" i="8"/>
  <c r="D262" i="8"/>
  <c r="D263" i="8"/>
  <c r="D26" i="8"/>
  <c r="D264" i="8"/>
  <c r="D265" i="8"/>
  <c r="D266" i="8"/>
  <c r="D267" i="8"/>
  <c r="D268" i="8"/>
  <c r="D269" i="8"/>
  <c r="D270" i="8"/>
  <c r="D271" i="8"/>
  <c r="D272" i="8"/>
  <c r="D273" i="8"/>
  <c r="D27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9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0" i="8"/>
  <c r="D327" i="8"/>
  <c r="D328" i="8"/>
  <c r="D329" i="8"/>
  <c r="D330" i="8"/>
  <c r="D331" i="8"/>
  <c r="D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8" i="8"/>
  <c r="D349" i="8"/>
  <c r="D350" i="8"/>
  <c r="D32" i="8"/>
  <c r="D351" i="8"/>
  <c r="D352" i="8"/>
  <c r="D353" i="8"/>
  <c r="D354" i="8"/>
  <c r="D355" i="8"/>
  <c r="D356" i="8"/>
  <c r="D357" i="8"/>
  <c r="D358" i="8"/>
  <c r="D359" i="8"/>
  <c r="D360" i="8"/>
  <c r="D33" i="8"/>
  <c r="D361" i="8"/>
  <c r="D362" i="8"/>
  <c r="D363" i="8"/>
  <c r="D364" i="8"/>
  <c r="D365" i="8"/>
  <c r="D366" i="8"/>
  <c r="D367" i="8"/>
  <c r="D34" i="8"/>
  <c r="D368" i="8"/>
  <c r="D369" i="8"/>
  <c r="D370" i="8"/>
  <c r="D35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6" i="8"/>
  <c r="D386" i="8"/>
  <c r="D387" i="8"/>
  <c r="D388" i="8"/>
  <c r="D389" i="8"/>
  <c r="D390" i="8"/>
  <c r="D391" i="8"/>
  <c r="D392" i="8"/>
  <c r="D393" i="8"/>
  <c r="D37" i="8"/>
  <c r="D394" i="8"/>
  <c r="D395" i="8"/>
  <c r="D396" i="8"/>
  <c r="D397" i="8"/>
  <c r="D398" i="8"/>
  <c r="D38" i="8"/>
  <c r="D399" i="8"/>
  <c r="D400" i="8"/>
  <c r="D401" i="8"/>
  <c r="D402" i="8"/>
  <c r="D403" i="8"/>
  <c r="D404" i="8"/>
  <c r="D405" i="8"/>
  <c r="D406" i="8"/>
  <c r="D39" i="8"/>
  <c r="AW166" i="5"/>
  <c r="AR173" i="5"/>
  <c r="AS173" i="5"/>
  <c r="AU184" i="5"/>
  <c r="AU186" i="5"/>
  <c r="AU187" i="5"/>
  <c r="AR139" i="5"/>
  <c r="AU139" i="5"/>
  <c r="AR171" i="5"/>
  <c r="AU171" i="5"/>
  <c r="AW171" i="5"/>
  <c r="AU77" i="5"/>
  <c r="AU79" i="5"/>
  <c r="AR117" i="5"/>
  <c r="AU117" i="5"/>
  <c r="AR241" i="5"/>
  <c r="AW264" i="5"/>
  <c r="AP227" i="5"/>
  <c r="AW227" i="5"/>
  <c r="AU183" i="5"/>
  <c r="AR52" i="5"/>
  <c r="AU52" i="5"/>
  <c r="AR119" i="5"/>
  <c r="AW119" i="5"/>
  <c r="AU174" i="5"/>
  <c r="AU181" i="5"/>
  <c r="AW219" i="5"/>
  <c r="AR53" i="5"/>
  <c r="AU53" i="5"/>
  <c r="AU78" i="5"/>
  <c r="AU89" i="5"/>
  <c r="AR12" i="5"/>
  <c r="AS12" i="5"/>
  <c r="AW273" i="5"/>
  <c r="AU125" i="5"/>
  <c r="AU128" i="5"/>
  <c r="AU140" i="5"/>
  <c r="AU182" i="5"/>
  <c r="AW29" i="5"/>
  <c r="AW30" i="5"/>
  <c r="AR32" i="5"/>
  <c r="AR50" i="5"/>
  <c r="AU50" i="5"/>
  <c r="AU253" i="5"/>
  <c r="AR270" i="5"/>
  <c r="AU270" i="5"/>
  <c r="AU180" i="5"/>
  <c r="AR61" i="5"/>
  <c r="AS61" i="5"/>
  <c r="AR238" i="5"/>
  <c r="AU238" i="5"/>
  <c r="AR35" i="5"/>
  <c r="AR51" i="5"/>
  <c r="AR81" i="5"/>
  <c r="AR267" i="5"/>
  <c r="AR83" i="5"/>
  <c r="AR84" i="5"/>
  <c r="AR259" i="5"/>
  <c r="AU259" i="5"/>
  <c r="AR260" i="5"/>
  <c r="AU260" i="5"/>
  <c r="AR86" i="5"/>
  <c r="AU86" i="5"/>
  <c r="AR261" i="5"/>
  <c r="AU92" i="5"/>
  <c r="AR10" i="5"/>
  <c r="AR11" i="5"/>
  <c r="AU11" i="5"/>
  <c r="AR93" i="5"/>
  <c r="AU93" i="5"/>
  <c r="AR94" i="5"/>
  <c r="AR262" i="5"/>
  <c r="AU262" i="5"/>
  <c r="AU106" i="5"/>
  <c r="AW131" i="5"/>
  <c r="AU162" i="5"/>
  <c r="AW162" i="5"/>
  <c r="AR168" i="5"/>
  <c r="AU168" i="5"/>
  <c r="AU178" i="5"/>
  <c r="AW192" i="5"/>
  <c r="AR284" i="5"/>
  <c r="AR285" i="5"/>
  <c r="AP199" i="5"/>
  <c r="AQ199" i="5"/>
  <c r="AR201" i="5"/>
  <c r="AR203" i="5"/>
  <c r="AR204" i="5"/>
  <c r="AU204" i="5"/>
  <c r="AR206" i="5"/>
  <c r="AR234" i="5"/>
  <c r="AU234" i="5"/>
  <c r="AR235" i="5"/>
  <c r="AU235" i="5"/>
  <c r="AR237" i="5"/>
  <c r="AU237" i="5"/>
  <c r="AW243" i="5"/>
  <c r="AU245" i="5"/>
  <c r="AW245" i="5"/>
  <c r="AR252" i="5"/>
  <c r="AU252" i="5"/>
  <c r="AW252" i="5"/>
  <c r="AR82" i="5"/>
  <c r="AR85" i="5"/>
  <c r="AR95" i="5"/>
  <c r="AU95" i="5"/>
  <c r="AU101" i="5"/>
  <c r="AU143" i="5"/>
  <c r="AS216" i="5"/>
  <c r="AR33" i="5"/>
  <c r="AR233" i="5"/>
  <c r="AU233" i="5"/>
  <c r="AR114" i="5"/>
  <c r="AR15" i="5"/>
  <c r="AR132" i="5"/>
  <c r="AU132" i="5"/>
  <c r="AU133" i="5"/>
  <c r="AU148" i="5"/>
  <c r="AR152" i="5"/>
  <c r="AR167" i="5"/>
  <c r="AU167" i="5"/>
  <c r="AP169" i="5"/>
  <c r="AR169" i="5"/>
  <c r="AR189" i="5"/>
  <c r="AW191" i="5"/>
  <c r="AR21" i="5"/>
  <c r="AR27" i="5"/>
  <c r="AR239" i="5"/>
  <c r="AR99" i="5"/>
  <c r="AP142" i="5"/>
  <c r="AU142" i="5"/>
  <c r="AW142" i="5"/>
  <c r="AR172" i="5"/>
  <c r="AU172" i="5"/>
  <c r="AW172" i="5"/>
  <c r="AR195" i="5"/>
  <c r="AR236" i="5"/>
  <c r="AU236" i="5"/>
  <c r="AR16" i="5"/>
  <c r="AU76" i="5"/>
  <c r="AR127" i="5"/>
  <c r="AW127" i="5"/>
  <c r="AR137" i="5"/>
  <c r="AU137" i="5"/>
  <c r="AU157" i="5"/>
  <c r="AU193" i="5"/>
  <c r="AR176" i="5"/>
  <c r="AS176" i="5"/>
  <c r="AW244" i="5"/>
  <c r="AR91" i="5"/>
  <c r="AS91" i="5"/>
  <c r="AR129" i="5"/>
  <c r="AU129" i="5"/>
  <c r="AR149" i="5"/>
  <c r="AU149" i="5"/>
  <c r="AR188" i="5"/>
  <c r="AS188" i="5"/>
  <c r="AR2" i="5"/>
  <c r="AU2" i="5"/>
  <c r="AW124" i="5"/>
  <c r="AR175" i="5"/>
  <c r="AS175" i="5"/>
  <c r="AR31" i="5"/>
  <c r="AU246" i="5"/>
  <c r="AW246" i="5"/>
  <c r="AU247" i="5"/>
  <c r="AW247" i="5"/>
  <c r="AU248" i="5"/>
  <c r="AW248" i="5"/>
  <c r="AU116" i="5"/>
  <c r="AW116" i="5"/>
  <c r="AW154" i="5"/>
  <c r="AU242" i="5"/>
  <c r="AW242" i="5"/>
  <c r="AR200" i="5"/>
  <c r="AR275" i="5"/>
  <c r="AS275" i="5"/>
  <c r="AW275" i="5"/>
  <c r="AR118" i="5"/>
  <c r="AU118" i="5"/>
  <c r="AR34" i="5"/>
  <c r="AU134" i="5"/>
  <c r="AW134" i="5"/>
  <c r="AU136" i="5"/>
  <c r="AW136" i="5"/>
  <c r="AU147" i="5"/>
  <c r="AW147" i="5"/>
  <c r="AW277" i="5"/>
  <c r="AU46" i="5"/>
  <c r="AW144" i="5"/>
  <c r="AU5" i="5"/>
  <c r="AW278" i="5"/>
  <c r="AR194" i="5"/>
  <c r="AW224" i="5"/>
  <c r="AR251" i="5"/>
  <c r="AR98" i="5"/>
  <c r="AU98" i="5"/>
  <c r="AW98" i="5"/>
  <c r="AW120" i="5"/>
  <c r="AW276" i="5"/>
  <c r="AU151" i="5"/>
  <c r="AW150" i="5"/>
  <c r="AR105" i="5"/>
  <c r="AR96" i="5"/>
  <c r="AU96" i="5"/>
  <c r="AW96" i="5"/>
  <c r="AR294" i="5"/>
  <c r="AU294" i="5"/>
  <c r="AU48" i="5"/>
  <c r="AW48" i="5"/>
  <c r="AR36" i="5"/>
  <c r="AW121" i="5"/>
  <c r="AW43" i="5"/>
  <c r="AR37" i="5"/>
  <c r="AW49" i="5"/>
  <c r="AU62" i="5"/>
  <c r="AW62" i="5"/>
  <c r="AU71" i="5"/>
  <c r="AW71" i="5"/>
  <c r="AU63" i="5"/>
  <c r="AW63" i="5"/>
  <c r="AW122" i="5"/>
  <c r="AS226" i="5"/>
  <c r="AU64" i="5"/>
  <c r="AW64" i="5"/>
  <c r="AW4" i="5"/>
  <c r="AP223" i="5"/>
  <c r="AR223" i="5"/>
  <c r="AW223" i="5"/>
  <c r="AU153" i="5"/>
  <c r="AU68" i="5"/>
  <c r="AU40" i="5"/>
  <c r="AW40" i="5"/>
  <c r="AW44" i="5"/>
  <c r="AW255" i="5"/>
  <c r="AW39" i="5"/>
  <c r="AU41" i="5"/>
  <c r="AU42" i="5"/>
  <c r="AW42" i="5"/>
  <c r="AR271" i="5"/>
  <c r="AR257" i="5"/>
  <c r="AU257" i="5"/>
  <c r="AW257" i="5"/>
  <c r="AW263" i="5"/>
  <c r="AU38" i="5"/>
  <c r="AW38" i="5"/>
  <c r="AW256" i="5"/>
  <c r="AU67" i="5"/>
  <c r="AW67" i="5"/>
  <c r="AU65" i="5"/>
  <c r="AW65" i="5"/>
  <c r="AU66" i="5"/>
  <c r="AW66" i="5"/>
  <c r="AW97" i="5"/>
  <c r="AU115" i="5"/>
  <c r="AW115" i="5"/>
  <c r="AW161" i="5"/>
  <c r="AU60" i="5"/>
  <c r="AU57" i="5"/>
  <c r="AX308" i="5"/>
  <c r="AX313" i="5"/>
  <c r="AX316" i="5"/>
  <c r="AX317" i="5"/>
  <c r="AX318" i="5"/>
  <c r="AX314" i="5"/>
  <c r="AX315" i="5"/>
  <c r="AW350" i="5"/>
  <c r="AW335" i="5"/>
  <c r="AX335" i="5"/>
  <c r="AW348" i="5"/>
  <c r="AW349" i="5"/>
  <c r="AW351" i="5"/>
  <c r="AX351" i="5"/>
  <c r="AW338" i="5"/>
  <c r="AX338" i="5"/>
  <c r="AW346" i="5"/>
  <c r="AW331" i="5"/>
  <c r="AX331" i="5"/>
  <c r="AY331" i="5"/>
  <c r="AW333" i="5"/>
  <c r="AX333" i="5"/>
  <c r="AW336" i="5"/>
  <c r="AX336" i="5"/>
  <c r="AW339" i="5"/>
  <c r="AX339" i="5"/>
  <c r="AW341" i="5"/>
  <c r="AX341" i="5"/>
  <c r="AW340" i="5"/>
  <c r="AX340" i="5"/>
  <c r="AW324" i="5"/>
  <c r="AX324" i="5"/>
  <c r="AW326" i="5"/>
  <c r="AX326" i="5"/>
  <c r="AW327" i="5"/>
  <c r="AX327" i="5"/>
  <c r="AW328" i="5"/>
  <c r="AX328" i="5"/>
  <c r="AW329" i="5"/>
  <c r="AX329" i="5"/>
  <c r="AW330" i="5"/>
  <c r="AX330" i="5"/>
  <c r="AW332" i="5"/>
  <c r="AX332" i="5"/>
  <c r="AW334" i="5"/>
  <c r="AX334" i="5"/>
  <c r="AW342" i="5"/>
  <c r="AX342" i="5"/>
  <c r="AW343" i="5"/>
  <c r="AX343" i="5"/>
  <c r="AW344" i="5"/>
  <c r="AX344" i="5"/>
  <c r="AW345" i="5"/>
  <c r="AX345" i="5"/>
  <c r="AW337" i="5"/>
  <c r="AX337" i="5"/>
  <c r="AY337" i="5"/>
  <c r="AW347" i="5"/>
  <c r="AX347" i="5"/>
  <c r="AW325" i="5"/>
  <c r="AX325" i="5"/>
  <c r="AY325" i="5"/>
  <c r="AW322" i="5"/>
  <c r="AX322" i="5"/>
  <c r="AW323" i="5"/>
  <c r="AX323" i="5"/>
  <c r="AW321" i="5"/>
  <c r="AX321" i="5"/>
  <c r="AW319" i="5"/>
  <c r="AX319" i="5"/>
  <c r="AW320" i="5"/>
  <c r="AX320" i="5"/>
  <c r="AW356" i="5"/>
  <c r="AW357" i="5"/>
  <c r="AQ388" i="5"/>
  <c r="AS388" i="5"/>
  <c r="AT388" i="5"/>
  <c r="AV388" i="5"/>
  <c r="AX388" i="5"/>
  <c r="AP389" i="5"/>
  <c r="AQ389" i="5"/>
  <c r="AR389" i="5"/>
  <c r="AT389" i="5"/>
  <c r="AU389" i="5"/>
  <c r="AW389" i="5"/>
  <c r="AX389" i="5"/>
  <c r="AZ389" i="5"/>
  <c r="AT390" i="5"/>
  <c r="AU390" i="5"/>
  <c r="AV390" i="5"/>
  <c r="AW390" i="5"/>
  <c r="AX390" i="5"/>
  <c r="AZ390" i="5"/>
  <c r="AP387" i="5"/>
  <c r="AQ387" i="5"/>
  <c r="AR387" i="5"/>
  <c r="AS387" i="5"/>
  <c r="AU387" i="5"/>
  <c r="AZ387" i="5"/>
  <c r="AR391" i="5"/>
  <c r="AT391" i="5"/>
  <c r="AU391" i="5"/>
  <c r="AV391" i="5"/>
  <c r="AW391" i="5"/>
  <c r="AX391" i="5"/>
  <c r="AZ391" i="5"/>
  <c r="AU395" i="5"/>
  <c r="AX395" i="5"/>
  <c r="AY395" i="5"/>
  <c r="AS394" i="5"/>
  <c r="AY394" i="5"/>
  <c r="AR392" i="5"/>
  <c r="AU392" i="5"/>
  <c r="AY392" i="5"/>
  <c r="AR393" i="5"/>
  <c r="AU393" i="5"/>
  <c r="AX393" i="5"/>
  <c r="AR396" i="5"/>
  <c r="AU396" i="5"/>
  <c r="AU397" i="5"/>
  <c r="AX397" i="5"/>
  <c r="AS398" i="5"/>
  <c r="AY398" i="5"/>
  <c r="AX399" i="5"/>
  <c r="AY400" i="5"/>
  <c r="AR401" i="5"/>
  <c r="AU401" i="5"/>
  <c r="AR402" i="5"/>
  <c r="AU402" i="5"/>
  <c r="AY402" i="5"/>
  <c r="AU403" i="5"/>
  <c r="AX403" i="5"/>
  <c r="AY403" i="5"/>
  <c r="AS404" i="5"/>
  <c r="AU404" i="5"/>
  <c r="AX404" i="5"/>
  <c r="AU405" i="5"/>
  <c r="AY405" i="5"/>
  <c r="AR407" i="5"/>
  <c r="AU407" i="5"/>
  <c r="AR408" i="5"/>
  <c r="AS408" i="5"/>
  <c r="AU408" i="5"/>
  <c r="AX408" i="5"/>
  <c r="AY408" i="5"/>
  <c r="AY409" i="5"/>
  <c r="AR410" i="5"/>
  <c r="AR411" i="5"/>
  <c r="AS411" i="5"/>
  <c r="AY411" i="5"/>
  <c r="AR412" i="5"/>
  <c r="AS412" i="5"/>
  <c r="AU412" i="5"/>
  <c r="AY413" i="5"/>
  <c r="AS414" i="5"/>
  <c r="AU414" i="5"/>
  <c r="AS415" i="5"/>
  <c r="AU415" i="5"/>
  <c r="AY415" i="5"/>
  <c r="AS416" i="5"/>
  <c r="AU416" i="5"/>
  <c r="AX416" i="5"/>
  <c r="AX406" i="5"/>
  <c r="AY406" i="5"/>
  <c r="AK29" i="2"/>
  <c r="AD29" i="2"/>
  <c r="AD28" i="2"/>
  <c r="AD35" i="2"/>
  <c r="AD22" i="2"/>
  <c r="AD31" i="2"/>
  <c r="AD23" i="2"/>
  <c r="AD24" i="2"/>
  <c r="AD33" i="2"/>
  <c r="AD34" i="2"/>
  <c r="AD43" i="2"/>
  <c r="AD32" i="2"/>
  <c r="AD18" i="2"/>
  <c r="AD17" i="2"/>
  <c r="AD16" i="2"/>
  <c r="AD10" i="2"/>
  <c r="AD15" i="2"/>
  <c r="AD13" i="2"/>
  <c r="AD11" i="2"/>
  <c r="AD12" i="2"/>
  <c r="AD38" i="2"/>
  <c r="AD36" i="2"/>
  <c r="AD7" i="2"/>
  <c r="AD5" i="2"/>
  <c r="AD39" i="2"/>
  <c r="AD40" i="2"/>
  <c r="AD8" i="2"/>
  <c r="AD27" i="2"/>
  <c r="AD30" i="2"/>
  <c r="AD37" i="2"/>
  <c r="AD46" i="2"/>
  <c r="AD47" i="2"/>
  <c r="AD51" i="2"/>
  <c r="AD50" i="2"/>
  <c r="AD52" i="2"/>
  <c r="AE29" i="2"/>
  <c r="AC16" i="4"/>
  <c r="AC27" i="4"/>
  <c r="AC32" i="4"/>
  <c r="AC33" i="4"/>
  <c r="AC13" i="4"/>
  <c r="AC34" i="4"/>
  <c r="AC17" i="4"/>
  <c r="AC19" i="4"/>
  <c r="AC20" i="4"/>
  <c r="AC63" i="4"/>
  <c r="AC30" i="4"/>
  <c r="AC2" i="4"/>
  <c r="AC65" i="4"/>
  <c r="AC272" i="4"/>
  <c r="AC273" i="4"/>
  <c r="AC289" i="4"/>
  <c r="AC205" i="4"/>
  <c r="AC169" i="4"/>
  <c r="AC102" i="4"/>
  <c r="AC176" i="4"/>
  <c r="AC90" i="4"/>
  <c r="AC136" i="4"/>
  <c r="AC178" i="4"/>
  <c r="AC137" i="4"/>
  <c r="AC138" i="4"/>
  <c r="AC179" i="4"/>
  <c r="AC91" i="4"/>
  <c r="AC181" i="4"/>
  <c r="AC182" i="4"/>
  <c r="AC120" i="4"/>
  <c r="AC111" i="4"/>
  <c r="AC236" i="4"/>
  <c r="AC61" i="4"/>
  <c r="AC3" i="4"/>
  <c r="AC31" i="4"/>
  <c r="AC87" i="4"/>
  <c r="AC25" i="4"/>
  <c r="AC175" i="4"/>
  <c r="AC177" i="4"/>
  <c r="AC209" i="4"/>
  <c r="AC40" i="4"/>
  <c r="AC21" i="4"/>
  <c r="AC261" i="4"/>
  <c r="AC295" i="4"/>
  <c r="AC238" i="4"/>
  <c r="AC269" i="4"/>
  <c r="AC240" i="4"/>
  <c r="AC223" i="4"/>
  <c r="AC184" i="4"/>
  <c r="AC278" i="4"/>
  <c r="AC57" i="4"/>
  <c r="AC42" i="4"/>
  <c r="AC43" i="4"/>
  <c r="AC44" i="4"/>
  <c r="AC189" i="4"/>
  <c r="AC253" i="4"/>
  <c r="AC224" i="4"/>
  <c r="AC127" i="4"/>
  <c r="AC70" i="4"/>
  <c r="AC14" i="4"/>
  <c r="AC146" i="4"/>
  <c r="AC192" i="4"/>
  <c r="AC149" i="4"/>
  <c r="AC150" i="4"/>
  <c r="AC227" i="4"/>
  <c r="AC151" i="4"/>
  <c r="AC152" i="4"/>
  <c r="AC153" i="4"/>
  <c r="AC194" i="4"/>
  <c r="AC216" i="4"/>
  <c r="AC45" i="4"/>
  <c r="AC46" i="4"/>
  <c r="AC47" i="4"/>
  <c r="AC48" i="4"/>
  <c r="AC49" i="4"/>
  <c r="AC197" i="4"/>
  <c r="AC198" i="4"/>
  <c r="AC118" i="4"/>
  <c r="AC162" i="4"/>
  <c r="AC100" i="4"/>
  <c r="AC163" i="4"/>
  <c r="AC101" i="4"/>
  <c r="AC50" i="4"/>
  <c r="AC51" i="4"/>
  <c r="AC52" i="4"/>
  <c r="AC58" i="4"/>
  <c r="AC36" i="4"/>
  <c r="AC260" i="4"/>
  <c r="AC89" i="4"/>
  <c r="AC219" i="4"/>
  <c r="AC103" i="4"/>
  <c r="AC104" i="4"/>
  <c r="AC105" i="4"/>
  <c r="AC106" i="4"/>
  <c r="AC107" i="4"/>
  <c r="AC108" i="4"/>
  <c r="AC37" i="4"/>
  <c r="AC38" i="4"/>
  <c r="AC39" i="4"/>
  <c r="AC109" i="4"/>
  <c r="AC60" i="4"/>
  <c r="AC55" i="4"/>
  <c r="AC170" i="4"/>
  <c r="AC171" i="4"/>
  <c r="AC172" i="4"/>
  <c r="AC206" i="4"/>
  <c r="AC207" i="4"/>
  <c r="AC220" i="4"/>
  <c r="AC267" i="4"/>
  <c r="AC135" i="4"/>
  <c r="AC208" i="4"/>
  <c r="AC248" i="4"/>
  <c r="AC302" i="4"/>
  <c r="AC173" i="4"/>
  <c r="AC174" i="4"/>
  <c r="AC221" i="4"/>
  <c r="AC180" i="4"/>
  <c r="AC110" i="4"/>
  <c r="AC293" i="4"/>
  <c r="AC10" i="4"/>
  <c r="AC268" i="4"/>
  <c r="AC291" i="4"/>
  <c r="AC283" i="4"/>
  <c r="AC250" i="4"/>
  <c r="AC237" i="4"/>
  <c r="AC284" i="4"/>
  <c r="AC285" i="4"/>
  <c r="AC286" i="4"/>
  <c r="AC139" i="4"/>
  <c r="AC92" i="4"/>
  <c r="AC93" i="4"/>
  <c r="AC121" i="4"/>
  <c r="AC239" i="4"/>
  <c r="AC76" i="4"/>
  <c r="AC56" i="4"/>
  <c r="AC29" i="4"/>
  <c r="AC140" i="4"/>
  <c r="AC77" i="4"/>
  <c r="AC78" i="4"/>
  <c r="AC141" i="4"/>
  <c r="AC142" i="4"/>
  <c r="AC143" i="4"/>
  <c r="AC241" i="4"/>
  <c r="AC97" i="4"/>
  <c r="AC79" i="4"/>
  <c r="AC64" i="4"/>
  <c r="AC80" i="4"/>
  <c r="AC262" i="4"/>
  <c r="AC113" i="4"/>
  <c r="AC185" i="4"/>
  <c r="AC114" i="4"/>
  <c r="AC290" i="4"/>
  <c r="AC122" i="4"/>
  <c r="AC292" i="4"/>
  <c r="AC123" i="4"/>
  <c r="AC242" i="4"/>
  <c r="AC124" i="4"/>
  <c r="AC81" i="4"/>
  <c r="AC125" i="4"/>
  <c r="AC187" i="4"/>
  <c r="AC251" i="4"/>
  <c r="AC300" i="4"/>
  <c r="AC144" i="4"/>
  <c r="AC252" i="4"/>
  <c r="AC82" i="4"/>
  <c r="AC83" i="4"/>
  <c r="AC84" i="4"/>
  <c r="AC115" i="4"/>
  <c r="AC126" i="4"/>
  <c r="AC116" i="4"/>
  <c r="AC98" i="4"/>
  <c r="AC4" i="4"/>
  <c r="AC145" i="4"/>
  <c r="AC128" i="4"/>
  <c r="AC15" i="4"/>
  <c r="AC24" i="4"/>
  <c r="AC18" i="4"/>
  <c r="AC301" i="4"/>
  <c r="AC71" i="4"/>
  <c r="AC72" i="4"/>
  <c r="AC73" i="4"/>
  <c r="AC190" i="4"/>
  <c r="AC191" i="4"/>
  <c r="AC129" i="4"/>
  <c r="AC243" i="4"/>
  <c r="AC279" i="4"/>
  <c r="AC287" i="4"/>
  <c r="AC130" i="4"/>
  <c r="AC274" i="4"/>
  <c r="AC263" i="4"/>
  <c r="AC280" i="4"/>
  <c r="AC270" i="4"/>
  <c r="AC281" i="4"/>
  <c r="AC131" i="4"/>
  <c r="AC147" i="4"/>
  <c r="AC148" i="4"/>
  <c r="AC210" i="4"/>
  <c r="AC211" i="4"/>
  <c r="AC212" i="4"/>
  <c r="AC213" i="4"/>
  <c r="AC214" i="4"/>
  <c r="AC215" i="4"/>
  <c r="AC265" i="4"/>
  <c r="AC266" i="4"/>
  <c r="AC74" i="4"/>
  <c r="AC155" i="4"/>
  <c r="AC132" i="4"/>
  <c r="AC193" i="4"/>
  <c r="AC156" i="4"/>
  <c r="AC157" i="4"/>
  <c r="AC158" i="4"/>
  <c r="AC256" i="4"/>
  <c r="AC288" i="4"/>
  <c r="AC159" i="4"/>
  <c r="AC160" i="4"/>
  <c r="AC161" i="4"/>
  <c r="AC228" i="4"/>
  <c r="AC229" i="4"/>
  <c r="AC244" i="4"/>
  <c r="AC230" i="4"/>
  <c r="AC282" i="4"/>
  <c r="AC133" i="4"/>
  <c r="AC245" i="4"/>
  <c r="AC246" i="4"/>
  <c r="AC247" i="4"/>
  <c r="AC259" i="4"/>
  <c r="AC117" i="4"/>
  <c r="AC218" i="4"/>
  <c r="AC199" i="4"/>
  <c r="AC200" i="4"/>
  <c r="AC165" i="4"/>
  <c r="AC166" i="4"/>
  <c r="AC167" i="4"/>
  <c r="AC168" i="4"/>
  <c r="AC201" i="4"/>
  <c r="AC202" i="4"/>
  <c r="AC203" i="4"/>
  <c r="AC204" i="4"/>
  <c r="AC53" i="4"/>
  <c r="AC88" i="4"/>
  <c r="AC59" i="4"/>
  <c r="AC54" i="4"/>
  <c r="AC26" i="4"/>
  <c r="AC12" i="4"/>
  <c r="AC22" i="4"/>
  <c r="AC23" i="4"/>
  <c r="AC298" i="4"/>
  <c r="AC41" i="4"/>
  <c r="AC299" i="4"/>
  <c r="AC35" i="4"/>
  <c r="AC254" i="4"/>
  <c r="AC255" i="4"/>
  <c r="AC154" i="4"/>
  <c r="AC196" i="4"/>
  <c r="AC297" i="4"/>
  <c r="AC95" i="4"/>
  <c r="AC294" i="4"/>
  <c r="AC186" i="4"/>
  <c r="AC225" i="4"/>
  <c r="AC226" i="4"/>
  <c r="AC264" i="4"/>
  <c r="AC257" i="4"/>
  <c r="AC258" i="4"/>
  <c r="AC94" i="4"/>
  <c r="AC112" i="4"/>
  <c r="AC66" i="4"/>
  <c r="AC96" i="4"/>
  <c r="AC11" i="4"/>
  <c r="AC188" i="4"/>
  <c r="AC85" i="4"/>
  <c r="AC271" i="4"/>
  <c r="AC217" i="4"/>
  <c r="AC119" i="4"/>
  <c r="AC249" i="4"/>
  <c r="AC7" i="4"/>
  <c r="AC195" i="4"/>
  <c r="AC5" i="4"/>
  <c r="AC6" i="4"/>
  <c r="AC8" i="4"/>
  <c r="AC9" i="4"/>
  <c r="AC231" i="4"/>
  <c r="AC62" i="4"/>
  <c r="AC67" i="4"/>
  <c r="AC68" i="4"/>
  <c r="AC99" i="4"/>
  <c r="AC69" i="4"/>
  <c r="AC233" i="4"/>
  <c r="AC234" i="4"/>
  <c r="AC75" i="4"/>
  <c r="AC222" i="4"/>
  <c r="AC296" i="4"/>
  <c r="AC183" i="4"/>
  <c r="AC318" i="4"/>
  <c r="AC317" i="4"/>
  <c r="AC303" i="4"/>
  <c r="AC304" i="4"/>
  <c r="AC309" i="4"/>
  <c r="AC314" i="4"/>
  <c r="AC315" i="4"/>
  <c r="AC307" i="4"/>
  <c r="AC316" i="4"/>
  <c r="AC310" i="4"/>
  <c r="AC311" i="4"/>
  <c r="AC312" i="4"/>
  <c r="AC313" i="4"/>
  <c r="AC306" i="4"/>
  <c r="AC305" i="4"/>
  <c r="AC334" i="4"/>
  <c r="AC335" i="4"/>
  <c r="AC321" i="4"/>
  <c r="AC322" i="4"/>
  <c r="AC323" i="4"/>
  <c r="AC324" i="4"/>
  <c r="AC325" i="4"/>
  <c r="AC319" i="4"/>
  <c r="AC326" i="4"/>
  <c r="AC327" i="4"/>
  <c r="AC328" i="4"/>
  <c r="AC329" i="4"/>
  <c r="AC336" i="4"/>
  <c r="AC331" i="4"/>
  <c r="AC332" i="4"/>
  <c r="AC333" i="4"/>
  <c r="AC339" i="4"/>
  <c r="AC320" i="4"/>
  <c r="AC337" i="4"/>
  <c r="AC349" i="4"/>
  <c r="AC347" i="4"/>
  <c r="AC345" i="4"/>
  <c r="AC344" i="4"/>
  <c r="AC330" i="4"/>
  <c r="AC346" i="4"/>
  <c r="AC348" i="4"/>
  <c r="AC350" i="4"/>
  <c r="AC338" i="4"/>
  <c r="AC343" i="4"/>
  <c r="AC340" i="4"/>
  <c r="AC341" i="4"/>
  <c r="AC342" i="4"/>
  <c r="AC351" i="4"/>
  <c r="AC358" i="4"/>
  <c r="AC372" i="4"/>
  <c r="AC373" i="4"/>
  <c r="AC352" i="4"/>
  <c r="AC364" i="4"/>
  <c r="AC353" i="4"/>
  <c r="AC357" i="4"/>
  <c r="AC355" i="4"/>
  <c r="AC359" i="4"/>
  <c r="AC360" i="4"/>
  <c r="AC365" i="4"/>
  <c r="AC356" i="4"/>
  <c r="AC366" i="4"/>
  <c r="AC367" i="4"/>
  <c r="AC368" i="4"/>
  <c r="AC354" i="4"/>
  <c r="AC361" i="4"/>
  <c r="AC363" i="4"/>
  <c r="AC362" i="4"/>
  <c r="AC371" i="4"/>
  <c r="AC369" i="4"/>
  <c r="AC370" i="4"/>
  <c r="AC379" i="4"/>
  <c r="AC375" i="4"/>
  <c r="AC383" i="4"/>
  <c r="AC374" i="4"/>
  <c r="AC376" i="4"/>
  <c r="AC378" i="4"/>
  <c r="AC381" i="4"/>
  <c r="AC385" i="4"/>
  <c r="AC377" i="4"/>
  <c r="AC380" i="4"/>
  <c r="AC382" i="4"/>
  <c r="AC387" i="4"/>
  <c r="AC388" i="4"/>
  <c r="AC389" i="4"/>
  <c r="AC390" i="4"/>
  <c r="AC391" i="4"/>
  <c r="AC407" i="4"/>
  <c r="AC405" i="4"/>
  <c r="AC392" i="4"/>
  <c r="AC394" i="4"/>
  <c r="AC395" i="4"/>
  <c r="AC396" i="4"/>
  <c r="AC397" i="4"/>
  <c r="AC398" i="4"/>
  <c r="AC399" i="4"/>
  <c r="AC400" i="4"/>
  <c r="AC401" i="4"/>
  <c r="AC402" i="4"/>
  <c r="AC393" i="4"/>
  <c r="AC403" i="4"/>
  <c r="AC404" i="4"/>
  <c r="AC408" i="4"/>
  <c r="AC412" i="4"/>
  <c r="AC409" i="4"/>
  <c r="AC410" i="4"/>
  <c r="AC415" i="4"/>
  <c r="AC411" i="4"/>
  <c r="AC413" i="4"/>
  <c r="AC414" i="4"/>
  <c r="AC406" i="4"/>
  <c r="AC416" i="4"/>
  <c r="AC235" i="4"/>
  <c r="AD235" i="4"/>
  <c r="BD114" i="5"/>
  <c r="BD195" i="5"/>
  <c r="BD194" i="5"/>
  <c r="BD21" i="5"/>
  <c r="BD170" i="5"/>
  <c r="BD109" i="5"/>
  <c r="BD250" i="5"/>
  <c r="BD117" i="5"/>
  <c r="BD171" i="5"/>
  <c r="BD292" i="5"/>
  <c r="BD227" i="5"/>
  <c r="BD139" i="5"/>
  <c r="BD77" i="5"/>
  <c r="BD241" i="5"/>
  <c r="BD222" i="5"/>
  <c r="BD79" i="5"/>
  <c r="BD173" i="5"/>
  <c r="BD264" i="5"/>
  <c r="BD165" i="5"/>
  <c r="BD166" i="5"/>
  <c r="BD184" i="5"/>
  <c r="BD186" i="5"/>
  <c r="BD187" i="5"/>
  <c r="BD335" i="5"/>
  <c r="BD391" i="5"/>
  <c r="BD387" i="5"/>
  <c r="BD388" i="5"/>
  <c r="BD396" i="5"/>
  <c r="BD412" i="5"/>
  <c r="BD413" i="5"/>
  <c r="BD393" i="5"/>
  <c r="BD51" i="5"/>
  <c r="BD52" i="5"/>
  <c r="BD120" i="5"/>
  <c r="BD50" i="5"/>
  <c r="BD53" i="5"/>
  <c r="BD66" i="5"/>
  <c r="BD122" i="5"/>
  <c r="BD138" i="5"/>
  <c r="BD257" i="5"/>
  <c r="BD169" i="5"/>
  <c r="BD162" i="5"/>
  <c r="BD154" i="5"/>
  <c r="BD168" i="5"/>
  <c r="BD41" i="5"/>
  <c r="BD124" i="5"/>
  <c r="BD42" i="5"/>
  <c r="BD56" i="5"/>
  <c r="BD242" i="5"/>
  <c r="BD55" i="5"/>
  <c r="BD111" i="5"/>
  <c r="BD249" i="5"/>
  <c r="BD48" i="5"/>
  <c r="BD62" i="5"/>
  <c r="BD258" i="5"/>
  <c r="BD121" i="5"/>
  <c r="BD161" i="5"/>
  <c r="BD190" i="5"/>
  <c r="BD192" i="5"/>
  <c r="BD72" i="5"/>
  <c r="BD263" i="5"/>
  <c r="BD85" i="5"/>
  <c r="BD18" i="5"/>
  <c r="BD60" i="5"/>
  <c r="BD262" i="5"/>
  <c r="BD252" i="5"/>
  <c r="BD244" i="5"/>
  <c r="BD247" i="5"/>
  <c r="BD115" i="5"/>
  <c r="BD126" i="5"/>
  <c r="BD17" i="5"/>
  <c r="BD59" i="5"/>
  <c r="BD281" i="5"/>
  <c r="BD246" i="5"/>
  <c r="BD248" i="5"/>
  <c r="BD32" i="5"/>
  <c r="BD65" i="5"/>
  <c r="BD70" i="5"/>
  <c r="BD282" i="5"/>
  <c r="BD37" i="5"/>
  <c r="BD81" i="5"/>
  <c r="BD83" i="5"/>
  <c r="BD254" i="5"/>
  <c r="BD276" i="5"/>
  <c r="BD256" i="5"/>
  <c r="BD22" i="5"/>
  <c r="BD245" i="5"/>
  <c r="BD97" i="5"/>
  <c r="BD207" i="5"/>
  <c r="BD86" i="5"/>
  <c r="BD34" i="5"/>
  <c r="BD38" i="5"/>
  <c r="BD284" i="5"/>
  <c r="BD71" i="5"/>
  <c r="BD23" i="5"/>
  <c r="BD24" i="5"/>
  <c r="BD74" i="5"/>
  <c r="BD94" i="5"/>
  <c r="BD40" i="5"/>
  <c r="BD84" i="5"/>
  <c r="BD10" i="5"/>
  <c r="BD294" i="5"/>
  <c r="BD33" i="5"/>
  <c r="BD167" i="5"/>
  <c r="BD135" i="5"/>
  <c r="BD137" i="5"/>
  <c r="BD238" i="5"/>
  <c r="BD157" i="5"/>
  <c r="BD191" i="5"/>
  <c r="BD288" i="5"/>
  <c r="BD47" i="5"/>
  <c r="BD69" i="5"/>
  <c r="BD80" i="5"/>
  <c r="BD290" i="5"/>
  <c r="BD291" i="5"/>
  <c r="BD293" i="5"/>
  <c r="BD274" i="5"/>
  <c r="BD82" i="5"/>
  <c r="BD2" i="5"/>
  <c r="BD163" i="5"/>
  <c r="BD235" i="5"/>
  <c r="BD193" i="5"/>
  <c r="BD286" i="5"/>
  <c r="BD243" i="5"/>
  <c r="BD236" i="5"/>
  <c r="BD31" i="5"/>
  <c r="BD285" i="5"/>
  <c r="BD63" i="5"/>
  <c r="BD231" i="5"/>
  <c r="BD233" i="5"/>
  <c r="BD259" i="5"/>
  <c r="BD6" i="5"/>
  <c r="BD237" i="5"/>
  <c r="BD76" i="5"/>
  <c r="BD261" i="5"/>
  <c r="BD11" i="5"/>
  <c r="BD16" i="5"/>
  <c r="BD201" i="5"/>
  <c r="BD202" i="5"/>
  <c r="BD39" i="5"/>
  <c r="BD289" i="5"/>
  <c r="BD95" i="5"/>
  <c r="BD36" i="5"/>
  <c r="BD206" i="5"/>
  <c r="BD35" i="5"/>
  <c r="BD67" i="5"/>
  <c r="BD93" i="5"/>
  <c r="BD26" i="5"/>
  <c r="BD25" i="5"/>
  <c r="BD125" i="5"/>
  <c r="BD45" i="5"/>
  <c r="BD296" i="5"/>
  <c r="BD113" i="5"/>
  <c r="BD7" i="5"/>
  <c r="BD44" i="5"/>
  <c r="BD75" i="5"/>
  <c r="BD260" i="5"/>
  <c r="BD234" i="5"/>
  <c r="BD68" i="5"/>
  <c r="BD127" i="5"/>
  <c r="BD203" i="5"/>
  <c r="BD8" i="5"/>
  <c r="BD295" i="5"/>
  <c r="BD196" i="5"/>
  <c r="BD197" i="5"/>
  <c r="BD3" i="5"/>
  <c r="BD58" i="5"/>
  <c r="BD205" i="5"/>
  <c r="BD57" i="5"/>
  <c r="BD204" i="5"/>
  <c r="BD200" i="5"/>
  <c r="BD280" i="5"/>
  <c r="BD149" i="5"/>
  <c r="BD43" i="5"/>
  <c r="BD28" i="5"/>
  <c r="BD99" i="5"/>
  <c r="BD278" i="5"/>
  <c r="BD49" i="5"/>
  <c r="BD283" i="5"/>
  <c r="BD208" i="5"/>
  <c r="BD64" i="5"/>
  <c r="BD100" i="5"/>
  <c r="BD218" i="5"/>
  <c r="BD287" i="5"/>
  <c r="BD143" i="5"/>
  <c r="BD30" i="5"/>
  <c r="BD255" i="5"/>
  <c r="BD142" i="5"/>
  <c r="BD153" i="5"/>
  <c r="BD61" i="5"/>
  <c r="BD92" i="5"/>
  <c r="BD156" i="5"/>
  <c r="BD298" i="5"/>
  <c r="BD177" i="5"/>
  <c r="BD253" i="5"/>
  <c r="BD175" i="5"/>
  <c r="BD188" i="5"/>
  <c r="BD266" i="5"/>
  <c r="BD265" i="5"/>
  <c r="BD279" i="5"/>
  <c r="BD176" i="5"/>
  <c r="BD54" i="5"/>
  <c r="BD133" i="5"/>
  <c r="BD269" i="5"/>
  <c r="BD101" i="5"/>
  <c r="BD29" i="5"/>
  <c r="BD46" i="5"/>
  <c r="BD96" i="5"/>
  <c r="BD251" i="5"/>
  <c r="BD98" i="5"/>
  <c r="BD232" i="5"/>
  <c r="BD267" i="5"/>
  <c r="BD118" i="5"/>
  <c r="BD172" i="5"/>
  <c r="BD297" i="5"/>
  <c r="BD151" i="5"/>
  <c r="BD275" i="5"/>
  <c r="BD134" i="5"/>
  <c r="BD91" i="5"/>
  <c r="BD147" i="5"/>
  <c r="BD4" i="5"/>
  <c r="BD90" i="5"/>
  <c r="BD136" i="5"/>
  <c r="BD223" i="5"/>
  <c r="BD178" i="5"/>
  <c r="BD224" i="5"/>
  <c r="BD112" i="5"/>
  <c r="BD159" i="5"/>
  <c r="BD152" i="5"/>
  <c r="BD15" i="5"/>
  <c r="BD132" i="5"/>
  <c r="BD239" i="5"/>
  <c r="BD119" i="5"/>
  <c r="BD27" i="5"/>
  <c r="BD105" i="5"/>
  <c r="BD14" i="5"/>
  <c r="BD129" i="5"/>
  <c r="BD5" i="5"/>
  <c r="BD102" i="5"/>
  <c r="BD103" i="5"/>
  <c r="BD229" i="5"/>
  <c r="BD104" i="5"/>
  <c r="BD146" i="5"/>
  <c r="BD158" i="5"/>
  <c r="BD230" i="5"/>
  <c r="BD145" i="5"/>
  <c r="BD199" i="5"/>
  <c r="BD87" i="5"/>
  <c r="BD213" i="5"/>
  <c r="BD106" i="5"/>
  <c r="BD107" i="5"/>
  <c r="BD108" i="5"/>
  <c r="BD160" i="5"/>
  <c r="BD140" i="5"/>
  <c r="BD270" i="5"/>
  <c r="BD73" i="5"/>
  <c r="BD214" i="5"/>
  <c r="BD130" i="5"/>
  <c r="BD179" i="5"/>
  <c r="BD209" i="5"/>
  <c r="BD211" i="5"/>
  <c r="BD110" i="5"/>
  <c r="BD198" i="5"/>
  <c r="BD212" i="5"/>
  <c r="BD78" i="5"/>
  <c r="BD128" i="5"/>
  <c r="BD88" i="5"/>
  <c r="BD89" i="5"/>
  <c r="BD155" i="5"/>
  <c r="BD150" i="5"/>
  <c r="BD268" i="5"/>
  <c r="BD9" i="5"/>
  <c r="BD210" i="5"/>
  <c r="BD141" i="5"/>
  <c r="BD225" i="5"/>
  <c r="BD131" i="5"/>
  <c r="BD220" i="5"/>
  <c r="BD219" i="5"/>
  <c r="BD271" i="5"/>
  <c r="BD12" i="5"/>
  <c r="BD216" i="5"/>
  <c r="BD116" i="5"/>
  <c r="BD13" i="5"/>
  <c r="BD272" i="5"/>
  <c r="BD273" i="5"/>
  <c r="BD123" i="5"/>
  <c r="BD144" i="5"/>
  <c r="BD148" i="5"/>
  <c r="BD277" i="5"/>
  <c r="BD164" i="5"/>
  <c r="BD174" i="5"/>
  <c r="BD180" i="5"/>
  <c r="BD181" i="5"/>
  <c r="BD182" i="5"/>
  <c r="BD183" i="5"/>
  <c r="BD185" i="5"/>
  <c r="BD215" i="5"/>
  <c r="BD217" i="5"/>
  <c r="BD221" i="5"/>
  <c r="BD226" i="5"/>
  <c r="BD228" i="5"/>
  <c r="BD306" i="5"/>
  <c r="BD318" i="5"/>
  <c r="BD308" i="5"/>
  <c r="BD309" i="5"/>
  <c r="BD304" i="5"/>
  <c r="BD312" i="5"/>
  <c r="BD316" i="5"/>
  <c r="BD317" i="5"/>
  <c r="BD310" i="5"/>
  <c r="BD315" i="5"/>
  <c r="BD305" i="5"/>
  <c r="BD313" i="5"/>
  <c r="BD311" i="5"/>
  <c r="BD303" i="5"/>
  <c r="BD314" i="5"/>
  <c r="BD329" i="5"/>
  <c r="BD328" i="5"/>
  <c r="BD327" i="5"/>
  <c r="BD342" i="5"/>
  <c r="BD344" i="5"/>
  <c r="BD349" i="5"/>
  <c r="BD348" i="5"/>
  <c r="BD350" i="5"/>
  <c r="BD340" i="5"/>
  <c r="BD334" i="5"/>
  <c r="BD324" i="5"/>
  <c r="BD319" i="5"/>
  <c r="BD320" i="5"/>
  <c r="BD321" i="5"/>
  <c r="BD322" i="5"/>
  <c r="BD323" i="5"/>
  <c r="BD325" i="5"/>
  <c r="BD326" i="5"/>
  <c r="BD330" i="5"/>
  <c r="BD331" i="5"/>
  <c r="BD332" i="5"/>
  <c r="BD333" i="5"/>
  <c r="BD336" i="5"/>
  <c r="BD337" i="5"/>
  <c r="BD338" i="5"/>
  <c r="BD339" i="5"/>
  <c r="BD341" i="5"/>
  <c r="BD343" i="5"/>
  <c r="BD345" i="5"/>
  <c r="BD346" i="5"/>
  <c r="BD347" i="5"/>
  <c r="BD351" i="5"/>
  <c r="BD355" i="5"/>
  <c r="BD357" i="5"/>
  <c r="BD356" i="5"/>
  <c r="BD354" i="5"/>
  <c r="BD372" i="5"/>
  <c r="BD371" i="5"/>
  <c r="BD363" i="5"/>
  <c r="BD373" i="5"/>
  <c r="BD364" i="5"/>
  <c r="BD366" i="5"/>
  <c r="BD369" i="5"/>
  <c r="BD367" i="5"/>
  <c r="BD365" i="5"/>
  <c r="BD368" i="5"/>
  <c r="BD353" i="5"/>
  <c r="BD362" i="5"/>
  <c r="BD352" i="5"/>
  <c r="BD361" i="5"/>
  <c r="BD360" i="5"/>
  <c r="BD370" i="5"/>
  <c r="BD359" i="5"/>
  <c r="BD358" i="5"/>
  <c r="BD380" i="5"/>
  <c r="BD377" i="5"/>
  <c r="BD378" i="5"/>
  <c r="BD375" i="5"/>
  <c r="BD384" i="5"/>
  <c r="BD383" i="5"/>
  <c r="BD379" i="5"/>
  <c r="BD376" i="5"/>
  <c r="BD381" i="5"/>
  <c r="BD382" i="5"/>
  <c r="BD374" i="5"/>
  <c r="BD389" i="5"/>
  <c r="BD390" i="5"/>
  <c r="BD392" i="5"/>
  <c r="BD394" i="5"/>
  <c r="BD397" i="5"/>
  <c r="BD398" i="5"/>
  <c r="BD399" i="5"/>
  <c r="BD403" i="5"/>
  <c r="BD404" i="5"/>
  <c r="BD405" i="5"/>
  <c r="BD406" i="5"/>
  <c r="BD407" i="5"/>
  <c r="BD408" i="5"/>
  <c r="BD410" i="5"/>
  <c r="BD411" i="5"/>
  <c r="BD414" i="5"/>
  <c r="BD415" i="5"/>
  <c r="BD416" i="5"/>
  <c r="BD395" i="5"/>
  <c r="BD400" i="5"/>
  <c r="BD409" i="5"/>
  <c r="BD402" i="5"/>
  <c r="BD401" i="5"/>
  <c r="BD189" i="5"/>
  <c r="AI22" i="2"/>
  <c r="AI28" i="2"/>
  <c r="AI29" i="2"/>
  <c r="AI15" i="2"/>
  <c r="AI33" i="2"/>
  <c r="AI32" i="2"/>
  <c r="AI34" i="2"/>
  <c r="AI35" i="2"/>
  <c r="AI31" i="2"/>
  <c r="AI23" i="2"/>
  <c r="AI46" i="2"/>
  <c r="AI47" i="2"/>
  <c r="AI24" i="2"/>
  <c r="AH24" i="2"/>
  <c r="AK24" i="2"/>
  <c r="AK22" i="2"/>
  <c r="AK28" i="2"/>
  <c r="AK15" i="2"/>
  <c r="AK33" i="2"/>
  <c r="AK32" i="2"/>
  <c r="AK35" i="2"/>
  <c r="AK11" i="2"/>
  <c r="AK13" i="2"/>
  <c r="AK10" i="2"/>
  <c r="AK27" i="2"/>
  <c r="AK16" i="2"/>
  <c r="AK38" i="2"/>
  <c r="AK7" i="2"/>
  <c r="AK40" i="2"/>
  <c r="AK39" i="2"/>
  <c r="AK41" i="2"/>
  <c r="AK26" i="2"/>
  <c r="AK43" i="2"/>
  <c r="AK18" i="2"/>
  <c r="AK5" i="2"/>
  <c r="AK8" i="2"/>
  <c r="AG24" i="2"/>
  <c r="AG22" i="2"/>
  <c r="AG23" i="2"/>
  <c r="AG28" i="2"/>
  <c r="AG29" i="2"/>
  <c r="AG33" i="2"/>
  <c r="AG32" i="2"/>
  <c r="AG34" i="2"/>
  <c r="AG35" i="2"/>
  <c r="AG31" i="2"/>
  <c r="AG46" i="2"/>
  <c r="AG47" i="2"/>
  <c r="AG15" i="2"/>
  <c r="AF15" i="2"/>
  <c r="AF24" i="2"/>
  <c r="AF22" i="2"/>
  <c r="AF28" i="2"/>
  <c r="AF29" i="2"/>
  <c r="AF33" i="2"/>
  <c r="AF32" i="2"/>
  <c r="AF35" i="2"/>
  <c r="AE15" i="2"/>
  <c r="AD16" i="4"/>
  <c r="AD27" i="4"/>
  <c r="AD32" i="4"/>
  <c r="AD33" i="4"/>
  <c r="AD13" i="4"/>
  <c r="AD34" i="4"/>
  <c r="AD17" i="4"/>
  <c r="AD19" i="4"/>
  <c r="AD20" i="4"/>
  <c r="AD63" i="4"/>
  <c r="AD30" i="4"/>
  <c r="AD2" i="4"/>
  <c r="AD65" i="4"/>
  <c r="AD272" i="4"/>
  <c r="AD273" i="4"/>
  <c r="AD289" i="4"/>
  <c r="AD205" i="4"/>
  <c r="AD169" i="4"/>
  <c r="AD102" i="4"/>
  <c r="AD176" i="4"/>
  <c r="AD90" i="4"/>
  <c r="AD136" i="4"/>
  <c r="AD178" i="4"/>
  <c r="AD137" i="4"/>
  <c r="AD138" i="4"/>
  <c r="AD179" i="4"/>
  <c r="AD91" i="4"/>
  <c r="AD181" i="4"/>
  <c r="AD182" i="4"/>
  <c r="AD120" i="4"/>
  <c r="AD111" i="4"/>
  <c r="AD236" i="4"/>
  <c r="AD61" i="4"/>
  <c r="AD3" i="4"/>
  <c r="AD31" i="4"/>
  <c r="AD87" i="4"/>
  <c r="AD25" i="4"/>
  <c r="AD175" i="4"/>
  <c r="AD177" i="4"/>
  <c r="AD209" i="4"/>
  <c r="AD40" i="4"/>
  <c r="AD21" i="4"/>
  <c r="AD261" i="4"/>
  <c r="AD295" i="4"/>
  <c r="AD238" i="4"/>
  <c r="AD269" i="4"/>
  <c r="AD240" i="4"/>
  <c r="AD223" i="4"/>
  <c r="AD184" i="4"/>
  <c r="AD278" i="4"/>
  <c r="AD57" i="4"/>
  <c r="AD42" i="4"/>
  <c r="AD43" i="4"/>
  <c r="AD44" i="4"/>
  <c r="AD189" i="4"/>
  <c r="AD253" i="4"/>
  <c r="AD224" i="4"/>
  <c r="AD127" i="4"/>
  <c r="AD70" i="4"/>
  <c r="AD14" i="4"/>
  <c r="AD146" i="4"/>
  <c r="AD192" i="4"/>
  <c r="AD149" i="4"/>
  <c r="AD150" i="4"/>
  <c r="AD227" i="4"/>
  <c r="AD151" i="4"/>
  <c r="AD152" i="4"/>
  <c r="AD153" i="4"/>
  <c r="AD194" i="4"/>
  <c r="AD216" i="4"/>
  <c r="AD45" i="4"/>
  <c r="AD46" i="4"/>
  <c r="AD47" i="4"/>
  <c r="AD48" i="4"/>
  <c r="AD49" i="4"/>
  <c r="AD197" i="4"/>
  <c r="AD198" i="4"/>
  <c r="AD118" i="4"/>
  <c r="AD162" i="4"/>
  <c r="AD100" i="4"/>
  <c r="AD163" i="4"/>
  <c r="AD101" i="4"/>
  <c r="AD50" i="4"/>
  <c r="AD51" i="4"/>
  <c r="AD52" i="4"/>
  <c r="AD58" i="4"/>
  <c r="AD36" i="4"/>
  <c r="AD260" i="4"/>
  <c r="AD89" i="4"/>
  <c r="AD219" i="4"/>
  <c r="AD103" i="4"/>
  <c r="AD104" i="4"/>
  <c r="AD105" i="4"/>
  <c r="AD106" i="4"/>
  <c r="AD107" i="4"/>
  <c r="AD108" i="4"/>
  <c r="AD37" i="4"/>
  <c r="AD38" i="4"/>
  <c r="AD39" i="4"/>
  <c r="AD109" i="4"/>
  <c r="AD60" i="4"/>
  <c r="AD55" i="4"/>
  <c r="AD170" i="4"/>
  <c r="AD171" i="4"/>
  <c r="AD172" i="4"/>
  <c r="AD206" i="4"/>
  <c r="AD207" i="4"/>
  <c r="AD220" i="4"/>
  <c r="AD267" i="4"/>
  <c r="AD135" i="4"/>
  <c r="AD208" i="4"/>
  <c r="AD248" i="4"/>
  <c r="AD302" i="4"/>
  <c r="AD173" i="4"/>
  <c r="AD174" i="4"/>
  <c r="AD221" i="4"/>
  <c r="AD180" i="4"/>
  <c r="AD110" i="4"/>
  <c r="AD293" i="4"/>
  <c r="AD10" i="4"/>
  <c r="AD268" i="4"/>
  <c r="AD291" i="4"/>
  <c r="AD283" i="4"/>
  <c r="AD250" i="4"/>
  <c r="AD237" i="4"/>
  <c r="AD284" i="4"/>
  <c r="AD285" i="4"/>
  <c r="AD286" i="4"/>
  <c r="AD139" i="4"/>
  <c r="AD92" i="4"/>
  <c r="AD93" i="4"/>
  <c r="AD121" i="4"/>
  <c r="AD239" i="4"/>
  <c r="AD76" i="4"/>
  <c r="AD56" i="4"/>
  <c r="AD29" i="4"/>
  <c r="AD140" i="4"/>
  <c r="AD77" i="4"/>
  <c r="AD78" i="4"/>
  <c r="AD141" i="4"/>
  <c r="AD142" i="4"/>
  <c r="AD143" i="4"/>
  <c r="AD241" i="4"/>
  <c r="AD97" i="4"/>
  <c r="AD79" i="4"/>
  <c r="AD64" i="4"/>
  <c r="AD80" i="4"/>
  <c r="AD262" i="4"/>
  <c r="AD113" i="4"/>
  <c r="AD185" i="4"/>
  <c r="AD114" i="4"/>
  <c r="AD290" i="4"/>
  <c r="AD122" i="4"/>
  <c r="AD292" i="4"/>
  <c r="AD123" i="4"/>
  <c r="AD242" i="4"/>
  <c r="AD124" i="4"/>
  <c r="AD81" i="4"/>
  <c r="AD125" i="4"/>
  <c r="AD187" i="4"/>
  <c r="AD251" i="4"/>
  <c r="AD300" i="4"/>
  <c r="AD144" i="4"/>
  <c r="AD252" i="4"/>
  <c r="AD82" i="4"/>
  <c r="AD83" i="4"/>
  <c r="AD84" i="4"/>
  <c r="AD115" i="4"/>
  <c r="AD126" i="4"/>
  <c r="AD116" i="4"/>
  <c r="AD98" i="4"/>
  <c r="AD4" i="4"/>
  <c r="AD145" i="4"/>
  <c r="AD128" i="4"/>
  <c r="AD15" i="4"/>
  <c r="AD24" i="4"/>
  <c r="AD18" i="4"/>
  <c r="AD301" i="4"/>
  <c r="AD71" i="4"/>
  <c r="AD72" i="4"/>
  <c r="AD73" i="4"/>
  <c r="AD190" i="4"/>
  <c r="AD191" i="4"/>
  <c r="AD129" i="4"/>
  <c r="AD243" i="4"/>
  <c r="AD279" i="4"/>
  <c r="AD287" i="4"/>
  <c r="AD130" i="4"/>
  <c r="AD274" i="4"/>
  <c r="AD263" i="4"/>
  <c r="AD280" i="4"/>
  <c r="AD270" i="4"/>
  <c r="AD281" i="4"/>
  <c r="AD131" i="4"/>
  <c r="AD147" i="4"/>
  <c r="AD148" i="4"/>
  <c r="AD210" i="4"/>
  <c r="AD211" i="4"/>
  <c r="AD212" i="4"/>
  <c r="AD213" i="4"/>
  <c r="AD214" i="4"/>
  <c r="AD215" i="4"/>
  <c r="AD265" i="4"/>
  <c r="AD266" i="4"/>
  <c r="AD74" i="4"/>
  <c r="AD155" i="4"/>
  <c r="AD132" i="4"/>
  <c r="AD193" i="4"/>
  <c r="AD156" i="4"/>
  <c r="AD157" i="4"/>
  <c r="AD158" i="4"/>
  <c r="AD256" i="4"/>
  <c r="AD288" i="4"/>
  <c r="AD159" i="4"/>
  <c r="AD160" i="4"/>
  <c r="AD161" i="4"/>
  <c r="AD228" i="4"/>
  <c r="AD229" i="4"/>
  <c r="AD244" i="4"/>
  <c r="AD230" i="4"/>
  <c r="AD282" i="4"/>
  <c r="AD133" i="4"/>
  <c r="AD245" i="4"/>
  <c r="AD246" i="4"/>
  <c r="AD247" i="4"/>
  <c r="AD259" i="4"/>
  <c r="AD117" i="4"/>
  <c r="AD218" i="4"/>
  <c r="AD199" i="4"/>
  <c r="AD200" i="4"/>
  <c r="AD165" i="4"/>
  <c r="AD166" i="4"/>
  <c r="AD167" i="4"/>
  <c r="AD168" i="4"/>
  <c r="AD201" i="4"/>
  <c r="AD202" i="4"/>
  <c r="AD203" i="4"/>
  <c r="AD204" i="4"/>
  <c r="AD53" i="4"/>
  <c r="AD88" i="4"/>
  <c r="AD59" i="4"/>
  <c r="AD54" i="4"/>
  <c r="AD26" i="4"/>
  <c r="AD12" i="4"/>
  <c r="AD22" i="4"/>
  <c r="AD23" i="4"/>
  <c r="AD298" i="4"/>
  <c r="AD41" i="4"/>
  <c r="AD299" i="4"/>
  <c r="AD35" i="4"/>
  <c r="AD254" i="4"/>
  <c r="AD255" i="4"/>
  <c r="AD154" i="4"/>
  <c r="AD196" i="4"/>
  <c r="AD297" i="4"/>
  <c r="AD95" i="4"/>
  <c r="AD294" i="4"/>
  <c r="AD186" i="4"/>
  <c r="AD225" i="4"/>
  <c r="AD226" i="4"/>
  <c r="AD264" i="4"/>
  <c r="AD257" i="4"/>
  <c r="AD258" i="4"/>
  <c r="AD94" i="4"/>
  <c r="AD112" i="4"/>
  <c r="AD66" i="4"/>
  <c r="AD96" i="4"/>
  <c r="AD11" i="4"/>
  <c r="AD188" i="4"/>
  <c r="AD85" i="4"/>
  <c r="AD271" i="4"/>
  <c r="AD217" i="4"/>
  <c r="AD119" i="4"/>
  <c r="AD249" i="4"/>
  <c r="AD7" i="4"/>
  <c r="AD195" i="4"/>
  <c r="AD5" i="4"/>
  <c r="AD6" i="4"/>
  <c r="AD8" i="4"/>
  <c r="AD9" i="4"/>
  <c r="AD231" i="4"/>
  <c r="AD62" i="4"/>
  <c r="AD67" i="4"/>
  <c r="AD68" i="4"/>
  <c r="AD99" i="4"/>
  <c r="AD69" i="4"/>
  <c r="AD233" i="4"/>
  <c r="AD234" i="4"/>
  <c r="AD75" i="4"/>
  <c r="AD222" i="4"/>
  <c r="AD296" i="4"/>
  <c r="AD183" i="4"/>
  <c r="AD318" i="4"/>
  <c r="AD317" i="4"/>
  <c r="AD303" i="4"/>
  <c r="AD304" i="4"/>
  <c r="AD309" i="4"/>
  <c r="AD314" i="4"/>
  <c r="AD315" i="4"/>
  <c r="AD307" i="4"/>
  <c r="AD316" i="4"/>
  <c r="AD310" i="4"/>
  <c r="AD311" i="4"/>
  <c r="AD312" i="4"/>
  <c r="AD313" i="4"/>
  <c r="AD306" i="4"/>
  <c r="AD305" i="4"/>
  <c r="AD334" i="4"/>
  <c r="AD335" i="4"/>
  <c r="AD321" i="4"/>
  <c r="AD322" i="4"/>
  <c r="AD323" i="4"/>
  <c r="AD324" i="4"/>
  <c r="AD325" i="4"/>
  <c r="AD319" i="4"/>
  <c r="AD326" i="4"/>
  <c r="AD327" i="4"/>
  <c r="AD328" i="4"/>
  <c r="AD329" i="4"/>
  <c r="AD336" i="4"/>
  <c r="AD331" i="4"/>
  <c r="AD332" i="4"/>
  <c r="AD333" i="4"/>
  <c r="AD339" i="4"/>
  <c r="AD320" i="4"/>
  <c r="AD337" i="4"/>
  <c r="AD349" i="4"/>
  <c r="AD347" i="4"/>
  <c r="AD345" i="4"/>
  <c r="AD344" i="4"/>
  <c r="AD330" i="4"/>
  <c r="AD346" i="4"/>
  <c r="AD348" i="4"/>
  <c r="AD350" i="4"/>
  <c r="AD338" i="4"/>
  <c r="AD343" i="4"/>
  <c r="AD340" i="4"/>
  <c r="AD341" i="4"/>
  <c r="AD342" i="4"/>
  <c r="AD351" i="4"/>
  <c r="AD358" i="4"/>
  <c r="AD372" i="4"/>
  <c r="AD373" i="4"/>
  <c r="AD352" i="4"/>
  <c r="AD364" i="4"/>
  <c r="AD353" i="4"/>
  <c r="AD357" i="4"/>
  <c r="AD355" i="4"/>
  <c r="AD359" i="4"/>
  <c r="AD360" i="4"/>
  <c r="AD365" i="4"/>
  <c r="AD356" i="4"/>
  <c r="AD366" i="4"/>
  <c r="AD367" i="4"/>
  <c r="AD368" i="4"/>
  <c r="AD354" i="4"/>
  <c r="AD361" i="4"/>
  <c r="AD363" i="4"/>
  <c r="AD362" i="4"/>
  <c r="AD371" i="4"/>
  <c r="AD369" i="4"/>
  <c r="AD370" i="4"/>
  <c r="AD379" i="4"/>
  <c r="AD375" i="4"/>
  <c r="AD383" i="4"/>
  <c r="AD374" i="4"/>
  <c r="AD376" i="4"/>
  <c r="AD378" i="4"/>
  <c r="AD381" i="4"/>
  <c r="AD385" i="4"/>
  <c r="AD377" i="4"/>
  <c r="AD380" i="4"/>
  <c r="AD382" i="4"/>
  <c r="AD387" i="4"/>
  <c r="AD388" i="4"/>
  <c r="AD389" i="4"/>
  <c r="AD390" i="4"/>
  <c r="AD391" i="4"/>
  <c r="AD407" i="4"/>
  <c r="AD405" i="4"/>
  <c r="AD392" i="4"/>
  <c r="AD394" i="4"/>
  <c r="AD395" i="4"/>
  <c r="AD396" i="4"/>
  <c r="AD397" i="4"/>
  <c r="AD398" i="4"/>
  <c r="AD399" i="4"/>
  <c r="AD400" i="4"/>
  <c r="AD401" i="4"/>
  <c r="AD402" i="4"/>
  <c r="AD393" i="4"/>
  <c r="AD403" i="4"/>
  <c r="AD404" i="4"/>
  <c r="AD408" i="4"/>
  <c r="AD412" i="4"/>
  <c r="AD409" i="4"/>
  <c r="AD410" i="4"/>
  <c r="AD415" i="4"/>
  <c r="AD411" i="4"/>
  <c r="AD413" i="4"/>
  <c r="AD414" i="4"/>
  <c r="AD406" i="4"/>
  <c r="AD416" i="4"/>
  <c r="AE11" i="2"/>
  <c r="AE13" i="2"/>
  <c r="AE10" i="2"/>
  <c r="AE12" i="2"/>
  <c r="AE27" i="2"/>
  <c r="AE16" i="2"/>
  <c r="AE17" i="2"/>
  <c r="AE28" i="2"/>
  <c r="AE5" i="2"/>
  <c r="AE38" i="2"/>
  <c r="AE37" i="2"/>
  <c r="AE36" i="2"/>
  <c r="AE7" i="2"/>
  <c r="AE33" i="2"/>
  <c r="AE32" i="2"/>
  <c r="AE34" i="2"/>
  <c r="AE8" i="2"/>
  <c r="AE35" i="2"/>
  <c r="AE31" i="2"/>
  <c r="AE43" i="2"/>
  <c r="AE40" i="2"/>
  <c r="AE39" i="2"/>
  <c r="AE30" i="2"/>
  <c r="AE18" i="2"/>
  <c r="AE42" i="2"/>
  <c r="AE24" i="2"/>
  <c r="AE22" i="2"/>
  <c r="AE23" i="2"/>
  <c r="AE41" i="2"/>
  <c r="AE46" i="2"/>
  <c r="AE47" i="2"/>
  <c r="AE51" i="2"/>
  <c r="AE50" i="2"/>
  <c r="AE52" i="2"/>
  <c r="AE26" i="2"/>
  <c r="AH26" i="2"/>
  <c r="AE66" i="4"/>
  <c r="AE32" i="4"/>
  <c r="AE33" i="4"/>
  <c r="AE34" i="4"/>
  <c r="AE4" i="4"/>
  <c r="AE250" i="4"/>
  <c r="AE237" i="4"/>
  <c r="AE242" i="4"/>
  <c r="AE300" i="4"/>
  <c r="AE85" i="4"/>
  <c r="AE89" i="4"/>
  <c r="AE205" i="4"/>
  <c r="AE109" i="4"/>
  <c r="AE283" i="4"/>
  <c r="AE183" i="4"/>
  <c r="AE94" i="4"/>
  <c r="AE96" i="4"/>
  <c r="AE80" i="4"/>
  <c r="AE81" i="4"/>
  <c r="AE296" i="4"/>
  <c r="AE35" i="4"/>
  <c r="AE15" i="4"/>
  <c r="AE24" i="4"/>
  <c r="AE16" i="4"/>
  <c r="AE197" i="4"/>
  <c r="AE162" i="4"/>
  <c r="AE58" i="4"/>
  <c r="AE260" i="4"/>
  <c r="AE54" i="4"/>
  <c r="AE103" i="4"/>
  <c r="AE104" i="4"/>
  <c r="AE105" i="4"/>
  <c r="AE106" i="4"/>
  <c r="AE107" i="4"/>
  <c r="AE108" i="4"/>
  <c r="AE170" i="4"/>
  <c r="AE171" i="4"/>
  <c r="AE172" i="4"/>
  <c r="AE10" i="4"/>
  <c r="AE95" i="4"/>
  <c r="AE185" i="4"/>
  <c r="AE187" i="4"/>
  <c r="AE251" i="4"/>
  <c r="AE115" i="4"/>
  <c r="AE42" i="4"/>
  <c r="AE195" i="4"/>
  <c r="AE233" i="4"/>
  <c r="AE234" i="4"/>
  <c r="AE218" i="4"/>
  <c r="AE199" i="4"/>
  <c r="AE200" i="4"/>
  <c r="AE165" i="4"/>
  <c r="AE166" i="4"/>
  <c r="AE167" i="4"/>
  <c r="AE168" i="4"/>
  <c r="AE12" i="4"/>
  <c r="AE36" i="4"/>
  <c r="AE272" i="4"/>
  <c r="AE37" i="4"/>
  <c r="AE38" i="4"/>
  <c r="AE39" i="4"/>
  <c r="AE206" i="4"/>
  <c r="AE40" i="4"/>
  <c r="AE21" i="4"/>
  <c r="AE62" i="4"/>
  <c r="AE56" i="4"/>
  <c r="AE78" i="4"/>
  <c r="AE298" i="4"/>
  <c r="AE112" i="4"/>
  <c r="AE184" i="4"/>
  <c r="AE64" i="4"/>
  <c r="AE262" i="4"/>
  <c r="AE11" i="4"/>
  <c r="AE290" i="4"/>
  <c r="AE186" i="4"/>
  <c r="AE299" i="4"/>
  <c r="AE126" i="4"/>
  <c r="AE116" i="4"/>
  <c r="AE67" i="4"/>
  <c r="AE68" i="4"/>
  <c r="AE99" i="4"/>
  <c r="AE43" i="4"/>
  <c r="AE44" i="4"/>
  <c r="AE69" i="4"/>
  <c r="AE147" i="4"/>
  <c r="AE148" i="4"/>
  <c r="AE210" i="4"/>
  <c r="AE211" i="4"/>
  <c r="AE212" i="4"/>
  <c r="AE213" i="4"/>
  <c r="AE154" i="4"/>
  <c r="AE214" i="4"/>
  <c r="AE215" i="4"/>
  <c r="AE132" i="4"/>
  <c r="AE216" i="4"/>
  <c r="AE201" i="4"/>
  <c r="AE75" i="4"/>
  <c r="AE204" i="4"/>
  <c r="AE50" i="4"/>
  <c r="AE51" i="4"/>
  <c r="AE52" i="4"/>
  <c r="AE273" i="4"/>
  <c r="AE60" i="4"/>
  <c r="AE55" i="4"/>
  <c r="AE76" i="4"/>
  <c r="AE41" i="4"/>
  <c r="AE57" i="4"/>
  <c r="AE145" i="4"/>
  <c r="AE128" i="4"/>
  <c r="AE14" i="4"/>
  <c r="AE217" i="4"/>
  <c r="AE45" i="4"/>
  <c r="AE46" i="4"/>
  <c r="AE47" i="4"/>
  <c r="AE49" i="4"/>
  <c r="AE88" i="4"/>
  <c r="AE289" i="4"/>
  <c r="AE293" i="4"/>
  <c r="AE139" i="4"/>
  <c r="AE92" i="4"/>
  <c r="AE93" i="4"/>
  <c r="AE269" i="4"/>
  <c r="AE222" i="4"/>
  <c r="AE140" i="4"/>
  <c r="AE30" i="4"/>
  <c r="AE2" i="4"/>
  <c r="AE17" i="4"/>
  <c r="AE18" i="4"/>
  <c r="AE19" i="4"/>
  <c r="AE20" i="4"/>
  <c r="AE146" i="4"/>
  <c r="AE192" i="4"/>
  <c r="AE130" i="4"/>
  <c r="AE227" i="4"/>
  <c r="AE151" i="4"/>
  <c r="AE152" i="4"/>
  <c r="AE153" i="4"/>
  <c r="AE256" i="4"/>
  <c r="AE48" i="4"/>
  <c r="AE198" i="4"/>
  <c r="AE118" i="4"/>
  <c r="AE100" i="4"/>
  <c r="AE53" i="4"/>
  <c r="AE59" i="4"/>
  <c r="AE26" i="4"/>
  <c r="AE5" i="4"/>
  <c r="AE221" i="4"/>
  <c r="AE61" i="4"/>
  <c r="AE291" i="4"/>
  <c r="AE238" i="4"/>
  <c r="AE121" i="4"/>
  <c r="AE22" i="4"/>
  <c r="AE23" i="4"/>
  <c r="AE297" i="4"/>
  <c r="AE292" i="4"/>
  <c r="AE124" i="4"/>
  <c r="AE125" i="4"/>
  <c r="AE6" i="4"/>
  <c r="AE7" i="4"/>
  <c r="AE8" i="4"/>
  <c r="AE9" i="4"/>
  <c r="AE301" i="4"/>
  <c r="AE71" i="4"/>
  <c r="AE72" i="4"/>
  <c r="AE73" i="4"/>
  <c r="AE190" i="4"/>
  <c r="AE191" i="4"/>
  <c r="AE129" i="4"/>
  <c r="AE274" i="4"/>
  <c r="AE263" i="4"/>
  <c r="AE280" i="4"/>
  <c r="AE270" i="4"/>
  <c r="AE149" i="4"/>
  <c r="AE150" i="4"/>
  <c r="AE133" i="4"/>
  <c r="AE196" i="4"/>
  <c r="AE101" i="4"/>
  <c r="AE202" i="4"/>
  <c r="AE203" i="4"/>
  <c r="AE229" i="4"/>
  <c r="AE244" i="4"/>
  <c r="AE230" i="4"/>
  <c r="AE302" i="4"/>
  <c r="AE173" i="4"/>
  <c r="AE174" i="4"/>
  <c r="AE110" i="4"/>
  <c r="AE240" i="4"/>
  <c r="AE77" i="4"/>
  <c r="AE241" i="4"/>
  <c r="AE252" i="4"/>
  <c r="AE82" i="4"/>
  <c r="AE243" i="4"/>
  <c r="AE131" i="4"/>
  <c r="AE231" i="4"/>
  <c r="AE282" i="4"/>
  <c r="AE257" i="4"/>
  <c r="AE258" i="4"/>
  <c r="AE228" i="4"/>
  <c r="AE248" i="4"/>
  <c r="AE261" i="4"/>
  <c r="AE13" i="4"/>
  <c r="AE254" i="4"/>
  <c r="AE255" i="4"/>
  <c r="AE279" i="4"/>
  <c r="AE287" i="4"/>
  <c r="AE247" i="4"/>
  <c r="AE284" i="4"/>
  <c r="AE239" i="4"/>
  <c r="AE114" i="4"/>
  <c r="AE278" i="4"/>
  <c r="AE188" i="4"/>
  <c r="AE98" i="4"/>
  <c r="AE265" i="4"/>
  <c r="AE266" i="4"/>
  <c r="AE74" i="4"/>
  <c r="AE267" i="4"/>
  <c r="AE285" i="4"/>
  <c r="AE286" i="4"/>
  <c r="AE97" i="4"/>
  <c r="AE122" i="4"/>
  <c r="AE294" i="4"/>
  <c r="AE225" i="4"/>
  <c r="AE226" i="4"/>
  <c r="AE264" i="4"/>
  <c r="AE155" i="4"/>
  <c r="AE156" i="4"/>
  <c r="AE157" i="4"/>
  <c r="AE246" i="4"/>
  <c r="AE169" i="4"/>
  <c r="AE207" i="4"/>
  <c r="AE220" i="4"/>
  <c r="AE135" i="4"/>
  <c r="AE208" i="4"/>
  <c r="AE180" i="4"/>
  <c r="AE91" i="4"/>
  <c r="AE141" i="4"/>
  <c r="AE223" i="4"/>
  <c r="AE142" i="4"/>
  <c r="AE79" i="4"/>
  <c r="AE123" i="4"/>
  <c r="AE65" i="4"/>
  <c r="AE144" i="4"/>
  <c r="AE189" i="4"/>
  <c r="AE224" i="4"/>
  <c r="AE158" i="4"/>
  <c r="AE194" i="4"/>
  <c r="AE159" i="4"/>
  <c r="AE160" i="4"/>
  <c r="AE161" i="4"/>
  <c r="AE25" i="4"/>
  <c r="AE175" i="4"/>
  <c r="AE90" i="4"/>
  <c r="AE177" i="4"/>
  <c r="AE136" i="4"/>
  <c r="AE178" i="4"/>
  <c r="AE209" i="4"/>
  <c r="AE138" i="4"/>
  <c r="AE219" i="4"/>
  <c r="AE102" i="4"/>
  <c r="AE181" i="4"/>
  <c r="AE182" i="4"/>
  <c r="AE120" i="4"/>
  <c r="AE111" i="4"/>
  <c r="AE236" i="4"/>
  <c r="AE295" i="4"/>
  <c r="AE249" i="4"/>
  <c r="AE268" i="4"/>
  <c r="AE63" i="4"/>
  <c r="AE113" i="4"/>
  <c r="AE83" i="4"/>
  <c r="AE84" i="4"/>
  <c r="AE253" i="4"/>
  <c r="AE259" i="4"/>
  <c r="AE117" i="4"/>
  <c r="AE163" i="4"/>
  <c r="AE119" i="4"/>
  <c r="AE87" i="4"/>
  <c r="AE176" i="4"/>
  <c r="AE137" i="4"/>
  <c r="AE179" i="4"/>
  <c r="AE27" i="4"/>
  <c r="AE143" i="4"/>
  <c r="AE127" i="4"/>
  <c r="AE70" i="4"/>
  <c r="AE193" i="4"/>
  <c r="AE271" i="4"/>
  <c r="AE245" i="4"/>
  <c r="AE31" i="4"/>
  <c r="AE29" i="4"/>
  <c r="AE288" i="4"/>
  <c r="AE281" i="4"/>
  <c r="AE315" i="4"/>
  <c r="AE309" i="4"/>
  <c r="AE314" i="4"/>
  <c r="AE307" i="4"/>
  <c r="AE316" i="4"/>
  <c r="AE303" i="4"/>
  <c r="AE304" i="4"/>
  <c r="AE317" i="4"/>
  <c r="AE318" i="4"/>
  <c r="AE306" i="4"/>
  <c r="AE310" i="4"/>
  <c r="AE311" i="4"/>
  <c r="AE312" i="4"/>
  <c r="AE313" i="4"/>
  <c r="AE305" i="4"/>
  <c r="AE322" i="4"/>
  <c r="AE345" i="4"/>
  <c r="AE321" i="4"/>
  <c r="AE323" i="4"/>
  <c r="AE324" i="4"/>
  <c r="AE325" i="4"/>
  <c r="AE347" i="4"/>
  <c r="AE344" i="4"/>
  <c r="AE350" i="4"/>
  <c r="AE326" i="4"/>
  <c r="AE327" i="4"/>
  <c r="AE328" i="4"/>
  <c r="AE329" i="4"/>
  <c r="AE330" i="4"/>
  <c r="AE331" i="4"/>
  <c r="AE332" i="4"/>
  <c r="AE333" i="4"/>
  <c r="AE346" i="4"/>
  <c r="AE348" i="4"/>
  <c r="AE334" i="4"/>
  <c r="AE335" i="4"/>
  <c r="AE343" i="4"/>
  <c r="AE340" i="4"/>
  <c r="AE338" i="4"/>
  <c r="AE341" i="4"/>
  <c r="AE342" i="4"/>
  <c r="AE336" i="4"/>
  <c r="AE349" i="4"/>
  <c r="AE339" i="4"/>
  <c r="AE320" i="4"/>
  <c r="AE337" i="4"/>
  <c r="AE351" i="4"/>
  <c r="AE319" i="4"/>
  <c r="AE355" i="4"/>
  <c r="AE356" i="4"/>
  <c r="AE358" i="4"/>
  <c r="AE357" i="4"/>
  <c r="AE361" i="4"/>
  <c r="AE363" i="4"/>
  <c r="AE362" i="4"/>
  <c r="AE371" i="4"/>
  <c r="AE354" i="4"/>
  <c r="AE369" i="4"/>
  <c r="AE370" i="4"/>
  <c r="AE359" i="4"/>
  <c r="AE360" i="4"/>
  <c r="AE372" i="4"/>
  <c r="AE373" i="4"/>
  <c r="AE364" i="4"/>
  <c r="AE352" i="4"/>
  <c r="AE353" i="4"/>
  <c r="AE365" i="4"/>
  <c r="AE366" i="4"/>
  <c r="AE367" i="4"/>
  <c r="AE368" i="4"/>
  <c r="AE378" i="4"/>
  <c r="AE379" i="4"/>
  <c r="AE382" i="4"/>
  <c r="AE376" i="4"/>
  <c r="AE377" i="4"/>
  <c r="AE380" i="4"/>
  <c r="AE381" i="4"/>
  <c r="AE375" i="4"/>
  <c r="AE383" i="4"/>
  <c r="AE374" i="4"/>
  <c r="AE385" i="4"/>
  <c r="AE391" i="4"/>
  <c r="AE387" i="4"/>
  <c r="AE390" i="4"/>
  <c r="AE388" i="4"/>
  <c r="AE389" i="4"/>
  <c r="AE399" i="4"/>
  <c r="AE403" i="4"/>
  <c r="AE404" i="4"/>
  <c r="AE407" i="4"/>
  <c r="AE408" i="4"/>
  <c r="AE412" i="4"/>
  <c r="AE409" i="4"/>
  <c r="AE415" i="4"/>
  <c r="AE405" i="4"/>
  <c r="AE393" i="4"/>
  <c r="AE394" i="4"/>
  <c r="AE395" i="4"/>
  <c r="AE396" i="4"/>
  <c r="AE397" i="4"/>
  <c r="AE416" i="4"/>
  <c r="AE410" i="4"/>
  <c r="AE398" i="4"/>
  <c r="AE400" i="4"/>
  <c r="AE401" i="4"/>
  <c r="AE411" i="4"/>
  <c r="AE402" i="4"/>
  <c r="AE392" i="4"/>
  <c r="AE413" i="4"/>
  <c r="AE414" i="4"/>
  <c r="AE406" i="4"/>
  <c r="AE3" i="4"/>
  <c r="AH11" i="2"/>
  <c r="AH13" i="2"/>
  <c r="AH10" i="2"/>
  <c r="AH12" i="2"/>
  <c r="AH27" i="2"/>
  <c r="AH16" i="2"/>
  <c r="AH17" i="2"/>
  <c r="AH28" i="2"/>
  <c r="AH5" i="2"/>
  <c r="AH38" i="2"/>
  <c r="AH37" i="2"/>
  <c r="AH36" i="2"/>
  <c r="AH7" i="2"/>
  <c r="AH15" i="2"/>
  <c r="AH29" i="2"/>
  <c r="AH33" i="2"/>
  <c r="AH32" i="2"/>
  <c r="AH34" i="2"/>
  <c r="AH8" i="2"/>
  <c r="AH35" i="2"/>
  <c r="AH31" i="2"/>
  <c r="AH43" i="2"/>
  <c r="AH40" i="2"/>
  <c r="AH39" i="2"/>
  <c r="AH30" i="2"/>
  <c r="AH18" i="2"/>
  <c r="AH42" i="2"/>
  <c r="AH22" i="2"/>
  <c r="AH23" i="2"/>
  <c r="AH41" i="2"/>
  <c r="AH46" i="2"/>
  <c r="AH47" i="2"/>
  <c r="AH51" i="2"/>
  <c r="AH50" i="2"/>
  <c r="AH52" i="2"/>
  <c r="AG388" i="4"/>
  <c r="AG389" i="4"/>
  <c r="AG391" i="4"/>
  <c r="AG390" i="4"/>
  <c r="AG387" i="4"/>
  <c r="AG393" i="4"/>
  <c r="AG403" i="4"/>
  <c r="AG404" i="4"/>
  <c r="AG407" i="4"/>
  <c r="AG394" i="4"/>
  <c r="AG395" i="4"/>
  <c r="AG396" i="4"/>
  <c r="AG397" i="4"/>
  <c r="AG416" i="4"/>
  <c r="AG408" i="4"/>
  <c r="AG412" i="4"/>
  <c r="AG409" i="4"/>
  <c r="AG410" i="4"/>
  <c r="AG398" i="4"/>
  <c r="AG399" i="4"/>
  <c r="AG400" i="4"/>
  <c r="AG401" i="4"/>
  <c r="AG415" i="4"/>
  <c r="AG405" i="4"/>
  <c r="AG411" i="4"/>
  <c r="AG402" i="4"/>
  <c r="AG392" i="4"/>
  <c r="AG413" i="4"/>
  <c r="AG414" i="4"/>
  <c r="AG406" i="4"/>
  <c r="AJ303" i="4"/>
  <c r="AJ304" i="4"/>
  <c r="AJ317" i="4"/>
  <c r="AJ318" i="4"/>
  <c r="AJ309" i="4"/>
  <c r="AJ310" i="4"/>
  <c r="AJ311" i="4"/>
  <c r="AJ312" i="4"/>
  <c r="AJ313" i="4"/>
  <c r="AJ314" i="4"/>
  <c r="AJ305" i="4"/>
  <c r="AJ306" i="4"/>
  <c r="AJ315" i="4"/>
  <c r="AJ307" i="4"/>
  <c r="AJ316" i="4"/>
  <c r="AJ339" i="4"/>
  <c r="AJ320" i="4"/>
  <c r="AJ337" i="4"/>
  <c r="AJ334" i="4"/>
  <c r="AJ335" i="4"/>
  <c r="AJ321" i="4"/>
  <c r="AJ322" i="4"/>
  <c r="AJ323" i="4"/>
  <c r="AJ324" i="4"/>
  <c r="AJ325" i="4"/>
  <c r="AJ319" i="4"/>
  <c r="AJ343" i="4"/>
  <c r="AJ340" i="4"/>
  <c r="AJ338" i="4"/>
  <c r="AJ341" i="4"/>
  <c r="AJ342" i="4"/>
  <c r="AJ349" i="4"/>
  <c r="AJ347" i="4"/>
  <c r="AJ345" i="4"/>
  <c r="AJ344" i="4"/>
  <c r="AJ351" i="4"/>
  <c r="AJ326" i="4"/>
  <c r="AJ327" i="4"/>
  <c r="AJ328" i="4"/>
  <c r="AJ329" i="4"/>
  <c r="AJ336" i="4"/>
  <c r="AJ331" i="4"/>
  <c r="AJ332" i="4"/>
  <c r="AJ333" i="4"/>
  <c r="AJ346" i="4"/>
  <c r="AJ348" i="4"/>
  <c r="AJ350" i="4"/>
  <c r="AJ330" i="4"/>
  <c r="AJ358" i="4"/>
  <c r="AJ369" i="4"/>
  <c r="AJ370" i="4"/>
  <c r="AJ371" i="4"/>
  <c r="AJ372" i="4"/>
  <c r="AJ373" i="4"/>
  <c r="AJ352" i="4"/>
  <c r="AJ364" i="4"/>
  <c r="AJ353" i="4"/>
  <c r="AJ357" i="4"/>
  <c r="AJ355" i="4"/>
  <c r="AJ359" i="4"/>
  <c r="AJ360" i="4"/>
  <c r="AJ365" i="4"/>
  <c r="AJ356" i="4"/>
  <c r="AJ366" i="4"/>
  <c r="AJ367" i="4"/>
  <c r="AJ368" i="4"/>
  <c r="AJ354" i="4"/>
  <c r="AJ361" i="4"/>
  <c r="AJ363" i="4"/>
  <c r="AJ362" i="4"/>
  <c r="AJ374" i="4"/>
  <c r="AJ375" i="4"/>
  <c r="AJ376" i="4"/>
  <c r="AJ377" i="4"/>
  <c r="AJ378" i="4"/>
  <c r="AJ379" i="4"/>
  <c r="AJ380" i="4"/>
  <c r="AJ381" i="4"/>
  <c r="AJ382" i="4"/>
  <c r="AJ383" i="4"/>
  <c r="AJ385" i="4"/>
  <c r="AJ388" i="4"/>
  <c r="AJ389" i="4"/>
  <c r="AJ391" i="4"/>
  <c r="AJ390" i="4"/>
  <c r="AJ387" i="4"/>
  <c r="AJ393" i="4"/>
  <c r="AJ403" i="4"/>
  <c r="AJ404" i="4"/>
  <c r="AJ407" i="4"/>
  <c r="AJ394" i="4"/>
  <c r="AJ395" i="4"/>
  <c r="AJ396" i="4"/>
  <c r="AJ397" i="4"/>
  <c r="AJ416" i="4"/>
  <c r="AJ408" i="4"/>
  <c r="AJ412" i="4"/>
  <c r="AJ409" i="4"/>
  <c r="AJ410" i="4"/>
  <c r="AJ398" i="4"/>
  <c r="AJ399" i="4"/>
  <c r="AJ400" i="4"/>
  <c r="AJ401" i="4"/>
  <c r="AJ415" i="4"/>
  <c r="AJ405" i="4"/>
  <c r="AJ411" i="4"/>
  <c r="AJ402" i="4"/>
  <c r="AJ392" i="4"/>
  <c r="AJ413" i="4"/>
  <c r="AJ414" i="4"/>
  <c r="AJ406" i="4"/>
  <c r="AG260" i="4"/>
  <c r="AG38" i="4"/>
  <c r="AG39" i="4"/>
  <c r="AG170" i="4"/>
  <c r="AG171" i="4"/>
  <c r="AG172" i="4"/>
  <c r="AG206" i="4"/>
  <c r="AG261" i="4"/>
  <c r="AG295" i="4"/>
  <c r="AG56" i="4"/>
  <c r="AG124" i="4"/>
  <c r="AG126" i="4"/>
  <c r="AG233" i="4"/>
  <c r="AG234" i="4"/>
  <c r="AG218" i="4"/>
  <c r="AG103" i="4"/>
  <c r="AG104" i="4"/>
  <c r="AG107" i="4"/>
  <c r="AG115" i="4"/>
  <c r="AG78" i="4"/>
  <c r="AG262" i="4"/>
  <c r="AG94" i="4"/>
  <c r="AG95" i="4"/>
  <c r="AG40" i="4"/>
  <c r="AG21" i="4"/>
  <c r="AG30" i="4"/>
  <c r="AG33" i="4"/>
  <c r="AG42" i="4"/>
  <c r="AG43" i="4"/>
  <c r="AG44" i="4"/>
  <c r="AG105" i="4"/>
  <c r="AG106" i="4"/>
  <c r="AG108" i="4"/>
  <c r="AG116" i="4"/>
  <c r="AG57" i="4"/>
  <c r="AG12" i="4"/>
  <c r="AG60" i="4"/>
  <c r="AG55" i="4"/>
  <c r="AG10" i="4"/>
  <c r="AG185" i="4"/>
  <c r="AG186" i="4"/>
  <c r="AG66" i="4"/>
  <c r="AG125" i="4"/>
  <c r="AG296" i="4"/>
  <c r="AG210" i="4"/>
  <c r="AG211" i="4"/>
  <c r="AG213" i="4"/>
  <c r="AG154" i="4"/>
  <c r="AG214" i="4"/>
  <c r="AG215" i="4"/>
  <c r="AG147" i="4"/>
  <c r="AG148" i="4"/>
  <c r="AG212" i="4"/>
  <c r="AG50" i="4"/>
  <c r="AG51" i="4"/>
  <c r="AG52" i="4"/>
  <c r="AG58" i="4"/>
  <c r="AG36" i="4"/>
  <c r="AG54" i="4"/>
  <c r="AG89" i="4"/>
  <c r="AG26" i="4"/>
  <c r="AG37" i="4"/>
  <c r="AG109" i="4"/>
  <c r="AG3" i="4"/>
  <c r="AG96" i="4"/>
  <c r="AG217" i="4"/>
  <c r="AG199" i="4"/>
  <c r="AG200" i="4"/>
  <c r="AG165" i="4"/>
  <c r="AG166" i="4"/>
  <c r="AG167" i="4"/>
  <c r="AG168" i="4"/>
  <c r="AG32" i="4"/>
  <c r="AG34" i="4"/>
  <c r="AG45" i="4"/>
  <c r="AG46" i="4"/>
  <c r="AG47" i="4"/>
  <c r="AG48" i="4"/>
  <c r="AG49" i="4"/>
  <c r="AG5" i="4"/>
  <c r="AG6" i="4"/>
  <c r="AG7" i="4"/>
  <c r="AG9" i="4"/>
  <c r="AG272" i="4"/>
  <c r="AG273" i="4"/>
  <c r="AG289" i="4"/>
  <c r="AG205" i="4"/>
  <c r="AG62" i="4"/>
  <c r="AG68" i="4"/>
  <c r="AG69" i="4"/>
  <c r="AG8" i="4"/>
  <c r="AG271" i="4"/>
  <c r="AG75" i="4"/>
  <c r="AG53" i="4"/>
  <c r="AG88" i="4"/>
  <c r="AG59" i="4"/>
  <c r="AG298" i="4"/>
  <c r="AG11" i="4"/>
  <c r="AG299" i="4"/>
  <c r="AG99" i="4"/>
  <c r="AG92" i="4"/>
  <c r="AG93" i="4"/>
  <c r="AG240" i="4"/>
  <c r="AG63" i="4"/>
  <c r="AG98" i="4"/>
  <c r="AG145" i="4"/>
  <c r="AG146" i="4"/>
  <c r="AG153" i="4"/>
  <c r="AG118" i="4"/>
  <c r="AG100" i="4"/>
  <c r="AG201" i="4"/>
  <c r="AG101" i="4"/>
  <c r="AG204" i="4"/>
  <c r="AG249" i="4"/>
  <c r="AG268" i="4"/>
  <c r="AG238" i="4"/>
  <c r="AG139" i="4"/>
  <c r="AG22" i="4"/>
  <c r="AG278" i="4"/>
  <c r="AG127" i="4"/>
  <c r="AG35" i="4"/>
  <c r="AG17" i="4"/>
  <c r="AG19" i="4"/>
  <c r="AG20" i="4"/>
  <c r="AG71" i="4"/>
  <c r="AG227" i="4"/>
  <c r="AG74" i="4"/>
  <c r="AG302" i="4"/>
  <c r="AG269" i="4"/>
  <c r="AG151" i="4"/>
  <c r="AG152" i="4"/>
  <c r="AG197" i="4"/>
  <c r="AG198" i="4"/>
  <c r="AG202" i="4"/>
  <c r="AG203" i="4"/>
  <c r="AG128" i="4"/>
  <c r="AG192" i="4"/>
  <c r="AG149" i="4"/>
  <c r="AG150" i="4"/>
  <c r="AG282" i="4"/>
  <c r="AG216" i="4"/>
  <c r="AG162" i="4"/>
  <c r="AG250" i="4"/>
  <c r="AG237" i="4"/>
  <c r="AG143" i="4"/>
  <c r="AG2" i="4"/>
  <c r="AG13" i="4"/>
  <c r="AG242" i="4"/>
  <c r="AG65" i="4"/>
  <c r="AG189" i="4"/>
  <c r="AG253" i="4"/>
  <c r="AG224" i="4"/>
  <c r="AG15" i="4"/>
  <c r="AG256" i="4"/>
  <c r="AG228" i="4"/>
  <c r="AG229" i="4"/>
  <c r="AG244" i="4"/>
  <c r="AG230" i="4"/>
  <c r="AG248" i="4"/>
  <c r="AG221" i="4"/>
  <c r="AG291" i="4"/>
  <c r="AG121" i="4"/>
  <c r="AG222" i="4"/>
  <c r="AG297" i="4"/>
  <c r="AG112" i="4"/>
  <c r="AG64" i="4"/>
  <c r="AG80" i="4"/>
  <c r="AG292" i="4"/>
  <c r="AG81" i="4"/>
  <c r="AG187" i="4"/>
  <c r="AG251" i="4"/>
  <c r="AG300" i="4"/>
  <c r="AG252" i="4"/>
  <c r="AG72" i="4"/>
  <c r="AG73" i="4"/>
  <c r="AG190" i="4"/>
  <c r="AG191" i="4"/>
  <c r="AG129" i="4"/>
  <c r="AG243" i="4"/>
  <c r="AG279" i="4"/>
  <c r="AG287" i="4"/>
  <c r="AG130" i="4"/>
  <c r="AG274" i="4"/>
  <c r="AG263" i="4"/>
  <c r="AG280" i="4"/>
  <c r="AG270" i="4"/>
  <c r="AG281" i="4"/>
  <c r="AG265" i="4"/>
  <c r="AG266" i="4"/>
  <c r="AG132" i="4"/>
  <c r="AG257" i="4"/>
  <c r="AG258" i="4"/>
  <c r="AG196" i="4"/>
  <c r="AG247" i="4"/>
  <c r="AG239" i="4"/>
  <c r="AG140" i="4"/>
  <c r="AG77" i="4"/>
  <c r="AG294" i="4"/>
  <c r="AG301" i="4"/>
  <c r="AG254" i="4"/>
  <c r="AG255" i="4"/>
  <c r="AG225" i="4"/>
  <c r="AG226" i="4"/>
  <c r="AG264" i="4"/>
  <c r="AG231" i="4"/>
  <c r="AG85" i="4"/>
  <c r="AG31" i="4"/>
  <c r="AG141" i="4"/>
  <c r="AG122" i="4"/>
  <c r="AG188" i="4"/>
  <c r="AG144" i="4"/>
  <c r="AG159" i="4"/>
  <c r="AG160" i="4"/>
  <c r="AG161" i="4"/>
  <c r="AG133" i="4"/>
  <c r="AG246" i="4"/>
  <c r="AG119" i="4"/>
  <c r="AG27" i="4"/>
  <c r="AG169" i="4"/>
  <c r="AG102" i="4"/>
  <c r="AG175" i="4"/>
  <c r="AG176" i="4"/>
  <c r="AG90" i="4"/>
  <c r="AG177" i="4"/>
  <c r="AG136" i="4"/>
  <c r="AG178" i="4"/>
  <c r="AG209" i="4"/>
  <c r="AG137" i="4"/>
  <c r="AG138" i="4"/>
  <c r="AG179" i="4"/>
  <c r="AG235" i="4"/>
  <c r="AG91" i="4"/>
  <c r="AG181" i="4"/>
  <c r="AG182" i="4"/>
  <c r="AG61" i="4"/>
  <c r="AG76" i="4"/>
  <c r="AG23" i="4"/>
  <c r="AG25" i="4"/>
  <c r="AG219" i="4"/>
  <c r="AG207" i="4"/>
  <c r="AG220" i="4"/>
  <c r="AG267" i="4"/>
  <c r="AG135" i="4"/>
  <c r="AG208" i="4"/>
  <c r="AG173" i="4"/>
  <c r="AG293" i="4"/>
  <c r="AG142" i="4"/>
  <c r="AG241" i="4"/>
  <c r="AG97" i="4"/>
  <c r="AG113" i="4"/>
  <c r="AG290" i="4"/>
  <c r="AG67" i="4"/>
  <c r="AG14" i="4"/>
  <c r="AG16" i="4"/>
  <c r="AG18" i="4"/>
  <c r="AG131" i="4"/>
  <c r="AG259" i="4"/>
  <c r="AG117" i="4"/>
  <c r="AG174" i="4"/>
  <c r="AG120" i="4"/>
  <c r="AG111" i="4"/>
  <c r="AG236" i="4"/>
  <c r="AG284" i="4"/>
  <c r="AG285" i="4"/>
  <c r="AG286" i="4"/>
  <c r="AG70" i="4"/>
  <c r="AG183" i="4"/>
  <c r="AG41" i="4"/>
  <c r="AG87" i="4"/>
  <c r="AG180" i="4"/>
  <c r="AG110" i="4"/>
  <c r="AG29" i="4"/>
  <c r="AG223" i="4"/>
  <c r="AG79" i="4"/>
  <c r="AG184" i="4"/>
  <c r="AG114" i="4"/>
  <c r="AG123" i="4"/>
  <c r="AG82" i="4"/>
  <c r="AG83" i="4"/>
  <c r="AG84" i="4"/>
  <c r="AG4" i="4"/>
  <c r="AG24" i="4"/>
  <c r="AG155" i="4"/>
  <c r="AG193" i="4"/>
  <c r="AG156" i="4"/>
  <c r="AG157" i="4"/>
  <c r="AG158" i="4"/>
  <c r="AG194" i="4"/>
  <c r="AG288" i="4"/>
  <c r="AG195" i="4"/>
  <c r="AG245" i="4"/>
  <c r="AG163" i="4"/>
  <c r="AG303" i="4"/>
  <c r="AG304" i="4"/>
  <c r="AG317" i="4"/>
  <c r="AG318" i="4"/>
  <c r="AG309" i="4"/>
  <c r="AG310" i="4"/>
  <c r="AG311" i="4"/>
  <c r="AG312" i="4"/>
  <c r="AG313" i="4"/>
  <c r="AG314" i="4"/>
  <c r="AG305" i="4"/>
  <c r="AG306" i="4"/>
  <c r="AG315" i="4"/>
  <c r="AG307" i="4"/>
  <c r="AG316" i="4"/>
  <c r="AG339" i="4"/>
  <c r="AG320" i="4"/>
  <c r="AG337" i="4"/>
  <c r="AG334" i="4"/>
  <c r="AG335" i="4"/>
  <c r="AG321" i="4"/>
  <c r="AG322" i="4"/>
  <c r="AG323" i="4"/>
  <c r="AG324" i="4"/>
  <c r="AG325" i="4"/>
  <c r="AG319" i="4"/>
  <c r="AG343" i="4"/>
  <c r="AG340" i="4"/>
  <c r="AG338" i="4"/>
  <c r="AG341" i="4"/>
  <c r="AG342" i="4"/>
  <c r="AG349" i="4"/>
  <c r="AG347" i="4"/>
  <c r="AG345" i="4"/>
  <c r="AG344" i="4"/>
  <c r="AG351" i="4"/>
  <c r="AG326" i="4"/>
  <c r="AG327" i="4"/>
  <c r="AG328" i="4"/>
  <c r="AG329" i="4"/>
  <c r="AG336" i="4"/>
  <c r="AG331" i="4"/>
  <c r="AG332" i="4"/>
  <c r="AG333" i="4"/>
  <c r="AG346" i="4"/>
  <c r="AG348" i="4"/>
  <c r="AG350" i="4"/>
  <c r="AG330" i="4"/>
  <c r="AG358" i="4"/>
  <c r="AG369" i="4"/>
  <c r="AG370" i="4"/>
  <c r="AG371" i="4"/>
  <c r="AG372" i="4"/>
  <c r="AG373" i="4"/>
  <c r="AG352" i="4"/>
  <c r="AG364" i="4"/>
  <c r="AG353" i="4"/>
  <c r="AG357" i="4"/>
  <c r="AG355" i="4"/>
  <c r="AG359" i="4"/>
  <c r="AG360" i="4"/>
  <c r="AG365" i="4"/>
  <c r="AG356" i="4"/>
  <c r="AG366" i="4"/>
  <c r="AG367" i="4"/>
  <c r="AG368" i="4"/>
  <c r="AG354" i="4"/>
  <c r="AG361" i="4"/>
  <c r="AG363" i="4"/>
  <c r="AG362" i="4"/>
  <c r="AG374" i="4"/>
  <c r="AG375" i="4"/>
  <c r="AG376" i="4"/>
  <c r="AG377" i="4"/>
  <c r="AG378" i="4"/>
  <c r="AG379" i="4"/>
  <c r="AG380" i="4"/>
  <c r="AG381" i="4"/>
  <c r="AG382" i="4"/>
  <c r="AG383" i="4"/>
  <c r="AG385" i="4"/>
  <c r="AG283" i="4"/>
  <c r="B298" i="5"/>
  <c r="AM298" i="5"/>
  <c r="AQ298" i="5"/>
  <c r="B202" i="5"/>
  <c r="AM202" i="5"/>
  <c r="AQ202" i="5"/>
  <c r="B205" i="5"/>
  <c r="AM205" i="5"/>
  <c r="AQ205" i="5"/>
  <c r="B197" i="5"/>
  <c r="AM197" i="5"/>
  <c r="AQ197" i="5"/>
  <c r="B207" i="5"/>
  <c r="AM207" i="5"/>
  <c r="AQ207" i="5"/>
  <c r="B23" i="5"/>
  <c r="AM23" i="5"/>
  <c r="AQ23" i="5"/>
  <c r="B69" i="5"/>
  <c r="AM69" i="5"/>
  <c r="AQ69" i="5"/>
  <c r="AM47" i="2"/>
  <c r="AM46" i="2"/>
  <c r="AM51" i="2"/>
  <c r="AM50" i="2"/>
  <c r="AM52" i="2"/>
  <c r="B58" i="5"/>
  <c r="AM58" i="5"/>
  <c r="AQ58" i="5"/>
  <c r="B270" i="5"/>
  <c r="B294" i="5"/>
  <c r="B281" i="5"/>
  <c r="B2" i="5"/>
  <c r="B4" i="5"/>
  <c r="B29" i="5"/>
  <c r="B30" i="5"/>
  <c r="B32" i="5"/>
  <c r="B33" i="5"/>
  <c r="B31" i="5"/>
  <c r="B230" i="5"/>
  <c r="B12" i="5"/>
  <c r="B136" i="5"/>
  <c r="B66" i="5"/>
  <c r="B15" i="5"/>
  <c r="B27" i="5"/>
  <c r="B97" i="5"/>
  <c r="B10" i="5"/>
  <c r="B156" i="5"/>
  <c r="B150" i="5"/>
  <c r="B11" i="5"/>
  <c r="B67" i="5"/>
  <c r="B13" i="5"/>
  <c r="B229" i="5"/>
  <c r="B282" i="5"/>
  <c r="B37" i="5"/>
  <c r="B22" i="5"/>
  <c r="B24" i="5"/>
  <c r="B14" i="5"/>
  <c r="B288" i="5"/>
  <c r="B232" i="5"/>
  <c r="B290" i="5"/>
  <c r="B291" i="5"/>
  <c r="B286" i="5"/>
  <c r="B9" i="5"/>
  <c r="B274" i="5"/>
  <c r="B231" i="5"/>
  <c r="B6" i="5"/>
  <c r="B5" i="5"/>
  <c r="B35" i="5"/>
  <c r="B289" i="5"/>
  <c r="B36" i="5"/>
  <c r="B26" i="5"/>
  <c r="B25" i="5"/>
  <c r="B7" i="5"/>
  <c r="B296" i="5"/>
  <c r="B8" i="5"/>
  <c r="B295" i="5"/>
  <c r="B3" i="5"/>
  <c r="B280" i="5"/>
  <c r="B28" i="5"/>
  <c r="B283" i="5"/>
  <c r="B269" i="5"/>
  <c r="B287" i="5"/>
  <c r="B18" i="5"/>
  <c r="B17" i="5"/>
  <c r="B16" i="5"/>
  <c r="B183" i="5"/>
  <c r="B117" i="5"/>
  <c r="B158" i="5"/>
  <c r="B171" i="5"/>
  <c r="B228" i="5"/>
  <c r="B226" i="5"/>
  <c r="B153" i="5"/>
  <c r="B132" i="5"/>
  <c r="B184" i="5"/>
  <c r="B186" i="5"/>
  <c r="B187" i="5"/>
  <c r="B77" i="5"/>
  <c r="B96" i="5"/>
  <c r="B180" i="5"/>
  <c r="B140" i="5"/>
  <c r="B185" i="5"/>
  <c r="B222" i="5"/>
  <c r="B173" i="5"/>
  <c r="B241" i="5"/>
  <c r="B79" i="5"/>
  <c r="B227" i="5"/>
  <c r="B224" i="5"/>
  <c r="B223" i="5"/>
  <c r="B189" i="5"/>
  <c r="B88" i="5"/>
  <c r="B89" i="5"/>
  <c r="B98" i="5"/>
  <c r="B139" i="5"/>
  <c r="B155" i="5"/>
  <c r="B114" i="5"/>
  <c r="B182" i="5"/>
  <c r="B216" i="5"/>
  <c r="B195" i="5"/>
  <c r="B118" i="5"/>
  <c r="B141" i="5"/>
  <c r="B127" i="5"/>
  <c r="B194" i="5"/>
  <c r="B174" i="5"/>
  <c r="B170" i="5"/>
  <c r="B109" i="5"/>
  <c r="B250" i="5"/>
  <c r="B164" i="5"/>
  <c r="B165" i="5"/>
  <c r="B166" i="5"/>
  <c r="B271" i="5"/>
  <c r="B233" i="5"/>
  <c r="B91" i="5"/>
  <c r="B137" i="5"/>
  <c r="B90" i="5"/>
  <c r="B51" i="5"/>
  <c r="B52" i="5"/>
  <c r="B116" i="5"/>
  <c r="B102" i="5"/>
  <c r="B50" i="5"/>
  <c r="B103" i="5"/>
  <c r="B53" i="5"/>
  <c r="B120" i="5"/>
  <c r="B138" i="5"/>
  <c r="B123" i="5"/>
  <c r="B104" i="5"/>
  <c r="B146" i="5"/>
  <c r="B169" i="5"/>
  <c r="B142" i="5"/>
  <c r="B122" i="5"/>
  <c r="B145" i="5"/>
  <c r="B162" i="5"/>
  <c r="B154" i="5"/>
  <c r="B46" i="5"/>
  <c r="B199" i="5"/>
  <c r="B217" i="5"/>
  <c r="B168" i="5"/>
  <c r="B148" i="5"/>
  <c r="B41" i="5"/>
  <c r="B112" i="5"/>
  <c r="B239" i="5"/>
  <c r="B124" i="5"/>
  <c r="B56" i="5"/>
  <c r="B242" i="5"/>
  <c r="B87" i="5"/>
  <c r="B213" i="5"/>
  <c r="B181" i="5"/>
  <c r="B215" i="5"/>
  <c r="B55" i="5"/>
  <c r="B106" i="5"/>
  <c r="B107" i="5"/>
  <c r="B108" i="5"/>
  <c r="B111" i="5"/>
  <c r="B249" i="5"/>
  <c r="B48" i="5"/>
  <c r="B62" i="5"/>
  <c r="B121" i="5"/>
  <c r="B161" i="5"/>
  <c r="B190" i="5"/>
  <c r="B159" i="5"/>
  <c r="B160" i="5"/>
  <c r="B72" i="5"/>
  <c r="B85" i="5"/>
  <c r="B192" i="5"/>
  <c r="B73" i="5"/>
  <c r="B252" i="5"/>
  <c r="B92" i="5"/>
  <c r="B214" i="5"/>
  <c r="B60" i="5"/>
  <c r="B244" i="5"/>
  <c r="B247" i="5"/>
  <c r="B115" i="5"/>
  <c r="B119" i="5"/>
  <c r="B126" i="5"/>
  <c r="B246" i="5"/>
  <c r="B248" i="5"/>
  <c r="B59" i="5"/>
  <c r="B221" i="5"/>
  <c r="B65" i="5"/>
  <c r="B70" i="5"/>
  <c r="B130" i="5"/>
  <c r="B81" i="5"/>
  <c r="B83" i="5"/>
  <c r="B86" i="5"/>
  <c r="B179" i="5"/>
  <c r="B209" i="5"/>
  <c r="B211" i="5"/>
  <c r="B245" i="5"/>
  <c r="B254" i="5"/>
  <c r="B198" i="5"/>
  <c r="B144" i="5"/>
  <c r="B110" i="5"/>
  <c r="B212" i="5"/>
  <c r="B152" i="5"/>
  <c r="B38" i="5"/>
  <c r="B78" i="5"/>
  <c r="B94" i="5"/>
  <c r="B71" i="5"/>
  <c r="B74" i="5"/>
  <c r="B128" i="5"/>
  <c r="B84" i="5"/>
  <c r="B105" i="5"/>
  <c r="B167" i="5"/>
  <c r="B135" i="5"/>
  <c r="B238" i="5"/>
  <c r="B251" i="5"/>
  <c r="B82" i="5"/>
  <c r="B157" i="5"/>
  <c r="B191" i="5"/>
  <c r="B47" i="5"/>
  <c r="B177" i="5"/>
  <c r="B235" i="5"/>
  <c r="B163" i="5"/>
  <c r="B243" i="5"/>
  <c r="B236" i="5"/>
  <c r="B54" i="5"/>
  <c r="B63" i="5"/>
  <c r="B237" i="5"/>
  <c r="B201" i="5"/>
  <c r="B39" i="5"/>
  <c r="B95" i="5"/>
  <c r="B206" i="5"/>
  <c r="B133" i="5"/>
  <c r="B93" i="5"/>
  <c r="B210" i="5"/>
  <c r="B172" i="5"/>
  <c r="B125" i="5"/>
  <c r="B44" i="5"/>
  <c r="B225" i="5"/>
  <c r="B75" i="5"/>
  <c r="B234" i="5"/>
  <c r="B68" i="5"/>
  <c r="B203" i="5"/>
  <c r="B131" i="5"/>
  <c r="B57" i="5"/>
  <c r="B196" i="5"/>
  <c r="B204" i="5"/>
  <c r="B43" i="5"/>
  <c r="B220" i="5"/>
  <c r="B49" i="5"/>
  <c r="B99" i="5"/>
  <c r="B208" i="5"/>
  <c r="B219" i="5"/>
  <c r="B64" i="5"/>
  <c r="B100" i="5"/>
  <c r="B218" i="5"/>
  <c r="B178" i="5"/>
  <c r="B61" i="5"/>
  <c r="B129" i="5"/>
  <c r="B175" i="5"/>
  <c r="B188" i="5"/>
  <c r="B176" i="5"/>
  <c r="B149" i="5"/>
  <c r="B151" i="5"/>
  <c r="B257" i="5"/>
  <c r="B255" i="5"/>
  <c r="B42" i="5"/>
  <c r="B258" i="5"/>
  <c r="B134" i="5"/>
  <c r="B253" i="5"/>
  <c r="B263" i="5"/>
  <c r="B256" i="5"/>
  <c r="B40" i="5"/>
  <c r="B80" i="5"/>
  <c r="B147" i="5"/>
  <c r="B193" i="5"/>
  <c r="B76" i="5"/>
  <c r="B45" i="5"/>
  <c r="B113" i="5"/>
  <c r="B101" i="5"/>
  <c r="B143" i="5"/>
  <c r="B262" i="5"/>
  <c r="B259" i="5"/>
  <c r="B261" i="5"/>
  <c r="B260" i="5"/>
  <c r="B264" i="5"/>
  <c r="B292" i="5"/>
  <c r="B276" i="5"/>
  <c r="B297" i="5"/>
  <c r="B265" i="5"/>
  <c r="B267" i="5"/>
  <c r="B266" i="5"/>
  <c r="B278" i="5"/>
  <c r="B277" i="5"/>
  <c r="B273" i="5"/>
  <c r="B275" i="5"/>
  <c r="B285" i="5"/>
  <c r="B284" i="5"/>
  <c r="B293" i="5"/>
  <c r="B272" i="5"/>
  <c r="B268" i="5"/>
  <c r="B279" i="5"/>
  <c r="B303" i="5"/>
  <c r="B304" i="5"/>
  <c r="B305" i="5"/>
  <c r="B306" i="5"/>
  <c r="B308" i="5"/>
  <c r="B309" i="5"/>
  <c r="B310" i="5"/>
  <c r="B311" i="5"/>
  <c r="B312" i="5"/>
  <c r="B313" i="5"/>
  <c r="B314" i="5"/>
  <c r="B315" i="5"/>
  <c r="B316" i="5"/>
  <c r="B317" i="5"/>
  <c r="B318" i="5"/>
  <c r="B335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6" i="5"/>
  <c r="B337" i="5"/>
  <c r="B338" i="5"/>
  <c r="B339" i="5"/>
  <c r="B341" i="5"/>
  <c r="B342" i="5"/>
  <c r="B343" i="5"/>
  <c r="B344" i="5"/>
  <c r="B345" i="5"/>
  <c r="B346" i="5"/>
  <c r="B347" i="5"/>
  <c r="B348" i="5"/>
  <c r="B349" i="5"/>
  <c r="B350" i="5"/>
  <c r="B34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8" i="5"/>
  <c r="B374" i="5"/>
  <c r="B375" i="5"/>
  <c r="B376" i="5"/>
  <c r="B377" i="5"/>
  <c r="B379" i="5"/>
  <c r="B380" i="5"/>
  <c r="B381" i="5"/>
  <c r="B382" i="5"/>
  <c r="B383" i="5"/>
  <c r="B384" i="5"/>
  <c r="B387" i="5"/>
  <c r="B388" i="5"/>
  <c r="B391" i="5"/>
  <c r="B389" i="5"/>
  <c r="B390" i="5"/>
  <c r="B395" i="5"/>
  <c r="B410" i="5"/>
  <c r="B413" i="5"/>
  <c r="B392" i="5"/>
  <c r="B396" i="5"/>
  <c r="B397" i="5"/>
  <c r="B398" i="5"/>
  <c r="B399" i="5"/>
  <c r="B405" i="5"/>
  <c r="B406" i="5"/>
  <c r="B407" i="5"/>
  <c r="B408" i="5"/>
  <c r="B412" i="5"/>
  <c r="B393" i="5"/>
  <c r="B394" i="5"/>
  <c r="B403" i="5"/>
  <c r="B404" i="5"/>
  <c r="B411" i="5"/>
  <c r="B414" i="5"/>
  <c r="B415" i="5"/>
  <c r="B416" i="5"/>
  <c r="B400" i="5"/>
  <c r="B409" i="5"/>
  <c r="B402" i="5"/>
  <c r="B401" i="5"/>
  <c r="B34" i="5"/>
  <c r="AA51" i="4"/>
  <c r="AA52" i="4"/>
  <c r="AA260" i="4"/>
  <c r="AA58" i="4"/>
  <c r="AA36" i="4"/>
  <c r="AA53" i="4"/>
  <c r="AA54" i="4"/>
  <c r="AA88" i="4"/>
  <c r="AA59" i="4"/>
  <c r="AA89" i="4"/>
  <c r="AA26" i="4"/>
  <c r="AA272" i="4"/>
  <c r="AA273" i="4"/>
  <c r="AA289" i="4"/>
  <c r="AA205" i="4"/>
  <c r="AA27" i="4"/>
  <c r="AA169" i="4"/>
  <c r="AA219" i="4"/>
  <c r="AA102" i="4"/>
  <c r="AA103" i="4"/>
  <c r="AA104" i="4"/>
  <c r="AA105" i="4"/>
  <c r="AA106" i="4"/>
  <c r="AA107" i="4"/>
  <c r="AA108" i="4"/>
  <c r="AA5" i="4"/>
  <c r="AA37" i="4"/>
  <c r="AA38" i="4"/>
  <c r="AA39" i="4"/>
  <c r="AA109" i="4"/>
  <c r="AA60" i="4"/>
  <c r="AA55" i="4"/>
  <c r="AA170" i="4"/>
  <c r="AA171" i="4"/>
  <c r="AA172" i="4"/>
  <c r="AA206" i="4"/>
  <c r="AA207" i="4"/>
  <c r="AA220" i="4"/>
  <c r="AA267" i="4"/>
  <c r="AA135" i="4"/>
  <c r="AA208" i="4"/>
  <c r="AA248" i="4"/>
  <c r="AA302" i="4"/>
  <c r="AA173" i="4"/>
  <c r="AA174" i="4"/>
  <c r="AA221" i="4"/>
  <c r="AA175" i="4"/>
  <c r="AA176" i="4"/>
  <c r="AA90" i="4"/>
  <c r="AA177" i="4"/>
  <c r="AA136" i="4"/>
  <c r="AA178" i="4"/>
  <c r="AA209" i="4"/>
  <c r="AA137" i="4"/>
  <c r="AA138" i="4"/>
  <c r="AA179" i="4"/>
  <c r="AA235" i="4"/>
  <c r="AA180" i="4"/>
  <c r="AA110" i="4"/>
  <c r="AA293" i="4"/>
  <c r="AA40" i="4"/>
  <c r="AA21" i="4"/>
  <c r="AA91" i="4"/>
  <c r="AA181" i="4"/>
  <c r="AA182" i="4"/>
  <c r="AA120" i="4"/>
  <c r="AA111" i="4"/>
  <c r="AA236" i="4"/>
  <c r="AA61" i="4"/>
  <c r="AA261" i="4"/>
  <c r="AA10" i="4"/>
  <c r="AA12" i="4"/>
  <c r="AA295" i="4"/>
  <c r="AA249" i="4"/>
  <c r="AA268" i="4"/>
  <c r="AA291" i="4"/>
  <c r="AA283" i="4"/>
  <c r="AA250" i="4"/>
  <c r="AA237" i="4"/>
  <c r="AA238" i="4"/>
  <c r="AA284" i="4"/>
  <c r="AA285" i="4"/>
  <c r="AA286" i="4"/>
  <c r="AA62" i="4"/>
  <c r="AA139" i="4"/>
  <c r="AA92" i="4"/>
  <c r="AA93" i="4"/>
  <c r="AA121" i="4"/>
  <c r="AA239" i="4"/>
  <c r="AA269" i="4"/>
  <c r="AA76" i="4"/>
  <c r="AA56" i="4"/>
  <c r="AA29" i="4"/>
  <c r="AA222" i="4"/>
  <c r="AA22" i="4"/>
  <c r="AA240" i="4"/>
  <c r="AA23" i="4"/>
  <c r="AA63" i="4"/>
  <c r="AA3" i="4"/>
  <c r="AA183" i="4"/>
  <c r="AA297" i="4"/>
  <c r="AA140" i="4"/>
  <c r="AA77" i="4"/>
  <c r="AA94" i="4"/>
  <c r="AA78" i="4"/>
  <c r="AA96" i="4"/>
  <c r="AA95" i="4"/>
  <c r="AA141" i="4"/>
  <c r="AA298" i="4"/>
  <c r="AA223" i="4"/>
  <c r="AA112" i="4"/>
  <c r="AA142" i="4"/>
  <c r="AA143" i="4"/>
  <c r="AA30" i="4"/>
  <c r="AA31" i="4"/>
  <c r="AA241" i="4"/>
  <c r="AA32" i="4"/>
  <c r="AA97" i="4"/>
  <c r="AA79" i="4"/>
  <c r="AA184" i="4"/>
  <c r="AA64" i="4"/>
  <c r="AA2" i="4"/>
  <c r="AA80" i="4"/>
  <c r="AA262" i="4"/>
  <c r="AA113" i="4"/>
  <c r="AA185" i="4"/>
  <c r="AA11" i="4"/>
  <c r="AA33" i="4"/>
  <c r="AA114" i="4"/>
  <c r="AA278" i="4"/>
  <c r="AA290" i="4"/>
  <c r="AA122" i="4"/>
  <c r="AA13" i="4"/>
  <c r="AA292" i="4"/>
  <c r="AA294" i="4"/>
  <c r="AA123" i="4"/>
  <c r="AA242" i="4"/>
  <c r="AA124" i="4"/>
  <c r="AA81" i="4"/>
  <c r="AA65" i="4"/>
  <c r="AA34" i="4"/>
  <c r="AA186" i="4"/>
  <c r="AA66" i="4"/>
  <c r="AA125" i="4"/>
  <c r="AA41" i="4"/>
  <c r="AA187" i="4"/>
  <c r="AA188" i="4"/>
  <c r="AA251" i="4"/>
  <c r="AA300" i="4"/>
  <c r="AA299" i="4"/>
  <c r="AA144" i="4"/>
  <c r="AA296" i="4"/>
  <c r="AA252" i="4"/>
  <c r="AA82" i="4"/>
  <c r="AA83" i="4"/>
  <c r="AA84" i="4"/>
  <c r="AA115" i="4"/>
  <c r="AA126" i="4"/>
  <c r="AA116" i="4"/>
  <c r="AA57" i="4"/>
  <c r="AA98" i="4"/>
  <c r="AA67" i="4"/>
  <c r="AA68" i="4"/>
  <c r="AA99" i="4"/>
  <c r="AA42" i="4"/>
  <c r="AA43" i="4"/>
  <c r="AA44" i="4"/>
  <c r="AA189" i="4"/>
  <c r="AA253" i="4"/>
  <c r="AA224" i="4"/>
  <c r="AA69" i="4"/>
  <c r="AA127" i="4"/>
  <c r="AA70" i="4"/>
  <c r="AA35" i="4"/>
  <c r="AA4" i="4"/>
  <c r="AA6" i="4"/>
  <c r="AA7" i="4"/>
  <c r="AA8" i="4"/>
  <c r="AA145" i="4"/>
  <c r="AA128" i="4"/>
  <c r="AA14" i="4"/>
  <c r="AA15" i="4"/>
  <c r="AA24" i="4"/>
  <c r="AA16" i="4"/>
  <c r="AA17" i="4"/>
  <c r="AA18" i="4"/>
  <c r="AA19" i="4"/>
  <c r="AA20" i="4"/>
  <c r="AA9" i="4"/>
  <c r="AA301" i="4"/>
  <c r="AA71" i="4"/>
  <c r="AA72" i="4"/>
  <c r="AA73" i="4"/>
  <c r="AA190" i="4"/>
  <c r="AA191" i="4"/>
  <c r="AA129" i="4"/>
  <c r="AA243" i="4"/>
  <c r="AA254" i="4"/>
  <c r="AA255" i="4"/>
  <c r="AA146" i="4"/>
  <c r="AA192" i="4"/>
  <c r="AA279" i="4"/>
  <c r="AA287" i="4"/>
  <c r="AA130" i="4"/>
  <c r="AA274" i="4"/>
  <c r="AA263" i="4"/>
  <c r="AA280" i="4"/>
  <c r="AA270" i="4"/>
  <c r="AA281" i="4"/>
  <c r="AA225" i="4"/>
  <c r="AA226" i="4"/>
  <c r="AA264" i="4"/>
  <c r="AA131" i="4"/>
  <c r="AA147" i="4"/>
  <c r="AA148" i="4"/>
  <c r="AA210" i="4"/>
  <c r="AA149" i="4"/>
  <c r="AA150" i="4"/>
  <c r="AA227" i="4"/>
  <c r="AA151" i="4"/>
  <c r="AA152" i="4"/>
  <c r="AA153" i="4"/>
  <c r="AA211" i="4"/>
  <c r="AA212" i="4"/>
  <c r="AA213" i="4"/>
  <c r="AA154" i="4"/>
  <c r="AA214" i="4"/>
  <c r="AA215" i="4"/>
  <c r="AA265" i="4"/>
  <c r="AA266" i="4"/>
  <c r="AA74" i="4"/>
  <c r="AA155" i="4"/>
  <c r="AA132" i="4"/>
  <c r="AA193" i="4"/>
  <c r="AA156" i="4"/>
  <c r="AA157" i="4"/>
  <c r="AA158" i="4"/>
  <c r="AA256" i="4"/>
  <c r="AA161" i="4"/>
  <c r="AA228" i="4"/>
  <c r="AA229" i="4"/>
  <c r="AA244" i="4"/>
  <c r="AA230" i="4"/>
  <c r="AA231" i="4"/>
  <c r="AA282" i="4"/>
  <c r="AA216" i="4"/>
  <c r="AA85" i="4"/>
  <c r="AA194" i="4"/>
  <c r="AA271" i="4"/>
  <c r="AA133" i="4"/>
  <c r="AA217" i="4"/>
  <c r="AA195" i="4"/>
  <c r="AA257" i="4"/>
  <c r="AA258" i="4"/>
  <c r="AA196" i="4"/>
  <c r="AA233" i="4"/>
  <c r="AA246" i="4"/>
  <c r="AA247" i="4"/>
  <c r="AA259" i="4"/>
  <c r="AA117" i="4"/>
  <c r="AA288" i="4"/>
  <c r="AA234" i="4"/>
  <c r="AA45" i="4"/>
  <c r="AA46" i="4"/>
  <c r="AA47" i="4"/>
  <c r="AA48" i="4"/>
  <c r="AA49" i="4"/>
  <c r="AA197" i="4"/>
  <c r="AA198" i="4"/>
  <c r="AA118" i="4"/>
  <c r="AA162" i="4"/>
  <c r="AA159" i="4"/>
  <c r="AA160" i="4"/>
  <c r="AA100" i="4"/>
  <c r="AA163" i="4"/>
  <c r="AA119" i="4"/>
  <c r="AA218" i="4"/>
  <c r="AA245" i="4"/>
  <c r="AA199" i="4"/>
  <c r="AA200" i="4"/>
  <c r="AA165" i="4"/>
  <c r="AA166" i="4"/>
  <c r="AA167" i="4"/>
  <c r="AA168" i="4"/>
  <c r="AA201" i="4"/>
  <c r="AA75" i="4"/>
  <c r="AA101" i="4"/>
  <c r="AA87" i="4"/>
  <c r="AA202" i="4"/>
  <c r="AA203" i="4"/>
  <c r="AA204" i="4"/>
  <c r="AA25" i="4"/>
  <c r="AA303" i="4"/>
  <c r="AA304" i="4"/>
  <c r="AA317" i="4"/>
  <c r="AA318" i="4"/>
  <c r="AA309" i="4"/>
  <c r="AA310" i="4"/>
  <c r="AA311" i="4"/>
  <c r="AA312" i="4"/>
  <c r="AA313" i="4"/>
  <c r="AA314" i="4"/>
  <c r="AA305" i="4"/>
  <c r="AA306" i="4"/>
  <c r="AA315" i="4"/>
  <c r="AA307" i="4"/>
  <c r="AA316" i="4"/>
  <c r="AA339" i="4"/>
  <c r="AA320" i="4"/>
  <c r="AA337" i="4"/>
  <c r="AA334" i="4"/>
  <c r="AA335" i="4"/>
  <c r="AA321" i="4"/>
  <c r="AA322" i="4"/>
  <c r="AA323" i="4"/>
  <c r="AA324" i="4"/>
  <c r="AA325" i="4"/>
  <c r="AA319" i="4"/>
  <c r="AA343" i="4"/>
  <c r="AA340" i="4"/>
  <c r="AA338" i="4"/>
  <c r="AA341" i="4"/>
  <c r="AA342" i="4"/>
  <c r="AA349" i="4"/>
  <c r="AA347" i="4"/>
  <c r="AA345" i="4"/>
  <c r="AA344" i="4"/>
  <c r="AA350" i="4"/>
  <c r="AA351" i="4"/>
  <c r="AA326" i="4"/>
  <c r="AA327" i="4"/>
  <c r="AA328" i="4"/>
  <c r="AA329" i="4"/>
  <c r="AA336" i="4"/>
  <c r="AA330" i="4"/>
  <c r="AA331" i="4"/>
  <c r="AA332" i="4"/>
  <c r="AA333" i="4"/>
  <c r="AA346" i="4"/>
  <c r="AA348" i="4"/>
  <c r="AA358" i="4"/>
  <c r="AA369" i="4"/>
  <c r="AA354" i="4"/>
  <c r="AA370" i="4"/>
  <c r="AA371" i="4"/>
  <c r="AA372" i="4"/>
  <c r="AA373" i="4"/>
  <c r="AA352" i="4"/>
  <c r="AA364" i="4"/>
  <c r="AA353" i="4"/>
  <c r="AA357" i="4"/>
  <c r="AA355" i="4"/>
  <c r="AA359" i="4"/>
  <c r="AA360" i="4"/>
  <c r="AA365" i="4"/>
  <c r="AA356" i="4"/>
  <c r="AA366" i="4"/>
  <c r="AA367" i="4"/>
  <c r="AA361" i="4"/>
  <c r="AA363" i="4"/>
  <c r="AA368" i="4"/>
  <c r="AA362" i="4"/>
  <c r="AA374" i="4"/>
  <c r="AA375" i="4"/>
  <c r="AA376" i="4"/>
  <c r="AA377" i="4"/>
  <c r="AA378" i="4"/>
  <c r="AA379" i="4"/>
  <c r="AA380" i="4"/>
  <c r="AA381" i="4"/>
  <c r="AA382" i="4"/>
  <c r="AA383" i="4"/>
  <c r="AA385" i="4"/>
  <c r="AA391" i="4"/>
  <c r="AA390" i="4"/>
  <c r="AA389" i="4"/>
  <c r="AA388" i="4"/>
  <c r="AA387" i="4"/>
  <c r="AA393" i="4"/>
  <c r="AA403" i="4"/>
  <c r="AA404" i="4"/>
  <c r="AA407" i="4"/>
  <c r="AA394" i="4"/>
  <c r="AA395" i="4"/>
  <c r="AA396" i="4"/>
  <c r="AA397" i="4"/>
  <c r="AA416" i="4"/>
  <c r="AA408" i="4"/>
  <c r="AA412" i="4"/>
  <c r="AA409" i="4"/>
  <c r="AA410" i="4"/>
  <c r="AA398" i="4"/>
  <c r="AA399" i="4"/>
  <c r="AA400" i="4"/>
  <c r="AA401" i="4"/>
  <c r="AA415" i="4"/>
  <c r="AA405" i="4"/>
  <c r="AA411" i="4"/>
  <c r="AA402" i="4"/>
  <c r="AA392" i="4"/>
  <c r="AA413" i="4"/>
  <c r="AA414" i="4"/>
  <c r="AA406" i="4"/>
  <c r="AA50" i="4"/>
  <c r="AM118" i="5"/>
  <c r="C39" i="8"/>
  <c r="E40" i="8"/>
  <c r="E41" i="8"/>
  <c r="E2" i="8"/>
  <c r="E42" i="8"/>
  <c r="E43" i="8"/>
  <c r="E44" i="8"/>
  <c r="E72" i="8"/>
  <c r="E73" i="8"/>
  <c r="E74" i="8"/>
  <c r="E75" i="8"/>
  <c r="E76" i="8"/>
  <c r="E77" i="8"/>
  <c r="E78" i="8"/>
  <c r="E6" i="8"/>
  <c r="E7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45" i="8"/>
  <c r="E46" i="8"/>
  <c r="E47" i="8"/>
  <c r="E3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4" i="8"/>
  <c r="E61" i="8"/>
  <c r="E62" i="8"/>
  <c r="E5" i="8"/>
  <c r="E63" i="8"/>
  <c r="E64" i="8"/>
  <c r="E65" i="8"/>
  <c r="E66" i="8"/>
  <c r="E67" i="8"/>
  <c r="E68" i="8"/>
  <c r="E69" i="8"/>
  <c r="E70" i="8"/>
  <c r="E71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8" i="8"/>
  <c r="E142" i="8"/>
  <c r="E143" i="8"/>
  <c r="E144" i="8"/>
  <c r="E145" i="8"/>
  <c r="E146" i="8"/>
  <c r="E147" i="8"/>
  <c r="E148" i="8"/>
  <c r="E149" i="8"/>
  <c r="E150" i="8"/>
  <c r="E9" i="8"/>
  <c r="E10" i="8"/>
  <c r="E11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2" i="8"/>
  <c r="E173" i="8"/>
  <c r="E174" i="8"/>
  <c r="E175" i="8"/>
  <c r="E176" i="8"/>
  <c r="E177" i="8"/>
  <c r="E178" i="8"/>
  <c r="E179" i="8"/>
  <c r="E180" i="8"/>
  <c r="E181" i="8"/>
  <c r="E182" i="8"/>
  <c r="E13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4" i="8"/>
  <c r="E195" i="8"/>
  <c r="E196" i="8"/>
  <c r="E197" i="8"/>
  <c r="E198" i="8"/>
  <c r="E199" i="8"/>
  <c r="E200" i="8"/>
  <c r="E201" i="8"/>
  <c r="E15" i="8"/>
  <c r="E202" i="8"/>
  <c r="E203" i="8"/>
  <c r="E16" i="8"/>
  <c r="E204" i="8"/>
  <c r="E205" i="8"/>
  <c r="E206" i="8"/>
  <c r="E207" i="8"/>
  <c r="E208" i="8"/>
  <c r="E209" i="8"/>
  <c r="E17" i="8"/>
  <c r="E210" i="8"/>
  <c r="E211" i="8"/>
  <c r="E212" i="8"/>
  <c r="E213" i="8"/>
  <c r="E214" i="8"/>
  <c r="E215" i="8"/>
  <c r="E216" i="8"/>
  <c r="E217" i="8"/>
  <c r="E218" i="8"/>
  <c r="E18" i="8"/>
  <c r="E219" i="8"/>
  <c r="E220" i="8"/>
  <c r="E19" i="8"/>
  <c r="E20" i="8"/>
  <c r="E21" i="8"/>
  <c r="E221" i="8"/>
  <c r="E222" i="8"/>
  <c r="E223" i="8"/>
  <c r="E224" i="8"/>
  <c r="E225" i="8"/>
  <c r="E226" i="8"/>
  <c r="E227" i="8"/>
  <c r="E228" i="8"/>
  <c r="E22" i="8"/>
  <c r="E23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" i="8"/>
  <c r="E259" i="8"/>
  <c r="E260" i="8"/>
  <c r="E261" i="8"/>
  <c r="E262" i="8"/>
  <c r="E263" i="8"/>
  <c r="E26" i="8"/>
  <c r="E264" i="8"/>
  <c r="E265" i="8"/>
  <c r="E266" i="8"/>
  <c r="E267" i="8"/>
  <c r="E268" i="8"/>
  <c r="E269" i="8"/>
  <c r="E270" i="8"/>
  <c r="E271" i="8"/>
  <c r="E272" i="8"/>
  <c r="E273" i="8"/>
  <c r="E27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29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0" i="8"/>
  <c r="E327" i="8"/>
  <c r="E328" i="8"/>
  <c r="E329" i="8"/>
  <c r="E330" i="8"/>
  <c r="E331" i="8"/>
  <c r="E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3" i="8"/>
  <c r="E361" i="8"/>
  <c r="E362" i="8"/>
  <c r="E363" i="8"/>
  <c r="E364" i="8"/>
  <c r="E365" i="8"/>
  <c r="E366" i="8"/>
  <c r="E367" i="8"/>
  <c r="E34" i="8"/>
  <c r="E368" i="8"/>
  <c r="E369" i="8"/>
  <c r="E370" i="8"/>
  <c r="E35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6" i="8"/>
  <c r="E386" i="8"/>
  <c r="E387" i="8"/>
  <c r="E388" i="8"/>
  <c r="E389" i="8"/>
  <c r="E390" i="8"/>
  <c r="E391" i="8"/>
  <c r="E392" i="8"/>
  <c r="E393" i="8"/>
  <c r="E37" i="8"/>
  <c r="E394" i="8"/>
  <c r="E395" i="8"/>
  <c r="E396" i="8"/>
  <c r="E397" i="8"/>
  <c r="E398" i="8"/>
  <c r="E38" i="8"/>
  <c r="E399" i="8"/>
  <c r="E400" i="8"/>
  <c r="E401" i="8"/>
  <c r="E402" i="8"/>
  <c r="E403" i="8"/>
  <c r="E404" i="8"/>
  <c r="E405" i="8"/>
  <c r="E406" i="8"/>
  <c r="C46" i="8"/>
  <c r="C47" i="8"/>
  <c r="C3" i="8"/>
  <c r="C48" i="8"/>
  <c r="C49" i="8"/>
  <c r="C50" i="8"/>
  <c r="C100" i="8"/>
  <c r="C51" i="8"/>
  <c r="C72" i="8"/>
  <c r="C73" i="8"/>
  <c r="C101" i="8"/>
  <c r="C74" i="8"/>
  <c r="C52" i="8"/>
  <c r="C102" i="8"/>
  <c r="C103" i="8"/>
  <c r="C104" i="8"/>
  <c r="C105" i="8"/>
  <c r="C106" i="8"/>
  <c r="C107" i="8"/>
  <c r="C40" i="8"/>
  <c r="C108" i="8"/>
  <c r="C109" i="8"/>
  <c r="C110" i="8"/>
  <c r="C111" i="8"/>
  <c r="C112" i="8"/>
  <c r="C113" i="8"/>
  <c r="C53" i="8"/>
  <c r="C54" i="8"/>
  <c r="C114" i="8"/>
  <c r="C55" i="8"/>
  <c r="C115" i="8"/>
  <c r="C75" i="8"/>
  <c r="C116" i="8"/>
  <c r="C117" i="8"/>
  <c r="C118" i="8"/>
  <c r="C119" i="8"/>
  <c r="C120" i="8"/>
  <c r="C121" i="8"/>
  <c r="C122" i="8"/>
  <c r="C56" i="8"/>
  <c r="C123" i="8"/>
  <c r="C57" i="8"/>
  <c r="C124" i="8"/>
  <c r="C125" i="8"/>
  <c r="C126" i="8"/>
  <c r="C127" i="8"/>
  <c r="C128" i="8"/>
  <c r="C129" i="8"/>
  <c r="C76" i="8"/>
  <c r="C130" i="8"/>
  <c r="C131" i="8"/>
  <c r="C132" i="8"/>
  <c r="C133" i="8"/>
  <c r="C77" i="8"/>
  <c r="C134" i="8"/>
  <c r="C135" i="8"/>
  <c r="C58" i="8"/>
  <c r="C136" i="8"/>
  <c r="C137" i="8"/>
  <c r="C138" i="8"/>
  <c r="C78" i="8"/>
  <c r="C139" i="8"/>
  <c r="C140" i="8"/>
  <c r="C141" i="8"/>
  <c r="C8" i="8"/>
  <c r="C142" i="8"/>
  <c r="C143" i="8"/>
  <c r="C144" i="8"/>
  <c r="C145" i="8"/>
  <c r="C146" i="8"/>
  <c r="C147" i="8"/>
  <c r="C41" i="8"/>
  <c r="C148" i="8"/>
  <c r="C149" i="8"/>
  <c r="C150" i="8"/>
  <c r="C9" i="8"/>
  <c r="C59" i="8"/>
  <c r="C10" i="8"/>
  <c r="C11" i="8"/>
  <c r="C151" i="8"/>
  <c r="C152" i="8"/>
  <c r="C153" i="8"/>
  <c r="C60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2" i="8"/>
  <c r="C12" i="8"/>
  <c r="C173" i="8"/>
  <c r="C174" i="8"/>
  <c r="C175" i="8"/>
  <c r="C176" i="8"/>
  <c r="C177" i="8"/>
  <c r="C178" i="8"/>
  <c r="C179" i="8"/>
  <c r="C180" i="8"/>
  <c r="C181" i="8"/>
  <c r="C182" i="8"/>
  <c r="C13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4" i="8"/>
  <c r="C195" i="8"/>
  <c r="C196" i="8"/>
  <c r="C197" i="8"/>
  <c r="C198" i="8"/>
  <c r="C199" i="8"/>
  <c r="C200" i="8"/>
  <c r="C201" i="8"/>
  <c r="C15" i="8"/>
  <c r="C202" i="8"/>
  <c r="C203" i="8"/>
  <c r="C16" i="8"/>
  <c r="C204" i="8"/>
  <c r="C205" i="8"/>
  <c r="C206" i="8"/>
  <c r="C207" i="8"/>
  <c r="C6" i="8"/>
  <c r="C208" i="8"/>
  <c r="C209" i="8"/>
  <c r="C17" i="8"/>
  <c r="C210" i="8"/>
  <c r="C211" i="8"/>
  <c r="C212" i="8"/>
  <c r="C213" i="8"/>
  <c r="C7" i="8"/>
  <c r="C214" i="8"/>
  <c r="C215" i="8"/>
  <c r="C216" i="8"/>
  <c r="C217" i="8"/>
  <c r="C218" i="8"/>
  <c r="C18" i="8"/>
  <c r="C219" i="8"/>
  <c r="C220" i="8"/>
  <c r="C19" i="8"/>
  <c r="C20" i="8"/>
  <c r="C21" i="8"/>
  <c r="C221" i="8"/>
  <c r="C4" i="8"/>
  <c r="C222" i="8"/>
  <c r="C223" i="8"/>
  <c r="C224" i="8"/>
  <c r="C225" i="8"/>
  <c r="C226" i="8"/>
  <c r="C227" i="8"/>
  <c r="C228" i="8"/>
  <c r="C61" i="8"/>
  <c r="C22" i="8"/>
  <c r="C23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" i="8"/>
  <c r="C241" i="8"/>
  <c r="C242" i="8"/>
  <c r="C243" i="8"/>
  <c r="C244" i="8"/>
  <c r="C245" i="8"/>
  <c r="C246" i="8"/>
  <c r="C247" i="8"/>
  <c r="C248" i="8"/>
  <c r="C249" i="8"/>
  <c r="C250" i="8"/>
  <c r="C79" i="8"/>
  <c r="C251" i="8"/>
  <c r="C252" i="8"/>
  <c r="C253" i="8"/>
  <c r="C254" i="8"/>
  <c r="C255" i="8"/>
  <c r="C80" i="8"/>
  <c r="C81" i="8"/>
  <c r="C82" i="8"/>
  <c r="C256" i="8"/>
  <c r="C83" i="8"/>
  <c r="C84" i="8"/>
  <c r="C257" i="8"/>
  <c r="C85" i="8"/>
  <c r="C86" i="8"/>
  <c r="C87" i="8"/>
  <c r="C258" i="8"/>
  <c r="C25" i="8"/>
  <c r="C88" i="8"/>
  <c r="C89" i="8"/>
  <c r="C259" i="8"/>
  <c r="C260" i="8"/>
  <c r="C261" i="8"/>
  <c r="C90" i="8"/>
  <c r="C262" i="8"/>
  <c r="C62" i="8"/>
  <c r="C5" i="8"/>
  <c r="C263" i="8"/>
  <c r="C2" i="8"/>
  <c r="C26" i="8"/>
  <c r="C42" i="8"/>
  <c r="C264" i="8"/>
  <c r="C265" i="8"/>
  <c r="C63" i="8"/>
  <c r="C43" i="8"/>
  <c r="C266" i="8"/>
  <c r="C91" i="8"/>
  <c r="C267" i="8"/>
  <c r="C44" i="8"/>
  <c r="C268" i="8"/>
  <c r="C92" i="8"/>
  <c r="C269" i="8"/>
  <c r="C270" i="8"/>
  <c r="C271" i="8"/>
  <c r="C272" i="8"/>
  <c r="C64" i="8"/>
  <c r="C273" i="8"/>
  <c r="C27" i="8"/>
  <c r="C65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" i="8"/>
  <c r="C287" i="8"/>
  <c r="C288" i="8"/>
  <c r="C93" i="8"/>
  <c r="C289" i="8"/>
  <c r="C290" i="8"/>
  <c r="C291" i="8"/>
  <c r="C292" i="8"/>
  <c r="C66" i="8"/>
  <c r="C293" i="8"/>
  <c r="C294" i="8"/>
  <c r="C295" i="8"/>
  <c r="C296" i="8"/>
  <c r="C297" i="8"/>
  <c r="C298" i="8"/>
  <c r="C299" i="8"/>
  <c r="C300" i="8"/>
  <c r="C301" i="8"/>
  <c r="C302" i="8"/>
  <c r="C29" i="8"/>
  <c r="C303" i="8"/>
  <c r="C304" i="8"/>
  <c r="C305" i="8"/>
  <c r="C306" i="8"/>
  <c r="C307" i="8"/>
  <c r="C94" i="8"/>
  <c r="C308" i="8"/>
  <c r="C309" i="8"/>
  <c r="C310" i="8"/>
  <c r="C311" i="8"/>
  <c r="C312" i="8"/>
  <c r="C313" i="8"/>
  <c r="C95" i="8"/>
  <c r="C314" i="8"/>
  <c r="C315" i="8"/>
  <c r="C316" i="8"/>
  <c r="C67" i="8"/>
  <c r="C317" i="8"/>
  <c r="C318" i="8"/>
  <c r="C96" i="8"/>
  <c r="C319" i="8"/>
  <c r="C320" i="8"/>
  <c r="C68" i="8"/>
  <c r="C321" i="8"/>
  <c r="C322" i="8"/>
  <c r="C323" i="8"/>
  <c r="C324" i="8"/>
  <c r="C325" i="8"/>
  <c r="C326" i="8"/>
  <c r="C30" i="8"/>
  <c r="C327" i="8"/>
  <c r="C328" i="8"/>
  <c r="C329" i="8"/>
  <c r="C330" i="8"/>
  <c r="C331" i="8"/>
  <c r="C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3" i="8"/>
  <c r="C361" i="8"/>
  <c r="C362" i="8"/>
  <c r="C97" i="8"/>
  <c r="C363" i="8"/>
  <c r="C364" i="8"/>
  <c r="C69" i="8"/>
  <c r="C365" i="8"/>
  <c r="C98" i="8"/>
  <c r="C366" i="8"/>
  <c r="C70" i="8"/>
  <c r="C367" i="8"/>
  <c r="C34" i="8"/>
  <c r="C368" i="8"/>
  <c r="C369" i="8"/>
  <c r="C370" i="8"/>
  <c r="C35" i="8"/>
  <c r="C371" i="8"/>
  <c r="C372" i="8"/>
  <c r="C373" i="8"/>
  <c r="C374" i="8"/>
  <c r="C375" i="8"/>
  <c r="C376" i="8"/>
  <c r="C377" i="8"/>
  <c r="C378" i="8"/>
  <c r="C379" i="8"/>
  <c r="C380" i="8"/>
  <c r="C99" i="8"/>
  <c r="C71" i="8"/>
  <c r="C381" i="8"/>
  <c r="C382" i="8"/>
  <c r="C383" i="8"/>
  <c r="C384" i="8"/>
  <c r="C385" i="8"/>
  <c r="C36" i="8"/>
  <c r="C386" i="8"/>
  <c r="C387" i="8"/>
  <c r="C388" i="8"/>
  <c r="C389" i="8"/>
  <c r="C390" i="8"/>
  <c r="C391" i="8"/>
  <c r="C392" i="8"/>
  <c r="C393" i="8"/>
  <c r="C37" i="8"/>
  <c r="C394" i="8"/>
  <c r="C395" i="8"/>
  <c r="C396" i="8"/>
  <c r="C397" i="8"/>
  <c r="C398" i="8"/>
  <c r="C38" i="8"/>
  <c r="C399" i="8"/>
  <c r="C400" i="8"/>
  <c r="C401" i="8"/>
  <c r="C402" i="8"/>
  <c r="C403" i="8"/>
  <c r="C404" i="8"/>
  <c r="C405" i="8"/>
  <c r="C406" i="8"/>
  <c r="C45" i="8"/>
  <c r="B6" i="3"/>
  <c r="B11" i="3"/>
  <c r="B12" i="3"/>
  <c r="B13" i="3"/>
  <c r="B14" i="3"/>
  <c r="B16" i="3"/>
  <c r="B17" i="3"/>
  <c r="B18" i="3"/>
  <c r="B19" i="3"/>
  <c r="B20" i="3"/>
  <c r="B21" i="3"/>
  <c r="B22" i="3"/>
  <c r="B23" i="3"/>
  <c r="B24" i="3"/>
  <c r="B26" i="3"/>
  <c r="B27" i="3"/>
  <c r="B28" i="3"/>
  <c r="B40" i="3"/>
  <c r="B30" i="3"/>
  <c r="B31" i="3"/>
  <c r="B41" i="3"/>
  <c r="B42" i="3"/>
  <c r="B43" i="3"/>
  <c r="B32" i="3"/>
  <c r="B33" i="3"/>
  <c r="B34" i="3"/>
  <c r="B35" i="3"/>
  <c r="B36" i="3"/>
  <c r="B37" i="3"/>
  <c r="B38" i="3"/>
  <c r="B39" i="3"/>
  <c r="C6" i="3"/>
  <c r="C11" i="3"/>
  <c r="C12" i="3"/>
  <c r="C13" i="3"/>
  <c r="C14" i="3"/>
  <c r="C16" i="3"/>
  <c r="C17" i="3"/>
  <c r="C18" i="3"/>
  <c r="C19" i="3"/>
  <c r="C20" i="3"/>
  <c r="C21" i="3"/>
  <c r="C22" i="3"/>
  <c r="C23" i="3"/>
  <c r="C24" i="3"/>
  <c r="C26" i="3"/>
  <c r="C27" i="3"/>
  <c r="C28" i="3"/>
  <c r="C40" i="3"/>
  <c r="C30" i="3"/>
  <c r="C31" i="3"/>
  <c r="C41" i="3"/>
  <c r="C42" i="3"/>
  <c r="C43" i="3"/>
  <c r="C32" i="3"/>
  <c r="C33" i="3"/>
  <c r="C34" i="3"/>
  <c r="C35" i="3"/>
  <c r="C36" i="3"/>
  <c r="C37" i="3"/>
  <c r="C38" i="3"/>
  <c r="C39" i="3"/>
  <c r="C117" i="7"/>
  <c r="C118" i="7"/>
  <c r="C119" i="7"/>
  <c r="C120" i="7"/>
  <c r="C121" i="7"/>
  <c r="C122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00" i="7"/>
  <c r="C101" i="7"/>
  <c r="C45" i="7"/>
  <c r="C46" i="7"/>
  <c r="C33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3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4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34" i="7"/>
  <c r="C35" i="7"/>
  <c r="C36" i="7"/>
  <c r="C37" i="7"/>
  <c r="C38" i="7"/>
  <c r="C39" i="7"/>
  <c r="C40" i="7"/>
  <c r="C41" i="7"/>
  <c r="C42" i="7"/>
  <c r="C43" i="7"/>
  <c r="C27" i="7"/>
  <c r="C28" i="7"/>
  <c r="C29" i="7"/>
  <c r="C30" i="7"/>
  <c r="C31" i="7"/>
  <c r="C32" i="7"/>
  <c r="C116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00" i="7"/>
  <c r="D101" i="7"/>
  <c r="D45" i="7"/>
  <c r="D46" i="7"/>
  <c r="D33" i="7"/>
  <c r="D119" i="7"/>
  <c r="D116" i="7"/>
  <c r="D120" i="7"/>
  <c r="D117" i="7"/>
  <c r="D118" i="7"/>
  <c r="D122" i="7"/>
  <c r="D121" i="7"/>
  <c r="D126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3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4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34" i="7"/>
  <c r="D35" i="7"/>
  <c r="D36" i="7"/>
  <c r="D37" i="7"/>
  <c r="D38" i="7"/>
  <c r="D39" i="7"/>
  <c r="D40" i="7"/>
  <c r="D41" i="7"/>
  <c r="D42" i="7"/>
  <c r="D43" i="7"/>
  <c r="D27" i="7"/>
  <c r="D28" i="7"/>
  <c r="D29" i="7"/>
  <c r="D30" i="7"/>
  <c r="D31" i="7"/>
  <c r="D32" i="7"/>
  <c r="D127" i="7"/>
  <c r="AA36" i="2"/>
  <c r="AM54" i="5"/>
  <c r="AM61" i="5"/>
  <c r="AM65" i="5"/>
  <c r="AM66" i="5"/>
  <c r="AM67" i="5"/>
  <c r="AM324" i="5"/>
  <c r="AM325" i="5"/>
  <c r="AM335" i="5"/>
  <c r="AM337" i="5"/>
  <c r="AM339" i="5"/>
  <c r="AM345" i="5"/>
  <c r="AM79" i="5"/>
  <c r="AM348" i="5"/>
  <c r="AM349" i="5"/>
  <c r="AM350" i="5"/>
  <c r="AM88" i="5"/>
  <c r="AM89" i="5"/>
  <c r="AM10" i="5"/>
  <c r="AM11" i="5"/>
  <c r="AM96" i="5"/>
  <c r="AM97" i="5"/>
  <c r="AM98" i="5"/>
  <c r="AM103" i="5"/>
  <c r="AM109" i="5"/>
  <c r="AM378" i="5"/>
  <c r="AM387" i="5"/>
  <c r="AM112" i="5"/>
  <c r="AM2" i="5"/>
  <c r="AM388" i="5"/>
  <c r="AM12" i="5"/>
  <c r="AM117" i="5"/>
  <c r="AM13" i="5"/>
  <c r="AM270" i="5"/>
  <c r="AM14" i="5"/>
  <c r="AM355" i="5"/>
  <c r="AM356" i="5"/>
  <c r="AM273" i="5"/>
  <c r="AM15" i="5"/>
  <c r="AM275" i="5"/>
  <c r="AM358" i="5"/>
  <c r="AM127" i="5"/>
  <c r="AM129" i="5"/>
  <c r="AM130" i="5"/>
  <c r="AM132" i="5"/>
  <c r="AM133" i="5"/>
  <c r="AM4" i="5"/>
  <c r="AM136" i="5"/>
  <c r="AM255" i="5"/>
  <c r="AM137" i="5"/>
  <c r="AM139" i="5"/>
  <c r="AM140" i="5"/>
  <c r="AM276" i="5"/>
  <c r="AM149" i="5"/>
  <c r="AM150" i="5"/>
  <c r="AM277" i="5"/>
  <c r="AM278" i="5"/>
  <c r="AM279" i="5"/>
  <c r="AM151" i="5"/>
  <c r="AM153" i="5"/>
  <c r="AM158" i="5"/>
  <c r="AM164" i="5"/>
  <c r="AM165" i="5"/>
  <c r="AM166" i="5"/>
  <c r="AM170" i="5"/>
  <c r="AM173" i="5"/>
  <c r="AM174" i="5"/>
  <c r="AM180" i="5"/>
  <c r="AM181" i="5"/>
  <c r="AM182" i="5"/>
  <c r="AM183" i="5"/>
  <c r="AM184" i="5"/>
  <c r="AM185" i="5"/>
  <c r="AM186" i="5"/>
  <c r="AM187" i="5"/>
  <c r="AM194" i="5"/>
  <c r="AM195" i="5"/>
  <c r="AM196" i="5"/>
  <c r="AM198" i="5"/>
  <c r="AM294" i="5"/>
  <c r="AM27" i="5"/>
  <c r="AM223" i="5"/>
  <c r="AM227" i="5"/>
  <c r="AM228" i="5"/>
  <c r="AM394" i="5"/>
  <c r="AM395" i="5"/>
  <c r="AM396" i="5"/>
  <c r="AM397" i="5"/>
  <c r="AM398" i="5"/>
  <c r="AM399" i="5"/>
  <c r="AM400" i="5"/>
  <c r="AM402" i="5"/>
  <c r="AM403" i="5"/>
  <c r="AM404" i="5"/>
  <c r="AM405" i="5"/>
  <c r="AM406" i="5"/>
  <c r="AM407" i="5"/>
  <c r="AM408" i="5"/>
  <c r="AM409" i="5"/>
  <c r="AM241" i="5"/>
  <c r="AM411" i="5"/>
  <c r="AM412" i="5"/>
  <c r="AM414" i="5"/>
  <c r="AM415" i="5"/>
  <c r="AM416" i="5"/>
  <c r="AM250" i="5"/>
  <c r="AM36" i="5"/>
  <c r="AM37" i="5"/>
  <c r="AM251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265" i="5"/>
  <c r="AM266" i="5"/>
  <c r="AM55" i="5"/>
  <c r="AM56" i="5"/>
  <c r="AM57" i="5"/>
  <c r="AM59" i="5"/>
  <c r="AM60" i="5"/>
  <c r="AM62" i="5"/>
  <c r="AM63" i="5"/>
  <c r="AM64" i="5"/>
  <c r="AM68" i="5"/>
  <c r="AM70" i="5"/>
  <c r="AM71" i="5"/>
  <c r="AM319" i="5"/>
  <c r="AM320" i="5"/>
  <c r="AM321" i="5"/>
  <c r="AM322" i="5"/>
  <c r="AM323" i="5"/>
  <c r="AM326" i="5"/>
  <c r="AM327" i="5"/>
  <c r="AM328" i="5"/>
  <c r="AM329" i="5"/>
  <c r="AM330" i="5"/>
  <c r="AM331" i="5"/>
  <c r="AM332" i="5"/>
  <c r="AM333" i="5"/>
  <c r="AM334" i="5"/>
  <c r="AM336" i="5"/>
  <c r="AM338" i="5"/>
  <c r="AM341" i="5"/>
  <c r="AM342" i="5"/>
  <c r="AM343" i="5"/>
  <c r="AM344" i="5"/>
  <c r="AM72" i="5"/>
  <c r="AM9" i="5"/>
  <c r="AM73" i="5"/>
  <c r="AM346" i="5"/>
  <c r="AM74" i="5"/>
  <c r="AM75" i="5"/>
  <c r="AM76" i="5"/>
  <c r="AM77" i="5"/>
  <c r="AM78" i="5"/>
  <c r="AM303" i="5"/>
  <c r="AM304" i="5"/>
  <c r="AM352" i="5"/>
  <c r="AM80" i="5"/>
  <c r="AM81" i="5"/>
  <c r="AM267" i="5"/>
  <c r="AM82" i="5"/>
  <c r="AM83" i="5"/>
  <c r="AM84" i="5"/>
  <c r="AM85" i="5"/>
  <c r="AM259" i="5"/>
  <c r="AM260" i="5"/>
  <c r="AM86" i="5"/>
  <c r="AM261" i="5"/>
  <c r="AM253" i="5"/>
  <c r="AM347" i="5"/>
  <c r="AM87" i="5"/>
  <c r="AM90" i="5"/>
  <c r="AM91" i="5"/>
  <c r="AM305" i="5"/>
  <c r="AM306" i="5"/>
  <c r="AM92" i="5"/>
  <c r="AM93" i="5"/>
  <c r="AM94" i="5"/>
  <c r="AM95" i="5"/>
  <c r="AM262" i="5"/>
  <c r="AM254" i="5"/>
  <c r="AM263" i="5"/>
  <c r="AM99" i="5"/>
  <c r="AM100" i="5"/>
  <c r="AM101" i="5"/>
  <c r="AM102" i="5"/>
  <c r="AM104" i="5"/>
  <c r="AM105" i="5"/>
  <c r="AM106" i="5"/>
  <c r="AM107" i="5"/>
  <c r="AM108" i="5"/>
  <c r="AM374" i="5"/>
  <c r="AM375" i="5"/>
  <c r="AM376" i="5"/>
  <c r="AM377" i="5"/>
  <c r="AM379" i="5"/>
  <c r="AM380" i="5"/>
  <c r="AM381" i="5"/>
  <c r="AM382" i="5"/>
  <c r="AM383" i="5"/>
  <c r="AM353" i="5"/>
  <c r="AM354" i="5"/>
  <c r="AM110" i="5"/>
  <c r="AM111" i="5"/>
  <c r="AM113" i="5"/>
  <c r="AM308" i="5"/>
  <c r="AM114" i="5"/>
  <c r="AM309" i="5"/>
  <c r="AM310" i="5"/>
  <c r="AM311" i="5"/>
  <c r="AM312" i="5"/>
  <c r="AM115" i="5"/>
  <c r="AM116" i="5"/>
  <c r="AM340" i="5"/>
  <c r="AM268" i="5"/>
  <c r="AM269" i="5"/>
  <c r="AM389" i="5"/>
  <c r="AM271" i="5"/>
  <c r="AM272" i="5"/>
  <c r="AM119" i="5"/>
  <c r="AM120" i="5"/>
  <c r="AM390" i="5"/>
  <c r="AM121" i="5"/>
  <c r="AM122" i="5"/>
  <c r="AM123" i="5"/>
  <c r="AM124" i="5"/>
  <c r="AM274" i="5"/>
  <c r="AM357" i="5"/>
  <c r="AM125" i="5"/>
  <c r="AM126" i="5"/>
  <c r="AM359" i="5"/>
  <c r="AM360" i="5"/>
  <c r="AM361" i="5"/>
  <c r="AM128" i="5"/>
  <c r="AM131" i="5"/>
  <c r="AM3" i="5"/>
  <c r="AM134" i="5"/>
  <c r="AM135" i="5"/>
  <c r="AM138" i="5"/>
  <c r="AM141" i="5"/>
  <c r="AM142" i="5"/>
  <c r="AM143" i="5"/>
  <c r="AM144" i="5"/>
  <c r="AM145" i="5"/>
  <c r="AM146" i="5"/>
  <c r="AM147" i="5"/>
  <c r="AM148" i="5"/>
  <c r="AM152" i="5"/>
  <c r="AM280" i="5"/>
  <c r="AM154" i="5"/>
  <c r="AM155" i="5"/>
  <c r="AM156" i="5"/>
  <c r="AM351" i="5"/>
  <c r="AM362" i="5"/>
  <c r="AM363" i="5"/>
  <c r="AM364" i="5"/>
  <c r="AM365" i="5"/>
  <c r="AM366" i="5"/>
  <c r="AM367" i="5"/>
  <c r="AM368" i="5"/>
  <c r="AM369" i="5"/>
  <c r="AM157" i="5"/>
  <c r="AM159" i="5"/>
  <c r="AM160" i="5"/>
  <c r="AM161" i="5"/>
  <c r="AM162" i="5"/>
  <c r="AM256" i="5"/>
  <c r="AM257" i="5"/>
  <c r="AM163" i="5"/>
  <c r="AM16" i="5"/>
  <c r="AM17" i="5"/>
  <c r="AM18" i="5"/>
  <c r="AM167" i="5"/>
  <c r="AM168" i="5"/>
  <c r="AM169" i="5"/>
  <c r="AM171" i="5"/>
  <c r="AM172" i="5"/>
  <c r="AM175" i="5"/>
  <c r="AM176" i="5"/>
  <c r="AM177" i="5"/>
  <c r="AM178" i="5"/>
  <c r="AM179" i="5"/>
  <c r="AM188" i="5"/>
  <c r="AM189" i="5"/>
  <c r="AM190" i="5"/>
  <c r="AM191" i="5"/>
  <c r="AM192" i="5"/>
  <c r="AM281" i="5"/>
  <c r="AM282" i="5"/>
  <c r="AM283" i="5"/>
  <c r="AM193" i="5"/>
  <c r="AM284" i="5"/>
  <c r="AM285" i="5"/>
  <c r="AM286" i="5"/>
  <c r="AM287" i="5"/>
  <c r="AM5" i="5"/>
  <c r="AM288" i="5"/>
  <c r="AM289" i="5"/>
  <c r="AM290" i="5"/>
  <c r="AM291" i="5"/>
  <c r="AM199" i="5"/>
  <c r="AM293" i="5"/>
  <c r="AM200" i="5"/>
  <c r="AM21" i="5"/>
  <c r="AM201" i="5"/>
  <c r="AM203" i="5"/>
  <c r="AM204" i="5"/>
  <c r="AM206" i="5"/>
  <c r="AM22" i="5"/>
  <c r="AM24" i="5"/>
  <c r="AM25" i="5"/>
  <c r="AM26" i="5"/>
  <c r="AM6" i="5"/>
  <c r="AM7" i="5"/>
  <c r="AM208" i="5"/>
  <c r="AM209" i="5"/>
  <c r="AM210" i="5"/>
  <c r="AM211" i="5"/>
  <c r="AM212" i="5"/>
  <c r="AM258" i="5"/>
  <c r="AM213" i="5"/>
  <c r="AM214" i="5"/>
  <c r="AM215" i="5"/>
  <c r="AM216" i="5"/>
  <c r="AM217" i="5"/>
  <c r="AM313" i="5"/>
  <c r="AM218" i="5"/>
  <c r="AM28" i="5"/>
  <c r="AM219" i="5"/>
  <c r="AM220" i="5"/>
  <c r="AM221" i="5"/>
  <c r="AM222" i="5"/>
  <c r="AM224" i="5"/>
  <c r="AM225" i="5"/>
  <c r="AM226" i="5"/>
  <c r="AM295" i="5"/>
  <c r="AM296" i="5"/>
  <c r="AM8" i="5"/>
  <c r="AM229" i="5"/>
  <c r="AM230" i="5"/>
  <c r="AM314" i="5"/>
  <c r="AM315" i="5"/>
  <c r="AM231" i="5"/>
  <c r="AM370" i="5"/>
  <c r="AM297" i="5"/>
  <c r="AM232" i="5"/>
  <c r="AM29" i="5"/>
  <c r="AM30" i="5"/>
  <c r="AM31" i="5"/>
  <c r="AM32" i="5"/>
  <c r="AM33" i="5"/>
  <c r="AM233" i="5"/>
  <c r="AM34" i="5"/>
  <c r="AM316" i="5"/>
  <c r="AM384" i="5"/>
  <c r="AM234" i="5"/>
  <c r="AM235" i="5"/>
  <c r="AM236" i="5"/>
  <c r="AM237" i="5"/>
  <c r="AM238" i="5"/>
  <c r="AM239" i="5"/>
  <c r="AM392" i="5"/>
  <c r="AM393" i="5"/>
  <c r="AM401" i="5"/>
  <c r="AM410" i="5"/>
  <c r="AM413" i="5"/>
  <c r="AM242" i="5"/>
  <c r="AM243" i="5"/>
  <c r="AM244" i="5"/>
  <c r="AM245" i="5"/>
  <c r="AM246" i="5"/>
  <c r="AM247" i="5"/>
  <c r="AM248" i="5"/>
  <c r="AM391" i="5"/>
  <c r="AM249" i="5"/>
  <c r="AM371" i="5"/>
  <c r="AM372" i="5"/>
  <c r="AM373" i="5"/>
  <c r="AM35" i="5"/>
  <c r="AM317" i="5"/>
  <c r="AM318" i="5"/>
  <c r="AM252" i="5"/>
  <c r="AA11" i="2"/>
  <c r="AA13" i="2"/>
  <c r="AA12" i="2"/>
  <c r="AA10" i="2"/>
  <c r="AA26" i="2"/>
  <c r="AA31" i="2"/>
  <c r="AA32" i="2"/>
  <c r="AA22" i="2"/>
  <c r="AA5" i="2"/>
  <c r="AA47" i="2"/>
  <c r="AA51" i="2"/>
  <c r="AA50" i="2"/>
  <c r="AA27" i="2"/>
  <c r="AA28" i="2"/>
  <c r="AA30" i="2"/>
  <c r="AA35" i="2"/>
  <c r="AA34" i="2"/>
  <c r="AA33" i="2"/>
  <c r="AA7" i="2"/>
  <c r="AA38" i="2"/>
  <c r="AA37" i="2"/>
  <c r="AA40" i="2"/>
  <c r="AA39" i="2"/>
  <c r="AA41" i="2"/>
  <c r="AA43" i="2"/>
  <c r="AA17" i="2"/>
  <c r="AA16" i="2"/>
  <c r="AA29" i="2"/>
  <c r="AA52" i="2"/>
  <c r="AA23" i="2"/>
  <c r="AA8" i="2"/>
  <c r="AA15" i="2"/>
  <c r="AA18" i="2"/>
  <c r="AA24" i="2"/>
  <c r="AA46" i="2"/>
  <c r="B2" i="11"/>
  <c r="W2" i="11" s="1"/>
  <c r="B13" i="11"/>
  <c r="S2" i="11"/>
  <c r="B4" i="11"/>
  <c r="V4" i="11" s="1"/>
  <c r="B8" i="11"/>
  <c r="R8" i="11" s="1"/>
  <c r="B9" i="11"/>
  <c r="B20" i="11"/>
  <c r="W20" i="11" s="1"/>
  <c r="B10" i="11"/>
  <c r="W10" i="11" s="1"/>
  <c r="V10" i="11"/>
  <c r="B11" i="11"/>
  <c r="U11" i="11" s="1"/>
  <c r="V11" i="11"/>
  <c r="B21" i="11"/>
  <c r="V21" i="11" s="1"/>
  <c r="B22" i="11"/>
  <c r="S22" i="11" s="1"/>
  <c r="B23" i="11"/>
  <c r="S23" i="11" s="1"/>
  <c r="B24" i="11"/>
  <c r="S24" i="11" s="1"/>
  <c r="B12" i="11"/>
  <c r="U12" i="11" s="1"/>
  <c r="K12" i="11" s="1"/>
  <c r="M12" i="11" s="1"/>
  <c r="V12" i="11"/>
  <c r="B25" i="11"/>
  <c r="R25" i="11" s="1"/>
  <c r="K25" i="11" s="1"/>
  <c r="M25" i="11" s="1"/>
  <c r="B26" i="11"/>
  <c r="B3" i="11"/>
  <c r="B5" i="11"/>
  <c r="R5" i="11" s="1"/>
  <c r="B15" i="11"/>
  <c r="B19" i="11"/>
  <c r="U19" i="11" s="1"/>
  <c r="B6" i="11"/>
  <c r="S6" i="11" s="1"/>
  <c r="B16" i="11"/>
  <c r="S16" i="11" s="1"/>
  <c r="B17" i="11"/>
  <c r="S17" i="11" s="1"/>
  <c r="B18" i="11"/>
  <c r="R18" i="11" s="1"/>
  <c r="K18" i="11" s="1"/>
  <c r="M18" i="11" s="1"/>
  <c r="B7" i="11"/>
  <c r="S19" i="11"/>
  <c r="S8" i="11"/>
  <c r="S9" i="11"/>
  <c r="S10" i="11"/>
  <c r="S11" i="11"/>
  <c r="S21" i="11"/>
  <c r="S12" i="11"/>
  <c r="S3" i="11"/>
  <c r="S4" i="11"/>
  <c r="S15" i="11"/>
  <c r="S13" i="11"/>
  <c r="U5" i="11"/>
  <c r="K5" i="11" s="1"/>
  <c r="U15" i="11"/>
  <c r="K15" i="11" s="1"/>
  <c r="U6" i="11"/>
  <c r="K6" i="11" s="1"/>
  <c r="J10" i="11"/>
  <c r="J22" i="11"/>
  <c r="J23" i="11"/>
  <c r="J24" i="11"/>
  <c r="J12" i="11"/>
  <c r="W17" i="11"/>
  <c r="W11" i="11"/>
  <c r="W23" i="11"/>
  <c r="W12" i="11"/>
  <c r="U3" i="11"/>
  <c r="U4" i="11"/>
  <c r="K4" i="11" s="1"/>
  <c r="U13" i="11"/>
  <c r="U18" i="11"/>
  <c r="U9" i="11"/>
  <c r="K9" i="11" s="1"/>
  <c r="M9" i="11" s="1"/>
  <c r="U10" i="11"/>
  <c r="K10" i="11" s="1"/>
  <c r="M10" i="11" s="1"/>
  <c r="U22" i="11"/>
  <c r="U25" i="11"/>
  <c r="R13" i="11"/>
  <c r="R15" i="11"/>
  <c r="R6" i="11"/>
  <c r="R16" i="11"/>
  <c r="R17" i="11"/>
  <c r="R9" i="11"/>
  <c r="R10" i="11"/>
  <c r="R22" i="11"/>
  <c r="K22" i="11" s="1"/>
  <c r="R23" i="11"/>
  <c r="R24" i="11"/>
  <c r="R12" i="11"/>
  <c r="R3" i="11"/>
  <c r="R4" i="11"/>
  <c r="R2" i="11"/>
  <c r="U2" i="11"/>
  <c r="K3" i="11"/>
  <c r="M3" i="11" s="1"/>
  <c r="K2" i="11"/>
  <c r="L3" i="11"/>
  <c r="L2" i="11"/>
  <c r="M22" i="11"/>
  <c r="AS89" i="5"/>
  <c r="AQ408" i="5"/>
  <c r="AP408" i="5"/>
  <c r="AQ407" i="5"/>
  <c r="AP407" i="5"/>
  <c r="AQ392" i="5"/>
  <c r="AP392" i="5"/>
  <c r="AQ393" i="5"/>
  <c r="AP393" i="5"/>
  <c r="AQ384" i="5"/>
  <c r="AQ383" i="5"/>
  <c r="AQ382" i="5"/>
  <c r="AQ381" i="5"/>
  <c r="AQ380" i="5"/>
  <c r="AQ379" i="5"/>
  <c r="AQ377" i="5"/>
  <c r="AQ376" i="5"/>
  <c r="AQ375" i="5"/>
  <c r="AQ374" i="5"/>
  <c r="AQ369" i="5"/>
  <c r="AQ368" i="5"/>
  <c r="AQ367" i="5"/>
  <c r="AQ366" i="5"/>
  <c r="AQ365" i="5"/>
  <c r="AQ364" i="5"/>
  <c r="AQ363" i="5"/>
  <c r="AQ354" i="5"/>
  <c r="AQ352" i="5"/>
  <c r="AQ373" i="5"/>
  <c r="AQ372" i="5"/>
  <c r="AQ371" i="5"/>
  <c r="AQ370" i="5"/>
  <c r="AQ362" i="5"/>
  <c r="AQ361" i="5"/>
  <c r="AQ360" i="5"/>
  <c r="AQ359" i="5"/>
  <c r="AQ358" i="5"/>
  <c r="AQ357" i="5"/>
  <c r="AQ356" i="5"/>
  <c r="AQ355" i="5"/>
  <c r="AQ353" i="5"/>
  <c r="AQ340" i="5"/>
  <c r="AQ350" i="5"/>
  <c r="AQ349" i="5"/>
  <c r="AQ348" i="5"/>
  <c r="AQ347" i="5"/>
  <c r="AQ346" i="5"/>
  <c r="AQ345" i="5"/>
  <c r="AQ344" i="5"/>
  <c r="AQ343" i="5"/>
  <c r="AQ342" i="5"/>
  <c r="AQ341" i="5"/>
  <c r="AQ339" i="5"/>
  <c r="AQ338" i="5"/>
  <c r="AQ337" i="5"/>
  <c r="AQ336" i="5"/>
  <c r="AQ334" i="5"/>
  <c r="AQ333" i="5"/>
  <c r="AQ332" i="5"/>
  <c r="AQ331" i="5"/>
  <c r="AQ330" i="5"/>
  <c r="AQ329" i="5"/>
  <c r="AQ328" i="5"/>
  <c r="AQ327" i="5"/>
  <c r="AQ326" i="5"/>
  <c r="AQ325" i="5"/>
  <c r="AQ324" i="5"/>
  <c r="AQ323" i="5"/>
  <c r="AQ322" i="5"/>
  <c r="AQ321" i="5"/>
  <c r="AQ320" i="5"/>
  <c r="AQ319" i="5"/>
  <c r="AQ318" i="5"/>
  <c r="AQ317" i="5"/>
  <c r="AQ316" i="5"/>
  <c r="AQ315" i="5"/>
  <c r="AQ314" i="5"/>
  <c r="AQ313" i="5"/>
  <c r="AQ312" i="5"/>
  <c r="AQ311" i="5"/>
  <c r="AQ310" i="5"/>
  <c r="AQ309" i="5"/>
  <c r="AQ308" i="5"/>
  <c r="AQ306" i="5"/>
  <c r="AQ305" i="5"/>
  <c r="AQ304" i="5"/>
  <c r="AQ303" i="5"/>
  <c r="AS34" i="5"/>
  <c r="AQ34" i="5"/>
  <c r="AS233" i="5"/>
  <c r="AQ233" i="5"/>
  <c r="AS33" i="5"/>
  <c r="AQ33" i="5"/>
  <c r="AS32" i="5"/>
  <c r="AQ32" i="5"/>
  <c r="AS31" i="5"/>
  <c r="AQ31" i="5"/>
  <c r="AQ175" i="5"/>
  <c r="AS220" i="5"/>
  <c r="AS219" i="5"/>
  <c r="AS28" i="5"/>
  <c r="AS218" i="5"/>
  <c r="AQ218" i="5"/>
  <c r="AS213" i="5"/>
  <c r="AS169" i="5"/>
  <c r="AQ169" i="5"/>
  <c r="AS168" i="5"/>
  <c r="AQ168" i="5"/>
  <c r="AQ133" i="5"/>
  <c r="AS126" i="5"/>
  <c r="AQ126" i="5"/>
  <c r="AS104" i="5"/>
  <c r="AS103" i="5"/>
  <c r="AS155" i="5"/>
  <c r="AS141" i="5"/>
  <c r="AS239" i="5"/>
  <c r="AS230" i="5"/>
  <c r="AS229" i="5"/>
  <c r="AS214" i="5"/>
  <c r="AS258" i="5"/>
  <c r="AQ258" i="5"/>
  <c r="AS212" i="5"/>
  <c r="AS211" i="5"/>
  <c r="AS210" i="5"/>
  <c r="AS209" i="5"/>
  <c r="AS208" i="5"/>
  <c r="AQ208" i="5"/>
  <c r="AS160" i="5"/>
  <c r="AS159" i="5"/>
  <c r="AS145" i="5"/>
  <c r="AQ142" i="5"/>
  <c r="AS138" i="5"/>
  <c r="AQ138" i="5"/>
  <c r="AS131" i="5"/>
  <c r="AS268" i="5"/>
  <c r="AS87" i="5"/>
  <c r="AS249" i="5"/>
  <c r="AQ249" i="5"/>
  <c r="AS231" i="5"/>
  <c r="AQ231" i="5"/>
  <c r="AS8" i="5"/>
  <c r="AQ8" i="5"/>
  <c r="AS296" i="5"/>
  <c r="AQ296" i="5"/>
  <c r="AS295" i="5"/>
  <c r="AQ295" i="5"/>
  <c r="AS7" i="5"/>
  <c r="AQ7" i="5"/>
  <c r="AS291" i="5"/>
  <c r="AQ291" i="5"/>
  <c r="AS290" i="5"/>
  <c r="AQ290" i="5"/>
  <c r="AS289" i="5"/>
  <c r="AQ289" i="5"/>
  <c r="AS288" i="5"/>
  <c r="AQ288" i="5"/>
  <c r="AS5" i="5"/>
  <c r="AS287" i="5"/>
  <c r="AQ287" i="5"/>
  <c r="AS286" i="5"/>
  <c r="AQ286" i="5"/>
  <c r="AS193" i="5"/>
  <c r="AQ193" i="5"/>
  <c r="AS283" i="5"/>
  <c r="AQ283" i="5"/>
  <c r="AS282" i="5"/>
  <c r="AQ282" i="5"/>
  <c r="AS281" i="5"/>
  <c r="AQ281" i="5"/>
  <c r="AS192" i="5"/>
  <c r="AQ192" i="5"/>
  <c r="AS157" i="5"/>
  <c r="AQ157" i="5"/>
  <c r="AS280" i="5"/>
  <c r="AQ280" i="5"/>
  <c r="AQ147" i="5"/>
  <c r="AS143" i="5"/>
  <c r="AQ143" i="5"/>
  <c r="AQ134" i="5"/>
  <c r="AS3" i="5"/>
  <c r="AQ3" i="5"/>
  <c r="AS274" i="5"/>
  <c r="AQ274" i="5"/>
  <c r="AQ269" i="5"/>
  <c r="AS2" i="5"/>
  <c r="AQ2" i="5"/>
  <c r="AS113" i="5"/>
  <c r="AQ113" i="5"/>
  <c r="AS111" i="5"/>
  <c r="AQ111" i="5"/>
  <c r="AS110" i="5"/>
  <c r="AS105" i="5"/>
  <c r="AQ101" i="5"/>
  <c r="AS100" i="5"/>
  <c r="AQ100" i="5"/>
  <c r="AS99" i="5"/>
  <c r="AQ99" i="5"/>
  <c r="AS80" i="5"/>
  <c r="AQ80" i="5"/>
  <c r="AS76" i="5"/>
  <c r="AQ76" i="5"/>
  <c r="AS6" i="5"/>
  <c r="AQ6" i="5"/>
  <c r="AS200" i="5"/>
  <c r="AQ200" i="5"/>
  <c r="AS24" i="5"/>
  <c r="AQ24" i="5"/>
  <c r="AS26" i="5"/>
  <c r="AQ26" i="5"/>
  <c r="AS25" i="5"/>
  <c r="AQ25" i="5"/>
  <c r="AS22" i="5"/>
  <c r="AQ22" i="5"/>
  <c r="AS293" i="5"/>
  <c r="AQ293" i="5"/>
  <c r="AS37" i="5"/>
  <c r="AQ37" i="5"/>
  <c r="AS35" i="5"/>
  <c r="AQ35" i="5"/>
  <c r="AS237" i="5"/>
  <c r="AQ237" i="5"/>
  <c r="AS206" i="5"/>
  <c r="AQ206" i="5"/>
  <c r="AS178" i="5"/>
  <c r="AQ178" i="5"/>
  <c r="AS163" i="5"/>
  <c r="AQ163" i="5"/>
  <c r="AS36" i="5"/>
  <c r="AQ36" i="5"/>
  <c r="AS238" i="5"/>
  <c r="AQ238" i="5"/>
  <c r="AS236" i="5"/>
  <c r="AQ236" i="5"/>
  <c r="AS235" i="5"/>
  <c r="AQ235" i="5"/>
  <c r="AS234" i="5"/>
  <c r="AQ234" i="5"/>
  <c r="AS204" i="5"/>
  <c r="AQ204" i="5"/>
  <c r="AS285" i="5"/>
  <c r="AQ285" i="5"/>
  <c r="AS284" i="5"/>
  <c r="AQ284" i="5"/>
  <c r="AS203" i="5"/>
  <c r="AQ203" i="5"/>
  <c r="AS179" i="5"/>
  <c r="AS201" i="5"/>
  <c r="AQ201" i="5"/>
  <c r="AS198" i="5"/>
  <c r="AS196" i="5"/>
  <c r="AQ196" i="5"/>
  <c r="AS18" i="5"/>
  <c r="AQ18" i="5"/>
  <c r="AS17" i="5"/>
  <c r="AQ17" i="5"/>
  <c r="AS16" i="5"/>
  <c r="AQ16" i="5"/>
  <c r="AS257" i="5"/>
  <c r="AQ257" i="5"/>
  <c r="AS161" i="5"/>
  <c r="AQ161" i="5"/>
  <c r="AS146" i="5"/>
  <c r="AS102" i="5"/>
  <c r="AS263" i="5"/>
  <c r="AQ263" i="5"/>
  <c r="AS254" i="5"/>
  <c r="AQ254" i="5"/>
  <c r="AS172" i="5"/>
  <c r="AQ172" i="5"/>
  <c r="AS119" i="5"/>
  <c r="AS108" i="5"/>
  <c r="AS107" i="5"/>
  <c r="AS106" i="5"/>
  <c r="AS95" i="5"/>
  <c r="AQ95" i="5"/>
  <c r="AS94" i="5"/>
  <c r="AQ94" i="5"/>
  <c r="AS93" i="5"/>
  <c r="AQ93" i="5"/>
  <c r="AS261" i="5"/>
  <c r="AQ261" i="5"/>
  <c r="AS260" i="5"/>
  <c r="AQ260" i="5"/>
  <c r="AS267" i="5"/>
  <c r="AQ267" i="5"/>
  <c r="AQ266" i="5"/>
  <c r="AS252" i="5"/>
  <c r="AQ252" i="5"/>
  <c r="AS262" i="5"/>
  <c r="AQ262" i="5"/>
  <c r="AQ92" i="5"/>
  <c r="AQ253" i="5"/>
  <c r="AS86" i="5"/>
  <c r="AQ86" i="5"/>
  <c r="AS259" i="5"/>
  <c r="AQ259" i="5"/>
  <c r="AS85" i="5"/>
  <c r="AQ85" i="5"/>
  <c r="AS84" i="5"/>
  <c r="AQ84" i="5"/>
  <c r="AS83" i="5"/>
  <c r="AQ83" i="5"/>
  <c r="AS82" i="5"/>
  <c r="AQ82" i="5"/>
  <c r="AS81" i="5"/>
  <c r="AQ81" i="5"/>
  <c r="AS232" i="5"/>
  <c r="AQ232" i="5"/>
  <c r="AS297" i="5"/>
  <c r="AQ297" i="5"/>
  <c r="AS222" i="5"/>
  <c r="AS199" i="5"/>
  <c r="AS171" i="5"/>
  <c r="AQ171" i="5"/>
  <c r="AS167" i="5"/>
  <c r="AQ167" i="5"/>
  <c r="AS152" i="5"/>
  <c r="AS135" i="5"/>
  <c r="AQ135" i="5"/>
  <c r="AS128" i="5"/>
  <c r="AS125" i="5"/>
  <c r="AQ125" i="5"/>
  <c r="AS78" i="5"/>
  <c r="AS75" i="5"/>
  <c r="AQ75" i="5"/>
  <c r="AS74" i="5"/>
  <c r="AQ74" i="5"/>
  <c r="AS73" i="5"/>
  <c r="AS9" i="5"/>
  <c r="AS72" i="5"/>
  <c r="AQ72" i="5"/>
  <c r="AQ265" i="5"/>
  <c r="AS244" i="5"/>
  <c r="AQ244" i="5"/>
  <c r="AQ29" i="5"/>
  <c r="AS115" i="5"/>
  <c r="AQ115" i="5"/>
  <c r="AS70" i="5"/>
  <c r="AQ70" i="5"/>
  <c r="AS242" i="5"/>
  <c r="AQ242" i="5"/>
  <c r="AQ224" i="5"/>
  <c r="AS271" i="5"/>
  <c r="AQ91" i="5"/>
  <c r="AS71" i="5"/>
  <c r="AQ71" i="5"/>
  <c r="AS68" i="5"/>
  <c r="AQ68" i="5"/>
  <c r="AS64" i="5"/>
  <c r="AQ64" i="5"/>
  <c r="AS48" i="5"/>
  <c r="AQ48" i="5"/>
  <c r="AS46" i="5"/>
  <c r="AQ46" i="5"/>
  <c r="AS122" i="5"/>
  <c r="AQ122" i="5"/>
  <c r="AS59" i="5"/>
  <c r="AQ59" i="5"/>
  <c r="AS57" i="5"/>
  <c r="AQ57" i="5"/>
  <c r="AS56" i="5"/>
  <c r="AQ56" i="5"/>
  <c r="AS256" i="5"/>
  <c r="AQ256" i="5"/>
  <c r="AS60" i="5"/>
  <c r="AQ60" i="5"/>
  <c r="AS55" i="5"/>
  <c r="AQ55" i="5"/>
  <c r="AS225" i="5"/>
  <c r="AQ177" i="5"/>
  <c r="AQ176" i="5"/>
  <c r="AS53" i="5"/>
  <c r="AQ53" i="5"/>
  <c r="AS52" i="5"/>
  <c r="AQ52" i="5"/>
  <c r="AS51" i="5"/>
  <c r="AQ51" i="5"/>
  <c r="AS50" i="5"/>
  <c r="AQ50" i="5"/>
  <c r="AS154" i="5"/>
  <c r="AQ154" i="5"/>
  <c r="AS45" i="5"/>
  <c r="AQ45" i="5"/>
  <c r="AS44" i="5"/>
  <c r="AQ44" i="5"/>
  <c r="AS43" i="5"/>
  <c r="AQ43" i="5"/>
  <c r="AS248" i="5"/>
  <c r="AQ248" i="5"/>
  <c r="AS247" i="5"/>
  <c r="AQ247" i="5"/>
  <c r="AS246" i="5"/>
  <c r="AQ246" i="5"/>
  <c r="AS243" i="5"/>
  <c r="AQ243" i="5"/>
  <c r="AS227" i="5"/>
  <c r="AQ227" i="5"/>
  <c r="AQ188" i="5"/>
  <c r="AQ156" i="5"/>
  <c r="AS121" i="5"/>
  <c r="AQ121" i="5"/>
  <c r="AS120" i="5"/>
  <c r="AQ120" i="5"/>
  <c r="AS63" i="5"/>
  <c r="AQ63" i="5"/>
  <c r="AS62" i="5"/>
  <c r="AQ62" i="5"/>
  <c r="AS49" i="5"/>
  <c r="AQ49" i="5"/>
  <c r="AS47" i="5"/>
  <c r="AQ47" i="5"/>
  <c r="AS42" i="5"/>
  <c r="AQ42" i="5"/>
  <c r="AS41" i="5"/>
  <c r="AQ41" i="5"/>
  <c r="AS40" i="5"/>
  <c r="AQ40" i="5"/>
  <c r="AS39" i="5"/>
  <c r="AQ39" i="5"/>
  <c r="AS38" i="5"/>
  <c r="AQ38" i="5"/>
  <c r="AQ396" i="5"/>
  <c r="AP396" i="5"/>
  <c r="AQ416" i="5"/>
  <c r="AP416" i="5"/>
  <c r="AQ411" i="5"/>
  <c r="AP411" i="5"/>
  <c r="AQ410" i="5"/>
  <c r="AP410" i="5"/>
  <c r="AQ409" i="5"/>
  <c r="AP409" i="5"/>
  <c r="AQ406" i="5"/>
  <c r="AP406" i="5"/>
  <c r="AQ405" i="5"/>
  <c r="AP405" i="5"/>
  <c r="AQ403" i="5"/>
  <c r="AP403" i="5"/>
  <c r="AQ402" i="5"/>
  <c r="AP402" i="5"/>
  <c r="AQ401" i="5"/>
  <c r="AP401" i="5"/>
  <c r="AQ399" i="5"/>
  <c r="AP399" i="5"/>
  <c r="AQ398" i="5"/>
  <c r="AP398" i="5"/>
  <c r="AQ395" i="5"/>
  <c r="AP395" i="5"/>
  <c r="AQ400" i="5"/>
  <c r="AP400" i="5"/>
  <c r="AQ394" i="5"/>
  <c r="AP394" i="5"/>
  <c r="AQ415" i="5"/>
  <c r="AP415" i="5"/>
  <c r="AQ414" i="5"/>
  <c r="AP414" i="5"/>
  <c r="AQ413" i="5"/>
  <c r="AP413" i="5"/>
  <c r="AQ412" i="5"/>
  <c r="AP412" i="5"/>
  <c r="AQ404" i="5"/>
  <c r="AP404" i="5"/>
  <c r="AQ397" i="5"/>
  <c r="AP397" i="5"/>
  <c r="AQ378" i="5"/>
  <c r="AQ335" i="5"/>
  <c r="AS149" i="5"/>
  <c r="AQ149" i="5"/>
  <c r="AS129" i="5"/>
  <c r="AS27" i="5"/>
  <c r="AS15" i="5"/>
  <c r="AS251" i="5"/>
  <c r="AQ251" i="5"/>
  <c r="AS292" i="5"/>
  <c r="AQ292" i="5"/>
  <c r="AS294" i="5"/>
  <c r="AQ294" i="5"/>
  <c r="AS21" i="5"/>
  <c r="AQ21" i="5"/>
  <c r="AS14" i="5"/>
  <c r="AS117" i="5"/>
  <c r="AQ117" i="5"/>
  <c r="AS139" i="5"/>
  <c r="AS77" i="5"/>
  <c r="AS195" i="5"/>
  <c r="AQ195" i="5"/>
  <c r="AS194" i="5"/>
  <c r="AQ194" i="5"/>
  <c r="AS189" i="5"/>
  <c r="AQ189" i="5"/>
  <c r="AS114" i="5"/>
  <c r="AQ114" i="5"/>
  <c r="AS137" i="5"/>
  <c r="AQ137" i="5"/>
  <c r="AQ4" i="5"/>
  <c r="AQ153" i="5"/>
  <c r="AQ151" i="5"/>
  <c r="AQ279" i="5"/>
  <c r="AS150" i="5"/>
  <c r="AQ136" i="5"/>
  <c r="AS124" i="5"/>
  <c r="AQ124" i="5"/>
  <c r="AS97" i="5"/>
  <c r="AQ97" i="5"/>
  <c r="AS67" i="5"/>
  <c r="AQ67" i="5"/>
  <c r="AS66" i="5"/>
  <c r="AQ66" i="5"/>
  <c r="AS65" i="5"/>
  <c r="AQ65" i="5"/>
  <c r="AS11" i="5"/>
  <c r="AQ11" i="5"/>
  <c r="AS10" i="5"/>
  <c r="AQ10" i="5"/>
  <c r="AS79" i="5"/>
  <c r="AQ54" i="5"/>
  <c r="AS130" i="5"/>
  <c r="AS127" i="5"/>
  <c r="AQ127" i="5"/>
  <c r="AS270" i="5"/>
  <c r="AS276" i="5"/>
  <c r="AQ276" i="5"/>
  <c r="AQ275" i="5"/>
  <c r="AS245" i="5"/>
  <c r="AQ245" i="5"/>
  <c r="AS30" i="5"/>
  <c r="AQ30" i="5"/>
  <c r="AS191" i="5"/>
  <c r="AQ191" i="5"/>
  <c r="AS190" i="5"/>
  <c r="AQ190" i="5"/>
  <c r="AS162" i="5"/>
  <c r="AQ162" i="5"/>
  <c r="AS278" i="5"/>
  <c r="AQ278" i="5"/>
  <c r="AS98" i="5"/>
  <c r="AQ98" i="5"/>
  <c r="AS96" i="5"/>
  <c r="AQ96" i="5"/>
  <c r="AS250" i="5"/>
  <c r="AQ250" i="5"/>
  <c r="AS241" i="5"/>
  <c r="AS223" i="5"/>
  <c r="AQ223" i="5"/>
  <c r="AS170" i="5"/>
  <c r="AQ170" i="5"/>
  <c r="AS109" i="5"/>
  <c r="AQ109" i="5"/>
  <c r="AQ61" i="5"/>
  <c r="AQ255" i="5"/>
  <c r="AS118" i="5"/>
  <c r="AQ118" i="5"/>
  <c r="AS158" i="5"/>
  <c r="AS132" i="5"/>
  <c r="AS88" i="5"/>
  <c r="AS140" i="5"/>
  <c r="AS112" i="5"/>
  <c r="AQ112" i="5"/>
  <c r="J2" i="11"/>
  <c r="N2" i="11" s="1"/>
  <c r="J6" i="11"/>
  <c r="J5" i="11"/>
  <c r="J3" i="11"/>
  <c r="N3" i="11" s="1"/>
  <c r="J15" i="11"/>
  <c r="N15" i="11" s="1"/>
  <c r="W25" i="11"/>
  <c r="W9" i="11"/>
  <c r="W8" i="11"/>
  <c r="W16" i="11"/>
  <c r="W6" i="11"/>
  <c r="W15" i="11"/>
  <c r="W5" i="11"/>
  <c r="W4" i="11"/>
  <c r="W3" i="11"/>
  <c r="W13" i="11"/>
  <c r="J9" i="11"/>
  <c r="J8" i="11"/>
  <c r="J13" i="11"/>
  <c r="V6" i="11"/>
  <c r="V19" i="11"/>
  <c r="V15" i="11"/>
  <c r="V5" i="11"/>
  <c r="V3" i="11"/>
  <c r="V25" i="11"/>
  <c r="V9" i="11"/>
  <c r="V2" i="11"/>
  <c r="V13" i="11"/>
  <c r="AM406" i="8"/>
  <c r="AO406" i="8"/>
  <c r="AO405" i="8"/>
  <c r="AM404" i="8"/>
  <c r="AO404" i="8"/>
  <c r="AM393" i="8"/>
  <c r="AO393" i="8"/>
  <c r="AO392" i="8"/>
  <c r="AM391" i="8"/>
  <c r="AO391" i="8"/>
  <c r="AM390" i="8"/>
  <c r="AO390" i="8"/>
  <c r="AM389" i="8"/>
  <c r="AO389" i="8"/>
  <c r="AM388" i="8"/>
  <c r="AO388" i="8"/>
  <c r="AM387" i="8"/>
  <c r="AO387" i="8"/>
  <c r="AM386" i="8"/>
  <c r="AM36" i="8"/>
  <c r="AO36" i="8"/>
  <c r="AM385" i="8"/>
  <c r="AN385" i="8"/>
  <c r="AO385" i="8"/>
  <c r="AM384" i="8"/>
  <c r="AO384" i="8"/>
  <c r="AM383" i="8"/>
  <c r="AN383" i="8"/>
  <c r="AO383" i="8"/>
  <c r="AM382" i="8"/>
  <c r="AN382" i="8"/>
  <c r="AO382" i="8"/>
  <c r="AM380" i="8"/>
  <c r="AO380" i="8"/>
  <c r="AM379" i="8"/>
  <c r="AM378" i="8"/>
  <c r="AM377" i="8"/>
  <c r="AM376" i="8"/>
  <c r="AM375" i="8"/>
  <c r="AM373" i="8"/>
  <c r="AM372" i="8"/>
  <c r="AM371" i="8"/>
  <c r="AM35" i="8"/>
  <c r="AO34" i="8"/>
  <c r="AO359" i="8"/>
  <c r="AO358" i="8"/>
  <c r="AO350" i="8"/>
  <c r="AO349" i="8"/>
  <c r="AO348" i="8"/>
  <c r="AO346" i="8"/>
  <c r="AO345" i="8"/>
  <c r="AO344" i="8"/>
  <c r="AO343" i="8"/>
  <c r="AO342" i="8"/>
  <c r="AO341" i="8"/>
  <c r="AO340" i="8"/>
  <c r="AO339" i="8"/>
  <c r="AO338" i="8"/>
  <c r="AM337" i="8"/>
  <c r="AO337" i="8"/>
  <c r="AO336" i="8"/>
  <c r="AO335" i="8"/>
  <c r="AO334" i="8"/>
  <c r="AO333" i="8"/>
  <c r="AO332" i="8"/>
  <c r="AM31" i="8"/>
  <c r="AO31" i="8"/>
  <c r="AO331" i="8"/>
  <c r="AO330" i="8"/>
  <c r="AO329" i="8"/>
  <c r="AO328" i="8"/>
  <c r="AO327" i="8"/>
  <c r="AM30" i="8"/>
  <c r="AO30" i="8"/>
  <c r="AO326" i="8"/>
  <c r="AO325" i="8"/>
  <c r="AO324" i="8"/>
  <c r="AO323" i="8"/>
  <c r="AO322" i="8"/>
  <c r="AO321" i="8"/>
  <c r="AM304" i="8"/>
  <c r="AM303" i="8"/>
  <c r="AM29" i="8"/>
  <c r="AO29" i="8"/>
  <c r="AM302" i="8"/>
  <c r="AO302" i="8"/>
  <c r="AM301" i="8"/>
  <c r="AM300" i="8"/>
  <c r="AM299" i="8"/>
  <c r="AM298" i="8"/>
  <c r="AM297" i="8"/>
  <c r="AM296" i="8"/>
  <c r="AM295" i="8"/>
  <c r="AM294" i="8"/>
  <c r="AM293" i="8"/>
  <c r="AM291" i="8"/>
  <c r="AM290" i="8"/>
  <c r="AM289" i="8"/>
  <c r="AM288" i="8"/>
  <c r="AM287" i="8"/>
  <c r="AM28" i="8"/>
  <c r="AM286" i="8"/>
  <c r="AM285" i="8"/>
  <c r="AM284" i="8"/>
  <c r="AN284" i="8"/>
  <c r="AM283" i="8"/>
  <c r="AM282" i="8"/>
  <c r="AM281" i="8"/>
  <c r="AM280" i="8"/>
  <c r="AM279" i="8"/>
  <c r="AM278" i="8"/>
  <c r="AM277" i="8"/>
  <c r="AM276" i="8"/>
  <c r="AM275" i="8"/>
  <c r="AM274" i="8"/>
  <c r="AM27" i="8"/>
  <c r="AM273" i="8"/>
  <c r="AN273" i="8"/>
  <c r="AM271" i="8"/>
  <c r="AM270" i="8"/>
  <c r="AM269" i="8"/>
  <c r="AM267" i="8"/>
  <c r="AM266" i="8"/>
  <c r="AM265" i="8"/>
  <c r="AM264" i="8"/>
  <c r="AM26" i="8"/>
  <c r="AM263" i="8"/>
  <c r="AM262" i="8"/>
  <c r="AM261" i="8"/>
  <c r="AM260" i="8"/>
  <c r="AM259" i="8"/>
  <c r="AM25" i="8"/>
  <c r="AM258" i="8"/>
  <c r="AM257" i="8"/>
  <c r="AM256" i="8"/>
  <c r="AM255" i="8"/>
  <c r="AN255" i="8"/>
  <c r="AM254" i="8"/>
  <c r="AN254" i="8"/>
  <c r="AM253" i="8"/>
  <c r="AN253" i="8"/>
  <c r="AM252" i="8"/>
  <c r="AM251" i="8"/>
  <c r="AM250" i="8"/>
  <c r="AM249" i="8"/>
  <c r="AM248" i="8"/>
  <c r="AM247" i="8"/>
  <c r="AM246" i="8"/>
  <c r="AM245" i="8"/>
  <c r="AM244" i="8"/>
  <c r="AM243" i="8"/>
  <c r="AM242" i="8"/>
  <c r="AM241" i="8"/>
  <c r="AM24" i="8"/>
  <c r="AN24" i="8"/>
  <c r="AM240" i="8"/>
  <c r="AN240" i="8"/>
  <c r="AM239" i="8"/>
  <c r="AM238" i="8"/>
  <c r="AM237" i="8"/>
  <c r="AM207" i="8"/>
  <c r="AN207" i="8"/>
  <c r="AM206" i="8"/>
  <c r="AM205" i="8"/>
  <c r="AN205" i="8"/>
  <c r="AM204" i="8"/>
  <c r="AM16" i="8"/>
  <c r="AM203" i="8"/>
  <c r="AN203" i="8"/>
  <c r="AM202" i="8"/>
  <c r="AM15" i="8"/>
  <c r="AN15" i="8"/>
  <c r="AM201" i="8"/>
  <c r="AM200" i="8"/>
  <c r="AM199" i="8"/>
  <c r="AM198" i="8"/>
  <c r="AM197" i="8"/>
  <c r="AM196" i="8"/>
  <c r="AM195" i="8"/>
  <c r="AM14" i="8"/>
  <c r="AN14" i="8"/>
  <c r="AM194" i="8"/>
  <c r="AM193" i="8"/>
  <c r="AM192" i="8"/>
  <c r="AM191" i="8"/>
  <c r="AM190" i="8"/>
  <c r="AM189" i="8"/>
  <c r="AN189" i="8"/>
  <c r="AM188" i="8"/>
  <c r="AM187" i="8"/>
  <c r="AM186" i="8"/>
  <c r="AM11" i="8"/>
  <c r="AM10" i="8"/>
  <c r="AM9" i="8"/>
  <c r="AM150" i="8"/>
  <c r="AN150" i="8"/>
  <c r="AM149" i="8"/>
  <c r="AM148" i="8"/>
  <c r="AN148" i="8"/>
  <c r="AM147" i="8"/>
  <c r="AM146" i="8"/>
  <c r="AN146" i="8"/>
  <c r="AM145" i="8"/>
  <c r="AO145" i="8"/>
  <c r="AM144" i="8"/>
  <c r="AN144" i="8"/>
  <c r="AM143" i="8"/>
  <c r="AM142" i="8"/>
  <c r="AM8" i="8"/>
  <c r="AM141" i="8"/>
  <c r="AM140" i="8"/>
  <c r="AM139" i="8"/>
  <c r="AM138" i="8"/>
  <c r="AM137" i="8"/>
  <c r="AN137" i="8"/>
  <c r="AM136" i="8"/>
  <c r="AN136" i="8"/>
  <c r="AM135" i="8"/>
  <c r="AM134" i="8"/>
  <c r="AM133" i="8"/>
  <c r="AM132" i="8"/>
  <c r="AM131" i="8"/>
  <c r="AM130" i="8"/>
  <c r="AM129" i="8"/>
  <c r="AM128" i="8"/>
  <c r="AM127" i="8"/>
  <c r="AN127" i="8"/>
  <c r="AM125" i="8"/>
  <c r="AN125" i="8"/>
  <c r="AM124" i="8"/>
  <c r="AM123" i="8"/>
  <c r="AM122" i="8"/>
  <c r="AM121" i="8"/>
  <c r="AM118" i="8"/>
  <c r="AM100" i="8"/>
  <c r="AN100" i="8"/>
  <c r="AM71" i="8"/>
  <c r="AM70" i="8"/>
  <c r="AM69" i="8"/>
  <c r="AM68" i="8"/>
  <c r="AM67" i="8"/>
  <c r="AM66" i="8"/>
  <c r="AN66" i="8"/>
  <c r="AM65" i="8"/>
  <c r="AM64" i="8"/>
  <c r="AM63" i="8"/>
  <c r="AM5" i="8"/>
  <c r="AM62" i="8"/>
  <c r="AN62" i="8"/>
  <c r="AM61" i="8"/>
  <c r="AN61" i="8"/>
  <c r="AM4" i="8"/>
  <c r="AM60" i="8"/>
  <c r="AM59" i="8"/>
  <c r="AM58" i="8"/>
  <c r="AM56" i="8"/>
  <c r="AM55" i="8"/>
  <c r="AM54" i="8"/>
  <c r="AM53" i="8"/>
  <c r="AM52" i="8"/>
  <c r="AM51" i="8"/>
  <c r="AM50" i="8"/>
  <c r="AM49" i="8"/>
  <c r="AM48" i="8"/>
  <c r="AM3" i="8"/>
  <c r="AM47" i="8"/>
  <c r="AM46" i="8"/>
  <c r="AM45" i="8"/>
  <c r="AM99" i="8"/>
  <c r="AN99" i="8"/>
  <c r="AM98" i="8"/>
  <c r="AM97" i="8"/>
  <c r="AN97" i="8"/>
  <c r="AM96" i="8"/>
  <c r="AM95" i="8"/>
  <c r="AM94" i="8"/>
  <c r="AM93" i="8"/>
  <c r="AN93" i="8"/>
  <c r="AM92" i="8"/>
  <c r="AN92" i="8"/>
  <c r="AM91" i="8"/>
  <c r="AN91" i="8"/>
  <c r="AM90" i="8"/>
  <c r="AM89" i="8"/>
  <c r="AM88" i="8"/>
  <c r="AM87" i="8"/>
  <c r="AM86" i="8"/>
  <c r="AM85" i="8"/>
  <c r="AM84" i="8"/>
  <c r="AM83" i="8"/>
  <c r="AM82" i="8"/>
  <c r="AM81" i="8"/>
  <c r="AM80" i="8"/>
  <c r="AM79" i="8"/>
  <c r="AM7" i="8"/>
  <c r="AM6" i="8"/>
  <c r="AM78" i="8"/>
  <c r="AM76" i="8"/>
  <c r="AM74" i="8"/>
  <c r="AM73" i="8"/>
  <c r="AM72" i="8"/>
  <c r="AM44" i="8"/>
  <c r="AM43" i="8"/>
  <c r="AM42" i="8"/>
  <c r="AM2" i="8"/>
  <c r="AM41" i="8"/>
  <c r="AM39" i="8"/>
  <c r="AM29" i="2"/>
  <c r="AM28" i="2"/>
  <c r="AM17" i="2"/>
  <c r="AM12" i="2"/>
  <c r="AM10" i="2"/>
  <c r="AM13" i="2"/>
  <c r="AM11" i="2"/>
  <c r="AM8" i="2"/>
  <c r="AM27" i="2"/>
  <c r="AM7" i="2"/>
  <c r="AM16" i="2"/>
  <c r="AM5" i="2"/>
  <c r="AM36" i="2"/>
  <c r="AM38" i="2"/>
  <c r="AM18" i="2"/>
  <c r="AM15" i="2"/>
  <c r="AM23" i="2"/>
  <c r="AM37" i="2"/>
  <c r="AM30" i="2"/>
  <c r="AM43" i="2"/>
  <c r="AM41" i="2"/>
  <c r="AM22" i="2"/>
  <c r="AM39" i="2"/>
  <c r="AM40" i="2"/>
  <c r="AM34" i="2"/>
  <c r="AM31" i="2"/>
  <c r="AM24" i="2"/>
  <c r="AM32" i="2"/>
  <c r="AM33" i="2"/>
  <c r="AM35" i="2"/>
  <c r="AM42" i="2"/>
  <c r="AJ283" i="4"/>
  <c r="AJ163" i="4"/>
  <c r="AJ245" i="4"/>
  <c r="AJ195" i="4"/>
  <c r="AJ288" i="4"/>
  <c r="AJ194" i="4"/>
  <c r="AJ158" i="4"/>
  <c r="AJ157" i="4"/>
  <c r="AJ156" i="4"/>
  <c r="AJ193" i="4"/>
  <c r="AJ155" i="4"/>
  <c r="AJ24" i="4"/>
  <c r="AJ4" i="4"/>
  <c r="AJ84" i="4"/>
  <c r="AJ83" i="4"/>
  <c r="AJ82" i="4"/>
  <c r="AJ123" i="4"/>
  <c r="AJ114" i="4"/>
  <c r="AJ184" i="4"/>
  <c r="AJ79" i="4"/>
  <c r="AJ223" i="4"/>
  <c r="AJ29" i="4"/>
  <c r="AJ110" i="4"/>
  <c r="AJ180" i="4"/>
  <c r="AJ87" i="4"/>
  <c r="AJ41" i="4"/>
  <c r="AJ183" i="4"/>
  <c r="AJ70" i="4"/>
  <c r="AJ286" i="4"/>
  <c r="AJ285" i="4"/>
  <c r="AJ284" i="4"/>
  <c r="AJ236" i="4"/>
  <c r="AJ111" i="4"/>
  <c r="AJ120" i="4"/>
  <c r="AJ174" i="4"/>
  <c r="AJ117" i="4"/>
  <c r="AJ259" i="4"/>
  <c r="AJ131" i="4"/>
  <c r="AJ18" i="4"/>
  <c r="AJ16" i="4"/>
  <c r="AJ14" i="4"/>
  <c r="AJ67" i="4"/>
  <c r="AJ290" i="4"/>
  <c r="AJ113" i="4"/>
  <c r="AJ97" i="4"/>
  <c r="AJ241" i="4"/>
  <c r="AJ142" i="4"/>
  <c r="AJ293" i="4"/>
  <c r="AJ173" i="4"/>
  <c r="AJ208" i="4"/>
  <c r="AJ135" i="4"/>
  <c r="AJ267" i="4"/>
  <c r="AJ220" i="4"/>
  <c r="AJ207" i="4"/>
  <c r="AJ219" i="4"/>
  <c r="AJ25" i="4"/>
  <c r="AJ23" i="4"/>
  <c r="AJ76" i="4"/>
  <c r="AJ61" i="4"/>
  <c r="AJ182" i="4"/>
  <c r="AJ181" i="4"/>
  <c r="AJ91" i="4"/>
  <c r="AJ235" i="4"/>
  <c r="AJ179" i="4"/>
  <c r="AJ138" i="4"/>
  <c r="AJ137" i="4"/>
  <c r="AJ209" i="4"/>
  <c r="AJ178" i="4"/>
  <c r="AJ136" i="4"/>
  <c r="AJ177" i="4"/>
  <c r="AJ90" i="4"/>
  <c r="AJ176" i="4"/>
  <c r="AJ175" i="4"/>
  <c r="AJ102" i="4"/>
  <c r="AJ169" i="4"/>
  <c r="AJ27" i="4"/>
  <c r="AJ119" i="4"/>
  <c r="AJ246" i="4"/>
  <c r="AJ133" i="4"/>
  <c r="AJ161" i="4"/>
  <c r="AJ160" i="4"/>
  <c r="AJ159" i="4"/>
  <c r="AJ144" i="4"/>
  <c r="AJ188" i="4"/>
  <c r="AJ122" i="4"/>
  <c r="AJ141" i="4"/>
  <c r="AJ31" i="4"/>
  <c r="AJ85" i="4"/>
  <c r="AJ231" i="4"/>
  <c r="AJ264" i="4"/>
  <c r="AJ226" i="4"/>
  <c r="AJ225" i="4"/>
  <c r="AJ255" i="4"/>
  <c r="AJ254" i="4"/>
  <c r="AJ301" i="4"/>
  <c r="AJ294" i="4"/>
  <c r="AJ77" i="4"/>
  <c r="AJ140" i="4"/>
  <c r="AJ239" i="4"/>
  <c r="AJ247" i="4"/>
  <c r="AJ196" i="4"/>
  <c r="AJ258" i="4"/>
  <c r="AJ257" i="4"/>
  <c r="AJ132" i="4"/>
  <c r="AJ266" i="4"/>
  <c r="AJ265" i="4"/>
  <c r="AJ281" i="4"/>
  <c r="AJ270" i="4"/>
  <c r="AJ280" i="4"/>
  <c r="AJ263" i="4"/>
  <c r="AJ274" i="4"/>
  <c r="AJ130" i="4"/>
  <c r="AJ287" i="4"/>
  <c r="AJ279" i="4"/>
  <c r="AJ243" i="4"/>
  <c r="AJ129" i="4"/>
  <c r="AJ191" i="4"/>
  <c r="AJ190" i="4"/>
  <c r="AJ73" i="4"/>
  <c r="AJ72" i="4"/>
  <c r="AJ252" i="4"/>
  <c r="AJ300" i="4"/>
  <c r="AJ251" i="4"/>
  <c r="AJ187" i="4"/>
  <c r="AJ81" i="4"/>
  <c r="AJ292" i="4"/>
  <c r="AJ80" i="4"/>
  <c r="AJ64" i="4"/>
  <c r="AJ112" i="4"/>
  <c r="AJ297" i="4"/>
  <c r="AJ222" i="4"/>
  <c r="AJ121" i="4"/>
  <c r="AJ291" i="4"/>
  <c r="AJ221" i="4"/>
  <c r="AJ248" i="4"/>
  <c r="AJ230" i="4"/>
  <c r="AJ244" i="4"/>
  <c r="AJ229" i="4"/>
  <c r="AJ228" i="4"/>
  <c r="AJ256" i="4"/>
  <c r="AJ15" i="4"/>
  <c r="AJ224" i="4"/>
  <c r="AJ253" i="4"/>
  <c r="AJ189" i="4"/>
  <c r="AJ65" i="4"/>
  <c r="AJ242" i="4"/>
  <c r="AJ13" i="4"/>
  <c r="AJ2" i="4"/>
  <c r="AJ143" i="4"/>
  <c r="AJ237" i="4"/>
  <c r="AJ250" i="4"/>
  <c r="AJ162" i="4"/>
  <c r="AJ216" i="4"/>
  <c r="AJ282" i="4"/>
  <c r="AJ150" i="4"/>
  <c r="AJ149" i="4"/>
  <c r="AJ192" i="4"/>
  <c r="AJ128" i="4"/>
  <c r="AJ203" i="4"/>
  <c r="AJ202" i="4"/>
  <c r="AJ198" i="4"/>
  <c r="AJ197" i="4"/>
  <c r="AJ152" i="4"/>
  <c r="AJ151" i="4"/>
  <c r="AJ269" i="4"/>
  <c r="AJ302" i="4"/>
  <c r="AJ74" i="4"/>
  <c r="AJ227" i="4"/>
  <c r="AJ71" i="4"/>
  <c r="AJ20" i="4"/>
  <c r="AJ19" i="4"/>
  <c r="AJ17" i="4"/>
  <c r="AJ35" i="4"/>
  <c r="AJ127" i="4"/>
  <c r="AJ278" i="4"/>
  <c r="AJ22" i="4"/>
  <c r="AJ139" i="4"/>
  <c r="AJ238" i="4"/>
  <c r="AJ268" i="4"/>
  <c r="AJ249" i="4"/>
  <c r="AJ204" i="4"/>
  <c r="AJ101" i="4"/>
  <c r="AJ201" i="4"/>
  <c r="AJ100" i="4"/>
  <c r="AJ118" i="4"/>
  <c r="AJ153" i="4"/>
  <c r="AJ146" i="4"/>
  <c r="AJ145" i="4"/>
  <c r="AJ98" i="4"/>
  <c r="AJ63" i="4"/>
  <c r="AJ240" i="4"/>
  <c r="AJ93" i="4"/>
  <c r="AJ92" i="4"/>
  <c r="AJ99" i="4"/>
  <c r="AJ299" i="4"/>
  <c r="AJ11" i="4"/>
  <c r="AJ298" i="4"/>
  <c r="AJ59" i="4"/>
  <c r="AJ88" i="4"/>
  <c r="AJ53" i="4"/>
  <c r="AJ75" i="4"/>
  <c r="AJ271" i="4"/>
  <c r="AJ8" i="4"/>
  <c r="AJ69" i="4"/>
  <c r="AJ68" i="4"/>
  <c r="AJ62" i="4"/>
  <c r="AJ205" i="4"/>
  <c r="AJ289" i="4"/>
  <c r="AJ273" i="4"/>
  <c r="AJ272" i="4"/>
  <c r="AJ9" i="4"/>
  <c r="AJ7" i="4"/>
  <c r="AJ6" i="4"/>
  <c r="AJ5" i="4"/>
  <c r="AJ49" i="4"/>
  <c r="AJ48" i="4"/>
  <c r="AJ47" i="4"/>
  <c r="AJ46" i="4"/>
  <c r="AJ45" i="4"/>
  <c r="AJ34" i="4"/>
  <c r="AJ32" i="4"/>
  <c r="AJ168" i="4"/>
  <c r="AJ167" i="4"/>
  <c r="AJ166" i="4"/>
  <c r="AJ165" i="4"/>
  <c r="AJ200" i="4"/>
  <c r="AJ199" i="4"/>
  <c r="AJ217" i="4"/>
  <c r="AJ96" i="4"/>
  <c r="AJ3" i="4"/>
  <c r="AJ109" i="4"/>
  <c r="AJ37" i="4"/>
  <c r="AJ26" i="4"/>
  <c r="AJ89" i="4"/>
  <c r="AJ54" i="4"/>
  <c r="AJ36" i="4"/>
  <c r="AJ58" i="4"/>
  <c r="AJ52" i="4"/>
  <c r="AJ51" i="4"/>
  <c r="AJ212" i="4"/>
  <c r="AJ148" i="4"/>
  <c r="AJ147" i="4"/>
  <c r="AJ215" i="4"/>
  <c r="AJ214" i="4"/>
  <c r="AJ154" i="4"/>
  <c r="AJ213" i="4"/>
  <c r="AJ211" i="4"/>
  <c r="AJ210" i="4"/>
  <c r="AJ296" i="4"/>
  <c r="AJ125" i="4"/>
  <c r="AJ66" i="4"/>
  <c r="AJ186" i="4"/>
  <c r="AJ185" i="4"/>
  <c r="AJ10" i="4"/>
  <c r="AJ55" i="4"/>
  <c r="AJ60" i="4"/>
  <c r="AJ12" i="4"/>
  <c r="AJ57" i="4"/>
  <c r="AJ116" i="4"/>
  <c r="AJ108" i="4"/>
  <c r="AJ106" i="4"/>
  <c r="AJ105" i="4"/>
  <c r="AJ44" i="4"/>
  <c r="AJ43" i="4"/>
  <c r="AJ42" i="4"/>
  <c r="AJ33" i="4"/>
  <c r="AJ30" i="4"/>
  <c r="AJ21" i="4"/>
  <c r="AJ40" i="4"/>
  <c r="AJ95" i="4"/>
  <c r="AJ94" i="4"/>
  <c r="AJ262" i="4"/>
  <c r="AJ78" i="4"/>
  <c r="AJ115" i="4"/>
  <c r="AJ107" i="4"/>
  <c r="AJ104" i="4"/>
  <c r="AJ103" i="4"/>
  <c r="AJ218" i="4"/>
  <c r="AJ234" i="4"/>
  <c r="AJ233" i="4"/>
  <c r="AJ126" i="4"/>
  <c r="AJ124" i="4"/>
  <c r="AJ56" i="4"/>
  <c r="AJ295" i="4"/>
  <c r="AJ261" i="4"/>
  <c r="AJ206" i="4"/>
  <c r="AJ172" i="4"/>
  <c r="AJ171" i="4"/>
  <c r="AJ170" i="4"/>
  <c r="AJ39" i="4"/>
  <c r="AJ38" i="4"/>
  <c r="AJ260" i="4"/>
  <c r="AM26" i="2"/>
  <c r="AY58" i="5"/>
  <c r="AY57" i="5"/>
  <c r="AY60" i="5"/>
  <c r="AY161" i="5"/>
  <c r="AY115" i="5"/>
  <c r="AY59" i="5"/>
  <c r="AY56" i="5"/>
  <c r="AY66" i="5"/>
  <c r="AY254" i="5"/>
  <c r="AY65" i="5"/>
  <c r="AY55" i="5"/>
  <c r="AY67" i="5"/>
  <c r="AY256" i="5"/>
  <c r="AY38" i="5"/>
  <c r="AY279" i="5"/>
  <c r="AY257" i="5"/>
  <c r="AY271" i="5"/>
  <c r="AY42" i="5"/>
  <c r="AY41" i="5"/>
  <c r="AY39" i="5"/>
  <c r="AY255" i="5"/>
  <c r="AY44" i="5"/>
  <c r="AY40" i="5"/>
  <c r="AY68" i="5"/>
  <c r="AY153" i="5"/>
  <c r="AY223" i="5"/>
  <c r="AY4" i="5"/>
  <c r="AY198" i="5"/>
  <c r="AY64" i="5"/>
  <c r="AY45" i="5"/>
  <c r="AY122" i="5"/>
  <c r="AY63" i="5"/>
  <c r="AY71" i="5"/>
  <c r="AY62" i="5"/>
  <c r="AY49" i="5"/>
  <c r="AY6" i="5"/>
  <c r="AX6" i="5"/>
  <c r="AY43" i="5"/>
  <c r="AY7" i="5"/>
  <c r="AX7" i="5"/>
  <c r="AY47" i="5"/>
  <c r="AY69" i="5"/>
  <c r="AY121" i="5"/>
  <c r="AY249" i="5"/>
  <c r="AY48" i="5"/>
  <c r="AY294" i="5"/>
  <c r="AY96" i="5"/>
  <c r="AY150" i="5"/>
  <c r="AY197" i="5"/>
  <c r="AY70" i="5"/>
  <c r="AY151" i="5"/>
  <c r="AY120" i="5"/>
  <c r="AY98" i="5"/>
  <c r="AY251" i="5"/>
  <c r="AY224" i="5"/>
  <c r="AY196" i="5"/>
  <c r="AY194" i="5"/>
  <c r="AY297" i="5"/>
  <c r="AY221" i="5"/>
  <c r="AY144" i="5"/>
  <c r="AY46" i="5"/>
  <c r="AY277" i="5"/>
  <c r="AY147" i="5"/>
  <c r="AY136" i="5"/>
  <c r="AY134" i="5"/>
  <c r="AY34" i="5"/>
  <c r="AY274" i="5"/>
  <c r="AY118" i="5"/>
  <c r="AY228" i="5"/>
  <c r="AY163" i="5"/>
  <c r="AY231" i="5"/>
  <c r="AY207" i="5"/>
  <c r="AX207" i="5"/>
  <c r="AY200" i="5"/>
  <c r="AY242" i="5"/>
  <c r="AY154" i="5"/>
  <c r="AY116" i="5"/>
  <c r="AY248" i="5"/>
  <c r="AY247" i="5"/>
  <c r="AY246" i="5"/>
  <c r="AY31" i="5"/>
  <c r="AY124" i="5"/>
  <c r="AY2" i="5"/>
  <c r="AY149" i="5"/>
  <c r="AY129" i="5"/>
  <c r="AY244" i="5"/>
  <c r="AY287" i="5"/>
  <c r="AY179" i="5"/>
  <c r="AY286" i="5"/>
  <c r="AY193" i="5"/>
  <c r="AY157" i="5"/>
  <c r="AY137" i="5"/>
  <c r="AY127" i="5"/>
  <c r="AY126" i="5"/>
  <c r="AY76" i="5"/>
  <c r="AY74" i="5"/>
  <c r="AY258" i="5"/>
  <c r="AY211" i="5"/>
  <c r="AY18" i="5"/>
  <c r="AY17" i="5"/>
  <c r="AY16" i="5"/>
  <c r="AY280" i="5"/>
  <c r="AY3" i="5"/>
  <c r="AY73" i="5"/>
  <c r="AY296" i="5"/>
  <c r="AY295" i="5"/>
  <c r="AY292" i="5"/>
  <c r="AY195" i="5"/>
  <c r="AY172" i="5"/>
  <c r="AY156" i="5"/>
  <c r="AY142" i="5"/>
  <c r="AY130" i="5"/>
  <c r="AY99" i="5"/>
  <c r="AY75" i="5"/>
  <c r="AY239" i="5"/>
  <c r="AY27" i="5"/>
  <c r="AY212" i="5"/>
  <c r="AY21" i="5"/>
  <c r="AY293" i="5"/>
  <c r="AY169" i="5"/>
  <c r="AY167" i="5"/>
  <c r="AY152" i="5"/>
  <c r="AY148" i="5"/>
  <c r="AY141" i="5"/>
  <c r="AY138" i="5"/>
  <c r="AY132" i="5"/>
  <c r="AY15" i="5"/>
  <c r="AY114" i="5"/>
  <c r="AY100" i="5"/>
  <c r="AY9" i="5"/>
  <c r="AY72" i="5"/>
  <c r="AY33" i="5"/>
  <c r="AY217" i="5"/>
  <c r="AY216" i="5"/>
  <c r="AY215" i="5"/>
  <c r="AY158" i="5"/>
  <c r="AY95" i="5"/>
  <c r="AY87" i="5"/>
  <c r="AY85" i="5"/>
  <c r="AY82" i="5"/>
  <c r="AY252" i="5"/>
  <c r="AY245" i="5"/>
  <c r="AY243" i="5"/>
  <c r="AY237" i="5"/>
  <c r="AY234" i="5"/>
  <c r="AY230" i="5"/>
  <c r="AY229" i="5"/>
  <c r="AY218" i="5"/>
  <c r="AY214" i="5"/>
  <c r="AY210" i="5"/>
  <c r="AX210" i="5"/>
  <c r="AY209" i="5"/>
  <c r="AY199" i="5"/>
  <c r="AY178" i="5"/>
  <c r="AY168" i="5"/>
  <c r="AY162" i="5"/>
  <c r="AY160" i="5"/>
  <c r="AY159" i="5"/>
  <c r="AY155" i="5"/>
  <c r="AY145" i="5"/>
  <c r="AY131" i="5"/>
  <c r="AY268" i="5"/>
  <c r="AY108" i="5"/>
  <c r="AX107" i="5"/>
  <c r="AY106" i="5"/>
  <c r="AY103" i="5"/>
  <c r="AY102" i="5"/>
  <c r="AY94" i="5"/>
  <c r="AY93" i="5"/>
  <c r="AY11" i="5"/>
  <c r="AY10" i="5"/>
  <c r="AY92" i="5"/>
  <c r="AY261" i="5"/>
  <c r="AY86" i="5"/>
  <c r="AY260" i="5"/>
  <c r="AY259" i="5"/>
  <c r="AY84" i="5"/>
  <c r="AY83" i="5"/>
  <c r="AY267" i="5"/>
  <c r="AY81" i="5"/>
  <c r="AY266" i="5"/>
  <c r="AY54" i="5"/>
  <c r="AY51" i="5"/>
  <c r="AY232" i="5"/>
  <c r="AY164" i="5"/>
  <c r="AY135" i="5"/>
  <c r="AY14" i="5"/>
  <c r="AY298" i="5"/>
  <c r="AY26" i="5"/>
  <c r="AY25" i="5"/>
  <c r="AY24" i="5"/>
  <c r="AY23" i="5"/>
  <c r="AY22" i="5"/>
  <c r="AY180" i="5"/>
  <c r="AY146" i="5"/>
  <c r="AY123" i="5"/>
  <c r="AY270" i="5"/>
  <c r="AY104" i="5"/>
  <c r="AY253" i="5"/>
  <c r="AY50" i="5"/>
  <c r="AY32" i="5"/>
  <c r="AY30" i="5"/>
  <c r="AY29" i="5"/>
  <c r="AY182" i="5"/>
  <c r="AY140" i="5"/>
  <c r="AY128" i="5"/>
  <c r="AY125" i="5"/>
  <c r="AY273" i="5"/>
  <c r="AY89" i="5"/>
  <c r="AY78" i="5"/>
  <c r="AY265" i="5"/>
  <c r="AY53" i="5"/>
  <c r="AY181" i="5"/>
  <c r="AY174" i="5"/>
  <c r="AY119" i="5"/>
  <c r="AY225" i="5"/>
  <c r="AY208" i="5"/>
  <c r="AY183" i="5"/>
  <c r="AZ227" i="5"/>
  <c r="AY227" i="5"/>
  <c r="AY264" i="5"/>
  <c r="AY241" i="5"/>
  <c r="AY117" i="5"/>
  <c r="AY79" i="5"/>
  <c r="AX79" i="5"/>
  <c r="AY77" i="5"/>
  <c r="AY222" i="5"/>
  <c r="AY171" i="5"/>
  <c r="AY139" i="5"/>
  <c r="AY184" i="5"/>
  <c r="AY173" i="5"/>
  <c r="AY250" i="5"/>
  <c r="AY170" i="5"/>
  <c r="AY166" i="5"/>
  <c r="AY109" i="5"/>
  <c r="AY165" i="5"/>
  <c r="AJ50" i="4"/>
  <c r="J43" i="3"/>
  <c r="BA398" i="5"/>
  <c r="BA394" i="5"/>
  <c r="BA400" i="5"/>
  <c r="BA414" i="5"/>
  <c r="BA411" i="5"/>
  <c r="BA416" i="5"/>
  <c r="BA407" i="5"/>
  <c r="BA405" i="5"/>
  <c r="BA399" i="5"/>
  <c r="BA397" i="5"/>
  <c r="BA392" i="5"/>
  <c r="BA401" i="5"/>
  <c r="BA402" i="5"/>
  <c r="BA413" i="5"/>
  <c r="BA415" i="5"/>
  <c r="BA403" i="5"/>
  <c r="BA410" i="5"/>
  <c r="BA408" i="5"/>
  <c r="BA396" i="5"/>
  <c r="BA412" i="5"/>
  <c r="AM25" i="2"/>
  <c r="AG79" i="2" l="1"/>
  <c r="U20" i="4" a="1"/>
  <c r="U20" i="4" s="1"/>
  <c r="AD187" i="5" s="1"/>
  <c r="T18" i="4" a="1"/>
  <c r="T18" i="4" s="1"/>
  <c r="AC185" i="5" s="1"/>
  <c r="AL205" i="8" s="1"/>
  <c r="T235" i="4" a="1"/>
  <c r="T235" i="4" s="1"/>
  <c r="AC253" i="5" s="1"/>
  <c r="T16" i="4" a="1"/>
  <c r="T16" i="4" s="1"/>
  <c r="AC183" i="5" s="1"/>
  <c r="T244" i="4" a="1"/>
  <c r="T244" i="4" s="1"/>
  <c r="AC219" i="5" s="1"/>
  <c r="T5" i="4" a="1"/>
  <c r="T5" i="4" s="1"/>
  <c r="AC61" i="5" s="1"/>
  <c r="AL90" i="8" s="1"/>
  <c r="T4" i="4" a="1"/>
  <c r="T4" i="4" s="1"/>
  <c r="AC174" i="5" s="1"/>
  <c r="AL196" i="8" s="1"/>
  <c r="AX405" i="5"/>
  <c r="BC196" i="1"/>
  <c r="AP390" i="5"/>
  <c r="AY387" i="5"/>
  <c r="BC344" i="1"/>
  <c r="BC206" i="1"/>
  <c r="BC97" i="1"/>
  <c r="BC92" i="1"/>
  <c r="BC27" i="1"/>
  <c r="BC298" i="1"/>
  <c r="BC119" i="1"/>
  <c r="BC241" i="1"/>
  <c r="BC78" i="1"/>
  <c r="BC33" i="1"/>
  <c r="BC35" i="1"/>
  <c r="BC108" i="1"/>
  <c r="BC284" i="1"/>
  <c r="BC410" i="1"/>
  <c r="BC80" i="1"/>
  <c r="BC440" i="1"/>
  <c r="BC89" i="1"/>
  <c r="BC352" i="1"/>
  <c r="BC244" i="1"/>
  <c r="BC219" i="1"/>
  <c r="BC220" i="1"/>
  <c r="BC42" i="1"/>
  <c r="BC43" i="1"/>
  <c r="BC133" i="1"/>
  <c r="BC162" i="1"/>
  <c r="BC230" i="1"/>
  <c r="BC221" i="1"/>
  <c r="BC215" i="1"/>
  <c r="BC57" i="1"/>
  <c r="BC66" i="1"/>
  <c r="BC264" i="1"/>
  <c r="BC171" i="1"/>
  <c r="BC7" i="1"/>
  <c r="BC460" i="1"/>
  <c r="BC139" i="1"/>
  <c r="BC142" i="1"/>
  <c r="BC200" i="1"/>
  <c r="BC408" i="1"/>
  <c r="BC212" i="1"/>
  <c r="E75" i="2"/>
  <c r="E164" i="4" s="1"/>
  <c r="F240" i="5" s="1"/>
  <c r="C63" i="2"/>
  <c r="BC323" i="1"/>
  <c r="BC449" i="1"/>
  <c r="BC49" i="1"/>
  <c r="BC443" i="1"/>
  <c r="BC462" i="1"/>
  <c r="BC291" i="1"/>
  <c r="BC17" i="1"/>
  <c r="BC370" i="1"/>
  <c r="BC116" i="1"/>
  <c r="BC136" i="1"/>
  <c r="BC179" i="1"/>
  <c r="BC448" i="1"/>
  <c r="BC8" i="1"/>
  <c r="BC250" i="1"/>
  <c r="BC255" i="1"/>
  <c r="BC434" i="1"/>
  <c r="BC91" i="1"/>
  <c r="BC318" i="1"/>
  <c r="BC382" i="1"/>
  <c r="BC384" i="1"/>
  <c r="BC145" i="1"/>
  <c r="BC188" i="1"/>
  <c r="BC336" i="1"/>
  <c r="BC341" i="1"/>
  <c r="H9" i="13"/>
  <c r="BC399" i="1"/>
  <c r="BC283" i="1"/>
  <c r="BC330" i="1"/>
  <c r="BC182" i="1"/>
  <c r="BC299" i="1"/>
  <c r="BC59" i="1"/>
  <c r="BC415" i="1"/>
  <c r="BC458" i="1"/>
  <c r="BC314" i="1"/>
  <c r="BC390" i="1"/>
  <c r="BC391" i="1"/>
  <c r="BC435" i="1"/>
  <c r="BC135" i="1"/>
  <c r="BC70" i="1"/>
  <c r="BC320" i="1"/>
  <c r="BC72" i="1"/>
  <c r="BC348" i="1"/>
  <c r="BC155" i="1"/>
  <c r="BC281" i="1"/>
  <c r="BC296" i="1"/>
  <c r="BC328" i="1"/>
  <c r="BC184" i="1"/>
  <c r="BC277" i="1"/>
  <c r="BC420" i="1"/>
  <c r="BC413" i="1"/>
  <c r="BC311" i="1"/>
  <c r="BC229" i="1"/>
  <c r="BC464" i="1"/>
  <c r="BC19" i="1"/>
  <c r="BC112" i="1"/>
  <c r="BC224" i="1"/>
  <c r="BC83" i="1"/>
  <c r="BC257" i="1"/>
  <c r="BC178" i="1"/>
  <c r="BC201" i="1"/>
  <c r="BC181" i="1"/>
  <c r="BC190" i="1"/>
  <c r="BC96" i="1"/>
  <c r="BC161" i="1"/>
  <c r="BC322" i="1"/>
  <c r="G9" i="13"/>
  <c r="D48" i="2"/>
  <c r="D311" i="4" s="1"/>
  <c r="E310" i="5" s="1"/>
  <c r="AD312" i="8" s="1"/>
  <c r="BC12" i="1"/>
  <c r="BC324" i="1"/>
  <c r="BC48" i="1"/>
  <c r="BC217" i="1"/>
  <c r="BC312" i="1"/>
  <c r="BC463" i="1"/>
  <c r="BC258" i="1"/>
  <c r="BC367" i="1"/>
  <c r="BC152" i="1"/>
  <c r="BC459" i="1"/>
  <c r="BC333" i="1"/>
  <c r="BC339" i="1"/>
  <c r="BC164" i="1"/>
  <c r="BC153" i="1"/>
  <c r="BC416" i="1"/>
  <c r="BC157" i="1"/>
  <c r="BC14" i="1"/>
  <c r="BC54" i="1"/>
  <c r="BC58" i="1"/>
  <c r="BC21" i="1"/>
  <c r="BC67" i="1"/>
  <c r="BC160" i="1"/>
  <c r="BC18" i="1"/>
  <c r="BC364" i="1"/>
  <c r="BC317" i="1"/>
  <c r="BC81" i="1"/>
  <c r="BC366" i="1"/>
  <c r="BC172" i="1"/>
  <c r="BC127" i="1"/>
  <c r="BC256" i="1"/>
  <c r="BC425" i="1"/>
  <c r="BC140" i="1"/>
  <c r="BC251" i="1"/>
  <c r="BC270" i="1"/>
  <c r="BC407" i="1"/>
  <c r="BC94" i="1"/>
  <c r="D70" i="2"/>
  <c r="D71" i="4" s="1"/>
  <c r="E190" i="5" s="1"/>
  <c r="BC238" i="1"/>
  <c r="BC242" i="1"/>
  <c r="BC406" i="1"/>
  <c r="BC353" i="1"/>
  <c r="BC38" i="1"/>
  <c r="BC23" i="1"/>
  <c r="BC53" i="1"/>
  <c r="BC427" i="1"/>
  <c r="BC68" i="1"/>
  <c r="BC373" i="1"/>
  <c r="BC16" i="1"/>
  <c r="BC398" i="1"/>
  <c r="BC114" i="1"/>
  <c r="BC176" i="1"/>
  <c r="BC432" i="1"/>
  <c r="BC445" i="1"/>
  <c r="BC447" i="1"/>
  <c r="BC262" i="1"/>
  <c r="BC246" i="1"/>
  <c r="BC247" i="1"/>
  <c r="BC252" i="1"/>
  <c r="BC86" i="1"/>
  <c r="BC199" i="1"/>
  <c r="BC186" i="1"/>
  <c r="BC187" i="1"/>
  <c r="BC423" i="1"/>
  <c r="K9" i="2"/>
  <c r="BC431" i="1"/>
  <c r="BC302" i="1"/>
  <c r="BC25" i="1"/>
  <c r="BC156" i="1"/>
  <c r="BC361" i="1"/>
  <c r="BC394" i="1"/>
  <c r="BC197" i="1"/>
  <c r="BC309" i="1"/>
  <c r="BC265" i="1"/>
  <c r="BC433" i="1"/>
  <c r="BC84" i="1"/>
  <c r="BC259" i="1"/>
  <c r="BC9" i="1"/>
  <c r="BC225" i="1"/>
  <c r="BC71" i="1"/>
  <c r="BC180" i="1"/>
  <c r="BC138" i="1"/>
  <c r="BC191" i="1"/>
  <c r="BC226" i="1"/>
  <c r="BC87" i="1"/>
  <c r="BC233" i="1"/>
  <c r="C56" i="2"/>
  <c r="C14" i="4" s="1"/>
  <c r="C180" i="5" s="1"/>
  <c r="R15" i="8" s="1"/>
  <c r="BC234" i="1"/>
  <c r="BC354" i="1"/>
  <c r="BC439" i="1"/>
  <c r="BC158" i="1"/>
  <c r="BC307" i="1"/>
  <c r="BC50" i="1"/>
  <c r="BC376" i="1"/>
  <c r="BC347" i="1"/>
  <c r="BC62" i="1"/>
  <c r="BC64" i="1"/>
  <c r="BC285" i="1"/>
  <c r="BC115" i="1"/>
  <c r="BC446" i="1"/>
  <c r="BC254" i="1"/>
  <c r="BC69" i="1"/>
  <c r="BC321" i="1"/>
  <c r="BC383" i="1"/>
  <c r="BC144" i="1"/>
  <c r="BC73" i="1"/>
  <c r="BC334" i="1"/>
  <c r="BC337" i="1"/>
  <c r="BC430" i="1"/>
  <c r="C55" i="2"/>
  <c r="C134" i="4" s="1"/>
  <c r="C20" i="5" s="1"/>
  <c r="BC400" i="1"/>
  <c r="BC351" i="1"/>
  <c r="BC195" i="1"/>
  <c r="BC418" i="1"/>
  <c r="BC421" i="1"/>
  <c r="AS406" i="5"/>
  <c r="AS405" i="5"/>
  <c r="BC378" i="1"/>
  <c r="BC22" i="1"/>
  <c r="BC313" i="1"/>
  <c r="BC290" i="1"/>
  <c r="BC327" i="1"/>
  <c r="BC372" i="1"/>
  <c r="BC368" i="1"/>
  <c r="BC117" i="1"/>
  <c r="BC248" i="1"/>
  <c r="BC249" i="1"/>
  <c r="BC436" i="1"/>
  <c r="BC137" i="1"/>
  <c r="BC269" i="1"/>
  <c r="BC424" i="1"/>
  <c r="BC141" i="1"/>
  <c r="BC189" i="1"/>
  <c r="BC340" i="1"/>
  <c r="BC342" i="1"/>
  <c r="BC409" i="1"/>
  <c r="D80" i="2"/>
  <c r="D337" i="4" s="1"/>
  <c r="E321" i="5" s="1"/>
  <c r="BC154" i="1"/>
  <c r="BC417" i="1"/>
  <c r="BC272" i="1"/>
  <c r="BC385" i="1"/>
  <c r="BC52" i="1"/>
  <c r="BC211" i="1"/>
  <c r="BC266" i="1"/>
  <c r="BC374" i="1"/>
  <c r="BC388" i="1"/>
  <c r="BC365" i="1"/>
  <c r="BC177" i="1"/>
  <c r="BC82" i="1"/>
  <c r="BC85" i="1"/>
  <c r="BC371" i="1"/>
  <c r="BC261" i="1"/>
  <c r="BC392" i="1"/>
  <c r="BC55" i="1"/>
  <c r="BC263" i="1"/>
  <c r="BC268" i="1"/>
  <c r="BC185" i="1"/>
  <c r="BC146" i="1"/>
  <c r="BC222" i="1"/>
  <c r="BC165" i="1"/>
  <c r="BC310" i="1"/>
  <c r="BC316" i="1"/>
  <c r="BC375" i="1"/>
  <c r="BC369" i="1"/>
  <c r="BC198" i="1"/>
  <c r="BC56" i="1"/>
  <c r="BC319" i="1"/>
  <c r="BC461" i="1"/>
  <c r="BC192" i="1"/>
  <c r="BC338" i="1"/>
  <c r="BC205" i="1"/>
  <c r="BC147" i="1"/>
  <c r="BC232" i="1"/>
  <c r="D76" i="2"/>
  <c r="D180" i="4" s="1"/>
  <c r="E87" i="5" s="1"/>
  <c r="AD116" i="8" s="1"/>
  <c r="BC401" i="1"/>
  <c r="AX409" i="5"/>
  <c r="AS397" i="5"/>
  <c r="AS396" i="5"/>
  <c r="AY396" i="5"/>
  <c r="AG45" i="2"/>
  <c r="AS390" i="5"/>
  <c r="AY388" i="5"/>
  <c r="AR415" i="5"/>
  <c r="AR413" i="5"/>
  <c r="AX401" i="5"/>
  <c r="AS409" i="5"/>
  <c r="D347" i="8"/>
  <c r="E347" i="8"/>
  <c r="C347" i="8"/>
  <c r="AX412" i="5"/>
  <c r="AX410" i="5"/>
  <c r="AR403" i="5"/>
  <c r="AS391" i="5"/>
  <c r="AQ390" i="5"/>
  <c r="AX387" i="5"/>
  <c r="AB347" i="8"/>
  <c r="AO347" i="8"/>
  <c r="Z347" i="8"/>
  <c r="AX347" i="8" s="1"/>
  <c r="T347" i="8"/>
  <c r="R347" i="8"/>
  <c r="BA406" i="5"/>
  <c r="AU406" i="5"/>
  <c r="AY401" i="5"/>
  <c r="BA393" i="5"/>
  <c r="U395" i="8"/>
  <c r="AS395" i="8" s="1"/>
  <c r="I395" i="8" s="1"/>
  <c r="AG385" i="8"/>
  <c r="AS385" i="8" s="1"/>
  <c r="I385" i="8" s="1"/>
  <c r="AG388" i="8"/>
  <c r="AS388" i="8" s="1"/>
  <c r="I388" i="8" s="1"/>
  <c r="AS407" i="5"/>
  <c r="AR398" i="5"/>
  <c r="AS389" i="5"/>
  <c r="G212" i="9"/>
  <c r="G216" i="9"/>
  <c r="G248" i="9"/>
  <c r="G252" i="9"/>
  <c r="G264" i="9"/>
  <c r="G375" i="9"/>
  <c r="G387" i="9"/>
  <c r="G395" i="9"/>
  <c r="G399" i="9"/>
  <c r="G407" i="9"/>
  <c r="AR390" i="5"/>
  <c r="AY407" i="5"/>
  <c r="AY404" i="5"/>
  <c r="AS410" i="5"/>
  <c r="AR400" i="5"/>
  <c r="AR394" i="5"/>
  <c r="AY391" i="5"/>
  <c r="AT387" i="5"/>
  <c r="AF32" i="8"/>
  <c r="AR32" i="8" s="1"/>
  <c r="AE32" i="8"/>
  <c r="AQ32" i="8" s="1"/>
  <c r="AS413" i="5"/>
  <c r="C32" i="8"/>
  <c r="E32" i="8"/>
  <c r="AB32" i="8"/>
  <c r="AY416" i="5"/>
  <c r="Z32" i="8"/>
  <c r="AO32" i="8"/>
  <c r="V32" i="8"/>
  <c r="AQ162" i="8"/>
  <c r="G162" i="8" s="1"/>
  <c r="X402" i="8"/>
  <c r="BA145" i="8"/>
  <c r="Q145" i="8" s="1"/>
  <c r="AR416" i="5"/>
  <c r="AR395" i="5"/>
  <c r="AX415" i="5"/>
  <c r="G3" i="9"/>
  <c r="G7" i="9"/>
  <c r="G11" i="9"/>
  <c r="G15" i="9"/>
  <c r="G19" i="9"/>
  <c r="G23" i="9"/>
  <c r="G27" i="9"/>
  <c r="G31" i="9"/>
  <c r="G39" i="9"/>
  <c r="G43" i="9"/>
  <c r="G51" i="9"/>
  <c r="G55" i="9"/>
  <c r="G63" i="9"/>
  <c r="G67" i="9"/>
  <c r="G75" i="9"/>
  <c r="G79" i="9"/>
  <c r="G87" i="9"/>
  <c r="G91" i="9"/>
  <c r="G99" i="9"/>
  <c r="G103" i="9"/>
  <c r="G111" i="9"/>
  <c r="G115" i="9"/>
  <c r="G123" i="9"/>
  <c r="G127" i="9"/>
  <c r="G135" i="9"/>
  <c r="G139" i="9"/>
  <c r="G147" i="9"/>
  <c r="G151" i="9"/>
  <c r="G159" i="9"/>
  <c r="G171" i="9"/>
  <c r="G183" i="9"/>
  <c r="G195" i="9"/>
  <c r="G239" i="9"/>
  <c r="G350" i="9"/>
  <c r="G354" i="9"/>
  <c r="G362" i="9"/>
  <c r="G386" i="9"/>
  <c r="G284" i="9"/>
  <c r="G288" i="9"/>
  <c r="G296" i="9"/>
  <c r="G300" i="9"/>
  <c r="G320" i="9"/>
  <c r="G332" i="9"/>
  <c r="AR388" i="5"/>
  <c r="G347" i="9"/>
  <c r="AY397" i="5"/>
  <c r="AY389" i="5"/>
  <c r="AS8" i="8"/>
  <c r="I8" i="8" s="1"/>
  <c r="AX402" i="5"/>
  <c r="AY393" i="5"/>
  <c r="AU162" i="8"/>
  <c r="K162" i="8" s="1"/>
  <c r="AY412" i="5"/>
  <c r="AX411" i="5"/>
  <c r="AR123" i="8"/>
  <c r="H123" i="8" s="1"/>
  <c r="AU392" i="8"/>
  <c r="K392" i="8" s="1"/>
  <c r="AM403" i="8"/>
  <c r="AR112" i="8"/>
  <c r="H112" i="8" s="1"/>
  <c r="AR405" i="5"/>
  <c r="AX413" i="5"/>
  <c r="AR404" i="5"/>
  <c r="AS402" i="5"/>
  <c r="AX396" i="5"/>
  <c r="AS393" i="5"/>
  <c r="AU388" i="5"/>
  <c r="X387" i="8"/>
  <c r="V386" i="8"/>
  <c r="AF388" i="8"/>
  <c r="AR388" i="8" s="1"/>
  <c r="H388" i="8" s="1"/>
  <c r="AS403" i="5"/>
  <c r="AY414" i="5"/>
  <c r="AV389" i="5"/>
  <c r="AU380" i="8"/>
  <c r="AV385" i="8"/>
  <c r="L385" i="8" s="1"/>
  <c r="AR399" i="5"/>
  <c r="U396" i="8"/>
  <c r="AG36" i="8"/>
  <c r="AS36" i="8" s="1"/>
  <c r="I36" i="8" s="1"/>
  <c r="X391" i="8"/>
  <c r="AL404" i="8"/>
  <c r="AX404" i="8" s="1"/>
  <c r="N404" i="8" s="1"/>
  <c r="AP385" i="8"/>
  <c r="F385" i="8" s="1"/>
  <c r="AQ334" i="8"/>
  <c r="G334" i="8" s="1"/>
  <c r="AR321" i="8"/>
  <c r="H321" i="8" s="1"/>
  <c r="AQ148" i="8"/>
  <c r="G148" i="8" s="1"/>
  <c r="AY302" i="5"/>
  <c r="K380" i="8"/>
  <c r="AT383" i="8"/>
  <c r="J383" i="8" s="1"/>
  <c r="I397" i="8"/>
  <c r="AX400" i="5"/>
  <c r="AY399" i="5"/>
  <c r="AX398" i="5"/>
  <c r="AX394" i="5"/>
  <c r="AQ391" i="5"/>
  <c r="AW388" i="5"/>
  <c r="AX349" i="5"/>
  <c r="AR246" i="8"/>
  <c r="H246" i="8" s="1"/>
  <c r="AS398" i="8"/>
  <c r="I398" i="8" s="1"/>
  <c r="AR342" i="8"/>
  <c r="H342" i="8" s="1"/>
  <c r="AQ313" i="8"/>
  <c r="G313" i="8" s="1"/>
  <c r="AQ186" i="8"/>
  <c r="G186" i="8" s="1"/>
  <c r="AS85" i="8"/>
  <c r="I85" i="8" s="1"/>
  <c r="AR121" i="8"/>
  <c r="H121" i="8" s="1"/>
  <c r="AS63" i="8"/>
  <c r="I63" i="8" s="1"/>
  <c r="AZ62" i="8"/>
  <c r="P62" i="8" s="1"/>
  <c r="AX325" i="8"/>
  <c r="N325" i="8" s="1"/>
  <c r="AS257" i="8"/>
  <c r="I257" i="8" s="1"/>
  <c r="AS101" i="8"/>
  <c r="I101" i="8" s="1"/>
  <c r="AQ41" i="8"/>
  <c r="G41" i="8" s="1"/>
  <c r="AP382" i="8"/>
  <c r="F382" i="8" s="1"/>
  <c r="AI73" i="2"/>
  <c r="AX321" i="8"/>
  <c r="N321" i="8" s="1"/>
  <c r="AQ104" i="8"/>
  <c r="G104" i="8" s="1"/>
  <c r="AQ302" i="8"/>
  <c r="G302" i="8" s="1"/>
  <c r="AZ24" i="8"/>
  <c r="P24" i="8" s="1"/>
  <c r="AR312" i="8"/>
  <c r="H312" i="8" s="1"/>
  <c r="AU279" i="8"/>
  <c r="K279" i="8" s="1"/>
  <c r="AS133" i="8"/>
  <c r="I133" i="8" s="1"/>
  <c r="AR406" i="5"/>
  <c r="AQ271" i="8"/>
  <c r="G271" i="8" s="1"/>
  <c r="AQ222" i="8"/>
  <c r="G222" i="8" s="1"/>
  <c r="AW68" i="8"/>
  <c r="M68" i="8" s="1"/>
  <c r="AQ30" i="8"/>
  <c r="G30" i="8" s="1"/>
  <c r="AY20" i="5"/>
  <c r="AS68" i="8"/>
  <c r="I68" i="8" s="1"/>
  <c r="AR350" i="8"/>
  <c r="H350" i="8" s="1"/>
  <c r="AU399" i="8"/>
  <c r="K399" i="8" s="1"/>
  <c r="AQ18" i="8"/>
  <c r="G18" i="8" s="1"/>
  <c r="AQ397" i="8"/>
  <c r="G397" i="8" s="1"/>
  <c r="AQ192" i="8"/>
  <c r="G192" i="8" s="1"/>
  <c r="E9" i="3"/>
  <c r="AQ329" i="8"/>
  <c r="G329" i="8" s="1"/>
  <c r="AP404" i="8"/>
  <c r="F404" i="8" s="1"/>
  <c r="AS105" i="8"/>
  <c r="I105" i="8" s="1"/>
  <c r="AQ258" i="8"/>
  <c r="G258" i="8" s="1"/>
  <c r="AQ319" i="8"/>
  <c r="G319" i="8" s="1"/>
  <c r="AV383" i="8"/>
  <c r="L383" i="8" s="1"/>
  <c r="AZ255" i="8"/>
  <c r="P255" i="8" s="1"/>
  <c r="AQ212" i="8"/>
  <c r="G212" i="8" s="1"/>
  <c r="AS284" i="8"/>
  <c r="I284" i="8" s="1"/>
  <c r="AS297" i="8"/>
  <c r="I297" i="8" s="1"/>
  <c r="AS260" i="8"/>
  <c r="I260" i="8" s="1"/>
  <c r="AQ246" i="8"/>
  <c r="G246" i="8" s="1"/>
  <c r="AS137" i="8"/>
  <c r="I137" i="8" s="1"/>
  <c r="AR128" i="8"/>
  <c r="H128" i="8" s="1"/>
  <c r="AS97" i="8"/>
  <c r="I97" i="8" s="1"/>
  <c r="AZ382" i="8"/>
  <c r="P382" i="8" s="1"/>
  <c r="AS272" i="8"/>
  <c r="I272" i="8" s="1"/>
  <c r="AZ14" i="8"/>
  <c r="P14" i="8" s="1"/>
  <c r="AQ237" i="8"/>
  <c r="G237" i="8" s="1"/>
  <c r="AQ43" i="8"/>
  <c r="G43" i="8" s="1"/>
  <c r="AQ40" i="8"/>
  <c r="G40" i="8" s="1"/>
  <c r="AF397" i="8"/>
  <c r="AR397" i="8" s="1"/>
  <c r="H397" i="8" s="1"/>
  <c r="AE385" i="8"/>
  <c r="AQ385" i="8" s="1"/>
  <c r="G385" i="8" s="1"/>
  <c r="AQ292" i="8"/>
  <c r="G292" i="8" s="1"/>
  <c r="BA29" i="8"/>
  <c r="Q29" i="8" s="1"/>
  <c r="AS157" i="8"/>
  <c r="I157" i="8" s="1"/>
  <c r="AZ127" i="8"/>
  <c r="P127" i="8" s="1"/>
  <c r="AQ123" i="8"/>
  <c r="G123" i="8" s="1"/>
  <c r="AS82" i="8"/>
  <c r="I82" i="8" s="1"/>
  <c r="AQ21" i="8"/>
  <c r="G21" i="8" s="1"/>
  <c r="G5" i="9"/>
  <c r="G9" i="9"/>
  <c r="G13" i="9"/>
  <c r="G17" i="9"/>
  <c r="G21" i="9"/>
  <c r="G25" i="9"/>
  <c r="G29" i="9"/>
  <c r="G33" i="9"/>
  <c r="G37" i="9"/>
  <c r="G45" i="9"/>
  <c r="G49" i="9"/>
  <c r="G57" i="9"/>
  <c r="G61" i="9"/>
  <c r="G69" i="9"/>
  <c r="G73" i="9"/>
  <c r="G81" i="9"/>
  <c r="G85" i="9"/>
  <c r="G93" i="9"/>
  <c r="G97" i="9"/>
  <c r="G105" i="9"/>
  <c r="G109" i="9"/>
  <c r="G117" i="9"/>
  <c r="G121" i="9"/>
  <c r="G129" i="9"/>
  <c r="G133" i="9"/>
  <c r="G141" i="9"/>
  <c r="G145" i="9"/>
  <c r="G153" i="9"/>
  <c r="G157" i="9"/>
  <c r="G165" i="9"/>
  <c r="G177" i="9"/>
  <c r="G189" i="9"/>
  <c r="G201" i="9"/>
  <c r="G213" i="9"/>
  <c r="G225" i="9"/>
  <c r="G237" i="9"/>
  <c r="G346" i="9"/>
  <c r="AZ385" i="8"/>
  <c r="P385" i="8" s="1"/>
  <c r="AU38" i="8"/>
  <c r="K38" i="8" s="1"/>
  <c r="AU403" i="8"/>
  <c r="K403" i="8" s="1"/>
  <c r="AQ128" i="8"/>
  <c r="G128" i="8" s="1"/>
  <c r="G38" i="9"/>
  <c r="G50" i="9"/>
  <c r="G62" i="9"/>
  <c r="G74" i="9"/>
  <c r="G86" i="9"/>
  <c r="G98" i="9"/>
  <c r="G110" i="9"/>
  <c r="G122" i="9"/>
  <c r="G134" i="9"/>
  <c r="G146" i="9"/>
  <c r="G158" i="9"/>
  <c r="G166" i="9"/>
  <c r="G170" i="9"/>
  <c r="G178" i="9"/>
  <c r="G182" i="9"/>
  <c r="G190" i="9"/>
  <c r="G194" i="9"/>
  <c r="G214" i="9"/>
  <c r="G230" i="9"/>
  <c r="G302" i="9"/>
  <c r="G349" i="9"/>
  <c r="G357" i="9"/>
  <c r="AQ331" i="8"/>
  <c r="G331" i="8" s="1"/>
  <c r="BA34" i="8"/>
  <c r="Q34" i="8" s="1"/>
  <c r="AS386" i="8"/>
  <c r="I386" i="8" s="1"/>
  <c r="AS170" i="8"/>
  <c r="I170" i="8" s="1"/>
  <c r="AS193" i="8"/>
  <c r="I193" i="8" s="1"/>
  <c r="G390" i="9"/>
  <c r="G394" i="9"/>
  <c r="AS392" i="5"/>
  <c r="AZ388" i="5"/>
  <c r="AX346" i="5"/>
  <c r="AR309" i="8"/>
  <c r="H309" i="8" s="1"/>
  <c r="AQ243" i="8"/>
  <c r="G243" i="8" s="1"/>
  <c r="AX38" i="8"/>
  <c r="N38" i="8" s="1"/>
  <c r="G228" i="9"/>
  <c r="G379" i="9"/>
  <c r="G383" i="9"/>
  <c r="AR414" i="5"/>
  <c r="G415" i="9"/>
  <c r="AR236" i="8"/>
  <c r="H236" i="8" s="1"/>
  <c r="AQ74" i="8"/>
  <c r="G74" i="8" s="1"/>
  <c r="AS18" i="8"/>
  <c r="I18" i="8" s="1"/>
  <c r="AQ62" i="8"/>
  <c r="G62" i="8" s="1"/>
  <c r="AX37" i="8"/>
  <c r="N37" i="8" s="1"/>
  <c r="AS80" i="8"/>
  <c r="I80" i="8" s="1"/>
  <c r="AR5" i="8"/>
  <c r="H5" i="8" s="1"/>
  <c r="AP403" i="8"/>
  <c r="F403" i="8" s="1"/>
  <c r="AQ338" i="8"/>
  <c r="G338" i="8" s="1"/>
  <c r="AS243" i="8"/>
  <c r="I243" i="8" s="1"/>
  <c r="AS214" i="8"/>
  <c r="I214" i="8" s="1"/>
  <c r="AR162" i="8"/>
  <c r="H162" i="8" s="1"/>
  <c r="G245" i="9"/>
  <c r="G253" i="9"/>
  <c r="G257" i="9"/>
  <c r="G265" i="9"/>
  <c r="G281" i="9"/>
  <c r="G301" i="9"/>
  <c r="G317" i="9"/>
  <c r="G364" i="9"/>
  <c r="G368" i="9"/>
  <c r="AY19" i="5"/>
  <c r="G384" i="9"/>
  <c r="AQ401" i="8"/>
  <c r="G401" i="8" s="1"/>
  <c r="AQ335" i="8"/>
  <c r="G335" i="8" s="1"/>
  <c r="AR319" i="8"/>
  <c r="H319" i="8" s="1"/>
  <c r="AQ209" i="8"/>
  <c r="G209" i="8" s="1"/>
  <c r="AS186" i="8"/>
  <c r="I186" i="8" s="1"/>
  <c r="AS47" i="8"/>
  <c r="I47" i="8" s="1"/>
  <c r="AX383" i="8"/>
  <c r="N383" i="8" s="1"/>
  <c r="AQ342" i="8"/>
  <c r="G342" i="8" s="1"/>
  <c r="AQ253" i="8"/>
  <c r="G253" i="8" s="1"/>
  <c r="AQ97" i="8"/>
  <c r="G97" i="8" s="1"/>
  <c r="AS72" i="8"/>
  <c r="I72" i="8" s="1"/>
  <c r="AS25" i="8"/>
  <c r="I25" i="8" s="1"/>
  <c r="AR122" i="8"/>
  <c r="H122" i="8" s="1"/>
  <c r="AQ65" i="8"/>
  <c r="G65" i="8" s="1"/>
  <c r="AM392" i="8"/>
  <c r="AY392" i="8" s="1"/>
  <c r="O392" i="8" s="1"/>
  <c r="AR301" i="8"/>
  <c r="H301" i="8" s="1"/>
  <c r="AR21" i="8"/>
  <c r="H21" i="8" s="1"/>
  <c r="AQ124" i="8"/>
  <c r="G124" i="8" s="1"/>
  <c r="AP395" i="8"/>
  <c r="F395" i="8" s="1"/>
  <c r="AR262" i="8"/>
  <c r="H262" i="8" s="1"/>
  <c r="AS242" i="8"/>
  <c r="I242" i="8" s="1"/>
  <c r="AR60" i="8"/>
  <c r="H60" i="8" s="1"/>
  <c r="G258" i="9"/>
  <c r="G266" i="9"/>
  <c r="G294" i="9"/>
  <c r="G330" i="9"/>
  <c r="G369" i="9"/>
  <c r="AZ240" i="8"/>
  <c r="P240" i="8" s="1"/>
  <c r="AX348" i="5"/>
  <c r="AR37" i="8"/>
  <c r="H37" i="8" s="1"/>
  <c r="AR275" i="8"/>
  <c r="H275" i="8" s="1"/>
  <c r="AQ382" i="8"/>
  <c r="G382" i="8" s="1"/>
  <c r="AQ270" i="8"/>
  <c r="G270" i="8" s="1"/>
  <c r="AS155" i="8"/>
  <c r="I155" i="8" s="1"/>
  <c r="G203" i="9"/>
  <c r="G215" i="9"/>
  <c r="G219" i="9"/>
  <c r="G223" i="9"/>
  <c r="G255" i="9"/>
  <c r="G259" i="9"/>
  <c r="G283" i="9"/>
  <c r="G287" i="9"/>
  <c r="G291" i="9"/>
  <c r="G295" i="9"/>
  <c r="G311" i="9"/>
  <c r="G323" i="9"/>
  <c r="AQ29" i="8"/>
  <c r="G29" i="8" s="1"/>
  <c r="G249" i="9"/>
  <c r="G261" i="9"/>
  <c r="G273" i="9"/>
  <c r="G285" i="9"/>
  <c r="G297" i="9"/>
  <c r="G337" i="9"/>
  <c r="G351" i="9"/>
  <c r="G359" i="9"/>
  <c r="G398" i="9"/>
  <c r="G222" i="9"/>
  <c r="G309" i="9"/>
  <c r="G363" i="9"/>
  <c r="G371" i="9"/>
  <c r="G242" i="9"/>
  <c r="G250" i="9"/>
  <c r="G286" i="9"/>
  <c r="G298" i="9"/>
  <c r="G321" i="9"/>
  <c r="G352" i="9"/>
  <c r="G411" i="9"/>
  <c r="AR409" i="5"/>
  <c r="AP388" i="5"/>
  <c r="AW387" i="5"/>
  <c r="AZ137" i="8"/>
  <c r="P137" i="8" s="1"/>
  <c r="AS201" i="8"/>
  <c r="I201" i="8" s="1"/>
  <c r="AZ253" i="8"/>
  <c r="P253" i="8" s="1"/>
  <c r="AR208" i="8"/>
  <c r="H208" i="8" s="1"/>
  <c r="AQ110" i="8"/>
  <c r="G110" i="8" s="1"/>
  <c r="AQ197" i="8"/>
  <c r="G197" i="8" s="1"/>
  <c r="AZ97" i="8"/>
  <c r="P97" i="8" s="1"/>
  <c r="AQ5" i="8"/>
  <c r="G5" i="8" s="1"/>
  <c r="AQ315" i="8"/>
  <c r="G315" i="8" s="1"/>
  <c r="AS303" i="8"/>
  <c r="I303" i="8" s="1"/>
  <c r="AR20" i="8"/>
  <c r="H20" i="8" s="1"/>
  <c r="AS112" i="8"/>
  <c r="I112" i="8" s="1"/>
  <c r="AS90" i="8"/>
  <c r="I90" i="8" s="1"/>
  <c r="AR336" i="8"/>
  <c r="H336" i="8" s="1"/>
  <c r="AQ282" i="8"/>
  <c r="G282" i="8" s="1"/>
  <c r="AS240" i="8"/>
  <c r="I240" i="8" s="1"/>
  <c r="AQ210" i="8"/>
  <c r="G210" i="8" s="1"/>
  <c r="AS147" i="8"/>
  <c r="I147" i="8" s="1"/>
  <c r="AW144" i="8"/>
  <c r="M144" i="8" s="1"/>
  <c r="AQ103" i="8"/>
  <c r="G103" i="8" s="1"/>
  <c r="AR31" i="8"/>
  <c r="H31" i="8" s="1"/>
  <c r="AR28" i="8"/>
  <c r="H28" i="8" s="1"/>
  <c r="G207" i="9"/>
  <c r="G322" i="9"/>
  <c r="G372" i="9"/>
  <c r="AP391" i="8"/>
  <c r="F391" i="8" s="1"/>
  <c r="AX329" i="8"/>
  <c r="N329" i="8" s="1"/>
  <c r="AQ263" i="8"/>
  <c r="G263" i="8" s="1"/>
  <c r="AS256" i="8"/>
  <c r="I256" i="8" s="1"/>
  <c r="AR245" i="8"/>
  <c r="H245" i="8" s="1"/>
  <c r="AS225" i="8"/>
  <c r="I225" i="8" s="1"/>
  <c r="AQ323" i="8"/>
  <c r="G323" i="8" s="1"/>
  <c r="AR144" i="8"/>
  <c r="H144" i="8" s="1"/>
  <c r="AS123" i="8"/>
  <c r="I123" i="8" s="1"/>
  <c r="AS43" i="8"/>
  <c r="I43" i="8" s="1"/>
  <c r="AX348" i="8"/>
  <c r="N348" i="8" s="1"/>
  <c r="AS276" i="8"/>
  <c r="I276" i="8" s="1"/>
  <c r="AQ274" i="8"/>
  <c r="G274" i="8" s="1"/>
  <c r="AR270" i="8"/>
  <c r="H270" i="8" s="1"/>
  <c r="AS252" i="8"/>
  <c r="I252" i="8" s="1"/>
  <c r="G4" i="9"/>
  <c r="G8" i="9"/>
  <c r="G12" i="9"/>
  <c r="G16" i="9"/>
  <c r="G20" i="9"/>
  <c r="G24" i="9"/>
  <c r="G28" i="9"/>
  <c r="G32" i="9"/>
  <c r="G36" i="9"/>
  <c r="G40" i="9"/>
  <c r="G48" i="9"/>
  <c r="G52" i="9"/>
  <c r="G60" i="9"/>
  <c r="G64" i="9"/>
  <c r="G72" i="9"/>
  <c r="G76" i="9"/>
  <c r="G84" i="9"/>
  <c r="G88" i="9"/>
  <c r="G96" i="9"/>
  <c r="G100" i="9"/>
  <c r="G108" i="9"/>
  <c r="G112" i="9"/>
  <c r="G120" i="9"/>
  <c r="G124" i="9"/>
  <c r="G132" i="9"/>
  <c r="G136" i="9"/>
  <c r="G144" i="9"/>
  <c r="G148" i="9"/>
  <c r="G156" i="9"/>
  <c r="G168" i="9"/>
  <c r="G180" i="9"/>
  <c r="G192" i="9"/>
  <c r="G224" i="9"/>
  <c r="G243" i="9"/>
  <c r="G251" i="9"/>
  <c r="G275" i="9"/>
  <c r="G279" i="9"/>
  <c r="G339" i="9"/>
  <c r="G343" i="9"/>
  <c r="G373" i="9"/>
  <c r="G396" i="9"/>
  <c r="G412" i="9"/>
  <c r="G416" i="9"/>
  <c r="AQ398" i="8"/>
  <c r="G398" i="8" s="1"/>
  <c r="AQ86" i="8"/>
  <c r="G86" i="8" s="1"/>
  <c r="G348" i="9"/>
  <c r="AR406" i="8"/>
  <c r="H406" i="8" s="1"/>
  <c r="AS301" i="8"/>
  <c r="I301" i="8" s="1"/>
  <c r="AQ146" i="8"/>
  <c r="G146" i="8" s="1"/>
  <c r="G260" i="9"/>
  <c r="G268" i="9"/>
  <c r="G272" i="9"/>
  <c r="G315" i="9"/>
  <c r="G336" i="9"/>
  <c r="G340" i="9"/>
  <c r="G344" i="9"/>
  <c r="G377" i="9"/>
  <c r="G381" i="9"/>
  <c r="G389" i="9"/>
  <c r="G397" i="9"/>
  <c r="G401" i="9"/>
  <c r="AS126" i="8"/>
  <c r="I126" i="8" s="1"/>
  <c r="AR79" i="8"/>
  <c r="H79" i="8" s="1"/>
  <c r="AZ15" i="8"/>
  <c r="P15" i="8" s="1"/>
  <c r="AR313" i="8"/>
  <c r="H313" i="8" s="1"/>
  <c r="AQ350" i="8"/>
  <c r="G350" i="8" s="1"/>
  <c r="AQ348" i="8"/>
  <c r="G348" i="8" s="1"/>
  <c r="AQ337" i="8"/>
  <c r="G337" i="8" s="1"/>
  <c r="AR249" i="8"/>
  <c r="H249" i="8" s="1"/>
  <c r="AQ236" i="8"/>
  <c r="G236" i="8" s="1"/>
  <c r="AR209" i="8"/>
  <c r="H209" i="8" s="1"/>
  <c r="AU382" i="8"/>
  <c r="K382" i="8" s="1"/>
  <c r="AR322" i="8"/>
  <c r="H322" i="8" s="1"/>
  <c r="AS194" i="8"/>
  <c r="I194" i="8" s="1"/>
  <c r="AQ149" i="8"/>
  <c r="G149" i="8" s="1"/>
  <c r="G209" i="9"/>
  <c r="G229" i="9"/>
  <c r="G324" i="9"/>
  <c r="G328" i="9"/>
  <c r="G41" i="9"/>
  <c r="G53" i="9"/>
  <c r="G65" i="9"/>
  <c r="G77" i="9"/>
  <c r="G89" i="9"/>
  <c r="G101" i="9"/>
  <c r="G113" i="9"/>
  <c r="G125" i="9"/>
  <c r="G137" i="9"/>
  <c r="G149" i="9"/>
  <c r="G161" i="9"/>
  <c r="G169" i="9"/>
  <c r="G173" i="9"/>
  <c r="G181" i="9"/>
  <c r="G185" i="9"/>
  <c r="G193" i="9"/>
  <c r="G197" i="9"/>
  <c r="G204" i="9"/>
  <c r="G208" i="9"/>
  <c r="G227" i="9"/>
  <c r="G234" i="9"/>
  <c r="G238" i="9"/>
  <c r="G290" i="9"/>
  <c r="G305" i="9"/>
  <c r="G312" i="9"/>
  <c r="G316" i="9"/>
  <c r="G327" i="9"/>
  <c r="G331" i="9"/>
  <c r="G356" i="9"/>
  <c r="G367" i="9"/>
  <c r="G378" i="9"/>
  <c r="G382" i="9"/>
  <c r="G393" i="9"/>
  <c r="G400" i="9"/>
  <c r="G404" i="9"/>
  <c r="AQ390" i="8"/>
  <c r="G390" i="8" s="1"/>
  <c r="AV384" i="8"/>
  <c r="L384" i="8" s="1"/>
  <c r="AX31" i="8"/>
  <c r="N31" i="8" s="1"/>
  <c r="AQ296" i="8"/>
  <c r="G296" i="8" s="1"/>
  <c r="AZ203" i="8"/>
  <c r="P203" i="8" s="1"/>
  <c r="AS182" i="8"/>
  <c r="I182" i="8" s="1"/>
  <c r="AS71" i="8"/>
  <c r="I71" i="8" s="1"/>
  <c r="AQ44" i="8"/>
  <c r="G44" i="8" s="1"/>
  <c r="AS94" i="8"/>
  <c r="I94" i="8" s="1"/>
  <c r="AY43" i="8"/>
  <c r="O43" i="8" s="1"/>
  <c r="BA382" i="8"/>
  <c r="Q382" i="8" s="1"/>
  <c r="AX30" i="8"/>
  <c r="N30" i="8" s="1"/>
  <c r="AS275" i="8"/>
  <c r="I275" i="8" s="1"/>
  <c r="AW238" i="8"/>
  <c r="M238" i="8" s="1"/>
  <c r="AR214" i="8"/>
  <c r="H214" i="8" s="1"/>
  <c r="G205" i="9"/>
  <c r="G220" i="9"/>
  <c r="G231" i="9"/>
  <c r="G235" i="9"/>
  <c r="G246" i="9"/>
  <c r="G313" i="9"/>
  <c r="G353" i="9"/>
  <c r="G360" i="9"/>
  <c r="G409" i="9"/>
  <c r="AQ309" i="8"/>
  <c r="G309" i="8" s="1"/>
  <c r="AQ301" i="8"/>
  <c r="G301" i="8" s="1"/>
  <c r="AS383" i="8"/>
  <c r="I383" i="8" s="1"/>
  <c r="AR391" i="8"/>
  <c r="H391" i="8" s="1"/>
  <c r="AQ267" i="8"/>
  <c r="G267" i="8" s="1"/>
  <c r="AQ194" i="8"/>
  <c r="G194" i="8" s="1"/>
  <c r="AS60" i="8"/>
  <c r="I60" i="8" s="1"/>
  <c r="AQ290" i="8"/>
  <c r="G290" i="8" s="1"/>
  <c r="AR330" i="8"/>
  <c r="H330" i="8" s="1"/>
  <c r="AQ257" i="8"/>
  <c r="G257" i="8" s="1"/>
  <c r="AS289" i="8"/>
  <c r="I289" i="8" s="1"/>
  <c r="AZ125" i="8"/>
  <c r="P125" i="8" s="1"/>
  <c r="BA302" i="8"/>
  <c r="Q302" i="8" s="1"/>
  <c r="V36" i="8"/>
  <c r="AR197" i="8"/>
  <c r="H197" i="8" s="1"/>
  <c r="AQ91" i="8"/>
  <c r="G91" i="8" s="1"/>
  <c r="AS55" i="8"/>
  <c r="I55" i="8" s="1"/>
  <c r="AQ402" i="8"/>
  <c r="G402" i="8" s="1"/>
  <c r="AX397" i="8"/>
  <c r="N397" i="8" s="1"/>
  <c r="AQ391" i="8"/>
  <c r="G391" i="8" s="1"/>
  <c r="AQ367" i="8"/>
  <c r="G367" i="8" s="1"/>
  <c r="AS115" i="8"/>
  <c r="I115" i="8" s="1"/>
  <c r="AS88" i="8"/>
  <c r="I88" i="8" s="1"/>
  <c r="AS29" i="8"/>
  <c r="I29" i="8" s="1"/>
  <c r="AQ17" i="8"/>
  <c r="G17" i="8" s="1"/>
  <c r="G2" i="9"/>
  <c r="G6" i="9"/>
  <c r="G10" i="9"/>
  <c r="G14" i="9"/>
  <c r="G18" i="9"/>
  <c r="G22" i="9"/>
  <c r="G26" i="9"/>
  <c r="G30" i="9"/>
  <c r="G34" i="9"/>
  <c r="G42" i="9"/>
  <c r="G46" i="9"/>
  <c r="G54" i="9"/>
  <c r="G58" i="9"/>
  <c r="G66" i="9"/>
  <c r="G70" i="9"/>
  <c r="G78" i="9"/>
  <c r="G82" i="9"/>
  <c r="G90" i="9"/>
  <c r="G94" i="9"/>
  <c r="G102" i="9"/>
  <c r="G106" i="9"/>
  <c r="G114" i="9"/>
  <c r="G118" i="9"/>
  <c r="G126" i="9"/>
  <c r="G130" i="9"/>
  <c r="G138" i="9"/>
  <c r="G142" i="9"/>
  <c r="G150" i="9"/>
  <c r="G154" i="9"/>
  <c r="G162" i="9"/>
  <c r="G174" i="9"/>
  <c r="G186" i="9"/>
  <c r="G198" i="9"/>
  <c r="G202" i="9"/>
  <c r="G254" i="9"/>
  <c r="G269" i="9"/>
  <c r="G276" i="9"/>
  <c r="G280" i="9"/>
  <c r="G299" i="9"/>
  <c r="G306" i="9"/>
  <c r="G310" i="9"/>
  <c r="G361" i="9"/>
  <c r="G405" i="9"/>
  <c r="G410" i="9"/>
  <c r="AS392" i="8"/>
  <c r="I392" i="8" s="1"/>
  <c r="AS164" i="8"/>
  <c r="I164" i="8" s="1"/>
  <c r="AR82" i="8"/>
  <c r="H82" i="8" s="1"/>
  <c r="AQ59" i="8"/>
  <c r="G59" i="8" s="1"/>
  <c r="AP402" i="8"/>
  <c r="F402" i="8" s="1"/>
  <c r="AR385" i="8"/>
  <c r="H385" i="8" s="1"/>
  <c r="AS300" i="8"/>
  <c r="I300" i="8" s="1"/>
  <c r="AS259" i="8"/>
  <c r="I259" i="8" s="1"/>
  <c r="AU197" i="8"/>
  <c r="K197" i="8" s="1"/>
  <c r="AR145" i="8"/>
  <c r="H145" i="8" s="1"/>
  <c r="AR124" i="8"/>
  <c r="H124" i="8" s="1"/>
  <c r="G206" i="9"/>
  <c r="G217" i="9"/>
  <c r="G221" i="9"/>
  <c r="G232" i="9"/>
  <c r="G236" i="9"/>
  <c r="G247" i="9"/>
  <c r="G262" i="9"/>
  <c r="G314" i="9"/>
  <c r="G376" i="9"/>
  <c r="AQ354" i="8"/>
  <c r="G354" i="8" s="1"/>
  <c r="G35" i="9"/>
  <c r="G47" i="9"/>
  <c r="G59" i="9"/>
  <c r="G71" i="9"/>
  <c r="G83" i="9"/>
  <c r="G95" i="9"/>
  <c r="G107" i="9"/>
  <c r="G119" i="9"/>
  <c r="G131" i="9"/>
  <c r="G143" i="9"/>
  <c r="G155" i="9"/>
  <c r="G163" i="9"/>
  <c r="G167" i="9"/>
  <c r="G175" i="9"/>
  <c r="G179" i="9"/>
  <c r="G187" i="9"/>
  <c r="G191" i="9"/>
  <c r="G199" i="9"/>
  <c r="G210" i="9"/>
  <c r="G277" i="9"/>
  <c r="G292" i="9"/>
  <c r="G303" i="9"/>
  <c r="G307" i="9"/>
  <c r="G318" i="9"/>
  <c r="G325" i="9"/>
  <c r="G329" i="9"/>
  <c r="G341" i="9"/>
  <c r="G345" i="9"/>
  <c r="G358" i="9"/>
  <c r="G365" i="9"/>
  <c r="G380" i="9"/>
  <c r="G391" i="9"/>
  <c r="G402" i="9"/>
  <c r="G406" i="9"/>
  <c r="AS268" i="8"/>
  <c r="I268" i="8" s="1"/>
  <c r="AS184" i="8"/>
  <c r="I184" i="8" s="1"/>
  <c r="G218" i="9"/>
  <c r="G233" i="9"/>
  <c r="G240" i="9"/>
  <c r="G244" i="9"/>
  <c r="G263" i="9"/>
  <c r="G270" i="9"/>
  <c r="G274" i="9"/>
  <c r="G333" i="9"/>
  <c r="G338" i="9"/>
  <c r="G388" i="9"/>
  <c r="G413" i="9"/>
  <c r="AP405" i="8"/>
  <c r="F405" i="8" s="1"/>
  <c r="AV382" i="8"/>
  <c r="L382" i="8" s="1"/>
  <c r="AQ34" i="8"/>
  <c r="G34" i="8" s="1"/>
  <c r="AS49" i="8"/>
  <c r="I49" i="8" s="1"/>
  <c r="AP396" i="8"/>
  <c r="F396" i="8" s="1"/>
  <c r="AR386" i="8"/>
  <c r="H386" i="8" s="1"/>
  <c r="AX380" i="8"/>
  <c r="N380" i="8" s="1"/>
  <c r="AQ360" i="8"/>
  <c r="G360" i="8" s="1"/>
  <c r="AR269" i="8"/>
  <c r="H269" i="8" s="1"/>
  <c r="AR261" i="8"/>
  <c r="H261" i="8" s="1"/>
  <c r="AS255" i="8"/>
  <c r="I255" i="8" s="1"/>
  <c r="AS219" i="8"/>
  <c r="I219" i="8" s="1"/>
  <c r="AQ213" i="8"/>
  <c r="G213" i="8" s="1"/>
  <c r="AQ184" i="8"/>
  <c r="G184" i="8" s="1"/>
  <c r="AR147" i="8"/>
  <c r="H147" i="8" s="1"/>
  <c r="AR48" i="8"/>
  <c r="H48" i="8" s="1"/>
  <c r="AQ31" i="8"/>
  <c r="G31" i="8" s="1"/>
  <c r="AQ28" i="8"/>
  <c r="G28" i="8" s="1"/>
  <c r="G44" i="9"/>
  <c r="G56" i="9"/>
  <c r="G68" i="9"/>
  <c r="G80" i="9"/>
  <c r="G92" i="9"/>
  <c r="G104" i="9"/>
  <c r="G116" i="9"/>
  <c r="G128" i="9"/>
  <c r="G140" i="9"/>
  <c r="G152" i="9"/>
  <c r="G160" i="9"/>
  <c r="G164" i="9"/>
  <c r="G172" i="9"/>
  <c r="G176" i="9"/>
  <c r="G184" i="9"/>
  <c r="G188" i="9"/>
  <c r="G196" i="9"/>
  <c r="G200" i="9"/>
  <c r="G211" i="9"/>
  <c r="G226" i="9"/>
  <c r="G278" i="9"/>
  <c r="G289" i="9"/>
  <c r="G293" i="9"/>
  <c r="G304" i="9"/>
  <c r="G308" i="9"/>
  <c r="G319" i="9"/>
  <c r="G326" i="9"/>
  <c r="G342" i="9"/>
  <c r="G355" i="9"/>
  <c r="G366" i="9"/>
  <c r="G370" i="9"/>
  <c r="G392" i="9"/>
  <c r="G403" i="9"/>
  <c r="E163" i="4"/>
  <c r="F239" i="5" s="1"/>
  <c r="S251" i="8" s="1"/>
  <c r="AW240" i="8"/>
  <c r="M240" i="8" s="1"/>
  <c r="AS213" i="8"/>
  <c r="I213" i="8" s="1"/>
  <c r="AS171" i="8"/>
  <c r="I171" i="8" s="1"/>
  <c r="AR398" i="8"/>
  <c r="H398" i="8" s="1"/>
  <c r="AQ392" i="8"/>
  <c r="G392" i="8" s="1"/>
  <c r="AX349" i="8"/>
  <c r="N349" i="8" s="1"/>
  <c r="AQ314" i="8"/>
  <c r="G314" i="8" s="1"/>
  <c r="AR66" i="8"/>
  <c r="H66" i="8" s="1"/>
  <c r="AS58" i="8"/>
  <c r="I58" i="8" s="1"/>
  <c r="G241" i="9"/>
  <c r="G256" i="9"/>
  <c r="G267" i="9"/>
  <c r="G271" i="9"/>
  <c r="G282" i="9"/>
  <c r="G334" i="9"/>
  <c r="G374" i="9"/>
  <c r="G385" i="9"/>
  <c r="AX392" i="5"/>
  <c r="AX350" i="5"/>
  <c r="AY301" i="5"/>
  <c r="AX400" i="8"/>
  <c r="N400" i="8" s="1"/>
  <c r="AS401" i="5"/>
  <c r="AY390" i="5"/>
  <c r="AW382" i="8"/>
  <c r="M382" i="8" s="1"/>
  <c r="U4" i="4" a="1"/>
  <c r="U4" i="4" s="1"/>
  <c r="AD174" i="5" s="1"/>
  <c r="AA196" i="8" s="1"/>
  <c r="AY196" i="8" s="1"/>
  <c r="O196" i="8" s="1"/>
  <c r="AX350" i="8"/>
  <c r="N350" i="8" s="1"/>
  <c r="AQ58" i="8"/>
  <c r="G58" i="8" s="1"/>
  <c r="AR274" i="8"/>
  <c r="H274" i="8" s="1"/>
  <c r="AQ353" i="8"/>
  <c r="G353" i="8" s="1"/>
  <c r="AQ93" i="8"/>
  <c r="G93" i="8" s="1"/>
  <c r="AQ404" i="8"/>
  <c r="G404" i="8" s="1"/>
  <c r="AS124" i="8"/>
  <c r="I124" i="8" s="1"/>
  <c r="AQ249" i="8"/>
  <c r="G249" i="8" s="1"/>
  <c r="AQ68" i="8"/>
  <c r="G68" i="8" s="1"/>
  <c r="AS44" i="8"/>
  <c r="I44" i="8" s="1"/>
  <c r="AZ189" i="8"/>
  <c r="P189" i="8" s="1"/>
  <c r="AX388" i="8"/>
  <c r="N388" i="8" s="1"/>
  <c r="AR337" i="8"/>
  <c r="H337" i="8" s="1"/>
  <c r="AS299" i="8"/>
  <c r="I299" i="8" s="1"/>
  <c r="AQ284" i="8"/>
  <c r="G284" i="8" s="1"/>
  <c r="AS211" i="8"/>
  <c r="I211" i="8" s="1"/>
  <c r="AP401" i="8"/>
  <c r="F401" i="8" s="1"/>
  <c r="AR329" i="8"/>
  <c r="H329" i="8" s="1"/>
  <c r="AX323" i="8"/>
  <c r="N323" i="8" s="1"/>
  <c r="AQ321" i="8"/>
  <c r="G321" i="8" s="1"/>
  <c r="AR318" i="8"/>
  <c r="H318" i="8" s="1"/>
  <c r="AQ308" i="8"/>
  <c r="G308" i="8" s="1"/>
  <c r="AQ259" i="8"/>
  <c r="G259" i="8" s="1"/>
  <c r="AQ145" i="8"/>
  <c r="G145" i="8" s="1"/>
  <c r="AS75" i="8"/>
  <c r="I75" i="8" s="1"/>
  <c r="AQ100" i="8"/>
  <c r="G100" i="8" s="1"/>
  <c r="AX90" i="8"/>
  <c r="N90" i="8" s="1"/>
  <c r="AS17" i="8"/>
  <c r="I17" i="8" s="1"/>
  <c r="AU37" i="8"/>
  <c r="K37" i="8" s="1"/>
  <c r="AU387" i="8"/>
  <c r="K387" i="8" s="1"/>
  <c r="AX337" i="8"/>
  <c r="N337" i="8" s="1"/>
  <c r="AS7" i="8"/>
  <c r="I7" i="8" s="1"/>
  <c r="AQ101" i="8"/>
  <c r="G101" i="8" s="1"/>
  <c r="AZ273" i="8"/>
  <c r="P273" i="8" s="1"/>
  <c r="AQ208" i="8"/>
  <c r="G208" i="8" s="1"/>
  <c r="AZ148" i="8"/>
  <c r="P148" i="8" s="1"/>
  <c r="AY398" i="8"/>
  <c r="O398" i="8" s="1"/>
  <c r="AR335" i="8"/>
  <c r="H335" i="8" s="1"/>
  <c r="AS249" i="8"/>
  <c r="I249" i="8" s="1"/>
  <c r="AR173" i="8"/>
  <c r="H173" i="8" s="1"/>
  <c r="AZ146" i="8"/>
  <c r="P146" i="8" s="1"/>
  <c r="AQ66" i="8"/>
  <c r="G66" i="8" s="1"/>
  <c r="AQ383" i="8"/>
  <c r="G383" i="8" s="1"/>
  <c r="AQ303" i="8"/>
  <c r="G303" i="8" s="1"/>
  <c r="AS210" i="8"/>
  <c r="I210" i="8" s="1"/>
  <c r="AX414" i="5"/>
  <c r="AR307" i="8"/>
  <c r="H307" i="8" s="1"/>
  <c r="AQ287" i="8"/>
  <c r="G287" i="8" s="1"/>
  <c r="AR194" i="8"/>
  <c r="H194" i="8" s="1"/>
  <c r="AQ122" i="8"/>
  <c r="G122" i="8" s="1"/>
  <c r="AR340" i="8"/>
  <c r="H340" i="8" s="1"/>
  <c r="AX335" i="8"/>
  <c r="N335" i="8" s="1"/>
  <c r="AR317" i="8"/>
  <c r="H317" i="8" s="1"/>
  <c r="AQ310" i="8"/>
  <c r="G310" i="8" s="1"/>
  <c r="AS295" i="8"/>
  <c r="I295" i="8" s="1"/>
  <c r="AS290" i="8"/>
  <c r="I290" i="8" s="1"/>
  <c r="AQ255" i="8"/>
  <c r="G255" i="8" s="1"/>
  <c r="AQ215" i="8"/>
  <c r="G215" i="8" s="1"/>
  <c r="AS176" i="8"/>
  <c r="I176" i="8" s="1"/>
  <c r="AS86" i="8"/>
  <c r="I86" i="8" s="1"/>
  <c r="AS79" i="8"/>
  <c r="I79" i="8" s="1"/>
  <c r="AS74" i="8"/>
  <c r="I74" i="8" s="1"/>
  <c r="AR323" i="8"/>
  <c r="H323" i="8" s="1"/>
  <c r="AQ304" i="8"/>
  <c r="G304" i="8" s="1"/>
  <c r="AR271" i="8"/>
  <c r="H271" i="8" s="1"/>
  <c r="AS160" i="8"/>
  <c r="I160" i="8" s="1"/>
  <c r="AQ158" i="8"/>
  <c r="G158" i="8" s="1"/>
  <c r="AR134" i="8"/>
  <c r="H134" i="8" s="1"/>
  <c r="AX342" i="8"/>
  <c r="N342" i="8" s="1"/>
  <c r="AR327" i="8"/>
  <c r="H327" i="8" s="1"/>
  <c r="AS302" i="8"/>
  <c r="I302" i="8" s="1"/>
  <c r="AQ275" i="8"/>
  <c r="G275" i="8" s="1"/>
  <c r="AS271" i="8"/>
  <c r="I271" i="8" s="1"/>
  <c r="AR263" i="8"/>
  <c r="H263" i="8" s="1"/>
  <c r="AS250" i="8"/>
  <c r="I250" i="8" s="1"/>
  <c r="AS162" i="8"/>
  <c r="I162" i="8" s="1"/>
  <c r="U235" i="4" a="1"/>
  <c r="U235" i="4" s="1"/>
  <c r="AD253" i="5" s="1"/>
  <c r="AX253" i="5" s="1"/>
  <c r="AP380" i="8"/>
  <c r="F380" i="8" s="1"/>
  <c r="AQ374" i="8"/>
  <c r="G374" i="8" s="1"/>
  <c r="AP399" i="8"/>
  <c r="F399" i="8" s="1"/>
  <c r="AQ395" i="8"/>
  <c r="G395" i="8" s="1"/>
  <c r="AS391" i="8"/>
  <c r="I391" i="8" s="1"/>
  <c r="AQ388" i="8"/>
  <c r="G388" i="8" s="1"/>
  <c r="AW385" i="8"/>
  <c r="M385" i="8" s="1"/>
  <c r="AQ380" i="8"/>
  <c r="G380" i="8" s="1"/>
  <c r="AQ363" i="8"/>
  <c r="G363" i="8" s="1"/>
  <c r="AQ351" i="8"/>
  <c r="G351" i="8" s="1"/>
  <c r="AR142" i="8"/>
  <c r="H142" i="8" s="1"/>
  <c r="AQ94" i="8"/>
  <c r="G94" i="8" s="1"/>
  <c r="AS65" i="8"/>
  <c r="I65" i="8" s="1"/>
  <c r="AZ144" i="8"/>
  <c r="P144" i="8" s="1"/>
  <c r="AR316" i="8"/>
  <c r="H316" i="8" s="1"/>
  <c r="U244" i="4" a="1"/>
  <c r="U244" i="4" s="1"/>
  <c r="AD219" i="5" s="1"/>
  <c r="AX219" i="5" s="1"/>
  <c r="AZ384" i="8"/>
  <c r="P384" i="8" s="1"/>
  <c r="AZ254" i="8"/>
  <c r="P254" i="8" s="1"/>
  <c r="BA31" i="8"/>
  <c r="Q31" i="8" s="1"/>
  <c r="AQ406" i="8"/>
  <c r="G406" i="8" s="1"/>
  <c r="AP392" i="8"/>
  <c r="F392" i="8" s="1"/>
  <c r="AU386" i="8"/>
  <c r="K386" i="8" s="1"/>
  <c r="AQ368" i="8"/>
  <c r="G368" i="8" s="1"/>
  <c r="AS191" i="8"/>
  <c r="I191" i="8" s="1"/>
  <c r="AX402" i="8"/>
  <c r="N402" i="8" s="1"/>
  <c r="AX395" i="8"/>
  <c r="N395" i="8" s="1"/>
  <c r="AS384" i="8"/>
  <c r="I384" i="8" s="1"/>
  <c r="AT380" i="8"/>
  <c r="J380" i="8" s="1"/>
  <c r="AQ376" i="8"/>
  <c r="G376" i="8" s="1"/>
  <c r="AQ364" i="8"/>
  <c r="G364" i="8" s="1"/>
  <c r="AQ352" i="8"/>
  <c r="G352" i="8" s="1"/>
  <c r="AR349" i="8"/>
  <c r="H349" i="8" s="1"/>
  <c r="AQ272" i="8"/>
  <c r="G272" i="8" s="1"/>
  <c r="AQ248" i="8"/>
  <c r="G248" i="8" s="1"/>
  <c r="AS244" i="8"/>
  <c r="I244" i="8" s="1"/>
  <c r="BA232" i="8"/>
  <c r="Q232" i="8" s="1"/>
  <c r="AS224" i="8"/>
  <c r="I224" i="8" s="1"/>
  <c r="AQ216" i="8"/>
  <c r="G216" i="8" s="1"/>
  <c r="AR213" i="8"/>
  <c r="H213" i="8" s="1"/>
  <c r="AS140" i="8"/>
  <c r="I140" i="8" s="1"/>
  <c r="AS134" i="8"/>
  <c r="I134" i="8" s="1"/>
  <c r="AS127" i="8"/>
  <c r="I127" i="8" s="1"/>
  <c r="AR113" i="8"/>
  <c r="H113" i="8" s="1"/>
  <c r="AS103" i="8"/>
  <c r="I103" i="8" s="1"/>
  <c r="AR83" i="8"/>
  <c r="H83" i="8" s="1"/>
  <c r="AQ71" i="8"/>
  <c r="G71" i="8" s="1"/>
  <c r="AR63" i="8"/>
  <c r="H63" i="8" s="1"/>
  <c r="AS5" i="8"/>
  <c r="I5" i="8" s="1"/>
  <c r="AY31" i="8"/>
  <c r="O31" i="8" s="1"/>
  <c r="BA385" i="8"/>
  <c r="Q385" i="8" s="1"/>
  <c r="AP389" i="8"/>
  <c r="F389" i="8" s="1"/>
  <c r="AB346" i="8"/>
  <c r="AQ307" i="8"/>
  <c r="G307" i="8" s="1"/>
  <c r="AQ240" i="8"/>
  <c r="G240" i="8" s="1"/>
  <c r="AS132" i="8"/>
  <c r="I132" i="8" s="1"/>
  <c r="AQ88" i="8"/>
  <c r="G88" i="8" s="1"/>
  <c r="AR387" i="8"/>
  <c r="H387" i="8" s="1"/>
  <c r="AQ322" i="8"/>
  <c r="G322" i="8" s="1"/>
  <c r="AR198" i="8"/>
  <c r="H198" i="8" s="1"/>
  <c r="AS178" i="8"/>
  <c r="I178" i="8" s="1"/>
  <c r="AR127" i="8"/>
  <c r="H127" i="8" s="1"/>
  <c r="AY386" i="8"/>
  <c r="O386" i="8" s="1"/>
  <c r="AS267" i="8"/>
  <c r="I267" i="8" s="1"/>
  <c r="AQ260" i="8"/>
  <c r="G260" i="8" s="1"/>
  <c r="AQ173" i="8"/>
  <c r="G173" i="8" s="1"/>
  <c r="AQ161" i="8"/>
  <c r="G161" i="8" s="1"/>
  <c r="AX386" i="8"/>
  <c r="N386" i="8" s="1"/>
  <c r="AX334" i="8"/>
  <c r="N334" i="8" s="1"/>
  <c r="AZ100" i="8"/>
  <c r="P100" i="8" s="1"/>
  <c r="AZ383" i="8"/>
  <c r="P383" i="8" s="1"/>
  <c r="T35" i="4" a="1"/>
  <c r="T35" i="4" s="1"/>
  <c r="AC173" i="5" s="1"/>
  <c r="AX173" i="5" s="1"/>
  <c r="AY383" i="8"/>
  <c r="O383" i="8" s="1"/>
  <c r="AR304" i="8"/>
  <c r="H304" i="8" s="1"/>
  <c r="AQ167" i="8"/>
  <c r="G167" i="8" s="1"/>
  <c r="AS11" i="8"/>
  <c r="I11" i="8" s="1"/>
  <c r="AY240" i="5"/>
  <c r="AQ200" i="8"/>
  <c r="G200" i="8" s="1"/>
  <c r="AR192" i="8"/>
  <c r="H192" i="8" s="1"/>
  <c r="AS156" i="8"/>
  <c r="I156" i="8" s="1"/>
  <c r="AS406" i="8"/>
  <c r="I406" i="8" s="1"/>
  <c r="AX396" i="8"/>
  <c r="N396" i="8" s="1"/>
  <c r="AS238" i="8"/>
  <c r="I238" i="8" s="1"/>
  <c r="AS208" i="8"/>
  <c r="I208" i="8" s="1"/>
  <c r="AQ198" i="8"/>
  <c r="G198" i="8" s="1"/>
  <c r="AS183" i="8"/>
  <c r="I183" i="8" s="1"/>
  <c r="AQ142" i="8"/>
  <c r="G142" i="8" s="1"/>
  <c r="AR380" i="8"/>
  <c r="H380" i="8" s="1"/>
  <c r="AR383" i="8"/>
  <c r="H383" i="8" s="1"/>
  <c r="AX324" i="8"/>
  <c r="N324" i="8" s="1"/>
  <c r="AQ297" i="8"/>
  <c r="G297" i="8" s="1"/>
  <c r="AQ289" i="8"/>
  <c r="G289" i="8" s="1"/>
  <c r="AR158" i="8"/>
  <c r="H158" i="8" s="1"/>
  <c r="AQ33" i="8"/>
  <c r="G33" i="8" s="1"/>
  <c r="AQ180" i="8"/>
  <c r="G180" i="8" s="1"/>
  <c r="AR392" i="8"/>
  <c r="H392" i="8" s="1"/>
  <c r="AQ377" i="8"/>
  <c r="G377" i="8" s="1"/>
  <c r="AQ371" i="8"/>
  <c r="G371" i="8" s="1"/>
  <c r="AQ365" i="8"/>
  <c r="G365" i="8" s="1"/>
  <c r="AX341" i="8"/>
  <c r="N341" i="8" s="1"/>
  <c r="AS283" i="8"/>
  <c r="I283" i="8" s="1"/>
  <c r="AW252" i="8"/>
  <c r="M252" i="8" s="1"/>
  <c r="AQ245" i="8"/>
  <c r="G245" i="8" s="1"/>
  <c r="AR191" i="8"/>
  <c r="H191" i="8" s="1"/>
  <c r="AQ141" i="8"/>
  <c r="G141" i="8" s="1"/>
  <c r="AS110" i="8"/>
  <c r="I110" i="8" s="1"/>
  <c r="AR68" i="8"/>
  <c r="H68" i="8" s="1"/>
  <c r="AQ64" i="8"/>
  <c r="G64" i="8" s="1"/>
  <c r="AS37" i="8"/>
  <c r="I37" i="8" s="1"/>
  <c r="AS20" i="8"/>
  <c r="I20" i="8" s="1"/>
  <c r="AF66" i="2"/>
  <c r="AP406" i="8"/>
  <c r="F406" i="8" s="1"/>
  <c r="AU384" i="8"/>
  <c r="K384" i="8" s="1"/>
  <c r="AQ288" i="8"/>
  <c r="G288" i="8" s="1"/>
  <c r="AS265" i="8"/>
  <c r="I265" i="8" s="1"/>
  <c r="AQ220" i="8"/>
  <c r="G220" i="8" s="1"/>
  <c r="AS135" i="8"/>
  <c r="I135" i="8" s="1"/>
  <c r="AY410" i="5"/>
  <c r="AX407" i="5"/>
  <c r="AS400" i="5"/>
  <c r="AS399" i="5"/>
  <c r="AR397" i="5"/>
  <c r="AS395" i="5"/>
  <c r="AQ386" i="8"/>
  <c r="G386" i="8" s="1"/>
  <c r="AT384" i="8"/>
  <c r="J384" i="8" s="1"/>
  <c r="AU383" i="8"/>
  <c r="K383" i="8" s="1"/>
  <c r="AW380" i="8"/>
  <c r="M380" i="8" s="1"/>
  <c r="AR341" i="8"/>
  <c r="H341" i="8" s="1"/>
  <c r="AX332" i="8"/>
  <c r="N332" i="8" s="1"/>
  <c r="AQ299" i="8"/>
  <c r="G299" i="8" s="1"/>
  <c r="AS287" i="8"/>
  <c r="I287" i="8" s="1"/>
  <c r="AQ37" i="8"/>
  <c r="G37" i="8" s="1"/>
  <c r="AQ20" i="8"/>
  <c r="G20" i="8" s="1"/>
  <c r="AQ11" i="8"/>
  <c r="G11" i="8" s="1"/>
  <c r="AI59" i="2"/>
  <c r="AG60" i="2"/>
  <c r="AQ399" i="8"/>
  <c r="G399" i="8" s="1"/>
  <c r="AU388" i="8"/>
  <c r="K388" i="8" s="1"/>
  <c r="AP386" i="8"/>
  <c r="F386" i="8" s="1"/>
  <c r="AQ359" i="8"/>
  <c r="G359" i="8" s="1"/>
  <c r="AQ264" i="8"/>
  <c r="G264" i="8" s="1"/>
  <c r="AS261" i="8"/>
  <c r="I261" i="8" s="1"/>
  <c r="AQ177" i="8"/>
  <c r="G177" i="8" s="1"/>
  <c r="AQ121" i="8"/>
  <c r="G121" i="8" s="1"/>
  <c r="AQ55" i="8"/>
  <c r="G55" i="8" s="1"/>
  <c r="AP37" i="8"/>
  <c r="F37" i="8" s="1"/>
  <c r="AY380" i="8"/>
  <c r="O380" i="8" s="1"/>
  <c r="AS62" i="8"/>
  <c r="I62" i="8" s="1"/>
  <c r="AQ405" i="8"/>
  <c r="G405" i="8" s="1"/>
  <c r="AU402" i="8"/>
  <c r="K402" i="8" s="1"/>
  <c r="AU391" i="8"/>
  <c r="K391" i="8" s="1"/>
  <c r="AP384" i="8"/>
  <c r="F384" i="8" s="1"/>
  <c r="AS380" i="8"/>
  <c r="I380" i="8" s="1"/>
  <c r="AQ344" i="8"/>
  <c r="G344" i="8" s="1"/>
  <c r="AX336" i="8"/>
  <c r="N336" i="8" s="1"/>
  <c r="AR332" i="8"/>
  <c r="H332" i="8" s="1"/>
  <c r="AQ320" i="8"/>
  <c r="G320" i="8" s="1"/>
  <c r="AR314" i="8"/>
  <c r="H314" i="8" s="1"/>
  <c r="AR310" i="8"/>
  <c r="H310" i="8" s="1"/>
  <c r="AS258" i="8"/>
  <c r="I258" i="8" s="1"/>
  <c r="AQ140" i="8"/>
  <c r="G140" i="8" s="1"/>
  <c r="AQ130" i="8"/>
  <c r="G130" i="8" s="1"/>
  <c r="AS100" i="8"/>
  <c r="I100" i="8" s="1"/>
  <c r="AF68" i="2"/>
  <c r="AQ332" i="8"/>
  <c r="G332" i="8" s="1"/>
  <c r="AX327" i="8"/>
  <c r="N327" i="8" s="1"/>
  <c r="AQ70" i="8"/>
  <c r="G70" i="8" s="1"/>
  <c r="AG68" i="2"/>
  <c r="AY300" i="5"/>
  <c r="AN391" i="5"/>
  <c r="U17" i="4" a="1"/>
  <c r="U17" i="4" s="1"/>
  <c r="AD184" i="5" s="1"/>
  <c r="AX184" i="5" s="1"/>
  <c r="AS66" i="8"/>
  <c r="I66" i="8" s="1"/>
  <c r="AW383" i="8"/>
  <c r="M383" i="8" s="1"/>
  <c r="AR382" i="8"/>
  <c r="H382" i="8" s="1"/>
  <c r="AR348" i="8"/>
  <c r="H348" i="8" s="1"/>
  <c r="AQ199" i="8"/>
  <c r="G199" i="8" s="1"/>
  <c r="AS146" i="8"/>
  <c r="I146" i="8" s="1"/>
  <c r="AQ90" i="8"/>
  <c r="G90" i="8" s="1"/>
  <c r="AX385" i="8"/>
  <c r="N385" i="8" s="1"/>
  <c r="AT382" i="8"/>
  <c r="J382" i="8" s="1"/>
  <c r="AS236" i="8"/>
  <c r="I236" i="8" s="1"/>
  <c r="AR18" i="8"/>
  <c r="H18" i="8" s="1"/>
  <c r="AS200" i="8"/>
  <c r="I200" i="8" s="1"/>
  <c r="AX398" i="8"/>
  <c r="N398" i="8" s="1"/>
  <c r="AQ341" i="8"/>
  <c r="G341" i="8" s="1"/>
  <c r="AR90" i="8"/>
  <c r="H90" i="8" s="1"/>
  <c r="AU406" i="8"/>
  <c r="K406" i="8" s="1"/>
  <c r="AU398" i="8"/>
  <c r="K398" i="8" s="1"/>
  <c r="AX392" i="8"/>
  <c r="N392" i="8" s="1"/>
  <c r="AX390" i="8"/>
  <c r="N390" i="8" s="1"/>
  <c r="AS253" i="8"/>
  <c r="I253" i="8" s="1"/>
  <c r="AY225" i="8"/>
  <c r="O225" i="8" s="1"/>
  <c r="AS218" i="8"/>
  <c r="I218" i="8" s="1"/>
  <c r="AQ214" i="8"/>
  <c r="G214" i="8" s="1"/>
  <c r="AS128" i="8"/>
  <c r="I128" i="8" s="1"/>
  <c r="AS89" i="8"/>
  <c r="I89" i="8" s="1"/>
  <c r="AQ82" i="8"/>
  <c r="G82" i="8" s="1"/>
  <c r="AY37" i="8"/>
  <c r="O37" i="8" s="1"/>
  <c r="AR30" i="8"/>
  <c r="H30" i="8" s="1"/>
  <c r="AQ26" i="8"/>
  <c r="G26" i="8" s="1"/>
  <c r="AQ8" i="8"/>
  <c r="G8" i="8" s="1"/>
  <c r="BA383" i="8"/>
  <c r="Q383" i="8" s="1"/>
  <c r="AS390" i="8"/>
  <c r="I390" i="8" s="1"/>
  <c r="AQ316" i="8"/>
  <c r="G316" i="8" s="1"/>
  <c r="AS173" i="8"/>
  <c r="I173" i="8" s="1"/>
  <c r="BA380" i="8"/>
  <c r="Q380" i="8" s="1"/>
  <c r="AR292" i="8"/>
  <c r="H292" i="8" s="1"/>
  <c r="BA384" i="8"/>
  <c r="Q384" i="8" s="1"/>
  <c r="AR308" i="8"/>
  <c r="H308" i="8" s="1"/>
  <c r="AS145" i="8"/>
  <c r="I145" i="8" s="1"/>
  <c r="AK346" i="8"/>
  <c r="AE346" i="8"/>
  <c r="AL346" i="8"/>
  <c r="R346" i="8"/>
  <c r="D346" i="8"/>
  <c r="S346" i="8"/>
  <c r="T346" i="8"/>
  <c r="AR346" i="8" s="1"/>
  <c r="Z346" i="8"/>
  <c r="V346" i="8"/>
  <c r="E346" i="8"/>
  <c r="AQ191" i="8"/>
  <c r="G191" i="8" s="1"/>
  <c r="AQ152" i="8"/>
  <c r="G152" i="8" s="1"/>
  <c r="AZ150" i="8"/>
  <c r="P150" i="8" s="1"/>
  <c r="AX384" i="8"/>
  <c r="N384" i="8" s="1"/>
  <c r="AQ261" i="8"/>
  <c r="G261" i="8" s="1"/>
  <c r="AU90" i="8"/>
  <c r="K90" i="8" s="1"/>
  <c r="AQ317" i="8"/>
  <c r="G317" i="8" s="1"/>
  <c r="AS298" i="8"/>
  <c r="I298" i="8" s="1"/>
  <c r="AQ159" i="8"/>
  <c r="G159" i="8" s="1"/>
  <c r="AQ327" i="8"/>
  <c r="G327" i="8" s="1"/>
  <c r="AS106" i="8"/>
  <c r="I106" i="8" s="1"/>
  <c r="AQ362" i="8"/>
  <c r="G362" i="8" s="1"/>
  <c r="AQ112" i="8"/>
  <c r="G112" i="8" s="1"/>
  <c r="U19" i="4" a="1"/>
  <c r="U19" i="4" s="1"/>
  <c r="AD186" i="5" s="1"/>
  <c r="AX186" i="5" s="1"/>
  <c r="AG62" i="2"/>
  <c r="AY42" i="8"/>
  <c r="O42" i="8" s="1"/>
  <c r="AY197" i="8"/>
  <c r="O197" i="8" s="1"/>
  <c r="AZ380" i="8"/>
  <c r="P380" i="8" s="1"/>
  <c r="AP391" i="5"/>
  <c r="V392" i="8"/>
  <c r="U5" i="4" a="1"/>
  <c r="U5" i="4" s="1"/>
  <c r="AD61" i="5" s="1"/>
  <c r="AY299" i="5"/>
  <c r="AK68" i="2"/>
  <c r="V26" i="11"/>
  <c r="W26" i="11"/>
  <c r="J26" i="11"/>
  <c r="R26" i="11"/>
  <c r="S26" i="11"/>
  <c r="U26" i="11"/>
  <c r="K26" i="11" s="1"/>
  <c r="M26" i="11" s="1"/>
  <c r="N6" i="11"/>
  <c r="L6" i="11"/>
  <c r="M6" i="11" s="1"/>
  <c r="M2" i="11"/>
  <c r="L4" i="11"/>
  <c r="M4" i="11" s="1"/>
  <c r="L15" i="11"/>
  <c r="M15" i="11"/>
  <c r="N5" i="11"/>
  <c r="L5" i="11"/>
  <c r="M5" i="11" s="1"/>
  <c r="R7" i="11"/>
  <c r="J7" i="11"/>
  <c r="S7" i="11"/>
  <c r="W7" i="11"/>
  <c r="U7" i="11"/>
  <c r="K7" i="11" s="1"/>
  <c r="M7" i="11" s="1"/>
  <c r="V7" i="11"/>
  <c r="U20" i="11"/>
  <c r="K20" i="11" s="1"/>
  <c r="M20" i="11" s="1"/>
  <c r="W24" i="11"/>
  <c r="V18" i="11"/>
  <c r="J16" i="11"/>
  <c r="N16" i="11" s="1"/>
  <c r="V16" i="11"/>
  <c r="R21" i="11"/>
  <c r="U8" i="11"/>
  <c r="K8" i="11" s="1"/>
  <c r="M8" i="11" s="1"/>
  <c r="W22" i="11"/>
  <c r="J21" i="11"/>
  <c r="S5" i="11"/>
  <c r="S20" i="11"/>
  <c r="V17" i="11"/>
  <c r="R11" i="11"/>
  <c r="K11" i="11" s="1"/>
  <c r="M11" i="11" s="1"/>
  <c r="W21" i="11"/>
  <c r="J11" i="11"/>
  <c r="V24" i="11"/>
  <c r="V20" i="11"/>
  <c r="F398" i="8"/>
  <c r="V8" i="11"/>
  <c r="J19" i="11"/>
  <c r="J4" i="11"/>
  <c r="N4" i="11" s="1"/>
  <c r="R20" i="11"/>
  <c r="U17" i="11"/>
  <c r="K17" i="11" s="1"/>
  <c r="M17" i="11" s="1"/>
  <c r="J20" i="11"/>
  <c r="V23" i="11"/>
  <c r="U24" i="11"/>
  <c r="K24" i="11" s="1"/>
  <c r="M24" i="11" s="1"/>
  <c r="U16" i="11"/>
  <c r="K16" i="11" s="1"/>
  <c r="J18" i="11"/>
  <c r="S25" i="11"/>
  <c r="S18" i="11"/>
  <c r="U23" i="11"/>
  <c r="K23" i="11" s="1"/>
  <c r="M23" i="11" s="1"/>
  <c r="W18" i="11"/>
  <c r="J17" i="11"/>
  <c r="V22" i="11"/>
  <c r="J25" i="11"/>
  <c r="U21" i="11"/>
  <c r="K21" i="11" s="1"/>
  <c r="M21" i="11" s="1"/>
  <c r="AE356" i="8"/>
  <c r="AQ356" i="8" s="1"/>
  <c r="G356" i="8" s="1"/>
  <c r="AK356" i="8"/>
  <c r="AE387" i="8"/>
  <c r="AQ387" i="8" s="1"/>
  <c r="G387" i="8" s="1"/>
  <c r="AA387" i="8"/>
  <c r="AD387" i="8"/>
  <c r="AP387" i="8" s="1"/>
  <c r="F387" i="8" s="1"/>
  <c r="AG387" i="8"/>
  <c r="AS387" i="8" s="1"/>
  <c r="I387" i="8" s="1"/>
  <c r="AL387" i="8"/>
  <c r="AX387" i="8" s="1"/>
  <c r="N387" i="8" s="1"/>
  <c r="AA136" i="8"/>
  <c r="AL136" i="8"/>
  <c r="AG136" i="8"/>
  <c r="AS136" i="8" s="1"/>
  <c r="I136" i="8" s="1"/>
  <c r="T136" i="8"/>
  <c r="AK136" i="8"/>
  <c r="V136" i="8"/>
  <c r="X136" i="8"/>
  <c r="AK306" i="8"/>
  <c r="AE306" i="8"/>
  <c r="AQ306" i="8" s="1"/>
  <c r="G306" i="8" s="1"/>
  <c r="AF306" i="8"/>
  <c r="AR306" i="8" s="1"/>
  <c r="H306" i="8" s="1"/>
  <c r="AE291" i="8"/>
  <c r="AQ291" i="8" s="1"/>
  <c r="G291" i="8" s="1"/>
  <c r="AG291" i="8"/>
  <c r="AF291" i="8"/>
  <c r="AR291" i="8" s="1"/>
  <c r="H291" i="8" s="1"/>
  <c r="AK291" i="8"/>
  <c r="U291" i="8"/>
  <c r="AK235" i="8"/>
  <c r="AG235" i="8"/>
  <c r="AS235" i="8" s="1"/>
  <c r="I235" i="8" s="1"/>
  <c r="AI235" i="8"/>
  <c r="AM235" i="8"/>
  <c r="T235" i="8"/>
  <c r="X394" i="8"/>
  <c r="T389" i="8"/>
  <c r="AB294" i="8"/>
  <c r="AK372" i="8"/>
  <c r="AE372" i="8"/>
  <c r="AQ372" i="8" s="1"/>
  <c r="G372" i="8" s="1"/>
  <c r="AE328" i="8"/>
  <c r="AQ328" i="8" s="1"/>
  <c r="G328" i="8" s="1"/>
  <c r="AA328" i="8"/>
  <c r="AK328" i="8"/>
  <c r="AF328" i="8"/>
  <c r="AR328" i="8" s="1"/>
  <c r="H328" i="8" s="1"/>
  <c r="AL328" i="8"/>
  <c r="AX328" i="8" s="1"/>
  <c r="N328" i="8" s="1"/>
  <c r="AG10" i="8"/>
  <c r="AE10" i="8"/>
  <c r="AK10" i="8"/>
  <c r="S10" i="8"/>
  <c r="T10" i="8"/>
  <c r="AI10" i="8"/>
  <c r="Z10" i="8"/>
  <c r="AB10" i="8"/>
  <c r="U10" i="8"/>
  <c r="V10" i="8"/>
  <c r="AF305" i="8"/>
  <c r="AR305" i="8" s="1"/>
  <c r="H305" i="8" s="1"/>
  <c r="AE305" i="8"/>
  <c r="AQ305" i="8" s="1"/>
  <c r="G305" i="8" s="1"/>
  <c r="AK305" i="8"/>
  <c r="AI389" i="8"/>
  <c r="AU389" i="8" s="1"/>
  <c r="K389" i="8" s="1"/>
  <c r="AF389" i="8"/>
  <c r="AG389" i="8"/>
  <c r="AS389" i="8" s="1"/>
  <c r="I389" i="8" s="1"/>
  <c r="AA389" i="8"/>
  <c r="AE389" i="8"/>
  <c r="AQ389" i="8" s="1"/>
  <c r="G389" i="8" s="1"/>
  <c r="AL389" i="8"/>
  <c r="AX389" i="8" s="1"/>
  <c r="N389" i="8" s="1"/>
  <c r="AI52" i="8"/>
  <c r="AB52" i="8"/>
  <c r="AE52" i="8"/>
  <c r="V52" i="8"/>
  <c r="AG52" i="8"/>
  <c r="S52" i="8"/>
  <c r="U52" i="8"/>
  <c r="AG394" i="8"/>
  <c r="AS394" i="8" s="1"/>
  <c r="I394" i="8" s="1"/>
  <c r="AI394" i="8"/>
  <c r="AU394" i="8" s="1"/>
  <c r="K394" i="8" s="1"/>
  <c r="AA394" i="8"/>
  <c r="AY394" i="8" s="1"/>
  <c r="AL394" i="8"/>
  <c r="AX394" i="8" s="1"/>
  <c r="N394" i="8" s="1"/>
  <c r="AE394" i="8"/>
  <c r="AQ394" i="8" s="1"/>
  <c r="G394" i="8" s="1"/>
  <c r="AF394" i="8"/>
  <c r="AR394" i="8" s="1"/>
  <c r="H394" i="8" s="1"/>
  <c r="AO394" i="8"/>
  <c r="AD394" i="8"/>
  <c r="AP394" i="8" s="1"/>
  <c r="F394" i="8" s="1"/>
  <c r="AE343" i="8"/>
  <c r="AQ343" i="8" s="1"/>
  <c r="G343" i="8" s="1"/>
  <c r="AF343" i="8"/>
  <c r="AR343" i="8" s="1"/>
  <c r="H343" i="8" s="1"/>
  <c r="AA343" i="8"/>
  <c r="AK343" i="8"/>
  <c r="AL343" i="8"/>
  <c r="AX343" i="8" s="1"/>
  <c r="N343" i="8" s="1"/>
  <c r="AI294" i="8"/>
  <c r="AE294" i="8"/>
  <c r="AG294" i="8"/>
  <c r="AK294" i="8"/>
  <c r="AG226" i="8"/>
  <c r="AM226" i="8"/>
  <c r="T226" i="8"/>
  <c r="V226" i="8"/>
  <c r="AB226" i="8"/>
  <c r="AK226" i="8"/>
  <c r="U226" i="8"/>
  <c r="AF3" i="8"/>
  <c r="AG3" i="8"/>
  <c r="AI3" i="8"/>
  <c r="T3" i="8"/>
  <c r="U3" i="8"/>
  <c r="U294" i="8"/>
  <c r="AE393" i="8"/>
  <c r="AQ393" i="8" s="1"/>
  <c r="G393" i="8" s="1"/>
  <c r="AD393" i="8"/>
  <c r="AP393" i="8" s="1"/>
  <c r="F393" i="8" s="1"/>
  <c r="AF393" i="8"/>
  <c r="AR393" i="8" s="1"/>
  <c r="H393" i="8" s="1"/>
  <c r="AA393" i="8"/>
  <c r="AG393" i="8"/>
  <c r="AS393" i="8" s="1"/>
  <c r="I393" i="8" s="1"/>
  <c r="AL393" i="8"/>
  <c r="AX393" i="8" s="1"/>
  <c r="N393" i="8" s="1"/>
  <c r="AI393" i="8"/>
  <c r="AU393" i="8" s="1"/>
  <c r="K393" i="8" s="1"/>
  <c r="AK326" i="8"/>
  <c r="AL326" i="8"/>
  <c r="AX326" i="8" s="1"/>
  <c r="N326" i="8" s="1"/>
  <c r="AA326" i="8"/>
  <c r="AE326" i="8"/>
  <c r="AQ326" i="8" s="1"/>
  <c r="G326" i="8" s="1"/>
  <c r="AF326" i="8"/>
  <c r="AR326" i="8" s="1"/>
  <c r="H326" i="8" s="1"/>
  <c r="R326" i="8"/>
  <c r="AK247" i="8"/>
  <c r="AG247" i="8"/>
  <c r="AE247" i="8"/>
  <c r="AQ247" i="8" s="1"/>
  <c r="G247" i="8" s="1"/>
  <c r="AF247" i="8"/>
  <c r="AR247" i="8" s="1"/>
  <c r="H247" i="8" s="1"/>
  <c r="AI247" i="8"/>
  <c r="U247" i="8"/>
  <c r="T294" i="8"/>
  <c r="AB343" i="8"/>
  <c r="S294" i="8"/>
  <c r="X2" i="8"/>
  <c r="AG2" i="8"/>
  <c r="AS2" i="8" s="1"/>
  <c r="I2" i="8" s="1"/>
  <c r="AK2" i="8"/>
  <c r="AI2" i="8"/>
  <c r="T2" i="8"/>
  <c r="V2" i="8"/>
  <c r="AA339" i="8"/>
  <c r="AE339" i="8"/>
  <c r="AQ339" i="8" s="1"/>
  <c r="G339" i="8" s="1"/>
  <c r="AF339" i="8"/>
  <c r="AR339" i="8" s="1"/>
  <c r="H339" i="8" s="1"/>
  <c r="AK339" i="8"/>
  <c r="AL339" i="8"/>
  <c r="AX339" i="8" s="1"/>
  <c r="N339" i="8" s="1"/>
  <c r="AM400" i="8"/>
  <c r="AF400" i="8"/>
  <c r="AR400" i="8" s="1"/>
  <c r="H400" i="8" s="1"/>
  <c r="AG400" i="8"/>
  <c r="AS400" i="8" s="1"/>
  <c r="I400" i="8" s="1"/>
  <c r="AA400" i="8"/>
  <c r="AE400" i="8"/>
  <c r="AQ400" i="8" s="1"/>
  <c r="G400" i="8" s="1"/>
  <c r="AI400" i="8"/>
  <c r="AU400" i="8" s="1"/>
  <c r="K400" i="8" s="1"/>
  <c r="AO400" i="8"/>
  <c r="AK373" i="8"/>
  <c r="AE373" i="8"/>
  <c r="AQ373" i="8" s="1"/>
  <c r="G373" i="8" s="1"/>
  <c r="AK241" i="8"/>
  <c r="AG241" i="8"/>
  <c r="AS241" i="8" s="1"/>
  <c r="I241" i="8" s="1"/>
  <c r="AI241" i="8"/>
  <c r="AI174" i="8"/>
  <c r="AK174" i="8"/>
  <c r="AG174" i="8"/>
  <c r="U174" i="8"/>
  <c r="V174" i="8"/>
  <c r="AG138" i="8"/>
  <c r="AS138" i="8" s="1"/>
  <c r="I138" i="8" s="1"/>
  <c r="AI138" i="8"/>
  <c r="AE138" i="8"/>
  <c r="AQ138" i="8" s="1"/>
  <c r="G138" i="8" s="1"/>
  <c r="AK138" i="8"/>
  <c r="AF111" i="8"/>
  <c r="AR111" i="8" s="1"/>
  <c r="H111" i="8" s="1"/>
  <c r="AG111" i="8"/>
  <c r="AS111" i="8" s="1"/>
  <c r="I111" i="8" s="1"/>
  <c r="AE111" i="8"/>
  <c r="S111" i="8"/>
  <c r="AK111" i="8"/>
  <c r="AM111" i="8"/>
  <c r="AK108" i="8"/>
  <c r="AL108" i="8"/>
  <c r="AA108" i="8"/>
  <c r="X108" i="8"/>
  <c r="AG108" i="8"/>
  <c r="AS108" i="8" s="1"/>
  <c r="I108" i="8" s="1"/>
  <c r="AI108" i="8"/>
  <c r="AF50" i="8"/>
  <c r="AR50" i="8" s="1"/>
  <c r="H50" i="8" s="1"/>
  <c r="AB50" i="8"/>
  <c r="V50" i="8"/>
  <c r="AG50" i="8"/>
  <c r="AS50" i="8" s="1"/>
  <c r="I50" i="8" s="1"/>
  <c r="AI50" i="8"/>
  <c r="AK50" i="8"/>
  <c r="AK340" i="8"/>
  <c r="AL340" i="8"/>
  <c r="AX340" i="8" s="1"/>
  <c r="N340" i="8" s="1"/>
  <c r="AA340" i="8"/>
  <c r="AE340" i="8"/>
  <c r="AQ340" i="8" s="1"/>
  <c r="G340" i="8" s="1"/>
  <c r="AK288" i="8"/>
  <c r="AG288" i="8"/>
  <c r="AS288" i="8" s="1"/>
  <c r="I288" i="8" s="1"/>
  <c r="AI288" i="8"/>
  <c r="AE268" i="8"/>
  <c r="AQ268" i="8" s="1"/>
  <c r="G268" i="8" s="1"/>
  <c r="AF268" i="8"/>
  <c r="AR268" i="8" s="1"/>
  <c r="H268" i="8" s="1"/>
  <c r="AI268" i="8"/>
  <c r="AK268" i="8"/>
  <c r="AE254" i="8"/>
  <c r="AQ254" i="8" s="1"/>
  <c r="G254" i="8" s="1"/>
  <c r="AG254" i="8"/>
  <c r="AS254" i="8" s="1"/>
  <c r="I254" i="8" s="1"/>
  <c r="AK254" i="8"/>
  <c r="AG251" i="8"/>
  <c r="AS251" i="8" s="1"/>
  <c r="I251" i="8" s="1"/>
  <c r="AI251" i="8"/>
  <c r="AF251" i="8"/>
  <c r="AR251" i="8" s="1"/>
  <c r="H251" i="8" s="1"/>
  <c r="AK251" i="8"/>
  <c r="AG221" i="8"/>
  <c r="AS221" i="8" s="1"/>
  <c r="I221" i="8" s="1"/>
  <c r="AE221" i="8"/>
  <c r="AQ221" i="8" s="1"/>
  <c r="G221" i="8" s="1"/>
  <c r="AF221" i="8"/>
  <c r="AR221" i="8" s="1"/>
  <c r="H221" i="8" s="1"/>
  <c r="AK221" i="8"/>
  <c r="AM221" i="8"/>
  <c r="AL204" i="8"/>
  <c r="AF204" i="8"/>
  <c r="AR204" i="8" s="1"/>
  <c r="H204" i="8" s="1"/>
  <c r="AI204" i="8"/>
  <c r="AK187" i="8"/>
  <c r="AF187" i="8"/>
  <c r="AR187" i="8" s="1"/>
  <c r="H187" i="8" s="1"/>
  <c r="AE114" i="8"/>
  <c r="AQ114" i="8" s="1"/>
  <c r="G114" i="8" s="1"/>
  <c r="AM114" i="8"/>
  <c r="AF114" i="8"/>
  <c r="AR114" i="8" s="1"/>
  <c r="H114" i="8" s="1"/>
  <c r="AG114" i="8"/>
  <c r="AS114" i="8" s="1"/>
  <c r="I114" i="8" s="1"/>
  <c r="T105" i="8"/>
  <c r="AI405" i="8"/>
  <c r="AU405" i="8" s="1"/>
  <c r="K405" i="8" s="1"/>
  <c r="AA405" i="8"/>
  <c r="AY405" i="8" s="1"/>
  <c r="AF405" i="8"/>
  <c r="AR405" i="8" s="1"/>
  <c r="H405" i="8" s="1"/>
  <c r="AF403" i="8"/>
  <c r="AR403" i="8" s="1"/>
  <c r="H403" i="8" s="1"/>
  <c r="AG403" i="8"/>
  <c r="AS403" i="8" s="1"/>
  <c r="I403" i="8" s="1"/>
  <c r="AA403" i="8"/>
  <c r="AE403" i="8"/>
  <c r="AQ403" i="8" s="1"/>
  <c r="G403" i="8" s="1"/>
  <c r="AE378" i="8"/>
  <c r="AQ378" i="8" s="1"/>
  <c r="G378" i="8" s="1"/>
  <c r="AE357" i="8"/>
  <c r="AQ357" i="8" s="1"/>
  <c r="G357" i="8" s="1"/>
  <c r="AA344" i="8"/>
  <c r="AF344" i="8"/>
  <c r="AR344" i="8" s="1"/>
  <c r="H344" i="8" s="1"/>
  <c r="AL344" i="8"/>
  <c r="AX344" i="8" s="1"/>
  <c r="N344" i="8" s="1"/>
  <c r="AK333" i="8"/>
  <c r="AE333" i="8"/>
  <c r="AQ333" i="8" s="1"/>
  <c r="G333" i="8" s="1"/>
  <c r="AF333" i="8"/>
  <c r="AR333" i="8" s="1"/>
  <c r="H333" i="8" s="1"/>
  <c r="AA333" i="8"/>
  <c r="AL333" i="8"/>
  <c r="AX333" i="8" s="1"/>
  <c r="N333" i="8" s="1"/>
  <c r="AE311" i="8"/>
  <c r="AQ311" i="8" s="1"/>
  <c r="G311" i="8" s="1"/>
  <c r="AA311" i="8"/>
  <c r="AF311" i="8"/>
  <c r="AR311" i="8" s="1"/>
  <c r="H311" i="8" s="1"/>
  <c r="AM160" i="8"/>
  <c r="AK160" i="8"/>
  <c r="AE160" i="8"/>
  <c r="S160" i="8"/>
  <c r="AI160" i="8"/>
  <c r="Z126" i="8"/>
  <c r="AE126" i="8"/>
  <c r="AQ126" i="8" s="1"/>
  <c r="G126" i="8" s="1"/>
  <c r="AK117" i="8"/>
  <c r="AG117" i="8"/>
  <c r="AS117" i="8" s="1"/>
  <c r="I117" i="8" s="1"/>
  <c r="AI117" i="8"/>
  <c r="AM107" i="8"/>
  <c r="AG107" i="8"/>
  <c r="AS107" i="8" s="1"/>
  <c r="I107" i="8" s="1"/>
  <c r="AA107" i="8"/>
  <c r="AI107" i="8"/>
  <c r="AK107" i="8"/>
  <c r="V107" i="8"/>
  <c r="AK93" i="8"/>
  <c r="AK47" i="8"/>
  <c r="AI47" i="8"/>
  <c r="AB47" i="8"/>
  <c r="X47" i="8"/>
  <c r="AE47" i="8"/>
  <c r="AQ47" i="8" s="1"/>
  <c r="G47" i="8" s="1"/>
  <c r="AF47" i="8"/>
  <c r="AR47" i="8" s="1"/>
  <c r="H47" i="8" s="1"/>
  <c r="AK27" i="8"/>
  <c r="AE27" i="8"/>
  <c r="AQ27" i="8" s="1"/>
  <c r="G27" i="8" s="1"/>
  <c r="S105" i="8"/>
  <c r="AO396" i="8"/>
  <c r="AI390" i="8"/>
  <c r="AU390" i="8" s="1"/>
  <c r="K390" i="8" s="1"/>
  <c r="AA390" i="8"/>
  <c r="AD390" i="8"/>
  <c r="AP390" i="8" s="1"/>
  <c r="F390" i="8" s="1"/>
  <c r="AF390" i="8"/>
  <c r="AR390" i="8" s="1"/>
  <c r="H390" i="8" s="1"/>
  <c r="AL331" i="8"/>
  <c r="AX331" i="8" s="1"/>
  <c r="N331" i="8" s="1"/>
  <c r="AA331" i="8"/>
  <c r="AF331" i="8"/>
  <c r="AR331" i="8" s="1"/>
  <c r="H331" i="8" s="1"/>
  <c r="AF279" i="8"/>
  <c r="AR279" i="8" s="1"/>
  <c r="H279" i="8" s="1"/>
  <c r="AG279" i="8"/>
  <c r="AS279" i="8" s="1"/>
  <c r="I279" i="8" s="1"/>
  <c r="AG231" i="8"/>
  <c r="AS231" i="8" s="1"/>
  <c r="I231" i="8" s="1"/>
  <c r="AE231" i="8"/>
  <c r="AQ231" i="8" s="1"/>
  <c r="G231" i="8" s="1"/>
  <c r="AI165" i="8"/>
  <c r="AG165" i="8"/>
  <c r="AS165" i="8" s="1"/>
  <c r="I165" i="8" s="1"/>
  <c r="AK165" i="8"/>
  <c r="X165" i="8"/>
  <c r="AK113" i="8"/>
  <c r="AM113" i="8"/>
  <c r="V113" i="8"/>
  <c r="AE113" i="8"/>
  <c r="AQ113" i="8" s="1"/>
  <c r="G113" i="8" s="1"/>
  <c r="AG113" i="8"/>
  <c r="AS113" i="8" s="1"/>
  <c r="I113" i="8" s="1"/>
  <c r="AI67" i="8"/>
  <c r="S67" i="8"/>
  <c r="AE67" i="8"/>
  <c r="AF67" i="8"/>
  <c r="AR67" i="8" s="1"/>
  <c r="H67" i="8" s="1"/>
  <c r="AG67" i="8"/>
  <c r="AS67" i="8" s="1"/>
  <c r="I67" i="8" s="1"/>
  <c r="AK67" i="8"/>
  <c r="AA36" i="8"/>
  <c r="AL36" i="8"/>
  <c r="AX36" i="8" s="1"/>
  <c r="N36" i="8" s="1"/>
  <c r="AD36" i="8"/>
  <c r="AP36" i="8" s="1"/>
  <c r="F36" i="8" s="1"/>
  <c r="AE36" i="8"/>
  <c r="AQ36" i="8" s="1"/>
  <c r="G36" i="8" s="1"/>
  <c r="AF36" i="8"/>
  <c r="AR36" i="8" s="1"/>
  <c r="H36" i="8" s="1"/>
  <c r="AI36" i="8"/>
  <c r="AU36" i="8" s="1"/>
  <c r="K36" i="8" s="1"/>
  <c r="AI15" i="8"/>
  <c r="AF15" i="8"/>
  <c r="AR15" i="8" s="1"/>
  <c r="H15" i="8" s="1"/>
  <c r="AM396" i="8"/>
  <c r="AK378" i="8"/>
  <c r="AK368" i="8"/>
  <c r="AE168" i="8"/>
  <c r="AQ168" i="8" s="1"/>
  <c r="G168" i="8" s="1"/>
  <c r="AI168" i="8"/>
  <c r="AG168" i="8"/>
  <c r="AS168" i="8" s="1"/>
  <c r="I168" i="8" s="1"/>
  <c r="AK168" i="8"/>
  <c r="AI143" i="8"/>
  <c r="AK143" i="8"/>
  <c r="AE143" i="8"/>
  <c r="AQ143" i="8" s="1"/>
  <c r="G143" i="8" s="1"/>
  <c r="AG143" i="8"/>
  <c r="AS143" i="8" s="1"/>
  <c r="I143" i="8" s="1"/>
  <c r="V143" i="8"/>
  <c r="AG116" i="8"/>
  <c r="AS116" i="8" s="1"/>
  <c r="I116" i="8" s="1"/>
  <c r="AI116" i="8"/>
  <c r="AK116" i="8"/>
  <c r="V116" i="8"/>
  <c r="AM116" i="8"/>
  <c r="AB93" i="8"/>
  <c r="AG93" i="8"/>
  <c r="AS93" i="8" s="1"/>
  <c r="I93" i="8" s="1"/>
  <c r="V93" i="8"/>
  <c r="AI93" i="8"/>
  <c r="AG64" i="8"/>
  <c r="AS64" i="8" s="1"/>
  <c r="I64" i="8" s="1"/>
  <c r="AB64" i="8"/>
  <c r="AF64" i="8"/>
  <c r="AR64" i="8" s="1"/>
  <c r="H64" i="8" s="1"/>
  <c r="AI64" i="8"/>
  <c r="V64" i="8"/>
  <c r="AG233" i="8"/>
  <c r="AS233" i="8" s="1"/>
  <c r="I233" i="8" s="1"/>
  <c r="AI233" i="8"/>
  <c r="AK233" i="8"/>
  <c r="AI159" i="8"/>
  <c r="AK159" i="8"/>
  <c r="AF159" i="8"/>
  <c r="AR159" i="8" s="1"/>
  <c r="H159" i="8" s="1"/>
  <c r="AG22" i="8"/>
  <c r="AS22" i="8" s="1"/>
  <c r="I22" i="8" s="1"/>
  <c r="AI22" i="8"/>
  <c r="AK22" i="8"/>
  <c r="AI14" i="8"/>
  <c r="AF14" i="8"/>
  <c r="AK14" i="8"/>
  <c r="AE14" i="8"/>
  <c r="AG14" i="8"/>
  <c r="AS14" i="8" s="1"/>
  <c r="I14" i="8" s="1"/>
  <c r="S14" i="8"/>
  <c r="T14" i="8"/>
  <c r="AL401" i="8"/>
  <c r="AX401" i="8" s="1"/>
  <c r="N401" i="8" s="1"/>
  <c r="AF401" i="8"/>
  <c r="AR401" i="8" s="1"/>
  <c r="H401" i="8" s="1"/>
  <c r="AG401" i="8"/>
  <c r="AS401" i="8" s="1"/>
  <c r="I401" i="8" s="1"/>
  <c r="AA401" i="8"/>
  <c r="AY401" i="8" s="1"/>
  <c r="AI401" i="8"/>
  <c r="AU401" i="8" s="1"/>
  <c r="K401" i="8" s="1"/>
  <c r="AE330" i="8"/>
  <c r="AQ330" i="8" s="1"/>
  <c r="G330" i="8" s="1"/>
  <c r="AA330" i="8"/>
  <c r="AK330" i="8"/>
  <c r="AL330" i="8"/>
  <c r="AX330" i="8" s="1"/>
  <c r="N330" i="8" s="1"/>
  <c r="AI278" i="8"/>
  <c r="AF278" i="8"/>
  <c r="AR278" i="8" s="1"/>
  <c r="H278" i="8" s="1"/>
  <c r="AG278" i="8"/>
  <c r="AS278" i="8" s="1"/>
  <c r="I278" i="8" s="1"/>
  <c r="AK92" i="8"/>
  <c r="AG92" i="8"/>
  <c r="AS92" i="8" s="1"/>
  <c r="I92" i="8" s="1"/>
  <c r="AB92" i="8"/>
  <c r="AI92" i="8"/>
  <c r="S92" i="8"/>
  <c r="AE92" i="8"/>
  <c r="Z92" i="8"/>
  <c r="AE119" i="8"/>
  <c r="AQ119" i="8" s="1"/>
  <c r="G119" i="8" s="1"/>
  <c r="AI119" i="8"/>
  <c r="W119" i="8"/>
  <c r="AI105" i="8"/>
  <c r="AB105" i="8"/>
  <c r="X105" i="8"/>
  <c r="AM105" i="8"/>
  <c r="V105" i="8"/>
  <c r="AE105" i="8"/>
  <c r="AE396" i="8"/>
  <c r="AQ396" i="8" s="1"/>
  <c r="G396" i="8" s="1"/>
  <c r="AI396" i="8"/>
  <c r="AU396" i="8" s="1"/>
  <c r="K396" i="8" s="1"/>
  <c r="AA396" i="8"/>
  <c r="AF396" i="8"/>
  <c r="AR396" i="8" s="1"/>
  <c r="H396" i="8" s="1"/>
  <c r="AG396" i="8"/>
  <c r="AK358" i="8"/>
  <c r="AE358" i="8"/>
  <c r="AQ358" i="8" s="1"/>
  <c r="G358" i="8" s="1"/>
  <c r="AA325" i="8"/>
  <c r="AE325" i="8"/>
  <c r="AQ325" i="8" s="1"/>
  <c r="G325" i="8" s="1"/>
  <c r="AF325" i="8"/>
  <c r="AR325" i="8" s="1"/>
  <c r="H325" i="8" s="1"/>
  <c r="AK325" i="8"/>
  <c r="AM268" i="8"/>
  <c r="AI172" i="8"/>
  <c r="AF172" i="8"/>
  <c r="AR172" i="8" s="1"/>
  <c r="H172" i="8" s="1"/>
  <c r="AE172" i="8"/>
  <c r="S172" i="8"/>
  <c r="AI153" i="8"/>
  <c r="AG153" i="8"/>
  <c r="AS153" i="8" s="1"/>
  <c r="I153" i="8" s="1"/>
  <c r="AK153" i="8"/>
  <c r="X153" i="8"/>
  <c r="AE150" i="8"/>
  <c r="AQ150" i="8" s="1"/>
  <c r="G150" i="8" s="1"/>
  <c r="AG150" i="8"/>
  <c r="AS150" i="8" s="1"/>
  <c r="I150" i="8" s="1"/>
  <c r="AI150" i="8"/>
  <c r="AU150" i="8" s="1"/>
  <c r="K150" i="8" s="1"/>
  <c r="AK150" i="8"/>
  <c r="AM108" i="8"/>
  <c r="AG77" i="8"/>
  <c r="AS77" i="8" s="1"/>
  <c r="I77" i="8" s="1"/>
  <c r="AB77" i="8"/>
  <c r="AK77" i="8"/>
  <c r="AE77" i="8"/>
  <c r="AQ77" i="8" s="1"/>
  <c r="G77" i="8" s="1"/>
  <c r="V77" i="8"/>
  <c r="AM77" i="8"/>
  <c r="AM19" i="8"/>
  <c r="AE19" i="8"/>
  <c r="AQ19" i="8" s="1"/>
  <c r="G19" i="8" s="1"/>
  <c r="AF19" i="8"/>
  <c r="AR19" i="8" s="1"/>
  <c r="H19" i="8" s="1"/>
  <c r="AG19" i="8"/>
  <c r="AS19" i="8" s="1"/>
  <c r="I19" i="8" s="1"/>
  <c r="AK19" i="8"/>
  <c r="AI9" i="8"/>
  <c r="AK9" i="8"/>
  <c r="AL405" i="8"/>
  <c r="AX405" i="8" s="1"/>
  <c r="N405" i="8" s="1"/>
  <c r="AL403" i="8"/>
  <c r="AX403" i="8" s="1"/>
  <c r="N403" i="8" s="1"/>
  <c r="AL345" i="8"/>
  <c r="AX345" i="8" s="1"/>
  <c r="N345" i="8" s="1"/>
  <c r="AA345" i="8"/>
  <c r="AE345" i="8"/>
  <c r="AQ345" i="8" s="1"/>
  <c r="G345" i="8" s="1"/>
  <c r="AF345" i="8"/>
  <c r="AR345" i="8" s="1"/>
  <c r="H345" i="8" s="1"/>
  <c r="AE336" i="8"/>
  <c r="AQ336" i="8" s="1"/>
  <c r="G336" i="8" s="1"/>
  <c r="AA336" i="8"/>
  <c r="AG293" i="8"/>
  <c r="AS293" i="8" s="1"/>
  <c r="I293" i="8" s="1"/>
  <c r="AK293" i="8"/>
  <c r="AE293" i="8"/>
  <c r="AQ293" i="8" s="1"/>
  <c r="G293" i="8" s="1"/>
  <c r="AI252" i="8"/>
  <c r="AF252" i="8"/>
  <c r="AR252" i="8" s="1"/>
  <c r="H252" i="8" s="1"/>
  <c r="AF219" i="8"/>
  <c r="AR219" i="8" s="1"/>
  <c r="H219" i="8" s="1"/>
  <c r="AE219" i="8"/>
  <c r="AQ219" i="8" s="1"/>
  <c r="G219" i="8" s="1"/>
  <c r="AK219" i="8"/>
  <c r="AM215" i="8"/>
  <c r="AK215" i="8"/>
  <c r="AG215" i="8"/>
  <c r="AS215" i="8" s="1"/>
  <c r="I215" i="8" s="1"/>
  <c r="AK129" i="8"/>
  <c r="AE129" i="8"/>
  <c r="AQ129" i="8" s="1"/>
  <c r="G129" i="8" s="1"/>
  <c r="AG129" i="8"/>
  <c r="AS129" i="8" s="1"/>
  <c r="I129" i="8" s="1"/>
  <c r="AK114" i="8"/>
  <c r="AI39" i="8"/>
  <c r="AG39" i="8"/>
  <c r="AS39" i="8" s="1"/>
  <c r="I39" i="8" s="1"/>
  <c r="T39" i="8"/>
  <c r="AE39" i="8"/>
  <c r="AQ39" i="8" s="1"/>
  <c r="G39" i="8" s="1"/>
  <c r="AK39" i="8"/>
  <c r="AG405" i="8"/>
  <c r="AS405" i="8" s="1"/>
  <c r="I405" i="8" s="1"/>
  <c r="AO401" i="8"/>
  <c r="AD400" i="8"/>
  <c r="AP400" i="8" s="1"/>
  <c r="F400" i="8" s="1"/>
  <c r="AE369" i="8"/>
  <c r="AQ369" i="8" s="1"/>
  <c r="G369" i="8" s="1"/>
  <c r="AK357" i="8"/>
  <c r="AE347" i="8"/>
  <c r="AQ347" i="8" s="1"/>
  <c r="AF347" i="8"/>
  <c r="AA347" i="8"/>
  <c r="AK347" i="8"/>
  <c r="AK344" i="8"/>
  <c r="AA334" i="8"/>
  <c r="AF334" i="8"/>
  <c r="AR334" i="8" s="1"/>
  <c r="H334" i="8" s="1"/>
  <c r="AK334" i="8"/>
  <c r="AK331" i="8"/>
  <c r="AK283" i="8"/>
  <c r="AW283" i="8" s="1"/>
  <c r="M283" i="8" s="1"/>
  <c r="AE283" i="8"/>
  <c r="AQ283" i="8" s="1"/>
  <c r="G283" i="8" s="1"/>
  <c r="AF283" i="8"/>
  <c r="AR283" i="8" s="1"/>
  <c r="H283" i="8" s="1"/>
  <c r="AI266" i="8"/>
  <c r="AJ266" i="8"/>
  <c r="AV266" i="8" s="1"/>
  <c r="L266" i="8" s="1"/>
  <c r="AE266" i="8"/>
  <c r="AQ266" i="8" s="1"/>
  <c r="G266" i="8" s="1"/>
  <c r="AF266" i="8"/>
  <c r="AR266" i="8" s="1"/>
  <c r="H266" i="8" s="1"/>
  <c r="AG266" i="8"/>
  <c r="AS266" i="8" s="1"/>
  <c r="I266" i="8" s="1"/>
  <c r="AK266" i="8"/>
  <c r="AI254" i="8"/>
  <c r="AK217" i="8"/>
  <c r="AG217" i="8"/>
  <c r="AS217" i="8" s="1"/>
  <c r="I217" i="8" s="1"/>
  <c r="T217" i="8"/>
  <c r="AI187" i="8"/>
  <c r="AM174" i="8"/>
  <c r="AE163" i="8"/>
  <c r="AQ163" i="8" s="1"/>
  <c r="G163" i="8" s="1"/>
  <c r="AI163" i="8"/>
  <c r="AK163" i="8"/>
  <c r="U163" i="8"/>
  <c r="V163" i="8"/>
  <c r="AG163" i="8"/>
  <c r="AE76" i="8"/>
  <c r="AB76" i="8"/>
  <c r="AG76" i="8"/>
  <c r="AS76" i="8" s="1"/>
  <c r="I76" i="8" s="1"/>
  <c r="AI76" i="8"/>
  <c r="AK76" i="8"/>
  <c r="S76" i="8"/>
  <c r="T76" i="8"/>
  <c r="AB73" i="8"/>
  <c r="AG73" i="8"/>
  <c r="AS73" i="8" s="1"/>
  <c r="I73" i="8" s="1"/>
  <c r="X73" i="8"/>
  <c r="AI73" i="8"/>
  <c r="AE73" i="8"/>
  <c r="AQ73" i="8" s="1"/>
  <c r="G73" i="8" s="1"/>
  <c r="T73" i="8"/>
  <c r="AK73" i="8"/>
  <c r="AI190" i="8"/>
  <c r="AE190" i="8"/>
  <c r="AQ190" i="8" s="1"/>
  <c r="G190" i="8" s="1"/>
  <c r="AM185" i="8"/>
  <c r="AI185" i="8"/>
  <c r="AE185" i="8"/>
  <c r="AQ185" i="8" s="1"/>
  <c r="G185" i="8" s="1"/>
  <c r="AM169" i="8"/>
  <c r="AG166" i="8"/>
  <c r="AS166" i="8" s="1"/>
  <c r="I166" i="8" s="1"/>
  <c r="AK166" i="8"/>
  <c r="AG154" i="8"/>
  <c r="AS154" i="8" s="1"/>
  <c r="I154" i="8" s="1"/>
  <c r="AI154" i="8"/>
  <c r="AU154" i="8" s="1"/>
  <c r="K154" i="8" s="1"/>
  <c r="AM154" i="8"/>
  <c r="AE151" i="8"/>
  <c r="AQ151" i="8" s="1"/>
  <c r="G151" i="8" s="1"/>
  <c r="AK139" i="8"/>
  <c r="AK132" i="8"/>
  <c r="AF125" i="8"/>
  <c r="AR125" i="8" s="1"/>
  <c r="H125" i="8" s="1"/>
  <c r="AG125" i="8"/>
  <c r="AS125" i="8" s="1"/>
  <c r="I125" i="8" s="1"/>
  <c r="AK125" i="8"/>
  <c r="AE125" i="8"/>
  <c r="AQ125" i="8" s="1"/>
  <c r="G125" i="8" s="1"/>
  <c r="Z125" i="8"/>
  <c r="AE120" i="8"/>
  <c r="AQ120" i="8" s="1"/>
  <c r="G120" i="8" s="1"/>
  <c r="AA120" i="8"/>
  <c r="AK98" i="8"/>
  <c r="AB98" i="8"/>
  <c r="AE98" i="8"/>
  <c r="S98" i="8"/>
  <c r="T98" i="8"/>
  <c r="AG78" i="8"/>
  <c r="AS78" i="8" s="1"/>
  <c r="I78" i="8" s="1"/>
  <c r="AE78" i="8"/>
  <c r="AQ78" i="8" s="1"/>
  <c r="G78" i="8" s="1"/>
  <c r="AB78" i="8"/>
  <c r="AE61" i="8"/>
  <c r="AB61" i="8"/>
  <c r="AZ61" i="8" s="1"/>
  <c r="AE53" i="8"/>
  <c r="AQ53" i="8" s="1"/>
  <c r="G53" i="8" s="1"/>
  <c r="AB53" i="8"/>
  <c r="AG51" i="8"/>
  <c r="AS51" i="8" s="1"/>
  <c r="I51" i="8" s="1"/>
  <c r="AB51" i="8"/>
  <c r="AE51" i="8"/>
  <c r="AI46" i="8"/>
  <c r="AE46" i="8"/>
  <c r="AQ46" i="8" s="1"/>
  <c r="G46" i="8" s="1"/>
  <c r="AB46" i="8"/>
  <c r="AK46" i="8"/>
  <c r="V46" i="8"/>
  <c r="AF24" i="8"/>
  <c r="AR24" i="8" s="1"/>
  <c r="H24" i="8" s="1"/>
  <c r="AL16" i="8"/>
  <c r="AI16" i="8"/>
  <c r="AF16" i="8"/>
  <c r="AR16" i="8" s="1"/>
  <c r="H16" i="8" s="1"/>
  <c r="AK6" i="8"/>
  <c r="AE6" i="8"/>
  <c r="AQ6" i="8" s="1"/>
  <c r="G6" i="8" s="1"/>
  <c r="AB6" i="8"/>
  <c r="AG6" i="8"/>
  <c r="AS6" i="8" s="1"/>
  <c r="I6" i="8" s="1"/>
  <c r="AE324" i="8"/>
  <c r="AQ324" i="8" s="1"/>
  <c r="G324" i="8" s="1"/>
  <c r="AF324" i="8"/>
  <c r="AR324" i="8" s="1"/>
  <c r="H324" i="8" s="1"/>
  <c r="AA324" i="8"/>
  <c r="AG282" i="8"/>
  <c r="AS282" i="8" s="1"/>
  <c r="I282" i="8" s="1"/>
  <c r="AK265" i="8"/>
  <c r="AJ265" i="8"/>
  <c r="AE265" i="8"/>
  <c r="AQ265" i="8" s="1"/>
  <c r="G265" i="8" s="1"/>
  <c r="AK248" i="8"/>
  <c r="AG228" i="8"/>
  <c r="AS228" i="8" s="1"/>
  <c r="I228" i="8" s="1"/>
  <c r="AE223" i="8"/>
  <c r="AQ223" i="8" s="1"/>
  <c r="G223" i="8" s="1"/>
  <c r="AK223" i="8"/>
  <c r="AE211" i="8"/>
  <c r="AQ211" i="8" s="1"/>
  <c r="G211" i="8" s="1"/>
  <c r="AM211" i="8"/>
  <c r="AI206" i="8"/>
  <c r="AF195" i="8"/>
  <c r="AR195" i="8" s="1"/>
  <c r="H195" i="8" s="1"/>
  <c r="AI195" i="8"/>
  <c r="AA195" i="8"/>
  <c r="AK189" i="8"/>
  <c r="AK188" i="8"/>
  <c r="AE181" i="8"/>
  <c r="AQ181" i="8" s="1"/>
  <c r="G181" i="8" s="1"/>
  <c r="AM181" i="8"/>
  <c r="AI178" i="8"/>
  <c r="AE178" i="8"/>
  <c r="AQ178" i="8" s="1"/>
  <c r="G178" i="8" s="1"/>
  <c r="AK149" i="8"/>
  <c r="AJ149" i="8"/>
  <c r="AV149" i="8" s="1"/>
  <c r="L149" i="8" s="1"/>
  <c r="AK118" i="8"/>
  <c r="AG104" i="8"/>
  <c r="AS104" i="8" s="1"/>
  <c r="I104" i="8" s="1"/>
  <c r="AB104" i="8"/>
  <c r="AM104" i="8"/>
  <c r="AG99" i="8"/>
  <c r="AG81" i="8"/>
  <c r="AK59" i="8"/>
  <c r="AB59" i="8"/>
  <c r="U59" i="8"/>
  <c r="V59" i="8"/>
  <c r="AE56" i="8"/>
  <c r="AB56" i="8"/>
  <c r="S56" i="8"/>
  <c r="T56" i="8"/>
  <c r="AK45" i="8"/>
  <c r="AG26" i="8"/>
  <c r="AS26" i="8" s="1"/>
  <c r="I26" i="8" s="1"/>
  <c r="AG4" i="8"/>
  <c r="AS4" i="8" s="1"/>
  <c r="I4" i="8" s="1"/>
  <c r="AK4" i="8"/>
  <c r="AK24" i="8"/>
  <c r="AB190" i="8"/>
  <c r="V185" i="8"/>
  <c r="V151" i="8"/>
  <c r="S61" i="8"/>
  <c r="T51" i="8"/>
  <c r="AL399" i="8"/>
  <c r="AX399" i="8" s="1"/>
  <c r="N399" i="8" s="1"/>
  <c r="AH385" i="8"/>
  <c r="AT385" i="8" s="1"/>
  <c r="J385" i="8" s="1"/>
  <c r="AI385" i="8"/>
  <c r="AU385" i="8" s="1"/>
  <c r="K385" i="8" s="1"/>
  <c r="AA385" i="8"/>
  <c r="AY385" i="8" s="1"/>
  <c r="AG382" i="8"/>
  <c r="AS382" i="8" s="1"/>
  <c r="I382" i="8" s="1"/>
  <c r="AL382" i="8"/>
  <c r="AX382" i="8" s="1"/>
  <c r="N382" i="8" s="1"/>
  <c r="AA382" i="8"/>
  <c r="AK371" i="8"/>
  <c r="AE370" i="8"/>
  <c r="AQ370" i="8" s="1"/>
  <c r="G370" i="8" s="1"/>
  <c r="AK362" i="8"/>
  <c r="AE361" i="8"/>
  <c r="AQ361" i="8" s="1"/>
  <c r="G361" i="8" s="1"/>
  <c r="AK352" i="8"/>
  <c r="AE349" i="8"/>
  <c r="AQ349" i="8" s="1"/>
  <c r="G349" i="8" s="1"/>
  <c r="AK349" i="8"/>
  <c r="AA349" i="8"/>
  <c r="AL338" i="8"/>
  <c r="AX338" i="8" s="1"/>
  <c r="N338" i="8" s="1"/>
  <c r="AK321" i="8"/>
  <c r="AA321" i="8"/>
  <c r="AE318" i="8"/>
  <c r="AQ318" i="8" s="1"/>
  <c r="G318" i="8" s="1"/>
  <c r="AA318" i="8"/>
  <c r="AK316" i="8"/>
  <c r="AE312" i="8"/>
  <c r="AQ312" i="8" s="1"/>
  <c r="G312" i="8" s="1"/>
  <c r="AK301" i="8"/>
  <c r="AI301" i="8"/>
  <c r="AE298" i="8"/>
  <c r="AQ298" i="8" s="1"/>
  <c r="G298" i="8" s="1"/>
  <c r="AK295" i="8"/>
  <c r="AE295" i="8"/>
  <c r="AQ295" i="8" s="1"/>
  <c r="G295" i="8" s="1"/>
  <c r="AE286" i="8"/>
  <c r="AQ286" i="8" s="1"/>
  <c r="G286" i="8" s="1"/>
  <c r="AK284" i="8"/>
  <c r="AK281" i="8"/>
  <c r="AE277" i="8"/>
  <c r="AQ277" i="8" s="1"/>
  <c r="G277" i="8" s="1"/>
  <c r="AI271" i="8"/>
  <c r="AK264" i="8"/>
  <c r="AK263" i="8"/>
  <c r="AL263" i="8"/>
  <c r="AM236" i="8"/>
  <c r="AI234" i="8"/>
  <c r="AM232" i="8"/>
  <c r="AK227" i="8"/>
  <c r="AM214" i="8"/>
  <c r="AI209" i="8"/>
  <c r="AG198" i="8"/>
  <c r="AS198" i="8" s="1"/>
  <c r="I198" i="8" s="1"/>
  <c r="AI198" i="8"/>
  <c r="AU198" i="8" s="1"/>
  <c r="K198" i="8" s="1"/>
  <c r="AA198" i="8"/>
  <c r="AY198" i="8" s="1"/>
  <c r="AE193" i="8"/>
  <c r="AQ193" i="8" s="1"/>
  <c r="G193" i="8" s="1"/>
  <c r="AI189" i="8"/>
  <c r="AF167" i="8"/>
  <c r="AR167" i="8" s="1"/>
  <c r="H167" i="8" s="1"/>
  <c r="AI167" i="8"/>
  <c r="AK167" i="8"/>
  <c r="AM167" i="8"/>
  <c r="AM162" i="8"/>
  <c r="AK155" i="8"/>
  <c r="AI152" i="8"/>
  <c r="AF152" i="8"/>
  <c r="AR152" i="8" s="1"/>
  <c r="H152" i="8" s="1"/>
  <c r="AG152" i="8"/>
  <c r="AS152" i="8" s="1"/>
  <c r="I152" i="8" s="1"/>
  <c r="AK141" i="8"/>
  <c r="AK135" i="8"/>
  <c r="AI135" i="8"/>
  <c r="AM109" i="8"/>
  <c r="AM106" i="8"/>
  <c r="AY106" i="8" s="1"/>
  <c r="O106" i="8" s="1"/>
  <c r="AE99" i="8"/>
  <c r="AQ99" i="8" s="1"/>
  <c r="G99" i="8" s="1"/>
  <c r="AG96" i="8"/>
  <c r="AS96" i="8" s="1"/>
  <c r="I96" i="8" s="1"/>
  <c r="AE96" i="8"/>
  <c r="AB96" i="8"/>
  <c r="S96" i="8"/>
  <c r="AE84" i="8"/>
  <c r="AQ84" i="8" s="1"/>
  <c r="G84" i="8" s="1"/>
  <c r="AE81" i="8"/>
  <c r="AQ81" i="8" s="1"/>
  <c r="G81" i="8" s="1"/>
  <c r="AI71" i="8"/>
  <c r="AB71" i="8"/>
  <c r="V71" i="8"/>
  <c r="AE69" i="8"/>
  <c r="AQ69" i="8" s="1"/>
  <c r="G69" i="8" s="1"/>
  <c r="AI69" i="8"/>
  <c r="AG69" i="8"/>
  <c r="AB69" i="8"/>
  <c r="T69" i="8"/>
  <c r="U69" i="8"/>
  <c r="AO38" i="8"/>
  <c r="AK32" i="8"/>
  <c r="AI25" i="8"/>
  <c r="U185" i="8"/>
  <c r="AB169" i="8"/>
  <c r="X154" i="8"/>
  <c r="U151" i="8"/>
  <c r="V132" i="8"/>
  <c r="V125" i="8"/>
  <c r="AA98" i="8"/>
  <c r="S51" i="8"/>
  <c r="AL406" i="8"/>
  <c r="AX406" i="8" s="1"/>
  <c r="N406" i="8" s="1"/>
  <c r="AA406" i="8"/>
  <c r="AF402" i="8"/>
  <c r="AR402" i="8" s="1"/>
  <c r="H402" i="8" s="1"/>
  <c r="AG402" i="8"/>
  <c r="AS402" i="8" s="1"/>
  <c r="I402" i="8" s="1"/>
  <c r="AA402" i="8"/>
  <c r="AY402" i="8" s="1"/>
  <c r="AF395" i="8"/>
  <c r="AR395" i="8" s="1"/>
  <c r="H395" i="8" s="1"/>
  <c r="AI395" i="8"/>
  <c r="AU395" i="8" s="1"/>
  <c r="K395" i="8" s="1"/>
  <c r="AA395" i="8"/>
  <c r="AL391" i="8"/>
  <c r="AX391" i="8" s="1"/>
  <c r="N391" i="8" s="1"/>
  <c r="AA391" i="8"/>
  <c r="AE379" i="8"/>
  <c r="AQ379" i="8" s="1"/>
  <c r="G379" i="8" s="1"/>
  <c r="AE355" i="8"/>
  <c r="AQ355" i="8" s="1"/>
  <c r="G355" i="8" s="1"/>
  <c r="AK338" i="8"/>
  <c r="AK327" i="8"/>
  <c r="AA327" i="8"/>
  <c r="AL315" i="8"/>
  <c r="AF315" i="8"/>
  <c r="AR315" i="8" s="1"/>
  <c r="H315" i="8" s="1"/>
  <c r="AA315" i="8"/>
  <c r="AK307" i="8"/>
  <c r="AG292" i="8"/>
  <c r="AS292" i="8" s="1"/>
  <c r="I292" i="8" s="1"/>
  <c r="AK292" i="8"/>
  <c r="AI260" i="8"/>
  <c r="AL232" i="8"/>
  <c r="AX232" i="8" s="1"/>
  <c r="N232" i="8" s="1"/>
  <c r="AM224" i="8"/>
  <c r="AF220" i="8"/>
  <c r="AR220" i="8" s="1"/>
  <c r="H220" i="8" s="1"/>
  <c r="AI208" i="8"/>
  <c r="AU208" i="8" s="1"/>
  <c r="K208" i="8" s="1"/>
  <c r="AM208" i="8"/>
  <c r="AA208" i="8"/>
  <c r="AN185" i="8"/>
  <c r="AZ185" i="8" s="1"/>
  <c r="P185" i="8" s="1"/>
  <c r="AM180" i="8"/>
  <c r="AK175" i="8"/>
  <c r="AI175" i="8"/>
  <c r="AE175" i="8"/>
  <c r="AQ175" i="8" s="1"/>
  <c r="G175" i="8" s="1"/>
  <c r="AM175" i="8"/>
  <c r="AG131" i="8"/>
  <c r="AS131" i="8" s="1"/>
  <c r="I131" i="8" s="1"/>
  <c r="AK109" i="8"/>
  <c r="AB102" i="8"/>
  <c r="U102" i="8"/>
  <c r="AG102" i="8"/>
  <c r="V102" i="8"/>
  <c r="AI79" i="8"/>
  <c r="AB79" i="8"/>
  <c r="AE79" i="8"/>
  <c r="S79" i="8"/>
  <c r="AG54" i="8"/>
  <c r="AS54" i="8" s="1"/>
  <c r="I54" i="8" s="1"/>
  <c r="AI54" i="8"/>
  <c r="AB54" i="8"/>
  <c r="AE54" i="8"/>
  <c r="AF54" i="8"/>
  <c r="AR54" i="8" s="1"/>
  <c r="H54" i="8" s="1"/>
  <c r="S54" i="8"/>
  <c r="AI40" i="8"/>
  <c r="AI29" i="8"/>
  <c r="AK12" i="8"/>
  <c r="AF12" i="8"/>
  <c r="AR12" i="8" s="1"/>
  <c r="H12" i="8" s="1"/>
  <c r="AM12" i="8"/>
  <c r="AK312" i="8"/>
  <c r="AG286" i="8"/>
  <c r="AS286" i="8" s="1"/>
  <c r="I286" i="8" s="1"/>
  <c r="AE244" i="8"/>
  <c r="AQ244" i="8" s="1"/>
  <c r="G244" i="8" s="1"/>
  <c r="AI244" i="8"/>
  <c r="AG212" i="8"/>
  <c r="AS212" i="8" s="1"/>
  <c r="I212" i="8" s="1"/>
  <c r="AF206" i="8"/>
  <c r="AR206" i="8" s="1"/>
  <c r="H206" i="8" s="1"/>
  <c r="AG179" i="8"/>
  <c r="AS179" i="8" s="1"/>
  <c r="I179" i="8" s="1"/>
  <c r="AK179" i="8"/>
  <c r="AK169" i="8"/>
  <c r="AK99" i="8"/>
  <c r="AB99" i="8"/>
  <c r="AZ99" i="8" s="1"/>
  <c r="T99" i="8"/>
  <c r="U99" i="8"/>
  <c r="AE89" i="8"/>
  <c r="AQ89" i="8" s="1"/>
  <c r="G89" i="8" s="1"/>
  <c r="AK89" i="8"/>
  <c r="AB89" i="8"/>
  <c r="X89" i="8"/>
  <c r="AI89" i="8"/>
  <c r="AG84" i="8"/>
  <c r="AB84" i="8"/>
  <c r="U84" i="8"/>
  <c r="V84" i="8"/>
  <c r="T81" i="8"/>
  <c r="U81" i="8"/>
  <c r="AK78" i="8"/>
  <c r="AG45" i="8"/>
  <c r="AB45" i="8"/>
  <c r="U45" i="8"/>
  <c r="V45" i="8"/>
  <c r="AK42" i="8"/>
  <c r="AE42" i="8"/>
  <c r="AB42" i="8"/>
  <c r="AG42" i="8"/>
  <c r="AS42" i="8" s="1"/>
  <c r="I42" i="8" s="1"/>
  <c r="S42" i="8"/>
  <c r="T42" i="8"/>
  <c r="AE7" i="8"/>
  <c r="AQ7" i="8" s="1"/>
  <c r="G7" i="8" s="1"/>
  <c r="AI7" i="8"/>
  <c r="AB7" i="8"/>
  <c r="AI404" i="8"/>
  <c r="AU404" i="8" s="1"/>
  <c r="K404" i="8" s="1"/>
  <c r="AF404" i="8"/>
  <c r="AR404" i="8" s="1"/>
  <c r="H404" i="8" s="1"/>
  <c r="AG404" i="8"/>
  <c r="AS404" i="8" s="1"/>
  <c r="I404" i="8" s="1"/>
  <c r="AA404" i="8"/>
  <c r="AD397" i="8"/>
  <c r="AP397" i="8" s="1"/>
  <c r="F397" i="8" s="1"/>
  <c r="AI397" i="8"/>
  <c r="AU397" i="8" s="1"/>
  <c r="K397" i="8" s="1"/>
  <c r="AA397" i="8"/>
  <c r="AK377" i="8"/>
  <c r="AA350" i="8"/>
  <c r="AK324" i="8"/>
  <c r="AL322" i="8"/>
  <c r="AX322" i="8" s="1"/>
  <c r="N322" i="8" s="1"/>
  <c r="AA322" i="8"/>
  <c r="AK302" i="8"/>
  <c r="AG296" i="8"/>
  <c r="AS296" i="8" s="1"/>
  <c r="I296" i="8" s="1"/>
  <c r="AJ281" i="8"/>
  <c r="AG239" i="8"/>
  <c r="AS239" i="8" s="1"/>
  <c r="I239" i="8" s="1"/>
  <c r="AI228" i="8"/>
  <c r="AK211" i="8"/>
  <c r="AG209" i="8"/>
  <c r="AS209" i="8" s="1"/>
  <c r="I209" i="8" s="1"/>
  <c r="AG190" i="8"/>
  <c r="AS190" i="8" s="1"/>
  <c r="I190" i="8" s="1"/>
  <c r="AI188" i="8"/>
  <c r="AI181" i="8"/>
  <c r="AM178" i="8"/>
  <c r="AI176" i="8"/>
  <c r="AF176" i="8"/>
  <c r="AR176" i="8" s="1"/>
  <c r="H176" i="8" s="1"/>
  <c r="AI157" i="8"/>
  <c r="AM157" i="8"/>
  <c r="AF157" i="8"/>
  <c r="AR157" i="8" s="1"/>
  <c r="H157" i="8" s="1"/>
  <c r="AF154" i="8"/>
  <c r="AR154" i="8" s="1"/>
  <c r="H154" i="8" s="1"/>
  <c r="AK151" i="8"/>
  <c r="AI134" i="8"/>
  <c r="AI120" i="8"/>
  <c r="AU120" i="8" s="1"/>
  <c r="K120" i="8" s="1"/>
  <c r="AI118" i="8"/>
  <c r="AG109" i="8"/>
  <c r="AS109" i="8" s="1"/>
  <c r="I109" i="8" s="1"/>
  <c r="AB103" i="8"/>
  <c r="V103" i="8"/>
  <c r="AE87" i="8"/>
  <c r="AQ87" i="8" s="1"/>
  <c r="G87" i="8" s="1"/>
  <c r="AB87" i="8"/>
  <c r="AG70" i="8"/>
  <c r="AK70" i="8"/>
  <c r="AB70" i="8"/>
  <c r="U70" i="8"/>
  <c r="V70" i="8"/>
  <c r="AI65" i="8"/>
  <c r="AF65" i="8"/>
  <c r="AR65" i="8" s="1"/>
  <c r="H65" i="8" s="1"/>
  <c r="AB65" i="8"/>
  <c r="AI61" i="8"/>
  <c r="AG46" i="8"/>
  <c r="AS46" i="8" s="1"/>
  <c r="I46" i="8" s="1"/>
  <c r="AK26" i="8"/>
  <c r="AE25" i="8"/>
  <c r="AQ25" i="8" s="1"/>
  <c r="G25" i="8" s="1"/>
  <c r="AM18" i="8"/>
  <c r="AK18" i="8"/>
  <c r="AG13" i="8"/>
  <c r="AS13" i="8" s="1"/>
  <c r="I13" i="8" s="1"/>
  <c r="AI6" i="8"/>
  <c r="AF338" i="8"/>
  <c r="AR338" i="8" s="1"/>
  <c r="H338" i="8" s="1"/>
  <c r="AA338" i="8"/>
  <c r="AA316" i="8"/>
  <c r="AA313" i="8"/>
  <c r="AI282" i="8"/>
  <c r="AG270" i="8"/>
  <c r="AS270" i="8" s="1"/>
  <c r="I270" i="8" s="1"/>
  <c r="AI265" i="8"/>
  <c r="AI264" i="8"/>
  <c r="AG248" i="8"/>
  <c r="AS248" i="8" s="1"/>
  <c r="I248" i="8" s="1"/>
  <c r="AD236" i="8"/>
  <c r="AK236" i="8"/>
  <c r="AW236" i="8" s="1"/>
  <c r="M236" i="8" s="1"/>
  <c r="AG232" i="8"/>
  <c r="AS232" i="8" s="1"/>
  <c r="I232" i="8" s="1"/>
  <c r="AF207" i="8"/>
  <c r="AR207" i="8" s="1"/>
  <c r="H207" i="8" s="1"/>
  <c r="AI207" i="8"/>
  <c r="AA207" i="8"/>
  <c r="AY207" i="8" s="1"/>
  <c r="AF190" i="8"/>
  <c r="AR190" i="8" s="1"/>
  <c r="H190" i="8" s="1"/>
  <c r="AG185" i="8"/>
  <c r="AM182" i="8"/>
  <c r="AI180" i="8"/>
  <c r="AI151" i="8"/>
  <c r="AI144" i="8"/>
  <c r="AG141" i="8"/>
  <c r="AS141" i="8" s="1"/>
  <c r="I141" i="8" s="1"/>
  <c r="AG139" i="8"/>
  <c r="AS139" i="8" s="1"/>
  <c r="I139" i="8" s="1"/>
  <c r="AI125" i="8"/>
  <c r="AG120" i="8"/>
  <c r="AS120" i="8" s="1"/>
  <c r="I120" i="8" s="1"/>
  <c r="AI106" i="8"/>
  <c r="AK106" i="8"/>
  <c r="AB106" i="8"/>
  <c r="AI104" i="8"/>
  <c r="AE95" i="8"/>
  <c r="AQ95" i="8" s="1"/>
  <c r="G95" i="8" s="1"/>
  <c r="AI95" i="8"/>
  <c r="AB95" i="8"/>
  <c r="AG95" i="8"/>
  <c r="AS95" i="8" s="1"/>
  <c r="I95" i="8" s="1"/>
  <c r="AE63" i="8"/>
  <c r="AQ63" i="8" s="1"/>
  <c r="G63" i="8" s="1"/>
  <c r="AB63" i="8"/>
  <c r="AG53" i="8"/>
  <c r="AS53" i="8" s="1"/>
  <c r="I53" i="8" s="1"/>
  <c r="AF46" i="8"/>
  <c r="AR46" i="8" s="1"/>
  <c r="H46" i="8" s="1"/>
  <c r="AK40" i="8"/>
  <c r="AG40" i="8"/>
  <c r="AS40" i="8" s="1"/>
  <c r="I40" i="8" s="1"/>
  <c r="AM40" i="8"/>
  <c r="AB40" i="8"/>
  <c r="AE35" i="8"/>
  <c r="AQ35" i="8" s="1"/>
  <c r="G35" i="8" s="1"/>
  <c r="AL32" i="8"/>
  <c r="AA32" i="8"/>
  <c r="AF399" i="8"/>
  <c r="AR399" i="8" s="1"/>
  <c r="H399" i="8" s="1"/>
  <c r="AG399" i="8"/>
  <c r="AS399" i="8" s="1"/>
  <c r="I399" i="8" s="1"/>
  <c r="AA399" i="8"/>
  <c r="AY399" i="8" s="1"/>
  <c r="AK384" i="8"/>
  <c r="AW384" i="8" s="1"/>
  <c r="M384" i="8" s="1"/>
  <c r="AE384" i="8"/>
  <c r="AQ384" i="8" s="1"/>
  <c r="G384" i="8" s="1"/>
  <c r="AF384" i="8"/>
  <c r="AR384" i="8" s="1"/>
  <c r="H384" i="8" s="1"/>
  <c r="AA384" i="8"/>
  <c r="AY384" i="8" s="1"/>
  <c r="AE381" i="8"/>
  <c r="AQ381" i="8" s="1"/>
  <c r="G381" i="8" s="1"/>
  <c r="AE375" i="8"/>
  <c r="AQ375" i="8" s="1"/>
  <c r="G375" i="8" s="1"/>
  <c r="AE366" i="8"/>
  <c r="AQ366" i="8" s="1"/>
  <c r="G366" i="8" s="1"/>
  <c r="AF320" i="8"/>
  <c r="AR320" i="8" s="1"/>
  <c r="H320" i="8" s="1"/>
  <c r="AA320" i="8"/>
  <c r="AE300" i="8"/>
  <c r="AQ300" i="8" s="1"/>
  <c r="G300" i="8" s="1"/>
  <c r="AI287" i="8"/>
  <c r="AK287" i="8"/>
  <c r="AK280" i="8"/>
  <c r="AF273" i="8"/>
  <c r="AR273" i="8" s="1"/>
  <c r="H273" i="8" s="1"/>
  <c r="AE262" i="8"/>
  <c r="AQ262" i="8" s="1"/>
  <c r="G262" i="8" s="1"/>
  <c r="AG262" i="8"/>
  <c r="AS262" i="8" s="1"/>
  <c r="I262" i="8" s="1"/>
  <c r="AK259" i="8"/>
  <c r="AE256" i="8"/>
  <c r="AQ256" i="8" s="1"/>
  <c r="G256" i="8" s="1"/>
  <c r="AF248" i="8"/>
  <c r="AR248" i="8" s="1"/>
  <c r="H248" i="8" s="1"/>
  <c r="AG245" i="8"/>
  <c r="AS245" i="8" s="1"/>
  <c r="I245" i="8" s="1"/>
  <c r="AM227" i="8"/>
  <c r="AG227" i="8"/>
  <c r="AS227" i="8" s="1"/>
  <c r="I227" i="8" s="1"/>
  <c r="AG223" i="8"/>
  <c r="AS223" i="8" s="1"/>
  <c r="I223" i="8" s="1"/>
  <c r="AK222" i="8"/>
  <c r="AA222" i="8"/>
  <c r="AK214" i="8"/>
  <c r="AI214" i="8"/>
  <c r="AI211" i="8"/>
  <c r="AL206" i="8"/>
  <c r="AL202" i="8"/>
  <c r="AA199" i="8"/>
  <c r="AG195" i="8"/>
  <c r="AS195" i="8" s="1"/>
  <c r="I195" i="8" s="1"/>
  <c r="AG192" i="8"/>
  <c r="AS192" i="8" s="1"/>
  <c r="I192" i="8" s="1"/>
  <c r="AG181" i="8"/>
  <c r="AS181" i="8" s="1"/>
  <c r="I181" i="8" s="1"/>
  <c r="AK178" i="8"/>
  <c r="AG151" i="8"/>
  <c r="AG149" i="8"/>
  <c r="AS149" i="8" s="1"/>
  <c r="I149" i="8" s="1"/>
  <c r="AF146" i="8"/>
  <c r="AR146" i="8" s="1"/>
  <c r="H146" i="8" s="1"/>
  <c r="AI146" i="8"/>
  <c r="AG122" i="8"/>
  <c r="AS122" i="8" s="1"/>
  <c r="I122" i="8" s="1"/>
  <c r="AF120" i="8"/>
  <c r="AR120" i="8" s="1"/>
  <c r="H120" i="8" s="1"/>
  <c r="AG118" i="8"/>
  <c r="AS118" i="8" s="1"/>
  <c r="I118" i="8" s="1"/>
  <c r="AF115" i="8"/>
  <c r="AR115" i="8" s="1"/>
  <c r="H115" i="8" s="1"/>
  <c r="AE115" i="8"/>
  <c r="AQ115" i="8" s="1"/>
  <c r="G115" i="8" s="1"/>
  <c r="AE109" i="8"/>
  <c r="AQ109" i="8" s="1"/>
  <c r="G109" i="8" s="1"/>
  <c r="AB85" i="8"/>
  <c r="V85" i="8"/>
  <c r="AE85" i="8"/>
  <c r="AQ85" i="8" s="1"/>
  <c r="G85" i="8" s="1"/>
  <c r="AK81" i="8"/>
  <c r="AK80" i="8"/>
  <c r="AF80" i="8"/>
  <c r="AB80" i="8"/>
  <c r="S80" i="8"/>
  <c r="T80" i="8"/>
  <c r="AG59" i="8"/>
  <c r="AF51" i="8"/>
  <c r="AD38" i="8"/>
  <c r="AP38" i="8" s="1"/>
  <c r="F38" i="8" s="1"/>
  <c r="AG38" i="8"/>
  <c r="AS38" i="8" s="1"/>
  <c r="I38" i="8" s="1"/>
  <c r="AE38" i="8"/>
  <c r="AQ38" i="8" s="1"/>
  <c r="G38" i="8" s="1"/>
  <c r="AF38" i="8"/>
  <c r="AR38" i="8" s="1"/>
  <c r="H38" i="8" s="1"/>
  <c r="AA38" i="8"/>
  <c r="AA30" i="8"/>
  <c r="AI24" i="8"/>
  <c r="AA388" i="8"/>
  <c r="AY388" i="8" s="1"/>
  <c r="AA337" i="8"/>
  <c r="AA319" i="8"/>
  <c r="AA304" i="8"/>
  <c r="U57" i="8"/>
  <c r="AD388" i="8"/>
  <c r="AP388" i="8" s="1"/>
  <c r="F388" i="8" s="1"/>
  <c r="AK229" i="8"/>
  <c r="AG229" i="8"/>
  <c r="AS229" i="8" s="1"/>
  <c r="I229" i="8" s="1"/>
  <c r="AE218" i="8"/>
  <c r="AQ218" i="8" s="1"/>
  <c r="G218" i="8" s="1"/>
  <c r="AK210" i="8"/>
  <c r="AG197" i="8"/>
  <c r="AS197" i="8" s="1"/>
  <c r="I197" i="8" s="1"/>
  <c r="AI194" i="8"/>
  <c r="AI191" i="8"/>
  <c r="AI177" i="8"/>
  <c r="AI156" i="8"/>
  <c r="AI130" i="8"/>
  <c r="AE127" i="8"/>
  <c r="AQ127" i="8" s="1"/>
  <c r="G127" i="8" s="1"/>
  <c r="AI121" i="8"/>
  <c r="AI91" i="8"/>
  <c r="AG91" i="8"/>
  <c r="AS91" i="8" s="1"/>
  <c r="I91" i="8" s="1"/>
  <c r="AB91" i="8"/>
  <c r="AK72" i="8"/>
  <c r="AE72" i="8"/>
  <c r="AQ72" i="8" s="1"/>
  <c r="G72" i="8" s="1"/>
  <c r="AB72" i="8"/>
  <c r="AK60" i="8"/>
  <c r="AI60" i="8"/>
  <c r="AB60" i="8"/>
  <c r="AK41" i="8"/>
  <c r="AB41" i="8"/>
  <c r="AB5" i="8"/>
  <c r="AE269" i="8"/>
  <c r="AQ269" i="8" s="1"/>
  <c r="G269" i="8" s="1"/>
  <c r="AG269" i="8"/>
  <c r="AS269" i="8" s="1"/>
  <c r="I269" i="8" s="1"/>
  <c r="AE250" i="8"/>
  <c r="AQ250" i="8" s="1"/>
  <c r="G250" i="8" s="1"/>
  <c r="AF250" i="8"/>
  <c r="AR250" i="8" s="1"/>
  <c r="H250" i="8" s="1"/>
  <c r="AI246" i="8"/>
  <c r="AG246" i="8"/>
  <c r="AS246" i="8" s="1"/>
  <c r="I246" i="8" s="1"/>
  <c r="AI164" i="8"/>
  <c r="AF164" i="8"/>
  <c r="AR164" i="8" s="1"/>
  <c r="H164" i="8" s="1"/>
  <c r="AG148" i="8"/>
  <c r="AS148" i="8" s="1"/>
  <c r="I148" i="8" s="1"/>
  <c r="AG142" i="8"/>
  <c r="AS142" i="8" s="1"/>
  <c r="I142" i="8" s="1"/>
  <c r="AK142" i="8"/>
  <c r="AM110" i="8"/>
  <c r="AF110" i="8"/>
  <c r="AR110" i="8" s="1"/>
  <c r="H110" i="8" s="1"/>
  <c r="AK66" i="8"/>
  <c r="AG57" i="8"/>
  <c r="AE57" i="8"/>
  <c r="AQ57" i="8" s="1"/>
  <c r="G57" i="8" s="1"/>
  <c r="AB57" i="8"/>
  <c r="AK31" i="8"/>
  <c r="AK21" i="8"/>
  <c r="AK216" i="8"/>
  <c r="AI203" i="8"/>
  <c r="AI186" i="8"/>
  <c r="AM173" i="8"/>
  <c r="AI173" i="8"/>
  <c r="AU173" i="8" s="1"/>
  <c r="K173" i="8" s="1"/>
  <c r="AI97" i="8"/>
  <c r="AE83" i="8"/>
  <c r="AQ83" i="8" s="1"/>
  <c r="G83" i="8" s="1"/>
  <c r="AE75" i="8"/>
  <c r="AQ75" i="8" s="1"/>
  <c r="G75" i="8" s="1"/>
  <c r="AM75" i="8"/>
  <c r="BC227" i="1"/>
  <c r="BC363" i="1"/>
  <c r="BC51" i="1"/>
  <c r="BC362" i="1"/>
  <c r="BC30" i="1"/>
  <c r="BC105" i="1"/>
  <c r="BC386" i="1"/>
  <c r="H40" i="3"/>
  <c r="BC150" i="1"/>
  <c r="BC358" i="1"/>
  <c r="BC404" i="1"/>
  <c r="BC173" i="1"/>
  <c r="BC11" i="1"/>
  <c r="BC451" i="1"/>
  <c r="BC306" i="1"/>
  <c r="BC169" i="1"/>
  <c r="BC15" i="1"/>
  <c r="BC132" i="1"/>
  <c r="BC294" i="1"/>
  <c r="BC380" i="1"/>
  <c r="BC387" i="1"/>
  <c r="BC360" i="1"/>
  <c r="BC287" i="1"/>
  <c r="BC170" i="1"/>
  <c r="BC414" i="1"/>
  <c r="BC437" i="1"/>
  <c r="BC101" i="1"/>
  <c r="BC208" i="1"/>
  <c r="BC34" i="1"/>
  <c r="BC332" i="1"/>
  <c r="BC304" i="1"/>
  <c r="BC292" i="1"/>
  <c r="BC102" i="1"/>
  <c r="BC28" i="1"/>
  <c r="BC120" i="1"/>
  <c r="BC121" i="1"/>
  <c r="BC124" i="1"/>
  <c r="BC301" i="1"/>
  <c r="BC32" i="1"/>
  <c r="BC273" i="1"/>
  <c r="BC36" i="1"/>
  <c r="BC282" i="1"/>
  <c r="BC109" i="1"/>
  <c r="BC4" i="1"/>
  <c r="BC303" i="1"/>
  <c r="BC129" i="1"/>
  <c r="BC79" i="1"/>
  <c r="BC357" i="1"/>
  <c r="BC453" i="1"/>
  <c r="BC280" i="1"/>
  <c r="BC149" i="1"/>
  <c r="BC243" i="1"/>
  <c r="BC412" i="1"/>
  <c r="BC305" i="1"/>
  <c r="BC39" i="1"/>
  <c r="BC44" i="1"/>
  <c r="BC46" i="1"/>
  <c r="BC456" i="1"/>
  <c r="BC419" i="1"/>
  <c r="BC325" i="1"/>
  <c r="BC134" i="1"/>
  <c r="BC24" i="1"/>
  <c r="AN388" i="5"/>
  <c r="BC428" i="1"/>
  <c r="BC2" i="1"/>
  <c r="AN389" i="5"/>
  <c r="BC175" i="1"/>
  <c r="BC163" i="1"/>
  <c r="BC231" i="1"/>
  <c r="T27" i="4" a="1"/>
  <c r="T27" i="4" s="1"/>
  <c r="AC264" i="5" s="1"/>
  <c r="AL273" i="8" s="1"/>
  <c r="AX273" i="8" s="1"/>
  <c r="N273" i="8" s="1"/>
  <c r="U27" i="4" a="1"/>
  <c r="U27" i="4" s="1"/>
  <c r="AD264" i="5" s="1"/>
  <c r="U230" i="4" a="1"/>
  <c r="U230" i="4" s="1"/>
  <c r="AD220" i="5" s="1"/>
  <c r="U16" i="4" a="1"/>
  <c r="U16" i="4" s="1"/>
  <c r="AD183" i="5" s="1"/>
  <c r="T20" i="4" a="1"/>
  <c r="T20" i="4" s="1"/>
  <c r="AC187" i="5" s="1"/>
  <c r="U18" i="4" a="1"/>
  <c r="U18" i="4" s="1"/>
  <c r="AD185" i="5" s="1"/>
  <c r="U15" i="4" a="1"/>
  <c r="U15" i="4" s="1"/>
  <c r="AD181" i="5" s="1"/>
  <c r="AD54" i="2"/>
  <c r="AQ19" i="5"/>
  <c r="AS20" i="5"/>
  <c r="AK55" i="2"/>
  <c r="AD55" i="2"/>
  <c r="BC216" i="1"/>
  <c r="BC65" i="1"/>
  <c r="BC457" i="1"/>
  <c r="BC60" i="1"/>
  <c r="BC166" i="1"/>
  <c r="BC210" i="1"/>
  <c r="BC20" i="1"/>
  <c r="BC444" i="1"/>
  <c r="BC63" i="1"/>
  <c r="BC377" i="1"/>
  <c r="BC346" i="1"/>
  <c r="BC5" i="1"/>
  <c r="BC422" i="1"/>
  <c r="BC308" i="1"/>
  <c r="AS240" i="5"/>
  <c r="AK75" i="2"/>
  <c r="BC315" i="1"/>
  <c r="BC389" i="1"/>
  <c r="AQ299" i="5"/>
  <c r="AD59" i="2"/>
  <c r="AQ386" i="5"/>
  <c r="BC26" i="1"/>
  <c r="H6" i="13"/>
  <c r="G6" i="13"/>
  <c r="BC167" i="1"/>
  <c r="G28" i="3"/>
  <c r="T167" i="4" s="1" a="1"/>
  <c r="T167" i="4" s="1"/>
  <c r="AC247" i="5" s="1"/>
  <c r="AL258" i="8" s="1"/>
  <c r="AX258" i="8" s="1"/>
  <c r="N258" i="8" s="1"/>
  <c r="H28" i="3"/>
  <c r="U297" i="4" s="1" a="1"/>
  <c r="U297" i="4" s="1"/>
  <c r="AD272" i="5" s="1"/>
  <c r="G15" i="3"/>
  <c r="T63" i="4" s="1" a="1"/>
  <c r="T63" i="4" s="1"/>
  <c r="AC270" i="5" s="1"/>
  <c r="AL278" i="8" s="1"/>
  <c r="H15" i="3"/>
  <c r="U189" i="4" s="1" a="1"/>
  <c r="U189" i="4" s="1"/>
  <c r="AD167" i="5" s="1"/>
  <c r="BC203" i="1"/>
  <c r="G27" i="3"/>
  <c r="T45" i="4" s="1" a="1"/>
  <c r="T45" i="4" s="1"/>
  <c r="AC31" i="5" s="1"/>
  <c r="AL5" i="8" s="1"/>
  <c r="H27" i="3"/>
  <c r="U45" i="4" s="1" a="1"/>
  <c r="U45" i="4" s="1"/>
  <c r="AD31" i="5" s="1"/>
  <c r="G14" i="3"/>
  <c r="H14" i="3"/>
  <c r="BC343" i="1"/>
  <c r="G39" i="3"/>
  <c r="T108" i="4" s="1" a="1"/>
  <c r="T108" i="4" s="1"/>
  <c r="AC60" i="5" s="1"/>
  <c r="AL89" i="8" s="1"/>
  <c r="H39" i="3"/>
  <c r="U108" i="4" s="1" a="1"/>
  <c r="U108" i="4" s="1"/>
  <c r="AD60" i="5" s="1"/>
  <c r="G26" i="3"/>
  <c r="T191" i="4" s="1" a="1"/>
  <c r="T191" i="4" s="1"/>
  <c r="AC282" i="5" s="1"/>
  <c r="AL289" i="8" s="1"/>
  <c r="H26" i="3"/>
  <c r="U64" i="4" s="1" a="1"/>
  <c r="U64" i="4" s="1"/>
  <c r="AD3" i="5" s="1"/>
  <c r="G13" i="3"/>
  <c r="T245" i="4" s="1" a="1"/>
  <c r="T245" i="4" s="1"/>
  <c r="AC229" i="5" s="1"/>
  <c r="AL241" i="8" s="1"/>
  <c r="H13" i="3"/>
  <c r="AI66" i="2"/>
  <c r="D78" i="2"/>
  <c r="D108" i="4" s="1"/>
  <c r="E60" i="5" s="1"/>
  <c r="P78" i="2"/>
  <c r="P108" i="4" s="1"/>
  <c r="W60" i="5" s="1"/>
  <c r="AJ89" i="8" s="1"/>
  <c r="E78" i="2"/>
  <c r="E108" i="4" s="1"/>
  <c r="Q78" i="2"/>
  <c r="Q108" i="4" s="1"/>
  <c r="X60" i="5" s="1"/>
  <c r="F78" i="2"/>
  <c r="F108" i="4" s="1"/>
  <c r="R78" i="2"/>
  <c r="R108" i="4" s="1"/>
  <c r="G78" i="2"/>
  <c r="S78" i="2"/>
  <c r="S108" i="4" s="1"/>
  <c r="AA60" i="5" s="1"/>
  <c r="H78" i="2"/>
  <c r="H108" i="4" s="1"/>
  <c r="K60" i="5" s="1"/>
  <c r="T78" i="2"/>
  <c r="I78" i="2"/>
  <c r="I108" i="4" s="1"/>
  <c r="U78" i="2"/>
  <c r="J78" i="2"/>
  <c r="J108" i="4" s="1"/>
  <c r="V78" i="2"/>
  <c r="K78" i="2"/>
  <c r="W78" i="2"/>
  <c r="L78" i="2"/>
  <c r="L108" i="4" s="1"/>
  <c r="Q60" i="5" s="1"/>
  <c r="AH89" i="8" s="1"/>
  <c r="AT89" i="8" s="1"/>
  <c r="J89" i="8" s="1"/>
  <c r="X78" i="2"/>
  <c r="X108" i="4" s="1"/>
  <c r="AI60" i="5" s="1"/>
  <c r="AN89" i="8" s="1"/>
  <c r="M78" i="2"/>
  <c r="M108" i="4" s="1"/>
  <c r="R60" i="5" s="1"/>
  <c r="Y78" i="2"/>
  <c r="Y108" i="4" s="1"/>
  <c r="AJ60" i="5" s="1"/>
  <c r="N78" i="2"/>
  <c r="Z78" i="2"/>
  <c r="Z108" i="4" s="1"/>
  <c r="AL60" i="5" s="1"/>
  <c r="C78" i="2"/>
  <c r="C108" i="4" s="1"/>
  <c r="C60" i="5" s="1"/>
  <c r="R89" i="8" s="1"/>
  <c r="O78" i="2"/>
  <c r="BC350" i="1"/>
  <c r="G38" i="3"/>
  <c r="T115" i="4" s="1" a="1"/>
  <c r="T115" i="4" s="1"/>
  <c r="AC161" i="5" s="1"/>
  <c r="AL184" i="8" s="1"/>
  <c r="AX184" i="8" s="1"/>
  <c r="N184" i="8" s="1"/>
  <c r="H38" i="3"/>
  <c r="U115" i="4" s="1" a="1"/>
  <c r="U115" i="4" s="1"/>
  <c r="AD161" i="5" s="1"/>
  <c r="G24" i="3"/>
  <c r="H24" i="3"/>
  <c r="G12" i="3"/>
  <c r="T68" i="4" s="1" a="1"/>
  <c r="T68" i="4" s="1"/>
  <c r="AC165" i="5" s="1"/>
  <c r="AL188" i="8" s="1"/>
  <c r="H12" i="3"/>
  <c r="U67" i="4" s="1" a="1"/>
  <c r="U67" i="4" s="1"/>
  <c r="AD164" i="5" s="1"/>
  <c r="G37" i="3"/>
  <c r="T76" i="4" s="1" a="1"/>
  <c r="T76" i="4" s="1"/>
  <c r="AC115" i="5" s="1"/>
  <c r="AL143" i="8" s="1"/>
  <c r="AX143" i="8" s="1"/>
  <c r="N143" i="8" s="1"/>
  <c r="H37" i="3"/>
  <c r="U107" i="4" s="1" a="1"/>
  <c r="U107" i="4" s="1"/>
  <c r="AD59" i="5" s="1"/>
  <c r="G23" i="3"/>
  <c r="T275" i="4" s="1" a="1"/>
  <c r="T275" i="4" s="1"/>
  <c r="AC300" i="5" s="1"/>
  <c r="H23" i="3"/>
  <c r="G11" i="3"/>
  <c r="H11" i="3"/>
  <c r="U237" i="4" s="1" a="1"/>
  <c r="U237" i="4" s="1"/>
  <c r="AD104" i="5" s="1"/>
  <c r="BC95" i="1"/>
  <c r="G36" i="3"/>
  <c r="T104" i="4" s="1" a="1"/>
  <c r="T104" i="4" s="1"/>
  <c r="AC56" i="5" s="1"/>
  <c r="AL85" i="8" s="1"/>
  <c r="H36" i="3"/>
  <c r="U28" i="4" s="1" a="1"/>
  <c r="U28" i="4" s="1"/>
  <c r="AD97" i="5" s="1"/>
  <c r="G22" i="3"/>
  <c r="H22" i="3"/>
  <c r="G10" i="3"/>
  <c r="I10" i="3" s="1"/>
  <c r="H10" i="3"/>
  <c r="J10" i="3" s="1"/>
  <c r="D79" i="2"/>
  <c r="D314" i="4" s="1"/>
  <c r="E313" i="5" s="1"/>
  <c r="P79" i="2"/>
  <c r="E79" i="2"/>
  <c r="Q79" i="2"/>
  <c r="F79" i="2"/>
  <c r="R79" i="2"/>
  <c r="G79" i="2"/>
  <c r="S79" i="2"/>
  <c r="S315" i="4" s="1"/>
  <c r="AA316" i="5" s="1"/>
  <c r="H79" i="2"/>
  <c r="T79" i="2"/>
  <c r="I79" i="2"/>
  <c r="U79" i="2"/>
  <c r="J79" i="2"/>
  <c r="J314" i="4" s="1"/>
  <c r="N313" i="5" s="1"/>
  <c r="V79" i="2"/>
  <c r="V339" i="4" s="1"/>
  <c r="AF319" i="5" s="1"/>
  <c r="K79" i="2"/>
  <c r="W79" i="2"/>
  <c r="L79" i="2"/>
  <c r="X79" i="2"/>
  <c r="M79" i="2"/>
  <c r="Y79" i="2"/>
  <c r="N79" i="2"/>
  <c r="N347" i="4" s="1"/>
  <c r="T336" i="5" s="1"/>
  <c r="AI336" i="8" s="1"/>
  <c r="Z79" i="2"/>
  <c r="C79" i="2"/>
  <c r="O79" i="2"/>
  <c r="O339" i="4" s="1"/>
  <c r="U319" i="5" s="1"/>
  <c r="G35" i="3"/>
  <c r="T109" i="4" s="1" a="1"/>
  <c r="T109" i="4" s="1"/>
  <c r="AC65" i="5" s="1"/>
  <c r="AL94" i="8" s="1"/>
  <c r="AX94" i="8" s="1"/>
  <c r="N94" i="8" s="1"/>
  <c r="H35" i="3"/>
  <c r="U116" i="4" s="1" a="1"/>
  <c r="U116" i="4" s="1"/>
  <c r="AD256" i="5" s="1"/>
  <c r="G21" i="3"/>
  <c r="I21" i="3" s="1"/>
  <c r="H21" i="3"/>
  <c r="J21" i="3" s="1"/>
  <c r="G8" i="3"/>
  <c r="H8" i="3"/>
  <c r="D77" i="2"/>
  <c r="D79" i="4" s="1"/>
  <c r="E131" i="5" s="1"/>
  <c r="AD156" i="8" s="1"/>
  <c r="P77" i="2"/>
  <c r="E77" i="2"/>
  <c r="E79" i="4" s="1"/>
  <c r="F131" i="5" s="1"/>
  <c r="Q77" i="2"/>
  <c r="F77" i="2"/>
  <c r="R77" i="2"/>
  <c r="G77" i="2"/>
  <c r="S77" i="2"/>
  <c r="H77" i="2"/>
  <c r="H79" i="4" s="1"/>
  <c r="K131" i="5" s="1"/>
  <c r="T77" i="2"/>
  <c r="I77" i="2"/>
  <c r="U77" i="2"/>
  <c r="J77" i="2"/>
  <c r="V77" i="2"/>
  <c r="V110" i="4" s="1"/>
  <c r="AF88" i="5" s="1"/>
  <c r="K77" i="2"/>
  <c r="W77" i="2"/>
  <c r="L77" i="2"/>
  <c r="L110" i="4" s="1"/>
  <c r="Q88" i="5" s="1"/>
  <c r="AH117" i="8" s="1"/>
  <c r="AT117" i="8" s="1"/>
  <c r="J117" i="8" s="1"/>
  <c r="X77" i="2"/>
  <c r="M77" i="2"/>
  <c r="M31" i="4" s="1"/>
  <c r="R127" i="5" s="1"/>
  <c r="Y77" i="2"/>
  <c r="N77" i="2"/>
  <c r="Z77" i="2"/>
  <c r="C77" i="2"/>
  <c r="O77" i="2"/>
  <c r="O79" i="4" s="1"/>
  <c r="U131" i="5" s="1"/>
  <c r="BC429" i="1"/>
  <c r="G34" i="3"/>
  <c r="T57" i="4" s="1" a="1"/>
  <c r="T57" i="4" s="1"/>
  <c r="AC257" i="5" s="1"/>
  <c r="AL266" i="8" s="1"/>
  <c r="AX266" i="8" s="1"/>
  <c r="N266" i="8" s="1"/>
  <c r="H34" i="3"/>
  <c r="U12" i="4" s="1" a="1"/>
  <c r="U12" i="4" s="1"/>
  <c r="AD263" i="5" s="1"/>
  <c r="G20" i="3"/>
  <c r="H20" i="3"/>
  <c r="G7" i="3"/>
  <c r="H7" i="3"/>
  <c r="G33" i="3"/>
  <c r="T88" i="4" s="1" a="1"/>
  <c r="T88" i="4" s="1"/>
  <c r="AC44" i="5" s="1"/>
  <c r="AL75" i="8" s="1"/>
  <c r="AX75" i="8" s="1"/>
  <c r="N75" i="8" s="1"/>
  <c r="H33" i="3"/>
  <c r="U183" i="4" s="1" a="1"/>
  <c r="U183" i="4" s="1"/>
  <c r="AD271" i="5" s="1"/>
  <c r="G19" i="3"/>
  <c r="H19" i="3"/>
  <c r="G6" i="3"/>
  <c r="H6" i="3"/>
  <c r="U176" i="4" s="1" a="1"/>
  <c r="U176" i="4" s="1"/>
  <c r="AD267" i="5" s="1"/>
  <c r="BC143" i="1"/>
  <c r="G32" i="3"/>
  <c r="T38" i="4" s="1" a="1"/>
  <c r="T38" i="4" s="1"/>
  <c r="AC63" i="5" s="1"/>
  <c r="AL92" i="8" s="1"/>
  <c r="H32" i="3"/>
  <c r="U216" i="4" s="1" a="1"/>
  <c r="U216" i="4" s="1"/>
  <c r="AD223" i="5" s="1"/>
  <c r="G18" i="3"/>
  <c r="T197" i="4" s="1" a="1"/>
  <c r="T197" i="4" s="1"/>
  <c r="AC234" i="5" s="1"/>
  <c r="AL246" i="8" s="1"/>
  <c r="H18" i="3"/>
  <c r="U143" i="4" s="1" a="1"/>
  <c r="U143" i="4" s="1"/>
  <c r="AD126" i="5" s="1"/>
  <c r="BC349" i="1"/>
  <c r="G31" i="3"/>
  <c r="T26" i="4" s="1" a="1"/>
  <c r="T26" i="4" s="1"/>
  <c r="AC49" i="5" s="1"/>
  <c r="AL7" i="8" s="1"/>
  <c r="AX7" i="8" s="1"/>
  <c r="N7" i="8" s="1"/>
  <c r="H31" i="3"/>
  <c r="U133" i="4" s="1" a="1"/>
  <c r="U133" i="4" s="1"/>
  <c r="AD226" i="5" s="1"/>
  <c r="G17" i="3"/>
  <c r="T217" i="4" s="1" a="1"/>
  <c r="T217" i="4" s="1"/>
  <c r="AC227" i="5" s="1"/>
  <c r="AL240" i="8" s="1"/>
  <c r="AX240" i="8" s="1"/>
  <c r="N240" i="8" s="1"/>
  <c r="H17" i="3"/>
  <c r="U101" i="4" s="1" a="1"/>
  <c r="U101" i="4" s="1"/>
  <c r="AD35" i="5" s="1"/>
  <c r="G30" i="3"/>
  <c r="T226" i="4" s="1" a="1"/>
  <c r="T226" i="4" s="1"/>
  <c r="AC197" i="5" s="1"/>
  <c r="AL216" i="8" s="1"/>
  <c r="H30" i="3"/>
  <c r="G16" i="3"/>
  <c r="H16" i="3"/>
  <c r="U81" i="2"/>
  <c r="C81" i="2"/>
  <c r="C278" i="4" s="1"/>
  <c r="C139" i="5" s="1"/>
  <c r="O80" i="2"/>
  <c r="C80" i="2"/>
  <c r="O76" i="2"/>
  <c r="C76" i="2"/>
  <c r="C180" i="4" s="1"/>
  <c r="C87" i="5" s="1"/>
  <c r="P75" i="2"/>
  <c r="P163" i="4" s="1"/>
  <c r="W239" i="5" s="1"/>
  <c r="AJ251" i="8" s="1"/>
  <c r="D75" i="2"/>
  <c r="D163" i="4" s="1"/>
  <c r="E239" i="5" s="1"/>
  <c r="Q74" i="2"/>
  <c r="Q386" i="4" s="1"/>
  <c r="X385" i="5" s="1"/>
  <c r="D74" i="2"/>
  <c r="D386" i="4" s="1"/>
  <c r="E385" i="5" s="1"/>
  <c r="AP385" i="5" s="1"/>
  <c r="P73" i="2"/>
  <c r="P181" i="4" s="1"/>
  <c r="W10" i="5" s="1"/>
  <c r="AJ46" i="8" s="1"/>
  <c r="C73" i="2"/>
  <c r="C120" i="4" s="1"/>
  <c r="C93" i="5" s="1"/>
  <c r="P72" i="2"/>
  <c r="C72" i="2"/>
  <c r="O72" i="2"/>
  <c r="O239" i="4" s="1"/>
  <c r="U114" i="5" s="1"/>
  <c r="N71" i="2"/>
  <c r="Z70" i="2"/>
  <c r="M70" i="2"/>
  <c r="Y69" i="2"/>
  <c r="H69" i="2"/>
  <c r="H53" i="4" s="1"/>
  <c r="K43" i="5" s="1"/>
  <c r="S68" i="2"/>
  <c r="S21" i="4" s="1"/>
  <c r="AA91" i="5" s="1"/>
  <c r="E68" i="2"/>
  <c r="E21" i="4" s="1"/>
  <c r="Q67" i="2"/>
  <c r="Z66" i="2"/>
  <c r="Z119" i="4" s="1"/>
  <c r="AL241" i="5" s="1"/>
  <c r="L66" i="2"/>
  <c r="L119" i="4" s="1"/>
  <c r="Q241" i="5" s="1"/>
  <c r="AH252" i="8" s="1"/>
  <c r="AT252" i="8" s="1"/>
  <c r="J252" i="8" s="1"/>
  <c r="W65" i="2"/>
  <c r="W133" i="4" s="1"/>
  <c r="AG226" i="5" s="1"/>
  <c r="H65" i="2"/>
  <c r="H85" i="4" s="1"/>
  <c r="K224" i="5" s="1"/>
  <c r="AF237" i="8" s="1"/>
  <c r="AR237" i="8" s="1"/>
  <c r="H237" i="8" s="1"/>
  <c r="Q64" i="2"/>
  <c r="Q271" i="4" s="1"/>
  <c r="Z63" i="2"/>
  <c r="K63" i="2"/>
  <c r="R62" i="2"/>
  <c r="Z61" i="2"/>
  <c r="I61" i="2"/>
  <c r="S60" i="2"/>
  <c r="S304" i="4" s="1"/>
  <c r="AA304" i="5" s="1"/>
  <c r="X59" i="2"/>
  <c r="X86" i="4" s="1"/>
  <c r="AI299" i="5" s="1"/>
  <c r="H59" i="2"/>
  <c r="Q58" i="2"/>
  <c r="W57" i="2"/>
  <c r="W274" i="4" s="1"/>
  <c r="AG288" i="5" s="1"/>
  <c r="E57" i="2"/>
  <c r="K56" i="2"/>
  <c r="K276" i="4" s="1"/>
  <c r="O302" i="5" s="1"/>
  <c r="P55" i="2"/>
  <c r="P134" i="4" s="1"/>
  <c r="W20" i="5" s="1"/>
  <c r="V54" i="2"/>
  <c r="Z53" i="2"/>
  <c r="Z384" i="4" s="1"/>
  <c r="AL386" i="5" s="1"/>
  <c r="BA386" i="5" s="1"/>
  <c r="L53" i="2"/>
  <c r="L384" i="4" s="1"/>
  <c r="Q386" i="5" s="1"/>
  <c r="X53" i="2"/>
  <c r="X384" i="4" s="1"/>
  <c r="AI386" i="5" s="1"/>
  <c r="E53" i="2"/>
  <c r="E384" i="4" s="1"/>
  <c r="R53" i="2"/>
  <c r="R384" i="4" s="1"/>
  <c r="D53" i="2"/>
  <c r="D384" i="4" s="1"/>
  <c r="E386" i="5" s="1"/>
  <c r="AC53" i="2" s="1"/>
  <c r="S53" i="2"/>
  <c r="S384" i="4" s="1"/>
  <c r="AA386" i="5" s="1"/>
  <c r="AW386" i="5" s="1"/>
  <c r="H53" i="2"/>
  <c r="H384" i="4" s="1"/>
  <c r="K386" i="5" s="1"/>
  <c r="V53" i="2"/>
  <c r="V384" i="4" s="1"/>
  <c r="AF386" i="5" s="1"/>
  <c r="I53" i="2"/>
  <c r="I384" i="4" s="1"/>
  <c r="L386" i="5" s="1"/>
  <c r="W53" i="2"/>
  <c r="W384" i="4" s="1"/>
  <c r="AG386" i="5" s="1"/>
  <c r="M53" i="2"/>
  <c r="M384" i="4" s="1"/>
  <c r="R386" i="5" s="1"/>
  <c r="O53" i="2"/>
  <c r="O384" i="4" s="1"/>
  <c r="U386" i="5" s="1"/>
  <c r="M52" i="2"/>
  <c r="M385" i="4" s="1"/>
  <c r="R384" i="5" s="1"/>
  <c r="Y52" i="2"/>
  <c r="Y385" i="4" s="1"/>
  <c r="AJ384" i="5" s="1"/>
  <c r="D52" i="2"/>
  <c r="D385" i="4" s="1"/>
  <c r="E384" i="5" s="1"/>
  <c r="Q52" i="2"/>
  <c r="Q385" i="4" s="1"/>
  <c r="X384" i="5" s="1"/>
  <c r="O52" i="2"/>
  <c r="O385" i="4" s="1"/>
  <c r="U384" i="5" s="1"/>
  <c r="E52" i="2"/>
  <c r="E385" i="4" s="1"/>
  <c r="S52" i="2"/>
  <c r="S385" i="4" s="1"/>
  <c r="AA384" i="5" s="1"/>
  <c r="F52" i="2"/>
  <c r="F385" i="4" s="1"/>
  <c r="T52" i="2"/>
  <c r="T385" i="4" s="1"/>
  <c r="AC384" i="5" s="1"/>
  <c r="AL381" i="8" s="1"/>
  <c r="I52" i="2"/>
  <c r="I385" i="4" s="1"/>
  <c r="L384" i="5" s="1"/>
  <c r="W52" i="2"/>
  <c r="W385" i="4" s="1"/>
  <c r="AG384" i="5" s="1"/>
  <c r="K52" i="2"/>
  <c r="K385" i="4" s="1"/>
  <c r="O384" i="5" s="1"/>
  <c r="Z52" i="2"/>
  <c r="Z385" i="4" s="1"/>
  <c r="AL384" i="5" s="1"/>
  <c r="Y50" i="2"/>
  <c r="Y369" i="4" s="1"/>
  <c r="AJ353" i="5" s="1"/>
  <c r="W49" i="2"/>
  <c r="W48" i="2"/>
  <c r="T47" i="2"/>
  <c r="N46" i="2"/>
  <c r="Y44" i="2"/>
  <c r="M43" i="2"/>
  <c r="M41" i="2"/>
  <c r="M193" i="4" s="1"/>
  <c r="R210" i="5" s="1"/>
  <c r="P39" i="2"/>
  <c r="P247" i="4" s="1"/>
  <c r="W231" i="5" s="1"/>
  <c r="AJ243" i="8" s="1"/>
  <c r="E37" i="2"/>
  <c r="E154" i="4" s="1"/>
  <c r="E34" i="2"/>
  <c r="Z30" i="2"/>
  <c r="U25" i="2"/>
  <c r="U19" i="2"/>
  <c r="F13" i="2"/>
  <c r="F104" i="4" s="1"/>
  <c r="R3" i="2"/>
  <c r="D318" i="4"/>
  <c r="E306" i="5" s="1"/>
  <c r="T81" i="2"/>
  <c r="Z80" i="2"/>
  <c r="Z318" i="4" s="1"/>
  <c r="AL306" i="5" s="1"/>
  <c r="N80" i="2"/>
  <c r="Z76" i="2"/>
  <c r="Z180" i="4" s="1"/>
  <c r="AL87" i="5" s="1"/>
  <c r="N76" i="2"/>
  <c r="O75" i="2"/>
  <c r="O164" i="4" s="1"/>
  <c r="U240" i="5" s="1"/>
  <c r="C75" i="2"/>
  <c r="C163" i="4" s="1"/>
  <c r="C239" i="5" s="1"/>
  <c r="R251" i="8" s="1"/>
  <c r="P74" i="2"/>
  <c r="P386" i="4" s="1"/>
  <c r="W385" i="5" s="1"/>
  <c r="C74" i="2"/>
  <c r="C386" i="4" s="1"/>
  <c r="C385" i="5" s="1"/>
  <c r="O73" i="2"/>
  <c r="O219" i="4" s="1"/>
  <c r="U265" i="5" s="1"/>
  <c r="N72" i="2"/>
  <c r="N225" i="4" s="1"/>
  <c r="T196" i="5" s="1"/>
  <c r="AI215" i="8" s="1"/>
  <c r="Z71" i="2"/>
  <c r="Z72" i="4" s="1"/>
  <c r="AL191" i="5" s="1"/>
  <c r="M71" i="2"/>
  <c r="M204" i="4" s="1"/>
  <c r="R251" i="5" s="1"/>
  <c r="Y70" i="2"/>
  <c r="L70" i="2"/>
  <c r="X69" i="2"/>
  <c r="G69" i="2"/>
  <c r="R68" i="2"/>
  <c r="R21" i="4" s="1"/>
  <c r="Z91" i="5" s="1"/>
  <c r="AK120" i="8" s="1"/>
  <c r="D68" i="2"/>
  <c r="D21" i="4" s="1"/>
  <c r="E91" i="5" s="1"/>
  <c r="AC68" i="2" s="1"/>
  <c r="N67" i="2"/>
  <c r="Y66" i="2"/>
  <c r="K66" i="2"/>
  <c r="V65" i="2"/>
  <c r="G65" i="2"/>
  <c r="P64" i="2"/>
  <c r="P271" i="4" s="1"/>
  <c r="W225" i="5" s="1"/>
  <c r="Y63" i="2"/>
  <c r="J63" i="2"/>
  <c r="Q62" i="2"/>
  <c r="Y61" i="2"/>
  <c r="H61" i="2"/>
  <c r="H74" i="4" s="1"/>
  <c r="K208" i="5" s="1"/>
  <c r="P60" i="2"/>
  <c r="P338" i="4" s="1"/>
  <c r="W332" i="5" s="1"/>
  <c r="AJ332" i="8" s="1"/>
  <c r="W59" i="2"/>
  <c r="G59" i="2"/>
  <c r="M58" i="2"/>
  <c r="M131" i="4" s="1"/>
  <c r="R199" i="5" s="1"/>
  <c r="V57" i="2"/>
  <c r="D57" i="2"/>
  <c r="D281" i="4" s="1"/>
  <c r="E292" i="5" s="1"/>
  <c r="I56" i="2"/>
  <c r="O55" i="2"/>
  <c r="O134" i="4" s="1"/>
  <c r="U20" i="5" s="1"/>
  <c r="T54" i="2"/>
  <c r="Y53" i="2"/>
  <c r="Y384" i="4" s="1"/>
  <c r="AJ386" i="5" s="1"/>
  <c r="X52" i="2"/>
  <c r="X385" i="4" s="1"/>
  <c r="AI384" i="5" s="1"/>
  <c r="AN381" i="8" s="1"/>
  <c r="X51" i="2"/>
  <c r="X357" i="4" s="1"/>
  <c r="AI361" i="5" s="1"/>
  <c r="AN360" i="8" s="1"/>
  <c r="X50" i="2"/>
  <c r="X366" i="4" s="1"/>
  <c r="AI367" i="5" s="1"/>
  <c r="AN365" i="8" s="1"/>
  <c r="V49" i="2"/>
  <c r="V308" i="4" s="1"/>
  <c r="AF307" i="5" s="1"/>
  <c r="T48" i="2"/>
  <c r="T311" i="4" s="1"/>
  <c r="AC310" i="5" s="1"/>
  <c r="AL312" i="8" s="1"/>
  <c r="P47" i="2"/>
  <c r="K46" i="2"/>
  <c r="W44" i="2"/>
  <c r="W244" i="4" s="1"/>
  <c r="AG219" i="5" s="1"/>
  <c r="I43" i="2"/>
  <c r="L41" i="2"/>
  <c r="L288" i="4" s="1"/>
  <c r="Q214" i="5" s="1"/>
  <c r="AH22" i="8" s="1"/>
  <c r="AT22" i="8" s="1"/>
  <c r="J22" i="8" s="1"/>
  <c r="O39" i="2"/>
  <c r="O64" i="4" s="1"/>
  <c r="U3" i="5" s="1"/>
  <c r="U36" i="2"/>
  <c r="C34" i="2"/>
  <c r="J30" i="2"/>
  <c r="J25" i="2"/>
  <c r="J19" i="2"/>
  <c r="E13" i="2"/>
  <c r="E104" i="4" s="1"/>
  <c r="Q3" i="2"/>
  <c r="S81" i="2"/>
  <c r="S293" i="4" s="1"/>
  <c r="AA89" i="5" s="1"/>
  <c r="Y80" i="2"/>
  <c r="Y326" i="4" s="1"/>
  <c r="AJ342" i="5" s="1"/>
  <c r="M80" i="2"/>
  <c r="M327" i="4" s="1"/>
  <c r="R343" i="5" s="1"/>
  <c r="Y76" i="2"/>
  <c r="Y180" i="4" s="1"/>
  <c r="AJ87" i="5" s="1"/>
  <c r="M76" i="2"/>
  <c r="M224" i="4" s="1"/>
  <c r="R169" i="5" s="1"/>
  <c r="Z75" i="2"/>
  <c r="N75" i="2"/>
  <c r="N164" i="4" s="1"/>
  <c r="T240" i="5" s="1"/>
  <c r="O74" i="2"/>
  <c r="O386" i="4" s="1"/>
  <c r="U385" i="5" s="1"/>
  <c r="M74" i="2"/>
  <c r="M386" i="4" s="1"/>
  <c r="R385" i="5" s="1"/>
  <c r="M73" i="2"/>
  <c r="M120" i="4" s="1"/>
  <c r="R93" i="5" s="1"/>
  <c r="Z72" i="2"/>
  <c r="Z239" i="4" s="1"/>
  <c r="AL114" i="5" s="1"/>
  <c r="M72" i="2"/>
  <c r="Y71" i="2"/>
  <c r="Y72" i="4" s="1"/>
  <c r="AJ191" i="5" s="1"/>
  <c r="L71" i="2"/>
  <c r="L72" i="4" s="1"/>
  <c r="Q191" i="5" s="1"/>
  <c r="AH210" i="8" s="1"/>
  <c r="AT210" i="8" s="1"/>
  <c r="J210" i="8" s="1"/>
  <c r="X70" i="2"/>
  <c r="K70" i="2"/>
  <c r="W69" i="2"/>
  <c r="W23" i="4" s="1"/>
  <c r="AG13" i="5" s="1"/>
  <c r="F69" i="2"/>
  <c r="Q68" i="2"/>
  <c r="Q21" i="4" s="1"/>
  <c r="X91" i="5" s="1"/>
  <c r="M67" i="2"/>
  <c r="M375" i="4" s="1"/>
  <c r="R375" i="5" s="1"/>
  <c r="X66" i="2"/>
  <c r="J66" i="2"/>
  <c r="U65" i="2"/>
  <c r="D65" i="2"/>
  <c r="D195" i="4" s="1"/>
  <c r="E228" i="5" s="1"/>
  <c r="AD24" i="8" s="1"/>
  <c r="N64" i="2"/>
  <c r="X63" i="2"/>
  <c r="I63" i="2"/>
  <c r="O62" i="2"/>
  <c r="O344" i="4" s="1"/>
  <c r="U338" i="5" s="1"/>
  <c r="X61" i="2"/>
  <c r="G61" i="2"/>
  <c r="O60" i="2"/>
  <c r="V59" i="2"/>
  <c r="F59" i="2"/>
  <c r="F86" i="4" s="1"/>
  <c r="L58" i="2"/>
  <c r="L131" i="4" s="1"/>
  <c r="Q199" i="5" s="1"/>
  <c r="AH218" i="8" s="1"/>
  <c r="AT218" i="8" s="1"/>
  <c r="J218" i="8" s="1"/>
  <c r="T57" i="2"/>
  <c r="H56" i="2"/>
  <c r="N55" i="2"/>
  <c r="N134" i="4" s="1"/>
  <c r="T20" i="5" s="1"/>
  <c r="S54" i="2"/>
  <c r="S232" i="4" s="1"/>
  <c r="AA19" i="5" s="1"/>
  <c r="U53" i="2"/>
  <c r="U384" i="4" s="1"/>
  <c r="AD386" i="5" s="1"/>
  <c r="V52" i="2"/>
  <c r="V385" i="4" s="1"/>
  <c r="AF384" i="5" s="1"/>
  <c r="AM381" i="8" s="1"/>
  <c r="W51" i="2"/>
  <c r="V50" i="2"/>
  <c r="T49" i="2"/>
  <c r="T308" i="4" s="1"/>
  <c r="AC307" i="5" s="1"/>
  <c r="AL309" i="8" s="1"/>
  <c r="S48" i="2"/>
  <c r="S311" i="4" s="1"/>
  <c r="AA310" i="5" s="1"/>
  <c r="O47" i="2"/>
  <c r="H46" i="2"/>
  <c r="V44" i="2"/>
  <c r="Y42" i="2"/>
  <c r="Y160" i="4" s="1"/>
  <c r="AJ216" i="5" s="1"/>
  <c r="E41" i="2"/>
  <c r="E223" i="4" s="1"/>
  <c r="F15" i="5" s="1"/>
  <c r="F39" i="2"/>
  <c r="F186" i="4" s="1"/>
  <c r="H150" i="5" s="1"/>
  <c r="R36" i="2"/>
  <c r="Z33" i="2"/>
  <c r="Z153" i="4" s="1"/>
  <c r="AL206" i="5" s="1"/>
  <c r="R29" i="2"/>
  <c r="F25" i="2"/>
  <c r="F19" i="2"/>
  <c r="K11" i="2"/>
  <c r="R81" i="2"/>
  <c r="X80" i="2"/>
  <c r="X328" i="4" s="1"/>
  <c r="AI344" i="5" s="1"/>
  <c r="AN344" i="8" s="1"/>
  <c r="AZ344" i="8" s="1"/>
  <c r="P344" i="8" s="1"/>
  <c r="L80" i="2"/>
  <c r="L318" i="4" s="1"/>
  <c r="Q306" i="5" s="1"/>
  <c r="AH308" i="8" s="1"/>
  <c r="AT308" i="8" s="1"/>
  <c r="J308" i="8" s="1"/>
  <c r="X76" i="2"/>
  <c r="L76" i="2"/>
  <c r="L224" i="4" s="1"/>
  <c r="Q169" i="5" s="1"/>
  <c r="AH192" i="8" s="1"/>
  <c r="AT192" i="8" s="1"/>
  <c r="J192" i="8" s="1"/>
  <c r="Y75" i="2"/>
  <c r="M75" i="2"/>
  <c r="Z74" i="2"/>
  <c r="Z386" i="4" s="1"/>
  <c r="AL385" i="5" s="1"/>
  <c r="BA385" i="5" s="1"/>
  <c r="N74" i="2"/>
  <c r="N386" i="4" s="1"/>
  <c r="T385" i="5" s="1"/>
  <c r="Y73" i="2"/>
  <c r="L73" i="2"/>
  <c r="Y72" i="2"/>
  <c r="Y239" i="4" s="1"/>
  <c r="AJ114" i="5" s="1"/>
  <c r="L72" i="2"/>
  <c r="L203" i="4" s="1"/>
  <c r="Q37" i="5" s="1"/>
  <c r="AH68" i="8" s="1"/>
  <c r="AT68" i="8" s="1"/>
  <c r="J68" i="8" s="1"/>
  <c r="X71" i="2"/>
  <c r="X72" i="4" s="1"/>
  <c r="AI191" i="5" s="1"/>
  <c r="AN210" i="8" s="1"/>
  <c r="K71" i="2"/>
  <c r="W70" i="2"/>
  <c r="J70" i="2"/>
  <c r="V69" i="2"/>
  <c r="E69" i="2"/>
  <c r="E56" i="4" s="1"/>
  <c r="F116" i="5" s="1"/>
  <c r="P68" i="2"/>
  <c r="P21" i="4" s="1"/>
  <c r="W91" i="5" s="1"/>
  <c r="AJ120" i="8" s="1"/>
  <c r="Z67" i="2"/>
  <c r="L67" i="2"/>
  <c r="W66" i="2"/>
  <c r="I66" i="2"/>
  <c r="T65" i="2"/>
  <c r="C65" i="2"/>
  <c r="C85" i="4" s="1"/>
  <c r="C224" i="5" s="1"/>
  <c r="M64" i="2"/>
  <c r="M271" i="4" s="1"/>
  <c r="R225" i="5" s="1"/>
  <c r="W63" i="2"/>
  <c r="W190" i="4" s="1"/>
  <c r="AG281" i="5" s="1"/>
  <c r="F63" i="2"/>
  <c r="N62" i="2"/>
  <c r="V61" i="2"/>
  <c r="D61" i="2"/>
  <c r="M60" i="2"/>
  <c r="U59" i="2"/>
  <c r="E59" i="2"/>
  <c r="E86" i="4" s="1"/>
  <c r="J58" i="2"/>
  <c r="S57" i="2"/>
  <c r="S281" i="4" s="1"/>
  <c r="AA292" i="5" s="1"/>
  <c r="Y56" i="2"/>
  <c r="F56" i="2"/>
  <c r="F173" i="4" s="1"/>
  <c r="H78" i="5" s="1"/>
  <c r="K55" i="2"/>
  <c r="K134" i="4" s="1"/>
  <c r="P54" i="2"/>
  <c r="P232" i="4" s="1"/>
  <c r="W19" i="5" s="1"/>
  <c r="T53" i="2"/>
  <c r="T384" i="4" s="1"/>
  <c r="AC386" i="5" s="1"/>
  <c r="U52" i="2"/>
  <c r="U385" i="4" s="1"/>
  <c r="AD384" i="5" s="1"/>
  <c r="S51" i="2"/>
  <c r="U50" i="2"/>
  <c r="U356" i="4" s="1"/>
  <c r="AD366" i="5" s="1"/>
  <c r="S49" i="2"/>
  <c r="S308" i="4" s="1"/>
  <c r="AA307" i="5" s="1"/>
  <c r="P48" i="2"/>
  <c r="M47" i="2"/>
  <c r="E46" i="2"/>
  <c r="O44" i="2"/>
  <c r="X42" i="2"/>
  <c r="X160" i="4" s="1"/>
  <c r="AI216" i="5" s="1"/>
  <c r="AN229" i="8" s="1"/>
  <c r="AZ229" i="8" s="1"/>
  <c r="P229" i="8" s="1"/>
  <c r="D41" i="2"/>
  <c r="X38" i="2"/>
  <c r="M36" i="2"/>
  <c r="M33" i="2"/>
  <c r="M153" i="4" s="1"/>
  <c r="R206" i="5" s="1"/>
  <c r="K29" i="2"/>
  <c r="K45" i="4" s="1"/>
  <c r="E25" i="2"/>
  <c r="E19" i="2"/>
  <c r="E11" i="2"/>
  <c r="E103" i="4" s="1"/>
  <c r="G9" i="3"/>
  <c r="Q81" i="2"/>
  <c r="Q278" i="4" s="1"/>
  <c r="X139" i="5" s="1"/>
  <c r="W80" i="2"/>
  <c r="K80" i="2"/>
  <c r="W76" i="2"/>
  <c r="K76" i="2"/>
  <c r="X75" i="2"/>
  <c r="X163" i="4" s="1"/>
  <c r="AI239" i="5" s="1"/>
  <c r="AN251" i="8" s="1"/>
  <c r="AZ251" i="8" s="1"/>
  <c r="P251" i="8" s="1"/>
  <c r="L75" i="2"/>
  <c r="L163" i="4" s="1"/>
  <c r="Q239" i="5" s="1"/>
  <c r="AH251" i="8" s="1"/>
  <c r="AT251" i="8" s="1"/>
  <c r="J251" i="8" s="1"/>
  <c r="Y74" i="2"/>
  <c r="Y386" i="4" s="1"/>
  <c r="AJ385" i="5" s="1"/>
  <c r="L74" i="2"/>
  <c r="L386" i="4" s="1"/>
  <c r="Q385" i="5" s="1"/>
  <c r="X73" i="2"/>
  <c r="K73" i="2"/>
  <c r="X72" i="2"/>
  <c r="X239" i="4" s="1"/>
  <c r="AI114" i="5" s="1"/>
  <c r="AN142" i="8" s="1"/>
  <c r="AZ142" i="8" s="1"/>
  <c r="P142" i="8" s="1"/>
  <c r="K72" i="2"/>
  <c r="W71" i="2"/>
  <c r="W72" i="4" s="1"/>
  <c r="AG191" i="5" s="1"/>
  <c r="J71" i="2"/>
  <c r="V70" i="2"/>
  <c r="I70" i="2"/>
  <c r="U69" i="2"/>
  <c r="C69" i="2"/>
  <c r="M68" i="2"/>
  <c r="M21" i="4" s="1"/>
  <c r="Y67" i="2"/>
  <c r="K67" i="2"/>
  <c r="V66" i="2"/>
  <c r="H66" i="2"/>
  <c r="H217" i="4" s="1"/>
  <c r="K227" i="5" s="1"/>
  <c r="S65" i="2"/>
  <c r="E65" i="2"/>
  <c r="E195" i="4" s="1"/>
  <c r="F228" i="5" s="1"/>
  <c r="L64" i="2"/>
  <c r="L271" i="4" s="1"/>
  <c r="Q225" i="5" s="1"/>
  <c r="AH238" i="8" s="1"/>
  <c r="AT238" i="8" s="1"/>
  <c r="J238" i="8" s="1"/>
  <c r="V63" i="2"/>
  <c r="E63" i="2"/>
  <c r="M62" i="2"/>
  <c r="M344" i="4" s="1"/>
  <c r="R338" i="5" s="1"/>
  <c r="U61" i="2"/>
  <c r="C61" i="2"/>
  <c r="K60" i="2"/>
  <c r="T59" i="2"/>
  <c r="M59" i="2"/>
  <c r="M86" i="4" s="1"/>
  <c r="R299" i="5" s="1"/>
  <c r="Y59" i="2"/>
  <c r="Y86" i="4" s="1"/>
  <c r="AJ299" i="5" s="1"/>
  <c r="L59" i="2"/>
  <c r="L86" i="4" s="1"/>
  <c r="Q299" i="5" s="1"/>
  <c r="Z59" i="2"/>
  <c r="Z86" i="4" s="1"/>
  <c r="AL299" i="5" s="1"/>
  <c r="BA299" i="5" s="1"/>
  <c r="C59" i="2"/>
  <c r="C86" i="4" s="1"/>
  <c r="C299" i="5" s="1"/>
  <c r="P59" i="2"/>
  <c r="P86" i="4" s="1"/>
  <c r="W299" i="5" s="1"/>
  <c r="D59" i="2"/>
  <c r="D86" i="4" s="1"/>
  <c r="E299" i="5" s="1"/>
  <c r="Q59" i="2"/>
  <c r="Q86" i="4" s="1"/>
  <c r="X299" i="5" s="1"/>
  <c r="I58" i="2"/>
  <c r="R57" i="2"/>
  <c r="X56" i="2"/>
  <c r="E56" i="2"/>
  <c r="J55" i="2"/>
  <c r="J134" i="4" s="1"/>
  <c r="N54" i="2"/>
  <c r="N232" i="4" s="1"/>
  <c r="T19" i="5" s="1"/>
  <c r="Q53" i="2"/>
  <c r="Q384" i="4" s="1"/>
  <c r="X386" i="5" s="1"/>
  <c r="R52" i="2"/>
  <c r="R385" i="4" s="1"/>
  <c r="R51" i="2"/>
  <c r="Q50" i="2"/>
  <c r="Q356" i="4" s="1"/>
  <c r="X366" i="5" s="1"/>
  <c r="M49" i="2"/>
  <c r="M308" i="4" s="1"/>
  <c r="R307" i="5" s="1"/>
  <c r="O48" i="2"/>
  <c r="K47" i="2"/>
  <c r="D46" i="2"/>
  <c r="K44" i="2"/>
  <c r="V42" i="2"/>
  <c r="X40" i="2"/>
  <c r="V38" i="2"/>
  <c r="J36" i="2"/>
  <c r="Z32" i="2"/>
  <c r="Z189" i="4" s="1"/>
  <c r="AL167" i="5" s="1"/>
  <c r="E29" i="2"/>
  <c r="R23" i="2"/>
  <c r="R87" i="4" s="1"/>
  <c r="R17" i="2"/>
  <c r="R171" i="4" s="1"/>
  <c r="D11" i="2"/>
  <c r="D103" i="4" s="1"/>
  <c r="E55" i="5" s="1"/>
  <c r="E81" i="2"/>
  <c r="E13" i="4" s="1"/>
  <c r="L81" i="2"/>
  <c r="L285" i="4" s="1"/>
  <c r="Q107" i="5" s="1"/>
  <c r="AH136" i="8" s="1"/>
  <c r="AT136" i="8" s="1"/>
  <c r="D81" i="2"/>
  <c r="D278" i="4" s="1"/>
  <c r="E139" i="5" s="1"/>
  <c r="AD164" i="8" s="1"/>
  <c r="H81" i="2"/>
  <c r="H285" i="4" s="1"/>
  <c r="K107" i="5" s="1"/>
  <c r="F81" i="2"/>
  <c r="F285" i="4" s="1"/>
  <c r="H107" i="5" s="1"/>
  <c r="M81" i="2"/>
  <c r="M27" i="4" s="1"/>
  <c r="R264" i="5" s="1"/>
  <c r="H25" i="3"/>
  <c r="U291" i="4" s="1" a="1"/>
  <c r="U291" i="4" s="1"/>
  <c r="AD101" i="5" s="1"/>
  <c r="P81" i="2"/>
  <c r="P278" i="4" s="1"/>
  <c r="W139" i="5" s="1"/>
  <c r="AJ164" i="8" s="1"/>
  <c r="AV164" i="8" s="1"/>
  <c r="L164" i="8" s="1"/>
  <c r="V80" i="2"/>
  <c r="V337" i="4" s="1"/>
  <c r="AF321" i="5" s="1"/>
  <c r="J80" i="2"/>
  <c r="V76" i="2"/>
  <c r="J76" i="2"/>
  <c r="W75" i="2"/>
  <c r="K75" i="2"/>
  <c r="X74" i="2"/>
  <c r="X386" i="4" s="1"/>
  <c r="AI385" i="5" s="1"/>
  <c r="K74" i="2"/>
  <c r="K386" i="4" s="1"/>
  <c r="O385" i="5" s="1"/>
  <c r="W73" i="2"/>
  <c r="J73" i="2"/>
  <c r="W72" i="2"/>
  <c r="W203" i="4" s="1"/>
  <c r="AG37" i="5" s="1"/>
  <c r="J72" i="2"/>
  <c r="V71" i="2"/>
  <c r="I71" i="2"/>
  <c r="U70" i="2"/>
  <c r="H70" i="2"/>
  <c r="T69" i="2"/>
  <c r="I69" i="2"/>
  <c r="I56" i="4" s="1"/>
  <c r="L116" i="5" s="1"/>
  <c r="M69" i="2"/>
  <c r="L69" i="2"/>
  <c r="L56" i="4" s="1"/>
  <c r="Q116" i="5" s="1"/>
  <c r="AH144" i="8" s="1"/>
  <c r="AT144" i="8" s="1"/>
  <c r="J144" i="8" s="1"/>
  <c r="D69" i="2"/>
  <c r="J69" i="2"/>
  <c r="R69" i="2"/>
  <c r="R403" i="4" s="1"/>
  <c r="Z393" i="5" s="1"/>
  <c r="L68" i="2"/>
  <c r="L21" i="4" s="1"/>
  <c r="Q91" i="5" s="1"/>
  <c r="X67" i="2"/>
  <c r="X383" i="4" s="1"/>
  <c r="AI383" i="5" s="1"/>
  <c r="AN379" i="8" s="1"/>
  <c r="J67" i="2"/>
  <c r="U66" i="2"/>
  <c r="G66" i="2"/>
  <c r="P65" i="2"/>
  <c r="P85" i="4" s="1"/>
  <c r="W224" i="5" s="1"/>
  <c r="AJ237" i="8" s="1"/>
  <c r="Z64" i="2"/>
  <c r="Z271" i="4" s="1"/>
  <c r="AL225" i="5" s="1"/>
  <c r="K64" i="2"/>
  <c r="U63" i="2"/>
  <c r="L62" i="2"/>
  <c r="T61" i="2"/>
  <c r="E61" i="2"/>
  <c r="J60" i="2"/>
  <c r="S59" i="2"/>
  <c r="S86" i="4" s="1"/>
  <c r="AA299" i="5" s="1"/>
  <c r="AW299" i="5" s="1"/>
  <c r="Y58" i="2"/>
  <c r="Y131" i="4" s="1"/>
  <c r="AJ199" i="5" s="1"/>
  <c r="G58" i="2"/>
  <c r="Q57" i="2"/>
  <c r="Q258" i="4" s="1"/>
  <c r="X296" i="5" s="1"/>
  <c r="V56" i="2"/>
  <c r="H55" i="2"/>
  <c r="H134" i="4" s="1"/>
  <c r="K20" i="5" s="1"/>
  <c r="M54" i="2"/>
  <c r="M232" i="4" s="1"/>
  <c r="R19" i="5" s="1"/>
  <c r="P53" i="2"/>
  <c r="P384" i="4" s="1"/>
  <c r="W386" i="5" s="1"/>
  <c r="P52" i="2"/>
  <c r="P385" i="4" s="1"/>
  <c r="W384" i="5" s="1"/>
  <c r="AJ381" i="8" s="1"/>
  <c r="M51" i="2"/>
  <c r="M373" i="4" s="1"/>
  <c r="R357" i="5" s="1"/>
  <c r="N50" i="2"/>
  <c r="N370" i="4" s="1"/>
  <c r="T354" i="5" s="1"/>
  <c r="AI353" i="8" s="1"/>
  <c r="L49" i="2"/>
  <c r="L308" i="4" s="1"/>
  <c r="Q307" i="5" s="1"/>
  <c r="AH309" i="8" s="1"/>
  <c r="AT309" i="8" s="1"/>
  <c r="J309" i="8" s="1"/>
  <c r="J48" i="2"/>
  <c r="G47" i="2"/>
  <c r="X45" i="2"/>
  <c r="J44" i="2"/>
  <c r="T42" i="2"/>
  <c r="O40" i="2"/>
  <c r="P38" i="2"/>
  <c r="D36" i="2"/>
  <c r="V32" i="2"/>
  <c r="D29" i="2"/>
  <c r="D46" i="4" s="1"/>
  <c r="E32" i="5" s="1"/>
  <c r="K23" i="2"/>
  <c r="K17" i="2"/>
  <c r="L314" i="4"/>
  <c r="Q313" i="5" s="1"/>
  <c r="AH315" i="8" s="1"/>
  <c r="AT315" i="8" s="1"/>
  <c r="J315" i="8" s="1"/>
  <c r="N82" i="2"/>
  <c r="Z82" i="2"/>
  <c r="Z81" i="4" s="1"/>
  <c r="AL147" i="5" s="1"/>
  <c r="N2" i="2"/>
  <c r="Z2" i="2"/>
  <c r="N3" i="2"/>
  <c r="N277" i="4" s="1"/>
  <c r="T301" i="5" s="1"/>
  <c r="Z3" i="2"/>
  <c r="N4" i="2"/>
  <c r="Z4" i="2"/>
  <c r="N5" i="2"/>
  <c r="Z5" i="2"/>
  <c r="N6" i="2"/>
  <c r="N28" i="4" s="1"/>
  <c r="T97" i="5" s="1"/>
  <c r="AI126" i="8" s="1"/>
  <c r="Z6" i="2"/>
  <c r="Z28" i="4" s="1"/>
  <c r="AL97" i="5" s="1"/>
  <c r="N7" i="2"/>
  <c r="Z7" i="2"/>
  <c r="Z51" i="4" s="1"/>
  <c r="AL39" i="5" s="1"/>
  <c r="N8" i="2"/>
  <c r="N88" i="4" s="1"/>
  <c r="T44" i="5" s="1"/>
  <c r="AI75" i="8" s="1"/>
  <c r="Z8" i="2"/>
  <c r="Z88" i="4" s="1"/>
  <c r="AL44" i="5" s="1"/>
  <c r="N9" i="2"/>
  <c r="Z9" i="2"/>
  <c r="N10" i="2"/>
  <c r="N107" i="4" s="1"/>
  <c r="T59" i="5" s="1"/>
  <c r="AI88" i="8" s="1"/>
  <c r="Z10" i="2"/>
  <c r="Z107" i="4" s="1"/>
  <c r="AL59" i="5" s="1"/>
  <c r="N11" i="2"/>
  <c r="N103" i="4" s="1"/>
  <c r="T55" i="5" s="1"/>
  <c r="AI84" i="8" s="1"/>
  <c r="Z11" i="2"/>
  <c r="Z103" i="4" s="1"/>
  <c r="AL55" i="5" s="1"/>
  <c r="N12" i="2"/>
  <c r="N106" i="4" s="1"/>
  <c r="T58" i="5" s="1"/>
  <c r="AI87" i="8" s="1"/>
  <c r="Z12" i="2"/>
  <c r="Z57" i="4" s="1"/>
  <c r="AL257" i="5" s="1"/>
  <c r="N13" i="2"/>
  <c r="N104" i="4" s="1"/>
  <c r="T56" i="5" s="1"/>
  <c r="AI85" i="8" s="1"/>
  <c r="Z13" i="2"/>
  <c r="Z104" i="4" s="1"/>
  <c r="AL56" i="5" s="1"/>
  <c r="N14" i="2"/>
  <c r="Z14" i="2"/>
  <c r="N15" i="2"/>
  <c r="Z15" i="2"/>
  <c r="N16" i="2"/>
  <c r="Z16" i="2"/>
  <c r="N17" i="2"/>
  <c r="N171" i="4" s="1"/>
  <c r="T69" i="5" s="1"/>
  <c r="AI98" i="8" s="1"/>
  <c r="Z17" i="2"/>
  <c r="Z171" i="4" s="1"/>
  <c r="AL69" i="5" s="1"/>
  <c r="N18" i="2"/>
  <c r="N135" i="4" s="1"/>
  <c r="T74" i="5" s="1"/>
  <c r="Z18" i="2"/>
  <c r="Z67" i="4" s="1"/>
  <c r="AL164" i="5" s="1"/>
  <c r="N19" i="2"/>
  <c r="N220" i="4" s="1"/>
  <c r="T9" i="5" s="1"/>
  <c r="AI45" i="8" s="1"/>
  <c r="Z19" i="2"/>
  <c r="Z140" i="4" s="1"/>
  <c r="AL14" i="5" s="1"/>
  <c r="N20" i="2"/>
  <c r="N267" i="4" s="1"/>
  <c r="T73" i="5" s="1"/>
  <c r="Z20" i="2"/>
  <c r="N21" i="2"/>
  <c r="N40" i="4" s="1"/>
  <c r="Z21" i="2"/>
  <c r="Z40" i="4" s="1"/>
  <c r="AL90" i="5" s="1"/>
  <c r="N22" i="2"/>
  <c r="N297" i="4" s="1"/>
  <c r="T272" i="5" s="1"/>
  <c r="AI280" i="8" s="1"/>
  <c r="Z22" i="2"/>
  <c r="N23" i="2"/>
  <c r="N87" i="4" s="1"/>
  <c r="T298" i="5" s="1"/>
  <c r="AI304" i="8" s="1"/>
  <c r="Z23" i="2"/>
  <c r="Z87" i="4" s="1"/>
  <c r="AL298" i="5" s="1"/>
  <c r="N24" i="2"/>
  <c r="N175" i="4" s="1"/>
  <c r="T81" i="5" s="1"/>
  <c r="AI110" i="8" s="1"/>
  <c r="Z24" i="2"/>
  <c r="N25" i="2"/>
  <c r="N268" i="4" s="1"/>
  <c r="T100" i="5" s="1"/>
  <c r="AI129" i="8" s="1"/>
  <c r="Z25" i="2"/>
  <c r="Z243" i="4" s="1"/>
  <c r="AL193" i="5" s="1"/>
  <c r="N26" i="2"/>
  <c r="N283" i="4" s="1"/>
  <c r="T102" i="5" s="1"/>
  <c r="AI131" i="8" s="1"/>
  <c r="Z26" i="2"/>
  <c r="Z283" i="4" s="1"/>
  <c r="AL102" i="5" s="1"/>
  <c r="N27" i="2"/>
  <c r="N392" i="4" s="1"/>
  <c r="Z27" i="2"/>
  <c r="Z115" i="4" s="1"/>
  <c r="AL161" i="5" s="1"/>
  <c r="N28" i="2"/>
  <c r="N30" i="4" s="1"/>
  <c r="T275" i="5" s="1"/>
  <c r="Z28" i="2"/>
  <c r="N29" i="2"/>
  <c r="N45" i="4" s="1"/>
  <c r="T31" i="5" s="1"/>
  <c r="AI5" i="8" s="1"/>
  <c r="Z29" i="2"/>
  <c r="Z46" i="4" s="1"/>
  <c r="AL32" i="5" s="1"/>
  <c r="D82" i="2"/>
  <c r="D80" i="4" s="1"/>
  <c r="E134" i="5" s="1"/>
  <c r="E82" i="2"/>
  <c r="Q82" i="2"/>
  <c r="G2" i="2"/>
  <c r="S2" i="2"/>
  <c r="G3" i="2"/>
  <c r="S3" i="2"/>
  <c r="G4" i="2"/>
  <c r="S4" i="2"/>
  <c r="S187" i="4" s="1"/>
  <c r="AA151" i="5" s="1"/>
  <c r="G5" i="2"/>
  <c r="S5" i="2"/>
  <c r="G6" i="2"/>
  <c r="S6" i="2"/>
  <c r="G7" i="2"/>
  <c r="S7" i="2"/>
  <c r="S58" i="4" s="1"/>
  <c r="AA41" i="5" s="1"/>
  <c r="G8" i="2"/>
  <c r="S8" i="2"/>
  <c r="G9" i="2"/>
  <c r="S9" i="2"/>
  <c r="G10" i="2"/>
  <c r="S10" i="2"/>
  <c r="S107" i="4" s="1"/>
  <c r="AA59" i="5" s="1"/>
  <c r="G11" i="2"/>
  <c r="S11" i="2"/>
  <c r="S103" i="4" s="1"/>
  <c r="AA55" i="5" s="1"/>
  <c r="G12" i="2"/>
  <c r="S12" i="2"/>
  <c r="S105" i="4" s="1"/>
  <c r="AA57" i="5" s="1"/>
  <c r="G13" i="2"/>
  <c r="S13" i="2"/>
  <c r="S104" i="4" s="1"/>
  <c r="AA56" i="5" s="1"/>
  <c r="G14" i="2"/>
  <c r="S14" i="2"/>
  <c r="S205" i="4" s="1"/>
  <c r="AA53" i="5" s="1"/>
  <c r="G15" i="2"/>
  <c r="S15" i="2"/>
  <c r="S75" i="4" s="1"/>
  <c r="AA250" i="5" s="1"/>
  <c r="G16" i="2"/>
  <c r="S16" i="2"/>
  <c r="G17" i="2"/>
  <c r="S17" i="2"/>
  <c r="S171" i="4" s="1"/>
  <c r="AA69" i="5" s="1"/>
  <c r="G18" i="2"/>
  <c r="S18" i="2"/>
  <c r="S113" i="4" s="1"/>
  <c r="AA135" i="5" s="1"/>
  <c r="G19" i="2"/>
  <c r="S19" i="2"/>
  <c r="G20" i="2"/>
  <c r="S20" i="2"/>
  <c r="G21" i="2"/>
  <c r="G40" i="4" s="1"/>
  <c r="S21" i="2"/>
  <c r="S40" i="4" s="1"/>
  <c r="AA90" i="5" s="1"/>
  <c r="G22" i="2"/>
  <c r="S22" i="2"/>
  <c r="S297" i="4" s="1"/>
  <c r="AA272" i="5" s="1"/>
  <c r="G23" i="2"/>
  <c r="S23" i="2"/>
  <c r="S87" i="4" s="1"/>
  <c r="AA298" i="5" s="1"/>
  <c r="G24" i="2"/>
  <c r="S24" i="2"/>
  <c r="S235" i="4" s="1"/>
  <c r="AA253" i="5" s="1"/>
  <c r="G25" i="2"/>
  <c r="S25" i="2"/>
  <c r="S249" i="4" s="1"/>
  <c r="AA99" i="5" s="1"/>
  <c r="G26" i="2"/>
  <c r="S26" i="2"/>
  <c r="S283" i="4" s="1"/>
  <c r="AA102" i="5" s="1"/>
  <c r="G27" i="2"/>
  <c r="S27" i="2"/>
  <c r="S69" i="4" s="1"/>
  <c r="AA170" i="5" s="1"/>
  <c r="G28" i="2"/>
  <c r="S28" i="2"/>
  <c r="G29" i="2"/>
  <c r="S29" i="2"/>
  <c r="S47" i="4" s="1"/>
  <c r="AA33" i="5" s="1"/>
  <c r="G30" i="2"/>
  <c r="S30" i="2"/>
  <c r="G31" i="2"/>
  <c r="S31" i="2"/>
  <c r="S150" i="4" s="1"/>
  <c r="AA202" i="5" s="1"/>
  <c r="G32" i="2"/>
  <c r="S32" i="2"/>
  <c r="S162" i="4" s="1"/>
  <c r="AA237" i="5" s="1"/>
  <c r="G33" i="2"/>
  <c r="S33" i="2"/>
  <c r="S153" i="4" s="1"/>
  <c r="AA206" i="5" s="1"/>
  <c r="G34" i="2"/>
  <c r="S34" i="2"/>
  <c r="G35" i="2"/>
  <c r="S35" i="2"/>
  <c r="S188" i="4" s="1"/>
  <c r="AA152" i="5" s="1"/>
  <c r="G36" i="2"/>
  <c r="S36" i="2"/>
  <c r="S210" i="4" s="1"/>
  <c r="AA21" i="5" s="1"/>
  <c r="G37" i="2"/>
  <c r="S37" i="2"/>
  <c r="S154" i="4" s="1"/>
  <c r="AA207" i="5" s="1"/>
  <c r="G38" i="2"/>
  <c r="S38" i="2"/>
  <c r="G39" i="2"/>
  <c r="S39" i="2"/>
  <c r="T82" i="2"/>
  <c r="H2" i="2"/>
  <c r="T2" i="2"/>
  <c r="H3" i="2"/>
  <c r="T3" i="2"/>
  <c r="H4" i="2"/>
  <c r="H10" i="4" s="1"/>
  <c r="K254" i="5" s="1"/>
  <c r="T4" i="2"/>
  <c r="H5" i="2"/>
  <c r="H12" i="4" s="1"/>
  <c r="K263" i="5" s="1"/>
  <c r="T5" i="2"/>
  <c r="H6" i="2"/>
  <c r="H28" i="4" s="1"/>
  <c r="K97" i="5" s="1"/>
  <c r="T6" i="2"/>
  <c r="H7" i="2"/>
  <c r="H167" i="4" s="1"/>
  <c r="K247" i="5" s="1"/>
  <c r="T7" i="2"/>
  <c r="H8" i="2"/>
  <c r="H88" i="4" s="1"/>
  <c r="K44" i="5" s="1"/>
  <c r="T8" i="2"/>
  <c r="H9" i="2"/>
  <c r="H59" i="4" s="1"/>
  <c r="K45" i="5" s="1"/>
  <c r="T9" i="2"/>
  <c r="H10" i="2"/>
  <c r="H107" i="4" s="1"/>
  <c r="K59" i="5" s="1"/>
  <c r="T10" i="2"/>
  <c r="H11" i="2"/>
  <c r="H103" i="4" s="1"/>
  <c r="K55" i="5" s="1"/>
  <c r="T11" i="2"/>
  <c r="H12" i="2"/>
  <c r="T12" i="2"/>
  <c r="H13" i="2"/>
  <c r="H104" i="4" s="1"/>
  <c r="K56" i="5" s="1"/>
  <c r="T13" i="2"/>
  <c r="H14" i="2"/>
  <c r="H234" i="4" s="1"/>
  <c r="K30" i="5" s="1"/>
  <c r="T14" i="2"/>
  <c r="H15" i="2"/>
  <c r="T15" i="2"/>
  <c r="H16" i="2"/>
  <c r="H37" i="4" s="1"/>
  <c r="K62" i="5" s="1"/>
  <c r="T16" i="2"/>
  <c r="H17" i="2"/>
  <c r="H171" i="4" s="1"/>
  <c r="K69" i="5" s="1"/>
  <c r="T17" i="2"/>
  <c r="H18" i="2"/>
  <c r="T18" i="2"/>
  <c r="H19" i="2"/>
  <c r="H208" i="4" s="1"/>
  <c r="K75" i="5" s="1"/>
  <c r="T19" i="2"/>
  <c r="H20" i="2"/>
  <c r="T20" i="2"/>
  <c r="H21" i="2"/>
  <c r="H40" i="4" s="1"/>
  <c r="K90" i="5" s="1"/>
  <c r="T21" i="2"/>
  <c r="H22" i="2"/>
  <c r="H297" i="4" s="1"/>
  <c r="K272" i="5" s="1"/>
  <c r="AF280" i="8" s="1"/>
  <c r="AR280" i="8" s="1"/>
  <c r="H280" i="8" s="1"/>
  <c r="T22" i="2"/>
  <c r="H23" i="2"/>
  <c r="T23" i="2"/>
  <c r="H24" i="2"/>
  <c r="H76" i="4" s="1"/>
  <c r="K115" i="5" s="1"/>
  <c r="T24" i="2"/>
  <c r="H25" i="2"/>
  <c r="T25" i="2"/>
  <c r="H26" i="2"/>
  <c r="H283" i="4" s="1"/>
  <c r="K102" i="5" s="1"/>
  <c r="T26" i="2"/>
  <c r="H27" i="2"/>
  <c r="H115" i="4" s="1"/>
  <c r="K161" i="5" s="1"/>
  <c r="T27" i="2"/>
  <c r="H28" i="2"/>
  <c r="H44" i="4" s="1"/>
  <c r="K18" i="5" s="1"/>
  <c r="T28" i="2"/>
  <c r="H29" i="2"/>
  <c r="T29" i="2"/>
  <c r="H30" i="2"/>
  <c r="T30" i="2"/>
  <c r="H31" i="2"/>
  <c r="H114" i="4" s="1"/>
  <c r="K138" i="5" s="1"/>
  <c r="T31" i="2"/>
  <c r="H32" i="2"/>
  <c r="T32" i="2"/>
  <c r="I82" i="2"/>
  <c r="I80" i="4" s="1"/>
  <c r="L134" i="5" s="1"/>
  <c r="U82" i="2"/>
  <c r="I2" i="2"/>
  <c r="U2" i="2"/>
  <c r="I3" i="2"/>
  <c r="U3" i="2"/>
  <c r="J82" i="2"/>
  <c r="J80" i="4" s="1"/>
  <c r="N134" i="5" s="1"/>
  <c r="V82" i="2"/>
  <c r="K82" i="2"/>
  <c r="W82" i="2"/>
  <c r="K2" i="2"/>
  <c r="W2" i="2"/>
  <c r="K3" i="2"/>
  <c r="K277" i="4" s="1"/>
  <c r="O301" i="5" s="1"/>
  <c r="W3" i="2"/>
  <c r="K4" i="2"/>
  <c r="W4" i="2"/>
  <c r="W125" i="4" s="1"/>
  <c r="AG278" i="5" s="1"/>
  <c r="K5" i="2"/>
  <c r="W5" i="2"/>
  <c r="K6" i="2"/>
  <c r="W6" i="2"/>
  <c r="K7" i="2"/>
  <c r="W7" i="2"/>
  <c r="W124" i="4" s="1"/>
  <c r="AG276" i="5" s="1"/>
  <c r="M82" i="2"/>
  <c r="M80" i="4" s="1"/>
  <c r="R134" i="5" s="1"/>
  <c r="Y82" i="2"/>
  <c r="Y81" i="4" s="1"/>
  <c r="AJ147" i="5" s="1"/>
  <c r="G25" i="3"/>
  <c r="T118" i="4" s="1" a="1"/>
  <c r="T118" i="4" s="1"/>
  <c r="AC236" i="5" s="1"/>
  <c r="AL248" i="8" s="1"/>
  <c r="M2" i="2"/>
  <c r="Y2" i="2"/>
  <c r="Y179" i="4" s="1"/>
  <c r="AJ261" i="5" s="1"/>
  <c r="M3" i="2"/>
  <c r="Y3" i="2"/>
  <c r="M4" i="2"/>
  <c r="M10" i="4" s="1"/>
  <c r="R254" i="5" s="1"/>
  <c r="Y4" i="2"/>
  <c r="Y187" i="4" s="1"/>
  <c r="AJ151" i="5" s="1"/>
  <c r="M5" i="2"/>
  <c r="M66" i="4" s="1"/>
  <c r="R277" i="5" s="1"/>
  <c r="Y5" i="2"/>
  <c r="Y12" i="4" s="1"/>
  <c r="AJ263" i="5" s="1"/>
  <c r="M6" i="2"/>
  <c r="M28" i="4" s="1"/>
  <c r="R97" i="5" s="1"/>
  <c r="Y6" i="2"/>
  <c r="Y28" i="4" s="1"/>
  <c r="AJ97" i="5" s="1"/>
  <c r="M7" i="2"/>
  <c r="Y7" i="2"/>
  <c r="Y167" i="4" s="1"/>
  <c r="AJ247" i="5" s="1"/>
  <c r="M8" i="2"/>
  <c r="M88" i="4" s="1"/>
  <c r="R44" i="5" s="1"/>
  <c r="Y8" i="2"/>
  <c r="Y88" i="4" s="1"/>
  <c r="AJ44" i="5" s="1"/>
  <c r="M9" i="2"/>
  <c r="Y9" i="2"/>
  <c r="Y89" i="4" s="1"/>
  <c r="AJ48" i="5" s="1"/>
  <c r="M10" i="2"/>
  <c r="M107" i="4" s="1"/>
  <c r="R59" i="5" s="1"/>
  <c r="Y10" i="2"/>
  <c r="Y107" i="4" s="1"/>
  <c r="AJ59" i="5" s="1"/>
  <c r="M11" i="2"/>
  <c r="M103" i="4" s="1"/>
  <c r="R55" i="5" s="1"/>
  <c r="Y11" i="2"/>
  <c r="Y103" i="4" s="1"/>
  <c r="AJ55" i="5" s="1"/>
  <c r="M12" i="2"/>
  <c r="Y12" i="2"/>
  <c r="M13" i="2"/>
  <c r="M104" i="4" s="1"/>
  <c r="R56" i="5" s="1"/>
  <c r="Y13" i="2"/>
  <c r="Y104" i="4" s="1"/>
  <c r="AJ56" i="5" s="1"/>
  <c r="M14" i="2"/>
  <c r="Y14" i="2"/>
  <c r="Y233" i="4" s="1"/>
  <c r="AJ29" i="5" s="1"/>
  <c r="M15" i="2"/>
  <c r="M68" i="4" s="1"/>
  <c r="R165" i="5" s="1"/>
  <c r="Y15" i="2"/>
  <c r="Y68" i="4" s="1"/>
  <c r="AJ165" i="5" s="1"/>
  <c r="M16" i="2"/>
  <c r="M295" i="4" s="1"/>
  <c r="R98" i="5" s="1"/>
  <c r="Y16" i="2"/>
  <c r="M17" i="2"/>
  <c r="M171" i="4" s="1"/>
  <c r="R69" i="5" s="1"/>
  <c r="Y17" i="2"/>
  <c r="Y171" i="4" s="1"/>
  <c r="AJ69" i="5" s="1"/>
  <c r="M18" i="2"/>
  <c r="Y18" i="2"/>
  <c r="M19" i="2"/>
  <c r="M208" i="4" s="1"/>
  <c r="R75" i="5" s="1"/>
  <c r="Y19" i="2"/>
  <c r="Y140" i="4" s="1"/>
  <c r="AJ14" i="5" s="1"/>
  <c r="M20" i="2"/>
  <c r="Y20" i="2"/>
  <c r="M21" i="2"/>
  <c r="M40" i="4" s="1"/>
  <c r="Y21" i="2"/>
  <c r="Y40" i="4" s="1"/>
  <c r="AJ90" i="5" s="1"/>
  <c r="M22" i="2"/>
  <c r="M15" i="4" s="1"/>
  <c r="R181" i="5" s="1"/>
  <c r="Y22" i="2"/>
  <c r="M23" i="2"/>
  <c r="M87" i="4" s="1"/>
  <c r="R298" i="5" s="1"/>
  <c r="Y23" i="2"/>
  <c r="Y87" i="4" s="1"/>
  <c r="AJ298" i="5" s="1"/>
  <c r="M24" i="2"/>
  <c r="Y24" i="2"/>
  <c r="M25" i="2"/>
  <c r="Y25" i="2"/>
  <c r="Y249" i="4" s="1"/>
  <c r="AJ99" i="5" s="1"/>
  <c r="M26" i="2"/>
  <c r="M283" i="4" s="1"/>
  <c r="R102" i="5" s="1"/>
  <c r="Y26" i="2"/>
  <c r="Y283" i="4" s="1"/>
  <c r="AJ102" i="5" s="1"/>
  <c r="M27" i="2"/>
  <c r="Y27" i="2"/>
  <c r="Y115" i="4" s="1"/>
  <c r="AJ161" i="5" s="1"/>
  <c r="M28" i="2"/>
  <c r="Y28" i="2"/>
  <c r="M29" i="2"/>
  <c r="Y29" i="2"/>
  <c r="Y46" i="4" s="1"/>
  <c r="AJ32" i="5" s="1"/>
  <c r="M30" i="2"/>
  <c r="X82" i="2"/>
  <c r="X81" i="4" s="1"/>
  <c r="AI147" i="5" s="1"/>
  <c r="AN172" i="8" s="1"/>
  <c r="AZ172" i="8" s="1"/>
  <c r="P172" i="8" s="1"/>
  <c r="C2" i="2"/>
  <c r="C3" i="2"/>
  <c r="C4" i="2"/>
  <c r="C218" i="4" s="1"/>
  <c r="C242" i="5" s="1"/>
  <c r="V4" i="2"/>
  <c r="R5" i="2"/>
  <c r="P6" i="2"/>
  <c r="P28" i="4" s="1"/>
  <c r="W97" i="5" s="1"/>
  <c r="AJ126" i="8" s="1"/>
  <c r="L7" i="2"/>
  <c r="L51" i="4" s="1"/>
  <c r="Q39" i="5" s="1"/>
  <c r="AH70" i="8" s="1"/>
  <c r="I8" i="2"/>
  <c r="I88" i="4" s="1"/>
  <c r="C9" i="2"/>
  <c r="C388" i="4" s="1"/>
  <c r="C390" i="5" s="1"/>
  <c r="U9" i="2"/>
  <c r="O10" i="2"/>
  <c r="O107" i="4" s="1"/>
  <c r="U59" i="5" s="1"/>
  <c r="I11" i="2"/>
  <c r="I103" i="4" s="1"/>
  <c r="C12" i="2"/>
  <c r="U12" i="2"/>
  <c r="O13" i="2"/>
  <c r="O104" i="4" s="1"/>
  <c r="U56" i="5" s="1"/>
  <c r="I14" i="2"/>
  <c r="I233" i="4" s="1"/>
  <c r="L29" i="5" s="1"/>
  <c r="C15" i="2"/>
  <c r="C75" i="4" s="1"/>
  <c r="C250" i="5" s="1"/>
  <c r="U15" i="2"/>
  <c r="O16" i="2"/>
  <c r="I17" i="2"/>
  <c r="I171" i="4" s="1"/>
  <c r="L69" i="5" s="1"/>
  <c r="C18" i="2"/>
  <c r="C113" i="4" s="1"/>
  <c r="C135" i="5" s="1"/>
  <c r="U18" i="2"/>
  <c r="O19" i="2"/>
  <c r="I20" i="2"/>
  <c r="C21" i="2"/>
  <c r="C40" i="4" s="1"/>
  <c r="C90" i="5" s="1"/>
  <c r="R119" i="8" s="1"/>
  <c r="U21" i="2"/>
  <c r="O22" i="2"/>
  <c r="I23" i="2"/>
  <c r="I87" i="4" s="1"/>
  <c r="L298" i="5" s="1"/>
  <c r="C24" i="2"/>
  <c r="C235" i="4" s="1"/>
  <c r="C253" i="5" s="1"/>
  <c r="U24" i="2"/>
  <c r="O25" i="2"/>
  <c r="O268" i="4" s="1"/>
  <c r="U100" i="5" s="1"/>
  <c r="I26" i="2"/>
  <c r="I283" i="4" s="1"/>
  <c r="C27" i="2"/>
  <c r="C69" i="4" s="1"/>
  <c r="C170" i="5" s="1"/>
  <c r="R193" i="8" s="1"/>
  <c r="U27" i="2"/>
  <c r="O28" i="2"/>
  <c r="I29" i="2"/>
  <c r="C30" i="2"/>
  <c r="R30" i="2"/>
  <c r="J31" i="2"/>
  <c r="X31" i="2"/>
  <c r="X150" i="4" s="1"/>
  <c r="AI202" i="5" s="1"/>
  <c r="AN220" i="8" s="1"/>
  <c r="N32" i="2"/>
  <c r="N227" i="4" s="1"/>
  <c r="T203" i="5" s="1"/>
  <c r="AI19" i="8" s="1"/>
  <c r="D33" i="2"/>
  <c r="D153" i="4" s="1"/>
  <c r="E206" i="5" s="1"/>
  <c r="Q33" i="2"/>
  <c r="Q153" i="4" s="1"/>
  <c r="X206" i="5" s="1"/>
  <c r="F34" i="2"/>
  <c r="T34" i="2"/>
  <c r="I35" i="2"/>
  <c r="V35" i="2"/>
  <c r="K36" i="2"/>
  <c r="X36" i="2"/>
  <c r="M37" i="2"/>
  <c r="M154" i="4" s="1"/>
  <c r="R207" i="5" s="1"/>
  <c r="Z37" i="2"/>
  <c r="Z154" i="4" s="1"/>
  <c r="AL207" i="5" s="1"/>
  <c r="O38" i="2"/>
  <c r="D39" i="2"/>
  <c r="D186" i="4" s="1"/>
  <c r="E150" i="5" s="1"/>
  <c r="AD174" i="8" s="1"/>
  <c r="Q39" i="2"/>
  <c r="Q251" i="4" s="1"/>
  <c r="X280" i="5" s="1"/>
  <c r="F40" i="2"/>
  <c r="R40" i="2"/>
  <c r="F41" i="2"/>
  <c r="R41" i="2"/>
  <c r="F42" i="2"/>
  <c r="F95" i="4" s="1"/>
  <c r="H273" i="5" s="1"/>
  <c r="R42" i="2"/>
  <c r="F43" i="2"/>
  <c r="R43" i="2"/>
  <c r="F44" i="2"/>
  <c r="R44" i="2"/>
  <c r="F46" i="2"/>
  <c r="R46" i="2"/>
  <c r="F47" i="2"/>
  <c r="R47" i="2"/>
  <c r="N51" i="2"/>
  <c r="N357" i="4" s="1"/>
  <c r="T361" i="5" s="1"/>
  <c r="AI360" i="8" s="1"/>
  <c r="Z51" i="2"/>
  <c r="Z371" i="4" s="1"/>
  <c r="AL355" i="5" s="1"/>
  <c r="D2" i="2"/>
  <c r="D3" i="2"/>
  <c r="D4" i="2"/>
  <c r="X4" i="2"/>
  <c r="X109" i="4" s="1"/>
  <c r="AI65" i="5" s="1"/>
  <c r="AN94" i="8" s="1"/>
  <c r="AZ94" i="8" s="1"/>
  <c r="P94" i="8" s="1"/>
  <c r="U5" i="2"/>
  <c r="Q6" i="2"/>
  <c r="Q28" i="4" s="1"/>
  <c r="X97" i="5" s="1"/>
  <c r="O7" i="2"/>
  <c r="J8" i="2"/>
  <c r="J88" i="4" s="1"/>
  <c r="D9" i="2"/>
  <c r="V9" i="2"/>
  <c r="P10" i="2"/>
  <c r="P107" i="4" s="1"/>
  <c r="W59" i="5" s="1"/>
  <c r="AJ88" i="8" s="1"/>
  <c r="J11" i="2"/>
  <c r="J103" i="4" s="1"/>
  <c r="D12" i="2"/>
  <c r="D57" i="4" s="1"/>
  <c r="E257" i="5" s="1"/>
  <c r="V12" i="2"/>
  <c r="P13" i="2"/>
  <c r="P104" i="4" s="1"/>
  <c r="W56" i="5" s="1"/>
  <c r="AJ85" i="8" s="1"/>
  <c r="J14" i="2"/>
  <c r="J233" i="4" s="1"/>
  <c r="N29" i="5" s="1"/>
  <c r="D15" i="2"/>
  <c r="D68" i="4" s="1"/>
  <c r="E165" i="5" s="1"/>
  <c r="AD188" i="8" s="1"/>
  <c r="V15" i="2"/>
  <c r="P16" i="2"/>
  <c r="J17" i="2"/>
  <c r="J171" i="4" s="1"/>
  <c r="N69" i="5" s="1"/>
  <c r="D18" i="2"/>
  <c r="D113" i="4" s="1"/>
  <c r="E135" i="5" s="1"/>
  <c r="V18" i="2"/>
  <c r="P19" i="2"/>
  <c r="J20" i="2"/>
  <c r="D21" i="2"/>
  <c r="D40" i="4" s="1"/>
  <c r="E90" i="5" s="1"/>
  <c r="V21" i="2"/>
  <c r="V40" i="4" s="1"/>
  <c r="AF90" i="5" s="1"/>
  <c r="AM119" i="8" s="1"/>
  <c r="P22" i="2"/>
  <c r="J23" i="2"/>
  <c r="J87" i="4" s="1"/>
  <c r="N298" i="5" s="1"/>
  <c r="D24" i="2"/>
  <c r="D235" i="4" s="1"/>
  <c r="E253" i="5" s="1"/>
  <c r="V24" i="2"/>
  <c r="P25" i="2"/>
  <c r="P300" i="4" s="1"/>
  <c r="W153" i="5" s="1"/>
  <c r="AJ177" i="8" s="1"/>
  <c r="AV177" i="8" s="1"/>
  <c r="L177" i="8" s="1"/>
  <c r="J26" i="2"/>
  <c r="J283" i="4" s="1"/>
  <c r="D27" i="2"/>
  <c r="D69" i="4" s="1"/>
  <c r="E170" i="5" s="1"/>
  <c r="V27" i="2"/>
  <c r="P28" i="2"/>
  <c r="J29" i="2"/>
  <c r="D30" i="2"/>
  <c r="U30" i="2"/>
  <c r="K31" i="2"/>
  <c r="K150" i="4" s="1"/>
  <c r="Y31" i="2"/>
  <c r="Y150" i="4" s="1"/>
  <c r="AJ202" i="5" s="1"/>
  <c r="O32" i="2"/>
  <c r="E33" i="2"/>
  <c r="R33" i="2"/>
  <c r="H34" i="2"/>
  <c r="U34" i="2"/>
  <c r="J35" i="2"/>
  <c r="W35" i="2"/>
  <c r="W146" i="4" s="1"/>
  <c r="AG284" i="5" s="1"/>
  <c r="L36" i="2"/>
  <c r="Y36" i="2"/>
  <c r="N37" i="2"/>
  <c r="N154" i="4" s="1"/>
  <c r="T207" i="5" s="1"/>
  <c r="AI222" i="8" s="1"/>
  <c r="C38" i="2"/>
  <c r="F82" i="2"/>
  <c r="F2" i="2"/>
  <c r="F3" i="2"/>
  <c r="F4" i="2"/>
  <c r="D5" i="2"/>
  <c r="D66" i="4" s="1"/>
  <c r="E277" i="5" s="1"/>
  <c r="AD285" i="8" s="1"/>
  <c r="X5" i="2"/>
  <c r="X12" i="4" s="1"/>
  <c r="AI263" i="5" s="1"/>
  <c r="AN272" i="8" s="1"/>
  <c r="AZ272" i="8" s="1"/>
  <c r="P272" i="8" s="1"/>
  <c r="U6" i="2"/>
  <c r="Q7" i="2"/>
  <c r="L8" i="2"/>
  <c r="L88" i="4" s="1"/>
  <c r="Q44" i="5" s="1"/>
  <c r="AH75" i="8" s="1"/>
  <c r="AT75" i="8" s="1"/>
  <c r="J75" i="8" s="1"/>
  <c r="F9" i="2"/>
  <c r="X9" i="2"/>
  <c r="R10" i="2"/>
  <c r="R107" i="4" s="1"/>
  <c r="L11" i="2"/>
  <c r="L103" i="4" s="1"/>
  <c r="Q55" i="5" s="1"/>
  <c r="AH84" i="8" s="1"/>
  <c r="F12" i="2"/>
  <c r="X12" i="2"/>
  <c r="R13" i="2"/>
  <c r="R104" i="4" s="1"/>
  <c r="L14" i="2"/>
  <c r="F15" i="2"/>
  <c r="X15" i="2"/>
  <c r="X273" i="4" s="1"/>
  <c r="AI51" i="5" s="1"/>
  <c r="AN80" i="8" s="1"/>
  <c r="AZ80" i="8" s="1"/>
  <c r="R16" i="2"/>
  <c r="L17" i="2"/>
  <c r="L171" i="4" s="1"/>
  <c r="Q69" i="5" s="1"/>
  <c r="AH98" i="8" s="1"/>
  <c r="F18" i="2"/>
  <c r="X18" i="2"/>
  <c r="R19" i="2"/>
  <c r="L20" i="2"/>
  <c r="F21" i="2"/>
  <c r="F40" i="4" s="1"/>
  <c r="X21" i="2"/>
  <c r="X40" i="4" s="1"/>
  <c r="AI90" i="5" s="1"/>
  <c r="AN119" i="8" s="1"/>
  <c r="R22" i="2"/>
  <c r="L23" i="2"/>
  <c r="L87" i="4" s="1"/>
  <c r="Q298" i="5" s="1"/>
  <c r="AH304" i="8" s="1"/>
  <c r="AT304" i="8" s="1"/>
  <c r="J304" i="8" s="1"/>
  <c r="F24" i="2"/>
  <c r="X24" i="2"/>
  <c r="X138" i="4" s="1"/>
  <c r="AI86" i="5" s="1"/>
  <c r="AN115" i="8" s="1"/>
  <c r="AZ115" i="8" s="1"/>
  <c r="P115" i="8" s="1"/>
  <c r="R25" i="2"/>
  <c r="L26" i="2"/>
  <c r="L283" i="4" s="1"/>
  <c r="Q102" i="5" s="1"/>
  <c r="AH131" i="8" s="1"/>
  <c r="AT131" i="8" s="1"/>
  <c r="J131" i="8" s="1"/>
  <c r="F27" i="2"/>
  <c r="X27" i="2"/>
  <c r="R28" i="2"/>
  <c r="L29" i="2"/>
  <c r="F30" i="2"/>
  <c r="W30" i="2"/>
  <c r="W301" i="4" s="1"/>
  <c r="AG189" i="5" s="1"/>
  <c r="M31" i="2"/>
  <c r="M150" i="4" s="1"/>
  <c r="R202" i="5" s="1"/>
  <c r="C32" i="2"/>
  <c r="C145" i="4" s="1"/>
  <c r="C178" i="5" s="1"/>
  <c r="Q32" i="2"/>
  <c r="Q162" i="4" s="1"/>
  <c r="X237" i="5" s="1"/>
  <c r="H33" i="2"/>
  <c r="H201" i="4" s="1"/>
  <c r="K249" i="5" s="1"/>
  <c r="U33" i="2"/>
  <c r="J34" i="2"/>
  <c r="W34" i="2"/>
  <c r="W151" i="4" s="1"/>
  <c r="AG204" i="5" s="1"/>
  <c r="L35" i="2"/>
  <c r="Y35" i="2"/>
  <c r="N36" i="2"/>
  <c r="N147" i="4" s="1"/>
  <c r="T293" i="5" s="1"/>
  <c r="AI300" i="8" s="1"/>
  <c r="C37" i="2"/>
  <c r="C154" i="4" s="1"/>
  <c r="C207" i="5" s="1"/>
  <c r="R222" i="8" s="1"/>
  <c r="P37" i="2"/>
  <c r="P154" i="4" s="1"/>
  <c r="W207" i="5" s="1"/>
  <c r="AJ222" i="8" s="1"/>
  <c r="E38" i="2"/>
  <c r="R38" i="2"/>
  <c r="H39" i="2"/>
  <c r="H94" i="4" s="1"/>
  <c r="K120" i="5" s="1"/>
  <c r="U39" i="2"/>
  <c r="I40" i="2"/>
  <c r="U40" i="2"/>
  <c r="I41" i="2"/>
  <c r="U41" i="2"/>
  <c r="I42" i="2"/>
  <c r="U42" i="2"/>
  <c r="L82" i="2"/>
  <c r="L80" i="4" s="1"/>
  <c r="Q134" i="5" s="1"/>
  <c r="AH159" i="8" s="1"/>
  <c r="AT159" i="8" s="1"/>
  <c r="J159" i="8" s="1"/>
  <c r="P2" i="2"/>
  <c r="V3" i="2"/>
  <c r="E5" i="2"/>
  <c r="E12" i="4" s="1"/>
  <c r="F6" i="2"/>
  <c r="F28" i="4" s="1"/>
  <c r="I7" i="2"/>
  <c r="O8" i="2"/>
  <c r="O88" i="4" s="1"/>
  <c r="U44" i="5" s="1"/>
  <c r="L9" i="2"/>
  <c r="K10" i="2"/>
  <c r="O11" i="2"/>
  <c r="O103" i="4" s="1"/>
  <c r="U55" i="5" s="1"/>
  <c r="L12" i="2"/>
  <c r="K13" i="2"/>
  <c r="O14" i="2"/>
  <c r="O234" i="4" s="1"/>
  <c r="U30" i="5" s="1"/>
  <c r="L15" i="2"/>
  <c r="L68" i="4" s="1"/>
  <c r="Q165" i="5" s="1"/>
  <c r="AH188" i="8" s="1"/>
  <c r="AT188" i="8" s="1"/>
  <c r="J188" i="8" s="1"/>
  <c r="K16" i="2"/>
  <c r="O17" i="2"/>
  <c r="O171" i="4" s="1"/>
  <c r="U69" i="5" s="1"/>
  <c r="L18" i="2"/>
  <c r="K19" i="2"/>
  <c r="O20" i="2"/>
  <c r="L21" i="2"/>
  <c r="L40" i="4" s="1"/>
  <c r="Q90" i="5" s="1"/>
  <c r="K22" i="2"/>
  <c r="O23" i="2"/>
  <c r="O87" i="4" s="1"/>
  <c r="U298" i="5" s="1"/>
  <c r="L24" i="2"/>
  <c r="K25" i="2"/>
  <c r="O26" i="2"/>
  <c r="O283" i="4" s="1"/>
  <c r="U102" i="5" s="1"/>
  <c r="L27" i="2"/>
  <c r="L115" i="4" s="1"/>
  <c r="Q161" i="5" s="1"/>
  <c r="AH184" i="8" s="1"/>
  <c r="AT184" i="8" s="1"/>
  <c r="J184" i="8" s="1"/>
  <c r="K28" i="2"/>
  <c r="K42" i="4" s="1"/>
  <c r="O29" i="2"/>
  <c r="O49" i="4" s="1"/>
  <c r="U34" i="5" s="1"/>
  <c r="L30" i="2"/>
  <c r="L255" i="4" s="1"/>
  <c r="Q195" i="5" s="1"/>
  <c r="AH214" i="8" s="1"/>
  <c r="AT214" i="8" s="1"/>
  <c r="J214" i="8" s="1"/>
  <c r="F31" i="2"/>
  <c r="D32" i="2"/>
  <c r="D197" i="4" s="1"/>
  <c r="E234" i="5" s="1"/>
  <c r="W32" i="2"/>
  <c r="W93" i="4" s="1"/>
  <c r="AG112" i="5" s="1"/>
  <c r="O33" i="2"/>
  <c r="K34" i="2"/>
  <c r="K152" i="4" s="1"/>
  <c r="C35" i="2"/>
  <c r="T35" i="2"/>
  <c r="Q2" i="2"/>
  <c r="Q179" i="4" s="1"/>
  <c r="X261" i="5" s="1"/>
  <c r="X3" i="2"/>
  <c r="F5" i="2"/>
  <c r="F12" i="4" s="1"/>
  <c r="I6" i="2"/>
  <c r="I28" i="4" s="1"/>
  <c r="J7" i="2"/>
  <c r="P8" i="2"/>
  <c r="P88" i="4" s="1"/>
  <c r="W44" i="5" s="1"/>
  <c r="AJ75" i="8" s="1"/>
  <c r="O9" i="2"/>
  <c r="L10" i="2"/>
  <c r="L107" i="4" s="1"/>
  <c r="Q59" i="5" s="1"/>
  <c r="AH88" i="8" s="1"/>
  <c r="AT88" i="8" s="1"/>
  <c r="J88" i="8" s="1"/>
  <c r="P11" i="2"/>
  <c r="P103" i="4" s="1"/>
  <c r="W55" i="5" s="1"/>
  <c r="AJ84" i="8" s="1"/>
  <c r="O12" i="2"/>
  <c r="O106" i="4" s="1"/>
  <c r="U58" i="5" s="1"/>
  <c r="L13" i="2"/>
  <c r="L104" i="4" s="1"/>
  <c r="Q56" i="5" s="1"/>
  <c r="AH85" i="8" s="1"/>
  <c r="P14" i="2"/>
  <c r="P233" i="4" s="1"/>
  <c r="W29" i="5" s="1"/>
  <c r="AJ61" i="8" s="1"/>
  <c r="O15" i="2"/>
  <c r="O273" i="4" s="1"/>
  <c r="U51" i="5" s="1"/>
  <c r="L16" i="2"/>
  <c r="L206" i="4" s="1"/>
  <c r="Q71" i="5" s="1"/>
  <c r="AH100" i="8" s="1"/>
  <c r="AT100" i="8" s="1"/>
  <c r="J100" i="8" s="1"/>
  <c r="P17" i="2"/>
  <c r="P171" i="4" s="1"/>
  <c r="W69" i="5" s="1"/>
  <c r="AJ98" i="8" s="1"/>
  <c r="O18" i="2"/>
  <c r="L19" i="2"/>
  <c r="P20" i="2"/>
  <c r="O21" i="2"/>
  <c r="O40" i="4" s="1"/>
  <c r="U90" i="5" s="1"/>
  <c r="L22" i="2"/>
  <c r="L111" i="4" s="1"/>
  <c r="Q94" i="5" s="1"/>
  <c r="AH123" i="8" s="1"/>
  <c r="AT123" i="8" s="1"/>
  <c r="J123" i="8" s="1"/>
  <c r="P23" i="2"/>
  <c r="P87" i="4" s="1"/>
  <c r="W298" i="5" s="1"/>
  <c r="AJ304" i="8" s="1"/>
  <c r="O24" i="2"/>
  <c r="L25" i="2"/>
  <c r="P26" i="2"/>
  <c r="P283" i="4" s="1"/>
  <c r="W102" i="5" s="1"/>
  <c r="AJ131" i="8" s="1"/>
  <c r="O27" i="2"/>
  <c r="O115" i="4" s="1"/>
  <c r="U161" i="5" s="1"/>
  <c r="L28" i="2"/>
  <c r="P29" i="2"/>
  <c r="P47" i="4" s="1"/>
  <c r="W33" i="5" s="1"/>
  <c r="AJ64" i="8" s="1"/>
  <c r="N30" i="2"/>
  <c r="I31" i="2"/>
  <c r="E32" i="2"/>
  <c r="X32" i="2"/>
  <c r="P33" i="2"/>
  <c r="P153" i="4" s="1"/>
  <c r="W206" i="5" s="1"/>
  <c r="AJ221" i="8" s="1"/>
  <c r="L34" i="2"/>
  <c r="D35" i="2"/>
  <c r="U35" i="2"/>
  <c r="P36" i="2"/>
  <c r="P147" i="4" s="1"/>
  <c r="W293" i="5" s="1"/>
  <c r="AJ300" i="8" s="1"/>
  <c r="I37" i="2"/>
  <c r="I154" i="4" s="1"/>
  <c r="L207" i="5" s="1"/>
  <c r="Y37" i="2"/>
  <c r="Y154" i="4" s="1"/>
  <c r="AJ207" i="5" s="1"/>
  <c r="T38" i="2"/>
  <c r="K39" i="2"/>
  <c r="Z39" i="2"/>
  <c r="Z64" i="4" s="1"/>
  <c r="AL3" i="5" s="1"/>
  <c r="P40" i="2"/>
  <c r="P296" i="4" s="1"/>
  <c r="W156" i="5" s="1"/>
  <c r="AJ180" i="8" s="1"/>
  <c r="G41" i="2"/>
  <c r="V41" i="2"/>
  <c r="L42" i="2"/>
  <c r="Z42" i="2"/>
  <c r="O43" i="2"/>
  <c r="D44" i="2"/>
  <c r="D250" i="4" s="1"/>
  <c r="E103" i="5" s="1"/>
  <c r="AD132" i="8" s="1"/>
  <c r="Q44" i="2"/>
  <c r="G45" i="2"/>
  <c r="T45" i="2"/>
  <c r="T303" i="4" s="1"/>
  <c r="AC303" i="5" s="1"/>
  <c r="AL305" i="8" s="1"/>
  <c r="I46" i="2"/>
  <c r="I341" i="4" s="1"/>
  <c r="L333" i="5" s="1"/>
  <c r="V46" i="2"/>
  <c r="R2" i="2"/>
  <c r="E4" i="2"/>
  <c r="I5" i="2"/>
  <c r="I12" i="4" s="1"/>
  <c r="J6" i="2"/>
  <c r="J28" i="4" s="1"/>
  <c r="P7" i="2"/>
  <c r="Q8" i="2"/>
  <c r="Q88" i="4" s="1"/>
  <c r="X44" i="5" s="1"/>
  <c r="P9" i="2"/>
  <c r="P89" i="4" s="1"/>
  <c r="W48" i="5" s="1"/>
  <c r="AJ6" i="8" s="1"/>
  <c r="AV6" i="8" s="1"/>
  <c r="L6" i="8" s="1"/>
  <c r="Q10" i="2"/>
  <c r="Q107" i="4" s="1"/>
  <c r="X59" i="5" s="1"/>
  <c r="Q11" i="2"/>
  <c r="Q103" i="4" s="1"/>
  <c r="X55" i="5" s="1"/>
  <c r="P12" i="2"/>
  <c r="Q13" i="2"/>
  <c r="Q104" i="4" s="1"/>
  <c r="X56" i="5" s="1"/>
  <c r="Q14" i="2"/>
  <c r="P15" i="2"/>
  <c r="P75" i="4" s="1"/>
  <c r="W250" i="5" s="1"/>
  <c r="AJ260" i="8" s="1"/>
  <c r="Q16" i="2"/>
  <c r="Q206" i="4" s="1"/>
  <c r="X71" i="5" s="1"/>
  <c r="Q17" i="2"/>
  <c r="Q171" i="4" s="1"/>
  <c r="X69" i="5" s="1"/>
  <c r="P18" i="2"/>
  <c r="P67" i="4" s="1"/>
  <c r="W164" i="5" s="1"/>
  <c r="AJ187" i="8" s="1"/>
  <c r="Q19" i="2"/>
  <c r="Q20" i="2"/>
  <c r="P21" i="2"/>
  <c r="P40" i="4" s="1"/>
  <c r="W90" i="5" s="1"/>
  <c r="AJ119" i="8" s="1"/>
  <c r="Q22" i="2"/>
  <c r="Q111" i="4" s="1"/>
  <c r="X94" i="5" s="1"/>
  <c r="Q23" i="2"/>
  <c r="Q87" i="4" s="1"/>
  <c r="X298" i="5" s="1"/>
  <c r="P24" i="2"/>
  <c r="Q25" i="2"/>
  <c r="Q300" i="4" s="1"/>
  <c r="X153" i="5" s="1"/>
  <c r="Q26" i="2"/>
  <c r="Q283" i="4" s="1"/>
  <c r="X102" i="5" s="1"/>
  <c r="P27" i="2"/>
  <c r="P392" i="4" s="1"/>
  <c r="W413" i="5" s="1"/>
  <c r="AJ404" i="8" s="1"/>
  <c r="AV404" i="8" s="1"/>
  <c r="L404" i="8" s="1"/>
  <c r="Q28" i="2"/>
  <c r="Q29" i="2"/>
  <c r="Q46" i="4" s="1"/>
  <c r="X32" i="5" s="1"/>
  <c r="O30" i="2"/>
  <c r="O255" i="4" s="1"/>
  <c r="U195" i="5" s="1"/>
  <c r="L31" i="2"/>
  <c r="L150" i="4" s="1"/>
  <c r="Q202" i="5" s="1"/>
  <c r="AH220" i="8" s="1"/>
  <c r="F32" i="2"/>
  <c r="Y32" i="2"/>
  <c r="Y162" i="4" s="1"/>
  <c r="AJ237" i="5" s="1"/>
  <c r="T33" i="2"/>
  <c r="M34" i="2"/>
  <c r="E35" i="2"/>
  <c r="E188" i="4" s="1"/>
  <c r="F152" i="5" s="1"/>
  <c r="X35" i="2"/>
  <c r="Q36" i="2"/>
  <c r="Q212" i="4" s="1"/>
  <c r="X23" i="5" s="1"/>
  <c r="J37" i="2"/>
  <c r="J154" i="4" s="1"/>
  <c r="N207" i="5" s="1"/>
  <c r="D38" i="2"/>
  <c r="U38" i="2"/>
  <c r="L39" i="2"/>
  <c r="L247" i="4" s="1"/>
  <c r="Q231" i="5" s="1"/>
  <c r="AH243" i="8" s="1"/>
  <c r="AT243" i="8" s="1"/>
  <c r="J243" i="8" s="1"/>
  <c r="C40" i="2"/>
  <c r="Q40" i="2"/>
  <c r="H41" i="2"/>
  <c r="H288" i="4" s="1"/>
  <c r="K214" i="5" s="1"/>
  <c r="W41" i="2"/>
  <c r="M42" i="2"/>
  <c r="M160" i="4" s="1"/>
  <c r="R216" i="5" s="1"/>
  <c r="C43" i="2"/>
  <c r="P43" i="2"/>
  <c r="P242" i="4" s="1"/>
  <c r="W146" i="5" s="1"/>
  <c r="AJ171" i="8" s="1"/>
  <c r="E44" i="2"/>
  <c r="S44" i="2"/>
  <c r="J46" i="2"/>
  <c r="J342" i="4" s="1"/>
  <c r="N334" i="5" s="1"/>
  <c r="W46" i="2"/>
  <c r="L47" i="2"/>
  <c r="Y47" i="2"/>
  <c r="P50" i="2"/>
  <c r="C51" i="2"/>
  <c r="C357" i="4" s="1"/>
  <c r="C361" i="5" s="1"/>
  <c r="R360" i="8" s="1"/>
  <c r="P51" i="2"/>
  <c r="P373" i="4" s="1"/>
  <c r="W357" i="5" s="1"/>
  <c r="AJ356" i="8" s="1"/>
  <c r="N58" i="2"/>
  <c r="Z58" i="2"/>
  <c r="Z131" i="4" s="1"/>
  <c r="AL199" i="5" s="1"/>
  <c r="C82" i="2"/>
  <c r="C81" i="4" s="1"/>
  <c r="C147" i="5" s="1"/>
  <c r="X2" i="2"/>
  <c r="J4" i="2"/>
  <c r="L5" i="2"/>
  <c r="L12" i="4" s="1"/>
  <c r="Q263" i="5" s="1"/>
  <c r="AH272" i="8" s="1"/>
  <c r="AT272" i="8" s="1"/>
  <c r="J272" i="8" s="1"/>
  <c r="O6" i="2"/>
  <c r="O28" i="4" s="1"/>
  <c r="U97" i="5" s="1"/>
  <c r="U7" i="2"/>
  <c r="U8" i="2"/>
  <c r="R9" i="2"/>
  <c r="V10" i="2"/>
  <c r="U11" i="2"/>
  <c r="R12" i="2"/>
  <c r="V13" i="2"/>
  <c r="U14" i="2"/>
  <c r="R15" i="2"/>
  <c r="V16" i="2"/>
  <c r="U17" i="2"/>
  <c r="R18" i="2"/>
  <c r="V19" i="2"/>
  <c r="U20" i="2"/>
  <c r="R21" i="2"/>
  <c r="R40" i="4" s="1"/>
  <c r="Z90" i="5" s="1"/>
  <c r="AK119" i="8" s="1"/>
  <c r="V22" i="2"/>
  <c r="U23" i="2"/>
  <c r="R24" i="2"/>
  <c r="V25" i="2"/>
  <c r="U26" i="2"/>
  <c r="R27" i="2"/>
  <c r="V28" i="2"/>
  <c r="U29" i="2"/>
  <c r="Q30" i="2"/>
  <c r="Q254" i="4" s="1"/>
  <c r="X194" i="5" s="1"/>
  <c r="O31" i="2"/>
  <c r="J32" i="2"/>
  <c r="C33" i="2"/>
  <c r="C153" i="4" s="1"/>
  <c r="C206" i="5" s="1"/>
  <c r="R221" i="8" s="1"/>
  <c r="W33" i="2"/>
  <c r="W153" i="4" s="1"/>
  <c r="AG206" i="5" s="1"/>
  <c r="O34" i="2"/>
  <c r="O152" i="4" s="1"/>
  <c r="U205" i="5" s="1"/>
  <c r="H35" i="2"/>
  <c r="H128" i="4" s="1"/>
  <c r="K179" i="5" s="1"/>
  <c r="C36" i="2"/>
  <c r="T36" i="2"/>
  <c r="L37" i="2"/>
  <c r="L154" i="4" s="1"/>
  <c r="Q207" i="5" s="1"/>
  <c r="AH222" i="8" s="1"/>
  <c r="H38" i="2"/>
  <c r="W38" i="2"/>
  <c r="N39" i="2"/>
  <c r="N266" i="4" s="1"/>
  <c r="T7" i="5" s="1"/>
  <c r="AI43" i="8" s="1"/>
  <c r="E40" i="2"/>
  <c r="T40" i="2"/>
  <c r="K41" i="2"/>
  <c r="Y41" i="2"/>
  <c r="Y223" i="4" s="1"/>
  <c r="AJ15" i="5" s="1"/>
  <c r="O42" i="2"/>
  <c r="O160" i="4" s="1"/>
  <c r="U216" i="5" s="1"/>
  <c r="E43" i="2"/>
  <c r="E242" i="4" s="1"/>
  <c r="F146" i="5" s="1"/>
  <c r="O82" i="2"/>
  <c r="E3" i="2"/>
  <c r="L4" i="2"/>
  <c r="L38" i="4" s="1"/>
  <c r="Q63" i="5" s="1"/>
  <c r="AH92" i="8" s="1"/>
  <c r="AT92" i="8" s="1"/>
  <c r="J92" i="8" s="1"/>
  <c r="O5" i="2"/>
  <c r="R6" i="2"/>
  <c r="R28" i="4" s="1"/>
  <c r="V7" i="2"/>
  <c r="P82" i="2"/>
  <c r="P81" i="4" s="1"/>
  <c r="W147" i="5" s="1"/>
  <c r="AJ172" i="8" s="1"/>
  <c r="AV172" i="8" s="1"/>
  <c r="L172" i="8" s="1"/>
  <c r="J3" i="2"/>
  <c r="O4" i="2"/>
  <c r="O200" i="4" s="1"/>
  <c r="U244" i="5" s="1"/>
  <c r="P5" i="2"/>
  <c r="P12" i="4" s="1"/>
  <c r="W263" i="5" s="1"/>
  <c r="AJ272" i="8" s="1"/>
  <c r="V6" i="2"/>
  <c r="V28" i="4" s="1"/>
  <c r="AF97" i="5" s="1"/>
  <c r="X7" i="2"/>
  <c r="X167" i="4" s="1"/>
  <c r="AI247" i="5" s="1"/>
  <c r="AN258" i="8" s="1"/>
  <c r="AZ258" i="8" s="1"/>
  <c r="P258" i="8" s="1"/>
  <c r="W8" i="2"/>
  <c r="C10" i="2"/>
  <c r="C107" i="4" s="1"/>
  <c r="C59" i="5" s="1"/>
  <c r="X10" i="2"/>
  <c r="X107" i="4" s="1"/>
  <c r="AI59" i="5" s="1"/>
  <c r="AN88" i="8" s="1"/>
  <c r="AZ88" i="8" s="1"/>
  <c r="P88" i="8" s="1"/>
  <c r="W11" i="2"/>
  <c r="C13" i="2"/>
  <c r="C104" i="4" s="1"/>
  <c r="C56" i="5" s="1"/>
  <c r="R85" i="8" s="1"/>
  <c r="X13" i="2"/>
  <c r="X104" i="4" s="1"/>
  <c r="AI56" i="5" s="1"/>
  <c r="AN85" i="8" s="1"/>
  <c r="AZ85" i="8" s="1"/>
  <c r="W14" i="2"/>
  <c r="C16" i="2"/>
  <c r="X16" i="2"/>
  <c r="W17" i="2"/>
  <c r="C19" i="2"/>
  <c r="C140" i="4" s="1"/>
  <c r="C14" i="5" s="1"/>
  <c r="X19" i="2"/>
  <c r="X140" i="4" s="1"/>
  <c r="AI14" i="5" s="1"/>
  <c r="AN49" i="8" s="1"/>
  <c r="AZ49" i="8" s="1"/>
  <c r="P49" i="8" s="1"/>
  <c r="W20" i="2"/>
  <c r="C22" i="2"/>
  <c r="C15" i="4" s="1"/>
  <c r="C181" i="5" s="1"/>
  <c r="X22" i="2"/>
  <c r="X15" i="4" s="1"/>
  <c r="AI181" i="5" s="1"/>
  <c r="AN202" i="8" s="1"/>
  <c r="AZ202" i="8" s="1"/>
  <c r="P202" i="8" s="1"/>
  <c r="W23" i="2"/>
  <c r="C25" i="2"/>
  <c r="X25" i="2"/>
  <c r="W26" i="2"/>
  <c r="C28" i="2"/>
  <c r="X28" i="2"/>
  <c r="W29" i="2"/>
  <c r="W48" i="4" s="1"/>
  <c r="AG233" i="5" s="1"/>
  <c r="X30" i="2"/>
  <c r="X254" i="4" s="1"/>
  <c r="AI194" i="5" s="1"/>
  <c r="AN213" i="8" s="1"/>
  <c r="AZ213" i="8" s="1"/>
  <c r="P213" i="8" s="1"/>
  <c r="Q31" i="2"/>
  <c r="Q150" i="4" s="1"/>
  <c r="X202" i="5" s="1"/>
  <c r="L32" i="2"/>
  <c r="L143" i="4" s="1"/>
  <c r="Q126" i="5" s="1"/>
  <c r="AH151" i="8" s="1"/>
  <c r="I33" i="2"/>
  <c r="Y33" i="2"/>
  <c r="Y153" i="4" s="1"/>
  <c r="AJ206" i="5" s="1"/>
  <c r="Q34" i="2"/>
  <c r="M35" i="2"/>
  <c r="M188" i="4" s="1"/>
  <c r="R152" i="5" s="1"/>
  <c r="E36" i="2"/>
  <c r="V36" i="2"/>
  <c r="Q37" i="2"/>
  <c r="Q154" i="4" s="1"/>
  <c r="X207" i="5" s="1"/>
  <c r="J38" i="2"/>
  <c r="Y38" i="2"/>
  <c r="R82" i="2"/>
  <c r="L3" i="2"/>
  <c r="P4" i="2"/>
  <c r="P218" i="4" s="1"/>
  <c r="W242" i="5" s="1"/>
  <c r="AJ253" i="8" s="1"/>
  <c r="AV253" i="8" s="1"/>
  <c r="L253" i="8" s="1"/>
  <c r="Q5" i="2"/>
  <c r="Q12" i="4" s="1"/>
  <c r="X263" i="5" s="1"/>
  <c r="X6" i="2"/>
  <c r="X28" i="4" s="1"/>
  <c r="AI97" i="5" s="1"/>
  <c r="AN126" i="8" s="1"/>
  <c r="AZ126" i="8" s="1"/>
  <c r="P126" i="8" s="1"/>
  <c r="C8" i="2"/>
  <c r="C88" i="4" s="1"/>
  <c r="C44" i="5" s="1"/>
  <c r="X8" i="2"/>
  <c r="X88" i="4" s="1"/>
  <c r="AI44" i="5" s="1"/>
  <c r="AN75" i="8" s="1"/>
  <c r="AZ75" i="8" s="1"/>
  <c r="P75" i="8" s="1"/>
  <c r="D10" i="2"/>
  <c r="D107" i="4" s="1"/>
  <c r="E59" i="5" s="1"/>
  <c r="C11" i="2"/>
  <c r="C103" i="4" s="1"/>
  <c r="C55" i="5" s="1"/>
  <c r="X11" i="2"/>
  <c r="X103" i="4" s="1"/>
  <c r="AI55" i="5" s="1"/>
  <c r="AN84" i="8" s="1"/>
  <c r="D13" i="2"/>
  <c r="D104" i="4" s="1"/>
  <c r="E56" i="5" s="1"/>
  <c r="C14" i="2"/>
  <c r="C234" i="4" s="1"/>
  <c r="C30" i="5" s="1"/>
  <c r="X14" i="2"/>
  <c r="D16" i="2"/>
  <c r="D39" i="4" s="1"/>
  <c r="E64" i="5" s="1"/>
  <c r="C17" i="2"/>
  <c r="C171" i="4" s="1"/>
  <c r="C69" i="5" s="1"/>
  <c r="R98" i="8" s="1"/>
  <c r="X17" i="2"/>
  <c r="X171" i="4" s="1"/>
  <c r="AI69" i="5" s="1"/>
  <c r="AN98" i="8" s="1"/>
  <c r="AZ98" i="8" s="1"/>
  <c r="D19" i="2"/>
  <c r="D208" i="4" s="1"/>
  <c r="E75" i="5" s="1"/>
  <c r="C20" i="2"/>
  <c r="X20" i="2"/>
  <c r="D22" i="2"/>
  <c r="C23" i="2"/>
  <c r="C87" i="4" s="1"/>
  <c r="C298" i="5" s="1"/>
  <c r="X23" i="2"/>
  <c r="X87" i="4" s="1"/>
  <c r="AI298" i="5" s="1"/>
  <c r="AN304" i="8" s="1"/>
  <c r="AZ304" i="8" s="1"/>
  <c r="P304" i="8" s="1"/>
  <c r="D25" i="2"/>
  <c r="C26" i="2"/>
  <c r="C283" i="4" s="1"/>
  <c r="C102" i="5" s="1"/>
  <c r="X26" i="2"/>
  <c r="X283" i="4" s="1"/>
  <c r="AI102" i="5" s="1"/>
  <c r="AN131" i="8" s="1"/>
  <c r="AZ131" i="8" s="1"/>
  <c r="P131" i="8" s="1"/>
  <c r="D28" i="2"/>
  <c r="C29" i="2"/>
  <c r="X29" i="2"/>
  <c r="X46" i="4" s="1"/>
  <c r="AI32" i="5" s="1"/>
  <c r="AN63" i="8" s="1"/>
  <c r="Y30" i="2"/>
  <c r="Y255" i="4" s="1"/>
  <c r="AJ195" i="5" s="1"/>
  <c r="R31" i="2"/>
  <c r="M32" i="2"/>
  <c r="M65" i="4" s="1"/>
  <c r="R148" i="5" s="1"/>
  <c r="J33" i="2"/>
  <c r="I4" i="2"/>
  <c r="D7" i="2"/>
  <c r="J9" i="2"/>
  <c r="F11" i="2"/>
  <c r="F103" i="4" s="1"/>
  <c r="I13" i="2"/>
  <c r="I104" i="4" s="1"/>
  <c r="J15" i="2"/>
  <c r="F17" i="2"/>
  <c r="F171" i="4" s="1"/>
  <c r="I19" i="2"/>
  <c r="J21" i="2"/>
  <c r="J40" i="4" s="1"/>
  <c r="N90" i="5" s="1"/>
  <c r="AG119" i="8" s="1"/>
  <c r="F23" i="2"/>
  <c r="F87" i="4" s="1"/>
  <c r="I25" i="2"/>
  <c r="I300" i="4" s="1"/>
  <c r="L153" i="5" s="1"/>
  <c r="J27" i="2"/>
  <c r="F29" i="2"/>
  <c r="D31" i="2"/>
  <c r="D150" i="4" s="1"/>
  <c r="E202" i="5" s="1"/>
  <c r="U32" i="2"/>
  <c r="D34" i="2"/>
  <c r="N35" i="2"/>
  <c r="O36" i="2"/>
  <c r="T37" i="2"/>
  <c r="Q38" i="2"/>
  <c r="Q211" i="4" s="1"/>
  <c r="X22" i="5" s="1"/>
  <c r="R39" i="2"/>
  <c r="M40" i="2"/>
  <c r="J41" i="2"/>
  <c r="D42" i="2"/>
  <c r="W42" i="2"/>
  <c r="Q43" i="2"/>
  <c r="I44" i="2"/>
  <c r="X44" i="2"/>
  <c r="O45" i="2"/>
  <c r="G46" i="2"/>
  <c r="X46" i="2"/>
  <c r="X322" i="4" s="1"/>
  <c r="AI325" i="5" s="1"/>
  <c r="AN30" i="8" s="1"/>
  <c r="AZ30" i="8" s="1"/>
  <c r="P30" i="8" s="1"/>
  <c r="N47" i="2"/>
  <c r="I50" i="2"/>
  <c r="I358" i="4" s="1"/>
  <c r="L352" i="5" s="1"/>
  <c r="W50" i="2"/>
  <c r="W370" i="4" s="1"/>
  <c r="AG354" i="5" s="1"/>
  <c r="K51" i="2"/>
  <c r="Y51" i="2"/>
  <c r="Y359" i="4" s="1"/>
  <c r="AJ363" i="5" s="1"/>
  <c r="X57" i="2"/>
  <c r="K58" i="2"/>
  <c r="X58" i="2"/>
  <c r="O61" i="2"/>
  <c r="N65" i="2"/>
  <c r="N133" i="4" s="1"/>
  <c r="T226" i="5" s="1"/>
  <c r="R4" i="2"/>
  <c r="F7" i="2"/>
  <c r="Q9" i="2"/>
  <c r="Q89" i="4" s="1"/>
  <c r="X48" i="5" s="1"/>
  <c r="R11" i="2"/>
  <c r="R103" i="4" s="1"/>
  <c r="U13" i="2"/>
  <c r="Q15" i="2"/>
  <c r="Q68" i="4" s="1"/>
  <c r="X165" i="5" s="1"/>
  <c r="E2" i="2"/>
  <c r="U4" i="2"/>
  <c r="R7" i="2"/>
  <c r="W9" i="2"/>
  <c r="W22" i="4" s="1"/>
  <c r="AG12" i="5" s="1"/>
  <c r="V11" i="2"/>
  <c r="W13" i="2"/>
  <c r="W15" i="2"/>
  <c r="W289" i="4" s="1"/>
  <c r="AG52" i="5" s="1"/>
  <c r="V17" i="2"/>
  <c r="W19" i="2"/>
  <c r="W21" i="2"/>
  <c r="W40" i="4" s="1"/>
  <c r="AG90" i="5" s="1"/>
  <c r="V23" i="2"/>
  <c r="W25" i="2"/>
  <c r="W27" i="2"/>
  <c r="V29" i="2"/>
  <c r="P31" i="2"/>
  <c r="P150" i="4" s="1"/>
  <c r="W202" i="5" s="1"/>
  <c r="AJ220" i="8" s="1"/>
  <c r="F33" i="2"/>
  <c r="N34" i="2"/>
  <c r="N152" i="4" s="1"/>
  <c r="T205" i="5" s="1"/>
  <c r="AI21" i="8" s="1"/>
  <c r="Q35" i="2"/>
  <c r="W36" i="2"/>
  <c r="W37" i="2"/>
  <c r="Z38" i="2"/>
  <c r="W39" i="2"/>
  <c r="W238" i="4" s="1"/>
  <c r="AG105" i="5" s="1"/>
  <c r="S40" i="2"/>
  <c r="N41" i="2"/>
  <c r="N193" i="4" s="1"/>
  <c r="T210" i="5" s="1"/>
  <c r="AI225" i="8" s="1"/>
  <c r="H42" i="2"/>
  <c r="H160" i="4" s="1"/>
  <c r="K216" i="5" s="1"/>
  <c r="D43" i="2"/>
  <c r="U43" i="2"/>
  <c r="L44" i="2"/>
  <c r="C45" i="2"/>
  <c r="C303" i="4" s="1"/>
  <c r="C303" i="5" s="1"/>
  <c r="R305" i="8" s="1"/>
  <c r="S45" i="2"/>
  <c r="S303" i="4" s="1"/>
  <c r="AA303" i="5" s="1"/>
  <c r="L46" i="2"/>
  <c r="L341" i="4" s="1"/>
  <c r="Q333" i="5" s="1"/>
  <c r="AH333" i="8" s="1"/>
  <c r="AT333" i="8" s="1"/>
  <c r="J333" i="8" s="1"/>
  <c r="C47" i="2"/>
  <c r="Q47" i="2"/>
  <c r="L50" i="2"/>
  <c r="Z50" i="2"/>
  <c r="Z368" i="4" s="1"/>
  <c r="AL369" i="5" s="1"/>
  <c r="O51" i="2"/>
  <c r="O58" i="2"/>
  <c r="O123" i="4" s="1"/>
  <c r="U145" i="5" s="1"/>
  <c r="N68" i="2"/>
  <c r="Z68" i="2"/>
  <c r="Z21" i="4" s="1"/>
  <c r="AL91" i="5" s="1"/>
  <c r="N73" i="2"/>
  <c r="N219" i="4" s="1"/>
  <c r="T265" i="5" s="1"/>
  <c r="AI27" i="8" s="1"/>
  <c r="Z73" i="2"/>
  <c r="Z176" i="4" s="1"/>
  <c r="AL267" i="5" s="1"/>
  <c r="J2" i="2"/>
  <c r="C5" i="2"/>
  <c r="D8" i="2"/>
  <c r="D88" i="4" s="1"/>
  <c r="E44" i="5" s="1"/>
  <c r="E10" i="2"/>
  <c r="E107" i="4" s="1"/>
  <c r="E12" i="2"/>
  <c r="D14" i="2"/>
  <c r="D272" i="4" s="1"/>
  <c r="E50" i="5" s="1"/>
  <c r="E16" i="2"/>
  <c r="E18" i="2"/>
  <c r="E67" i="4" s="1"/>
  <c r="F164" i="5" s="1"/>
  <c r="D20" i="2"/>
  <c r="E22" i="2"/>
  <c r="E24" i="2"/>
  <c r="D26" i="2"/>
  <c r="D283" i="4" s="1"/>
  <c r="E102" i="5" s="1"/>
  <c r="AD131" i="8" s="1"/>
  <c r="E28" i="2"/>
  <c r="E30" i="2"/>
  <c r="U31" i="2"/>
  <c r="K33" i="2"/>
  <c r="K153" i="4" s="1"/>
  <c r="P34" i="2"/>
  <c r="R35" i="2"/>
  <c r="Z36" i="2"/>
  <c r="X37" i="2"/>
  <c r="X154" i="4" s="1"/>
  <c r="AI207" i="5" s="1"/>
  <c r="AN222" i="8" s="1"/>
  <c r="AZ222" i="8" s="1"/>
  <c r="P222" i="8" s="1"/>
  <c r="C39" i="2"/>
  <c r="X39" i="2"/>
  <c r="X64" i="4" s="1"/>
  <c r="AI3" i="5" s="1"/>
  <c r="AN40" i="8" s="1"/>
  <c r="AZ40" i="8" s="1"/>
  <c r="V40" i="2"/>
  <c r="O41" i="2"/>
  <c r="O288" i="4" s="1"/>
  <c r="U214" i="5" s="1"/>
  <c r="J42" i="2"/>
  <c r="G43" i="2"/>
  <c r="V43" i="2"/>
  <c r="M44" i="2"/>
  <c r="D45" i="2"/>
  <c r="V45" i="2"/>
  <c r="V303" i="4" s="1"/>
  <c r="AF303" i="5" s="1"/>
  <c r="M46" i="2"/>
  <c r="M321" i="4" s="1"/>
  <c r="R324" i="5" s="1"/>
  <c r="D47" i="2"/>
  <c r="S47" i="2"/>
  <c r="M50" i="2"/>
  <c r="Q51" i="2"/>
  <c r="P57" i="2"/>
  <c r="P96" i="4" s="1"/>
  <c r="W122" i="5" s="1"/>
  <c r="AJ150" i="8" s="1"/>
  <c r="C58" i="2"/>
  <c r="C123" i="4" s="1"/>
  <c r="C145" i="5" s="1"/>
  <c r="P58" i="2"/>
  <c r="P245" i="4" s="1"/>
  <c r="W229" i="5" s="1"/>
  <c r="AJ241" i="8" s="1"/>
  <c r="C68" i="2"/>
  <c r="C21" i="4" s="1"/>
  <c r="C91" i="5" s="1"/>
  <c r="R120" i="8" s="1"/>
  <c r="O68" i="2"/>
  <c r="O21" i="4" s="1"/>
  <c r="U91" i="5" s="1"/>
  <c r="L2" i="2"/>
  <c r="J5" i="2"/>
  <c r="E8" i="2"/>
  <c r="E88" i="4" s="1"/>
  <c r="F10" i="2"/>
  <c r="F107" i="4" s="1"/>
  <c r="I12" i="2"/>
  <c r="E14" i="2"/>
  <c r="F16" i="2"/>
  <c r="I18" i="2"/>
  <c r="I16" i="4" s="1"/>
  <c r="L183" i="5" s="1"/>
  <c r="E20" i="2"/>
  <c r="F22" i="2"/>
  <c r="F15" i="4" s="1"/>
  <c r="H181" i="5" s="1"/>
  <c r="I24" i="2"/>
  <c r="E26" i="2"/>
  <c r="E283" i="4" s="1"/>
  <c r="F102" i="5" s="1"/>
  <c r="F28" i="2"/>
  <c r="I30" i="2"/>
  <c r="V31" i="2"/>
  <c r="L33" i="2"/>
  <c r="L153" i="4" s="1"/>
  <c r="Q206" i="5" s="1"/>
  <c r="AH221" i="8" s="1"/>
  <c r="AT221" i="8" s="1"/>
  <c r="J221" i="8" s="1"/>
  <c r="R34" i="2"/>
  <c r="Z35" i="2"/>
  <c r="D37" i="2"/>
  <c r="D154" i="4" s="1"/>
  <c r="E207" i="5" s="1"/>
  <c r="F38" i="2"/>
  <c r="E39" i="2"/>
  <c r="Y39" i="2"/>
  <c r="Y94" i="4" s="1"/>
  <c r="AJ120" i="5" s="1"/>
  <c r="W40" i="2"/>
  <c r="W263" i="4" s="1"/>
  <c r="AG289" i="5" s="1"/>
  <c r="P41" i="2"/>
  <c r="K42" i="2"/>
  <c r="H43" i="2"/>
  <c r="W43" i="2"/>
  <c r="N44" i="2"/>
  <c r="E45" i="2"/>
  <c r="W45" i="2"/>
  <c r="O2" i="2"/>
  <c r="V5" i="2"/>
  <c r="V12" i="4" s="1"/>
  <c r="F8" i="2"/>
  <c r="F88" i="4" s="1"/>
  <c r="I10" i="2"/>
  <c r="I107" i="4" s="1"/>
  <c r="J12" i="2"/>
  <c r="F14" i="2"/>
  <c r="I16" i="2"/>
  <c r="J18" i="2"/>
  <c r="J17" i="4" s="1"/>
  <c r="N184" i="5" s="1"/>
  <c r="F20" i="2"/>
  <c r="I22" i="2"/>
  <c r="J24" i="2"/>
  <c r="V2" i="2"/>
  <c r="C6" i="2"/>
  <c r="C28" i="4" s="1"/>
  <c r="C97" i="5" s="1"/>
  <c r="R126" i="8" s="1"/>
  <c r="K8" i="2"/>
  <c r="J10" i="2"/>
  <c r="J107" i="4" s="1"/>
  <c r="K12" i="2"/>
  <c r="K14" i="2"/>
  <c r="J16" i="2"/>
  <c r="K18" i="2"/>
  <c r="K20" i="2"/>
  <c r="J22" i="2"/>
  <c r="K24" i="2"/>
  <c r="K26" i="2"/>
  <c r="J28" i="2"/>
  <c r="K30" i="2"/>
  <c r="Z31" i="2"/>
  <c r="Z150" i="4" s="1"/>
  <c r="AL202" i="5" s="1"/>
  <c r="N33" i="2"/>
  <c r="N153" i="4" s="1"/>
  <c r="T206" i="5" s="1"/>
  <c r="AI221" i="8" s="1"/>
  <c r="X34" i="2"/>
  <c r="F36" i="2"/>
  <c r="F37" i="2"/>
  <c r="F154" i="4" s="1"/>
  <c r="K38" i="2"/>
  <c r="I39" i="2"/>
  <c r="G40" i="2"/>
  <c r="Y40" i="2"/>
  <c r="S41" i="2"/>
  <c r="P42" i="2"/>
  <c r="J43" i="2"/>
  <c r="Y43" i="2"/>
  <c r="P44" i="2"/>
  <c r="J45" i="2"/>
  <c r="Y45" i="2"/>
  <c r="P46" i="2"/>
  <c r="H47" i="2"/>
  <c r="V47" i="2"/>
  <c r="D50" i="2"/>
  <c r="D370" i="4" s="1"/>
  <c r="E354" i="5" s="1"/>
  <c r="R50" i="2"/>
  <c r="F51" i="2"/>
  <c r="T51" i="2"/>
  <c r="O54" i="2"/>
  <c r="O232" i="4" s="1"/>
  <c r="U19" i="5" s="1"/>
  <c r="O3" i="2"/>
  <c r="D6" i="2"/>
  <c r="D28" i="4" s="1"/>
  <c r="E97" i="5" s="1"/>
  <c r="AC6" i="2" s="1"/>
  <c r="R8" i="2"/>
  <c r="R88" i="4" s="1"/>
  <c r="U10" i="2"/>
  <c r="Q12" i="2"/>
  <c r="Q57" i="4" s="1"/>
  <c r="X257" i="5" s="1"/>
  <c r="R14" i="2"/>
  <c r="U16" i="2"/>
  <c r="Q18" i="2"/>
  <c r="Q17" i="4" s="1"/>
  <c r="X184" i="5" s="1"/>
  <c r="R20" i="2"/>
  <c r="U22" i="2"/>
  <c r="Q24" i="2"/>
  <c r="R26" i="2"/>
  <c r="R283" i="4" s="1"/>
  <c r="U28" i="2"/>
  <c r="P30" i="2"/>
  <c r="P254" i="4" s="1"/>
  <c r="W194" i="5" s="1"/>
  <c r="AJ213" i="8" s="1"/>
  <c r="I32" i="2"/>
  <c r="V33" i="2"/>
  <c r="Y34" i="2"/>
  <c r="H36" i="2"/>
  <c r="H147" i="4" s="1"/>
  <c r="K293" i="5" s="1"/>
  <c r="H37" i="2"/>
  <c r="H154" i="4" s="1"/>
  <c r="K207" i="5" s="1"/>
  <c r="L38" i="2"/>
  <c r="J39" i="2"/>
  <c r="H40" i="2"/>
  <c r="Z40" i="2"/>
  <c r="T41" i="2"/>
  <c r="Q42" i="2"/>
  <c r="Q159" i="4" s="1"/>
  <c r="X215" i="5" s="1"/>
  <c r="K43" i="2"/>
  <c r="Z43" i="2"/>
  <c r="T44" i="2"/>
  <c r="K45" i="2"/>
  <c r="Z45" i="2"/>
  <c r="Z303" i="4" s="1"/>
  <c r="AL303" i="5" s="1"/>
  <c r="Q46" i="2"/>
  <c r="I47" i="2"/>
  <c r="W47" i="2"/>
  <c r="Q49" i="2"/>
  <c r="Q308" i="4" s="1"/>
  <c r="X307" i="5" s="1"/>
  <c r="E50" i="2"/>
  <c r="S50" i="2"/>
  <c r="G51" i="2"/>
  <c r="U51" i="2"/>
  <c r="U371" i="4" s="1"/>
  <c r="AD355" i="5" s="1"/>
  <c r="P3" i="2"/>
  <c r="E6" i="2"/>
  <c r="E28" i="4" s="1"/>
  <c r="V8" i="2"/>
  <c r="W10" i="2"/>
  <c r="W12" i="2"/>
  <c r="V14" i="2"/>
  <c r="W16" i="2"/>
  <c r="W18" i="2"/>
  <c r="V20" i="2"/>
  <c r="W22" i="2"/>
  <c r="W297" i="4" s="1"/>
  <c r="AG272" i="5" s="1"/>
  <c r="W24" i="2"/>
  <c r="W101" i="4" s="1"/>
  <c r="AG35" i="5" s="1"/>
  <c r="V26" i="2"/>
  <c r="W28" i="2"/>
  <c r="W6" i="4" s="1"/>
  <c r="AG175" i="5" s="1"/>
  <c r="V30" i="2"/>
  <c r="K32" i="2"/>
  <c r="K227" i="4" s="1"/>
  <c r="X33" i="2"/>
  <c r="X153" i="4" s="1"/>
  <c r="AI206" i="5" s="1"/>
  <c r="AN221" i="8" s="1"/>
  <c r="Z34" i="2"/>
  <c r="I36" i="2"/>
  <c r="K37" i="2"/>
  <c r="M38" i="2"/>
  <c r="M39" i="2"/>
  <c r="J40" i="2"/>
  <c r="C41" i="2"/>
  <c r="C83" i="4" s="1"/>
  <c r="C159" i="5" s="1"/>
  <c r="X41" i="2"/>
  <c r="X84" i="4" s="1"/>
  <c r="AI160" i="5" s="1"/>
  <c r="AN183" i="8" s="1"/>
  <c r="AZ183" i="8" s="1"/>
  <c r="P183" i="8" s="1"/>
  <c r="S42" i="2"/>
  <c r="L43" i="2"/>
  <c r="C44" i="2"/>
  <c r="U44" i="2"/>
  <c r="L45" i="2"/>
  <c r="L303" i="4" s="1"/>
  <c r="Q303" i="5" s="1"/>
  <c r="AH305" i="8" s="1"/>
  <c r="AT305" i="8" s="1"/>
  <c r="J305" i="8" s="1"/>
  <c r="C46" i="2"/>
  <c r="C317" i="4" s="1"/>
  <c r="C305" i="5" s="1"/>
  <c r="R307" i="8" s="1"/>
  <c r="S46" i="2"/>
  <c r="S317" i="4" s="1"/>
  <c r="AA305" i="5" s="1"/>
  <c r="J47" i="2"/>
  <c r="X47" i="2"/>
  <c r="F50" i="2"/>
  <c r="T50" i="2"/>
  <c r="T369" i="4" s="1"/>
  <c r="AC353" i="5" s="1"/>
  <c r="AL352" i="8" s="1"/>
  <c r="H51" i="2"/>
  <c r="H357" i="4" s="1"/>
  <c r="K361" i="5" s="1"/>
  <c r="AF360" i="8" s="1"/>
  <c r="AR360" i="8" s="1"/>
  <c r="H360" i="8" s="1"/>
  <c r="V51" i="2"/>
  <c r="V354" i="4" s="1"/>
  <c r="AF370" i="5" s="1"/>
  <c r="AM34" i="8" s="1"/>
  <c r="H57" i="2"/>
  <c r="H281" i="4" s="1"/>
  <c r="K292" i="5" s="1"/>
  <c r="U57" i="2"/>
  <c r="H58" i="2"/>
  <c r="O81" i="2"/>
  <c r="O77" i="4" s="1"/>
  <c r="U119" i="5" s="1"/>
  <c r="U80" i="2"/>
  <c r="U318" i="4" s="1"/>
  <c r="AD306" i="5" s="1"/>
  <c r="I80" i="2"/>
  <c r="I333" i="4" s="1"/>
  <c r="L350" i="5" s="1"/>
  <c r="U76" i="2"/>
  <c r="I76" i="2"/>
  <c r="V75" i="2"/>
  <c r="J75" i="2"/>
  <c r="W74" i="2"/>
  <c r="W386" i="4" s="1"/>
  <c r="AG385" i="5" s="1"/>
  <c r="J74" i="2"/>
  <c r="J386" i="4" s="1"/>
  <c r="N385" i="5" s="1"/>
  <c r="V73" i="2"/>
  <c r="I73" i="2"/>
  <c r="V72" i="2"/>
  <c r="I72" i="2"/>
  <c r="U71" i="2"/>
  <c r="H71" i="2"/>
  <c r="H72" i="4" s="1"/>
  <c r="K191" i="5" s="1"/>
  <c r="T70" i="2"/>
  <c r="G70" i="2"/>
  <c r="S69" i="2"/>
  <c r="S23" i="4" s="1"/>
  <c r="AA13" i="5" s="1"/>
  <c r="Y68" i="2"/>
  <c r="Y21" i="4" s="1"/>
  <c r="AJ91" i="5" s="1"/>
  <c r="K68" i="2"/>
  <c r="W67" i="2"/>
  <c r="I67" i="2"/>
  <c r="T66" i="2"/>
  <c r="F66" i="2"/>
  <c r="O65" i="2"/>
  <c r="O195" i="4" s="1"/>
  <c r="U228" i="5" s="1"/>
  <c r="Y64" i="2"/>
  <c r="Y271" i="4" s="1"/>
  <c r="AJ225" i="5" s="1"/>
  <c r="J64" i="2"/>
  <c r="J271" i="4" s="1"/>
  <c r="R63" i="2"/>
  <c r="D63" i="2"/>
  <c r="P63" i="2"/>
  <c r="G63" i="2"/>
  <c r="S63" i="2"/>
  <c r="S190" i="4" s="1"/>
  <c r="AA281" i="5" s="1"/>
  <c r="H63" i="2"/>
  <c r="T63" i="2"/>
  <c r="K62" i="2"/>
  <c r="Q61" i="2"/>
  <c r="Z60" i="2"/>
  <c r="Z304" i="4" s="1"/>
  <c r="AL304" i="5" s="1"/>
  <c r="I60" i="2"/>
  <c r="R59" i="2"/>
  <c r="R86" i="4" s="1"/>
  <c r="W58" i="2"/>
  <c r="F58" i="2"/>
  <c r="M57" i="2"/>
  <c r="M258" i="4" s="1"/>
  <c r="R296" i="5" s="1"/>
  <c r="U56" i="2"/>
  <c r="D56" i="2"/>
  <c r="P56" i="2"/>
  <c r="P276" i="4" s="1"/>
  <c r="W302" i="5" s="1"/>
  <c r="J56" i="2"/>
  <c r="J14" i="4" s="1"/>
  <c r="N180" i="5" s="1"/>
  <c r="W56" i="2"/>
  <c r="W18" i="4" s="1"/>
  <c r="AG185" i="5" s="1"/>
  <c r="M56" i="2"/>
  <c r="M276" i="4" s="1"/>
  <c r="R302" i="5" s="1"/>
  <c r="Z56" i="2"/>
  <c r="Z276" i="4" s="1"/>
  <c r="AL302" i="5" s="1"/>
  <c r="BA302" i="5" s="1"/>
  <c r="N56" i="2"/>
  <c r="N276" i="4" s="1"/>
  <c r="T302" i="5" s="1"/>
  <c r="G56" i="2"/>
  <c r="T56" i="2"/>
  <c r="G55" i="2"/>
  <c r="J54" i="2"/>
  <c r="J232" i="4" s="1"/>
  <c r="N53" i="2"/>
  <c r="N384" i="4" s="1"/>
  <c r="T386" i="5" s="1"/>
  <c r="N52" i="2"/>
  <c r="N385" i="4" s="1"/>
  <c r="T384" i="5" s="1"/>
  <c r="AI381" i="8" s="1"/>
  <c r="L51" i="2"/>
  <c r="L357" i="4" s="1"/>
  <c r="Q361" i="5" s="1"/>
  <c r="AH360" i="8" s="1"/>
  <c r="K50" i="2"/>
  <c r="K365" i="4" s="1"/>
  <c r="O365" i="5" s="1"/>
  <c r="I49" i="2"/>
  <c r="I308" i="4" s="1"/>
  <c r="L307" i="5" s="1"/>
  <c r="I48" i="2"/>
  <c r="E47" i="2"/>
  <c r="Q45" i="2"/>
  <c r="Q303" i="4" s="1"/>
  <c r="X303" i="5" s="1"/>
  <c r="H44" i="2"/>
  <c r="N42" i="2"/>
  <c r="N159" i="4" s="1"/>
  <c r="T215" i="5" s="1"/>
  <c r="AI23" i="8" s="1"/>
  <c r="N40" i="2"/>
  <c r="N265" i="4" s="1"/>
  <c r="T6" i="5" s="1"/>
  <c r="AI42" i="8" s="1"/>
  <c r="N38" i="2"/>
  <c r="P35" i="2"/>
  <c r="P128" i="4" s="1"/>
  <c r="W179" i="5" s="1"/>
  <c r="AJ201" i="8" s="1"/>
  <c r="R32" i="2"/>
  <c r="I28" i="2"/>
  <c r="E23" i="2"/>
  <c r="E87" i="4" s="1"/>
  <c r="E17" i="2"/>
  <c r="E171" i="4" s="1"/>
  <c r="I9" i="2"/>
  <c r="W81" i="2"/>
  <c r="W285" i="4" s="1"/>
  <c r="AG107" i="5" s="1"/>
  <c r="N81" i="2"/>
  <c r="N285" i="4" s="1"/>
  <c r="T107" i="5" s="1"/>
  <c r="T80" i="2"/>
  <c r="T318" i="4" s="1"/>
  <c r="AC306" i="5" s="1"/>
  <c r="AL308" i="8" s="1"/>
  <c r="H80" i="2"/>
  <c r="T76" i="2"/>
  <c r="H76" i="2"/>
  <c r="H180" i="4" s="1"/>
  <c r="K87" i="5" s="1"/>
  <c r="U75" i="2"/>
  <c r="I75" i="2"/>
  <c r="V74" i="2"/>
  <c r="V386" i="4" s="1"/>
  <c r="AF385" i="5" s="1"/>
  <c r="I74" i="2"/>
  <c r="I386" i="4" s="1"/>
  <c r="L385" i="5" s="1"/>
  <c r="U73" i="2"/>
  <c r="H73" i="2"/>
  <c r="H219" i="4" s="1"/>
  <c r="K265" i="5" s="1"/>
  <c r="AF27" i="8" s="1"/>
  <c r="AR27" i="8" s="1"/>
  <c r="H27" i="8" s="1"/>
  <c r="U72" i="2"/>
  <c r="H72" i="2"/>
  <c r="H225" i="4" s="1"/>
  <c r="K196" i="5" s="1"/>
  <c r="T71" i="2"/>
  <c r="G71" i="2"/>
  <c r="S70" i="2"/>
  <c r="F70" i="2"/>
  <c r="F99" i="4" s="1"/>
  <c r="H166" i="5" s="1"/>
  <c r="Q69" i="2"/>
  <c r="X68" i="2"/>
  <c r="X21" i="4" s="1"/>
  <c r="AI91" i="5" s="1"/>
  <c r="AN120" i="8" s="1"/>
  <c r="J68" i="2"/>
  <c r="V67" i="2"/>
  <c r="V378" i="4" s="1"/>
  <c r="AF378" i="5" s="1"/>
  <c r="AM374" i="8" s="1"/>
  <c r="H67" i="2"/>
  <c r="H382" i="4" s="1"/>
  <c r="K382" i="5" s="1"/>
  <c r="AF378" i="8" s="1"/>
  <c r="AR378" i="8" s="1"/>
  <c r="H378" i="8" s="1"/>
  <c r="S66" i="2"/>
  <c r="S119" i="4" s="1"/>
  <c r="AA241" i="5" s="1"/>
  <c r="C66" i="2"/>
  <c r="M65" i="2"/>
  <c r="M195" i="4" s="1"/>
  <c r="R228" i="5" s="1"/>
  <c r="X64" i="2"/>
  <c r="X271" i="4" s="1"/>
  <c r="AI225" i="5" s="1"/>
  <c r="AN238" i="8" s="1"/>
  <c r="AZ238" i="8" s="1"/>
  <c r="P238" i="8" s="1"/>
  <c r="I64" i="2"/>
  <c r="Q63" i="2"/>
  <c r="Z62" i="2"/>
  <c r="I62" i="2"/>
  <c r="P61" i="2"/>
  <c r="Y60" i="2"/>
  <c r="H60" i="2"/>
  <c r="O59" i="2"/>
  <c r="O86" i="4" s="1"/>
  <c r="U299" i="5" s="1"/>
  <c r="V58" i="2"/>
  <c r="E58" i="2"/>
  <c r="L57" i="2"/>
  <c r="S56" i="2"/>
  <c r="X55" i="2"/>
  <c r="X134" i="4" s="1"/>
  <c r="AI20" i="5" s="1"/>
  <c r="D55" i="2"/>
  <c r="D134" i="4" s="1"/>
  <c r="E20" i="5" s="1"/>
  <c r="AP20" i="5" s="1"/>
  <c r="I54" i="2"/>
  <c r="I232" i="4" s="1"/>
  <c r="K53" i="2"/>
  <c r="K384" i="4" s="1"/>
  <c r="O386" i="5" s="1"/>
  <c r="L52" i="2"/>
  <c r="L385" i="4" s="1"/>
  <c r="Q384" i="5" s="1"/>
  <c r="AH381" i="8" s="1"/>
  <c r="J51" i="2"/>
  <c r="J361" i="4" s="1"/>
  <c r="N371" i="5" s="1"/>
  <c r="AG368" i="8" s="1"/>
  <c r="J50" i="2"/>
  <c r="H49" i="2"/>
  <c r="F48" i="2"/>
  <c r="Z46" i="2"/>
  <c r="Z317" i="4" s="1"/>
  <c r="AL305" i="5" s="1"/>
  <c r="P45" i="2"/>
  <c r="G44" i="2"/>
  <c r="G42" i="2"/>
  <c r="L40" i="2"/>
  <c r="L132" i="4" s="1"/>
  <c r="Q294" i="5" s="1"/>
  <c r="AH301" i="8" s="1"/>
  <c r="AT301" i="8" s="1"/>
  <c r="J301" i="8" s="1"/>
  <c r="I38" i="2"/>
  <c r="O35" i="2"/>
  <c r="O128" i="4" s="1"/>
  <c r="U179" i="5" s="1"/>
  <c r="P32" i="2"/>
  <c r="P65" i="4" s="1"/>
  <c r="W148" i="5" s="1"/>
  <c r="AJ12" i="8" s="1"/>
  <c r="AV12" i="8" s="1"/>
  <c r="L12" i="8" s="1"/>
  <c r="Q27" i="2"/>
  <c r="D23" i="2"/>
  <c r="D87" i="4" s="1"/>
  <c r="E298" i="5" s="1"/>
  <c r="D17" i="2"/>
  <c r="D171" i="4" s="1"/>
  <c r="E69" i="5" s="1"/>
  <c r="E9" i="2"/>
  <c r="Z81" i="2"/>
  <c r="K81" i="2"/>
  <c r="S80" i="2"/>
  <c r="S318" i="4" s="1"/>
  <c r="AA306" i="5" s="1"/>
  <c r="G80" i="2"/>
  <c r="S76" i="2"/>
  <c r="S180" i="4" s="1"/>
  <c r="AA87" i="5" s="1"/>
  <c r="G76" i="2"/>
  <c r="T75" i="2"/>
  <c r="H75" i="2"/>
  <c r="H164" i="4" s="1"/>
  <c r="K240" i="5" s="1"/>
  <c r="U74" i="2"/>
  <c r="U386" i="4" s="1"/>
  <c r="AD385" i="5" s="1"/>
  <c r="H74" i="2"/>
  <c r="H386" i="4" s="1"/>
  <c r="K385" i="5" s="1"/>
  <c r="T73" i="2"/>
  <c r="G73" i="2"/>
  <c r="T72" i="2"/>
  <c r="G72" i="2"/>
  <c r="S71" i="2"/>
  <c r="S204" i="4" s="1"/>
  <c r="AA251" i="5" s="1"/>
  <c r="F71" i="2"/>
  <c r="R70" i="2"/>
  <c r="P69" i="2"/>
  <c r="W68" i="2"/>
  <c r="W21" i="4" s="1"/>
  <c r="AG91" i="5" s="1"/>
  <c r="I68" i="2"/>
  <c r="U67" i="2"/>
  <c r="U383" i="4" s="1"/>
  <c r="AD383" i="5" s="1"/>
  <c r="G67" i="2"/>
  <c r="R66" i="2"/>
  <c r="R119" i="4" s="1"/>
  <c r="D66" i="2"/>
  <c r="D119" i="4" s="1"/>
  <c r="E241" i="5" s="1"/>
  <c r="AD252" i="8" s="1"/>
  <c r="P66" i="2"/>
  <c r="E66" i="2"/>
  <c r="Q66" i="2"/>
  <c r="Q119" i="4" s="1"/>
  <c r="L65" i="2"/>
  <c r="L195" i="4" s="1"/>
  <c r="Q228" i="5" s="1"/>
  <c r="AH24" i="8" s="1"/>
  <c r="AT24" i="8" s="1"/>
  <c r="J24" i="8" s="1"/>
  <c r="W64" i="2"/>
  <c r="H64" i="2"/>
  <c r="H271" i="4" s="1"/>
  <c r="K225" i="5" s="1"/>
  <c r="O63" i="2"/>
  <c r="Y62" i="2"/>
  <c r="H62" i="2"/>
  <c r="N61" i="2"/>
  <c r="N74" i="4" s="1"/>
  <c r="T208" i="5" s="1"/>
  <c r="AI223" i="8" s="1"/>
  <c r="W60" i="2"/>
  <c r="G60" i="2"/>
  <c r="N59" i="2"/>
  <c r="N86" i="4" s="1"/>
  <c r="T299" i="5" s="1"/>
  <c r="U58" i="2"/>
  <c r="D58" i="2"/>
  <c r="J57" i="2"/>
  <c r="R56" i="2"/>
  <c r="R276" i="4" s="1"/>
  <c r="W55" i="2"/>
  <c r="G54" i="2"/>
  <c r="J53" i="2"/>
  <c r="J384" i="4" s="1"/>
  <c r="N386" i="5" s="1"/>
  <c r="J52" i="2"/>
  <c r="J385" i="4" s="1"/>
  <c r="N384" i="5" s="1"/>
  <c r="AG381" i="8" s="1"/>
  <c r="I51" i="2"/>
  <c r="H50" i="2"/>
  <c r="F49" i="2"/>
  <c r="F308" i="4" s="1"/>
  <c r="Y46" i="2"/>
  <c r="N45" i="2"/>
  <c r="X43" i="2"/>
  <c r="X242" i="4" s="1"/>
  <c r="AI146" i="5" s="1"/>
  <c r="AN171" i="8" s="1"/>
  <c r="AZ171" i="8" s="1"/>
  <c r="P171" i="8" s="1"/>
  <c r="E42" i="2"/>
  <c r="E95" i="4" s="1"/>
  <c r="F273" i="5" s="1"/>
  <c r="K40" i="2"/>
  <c r="V37" i="2"/>
  <c r="K35" i="2"/>
  <c r="K149" i="4" s="1"/>
  <c r="W31" i="2"/>
  <c r="W150" i="4" s="1"/>
  <c r="AG202" i="5" s="1"/>
  <c r="K27" i="2"/>
  <c r="Q21" i="2"/>
  <c r="Q40" i="4" s="1"/>
  <c r="X90" i="5" s="1"/>
  <c r="K15" i="2"/>
  <c r="K275" i="4" s="1"/>
  <c r="O300" i="5" s="1"/>
  <c r="E7" i="2"/>
  <c r="H9" i="3"/>
  <c r="Y81" i="2"/>
  <c r="J81" i="2"/>
  <c r="R80" i="2"/>
  <c r="F80" i="2"/>
  <c r="R76" i="2"/>
  <c r="F76" i="2"/>
  <c r="F224" i="4" s="1"/>
  <c r="S75" i="2"/>
  <c r="G75" i="2"/>
  <c r="T74" i="2"/>
  <c r="T386" i="4" s="1"/>
  <c r="AC385" i="5" s="1"/>
  <c r="G74" i="2"/>
  <c r="S73" i="2"/>
  <c r="S176" i="4" s="1"/>
  <c r="AA267" i="5" s="1"/>
  <c r="F73" i="2"/>
  <c r="S72" i="2"/>
  <c r="F72" i="2"/>
  <c r="R71" i="2"/>
  <c r="E71" i="2"/>
  <c r="P70" i="2"/>
  <c r="C70" i="2"/>
  <c r="C99" i="4" s="1"/>
  <c r="C166" i="5" s="1"/>
  <c r="O69" i="2"/>
  <c r="V68" i="2"/>
  <c r="V21" i="4" s="1"/>
  <c r="AF91" i="5" s="1"/>
  <c r="AM120" i="8" s="1"/>
  <c r="AY120" i="8" s="1"/>
  <c r="H68" i="2"/>
  <c r="T67" i="2"/>
  <c r="T383" i="4" s="1"/>
  <c r="AC383" i="5" s="1"/>
  <c r="AL379" i="8" s="1"/>
  <c r="F67" i="2"/>
  <c r="O66" i="2"/>
  <c r="O119" i="4" s="1"/>
  <c r="U241" i="5" s="1"/>
  <c r="Z65" i="2"/>
  <c r="K65" i="2"/>
  <c r="V64" i="2"/>
  <c r="E64" i="2"/>
  <c r="E271" i="4" s="1"/>
  <c r="F225" i="5" s="1"/>
  <c r="N63" i="2"/>
  <c r="X62" i="2"/>
  <c r="E62" i="2"/>
  <c r="M61" i="2"/>
  <c r="M70" i="4" s="1"/>
  <c r="R172" i="5" s="1"/>
  <c r="V60" i="2"/>
  <c r="F60" i="2"/>
  <c r="K59" i="2"/>
  <c r="T58" i="2"/>
  <c r="I57" i="2"/>
  <c r="Q56" i="2"/>
  <c r="Q174" i="4" s="1"/>
  <c r="X79" i="5" s="1"/>
  <c r="U55" i="2"/>
  <c r="E55" i="2"/>
  <c r="E134" i="4" s="1"/>
  <c r="Q55" i="2"/>
  <c r="Q134" i="4" s="1"/>
  <c r="X20" i="5" s="1"/>
  <c r="I55" i="2"/>
  <c r="I134" i="4" s="1"/>
  <c r="V55" i="2"/>
  <c r="L55" i="2"/>
  <c r="L134" i="4" s="1"/>
  <c r="Q20" i="5" s="1"/>
  <c r="Y55" i="2"/>
  <c r="Y134" i="4" s="1"/>
  <c r="AJ20" i="5" s="1"/>
  <c r="M55" i="2"/>
  <c r="M134" i="4" s="1"/>
  <c r="R20" i="5" s="1"/>
  <c r="Z55" i="2"/>
  <c r="Z134" i="4" s="1"/>
  <c r="AL20" i="5" s="1"/>
  <c r="BA20" i="5" s="1"/>
  <c r="F55" i="2"/>
  <c r="F134" i="4" s="1"/>
  <c r="S55" i="2"/>
  <c r="S134" i="4" s="1"/>
  <c r="AA20" i="5" s="1"/>
  <c r="E54" i="2"/>
  <c r="E232" i="4" s="1"/>
  <c r="G53" i="2"/>
  <c r="H52" i="2"/>
  <c r="H385" i="4" s="1"/>
  <c r="K384" i="5" s="1"/>
  <c r="E51" i="2"/>
  <c r="G50" i="2"/>
  <c r="E49" i="2"/>
  <c r="E308" i="4" s="1"/>
  <c r="E48" i="2"/>
  <c r="Q48" i="2"/>
  <c r="M48" i="2"/>
  <c r="Z48" i="2"/>
  <c r="Z311" i="4" s="1"/>
  <c r="AL310" i="5" s="1"/>
  <c r="C48" i="2"/>
  <c r="C311" i="4" s="1"/>
  <c r="C310" i="5" s="1"/>
  <c r="R312" i="8" s="1"/>
  <c r="R48" i="2"/>
  <c r="G48" i="2"/>
  <c r="U48" i="2"/>
  <c r="U311" i="4" s="1"/>
  <c r="AD310" i="5" s="1"/>
  <c r="H48" i="2"/>
  <c r="V48" i="2"/>
  <c r="V330" i="4" s="1"/>
  <c r="AF347" i="5" s="1"/>
  <c r="K48" i="2"/>
  <c r="Y48" i="2"/>
  <c r="Y330" i="4" s="1"/>
  <c r="AJ347" i="5" s="1"/>
  <c r="L48" i="2"/>
  <c r="N48" i="2"/>
  <c r="U46" i="2"/>
  <c r="U317" i="4" s="1"/>
  <c r="AD305" i="5" s="1"/>
  <c r="M45" i="2"/>
  <c r="T43" i="2"/>
  <c r="C42" i="2"/>
  <c r="D40" i="2"/>
  <c r="D132" i="4" s="1"/>
  <c r="E294" i="5" s="1"/>
  <c r="U37" i="2"/>
  <c r="F35" i="2"/>
  <c r="F188" i="4" s="1"/>
  <c r="H152" i="5" s="1"/>
  <c r="N31" i="2"/>
  <c r="N150" i="4" s="1"/>
  <c r="T202" i="5" s="1"/>
  <c r="AI220" i="8" s="1"/>
  <c r="I27" i="2"/>
  <c r="K21" i="2"/>
  <c r="K40" i="4" s="1"/>
  <c r="I15" i="2"/>
  <c r="C7" i="2"/>
  <c r="C78" i="4" s="1"/>
  <c r="C121" i="5" s="1"/>
  <c r="C318" i="4"/>
  <c r="C306" i="5" s="1"/>
  <c r="R308" i="8" s="1"/>
  <c r="X81" i="2"/>
  <c r="X278" i="4" s="1"/>
  <c r="AI139" i="5" s="1"/>
  <c r="AN164" i="8" s="1"/>
  <c r="AZ164" i="8" s="1"/>
  <c r="P164" i="8" s="1"/>
  <c r="I81" i="2"/>
  <c r="Q80" i="2"/>
  <c r="E80" i="2"/>
  <c r="Q76" i="2"/>
  <c r="Q180" i="4" s="1"/>
  <c r="X87" i="5" s="1"/>
  <c r="E76" i="2"/>
  <c r="R75" i="2"/>
  <c r="F75" i="2"/>
  <c r="F164" i="4" s="1"/>
  <c r="H240" i="5" s="1"/>
  <c r="AQ240" i="5" s="1"/>
  <c r="S74" i="2"/>
  <c r="S386" i="4" s="1"/>
  <c r="AA385" i="5" s="1"/>
  <c r="AW385" i="5" s="1"/>
  <c r="F74" i="2"/>
  <c r="F386" i="4" s="1"/>
  <c r="R73" i="2"/>
  <c r="E73" i="2"/>
  <c r="R72" i="2"/>
  <c r="E72" i="2"/>
  <c r="Q71" i="2"/>
  <c r="Q72" i="4" s="1"/>
  <c r="X191" i="5" s="1"/>
  <c r="C71" i="2"/>
  <c r="C72" i="4" s="1"/>
  <c r="C191" i="5" s="1"/>
  <c r="R210" i="8" s="1"/>
  <c r="O70" i="2"/>
  <c r="O99" i="4" s="1"/>
  <c r="U166" i="5" s="1"/>
  <c r="E70" i="2"/>
  <c r="E99" i="4" s="1"/>
  <c r="F166" i="5" s="1"/>
  <c r="Q70" i="2"/>
  <c r="N69" i="2"/>
  <c r="U68" i="2"/>
  <c r="G68" i="2"/>
  <c r="S67" i="2"/>
  <c r="E67" i="2"/>
  <c r="N66" i="2"/>
  <c r="Y65" i="2"/>
  <c r="J65" i="2"/>
  <c r="U64" i="2"/>
  <c r="D64" i="2"/>
  <c r="D271" i="4" s="1"/>
  <c r="E225" i="5" s="1"/>
  <c r="AD238" i="8" s="1"/>
  <c r="M63" i="2"/>
  <c r="W62" i="2"/>
  <c r="D62" i="2"/>
  <c r="L61" i="2"/>
  <c r="L70" i="4" s="1"/>
  <c r="Q172" i="5" s="1"/>
  <c r="AH14" i="8" s="1"/>
  <c r="AT14" i="8" s="1"/>
  <c r="J14" i="8" s="1"/>
  <c r="U60" i="2"/>
  <c r="U304" i="4" s="1"/>
  <c r="AD304" i="5" s="1"/>
  <c r="C60" i="2"/>
  <c r="C304" i="4" s="1"/>
  <c r="C304" i="5" s="1"/>
  <c r="R306" i="8" s="1"/>
  <c r="J59" i="2"/>
  <c r="J86" i="4" s="1"/>
  <c r="N299" i="5" s="1"/>
  <c r="S58" i="2"/>
  <c r="Z57" i="2"/>
  <c r="Z96" i="4" s="1"/>
  <c r="AL122" i="5" s="1"/>
  <c r="G57" i="2"/>
  <c r="O56" i="2"/>
  <c r="O18" i="4" s="1"/>
  <c r="U185" i="5" s="1"/>
  <c r="T55" i="2"/>
  <c r="Z54" i="2"/>
  <c r="Z232" i="4" s="1"/>
  <c r="AL19" i="5" s="1"/>
  <c r="BA19" i="5" s="1"/>
  <c r="C54" i="2"/>
  <c r="C232" i="4" s="1"/>
  <c r="C19" i="5" s="1"/>
  <c r="F53" i="2"/>
  <c r="F384" i="4" s="1"/>
  <c r="G52" i="2"/>
  <c r="D51" i="2"/>
  <c r="D357" i="4" s="1"/>
  <c r="E361" i="5" s="1"/>
  <c r="C49" i="2"/>
  <c r="C308" i="4" s="1"/>
  <c r="C307" i="5" s="1"/>
  <c r="R309" i="8" s="1"/>
  <c r="Z47" i="2"/>
  <c r="T46" i="2"/>
  <c r="T317" i="4" s="1"/>
  <c r="AC305" i="5" s="1"/>
  <c r="AL307" i="8" s="1"/>
  <c r="I45" i="2"/>
  <c r="S43" i="2"/>
  <c r="Z41" i="2"/>
  <c r="Z223" i="4" s="1"/>
  <c r="AL15" i="5" s="1"/>
  <c r="V39" i="2"/>
  <c r="R37" i="2"/>
  <c r="R154" i="4" s="1"/>
  <c r="V34" i="2"/>
  <c r="E31" i="2"/>
  <c r="E27" i="2"/>
  <c r="I21" i="2"/>
  <c r="I40" i="4" s="1"/>
  <c r="L90" i="5" s="1"/>
  <c r="E15" i="2"/>
  <c r="E68" i="4" s="1"/>
  <c r="F165" i="5" s="1"/>
  <c r="L6" i="2"/>
  <c r="L28" i="4" s="1"/>
  <c r="Q97" i="5" s="1"/>
  <c r="AH126" i="8" s="1"/>
  <c r="AT126" i="8" s="1"/>
  <c r="J126" i="8" s="1"/>
  <c r="G29" i="3"/>
  <c r="V81" i="2"/>
  <c r="G81" i="2"/>
  <c r="P80" i="2"/>
  <c r="P337" i="4" s="1"/>
  <c r="W321" i="5" s="1"/>
  <c r="AJ323" i="8" s="1"/>
  <c r="P76" i="2"/>
  <c r="Q75" i="2"/>
  <c r="R74" i="2"/>
  <c r="R386" i="4" s="1"/>
  <c r="E74" i="2"/>
  <c r="E386" i="4" s="1"/>
  <c r="Q73" i="2"/>
  <c r="Q236" i="4" s="1"/>
  <c r="X95" i="5" s="1"/>
  <c r="D73" i="2"/>
  <c r="Q72" i="2"/>
  <c r="D72" i="2"/>
  <c r="O71" i="2"/>
  <c r="O72" i="4" s="1"/>
  <c r="U191" i="5" s="1"/>
  <c r="D71" i="2"/>
  <c r="D72" i="4" s="1"/>
  <c r="E191" i="5" s="1"/>
  <c r="P71" i="2"/>
  <c r="P72" i="4" s="1"/>
  <c r="W191" i="5" s="1"/>
  <c r="AJ210" i="8" s="1"/>
  <c r="N70" i="2"/>
  <c r="Z69" i="2"/>
  <c r="K69" i="2"/>
  <c r="T68" i="2"/>
  <c r="F68" i="2"/>
  <c r="F21" i="4" s="1"/>
  <c r="R67" i="2"/>
  <c r="C67" i="2"/>
  <c r="C379" i="4" s="1"/>
  <c r="C379" i="5" s="1"/>
  <c r="R375" i="8" s="1"/>
  <c r="O67" i="2"/>
  <c r="D67" i="2"/>
  <c r="P67" i="2"/>
  <c r="M66" i="2"/>
  <c r="M216" i="4" s="1"/>
  <c r="R223" i="5" s="1"/>
  <c r="X65" i="2"/>
  <c r="X85" i="4" s="1"/>
  <c r="AI224" i="5" s="1"/>
  <c r="AN237" i="8" s="1"/>
  <c r="AZ237" i="8" s="1"/>
  <c r="P237" i="8" s="1"/>
  <c r="I65" i="2"/>
  <c r="I195" i="4" s="1"/>
  <c r="L228" i="5" s="1"/>
  <c r="T64" i="2"/>
  <c r="C64" i="2"/>
  <c r="C271" i="4" s="1"/>
  <c r="C225" i="5" s="1"/>
  <c r="O64" i="2"/>
  <c r="O271" i="4" s="1"/>
  <c r="U225" i="5" s="1"/>
  <c r="F64" i="2"/>
  <c r="F271" i="4" s="1"/>
  <c r="H225" i="5" s="1"/>
  <c r="R64" i="2"/>
  <c r="R271" i="4" s="1"/>
  <c r="G64" i="2"/>
  <c r="S64" i="2"/>
  <c r="S271" i="4" s="1"/>
  <c r="AA225" i="5" s="1"/>
  <c r="L63" i="2"/>
  <c r="U62" i="2"/>
  <c r="J62" i="2"/>
  <c r="J344" i="4" s="1"/>
  <c r="N338" i="5" s="1"/>
  <c r="V62" i="2"/>
  <c r="V350" i="4" s="1"/>
  <c r="AF339" i="5" s="1"/>
  <c r="C62" i="2"/>
  <c r="P62" i="2"/>
  <c r="P345" i="4" s="1"/>
  <c r="W337" i="5" s="1"/>
  <c r="AJ337" i="8" s="1"/>
  <c r="F62" i="2"/>
  <c r="S62" i="2"/>
  <c r="S305" i="4" s="1"/>
  <c r="AA314" i="5" s="1"/>
  <c r="G62" i="2"/>
  <c r="T62" i="2"/>
  <c r="J61" i="2"/>
  <c r="T60" i="2"/>
  <c r="T304" i="4" s="1"/>
  <c r="AC304" i="5" s="1"/>
  <c r="AL306" i="8" s="1"/>
  <c r="L60" i="2"/>
  <c r="X60" i="2"/>
  <c r="N60" i="2"/>
  <c r="D60" i="2"/>
  <c r="D340" i="4" s="1"/>
  <c r="E331" i="5" s="1"/>
  <c r="Q60" i="2"/>
  <c r="Q332" i="4" s="1"/>
  <c r="X349" i="5" s="1"/>
  <c r="E60" i="2"/>
  <c r="R60" i="2"/>
  <c r="I59" i="2"/>
  <c r="I86" i="4" s="1"/>
  <c r="L299" i="5" s="1"/>
  <c r="R58" i="2"/>
  <c r="Y57" i="2"/>
  <c r="Y96" i="4" s="1"/>
  <c r="AJ122" i="5" s="1"/>
  <c r="F57" i="2"/>
  <c r="L56" i="2"/>
  <c r="L14" i="4" s="1"/>
  <c r="Q180" i="5" s="1"/>
  <c r="AH15" i="8" s="1"/>
  <c r="AT15" i="8" s="1"/>
  <c r="J15" i="8" s="1"/>
  <c r="R55" i="2"/>
  <c r="R134" i="4" s="1"/>
  <c r="Z20" i="5" s="1"/>
  <c r="W54" i="2"/>
  <c r="D54" i="2"/>
  <c r="D232" i="4" s="1"/>
  <c r="E19" i="5" s="1"/>
  <c r="C53" i="2"/>
  <c r="C384" i="4" s="1"/>
  <c r="C386" i="5" s="1"/>
  <c r="C52" i="2"/>
  <c r="C385" i="4" s="1"/>
  <c r="C384" i="5" s="1"/>
  <c r="R381" i="8" s="1"/>
  <c r="Z49" i="2"/>
  <c r="Z308" i="4" s="1"/>
  <c r="AL307" i="5" s="1"/>
  <c r="X48" i="2"/>
  <c r="U47" i="2"/>
  <c r="U313" i="4" s="1"/>
  <c r="AD312" i="5" s="1"/>
  <c r="O46" i="2"/>
  <c r="O321" i="4" s="1"/>
  <c r="U324" i="5" s="1"/>
  <c r="Z44" i="2"/>
  <c r="N43" i="2"/>
  <c r="Q41" i="2"/>
  <c r="T39" i="2"/>
  <c r="O37" i="2"/>
  <c r="O154" i="4" s="1"/>
  <c r="U207" i="5" s="1"/>
  <c r="I34" i="2"/>
  <c r="C31" i="2"/>
  <c r="C150" i="4" s="1"/>
  <c r="C202" i="5" s="1"/>
  <c r="R220" i="8" s="1"/>
  <c r="F26" i="2"/>
  <c r="F283" i="4" s="1"/>
  <c r="H102" i="5" s="1"/>
  <c r="E21" i="2"/>
  <c r="E40" i="4" s="1"/>
  <c r="J13" i="2"/>
  <c r="J104" i="4" s="1"/>
  <c r="Q4" i="2"/>
  <c r="Q218" i="4" s="1"/>
  <c r="X242" i="5" s="1"/>
  <c r="Q54" i="2"/>
  <c r="Q232" i="4" s="1"/>
  <c r="X19" i="5" s="1"/>
  <c r="R49" i="2"/>
  <c r="R308" i="4" s="1"/>
  <c r="BC286" i="1"/>
  <c r="D49" i="2"/>
  <c r="D308" i="4" s="1"/>
  <c r="E307" i="5" s="1"/>
  <c r="P49" i="2"/>
  <c r="P308" i="4" s="1"/>
  <c r="W307" i="5" s="1"/>
  <c r="AJ309" i="8" s="1"/>
  <c r="N49" i="2"/>
  <c r="N308" i="4" s="1"/>
  <c r="T307" i="5" s="1"/>
  <c r="AI309" i="8" s="1"/>
  <c r="F54" i="2"/>
  <c r="F232" i="4" s="1"/>
  <c r="R54" i="2"/>
  <c r="R232" i="4" s="1"/>
  <c r="Z19" i="5" s="1"/>
  <c r="O49" i="2"/>
  <c r="O308" i="4" s="1"/>
  <c r="U307" i="5" s="1"/>
  <c r="R65" i="2"/>
  <c r="F65" i="2"/>
  <c r="F133" i="4" s="1"/>
  <c r="H226" i="5" s="1"/>
  <c r="S61" i="2"/>
  <c r="F61" i="2"/>
  <c r="C57" i="2"/>
  <c r="C258" i="4" s="1"/>
  <c r="C296" i="5" s="1"/>
  <c r="O57" i="2"/>
  <c r="Y54" i="2"/>
  <c r="Y232" i="4" s="1"/>
  <c r="AJ19" i="5" s="1"/>
  <c r="L54" i="2"/>
  <c r="L232" i="4" s="1"/>
  <c r="Q19" i="5" s="1"/>
  <c r="Y49" i="2"/>
  <c r="Y308" i="4" s="1"/>
  <c r="AJ307" i="5" s="1"/>
  <c r="K49" i="2"/>
  <c r="Q65" i="2"/>
  <c r="Q85" i="4" s="1"/>
  <c r="X224" i="5" s="1"/>
  <c r="R61" i="2"/>
  <c r="N57" i="2"/>
  <c r="N281" i="4" s="1"/>
  <c r="T292" i="5" s="1"/>
  <c r="AI299" i="8" s="1"/>
  <c r="X54" i="2"/>
  <c r="X232" i="4" s="1"/>
  <c r="AI19" i="5" s="1"/>
  <c r="K54" i="2"/>
  <c r="K232" i="4" s="1"/>
  <c r="X49" i="2"/>
  <c r="X308" i="4" s="1"/>
  <c r="AI307" i="5" s="1"/>
  <c r="AN309" i="8" s="1"/>
  <c r="AZ309" i="8" s="1"/>
  <c r="P309" i="8" s="1"/>
  <c r="J49" i="2"/>
  <c r="J308" i="4" s="1"/>
  <c r="N307" i="5" s="1"/>
  <c r="BC236" i="1"/>
  <c r="BC271" i="1"/>
  <c r="K61" i="2"/>
  <c r="W61" i="2"/>
  <c r="W19" i="4" s="1"/>
  <c r="AG186" i="5" s="1"/>
  <c r="K57" i="2"/>
  <c r="U54" i="2"/>
  <c r="H54" i="2"/>
  <c r="H232" i="4" s="1"/>
  <c r="K19" i="5" s="1"/>
  <c r="U49" i="2"/>
  <c r="U308" i="4" s="1"/>
  <c r="AD307" i="5" s="1"/>
  <c r="G49" i="2"/>
  <c r="BC235" i="1"/>
  <c r="F45" i="2"/>
  <c r="R45" i="2"/>
  <c r="BC426" i="1"/>
  <c r="C50" i="2"/>
  <c r="C358" i="4" s="1"/>
  <c r="C352" i="5" s="1"/>
  <c r="R351" i="8" s="1"/>
  <c r="O50" i="2"/>
  <c r="O366" i="4" s="1"/>
  <c r="U367" i="5" s="1"/>
  <c r="U45" i="2"/>
  <c r="U303" i="4" s="1"/>
  <c r="AD303" i="5" s="1"/>
  <c r="H45" i="2"/>
  <c r="G82" i="2"/>
  <c r="BC239" i="1"/>
  <c r="AI82" i="2"/>
  <c r="H82" i="2"/>
  <c r="S82" i="2"/>
  <c r="AA263" i="8" l="1"/>
  <c r="D330" i="4"/>
  <c r="E347" i="5" s="1"/>
  <c r="AL195" i="8"/>
  <c r="AV20" i="5"/>
  <c r="D346" i="4"/>
  <c r="E340" i="5" s="1"/>
  <c r="AA204" i="8"/>
  <c r="C276" i="4"/>
  <c r="C302" i="5" s="1"/>
  <c r="D99" i="4"/>
  <c r="E166" i="5" s="1"/>
  <c r="AD189" i="8" s="1"/>
  <c r="AT85" i="8"/>
  <c r="AZ84" i="8"/>
  <c r="AX32" i="8"/>
  <c r="N32" i="8" s="1"/>
  <c r="D333" i="4"/>
  <c r="E350" i="5" s="1"/>
  <c r="AP350" i="5" s="1"/>
  <c r="C174" i="4"/>
  <c r="C79" i="5" s="1"/>
  <c r="R108" i="8" s="1"/>
  <c r="D327" i="4"/>
  <c r="E343" i="5" s="1"/>
  <c r="AP343" i="5" s="1"/>
  <c r="AR389" i="8"/>
  <c r="D328" i="4"/>
  <c r="E344" i="5" s="1"/>
  <c r="AP344" i="5" s="1"/>
  <c r="AS396" i="8"/>
  <c r="I396" i="8" s="1"/>
  <c r="D324" i="4"/>
  <c r="E327" i="5" s="1"/>
  <c r="D326" i="4"/>
  <c r="E342" i="5" s="1"/>
  <c r="AP342" i="5" s="1"/>
  <c r="AP321" i="5"/>
  <c r="AD323" i="8"/>
  <c r="AP323" i="8" s="1"/>
  <c r="F323" i="8" s="1"/>
  <c r="AC70" i="2"/>
  <c r="AP190" i="5"/>
  <c r="AD17" i="8"/>
  <c r="C173" i="4"/>
  <c r="C78" i="5" s="1"/>
  <c r="R107" i="8" s="1"/>
  <c r="C18" i="4"/>
  <c r="C185" i="5" s="1"/>
  <c r="R205" i="8" s="1"/>
  <c r="C302" i="4"/>
  <c r="C77" i="5" s="1"/>
  <c r="R106" i="8" s="1"/>
  <c r="C24" i="4"/>
  <c r="C182" i="5" s="1"/>
  <c r="R203" i="8" s="1"/>
  <c r="D222" i="4"/>
  <c r="E269" i="5" s="1"/>
  <c r="D73" i="4"/>
  <c r="E192" i="5" s="1"/>
  <c r="C190" i="4"/>
  <c r="C281" i="5" s="1"/>
  <c r="R288" i="8" s="1"/>
  <c r="C129" i="4"/>
  <c r="C283" i="5" s="1"/>
  <c r="R290" i="8" s="1"/>
  <c r="C191" i="4"/>
  <c r="C282" i="5" s="1"/>
  <c r="R289" i="8" s="1"/>
  <c r="AC48" i="2"/>
  <c r="AP310" i="5"/>
  <c r="AD350" i="8"/>
  <c r="AP350" i="8" s="1"/>
  <c r="F350" i="8" s="1"/>
  <c r="AR347" i="8"/>
  <c r="H347" i="8" s="1"/>
  <c r="D285" i="4"/>
  <c r="E107" i="5" s="1"/>
  <c r="AD136" i="8" s="1"/>
  <c r="AA232" i="8"/>
  <c r="G347" i="8"/>
  <c r="M318" i="4"/>
  <c r="R306" i="5" s="1"/>
  <c r="N347" i="8"/>
  <c r="H32" i="8"/>
  <c r="L81" i="4"/>
  <c r="Q147" i="5" s="1"/>
  <c r="AH172" i="8" s="1"/>
  <c r="AT172" i="8" s="1"/>
  <c r="J172" i="8" s="1"/>
  <c r="G32" i="8"/>
  <c r="AX92" i="8"/>
  <c r="M285" i="4"/>
  <c r="R107" i="5" s="1"/>
  <c r="AY403" i="8"/>
  <c r="J81" i="4"/>
  <c r="N147" i="5" s="1"/>
  <c r="I81" i="4"/>
  <c r="L147" i="5" s="1"/>
  <c r="AT70" i="8"/>
  <c r="AT151" i="8"/>
  <c r="AT84" i="8"/>
  <c r="AA206" i="8"/>
  <c r="AV89" i="8"/>
  <c r="E285" i="4"/>
  <c r="F107" i="5" s="1"/>
  <c r="AQ105" i="8"/>
  <c r="AQ98" i="8"/>
  <c r="AR51" i="8"/>
  <c r="AZ386" i="5"/>
  <c r="I318" i="4"/>
  <c r="L306" i="5" s="1"/>
  <c r="AQ96" i="8"/>
  <c r="AV19" i="5"/>
  <c r="AS57" i="8"/>
  <c r="AY107" i="8"/>
  <c r="O107" i="8" s="1"/>
  <c r="AQ346" i="8"/>
  <c r="G346" i="8" s="1"/>
  <c r="AQ111" i="8"/>
  <c r="AX174" i="5"/>
  <c r="U56" i="4" a="1"/>
  <c r="U56" i="4" s="1"/>
  <c r="AD116" i="5" s="1"/>
  <c r="AA144" i="8" s="1"/>
  <c r="AZ19" i="5"/>
  <c r="AQ172" i="8"/>
  <c r="AY400" i="8"/>
  <c r="AV299" i="5"/>
  <c r="AZ89" i="8"/>
  <c r="AQ54" i="8"/>
  <c r="AQ92" i="8"/>
  <c r="AY396" i="8"/>
  <c r="AQ67" i="8"/>
  <c r="H110" i="4"/>
  <c r="K88" i="5" s="1"/>
  <c r="AC74" i="2"/>
  <c r="T210" i="4" a="1"/>
  <c r="T210" i="4" s="1"/>
  <c r="AC21" i="5" s="1"/>
  <c r="AL54" i="8" s="1"/>
  <c r="M81" i="4"/>
  <c r="R147" i="5" s="1"/>
  <c r="AS247" i="8"/>
  <c r="AU299" i="5"/>
  <c r="T106" i="4" a="1"/>
  <c r="T106" i="4" s="1"/>
  <c r="AC58" i="5" s="1"/>
  <c r="AL87" i="8" s="1"/>
  <c r="AS102" i="8"/>
  <c r="AU119" i="8"/>
  <c r="AS174" i="8"/>
  <c r="U182" i="4" a="1"/>
  <c r="U182" i="4" s="1"/>
  <c r="AD11" i="5" s="1"/>
  <c r="U296" i="4" a="1"/>
  <c r="U296" i="4" s="1"/>
  <c r="AD156" i="5" s="1"/>
  <c r="AS84" i="8"/>
  <c r="AS70" i="8"/>
  <c r="AS81" i="8"/>
  <c r="I81" i="8" s="1"/>
  <c r="AZ63" i="8"/>
  <c r="AR14" i="8"/>
  <c r="H346" i="8"/>
  <c r="D81" i="4"/>
  <c r="E147" i="5" s="1"/>
  <c r="AC82" i="2" s="1"/>
  <c r="C127" i="4"/>
  <c r="C171" i="5" s="1"/>
  <c r="R194" i="8" s="1"/>
  <c r="T144" i="4" a="1"/>
  <c r="T144" i="4" s="1"/>
  <c r="AC155" i="5" s="1"/>
  <c r="AL179" i="8" s="1"/>
  <c r="AS59" i="8"/>
  <c r="D110" i="4"/>
  <c r="E88" i="5" s="1"/>
  <c r="AD117" i="8" s="1"/>
  <c r="T205" i="4" a="1"/>
  <c r="T205" i="4" s="1"/>
  <c r="AC53" i="5" s="1"/>
  <c r="AL82" i="8" s="1"/>
  <c r="AS185" i="8"/>
  <c r="AY108" i="8"/>
  <c r="AR3" i="8"/>
  <c r="AX346" i="8"/>
  <c r="N346" i="8" s="1"/>
  <c r="AW20" i="5"/>
  <c r="AU19" i="5"/>
  <c r="U181" i="4" a="1"/>
  <c r="U181" i="4" s="1"/>
  <c r="AD10" i="5" s="1"/>
  <c r="AA46" i="8" s="1"/>
  <c r="U109" i="4" a="1"/>
  <c r="U109" i="4" s="1"/>
  <c r="AD65" i="5" s="1"/>
  <c r="AQ10" i="8"/>
  <c r="T180" i="4" a="1"/>
  <c r="T180" i="4" s="1"/>
  <c r="AC87" i="5" s="1"/>
  <c r="AL116" i="8" s="1"/>
  <c r="AQ79" i="8"/>
  <c r="AS10" i="8"/>
  <c r="AA90" i="8"/>
  <c r="AX61" i="5"/>
  <c r="U240" i="4" a="1"/>
  <c r="U240" i="4" s="1"/>
  <c r="AD117" i="5" s="1"/>
  <c r="AQ76" i="8"/>
  <c r="Z288" i="8"/>
  <c r="AW281" i="5"/>
  <c r="AG54" i="2"/>
  <c r="AI54" i="2"/>
  <c r="AF54" i="2"/>
  <c r="AR19" i="5"/>
  <c r="S281" i="8"/>
  <c r="X365" i="8"/>
  <c r="Z261" i="8"/>
  <c r="AW251" i="5"/>
  <c r="Y23" i="8"/>
  <c r="AF263" i="5"/>
  <c r="AB245" i="8"/>
  <c r="AY233" i="5"/>
  <c r="AS29" i="5"/>
  <c r="AG61" i="8"/>
  <c r="AF184" i="8"/>
  <c r="AR184" i="8" s="1"/>
  <c r="H184" i="8" s="1"/>
  <c r="AR161" i="5"/>
  <c r="AG27" i="2"/>
  <c r="AF27" i="2"/>
  <c r="AI27" i="2"/>
  <c r="AS338" i="5"/>
  <c r="AG338" i="8"/>
  <c r="W236" i="8"/>
  <c r="AD210" i="8"/>
  <c r="AP210" i="8" s="1"/>
  <c r="AP191" i="5"/>
  <c r="AC71" i="2"/>
  <c r="AB280" i="8"/>
  <c r="AY272" i="5"/>
  <c r="AL59" i="2"/>
  <c r="AT299" i="5"/>
  <c r="V381" i="8"/>
  <c r="AS384" i="5"/>
  <c r="AK52" i="2"/>
  <c r="AA66" i="8"/>
  <c r="S156" i="8"/>
  <c r="AP131" i="5"/>
  <c r="AA280" i="8"/>
  <c r="AP331" i="5"/>
  <c r="AD31" i="8"/>
  <c r="AP31" i="8" s="1"/>
  <c r="F31" i="8" s="1"/>
  <c r="AD301" i="8"/>
  <c r="AP294" i="5"/>
  <c r="Z308" i="8"/>
  <c r="AW306" i="5"/>
  <c r="W29" i="8"/>
  <c r="R13" i="8"/>
  <c r="X22" i="8"/>
  <c r="AU214" i="5"/>
  <c r="R131" i="8"/>
  <c r="AC50" i="8"/>
  <c r="AC249" i="8"/>
  <c r="AC258" i="8"/>
  <c r="AZ247" i="5"/>
  <c r="U159" i="8"/>
  <c r="AR134" i="5"/>
  <c r="AF9" i="2"/>
  <c r="AG9" i="2"/>
  <c r="AI9" i="2"/>
  <c r="AR45" i="5"/>
  <c r="AF76" i="8"/>
  <c r="AR76" i="8" s="1"/>
  <c r="Z64" i="8"/>
  <c r="AB206" i="8"/>
  <c r="AY186" i="5"/>
  <c r="AO150" i="8"/>
  <c r="BA122" i="5"/>
  <c r="W159" i="8"/>
  <c r="AT134" i="5"/>
  <c r="AF26" i="2"/>
  <c r="AR102" i="5"/>
  <c r="AI26" i="2"/>
  <c r="AG26" i="2"/>
  <c r="AF131" i="8"/>
  <c r="AR131" i="8" s="1"/>
  <c r="H131" i="8" s="1"/>
  <c r="Z88" i="8"/>
  <c r="AW59" i="5"/>
  <c r="AW307" i="5"/>
  <c r="Z309" i="8"/>
  <c r="AM117" i="8"/>
  <c r="AY88" i="5"/>
  <c r="Z318" i="8"/>
  <c r="AW316" i="5"/>
  <c r="AA126" i="8"/>
  <c r="X201" i="8"/>
  <c r="AV201" i="8" s="1"/>
  <c r="AU179" i="5"/>
  <c r="AE131" i="8"/>
  <c r="AQ102" i="5"/>
  <c r="AD26" i="2"/>
  <c r="AA354" i="8"/>
  <c r="U222" i="8"/>
  <c r="AF37" i="2"/>
  <c r="AR207" i="5"/>
  <c r="AY339" i="5"/>
  <c r="AM339" i="8"/>
  <c r="AY339" i="8" s="1"/>
  <c r="Z275" i="8"/>
  <c r="AW267" i="5"/>
  <c r="AI71" i="2"/>
  <c r="AG71" i="2"/>
  <c r="AR191" i="5"/>
  <c r="AF210" i="8"/>
  <c r="AR210" i="8" s="1"/>
  <c r="H210" i="8" s="1"/>
  <c r="AF71" i="2"/>
  <c r="U350" i="8"/>
  <c r="AR350" i="5"/>
  <c r="R304" i="8"/>
  <c r="X214" i="8"/>
  <c r="AU195" i="5"/>
  <c r="AC21" i="2"/>
  <c r="AP90" i="5"/>
  <c r="AD119" i="8"/>
  <c r="AP119" i="8" s="1"/>
  <c r="AD266" i="8"/>
  <c r="AP257" i="5"/>
  <c r="AQ273" i="5"/>
  <c r="AE281" i="8"/>
  <c r="AL6" i="2"/>
  <c r="W126" i="8"/>
  <c r="AU126" i="8" s="1"/>
  <c r="AT97" i="5"/>
  <c r="AB284" i="8"/>
  <c r="AY276" i="5"/>
  <c r="BA161" i="5"/>
  <c r="AO184" i="8"/>
  <c r="AA364" i="8"/>
  <c r="AB48" i="8"/>
  <c r="AY13" i="5"/>
  <c r="X40" i="8"/>
  <c r="AU3" i="5"/>
  <c r="U381" i="8"/>
  <c r="AF52" i="2"/>
  <c r="AR384" i="5"/>
  <c r="AA239" i="8"/>
  <c r="AQ226" i="5"/>
  <c r="AE239" i="8"/>
  <c r="AD65" i="2"/>
  <c r="R170" i="8"/>
  <c r="R49" i="8"/>
  <c r="Y123" i="8"/>
  <c r="E9" i="13"/>
  <c r="AX306" i="5"/>
  <c r="AA308" i="8"/>
  <c r="S187" i="8"/>
  <c r="X170" i="8"/>
  <c r="AU145" i="5"/>
  <c r="AF229" i="8"/>
  <c r="AR229" i="8" s="1"/>
  <c r="H229" i="8" s="1"/>
  <c r="AR216" i="5"/>
  <c r="AC361" i="8"/>
  <c r="Y213" i="8"/>
  <c r="AV194" i="5"/>
  <c r="AU97" i="5"/>
  <c r="X126" i="8"/>
  <c r="Y63" i="8"/>
  <c r="AB141" i="8"/>
  <c r="AY112" i="5"/>
  <c r="BA355" i="5"/>
  <c r="AO354" i="8"/>
  <c r="AC63" i="8"/>
  <c r="AZ32" i="5"/>
  <c r="AC304" i="8"/>
  <c r="AZ298" i="5"/>
  <c r="AF258" i="8"/>
  <c r="AR258" i="8" s="1"/>
  <c r="H258" i="8" s="1"/>
  <c r="AR247" i="5"/>
  <c r="Z260" i="8"/>
  <c r="AW250" i="5"/>
  <c r="U144" i="8"/>
  <c r="AR116" i="5"/>
  <c r="X338" i="8"/>
  <c r="W225" i="8"/>
  <c r="AA279" i="8"/>
  <c r="X156" i="8"/>
  <c r="AU131" i="5"/>
  <c r="AY347" i="5"/>
  <c r="AM347" i="8"/>
  <c r="AY347" i="8" s="1"/>
  <c r="Y349" i="8"/>
  <c r="AQ166" i="5"/>
  <c r="AE189" i="8"/>
  <c r="Y270" i="8"/>
  <c r="S188" i="8"/>
  <c r="AP165" i="5"/>
  <c r="R149" i="8"/>
  <c r="AV90" i="5"/>
  <c r="Y119" i="8"/>
  <c r="AW119" i="8" s="1"/>
  <c r="Y204" i="8"/>
  <c r="AD353" i="8"/>
  <c r="AP354" i="5"/>
  <c r="W326" i="8"/>
  <c r="Y188" i="8"/>
  <c r="U177" i="8"/>
  <c r="W12" i="8"/>
  <c r="W176" i="8"/>
  <c r="AS334" i="5"/>
  <c r="AG334" i="8"/>
  <c r="Y100" i="8"/>
  <c r="AP234" i="5"/>
  <c r="AD246" i="8"/>
  <c r="R160" i="8"/>
  <c r="R383" i="8"/>
  <c r="AN390" i="5"/>
  <c r="W304" i="8"/>
  <c r="AU304" i="8" s="1"/>
  <c r="AT298" i="5"/>
  <c r="AL23" i="2"/>
  <c r="BA102" i="5"/>
  <c r="AO131" i="8"/>
  <c r="E6" i="14"/>
  <c r="AX384" i="5"/>
  <c r="AA381" i="8"/>
  <c r="AY381" i="8" s="1"/>
  <c r="S144" i="8"/>
  <c r="W343" i="8"/>
  <c r="X142" i="8"/>
  <c r="AU114" i="5"/>
  <c r="AA133" i="8"/>
  <c r="AE176" i="8"/>
  <c r="AQ152" i="5"/>
  <c r="AD360" i="8"/>
  <c r="AP360" i="8" s="1"/>
  <c r="F360" i="8" s="1"/>
  <c r="AP361" i="5"/>
  <c r="AX383" i="5"/>
  <c r="AA379" i="8"/>
  <c r="AS184" i="5"/>
  <c r="AG204" i="8"/>
  <c r="AC14" i="2"/>
  <c r="AP50" i="5"/>
  <c r="AD79" i="8"/>
  <c r="BA369" i="5"/>
  <c r="AO367" i="8"/>
  <c r="AB353" i="8"/>
  <c r="AR249" i="5"/>
  <c r="AF259" i="8"/>
  <c r="AR259" i="8" s="1"/>
  <c r="H259" i="8" s="1"/>
  <c r="AC175" i="8"/>
  <c r="AS134" i="5"/>
  <c r="AG159" i="8"/>
  <c r="Z249" i="8"/>
  <c r="AW237" i="5"/>
  <c r="AI102" i="8"/>
  <c r="AU73" i="5"/>
  <c r="Y29" i="8"/>
  <c r="W338" i="8"/>
  <c r="AQ150" i="5"/>
  <c r="AE174" i="8"/>
  <c r="AC342" i="8"/>
  <c r="AD299" i="8"/>
  <c r="AP292" i="5"/>
  <c r="R164" i="8"/>
  <c r="AA151" i="8"/>
  <c r="R29" i="8"/>
  <c r="Y124" i="8"/>
  <c r="W14" i="8"/>
  <c r="AT172" i="5"/>
  <c r="X326" i="8"/>
  <c r="AD64" i="2"/>
  <c r="AQ225" i="5"/>
  <c r="AE238" i="8"/>
  <c r="AC347" i="8"/>
  <c r="AB220" i="8"/>
  <c r="AY202" i="5"/>
  <c r="AG75" i="2"/>
  <c r="AI75" i="2"/>
  <c r="AR240" i="5"/>
  <c r="AF75" i="2"/>
  <c r="AR293" i="5"/>
  <c r="AF300" i="8"/>
  <c r="AR300" i="8" s="1"/>
  <c r="H300" i="8" s="1"/>
  <c r="AB134" i="8"/>
  <c r="AY105" i="5"/>
  <c r="U351" i="8"/>
  <c r="AC214" i="8"/>
  <c r="Y131" i="8"/>
  <c r="AV102" i="5"/>
  <c r="AO40" i="8"/>
  <c r="BA3" i="5"/>
  <c r="AF148" i="8"/>
  <c r="AR148" i="8" s="1"/>
  <c r="H148" i="8" s="1"/>
  <c r="AR120" i="5"/>
  <c r="Y249" i="8"/>
  <c r="AP135" i="5"/>
  <c r="AD160" i="8"/>
  <c r="X129" i="8"/>
  <c r="AU100" i="5"/>
  <c r="W202" i="8"/>
  <c r="W127" i="8"/>
  <c r="W26" i="8"/>
  <c r="BA193" i="5"/>
  <c r="AO212" i="8"/>
  <c r="AO49" i="8"/>
  <c r="BA14" i="5"/>
  <c r="AO70" i="8"/>
  <c r="BA39" i="5"/>
  <c r="S50" i="8"/>
  <c r="AW89" i="5"/>
  <c r="Z118" i="8"/>
  <c r="AF156" i="8"/>
  <c r="AR156" i="8" s="1"/>
  <c r="H156" i="8" s="1"/>
  <c r="AR131" i="5"/>
  <c r="S189" i="8"/>
  <c r="AP166" i="5"/>
  <c r="AC150" i="8"/>
  <c r="AZ122" i="5"/>
  <c r="Y253" i="8"/>
  <c r="AV242" i="5"/>
  <c r="AA314" i="8"/>
  <c r="AF59" i="2"/>
  <c r="AR299" i="5"/>
  <c r="R189" i="8"/>
  <c r="V363" i="8"/>
  <c r="AS180" i="5"/>
  <c r="AG15" i="8"/>
  <c r="Y266" i="8"/>
  <c r="AV257" i="5"/>
  <c r="Y6" i="8"/>
  <c r="AV48" i="5"/>
  <c r="Y55" i="8"/>
  <c r="R202" i="8"/>
  <c r="Y177" i="8"/>
  <c r="AV153" i="5"/>
  <c r="U333" i="8"/>
  <c r="AR333" i="5"/>
  <c r="X65" i="8"/>
  <c r="AU34" i="5"/>
  <c r="R200" i="8"/>
  <c r="Y287" i="8"/>
  <c r="AC184" i="8"/>
  <c r="AC119" i="8"/>
  <c r="AZ90" i="5"/>
  <c r="AC188" i="8"/>
  <c r="AC6" i="8"/>
  <c r="AF272" i="8"/>
  <c r="AR272" i="8" s="1"/>
  <c r="H272" i="8" s="1"/>
  <c r="AG5" i="2"/>
  <c r="AR263" i="5"/>
  <c r="AF5" i="2"/>
  <c r="AI5" i="2"/>
  <c r="Z128" i="8"/>
  <c r="AW99" i="5"/>
  <c r="AC218" i="8"/>
  <c r="Y364" i="8"/>
  <c r="AC229" i="8"/>
  <c r="AZ216" i="5"/>
  <c r="W218" i="8"/>
  <c r="AT199" i="5"/>
  <c r="R122" i="8"/>
  <c r="AA236" i="8"/>
  <c r="AY319" i="5"/>
  <c r="AM321" i="8"/>
  <c r="AY321" i="8" s="1"/>
  <c r="AF299" i="8"/>
  <c r="AR299" i="8" s="1"/>
  <c r="H299" i="8" s="1"/>
  <c r="AR292" i="5"/>
  <c r="AC8" i="2"/>
  <c r="AD75" i="8"/>
  <c r="AP44" i="5"/>
  <c r="AO218" i="8"/>
  <c r="BA199" i="5"/>
  <c r="S176" i="8"/>
  <c r="R263" i="8"/>
  <c r="R260" i="8"/>
  <c r="W188" i="8"/>
  <c r="AT165" i="5"/>
  <c r="AB286" i="8"/>
  <c r="AY278" i="5"/>
  <c r="AO187" i="8"/>
  <c r="BA164" i="5"/>
  <c r="AO266" i="8"/>
  <c r="BA257" i="5"/>
  <c r="BA97" i="5"/>
  <c r="AO126" i="8"/>
  <c r="AY321" i="5"/>
  <c r="AM323" i="8"/>
  <c r="AY323" i="8" s="1"/>
  <c r="O323" i="8" s="1"/>
  <c r="AD56" i="2"/>
  <c r="AE107" i="8"/>
  <c r="AQ78" i="5"/>
  <c r="AL64" i="2"/>
  <c r="W238" i="8"/>
  <c r="AT225" i="5"/>
  <c r="AO142" i="8"/>
  <c r="BA114" i="5"/>
  <c r="Y381" i="8"/>
  <c r="AV384" i="5"/>
  <c r="AA88" i="8"/>
  <c r="AA40" i="8"/>
  <c r="AP64" i="5"/>
  <c r="AD93" i="8"/>
  <c r="S171" i="8"/>
  <c r="AR179" i="5"/>
  <c r="AF201" i="8"/>
  <c r="AR201" i="8" s="1"/>
  <c r="H201" i="8" s="1"/>
  <c r="W229" i="8"/>
  <c r="Y304" i="8"/>
  <c r="AV298" i="5"/>
  <c r="AB209" i="8"/>
  <c r="AY189" i="5"/>
  <c r="AV97" i="5"/>
  <c r="Y126" i="8"/>
  <c r="AR298" i="5"/>
  <c r="U304" i="8"/>
  <c r="AF23" i="2"/>
  <c r="U61" i="8"/>
  <c r="AC61" i="8"/>
  <c r="AZ29" i="5"/>
  <c r="AC270" i="8"/>
  <c r="AR18" i="5"/>
  <c r="AF53" i="8"/>
  <c r="AR53" i="8" s="1"/>
  <c r="H53" i="8" s="1"/>
  <c r="AF91" i="8"/>
  <c r="AR91" i="8" s="1"/>
  <c r="H91" i="8" s="1"/>
  <c r="AR62" i="5"/>
  <c r="AG4" i="2"/>
  <c r="AI4" i="2"/>
  <c r="AR254" i="5"/>
  <c r="AF26" i="8"/>
  <c r="AR26" i="8" s="1"/>
  <c r="H26" i="8" s="1"/>
  <c r="AF4" i="2"/>
  <c r="Z54" i="8"/>
  <c r="AW21" i="5"/>
  <c r="Z263" i="8"/>
  <c r="AW253" i="5"/>
  <c r="Z160" i="8"/>
  <c r="AW135" i="5"/>
  <c r="Z86" i="8"/>
  <c r="AW57" i="5"/>
  <c r="AP134" i="5"/>
  <c r="AD159" i="8"/>
  <c r="AO190" i="8"/>
  <c r="BA167" i="5"/>
  <c r="S24" i="8"/>
  <c r="AP228" i="5"/>
  <c r="AB210" i="8"/>
  <c r="AY191" i="5"/>
  <c r="R237" i="8"/>
  <c r="W122" i="8"/>
  <c r="X321" i="8"/>
  <c r="AC64" i="2"/>
  <c r="S238" i="8"/>
  <c r="AP225" i="5"/>
  <c r="AE202" i="8"/>
  <c r="AQ181" i="5"/>
  <c r="U24" i="8"/>
  <c r="AR228" i="5"/>
  <c r="AG76" i="2"/>
  <c r="AI76" i="2"/>
  <c r="AR87" i="5"/>
  <c r="AF116" i="8"/>
  <c r="AR116" i="8" s="1"/>
  <c r="H116" i="8" s="1"/>
  <c r="AF76" i="2"/>
  <c r="AM126" i="8"/>
  <c r="AY97" i="5"/>
  <c r="X80" i="8"/>
  <c r="AP253" i="5"/>
  <c r="AD263" i="8"/>
  <c r="R253" i="8"/>
  <c r="W131" i="8"/>
  <c r="AT102" i="5"/>
  <c r="AL26" i="2"/>
  <c r="BA32" i="5"/>
  <c r="AO63" i="8"/>
  <c r="BA298" i="5"/>
  <c r="AO304" i="8"/>
  <c r="AK386" i="8"/>
  <c r="AW393" i="5"/>
  <c r="AB68" i="8"/>
  <c r="AY37" i="5"/>
  <c r="AA130" i="8"/>
  <c r="Y164" i="8"/>
  <c r="AV139" i="5"/>
  <c r="Z299" i="8"/>
  <c r="AC352" i="8"/>
  <c r="AC381" i="8"/>
  <c r="AZ384" i="5"/>
  <c r="AA187" i="8"/>
  <c r="AL78" i="2"/>
  <c r="W89" i="8"/>
  <c r="AU89" i="8" s="1"/>
  <c r="AT60" i="5"/>
  <c r="AA190" i="8"/>
  <c r="AC148" i="8"/>
  <c r="AZ120" i="5"/>
  <c r="X189" i="8"/>
  <c r="AU166" i="5"/>
  <c r="X229" i="8"/>
  <c r="AU216" i="5"/>
  <c r="X184" i="8"/>
  <c r="Y237" i="8"/>
  <c r="AV224" i="5"/>
  <c r="BA15" i="5"/>
  <c r="AO50" i="8"/>
  <c r="Y108" i="8"/>
  <c r="U16" i="8"/>
  <c r="AR183" i="5"/>
  <c r="AO275" i="8"/>
  <c r="BA267" i="5"/>
  <c r="R62" i="8"/>
  <c r="AB221" i="8"/>
  <c r="AY206" i="5"/>
  <c r="AR214" i="5"/>
  <c r="AF22" i="8"/>
  <c r="AR22" i="8" s="1"/>
  <c r="H22" i="8" s="1"/>
  <c r="AG304" i="8"/>
  <c r="AS298" i="5"/>
  <c r="AK23" i="2"/>
  <c r="AC128" i="8"/>
  <c r="AC49" i="8"/>
  <c r="AZ14" i="5"/>
  <c r="Z176" i="8"/>
  <c r="Z84" i="8"/>
  <c r="AW55" i="5"/>
  <c r="AP32" i="5"/>
  <c r="AD63" i="8"/>
  <c r="W356" i="8"/>
  <c r="W273" i="8"/>
  <c r="AF240" i="8"/>
  <c r="AR240" i="8" s="1"/>
  <c r="H240" i="8" s="1"/>
  <c r="AR227" i="5"/>
  <c r="AC142" i="8"/>
  <c r="AZ114" i="5"/>
  <c r="Z312" i="8"/>
  <c r="AW310" i="5"/>
  <c r="W371" i="8"/>
  <c r="AA275" i="8"/>
  <c r="S237" i="4"/>
  <c r="AA104" i="5" s="1"/>
  <c r="S228" i="4"/>
  <c r="AA218" i="5" s="1"/>
  <c r="BE88" i="2"/>
  <c r="BE87" i="2"/>
  <c r="C144" i="4"/>
  <c r="C155" i="5" s="1"/>
  <c r="C161" i="4"/>
  <c r="C217" i="5" s="1"/>
  <c r="C159" i="4"/>
  <c r="C215" i="5" s="1"/>
  <c r="C95" i="4"/>
  <c r="C273" i="5" s="1"/>
  <c r="R324" i="4"/>
  <c r="R330" i="4"/>
  <c r="R311" i="4"/>
  <c r="I274" i="4"/>
  <c r="I270" i="4"/>
  <c r="I258" i="4"/>
  <c r="I281" i="4"/>
  <c r="I257" i="4"/>
  <c r="I280" i="4"/>
  <c r="I96" i="4"/>
  <c r="Z195" i="4"/>
  <c r="AL228" i="5" s="1"/>
  <c r="Z133" i="4"/>
  <c r="AL226" i="5" s="1"/>
  <c r="Z85" i="4"/>
  <c r="AL224" i="5" s="1"/>
  <c r="S203" i="4"/>
  <c r="AA37" i="5" s="1"/>
  <c r="S225" i="4"/>
  <c r="AA196" i="5" s="1"/>
  <c r="Y284" i="4"/>
  <c r="AJ106" i="5" s="1"/>
  <c r="Y77" i="4"/>
  <c r="AJ119" i="5" s="1"/>
  <c r="Y286" i="4"/>
  <c r="AJ108" i="5" s="1"/>
  <c r="Y241" i="4"/>
  <c r="AJ128" i="5" s="1"/>
  <c r="Y285" i="4"/>
  <c r="AJ107" i="5" s="1"/>
  <c r="Y13" i="4"/>
  <c r="AJ142" i="5" s="1"/>
  <c r="Y290" i="4"/>
  <c r="AJ140" i="5" s="1"/>
  <c r="Y27" i="4"/>
  <c r="AJ264" i="5" s="1"/>
  <c r="Y63" i="4"/>
  <c r="AJ270" i="5" s="1"/>
  <c r="N303" i="4"/>
  <c r="T303" i="5" s="1"/>
  <c r="AI305" i="8" s="1"/>
  <c r="N331" i="4"/>
  <c r="T348" i="5" s="1"/>
  <c r="AI348" i="8" s="1"/>
  <c r="E119" i="4"/>
  <c r="F241" i="5" s="1"/>
  <c r="E217" i="4"/>
  <c r="E216" i="4"/>
  <c r="F246" i="4"/>
  <c r="H230" i="5" s="1"/>
  <c r="F194" i="4"/>
  <c r="H27" i="5" s="1"/>
  <c r="F122" i="4"/>
  <c r="H141" i="5" s="1"/>
  <c r="F123" i="4"/>
  <c r="H145" i="5" s="1"/>
  <c r="D190" i="4"/>
  <c r="E281" i="5" s="1"/>
  <c r="D191" i="4"/>
  <c r="E282" i="5" s="1"/>
  <c r="D129" i="4"/>
  <c r="E283" i="5" s="1"/>
  <c r="I180" i="4"/>
  <c r="I224" i="4"/>
  <c r="F360" i="4"/>
  <c r="F366" i="4"/>
  <c r="F356" i="4"/>
  <c r="F367" i="4"/>
  <c r="F368" i="4"/>
  <c r="F358" i="4"/>
  <c r="F369" i="4"/>
  <c r="F370" i="4"/>
  <c r="F365" i="4"/>
  <c r="J11" i="4"/>
  <c r="N255" i="5" s="1"/>
  <c r="J287" i="4"/>
  <c r="J221" i="4"/>
  <c r="J112" i="4"/>
  <c r="J265" i="4"/>
  <c r="J263" i="4"/>
  <c r="J279" i="4"/>
  <c r="J132" i="4"/>
  <c r="S368" i="4"/>
  <c r="AA369" i="5" s="1"/>
  <c r="S369" i="4"/>
  <c r="AA353" i="5" s="1"/>
  <c r="S356" i="4"/>
  <c r="AA366" i="5" s="1"/>
  <c r="S370" i="4"/>
  <c r="AA354" i="5" s="1"/>
  <c r="S367" i="4"/>
  <c r="AA368" i="5" s="1"/>
  <c r="S365" i="4"/>
  <c r="AA365" i="5" s="1"/>
  <c r="S366" i="4"/>
  <c r="AA367" i="5" s="1"/>
  <c r="J237" i="4"/>
  <c r="J242" i="4"/>
  <c r="J228" i="4"/>
  <c r="AV88" i="2"/>
  <c r="AV87" i="2"/>
  <c r="BA85" i="2"/>
  <c r="BA84" i="2"/>
  <c r="AC37" i="2"/>
  <c r="AD222" i="8"/>
  <c r="AP222" i="8" s="1"/>
  <c r="F222" i="8" s="1"/>
  <c r="AP207" i="5"/>
  <c r="F41" i="4"/>
  <c r="F126" i="4"/>
  <c r="F39" i="4"/>
  <c r="F170" i="4"/>
  <c r="F199" i="4"/>
  <c r="F295" i="4"/>
  <c r="F37" i="4"/>
  <c r="F172" i="4"/>
  <c r="F206" i="4"/>
  <c r="F260" i="4"/>
  <c r="F261" i="4"/>
  <c r="Q372" i="4"/>
  <c r="X356" i="5" s="1"/>
  <c r="Q361" i="4"/>
  <c r="X371" i="5" s="1"/>
  <c r="Q355" i="4"/>
  <c r="X362" i="5" s="1"/>
  <c r="Q373" i="4"/>
  <c r="X357" i="5" s="1"/>
  <c r="Q352" i="4"/>
  <c r="X358" i="5" s="1"/>
  <c r="Q364" i="4"/>
  <c r="X359" i="5" s="1"/>
  <c r="Q363" i="4"/>
  <c r="X372" i="5" s="1"/>
  <c r="Q362" i="4"/>
  <c r="X373" i="5" s="1"/>
  <c r="Q353" i="4"/>
  <c r="X360" i="5" s="1"/>
  <c r="BC93" i="2"/>
  <c r="BC94" i="2"/>
  <c r="Q359" i="4"/>
  <c r="X363" i="5" s="1"/>
  <c r="Q354" i="4"/>
  <c r="X370" i="5" s="1"/>
  <c r="Q357" i="4"/>
  <c r="X361" i="5" s="1"/>
  <c r="E177" i="4"/>
  <c r="E76" i="4"/>
  <c r="E25" i="4"/>
  <c r="E136" i="4"/>
  <c r="E178" i="4"/>
  <c r="E138" i="4"/>
  <c r="E235" i="4"/>
  <c r="E101" i="4"/>
  <c r="E175" i="4"/>
  <c r="L229" i="4"/>
  <c r="Q28" i="5" s="1"/>
  <c r="AH4" i="8" s="1"/>
  <c r="AT4" i="8" s="1"/>
  <c r="J4" i="8" s="1"/>
  <c r="L250" i="4"/>
  <c r="Q103" i="5" s="1"/>
  <c r="AH132" i="8" s="1"/>
  <c r="AT132" i="8" s="1"/>
  <c r="L2" i="4"/>
  <c r="L256" i="4"/>
  <c r="Q213" i="5" s="1"/>
  <c r="AH228" i="8" s="1"/>
  <c r="AT228" i="8" s="1"/>
  <c r="J228" i="8" s="1"/>
  <c r="L20" i="4"/>
  <c r="Q187" i="5" s="1"/>
  <c r="AH207" i="8" s="1"/>
  <c r="AT207" i="8" s="1"/>
  <c r="J207" i="8" s="1"/>
  <c r="L244" i="4"/>
  <c r="Q219" i="5" s="1"/>
  <c r="AH232" i="8" s="1"/>
  <c r="AT232" i="8" s="1"/>
  <c r="J232" i="8" s="1"/>
  <c r="L230" i="4"/>
  <c r="Q220" i="5" s="1"/>
  <c r="AH233" i="8" s="1"/>
  <c r="AT233" i="8" s="1"/>
  <c r="J233" i="8" s="1"/>
  <c r="L29" i="4"/>
  <c r="Q268" i="5" s="1"/>
  <c r="AH276" i="8" s="1"/>
  <c r="AT276" i="8" s="1"/>
  <c r="J276" i="8" s="1"/>
  <c r="F153" i="4"/>
  <c r="F201" i="4"/>
  <c r="AY12" i="5"/>
  <c r="AB3" i="8"/>
  <c r="X194" i="4"/>
  <c r="AI27" i="5" s="1"/>
  <c r="AN60" i="8" s="1"/>
  <c r="AZ60" i="8" s="1"/>
  <c r="P60" i="8" s="1"/>
  <c r="X122" i="4"/>
  <c r="AI141" i="5" s="1"/>
  <c r="AN166" i="8" s="1"/>
  <c r="AZ166" i="8" s="1"/>
  <c r="P166" i="8" s="1"/>
  <c r="X246" i="4"/>
  <c r="AI230" i="5" s="1"/>
  <c r="AN242" i="8" s="1"/>
  <c r="AZ242" i="8" s="1"/>
  <c r="P242" i="8" s="1"/>
  <c r="X245" i="4"/>
  <c r="AI229" i="5" s="1"/>
  <c r="AN241" i="8" s="1"/>
  <c r="AZ241" i="8" s="1"/>
  <c r="P241" i="8" s="1"/>
  <c r="I2" i="4"/>
  <c r="I20" i="4"/>
  <c r="L187" i="5" s="1"/>
  <c r="I250" i="4"/>
  <c r="I29" i="4"/>
  <c r="I229" i="4"/>
  <c r="I256" i="4"/>
  <c r="I244" i="4"/>
  <c r="I230" i="4"/>
  <c r="J262" i="4"/>
  <c r="N4" i="5" s="1"/>
  <c r="J22" i="4"/>
  <c r="J299" i="4"/>
  <c r="J130" i="4"/>
  <c r="J89" i="4"/>
  <c r="J59" i="4"/>
  <c r="D291" i="4"/>
  <c r="E101" i="5" s="1"/>
  <c r="D292" i="4"/>
  <c r="E143" i="5" s="1"/>
  <c r="D252" i="4"/>
  <c r="E157" i="5" s="1"/>
  <c r="D243" i="4"/>
  <c r="E193" i="5" s="1"/>
  <c r="AC13" i="2"/>
  <c r="AP56" i="5"/>
  <c r="AD85" i="8"/>
  <c r="AP85" i="8" s="1"/>
  <c r="F85" i="8" s="1"/>
  <c r="J211" i="4"/>
  <c r="J213" i="4"/>
  <c r="J214" i="4"/>
  <c r="J215" i="4"/>
  <c r="X42" i="4"/>
  <c r="AI16" i="5" s="1"/>
  <c r="AN51" i="8" s="1"/>
  <c r="AZ51" i="8" s="1"/>
  <c r="X44" i="4"/>
  <c r="AI18" i="5" s="1"/>
  <c r="AN53" i="8" s="1"/>
  <c r="AZ53" i="8" s="1"/>
  <c r="X43" i="4"/>
  <c r="AI17" i="5" s="1"/>
  <c r="AN52" i="8" s="1"/>
  <c r="AZ52" i="8" s="1"/>
  <c r="X32" i="4"/>
  <c r="AI129" i="5" s="1"/>
  <c r="AN154" i="8" s="1"/>
  <c r="AZ154" i="8" s="1"/>
  <c r="P154" i="8" s="1"/>
  <c r="X33" i="4"/>
  <c r="AI137" i="5" s="1"/>
  <c r="AN162" i="8" s="1"/>
  <c r="AZ162" i="8" s="1"/>
  <c r="P162" i="8" s="1"/>
  <c r="X8" i="4"/>
  <c r="AI177" i="5" s="1"/>
  <c r="AN199" i="8" s="1"/>
  <c r="X6" i="4"/>
  <c r="AI175" i="5" s="1"/>
  <c r="AN197" i="8" s="1"/>
  <c r="X30" i="4"/>
  <c r="AI275" i="5" s="1"/>
  <c r="AN283" i="8" s="1"/>
  <c r="X172" i="4"/>
  <c r="X261" i="4"/>
  <c r="X206" i="4"/>
  <c r="X170" i="4"/>
  <c r="X255" i="8"/>
  <c r="AU244" i="5"/>
  <c r="R22" i="4"/>
  <c r="Z12" i="5" s="1"/>
  <c r="AK3" i="8" s="1"/>
  <c r="R396" i="4"/>
  <c r="Z398" i="5" s="1"/>
  <c r="R400" i="4"/>
  <c r="Z407" i="5" s="1"/>
  <c r="R395" i="4"/>
  <c r="Z397" i="5" s="1"/>
  <c r="R399" i="4"/>
  <c r="Z406" i="5" s="1"/>
  <c r="R404" i="4"/>
  <c r="Z394" i="5" s="1"/>
  <c r="R394" i="4"/>
  <c r="Z396" i="5" s="1"/>
  <c r="R89" i="4"/>
  <c r="R59" i="4"/>
  <c r="R262" i="4"/>
  <c r="R130" i="4"/>
  <c r="R299" i="4"/>
  <c r="P370" i="4"/>
  <c r="W354" i="5" s="1"/>
  <c r="AJ353" i="8" s="1"/>
  <c r="P366" i="4"/>
  <c r="W367" i="5" s="1"/>
  <c r="AJ365" i="8" s="1"/>
  <c r="P360" i="4"/>
  <c r="W364" i="5" s="1"/>
  <c r="AJ362" i="8" s="1"/>
  <c r="P365" i="4"/>
  <c r="W365" i="5" s="1"/>
  <c r="AJ363" i="8" s="1"/>
  <c r="P369" i="4"/>
  <c r="W353" i="5" s="1"/>
  <c r="AJ352" i="8" s="1"/>
  <c r="P356" i="4"/>
  <c r="W366" i="5" s="1"/>
  <c r="AJ364" i="8" s="1"/>
  <c r="Q265" i="4"/>
  <c r="X6" i="5" s="1"/>
  <c r="Q221" i="4"/>
  <c r="X80" i="5" s="1"/>
  <c r="Q296" i="4"/>
  <c r="X156" i="5" s="1"/>
  <c r="Q11" i="4"/>
  <c r="X255" i="5" s="1"/>
  <c r="Q279" i="4"/>
  <c r="X286" i="5" s="1"/>
  <c r="Q263" i="4"/>
  <c r="X289" i="5" s="1"/>
  <c r="Q112" i="4"/>
  <c r="X274" i="5" s="1"/>
  <c r="F139" i="4"/>
  <c r="H110" i="5" s="1"/>
  <c r="F100" i="4"/>
  <c r="F197" i="4"/>
  <c r="F198" i="4"/>
  <c r="F143" i="4"/>
  <c r="F162" i="4"/>
  <c r="F93" i="4"/>
  <c r="F145" i="4"/>
  <c r="F92" i="4"/>
  <c r="F98" i="4"/>
  <c r="F189" i="4"/>
  <c r="F227" i="4"/>
  <c r="F118" i="4"/>
  <c r="F415" i="4"/>
  <c r="Q267" i="4"/>
  <c r="X73" i="5" s="1"/>
  <c r="Q97" i="4"/>
  <c r="X130" i="5" s="1"/>
  <c r="Q142" i="4"/>
  <c r="X125" i="5" s="1"/>
  <c r="Q269" i="4"/>
  <c r="X2" i="5" s="1"/>
  <c r="Y75" i="8"/>
  <c r="AV44" i="5"/>
  <c r="O237" i="4"/>
  <c r="U104" i="5" s="1"/>
  <c r="O228" i="4"/>
  <c r="U218" i="5" s="1"/>
  <c r="BA88" i="2"/>
  <c r="BA87" i="2"/>
  <c r="L291" i="4"/>
  <c r="Q101" i="5" s="1"/>
  <c r="AH130" i="8" s="1"/>
  <c r="AT130" i="8" s="1"/>
  <c r="J130" i="8" s="1"/>
  <c r="L268" i="4"/>
  <c r="Q100" i="5" s="1"/>
  <c r="AH129" i="8" s="1"/>
  <c r="AT129" i="8" s="1"/>
  <c r="J129" i="8" s="1"/>
  <c r="L292" i="4"/>
  <c r="Q143" i="5" s="1"/>
  <c r="AH168" i="8" s="1"/>
  <c r="AT168" i="8" s="1"/>
  <c r="J168" i="8" s="1"/>
  <c r="L252" i="4"/>
  <c r="Q157" i="5" s="1"/>
  <c r="AH181" i="8" s="1"/>
  <c r="AT181" i="8" s="1"/>
  <c r="J181" i="8" s="1"/>
  <c r="C149" i="4"/>
  <c r="C201" i="5" s="1"/>
  <c r="R219" i="8" s="1"/>
  <c r="C128" i="4"/>
  <c r="C179" i="5" s="1"/>
  <c r="C117" i="4"/>
  <c r="C232" i="5" s="1"/>
  <c r="C146" i="4"/>
  <c r="C284" i="5" s="1"/>
  <c r="R291" i="8" s="1"/>
  <c r="C192" i="4"/>
  <c r="C285" i="5" s="1"/>
  <c r="R292" i="8" s="1"/>
  <c r="L101" i="4"/>
  <c r="Q35" i="5" s="1"/>
  <c r="AH66" i="8" s="1"/>
  <c r="AT66" i="8" s="1"/>
  <c r="J66" i="8" s="1"/>
  <c r="L136" i="4"/>
  <c r="Q84" i="5" s="1"/>
  <c r="AH113" i="8" s="1"/>
  <c r="AT113" i="8" s="1"/>
  <c r="L177" i="4"/>
  <c r="Q83" i="5" s="1"/>
  <c r="AH112" i="8" s="1"/>
  <c r="AT112" i="8" s="1"/>
  <c r="J112" i="8" s="1"/>
  <c r="L175" i="4"/>
  <c r="Q81" i="5" s="1"/>
  <c r="AH110" i="8" s="1"/>
  <c r="AT110" i="8" s="1"/>
  <c r="J110" i="8" s="1"/>
  <c r="L76" i="4"/>
  <c r="Q115" i="5" s="1"/>
  <c r="AH143" i="8" s="1"/>
  <c r="AT143" i="8" s="1"/>
  <c r="L178" i="4"/>
  <c r="Q85" i="5" s="1"/>
  <c r="AH114" i="8" s="1"/>
  <c r="AT114" i="8" s="1"/>
  <c r="J114" i="8" s="1"/>
  <c r="L25" i="4"/>
  <c r="Q252" i="5" s="1"/>
  <c r="AH262" i="8" s="1"/>
  <c r="AT262" i="8" s="1"/>
  <c r="J262" i="8" s="1"/>
  <c r="L105" i="4"/>
  <c r="Q57" i="5" s="1"/>
  <c r="AH86" i="8" s="1"/>
  <c r="AT86" i="8" s="1"/>
  <c r="J86" i="8" s="1"/>
  <c r="L106" i="4"/>
  <c r="Q58" i="5" s="1"/>
  <c r="AH87" i="8" s="1"/>
  <c r="L57" i="4"/>
  <c r="Q257" i="5" s="1"/>
  <c r="AH266" i="8" s="1"/>
  <c r="AT266" i="8" s="1"/>
  <c r="J266" i="8" s="1"/>
  <c r="I141" i="4"/>
  <c r="L123" i="5" s="1"/>
  <c r="I161" i="4"/>
  <c r="L217" i="5" s="1"/>
  <c r="I144" i="4"/>
  <c r="I160" i="4"/>
  <c r="I95" i="4"/>
  <c r="L273" i="5" s="1"/>
  <c r="Y149" i="4"/>
  <c r="AJ201" i="5" s="1"/>
  <c r="Y146" i="4"/>
  <c r="AJ284" i="5" s="1"/>
  <c r="Y192" i="4"/>
  <c r="AJ285" i="5" s="1"/>
  <c r="R44" i="4"/>
  <c r="Z18" i="5" s="1"/>
  <c r="AK53" i="8" s="1"/>
  <c r="R42" i="4"/>
  <c r="Z16" i="5" s="1"/>
  <c r="AK51" i="8" s="1"/>
  <c r="R43" i="4"/>
  <c r="Z17" i="5" s="1"/>
  <c r="AK52" i="8" s="1"/>
  <c r="R32" i="4"/>
  <c r="Z129" i="5" s="1"/>
  <c r="AK154" i="8" s="1"/>
  <c r="R33" i="4"/>
  <c r="Z137" i="5" s="1"/>
  <c r="AK162" i="8" s="1"/>
  <c r="R6" i="4"/>
  <c r="Z175" i="5" s="1"/>
  <c r="R8" i="4"/>
  <c r="Z177" i="5" s="1"/>
  <c r="R140" i="4"/>
  <c r="R208" i="4"/>
  <c r="R220" i="4"/>
  <c r="C214" i="4"/>
  <c r="C25" i="5" s="1"/>
  <c r="C211" i="4"/>
  <c r="C22" i="5" s="1"/>
  <c r="C213" i="4"/>
  <c r="C24" i="5" s="1"/>
  <c r="C215" i="4"/>
  <c r="C26" i="5" s="1"/>
  <c r="P297" i="4"/>
  <c r="W272" i="5" s="1"/>
  <c r="AJ280" i="8" s="1"/>
  <c r="P411" i="4"/>
  <c r="W411" i="5" s="1"/>
  <c r="AJ402" i="8" s="1"/>
  <c r="AV402" i="8" s="1"/>
  <c r="L402" i="8" s="1"/>
  <c r="P405" i="4"/>
  <c r="W410" i="5" s="1"/>
  <c r="AJ401" i="8" s="1"/>
  <c r="AV401" i="8" s="1"/>
  <c r="L401" i="8" s="1"/>
  <c r="D60" i="4"/>
  <c r="E66" i="5" s="1"/>
  <c r="D109" i="4"/>
  <c r="E65" i="5" s="1"/>
  <c r="D187" i="4"/>
  <c r="E151" i="5" s="1"/>
  <c r="D185" i="4"/>
  <c r="E136" i="5" s="1"/>
  <c r="D200" i="4"/>
  <c r="E244" i="5" s="1"/>
  <c r="D125" i="4"/>
  <c r="E278" i="5" s="1"/>
  <c r="F228" i="4"/>
  <c r="AR88" i="2"/>
  <c r="AR87" i="2"/>
  <c r="X212" i="4"/>
  <c r="AI23" i="5" s="1"/>
  <c r="AN56" i="8" s="1"/>
  <c r="AZ56" i="8" s="1"/>
  <c r="X148" i="4"/>
  <c r="AI200" i="5" s="1"/>
  <c r="AN18" i="8" s="1"/>
  <c r="AZ18" i="8" s="1"/>
  <c r="P18" i="8" s="1"/>
  <c r="X147" i="4"/>
  <c r="AI293" i="5" s="1"/>
  <c r="AN300" i="8" s="1"/>
  <c r="AZ300" i="8" s="1"/>
  <c r="P300" i="8" s="1"/>
  <c r="C294" i="4"/>
  <c r="C144" i="5" s="1"/>
  <c r="C264" i="4"/>
  <c r="C198" i="5" s="1"/>
  <c r="C301" i="4"/>
  <c r="C189" i="5" s="1"/>
  <c r="R209" i="8" s="1"/>
  <c r="C255" i="4"/>
  <c r="C195" i="5" s="1"/>
  <c r="C226" i="4"/>
  <c r="C197" i="5" s="1"/>
  <c r="F119" i="8"/>
  <c r="C105" i="4"/>
  <c r="C57" i="5" s="1"/>
  <c r="C106" i="4"/>
  <c r="C58" i="5" s="1"/>
  <c r="C4" i="4"/>
  <c r="C174" i="5" s="1"/>
  <c r="C61" i="4"/>
  <c r="C262" i="5" s="1"/>
  <c r="R271" i="8" s="1"/>
  <c r="C102" i="4"/>
  <c r="C266" i="5" s="1"/>
  <c r="AO85" i="2"/>
  <c r="AO84" i="2"/>
  <c r="M248" i="4"/>
  <c r="R76" i="5" s="1"/>
  <c r="M291" i="4"/>
  <c r="R101" i="5" s="1"/>
  <c r="M292" i="4"/>
  <c r="R143" i="5" s="1"/>
  <c r="M252" i="4"/>
  <c r="R157" i="5" s="1"/>
  <c r="W104" i="8"/>
  <c r="AL13" i="2"/>
  <c r="AT56" i="5"/>
  <c r="W85" i="8"/>
  <c r="M54" i="4"/>
  <c r="R47" i="5" s="1"/>
  <c r="M58" i="4"/>
  <c r="R41" i="5" s="1"/>
  <c r="M51" i="4"/>
  <c r="R39" i="5" s="1"/>
  <c r="M36" i="4"/>
  <c r="R42" i="5" s="1"/>
  <c r="M78" i="4"/>
  <c r="R121" i="5" s="1"/>
  <c r="M3" i="4"/>
  <c r="R118" i="5" s="1"/>
  <c r="M165" i="4"/>
  <c r="R245" i="5" s="1"/>
  <c r="M168" i="4"/>
  <c r="R248" i="5" s="1"/>
  <c r="M166" i="4"/>
  <c r="R246" i="5" s="1"/>
  <c r="M124" i="4"/>
  <c r="R276" i="5" s="1"/>
  <c r="M402" i="4"/>
  <c r="AC172" i="8"/>
  <c r="AZ147" i="5"/>
  <c r="BI84" i="2"/>
  <c r="BI85" i="2"/>
  <c r="BF84" i="2"/>
  <c r="BF85" i="2"/>
  <c r="Z43" i="4"/>
  <c r="AL17" i="5" s="1"/>
  <c r="Z42" i="4"/>
  <c r="AL16" i="5" s="1"/>
  <c r="Z32" i="4"/>
  <c r="AL129" i="5" s="1"/>
  <c r="Z8" i="4"/>
  <c r="AL177" i="5" s="1"/>
  <c r="Z6" i="4"/>
  <c r="AL175" i="5" s="1"/>
  <c r="Z30" i="4"/>
  <c r="AL275" i="5" s="1"/>
  <c r="Z111" i="4"/>
  <c r="AL94" i="5" s="1"/>
  <c r="Z297" i="4"/>
  <c r="AL272" i="5" s="1"/>
  <c r="Z260" i="4"/>
  <c r="AL46" i="5" s="1"/>
  <c r="Z170" i="4"/>
  <c r="AL68" i="5" s="1"/>
  <c r="Z37" i="4"/>
  <c r="AL62" i="5" s="1"/>
  <c r="Z172" i="4"/>
  <c r="AL70" i="5" s="1"/>
  <c r="Z261" i="4"/>
  <c r="AL96" i="5" s="1"/>
  <c r="Z295" i="4"/>
  <c r="AL98" i="5" s="1"/>
  <c r="Z126" i="4"/>
  <c r="AL162" i="5" s="1"/>
  <c r="Z199" i="4"/>
  <c r="AL243" i="5" s="1"/>
  <c r="Z41" i="4"/>
  <c r="AL279" i="5" s="1"/>
  <c r="AO88" i="8"/>
  <c r="BA59" i="5"/>
  <c r="Z60" i="4"/>
  <c r="AL66" i="5" s="1"/>
  <c r="Z55" i="4"/>
  <c r="AL67" i="5" s="1"/>
  <c r="Z185" i="4"/>
  <c r="AL136" i="5" s="1"/>
  <c r="Z187" i="4"/>
  <c r="AL151" i="5" s="1"/>
  <c r="Z10" i="4"/>
  <c r="AL254" i="5" s="1"/>
  <c r="Z200" i="4"/>
  <c r="AL244" i="5" s="1"/>
  <c r="Z125" i="4"/>
  <c r="AL278" i="5" s="1"/>
  <c r="L305" i="4"/>
  <c r="Q314" i="5" s="1"/>
  <c r="AH316" i="8" s="1"/>
  <c r="AT316" i="8" s="1"/>
  <c r="J316" i="8" s="1"/>
  <c r="L306" i="4"/>
  <c r="Q315" i="5" s="1"/>
  <c r="AH317" i="8" s="1"/>
  <c r="AT317" i="8" s="1"/>
  <c r="J317" i="8" s="1"/>
  <c r="L343" i="4"/>
  <c r="Q330" i="5" s="1"/>
  <c r="AH331" i="8" s="1"/>
  <c r="AT331" i="8" s="1"/>
  <c r="J331" i="8" s="1"/>
  <c r="L351" i="4"/>
  <c r="Q341" i="5" s="1"/>
  <c r="AH341" i="8" s="1"/>
  <c r="AT341" i="8" s="1"/>
  <c r="J341" i="8" s="1"/>
  <c r="L323" i="4"/>
  <c r="Q326" i="5" s="1"/>
  <c r="AH327" i="8" s="1"/>
  <c r="AT327" i="8" s="1"/>
  <c r="J327" i="8" s="1"/>
  <c r="L344" i="4"/>
  <c r="Q338" i="5" s="1"/>
  <c r="AH338" i="8" s="1"/>
  <c r="AT338" i="8" s="1"/>
  <c r="J338" i="8" s="1"/>
  <c r="L350" i="4"/>
  <c r="Q339" i="5" s="1"/>
  <c r="AH339" i="8" s="1"/>
  <c r="AT339" i="8" s="1"/>
  <c r="J339" i="8" s="1"/>
  <c r="L345" i="4"/>
  <c r="Q337" i="5" s="1"/>
  <c r="AH337" i="8" s="1"/>
  <c r="AT337" i="8" s="1"/>
  <c r="J337" i="8" s="1"/>
  <c r="D23" i="4"/>
  <c r="E13" i="5" s="1"/>
  <c r="AD48" i="8" s="1"/>
  <c r="D298" i="4"/>
  <c r="E124" i="5" s="1"/>
  <c r="F293" i="4"/>
  <c r="H89" i="5" s="1"/>
  <c r="F77" i="4"/>
  <c r="H119" i="5" s="1"/>
  <c r="F286" i="4"/>
  <c r="H108" i="5" s="1"/>
  <c r="F284" i="4"/>
  <c r="H106" i="5" s="1"/>
  <c r="F290" i="4"/>
  <c r="H140" i="5" s="1"/>
  <c r="F27" i="4"/>
  <c r="H264" i="5" s="1"/>
  <c r="F63" i="4"/>
  <c r="H270" i="5" s="1"/>
  <c r="X265" i="4"/>
  <c r="AI6" i="5" s="1"/>
  <c r="AN42" i="8" s="1"/>
  <c r="AZ42" i="8" s="1"/>
  <c r="P42" i="8" s="1"/>
  <c r="X221" i="4"/>
  <c r="AI80" i="5" s="1"/>
  <c r="AN109" i="8" s="1"/>
  <c r="X11" i="4"/>
  <c r="AI255" i="5" s="1"/>
  <c r="AN264" i="8" s="1"/>
  <c r="AZ264" i="8" s="1"/>
  <c r="P264" i="8" s="1"/>
  <c r="X279" i="4"/>
  <c r="AI286" i="5" s="1"/>
  <c r="AN293" i="8" s="1"/>
  <c r="AZ293" i="8" s="1"/>
  <c r="P293" i="8" s="1"/>
  <c r="X263" i="4"/>
  <c r="AI289" i="5" s="1"/>
  <c r="AN296" i="8" s="1"/>
  <c r="X287" i="4"/>
  <c r="AI287" i="5" s="1"/>
  <c r="AN294" i="8" s="1"/>
  <c r="AZ294" i="8" s="1"/>
  <c r="X112" i="4"/>
  <c r="AI274" i="5" s="1"/>
  <c r="AN282" i="8" s="1"/>
  <c r="AZ282" i="8" s="1"/>
  <c r="P282" i="8" s="1"/>
  <c r="P311" i="4"/>
  <c r="W310" i="5" s="1"/>
  <c r="AJ312" i="8" s="1"/>
  <c r="P324" i="4"/>
  <c r="W327" i="5" s="1"/>
  <c r="AJ328" i="8" s="1"/>
  <c r="P330" i="4"/>
  <c r="W347" i="5" s="1"/>
  <c r="AJ347" i="8" s="1"/>
  <c r="L127" i="4"/>
  <c r="Q171" i="5" s="1"/>
  <c r="AH194" i="8" s="1"/>
  <c r="AT194" i="8" s="1"/>
  <c r="J194" i="8" s="1"/>
  <c r="L137" i="4"/>
  <c r="Q260" i="5" s="1"/>
  <c r="AH269" i="8" s="1"/>
  <c r="AT269" i="8" s="1"/>
  <c r="J269" i="8" s="1"/>
  <c r="L182" i="4"/>
  <c r="Q11" i="5" s="1"/>
  <c r="AH47" i="8" s="1"/>
  <c r="AT47" i="8" s="1"/>
  <c r="J47" i="8" s="1"/>
  <c r="L184" i="4"/>
  <c r="Q132" i="5" s="1"/>
  <c r="AH157" i="8" s="1"/>
  <c r="AT157" i="8" s="1"/>
  <c r="J157" i="8" s="1"/>
  <c r="L120" i="4"/>
  <c r="Q93" i="5" s="1"/>
  <c r="AH122" i="8" s="1"/>
  <c r="AT122" i="8" s="1"/>
  <c r="J122" i="8" s="1"/>
  <c r="L240" i="4"/>
  <c r="Q117" i="5" s="1"/>
  <c r="AH145" i="8" s="1"/>
  <c r="AT145" i="8" s="1"/>
  <c r="J145" i="8" s="1"/>
  <c r="L219" i="4"/>
  <c r="Q265" i="5" s="1"/>
  <c r="AH27" i="8" s="1"/>
  <c r="AT27" i="8" s="1"/>
  <c r="J27" i="8" s="1"/>
  <c r="L209" i="4"/>
  <c r="Q259" i="5" s="1"/>
  <c r="AH268" i="8" s="1"/>
  <c r="AT268" i="8" s="1"/>
  <c r="J268" i="8" s="1"/>
  <c r="F220" i="4"/>
  <c r="H9" i="5" s="1"/>
  <c r="F208" i="4"/>
  <c r="AX309" i="8"/>
  <c r="O304" i="4"/>
  <c r="U304" i="5" s="1"/>
  <c r="O332" i="4"/>
  <c r="U349" i="5" s="1"/>
  <c r="AV91" i="5"/>
  <c r="Y120" i="8"/>
  <c r="C151" i="4"/>
  <c r="C204" i="5" s="1"/>
  <c r="R20" i="8" s="1"/>
  <c r="C152" i="4"/>
  <c r="C205" i="5" s="1"/>
  <c r="R21" i="8" s="1"/>
  <c r="Y74" i="4"/>
  <c r="AJ208" i="5" s="1"/>
  <c r="Y19" i="4"/>
  <c r="AJ186" i="5" s="1"/>
  <c r="Y282" i="4"/>
  <c r="AJ222" i="5" s="1"/>
  <c r="Y407" i="4"/>
  <c r="AJ395" i="5" s="1"/>
  <c r="Z294" i="4"/>
  <c r="AL144" i="5" s="1"/>
  <c r="Z254" i="4"/>
  <c r="AL194" i="5" s="1"/>
  <c r="Z226" i="4"/>
  <c r="AL197" i="5" s="1"/>
  <c r="Z301" i="4"/>
  <c r="AL189" i="5" s="1"/>
  <c r="Z264" i="4"/>
  <c r="AL198" i="5" s="1"/>
  <c r="BA384" i="5"/>
  <c r="AO381" i="8"/>
  <c r="W381" i="8"/>
  <c r="AL52" i="2"/>
  <c r="AT384" i="5"/>
  <c r="Z19" i="4"/>
  <c r="AL186" i="5" s="1"/>
  <c r="Z74" i="4"/>
  <c r="AL208" i="5" s="1"/>
  <c r="Z282" i="4"/>
  <c r="AL222" i="5" s="1"/>
  <c r="AG69" i="2"/>
  <c r="AI69" i="2"/>
  <c r="AF74" i="8"/>
  <c r="AR74" i="8" s="1"/>
  <c r="H74" i="8" s="1"/>
  <c r="AR43" i="5"/>
  <c r="AP239" i="5"/>
  <c r="AD251" i="8"/>
  <c r="AP251" i="8" s="1"/>
  <c r="U299" i="4" a="1"/>
  <c r="U299" i="4" s="1"/>
  <c r="AD154" i="5" s="1"/>
  <c r="U294" i="4" a="1"/>
  <c r="U294" i="4" s="1"/>
  <c r="AD144" i="5" s="1"/>
  <c r="U185" i="4" a="1"/>
  <c r="U185" i="4" s="1"/>
  <c r="AD136" i="5" s="1"/>
  <c r="U187" i="4" a="1"/>
  <c r="U187" i="4" s="1"/>
  <c r="AD151" i="5" s="1"/>
  <c r="U254" i="4" a="1"/>
  <c r="U254" i="4" s="1"/>
  <c r="AD194" i="5" s="1"/>
  <c r="U226" i="4" a="1"/>
  <c r="U226" i="4" s="1"/>
  <c r="AD197" i="5" s="1"/>
  <c r="U124" i="4" a="1"/>
  <c r="U124" i="4" s="1"/>
  <c r="AD276" i="5" s="1"/>
  <c r="U125" i="4" a="1"/>
  <c r="U125" i="4" s="1"/>
  <c r="AD278" i="5" s="1"/>
  <c r="T87" i="4" a="1"/>
  <c r="T87" i="4" s="1"/>
  <c r="AC298" i="5" s="1"/>
  <c r="AN298" i="5" s="1"/>
  <c r="T86" i="4" a="1"/>
  <c r="T86" i="4" s="1"/>
  <c r="AC299" i="5" s="1"/>
  <c r="AX299" i="5" s="1"/>
  <c r="T173" i="4" a="1"/>
  <c r="T173" i="4" s="1"/>
  <c r="AC78" i="5" s="1"/>
  <c r="T111" i="4" a="1"/>
  <c r="T111" i="4" s="1"/>
  <c r="AC94" i="5" s="1"/>
  <c r="AL123" i="8" s="1"/>
  <c r="T182" i="4" a="1"/>
  <c r="T182" i="4" s="1"/>
  <c r="AC11" i="5" s="1"/>
  <c r="AL47" i="8" s="1"/>
  <c r="T169" i="4" a="1"/>
  <c r="T169" i="4" s="1"/>
  <c r="AC54" i="5" s="1"/>
  <c r="AL83" i="8" s="1"/>
  <c r="T241" i="4" a="1"/>
  <c r="T241" i="4" s="1"/>
  <c r="AC128" i="5" s="1"/>
  <c r="AL153" i="8" s="1"/>
  <c r="T142" i="4" a="1"/>
  <c r="T142" i="4" s="1"/>
  <c r="AC125" i="5" s="1"/>
  <c r="AL11" i="8" s="1"/>
  <c r="T293" i="4" a="1"/>
  <c r="T293" i="4" s="1"/>
  <c r="AC89" i="5" s="1"/>
  <c r="AL118" i="8" s="1"/>
  <c r="AX118" i="8" s="1"/>
  <c r="T177" i="4" a="1"/>
  <c r="T177" i="4" s="1"/>
  <c r="AC83" i="5" s="1"/>
  <c r="AL112" i="8" s="1"/>
  <c r="T138" i="4" a="1"/>
  <c r="T138" i="4" s="1"/>
  <c r="AC86" i="5" s="1"/>
  <c r="AL115" i="8" s="1"/>
  <c r="T91" i="4" a="1"/>
  <c r="T91" i="4" s="1"/>
  <c r="AC92" i="5" s="1"/>
  <c r="AL121" i="8" s="1"/>
  <c r="T286" i="4" a="1"/>
  <c r="T286" i="4" s="1"/>
  <c r="AC108" i="5" s="1"/>
  <c r="AL137" i="8" s="1"/>
  <c r="T278" i="4" a="1"/>
  <c r="T278" i="4" s="1"/>
  <c r="AC139" i="5" s="1"/>
  <c r="AL164" i="8" s="1"/>
  <c r="T24" i="4" a="1"/>
  <c r="T24" i="4" s="1"/>
  <c r="AC182" i="5" s="1"/>
  <c r="AL203" i="8" s="1"/>
  <c r="T282" i="4" a="1"/>
  <c r="T282" i="4" s="1"/>
  <c r="AC222" i="5" s="1"/>
  <c r="AL235" i="8" s="1"/>
  <c r="T102" i="4" a="1"/>
  <c r="T102" i="4" s="1"/>
  <c r="AC266" i="5" s="1"/>
  <c r="AL274" i="8" s="1"/>
  <c r="T61" i="4" a="1"/>
  <c r="T61" i="4" s="1"/>
  <c r="AC262" i="5" s="1"/>
  <c r="AL271" i="8" s="1"/>
  <c r="T25" i="4" a="1"/>
  <c r="T25" i="4" s="1"/>
  <c r="AC252" i="5" s="1"/>
  <c r="AL262" i="8" s="1"/>
  <c r="AX262" i="8" s="1"/>
  <c r="N262" i="8" s="1"/>
  <c r="T137" i="4" a="1"/>
  <c r="T137" i="4" s="1"/>
  <c r="AC260" i="5" s="1"/>
  <c r="AL269" i="8" s="1"/>
  <c r="E133" i="4"/>
  <c r="F226" i="5" s="1"/>
  <c r="F253" i="4"/>
  <c r="F31" i="4"/>
  <c r="C315" i="4"/>
  <c r="C316" i="5" s="1"/>
  <c r="R318" i="8" s="1"/>
  <c r="C314" i="4"/>
  <c r="C313" i="5" s="1"/>
  <c r="R315" i="8" s="1"/>
  <c r="C309" i="4"/>
  <c r="C308" i="5" s="1"/>
  <c r="R310" i="8" s="1"/>
  <c r="C307" i="4"/>
  <c r="C317" i="5" s="1"/>
  <c r="R319" i="8" s="1"/>
  <c r="C316" i="4"/>
  <c r="C318" i="5" s="1"/>
  <c r="R320" i="8" s="1"/>
  <c r="I339" i="4"/>
  <c r="L319" i="5" s="1"/>
  <c r="I315" i="4"/>
  <c r="L316" i="5" s="1"/>
  <c r="I309" i="4"/>
  <c r="L308" i="5" s="1"/>
  <c r="I307" i="4"/>
  <c r="L317" i="5" s="1"/>
  <c r="I316" i="4"/>
  <c r="L318" i="5" s="1"/>
  <c r="I347" i="4"/>
  <c r="L336" i="5" s="1"/>
  <c r="T277" i="4" a="1"/>
  <c r="T277" i="4" s="1"/>
  <c r="AC301" i="5" s="1"/>
  <c r="T178" i="4" a="1"/>
  <c r="T178" i="4" s="1"/>
  <c r="AC85" i="5" s="1"/>
  <c r="AL114" i="8" s="1"/>
  <c r="T236" i="4" a="1"/>
  <c r="T236" i="4" s="1"/>
  <c r="AC95" i="5" s="1"/>
  <c r="AL124" i="8" s="1"/>
  <c r="T242" i="4" a="1"/>
  <c r="T242" i="4" s="1"/>
  <c r="AC146" i="5" s="1"/>
  <c r="AL171" i="8" s="1"/>
  <c r="T14" i="4" a="1"/>
  <c r="T14" i="4" s="1"/>
  <c r="AC180" i="5" s="1"/>
  <c r="AL15" i="8" s="1"/>
  <c r="AC89" i="8"/>
  <c r="AZ60" i="5"/>
  <c r="Z89" i="8"/>
  <c r="AW60" i="5"/>
  <c r="AG77" i="2"/>
  <c r="AI77" i="2"/>
  <c r="AR88" i="5"/>
  <c r="AF117" i="8"/>
  <c r="AR117" i="8" s="1"/>
  <c r="H117" i="8" s="1"/>
  <c r="W280" i="4"/>
  <c r="AG290" i="5" s="1"/>
  <c r="W7" i="4"/>
  <c r="AG176" i="5" s="1"/>
  <c r="W118" i="4"/>
  <c r="AG236" i="5" s="1"/>
  <c r="I133" i="4"/>
  <c r="S106" i="4"/>
  <c r="AA58" i="5" s="1"/>
  <c r="T130" i="4" a="1"/>
  <c r="T130" i="4" s="1"/>
  <c r="AC5" i="5" s="1"/>
  <c r="AL2" i="8" s="1"/>
  <c r="Y51" i="4"/>
  <c r="AJ39" i="5" s="1"/>
  <c r="C181" i="4"/>
  <c r="C10" i="5" s="1"/>
  <c r="O157" i="4"/>
  <c r="U212" i="5" s="1"/>
  <c r="H64" i="4"/>
  <c r="K3" i="5" s="1"/>
  <c r="M273" i="4"/>
  <c r="R51" i="5" s="1"/>
  <c r="T260" i="4" a="1"/>
  <c r="T260" i="4" s="1"/>
  <c r="AC46" i="5" s="1"/>
  <c r="AL77" i="8" s="1"/>
  <c r="T58" i="4" a="1"/>
  <c r="T58" i="4" s="1"/>
  <c r="AC41" i="5" s="1"/>
  <c r="AL72" i="8" s="1"/>
  <c r="U26" i="4" a="1"/>
  <c r="U26" i="4" s="1"/>
  <c r="AD49" i="5" s="1"/>
  <c r="L109" i="4"/>
  <c r="Q65" i="5" s="1"/>
  <c r="AH94" i="8" s="1"/>
  <c r="AT94" i="8" s="1"/>
  <c r="J94" i="8" s="1"/>
  <c r="AA94" i="8"/>
  <c r="AX65" i="5"/>
  <c r="X55" i="4"/>
  <c r="AI67" i="5" s="1"/>
  <c r="AN96" i="8" s="1"/>
  <c r="AZ96" i="8" s="1"/>
  <c r="M52" i="4"/>
  <c r="R40" i="5" s="1"/>
  <c r="U206" i="4" a="1"/>
  <c r="U206" i="4" s="1"/>
  <c r="AD71" i="5" s="1"/>
  <c r="Z236" i="4"/>
  <c r="AL95" i="5" s="1"/>
  <c r="T136" i="4" a="1"/>
  <c r="T136" i="4" s="1"/>
  <c r="AC84" i="5" s="1"/>
  <c r="AL113" i="8" s="1"/>
  <c r="Z94" i="4"/>
  <c r="AL120" i="5" s="1"/>
  <c r="D268" i="4"/>
  <c r="E100" i="5" s="1"/>
  <c r="L239" i="4"/>
  <c r="Q114" i="5" s="1"/>
  <c r="AH142" i="8" s="1"/>
  <c r="AT142" i="8" s="1"/>
  <c r="J142" i="8" s="1"/>
  <c r="M184" i="4"/>
  <c r="R132" i="5" s="1"/>
  <c r="O249" i="4"/>
  <c r="U99" i="5" s="1"/>
  <c r="H109" i="4"/>
  <c r="K65" i="5" s="1"/>
  <c r="Y144" i="4"/>
  <c r="AJ155" i="5" s="1"/>
  <c r="F237" i="4"/>
  <c r="H104" i="5" s="1"/>
  <c r="L296" i="4"/>
  <c r="Q156" i="5" s="1"/>
  <c r="AH180" i="8" s="1"/>
  <c r="AT180" i="8" s="1"/>
  <c r="J180" i="8" s="1"/>
  <c r="T249" i="4" a="1"/>
  <c r="T249" i="4" s="1"/>
  <c r="AC99" i="5" s="1"/>
  <c r="AL128" i="8" s="1"/>
  <c r="O186" i="4"/>
  <c r="U150" i="5" s="1"/>
  <c r="AA145" i="8"/>
  <c r="AA180" i="8"/>
  <c r="AY180" i="8" s="1"/>
  <c r="S242" i="4"/>
  <c r="AA146" i="5" s="1"/>
  <c r="H298" i="4"/>
  <c r="K124" i="5" s="1"/>
  <c r="U76" i="4" a="1"/>
  <c r="U76" i="4" s="1"/>
  <c r="AD115" i="5" s="1"/>
  <c r="C188" i="4"/>
  <c r="C152" i="5" s="1"/>
  <c r="H96" i="4"/>
  <c r="K122" i="5" s="1"/>
  <c r="T3" i="4" a="1"/>
  <c r="T3" i="4" s="1"/>
  <c r="AC118" i="5" s="1"/>
  <c r="AL146" i="8" s="1"/>
  <c r="AX146" i="8" s="1"/>
  <c r="N146" i="8" s="1"/>
  <c r="S114" i="4"/>
  <c r="AA138" i="5" s="1"/>
  <c r="L189" i="4"/>
  <c r="Q167" i="5" s="1"/>
  <c r="AH190" i="8" s="1"/>
  <c r="AT190" i="8" s="1"/>
  <c r="J190" i="8" s="1"/>
  <c r="U98" i="4" a="1"/>
  <c r="U98" i="4" s="1"/>
  <c r="AD163" i="5" s="1"/>
  <c r="T67" i="4" a="1"/>
  <c r="T67" i="4" s="1"/>
  <c r="AC164" i="5" s="1"/>
  <c r="AL187" i="8" s="1"/>
  <c r="T299" i="4" a="1"/>
  <c r="T299" i="4" s="1"/>
  <c r="AC154" i="5" s="1"/>
  <c r="AL178" i="8" s="1"/>
  <c r="AX178" i="8" s="1"/>
  <c r="N178" i="8" s="1"/>
  <c r="C16" i="4"/>
  <c r="C183" i="5" s="1"/>
  <c r="U242" i="4" a="1"/>
  <c r="U242" i="4" s="1"/>
  <c r="AD146" i="5" s="1"/>
  <c r="Y243" i="4"/>
  <c r="AJ193" i="5" s="1"/>
  <c r="S16" i="4"/>
  <c r="AA183" i="5" s="1"/>
  <c r="T128" i="4" a="1"/>
  <c r="T128" i="4" s="1"/>
  <c r="AC179" i="5" s="1"/>
  <c r="AL201" i="8" s="1"/>
  <c r="Y288" i="4"/>
  <c r="AJ214" i="5" s="1"/>
  <c r="C131" i="4"/>
  <c r="C199" i="5" s="1"/>
  <c r="H231" i="4"/>
  <c r="K221" i="5" s="1"/>
  <c r="AF234" i="8" s="1"/>
  <c r="AR234" i="8" s="1"/>
  <c r="H234" i="8" s="1"/>
  <c r="L165" i="4"/>
  <c r="Q245" i="5" s="1"/>
  <c r="AH256" i="8" s="1"/>
  <c r="AT256" i="8" s="1"/>
  <c r="J256" i="8" s="1"/>
  <c r="I159" i="4"/>
  <c r="L215" i="5" s="1"/>
  <c r="L85" i="4"/>
  <c r="Q224" i="5" s="1"/>
  <c r="AH237" i="8" s="1"/>
  <c r="AT237" i="8" s="1"/>
  <c r="J237" i="8" s="1"/>
  <c r="H117" i="4"/>
  <c r="K232" i="5" s="1"/>
  <c r="L158" i="4"/>
  <c r="Q258" i="5" s="1"/>
  <c r="AH267" i="8" s="1"/>
  <c r="AT267" i="8" s="1"/>
  <c r="J267" i="8" s="1"/>
  <c r="Z162" i="4"/>
  <c r="AL237" i="5" s="1"/>
  <c r="Q147" i="4"/>
  <c r="X293" i="5" s="1"/>
  <c r="C201" i="4"/>
  <c r="C249" i="5" s="1"/>
  <c r="O204" i="4"/>
  <c r="U251" i="5" s="1"/>
  <c r="U192" i="4" a="1"/>
  <c r="U192" i="4" s="1"/>
  <c r="AD285" i="5" s="1"/>
  <c r="H158" i="4"/>
  <c r="K258" i="5" s="1"/>
  <c r="U129" i="4" a="1"/>
  <c r="U129" i="4" s="1"/>
  <c r="AD283" i="5" s="1"/>
  <c r="Q75" i="4"/>
  <c r="X250" i="5" s="1"/>
  <c r="M176" i="4"/>
  <c r="R267" i="5" s="1"/>
  <c r="X63" i="4"/>
  <c r="AI270" i="5" s="1"/>
  <c r="AN278" i="8" s="1"/>
  <c r="AZ278" i="8" s="1"/>
  <c r="P278" i="8" s="1"/>
  <c r="D63" i="4"/>
  <c r="E270" i="5" s="1"/>
  <c r="AD278" i="8" s="1"/>
  <c r="T176" i="4" a="1"/>
  <c r="T176" i="4" s="1"/>
  <c r="AC267" i="5" s="1"/>
  <c r="AL275" i="8" s="1"/>
  <c r="U167" i="4" a="1"/>
  <c r="U167" i="4" s="1"/>
  <c r="AD247" i="5" s="1"/>
  <c r="V344" i="4"/>
  <c r="AF338" i="5" s="1"/>
  <c r="U219" i="4" a="1"/>
  <c r="U219" i="4" s="1"/>
  <c r="AD265" i="5" s="1"/>
  <c r="L336" i="4"/>
  <c r="Q346" i="5" s="1"/>
  <c r="AH346" i="8" s="1"/>
  <c r="AT346" i="8" s="1"/>
  <c r="J346" i="8" s="1"/>
  <c r="Q365" i="4"/>
  <c r="X365" i="5" s="1"/>
  <c r="L405" i="4"/>
  <c r="Q410" i="5" s="1"/>
  <c r="I152" i="4"/>
  <c r="L205" i="5" s="1"/>
  <c r="I151" i="4"/>
  <c r="AG81" i="2"/>
  <c r="AI81" i="2"/>
  <c r="AR107" i="5"/>
  <c r="AF136" i="8"/>
  <c r="AR136" i="8" s="1"/>
  <c r="X210" i="8"/>
  <c r="AU191" i="5"/>
  <c r="I303" i="4"/>
  <c r="L303" i="5" s="1"/>
  <c r="I331" i="4"/>
  <c r="L348" i="5" s="1"/>
  <c r="Y195" i="4"/>
  <c r="AJ228" i="5" s="1"/>
  <c r="Y133" i="4"/>
  <c r="AJ226" i="5" s="1"/>
  <c r="Y231" i="4"/>
  <c r="AJ221" i="5" s="1"/>
  <c r="E239" i="4"/>
  <c r="E225" i="4"/>
  <c r="E203" i="4"/>
  <c r="I13" i="4"/>
  <c r="L142" i="5" s="1"/>
  <c r="I27" i="4"/>
  <c r="L264" i="5" s="1"/>
  <c r="I286" i="4"/>
  <c r="I290" i="4"/>
  <c r="I293" i="4"/>
  <c r="I63" i="4"/>
  <c r="I77" i="4"/>
  <c r="I284" i="4"/>
  <c r="I285" i="4"/>
  <c r="I241" i="4"/>
  <c r="I278" i="4"/>
  <c r="BF87" i="2"/>
  <c r="BF88" i="2"/>
  <c r="AP312" i="8"/>
  <c r="F312" i="8" s="1"/>
  <c r="X252" i="8"/>
  <c r="AU241" i="5"/>
  <c r="F184" i="4"/>
  <c r="H132" i="5" s="1"/>
  <c r="F176" i="4"/>
  <c r="F209" i="4"/>
  <c r="F182" i="4"/>
  <c r="F120" i="4"/>
  <c r="F219" i="4"/>
  <c r="F127" i="4"/>
  <c r="F137" i="4"/>
  <c r="F236" i="4"/>
  <c r="F240" i="4"/>
  <c r="F181" i="4"/>
  <c r="Y317" i="4"/>
  <c r="AJ305" i="5" s="1"/>
  <c r="Y320" i="4"/>
  <c r="AJ320" i="5" s="1"/>
  <c r="Y325" i="4"/>
  <c r="AJ328" i="5" s="1"/>
  <c r="Y342" i="4"/>
  <c r="AJ334" i="5" s="1"/>
  <c r="Y319" i="4"/>
  <c r="AJ329" i="5" s="1"/>
  <c r="Y329" i="4"/>
  <c r="AJ345" i="5" s="1"/>
  <c r="Y336" i="4"/>
  <c r="AJ346" i="5" s="1"/>
  <c r="Y341" i="4"/>
  <c r="AJ333" i="5" s="1"/>
  <c r="Y321" i="4"/>
  <c r="AJ324" i="5" s="1"/>
  <c r="Y334" i="4"/>
  <c r="AJ322" i="5" s="1"/>
  <c r="Y348" i="4"/>
  <c r="AJ351" i="5" s="1"/>
  <c r="Y322" i="4"/>
  <c r="AJ325" i="5" s="1"/>
  <c r="P216" i="4"/>
  <c r="W223" i="5" s="1"/>
  <c r="P119" i="4"/>
  <c r="W241" i="5" s="1"/>
  <c r="Z285" i="4"/>
  <c r="AL107" i="5" s="1"/>
  <c r="Z284" i="4"/>
  <c r="AL106" i="5" s="1"/>
  <c r="Z77" i="4"/>
  <c r="AL119" i="5" s="1"/>
  <c r="Z286" i="4"/>
  <c r="AL108" i="5" s="1"/>
  <c r="Z290" i="4"/>
  <c r="AL140" i="5" s="1"/>
  <c r="Z241" i="4"/>
  <c r="AL128" i="5" s="1"/>
  <c r="Z13" i="4"/>
  <c r="AL142" i="5" s="1"/>
  <c r="Z63" i="4"/>
  <c r="AL270" i="5" s="1"/>
  <c r="S302" i="4"/>
  <c r="AA77" i="5" s="1"/>
  <c r="S174" i="4"/>
  <c r="AA79" i="5" s="1"/>
  <c r="S173" i="4"/>
  <c r="AA78" i="5" s="1"/>
  <c r="S24" i="4"/>
  <c r="AA182" i="5" s="1"/>
  <c r="S14" i="4"/>
  <c r="AA180" i="5" s="1"/>
  <c r="S18" i="4"/>
  <c r="AA185" i="5" s="1"/>
  <c r="R190" i="4"/>
  <c r="R191" i="4"/>
  <c r="R129" i="4"/>
  <c r="X310" i="4"/>
  <c r="AI309" i="5" s="1"/>
  <c r="AN311" i="8" s="1"/>
  <c r="AZ311" i="8" s="1"/>
  <c r="P311" i="8" s="1"/>
  <c r="X312" i="4"/>
  <c r="AI311" i="5" s="1"/>
  <c r="AN313" i="8" s="1"/>
  <c r="AZ313" i="8" s="1"/>
  <c r="P313" i="8" s="1"/>
  <c r="X313" i="4"/>
  <c r="AI312" i="5" s="1"/>
  <c r="AN314" i="8" s="1"/>
  <c r="AZ314" i="8" s="1"/>
  <c r="P314" i="8" s="1"/>
  <c r="X349" i="4"/>
  <c r="AI335" i="5" s="1"/>
  <c r="AN335" i="8" s="1"/>
  <c r="AZ335" i="8" s="1"/>
  <c r="P335" i="8" s="1"/>
  <c r="BJ91" i="2"/>
  <c r="BJ90" i="2"/>
  <c r="M196" i="4"/>
  <c r="R8" i="5" s="1"/>
  <c r="M266" i="4"/>
  <c r="R7" i="5" s="1"/>
  <c r="M202" i="4"/>
  <c r="R36" i="5" s="1"/>
  <c r="M121" i="4"/>
  <c r="R113" i="5" s="1"/>
  <c r="M238" i="4"/>
  <c r="R105" i="5" s="1"/>
  <c r="M94" i="4"/>
  <c r="R120" i="5" s="1"/>
  <c r="M247" i="4"/>
  <c r="R231" i="5" s="1"/>
  <c r="E365" i="4"/>
  <c r="E367" i="4"/>
  <c r="E358" i="4"/>
  <c r="E369" i="4"/>
  <c r="E370" i="4"/>
  <c r="E360" i="4"/>
  <c r="E356" i="4"/>
  <c r="E366" i="4"/>
  <c r="E368" i="4"/>
  <c r="Z265" i="4"/>
  <c r="AL6" i="5" s="1"/>
  <c r="Z221" i="4"/>
  <c r="AL80" i="5" s="1"/>
  <c r="Z11" i="4"/>
  <c r="AL255" i="5" s="1"/>
  <c r="Z112" i="4"/>
  <c r="AL274" i="5" s="1"/>
  <c r="Z279" i="4"/>
  <c r="AL286" i="5" s="1"/>
  <c r="Z263" i="4"/>
  <c r="AL289" i="5" s="1"/>
  <c r="Q101" i="4"/>
  <c r="X35" i="5" s="1"/>
  <c r="Q178" i="4"/>
  <c r="X85" i="5" s="1"/>
  <c r="Q175" i="4"/>
  <c r="X81" i="5" s="1"/>
  <c r="Q136" i="4"/>
  <c r="X84" i="5" s="1"/>
  <c r="Q177" i="4"/>
  <c r="X83" i="5" s="1"/>
  <c r="Q138" i="4"/>
  <c r="X86" i="5" s="1"/>
  <c r="Q76" i="4"/>
  <c r="X115" i="5" s="1"/>
  <c r="Q25" i="4"/>
  <c r="X252" i="5" s="1"/>
  <c r="Q235" i="4"/>
  <c r="X253" i="5" s="1"/>
  <c r="T372" i="4"/>
  <c r="AC356" i="5" s="1"/>
  <c r="AL355" i="8" s="1"/>
  <c r="AX355" i="8" s="1"/>
  <c r="N355" i="8" s="1"/>
  <c r="T352" i="4"/>
  <c r="AC358" i="5" s="1"/>
  <c r="AL357" i="8" s="1"/>
  <c r="T353" i="4"/>
  <c r="AC360" i="5" s="1"/>
  <c r="AL359" i="8" s="1"/>
  <c r="AX359" i="8" s="1"/>
  <c r="N359" i="8" s="1"/>
  <c r="T363" i="4"/>
  <c r="AC372" i="5" s="1"/>
  <c r="AL369" i="8" s="1"/>
  <c r="T362" i="4"/>
  <c r="AC373" i="5" s="1"/>
  <c r="AL370" i="8" s="1"/>
  <c r="T357" i="4"/>
  <c r="AC361" i="5" s="1"/>
  <c r="AL360" i="8" s="1"/>
  <c r="T361" i="4"/>
  <c r="AC371" i="5" s="1"/>
  <c r="AL368" i="8" s="1"/>
  <c r="T371" i="4"/>
  <c r="AC355" i="5" s="1"/>
  <c r="AL354" i="8" s="1"/>
  <c r="T373" i="4"/>
  <c r="AC357" i="5" s="1"/>
  <c r="AL356" i="8" s="1"/>
  <c r="AX356" i="8" s="1"/>
  <c r="N356" i="8" s="1"/>
  <c r="T364" i="4"/>
  <c r="AC359" i="5" s="1"/>
  <c r="AL358" i="8" s="1"/>
  <c r="BF94" i="2"/>
  <c r="BF93" i="2"/>
  <c r="T359" i="4"/>
  <c r="AC363" i="5" s="1"/>
  <c r="AL361" i="8" s="1"/>
  <c r="T355" i="4"/>
  <c r="AC362" i="5" s="1"/>
  <c r="AL33" i="8" s="1"/>
  <c r="P141" i="4"/>
  <c r="W123" i="5" s="1"/>
  <c r="AJ9" i="8" s="1"/>
  <c r="P144" i="4"/>
  <c r="W155" i="5" s="1"/>
  <c r="AJ179" i="8" s="1"/>
  <c r="P160" i="4"/>
  <c r="W216" i="5" s="1"/>
  <c r="AJ229" i="8" s="1"/>
  <c r="P161" i="4"/>
  <c r="W217" i="5" s="1"/>
  <c r="AJ230" i="8" s="1"/>
  <c r="J8" i="4"/>
  <c r="N177" i="5" s="1"/>
  <c r="J42" i="4"/>
  <c r="J43" i="4"/>
  <c r="J44" i="4"/>
  <c r="BH84" i="2"/>
  <c r="BH85" i="2"/>
  <c r="Z149" i="4"/>
  <c r="AL201" i="5" s="1"/>
  <c r="Z128" i="4"/>
  <c r="AL179" i="5" s="1"/>
  <c r="Z146" i="4"/>
  <c r="AL284" i="5" s="1"/>
  <c r="Z192" i="4"/>
  <c r="AL285" i="5" s="1"/>
  <c r="E205" i="4"/>
  <c r="E272" i="4"/>
  <c r="E233" i="4"/>
  <c r="E234" i="4"/>
  <c r="M366" i="4"/>
  <c r="R367" i="5" s="1"/>
  <c r="M370" i="4"/>
  <c r="R354" i="5" s="1"/>
  <c r="M360" i="4"/>
  <c r="R364" i="5" s="1"/>
  <c r="M358" i="4"/>
  <c r="R352" i="5" s="1"/>
  <c r="M369" i="4"/>
  <c r="R353" i="5" s="1"/>
  <c r="M367" i="4"/>
  <c r="R368" i="5" s="1"/>
  <c r="M368" i="4"/>
  <c r="R369" i="5" s="1"/>
  <c r="M365" i="4"/>
  <c r="R365" i="5" s="1"/>
  <c r="X266" i="4"/>
  <c r="AI7" i="5" s="1"/>
  <c r="AN43" i="8" s="1"/>
  <c r="AZ43" i="8" s="1"/>
  <c r="P43" i="8" s="1"/>
  <c r="X202" i="4"/>
  <c r="AI36" i="5" s="1"/>
  <c r="AN67" i="8" s="1"/>
  <c r="X196" i="4"/>
  <c r="AI8" i="5" s="1"/>
  <c r="AN44" i="8" s="1"/>
  <c r="X238" i="4"/>
  <c r="AI105" i="5" s="1"/>
  <c r="AN134" i="8" s="1"/>
  <c r="AZ134" i="8" s="1"/>
  <c r="X121" i="4"/>
  <c r="AI113" i="5" s="1"/>
  <c r="AN8" i="8" s="1"/>
  <c r="X251" i="4"/>
  <c r="AI280" i="5" s="1"/>
  <c r="AN287" i="8" s="1"/>
  <c r="AZ287" i="8" s="1"/>
  <c r="P287" i="8" s="1"/>
  <c r="E297" i="4"/>
  <c r="F272" i="5" s="1"/>
  <c r="E405" i="4"/>
  <c r="E411" i="4"/>
  <c r="E111" i="4"/>
  <c r="BA91" i="5"/>
  <c r="AO120" i="8"/>
  <c r="BG87" i="2"/>
  <c r="BG88" i="2"/>
  <c r="R3" i="4"/>
  <c r="Z118" i="5" s="1"/>
  <c r="R26" i="4"/>
  <c r="R166" i="4"/>
  <c r="R402" i="4"/>
  <c r="Z412" i="5" s="1"/>
  <c r="R50" i="4"/>
  <c r="R124" i="4"/>
  <c r="R78" i="4"/>
  <c r="R58" i="4"/>
  <c r="R168" i="4"/>
  <c r="R36" i="4"/>
  <c r="R54" i="4"/>
  <c r="R51" i="4"/>
  <c r="R165" i="4"/>
  <c r="R167" i="4"/>
  <c r="R52" i="4"/>
  <c r="Q237" i="4"/>
  <c r="X104" i="5" s="1"/>
  <c r="Q228" i="4"/>
  <c r="X218" i="5" s="1"/>
  <c r="BC87" i="2"/>
  <c r="BC88" i="2"/>
  <c r="AC31" i="2"/>
  <c r="AP202" i="5"/>
  <c r="AD220" i="8"/>
  <c r="AP220" i="8" s="1"/>
  <c r="D36" i="4"/>
  <c r="E42" i="5" s="1"/>
  <c r="D50" i="4"/>
  <c r="E38" i="5" s="1"/>
  <c r="D52" i="4"/>
  <c r="E40" i="5" s="1"/>
  <c r="D26" i="4"/>
  <c r="E49" i="5" s="1"/>
  <c r="D54" i="4"/>
  <c r="E47" i="5" s="1"/>
  <c r="D58" i="4"/>
  <c r="E41" i="5" s="1"/>
  <c r="D78" i="4"/>
  <c r="E121" i="5" s="1"/>
  <c r="D3" i="4"/>
  <c r="E118" i="5" s="1"/>
  <c r="D168" i="4"/>
  <c r="E248" i="5" s="1"/>
  <c r="D166" i="4"/>
  <c r="E246" i="5" s="1"/>
  <c r="D165" i="4"/>
  <c r="E245" i="5" s="1"/>
  <c r="D124" i="4"/>
  <c r="E276" i="5" s="1"/>
  <c r="Y222" i="8"/>
  <c r="AV207" i="5"/>
  <c r="C43" i="4"/>
  <c r="C17" i="5" s="1"/>
  <c r="C42" i="4"/>
  <c r="C16" i="5" s="1"/>
  <c r="C32" i="4"/>
  <c r="C129" i="5" s="1"/>
  <c r="C6" i="4"/>
  <c r="C175" i="5" s="1"/>
  <c r="R197" i="8" s="1"/>
  <c r="C8" i="4"/>
  <c r="C177" i="5" s="1"/>
  <c r="R199" i="8" s="1"/>
  <c r="C30" i="4"/>
  <c r="C275" i="5" s="1"/>
  <c r="R283" i="8" s="1"/>
  <c r="C260" i="4"/>
  <c r="C46" i="5" s="1"/>
  <c r="C206" i="4"/>
  <c r="C71" i="5" s="1"/>
  <c r="C172" i="4"/>
  <c r="C70" i="5" s="1"/>
  <c r="C37" i="4"/>
  <c r="C62" i="5" s="1"/>
  <c r="C170" i="4"/>
  <c r="C68" i="5" s="1"/>
  <c r="C261" i="4"/>
  <c r="C96" i="5" s="1"/>
  <c r="C295" i="4"/>
  <c r="C98" i="5" s="1"/>
  <c r="C126" i="4"/>
  <c r="C162" i="5" s="1"/>
  <c r="C199" i="4"/>
  <c r="C243" i="5" s="1"/>
  <c r="C41" i="4"/>
  <c r="C279" i="5" s="1"/>
  <c r="J277" i="4"/>
  <c r="N301" i="5" s="1"/>
  <c r="AS301" i="5" s="1"/>
  <c r="J169" i="4"/>
  <c r="N54" i="5" s="1"/>
  <c r="J90" i="4"/>
  <c r="J65" i="4"/>
  <c r="N148" i="5" s="1"/>
  <c r="J198" i="4"/>
  <c r="J100" i="4"/>
  <c r="J93" i="4"/>
  <c r="J197" i="4"/>
  <c r="J162" i="4"/>
  <c r="J143" i="4"/>
  <c r="J92" i="4"/>
  <c r="J145" i="4"/>
  <c r="J118" i="4"/>
  <c r="J139" i="4"/>
  <c r="J227" i="4"/>
  <c r="J98" i="4"/>
  <c r="J189" i="4"/>
  <c r="Y312" i="4"/>
  <c r="AJ311" i="5" s="1"/>
  <c r="Y313" i="4"/>
  <c r="AJ312" i="5" s="1"/>
  <c r="Y310" i="4"/>
  <c r="AJ309" i="5" s="1"/>
  <c r="Y349" i="4"/>
  <c r="AJ335" i="5" s="1"/>
  <c r="BK91" i="2"/>
  <c r="BK90" i="2"/>
  <c r="C265" i="4"/>
  <c r="C6" i="5" s="1"/>
  <c r="C221" i="4"/>
  <c r="C80" i="5" s="1"/>
  <c r="R109" i="8" s="1"/>
  <c r="C11" i="4"/>
  <c r="C255" i="5" s="1"/>
  <c r="C263" i="4"/>
  <c r="C289" i="5" s="1"/>
  <c r="R296" i="8" s="1"/>
  <c r="C287" i="4"/>
  <c r="C287" i="5" s="1"/>
  <c r="C279" i="4"/>
  <c r="C286" i="5" s="1"/>
  <c r="Q220" i="4"/>
  <c r="X9" i="5" s="1"/>
  <c r="Q208" i="4"/>
  <c r="X75" i="5" s="1"/>
  <c r="P36" i="4"/>
  <c r="W42" i="5" s="1"/>
  <c r="AJ73" i="8" s="1"/>
  <c r="AV73" i="8" s="1"/>
  <c r="P50" i="4"/>
  <c r="W38" i="5" s="1"/>
  <c r="AJ69" i="8" s="1"/>
  <c r="AV69" i="8" s="1"/>
  <c r="L69" i="8" s="1"/>
  <c r="P52" i="4"/>
  <c r="W40" i="5" s="1"/>
  <c r="AJ71" i="8" s="1"/>
  <c r="AV71" i="8" s="1"/>
  <c r="L71" i="8" s="1"/>
  <c r="P26" i="4"/>
  <c r="W49" i="5" s="1"/>
  <c r="AJ7" i="8" s="1"/>
  <c r="P54" i="4"/>
  <c r="W47" i="5" s="1"/>
  <c r="AJ78" i="8" s="1"/>
  <c r="P58" i="4"/>
  <c r="W41" i="5" s="1"/>
  <c r="AJ72" i="8" s="1"/>
  <c r="AV72" i="8" s="1"/>
  <c r="L72" i="8" s="1"/>
  <c r="P3" i="4"/>
  <c r="W118" i="5" s="1"/>
  <c r="AJ146" i="8" s="1"/>
  <c r="AV146" i="8" s="1"/>
  <c r="L146" i="8" s="1"/>
  <c r="P165" i="4"/>
  <c r="W245" i="5" s="1"/>
  <c r="AJ256" i="8" s="1"/>
  <c r="AV256" i="8" s="1"/>
  <c r="L256" i="8" s="1"/>
  <c r="P168" i="4"/>
  <c r="W248" i="5" s="1"/>
  <c r="AJ25" i="8" s="1"/>
  <c r="AV25" i="8" s="1"/>
  <c r="L25" i="8" s="1"/>
  <c r="P166" i="4"/>
  <c r="W246" i="5" s="1"/>
  <c r="AJ257" i="8" s="1"/>
  <c r="AV257" i="8" s="1"/>
  <c r="L257" i="8" s="1"/>
  <c r="P124" i="4"/>
  <c r="W276" i="5" s="1"/>
  <c r="AJ284" i="8" s="1"/>
  <c r="AV284" i="8" s="1"/>
  <c r="L284" i="8" s="1"/>
  <c r="P402" i="4"/>
  <c r="W412" i="5" s="1"/>
  <c r="AJ403" i="8" s="1"/>
  <c r="AV403" i="8" s="1"/>
  <c r="L403" i="8" s="1"/>
  <c r="Z144" i="4"/>
  <c r="AL155" i="5" s="1"/>
  <c r="Z161" i="4"/>
  <c r="AL217" i="5" s="1"/>
  <c r="Z95" i="4"/>
  <c r="AL273" i="5" s="1"/>
  <c r="D188" i="4"/>
  <c r="E152" i="5" s="1"/>
  <c r="AD176" i="8" s="1"/>
  <c r="D149" i="4"/>
  <c r="E201" i="5" s="1"/>
  <c r="D117" i="4"/>
  <c r="E232" i="5" s="1"/>
  <c r="D146" i="4"/>
  <c r="E284" i="5" s="1"/>
  <c r="D192" i="4"/>
  <c r="E285" i="5" s="1"/>
  <c r="O101" i="4"/>
  <c r="U35" i="5" s="1"/>
  <c r="O177" i="4"/>
  <c r="U83" i="5" s="1"/>
  <c r="O175" i="4"/>
  <c r="U81" i="5" s="1"/>
  <c r="O178" i="4"/>
  <c r="U85" i="5" s="1"/>
  <c r="AU58" i="5"/>
  <c r="X87" i="8"/>
  <c r="X304" i="8"/>
  <c r="AV304" i="8" s="1"/>
  <c r="AU298" i="5"/>
  <c r="X84" i="8"/>
  <c r="AV84" i="8" s="1"/>
  <c r="AU55" i="5"/>
  <c r="L128" i="4"/>
  <c r="Q179" i="5" s="1"/>
  <c r="AH201" i="8" s="1"/>
  <c r="AT201" i="8" s="1"/>
  <c r="J201" i="8" s="1"/>
  <c r="L149" i="4"/>
  <c r="Q201" i="5" s="1"/>
  <c r="AH219" i="8" s="1"/>
  <c r="AT219" i="8" s="1"/>
  <c r="J219" i="8" s="1"/>
  <c r="L146" i="4"/>
  <c r="Q284" i="5" s="1"/>
  <c r="AH291" i="8" s="1"/>
  <c r="AT291" i="8" s="1"/>
  <c r="J291" i="8" s="1"/>
  <c r="L192" i="4"/>
  <c r="Q285" i="5" s="1"/>
  <c r="AH292" i="8" s="1"/>
  <c r="AT292" i="8" s="1"/>
  <c r="J292" i="8" s="1"/>
  <c r="X69" i="4"/>
  <c r="AI170" i="5" s="1"/>
  <c r="AN193" i="8" s="1"/>
  <c r="AZ193" i="8" s="1"/>
  <c r="P193" i="8" s="1"/>
  <c r="X410" i="4"/>
  <c r="AI404" i="5" s="1"/>
  <c r="AN396" i="8" s="1"/>
  <c r="AZ396" i="8" s="1"/>
  <c r="P396" i="8" s="1"/>
  <c r="X392" i="4"/>
  <c r="AI413" i="5" s="1"/>
  <c r="AN404" i="8" s="1"/>
  <c r="AZ404" i="8" s="1"/>
  <c r="P404" i="8" s="1"/>
  <c r="X207" i="4"/>
  <c r="AI72" i="5" s="1"/>
  <c r="AN101" i="8" s="1"/>
  <c r="AZ101" i="8" s="1"/>
  <c r="P101" i="8" s="1"/>
  <c r="X135" i="4"/>
  <c r="AI74" i="5" s="1"/>
  <c r="AN103" i="8" s="1"/>
  <c r="AZ103" i="8" s="1"/>
  <c r="X35" i="4"/>
  <c r="AI173" i="5" s="1"/>
  <c r="AN195" i="8" s="1"/>
  <c r="AZ195" i="8" s="1"/>
  <c r="P195" i="8" s="1"/>
  <c r="X397" i="4"/>
  <c r="AI399" i="5" s="1"/>
  <c r="AN392" i="8" s="1"/>
  <c r="AZ392" i="8" s="1"/>
  <c r="P392" i="8" s="1"/>
  <c r="X408" i="4"/>
  <c r="AI401" i="5" s="1"/>
  <c r="AN37" i="8" s="1"/>
  <c r="AZ37" i="8" s="1"/>
  <c r="P37" i="8" s="1"/>
  <c r="X406" i="4"/>
  <c r="AI416" i="5" s="1"/>
  <c r="X416" i="4"/>
  <c r="AI400" i="5" s="1"/>
  <c r="AN393" i="8" s="1"/>
  <c r="AZ393" i="8" s="1"/>
  <c r="P393" i="8" s="1"/>
  <c r="X130" i="4"/>
  <c r="AI5" i="5" s="1"/>
  <c r="AN2" i="8" s="1"/>
  <c r="X22" i="4"/>
  <c r="AI12" i="5" s="1"/>
  <c r="AN3" i="8" s="1"/>
  <c r="AZ3" i="8" s="1"/>
  <c r="X262" i="4"/>
  <c r="AI4" i="5" s="1"/>
  <c r="AN41" i="8" s="1"/>
  <c r="AZ41" i="8" s="1"/>
  <c r="P41" i="8" s="1"/>
  <c r="X59" i="4"/>
  <c r="AI45" i="5" s="1"/>
  <c r="AN76" i="8" s="1"/>
  <c r="AZ76" i="8" s="1"/>
  <c r="X299" i="4"/>
  <c r="AI154" i="5" s="1"/>
  <c r="AN178" i="8" s="1"/>
  <c r="AZ178" i="8" s="1"/>
  <c r="P178" i="8" s="1"/>
  <c r="X404" i="4"/>
  <c r="AI394" i="5" s="1"/>
  <c r="AN387" i="8" s="1"/>
  <c r="AZ387" i="8" s="1"/>
  <c r="P387" i="8" s="1"/>
  <c r="X394" i="4"/>
  <c r="AI396" i="5" s="1"/>
  <c r="AN389" i="8" s="1"/>
  <c r="AZ389" i="8" s="1"/>
  <c r="P389" i="8" s="1"/>
  <c r="X396" i="4"/>
  <c r="AI398" i="5" s="1"/>
  <c r="AN391" i="8" s="1"/>
  <c r="AZ391" i="8" s="1"/>
  <c r="P391" i="8" s="1"/>
  <c r="X400" i="4"/>
  <c r="AI407" i="5" s="1"/>
  <c r="AN38" i="8" s="1"/>
  <c r="AZ38" i="8" s="1"/>
  <c r="P38" i="8" s="1"/>
  <c r="X399" i="4"/>
  <c r="AI406" i="5" s="1"/>
  <c r="AN398" i="8" s="1"/>
  <c r="AZ398" i="8" s="1"/>
  <c r="P398" i="8" s="1"/>
  <c r="X395" i="4"/>
  <c r="AI397" i="5" s="1"/>
  <c r="AN390" i="8" s="1"/>
  <c r="AZ390" i="8" s="1"/>
  <c r="P390" i="8" s="1"/>
  <c r="D277" i="4"/>
  <c r="E301" i="5" s="1"/>
  <c r="AP301" i="5" s="1"/>
  <c r="D169" i="4"/>
  <c r="E54" i="5" s="1"/>
  <c r="D90" i="4"/>
  <c r="E82" i="5" s="1"/>
  <c r="D91" i="4"/>
  <c r="E92" i="5" s="1"/>
  <c r="R141" i="4"/>
  <c r="R144" i="4"/>
  <c r="R159" i="4"/>
  <c r="R95" i="4"/>
  <c r="R160" i="4"/>
  <c r="R161" i="4"/>
  <c r="I46" i="4"/>
  <c r="I49" i="4"/>
  <c r="I47" i="4"/>
  <c r="I48" i="4"/>
  <c r="I183" i="4"/>
  <c r="I45" i="4"/>
  <c r="I267" i="4"/>
  <c r="I97" i="4"/>
  <c r="I142" i="4"/>
  <c r="I269" i="4"/>
  <c r="Y101" i="4"/>
  <c r="AJ35" i="5" s="1"/>
  <c r="Y177" i="4"/>
  <c r="AJ83" i="5" s="1"/>
  <c r="Y175" i="4"/>
  <c r="AJ81" i="5" s="1"/>
  <c r="Y178" i="4"/>
  <c r="AJ85" i="5" s="1"/>
  <c r="Y138" i="4"/>
  <c r="AJ86" i="5" s="1"/>
  <c r="Y136" i="4"/>
  <c r="AJ84" i="5" s="1"/>
  <c r="Y76" i="4"/>
  <c r="AJ115" i="5" s="1"/>
  <c r="Y25" i="4"/>
  <c r="AJ252" i="5" s="1"/>
  <c r="Y207" i="4"/>
  <c r="AJ72" i="5" s="1"/>
  <c r="Y135" i="4"/>
  <c r="AJ74" i="5" s="1"/>
  <c r="Y35" i="4"/>
  <c r="AJ173" i="5" s="1"/>
  <c r="Y416" i="4"/>
  <c r="AJ400" i="5" s="1"/>
  <c r="Y408" i="4"/>
  <c r="AJ401" i="5" s="1"/>
  <c r="Y406" i="4"/>
  <c r="AJ416" i="5" s="1"/>
  <c r="Y397" i="4"/>
  <c r="AJ399" i="5" s="1"/>
  <c r="Y106" i="4"/>
  <c r="AJ58" i="5" s="1"/>
  <c r="Y105" i="4"/>
  <c r="AJ57" i="5" s="1"/>
  <c r="AC126" i="8"/>
  <c r="AZ97" i="5"/>
  <c r="AW84" i="2"/>
  <c r="AW85" i="2"/>
  <c r="H93" i="4"/>
  <c r="K112" i="5" s="1"/>
  <c r="H143" i="4"/>
  <c r="K126" i="5" s="1"/>
  <c r="H139" i="4"/>
  <c r="K110" i="5" s="1"/>
  <c r="H92" i="4"/>
  <c r="K111" i="5" s="1"/>
  <c r="H145" i="4"/>
  <c r="K178" i="5" s="1"/>
  <c r="H267" i="4"/>
  <c r="K73" i="5" s="1"/>
  <c r="H97" i="4"/>
  <c r="K130" i="5" s="1"/>
  <c r="H142" i="4"/>
  <c r="K125" i="5" s="1"/>
  <c r="AF62" i="8"/>
  <c r="AR62" i="8" s="1"/>
  <c r="H62" i="8" s="1"/>
  <c r="AR30" i="5"/>
  <c r="AF75" i="8"/>
  <c r="AR75" i="8" s="1"/>
  <c r="H75" i="8" s="1"/>
  <c r="AI8" i="2"/>
  <c r="AR44" i="5"/>
  <c r="AG8" i="2"/>
  <c r="AF8" i="2"/>
  <c r="H4" i="4"/>
  <c r="AT85" i="2"/>
  <c r="AT84" i="2"/>
  <c r="S151" i="4"/>
  <c r="AA204" i="5" s="1"/>
  <c r="S152" i="4"/>
  <c r="AA205" i="5" s="1"/>
  <c r="S43" i="4"/>
  <c r="AA17" i="5" s="1"/>
  <c r="S42" i="4"/>
  <c r="AA16" i="5" s="1"/>
  <c r="S44" i="4"/>
  <c r="AA18" i="5" s="1"/>
  <c r="S33" i="4"/>
  <c r="AA137" i="5" s="1"/>
  <c r="Z280" i="8"/>
  <c r="AW272" i="5"/>
  <c r="S170" i="4"/>
  <c r="AA68" i="5" s="1"/>
  <c r="S41" i="4"/>
  <c r="AA279" i="5" s="1"/>
  <c r="Z175" i="8"/>
  <c r="AW151" i="5"/>
  <c r="AI283" i="8"/>
  <c r="AU275" i="5"/>
  <c r="N172" i="4"/>
  <c r="T70" i="5" s="1"/>
  <c r="AI99" i="8" s="1"/>
  <c r="N41" i="4"/>
  <c r="T279" i="5" s="1"/>
  <c r="AI28" i="8" s="1"/>
  <c r="N125" i="4"/>
  <c r="T278" i="5" s="1"/>
  <c r="N393" i="4"/>
  <c r="D212" i="4"/>
  <c r="E23" i="5" s="1"/>
  <c r="D210" i="4"/>
  <c r="E21" i="5" s="1"/>
  <c r="D148" i="4"/>
  <c r="E200" i="5" s="1"/>
  <c r="L53" i="4"/>
  <c r="Q43" i="5" s="1"/>
  <c r="AH74" i="8" s="1"/>
  <c r="AT74" i="8" s="1"/>
  <c r="J74" i="8" s="1"/>
  <c r="L23" i="4"/>
  <c r="Q13" i="5" s="1"/>
  <c r="AH48" i="8" s="1"/>
  <c r="AT48" i="8" s="1"/>
  <c r="J48" i="8" s="1"/>
  <c r="L412" i="4"/>
  <c r="Q402" i="5" s="1"/>
  <c r="L403" i="4"/>
  <c r="Q393" i="5" s="1"/>
  <c r="AS385" i="5"/>
  <c r="AK74" i="2"/>
  <c r="H284" i="4"/>
  <c r="K106" i="5" s="1"/>
  <c r="H286" i="4"/>
  <c r="K108" i="5" s="1"/>
  <c r="H290" i="4"/>
  <c r="K140" i="5" s="1"/>
  <c r="H241" i="4"/>
  <c r="K128" i="5" s="1"/>
  <c r="E173" i="4"/>
  <c r="F78" i="5" s="1"/>
  <c r="E302" i="4"/>
  <c r="F77" i="5" s="1"/>
  <c r="E174" i="4"/>
  <c r="F79" i="5" s="1"/>
  <c r="E14" i="4"/>
  <c r="F180" i="5" s="1"/>
  <c r="E18" i="4"/>
  <c r="F185" i="5" s="1"/>
  <c r="K381" i="4"/>
  <c r="O381" i="5" s="1"/>
  <c r="K380" i="4"/>
  <c r="O380" i="5" s="1"/>
  <c r="K383" i="4"/>
  <c r="O383" i="5" s="1"/>
  <c r="K379" i="4"/>
  <c r="O379" i="5" s="1"/>
  <c r="K382" i="4"/>
  <c r="O382" i="5" s="1"/>
  <c r="K376" i="4"/>
  <c r="O376" i="5" s="1"/>
  <c r="K377" i="4"/>
  <c r="O377" i="5" s="1"/>
  <c r="K375" i="4"/>
  <c r="O375" i="5" s="1"/>
  <c r="X127" i="4"/>
  <c r="AI171" i="5" s="1"/>
  <c r="AN194" i="8" s="1"/>
  <c r="AZ194" i="8" s="1"/>
  <c r="P194" i="8" s="1"/>
  <c r="X182" i="4"/>
  <c r="AI11" i="5" s="1"/>
  <c r="AN47" i="8" s="1"/>
  <c r="AZ47" i="8" s="1"/>
  <c r="X236" i="4"/>
  <c r="AI95" i="5" s="1"/>
  <c r="AN124" i="8" s="1"/>
  <c r="AZ124" i="8" s="1"/>
  <c r="P124" i="8" s="1"/>
  <c r="X219" i="4"/>
  <c r="AI265" i="5" s="1"/>
  <c r="AN27" i="8" s="1"/>
  <c r="AZ27" i="8" s="1"/>
  <c r="P27" i="8" s="1"/>
  <c r="X137" i="4"/>
  <c r="AI260" i="5" s="1"/>
  <c r="AN269" i="8" s="1"/>
  <c r="AZ269" i="8" s="1"/>
  <c r="P269" i="8" s="1"/>
  <c r="X209" i="4"/>
  <c r="AI259" i="5" s="1"/>
  <c r="AN268" i="8" s="1"/>
  <c r="AZ268" i="8" s="1"/>
  <c r="P268" i="8" s="1"/>
  <c r="E220" i="4"/>
  <c r="F9" i="5" s="1"/>
  <c r="E208" i="4"/>
  <c r="L383" i="4"/>
  <c r="Q383" i="5" s="1"/>
  <c r="AH379" i="8" s="1"/>
  <c r="L376" i="4"/>
  <c r="Q376" i="5" s="1"/>
  <c r="AH372" i="8" s="1"/>
  <c r="L380" i="4"/>
  <c r="Q380" i="5" s="1"/>
  <c r="AH376" i="8" s="1"/>
  <c r="L377" i="4"/>
  <c r="Q377" i="5" s="1"/>
  <c r="AH373" i="8" s="1"/>
  <c r="L379" i="4"/>
  <c r="Q379" i="5" s="1"/>
  <c r="AH375" i="8" s="1"/>
  <c r="L381" i="4"/>
  <c r="Q381" i="5" s="1"/>
  <c r="AH377" i="8" s="1"/>
  <c r="L375" i="4"/>
  <c r="Q375" i="5" s="1"/>
  <c r="AH371" i="8" s="1"/>
  <c r="L374" i="4"/>
  <c r="Q374" i="5" s="1"/>
  <c r="AH35" i="8" s="1"/>
  <c r="L382" i="4"/>
  <c r="Q382" i="5" s="1"/>
  <c r="AH378" i="8" s="1"/>
  <c r="Y127" i="4"/>
  <c r="AJ171" i="5" s="1"/>
  <c r="Y184" i="4"/>
  <c r="AJ132" i="5" s="1"/>
  <c r="Y209" i="4"/>
  <c r="AJ259" i="5" s="1"/>
  <c r="Y137" i="4"/>
  <c r="AJ260" i="5" s="1"/>
  <c r="Y219" i="4"/>
  <c r="AJ265" i="5" s="1"/>
  <c r="Y240" i="4"/>
  <c r="F249" i="4"/>
  <c r="F252" i="4"/>
  <c r="F300" i="4"/>
  <c r="F243" i="4"/>
  <c r="F268" i="4"/>
  <c r="F291" i="4"/>
  <c r="F292" i="4"/>
  <c r="F248" i="4"/>
  <c r="V370" i="4"/>
  <c r="AF354" i="5" s="1"/>
  <c r="AM353" i="8" s="1"/>
  <c r="V366" i="4"/>
  <c r="AF367" i="5" s="1"/>
  <c r="AM365" i="8" s="1"/>
  <c r="V360" i="4"/>
  <c r="AF364" i="5" s="1"/>
  <c r="AM362" i="8" s="1"/>
  <c r="V358" i="4"/>
  <c r="AF352" i="5" s="1"/>
  <c r="AM351" i="8" s="1"/>
  <c r="V368" i="4"/>
  <c r="AF369" i="5" s="1"/>
  <c r="AM367" i="8" s="1"/>
  <c r="V365" i="4"/>
  <c r="AF365" i="5" s="1"/>
  <c r="AM363" i="8" s="1"/>
  <c r="V369" i="4"/>
  <c r="AF353" i="5" s="1"/>
  <c r="AM352" i="8" s="1"/>
  <c r="F23" i="4"/>
  <c r="H13" i="5" s="1"/>
  <c r="F56" i="4"/>
  <c r="H116" i="5" s="1"/>
  <c r="F298" i="4"/>
  <c r="F412" i="4"/>
  <c r="F53" i="4"/>
  <c r="F403" i="4"/>
  <c r="Z163" i="4"/>
  <c r="AL239" i="5" s="1"/>
  <c r="Z164" i="4"/>
  <c r="AL240" i="5" s="1"/>
  <c r="BA240" i="5" s="1"/>
  <c r="Q305" i="4"/>
  <c r="X314" i="5" s="1"/>
  <c r="Q306" i="4"/>
  <c r="X315" i="5" s="1"/>
  <c r="Q351" i="4"/>
  <c r="X341" i="5" s="1"/>
  <c r="Q323" i="4"/>
  <c r="X326" i="5" s="1"/>
  <c r="Q345" i="4"/>
  <c r="X337" i="5" s="1"/>
  <c r="Q343" i="4"/>
  <c r="X330" i="5" s="1"/>
  <c r="Q350" i="4"/>
  <c r="X339" i="5" s="1"/>
  <c r="X23" i="4"/>
  <c r="AI13" i="5" s="1"/>
  <c r="AN48" i="8" s="1"/>
  <c r="AZ48" i="8" s="1"/>
  <c r="X53" i="4"/>
  <c r="AI43" i="5" s="1"/>
  <c r="AN74" i="8" s="1"/>
  <c r="AZ74" i="8" s="1"/>
  <c r="P74" i="8" s="1"/>
  <c r="X298" i="4"/>
  <c r="AI124" i="5" s="1"/>
  <c r="AN10" i="8" s="1"/>
  <c r="AZ10" i="8" s="1"/>
  <c r="X412" i="4"/>
  <c r="AI402" i="5" s="1"/>
  <c r="AN394" i="8" s="1"/>
  <c r="AZ394" i="8" s="1"/>
  <c r="P394" i="8" s="1"/>
  <c r="X56" i="4"/>
  <c r="X403" i="4"/>
  <c r="AI393" i="5" s="1"/>
  <c r="AN386" i="8" s="1"/>
  <c r="AZ386" i="8" s="1"/>
  <c r="P386" i="8" s="1"/>
  <c r="BA87" i="5"/>
  <c r="AO116" i="8"/>
  <c r="E152" i="4"/>
  <c r="E151" i="4"/>
  <c r="AU386" i="5"/>
  <c r="R350" i="4"/>
  <c r="R344" i="4"/>
  <c r="R351" i="4"/>
  <c r="R305" i="4"/>
  <c r="R323" i="4"/>
  <c r="R343" i="4"/>
  <c r="R345" i="4"/>
  <c r="R306" i="4"/>
  <c r="Y23" i="4"/>
  <c r="AJ13" i="5" s="1"/>
  <c r="Y53" i="4"/>
  <c r="AJ43" i="5" s="1"/>
  <c r="Y298" i="4"/>
  <c r="AJ124" i="5" s="1"/>
  <c r="Y56" i="4"/>
  <c r="AJ116" i="5" s="1"/>
  <c r="Y403" i="4"/>
  <c r="AJ393" i="5" s="1"/>
  <c r="Y412" i="4"/>
  <c r="AJ402" i="5" s="1"/>
  <c r="T40" i="4" a="1"/>
  <c r="T40" i="4" s="1"/>
  <c r="AC90" i="5" s="1"/>
  <c r="AL119" i="8" s="1"/>
  <c r="T185" i="4" a="1"/>
  <c r="T185" i="4" s="1"/>
  <c r="AC136" i="5" s="1"/>
  <c r="AL161" i="8" s="1"/>
  <c r="AX161" i="8" s="1"/>
  <c r="N161" i="8" s="1"/>
  <c r="T231" i="4" a="1"/>
  <c r="T231" i="4" s="1"/>
  <c r="AC221" i="5" s="1"/>
  <c r="AL234" i="8" s="1"/>
  <c r="T124" i="4" a="1"/>
  <c r="T124" i="4" s="1"/>
  <c r="AC276" i="5" s="1"/>
  <c r="AL284" i="8" s="1"/>
  <c r="AX284" i="8" s="1"/>
  <c r="N284" i="8" s="1"/>
  <c r="T125" i="4" a="1"/>
  <c r="T125" i="4" s="1"/>
  <c r="AC278" i="5" s="1"/>
  <c r="AL286" i="8" s="1"/>
  <c r="AX286" i="8" s="1"/>
  <c r="N286" i="8" s="1"/>
  <c r="T204" i="4" a="1"/>
  <c r="T204" i="4" s="1"/>
  <c r="AC251" i="5" s="1"/>
  <c r="AL261" i="8" s="1"/>
  <c r="AX261" i="8" s="1"/>
  <c r="T66" i="4" a="1"/>
  <c r="T66" i="4" s="1"/>
  <c r="AC277" i="5" s="1"/>
  <c r="AL285" i="8" s="1"/>
  <c r="AX285" i="8" s="1"/>
  <c r="N285" i="8" s="1"/>
  <c r="F180" i="4"/>
  <c r="H87" i="5" s="1"/>
  <c r="L133" i="4"/>
  <c r="Q226" i="5" s="1"/>
  <c r="AH239" i="8" s="1"/>
  <c r="AT239" i="8" s="1"/>
  <c r="J239" i="8" s="1"/>
  <c r="Q110" i="4"/>
  <c r="X88" i="5" s="1"/>
  <c r="Q31" i="4"/>
  <c r="X127" i="5" s="1"/>
  <c r="Q253" i="4"/>
  <c r="X168" i="5" s="1"/>
  <c r="Z315" i="4"/>
  <c r="AL316" i="5" s="1"/>
  <c r="Z309" i="4"/>
  <c r="AL308" i="5" s="1"/>
  <c r="Z314" i="4"/>
  <c r="AL313" i="5" s="1"/>
  <c r="Z316" i="4"/>
  <c r="AL318" i="5" s="1"/>
  <c r="Z307" i="4"/>
  <c r="AL317" i="5" s="1"/>
  <c r="U211" i="4" a="1"/>
  <c r="U211" i="4" s="1"/>
  <c r="AD22" i="5" s="1"/>
  <c r="U212" i="4" a="1"/>
  <c r="U212" i="4" s="1"/>
  <c r="AD23" i="5" s="1"/>
  <c r="U215" i="4" a="1"/>
  <c r="U215" i="4" s="1"/>
  <c r="AD26" i="5" s="1"/>
  <c r="U73" i="4" a="1"/>
  <c r="U73" i="4" s="1"/>
  <c r="AD192" i="5" s="1"/>
  <c r="AA184" i="8"/>
  <c r="E38" i="3"/>
  <c r="AX161" i="5"/>
  <c r="U23" i="4" a="1"/>
  <c r="U23" i="4" s="1"/>
  <c r="AD13" i="5" s="1"/>
  <c r="U46" i="4" a="1"/>
  <c r="U46" i="4" s="1"/>
  <c r="AD32" i="5" s="1"/>
  <c r="U180" i="4" a="1"/>
  <c r="U180" i="4" s="1"/>
  <c r="AD87" i="5" s="1"/>
  <c r="U62" i="4" a="1"/>
  <c r="U62" i="4" s="1"/>
  <c r="AD109" i="5" s="1"/>
  <c r="U250" i="4" a="1"/>
  <c r="U250" i="4" s="1"/>
  <c r="AD103" i="5" s="1"/>
  <c r="U141" i="4" a="1"/>
  <c r="U141" i="4" s="1"/>
  <c r="AD123" i="5" s="1"/>
  <c r="U84" i="4" a="1"/>
  <c r="U84" i="4" s="1"/>
  <c r="AD160" i="5" s="1"/>
  <c r="U82" i="4" a="1"/>
  <c r="U82" i="4" s="1"/>
  <c r="AD158" i="5" s="1"/>
  <c r="U70" i="4" a="1"/>
  <c r="U70" i="4" s="1"/>
  <c r="AD172" i="5" s="1"/>
  <c r="U131" i="4" a="1"/>
  <c r="U131" i="4" s="1"/>
  <c r="AD199" i="5" s="1"/>
  <c r="U75" i="4" a="1"/>
  <c r="U75" i="4" s="1"/>
  <c r="AD250" i="5" s="1"/>
  <c r="U228" i="4" a="1"/>
  <c r="U228" i="4" s="1"/>
  <c r="AD218" i="5" s="1"/>
  <c r="U29" i="4" a="1"/>
  <c r="U29" i="4" s="1"/>
  <c r="AD268" i="5" s="1"/>
  <c r="M180" i="4"/>
  <c r="R87" i="5" s="1"/>
  <c r="W196" i="4"/>
  <c r="AG8" i="5" s="1"/>
  <c r="L282" i="4"/>
  <c r="Q222" i="5" s="1"/>
  <c r="AH235" i="8" s="1"/>
  <c r="AT235" i="8" s="1"/>
  <c r="J235" i="8" s="1"/>
  <c r="S306" i="4"/>
  <c r="AA315" i="5" s="1"/>
  <c r="L10" i="4"/>
  <c r="Q254" i="5" s="1"/>
  <c r="AH26" i="8" s="1"/>
  <c r="AT26" i="8" s="1"/>
  <c r="J26" i="8" s="1"/>
  <c r="N10" i="4"/>
  <c r="H220" i="4"/>
  <c r="K9" i="5" s="1"/>
  <c r="AA47" i="8"/>
  <c r="U233" i="4" a="1"/>
  <c r="U233" i="4" s="1"/>
  <c r="AD29" i="5" s="1"/>
  <c r="Q140" i="4"/>
  <c r="X14" i="5" s="1"/>
  <c r="Y181" i="4"/>
  <c r="AJ10" i="5" s="1"/>
  <c r="C233" i="4"/>
  <c r="C29" i="5" s="1"/>
  <c r="T47" i="4" a="1"/>
  <c r="T47" i="4" s="1"/>
  <c r="AC33" i="5" s="1"/>
  <c r="AL64" i="8" s="1"/>
  <c r="U234" i="4" a="1"/>
  <c r="U234" i="4" s="1"/>
  <c r="AD30" i="5" s="1"/>
  <c r="M55" i="4"/>
  <c r="R67" i="5" s="1"/>
  <c r="U172" i="4" a="1"/>
  <c r="U172" i="4" s="1"/>
  <c r="AD70" i="5" s="1"/>
  <c r="Z248" i="4"/>
  <c r="AL76" i="5" s="1"/>
  <c r="H233" i="4"/>
  <c r="K29" i="5" s="1"/>
  <c r="AF61" i="8" s="1"/>
  <c r="AR61" i="8" s="1"/>
  <c r="H61" i="8" s="1"/>
  <c r="AF77" i="2"/>
  <c r="T55" i="4" a="1"/>
  <c r="T55" i="4" s="1"/>
  <c r="AC67" i="5" s="1"/>
  <c r="AL96" i="8" s="1"/>
  <c r="AX96" i="8" s="1"/>
  <c r="N96" i="8" s="1"/>
  <c r="P268" i="4"/>
  <c r="W100" i="5" s="1"/>
  <c r="AJ129" i="8" s="1"/>
  <c r="AV129" i="8" s="1"/>
  <c r="X78" i="4"/>
  <c r="AI121" i="5" s="1"/>
  <c r="AN149" i="8" s="1"/>
  <c r="AZ149" i="8" s="1"/>
  <c r="P149" i="8" s="1"/>
  <c r="Z296" i="4"/>
  <c r="AL156" i="5" s="1"/>
  <c r="Q284" i="4"/>
  <c r="X106" i="5" s="1"/>
  <c r="U293" i="4" a="1"/>
  <c r="U293" i="4" s="1"/>
  <c r="AD89" i="5" s="1"/>
  <c r="U123" i="4" a="1"/>
  <c r="U123" i="4" s="1"/>
  <c r="AD145" i="5" s="1"/>
  <c r="T240" i="4" a="1"/>
  <c r="T240" i="4" s="1"/>
  <c r="AC117" i="5" s="1"/>
  <c r="AL145" i="8" s="1"/>
  <c r="F65" i="4"/>
  <c r="H148" i="5" s="1"/>
  <c r="U78" i="4" a="1"/>
  <c r="U78" i="4" s="1"/>
  <c r="AD121" i="5" s="1"/>
  <c r="C62" i="4"/>
  <c r="C109" i="5" s="1"/>
  <c r="Z114" i="4"/>
  <c r="AL138" i="5" s="1"/>
  <c r="L83" i="4"/>
  <c r="Q159" i="5" s="1"/>
  <c r="AH13" i="8" s="1"/>
  <c r="AT13" i="8" s="1"/>
  <c r="J13" i="8" s="1"/>
  <c r="L243" i="4"/>
  <c r="Q193" i="5" s="1"/>
  <c r="AH212" i="8" s="1"/>
  <c r="AT212" i="8" s="1"/>
  <c r="J212" i="8" s="1"/>
  <c r="Q224" i="4"/>
  <c r="X169" i="5" s="1"/>
  <c r="U128" i="4" a="1"/>
  <c r="U128" i="4" s="1"/>
  <c r="AD179" i="5" s="1"/>
  <c r="S68" i="4"/>
  <c r="AA165" i="5" s="1"/>
  <c r="D17" i="4"/>
  <c r="E184" i="5" s="1"/>
  <c r="AD204" i="8" s="1"/>
  <c r="X187" i="4"/>
  <c r="AI151" i="5" s="1"/>
  <c r="AN175" i="8" s="1"/>
  <c r="AZ175" i="8" s="1"/>
  <c r="P175" i="8" s="1"/>
  <c r="U148" i="4" a="1"/>
  <c r="U148" i="4" s="1"/>
  <c r="AD200" i="5" s="1"/>
  <c r="C193" i="4"/>
  <c r="C210" i="5" s="1"/>
  <c r="E24" i="4"/>
  <c r="F182" i="5" s="1"/>
  <c r="P231" i="4"/>
  <c r="W221" i="5" s="1"/>
  <c r="AJ234" i="8" s="1"/>
  <c r="M167" i="4"/>
  <c r="R247" i="5" s="1"/>
  <c r="D189" i="4"/>
  <c r="E167" i="5" s="1"/>
  <c r="U217" i="4" a="1"/>
  <c r="U217" i="4" s="1"/>
  <c r="AD227" i="5" s="1"/>
  <c r="T189" i="4" a="1"/>
  <c r="T189" i="4" s="1"/>
  <c r="AC167" i="5" s="1"/>
  <c r="AL190" i="8" s="1"/>
  <c r="T253" i="4" a="1"/>
  <c r="T253" i="4" s="1"/>
  <c r="AC168" i="5" s="1"/>
  <c r="AL191" i="8" s="1"/>
  <c r="Y117" i="4"/>
  <c r="AJ232" i="5" s="1"/>
  <c r="Z158" i="4"/>
  <c r="AL258" i="5" s="1"/>
  <c r="U166" i="4" a="1"/>
  <c r="U166" i="4" s="1"/>
  <c r="AD246" i="5" s="1"/>
  <c r="U222" i="4" a="1"/>
  <c r="U222" i="4" s="1"/>
  <c r="AD269" i="5" s="1"/>
  <c r="U57" i="4" a="1"/>
  <c r="U57" i="4" s="1"/>
  <c r="AD257" i="5" s="1"/>
  <c r="U274" i="4" a="1"/>
  <c r="U274" i="4" s="1"/>
  <c r="AD288" i="5" s="1"/>
  <c r="U287" i="4" a="1"/>
  <c r="U287" i="4" s="1"/>
  <c r="AD287" i="5" s="1"/>
  <c r="X176" i="4"/>
  <c r="AI267" i="5" s="1"/>
  <c r="AN275" i="8" s="1"/>
  <c r="AZ275" i="8" s="1"/>
  <c r="P275" i="8" s="1"/>
  <c r="M337" i="4"/>
  <c r="R321" i="5" s="1"/>
  <c r="P257" i="4"/>
  <c r="W295" i="5" s="1"/>
  <c r="AJ302" i="8" s="1"/>
  <c r="E63" i="4"/>
  <c r="F270" i="5" s="1"/>
  <c r="P279" i="4"/>
  <c r="W286" i="5" s="1"/>
  <c r="AJ293" i="8" s="1"/>
  <c r="M329" i="4"/>
  <c r="R345" i="5" s="1"/>
  <c r="T95" i="4" a="1"/>
  <c r="T95" i="4" s="1"/>
  <c r="AC273" i="5" s="1"/>
  <c r="AL281" i="8" s="1"/>
  <c r="AX281" i="8" s="1"/>
  <c r="N281" i="8" s="1"/>
  <c r="Q405" i="4"/>
  <c r="X410" i="5" s="1"/>
  <c r="Z359" i="4"/>
  <c r="AL363" i="5" s="1"/>
  <c r="L402" i="4"/>
  <c r="Q412" i="5" s="1"/>
  <c r="P374" i="4"/>
  <c r="W374" i="5" s="1"/>
  <c r="AJ35" i="8" s="1"/>
  <c r="P376" i="4"/>
  <c r="W376" i="5" s="1"/>
  <c r="AJ372" i="8" s="1"/>
  <c r="P381" i="4"/>
  <c r="W381" i="5" s="1"/>
  <c r="AJ377" i="8" s="1"/>
  <c r="P380" i="4"/>
  <c r="W380" i="5" s="1"/>
  <c r="AJ376" i="8" s="1"/>
  <c r="P377" i="4"/>
  <c r="W377" i="5" s="1"/>
  <c r="AJ373" i="8" s="1"/>
  <c r="P379" i="4"/>
  <c r="W379" i="5" s="1"/>
  <c r="AJ375" i="8" s="1"/>
  <c r="P383" i="4"/>
  <c r="W383" i="5" s="1"/>
  <c r="AJ379" i="8" s="1"/>
  <c r="P378" i="4"/>
  <c r="W378" i="5" s="1"/>
  <c r="AJ374" i="8" s="1"/>
  <c r="P382" i="4"/>
  <c r="W382" i="5" s="1"/>
  <c r="AJ378" i="8" s="1"/>
  <c r="AX308" i="8"/>
  <c r="Z280" i="4"/>
  <c r="AL290" i="5" s="1"/>
  <c r="Z281" i="4"/>
  <c r="AL292" i="5" s="1"/>
  <c r="Z274" i="4"/>
  <c r="AL288" i="5" s="1"/>
  <c r="Z270" i="4"/>
  <c r="AL291" i="5" s="1"/>
  <c r="Z258" i="4"/>
  <c r="Z257" i="4"/>
  <c r="AL82" i="2"/>
  <c r="W172" i="8"/>
  <c r="AT147" i="5"/>
  <c r="L304" i="4"/>
  <c r="Q304" i="5" s="1"/>
  <c r="AH306" i="8" s="1"/>
  <c r="AT306" i="8" s="1"/>
  <c r="J306" i="8" s="1"/>
  <c r="L332" i="4"/>
  <c r="Q349" i="5" s="1"/>
  <c r="AH349" i="8" s="1"/>
  <c r="AT349" i="8" s="1"/>
  <c r="J349" i="8" s="1"/>
  <c r="L340" i="4"/>
  <c r="Q331" i="5" s="1"/>
  <c r="AH31" i="8" s="1"/>
  <c r="AT31" i="8" s="1"/>
  <c r="J31" i="8" s="1"/>
  <c r="L190" i="4"/>
  <c r="Q281" i="5" s="1"/>
  <c r="AH288" i="8" s="1"/>
  <c r="AT288" i="8" s="1"/>
  <c r="J288" i="8" s="1"/>
  <c r="L129" i="4"/>
  <c r="Q283" i="5" s="1"/>
  <c r="AH290" i="8" s="1"/>
  <c r="AT290" i="8" s="1"/>
  <c r="J290" i="8" s="1"/>
  <c r="L191" i="4"/>
  <c r="Q282" i="5" s="1"/>
  <c r="AH289" i="8" s="1"/>
  <c r="AT289" i="8" s="1"/>
  <c r="J289" i="8" s="1"/>
  <c r="D378" i="4"/>
  <c r="E378" i="5" s="1"/>
  <c r="D381" i="4"/>
  <c r="E381" i="5" s="1"/>
  <c r="D380" i="4"/>
  <c r="E380" i="5" s="1"/>
  <c r="D377" i="4"/>
  <c r="E377" i="5" s="1"/>
  <c r="D374" i="4"/>
  <c r="E374" i="5" s="1"/>
  <c r="D383" i="4"/>
  <c r="E383" i="5" s="1"/>
  <c r="D376" i="4"/>
  <c r="E376" i="5" s="1"/>
  <c r="D379" i="4"/>
  <c r="E379" i="5" s="1"/>
  <c r="D382" i="4"/>
  <c r="E382" i="5" s="1"/>
  <c r="D375" i="4"/>
  <c r="E375" i="5" s="1"/>
  <c r="D225" i="4"/>
  <c r="E196" i="5" s="1"/>
  <c r="D203" i="4"/>
  <c r="E37" i="5" s="1"/>
  <c r="S194" i="4"/>
  <c r="AA27" i="5" s="1"/>
  <c r="S122" i="4"/>
  <c r="AA141" i="5" s="1"/>
  <c r="S123" i="4"/>
  <c r="AA145" i="5" s="1"/>
  <c r="S246" i="4"/>
  <c r="AA230" i="5" s="1"/>
  <c r="S245" i="4"/>
  <c r="AA229" i="5" s="1"/>
  <c r="R203" i="4"/>
  <c r="R225" i="4"/>
  <c r="R239" i="4"/>
  <c r="X77" i="4"/>
  <c r="AI119" i="5" s="1"/>
  <c r="AN147" i="8" s="1"/>
  <c r="AZ147" i="8" s="1"/>
  <c r="P147" i="8" s="1"/>
  <c r="X293" i="4"/>
  <c r="AI89" i="5" s="1"/>
  <c r="AN118" i="8" s="1"/>
  <c r="AZ118" i="8" s="1"/>
  <c r="P118" i="8" s="1"/>
  <c r="X13" i="4"/>
  <c r="AI142" i="5" s="1"/>
  <c r="AN167" i="8" s="1"/>
  <c r="AZ167" i="8" s="1"/>
  <c r="P167" i="8" s="1"/>
  <c r="X290" i="4"/>
  <c r="AI140" i="5" s="1"/>
  <c r="AN165" i="8" s="1"/>
  <c r="AZ165" i="8" s="1"/>
  <c r="P165" i="8" s="1"/>
  <c r="X284" i="4"/>
  <c r="AI106" i="5" s="1"/>
  <c r="AN135" i="8" s="1"/>
  <c r="AZ135" i="8" s="1"/>
  <c r="P135" i="8" s="1"/>
  <c r="M303" i="4"/>
  <c r="R303" i="5" s="1"/>
  <c r="M331" i="4"/>
  <c r="R348" i="5" s="1"/>
  <c r="BA310" i="5"/>
  <c r="AO312" i="8"/>
  <c r="F383" i="4"/>
  <c r="F375" i="4"/>
  <c r="F376" i="4"/>
  <c r="F377" i="4"/>
  <c r="F378" i="4"/>
  <c r="F379" i="4"/>
  <c r="F380" i="4"/>
  <c r="F381" i="4"/>
  <c r="F382" i="4"/>
  <c r="F374" i="4"/>
  <c r="S182" i="4"/>
  <c r="AA11" i="5" s="1"/>
  <c r="S184" i="4"/>
  <c r="AA132" i="5" s="1"/>
  <c r="S120" i="4"/>
  <c r="AA93" i="5" s="1"/>
  <c r="S240" i="4"/>
  <c r="AA117" i="5" s="1"/>
  <c r="S219" i="4"/>
  <c r="AA265" i="5" s="1"/>
  <c r="S137" i="4"/>
  <c r="AA260" i="5" s="1"/>
  <c r="S209" i="4"/>
  <c r="AA259" i="5" s="1"/>
  <c r="E124" i="4"/>
  <c r="E26" i="4"/>
  <c r="E52" i="4"/>
  <c r="E165" i="4"/>
  <c r="E168" i="4"/>
  <c r="E54" i="4"/>
  <c r="E51" i="4"/>
  <c r="E58" i="4"/>
  <c r="E3" i="4"/>
  <c r="E36" i="4"/>
  <c r="E50" i="4"/>
  <c r="E402" i="4"/>
  <c r="E78" i="4"/>
  <c r="E166" i="4"/>
  <c r="E167" i="4"/>
  <c r="AF80" i="2"/>
  <c r="U308" i="8"/>
  <c r="AR306" i="5"/>
  <c r="P303" i="4"/>
  <c r="W303" i="5" s="1"/>
  <c r="AJ305" i="8" s="1"/>
  <c r="P331" i="4"/>
  <c r="W348" i="5" s="1"/>
  <c r="AJ348" i="8" s="1"/>
  <c r="L274" i="4"/>
  <c r="Q288" i="5" s="1"/>
  <c r="AH295" i="8" s="1"/>
  <c r="AT295" i="8" s="1"/>
  <c r="J295" i="8" s="1"/>
  <c r="L257" i="4"/>
  <c r="Q295" i="5" s="1"/>
  <c r="AH302" i="8" s="1"/>
  <c r="AT302" i="8" s="1"/>
  <c r="J302" i="8" s="1"/>
  <c r="L280" i="4"/>
  <c r="Q290" i="5" s="1"/>
  <c r="AH297" i="8" s="1"/>
  <c r="AT297" i="8" s="1"/>
  <c r="J297" i="8" s="1"/>
  <c r="L270" i="4"/>
  <c r="Q291" i="5" s="1"/>
  <c r="AH298" i="8" s="1"/>
  <c r="AT298" i="8" s="1"/>
  <c r="J298" i="8" s="1"/>
  <c r="W24" i="8"/>
  <c r="AU24" i="8" s="1"/>
  <c r="AT228" i="5"/>
  <c r="AG72" i="2"/>
  <c r="AI72" i="2"/>
  <c r="AF215" i="8"/>
  <c r="AR215" i="8" s="1"/>
  <c r="H215" i="8" s="1"/>
  <c r="AR196" i="5"/>
  <c r="AU107" i="5"/>
  <c r="AI136" i="8"/>
  <c r="H229" i="4"/>
  <c r="K28" i="5" s="1"/>
  <c r="H250" i="4"/>
  <c r="K103" i="5" s="1"/>
  <c r="H244" i="4"/>
  <c r="K219" i="5" s="1"/>
  <c r="H230" i="4"/>
  <c r="K220" i="5" s="1"/>
  <c r="H256" i="4"/>
  <c r="K213" i="5" s="1"/>
  <c r="H29" i="4"/>
  <c r="K268" i="5" s="1"/>
  <c r="I327" i="4"/>
  <c r="L343" i="5" s="1"/>
  <c r="I326" i="4"/>
  <c r="L342" i="5" s="1"/>
  <c r="I328" i="4"/>
  <c r="L344" i="5" s="1"/>
  <c r="J312" i="4"/>
  <c r="N311" i="5" s="1"/>
  <c r="J313" i="4"/>
  <c r="N312" i="5" s="1"/>
  <c r="J310" i="4"/>
  <c r="N309" i="5" s="1"/>
  <c r="J349" i="4"/>
  <c r="N335" i="5" s="1"/>
  <c r="AV91" i="2"/>
  <c r="AV90" i="2"/>
  <c r="M213" i="4"/>
  <c r="R24" i="5" s="1"/>
  <c r="M214" i="4"/>
  <c r="R25" i="5" s="1"/>
  <c r="M215" i="4"/>
  <c r="R26" i="5" s="1"/>
  <c r="AV307" i="5"/>
  <c r="Y309" i="8"/>
  <c r="H265" i="4"/>
  <c r="K6" i="5" s="1"/>
  <c r="H221" i="4"/>
  <c r="K80" i="5" s="1"/>
  <c r="H11" i="4"/>
  <c r="K255" i="5" s="1"/>
  <c r="AF264" i="8" s="1"/>
  <c r="AR264" i="8" s="1"/>
  <c r="H264" i="8" s="1"/>
  <c r="H112" i="4"/>
  <c r="K274" i="5" s="1"/>
  <c r="H279" i="4"/>
  <c r="K286" i="5" s="1"/>
  <c r="H263" i="4"/>
  <c r="K289" i="5" s="1"/>
  <c r="F352" i="4"/>
  <c r="F354" i="4"/>
  <c r="F361" i="4"/>
  <c r="F363" i="4"/>
  <c r="F357" i="4"/>
  <c r="F362" i="4"/>
  <c r="F372" i="4"/>
  <c r="F373" i="4"/>
  <c r="F371" i="4"/>
  <c r="F355" i="4"/>
  <c r="F364" i="4"/>
  <c r="F359" i="4"/>
  <c r="F353" i="4"/>
  <c r="AR94" i="2"/>
  <c r="AR93" i="2"/>
  <c r="S223" i="4"/>
  <c r="AA15" i="5" s="1"/>
  <c r="S193" i="4"/>
  <c r="AA210" i="5" s="1"/>
  <c r="S84" i="4"/>
  <c r="AA160" i="5" s="1"/>
  <c r="S155" i="4"/>
  <c r="AA209" i="5" s="1"/>
  <c r="S82" i="4"/>
  <c r="AA158" i="5" s="1"/>
  <c r="S83" i="4"/>
  <c r="AA159" i="5" s="1"/>
  <c r="S157" i="4"/>
  <c r="AA212" i="5" s="1"/>
  <c r="S156" i="4"/>
  <c r="AA211" i="5" s="1"/>
  <c r="S288" i="4"/>
  <c r="AA214" i="5" s="1"/>
  <c r="S158" i="4"/>
  <c r="AA258" i="5" s="1"/>
  <c r="J177" i="4"/>
  <c r="J178" i="4"/>
  <c r="J138" i="4"/>
  <c r="J25" i="4"/>
  <c r="J101" i="4"/>
  <c r="J76" i="4"/>
  <c r="J175" i="4"/>
  <c r="J136" i="4"/>
  <c r="E303" i="4"/>
  <c r="E331" i="4"/>
  <c r="R151" i="4"/>
  <c r="R152" i="4"/>
  <c r="I106" i="4"/>
  <c r="L58" i="5" s="1"/>
  <c r="I105" i="4"/>
  <c r="I57" i="4"/>
  <c r="S312" i="4"/>
  <c r="AA311" i="5" s="1"/>
  <c r="S313" i="4"/>
  <c r="AA312" i="5" s="1"/>
  <c r="BE90" i="2"/>
  <c r="BE91" i="2"/>
  <c r="C266" i="4"/>
  <c r="C7" i="5" s="1"/>
  <c r="C64" i="4"/>
  <c r="C3" i="5" s="1"/>
  <c r="C196" i="4"/>
  <c r="C8" i="5" s="1"/>
  <c r="R44" i="8" s="1"/>
  <c r="C202" i="4"/>
  <c r="C36" i="5" s="1"/>
  <c r="R67" i="8" s="1"/>
  <c r="C121" i="4"/>
  <c r="C113" i="5" s="1"/>
  <c r="R8" i="8" s="1"/>
  <c r="C238" i="4"/>
  <c r="C105" i="5" s="1"/>
  <c r="R134" i="8" s="1"/>
  <c r="C247" i="4"/>
  <c r="C231" i="5" s="1"/>
  <c r="C251" i="4"/>
  <c r="C280" i="5" s="1"/>
  <c r="D267" i="4"/>
  <c r="E73" i="5" s="1"/>
  <c r="AD102" i="8" s="1"/>
  <c r="D97" i="4"/>
  <c r="E130" i="5" s="1"/>
  <c r="AD155" i="8" s="1"/>
  <c r="D142" i="4"/>
  <c r="E125" i="5" s="1"/>
  <c r="D269" i="4"/>
  <c r="E2" i="5" s="1"/>
  <c r="D237" i="4"/>
  <c r="E104" i="5" s="1"/>
  <c r="AD133" i="8" s="1"/>
  <c r="D228" i="4"/>
  <c r="E218" i="5" s="1"/>
  <c r="AP88" i="2"/>
  <c r="AP87" i="2"/>
  <c r="X280" i="4"/>
  <c r="AI290" i="5" s="1"/>
  <c r="AN297" i="8" s="1"/>
  <c r="X281" i="4"/>
  <c r="AI292" i="5" s="1"/>
  <c r="AN299" i="8" s="1"/>
  <c r="AZ299" i="8" s="1"/>
  <c r="P299" i="8" s="1"/>
  <c r="X274" i="4"/>
  <c r="AI288" i="5" s="1"/>
  <c r="AN295" i="8" s="1"/>
  <c r="X270" i="4"/>
  <c r="AI291" i="5" s="1"/>
  <c r="AN298" i="8" s="1"/>
  <c r="X257" i="4"/>
  <c r="AI295" i="5" s="1"/>
  <c r="F183" i="4"/>
  <c r="H271" i="5" s="1"/>
  <c r="F7" i="4"/>
  <c r="F47" i="4"/>
  <c r="F48" i="4"/>
  <c r="F45" i="4"/>
  <c r="F46" i="4"/>
  <c r="F49" i="4"/>
  <c r="F34" i="4"/>
  <c r="F5" i="4"/>
  <c r="F9" i="4"/>
  <c r="I185" i="4"/>
  <c r="L136" i="5" s="1"/>
  <c r="I200" i="4"/>
  <c r="I55" i="4"/>
  <c r="I109" i="4"/>
  <c r="I218" i="4"/>
  <c r="I125" i="4"/>
  <c r="I10" i="4"/>
  <c r="I60" i="4"/>
  <c r="I38" i="4"/>
  <c r="R84" i="8"/>
  <c r="E263" i="4"/>
  <c r="E112" i="4"/>
  <c r="E296" i="4"/>
  <c r="E11" i="4"/>
  <c r="E132" i="4"/>
  <c r="E279" i="4"/>
  <c r="E287" i="4"/>
  <c r="E265" i="4"/>
  <c r="E221" i="4"/>
  <c r="O114" i="4"/>
  <c r="U138" i="5" s="1"/>
  <c r="O150" i="4"/>
  <c r="U202" i="5" s="1"/>
  <c r="L310" i="4"/>
  <c r="Q309" i="5" s="1"/>
  <c r="AH311" i="8" s="1"/>
  <c r="AT311" i="8" s="1"/>
  <c r="J311" i="8" s="1"/>
  <c r="L312" i="4"/>
  <c r="Q311" i="5" s="1"/>
  <c r="AH313" i="8" s="1"/>
  <c r="AT313" i="8" s="1"/>
  <c r="J313" i="8" s="1"/>
  <c r="L313" i="4"/>
  <c r="Q312" i="5" s="1"/>
  <c r="AH314" i="8" s="1"/>
  <c r="AT314" i="8" s="1"/>
  <c r="J314" i="8" s="1"/>
  <c r="L349" i="4"/>
  <c r="Q335" i="5" s="1"/>
  <c r="AH335" i="8" s="1"/>
  <c r="AT335" i="8" s="1"/>
  <c r="J335" i="8" s="1"/>
  <c r="AX91" i="2"/>
  <c r="AX90" i="2"/>
  <c r="L196" i="4"/>
  <c r="Q8" i="5" s="1"/>
  <c r="AH44" i="8" s="1"/>
  <c r="AT44" i="8" s="1"/>
  <c r="J44" i="8" s="1"/>
  <c r="L266" i="4"/>
  <c r="Q7" i="5" s="1"/>
  <c r="AH43" i="8" s="1"/>
  <c r="AT43" i="8" s="1"/>
  <c r="J43" i="8" s="1"/>
  <c r="L202" i="4"/>
  <c r="Q36" i="5" s="1"/>
  <c r="AH67" i="8" s="1"/>
  <c r="AT67" i="8" s="1"/>
  <c r="J67" i="8" s="1"/>
  <c r="L121" i="4"/>
  <c r="Q113" i="5" s="1"/>
  <c r="AH8" i="8" s="1"/>
  <c r="AT8" i="8" s="1"/>
  <c r="J8" i="8" s="1"/>
  <c r="L238" i="4"/>
  <c r="Q105" i="5" s="1"/>
  <c r="AH134" i="8" s="1"/>
  <c r="AT134" i="8" s="1"/>
  <c r="J134" i="8" s="1"/>
  <c r="L94" i="4"/>
  <c r="Q120" i="5" s="1"/>
  <c r="AH148" i="8" s="1"/>
  <c r="AT148" i="8" s="1"/>
  <c r="J148" i="8" s="1"/>
  <c r="L186" i="4"/>
  <c r="Q150" i="5" s="1"/>
  <c r="AH174" i="8" s="1"/>
  <c r="AT174" i="8" s="1"/>
  <c r="L251" i="4"/>
  <c r="Q280" i="5" s="1"/>
  <c r="AH287" i="8" s="1"/>
  <c r="AT287" i="8" s="1"/>
  <c r="J287" i="8" s="1"/>
  <c r="O294" i="4"/>
  <c r="U144" i="5" s="1"/>
  <c r="O301" i="4"/>
  <c r="U189" i="5" s="1"/>
  <c r="O264" i="4"/>
  <c r="U198" i="5" s="1"/>
  <c r="O254" i="4"/>
  <c r="U194" i="5" s="1"/>
  <c r="O226" i="4"/>
  <c r="U197" i="5" s="1"/>
  <c r="P207" i="4"/>
  <c r="W72" i="5" s="1"/>
  <c r="AJ101" i="8" s="1"/>
  <c r="P135" i="4"/>
  <c r="W74" i="5" s="1"/>
  <c r="AJ103" i="8" s="1"/>
  <c r="AV103" i="8" s="1"/>
  <c r="L103" i="8" s="1"/>
  <c r="P35" i="4"/>
  <c r="W173" i="5" s="1"/>
  <c r="AJ195" i="8" s="1"/>
  <c r="P416" i="4"/>
  <c r="W400" i="5" s="1"/>
  <c r="AJ393" i="8" s="1"/>
  <c r="AV393" i="8" s="1"/>
  <c r="L393" i="8" s="1"/>
  <c r="P397" i="4"/>
  <c r="W399" i="5" s="1"/>
  <c r="AJ392" i="8" s="1"/>
  <c r="AV392" i="8" s="1"/>
  <c r="L392" i="8" s="1"/>
  <c r="P408" i="4"/>
  <c r="W401" i="5" s="1"/>
  <c r="AJ37" i="8" s="1"/>
  <c r="AV37" i="8" s="1"/>
  <c r="L37" i="8" s="1"/>
  <c r="P259" i="4"/>
  <c r="W297" i="5" s="1"/>
  <c r="AJ303" i="8" s="1"/>
  <c r="P406" i="4"/>
  <c r="W416" i="5" s="1"/>
  <c r="L144" i="4"/>
  <c r="Q155" i="5" s="1"/>
  <c r="AH179" i="8" s="1"/>
  <c r="AT179" i="8" s="1"/>
  <c r="J179" i="8" s="1"/>
  <c r="L161" i="4"/>
  <c r="Q217" i="5" s="1"/>
  <c r="AH230" i="8" s="1"/>
  <c r="AT230" i="8" s="1"/>
  <c r="J230" i="8" s="1"/>
  <c r="L159" i="4"/>
  <c r="Q215" i="5" s="1"/>
  <c r="AH23" i="8" s="1"/>
  <c r="AT23" i="8" s="1"/>
  <c r="J23" i="8" s="1"/>
  <c r="L95" i="4"/>
  <c r="Q273" i="5" s="1"/>
  <c r="AH281" i="8" s="1"/>
  <c r="AT281" i="8" s="1"/>
  <c r="J281" i="8" s="1"/>
  <c r="L152" i="4"/>
  <c r="Q205" i="5" s="1"/>
  <c r="AH21" i="8" s="1"/>
  <c r="L151" i="4"/>
  <c r="Q204" i="5" s="1"/>
  <c r="AH20" i="8" s="1"/>
  <c r="AT20" i="8" s="1"/>
  <c r="J20" i="8" s="1"/>
  <c r="O153" i="4"/>
  <c r="U206" i="5" s="1"/>
  <c r="O201" i="4"/>
  <c r="U249" i="5" s="1"/>
  <c r="I158" i="4"/>
  <c r="I157" i="4"/>
  <c r="I82" i="4"/>
  <c r="I83" i="4"/>
  <c r="I84" i="4"/>
  <c r="I223" i="4"/>
  <c r="I155" i="4"/>
  <c r="I193" i="4"/>
  <c r="I288" i="4"/>
  <c r="I156" i="4"/>
  <c r="AB20" i="8"/>
  <c r="AY204" i="5"/>
  <c r="F410" i="4"/>
  <c r="F69" i="4"/>
  <c r="F116" i="4"/>
  <c r="F392" i="4"/>
  <c r="F115" i="4"/>
  <c r="F35" i="4"/>
  <c r="H173" i="5" s="1"/>
  <c r="F259" i="4"/>
  <c r="F408" i="4"/>
  <c r="F397" i="4"/>
  <c r="F135" i="4"/>
  <c r="F416" i="4"/>
  <c r="F406" i="4"/>
  <c r="F207" i="4"/>
  <c r="F113" i="4"/>
  <c r="F130" i="4"/>
  <c r="H5" i="5" s="1"/>
  <c r="F22" i="4"/>
  <c r="H12" i="5" s="1"/>
  <c r="F262" i="4"/>
  <c r="F399" i="4"/>
  <c r="F89" i="4"/>
  <c r="F394" i="4"/>
  <c r="F59" i="4"/>
  <c r="F395" i="4"/>
  <c r="F396" i="4"/>
  <c r="F299" i="4"/>
  <c r="F400" i="4"/>
  <c r="F404" i="4"/>
  <c r="Y212" i="4"/>
  <c r="AJ23" i="5" s="1"/>
  <c r="Y210" i="4"/>
  <c r="AJ21" i="5" s="1"/>
  <c r="Y148" i="4"/>
  <c r="AJ200" i="5" s="1"/>
  <c r="Y147" i="4"/>
  <c r="AJ293" i="5" s="1"/>
  <c r="D294" i="4"/>
  <c r="E144" i="5" s="1"/>
  <c r="AD169" i="8" s="1"/>
  <c r="D264" i="4"/>
  <c r="E198" i="5" s="1"/>
  <c r="AD217" i="8" s="1"/>
  <c r="D301" i="4"/>
  <c r="E189" i="5" s="1"/>
  <c r="D255" i="4"/>
  <c r="E195" i="5" s="1"/>
  <c r="D226" i="4"/>
  <c r="E197" i="5" s="1"/>
  <c r="D106" i="4"/>
  <c r="E58" i="5" s="1"/>
  <c r="D105" i="4"/>
  <c r="E57" i="5" s="1"/>
  <c r="D4" i="4"/>
  <c r="E174" i="5" s="1"/>
  <c r="AD196" i="8" s="1"/>
  <c r="D61" i="4"/>
  <c r="E262" i="5" s="1"/>
  <c r="D102" i="4"/>
  <c r="E266" i="5" s="1"/>
  <c r="AP85" i="2"/>
  <c r="AP84" i="2"/>
  <c r="F141" i="4"/>
  <c r="H123" i="5" s="1"/>
  <c r="F144" i="4"/>
  <c r="H155" i="5" s="1"/>
  <c r="F159" i="4"/>
  <c r="H215" i="5" s="1"/>
  <c r="F160" i="4"/>
  <c r="H216" i="5" s="1"/>
  <c r="F161" i="4"/>
  <c r="H217" i="5" s="1"/>
  <c r="O43" i="4"/>
  <c r="U17" i="5" s="1"/>
  <c r="O44" i="4"/>
  <c r="U18" i="5" s="1"/>
  <c r="O42" i="4"/>
  <c r="U16" i="5" s="1"/>
  <c r="O8" i="4"/>
  <c r="U177" i="5" s="1"/>
  <c r="O6" i="4"/>
  <c r="U175" i="5" s="1"/>
  <c r="O220" i="4"/>
  <c r="U9" i="5" s="1"/>
  <c r="O208" i="4"/>
  <c r="U75" i="5" s="1"/>
  <c r="X88" i="8"/>
  <c r="AU59" i="5"/>
  <c r="M294" i="4"/>
  <c r="R144" i="5" s="1"/>
  <c r="M264" i="4"/>
  <c r="R198" i="5" s="1"/>
  <c r="M226" i="4"/>
  <c r="R197" i="5" s="1"/>
  <c r="M301" i="4"/>
  <c r="R189" i="5" s="1"/>
  <c r="M175" i="4"/>
  <c r="R81" i="5" s="1"/>
  <c r="M101" i="4"/>
  <c r="R35" i="5" s="1"/>
  <c r="M136" i="4"/>
  <c r="R84" i="5" s="1"/>
  <c r="M178" i="4"/>
  <c r="R85" i="5" s="1"/>
  <c r="M177" i="4"/>
  <c r="R83" i="5" s="1"/>
  <c r="M76" i="4"/>
  <c r="R115" i="5" s="1"/>
  <c r="M25" i="4"/>
  <c r="R252" i="5" s="1"/>
  <c r="M207" i="4"/>
  <c r="R72" i="5" s="1"/>
  <c r="M135" i="4"/>
  <c r="R74" i="5" s="1"/>
  <c r="M17" i="4"/>
  <c r="R184" i="5" s="1"/>
  <c r="M16" i="4"/>
  <c r="R183" i="5" s="1"/>
  <c r="M259" i="4"/>
  <c r="R297" i="5" s="1"/>
  <c r="M397" i="4"/>
  <c r="M416" i="4"/>
  <c r="M408" i="4"/>
  <c r="M406" i="4"/>
  <c r="M106" i="4"/>
  <c r="R58" i="5" s="1"/>
  <c r="M105" i="4"/>
  <c r="R57" i="5" s="1"/>
  <c r="Z69" i="4"/>
  <c r="AL170" i="5" s="1"/>
  <c r="Z116" i="4"/>
  <c r="AL256" i="5" s="1"/>
  <c r="AO119" i="8"/>
  <c r="BA90" i="5"/>
  <c r="Z275" i="4"/>
  <c r="AL300" i="5" s="1"/>
  <c r="BA300" i="5" s="1"/>
  <c r="Z289" i="4"/>
  <c r="AL52" i="5" s="1"/>
  <c r="Z62" i="4"/>
  <c r="AL109" i="5" s="1"/>
  <c r="Z75" i="4"/>
  <c r="AL250" i="5" s="1"/>
  <c r="Z130" i="4"/>
  <c r="AL5" i="5" s="1"/>
  <c r="Z262" i="4"/>
  <c r="AL4" i="5" s="1"/>
  <c r="Z22" i="4"/>
  <c r="AL12" i="5" s="1"/>
  <c r="Z59" i="4"/>
  <c r="AL45" i="5" s="1"/>
  <c r="Z299" i="4"/>
  <c r="AL154" i="5" s="1"/>
  <c r="Z277" i="4"/>
  <c r="AL301" i="5" s="1"/>
  <c r="BA301" i="5" s="1"/>
  <c r="Z169" i="4"/>
  <c r="AL54" i="5" s="1"/>
  <c r="Z90" i="4"/>
  <c r="AL82" i="5" s="1"/>
  <c r="Z91" i="4"/>
  <c r="AL92" i="5" s="1"/>
  <c r="P211" i="4"/>
  <c r="W22" i="5" s="1"/>
  <c r="AJ55" i="8" s="1"/>
  <c r="P213" i="4"/>
  <c r="W24" i="5" s="1"/>
  <c r="AJ57" i="8" s="1"/>
  <c r="P215" i="4"/>
  <c r="W26" i="5" s="1"/>
  <c r="AJ59" i="8" s="1"/>
  <c r="P214" i="4"/>
  <c r="W25" i="5" s="1"/>
  <c r="AJ58" i="8" s="1"/>
  <c r="AT19" i="5"/>
  <c r="AL54" i="2"/>
  <c r="M23" i="4"/>
  <c r="R13" i="5" s="1"/>
  <c r="M298" i="4"/>
  <c r="R124" i="5" s="1"/>
  <c r="M412" i="4"/>
  <c r="M403" i="4"/>
  <c r="D286" i="4"/>
  <c r="E108" i="5" s="1"/>
  <c r="AD137" i="8" s="1"/>
  <c r="D241" i="4"/>
  <c r="E128" i="5" s="1"/>
  <c r="AD153" i="8" s="1"/>
  <c r="D293" i="4"/>
  <c r="E89" i="5" s="1"/>
  <c r="AD118" i="8" s="1"/>
  <c r="D290" i="4"/>
  <c r="E140" i="5" s="1"/>
  <c r="AD165" i="8" s="1"/>
  <c r="D77" i="4"/>
  <c r="E119" i="5" s="1"/>
  <c r="AD147" i="8" s="1"/>
  <c r="X173" i="4"/>
  <c r="AI78" i="5" s="1"/>
  <c r="AN107" i="8" s="1"/>
  <c r="AZ107" i="8" s="1"/>
  <c r="P107" i="8" s="1"/>
  <c r="X302" i="4"/>
  <c r="AI77" i="5" s="1"/>
  <c r="AN106" i="8" s="1"/>
  <c r="AZ106" i="8" s="1"/>
  <c r="P106" i="8" s="1"/>
  <c r="X174" i="4"/>
  <c r="AI79" i="5" s="1"/>
  <c r="AN108" i="8" s="1"/>
  <c r="AZ108" i="8" s="1"/>
  <c r="P108" i="8" s="1"/>
  <c r="Y376" i="4"/>
  <c r="AJ376" i="5" s="1"/>
  <c r="Y381" i="4"/>
  <c r="AJ381" i="5" s="1"/>
  <c r="Y380" i="4"/>
  <c r="AJ380" i="5" s="1"/>
  <c r="Y377" i="4"/>
  <c r="AJ377" i="5" s="1"/>
  <c r="Y379" i="4"/>
  <c r="AJ379" i="5" s="1"/>
  <c r="Y383" i="4"/>
  <c r="AJ383" i="5" s="1"/>
  <c r="Y374" i="4"/>
  <c r="AJ374" i="5" s="1"/>
  <c r="Y382" i="4"/>
  <c r="AJ382" i="5" s="1"/>
  <c r="Y378" i="4"/>
  <c r="AJ378" i="5" s="1"/>
  <c r="Y375" i="4"/>
  <c r="AJ375" i="5" s="1"/>
  <c r="E249" i="4"/>
  <c r="E248" i="4"/>
  <c r="E252" i="4"/>
  <c r="E243" i="4"/>
  <c r="E300" i="4"/>
  <c r="E268" i="4"/>
  <c r="E291" i="4"/>
  <c r="E292" i="4"/>
  <c r="U367" i="4"/>
  <c r="AD368" i="5" s="1"/>
  <c r="U360" i="4"/>
  <c r="AD364" i="5" s="1"/>
  <c r="U369" i="4"/>
  <c r="AD353" i="5" s="1"/>
  <c r="U358" i="4"/>
  <c r="AD352" i="5" s="1"/>
  <c r="U365" i="4"/>
  <c r="AD365" i="5" s="1"/>
  <c r="U366" i="4"/>
  <c r="AD367" i="5" s="1"/>
  <c r="U368" i="4"/>
  <c r="AD369" i="5" s="1"/>
  <c r="M304" i="4"/>
  <c r="R304" i="5" s="1"/>
  <c r="M340" i="4"/>
  <c r="R331" i="5" s="1"/>
  <c r="M332" i="4"/>
  <c r="R349" i="5" s="1"/>
  <c r="M338" i="4"/>
  <c r="R332" i="5" s="1"/>
  <c r="Z374" i="4"/>
  <c r="AL374" i="5" s="1"/>
  <c r="Z378" i="4"/>
  <c r="AL378" i="5" s="1"/>
  <c r="Z376" i="4"/>
  <c r="AL376" i="5" s="1"/>
  <c r="Z377" i="4"/>
  <c r="AL377" i="5" s="1"/>
  <c r="Z380" i="4"/>
  <c r="AL380" i="5" s="1"/>
  <c r="Z375" i="4"/>
  <c r="AL375" i="5" s="1"/>
  <c r="Z383" i="4"/>
  <c r="AL383" i="5" s="1"/>
  <c r="Z381" i="4"/>
  <c r="AL381" i="5" s="1"/>
  <c r="Z382" i="4"/>
  <c r="AL382" i="5" s="1"/>
  <c r="R45" i="4"/>
  <c r="Z31" i="5" s="1"/>
  <c r="AK5" i="8" s="1"/>
  <c r="R47" i="4"/>
  <c r="Z33" i="5" s="1"/>
  <c r="AK64" i="8" s="1"/>
  <c r="R5" i="4"/>
  <c r="Z61" i="5" s="1"/>
  <c r="R34" i="4"/>
  <c r="Z149" i="5" s="1"/>
  <c r="AK173" i="8" s="1"/>
  <c r="R7" i="4"/>
  <c r="Z176" i="5" s="1"/>
  <c r="R9" i="4"/>
  <c r="Z188" i="5" s="1"/>
  <c r="R48" i="4"/>
  <c r="Z233" i="5" s="1"/>
  <c r="AK245" i="8" s="1"/>
  <c r="R183" i="4"/>
  <c r="Z271" i="5" s="1"/>
  <c r="AK279" i="8" s="1"/>
  <c r="W372" i="4"/>
  <c r="AG356" i="5" s="1"/>
  <c r="W359" i="4"/>
  <c r="AG363" i="5" s="1"/>
  <c r="W362" i="4"/>
  <c r="AG373" i="5" s="1"/>
  <c r="W363" i="4"/>
  <c r="AG372" i="5" s="1"/>
  <c r="W371" i="4"/>
  <c r="AG355" i="5" s="1"/>
  <c r="W361" i="4"/>
  <c r="AG371" i="5" s="1"/>
  <c r="W352" i="4"/>
  <c r="AG358" i="5" s="1"/>
  <c r="W364" i="4"/>
  <c r="AG359" i="5" s="1"/>
  <c r="W353" i="4"/>
  <c r="AG360" i="5" s="1"/>
  <c r="BI94" i="2"/>
  <c r="BI93" i="2"/>
  <c r="W357" i="4"/>
  <c r="AG361" i="5" s="1"/>
  <c r="W355" i="4"/>
  <c r="AG362" i="5" s="1"/>
  <c r="W354" i="4"/>
  <c r="AG370" i="5" s="1"/>
  <c r="X282" i="4"/>
  <c r="AI222" i="5" s="1"/>
  <c r="AN235" i="8" s="1"/>
  <c r="AZ235" i="8" s="1"/>
  <c r="P235" i="8" s="1"/>
  <c r="X74" i="4"/>
  <c r="AI208" i="5" s="1"/>
  <c r="AN223" i="8" s="1"/>
  <c r="AZ223" i="8" s="1"/>
  <c r="P223" i="8" s="1"/>
  <c r="X19" i="4"/>
  <c r="AI186" i="5" s="1"/>
  <c r="AN206" i="8" s="1"/>
  <c r="AZ206" i="8" s="1"/>
  <c r="X407" i="4"/>
  <c r="AI395" i="5" s="1"/>
  <c r="AN388" i="8" s="1"/>
  <c r="AZ388" i="8" s="1"/>
  <c r="P388" i="8" s="1"/>
  <c r="W192" i="8"/>
  <c r="AT169" i="5"/>
  <c r="O266" i="4"/>
  <c r="U7" i="5" s="1"/>
  <c r="O202" i="4"/>
  <c r="U36" i="5" s="1"/>
  <c r="O196" i="4"/>
  <c r="U8" i="5" s="1"/>
  <c r="O238" i="4"/>
  <c r="U105" i="5" s="1"/>
  <c r="O94" i="4"/>
  <c r="U120" i="5" s="1"/>
  <c r="O121" i="4"/>
  <c r="U113" i="5" s="1"/>
  <c r="O247" i="4"/>
  <c r="U231" i="5" s="1"/>
  <c r="O251" i="4"/>
  <c r="U280" i="5" s="1"/>
  <c r="J129" i="4"/>
  <c r="J191" i="4"/>
  <c r="J190" i="4"/>
  <c r="L71" i="4"/>
  <c r="Q190" i="5" s="1"/>
  <c r="AH17" i="8" s="1"/>
  <c r="AT17" i="8" s="1"/>
  <c r="J17" i="8" s="1"/>
  <c r="L73" i="4"/>
  <c r="Q192" i="5" s="1"/>
  <c r="AH211" i="8" s="1"/>
  <c r="AT211" i="8" s="1"/>
  <c r="J211" i="8" s="1"/>
  <c r="L99" i="4"/>
  <c r="Q166" i="5" s="1"/>
  <c r="AH189" i="8" s="1"/>
  <c r="AT189" i="8" s="1"/>
  <c r="J189" i="8" s="1"/>
  <c r="L222" i="4"/>
  <c r="Q269" i="5" s="1"/>
  <c r="AH277" i="8" s="1"/>
  <c r="AT277" i="8" s="1"/>
  <c r="J277" i="8" s="1"/>
  <c r="N318" i="4"/>
  <c r="T306" i="5" s="1"/>
  <c r="AI308" i="8" s="1"/>
  <c r="N337" i="4"/>
  <c r="T321" i="5" s="1"/>
  <c r="AI323" i="8" s="1"/>
  <c r="N328" i="4"/>
  <c r="T344" i="5" s="1"/>
  <c r="AI344" i="8" s="1"/>
  <c r="N327" i="4"/>
  <c r="T343" i="5" s="1"/>
  <c r="AI343" i="8" s="1"/>
  <c r="AU343" i="8" s="1"/>
  <c r="N333" i="4"/>
  <c r="T350" i="5" s="1"/>
  <c r="AI350" i="8" s="1"/>
  <c r="N326" i="4"/>
  <c r="T342" i="5" s="1"/>
  <c r="AI342" i="8" s="1"/>
  <c r="N346" i="4"/>
  <c r="T340" i="5" s="1"/>
  <c r="AI340" i="8" s="1"/>
  <c r="AN384" i="5"/>
  <c r="AB381" i="8"/>
  <c r="AY384" i="5"/>
  <c r="AL53" i="2"/>
  <c r="AT386" i="5"/>
  <c r="M73" i="4"/>
  <c r="R192" i="5" s="1"/>
  <c r="M222" i="4"/>
  <c r="R269" i="5" s="1"/>
  <c r="R116" i="8"/>
  <c r="AP116" i="8" s="1"/>
  <c r="L180" i="4"/>
  <c r="Q87" i="5" s="1"/>
  <c r="AH116" i="8" s="1"/>
  <c r="AT116" i="8" s="1"/>
  <c r="J116" i="8" s="1"/>
  <c r="J253" i="4"/>
  <c r="J79" i="4"/>
  <c r="J110" i="4"/>
  <c r="J31" i="4"/>
  <c r="E31" i="4"/>
  <c r="E253" i="4"/>
  <c r="N315" i="4"/>
  <c r="T316" i="5" s="1"/>
  <c r="AI318" i="8" s="1"/>
  <c r="N309" i="4"/>
  <c r="T308" i="5" s="1"/>
  <c r="AI310" i="8" s="1"/>
  <c r="N314" i="4"/>
  <c r="T313" i="5" s="1"/>
  <c r="AI315" i="8" s="1"/>
  <c r="N339" i="4"/>
  <c r="T319" i="5" s="1"/>
  <c r="AI321" i="8" s="1"/>
  <c r="N316" i="4"/>
  <c r="T318" i="5" s="1"/>
  <c r="AI320" i="8" s="1"/>
  <c r="N307" i="4"/>
  <c r="T317" i="5" s="1"/>
  <c r="AI319" i="8" s="1"/>
  <c r="T276" i="4" a="1"/>
  <c r="T276" i="4" s="1"/>
  <c r="AC302" i="5" s="1"/>
  <c r="T211" i="4" a="1"/>
  <c r="T211" i="4" s="1"/>
  <c r="AC22" i="5" s="1"/>
  <c r="AL55" i="8" s="1"/>
  <c r="T233" i="4" a="1"/>
  <c r="T233" i="4" s="1"/>
  <c r="AC29" i="5" s="1"/>
  <c r="AL61" i="8" s="1"/>
  <c r="AX61" i="8" s="1"/>
  <c r="N61" i="8" s="1"/>
  <c r="T214" i="4" a="1"/>
  <c r="T214" i="4" s="1"/>
  <c r="AC25" i="5" s="1"/>
  <c r="AL58" i="8" s="1"/>
  <c r="T215" i="4" a="1"/>
  <c r="T215" i="4" s="1"/>
  <c r="AC26" i="5" s="1"/>
  <c r="AL59" i="8" s="1"/>
  <c r="T234" i="4" a="1"/>
  <c r="T234" i="4" s="1"/>
  <c r="AC30" i="5" s="1"/>
  <c r="AL62" i="8" s="1"/>
  <c r="AX62" i="8" s="1"/>
  <c r="N62" i="8" s="1"/>
  <c r="T46" i="4" a="1"/>
  <c r="T46" i="4" s="1"/>
  <c r="AC32" i="5" s="1"/>
  <c r="AL63" i="8" s="1"/>
  <c r="T62" i="4" a="1"/>
  <c r="T62" i="4" s="1"/>
  <c r="AC109" i="5" s="1"/>
  <c r="AL138" i="8" s="1"/>
  <c r="T250" i="4" a="1"/>
  <c r="T250" i="4" s="1"/>
  <c r="AC103" i="5" s="1"/>
  <c r="AL132" i="8" s="1"/>
  <c r="T141" i="4" a="1"/>
  <c r="T141" i="4" s="1"/>
  <c r="AC123" i="5" s="1"/>
  <c r="AL9" i="8" s="1"/>
  <c r="T84" i="4" a="1"/>
  <c r="T84" i="4" s="1"/>
  <c r="AC160" i="5" s="1"/>
  <c r="AL183" i="8" s="1"/>
  <c r="T131" i="4" a="1"/>
  <c r="T131" i="4" s="1"/>
  <c r="AC199" i="5" s="1"/>
  <c r="AL218" i="8" s="1"/>
  <c r="T70" i="4" a="1"/>
  <c r="T70" i="4" s="1"/>
  <c r="AC172" i="5" s="1"/>
  <c r="AL14" i="8" s="1"/>
  <c r="AX14" i="8" s="1"/>
  <c r="N14" i="8" s="1"/>
  <c r="T83" i="4" a="1"/>
  <c r="T83" i="4" s="1"/>
  <c r="AC159" i="5" s="1"/>
  <c r="AL13" i="8" s="1"/>
  <c r="T75" i="4" a="1"/>
  <c r="T75" i="4" s="1"/>
  <c r="AC250" i="5" s="1"/>
  <c r="AL260" i="8" s="1"/>
  <c r="AX260" i="8" s="1"/>
  <c r="T155" i="4" a="1"/>
  <c r="T155" i="4" s="1"/>
  <c r="AC209" i="5" s="1"/>
  <c r="AL224" i="8" s="1"/>
  <c r="M72" i="4"/>
  <c r="R191" i="5" s="1"/>
  <c r="X276" i="4"/>
  <c r="AI302" i="5" s="1"/>
  <c r="F13" i="4"/>
  <c r="W129" i="4"/>
  <c r="AG283" i="5" s="1"/>
  <c r="N97" i="4"/>
  <c r="T130" i="5" s="1"/>
  <c r="M64" i="4"/>
  <c r="R3" i="5" s="1"/>
  <c r="T220" i="4" a="1"/>
  <c r="T220" i="4" s="1"/>
  <c r="AC9" i="5" s="1"/>
  <c r="AL45" i="8" s="1"/>
  <c r="D49" i="4"/>
  <c r="E34" i="5" s="1"/>
  <c r="F140" i="4"/>
  <c r="H14" i="5" s="1"/>
  <c r="U214" i="4" a="1"/>
  <c r="U214" i="4" s="1"/>
  <c r="AD25" i="5" s="1"/>
  <c r="T202" i="4" a="1"/>
  <c r="T202" i="4" s="1"/>
  <c r="AC36" i="5" s="1"/>
  <c r="AL67" i="8" s="1"/>
  <c r="T272" i="4" a="1"/>
  <c r="T272" i="4" s="1"/>
  <c r="AC50" i="5" s="1"/>
  <c r="AL79" i="8" s="1"/>
  <c r="M50" i="4"/>
  <c r="R38" i="5" s="1"/>
  <c r="T54" i="4" a="1"/>
  <c r="T54" i="4" s="1"/>
  <c r="AC47" i="5" s="1"/>
  <c r="AL78" i="8" s="1"/>
  <c r="Z293" i="4"/>
  <c r="AL89" i="5" s="1"/>
  <c r="S111" i="4"/>
  <c r="AA94" i="5" s="1"/>
  <c r="U90" i="4" a="1"/>
  <c r="U90" i="4" s="1"/>
  <c r="AD82" i="5" s="1"/>
  <c r="D206" i="4"/>
  <c r="E71" i="5" s="1"/>
  <c r="L141" i="4"/>
  <c r="Q123" i="5" s="1"/>
  <c r="AH9" i="8" s="1"/>
  <c r="AT9" i="8" s="1"/>
  <c r="J9" i="8" s="1"/>
  <c r="D37" i="4"/>
  <c r="E62" i="5" s="1"/>
  <c r="U91" i="4" a="1"/>
  <c r="U91" i="4" s="1"/>
  <c r="AD92" i="5" s="1"/>
  <c r="U136" i="4" a="1"/>
  <c r="U136" i="4" s="1"/>
  <c r="AD84" i="5" s="1"/>
  <c r="U286" i="4" a="1"/>
  <c r="U286" i="4" s="1"/>
  <c r="AD108" i="5" s="1"/>
  <c r="F242" i="4"/>
  <c r="H146" i="5" s="1"/>
  <c r="L78" i="4"/>
  <c r="Q121" i="5" s="1"/>
  <c r="AH149" i="8" s="1"/>
  <c r="AT149" i="8" s="1"/>
  <c r="J149" i="8" s="1"/>
  <c r="P188" i="4"/>
  <c r="W152" i="5" s="1"/>
  <c r="AJ176" i="8" s="1"/>
  <c r="U94" i="4" a="1"/>
  <c r="U94" i="4" s="1"/>
  <c r="AD120" i="5" s="1"/>
  <c r="D261" i="4"/>
  <c r="E96" i="5" s="1"/>
  <c r="Y80" i="4"/>
  <c r="AJ134" i="5" s="1"/>
  <c r="Z80" i="4"/>
  <c r="AL134" i="5" s="1"/>
  <c r="Q96" i="4"/>
  <c r="X122" i="5" s="1"/>
  <c r="T78" i="4" a="1"/>
  <c r="T78" i="4" s="1"/>
  <c r="AC121" i="5" s="1"/>
  <c r="AL149" i="8" s="1"/>
  <c r="AX149" i="8" s="1"/>
  <c r="N149" i="8" s="1"/>
  <c r="Y67" i="4"/>
  <c r="AJ164" i="5" s="1"/>
  <c r="Y83" i="4"/>
  <c r="AJ159" i="5" s="1"/>
  <c r="Z68" i="4"/>
  <c r="AL165" i="5" s="1"/>
  <c r="U80" i="4" a="1"/>
  <c r="U80" i="4" s="1"/>
  <c r="AD134" i="5" s="1"/>
  <c r="I67" i="4"/>
  <c r="L164" i="5" s="1"/>
  <c r="U253" i="4" a="1"/>
  <c r="U253" i="4" s="1"/>
  <c r="AD168" i="5" s="1"/>
  <c r="AA205" i="8"/>
  <c r="AX185" i="5"/>
  <c r="U300" i="4" a="1"/>
  <c r="U300" i="4" s="1"/>
  <c r="AD153" i="5" s="1"/>
  <c r="M290" i="4"/>
  <c r="R140" i="5" s="1"/>
  <c r="O231" i="4"/>
  <c r="U221" i="5" s="1"/>
  <c r="T9" i="4" a="1"/>
  <c r="T9" i="4" s="1"/>
  <c r="AC188" i="5" s="1"/>
  <c r="U288" i="4" a="1"/>
  <c r="U288" i="4" s="1"/>
  <c r="AD214" i="5" s="1"/>
  <c r="O216" i="4"/>
  <c r="U223" i="5" s="1"/>
  <c r="T7" i="4" a="1"/>
  <c r="T7" i="4" s="1"/>
  <c r="AC176" i="5" s="1"/>
  <c r="T126" i="4" a="1"/>
  <c r="T126" i="4" s="1"/>
  <c r="AC162" i="5" s="1"/>
  <c r="AL185" i="8" s="1"/>
  <c r="AX185" i="8" s="1"/>
  <c r="N185" i="8" s="1"/>
  <c r="T72" i="4" a="1"/>
  <c r="T72" i="4" s="1"/>
  <c r="AC191" i="5" s="1"/>
  <c r="AL210" i="8" s="1"/>
  <c r="AX210" i="8" s="1"/>
  <c r="N210" i="8" s="1"/>
  <c r="P17" i="4"/>
  <c r="W184" i="5" s="1"/>
  <c r="AJ204" i="8" s="1"/>
  <c r="AV204" i="8" s="1"/>
  <c r="L204" i="8" s="1"/>
  <c r="Z197" i="4"/>
  <c r="AL234" i="5" s="1"/>
  <c r="D199" i="4"/>
  <c r="E243" i="5" s="1"/>
  <c r="L66" i="4"/>
  <c r="Q277" i="5" s="1"/>
  <c r="AH285" i="8" s="1"/>
  <c r="AT285" i="8" s="1"/>
  <c r="J285" i="8" s="1"/>
  <c r="U263" i="4" a="1"/>
  <c r="U263" i="4" s="1"/>
  <c r="AD289" i="5" s="1"/>
  <c r="X132" i="4"/>
  <c r="AI294" i="5" s="1"/>
  <c r="AN301" i="8" s="1"/>
  <c r="AZ301" i="8" s="1"/>
  <c r="P301" i="8" s="1"/>
  <c r="Y57" i="4"/>
  <c r="AJ257" i="5" s="1"/>
  <c r="Q281" i="4"/>
  <c r="X292" i="5" s="1"/>
  <c r="T10" i="4" a="1"/>
  <c r="T10" i="4" s="1"/>
  <c r="AC254" i="5" s="1"/>
  <c r="AL26" i="8" s="1"/>
  <c r="U63" i="4" a="1"/>
  <c r="U63" i="4" s="1"/>
  <c r="AD270" i="5" s="1"/>
  <c r="M235" i="4"/>
  <c r="R253" i="5" s="1"/>
  <c r="U112" i="4" a="1"/>
  <c r="U112" i="4" s="1"/>
  <c r="AD274" i="5" s="1"/>
  <c r="O95" i="4"/>
  <c r="U273" i="5" s="1"/>
  <c r="U256" i="4" a="1"/>
  <c r="U256" i="4" s="1"/>
  <c r="AD213" i="5" s="1"/>
  <c r="P201" i="4"/>
  <c r="W249" i="5" s="1"/>
  <c r="AJ259" i="8" s="1"/>
  <c r="T287" i="4" a="1"/>
  <c r="T287" i="4" s="1"/>
  <c r="AC287" i="5" s="1"/>
  <c r="AL294" i="8" s="1"/>
  <c r="U370" i="4"/>
  <c r="AD354" i="5" s="1"/>
  <c r="P333" i="4"/>
  <c r="W350" i="5" s="1"/>
  <c r="AJ350" i="8" s="1"/>
  <c r="C132" i="4"/>
  <c r="C294" i="5" s="1"/>
  <c r="P358" i="4"/>
  <c r="W352" i="5" s="1"/>
  <c r="AJ351" i="8" s="1"/>
  <c r="Y368" i="4"/>
  <c r="AJ369" i="5" s="1"/>
  <c r="M356" i="4"/>
  <c r="R366" i="5" s="1"/>
  <c r="T269" i="4" a="1"/>
  <c r="T269" i="4" s="1"/>
  <c r="AC2" i="5" s="1"/>
  <c r="AL39" i="8" s="1"/>
  <c r="J84" i="8"/>
  <c r="AZ307" i="5"/>
  <c r="AC309" i="8"/>
  <c r="Z238" i="8"/>
  <c r="AW225" i="5"/>
  <c r="Q203" i="4"/>
  <c r="Q225" i="4"/>
  <c r="X196" i="5" s="1"/>
  <c r="Z312" i="4"/>
  <c r="AL311" i="5" s="1"/>
  <c r="Z313" i="4"/>
  <c r="AL312" i="5" s="1"/>
  <c r="Z310" i="4"/>
  <c r="AL309" i="5" s="1"/>
  <c r="BL91" i="2"/>
  <c r="BL90" i="2"/>
  <c r="E382" i="4"/>
  <c r="E374" i="4"/>
  <c r="E380" i="4"/>
  <c r="E381" i="4"/>
  <c r="E383" i="4"/>
  <c r="E375" i="4"/>
  <c r="E376" i="4"/>
  <c r="E377" i="4"/>
  <c r="E378" i="4"/>
  <c r="E379" i="4"/>
  <c r="E184" i="4"/>
  <c r="F132" i="5" s="1"/>
  <c r="E137" i="4"/>
  <c r="E176" i="4"/>
  <c r="E209" i="4"/>
  <c r="E236" i="4"/>
  <c r="E240" i="4"/>
  <c r="E181" i="4"/>
  <c r="E182" i="4"/>
  <c r="E120" i="4"/>
  <c r="E219" i="4"/>
  <c r="E127" i="4"/>
  <c r="M311" i="4"/>
  <c r="R310" i="5" s="1"/>
  <c r="M324" i="4"/>
  <c r="R327" i="5" s="1"/>
  <c r="AL55" i="2"/>
  <c r="AT20" i="5"/>
  <c r="F332" i="4"/>
  <c r="F304" i="4"/>
  <c r="F338" i="4"/>
  <c r="F340" i="4"/>
  <c r="T377" i="4"/>
  <c r="AC377" i="5" s="1"/>
  <c r="AL373" i="8" s="1"/>
  <c r="T375" i="4"/>
  <c r="AC375" i="5" s="1"/>
  <c r="AL371" i="8" s="1"/>
  <c r="T378" i="4"/>
  <c r="AC378" i="5" s="1"/>
  <c r="AL374" i="8" s="1"/>
  <c r="T376" i="4"/>
  <c r="AC376" i="5" s="1"/>
  <c r="AL372" i="8" s="1"/>
  <c r="T381" i="4"/>
  <c r="AC381" i="5" s="1"/>
  <c r="AL377" i="8" s="1"/>
  <c r="T380" i="4"/>
  <c r="AC380" i="5" s="1"/>
  <c r="AL376" i="8" s="1"/>
  <c r="T379" i="4"/>
  <c r="AC379" i="5" s="1"/>
  <c r="AL375" i="8" s="1"/>
  <c r="H367" i="4"/>
  <c r="K368" i="5" s="1"/>
  <c r="AF366" i="8" s="1"/>
  <c r="AR366" i="8" s="1"/>
  <c r="H366" i="8" s="1"/>
  <c r="H368" i="4"/>
  <c r="K369" i="5" s="1"/>
  <c r="AF367" i="8" s="1"/>
  <c r="AR367" i="8" s="1"/>
  <c r="H367" i="8" s="1"/>
  <c r="H366" i="4"/>
  <c r="K367" i="5" s="1"/>
  <c r="AF365" i="8" s="1"/>
  <c r="AR365" i="8" s="1"/>
  <c r="H365" i="8" s="1"/>
  <c r="H370" i="4"/>
  <c r="K354" i="5" s="1"/>
  <c r="AF353" i="8" s="1"/>
  <c r="AR353" i="8" s="1"/>
  <c r="H353" i="8" s="1"/>
  <c r="H365" i="4"/>
  <c r="K365" i="5" s="1"/>
  <c r="AF363" i="8" s="1"/>
  <c r="AR363" i="8" s="1"/>
  <c r="H363" i="8" s="1"/>
  <c r="H360" i="4"/>
  <c r="K364" i="5" s="1"/>
  <c r="AF362" i="8" s="1"/>
  <c r="AR362" i="8" s="1"/>
  <c r="H362" i="8" s="1"/>
  <c r="H358" i="4"/>
  <c r="K352" i="5" s="1"/>
  <c r="AF351" i="8" s="1"/>
  <c r="AR351" i="8" s="1"/>
  <c r="H351" i="8" s="1"/>
  <c r="H369" i="4"/>
  <c r="K353" i="5" s="1"/>
  <c r="AF352" i="8" s="1"/>
  <c r="AR352" i="8" s="1"/>
  <c r="H352" i="8" s="1"/>
  <c r="H356" i="4"/>
  <c r="K366" i="5" s="1"/>
  <c r="AL80" i="2"/>
  <c r="W308" i="8"/>
  <c r="AT306" i="5"/>
  <c r="BA305" i="5"/>
  <c r="AO307" i="8"/>
  <c r="E246" i="4"/>
  <c r="F230" i="5" s="1"/>
  <c r="E194" i="4"/>
  <c r="F27" i="5" s="1"/>
  <c r="E122" i="4"/>
  <c r="F141" i="5" s="1"/>
  <c r="C119" i="4"/>
  <c r="C241" i="5" s="1"/>
  <c r="C216" i="4"/>
  <c r="C223" i="5" s="1"/>
  <c r="AY107" i="5"/>
  <c r="AB136" i="8"/>
  <c r="Y305" i="8"/>
  <c r="I304" i="4"/>
  <c r="L304" i="5" s="1"/>
  <c r="I332" i="4"/>
  <c r="L349" i="5" s="1"/>
  <c r="I340" i="4"/>
  <c r="L331" i="5" s="1"/>
  <c r="AC238" i="8"/>
  <c r="AZ225" i="5"/>
  <c r="Z307" i="8"/>
  <c r="AW305" i="5"/>
  <c r="BI91" i="2"/>
  <c r="BI90" i="2"/>
  <c r="J196" i="4"/>
  <c r="J94" i="4"/>
  <c r="J266" i="4"/>
  <c r="J64" i="4"/>
  <c r="J238" i="4"/>
  <c r="J251" i="4"/>
  <c r="J121" i="4"/>
  <c r="J202" i="4"/>
  <c r="J247" i="4"/>
  <c r="J186" i="4"/>
  <c r="R269" i="4"/>
  <c r="R142" i="4"/>
  <c r="R267" i="4"/>
  <c r="R97" i="4"/>
  <c r="R369" i="4"/>
  <c r="R370" i="4"/>
  <c r="R356" i="4"/>
  <c r="R358" i="4"/>
  <c r="R367" i="4"/>
  <c r="R365" i="4"/>
  <c r="R366" i="4"/>
  <c r="R368" i="4"/>
  <c r="R360" i="4"/>
  <c r="Y265" i="4"/>
  <c r="AJ6" i="5" s="1"/>
  <c r="Y221" i="4"/>
  <c r="AJ80" i="5" s="1"/>
  <c r="Y296" i="4"/>
  <c r="AJ156" i="5" s="1"/>
  <c r="Y11" i="4"/>
  <c r="AJ255" i="5" s="1"/>
  <c r="Y112" i="4"/>
  <c r="AJ274" i="5" s="1"/>
  <c r="Y279" i="4"/>
  <c r="AJ286" i="5" s="1"/>
  <c r="Y263" i="4"/>
  <c r="AJ289" i="5" s="1"/>
  <c r="I15" i="4"/>
  <c r="L181" i="5" s="1"/>
  <c r="I297" i="4"/>
  <c r="L272" i="5" s="1"/>
  <c r="I111" i="4"/>
  <c r="N229" i="4"/>
  <c r="T28" i="5" s="1"/>
  <c r="AI4" i="8" s="1"/>
  <c r="N29" i="4"/>
  <c r="T268" i="5" s="1"/>
  <c r="AI276" i="8" s="1"/>
  <c r="D312" i="4"/>
  <c r="E311" i="5" s="1"/>
  <c r="D313" i="4"/>
  <c r="E312" i="5" s="1"/>
  <c r="D310" i="4"/>
  <c r="E309" i="5" s="1"/>
  <c r="D349" i="4"/>
  <c r="E335" i="5" s="1"/>
  <c r="AP90" i="2"/>
  <c r="AP91" i="2"/>
  <c r="E35" i="4"/>
  <c r="F173" i="5" s="1"/>
  <c r="E408" i="4"/>
  <c r="E207" i="4"/>
  <c r="E259" i="4"/>
  <c r="E113" i="4"/>
  <c r="E397" i="4"/>
  <c r="E135" i="4"/>
  <c r="E416" i="4"/>
  <c r="E406" i="4"/>
  <c r="O194" i="4"/>
  <c r="U27" i="5" s="1"/>
  <c r="O122" i="4"/>
  <c r="U141" i="5" s="1"/>
  <c r="H141" i="4"/>
  <c r="K123" i="5" s="1"/>
  <c r="AF9" i="8" s="1"/>
  <c r="AR9" i="8" s="1"/>
  <c r="H9" i="8" s="1"/>
  <c r="H159" i="4"/>
  <c r="K215" i="5" s="1"/>
  <c r="H161" i="4"/>
  <c r="K217" i="5" s="1"/>
  <c r="AF230" i="8" s="1"/>
  <c r="AR230" i="8" s="1"/>
  <c r="H230" i="8" s="1"/>
  <c r="H95" i="4"/>
  <c r="K273" i="5" s="1"/>
  <c r="AF281" i="8" s="1"/>
  <c r="AR281" i="8" s="1"/>
  <c r="H281" i="8" s="1"/>
  <c r="E4" i="4"/>
  <c r="F174" i="5" s="1"/>
  <c r="E179" i="4"/>
  <c r="E102" i="4"/>
  <c r="E61" i="4"/>
  <c r="AQ84" i="2"/>
  <c r="AQ85" i="2"/>
  <c r="Y353" i="4"/>
  <c r="AJ360" i="5" s="1"/>
  <c r="Y364" i="4"/>
  <c r="AJ359" i="5" s="1"/>
  <c r="Y373" i="4"/>
  <c r="AJ357" i="5" s="1"/>
  <c r="Y372" i="4"/>
  <c r="AJ356" i="5" s="1"/>
  <c r="Y352" i="4"/>
  <c r="AJ358" i="5" s="1"/>
  <c r="Y363" i="4"/>
  <c r="AJ372" i="5" s="1"/>
  <c r="Y362" i="4"/>
  <c r="AJ373" i="5" s="1"/>
  <c r="Y357" i="4"/>
  <c r="AJ361" i="5" s="1"/>
  <c r="Y361" i="4"/>
  <c r="AJ371" i="5" s="1"/>
  <c r="Y354" i="4"/>
  <c r="BK94" i="2"/>
  <c r="BK93" i="2"/>
  <c r="Y371" i="4"/>
  <c r="AJ355" i="5" s="1"/>
  <c r="D144" i="4"/>
  <c r="E155" i="5" s="1"/>
  <c r="AD179" i="8" s="1"/>
  <c r="D161" i="4"/>
  <c r="E217" i="5" s="1"/>
  <c r="AD230" i="8" s="1"/>
  <c r="D95" i="4"/>
  <c r="E273" i="5" s="1"/>
  <c r="AD281" i="8" s="1"/>
  <c r="J115" i="4"/>
  <c r="J116" i="4"/>
  <c r="J69" i="4"/>
  <c r="J201" i="4"/>
  <c r="J153" i="4"/>
  <c r="D15" i="4"/>
  <c r="E181" i="5" s="1"/>
  <c r="AD202" i="8" s="1"/>
  <c r="D297" i="4"/>
  <c r="E272" i="5" s="1"/>
  <c r="AD280" i="8" s="1"/>
  <c r="AC10" i="2"/>
  <c r="AD88" i="8"/>
  <c r="AP59" i="5"/>
  <c r="E212" i="4"/>
  <c r="E148" i="4"/>
  <c r="E147" i="4"/>
  <c r="E210" i="4"/>
  <c r="X291" i="4"/>
  <c r="AI101" i="5" s="1"/>
  <c r="AN130" i="8" s="1"/>
  <c r="X292" i="4"/>
  <c r="AI143" i="5" s="1"/>
  <c r="AN168" i="8" s="1"/>
  <c r="X252" i="4"/>
  <c r="AI157" i="5" s="1"/>
  <c r="AN181" i="8" s="1"/>
  <c r="AZ181" i="8" s="1"/>
  <c r="P181" i="8" s="1"/>
  <c r="Q294" i="4"/>
  <c r="X144" i="5" s="1"/>
  <c r="Q226" i="4"/>
  <c r="X197" i="5" s="1"/>
  <c r="Q301" i="4"/>
  <c r="X189" i="5" s="1"/>
  <c r="Q264" i="4"/>
  <c r="X198" i="5" s="1"/>
  <c r="Q255" i="4"/>
  <c r="X195" i="5" s="1"/>
  <c r="R408" i="4"/>
  <c r="Z401" i="5" s="1"/>
  <c r="R416" i="4"/>
  <c r="Z400" i="5" s="1"/>
  <c r="R113" i="4"/>
  <c r="R406" i="4"/>
  <c r="Z416" i="5" s="1"/>
  <c r="AW416" i="5" s="1"/>
  <c r="R397" i="4"/>
  <c r="Z399" i="5" s="1"/>
  <c r="R259" i="4"/>
  <c r="R135" i="4"/>
  <c r="R67" i="4"/>
  <c r="R207" i="4"/>
  <c r="Q45" i="4"/>
  <c r="X31" i="5" s="1"/>
  <c r="Q47" i="4"/>
  <c r="X33" i="5" s="1"/>
  <c r="Q5" i="4"/>
  <c r="X61" i="5" s="1"/>
  <c r="Q34" i="4"/>
  <c r="X149" i="5" s="1"/>
  <c r="Q7" i="4"/>
  <c r="X176" i="5" s="1"/>
  <c r="Q9" i="4"/>
  <c r="X188" i="5" s="1"/>
  <c r="Q48" i="4"/>
  <c r="X233" i="5" s="1"/>
  <c r="Q183" i="4"/>
  <c r="X271" i="5" s="1"/>
  <c r="Y98" i="8"/>
  <c r="AV69" i="5"/>
  <c r="L297" i="4"/>
  <c r="Q272" i="5" s="1"/>
  <c r="AH280" i="8" s="1"/>
  <c r="AT280" i="8" s="1"/>
  <c r="J280" i="8" s="1"/>
  <c r="L411" i="4"/>
  <c r="Q411" i="5" s="1"/>
  <c r="W198" i="4"/>
  <c r="AG235" i="5" s="1"/>
  <c r="W227" i="4"/>
  <c r="AG203" i="5" s="1"/>
  <c r="AL21" i="2"/>
  <c r="AT90" i="5"/>
  <c r="AH119" i="8"/>
  <c r="L262" i="4"/>
  <c r="Q4" i="5" s="1"/>
  <c r="AH41" i="8" s="1"/>
  <c r="AT41" i="8" s="1"/>
  <c r="J41" i="8" s="1"/>
  <c r="L130" i="4"/>
  <c r="Q5" i="5" s="1"/>
  <c r="AH2" i="8" s="1"/>
  <c r="AT2" i="8" s="1"/>
  <c r="L22" i="4"/>
  <c r="Q12" i="5" s="1"/>
  <c r="AH3" i="8" s="1"/>
  <c r="AT3" i="8" s="1"/>
  <c r="J3" i="8" s="1"/>
  <c r="L59" i="4"/>
  <c r="Q45" i="5" s="1"/>
  <c r="AH76" i="8" s="1"/>
  <c r="AT76" i="8" s="1"/>
  <c r="J76" i="8" s="1"/>
  <c r="L89" i="4"/>
  <c r="Q48" i="5" s="1"/>
  <c r="AH6" i="8" s="1"/>
  <c r="AT6" i="8" s="1"/>
  <c r="J6" i="8" s="1"/>
  <c r="L299" i="4"/>
  <c r="Q154" i="5" s="1"/>
  <c r="AH178" i="8" s="1"/>
  <c r="AT178" i="8" s="1"/>
  <c r="J178" i="8" s="1"/>
  <c r="L395" i="4"/>
  <c r="Q397" i="5" s="1"/>
  <c r="L404" i="4"/>
  <c r="Q394" i="5" s="1"/>
  <c r="L399" i="4"/>
  <c r="Q406" i="5" s="1"/>
  <c r="L396" i="4"/>
  <c r="Q398" i="5" s="1"/>
  <c r="L394" i="4"/>
  <c r="Q396" i="5" s="1"/>
  <c r="J152" i="4"/>
  <c r="N205" i="5" s="1"/>
  <c r="J151" i="4"/>
  <c r="L212" i="4"/>
  <c r="Q23" i="5" s="1"/>
  <c r="AH56" i="8" s="1"/>
  <c r="L148" i="4"/>
  <c r="Q200" i="5" s="1"/>
  <c r="AH18" i="8" s="1"/>
  <c r="AT18" i="8" s="1"/>
  <c r="J18" i="8" s="1"/>
  <c r="L147" i="4"/>
  <c r="Q293" i="5" s="1"/>
  <c r="AH300" i="8" s="1"/>
  <c r="AT300" i="8" s="1"/>
  <c r="J300" i="8" s="1"/>
  <c r="J47" i="4"/>
  <c r="J49" i="4"/>
  <c r="J48" i="4"/>
  <c r="J46" i="4"/>
  <c r="J183" i="4"/>
  <c r="J45" i="4"/>
  <c r="J142" i="4"/>
  <c r="J269" i="4"/>
  <c r="J97" i="4"/>
  <c r="J267" i="4"/>
  <c r="Z372" i="4"/>
  <c r="AL356" i="5" s="1"/>
  <c r="Z352" i="4"/>
  <c r="AL358" i="5" s="1"/>
  <c r="Z363" i="4"/>
  <c r="AL372" i="5" s="1"/>
  <c r="Z362" i="4"/>
  <c r="AL373" i="5" s="1"/>
  <c r="Z353" i="4"/>
  <c r="Z354" i="4"/>
  <c r="Z364" i="4"/>
  <c r="BL94" i="2"/>
  <c r="BL93" i="2"/>
  <c r="Z355" i="4"/>
  <c r="AL362" i="5" s="1"/>
  <c r="Z361" i="4"/>
  <c r="AL371" i="5" s="1"/>
  <c r="Z357" i="4"/>
  <c r="AL361" i="5" s="1"/>
  <c r="R155" i="4"/>
  <c r="R83" i="4"/>
  <c r="R84" i="4"/>
  <c r="R82" i="4"/>
  <c r="R288" i="4"/>
  <c r="R157" i="4"/>
  <c r="R193" i="4"/>
  <c r="R158" i="4"/>
  <c r="R223" i="4"/>
  <c r="R156" i="4"/>
  <c r="I188" i="4"/>
  <c r="I192" i="4"/>
  <c r="I128" i="4"/>
  <c r="I146" i="4"/>
  <c r="I149" i="4"/>
  <c r="I117" i="4"/>
  <c r="Y45" i="4"/>
  <c r="AJ31" i="5" s="1"/>
  <c r="Y47" i="4"/>
  <c r="AJ33" i="5" s="1"/>
  <c r="Y5" i="4"/>
  <c r="AJ61" i="5" s="1"/>
  <c r="Y34" i="4"/>
  <c r="AJ149" i="5" s="1"/>
  <c r="Y9" i="4"/>
  <c r="AJ188" i="5" s="1"/>
  <c r="Y7" i="4"/>
  <c r="AJ176" i="5" s="1"/>
  <c r="Y48" i="4"/>
  <c r="AJ233" i="5" s="1"/>
  <c r="Y183" i="4"/>
  <c r="AJ271" i="5" s="1"/>
  <c r="AZ69" i="5"/>
  <c r="AC98" i="8"/>
  <c r="AC84" i="8"/>
  <c r="AZ55" i="5"/>
  <c r="AC272" i="8"/>
  <c r="AZ263" i="5"/>
  <c r="AR138" i="5"/>
  <c r="AF163" i="8"/>
  <c r="AR163" i="8" s="1"/>
  <c r="H163" i="8" s="1"/>
  <c r="H248" i="4"/>
  <c r="K76" i="5" s="1"/>
  <c r="H268" i="4"/>
  <c r="K100" i="5" s="1"/>
  <c r="H291" i="4"/>
  <c r="K101" i="5" s="1"/>
  <c r="AF130" i="8" s="1"/>
  <c r="AR130" i="8" s="1"/>
  <c r="H130" i="8" s="1"/>
  <c r="H292" i="4"/>
  <c r="K143" i="5" s="1"/>
  <c r="H252" i="4"/>
  <c r="K157" i="5" s="1"/>
  <c r="H243" i="4"/>
  <c r="K193" i="5" s="1"/>
  <c r="AR75" i="5"/>
  <c r="AF104" i="8"/>
  <c r="AR104" i="8" s="1"/>
  <c r="H104" i="8" s="1"/>
  <c r="AF85" i="8"/>
  <c r="AR85" i="8" s="1"/>
  <c r="H85" i="8" s="1"/>
  <c r="AR56" i="5"/>
  <c r="AG13" i="2"/>
  <c r="AF13" i="2"/>
  <c r="AI13" i="2"/>
  <c r="H168" i="4"/>
  <c r="K248" i="5" s="1"/>
  <c r="H58" i="4"/>
  <c r="K41" i="5" s="1"/>
  <c r="H36" i="4"/>
  <c r="K42" i="5" s="1"/>
  <c r="H50" i="4"/>
  <c r="K38" i="5" s="1"/>
  <c r="H52" i="4"/>
  <c r="K40" i="5" s="1"/>
  <c r="H26" i="4"/>
  <c r="K49" i="5" s="1"/>
  <c r="H54" i="4"/>
  <c r="K47" i="5" s="1"/>
  <c r="H78" i="4"/>
  <c r="K121" i="5" s="1"/>
  <c r="H166" i="4"/>
  <c r="K246" i="5" s="1"/>
  <c r="H124" i="4"/>
  <c r="K276" i="5" s="1"/>
  <c r="S266" i="4"/>
  <c r="AA7" i="5" s="1"/>
  <c r="S64" i="4"/>
  <c r="AA3" i="5" s="1"/>
  <c r="S196" i="4"/>
  <c r="AA8" i="5" s="1"/>
  <c r="S202" i="4"/>
  <c r="AA36" i="5" s="1"/>
  <c r="S121" i="4"/>
  <c r="AA113" i="5" s="1"/>
  <c r="S238" i="4"/>
  <c r="AA105" i="5" s="1"/>
  <c r="S247" i="4"/>
  <c r="AA231" i="5" s="1"/>
  <c r="S251" i="4"/>
  <c r="AA280" i="5" s="1"/>
  <c r="Z221" i="8"/>
  <c r="AW206" i="5"/>
  <c r="Z193" i="8"/>
  <c r="AW170" i="5"/>
  <c r="AW90" i="5"/>
  <c r="Z119" i="8"/>
  <c r="S289" i="4"/>
  <c r="AA52" i="5" s="1"/>
  <c r="S273" i="4"/>
  <c r="AA51" i="5" s="1"/>
  <c r="S62" i="4"/>
  <c r="AA109" i="5" s="1"/>
  <c r="S130" i="4"/>
  <c r="AA5" i="5" s="1"/>
  <c r="S22" i="4"/>
  <c r="AA12" i="5" s="1"/>
  <c r="S169" i="4"/>
  <c r="AA54" i="5" s="1"/>
  <c r="S90" i="4"/>
  <c r="AA82" i="5" s="1"/>
  <c r="N275" i="4"/>
  <c r="T300" i="5" s="1"/>
  <c r="N273" i="4"/>
  <c r="T51" i="5" s="1"/>
  <c r="AI80" i="8" s="1"/>
  <c r="O265" i="4"/>
  <c r="U6" i="5" s="1"/>
  <c r="O221" i="4"/>
  <c r="U80" i="5" s="1"/>
  <c r="O296" i="4"/>
  <c r="U156" i="5" s="1"/>
  <c r="O263" i="4"/>
  <c r="U289" i="5" s="1"/>
  <c r="O287" i="4"/>
  <c r="U287" i="5" s="1"/>
  <c r="O11" i="4"/>
  <c r="U255" i="5" s="1"/>
  <c r="O112" i="4"/>
  <c r="U274" i="5" s="1"/>
  <c r="O279" i="4"/>
  <c r="U286" i="5" s="1"/>
  <c r="AI55" i="2"/>
  <c r="AG55" i="2"/>
  <c r="AR20" i="5"/>
  <c r="AO238" i="8"/>
  <c r="BA225" i="5"/>
  <c r="I23" i="4"/>
  <c r="L13" i="5" s="1"/>
  <c r="I53" i="4"/>
  <c r="I298" i="4"/>
  <c r="L241" i="4"/>
  <c r="Q128" i="5" s="1"/>
  <c r="AH153" i="8" s="1"/>
  <c r="AT153" i="8" s="1"/>
  <c r="J153" i="8" s="1"/>
  <c r="L284" i="4"/>
  <c r="Q106" i="5" s="1"/>
  <c r="AH135" i="8" s="1"/>
  <c r="AT135" i="8" s="1"/>
  <c r="J135" i="8" s="1"/>
  <c r="L293" i="4"/>
  <c r="Q89" i="5" s="1"/>
  <c r="AH118" i="8" s="1"/>
  <c r="AT118" i="8" s="1"/>
  <c r="J118" i="8" s="1"/>
  <c r="L77" i="4"/>
  <c r="Q119" i="5" s="1"/>
  <c r="AH147" i="8" s="1"/>
  <c r="AT147" i="8" s="1"/>
  <c r="J147" i="8" s="1"/>
  <c r="L286" i="4"/>
  <c r="Q108" i="5" s="1"/>
  <c r="AH137" i="8" s="1"/>
  <c r="AT137" i="8" s="1"/>
  <c r="J137" i="8" s="1"/>
  <c r="L13" i="4"/>
  <c r="Q142" i="5" s="1"/>
  <c r="AH167" i="8" s="1"/>
  <c r="AT167" i="8" s="1"/>
  <c r="J167" i="8" s="1"/>
  <c r="L290" i="4"/>
  <c r="Q140" i="5" s="1"/>
  <c r="AH165" i="8" s="1"/>
  <c r="AT165" i="8" s="1"/>
  <c r="J165" i="8" s="1"/>
  <c r="L63" i="4"/>
  <c r="Q270" i="5" s="1"/>
  <c r="AH278" i="8" s="1"/>
  <c r="AT278" i="8" s="1"/>
  <c r="J278" i="8" s="1"/>
  <c r="L27" i="4"/>
  <c r="Q264" i="5" s="1"/>
  <c r="AH273" i="8" s="1"/>
  <c r="AT273" i="8" s="1"/>
  <c r="J273" i="8" s="1"/>
  <c r="D317" i="4"/>
  <c r="E305" i="5" s="1"/>
  <c r="D319" i="4"/>
  <c r="E329" i="5" s="1"/>
  <c r="D320" i="4"/>
  <c r="E320" i="5" s="1"/>
  <c r="D329" i="4"/>
  <c r="E345" i="5" s="1"/>
  <c r="D336" i="4"/>
  <c r="E346" i="5" s="1"/>
  <c r="D321" i="4"/>
  <c r="E324" i="5" s="1"/>
  <c r="D341" i="4"/>
  <c r="E333" i="5" s="1"/>
  <c r="D348" i="4"/>
  <c r="E351" i="5" s="1"/>
  <c r="D325" i="4"/>
  <c r="E328" i="5" s="1"/>
  <c r="D335" i="4"/>
  <c r="E323" i="5" s="1"/>
  <c r="D322" i="4"/>
  <c r="E325" i="5" s="1"/>
  <c r="R280" i="4"/>
  <c r="R270" i="4"/>
  <c r="R257" i="4"/>
  <c r="R274" i="4"/>
  <c r="R258" i="4"/>
  <c r="R96" i="4"/>
  <c r="C19" i="4"/>
  <c r="C186" i="5" s="1"/>
  <c r="R206" i="8" s="1"/>
  <c r="C282" i="4"/>
  <c r="C222" i="5" s="1"/>
  <c r="C74" i="4"/>
  <c r="C208" i="5" s="1"/>
  <c r="AZ385" i="5"/>
  <c r="S354" i="4"/>
  <c r="AA370" i="5" s="1"/>
  <c r="S361" i="4"/>
  <c r="AA371" i="5" s="1"/>
  <c r="S359" i="4"/>
  <c r="AA363" i="5" s="1"/>
  <c r="S353" i="4"/>
  <c r="S352" i="4"/>
  <c r="AA358" i="5" s="1"/>
  <c r="S364" i="4"/>
  <c r="AA359" i="5" s="1"/>
  <c r="S362" i="4"/>
  <c r="AA373" i="5" s="1"/>
  <c r="S363" i="4"/>
  <c r="AA372" i="5" s="1"/>
  <c r="BE94" i="2"/>
  <c r="BE93" i="2"/>
  <c r="S371" i="4"/>
  <c r="AA355" i="5" s="1"/>
  <c r="S373" i="4"/>
  <c r="S355" i="4"/>
  <c r="AA362" i="5" s="1"/>
  <c r="D282" i="4"/>
  <c r="E222" i="5" s="1"/>
  <c r="AD235" i="8" s="1"/>
  <c r="D74" i="4"/>
  <c r="E208" i="5" s="1"/>
  <c r="D19" i="4"/>
  <c r="E186" i="5" s="1"/>
  <c r="AD206" i="8" s="1"/>
  <c r="BA206" i="5"/>
  <c r="AO221" i="8"/>
  <c r="O305" i="4"/>
  <c r="U314" i="5" s="1"/>
  <c r="O306" i="4"/>
  <c r="U315" i="5" s="1"/>
  <c r="O343" i="4"/>
  <c r="U330" i="5" s="1"/>
  <c r="O350" i="4"/>
  <c r="U339" i="5" s="1"/>
  <c r="O345" i="4"/>
  <c r="U337" i="5" s="1"/>
  <c r="O351" i="4"/>
  <c r="U341" i="5" s="1"/>
  <c r="O323" i="4"/>
  <c r="U326" i="5" s="1"/>
  <c r="AC116" i="8"/>
  <c r="L223" i="4"/>
  <c r="Q15" i="5" s="1"/>
  <c r="AH50" i="8" s="1"/>
  <c r="AT50" i="8" s="1"/>
  <c r="J50" i="8" s="1"/>
  <c r="L82" i="4"/>
  <c r="Q158" i="5" s="1"/>
  <c r="AH182" i="8" s="1"/>
  <c r="AT182" i="8" s="1"/>
  <c r="J182" i="8" s="1"/>
  <c r="L84" i="4"/>
  <c r="Q160" i="5" s="1"/>
  <c r="AH183" i="8" s="1"/>
  <c r="AT183" i="8" s="1"/>
  <c r="J183" i="8" s="1"/>
  <c r="L193" i="4"/>
  <c r="Q210" i="5" s="1"/>
  <c r="AH225" i="8" s="1"/>
  <c r="AT225" i="8" s="1"/>
  <c r="J225" i="8" s="1"/>
  <c r="L155" i="4"/>
  <c r="Q209" i="5" s="1"/>
  <c r="AH224" i="8" s="1"/>
  <c r="AT224" i="8" s="1"/>
  <c r="J224" i="8" s="1"/>
  <c r="L156" i="4"/>
  <c r="Q211" i="5" s="1"/>
  <c r="AH226" i="8" s="1"/>
  <c r="AT226" i="8" s="1"/>
  <c r="J226" i="8" s="1"/>
  <c r="L157" i="4"/>
  <c r="Q212" i="5" s="1"/>
  <c r="AH227" i="8" s="1"/>
  <c r="AT227" i="8" s="1"/>
  <c r="J227" i="8" s="1"/>
  <c r="AU20" i="5"/>
  <c r="Y191" i="4"/>
  <c r="AJ282" i="5" s="1"/>
  <c r="Y190" i="4"/>
  <c r="AJ281" i="5" s="1"/>
  <c r="Y129" i="4"/>
  <c r="AJ283" i="5" s="1"/>
  <c r="Y99" i="4"/>
  <c r="AJ166" i="5" s="1"/>
  <c r="Y71" i="4"/>
  <c r="AJ190" i="5" s="1"/>
  <c r="Y73" i="4"/>
  <c r="AJ192" i="5" s="1"/>
  <c r="Y222" i="4"/>
  <c r="AJ269" i="5" s="1"/>
  <c r="BA306" i="5"/>
  <c r="AO308" i="8"/>
  <c r="P266" i="4"/>
  <c r="W7" i="5" s="1"/>
  <c r="AJ43" i="8" s="1"/>
  <c r="P64" i="4"/>
  <c r="W3" i="5" s="1"/>
  <c r="AJ40" i="8" s="1"/>
  <c r="AV40" i="8" s="1"/>
  <c r="P196" i="4"/>
  <c r="W8" i="5" s="1"/>
  <c r="AJ44" i="8" s="1"/>
  <c r="P202" i="4"/>
  <c r="W36" i="5" s="1"/>
  <c r="AJ67" i="8" s="1"/>
  <c r="P238" i="4"/>
  <c r="W105" i="5" s="1"/>
  <c r="AJ134" i="8" s="1"/>
  <c r="P121" i="4"/>
  <c r="W113" i="5" s="1"/>
  <c r="AJ8" i="8" s="1"/>
  <c r="AY386" i="5"/>
  <c r="AN386" i="5"/>
  <c r="Z190" i="4"/>
  <c r="AL281" i="5" s="1"/>
  <c r="Z129" i="4"/>
  <c r="AL283" i="5" s="1"/>
  <c r="Z191" i="4"/>
  <c r="AL282" i="5" s="1"/>
  <c r="Z71" i="4"/>
  <c r="AL190" i="5" s="1"/>
  <c r="Z73" i="4"/>
  <c r="AL192" i="5" s="1"/>
  <c r="Z222" i="4"/>
  <c r="AL269" i="5" s="1"/>
  <c r="O180" i="4"/>
  <c r="U87" i="5" s="1"/>
  <c r="O224" i="4"/>
  <c r="U169" i="5" s="1"/>
  <c r="AG78" i="2"/>
  <c r="AI78" i="2"/>
  <c r="AR60" i="5"/>
  <c r="AF89" i="8"/>
  <c r="AR89" i="8" s="1"/>
  <c r="H89" i="8" s="1"/>
  <c r="U58" i="4" a="1"/>
  <c r="U58" i="4" s="1"/>
  <c r="AD41" i="5" s="1"/>
  <c r="U88" i="4" a="1"/>
  <c r="U88" i="4" s="1"/>
  <c r="AD44" i="5" s="1"/>
  <c r="AN44" i="5" s="1"/>
  <c r="O31" i="4"/>
  <c r="U127" i="5" s="1"/>
  <c r="O110" i="4"/>
  <c r="U88" i="5" s="1"/>
  <c r="P110" i="4"/>
  <c r="W88" i="5" s="1"/>
  <c r="AJ117" i="8" s="1"/>
  <c r="P31" i="4"/>
  <c r="W127" i="5" s="1"/>
  <c r="AJ152" i="8" s="1"/>
  <c r="P253" i="4"/>
  <c r="W168" i="5" s="1"/>
  <c r="AJ191" i="8" s="1"/>
  <c r="AV191" i="8" s="1"/>
  <c r="L191" i="8" s="1"/>
  <c r="Y309" i="4"/>
  <c r="AJ308" i="5" s="1"/>
  <c r="Y314" i="4"/>
  <c r="AJ313" i="5" s="1"/>
  <c r="Y307" i="4"/>
  <c r="AJ317" i="5" s="1"/>
  <c r="Y316" i="4"/>
  <c r="AJ318" i="5" s="1"/>
  <c r="Y315" i="4"/>
  <c r="AJ316" i="5" s="1"/>
  <c r="Y339" i="4"/>
  <c r="AJ319" i="5" s="1"/>
  <c r="Y347" i="4"/>
  <c r="AJ336" i="5" s="1"/>
  <c r="D133" i="4"/>
  <c r="E226" i="5" s="1"/>
  <c r="AD239" i="8" s="1"/>
  <c r="D164" i="4"/>
  <c r="E240" i="5" s="1"/>
  <c r="U196" i="4" a="1"/>
  <c r="U196" i="4" s="1"/>
  <c r="AD8" i="5" s="1"/>
  <c r="U42" i="4" a="1"/>
  <c r="U42" i="4" s="1"/>
  <c r="AD16" i="5" s="1"/>
  <c r="U43" i="4" a="1"/>
  <c r="U43" i="4" s="1"/>
  <c r="AD17" i="5" s="1"/>
  <c r="U210" i="4" a="1"/>
  <c r="U210" i="4" s="1"/>
  <c r="AD21" i="5" s="1"/>
  <c r="U272" i="4" a="1"/>
  <c r="U272" i="4" s="1"/>
  <c r="AD50" i="5" s="1"/>
  <c r="U248" i="4" a="1"/>
  <c r="U248" i="4" s="1"/>
  <c r="AD76" i="5" s="1"/>
  <c r="U32" i="4" a="1"/>
  <c r="U32" i="4" s="1"/>
  <c r="AD129" i="5" s="1"/>
  <c r="U33" i="4" a="1"/>
  <c r="U33" i="4" s="1"/>
  <c r="AD137" i="5" s="1"/>
  <c r="U252" i="4" a="1"/>
  <c r="U252" i="4" s="1"/>
  <c r="AD157" i="5" s="1"/>
  <c r="U243" i="4" a="1"/>
  <c r="U243" i="4" s="1"/>
  <c r="AD193" i="5" s="1"/>
  <c r="U255" i="4" a="1"/>
  <c r="U255" i="4" s="1"/>
  <c r="AD195" i="5" s="1"/>
  <c r="U271" i="4" a="1"/>
  <c r="U271" i="4" s="1"/>
  <c r="AD225" i="5" s="1"/>
  <c r="U199" i="4" a="1"/>
  <c r="U199" i="4" s="1"/>
  <c r="AD243" i="5" s="1"/>
  <c r="U281" i="4" a="1"/>
  <c r="U281" i="4" s="1"/>
  <c r="AD292" i="5" s="1"/>
  <c r="U251" i="4" a="1"/>
  <c r="U251" i="4" s="1"/>
  <c r="AD280" i="5" s="1"/>
  <c r="U191" i="4" a="1"/>
  <c r="U191" i="4" s="1"/>
  <c r="AD282" i="5" s="1"/>
  <c r="U258" i="4" a="1"/>
  <c r="U258" i="4" s="1"/>
  <c r="AD296" i="5" s="1"/>
  <c r="M71" i="4"/>
  <c r="R190" i="5" s="1"/>
  <c r="W202" i="4"/>
  <c r="AG36" i="5" s="1"/>
  <c r="AF78" i="2"/>
  <c r="T140" i="4" a="1"/>
  <c r="T140" i="4" s="1"/>
  <c r="AC14" i="5" s="1"/>
  <c r="AL49" i="8" s="1"/>
  <c r="T64" i="4" a="1"/>
  <c r="T64" i="4" s="1"/>
  <c r="AC3" i="5" s="1"/>
  <c r="AL40" i="8" s="1"/>
  <c r="U22" i="4" a="1"/>
  <c r="U22" i="4" s="1"/>
  <c r="AD12" i="5" s="1"/>
  <c r="S260" i="4"/>
  <c r="AA46" i="5" s="1"/>
  <c r="R49" i="4"/>
  <c r="Z34" i="5" s="1"/>
  <c r="AK65" i="8" s="1"/>
  <c r="X181" i="4"/>
  <c r="AI10" i="5" s="1"/>
  <c r="AN46" i="8" s="1"/>
  <c r="AZ46" i="8" s="1"/>
  <c r="P46" i="8" s="1"/>
  <c r="T28" i="4" a="1"/>
  <c r="T28" i="4" s="1"/>
  <c r="AC97" i="5" s="1"/>
  <c r="AL126" i="8" s="1"/>
  <c r="AX126" i="8" s="1"/>
  <c r="N126" i="8" s="1"/>
  <c r="O233" i="4"/>
  <c r="U29" i="5" s="1"/>
  <c r="D51" i="4"/>
  <c r="E39" i="5" s="1"/>
  <c r="U52" i="4" a="1"/>
  <c r="U52" i="4" s="1"/>
  <c r="AD40" i="5" s="1"/>
  <c r="Z206" i="4"/>
  <c r="AL71" i="5" s="1"/>
  <c r="U103" i="4" a="1"/>
  <c r="U103" i="4" s="1"/>
  <c r="AD55" i="5" s="1"/>
  <c r="U208" i="4" a="1"/>
  <c r="U208" i="4" s="1"/>
  <c r="AD75" i="5" s="1"/>
  <c r="T89" i="4" a="1"/>
  <c r="T89" i="4" s="1"/>
  <c r="AC48" i="5" s="1"/>
  <c r="AL6" i="8" s="1"/>
  <c r="AX6" i="8" s="1"/>
  <c r="N6" i="8" s="1"/>
  <c r="L236" i="4"/>
  <c r="Q95" i="5" s="1"/>
  <c r="AH124" i="8" s="1"/>
  <c r="AT124" i="8" s="1"/>
  <c r="J124" i="8" s="1"/>
  <c r="U110" i="4" a="1"/>
  <c r="U110" i="4" s="1"/>
  <c r="AD88" i="5" s="1"/>
  <c r="Z141" i="4"/>
  <c r="AL123" i="5" s="1"/>
  <c r="Q240" i="4"/>
  <c r="X117" i="5" s="1"/>
  <c r="T248" i="4" a="1"/>
  <c r="T248" i="4" s="1"/>
  <c r="AC76" i="5" s="1"/>
  <c r="AL105" i="8" s="1"/>
  <c r="T172" i="4" a="1"/>
  <c r="T172" i="4" s="1"/>
  <c r="AC70" i="5" s="1"/>
  <c r="AL99" i="8" s="1"/>
  <c r="M79" i="4"/>
  <c r="R131" i="5" s="1"/>
  <c r="X249" i="4"/>
  <c r="AI99" i="5" s="1"/>
  <c r="AN128" i="8" s="1"/>
  <c r="AZ128" i="8" s="1"/>
  <c r="P128" i="8" s="1"/>
  <c r="U239" i="4" a="1"/>
  <c r="U239" i="4" s="1"/>
  <c r="AD114" i="5" s="1"/>
  <c r="U139" i="4" a="1"/>
  <c r="U139" i="4" s="1"/>
  <c r="AD110" i="5" s="1"/>
  <c r="T96" i="4" a="1"/>
  <c r="T96" i="4" s="1"/>
  <c r="AC122" i="5" s="1"/>
  <c r="AL150" i="8" s="1"/>
  <c r="AX150" i="8" s="1"/>
  <c r="N150" i="8" s="1"/>
  <c r="Z188" i="4"/>
  <c r="AL152" i="5" s="1"/>
  <c r="P186" i="4"/>
  <c r="W150" i="5" s="1"/>
  <c r="AJ174" i="8" s="1"/>
  <c r="D114" i="4"/>
  <c r="E138" i="5" s="1"/>
  <c r="D96" i="4"/>
  <c r="E122" i="5" s="1"/>
  <c r="C240" i="4"/>
  <c r="C117" i="5" s="1"/>
  <c r="O68" i="4"/>
  <c r="U165" i="5" s="1"/>
  <c r="T290" i="4" a="1"/>
  <c r="T290" i="4" s="1"/>
  <c r="AC140" i="5" s="1"/>
  <c r="AL165" i="8" s="1"/>
  <c r="P16" i="4"/>
  <c r="W183" i="5" s="1"/>
  <c r="AJ16" i="8" s="1"/>
  <c r="AV16" i="8" s="1"/>
  <c r="L16" i="8" s="1"/>
  <c r="AP189" i="8"/>
  <c r="S15" i="4"/>
  <c r="AA181" i="5" s="1"/>
  <c r="T186" i="4" a="1"/>
  <c r="T186" i="4" s="1"/>
  <c r="AC150" i="5" s="1"/>
  <c r="AL174" i="8" s="1"/>
  <c r="AX174" i="8" s="1"/>
  <c r="N174" i="8" s="1"/>
  <c r="S67" i="4"/>
  <c r="AA164" i="5" s="1"/>
  <c r="P189" i="4"/>
  <c r="W167" i="5" s="1"/>
  <c r="AJ190" i="8" s="1"/>
  <c r="AV190" i="8" s="1"/>
  <c r="L190" i="8" s="1"/>
  <c r="X243" i="4"/>
  <c r="AI193" i="5" s="1"/>
  <c r="AN212" i="8" s="1"/>
  <c r="AZ212" i="8" s="1"/>
  <c r="P212" i="8" s="1"/>
  <c r="U83" i="4" a="1"/>
  <c r="U83" i="4" s="1"/>
  <c r="AD159" i="5" s="1"/>
  <c r="O159" i="4"/>
  <c r="U215" i="5" s="1"/>
  <c r="O85" i="4"/>
  <c r="U224" i="5" s="1"/>
  <c r="C115" i="4"/>
  <c r="C161" i="5" s="1"/>
  <c r="T8" i="4" a="1"/>
  <c r="T8" i="4" s="1"/>
  <c r="AC177" i="5" s="1"/>
  <c r="U264" i="4" a="1"/>
  <c r="U264" i="4" s="1"/>
  <c r="AD198" i="5" s="1"/>
  <c r="T157" i="4" a="1"/>
  <c r="T157" i="4" s="1"/>
  <c r="AC212" i="5" s="1"/>
  <c r="AL227" i="8" s="1"/>
  <c r="U69" i="4" a="1"/>
  <c r="U69" i="4" s="1"/>
  <c r="AD170" i="5" s="1"/>
  <c r="Z167" i="4"/>
  <c r="AL247" i="5" s="1"/>
  <c r="M201" i="4"/>
  <c r="R249" i="5" s="1"/>
  <c r="Z204" i="4"/>
  <c r="AL251" i="5" s="1"/>
  <c r="U270" i="4" a="1"/>
  <c r="U270" i="4" s="1"/>
  <c r="AD291" i="5" s="1"/>
  <c r="H258" i="4"/>
  <c r="K296" i="5" s="1"/>
  <c r="Q132" i="4"/>
  <c r="X294" i="5" s="1"/>
  <c r="T219" i="4" a="1"/>
  <c r="T219" i="4" s="1"/>
  <c r="AC265" i="5" s="1"/>
  <c r="AL27" i="8" s="1"/>
  <c r="L235" i="4"/>
  <c r="Q253" i="5" s="1"/>
  <c r="AH263" i="8" s="1"/>
  <c r="AT263" i="8" s="1"/>
  <c r="J263" i="8" s="1"/>
  <c r="U147" i="4" a="1"/>
  <c r="U147" i="4" s="1"/>
  <c r="AD293" i="5" s="1"/>
  <c r="C112" i="4"/>
  <c r="C274" i="5" s="1"/>
  <c r="T48" i="4" a="1"/>
  <c r="T48" i="4" s="1"/>
  <c r="AC233" i="5" s="1"/>
  <c r="AL245" i="8" s="1"/>
  <c r="I66" i="4"/>
  <c r="L277" i="5" s="1"/>
  <c r="T297" i="4" a="1"/>
  <c r="T297" i="4" s="1"/>
  <c r="AC272" i="5" s="1"/>
  <c r="AL280" i="8" s="1"/>
  <c r="T263" i="4" a="1"/>
  <c r="T263" i="4" s="1"/>
  <c r="AC289" i="5" s="1"/>
  <c r="AL296" i="8" s="1"/>
  <c r="X346" i="4"/>
  <c r="AI340" i="5" s="1"/>
  <c r="AN340" i="8" s="1"/>
  <c r="AZ340" i="8" s="1"/>
  <c r="P340" i="8" s="1"/>
  <c r="M330" i="4"/>
  <c r="R347" i="5" s="1"/>
  <c r="S357" i="4"/>
  <c r="AA361" i="5" s="1"/>
  <c r="Z373" i="4"/>
  <c r="AL357" i="5" s="1"/>
  <c r="Q371" i="4"/>
  <c r="X355" i="5" s="1"/>
  <c r="P368" i="4"/>
  <c r="W369" i="5" s="1"/>
  <c r="AJ367" i="8" s="1"/>
  <c r="V356" i="4"/>
  <c r="AF366" i="5" s="1"/>
  <c r="AM364" i="8" s="1"/>
  <c r="AY364" i="8" s="1"/>
  <c r="P359" i="4"/>
  <c r="W363" i="5" s="1"/>
  <c r="AJ361" i="8" s="1"/>
  <c r="T382" i="4"/>
  <c r="AC382" i="5" s="1"/>
  <c r="AL378" i="8" s="1"/>
  <c r="AK82" i="2"/>
  <c r="AS147" i="5"/>
  <c r="AG172" i="8"/>
  <c r="X222" i="8"/>
  <c r="AU207" i="5"/>
  <c r="Q84" i="4"/>
  <c r="X160" i="5" s="1"/>
  <c r="Q155" i="4"/>
  <c r="X209" i="5" s="1"/>
  <c r="Q156" i="4"/>
  <c r="X211" i="5" s="1"/>
  <c r="Q82" i="4"/>
  <c r="X158" i="5" s="1"/>
  <c r="Q193" i="4"/>
  <c r="X210" i="5" s="1"/>
  <c r="Q157" i="4"/>
  <c r="X212" i="5" s="1"/>
  <c r="Q158" i="4"/>
  <c r="X258" i="5" s="1"/>
  <c r="Q288" i="4"/>
  <c r="X214" i="5" s="1"/>
  <c r="O381" i="4"/>
  <c r="U381" i="5" s="1"/>
  <c r="O380" i="4"/>
  <c r="U380" i="5" s="1"/>
  <c r="O378" i="4"/>
  <c r="U378" i="5" s="1"/>
  <c r="O377" i="4"/>
  <c r="U377" i="5" s="1"/>
  <c r="O375" i="4"/>
  <c r="U375" i="5" s="1"/>
  <c r="O374" i="4"/>
  <c r="U374" i="5" s="1"/>
  <c r="O379" i="4"/>
  <c r="U379" i="5" s="1"/>
  <c r="O376" i="4"/>
  <c r="U376" i="5" s="1"/>
  <c r="O382" i="4"/>
  <c r="U382" i="5" s="1"/>
  <c r="AS299" i="5"/>
  <c r="AK59" i="2"/>
  <c r="AX305" i="5"/>
  <c r="AA307" i="8"/>
  <c r="AD81" i="2"/>
  <c r="AQ107" i="5"/>
  <c r="AE136" i="8"/>
  <c r="R303" i="4"/>
  <c r="R331" i="4"/>
  <c r="O274" i="4"/>
  <c r="U288" i="5" s="1"/>
  <c r="O270" i="4"/>
  <c r="U291" i="5" s="1"/>
  <c r="O281" i="4"/>
  <c r="U292" i="5" s="1"/>
  <c r="O257" i="4"/>
  <c r="U295" i="5" s="1"/>
  <c r="O280" i="4"/>
  <c r="U290" i="5" s="1"/>
  <c r="O258" i="4"/>
  <c r="U296" i="5" s="1"/>
  <c r="N228" i="4"/>
  <c r="T218" i="5" s="1"/>
  <c r="AI231" i="8" s="1"/>
  <c r="AZ88" i="2"/>
  <c r="AZ87" i="2"/>
  <c r="F257" i="4"/>
  <c r="F270" i="4"/>
  <c r="F274" i="4"/>
  <c r="F281" i="4"/>
  <c r="F258" i="4"/>
  <c r="F280" i="4"/>
  <c r="F96" i="4"/>
  <c r="J19" i="4"/>
  <c r="N186" i="5" s="1"/>
  <c r="J70" i="4"/>
  <c r="J74" i="4"/>
  <c r="J282" i="4"/>
  <c r="C380" i="4"/>
  <c r="C380" i="5" s="1"/>
  <c r="R376" i="8" s="1"/>
  <c r="C378" i="4"/>
  <c r="C378" i="5" s="1"/>
  <c r="R374" i="8" s="1"/>
  <c r="C376" i="4"/>
  <c r="C376" i="5" s="1"/>
  <c r="R372" i="8" s="1"/>
  <c r="C377" i="4"/>
  <c r="C377" i="5" s="1"/>
  <c r="R373" i="8" s="1"/>
  <c r="C382" i="4"/>
  <c r="C382" i="5" s="1"/>
  <c r="R378" i="8" s="1"/>
  <c r="C383" i="4"/>
  <c r="C383" i="5" s="1"/>
  <c r="R379" i="8" s="1"/>
  <c r="D127" i="4"/>
  <c r="E171" i="5" s="1"/>
  <c r="D137" i="4"/>
  <c r="E260" i="5" s="1"/>
  <c r="D240" i="4"/>
  <c r="E117" i="5" s="1"/>
  <c r="D184" i="4"/>
  <c r="E132" i="5" s="1"/>
  <c r="AD157" i="8" s="1"/>
  <c r="D209" i="4"/>
  <c r="E259" i="5" s="1"/>
  <c r="D219" i="4"/>
  <c r="E265" i="5" s="1"/>
  <c r="E275" i="4"/>
  <c r="E289" i="4"/>
  <c r="E62" i="4"/>
  <c r="E75" i="4"/>
  <c r="E273" i="4"/>
  <c r="S383" i="4"/>
  <c r="AA383" i="5" s="1"/>
  <c r="S378" i="4"/>
  <c r="AA378" i="5" s="1"/>
  <c r="S380" i="4"/>
  <c r="AA380" i="5" s="1"/>
  <c r="S375" i="4"/>
  <c r="AA375" i="5" s="1"/>
  <c r="S382" i="4"/>
  <c r="AA382" i="5" s="1"/>
  <c r="S381" i="4"/>
  <c r="AA381" i="5" s="1"/>
  <c r="S376" i="4"/>
  <c r="AA376" i="5" s="1"/>
  <c r="S379" i="4"/>
  <c r="AA379" i="5" s="1"/>
  <c r="S374" i="4"/>
  <c r="AA374" i="5" s="1"/>
  <c r="S377" i="4"/>
  <c r="AA377" i="5" s="1"/>
  <c r="R137" i="4"/>
  <c r="R182" i="4"/>
  <c r="R209" i="4"/>
  <c r="R184" i="4"/>
  <c r="R236" i="4"/>
  <c r="R181" i="4"/>
  <c r="R219" i="4"/>
  <c r="R120" i="4"/>
  <c r="R127" i="4"/>
  <c r="R176" i="4"/>
  <c r="R240" i="4"/>
  <c r="C36" i="4"/>
  <c r="C42" i="5" s="1"/>
  <c r="C50" i="4"/>
  <c r="C38" i="5" s="1"/>
  <c r="C52" i="4"/>
  <c r="C40" i="5" s="1"/>
  <c r="C54" i="4"/>
  <c r="C47" i="5" s="1"/>
  <c r="C58" i="4"/>
  <c r="C41" i="5" s="1"/>
  <c r="C26" i="4"/>
  <c r="C49" i="5" s="1"/>
  <c r="C3" i="4"/>
  <c r="C118" i="5" s="1"/>
  <c r="C165" i="4"/>
  <c r="C245" i="5" s="1"/>
  <c r="C168" i="4"/>
  <c r="C248" i="5" s="1"/>
  <c r="C124" i="4"/>
  <c r="C276" i="5" s="1"/>
  <c r="R284" i="8" s="1"/>
  <c r="C166" i="4"/>
  <c r="C246" i="5" s="1"/>
  <c r="N311" i="4"/>
  <c r="T310" i="5" s="1"/>
  <c r="AI312" i="8" s="1"/>
  <c r="N324" i="4"/>
  <c r="T327" i="5" s="1"/>
  <c r="AI328" i="8" s="1"/>
  <c r="N330" i="4"/>
  <c r="T347" i="5" s="1"/>
  <c r="AI347" i="8" s="1"/>
  <c r="Q311" i="4"/>
  <c r="X310" i="5" s="1"/>
  <c r="Q324" i="4"/>
  <c r="X327" i="5" s="1"/>
  <c r="Q330" i="4"/>
  <c r="X347" i="5" s="1"/>
  <c r="AZ20" i="5"/>
  <c r="V304" i="4"/>
  <c r="AF304" i="5" s="1"/>
  <c r="V332" i="4"/>
  <c r="AF349" i="5" s="1"/>
  <c r="V338" i="4"/>
  <c r="AF332" i="5" s="1"/>
  <c r="I372" i="4"/>
  <c r="L356" i="5" s="1"/>
  <c r="I364" i="4"/>
  <c r="L359" i="5" s="1"/>
  <c r="I352" i="4"/>
  <c r="L358" i="5" s="1"/>
  <c r="I353" i="4"/>
  <c r="L360" i="5" s="1"/>
  <c r="I357" i="4"/>
  <c r="L361" i="5" s="1"/>
  <c r="I361" i="4"/>
  <c r="L371" i="5" s="1"/>
  <c r="I362" i="4"/>
  <c r="L373" i="5" s="1"/>
  <c r="I363" i="4"/>
  <c r="L372" i="5" s="1"/>
  <c r="AU94" i="2"/>
  <c r="AU93" i="2"/>
  <c r="I355" i="4"/>
  <c r="L362" i="5" s="1"/>
  <c r="I354" i="4"/>
  <c r="L370" i="5" s="1"/>
  <c r="I359" i="4"/>
  <c r="L363" i="5" s="1"/>
  <c r="I371" i="4"/>
  <c r="L355" i="5" s="1"/>
  <c r="AG74" i="2"/>
  <c r="AI74" i="2"/>
  <c r="E130" i="4"/>
  <c r="F5" i="5" s="1"/>
  <c r="E22" i="4"/>
  <c r="F12" i="5" s="1"/>
  <c r="E59" i="4"/>
  <c r="E404" i="4"/>
  <c r="E399" i="4"/>
  <c r="E299" i="4"/>
  <c r="E400" i="4"/>
  <c r="E89" i="4"/>
  <c r="E394" i="4"/>
  <c r="E395" i="4"/>
  <c r="E396" i="4"/>
  <c r="E262" i="4"/>
  <c r="F324" i="4"/>
  <c r="F311" i="4"/>
  <c r="F330" i="4"/>
  <c r="Z252" i="8"/>
  <c r="AW241" i="5"/>
  <c r="E313" i="4"/>
  <c r="E310" i="4"/>
  <c r="E312" i="4"/>
  <c r="E349" i="4"/>
  <c r="AQ90" i="2"/>
  <c r="AQ91" i="2"/>
  <c r="Z173" i="4"/>
  <c r="AL78" i="5" s="1"/>
  <c r="Z302" i="4"/>
  <c r="AL77" i="5" s="1"/>
  <c r="Z18" i="4"/>
  <c r="AL185" i="5" s="1"/>
  <c r="Z24" i="4"/>
  <c r="AL182" i="5" s="1"/>
  <c r="Z14" i="4"/>
  <c r="AL180" i="5" s="1"/>
  <c r="BA304" i="5"/>
  <c r="AO306" i="8"/>
  <c r="X24" i="8"/>
  <c r="AU228" i="5"/>
  <c r="I225" i="4"/>
  <c r="I203" i="4"/>
  <c r="I239" i="4"/>
  <c r="X147" i="8"/>
  <c r="AU119" i="5"/>
  <c r="I212" i="4"/>
  <c r="L23" i="5" s="1"/>
  <c r="I210" i="4"/>
  <c r="I148" i="4"/>
  <c r="I147" i="4"/>
  <c r="I312" i="4"/>
  <c r="L311" i="5" s="1"/>
  <c r="I313" i="4"/>
  <c r="L312" i="5" s="1"/>
  <c r="I310" i="4"/>
  <c r="L309" i="5" s="1"/>
  <c r="AU91" i="2"/>
  <c r="AU90" i="2"/>
  <c r="I349" i="4"/>
  <c r="L335" i="5" s="1"/>
  <c r="L211" i="4"/>
  <c r="Q22" i="5" s="1"/>
  <c r="AH55" i="8" s="1"/>
  <c r="AT55" i="8" s="1"/>
  <c r="J55" i="8" s="1"/>
  <c r="L213" i="4"/>
  <c r="Q24" i="5" s="1"/>
  <c r="AH57" i="8" s="1"/>
  <c r="AT57" i="8" s="1"/>
  <c r="J57" i="8" s="1"/>
  <c r="L215" i="4"/>
  <c r="Q26" i="5" s="1"/>
  <c r="AH59" i="8" s="1"/>
  <c r="AT59" i="8" s="1"/>
  <c r="J59" i="8" s="1"/>
  <c r="L214" i="4"/>
  <c r="Q25" i="5" s="1"/>
  <c r="AH58" i="8" s="1"/>
  <c r="AT58" i="8" s="1"/>
  <c r="J58" i="8" s="1"/>
  <c r="Q207" i="4"/>
  <c r="X72" i="5" s="1"/>
  <c r="Q135" i="4"/>
  <c r="X74" i="5" s="1"/>
  <c r="Q113" i="4"/>
  <c r="X135" i="5" s="1"/>
  <c r="Q35" i="4"/>
  <c r="X173" i="5" s="1"/>
  <c r="Q259" i="4"/>
  <c r="X297" i="5" s="1"/>
  <c r="Q416" i="4"/>
  <c r="X400" i="5" s="1"/>
  <c r="Q397" i="4"/>
  <c r="X399" i="5" s="1"/>
  <c r="Q406" i="4"/>
  <c r="X416" i="5" s="1"/>
  <c r="Q408" i="4"/>
  <c r="X401" i="5" s="1"/>
  <c r="D369" i="4"/>
  <c r="E353" i="5" s="1"/>
  <c r="D368" i="4"/>
  <c r="E369" i="5" s="1"/>
  <c r="D356" i="4"/>
  <c r="E366" i="5" s="1"/>
  <c r="D367" i="4"/>
  <c r="E368" i="5" s="1"/>
  <c r="D358" i="4"/>
  <c r="E352" i="5" s="1"/>
  <c r="D365" i="4"/>
  <c r="E365" i="5" s="1"/>
  <c r="D366" i="4"/>
  <c r="E367" i="5" s="1"/>
  <c r="J15" i="4"/>
  <c r="N181" i="5" s="1"/>
  <c r="J297" i="4"/>
  <c r="N272" i="5" s="1"/>
  <c r="J111" i="4"/>
  <c r="F267" i="4"/>
  <c r="H73" i="5" s="1"/>
  <c r="F97" i="4"/>
  <c r="H130" i="5" s="1"/>
  <c r="F142" i="4"/>
  <c r="F269" i="4"/>
  <c r="BI88" i="2"/>
  <c r="BI87" i="2"/>
  <c r="M317" i="4"/>
  <c r="R305" i="5" s="1"/>
  <c r="M319" i="4"/>
  <c r="R329" i="5" s="1"/>
  <c r="M322" i="4"/>
  <c r="R325" i="5" s="1"/>
  <c r="M325" i="4"/>
  <c r="R328" i="5" s="1"/>
  <c r="M342" i="4"/>
  <c r="R334" i="5" s="1"/>
  <c r="M335" i="4"/>
  <c r="R323" i="5" s="1"/>
  <c r="M336" i="4"/>
  <c r="R346" i="5" s="1"/>
  <c r="M348" i="4"/>
  <c r="R351" i="5" s="1"/>
  <c r="M334" i="4"/>
  <c r="R322" i="5" s="1"/>
  <c r="Z212" i="4"/>
  <c r="AL23" i="5" s="1"/>
  <c r="Z148" i="4"/>
  <c r="AL200" i="5" s="1"/>
  <c r="Z147" i="4"/>
  <c r="AL293" i="5" s="1"/>
  <c r="E172" i="4"/>
  <c r="E37" i="4"/>
  <c r="E206" i="4"/>
  <c r="E260" i="4"/>
  <c r="E261" i="4"/>
  <c r="E41" i="4"/>
  <c r="E126" i="4"/>
  <c r="E39" i="4"/>
  <c r="E170" i="4"/>
  <c r="E199" i="4"/>
  <c r="E295" i="4"/>
  <c r="O352" i="4"/>
  <c r="U358" i="5" s="1"/>
  <c r="O359" i="4"/>
  <c r="U363" i="5" s="1"/>
  <c r="O363" i="4"/>
  <c r="U372" i="5" s="1"/>
  <c r="O362" i="4"/>
  <c r="U373" i="5" s="1"/>
  <c r="O364" i="4"/>
  <c r="U359" i="5" s="1"/>
  <c r="O372" i="4"/>
  <c r="U356" i="5" s="1"/>
  <c r="O353" i="4"/>
  <c r="U360" i="5" s="1"/>
  <c r="O361" i="4"/>
  <c r="U371" i="5" s="1"/>
  <c r="BA94" i="2"/>
  <c r="BA93" i="2"/>
  <c r="O354" i="4"/>
  <c r="U370" i="5" s="1"/>
  <c r="O371" i="4"/>
  <c r="U355" i="5" s="1"/>
  <c r="O373" i="4"/>
  <c r="U357" i="5" s="1"/>
  <c r="AU225" i="8"/>
  <c r="W291" i="4"/>
  <c r="AG101" i="5" s="1"/>
  <c r="W292" i="4"/>
  <c r="AG143" i="5" s="1"/>
  <c r="Q275" i="4"/>
  <c r="X300" i="5" s="1"/>
  <c r="AV300" i="5" s="1"/>
  <c r="Q289" i="4"/>
  <c r="X52" i="5" s="1"/>
  <c r="Q273" i="4"/>
  <c r="X51" i="5" s="1"/>
  <c r="Q62" i="4"/>
  <c r="X109" i="5" s="1"/>
  <c r="K372" i="4"/>
  <c r="O356" i="5" s="1"/>
  <c r="K364" i="4"/>
  <c r="O359" i="5" s="1"/>
  <c r="K362" i="4"/>
  <c r="O373" i="5" s="1"/>
  <c r="K363" i="4"/>
  <c r="O372" i="5" s="1"/>
  <c r="K361" i="4"/>
  <c r="O371" i="5" s="1"/>
  <c r="K352" i="4"/>
  <c r="O358" i="5" s="1"/>
  <c r="K357" i="4"/>
  <c r="O361" i="5" s="1"/>
  <c r="K353" i="4"/>
  <c r="O360" i="5" s="1"/>
  <c r="AW94" i="2"/>
  <c r="AW93" i="2"/>
  <c r="K355" i="4"/>
  <c r="O362" i="5" s="1"/>
  <c r="K354" i="4"/>
  <c r="O370" i="5" s="1"/>
  <c r="K359" i="4"/>
  <c r="O363" i="5" s="1"/>
  <c r="K371" i="4"/>
  <c r="O355" i="5" s="1"/>
  <c r="K373" i="4"/>
  <c r="O357" i="5" s="1"/>
  <c r="J82" i="4"/>
  <c r="J156" i="4"/>
  <c r="J83" i="4"/>
  <c r="J84" i="4"/>
  <c r="J155" i="4"/>
  <c r="J223" i="4"/>
  <c r="J193" i="4"/>
  <c r="J288" i="4"/>
  <c r="J158" i="4"/>
  <c r="J157" i="4"/>
  <c r="I291" i="4"/>
  <c r="L101" i="5" s="1"/>
  <c r="I268" i="4"/>
  <c r="I292" i="4"/>
  <c r="I249" i="4"/>
  <c r="I248" i="4"/>
  <c r="I252" i="4"/>
  <c r="I243" i="4"/>
  <c r="M139" i="4"/>
  <c r="R110" i="5" s="1"/>
  <c r="M92" i="4"/>
  <c r="R111" i="5" s="1"/>
  <c r="M93" i="4"/>
  <c r="R112" i="5" s="1"/>
  <c r="M143" i="4"/>
  <c r="R126" i="5" s="1"/>
  <c r="M98" i="4"/>
  <c r="R163" i="5" s="1"/>
  <c r="M227" i="4"/>
  <c r="R203" i="5" s="1"/>
  <c r="M162" i="4"/>
  <c r="R237" i="5" s="1"/>
  <c r="M198" i="4"/>
  <c r="R235" i="5" s="1"/>
  <c r="M100" i="4"/>
  <c r="R238" i="5" s="1"/>
  <c r="M118" i="4"/>
  <c r="R236" i="5" s="1"/>
  <c r="M415" i="4"/>
  <c r="X267" i="4"/>
  <c r="AI73" i="5" s="1"/>
  <c r="AN102" i="8" s="1"/>
  <c r="AZ102" i="8" s="1"/>
  <c r="P102" i="8" s="1"/>
  <c r="X142" i="4"/>
  <c r="AI125" i="5" s="1"/>
  <c r="AN11" i="8" s="1"/>
  <c r="AZ11" i="8" s="1"/>
  <c r="P11" i="8" s="1"/>
  <c r="X97" i="4"/>
  <c r="AI130" i="5" s="1"/>
  <c r="AN155" i="8" s="1"/>
  <c r="AZ155" i="8" s="1"/>
  <c r="P155" i="8" s="1"/>
  <c r="M149" i="4"/>
  <c r="R201" i="5" s="1"/>
  <c r="M117" i="4"/>
  <c r="R232" i="5" s="1"/>
  <c r="M192" i="4"/>
  <c r="R285" i="5" s="1"/>
  <c r="M146" i="4"/>
  <c r="R284" i="5" s="1"/>
  <c r="C248" i="4"/>
  <c r="C76" i="5" s="1"/>
  <c r="C291" i="4"/>
  <c r="C101" i="5" s="1"/>
  <c r="R130" i="8" s="1"/>
  <c r="C249" i="4"/>
  <c r="C99" i="5" s="1"/>
  <c r="C292" i="4"/>
  <c r="C143" i="5" s="1"/>
  <c r="R168" i="8" s="1"/>
  <c r="C252" i="4"/>
  <c r="C157" i="5" s="1"/>
  <c r="C243" i="4"/>
  <c r="C193" i="5" s="1"/>
  <c r="J317" i="4"/>
  <c r="N305" i="5" s="1"/>
  <c r="J320" i="4"/>
  <c r="N320" i="5" s="1"/>
  <c r="J334" i="4"/>
  <c r="N322" i="5" s="1"/>
  <c r="J329" i="4"/>
  <c r="N345" i="5" s="1"/>
  <c r="J336" i="4"/>
  <c r="N346" i="5" s="1"/>
  <c r="J319" i="4"/>
  <c r="N329" i="5" s="1"/>
  <c r="J348" i="4"/>
  <c r="N351" i="5" s="1"/>
  <c r="J325" i="4"/>
  <c r="N328" i="5" s="1"/>
  <c r="J341" i="4"/>
  <c r="N333" i="5" s="1"/>
  <c r="J335" i="4"/>
  <c r="N323" i="5" s="1"/>
  <c r="D211" i="4"/>
  <c r="E22" i="5" s="1"/>
  <c r="D214" i="4"/>
  <c r="E25" i="5" s="1"/>
  <c r="D215" i="4"/>
  <c r="E26" i="5" s="1"/>
  <c r="D213" i="4"/>
  <c r="E24" i="5" s="1"/>
  <c r="Q42" i="4"/>
  <c r="X16" i="5" s="1"/>
  <c r="Q43" i="4"/>
  <c r="X17" i="5" s="1"/>
  <c r="Q32" i="4"/>
  <c r="X129" i="5" s="1"/>
  <c r="Q8" i="4"/>
  <c r="X177" i="5" s="1"/>
  <c r="Q6" i="4"/>
  <c r="X175" i="5" s="1"/>
  <c r="Q260" i="4"/>
  <c r="X46" i="5" s="1"/>
  <c r="Q170" i="4"/>
  <c r="X68" i="5" s="1"/>
  <c r="Q172" i="4"/>
  <c r="X70" i="5" s="1"/>
  <c r="Q261" i="4"/>
  <c r="X96" i="5" s="1"/>
  <c r="Q295" i="4"/>
  <c r="X98" i="5" s="1"/>
  <c r="Q126" i="4"/>
  <c r="X162" i="5" s="1"/>
  <c r="Q199" i="4"/>
  <c r="X243" i="5" s="1"/>
  <c r="Q41" i="4"/>
  <c r="X279" i="5" s="1"/>
  <c r="E414" i="4"/>
  <c r="E398" i="4"/>
  <c r="E109" i="4"/>
  <c r="E125" i="4"/>
  <c r="E10" i="4"/>
  <c r="E409" i="4"/>
  <c r="E60" i="4"/>
  <c r="E38" i="4"/>
  <c r="E401" i="4"/>
  <c r="E200" i="4"/>
  <c r="E393" i="4"/>
  <c r="E218" i="4"/>
  <c r="E185" i="4"/>
  <c r="E187" i="4"/>
  <c r="E55" i="4"/>
  <c r="E413" i="4"/>
  <c r="X93" i="4"/>
  <c r="AI112" i="5" s="1"/>
  <c r="AN141" i="8" s="1"/>
  <c r="AZ141" i="8" s="1"/>
  <c r="X143" i="4"/>
  <c r="AI126" i="5" s="1"/>
  <c r="AN151" i="8" s="1"/>
  <c r="AZ151" i="8" s="1"/>
  <c r="P151" i="8" s="1"/>
  <c r="X139" i="4"/>
  <c r="AI110" i="5" s="1"/>
  <c r="AN139" i="8" s="1"/>
  <c r="X92" i="4"/>
  <c r="AI111" i="5" s="1"/>
  <c r="AN140" i="8" s="1"/>
  <c r="X98" i="4"/>
  <c r="AI163" i="5" s="1"/>
  <c r="AN186" i="8" s="1"/>
  <c r="AZ186" i="8" s="1"/>
  <c r="P186" i="8" s="1"/>
  <c r="X145" i="4"/>
  <c r="AI178" i="5" s="1"/>
  <c r="AN200" i="8" s="1"/>
  <c r="AZ200" i="8" s="1"/>
  <c r="P200" i="8" s="1"/>
  <c r="X118" i="4"/>
  <c r="AI236" i="5" s="1"/>
  <c r="AN248" i="8" s="1"/>
  <c r="X197" i="4"/>
  <c r="AI234" i="5" s="1"/>
  <c r="AN246" i="8" s="1"/>
  <c r="AZ246" i="8" s="1"/>
  <c r="P246" i="8" s="1"/>
  <c r="X162" i="4"/>
  <c r="AI237" i="5" s="1"/>
  <c r="AN249" i="8" s="1"/>
  <c r="AZ249" i="8" s="1"/>
  <c r="P249" i="8" s="1"/>
  <c r="X227" i="4"/>
  <c r="AI203" i="5" s="1"/>
  <c r="AN19" i="8" s="1"/>
  <c r="X198" i="4"/>
  <c r="AI235" i="5" s="1"/>
  <c r="AN247" i="8" s="1"/>
  <c r="X100" i="4"/>
  <c r="AI238" i="5" s="1"/>
  <c r="AN250" i="8" s="1"/>
  <c r="X415" i="4"/>
  <c r="AI409" i="5" s="1"/>
  <c r="AN400" i="8" s="1"/>
  <c r="AZ400" i="8" s="1"/>
  <c r="P400" i="8" s="1"/>
  <c r="AU90" i="5"/>
  <c r="X119" i="8"/>
  <c r="AV119" i="8" s="1"/>
  <c r="O262" i="4"/>
  <c r="U4" i="5" s="1"/>
  <c r="O22" i="4"/>
  <c r="U12" i="5" s="1"/>
  <c r="O59" i="4"/>
  <c r="U45" i="5" s="1"/>
  <c r="O299" i="4"/>
  <c r="U154" i="5" s="1"/>
  <c r="D139" i="4"/>
  <c r="E110" i="5" s="1"/>
  <c r="AD139" i="8" s="1"/>
  <c r="D93" i="4"/>
  <c r="E112" i="5" s="1"/>
  <c r="D143" i="4"/>
  <c r="E126" i="5" s="1"/>
  <c r="D92" i="4"/>
  <c r="E111" i="5" s="1"/>
  <c r="D145" i="4"/>
  <c r="E178" i="5" s="1"/>
  <c r="D98" i="4"/>
  <c r="E163" i="5" s="1"/>
  <c r="D198" i="4"/>
  <c r="E235" i="5" s="1"/>
  <c r="D100" i="4"/>
  <c r="E238" i="5" s="1"/>
  <c r="D118" i="4"/>
  <c r="E236" i="5" s="1"/>
  <c r="D227" i="4"/>
  <c r="E203" i="5" s="1"/>
  <c r="X75" i="8"/>
  <c r="AV75" i="8" s="1"/>
  <c r="AU44" i="5"/>
  <c r="I296" i="4"/>
  <c r="L156" i="5" s="1"/>
  <c r="I11" i="4"/>
  <c r="L255" i="5" s="1"/>
  <c r="I265" i="4"/>
  <c r="I263" i="4"/>
  <c r="I132" i="4"/>
  <c r="I112" i="4"/>
  <c r="I221" i="4"/>
  <c r="I279" i="4"/>
  <c r="I287" i="4"/>
  <c r="R249" i="4"/>
  <c r="R268" i="4"/>
  <c r="R292" i="4"/>
  <c r="R300" i="4"/>
  <c r="R248" i="4"/>
  <c r="R291" i="4"/>
  <c r="R252" i="4"/>
  <c r="R243" i="4"/>
  <c r="R41" i="4"/>
  <c r="R37" i="4"/>
  <c r="R126" i="4"/>
  <c r="R260" i="4"/>
  <c r="R39" i="4"/>
  <c r="R295" i="4"/>
  <c r="R199" i="4"/>
  <c r="R170" i="4"/>
  <c r="R206" i="4"/>
  <c r="R172" i="4"/>
  <c r="R261" i="4"/>
  <c r="Q36" i="4"/>
  <c r="X42" i="5" s="1"/>
  <c r="Q50" i="4"/>
  <c r="X38" i="5" s="1"/>
  <c r="Q52" i="4"/>
  <c r="X40" i="5" s="1"/>
  <c r="Q26" i="4"/>
  <c r="X49" i="5" s="1"/>
  <c r="Q54" i="4"/>
  <c r="X47" i="5" s="1"/>
  <c r="Q58" i="4"/>
  <c r="X41" i="5" s="1"/>
  <c r="Q3" i="4"/>
  <c r="X118" i="5" s="1"/>
  <c r="Q78" i="4"/>
  <c r="X121" i="5" s="1"/>
  <c r="Q166" i="4"/>
  <c r="X246" i="5" s="1"/>
  <c r="Q165" i="4"/>
  <c r="X245" i="5" s="1"/>
  <c r="Q124" i="4"/>
  <c r="X276" i="5" s="1"/>
  <c r="Q168" i="4"/>
  <c r="X248" i="5" s="1"/>
  <c r="Q402" i="4"/>
  <c r="X412" i="5" s="1"/>
  <c r="AB291" i="8"/>
  <c r="AY284" i="5"/>
  <c r="P43" i="4"/>
  <c r="W17" i="5" s="1"/>
  <c r="AJ52" i="8" s="1"/>
  <c r="P42" i="4"/>
  <c r="W16" i="5" s="1"/>
  <c r="AJ51" i="8" s="1"/>
  <c r="P32" i="4"/>
  <c r="W129" i="5" s="1"/>
  <c r="AJ154" i="8" s="1"/>
  <c r="AV154" i="8" s="1"/>
  <c r="L154" i="8" s="1"/>
  <c r="P6" i="4"/>
  <c r="W175" i="5" s="1"/>
  <c r="AJ197" i="8" s="1"/>
  <c r="P8" i="4"/>
  <c r="W177" i="5" s="1"/>
  <c r="AJ199" i="8" s="1"/>
  <c r="P30" i="4"/>
  <c r="W275" i="5" s="1"/>
  <c r="P220" i="4"/>
  <c r="W9" i="5" s="1"/>
  <c r="AJ45" i="8" s="1"/>
  <c r="P208" i="4"/>
  <c r="W75" i="5" s="1"/>
  <c r="AJ104" i="8" s="1"/>
  <c r="AV88" i="8"/>
  <c r="N372" i="4"/>
  <c r="T356" i="5" s="1"/>
  <c r="AI355" i="8" s="1"/>
  <c r="N363" i="4"/>
  <c r="T372" i="5" s="1"/>
  <c r="AI369" i="8" s="1"/>
  <c r="N362" i="4"/>
  <c r="T373" i="5" s="1"/>
  <c r="AI370" i="8" s="1"/>
  <c r="N352" i="4"/>
  <c r="T358" i="5" s="1"/>
  <c r="AI357" i="8" s="1"/>
  <c r="N364" i="4"/>
  <c r="T359" i="5" s="1"/>
  <c r="AI358" i="8" s="1"/>
  <c r="N353" i="4"/>
  <c r="T360" i="5" s="1"/>
  <c r="AI359" i="8" s="1"/>
  <c r="AZ93" i="2"/>
  <c r="AZ94" i="2"/>
  <c r="N371" i="4"/>
  <c r="T355" i="5" s="1"/>
  <c r="AI354" i="8" s="1"/>
  <c r="N373" i="4"/>
  <c r="T357" i="5" s="1"/>
  <c r="AI356" i="8" s="1"/>
  <c r="N354" i="4"/>
  <c r="T370" i="5" s="1"/>
  <c r="AI34" i="8" s="1"/>
  <c r="N355" i="4"/>
  <c r="T362" i="5" s="1"/>
  <c r="AI33" i="8" s="1"/>
  <c r="N359" i="4"/>
  <c r="T363" i="5" s="1"/>
  <c r="AI361" i="8" s="1"/>
  <c r="N361" i="4"/>
  <c r="T371" i="5" s="1"/>
  <c r="AI368" i="8" s="1"/>
  <c r="F84" i="4"/>
  <c r="H160" i="5" s="1"/>
  <c r="F82" i="4"/>
  <c r="H158" i="5" s="1"/>
  <c r="F157" i="4"/>
  <c r="H212" i="5" s="1"/>
  <c r="F288" i="4"/>
  <c r="H214" i="5" s="1"/>
  <c r="F155" i="4"/>
  <c r="H209" i="5" s="1"/>
  <c r="F156" i="4"/>
  <c r="H211" i="5" s="1"/>
  <c r="F158" i="4"/>
  <c r="C207" i="4"/>
  <c r="C72" i="5" s="1"/>
  <c r="C135" i="4"/>
  <c r="C74" i="5" s="1"/>
  <c r="C35" i="4"/>
  <c r="C173" i="5" s="1"/>
  <c r="C259" i="4"/>
  <c r="C297" i="5" s="1"/>
  <c r="C262" i="4"/>
  <c r="C4" i="5" s="1"/>
  <c r="C22" i="4"/>
  <c r="C12" i="5" s="1"/>
  <c r="R3" i="8" s="1"/>
  <c r="C130" i="4"/>
  <c r="C5" i="5" s="1"/>
  <c r="R2" i="8" s="1"/>
  <c r="C59" i="4"/>
  <c r="C45" i="5" s="1"/>
  <c r="C299" i="4"/>
  <c r="C154" i="5" s="1"/>
  <c r="M45" i="4"/>
  <c r="R31" i="5" s="1"/>
  <c r="M48" i="4"/>
  <c r="R233" i="5" s="1"/>
  <c r="M5" i="4"/>
  <c r="M7" i="4"/>
  <c r="M34" i="4"/>
  <c r="M9" i="4"/>
  <c r="W98" i="8"/>
  <c r="AU98" i="8" s="1"/>
  <c r="AT69" i="5"/>
  <c r="AL17" i="2"/>
  <c r="W84" i="8"/>
  <c r="AU84" i="8" s="1"/>
  <c r="AT55" i="5"/>
  <c r="AL11" i="2"/>
  <c r="W285" i="8"/>
  <c r="I90" i="5"/>
  <c r="F2" i="12"/>
  <c r="Z267" i="4"/>
  <c r="AL73" i="5" s="1"/>
  <c r="Z142" i="4"/>
  <c r="AL125" i="5" s="1"/>
  <c r="Z97" i="4"/>
  <c r="AL130" i="5" s="1"/>
  <c r="Z269" i="4"/>
  <c r="AL2" i="5" s="1"/>
  <c r="Z272" i="4"/>
  <c r="AL50" i="5" s="1"/>
  <c r="Z234" i="4"/>
  <c r="AL30" i="5" s="1"/>
  <c r="Z205" i="4"/>
  <c r="AL53" i="5" s="1"/>
  <c r="BA44" i="5"/>
  <c r="AO75" i="8"/>
  <c r="Z4" i="4"/>
  <c r="AL174" i="5" s="1"/>
  <c r="Z179" i="4"/>
  <c r="AL261" i="5" s="1"/>
  <c r="Z61" i="4"/>
  <c r="AL262" i="5" s="1"/>
  <c r="BL84" i="2"/>
  <c r="BL85" i="2"/>
  <c r="P195" i="4"/>
  <c r="W228" i="5" s="1"/>
  <c r="AJ24" i="8" s="1"/>
  <c r="P133" i="4"/>
  <c r="W226" i="5" s="1"/>
  <c r="AJ239" i="8" s="1"/>
  <c r="AV239" i="8" s="1"/>
  <c r="L239" i="8" s="1"/>
  <c r="E77" i="4"/>
  <c r="F119" i="5" s="1"/>
  <c r="E286" i="4"/>
  <c r="F108" i="5" s="1"/>
  <c r="E241" i="4"/>
  <c r="F128" i="5" s="1"/>
  <c r="E284" i="4"/>
  <c r="F106" i="5" s="1"/>
  <c r="E293" i="4"/>
  <c r="F89" i="5" s="1"/>
  <c r="E290" i="4"/>
  <c r="F140" i="5" s="1"/>
  <c r="E27" i="4"/>
  <c r="F264" i="5" s="1"/>
  <c r="AW91" i="2"/>
  <c r="AW90" i="2"/>
  <c r="I123" i="4"/>
  <c r="I194" i="4"/>
  <c r="I245" i="4"/>
  <c r="I131" i="4"/>
  <c r="I122" i="4"/>
  <c r="I246" i="4"/>
  <c r="C23" i="4"/>
  <c r="C13" i="5" s="1"/>
  <c r="R48" i="8" s="1"/>
  <c r="C53" i="4"/>
  <c r="C43" i="5" s="1"/>
  <c r="C298" i="4"/>
  <c r="C124" i="5" s="1"/>
  <c r="W221" i="8"/>
  <c r="AL33" i="2"/>
  <c r="AT206" i="5"/>
  <c r="E23" i="4"/>
  <c r="F13" i="5" s="1"/>
  <c r="E412" i="4"/>
  <c r="E298" i="4"/>
  <c r="E53" i="4"/>
  <c r="E403" i="4"/>
  <c r="M163" i="4"/>
  <c r="R239" i="5" s="1"/>
  <c r="M164" i="4"/>
  <c r="R240" i="5" s="1"/>
  <c r="R148" i="4"/>
  <c r="R212" i="4"/>
  <c r="R210" i="4"/>
  <c r="R147" i="4"/>
  <c r="AX386" i="5"/>
  <c r="I191" i="4"/>
  <c r="I190" i="4"/>
  <c r="I129" i="4"/>
  <c r="X71" i="4"/>
  <c r="AI190" i="5" s="1"/>
  <c r="AN17" i="8" s="1"/>
  <c r="X73" i="4"/>
  <c r="AI192" i="5" s="1"/>
  <c r="AN211" i="8" s="1"/>
  <c r="X222" i="4"/>
  <c r="AI269" i="5" s="1"/>
  <c r="AN277" i="8" s="1"/>
  <c r="M346" i="4"/>
  <c r="R340" i="5" s="1"/>
  <c r="M326" i="4"/>
  <c r="R342" i="5" s="1"/>
  <c r="M328" i="4"/>
  <c r="R344" i="5" s="1"/>
  <c r="M333" i="4"/>
  <c r="R350" i="5" s="1"/>
  <c r="I237" i="4"/>
  <c r="I242" i="4"/>
  <c r="I228" i="4"/>
  <c r="AU87" i="2"/>
  <c r="AU88" i="2"/>
  <c r="I18" i="4"/>
  <c r="L185" i="5" s="1"/>
  <c r="I24" i="4"/>
  <c r="L182" i="5" s="1"/>
  <c r="I14" i="4"/>
  <c r="L180" i="5" s="1"/>
  <c r="I174" i="4"/>
  <c r="I302" i="4"/>
  <c r="I173" i="4"/>
  <c r="AV225" i="5"/>
  <c r="AJ238" i="8"/>
  <c r="W261" i="8"/>
  <c r="M223" i="4"/>
  <c r="R15" i="5" s="1"/>
  <c r="M83" i="4"/>
  <c r="R159" i="5" s="1"/>
  <c r="M157" i="4"/>
  <c r="R212" i="5" s="1"/>
  <c r="M84" i="4"/>
  <c r="R160" i="5" s="1"/>
  <c r="M288" i="4"/>
  <c r="R214" i="5" s="1"/>
  <c r="M155" i="4"/>
  <c r="R209" i="5" s="1"/>
  <c r="M156" i="4"/>
  <c r="R211" i="5" s="1"/>
  <c r="M158" i="4"/>
  <c r="R258" i="5" s="1"/>
  <c r="AR386" i="5"/>
  <c r="AF53" i="2"/>
  <c r="U276" i="4" a="1"/>
  <c r="U276" i="4" s="1"/>
  <c r="AD302" i="5" s="1"/>
  <c r="M133" i="4"/>
  <c r="R226" i="5" s="1"/>
  <c r="T36" i="4" a="1"/>
  <c r="T36" i="4" s="1"/>
  <c r="AC42" i="5" s="1"/>
  <c r="AL73" i="8" s="1"/>
  <c r="AX73" i="8" s="1"/>
  <c r="N73" i="8" s="1"/>
  <c r="T11" i="4" a="1"/>
  <c r="T11" i="4" s="1"/>
  <c r="AC255" i="5" s="1"/>
  <c r="AL264" i="8" s="1"/>
  <c r="AX264" i="8" s="1"/>
  <c r="N264" i="8" s="1"/>
  <c r="C110" i="4"/>
  <c r="C88" i="5" s="1"/>
  <c r="R117" i="8" s="1"/>
  <c r="AP117" i="8" s="1"/>
  <c r="C79" i="4"/>
  <c r="C131" i="5" s="1"/>
  <c r="C31" i="4"/>
  <c r="C127" i="5" s="1"/>
  <c r="C253" i="4"/>
  <c r="C168" i="5" s="1"/>
  <c r="I253" i="4"/>
  <c r="I79" i="4"/>
  <c r="I110" i="4"/>
  <c r="I31" i="4"/>
  <c r="D31" i="4"/>
  <c r="E127" i="5" s="1"/>
  <c r="D253" i="4"/>
  <c r="E168" i="5" s="1"/>
  <c r="M309" i="4"/>
  <c r="R308" i="5" s="1"/>
  <c r="M316" i="4"/>
  <c r="R318" i="5" s="1"/>
  <c r="M315" i="4"/>
  <c r="R316" i="5" s="1"/>
  <c r="M347" i="4"/>
  <c r="R336" i="5" s="1"/>
  <c r="M307" i="4"/>
  <c r="R317" i="5" s="1"/>
  <c r="F163" i="4"/>
  <c r="H239" i="5" s="1"/>
  <c r="AV60" i="5"/>
  <c r="Y89" i="8"/>
  <c r="T42" i="4" a="1"/>
  <c r="T42" i="4" s="1"/>
  <c r="AC16" i="5" s="1"/>
  <c r="AL51" i="8" s="1"/>
  <c r="T44" i="4" a="1"/>
  <c r="T44" i="4" s="1"/>
  <c r="AC18" i="5" s="1"/>
  <c r="AL53" i="8" s="1"/>
  <c r="T43" i="4" a="1"/>
  <c r="T43" i="4" s="1"/>
  <c r="AC17" i="5" s="1"/>
  <c r="AL52" i="8" s="1"/>
  <c r="T196" i="4" a="1"/>
  <c r="T196" i="4" s="1"/>
  <c r="AC8" i="5" s="1"/>
  <c r="AL44" i="8" s="1"/>
  <c r="T289" i="4" a="1"/>
  <c r="T289" i="4" s="1"/>
  <c r="AC52" i="5" s="1"/>
  <c r="AL81" i="8" s="1"/>
  <c r="T33" i="4" a="1"/>
  <c r="T33" i="4" s="1"/>
  <c r="AC137" i="5" s="1"/>
  <c r="AL162" i="8" s="1"/>
  <c r="T243" i="4" a="1"/>
  <c r="T243" i="4" s="1"/>
  <c r="AC193" i="5" s="1"/>
  <c r="AL212" i="8" s="1"/>
  <c r="T255" i="4" a="1"/>
  <c r="T255" i="4" s="1"/>
  <c r="AC195" i="5" s="1"/>
  <c r="AL214" i="8" s="1"/>
  <c r="T271" i="4" a="1"/>
  <c r="T271" i="4" s="1"/>
  <c r="AC225" i="5" s="1"/>
  <c r="AL238" i="8" s="1"/>
  <c r="T199" i="4" a="1"/>
  <c r="T199" i="4" s="1"/>
  <c r="AC243" i="5" s="1"/>
  <c r="AL254" i="8" s="1"/>
  <c r="AX254" i="8" s="1"/>
  <c r="N254" i="8" s="1"/>
  <c r="T195" i="4" a="1"/>
  <c r="T195" i="4" s="1"/>
  <c r="AC228" i="5" s="1"/>
  <c r="AL24" i="8" s="1"/>
  <c r="T274" i="4" a="1"/>
  <c r="T274" i="4" s="1"/>
  <c r="AC288" i="5" s="1"/>
  <c r="AL295" i="8" s="1"/>
  <c r="T222" i="4" a="1"/>
  <c r="T222" i="4" s="1"/>
  <c r="AC269" i="5" s="1"/>
  <c r="AL277" i="8" s="1"/>
  <c r="T190" i="4" a="1"/>
  <c r="T190" i="4" s="1"/>
  <c r="AC281" i="5" s="1"/>
  <c r="AL288" i="8" s="1"/>
  <c r="AX288" i="8" s="1"/>
  <c r="T281" i="4" a="1"/>
  <c r="T281" i="4" s="1"/>
  <c r="AC292" i="5" s="1"/>
  <c r="AL299" i="8" s="1"/>
  <c r="AX299" i="8" s="1"/>
  <c r="T251" i="4" a="1"/>
  <c r="T251" i="4" s="1"/>
  <c r="AC280" i="5" s="1"/>
  <c r="AL287" i="8" s="1"/>
  <c r="W229" i="4"/>
  <c r="AG28" i="5" s="1"/>
  <c r="U44" i="4" a="1"/>
  <c r="U44" i="4" s="1"/>
  <c r="AD18" i="5" s="1"/>
  <c r="W230" i="4"/>
  <c r="AG220" i="5" s="1"/>
  <c r="E110" i="4"/>
  <c r="F88" i="5" s="1"/>
  <c r="T127" i="4" a="1"/>
  <c r="T127" i="4" s="1"/>
  <c r="AC171" i="5" s="1"/>
  <c r="AL194" i="8" s="1"/>
  <c r="AX194" i="8" s="1"/>
  <c r="N194" i="8" s="1"/>
  <c r="L164" i="4"/>
  <c r="Q240" i="5" s="1"/>
  <c r="S172" i="4"/>
  <c r="AA70" i="5" s="1"/>
  <c r="D220" i="4"/>
  <c r="E9" i="5" s="1"/>
  <c r="AD45" i="8" s="1"/>
  <c r="F223" i="4"/>
  <c r="H15" i="5" s="1"/>
  <c r="E140" i="4"/>
  <c r="F14" i="5" s="1"/>
  <c r="O181" i="4"/>
  <c r="U10" i="5" s="1"/>
  <c r="U130" i="4" a="1"/>
  <c r="U130" i="4" s="1"/>
  <c r="AD5" i="5" s="1"/>
  <c r="D233" i="4"/>
  <c r="E29" i="5" s="1"/>
  <c r="T181" i="4" a="1"/>
  <c r="T181" i="4" s="1"/>
  <c r="AC10" i="5" s="1"/>
  <c r="AL46" i="8" s="1"/>
  <c r="P51" i="4"/>
  <c r="W39" i="5" s="1"/>
  <c r="AJ70" i="8" s="1"/>
  <c r="T213" i="4" a="1"/>
  <c r="T213" i="4" s="1"/>
  <c r="AC24" i="5" s="1"/>
  <c r="AL57" i="8" s="1"/>
  <c r="D38" i="4"/>
  <c r="E63" i="5" s="1"/>
  <c r="M26" i="4"/>
  <c r="R49" i="5" s="1"/>
  <c r="H39" i="4"/>
  <c r="K64" i="5" s="1"/>
  <c r="D111" i="4"/>
  <c r="E94" i="5" s="1"/>
  <c r="S236" i="4"/>
  <c r="AA95" i="5" s="1"/>
  <c r="AF81" i="2"/>
  <c r="H293" i="4"/>
  <c r="K89" i="5" s="1"/>
  <c r="U97" i="4" a="1"/>
  <c r="U97" i="4" s="1"/>
  <c r="AD130" i="5" s="1"/>
  <c r="S91" i="4"/>
  <c r="AA92" i="5" s="1"/>
  <c r="T206" i="4" a="1"/>
  <c r="T206" i="4" s="1"/>
  <c r="AC71" i="5" s="1"/>
  <c r="AL100" i="8" s="1"/>
  <c r="AX100" i="8" s="1"/>
  <c r="N100" i="8" s="1"/>
  <c r="U93" i="4" a="1"/>
  <c r="U93" i="4" s="1"/>
  <c r="AD112" i="5" s="1"/>
  <c r="T184" i="4" a="1"/>
  <c r="T184" i="4" s="1"/>
  <c r="AC132" i="5" s="1"/>
  <c r="AL157" i="8" s="1"/>
  <c r="M268" i="4"/>
  <c r="R100" i="5" s="1"/>
  <c r="T139" i="4" a="1"/>
  <c r="T139" i="4" s="1"/>
  <c r="AC110" i="5" s="1"/>
  <c r="AL139" i="8" s="1"/>
  <c r="U34" i="4" a="1"/>
  <c r="U34" i="4" s="1"/>
  <c r="AD149" i="5" s="1"/>
  <c r="C300" i="4"/>
  <c r="C153" i="5" s="1"/>
  <c r="T32" i="4" a="1"/>
  <c r="T32" i="4" s="1"/>
  <c r="AC129" i="5" s="1"/>
  <c r="AL154" i="8" s="1"/>
  <c r="U238" i="4" a="1"/>
  <c r="U238" i="4" s="1"/>
  <c r="AD105" i="5" s="1"/>
  <c r="X186" i="4"/>
  <c r="AI150" i="5" s="1"/>
  <c r="AN174" i="8" s="1"/>
  <c r="AZ174" i="8" s="1"/>
  <c r="P174" i="8" s="1"/>
  <c r="C33" i="4"/>
  <c r="C137" i="5" s="1"/>
  <c r="D296" i="4"/>
  <c r="E156" i="5" s="1"/>
  <c r="U31" i="4" a="1"/>
  <c r="U31" i="4" s="1"/>
  <c r="AD127" i="5" s="1"/>
  <c r="C94" i="4"/>
  <c r="C120" i="5" s="1"/>
  <c r="Y224" i="4"/>
  <c r="AJ169" i="5" s="1"/>
  <c r="T34" i="4" a="1"/>
  <c r="T34" i="4" s="1"/>
  <c r="AC149" i="5" s="1"/>
  <c r="AL173" i="8" s="1"/>
  <c r="F16" i="4"/>
  <c r="H183" i="5" s="1"/>
  <c r="Z99" i="4"/>
  <c r="AL166" i="5" s="1"/>
  <c r="H300" i="4"/>
  <c r="K153" i="5" s="1"/>
  <c r="AF177" i="8" s="1"/>
  <c r="AR177" i="8" s="1"/>
  <c r="H177" i="8" s="1"/>
  <c r="M189" i="4"/>
  <c r="R167" i="5" s="1"/>
  <c r="D70" i="4"/>
  <c r="E172" i="5" s="1"/>
  <c r="Q83" i="4"/>
  <c r="X159" i="5" s="1"/>
  <c r="P33" i="4"/>
  <c r="W137" i="5" s="1"/>
  <c r="AJ162" i="8" s="1"/>
  <c r="AV162" i="8" s="1"/>
  <c r="L162" i="8" s="1"/>
  <c r="Y189" i="4"/>
  <c r="AJ167" i="5" s="1"/>
  <c r="M254" i="4"/>
  <c r="R194" i="5" s="1"/>
  <c r="L114" i="4"/>
  <c r="Q138" i="5" s="1"/>
  <c r="AH163" i="8" s="1"/>
  <c r="AT163" i="8" s="1"/>
  <c r="J163" i="8" s="1"/>
  <c r="X159" i="4"/>
  <c r="AI215" i="5" s="1"/>
  <c r="AN23" i="8" s="1"/>
  <c r="AZ23" i="8" s="1"/>
  <c r="P23" i="8" s="1"/>
  <c r="Z217" i="4"/>
  <c r="AL227" i="5" s="1"/>
  <c r="D85" i="4"/>
  <c r="E224" i="5" s="1"/>
  <c r="S131" i="4"/>
  <c r="AA199" i="5" s="1"/>
  <c r="T98" i="4" a="1"/>
  <c r="T98" i="4" s="1"/>
  <c r="AC163" i="5" s="1"/>
  <c r="AL186" i="8" s="1"/>
  <c r="T264" i="4" a="1"/>
  <c r="T264" i="4" s="1"/>
  <c r="AC198" i="5" s="1"/>
  <c r="AL217" i="8" s="1"/>
  <c r="T256" i="4" a="1"/>
  <c r="T256" i="4" s="1"/>
  <c r="AC213" i="5" s="1"/>
  <c r="AL228" i="8" s="1"/>
  <c r="U24" i="4" a="1"/>
  <c r="U24" i="4" s="1"/>
  <c r="AD182" i="5" s="1"/>
  <c r="D218" i="4"/>
  <c r="E242" i="5" s="1"/>
  <c r="M145" i="4"/>
  <c r="R178" i="5" s="1"/>
  <c r="Z201" i="4"/>
  <c r="AL249" i="5" s="1"/>
  <c r="P258" i="4"/>
  <c r="W296" i="5" s="1"/>
  <c r="AJ29" i="8" s="1"/>
  <c r="D258" i="4"/>
  <c r="E296" i="5" s="1"/>
  <c r="L204" i="4"/>
  <c r="Q251" i="5" s="1"/>
  <c r="AH261" i="8" s="1"/>
  <c r="AT261" i="8" s="1"/>
  <c r="J261" i="8" s="1"/>
  <c r="AX264" i="5"/>
  <c r="AA273" i="8"/>
  <c r="T74" i="4" a="1"/>
  <c r="T74" i="4" s="1"/>
  <c r="AC208" i="5" s="1"/>
  <c r="AL223" i="8" s="1"/>
  <c r="C57" i="4"/>
  <c r="C257" i="5" s="1"/>
  <c r="M257" i="4"/>
  <c r="R295" i="5" s="1"/>
  <c r="U95" i="4" a="1"/>
  <c r="U95" i="4" s="1"/>
  <c r="AD273" i="5" s="1"/>
  <c r="T162" i="4" a="1"/>
  <c r="T162" i="4" s="1"/>
  <c r="AC237" i="5" s="1"/>
  <c r="AL249" i="8" s="1"/>
  <c r="Z132" i="4"/>
  <c r="AL294" i="5" s="1"/>
  <c r="L117" i="4"/>
  <c r="Q232" i="5" s="1"/>
  <c r="AH244" i="8" s="1"/>
  <c r="AT244" i="8" s="1"/>
  <c r="J244" i="8" s="1"/>
  <c r="H66" i="4"/>
  <c r="K277" i="5" s="1"/>
  <c r="AF285" i="8" s="1"/>
  <c r="AR285" i="8" s="1"/>
  <c r="H285" i="8" s="1"/>
  <c r="U11" i="4" a="1"/>
  <c r="U11" i="4" s="1"/>
  <c r="AD255" i="5" s="1"/>
  <c r="P66" i="4"/>
  <c r="W277" i="5" s="1"/>
  <c r="AJ285" i="8" s="1"/>
  <c r="U231" i="4" a="1"/>
  <c r="U231" i="4" s="1"/>
  <c r="AD221" i="5" s="1"/>
  <c r="U357" i="4"/>
  <c r="AD361" i="5" s="1"/>
  <c r="I338" i="4"/>
  <c r="L332" i="5" s="1"/>
  <c r="V331" i="4"/>
  <c r="AF348" i="5" s="1"/>
  <c r="I334" i="4"/>
  <c r="L322" i="5" s="1"/>
  <c r="X373" i="4"/>
  <c r="AI357" i="5" s="1"/>
  <c r="AN356" i="8" s="1"/>
  <c r="Y355" i="4"/>
  <c r="AJ362" i="5" s="1"/>
  <c r="X371" i="4"/>
  <c r="AI355" i="5" s="1"/>
  <c r="AN354" i="8" s="1"/>
  <c r="X379" i="4"/>
  <c r="AI379" i="5" s="1"/>
  <c r="AN375" i="8" s="1"/>
  <c r="V367" i="4"/>
  <c r="AF368" i="5" s="1"/>
  <c r="AM366" i="8" s="1"/>
  <c r="AS381" i="8"/>
  <c r="U380" i="4"/>
  <c r="AD380" i="5" s="1"/>
  <c r="U377" i="4"/>
  <c r="AD377" i="5" s="1"/>
  <c r="U374" i="4"/>
  <c r="AD374" i="5" s="1"/>
  <c r="U378" i="4"/>
  <c r="AD378" i="5" s="1"/>
  <c r="U376" i="4"/>
  <c r="AD376" i="5" s="1"/>
  <c r="U375" i="4"/>
  <c r="AD375" i="5" s="1"/>
  <c r="U382" i="4"/>
  <c r="AD382" i="5" s="1"/>
  <c r="U381" i="4"/>
  <c r="AD381" i="5" s="1"/>
  <c r="U379" i="4"/>
  <c r="AD379" i="5" s="1"/>
  <c r="AC17" i="2"/>
  <c r="AP69" i="5"/>
  <c r="AD98" i="8"/>
  <c r="AP98" i="8" s="1"/>
  <c r="F98" i="8" s="1"/>
  <c r="H376" i="4"/>
  <c r="K376" i="5" s="1"/>
  <c r="AF372" i="8" s="1"/>
  <c r="AR372" i="8" s="1"/>
  <c r="H372" i="8" s="1"/>
  <c r="H380" i="4"/>
  <c r="K380" i="5" s="1"/>
  <c r="AF376" i="8" s="1"/>
  <c r="AR376" i="8" s="1"/>
  <c r="H376" i="8" s="1"/>
  <c r="H379" i="4"/>
  <c r="K379" i="5" s="1"/>
  <c r="AF375" i="8" s="1"/>
  <c r="AR375" i="8" s="1"/>
  <c r="H375" i="8" s="1"/>
  <c r="H375" i="4"/>
  <c r="K375" i="5" s="1"/>
  <c r="AF371" i="8" s="1"/>
  <c r="AR371" i="8" s="1"/>
  <c r="H371" i="8" s="1"/>
  <c r="H377" i="4"/>
  <c r="K377" i="5" s="1"/>
  <c r="AF373" i="8" s="1"/>
  <c r="AR373" i="8" s="1"/>
  <c r="H373" i="8" s="1"/>
  <c r="H383" i="4"/>
  <c r="K383" i="5" s="1"/>
  <c r="AF379" i="8" s="1"/>
  <c r="AR379" i="8" s="1"/>
  <c r="H379" i="8" s="1"/>
  <c r="H374" i="4"/>
  <c r="K374" i="5" s="1"/>
  <c r="AF35" i="8" s="1"/>
  <c r="AR35" i="8" s="1"/>
  <c r="H35" i="8" s="1"/>
  <c r="I262" i="4"/>
  <c r="L4" i="5" s="1"/>
  <c r="I130" i="4"/>
  <c r="I59" i="4"/>
  <c r="I22" i="4"/>
  <c r="I299" i="4"/>
  <c r="I89" i="4"/>
  <c r="Q74" i="4"/>
  <c r="X208" i="5" s="1"/>
  <c r="Q19" i="4"/>
  <c r="X186" i="5" s="1"/>
  <c r="Q282" i="4"/>
  <c r="X222" i="5" s="1"/>
  <c r="Q407" i="4"/>
  <c r="X395" i="5" s="1"/>
  <c r="Z152" i="4"/>
  <c r="AL205" i="5" s="1"/>
  <c r="Z151" i="4"/>
  <c r="AL204" i="5" s="1"/>
  <c r="Q317" i="4"/>
  <c r="X305" i="5" s="1"/>
  <c r="Q329" i="4"/>
  <c r="X345" i="5" s="1"/>
  <c r="Q336" i="4"/>
  <c r="X346" i="5" s="1"/>
  <c r="Q320" i="4"/>
  <c r="X320" i="5" s="1"/>
  <c r="Q319" i="4"/>
  <c r="X329" i="5" s="1"/>
  <c r="Q348" i="4"/>
  <c r="X351" i="5" s="1"/>
  <c r="Q322" i="4"/>
  <c r="X325" i="5" s="1"/>
  <c r="Q325" i="4"/>
  <c r="X328" i="5" s="1"/>
  <c r="Q335" i="4"/>
  <c r="X323" i="5" s="1"/>
  <c r="Q341" i="4"/>
  <c r="X333" i="5" s="1"/>
  <c r="Q342" i="4"/>
  <c r="X334" i="5" s="1"/>
  <c r="V313" i="4"/>
  <c r="AF312" i="5" s="1"/>
  <c r="V310" i="4"/>
  <c r="AF309" i="5" s="1"/>
  <c r="V312" i="4"/>
  <c r="AF311" i="5" s="1"/>
  <c r="V349" i="4"/>
  <c r="AF335" i="5" s="1"/>
  <c r="BH91" i="2"/>
  <c r="BH90" i="2"/>
  <c r="H237" i="4"/>
  <c r="K104" i="5" s="1"/>
  <c r="H242" i="4"/>
  <c r="K146" i="5" s="1"/>
  <c r="H228" i="4"/>
  <c r="K218" i="5" s="1"/>
  <c r="AT88" i="2"/>
  <c r="AT87" i="2"/>
  <c r="I294" i="4"/>
  <c r="L144" i="5" s="1"/>
  <c r="I226" i="4"/>
  <c r="L197" i="5" s="1"/>
  <c r="I255" i="4"/>
  <c r="I301" i="4"/>
  <c r="I264" i="4"/>
  <c r="I254" i="4"/>
  <c r="J12" i="4"/>
  <c r="J66" i="4"/>
  <c r="N277" i="5" s="1"/>
  <c r="R117" i="4"/>
  <c r="R146" i="4"/>
  <c r="R128" i="4"/>
  <c r="R149" i="4"/>
  <c r="R192" i="4"/>
  <c r="D234" i="4"/>
  <c r="E30" i="5" s="1"/>
  <c r="D205" i="4"/>
  <c r="E53" i="5" s="1"/>
  <c r="S265" i="4"/>
  <c r="AA6" i="5" s="1"/>
  <c r="S221" i="4"/>
  <c r="AA80" i="5" s="1"/>
  <c r="S112" i="4"/>
  <c r="AA274" i="5" s="1"/>
  <c r="S279" i="4"/>
  <c r="AA286" i="5" s="1"/>
  <c r="S263" i="4"/>
  <c r="AA289" i="5" s="1"/>
  <c r="S287" i="4"/>
  <c r="AA287" i="5" s="1"/>
  <c r="C267" i="4"/>
  <c r="C73" i="5" s="1"/>
  <c r="C97" i="4"/>
  <c r="C130" i="5" s="1"/>
  <c r="C269" i="4"/>
  <c r="C2" i="5" s="1"/>
  <c r="H211" i="4"/>
  <c r="K22" i="5" s="1"/>
  <c r="H214" i="4"/>
  <c r="K25" i="5" s="1"/>
  <c r="H215" i="4"/>
  <c r="K26" i="5" s="1"/>
  <c r="H213" i="4"/>
  <c r="K24" i="5" s="1"/>
  <c r="J185" i="4"/>
  <c r="N136" i="5" s="1"/>
  <c r="J187" i="4"/>
  <c r="N151" i="5" s="1"/>
  <c r="J200" i="4"/>
  <c r="J109" i="4"/>
  <c r="J10" i="4"/>
  <c r="J125" i="4"/>
  <c r="J60" i="4"/>
  <c r="J218" i="4"/>
  <c r="J38" i="4"/>
  <c r="J55" i="4"/>
  <c r="S229" i="4"/>
  <c r="AA28" i="5" s="1"/>
  <c r="S250" i="4"/>
  <c r="AA103" i="5" s="1"/>
  <c r="S20" i="4"/>
  <c r="AA187" i="5" s="1"/>
  <c r="S230" i="4"/>
  <c r="AA220" i="5" s="1"/>
  <c r="S256" i="4"/>
  <c r="AA213" i="5" s="1"/>
  <c r="S29" i="4"/>
  <c r="AA268" i="5" s="1"/>
  <c r="O207" i="5"/>
  <c r="AN207" i="5" s="1"/>
  <c r="AG222" i="8"/>
  <c r="AS222" i="8" s="1"/>
  <c r="P69" i="4"/>
  <c r="W170" i="5" s="1"/>
  <c r="AJ193" i="8" s="1"/>
  <c r="P410" i="4"/>
  <c r="W404" i="5" s="1"/>
  <c r="AJ396" i="8" s="1"/>
  <c r="AV396" i="8" s="1"/>
  <c r="L396" i="8" s="1"/>
  <c r="P273" i="4"/>
  <c r="W51" i="5" s="1"/>
  <c r="AJ80" i="8" s="1"/>
  <c r="P289" i="4"/>
  <c r="W52" i="5" s="1"/>
  <c r="AJ81" i="8" s="1"/>
  <c r="AV81" i="8" s="1"/>
  <c r="L81" i="8" s="1"/>
  <c r="R4" i="4"/>
  <c r="Z174" i="5" s="1"/>
  <c r="AK196" i="8" s="1"/>
  <c r="R179" i="4"/>
  <c r="R102" i="4"/>
  <c r="R61" i="4"/>
  <c r="BD85" i="2"/>
  <c r="BD84" i="2"/>
  <c r="P265" i="4"/>
  <c r="W6" i="5" s="1"/>
  <c r="AJ42" i="8" s="1"/>
  <c r="P221" i="4"/>
  <c r="W80" i="5" s="1"/>
  <c r="AJ109" i="8" s="1"/>
  <c r="P11" i="4"/>
  <c r="W255" i="5" s="1"/>
  <c r="AJ264" i="8" s="1"/>
  <c r="P132" i="4"/>
  <c r="W294" i="5" s="1"/>
  <c r="AJ301" i="8" s="1"/>
  <c r="AV301" i="8" s="1"/>
  <c r="L301" i="8" s="1"/>
  <c r="P263" i="4"/>
  <c r="W289" i="5" s="1"/>
  <c r="AJ296" i="8" s="1"/>
  <c r="P287" i="4"/>
  <c r="W287" i="5" s="1"/>
  <c r="AJ294" i="8" s="1"/>
  <c r="P112" i="4"/>
  <c r="W274" i="5" s="1"/>
  <c r="AJ282" i="8" s="1"/>
  <c r="E139" i="4"/>
  <c r="F110" i="5" s="1"/>
  <c r="E93" i="4"/>
  <c r="E143" i="4"/>
  <c r="E162" i="4"/>
  <c r="E145" i="4"/>
  <c r="E92" i="4"/>
  <c r="E98" i="4"/>
  <c r="E189" i="4"/>
  <c r="E227" i="4"/>
  <c r="E118" i="4"/>
  <c r="E415" i="4"/>
  <c r="E100" i="4"/>
  <c r="E197" i="4"/>
  <c r="E198" i="4"/>
  <c r="P267" i="4"/>
  <c r="W73" i="5" s="1"/>
  <c r="AJ102" i="8" s="1"/>
  <c r="AV102" i="8" s="1"/>
  <c r="L102" i="8" s="1"/>
  <c r="P97" i="4"/>
  <c r="W130" i="5" s="1"/>
  <c r="AJ155" i="8" s="1"/>
  <c r="AV155" i="8" s="1"/>
  <c r="L155" i="8" s="1"/>
  <c r="P269" i="4"/>
  <c r="W2" i="5" s="1"/>
  <c r="AJ39" i="8" s="1"/>
  <c r="AV39" i="8" s="1"/>
  <c r="L39" i="8" s="1"/>
  <c r="F114" i="4"/>
  <c r="F150" i="4"/>
  <c r="I168" i="4"/>
  <c r="I165" i="4"/>
  <c r="I78" i="4"/>
  <c r="I52" i="4"/>
  <c r="I124" i="4"/>
  <c r="I54" i="4"/>
  <c r="I51" i="4"/>
  <c r="I26" i="4"/>
  <c r="I166" i="4"/>
  <c r="I58" i="4"/>
  <c r="I167" i="4"/>
  <c r="I36" i="4"/>
  <c r="I3" i="4"/>
  <c r="I50" i="4"/>
  <c r="X175" i="4"/>
  <c r="AI81" i="5" s="1"/>
  <c r="AN110" i="8" s="1"/>
  <c r="AZ110" i="8" s="1"/>
  <c r="P110" i="8" s="1"/>
  <c r="X178" i="4"/>
  <c r="AI85" i="5" s="1"/>
  <c r="AN114" i="8" s="1"/>
  <c r="AZ114" i="8" s="1"/>
  <c r="P114" i="8" s="1"/>
  <c r="X136" i="4"/>
  <c r="AI84" i="5" s="1"/>
  <c r="AN113" i="8" s="1"/>
  <c r="AZ113" i="8" s="1"/>
  <c r="P113" i="8" s="1"/>
  <c r="X177" i="4"/>
  <c r="AI83" i="5" s="1"/>
  <c r="AN112" i="8" s="1"/>
  <c r="AZ112" i="8" s="1"/>
  <c r="P112" i="8" s="1"/>
  <c r="X76" i="4"/>
  <c r="AI115" i="5" s="1"/>
  <c r="AN143" i="8" s="1"/>
  <c r="AZ143" i="8" s="1"/>
  <c r="P143" i="8" s="1"/>
  <c r="X25" i="4"/>
  <c r="AI252" i="5" s="1"/>
  <c r="AN262" i="8" s="1"/>
  <c r="AZ262" i="8" s="1"/>
  <c r="P262" i="8" s="1"/>
  <c r="X275" i="4"/>
  <c r="AI300" i="5" s="1"/>
  <c r="X289" i="4"/>
  <c r="AI52" i="5" s="1"/>
  <c r="AN81" i="8" s="1"/>
  <c r="X75" i="4"/>
  <c r="AI250" i="5" s="1"/>
  <c r="AN260" i="8" s="1"/>
  <c r="AZ260" i="8" s="1"/>
  <c r="P260" i="8" s="1"/>
  <c r="J146" i="4"/>
  <c r="J128" i="4"/>
  <c r="J188" i="4"/>
  <c r="J192" i="4"/>
  <c r="J117" i="4"/>
  <c r="J149" i="4"/>
  <c r="R313" i="4"/>
  <c r="R312" i="4"/>
  <c r="R349" i="4"/>
  <c r="R310" i="4"/>
  <c r="BD90" i="2"/>
  <c r="BD91" i="2"/>
  <c r="R296" i="4"/>
  <c r="Z156" i="5" s="1"/>
  <c r="R287" i="4"/>
  <c r="R279" i="4"/>
  <c r="R112" i="4"/>
  <c r="R132" i="4"/>
  <c r="R265" i="4"/>
  <c r="R221" i="4"/>
  <c r="R263" i="4"/>
  <c r="R11" i="4"/>
  <c r="F151" i="4"/>
  <c r="F152" i="4"/>
  <c r="U98" i="8"/>
  <c r="AR69" i="5"/>
  <c r="AF17" i="2"/>
  <c r="Y42" i="4"/>
  <c r="AJ16" i="5" s="1"/>
  <c r="Y44" i="4"/>
  <c r="AJ18" i="5" s="1"/>
  <c r="Y43" i="4"/>
  <c r="AJ17" i="5" s="1"/>
  <c r="Y32" i="4"/>
  <c r="AJ129" i="5" s="1"/>
  <c r="Y8" i="4"/>
  <c r="AJ177" i="5" s="1"/>
  <c r="Y6" i="4"/>
  <c r="AJ175" i="5" s="1"/>
  <c r="Y30" i="4"/>
  <c r="AJ275" i="5" s="1"/>
  <c r="Y297" i="4"/>
  <c r="AJ272" i="5" s="1"/>
  <c r="Y405" i="4"/>
  <c r="AJ410" i="5" s="1"/>
  <c r="Y411" i="4"/>
  <c r="AJ411" i="5" s="1"/>
  <c r="Y260" i="4"/>
  <c r="AJ46" i="5" s="1"/>
  <c r="Y37" i="4"/>
  <c r="AJ62" i="5" s="1"/>
  <c r="Y206" i="4"/>
  <c r="AJ71" i="5" s="1"/>
  <c r="Y172" i="4"/>
  <c r="AJ70" i="5" s="1"/>
  <c r="Y170" i="4"/>
  <c r="AJ68" i="5" s="1"/>
  <c r="Y261" i="4"/>
  <c r="AJ96" i="5" s="1"/>
  <c r="Y295" i="4"/>
  <c r="AJ98" i="5" s="1"/>
  <c r="Y126" i="4"/>
  <c r="AJ162" i="5" s="1"/>
  <c r="Y41" i="4"/>
  <c r="AJ279" i="5" s="1"/>
  <c r="AC88" i="8"/>
  <c r="AZ59" i="5"/>
  <c r="Y60" i="4"/>
  <c r="AJ66" i="5" s="1"/>
  <c r="Y109" i="4"/>
  <c r="AJ65" i="5" s="1"/>
  <c r="Y185" i="4"/>
  <c r="AJ136" i="5" s="1"/>
  <c r="Y10" i="4"/>
  <c r="AJ254" i="5" s="1"/>
  <c r="Y200" i="4"/>
  <c r="AJ244" i="5" s="1"/>
  <c r="Y125" i="4"/>
  <c r="AJ278" i="5" s="1"/>
  <c r="Y409" i="4"/>
  <c r="AJ403" i="5" s="1"/>
  <c r="Y414" i="4"/>
  <c r="AJ415" i="5" s="1"/>
  <c r="Y393" i="4"/>
  <c r="AJ392" i="5" s="1"/>
  <c r="Y413" i="4"/>
  <c r="AJ414" i="5" s="1"/>
  <c r="H294" i="4"/>
  <c r="K144" i="5" s="1"/>
  <c r="AF169" i="8" s="1"/>
  <c r="AR169" i="8" s="1"/>
  <c r="H169" i="8" s="1"/>
  <c r="H264" i="4"/>
  <c r="K198" i="5" s="1"/>
  <c r="H226" i="4"/>
  <c r="K197" i="5" s="1"/>
  <c r="AR115" i="5"/>
  <c r="AF143" i="8"/>
  <c r="AR143" i="8" s="1"/>
  <c r="H143" i="8" s="1"/>
  <c r="H207" i="4"/>
  <c r="K72" i="5" s="1"/>
  <c r="H135" i="4"/>
  <c r="K74" i="5" s="1"/>
  <c r="H259" i="4"/>
  <c r="K297" i="5" s="1"/>
  <c r="H106" i="4"/>
  <c r="K58" i="5" s="1"/>
  <c r="H105" i="4"/>
  <c r="K57" i="5" s="1"/>
  <c r="AF6" i="2"/>
  <c r="AG6" i="2"/>
  <c r="AI6" i="2"/>
  <c r="AR97" i="5"/>
  <c r="AF126" i="8"/>
  <c r="AR126" i="8" s="1"/>
  <c r="H126" i="8" s="1"/>
  <c r="S213" i="4"/>
  <c r="AA24" i="5" s="1"/>
  <c r="S215" i="4"/>
  <c r="AA26" i="5" s="1"/>
  <c r="S214" i="4"/>
  <c r="AA25" i="5" s="1"/>
  <c r="S92" i="4"/>
  <c r="AA111" i="5" s="1"/>
  <c r="S93" i="4"/>
  <c r="AA112" i="5" s="1"/>
  <c r="S143" i="4"/>
  <c r="AA126" i="5" s="1"/>
  <c r="S139" i="4"/>
  <c r="AA110" i="5" s="1"/>
  <c r="S65" i="4"/>
  <c r="AA148" i="5" s="1"/>
  <c r="S227" i="4"/>
  <c r="AA203" i="5" s="1"/>
  <c r="S145" i="4"/>
  <c r="AA178" i="5" s="1"/>
  <c r="S98" i="4"/>
  <c r="AA163" i="5" s="1"/>
  <c r="S198" i="4"/>
  <c r="AA235" i="5" s="1"/>
  <c r="S100" i="4"/>
  <c r="AA238" i="5" s="1"/>
  <c r="S118" i="4"/>
  <c r="AA236" i="5" s="1"/>
  <c r="S197" i="4"/>
  <c r="AA234" i="5" s="1"/>
  <c r="Z131" i="8"/>
  <c r="AW102" i="5"/>
  <c r="S267" i="4"/>
  <c r="AA73" i="5" s="1"/>
  <c r="S97" i="4"/>
  <c r="AA130" i="5" s="1"/>
  <c r="S142" i="4"/>
  <c r="AA125" i="5" s="1"/>
  <c r="S269" i="4"/>
  <c r="AA2" i="5" s="1"/>
  <c r="Z82" i="8"/>
  <c r="AW53" i="5"/>
  <c r="S4" i="4"/>
  <c r="S61" i="4"/>
  <c r="AA262" i="5" s="1"/>
  <c r="S102" i="4"/>
  <c r="AA266" i="5" s="1"/>
  <c r="BE84" i="2"/>
  <c r="BE85" i="2"/>
  <c r="AU131" i="8"/>
  <c r="N102" i="4"/>
  <c r="T266" i="5" s="1"/>
  <c r="AZ85" i="2"/>
  <c r="AZ84" i="2"/>
  <c r="J2" i="4"/>
  <c r="J20" i="4"/>
  <c r="N187" i="5" s="1"/>
  <c r="J256" i="4"/>
  <c r="J244" i="4"/>
  <c r="J230" i="4"/>
  <c r="J250" i="4"/>
  <c r="J29" i="4"/>
  <c r="Q280" i="4"/>
  <c r="X290" i="5" s="1"/>
  <c r="Q274" i="4"/>
  <c r="X288" i="5" s="1"/>
  <c r="Q270" i="4"/>
  <c r="X291" i="5" s="1"/>
  <c r="Q257" i="4"/>
  <c r="X295" i="5" s="1"/>
  <c r="H71" i="4"/>
  <c r="K190" i="5" s="1"/>
  <c r="H73" i="4"/>
  <c r="K192" i="5" s="1"/>
  <c r="H99" i="4"/>
  <c r="K166" i="5" s="1"/>
  <c r="AF189" i="8" s="1"/>
  <c r="AR189" i="8" s="1"/>
  <c r="H189" i="8" s="1"/>
  <c r="H222" i="4"/>
  <c r="K269" i="5" s="1"/>
  <c r="AF277" i="8" s="1"/>
  <c r="AR277" i="8" s="1"/>
  <c r="H277" i="8" s="1"/>
  <c r="J224" i="4"/>
  <c r="J180" i="4"/>
  <c r="AC11" i="2"/>
  <c r="AP55" i="5"/>
  <c r="AD84" i="8"/>
  <c r="O311" i="4"/>
  <c r="U310" i="5" s="1"/>
  <c r="O324" i="4"/>
  <c r="U327" i="5" s="1"/>
  <c r="O330" i="4"/>
  <c r="U347" i="5" s="1"/>
  <c r="M305" i="4"/>
  <c r="R314" i="5" s="1"/>
  <c r="M306" i="4"/>
  <c r="R315" i="5" s="1"/>
  <c r="M323" i="4"/>
  <c r="R326" i="5" s="1"/>
  <c r="M351" i="4"/>
  <c r="R341" i="5" s="1"/>
  <c r="M350" i="4"/>
  <c r="R339" i="5" s="1"/>
  <c r="M212" i="4"/>
  <c r="R23" i="5" s="1"/>
  <c r="M147" i="4"/>
  <c r="R293" i="5" s="1"/>
  <c r="N305" i="4"/>
  <c r="T314" i="5" s="1"/>
  <c r="AI316" i="8" s="1"/>
  <c r="N306" i="4"/>
  <c r="T315" i="5" s="1"/>
  <c r="AI317" i="8" s="1"/>
  <c r="N323" i="4"/>
  <c r="T326" i="5" s="1"/>
  <c r="AI327" i="8" s="1"/>
  <c r="N345" i="4"/>
  <c r="T337" i="5" s="1"/>
  <c r="AI337" i="8" s="1"/>
  <c r="N343" i="4"/>
  <c r="T330" i="5" s="1"/>
  <c r="AI331" i="8" s="1"/>
  <c r="N351" i="4"/>
  <c r="T341" i="5" s="1"/>
  <c r="AI341" i="8" s="1"/>
  <c r="Y163" i="4"/>
  <c r="AJ239" i="5" s="1"/>
  <c r="Y164" i="4"/>
  <c r="AJ240" i="5" s="1"/>
  <c r="F238" i="4"/>
  <c r="H105" i="5" s="1"/>
  <c r="F94" i="4"/>
  <c r="F266" i="4"/>
  <c r="F196" i="4"/>
  <c r="F64" i="4"/>
  <c r="F251" i="4"/>
  <c r="F247" i="4"/>
  <c r="F202" i="4"/>
  <c r="F121" i="4"/>
  <c r="AW19" i="5"/>
  <c r="X191" i="4"/>
  <c r="AI282" i="5" s="1"/>
  <c r="AN289" i="8" s="1"/>
  <c r="X190" i="4"/>
  <c r="AI281" i="5" s="1"/>
  <c r="AN288" i="8" s="1"/>
  <c r="X129" i="4"/>
  <c r="AI283" i="5" s="1"/>
  <c r="AN290" i="8" s="1"/>
  <c r="Y318" i="4"/>
  <c r="AJ306" i="5" s="1"/>
  <c r="Y333" i="4"/>
  <c r="AJ350" i="5" s="1"/>
  <c r="Y337" i="4"/>
  <c r="AJ321" i="5" s="1"/>
  <c r="Y328" i="4"/>
  <c r="AJ344" i="5" s="1"/>
  <c r="Y327" i="4"/>
  <c r="AJ343" i="5" s="1"/>
  <c r="AB232" i="8"/>
  <c r="AY219" i="5"/>
  <c r="D274" i="4"/>
  <c r="E288" i="5" s="1"/>
  <c r="D280" i="4"/>
  <c r="E290" i="5" s="1"/>
  <c r="D270" i="4"/>
  <c r="E291" i="5" s="1"/>
  <c r="D257" i="4"/>
  <c r="E295" i="5" s="1"/>
  <c r="AO210" i="8"/>
  <c r="BA191" i="5"/>
  <c r="AP306" i="5"/>
  <c r="AD308" i="8"/>
  <c r="AP308" i="8" s="1"/>
  <c r="F308" i="8" s="1"/>
  <c r="M237" i="4"/>
  <c r="R104" i="5" s="1"/>
  <c r="M242" i="4"/>
  <c r="R146" i="5" s="1"/>
  <c r="M228" i="4"/>
  <c r="R218" i="5" s="1"/>
  <c r="AY87" i="2"/>
  <c r="AY88" i="2"/>
  <c r="E274" i="4"/>
  <c r="E258" i="4"/>
  <c r="E270" i="4"/>
  <c r="E257" i="4"/>
  <c r="E280" i="4"/>
  <c r="E96" i="4"/>
  <c r="E281" i="4"/>
  <c r="O203" i="4"/>
  <c r="U37" i="5" s="1"/>
  <c r="O225" i="4"/>
  <c r="U196" i="5" s="1"/>
  <c r="O318" i="4"/>
  <c r="U306" i="5" s="1"/>
  <c r="O326" i="4"/>
  <c r="U342" i="5" s="1"/>
  <c r="O328" i="4"/>
  <c r="U344" i="5" s="1"/>
  <c r="O327" i="4"/>
  <c r="U343" i="5" s="1"/>
  <c r="O333" i="4"/>
  <c r="U350" i="5" s="1"/>
  <c r="O337" i="4"/>
  <c r="U321" i="5" s="1"/>
  <c r="U140" i="4" a="1"/>
  <c r="U140" i="4" s="1"/>
  <c r="AD14" i="5" s="1"/>
  <c r="U135" i="4" a="1"/>
  <c r="U135" i="4" s="1"/>
  <c r="AD74" i="5" s="1"/>
  <c r="U122" i="4" a="1"/>
  <c r="U122" i="4" s="1"/>
  <c r="AD141" i="5" s="1"/>
  <c r="U188" i="4" a="1"/>
  <c r="U188" i="4" s="1"/>
  <c r="AD152" i="5" s="1"/>
  <c r="U150" i="4" a="1"/>
  <c r="U150" i="4" s="1"/>
  <c r="AD202" i="5" s="1"/>
  <c r="U149" i="4" a="1"/>
  <c r="U149" i="4" s="1"/>
  <c r="AD201" i="5" s="1"/>
  <c r="U162" i="4" a="1"/>
  <c r="U162" i="4" s="1"/>
  <c r="AD237" i="5" s="1"/>
  <c r="U227" i="4" a="1"/>
  <c r="U227" i="4" s="1"/>
  <c r="AD203" i="5" s="1"/>
  <c r="U198" i="4" a="1"/>
  <c r="U198" i="4" s="1"/>
  <c r="AD235" i="5" s="1"/>
  <c r="U151" i="4" a="1"/>
  <c r="U151" i="4" s="1"/>
  <c r="AD204" i="5" s="1"/>
  <c r="C164" i="4"/>
  <c r="C240" i="5" s="1"/>
  <c r="H282" i="4"/>
  <c r="K222" i="5" s="1"/>
  <c r="Z31" i="4"/>
  <c r="AL127" i="5" s="1"/>
  <c r="Z110" i="4"/>
  <c r="AL88" i="5" s="1"/>
  <c r="Z79" i="4"/>
  <c r="AL131" i="5" s="1"/>
  <c r="Z253" i="4"/>
  <c r="AL168" i="5" s="1"/>
  <c r="X309" i="4"/>
  <c r="AI308" i="5" s="1"/>
  <c r="AN310" i="8" s="1"/>
  <c r="AZ310" i="8" s="1"/>
  <c r="P310" i="8" s="1"/>
  <c r="X314" i="4"/>
  <c r="AI313" i="5" s="1"/>
  <c r="AN315" i="8" s="1"/>
  <c r="AZ315" i="8" s="1"/>
  <c r="P315" i="8" s="1"/>
  <c r="X307" i="4"/>
  <c r="AI317" i="5" s="1"/>
  <c r="AN319" i="8" s="1"/>
  <c r="AZ319" i="8" s="1"/>
  <c r="P319" i="8" s="1"/>
  <c r="X316" i="4"/>
  <c r="AI318" i="5" s="1"/>
  <c r="AN320" i="8" s="1"/>
  <c r="AZ320" i="8" s="1"/>
  <c r="P320" i="8" s="1"/>
  <c r="X347" i="4"/>
  <c r="AI336" i="5" s="1"/>
  <c r="AN336" i="8" s="1"/>
  <c r="AZ336" i="8" s="1"/>
  <c r="P336" i="8" s="1"/>
  <c r="X315" i="4"/>
  <c r="AI316" i="5" s="1"/>
  <c r="AN318" i="8" s="1"/>
  <c r="AZ318" i="8" s="1"/>
  <c r="P318" i="8" s="1"/>
  <c r="X339" i="4"/>
  <c r="AI319" i="5" s="1"/>
  <c r="AN321" i="8" s="1"/>
  <c r="AZ321" i="8" s="1"/>
  <c r="P321" i="8" s="1"/>
  <c r="R315" i="4"/>
  <c r="R339" i="4"/>
  <c r="R316" i="4"/>
  <c r="R314" i="4"/>
  <c r="R347" i="4"/>
  <c r="R309" i="4"/>
  <c r="R307" i="4"/>
  <c r="P164" i="4"/>
  <c r="W240" i="5" s="1"/>
  <c r="AA89" i="8"/>
  <c r="AX60" i="5"/>
  <c r="S309" i="4"/>
  <c r="AA308" i="5" s="1"/>
  <c r="K378" i="4"/>
  <c r="O378" i="5" s="1"/>
  <c r="O163" i="4"/>
  <c r="U239" i="5" s="1"/>
  <c r="D182" i="4"/>
  <c r="E11" i="5" s="1"/>
  <c r="L210" i="4"/>
  <c r="Q21" i="5" s="1"/>
  <c r="AH54" i="8" s="1"/>
  <c r="AT54" i="8" s="1"/>
  <c r="J54" i="8" s="1"/>
  <c r="M220" i="4"/>
  <c r="R9" i="5" s="1"/>
  <c r="S54" i="4"/>
  <c r="AA47" i="5" s="1"/>
  <c r="Q223" i="4"/>
  <c r="X15" i="5" s="1"/>
  <c r="P140" i="4"/>
  <c r="W14" i="5" s="1"/>
  <c r="AJ49" i="8" s="1"/>
  <c r="S10" i="4"/>
  <c r="AA254" i="5" s="1"/>
  <c r="Z181" i="4"/>
  <c r="AL10" i="5" s="1"/>
  <c r="AF69" i="2"/>
  <c r="X51" i="4"/>
  <c r="AI39" i="5" s="1"/>
  <c r="AN70" i="8" s="1"/>
  <c r="AZ70" i="8" s="1"/>
  <c r="P70" i="8" s="1"/>
  <c r="U289" i="4" a="1"/>
  <c r="U289" i="4" s="1"/>
  <c r="AD52" i="5" s="1"/>
  <c r="U105" i="4" a="1"/>
  <c r="U105" i="4" s="1"/>
  <c r="AD57" i="5" s="1"/>
  <c r="Q38" i="4"/>
  <c r="X63" i="5" s="1"/>
  <c r="U47" i="4" a="1"/>
  <c r="U47" i="4" s="1"/>
  <c r="AD33" i="5" s="1"/>
  <c r="U59" i="4" a="1"/>
  <c r="U59" i="4" s="1"/>
  <c r="AD45" i="5" s="1"/>
  <c r="D236" i="4"/>
  <c r="E95" i="5" s="1"/>
  <c r="L249" i="4"/>
  <c r="Q99" i="5" s="1"/>
  <c r="AH128" i="8" s="1"/>
  <c r="AT128" i="8" s="1"/>
  <c r="J128" i="8" s="1"/>
  <c r="U295" i="4" a="1"/>
  <c r="U295" i="4" s="1"/>
  <c r="AD98" i="5" s="1"/>
  <c r="Y293" i="4"/>
  <c r="AJ89" i="5" s="1"/>
  <c r="M284" i="4"/>
  <c r="R106" i="5" s="1"/>
  <c r="Q120" i="4"/>
  <c r="X93" i="5" s="1"/>
  <c r="D141" i="4"/>
  <c r="E123" i="5" s="1"/>
  <c r="AD9" i="8" s="1"/>
  <c r="D120" i="4"/>
  <c r="E93" i="5" s="1"/>
  <c r="U142" i="4" a="1"/>
  <c r="U142" i="4" s="1"/>
  <c r="AD125" i="5" s="1"/>
  <c r="C80" i="4"/>
  <c r="C134" i="5" s="1"/>
  <c r="D65" i="4"/>
  <c r="E148" i="5" s="1"/>
  <c r="AD12" i="8" s="1"/>
  <c r="U186" i="4" a="1"/>
  <c r="U186" i="4" s="1"/>
  <c r="AD150" i="5" s="1"/>
  <c r="U114" i="4" a="1"/>
  <c r="U114" i="4" s="1"/>
  <c r="AD138" i="5" s="1"/>
  <c r="M144" i="4"/>
  <c r="R155" i="5" s="1"/>
  <c r="L188" i="4"/>
  <c r="Q152" i="5" s="1"/>
  <c r="AH176" i="8" s="1"/>
  <c r="AT176" i="8" s="1"/>
  <c r="J176" i="8" s="1"/>
  <c r="P114" i="4"/>
  <c r="W138" i="5" s="1"/>
  <c r="AJ163" i="8" s="1"/>
  <c r="L278" i="4"/>
  <c r="Q139" i="5" s="1"/>
  <c r="AH164" i="8" s="1"/>
  <c r="AT164" i="8" s="1"/>
  <c r="J164" i="8" s="1"/>
  <c r="X296" i="4"/>
  <c r="AI156" i="5" s="1"/>
  <c r="AN180" i="8" s="1"/>
  <c r="AZ180" i="8" s="1"/>
  <c r="P180" i="8" s="1"/>
  <c r="X184" i="4"/>
  <c r="AI132" i="5" s="1"/>
  <c r="AN157" i="8" s="1"/>
  <c r="AZ157" i="8" s="1"/>
  <c r="P157" i="8" s="1"/>
  <c r="F241" i="4"/>
  <c r="H128" i="5" s="1"/>
  <c r="T143" i="4" a="1"/>
  <c r="T143" i="4" s="1"/>
  <c r="AC126" i="5" s="1"/>
  <c r="AL151" i="8" s="1"/>
  <c r="E16" i="4"/>
  <c r="F183" i="5" s="1"/>
  <c r="T187" i="4" a="1"/>
  <c r="T187" i="4" s="1"/>
  <c r="AC151" i="5" s="1"/>
  <c r="AL175" i="8" s="1"/>
  <c r="AX175" i="8" s="1"/>
  <c r="X16" i="4"/>
  <c r="AI183" i="5" s="1"/>
  <c r="AN16" i="8" s="1"/>
  <c r="AZ16" i="8" s="1"/>
  <c r="P16" i="8" s="1"/>
  <c r="S224" i="4"/>
  <c r="AA169" i="5" s="1"/>
  <c r="AX181" i="5"/>
  <c r="AA202" i="8"/>
  <c r="H144" i="4"/>
  <c r="K155" i="5" s="1"/>
  <c r="O83" i="4"/>
  <c r="U159" i="5" s="1"/>
  <c r="Z16" i="4"/>
  <c r="AL183" i="5" s="1"/>
  <c r="X255" i="4"/>
  <c r="AI195" i="5" s="1"/>
  <c r="AN214" i="8" s="1"/>
  <c r="AZ214" i="8" s="1"/>
  <c r="P214" i="8" s="1"/>
  <c r="M67" i="4"/>
  <c r="R164" i="5" s="1"/>
  <c r="C160" i="4"/>
  <c r="C216" i="5" s="1"/>
  <c r="D247" i="4"/>
  <c r="E231" i="5" s="1"/>
  <c r="C67" i="4"/>
  <c r="C164" i="5" s="1"/>
  <c r="Q148" i="4"/>
  <c r="X200" i="5" s="1"/>
  <c r="D160" i="4"/>
  <c r="E216" i="5" s="1"/>
  <c r="AD229" i="8" s="1"/>
  <c r="U100" i="4" a="1"/>
  <c r="U100" i="4" s="1"/>
  <c r="AD238" i="5" s="1"/>
  <c r="T150" i="4" a="1"/>
  <c r="T150" i="4" s="1"/>
  <c r="AC202" i="5" s="1"/>
  <c r="AL220" i="8" s="1"/>
  <c r="M128" i="4"/>
  <c r="R179" i="5" s="1"/>
  <c r="T247" i="4" a="1"/>
  <c r="T247" i="4" s="1"/>
  <c r="AC231" i="5" s="1"/>
  <c r="AL243" i="8" s="1"/>
  <c r="L201" i="4"/>
  <c r="Q249" i="5" s="1"/>
  <c r="AH259" i="8" s="1"/>
  <c r="AT259" i="8" s="1"/>
  <c r="J259" i="8" s="1"/>
  <c r="T153" i="4" a="1"/>
  <c r="T153" i="4" s="1"/>
  <c r="AC206" i="5" s="1"/>
  <c r="AL221" i="8" s="1"/>
  <c r="X258" i="4"/>
  <c r="AI296" i="5" s="1"/>
  <c r="AC80" i="2"/>
  <c r="S179" i="4"/>
  <c r="AA261" i="5" s="1"/>
  <c r="S258" i="4"/>
  <c r="AA296" i="5" s="1"/>
  <c r="F66" i="4"/>
  <c r="H277" i="5" s="1"/>
  <c r="U204" i="4" a="1"/>
  <c r="U204" i="4" s="1"/>
  <c r="AD251" i="5" s="1"/>
  <c r="U257" i="4" a="1"/>
  <c r="U257" i="4" s="1"/>
  <c r="AD295" i="5" s="1"/>
  <c r="Q287" i="4"/>
  <c r="X287" i="5" s="1"/>
  <c r="U209" i="4" a="1"/>
  <c r="U209" i="4" s="1"/>
  <c r="AD259" i="5" s="1"/>
  <c r="X66" i="4"/>
  <c r="AI277" i="5" s="1"/>
  <c r="AN285" i="8" s="1"/>
  <c r="AZ285" i="8" s="1"/>
  <c r="P285" i="8" s="1"/>
  <c r="T257" i="4" a="1"/>
  <c r="T257" i="4" s="1"/>
  <c r="AC295" i="5" s="1"/>
  <c r="AL302" i="8" s="1"/>
  <c r="T147" i="4" a="1"/>
  <c r="T147" i="4" s="1"/>
  <c r="AC293" i="5" s="1"/>
  <c r="AL300" i="8" s="1"/>
  <c r="L321" i="4"/>
  <c r="Q324" i="5" s="1"/>
  <c r="AH326" i="8" s="1"/>
  <c r="AT326" i="8" s="1"/>
  <c r="J326" i="8" s="1"/>
  <c r="T183" i="4" a="1"/>
  <c r="T183" i="4" s="1"/>
  <c r="AC271" i="5" s="1"/>
  <c r="AL279" i="8" s="1"/>
  <c r="O357" i="4"/>
  <c r="U361" i="5" s="1"/>
  <c r="I346" i="4"/>
  <c r="L340" i="5" s="1"/>
  <c r="X355" i="4"/>
  <c r="AI362" i="5" s="1"/>
  <c r="AN33" i="8" s="1"/>
  <c r="S358" i="4"/>
  <c r="AA352" i="5" s="1"/>
  <c r="O383" i="4"/>
  <c r="U383" i="5" s="1"/>
  <c r="Y367" i="4"/>
  <c r="AJ368" i="5" s="1"/>
  <c r="L415" i="4"/>
  <c r="Q409" i="5" s="1"/>
  <c r="P85" i="8"/>
  <c r="P40" i="8"/>
  <c r="Y210" i="8"/>
  <c r="AW210" i="8" s="1"/>
  <c r="AV191" i="5"/>
  <c r="AX304" i="5"/>
  <c r="AA306" i="8"/>
  <c r="E7" i="14"/>
  <c r="AX385" i="5"/>
  <c r="I311" i="4"/>
  <c r="L310" i="5" s="1"/>
  <c r="I324" i="4"/>
  <c r="L327" i="5" s="1"/>
  <c r="I330" i="4"/>
  <c r="L347" i="5" s="1"/>
  <c r="M302" i="4"/>
  <c r="R77" i="5" s="1"/>
  <c r="M174" i="4"/>
  <c r="R79" i="5" s="1"/>
  <c r="M24" i="4"/>
  <c r="R182" i="5" s="1"/>
  <c r="M14" i="4"/>
  <c r="R180" i="5" s="1"/>
  <c r="M18" i="4"/>
  <c r="R185" i="5" s="1"/>
  <c r="F119" i="4"/>
  <c r="H241" i="5" s="1"/>
  <c r="F217" i="4"/>
  <c r="F216" i="4"/>
  <c r="AI37" i="2"/>
  <c r="AG37" i="2"/>
  <c r="AF222" i="8"/>
  <c r="AR222" i="8" s="1"/>
  <c r="H222" i="8" s="1"/>
  <c r="I238" i="4"/>
  <c r="I247" i="4"/>
  <c r="I266" i="4"/>
  <c r="I64" i="4"/>
  <c r="I251" i="4"/>
  <c r="I94" i="4"/>
  <c r="I202" i="4"/>
  <c r="I121" i="4"/>
  <c r="I186" i="4"/>
  <c r="I196" i="4"/>
  <c r="J16" i="4"/>
  <c r="N183" i="5" s="1"/>
  <c r="J135" i="4"/>
  <c r="J35" i="4"/>
  <c r="J207" i="4"/>
  <c r="J113" i="4"/>
  <c r="J259" i="4"/>
  <c r="AY303" i="5"/>
  <c r="AM305" i="8"/>
  <c r="Z358" i="4"/>
  <c r="AL352" i="5" s="1"/>
  <c r="Z367" i="4"/>
  <c r="AL368" i="5" s="1"/>
  <c r="Z369" i="4"/>
  <c r="AL353" i="5" s="1"/>
  <c r="Z365" i="4"/>
  <c r="AL365" i="5" s="1"/>
  <c r="Z360" i="4"/>
  <c r="AL364" i="5" s="1"/>
  <c r="W369" i="4"/>
  <c r="AG353" i="5" s="1"/>
  <c r="W368" i="4"/>
  <c r="AG369" i="5" s="1"/>
  <c r="W356" i="4"/>
  <c r="AG366" i="5" s="1"/>
  <c r="W367" i="4"/>
  <c r="AG368" i="5" s="1"/>
  <c r="W365" i="4"/>
  <c r="AG365" i="5" s="1"/>
  <c r="W366" i="4"/>
  <c r="AG367" i="5" s="1"/>
  <c r="W358" i="4"/>
  <c r="AG352" i="5" s="1"/>
  <c r="W360" i="4"/>
  <c r="AG364" i="5" s="1"/>
  <c r="M265" i="4"/>
  <c r="R6" i="5" s="1"/>
  <c r="M221" i="4"/>
  <c r="R80" i="5" s="1"/>
  <c r="M11" i="4"/>
  <c r="R255" i="5" s="1"/>
  <c r="M263" i="4"/>
  <c r="R289" i="5" s="1"/>
  <c r="M287" i="4"/>
  <c r="R287" i="5" s="1"/>
  <c r="M279" i="4"/>
  <c r="R286" i="5" s="1"/>
  <c r="M132" i="4"/>
  <c r="R294" i="5" s="1"/>
  <c r="R114" i="4"/>
  <c r="R150" i="4"/>
  <c r="R75" i="8"/>
  <c r="Q152" i="4"/>
  <c r="X205" i="5" s="1"/>
  <c r="Q151" i="4"/>
  <c r="X204" i="5" s="1"/>
  <c r="O12" i="4"/>
  <c r="U263" i="5" s="1"/>
  <c r="O66" i="4"/>
  <c r="U277" i="5" s="1"/>
  <c r="AL81" i="2"/>
  <c r="AT107" i="5"/>
  <c r="W136" i="8"/>
  <c r="AF82" i="2"/>
  <c r="U172" i="8"/>
  <c r="AR147" i="5"/>
  <c r="F282" i="4"/>
  <c r="H222" i="5" s="1"/>
  <c r="F19" i="4"/>
  <c r="H186" i="5" s="1"/>
  <c r="F74" i="4"/>
  <c r="F407" i="4"/>
  <c r="F70" i="4"/>
  <c r="O317" i="4"/>
  <c r="U305" i="5" s="1"/>
  <c r="O329" i="4"/>
  <c r="U345" i="5" s="1"/>
  <c r="O336" i="4"/>
  <c r="U346" i="5" s="1"/>
  <c r="O319" i="4"/>
  <c r="U329" i="5" s="1"/>
  <c r="O322" i="4"/>
  <c r="U325" i="5" s="1"/>
  <c r="O334" i="4"/>
  <c r="U322" i="5" s="1"/>
  <c r="O320" i="4"/>
  <c r="U320" i="5" s="1"/>
  <c r="O348" i="4"/>
  <c r="U351" i="5" s="1"/>
  <c r="R122" i="4"/>
  <c r="R194" i="4"/>
  <c r="R245" i="4"/>
  <c r="R246" i="4"/>
  <c r="R123" i="4"/>
  <c r="R131" i="4"/>
  <c r="E69" i="4"/>
  <c r="E410" i="4"/>
  <c r="E115" i="4"/>
  <c r="E116" i="4"/>
  <c r="E392" i="4"/>
  <c r="L19" i="4"/>
  <c r="Q186" i="5" s="1"/>
  <c r="AH206" i="8" s="1"/>
  <c r="AT206" i="8" s="1"/>
  <c r="J206" i="8" s="1"/>
  <c r="L74" i="4"/>
  <c r="Q208" i="5" s="1"/>
  <c r="AH223" i="8" s="1"/>
  <c r="AT223" i="8" s="1"/>
  <c r="J223" i="8" s="1"/>
  <c r="L407" i="4"/>
  <c r="Q395" i="5" s="1"/>
  <c r="O90" i="5"/>
  <c r="Y311" i="4"/>
  <c r="AJ310" i="5" s="1"/>
  <c r="Y324" i="4"/>
  <c r="AJ327" i="5" s="1"/>
  <c r="E350" i="4"/>
  <c r="E343" i="4"/>
  <c r="E344" i="4"/>
  <c r="E351" i="4"/>
  <c r="E305" i="4"/>
  <c r="E345" i="4"/>
  <c r="E306" i="4"/>
  <c r="E323" i="4"/>
  <c r="O23" i="4"/>
  <c r="U13" i="5" s="1"/>
  <c r="O53" i="4"/>
  <c r="U43" i="5" s="1"/>
  <c r="O298" i="4"/>
  <c r="U124" i="5" s="1"/>
  <c r="S163" i="4"/>
  <c r="AA239" i="5" s="1"/>
  <c r="S164" i="4"/>
  <c r="AA240" i="5" s="1"/>
  <c r="AW240" i="5" s="1"/>
  <c r="Y305" i="4"/>
  <c r="AJ314" i="5" s="1"/>
  <c r="Y306" i="4"/>
  <c r="AJ315" i="5" s="1"/>
  <c r="Y351" i="4"/>
  <c r="AJ341" i="5" s="1"/>
  <c r="Y350" i="4"/>
  <c r="AJ339" i="5" s="1"/>
  <c r="Y345" i="4"/>
  <c r="AJ337" i="5" s="1"/>
  <c r="AC23" i="2"/>
  <c r="AP298" i="5"/>
  <c r="AD304" i="8"/>
  <c r="AP304" i="8" s="1"/>
  <c r="J367" i="4"/>
  <c r="N368" i="5" s="1"/>
  <c r="AG366" i="8" s="1"/>
  <c r="J358" i="4"/>
  <c r="N352" i="5" s="1"/>
  <c r="AG351" i="8" s="1"/>
  <c r="AS351" i="8" s="1"/>
  <c r="J368" i="4"/>
  <c r="N369" i="5" s="1"/>
  <c r="AG367" i="8" s="1"/>
  <c r="J366" i="4"/>
  <c r="N367" i="5" s="1"/>
  <c r="AG365" i="8" s="1"/>
  <c r="J370" i="4"/>
  <c r="N354" i="5" s="1"/>
  <c r="AG353" i="8" s="1"/>
  <c r="J360" i="4"/>
  <c r="N364" i="5" s="1"/>
  <c r="AG362" i="8" s="1"/>
  <c r="J369" i="4"/>
  <c r="N353" i="5" s="1"/>
  <c r="AG352" i="8" s="1"/>
  <c r="J365" i="4"/>
  <c r="N365" i="5" s="1"/>
  <c r="AG363" i="8" s="1"/>
  <c r="J356" i="4"/>
  <c r="N366" i="5" s="1"/>
  <c r="AG364" i="8" s="1"/>
  <c r="AR385" i="5"/>
  <c r="AF74" i="2"/>
  <c r="AF49" i="2"/>
  <c r="AR307" i="5"/>
  <c r="U309" i="8"/>
  <c r="AB205" i="8"/>
  <c r="AY185" i="5"/>
  <c r="I219" i="4"/>
  <c r="L265" i="5" s="1"/>
  <c r="I176" i="4"/>
  <c r="I209" i="4"/>
  <c r="I127" i="4"/>
  <c r="I181" i="4"/>
  <c r="I182" i="4"/>
  <c r="I120" i="4"/>
  <c r="I236" i="4"/>
  <c r="I240" i="4"/>
  <c r="I184" i="4"/>
  <c r="I137" i="4"/>
  <c r="H246" i="4"/>
  <c r="K230" i="5" s="1"/>
  <c r="H122" i="4"/>
  <c r="K141" i="5" s="1"/>
  <c r="H245" i="4"/>
  <c r="K229" i="5" s="1"/>
  <c r="AZ221" i="8"/>
  <c r="BA303" i="5"/>
  <c r="AO305" i="8"/>
  <c r="H212" i="4"/>
  <c r="K23" i="5" s="1"/>
  <c r="H210" i="4"/>
  <c r="H148" i="4"/>
  <c r="R233" i="4"/>
  <c r="R272" i="4"/>
  <c r="R205" i="4"/>
  <c r="R234" i="4"/>
  <c r="AT90" i="2"/>
  <c r="AT91" i="2"/>
  <c r="I41" i="4"/>
  <c r="L279" i="5" s="1"/>
  <c r="I170" i="4"/>
  <c r="I37" i="4"/>
  <c r="I199" i="4"/>
  <c r="I260" i="4"/>
  <c r="I295" i="4"/>
  <c r="I206" i="4"/>
  <c r="I172" i="4"/>
  <c r="I126" i="4"/>
  <c r="I261" i="4"/>
  <c r="I39" i="4"/>
  <c r="F8" i="4"/>
  <c r="F30" i="4"/>
  <c r="F6" i="4"/>
  <c r="F42" i="4"/>
  <c r="F33" i="4"/>
  <c r="F43" i="4"/>
  <c r="F44" i="4"/>
  <c r="L4" i="4"/>
  <c r="Q174" i="5" s="1"/>
  <c r="AH196" i="8" s="1"/>
  <c r="AT196" i="8" s="1"/>
  <c r="J196" i="8" s="1"/>
  <c r="L61" i="4"/>
  <c r="Q262" i="5" s="1"/>
  <c r="AH271" i="8" s="1"/>
  <c r="AT271" i="8" s="1"/>
  <c r="J271" i="8" s="1"/>
  <c r="AX85" i="2"/>
  <c r="AX84" i="2"/>
  <c r="D303" i="4"/>
  <c r="E303" i="5" s="1"/>
  <c r="D331" i="4"/>
  <c r="E348" i="5" s="1"/>
  <c r="P152" i="4"/>
  <c r="W205" i="5" s="1"/>
  <c r="AJ21" i="8" s="1"/>
  <c r="P151" i="4"/>
  <c r="W204" i="5" s="1"/>
  <c r="AJ20" i="8" s="1"/>
  <c r="AV20" i="8" s="1"/>
  <c r="L20" i="8" s="1"/>
  <c r="E57" i="4"/>
  <c r="E105" i="4"/>
  <c r="E106" i="4"/>
  <c r="L368" i="4"/>
  <c r="Q369" i="5" s="1"/>
  <c r="AH367" i="8" s="1"/>
  <c r="L356" i="4"/>
  <c r="Q366" i="5" s="1"/>
  <c r="AH364" i="8" s="1"/>
  <c r="L369" i="4"/>
  <c r="Q353" i="5" s="1"/>
  <c r="AH352" i="8" s="1"/>
  <c r="L367" i="4"/>
  <c r="Q368" i="5" s="1"/>
  <c r="AH366" i="8" s="1"/>
  <c r="L370" i="4"/>
  <c r="Q354" i="5" s="1"/>
  <c r="AH353" i="8" s="1"/>
  <c r="L366" i="4"/>
  <c r="Q367" i="5" s="1"/>
  <c r="AH365" i="8" s="1"/>
  <c r="AY90" i="5"/>
  <c r="AB119" i="8"/>
  <c r="AZ119" i="8" s="1"/>
  <c r="I370" i="4"/>
  <c r="L354" i="5" s="1"/>
  <c r="I360" i="4"/>
  <c r="L364" i="5" s="1"/>
  <c r="I366" i="4"/>
  <c r="L367" i="5" s="1"/>
  <c r="I365" i="4"/>
  <c r="L365" i="5" s="1"/>
  <c r="I356" i="4"/>
  <c r="L366" i="5" s="1"/>
  <c r="I369" i="4"/>
  <c r="L353" i="5" s="1"/>
  <c r="I367" i="4"/>
  <c r="L368" i="5" s="1"/>
  <c r="I368" i="4"/>
  <c r="L369" i="5" s="1"/>
  <c r="R238" i="4"/>
  <c r="R266" i="4"/>
  <c r="R202" i="4"/>
  <c r="R251" i="4"/>
  <c r="R186" i="4"/>
  <c r="R121" i="4"/>
  <c r="R94" i="4"/>
  <c r="R247" i="4"/>
  <c r="R196" i="4"/>
  <c r="R64" i="4"/>
  <c r="Y294" i="4"/>
  <c r="AJ144" i="5" s="1"/>
  <c r="Y254" i="4"/>
  <c r="AJ194" i="5" s="1"/>
  <c r="Y226" i="4"/>
  <c r="AJ197" i="5" s="1"/>
  <c r="Y301" i="4"/>
  <c r="AJ189" i="5" s="1"/>
  <c r="Y264" i="4"/>
  <c r="AJ198" i="5" s="1"/>
  <c r="AD104" i="8"/>
  <c r="AP75" i="5"/>
  <c r="AZ206" i="5"/>
  <c r="AC221" i="8"/>
  <c r="X297" i="4"/>
  <c r="AI272" i="5" s="1"/>
  <c r="AN280" i="8" s="1"/>
  <c r="AZ280" i="8" s="1"/>
  <c r="X411" i="4"/>
  <c r="AI411" i="5" s="1"/>
  <c r="AN402" i="8" s="1"/>
  <c r="AZ402" i="8" s="1"/>
  <c r="P402" i="8" s="1"/>
  <c r="X405" i="4"/>
  <c r="AI410" i="5" s="1"/>
  <c r="AN401" i="8" s="1"/>
  <c r="AZ401" i="8" s="1"/>
  <c r="P401" i="8" s="1"/>
  <c r="L60" i="4"/>
  <c r="Q66" i="5" s="1"/>
  <c r="AH95" i="8" s="1"/>
  <c r="AT95" i="8" s="1"/>
  <c r="J95" i="8" s="1"/>
  <c r="L187" i="4"/>
  <c r="Q151" i="5" s="1"/>
  <c r="AH175" i="8" s="1"/>
  <c r="AT175" i="8" s="1"/>
  <c r="J175" i="8" s="1"/>
  <c r="L185" i="4"/>
  <c r="Q136" i="5" s="1"/>
  <c r="AH161" i="8" s="1"/>
  <c r="AT161" i="8" s="1"/>
  <c r="J161" i="8" s="1"/>
  <c r="L125" i="4"/>
  <c r="Q278" i="5" s="1"/>
  <c r="AH286" i="8" s="1"/>
  <c r="AT286" i="8" s="1"/>
  <c r="J286" i="8" s="1"/>
  <c r="L218" i="4"/>
  <c r="Q242" i="5" s="1"/>
  <c r="AH253" i="8" s="1"/>
  <c r="AT253" i="8" s="1"/>
  <c r="J253" i="8" s="1"/>
  <c r="L401" i="4"/>
  <c r="Q408" i="5" s="1"/>
  <c r="L393" i="4"/>
  <c r="Q392" i="5" s="1"/>
  <c r="L409" i="4"/>
  <c r="Q403" i="5" s="1"/>
  <c r="L398" i="4"/>
  <c r="Q405" i="5" s="1"/>
  <c r="L413" i="4"/>
  <c r="Q414" i="5" s="1"/>
  <c r="L414" i="4"/>
  <c r="Q415" i="5" s="1"/>
  <c r="R410" i="4"/>
  <c r="Z404" i="5" s="1"/>
  <c r="R392" i="4"/>
  <c r="Z413" i="5" s="1"/>
  <c r="R69" i="4"/>
  <c r="R115" i="4"/>
  <c r="R116" i="4"/>
  <c r="R275" i="4"/>
  <c r="R273" i="4"/>
  <c r="R62" i="4"/>
  <c r="R75" i="4"/>
  <c r="R68" i="4"/>
  <c r="R289" i="4"/>
  <c r="X4" i="4"/>
  <c r="AI174" i="5" s="1"/>
  <c r="AN196" i="8" s="1"/>
  <c r="AZ196" i="8" s="1"/>
  <c r="P196" i="8" s="1"/>
  <c r="X61" i="4"/>
  <c r="AI262" i="5" s="1"/>
  <c r="AN271" i="8" s="1"/>
  <c r="BJ84" i="2"/>
  <c r="BJ85" i="2"/>
  <c r="E229" i="4"/>
  <c r="F28" i="5" s="1"/>
  <c r="E250" i="4"/>
  <c r="F103" i="5" s="1"/>
  <c r="E20" i="4"/>
  <c r="F187" i="5" s="1"/>
  <c r="E29" i="4"/>
  <c r="F268" i="5" s="1"/>
  <c r="E256" i="4"/>
  <c r="F213" i="5" s="1"/>
  <c r="E244" i="4"/>
  <c r="F219" i="5" s="1"/>
  <c r="E230" i="4"/>
  <c r="F220" i="5" s="1"/>
  <c r="E2" i="4"/>
  <c r="Y56" i="8"/>
  <c r="Q234" i="4"/>
  <c r="X30" i="5" s="1"/>
  <c r="Q272" i="4"/>
  <c r="X50" i="5" s="1"/>
  <c r="Q205" i="4"/>
  <c r="X53" i="5" s="1"/>
  <c r="V317" i="4"/>
  <c r="AF305" i="5" s="1"/>
  <c r="V319" i="4"/>
  <c r="AF329" i="5" s="1"/>
  <c r="V335" i="4"/>
  <c r="AF323" i="5" s="1"/>
  <c r="V348" i="4"/>
  <c r="AF351" i="5" s="1"/>
  <c r="V342" i="4"/>
  <c r="AF334" i="5" s="1"/>
  <c r="V336" i="4"/>
  <c r="AF346" i="5" s="1"/>
  <c r="V341" i="4"/>
  <c r="AF333" i="5" s="1"/>
  <c r="V329" i="4"/>
  <c r="AF345" i="5" s="1"/>
  <c r="V334" i="4"/>
  <c r="AF322" i="5" s="1"/>
  <c r="V321" i="4"/>
  <c r="AF324" i="5" s="1"/>
  <c r="Z196" i="4"/>
  <c r="AL8" i="5" s="1"/>
  <c r="Z266" i="4"/>
  <c r="AL7" i="5" s="1"/>
  <c r="Z202" i="4"/>
  <c r="AL36" i="5" s="1"/>
  <c r="Z121" i="4"/>
  <c r="AL113" i="5" s="1"/>
  <c r="Z238" i="4"/>
  <c r="AL105" i="5" s="1"/>
  <c r="Z186" i="4"/>
  <c r="AL150" i="5" s="1"/>
  <c r="Z247" i="4"/>
  <c r="AL231" i="5" s="1"/>
  <c r="Z251" i="4"/>
  <c r="AL280" i="5" s="1"/>
  <c r="I150" i="4"/>
  <c r="L202" i="5" s="1"/>
  <c r="I114" i="4"/>
  <c r="L220" i="4"/>
  <c r="Q9" i="5" s="1"/>
  <c r="AH45" i="8" s="1"/>
  <c r="AT45" i="8" s="1"/>
  <c r="J45" i="8" s="1"/>
  <c r="L208" i="4"/>
  <c r="Q75" i="5" s="1"/>
  <c r="AH104" i="8" s="1"/>
  <c r="AT104" i="8" s="1"/>
  <c r="J104" i="8" s="1"/>
  <c r="J166" i="4"/>
  <c r="J124" i="4"/>
  <c r="J78" i="4"/>
  <c r="J54" i="4"/>
  <c r="J52" i="4"/>
  <c r="J165" i="4"/>
  <c r="J51" i="4"/>
  <c r="J26" i="4"/>
  <c r="J58" i="4"/>
  <c r="J167" i="4"/>
  <c r="J168" i="4"/>
  <c r="J36" i="4"/>
  <c r="J3" i="4"/>
  <c r="J50" i="4"/>
  <c r="L294" i="4"/>
  <c r="Q144" i="5" s="1"/>
  <c r="AH169" i="8" s="1"/>
  <c r="AT169" i="8" s="1"/>
  <c r="J169" i="8" s="1"/>
  <c r="L254" i="4"/>
  <c r="Q194" i="5" s="1"/>
  <c r="AH213" i="8" s="1"/>
  <c r="AT213" i="8" s="1"/>
  <c r="J213" i="8" s="1"/>
  <c r="L226" i="4"/>
  <c r="Q197" i="5" s="1"/>
  <c r="AH216" i="8" s="1"/>
  <c r="L301" i="4"/>
  <c r="Q189" i="5" s="1"/>
  <c r="AH209" i="8" s="1"/>
  <c r="AT209" i="8" s="1"/>
  <c r="J209" i="8" s="1"/>
  <c r="L264" i="4"/>
  <c r="Q198" i="5" s="1"/>
  <c r="AH217" i="8" s="1"/>
  <c r="AT217" i="8" s="1"/>
  <c r="J217" i="8" s="1"/>
  <c r="L207" i="4"/>
  <c r="Q72" i="5" s="1"/>
  <c r="AH101" i="8" s="1"/>
  <c r="AT101" i="8" s="1"/>
  <c r="J101" i="8" s="1"/>
  <c r="L135" i="4"/>
  <c r="Q74" i="5" s="1"/>
  <c r="AH103" i="8" s="1"/>
  <c r="AT103" i="8" s="1"/>
  <c r="J103" i="8" s="1"/>
  <c r="L113" i="4"/>
  <c r="Q135" i="5" s="1"/>
  <c r="AH160" i="8" s="1"/>
  <c r="AT160" i="8" s="1"/>
  <c r="J160" i="8" s="1"/>
  <c r="L35" i="4"/>
  <c r="Q173" i="5" s="1"/>
  <c r="AH195" i="8" s="1"/>
  <c r="AT195" i="8" s="1"/>
  <c r="J195" i="8" s="1"/>
  <c r="L17" i="4"/>
  <c r="Q184" i="5" s="1"/>
  <c r="AH204" i="8" s="1"/>
  <c r="AT204" i="8" s="1"/>
  <c r="J204" i="8" s="1"/>
  <c r="L16" i="4"/>
  <c r="Q183" i="5" s="1"/>
  <c r="AH16" i="8" s="1"/>
  <c r="AT16" i="8" s="1"/>
  <c r="J16" i="8" s="1"/>
  <c r="L408" i="4"/>
  <c r="Q401" i="5" s="1"/>
  <c r="L397" i="4"/>
  <c r="Q399" i="5" s="1"/>
  <c r="L406" i="4"/>
  <c r="Q416" i="5" s="1"/>
  <c r="H266" i="4"/>
  <c r="K7" i="5" s="1"/>
  <c r="H196" i="4"/>
  <c r="K8" i="5" s="1"/>
  <c r="H186" i="4"/>
  <c r="K150" i="5" s="1"/>
  <c r="H121" i="4"/>
  <c r="K113" i="5" s="1"/>
  <c r="H251" i="4"/>
  <c r="K280" i="5" s="1"/>
  <c r="Q93" i="4"/>
  <c r="X112" i="5" s="1"/>
  <c r="Q143" i="4"/>
  <c r="X126" i="5" s="1"/>
  <c r="Q139" i="4"/>
  <c r="X110" i="5" s="1"/>
  <c r="Q92" i="4"/>
  <c r="X111" i="5" s="1"/>
  <c r="Q65" i="4"/>
  <c r="X148" i="5" s="1"/>
  <c r="Q145" i="4"/>
  <c r="X178" i="5" s="1"/>
  <c r="Q98" i="4"/>
  <c r="X163" i="5" s="1"/>
  <c r="Q189" i="4"/>
  <c r="X167" i="5" s="1"/>
  <c r="Q100" i="4"/>
  <c r="X238" i="5" s="1"/>
  <c r="Q227" i="4"/>
  <c r="X203" i="5" s="1"/>
  <c r="Q118" i="4"/>
  <c r="X236" i="5" s="1"/>
  <c r="Q197" i="4"/>
  <c r="X234" i="5" s="1"/>
  <c r="Q198" i="4"/>
  <c r="X235" i="5" s="1"/>
  <c r="Q415" i="4"/>
  <c r="X409" i="5" s="1"/>
  <c r="F235" i="4"/>
  <c r="F101" i="4"/>
  <c r="F175" i="4"/>
  <c r="F177" i="4"/>
  <c r="F25" i="4"/>
  <c r="F136" i="4"/>
  <c r="F178" i="4"/>
  <c r="F138" i="4"/>
  <c r="F76" i="4"/>
  <c r="F275" i="4"/>
  <c r="F62" i="4"/>
  <c r="F75" i="4"/>
  <c r="F273" i="4"/>
  <c r="F289" i="4"/>
  <c r="AP170" i="5"/>
  <c r="AD193" i="8"/>
  <c r="AP193" i="8" s="1"/>
  <c r="F193" i="8" s="1"/>
  <c r="D207" i="4"/>
  <c r="E72" i="5" s="1"/>
  <c r="D135" i="4"/>
  <c r="E74" i="5" s="1"/>
  <c r="D35" i="4"/>
  <c r="E173" i="5" s="1"/>
  <c r="AD195" i="8" s="1"/>
  <c r="D130" i="4"/>
  <c r="E5" i="5" s="1"/>
  <c r="AD2" i="8" s="1"/>
  <c r="D22" i="4"/>
  <c r="E12" i="5" s="1"/>
  <c r="AD3" i="8" s="1"/>
  <c r="D299" i="4"/>
  <c r="E154" i="5" s="1"/>
  <c r="F312" i="4"/>
  <c r="F349" i="4"/>
  <c r="F310" i="4"/>
  <c r="F313" i="4"/>
  <c r="AR91" i="2"/>
  <c r="AR90" i="2"/>
  <c r="F279" i="4"/>
  <c r="F287" i="4"/>
  <c r="F265" i="4"/>
  <c r="F221" i="4"/>
  <c r="F296" i="4"/>
  <c r="F263" i="4"/>
  <c r="F11" i="4"/>
  <c r="F132" i="4"/>
  <c r="F112" i="4"/>
  <c r="Y221" i="8"/>
  <c r="AW221" i="8" s="1"/>
  <c r="AV206" i="5"/>
  <c r="O172" i="4"/>
  <c r="U70" i="5" s="1"/>
  <c r="O199" i="4"/>
  <c r="U243" i="5" s="1"/>
  <c r="O41" i="4"/>
  <c r="U279" i="5" s="1"/>
  <c r="L3" i="4"/>
  <c r="Q118" i="5" s="1"/>
  <c r="AH146" i="8" s="1"/>
  <c r="AT146" i="8" s="1"/>
  <c r="J146" i="8" s="1"/>
  <c r="L58" i="4"/>
  <c r="Q41" i="5" s="1"/>
  <c r="AH72" i="8" s="1"/>
  <c r="AT72" i="8" s="1"/>
  <c r="J72" i="8" s="1"/>
  <c r="L36" i="4"/>
  <c r="Q42" i="5" s="1"/>
  <c r="AH73" i="8" s="1"/>
  <c r="AT73" i="8" s="1"/>
  <c r="J73" i="8" s="1"/>
  <c r="L50" i="4"/>
  <c r="Q38" i="5" s="1"/>
  <c r="AH69" i="8" s="1"/>
  <c r="AT69" i="8" s="1"/>
  <c r="J69" i="8" s="1"/>
  <c r="L52" i="4"/>
  <c r="Q40" i="5" s="1"/>
  <c r="AH71" i="8" s="1"/>
  <c r="AT71" i="8" s="1"/>
  <c r="J71" i="8" s="1"/>
  <c r="L26" i="4"/>
  <c r="Q49" i="5" s="1"/>
  <c r="AH7" i="8" s="1"/>
  <c r="AT7" i="8" s="1"/>
  <c r="J7" i="8" s="1"/>
  <c r="L54" i="4"/>
  <c r="Q47" i="5" s="1"/>
  <c r="AH78" i="8" s="1"/>
  <c r="AT78" i="8" s="1"/>
  <c r="J78" i="8" s="1"/>
  <c r="L166" i="4"/>
  <c r="Q246" i="5" s="1"/>
  <c r="AH257" i="8" s="1"/>
  <c r="AT257" i="8" s="1"/>
  <c r="J257" i="8" s="1"/>
  <c r="L124" i="4"/>
  <c r="Q276" i="5" s="1"/>
  <c r="AH284" i="8" s="1"/>
  <c r="AT284" i="8" s="1"/>
  <c r="J284" i="8" s="1"/>
  <c r="L168" i="4"/>
  <c r="Q248" i="5" s="1"/>
  <c r="AH25" i="8" s="1"/>
  <c r="AT25" i="8" s="1"/>
  <c r="J25" i="8" s="1"/>
  <c r="M42" i="4"/>
  <c r="R16" i="5" s="1"/>
  <c r="M43" i="4"/>
  <c r="R17" i="5" s="1"/>
  <c r="M8" i="4"/>
  <c r="R177" i="5" s="1"/>
  <c r="M30" i="4"/>
  <c r="R275" i="5" s="1"/>
  <c r="M32" i="4"/>
  <c r="M33" i="4"/>
  <c r="M6" i="4"/>
  <c r="M297" i="4"/>
  <c r="R272" i="5" s="1"/>
  <c r="M405" i="4"/>
  <c r="M411" i="4"/>
  <c r="M260" i="4"/>
  <c r="R46" i="5" s="1"/>
  <c r="M39" i="4"/>
  <c r="R64" i="5" s="1"/>
  <c r="M172" i="4"/>
  <c r="R70" i="5" s="1"/>
  <c r="M170" i="4"/>
  <c r="R68" i="5" s="1"/>
  <c r="M261" i="4"/>
  <c r="R96" i="5" s="1"/>
  <c r="M126" i="4"/>
  <c r="R162" i="5" s="1"/>
  <c r="M199" i="4"/>
  <c r="R243" i="5" s="1"/>
  <c r="M41" i="4"/>
  <c r="R279" i="5" s="1"/>
  <c r="W88" i="8"/>
  <c r="AT59" i="5"/>
  <c r="AL10" i="2"/>
  <c r="M109" i="4"/>
  <c r="R65" i="5" s="1"/>
  <c r="M60" i="4"/>
  <c r="R66" i="5" s="1"/>
  <c r="M38" i="4"/>
  <c r="R63" i="5" s="1"/>
  <c r="M187" i="4"/>
  <c r="R151" i="5" s="1"/>
  <c r="M185" i="4"/>
  <c r="R136" i="5" s="1"/>
  <c r="M200" i="4"/>
  <c r="R244" i="5" s="1"/>
  <c r="M218" i="4"/>
  <c r="R242" i="5" s="1"/>
  <c r="M125" i="4"/>
  <c r="R278" i="5" s="1"/>
  <c r="M398" i="4"/>
  <c r="M413" i="4"/>
  <c r="M414" i="4"/>
  <c r="M409" i="4"/>
  <c r="M393" i="4"/>
  <c r="M401" i="4"/>
  <c r="AS85" i="2"/>
  <c r="AS84" i="2"/>
  <c r="Z291" i="4"/>
  <c r="AL101" i="5" s="1"/>
  <c r="Z268" i="4"/>
  <c r="AL100" i="5" s="1"/>
  <c r="Z292" i="4"/>
  <c r="AL143" i="5" s="1"/>
  <c r="Z252" i="4"/>
  <c r="AL157" i="5" s="1"/>
  <c r="Z300" i="4"/>
  <c r="AL153" i="5" s="1"/>
  <c r="Z220" i="4"/>
  <c r="AL9" i="5" s="1"/>
  <c r="Z208" i="4"/>
  <c r="AL75" i="5" s="1"/>
  <c r="AO85" i="8"/>
  <c r="BA56" i="5"/>
  <c r="Z58" i="4"/>
  <c r="AL41" i="5" s="1"/>
  <c r="Z36" i="4"/>
  <c r="AL42" i="5" s="1"/>
  <c r="Z50" i="4"/>
  <c r="AL38" i="5" s="1"/>
  <c r="Z52" i="4"/>
  <c r="AL40" i="5" s="1"/>
  <c r="Z26" i="4"/>
  <c r="AL49" i="5" s="1"/>
  <c r="Z54" i="4"/>
  <c r="AL47" i="5" s="1"/>
  <c r="Z3" i="4"/>
  <c r="AL118" i="5" s="1"/>
  <c r="Z78" i="4"/>
  <c r="AL121" i="5" s="1"/>
  <c r="Z166" i="4"/>
  <c r="AL246" i="5" s="1"/>
  <c r="Z168" i="4"/>
  <c r="AL248" i="5" s="1"/>
  <c r="Z124" i="4"/>
  <c r="AL276" i="5" s="1"/>
  <c r="BA147" i="5"/>
  <c r="AO172" i="8"/>
  <c r="BA172" i="8" s="1"/>
  <c r="X303" i="4"/>
  <c r="AI303" i="5" s="1"/>
  <c r="AN305" i="8" s="1"/>
  <c r="AZ305" i="8" s="1"/>
  <c r="P305" i="8" s="1"/>
  <c r="X331" i="4"/>
  <c r="AI348" i="5" s="1"/>
  <c r="AN348" i="8" s="1"/>
  <c r="AZ348" i="8" s="1"/>
  <c r="P348" i="8" s="1"/>
  <c r="AL49" i="2"/>
  <c r="AT307" i="5"/>
  <c r="W309" i="8"/>
  <c r="AU309" i="8" s="1"/>
  <c r="AP299" i="5"/>
  <c r="AC59" i="2"/>
  <c r="E191" i="4"/>
  <c r="E190" i="4"/>
  <c r="E129" i="4"/>
  <c r="I99" i="4"/>
  <c r="L166" i="5" s="1"/>
  <c r="I222" i="4"/>
  <c r="L269" i="5" s="1"/>
  <c r="I71" i="4"/>
  <c r="I73" i="4"/>
  <c r="X211" i="4"/>
  <c r="AI22" i="5" s="1"/>
  <c r="AN55" i="8" s="1"/>
  <c r="AZ55" i="8" s="1"/>
  <c r="P55" i="8" s="1"/>
  <c r="X213" i="4"/>
  <c r="AI24" i="5" s="1"/>
  <c r="AN57" i="8" s="1"/>
  <c r="AZ57" i="8" s="1"/>
  <c r="P57" i="8" s="1"/>
  <c r="X214" i="4"/>
  <c r="AI25" i="5" s="1"/>
  <c r="AN58" i="8" s="1"/>
  <c r="AZ58" i="8" s="1"/>
  <c r="P58" i="8" s="1"/>
  <c r="X215" i="4"/>
  <c r="AI26" i="5" s="1"/>
  <c r="AN59" i="8" s="1"/>
  <c r="AZ59" i="8" s="1"/>
  <c r="P59" i="8" s="1"/>
  <c r="F190" i="4"/>
  <c r="F191" i="4"/>
  <c r="F129" i="4"/>
  <c r="J99" i="4"/>
  <c r="N166" i="5" s="1"/>
  <c r="J222" i="4"/>
  <c r="N269" i="5" s="1"/>
  <c r="J73" i="4"/>
  <c r="J71" i="4"/>
  <c r="E84" i="4"/>
  <c r="F160" i="5" s="1"/>
  <c r="E82" i="4"/>
  <c r="F158" i="5" s="1"/>
  <c r="E193" i="4"/>
  <c r="F210" i="5" s="1"/>
  <c r="E157" i="4"/>
  <c r="F212" i="5" s="1"/>
  <c r="E288" i="4"/>
  <c r="F214" i="5" s="1"/>
  <c r="E155" i="4"/>
  <c r="F209" i="5" s="1"/>
  <c r="E156" i="4"/>
  <c r="F211" i="5" s="1"/>
  <c r="E158" i="4"/>
  <c r="AC210" i="8"/>
  <c r="AZ191" i="5"/>
  <c r="S284" i="4"/>
  <c r="AA106" i="5" s="1"/>
  <c r="S286" i="4"/>
  <c r="AA108" i="5" s="1"/>
  <c r="S285" i="4"/>
  <c r="AA107" i="5" s="1"/>
  <c r="S241" i="4"/>
  <c r="AA128" i="5" s="1"/>
  <c r="S290" i="4"/>
  <c r="AA140" i="5" s="1"/>
  <c r="S63" i="4"/>
  <c r="AA270" i="5" s="1"/>
  <c r="Y229" i="4"/>
  <c r="AJ28" i="5" s="1"/>
  <c r="Y250" i="4"/>
  <c r="AJ103" i="5" s="1"/>
  <c r="Y2" i="4"/>
  <c r="Y20" i="4"/>
  <c r="AJ187" i="5" s="1"/>
  <c r="Y256" i="4"/>
  <c r="AJ213" i="5" s="1"/>
  <c r="Y230" i="4"/>
  <c r="AJ220" i="5" s="1"/>
  <c r="Y29" i="4"/>
  <c r="AJ268" i="5" s="1"/>
  <c r="Y244" i="4"/>
  <c r="Z381" i="8"/>
  <c r="AX381" i="8" s="1"/>
  <c r="AW384" i="5"/>
  <c r="AG53" i="2"/>
  <c r="AI53" i="2"/>
  <c r="AB295" i="8"/>
  <c r="AY288" i="5"/>
  <c r="AB239" i="8"/>
  <c r="AY226" i="5"/>
  <c r="C203" i="4"/>
  <c r="C37" i="5" s="1"/>
  <c r="R68" i="8" s="1"/>
  <c r="C239" i="4"/>
  <c r="C114" i="5" s="1"/>
  <c r="C225" i="4"/>
  <c r="C196" i="5" s="1"/>
  <c r="C285" i="4"/>
  <c r="C107" i="5" s="1"/>
  <c r="R136" i="8" s="1"/>
  <c r="C241" i="4"/>
  <c r="C128" i="5" s="1"/>
  <c r="C77" i="4"/>
  <c r="C119" i="5" s="1"/>
  <c r="C286" i="4"/>
  <c r="C108" i="5" s="1"/>
  <c r="C290" i="4"/>
  <c r="C140" i="5" s="1"/>
  <c r="C13" i="4"/>
  <c r="C142" i="5" s="1"/>
  <c r="C27" i="4"/>
  <c r="C264" i="5" s="1"/>
  <c r="C391" i="4"/>
  <c r="T135" i="4" a="1"/>
  <c r="T135" i="4" s="1"/>
  <c r="AC74" i="5" s="1"/>
  <c r="AL103" i="8" s="1"/>
  <c r="T122" i="4" a="1"/>
  <c r="T122" i="4" s="1"/>
  <c r="AC141" i="5" s="1"/>
  <c r="AL166" i="8" s="1"/>
  <c r="T149" i="4" a="1"/>
  <c r="T149" i="4" s="1"/>
  <c r="AC201" i="5" s="1"/>
  <c r="AL219" i="8" s="1"/>
  <c r="T227" i="4" a="1"/>
  <c r="T227" i="4" s="1"/>
  <c r="AC203" i="5" s="1"/>
  <c r="AL19" i="8" s="1"/>
  <c r="T198" i="4" a="1"/>
  <c r="T198" i="4" s="1"/>
  <c r="AC235" i="5" s="1"/>
  <c r="AL247" i="8" s="1"/>
  <c r="T146" i="4" a="1"/>
  <c r="T146" i="4" s="1"/>
  <c r="AC284" i="5" s="1"/>
  <c r="AL291" i="8" s="1"/>
  <c r="T192" i="4" a="1"/>
  <c r="T192" i="4" s="1"/>
  <c r="AC285" i="5" s="1"/>
  <c r="AL292" i="8" s="1"/>
  <c r="E276" i="4"/>
  <c r="AA272" i="8"/>
  <c r="L316" i="4"/>
  <c r="Q318" i="5" s="1"/>
  <c r="AH320" i="8" s="1"/>
  <c r="AT320" i="8" s="1"/>
  <c r="J320" i="8" s="1"/>
  <c r="L315" i="4"/>
  <c r="Q316" i="5" s="1"/>
  <c r="AH318" i="8" s="1"/>
  <c r="AT318" i="8" s="1"/>
  <c r="J318" i="8" s="1"/>
  <c r="L309" i="4"/>
  <c r="Q308" i="5" s="1"/>
  <c r="AH310" i="8" s="1"/>
  <c r="AT310" i="8" s="1"/>
  <c r="J310" i="8" s="1"/>
  <c r="L347" i="4"/>
  <c r="Q336" i="5" s="1"/>
  <c r="AH336" i="8" s="1"/>
  <c r="AT336" i="8" s="1"/>
  <c r="J336" i="8" s="1"/>
  <c r="L307" i="4"/>
  <c r="Q317" i="5" s="1"/>
  <c r="AH319" i="8" s="1"/>
  <c r="AT319" i="8" s="1"/>
  <c r="J319" i="8" s="1"/>
  <c r="L339" i="4"/>
  <c r="Q319" i="5" s="1"/>
  <c r="AH321" i="8" s="1"/>
  <c r="AT321" i="8" s="1"/>
  <c r="J321" i="8" s="1"/>
  <c r="F314" i="4"/>
  <c r="F339" i="4"/>
  <c r="F309" i="4"/>
  <c r="F315" i="4"/>
  <c r="F307" i="4"/>
  <c r="F347" i="4"/>
  <c r="F316" i="4"/>
  <c r="X164" i="4"/>
  <c r="AI240" i="5" s="1"/>
  <c r="AX89" i="8"/>
  <c r="U164" i="4" a="1"/>
  <c r="U164" i="4" s="1"/>
  <c r="AD240" i="5" s="1"/>
  <c r="U163" i="4" a="1"/>
  <c r="U163" i="4" s="1"/>
  <c r="AD239" i="5" s="1"/>
  <c r="U220" i="4" a="1"/>
  <c r="U220" i="4" s="1"/>
  <c r="AD9" i="5" s="1"/>
  <c r="U223" i="4" a="1"/>
  <c r="U223" i="4" s="1"/>
  <c r="AD15" i="5" s="1"/>
  <c r="U194" i="4" a="1"/>
  <c r="U194" i="4" s="1"/>
  <c r="AD27" i="5" s="1"/>
  <c r="U229" i="4" a="1"/>
  <c r="U229" i="4" s="1"/>
  <c r="AD28" i="5" s="1"/>
  <c r="U207" i="4" a="1"/>
  <c r="U207" i="4" s="1"/>
  <c r="AD72" i="5" s="1"/>
  <c r="U77" i="4" a="1"/>
  <c r="U77" i="4" s="1"/>
  <c r="AD119" i="5" s="1"/>
  <c r="U184" i="4" a="1"/>
  <c r="U184" i="4" s="1"/>
  <c r="AD132" i="5" s="1"/>
  <c r="U144" i="4" a="1"/>
  <c r="U144" i="4" s="1"/>
  <c r="AD155" i="5" s="1"/>
  <c r="U2" i="4" a="1"/>
  <c r="U2" i="4" s="1"/>
  <c r="U224" i="4" a="1"/>
  <c r="U224" i="4" s="1"/>
  <c r="AD169" i="5" s="1"/>
  <c r="U246" i="4" a="1"/>
  <c r="U246" i="4" s="1"/>
  <c r="AD230" i="5" s="1"/>
  <c r="S310" i="4"/>
  <c r="AA309" i="5" s="1"/>
  <c r="M173" i="4"/>
  <c r="R78" i="5" s="1"/>
  <c r="J229" i="4"/>
  <c r="AP386" i="5"/>
  <c r="D53" i="4"/>
  <c r="E43" i="5" s="1"/>
  <c r="W191" i="4"/>
  <c r="AG282" i="5" s="1"/>
  <c r="N90" i="4"/>
  <c r="T82" i="5" s="1"/>
  <c r="AI111" i="8" s="1"/>
  <c r="Q210" i="4"/>
  <c r="X21" i="5" s="1"/>
  <c r="Z210" i="4"/>
  <c r="AL21" i="5" s="1"/>
  <c r="T134" i="4" a="1"/>
  <c r="T134" i="4" s="1"/>
  <c r="AC20" i="5" s="1"/>
  <c r="U54" i="4" a="1"/>
  <c r="U54" i="4" s="1"/>
  <c r="AD47" i="5" s="1"/>
  <c r="L181" i="4"/>
  <c r="Q10" i="5" s="1"/>
  <c r="AH46" i="8" s="1"/>
  <c r="AT46" i="8" s="1"/>
  <c r="J46" i="8" s="1"/>
  <c r="N207" i="4"/>
  <c r="T72" i="5" s="1"/>
  <c r="AI101" i="8" s="1"/>
  <c r="Z233" i="4"/>
  <c r="AL29" i="5" s="1"/>
  <c r="T59" i="4" a="1"/>
  <c r="T59" i="4" s="1"/>
  <c r="AC45" i="5" s="1"/>
  <c r="AL76" i="8" s="1"/>
  <c r="Q37" i="4"/>
  <c r="X62" i="5" s="1"/>
  <c r="U55" i="4" a="1"/>
  <c r="U55" i="4" s="1"/>
  <c r="AD67" i="5" s="1"/>
  <c r="Z38" i="4"/>
  <c r="AL63" i="5" s="1"/>
  <c r="T49" i="4" a="1"/>
  <c r="T49" i="4" s="1"/>
  <c r="AC34" i="5" s="1"/>
  <c r="AL65" i="8" s="1"/>
  <c r="C109" i="4"/>
  <c r="C65" i="5" s="1"/>
  <c r="T203" i="4" a="1"/>
  <c r="T203" i="4" s="1"/>
  <c r="AC37" i="5" s="1"/>
  <c r="AL68" i="8" s="1"/>
  <c r="Y236" i="4"/>
  <c r="AJ95" i="5" s="1"/>
  <c r="T107" i="4" a="1"/>
  <c r="T107" i="4" s="1"/>
  <c r="AC59" i="5" s="1"/>
  <c r="AL88" i="8" s="1"/>
  <c r="AX88" i="8" s="1"/>
  <c r="C56" i="4"/>
  <c r="C116" i="5" s="1"/>
  <c r="Z249" i="4"/>
  <c r="AL99" i="5" s="1"/>
  <c r="P62" i="4"/>
  <c r="W109" i="5" s="1"/>
  <c r="AJ138" i="8" s="1"/>
  <c r="U175" i="4" a="1"/>
  <c r="U175" i="4" s="1"/>
  <c r="AD81" i="5" s="1"/>
  <c r="X268" i="4"/>
  <c r="AI100" i="5" s="1"/>
  <c r="AN129" i="8" s="1"/>
  <c r="AZ129" i="8" s="1"/>
  <c r="P129" i="8" s="1"/>
  <c r="L298" i="4"/>
  <c r="Q124" i="5" s="1"/>
  <c r="AH10" i="8" s="1"/>
  <c r="AT10" i="8" s="1"/>
  <c r="J10" i="8" s="1"/>
  <c r="Y120" i="4"/>
  <c r="AJ93" i="5" s="1"/>
  <c r="X113" i="4"/>
  <c r="AI135" i="5" s="1"/>
  <c r="AN160" i="8" s="1"/>
  <c r="AZ160" i="8" s="1"/>
  <c r="P160" i="8" s="1"/>
  <c r="T92" i="4" a="1"/>
  <c r="T92" i="4" s="1"/>
  <c r="AC111" i="5" s="1"/>
  <c r="AL140" i="8" s="1"/>
  <c r="C141" i="4"/>
  <c r="C123" i="5" s="1"/>
  <c r="I187" i="4"/>
  <c r="L151" i="5" s="1"/>
  <c r="F278" i="4"/>
  <c r="H139" i="5" s="1"/>
  <c r="M296" i="4"/>
  <c r="R156" i="5" s="1"/>
  <c r="Y113" i="4"/>
  <c r="AJ135" i="5" s="1"/>
  <c r="S32" i="4"/>
  <c r="AA129" i="5" s="1"/>
  <c r="D300" i="4"/>
  <c r="E153" i="5" s="1"/>
  <c r="X114" i="4"/>
  <c r="AI138" i="5" s="1"/>
  <c r="AN163" i="8" s="1"/>
  <c r="AZ163" i="8" s="1"/>
  <c r="P163" i="8" s="1"/>
  <c r="H123" i="4"/>
  <c r="K145" i="5" s="1"/>
  <c r="U40" i="4" a="1"/>
  <c r="U40" i="4" s="1"/>
  <c r="AD90" i="5" s="1"/>
  <c r="Q114" i="4"/>
  <c r="X138" i="5" s="1"/>
  <c r="D242" i="4"/>
  <c r="E146" i="5" s="1"/>
  <c r="AD171" i="8" s="1"/>
  <c r="T79" i="4" a="1"/>
  <c r="T79" i="4" s="1"/>
  <c r="AC131" i="5" s="1"/>
  <c r="AL156" i="8" s="1"/>
  <c r="AX156" i="8" s="1"/>
  <c r="N156" i="8" s="1"/>
  <c r="T123" i="4" a="1"/>
  <c r="T123" i="4" s="1"/>
  <c r="AC145" i="5" s="1"/>
  <c r="AL170" i="8" s="1"/>
  <c r="F17" i="4"/>
  <c r="H184" i="5" s="1"/>
  <c r="Y17" i="4"/>
  <c r="AJ184" i="5" s="1"/>
  <c r="Z224" i="4"/>
  <c r="AL169" i="5" s="1"/>
  <c r="Q16" i="4"/>
  <c r="X183" i="5" s="1"/>
  <c r="M82" i="4"/>
  <c r="R158" i="5" s="1"/>
  <c r="E15" i="4"/>
  <c r="F181" i="5" s="1"/>
  <c r="P145" i="4"/>
  <c r="W178" i="5" s="1"/>
  <c r="AJ200" i="8" s="1"/>
  <c r="AV200" i="8" s="1"/>
  <c r="L200" i="8" s="1"/>
  <c r="E83" i="4"/>
  <c r="F159" i="5" s="1"/>
  <c r="C17" i="4"/>
  <c r="C184" i="5" s="1"/>
  <c r="T296" i="4" a="1"/>
  <c r="T296" i="4" s="1"/>
  <c r="AC156" i="5" s="1"/>
  <c r="AL180" i="8" s="1"/>
  <c r="AX180" i="8" s="1"/>
  <c r="N180" i="8" s="1"/>
  <c r="M35" i="4"/>
  <c r="R173" i="5" s="1"/>
  <c r="M148" i="4"/>
  <c r="R200" i="5" s="1"/>
  <c r="X67" i="4"/>
  <c r="AI164" i="5" s="1"/>
  <c r="AN187" i="8" s="1"/>
  <c r="AZ187" i="8" s="1"/>
  <c r="P187" i="8" s="1"/>
  <c r="D67" i="4"/>
  <c r="E164" i="5" s="1"/>
  <c r="AD187" i="8" s="1"/>
  <c r="X247" i="4"/>
  <c r="AI231" i="5" s="1"/>
  <c r="AN243" i="8" s="1"/>
  <c r="AZ243" i="8" s="1"/>
  <c r="P243" i="8" s="1"/>
  <c r="H131" i="4"/>
  <c r="K199" i="5" s="1"/>
  <c r="E245" i="4"/>
  <c r="F229" i="5" s="1"/>
  <c r="T6" i="4" a="1"/>
  <c r="T6" i="4" s="1"/>
  <c r="AC175" i="5" s="1"/>
  <c r="T151" i="4" a="1"/>
  <c r="T151" i="4" s="1"/>
  <c r="AC204" i="5" s="1"/>
  <c r="AL20" i="8" s="1"/>
  <c r="C167" i="4"/>
  <c r="C247" i="5" s="1"/>
  <c r="Z160" i="4"/>
  <c r="AL216" i="5" s="1"/>
  <c r="D231" i="4"/>
  <c r="E221" i="5" s="1"/>
  <c r="AD234" i="8" s="1"/>
  <c r="M231" i="4"/>
  <c r="R221" i="5" s="1"/>
  <c r="Z218" i="4"/>
  <c r="AL242" i="5" s="1"/>
  <c r="T148" i="4" a="1"/>
  <c r="T148" i="4" s="1"/>
  <c r="AC200" i="5" s="1"/>
  <c r="AL18" i="8" s="1"/>
  <c r="L179" i="4"/>
  <c r="Q261" i="5" s="1"/>
  <c r="AH270" i="8" s="1"/>
  <c r="AT270" i="8" s="1"/>
  <c r="J270" i="8" s="1"/>
  <c r="S201" i="4"/>
  <c r="AA249" i="5" s="1"/>
  <c r="I337" i="4"/>
  <c r="L321" i="5" s="1"/>
  <c r="Y204" i="4"/>
  <c r="AJ251" i="5" s="1"/>
  <c r="C288" i="4"/>
  <c r="C214" i="5" s="1"/>
  <c r="M112" i="4"/>
  <c r="R274" i="5" s="1"/>
  <c r="D259" i="4"/>
  <c r="E297" i="5" s="1"/>
  <c r="Y132" i="4"/>
  <c r="AJ294" i="5" s="1"/>
  <c r="U66" i="4" a="1"/>
  <c r="U66" i="4" s="1"/>
  <c r="AD277" i="5" s="1"/>
  <c r="N179" i="4"/>
  <c r="T261" i="5" s="1"/>
  <c r="AI270" i="8" s="1"/>
  <c r="T209" i="4" a="1"/>
  <c r="T209" i="4" s="1"/>
  <c r="AC259" i="5" s="1"/>
  <c r="AL268" i="8" s="1"/>
  <c r="P251" i="4"/>
  <c r="W280" i="5" s="1"/>
  <c r="AJ287" i="8" s="1"/>
  <c r="T129" i="4" a="1"/>
  <c r="T129" i="4" s="1"/>
  <c r="AC283" i="5" s="1"/>
  <c r="AL290" i="8" s="1"/>
  <c r="T258" i="4" a="1"/>
  <c r="T258" i="4" s="1"/>
  <c r="AC296" i="5" s="1"/>
  <c r="AL29" i="8" s="1"/>
  <c r="T132" i="4" a="1"/>
  <c r="T132" i="4" s="1"/>
  <c r="AC294" i="5" s="1"/>
  <c r="AL301" i="8" s="1"/>
  <c r="T279" i="4" a="1"/>
  <c r="T279" i="4" s="1"/>
  <c r="AC286" i="5" s="1"/>
  <c r="AL293" i="8" s="1"/>
  <c r="L338" i="4"/>
  <c r="Q332" i="5" s="1"/>
  <c r="AH332" i="8" s="1"/>
  <c r="AT332" i="8" s="1"/>
  <c r="J332" i="8" s="1"/>
  <c r="Q344" i="4"/>
  <c r="X338" i="5" s="1"/>
  <c r="X365" i="4"/>
  <c r="AI365" i="5" s="1"/>
  <c r="AN363" i="8" s="1"/>
  <c r="O355" i="4"/>
  <c r="U362" i="5" s="1"/>
  <c r="M371" i="4"/>
  <c r="R355" i="5" s="1"/>
  <c r="L358" i="4"/>
  <c r="Q352" i="5" s="1"/>
  <c r="AH351" i="8" s="1"/>
  <c r="I373" i="4"/>
  <c r="L357" i="5" s="1"/>
  <c r="P367" i="4"/>
  <c r="W368" i="5" s="1"/>
  <c r="AJ366" i="8" s="1"/>
  <c r="Y401" i="4"/>
  <c r="AJ408" i="5" s="1"/>
  <c r="N304" i="4"/>
  <c r="T304" i="5" s="1"/>
  <c r="AI306" i="8" s="1"/>
  <c r="N338" i="4"/>
  <c r="T332" i="5" s="1"/>
  <c r="AI332" i="8" s="1"/>
  <c r="N340" i="4"/>
  <c r="T331" i="5" s="1"/>
  <c r="AI31" i="8" s="1"/>
  <c r="N332" i="4"/>
  <c r="T349" i="5" s="1"/>
  <c r="AI349" i="8" s="1"/>
  <c r="X304" i="4"/>
  <c r="AI304" i="5" s="1"/>
  <c r="AN306" i="8" s="1"/>
  <c r="AZ306" i="8" s="1"/>
  <c r="P306" i="8" s="1"/>
  <c r="X340" i="4"/>
  <c r="AI331" i="5" s="1"/>
  <c r="X332" i="4"/>
  <c r="AI349" i="5" s="1"/>
  <c r="AN349" i="8" s="1"/>
  <c r="AZ349" i="8" s="1"/>
  <c r="P349" i="8" s="1"/>
  <c r="X338" i="4"/>
  <c r="AI332" i="5" s="1"/>
  <c r="AN332" i="8" s="1"/>
  <c r="AZ332" i="8" s="1"/>
  <c r="P332" i="8" s="1"/>
  <c r="AC81" i="2"/>
  <c r="S136" i="8"/>
  <c r="AP107" i="5"/>
  <c r="AF21" i="2"/>
  <c r="U119" i="8"/>
  <c r="AR90" i="5"/>
  <c r="I275" i="4"/>
  <c r="L300" i="5" s="1"/>
  <c r="AR300" i="5" s="1"/>
  <c r="I273" i="4"/>
  <c r="I289" i="4"/>
  <c r="Q60" i="4"/>
  <c r="X66" i="5" s="1"/>
  <c r="Q109" i="4"/>
  <c r="X65" i="5" s="1"/>
  <c r="Q185" i="4"/>
  <c r="X136" i="5" s="1"/>
  <c r="Q10" i="4"/>
  <c r="X254" i="5" s="1"/>
  <c r="Q200" i="4"/>
  <c r="X244" i="5" s="1"/>
  <c r="Q125" i="4"/>
  <c r="X278" i="5" s="1"/>
  <c r="Q393" i="4"/>
  <c r="X392" i="5" s="1"/>
  <c r="Q409" i="4"/>
  <c r="X403" i="5" s="1"/>
  <c r="Q414" i="4"/>
  <c r="X415" i="5" s="1"/>
  <c r="Q398" i="4"/>
  <c r="X405" i="5" s="1"/>
  <c r="Q401" i="4"/>
  <c r="X408" i="5" s="1"/>
  <c r="Q413" i="4"/>
  <c r="X414" i="5" s="1"/>
  <c r="X238" i="8"/>
  <c r="AU225" i="5"/>
  <c r="E150" i="4"/>
  <c r="E114" i="4"/>
  <c r="D305" i="4"/>
  <c r="E314" i="5" s="1"/>
  <c r="D306" i="4"/>
  <c r="E315" i="5" s="1"/>
  <c r="D351" i="4"/>
  <c r="E341" i="5" s="1"/>
  <c r="D350" i="4"/>
  <c r="E339" i="5" s="1"/>
  <c r="D344" i="4"/>
  <c r="E338" i="5" s="1"/>
  <c r="D345" i="4"/>
  <c r="E337" i="5" s="1"/>
  <c r="D323" i="4"/>
  <c r="E326" i="5" s="1"/>
  <c r="I116" i="4"/>
  <c r="I115" i="4"/>
  <c r="X305" i="4"/>
  <c r="AI314" i="5" s="1"/>
  <c r="AN316" i="8" s="1"/>
  <c r="AZ316" i="8" s="1"/>
  <c r="P316" i="8" s="1"/>
  <c r="X306" i="4"/>
  <c r="AI315" i="5" s="1"/>
  <c r="AN317" i="8" s="1"/>
  <c r="AZ317" i="8" s="1"/>
  <c r="P317" i="8" s="1"/>
  <c r="X323" i="4"/>
  <c r="AI326" i="5" s="1"/>
  <c r="AN327" i="8" s="1"/>
  <c r="AZ327" i="8" s="1"/>
  <c r="P327" i="8" s="1"/>
  <c r="X343" i="4"/>
  <c r="AI330" i="5" s="1"/>
  <c r="AN331" i="8" s="1"/>
  <c r="AZ331" i="8" s="1"/>
  <c r="P331" i="8" s="1"/>
  <c r="X350" i="4"/>
  <c r="AI339" i="5" s="1"/>
  <c r="AN339" i="8" s="1"/>
  <c r="AZ339" i="8" s="1"/>
  <c r="P339" i="8" s="1"/>
  <c r="X344" i="4"/>
  <c r="AI338" i="5" s="1"/>
  <c r="AN338" i="8" s="1"/>
  <c r="AZ338" i="8" s="1"/>
  <c r="P338" i="8" s="1"/>
  <c r="C73" i="4"/>
  <c r="C192" i="5" s="1"/>
  <c r="R211" i="8" s="1"/>
  <c r="C71" i="4"/>
  <c r="C190" i="5" s="1"/>
  <c r="R17" i="8" s="1"/>
  <c r="C222" i="4"/>
  <c r="C269" i="5" s="1"/>
  <c r="R277" i="8" s="1"/>
  <c r="O129" i="4"/>
  <c r="U283" i="5" s="1"/>
  <c r="O190" i="4"/>
  <c r="U281" i="5" s="1"/>
  <c r="O191" i="4"/>
  <c r="U282" i="5" s="1"/>
  <c r="AB120" i="8"/>
  <c r="AZ120" i="8" s="1"/>
  <c r="AY91" i="5"/>
  <c r="Q115" i="4"/>
  <c r="X161" i="5" s="1"/>
  <c r="Q69" i="4"/>
  <c r="X170" i="5" s="1"/>
  <c r="Q392" i="4"/>
  <c r="X413" i="5" s="1"/>
  <c r="Q410" i="4"/>
  <c r="X404" i="5" s="1"/>
  <c r="J372" i="4"/>
  <c r="N356" i="5" s="1"/>
  <c r="AG355" i="8" s="1"/>
  <c r="J353" i="4"/>
  <c r="N360" i="5" s="1"/>
  <c r="AG359" i="8" s="1"/>
  <c r="J355" i="4"/>
  <c r="N362" i="5" s="1"/>
  <c r="AG33" i="8" s="1"/>
  <c r="J362" i="4"/>
  <c r="N373" i="5" s="1"/>
  <c r="AG370" i="8" s="1"/>
  <c r="J354" i="4"/>
  <c r="N370" i="5" s="1"/>
  <c r="AG34" i="8" s="1"/>
  <c r="J363" i="4"/>
  <c r="N372" i="5" s="1"/>
  <c r="AG369" i="8" s="1"/>
  <c r="J352" i="4"/>
  <c r="N358" i="5" s="1"/>
  <c r="AG357" i="8" s="1"/>
  <c r="J364" i="4"/>
  <c r="N359" i="5" s="1"/>
  <c r="AG358" i="8" s="1"/>
  <c r="AV94" i="2"/>
  <c r="AV93" i="2"/>
  <c r="J359" i="4"/>
  <c r="N363" i="5" s="1"/>
  <c r="AG361" i="8" s="1"/>
  <c r="J371" i="4"/>
  <c r="N355" i="5" s="1"/>
  <c r="AG354" i="8" s="1"/>
  <c r="J373" i="4"/>
  <c r="N357" i="5" s="1"/>
  <c r="AG356" i="8" s="1"/>
  <c r="J357" i="4"/>
  <c r="N361" i="5" s="1"/>
  <c r="AG360" i="8" s="1"/>
  <c r="Y304" i="4"/>
  <c r="AJ304" i="5" s="1"/>
  <c r="Y332" i="4"/>
  <c r="AJ349" i="5" s="1"/>
  <c r="Y340" i="4"/>
  <c r="K370" i="4"/>
  <c r="O354" i="5" s="1"/>
  <c r="K366" i="4"/>
  <c r="O367" i="5" s="1"/>
  <c r="K360" i="4"/>
  <c r="O364" i="5" s="1"/>
  <c r="K356" i="4"/>
  <c r="O366" i="5" s="1"/>
  <c r="K369" i="4"/>
  <c r="O353" i="5" s="1"/>
  <c r="K367" i="4"/>
  <c r="O368" i="5" s="1"/>
  <c r="K368" i="4"/>
  <c r="O369" i="5" s="1"/>
  <c r="K358" i="4"/>
  <c r="O352" i="5" s="1"/>
  <c r="J18" i="4"/>
  <c r="N185" i="5" s="1"/>
  <c r="J24" i="4"/>
  <c r="N182" i="5" s="1"/>
  <c r="J174" i="4"/>
  <c r="J302" i="4"/>
  <c r="J173" i="4"/>
  <c r="I378" i="4"/>
  <c r="L378" i="5" s="1"/>
  <c r="I374" i="4"/>
  <c r="L374" i="5" s="1"/>
  <c r="I376" i="4"/>
  <c r="L376" i="5" s="1"/>
  <c r="I381" i="4"/>
  <c r="L381" i="5" s="1"/>
  <c r="I380" i="4"/>
  <c r="L380" i="5" s="1"/>
  <c r="I375" i="4"/>
  <c r="L375" i="5" s="1"/>
  <c r="I377" i="4"/>
  <c r="L377" i="5" s="1"/>
  <c r="I379" i="4"/>
  <c r="L379" i="5" s="1"/>
  <c r="I383" i="4"/>
  <c r="L383" i="5" s="1"/>
  <c r="I382" i="4"/>
  <c r="L382" i="5" s="1"/>
  <c r="C229" i="4"/>
  <c r="C28" i="5" s="1"/>
  <c r="R4" i="8" s="1"/>
  <c r="C2" i="4"/>
  <c r="C20" i="4"/>
  <c r="C187" i="5" s="1"/>
  <c r="R207" i="8" s="1"/>
  <c r="C256" i="4"/>
  <c r="C213" i="5" s="1"/>
  <c r="R228" i="8" s="1"/>
  <c r="C244" i="4"/>
  <c r="C219" i="5" s="1"/>
  <c r="R232" i="8" s="1"/>
  <c r="C230" i="4"/>
  <c r="C220" i="5" s="1"/>
  <c r="R233" i="8" s="1"/>
  <c r="C29" i="4"/>
  <c r="C268" i="5" s="1"/>
  <c r="Y152" i="4"/>
  <c r="AJ205" i="5" s="1"/>
  <c r="Y151" i="4"/>
  <c r="AJ204" i="5" s="1"/>
  <c r="Q106" i="4"/>
  <c r="X58" i="5" s="1"/>
  <c r="Q105" i="4"/>
  <c r="X57" i="5" s="1"/>
  <c r="P317" i="4"/>
  <c r="W305" i="5" s="1"/>
  <c r="AJ307" i="8" s="1"/>
  <c r="P320" i="4"/>
  <c r="W320" i="5" s="1"/>
  <c r="AJ322" i="8" s="1"/>
  <c r="P329" i="4"/>
  <c r="W345" i="5" s="1"/>
  <c r="AJ345" i="8" s="1"/>
  <c r="P336" i="4"/>
  <c r="W346" i="5" s="1"/>
  <c r="AJ346" i="8" s="1"/>
  <c r="P325" i="4"/>
  <c r="W328" i="5" s="1"/>
  <c r="AJ329" i="8" s="1"/>
  <c r="P342" i="4"/>
  <c r="W334" i="5" s="1"/>
  <c r="AJ334" i="8" s="1"/>
  <c r="P319" i="4"/>
  <c r="W329" i="5" s="1"/>
  <c r="AJ330" i="8" s="1"/>
  <c r="P321" i="4"/>
  <c r="W324" i="5" s="1"/>
  <c r="AJ326" i="8" s="1"/>
  <c r="P322" i="4"/>
  <c r="W325" i="5" s="1"/>
  <c r="AJ30" i="8" s="1"/>
  <c r="P334" i="4"/>
  <c r="W322" i="5" s="1"/>
  <c r="AJ324" i="8" s="1"/>
  <c r="P348" i="4"/>
  <c r="W351" i="5" s="1"/>
  <c r="AJ32" i="8" s="1"/>
  <c r="J41" i="4"/>
  <c r="N279" i="5" s="1"/>
  <c r="J39" i="4"/>
  <c r="J260" i="4"/>
  <c r="J170" i="4"/>
  <c r="J295" i="4"/>
  <c r="J37" i="4"/>
  <c r="J172" i="4"/>
  <c r="J206" i="4"/>
  <c r="J126" i="4"/>
  <c r="J261" i="4"/>
  <c r="J199" i="4"/>
  <c r="F233" i="4"/>
  <c r="F234" i="4"/>
  <c r="F205" i="4"/>
  <c r="F272" i="4"/>
  <c r="P84" i="4"/>
  <c r="W160" i="5" s="1"/>
  <c r="AJ183" i="8" s="1"/>
  <c r="P82" i="4"/>
  <c r="W158" i="5" s="1"/>
  <c r="AJ182" i="8" s="1"/>
  <c r="P83" i="4"/>
  <c r="W159" i="5" s="1"/>
  <c r="AJ13" i="8" s="1"/>
  <c r="P193" i="4"/>
  <c r="W210" i="5" s="1"/>
  <c r="AJ225" i="8" s="1"/>
  <c r="P157" i="4"/>
  <c r="W212" i="5" s="1"/>
  <c r="AJ227" i="8" s="1"/>
  <c r="P158" i="4"/>
  <c r="W258" i="5" s="1"/>
  <c r="AJ267" i="8" s="1"/>
  <c r="P288" i="4"/>
  <c r="W214" i="5" s="1"/>
  <c r="AJ22" i="8" s="1"/>
  <c r="AV22" i="8" s="1"/>
  <c r="P155" i="4"/>
  <c r="W209" i="5" s="1"/>
  <c r="AJ224" i="8" s="1"/>
  <c r="P156" i="4"/>
  <c r="W211" i="5" s="1"/>
  <c r="AJ226" i="8" s="1"/>
  <c r="AC26" i="2"/>
  <c r="S131" i="8"/>
  <c r="AP102" i="5"/>
  <c r="AU91" i="5"/>
  <c r="X120" i="8"/>
  <c r="AV120" i="8" s="1"/>
  <c r="M229" i="4"/>
  <c r="R28" i="5" s="1"/>
  <c r="M250" i="4"/>
  <c r="R103" i="5" s="1"/>
  <c r="M2" i="4"/>
  <c r="M20" i="4"/>
  <c r="R187" i="5" s="1"/>
  <c r="M244" i="4"/>
  <c r="R219" i="5" s="1"/>
  <c r="M230" i="4"/>
  <c r="R220" i="5" s="1"/>
  <c r="M256" i="4"/>
  <c r="R213" i="5" s="1"/>
  <c r="M29" i="4"/>
  <c r="R268" i="5" s="1"/>
  <c r="Q312" i="4"/>
  <c r="X311" i="5" s="1"/>
  <c r="Q313" i="4"/>
  <c r="X312" i="5" s="1"/>
  <c r="Q310" i="4"/>
  <c r="X309" i="5" s="1"/>
  <c r="Q349" i="4"/>
  <c r="X335" i="5" s="1"/>
  <c r="BC90" i="2"/>
  <c r="BC91" i="2"/>
  <c r="Z211" i="4"/>
  <c r="AL22" i="5" s="1"/>
  <c r="Z213" i="4"/>
  <c r="AL24" i="5" s="1"/>
  <c r="Z215" i="4"/>
  <c r="AL26" i="5" s="1"/>
  <c r="Z214" i="4"/>
  <c r="AL25" i="5" s="1"/>
  <c r="Q22" i="4"/>
  <c r="X12" i="5" s="1"/>
  <c r="Q262" i="4"/>
  <c r="X4" i="5" s="1"/>
  <c r="Q130" i="4"/>
  <c r="X5" i="5" s="1"/>
  <c r="Q59" i="4"/>
  <c r="X45" i="5" s="1"/>
  <c r="Q299" i="4"/>
  <c r="X154" i="5" s="1"/>
  <c r="Q395" i="4"/>
  <c r="X397" i="5" s="1"/>
  <c r="Q399" i="4"/>
  <c r="X406" i="5" s="1"/>
  <c r="Q394" i="4"/>
  <c r="X396" i="5" s="1"/>
  <c r="Q400" i="4"/>
  <c r="X407" i="5" s="1"/>
  <c r="Q396" i="4"/>
  <c r="X398" i="5" s="1"/>
  <c r="Q404" i="4"/>
  <c r="X394" i="5" s="1"/>
  <c r="N313" i="4"/>
  <c r="T312" i="5" s="1"/>
  <c r="AI314" i="8" s="1"/>
  <c r="N310" i="4"/>
  <c r="T309" i="5" s="1"/>
  <c r="AI311" i="8" s="1"/>
  <c r="N312" i="4"/>
  <c r="T311" i="5" s="1"/>
  <c r="AI313" i="8" s="1"/>
  <c r="N349" i="4"/>
  <c r="T335" i="5" s="1"/>
  <c r="AI335" i="8" s="1"/>
  <c r="AZ90" i="2"/>
  <c r="AZ91" i="2"/>
  <c r="Q214" i="4"/>
  <c r="X25" i="5" s="1"/>
  <c r="Q213" i="4"/>
  <c r="X24" i="5" s="1"/>
  <c r="Q215" i="4"/>
  <c r="X26" i="5" s="1"/>
  <c r="I208" i="4"/>
  <c r="I220" i="4"/>
  <c r="I140" i="4"/>
  <c r="X47" i="4"/>
  <c r="AI33" i="5" s="1"/>
  <c r="AN64" i="8" s="1"/>
  <c r="AZ64" i="8" s="1"/>
  <c r="P64" i="8" s="1"/>
  <c r="X5" i="4"/>
  <c r="AI61" i="5" s="1"/>
  <c r="AN90" i="8" s="1"/>
  <c r="X34" i="4"/>
  <c r="AI149" i="5" s="1"/>
  <c r="AN173" i="8" s="1"/>
  <c r="AZ173" i="8" s="1"/>
  <c r="P173" i="8" s="1"/>
  <c r="X9" i="4"/>
  <c r="AI188" i="5" s="1"/>
  <c r="AN208" i="8" s="1"/>
  <c r="X7" i="4"/>
  <c r="AI176" i="5" s="1"/>
  <c r="AN198" i="8" s="1"/>
  <c r="X48" i="4"/>
  <c r="AI233" i="5" s="1"/>
  <c r="AN245" i="8" s="1"/>
  <c r="AZ245" i="8" s="1"/>
  <c r="X183" i="4"/>
  <c r="AI271" i="5" s="1"/>
  <c r="AN279" i="8" s="1"/>
  <c r="AZ279" i="8" s="1"/>
  <c r="P279" i="8" s="1"/>
  <c r="Y272" i="8"/>
  <c r="AV263" i="5"/>
  <c r="I153" i="4"/>
  <c r="I201" i="4"/>
  <c r="C111" i="4"/>
  <c r="C94" i="5" s="1"/>
  <c r="C297" i="4"/>
  <c r="C272" i="5" s="1"/>
  <c r="R280" i="8" s="1"/>
  <c r="R88" i="8"/>
  <c r="E277" i="4"/>
  <c r="E90" i="4"/>
  <c r="E91" i="4"/>
  <c r="E169" i="4"/>
  <c r="R172" i="8"/>
  <c r="P228" i="4"/>
  <c r="W218" i="5" s="1"/>
  <c r="AJ231" i="8" s="1"/>
  <c r="BB88" i="2"/>
  <c r="BB87" i="2"/>
  <c r="X128" i="4"/>
  <c r="AI179" i="5" s="1"/>
  <c r="AN201" i="8" s="1"/>
  <c r="AZ201" i="8" s="1"/>
  <c r="P201" i="8" s="1"/>
  <c r="X149" i="4"/>
  <c r="AI201" i="5" s="1"/>
  <c r="AN219" i="8" s="1"/>
  <c r="X117" i="4"/>
  <c r="AI232" i="5" s="1"/>
  <c r="AN244" i="8" s="1"/>
  <c r="AZ244" i="8" s="1"/>
  <c r="P244" i="8" s="1"/>
  <c r="X146" i="4"/>
  <c r="AI284" i="5" s="1"/>
  <c r="AN291" i="8" s="1"/>
  <c r="X192" i="4"/>
  <c r="AI285" i="5" s="1"/>
  <c r="AN292" i="8" s="1"/>
  <c r="Q291" i="4"/>
  <c r="X101" i="5" s="1"/>
  <c r="Q268" i="4"/>
  <c r="X100" i="5" s="1"/>
  <c r="Q292" i="4"/>
  <c r="X143" i="5" s="1"/>
  <c r="Q243" i="4"/>
  <c r="X193" i="5" s="1"/>
  <c r="Q252" i="4"/>
  <c r="X157" i="5" s="1"/>
  <c r="Y85" i="8"/>
  <c r="AV56" i="5"/>
  <c r="I317" i="4"/>
  <c r="L305" i="5" s="1"/>
  <c r="I320" i="4"/>
  <c r="L320" i="5" s="1"/>
  <c r="I329" i="4"/>
  <c r="L345" i="5" s="1"/>
  <c r="I336" i="4"/>
  <c r="L346" i="5" s="1"/>
  <c r="I325" i="4"/>
  <c r="L328" i="5" s="1"/>
  <c r="I342" i="4"/>
  <c r="L334" i="5" s="1"/>
  <c r="I319" i="4"/>
  <c r="L329" i="5" s="1"/>
  <c r="I322" i="4"/>
  <c r="L325" i="5" s="1"/>
  <c r="I321" i="4"/>
  <c r="L324" i="5" s="1"/>
  <c r="I335" i="4"/>
  <c r="L323" i="5" s="1"/>
  <c r="I348" i="4"/>
  <c r="L351" i="5" s="1"/>
  <c r="N294" i="4"/>
  <c r="T144" i="5" s="1"/>
  <c r="AI169" i="8" s="1"/>
  <c r="N264" i="4"/>
  <c r="T198" i="5" s="1"/>
  <c r="AI217" i="8" s="1"/>
  <c r="O207" i="4"/>
  <c r="U72" i="5" s="1"/>
  <c r="O35" i="4"/>
  <c r="U173" i="5" s="1"/>
  <c r="O259" i="4"/>
  <c r="U297" i="5" s="1"/>
  <c r="O45" i="4"/>
  <c r="U31" i="5" s="1"/>
  <c r="O47" i="4"/>
  <c r="U33" i="5" s="1"/>
  <c r="O5" i="4"/>
  <c r="O9" i="4"/>
  <c r="U188" i="5" s="1"/>
  <c r="O7" i="4"/>
  <c r="U176" i="5" s="1"/>
  <c r="O183" i="4"/>
  <c r="U271" i="5" s="1"/>
  <c r="X98" i="8"/>
  <c r="AV98" i="8" s="1"/>
  <c r="AU69" i="5"/>
  <c r="R215" i="4"/>
  <c r="R211" i="4"/>
  <c r="R213" i="4"/>
  <c r="R214" i="4"/>
  <c r="C93" i="4"/>
  <c r="C112" i="5" s="1"/>
  <c r="R141" i="8" s="1"/>
  <c r="C143" i="4"/>
  <c r="C126" i="5" s="1"/>
  <c r="C92" i="4"/>
  <c r="C111" i="5" s="1"/>
  <c r="R140" i="8" s="1"/>
  <c r="C139" i="4"/>
  <c r="C110" i="5" s="1"/>
  <c r="R139" i="8" s="1"/>
  <c r="C227" i="4"/>
  <c r="C203" i="5" s="1"/>
  <c r="R19" i="8" s="1"/>
  <c r="C118" i="4"/>
  <c r="C236" i="5" s="1"/>
  <c r="R248" i="8" s="1"/>
  <c r="C197" i="4"/>
  <c r="C234" i="5" s="1"/>
  <c r="C162" i="4"/>
  <c r="C237" i="5" s="1"/>
  <c r="C198" i="4"/>
  <c r="C235" i="5" s="1"/>
  <c r="R247" i="8" s="1"/>
  <c r="C100" i="4"/>
  <c r="C238" i="5" s="1"/>
  <c r="R250" i="8" s="1"/>
  <c r="L234" i="4"/>
  <c r="Q30" i="5" s="1"/>
  <c r="AH62" i="8" s="1"/>
  <c r="AT62" i="8" s="1"/>
  <c r="J62" i="8" s="1"/>
  <c r="L272" i="4"/>
  <c r="Q50" i="5" s="1"/>
  <c r="AH79" i="8" s="1"/>
  <c r="AT79" i="8" s="1"/>
  <c r="J79" i="8" s="1"/>
  <c r="L205" i="4"/>
  <c r="Q53" i="5" s="1"/>
  <c r="AH82" i="8" s="1"/>
  <c r="AT82" i="8" s="1"/>
  <c r="J82" i="8" s="1"/>
  <c r="O69" i="5"/>
  <c r="AG98" i="8"/>
  <c r="R341" i="4"/>
  <c r="R320" i="4"/>
  <c r="R322" i="4"/>
  <c r="R321" i="4"/>
  <c r="R342" i="4"/>
  <c r="R319" i="4"/>
  <c r="R325" i="4"/>
  <c r="R336" i="4"/>
  <c r="R317" i="4"/>
  <c r="R334" i="4"/>
  <c r="R335" i="4"/>
  <c r="R329" i="4"/>
  <c r="R348" i="4"/>
  <c r="Q266" i="4"/>
  <c r="X7" i="5" s="1"/>
  <c r="Q196" i="4"/>
  <c r="X8" i="5" s="1"/>
  <c r="Q64" i="4"/>
  <c r="X3" i="5" s="1"/>
  <c r="Q202" i="4"/>
  <c r="X36" i="5" s="1"/>
  <c r="Q238" i="4"/>
  <c r="X105" i="5" s="1"/>
  <c r="Q121" i="4"/>
  <c r="X113" i="5" s="1"/>
  <c r="Q247" i="4"/>
  <c r="X231" i="5" s="1"/>
  <c r="AC33" i="2"/>
  <c r="AP206" i="5"/>
  <c r="AD221" i="8"/>
  <c r="AP221" i="8" s="1"/>
  <c r="F221" i="8" s="1"/>
  <c r="AV126" i="8"/>
  <c r="Y69" i="4"/>
  <c r="AJ170" i="5" s="1"/>
  <c r="Y410" i="4"/>
  <c r="AJ404" i="5" s="1"/>
  <c r="Y392" i="4"/>
  <c r="AJ413" i="5" s="1"/>
  <c r="Y275" i="4"/>
  <c r="AJ300" i="5" s="1"/>
  <c r="Y273" i="4"/>
  <c r="AJ51" i="5" s="1"/>
  <c r="Y289" i="4"/>
  <c r="AJ52" i="5" s="1"/>
  <c r="Y62" i="4"/>
  <c r="AJ109" i="5" s="1"/>
  <c r="Y75" i="4"/>
  <c r="AJ250" i="5" s="1"/>
  <c r="Y130" i="4"/>
  <c r="AJ5" i="5" s="1"/>
  <c r="Y22" i="4"/>
  <c r="AJ12" i="5" s="1"/>
  <c r="Y262" i="4"/>
  <c r="AJ4" i="5" s="1"/>
  <c r="Y59" i="4"/>
  <c r="AJ45" i="5" s="1"/>
  <c r="Y299" i="4"/>
  <c r="AJ154" i="5" s="1"/>
  <c r="Y395" i="4"/>
  <c r="AJ397" i="5" s="1"/>
  <c r="Y399" i="4"/>
  <c r="AJ406" i="5" s="1"/>
  <c r="Y404" i="4"/>
  <c r="AJ394" i="5" s="1"/>
  <c r="Y396" i="4"/>
  <c r="AJ398" i="5" s="1"/>
  <c r="Y400" i="4"/>
  <c r="AJ407" i="5" s="1"/>
  <c r="Y394" i="4"/>
  <c r="AJ396" i="5" s="1"/>
  <c r="Y277" i="4"/>
  <c r="AJ301" i="5" s="1"/>
  <c r="Y169" i="4"/>
  <c r="AJ54" i="5" s="1"/>
  <c r="Y90" i="4"/>
  <c r="AJ82" i="5" s="1"/>
  <c r="Y91" i="4"/>
  <c r="AJ92" i="5" s="1"/>
  <c r="I277" i="4"/>
  <c r="L301" i="5" s="1"/>
  <c r="AR301" i="5" s="1"/>
  <c r="I169" i="4"/>
  <c r="L54" i="5" s="1"/>
  <c r="I91" i="4"/>
  <c r="L92" i="5" s="1"/>
  <c r="I90" i="4"/>
  <c r="AI17" i="2"/>
  <c r="AG17" i="2"/>
  <c r="AF98" i="8"/>
  <c r="AR98" i="8" s="1"/>
  <c r="H98" i="8" s="1"/>
  <c r="AF84" i="8"/>
  <c r="AR84" i="8" s="1"/>
  <c r="H84" i="8" s="1"/>
  <c r="AR55" i="5"/>
  <c r="AG11" i="2"/>
  <c r="AF11" i="2"/>
  <c r="AI11" i="2"/>
  <c r="Z222" i="8"/>
  <c r="AW207" i="5"/>
  <c r="Z220" i="8"/>
  <c r="AW202" i="5"/>
  <c r="S248" i="4"/>
  <c r="AA76" i="5" s="1"/>
  <c r="S291" i="4"/>
  <c r="AA101" i="5" s="1"/>
  <c r="S268" i="4"/>
  <c r="AA100" i="5" s="1"/>
  <c r="S292" i="4"/>
  <c r="AA143" i="5" s="1"/>
  <c r="S300" i="4"/>
  <c r="AA153" i="5" s="1"/>
  <c r="S252" i="4"/>
  <c r="AA157" i="5" s="1"/>
  <c r="S243" i="4"/>
  <c r="AA193" i="5" s="1"/>
  <c r="S220" i="4"/>
  <c r="AA9" i="5" s="1"/>
  <c r="S208" i="4"/>
  <c r="AA75" i="5" s="1"/>
  <c r="Z85" i="8"/>
  <c r="AW56" i="5"/>
  <c r="Z72" i="8"/>
  <c r="AW41" i="5"/>
  <c r="Q81" i="4"/>
  <c r="X147" i="5" s="1"/>
  <c r="Q80" i="4"/>
  <c r="X134" i="5" s="1"/>
  <c r="AU85" i="8"/>
  <c r="N54" i="4"/>
  <c r="T47" i="5" s="1"/>
  <c r="AI78" i="8" s="1"/>
  <c r="N51" i="4"/>
  <c r="T39" i="5" s="1"/>
  <c r="AI70" i="8" s="1"/>
  <c r="N78" i="4"/>
  <c r="T121" i="5" s="1"/>
  <c r="N124" i="4"/>
  <c r="T276" i="5" s="1"/>
  <c r="AS90" i="2"/>
  <c r="AS91" i="2"/>
  <c r="Y194" i="4"/>
  <c r="AJ27" i="5" s="1"/>
  <c r="Y122" i="4"/>
  <c r="AJ141" i="5" s="1"/>
  <c r="Y246" i="4"/>
  <c r="AJ230" i="5" s="1"/>
  <c r="Y245" i="4"/>
  <c r="AJ229" i="5" s="1"/>
  <c r="J380" i="4"/>
  <c r="N380" i="5" s="1"/>
  <c r="AG376" i="8" s="1"/>
  <c r="J377" i="4"/>
  <c r="N377" i="5" s="1"/>
  <c r="AG373" i="8" s="1"/>
  <c r="J381" i="4"/>
  <c r="N381" i="5" s="1"/>
  <c r="AG377" i="8" s="1"/>
  <c r="J379" i="4"/>
  <c r="N379" i="5" s="1"/>
  <c r="AG375" i="8" s="1"/>
  <c r="J376" i="4"/>
  <c r="N376" i="5" s="1"/>
  <c r="AG372" i="8" s="1"/>
  <c r="J382" i="4"/>
  <c r="N382" i="5" s="1"/>
  <c r="AG378" i="8" s="1"/>
  <c r="J383" i="4"/>
  <c r="N383" i="5" s="1"/>
  <c r="AG379" i="8" s="1"/>
  <c r="J374" i="4"/>
  <c r="N374" i="5" s="1"/>
  <c r="AG35" i="8" s="1"/>
  <c r="I72" i="4"/>
  <c r="I204" i="4"/>
  <c r="J328" i="4"/>
  <c r="N344" i="5" s="1"/>
  <c r="J337" i="4"/>
  <c r="N321" i="5" s="1"/>
  <c r="J327" i="4"/>
  <c r="N343" i="5" s="1"/>
  <c r="J333" i="4"/>
  <c r="N350" i="5" s="1"/>
  <c r="J326" i="4"/>
  <c r="N342" i="5" s="1"/>
  <c r="Q367" i="4"/>
  <c r="X368" i="5" s="1"/>
  <c r="Q358" i="4"/>
  <c r="X352" i="5" s="1"/>
  <c r="Q368" i="4"/>
  <c r="X369" i="5" s="1"/>
  <c r="Q366" i="4"/>
  <c r="X367" i="5" s="1"/>
  <c r="Q369" i="4"/>
  <c r="X353" i="5" s="1"/>
  <c r="Q360" i="4"/>
  <c r="X364" i="5" s="1"/>
  <c r="D223" i="4"/>
  <c r="E15" i="5" s="1"/>
  <c r="AD50" i="8" s="1"/>
  <c r="D82" i="4"/>
  <c r="E158" i="5" s="1"/>
  <c r="AD182" i="8" s="1"/>
  <c r="D84" i="4"/>
  <c r="E160" i="5" s="1"/>
  <c r="AD183" i="8" s="1"/>
  <c r="D156" i="4"/>
  <c r="E211" i="5" s="1"/>
  <c r="AD226" i="8" s="1"/>
  <c r="D193" i="4"/>
  <c r="E210" i="5" s="1"/>
  <c r="AD225" i="8" s="1"/>
  <c r="D157" i="4"/>
  <c r="E212" i="5" s="1"/>
  <c r="AD227" i="8" s="1"/>
  <c r="D155" i="4"/>
  <c r="E209" i="5" s="1"/>
  <c r="AD224" i="8" s="1"/>
  <c r="D158" i="4"/>
  <c r="E258" i="5" s="1"/>
  <c r="AB288" i="8"/>
  <c r="AY281" i="5"/>
  <c r="W71" i="4"/>
  <c r="AG190" i="5" s="1"/>
  <c r="W222" i="4"/>
  <c r="AG269" i="5" s="1"/>
  <c r="W73" i="4"/>
  <c r="AG192" i="5" s="1"/>
  <c r="X180" i="4"/>
  <c r="AI87" i="5" s="1"/>
  <c r="AN116" i="8" s="1"/>
  <c r="AZ116" i="8" s="1"/>
  <c r="P116" i="8" s="1"/>
  <c r="X224" i="4"/>
  <c r="AI169" i="5" s="1"/>
  <c r="AN192" i="8" s="1"/>
  <c r="AZ192" i="8" s="1"/>
  <c r="P192" i="8" s="1"/>
  <c r="Y141" i="4"/>
  <c r="AJ123" i="5" s="1"/>
  <c r="Y159" i="4"/>
  <c r="AJ215" i="5" s="1"/>
  <c r="Y161" i="4"/>
  <c r="AJ217" i="5" s="1"/>
  <c r="H173" i="4"/>
  <c r="K78" i="5" s="1"/>
  <c r="H302" i="4"/>
  <c r="K77" i="5" s="1"/>
  <c r="H174" i="4"/>
  <c r="K79" i="5" s="1"/>
  <c r="H18" i="4"/>
  <c r="K185" i="5" s="1"/>
  <c r="AF205" i="8" s="1"/>
  <c r="AR205" i="8" s="1"/>
  <c r="H205" i="8" s="1"/>
  <c r="H24" i="4"/>
  <c r="K182" i="5" s="1"/>
  <c r="AF203" i="8" s="1"/>
  <c r="AR203" i="8" s="1"/>
  <c r="H203" i="8" s="1"/>
  <c r="M203" i="4"/>
  <c r="R37" i="5" s="1"/>
  <c r="M239" i="4"/>
  <c r="R114" i="5" s="1"/>
  <c r="Q277" i="4"/>
  <c r="X301" i="5" s="1"/>
  <c r="Q90" i="4"/>
  <c r="X82" i="5" s="1"/>
  <c r="Q169" i="4"/>
  <c r="X54" i="5" s="1"/>
  <c r="Q91" i="4"/>
  <c r="X92" i="5" s="1"/>
  <c r="P312" i="4"/>
  <c r="W311" i="5" s="1"/>
  <c r="AJ313" i="8" s="1"/>
  <c r="P313" i="4"/>
  <c r="W312" i="5" s="1"/>
  <c r="AJ314" i="8" s="1"/>
  <c r="P310" i="4"/>
  <c r="W309" i="5" s="1"/>
  <c r="AJ311" i="8" s="1"/>
  <c r="BB91" i="2"/>
  <c r="BB90" i="2"/>
  <c r="P349" i="4"/>
  <c r="W335" i="5" s="1"/>
  <c r="AJ335" i="8" s="1"/>
  <c r="M246" i="4"/>
  <c r="R230" i="5" s="1"/>
  <c r="M194" i="4"/>
  <c r="R27" i="5" s="1"/>
  <c r="M122" i="4"/>
  <c r="R141" i="5" s="1"/>
  <c r="M245" i="4"/>
  <c r="R229" i="5" s="1"/>
  <c r="X27" i="8"/>
  <c r="AU265" i="5"/>
  <c r="AP313" i="5"/>
  <c r="AD315" i="8"/>
  <c r="AP315" i="8" s="1"/>
  <c r="N317" i="4"/>
  <c r="T305" i="5" s="1"/>
  <c r="AI307" i="8" s="1"/>
  <c r="N335" i="4"/>
  <c r="T323" i="5" s="1"/>
  <c r="AI325" i="8" s="1"/>
  <c r="N341" i="4"/>
  <c r="T333" i="5" s="1"/>
  <c r="AI333" i="8" s="1"/>
  <c r="N319" i="4"/>
  <c r="T329" i="5" s="1"/>
  <c r="AI330" i="8" s="1"/>
  <c r="N320" i="4"/>
  <c r="T320" i="5" s="1"/>
  <c r="AI322" i="8" s="1"/>
  <c r="N321" i="4"/>
  <c r="T324" i="5" s="1"/>
  <c r="AI326" i="8" s="1"/>
  <c r="AU326" i="8" s="1"/>
  <c r="N329" i="4"/>
  <c r="T345" i="5" s="1"/>
  <c r="AI345" i="8" s="1"/>
  <c r="N336" i="4"/>
  <c r="T346" i="5" s="1"/>
  <c r="AI346" i="8" s="1"/>
  <c r="N348" i="4"/>
  <c r="T351" i="5" s="1"/>
  <c r="AI32" i="8" s="1"/>
  <c r="N342" i="4"/>
  <c r="T334" i="5" s="1"/>
  <c r="AI334" i="8" s="1"/>
  <c r="N334" i="4"/>
  <c r="T322" i="5" s="1"/>
  <c r="AI324" i="8" s="1"/>
  <c r="N325" i="4"/>
  <c r="T328" i="5" s="1"/>
  <c r="AI329" i="8" s="1"/>
  <c r="Q194" i="4"/>
  <c r="X27" i="5" s="1"/>
  <c r="Q122" i="4"/>
  <c r="X141" i="5" s="1"/>
  <c r="Q123" i="4"/>
  <c r="X145" i="5" s="1"/>
  <c r="Q246" i="4"/>
  <c r="X230" i="5" s="1"/>
  <c r="Q245" i="4"/>
  <c r="X229" i="5" s="1"/>
  <c r="P203" i="4"/>
  <c r="W37" i="5" s="1"/>
  <c r="P239" i="4"/>
  <c r="W114" i="5" s="1"/>
  <c r="AJ142" i="8" s="1"/>
  <c r="AV142" i="8" s="1"/>
  <c r="P225" i="4"/>
  <c r="W196" i="5" s="1"/>
  <c r="AJ215" i="8" s="1"/>
  <c r="U262" i="4" a="1"/>
  <c r="U262" i="4" s="1"/>
  <c r="AD4" i="5" s="1"/>
  <c r="U38" i="4" a="1"/>
  <c r="U38" i="4" s="1"/>
  <c r="AD63" i="5" s="1"/>
  <c r="U170" i="4" a="1"/>
  <c r="U170" i="4" s="1"/>
  <c r="AD68" i="5" s="1"/>
  <c r="U221" i="4" a="1"/>
  <c r="U221" i="4" s="1"/>
  <c r="AD80" i="5" s="1"/>
  <c r="U96" i="4" a="1"/>
  <c r="U96" i="4" s="1"/>
  <c r="AD122" i="5" s="1"/>
  <c r="T50" i="4" a="1"/>
  <c r="T50" i="4" s="1"/>
  <c r="AC38" i="5" s="1"/>
  <c r="AL69" i="8" s="1"/>
  <c r="AX69" i="8" s="1"/>
  <c r="N69" i="8" s="1"/>
  <c r="T12" i="4" a="1"/>
  <c r="T12" i="4" s="1"/>
  <c r="AC263" i="5" s="1"/>
  <c r="AL272" i="8" s="1"/>
  <c r="AX272" i="8" s="1"/>
  <c r="N272" i="8" s="1"/>
  <c r="Y110" i="4"/>
  <c r="AJ88" i="5" s="1"/>
  <c r="Y31" i="4"/>
  <c r="AJ127" i="5" s="1"/>
  <c r="Y253" i="4"/>
  <c r="AJ168" i="5" s="1"/>
  <c r="M314" i="4"/>
  <c r="R313" i="5" s="1"/>
  <c r="Q316" i="4"/>
  <c r="X318" i="5" s="1"/>
  <c r="Q315" i="4"/>
  <c r="X316" i="5" s="1"/>
  <c r="Q309" i="4"/>
  <c r="X308" i="5" s="1"/>
  <c r="Q314" i="4"/>
  <c r="X313" i="5" s="1"/>
  <c r="Q307" i="4"/>
  <c r="X317" i="5" s="1"/>
  <c r="Q339" i="4"/>
  <c r="X319" i="5" s="1"/>
  <c r="Q347" i="4"/>
  <c r="X336" i="5" s="1"/>
  <c r="AD75" i="2"/>
  <c r="D262" i="4"/>
  <c r="E4" i="5" s="1"/>
  <c r="T163" i="4" a="1"/>
  <c r="T163" i="4" s="1"/>
  <c r="AC239" i="5" s="1"/>
  <c r="AL251" i="8" s="1"/>
  <c r="T164" i="4" a="1"/>
  <c r="T164" i="4" s="1"/>
  <c r="AC240" i="5" s="1"/>
  <c r="T22" i="4" a="1"/>
  <c r="T22" i="4" s="1"/>
  <c r="AC12" i="5" s="1"/>
  <c r="AL3" i="8" s="1"/>
  <c r="T194" i="4" a="1"/>
  <c r="T194" i="4" s="1"/>
  <c r="AC27" i="5" s="1"/>
  <c r="AL60" i="8" s="1"/>
  <c r="T229" i="4" a="1"/>
  <c r="T229" i="4" s="1"/>
  <c r="AC28" i="5" s="1"/>
  <c r="AL4" i="8" s="1"/>
  <c r="T223" i="4" a="1"/>
  <c r="T223" i="4" s="1"/>
  <c r="AC15" i="5" s="1"/>
  <c r="AL50" i="8" s="1"/>
  <c r="T207" i="4" a="1"/>
  <c r="T207" i="4" s="1"/>
  <c r="AC72" i="5" s="1"/>
  <c r="AL101" i="8" s="1"/>
  <c r="T31" i="4" a="1"/>
  <c r="T31" i="4" s="1"/>
  <c r="AC127" i="5" s="1"/>
  <c r="AL152" i="8" s="1"/>
  <c r="AX152" i="8" s="1"/>
  <c r="N152" i="8" s="1"/>
  <c r="T13" i="4" a="1"/>
  <c r="T13" i="4" s="1"/>
  <c r="AC142" i="5" s="1"/>
  <c r="AL167" i="8" s="1"/>
  <c r="AX167" i="8" s="1"/>
  <c r="N167" i="8" s="1"/>
  <c r="T2" i="4" a="1"/>
  <c r="T2" i="4" s="1"/>
  <c r="T224" i="4" a="1"/>
  <c r="T224" i="4" s="1"/>
  <c r="AC169" i="5" s="1"/>
  <c r="AL192" i="8" s="1"/>
  <c r="T246" i="4" a="1"/>
  <c r="T246" i="4" s="1"/>
  <c r="AC230" i="5" s="1"/>
  <c r="AL242" i="8" s="1"/>
  <c r="M225" i="4"/>
  <c r="R196" i="5" s="1"/>
  <c r="N156" i="4"/>
  <c r="T211" i="5" s="1"/>
  <c r="AI226" i="8" s="1"/>
  <c r="W130" i="4"/>
  <c r="AG5" i="5" s="1"/>
  <c r="Y182" i="4"/>
  <c r="AJ11" i="5" s="1"/>
  <c r="W92" i="4"/>
  <c r="AG111" i="5" s="1"/>
  <c r="W149" i="4"/>
  <c r="AG201" i="5" s="1"/>
  <c r="AC55" i="2"/>
  <c r="S372" i="4"/>
  <c r="S59" i="4"/>
  <c r="AA45" i="5" s="1"/>
  <c r="D10" i="4"/>
  <c r="E254" i="5" s="1"/>
  <c r="Q44" i="4"/>
  <c r="X18" i="5" s="1"/>
  <c r="M210" i="4"/>
  <c r="R21" i="5" s="1"/>
  <c r="S211" i="4"/>
  <c r="AA22" i="5" s="1"/>
  <c r="R46" i="4"/>
  <c r="Z32" i="5" s="1"/>
  <c r="AK63" i="8" s="1"/>
  <c r="AW63" i="8" s="1"/>
  <c r="Y49" i="4"/>
  <c r="AJ34" i="5" s="1"/>
  <c r="H89" i="4"/>
  <c r="K48" i="5" s="1"/>
  <c r="O140" i="4"/>
  <c r="U14" i="5" s="1"/>
  <c r="S181" i="4"/>
  <c r="AA10" i="5" s="1"/>
  <c r="M46" i="4"/>
  <c r="R32" i="5" s="1"/>
  <c r="O46" i="4"/>
  <c r="U32" i="5" s="1"/>
  <c r="C89" i="4"/>
  <c r="C48" i="5" s="1"/>
  <c r="Z109" i="4"/>
  <c r="AL65" i="5" s="1"/>
  <c r="U106" i="4" a="1"/>
  <c r="U106" i="4" s="1"/>
  <c r="AD58" i="5" s="1"/>
  <c r="H206" i="4"/>
  <c r="K71" i="5" s="1"/>
  <c r="D89" i="4"/>
  <c r="E48" i="5" s="1"/>
  <c r="Q39" i="4"/>
  <c r="X64" i="5" s="1"/>
  <c r="P109" i="4"/>
  <c r="W65" i="5" s="1"/>
  <c r="AJ94" i="8" s="1"/>
  <c r="AV94" i="8" s="1"/>
  <c r="L94" i="8" s="1"/>
  <c r="T51" i="4" a="1"/>
  <c r="T51" i="4" s="1"/>
  <c r="AC39" i="5" s="1"/>
  <c r="AL70" i="8" s="1"/>
  <c r="AX70" i="8" s="1"/>
  <c r="N70" i="8" s="1"/>
  <c r="D249" i="4"/>
  <c r="E99" i="5" s="1"/>
  <c r="C268" i="4"/>
  <c r="C100" i="5" s="1"/>
  <c r="C284" i="4"/>
  <c r="C106" i="5" s="1"/>
  <c r="X120" i="4"/>
  <c r="AI93" i="5" s="1"/>
  <c r="AN122" i="8" s="1"/>
  <c r="AZ122" i="8" s="1"/>
  <c r="P122" i="8" s="1"/>
  <c r="U92" i="4" a="1"/>
  <c r="U92" i="4" s="1"/>
  <c r="AD111" i="5" s="1"/>
  <c r="T175" i="4" a="1"/>
  <c r="T175" i="4" s="1"/>
  <c r="AC81" i="5" s="1"/>
  <c r="AL110" i="8" s="1"/>
  <c r="P142" i="4"/>
  <c r="W125" i="5" s="1"/>
  <c r="AJ11" i="8" s="1"/>
  <c r="AV11" i="8" s="1"/>
  <c r="L11" i="8" s="1"/>
  <c r="N111" i="4"/>
  <c r="T94" i="5" s="1"/>
  <c r="AI123" i="8" s="1"/>
  <c r="Y79" i="4"/>
  <c r="AJ131" i="5" s="1"/>
  <c r="Z33" i="4"/>
  <c r="AL137" i="5" s="1"/>
  <c r="T121" i="4" a="1"/>
  <c r="T121" i="4" s="1"/>
  <c r="AC113" i="5" s="1"/>
  <c r="AL8" i="8" s="1"/>
  <c r="T97" i="4" a="1"/>
  <c r="T97" i="4" s="1"/>
  <c r="AC130" i="5" s="1"/>
  <c r="AL155" i="8" s="1"/>
  <c r="Q187" i="4"/>
  <c r="X151" i="5" s="1"/>
  <c r="T90" i="4" a="1"/>
  <c r="T90" i="4" s="1"/>
  <c r="AC82" i="5" s="1"/>
  <c r="AL111" i="8" s="1"/>
  <c r="H113" i="4"/>
  <c r="K135" i="5" s="1"/>
  <c r="Y123" i="4"/>
  <c r="AJ145" i="5" s="1"/>
  <c r="J91" i="4"/>
  <c r="N92" i="5" s="1"/>
  <c r="Y114" i="4"/>
  <c r="AJ138" i="5" s="1"/>
  <c r="Y65" i="4"/>
  <c r="AJ148" i="5" s="1"/>
  <c r="C186" i="4"/>
  <c r="C150" i="5" s="1"/>
  <c r="X17" i="4"/>
  <c r="AI184" i="5" s="1"/>
  <c r="AN204" i="8" s="1"/>
  <c r="AZ204" i="8" s="1"/>
  <c r="P204" i="8" s="1"/>
  <c r="M99" i="4"/>
  <c r="R166" i="5" s="1"/>
  <c r="Q70" i="4"/>
  <c r="X172" i="5" s="1"/>
  <c r="I17" i="4"/>
  <c r="L184" i="5" s="1"/>
  <c r="X115" i="4"/>
  <c r="AI161" i="5" s="1"/>
  <c r="AN184" i="8" s="1"/>
  <c r="AZ184" i="8" s="1"/>
  <c r="P184" i="8" s="1"/>
  <c r="Y16" i="4"/>
  <c r="AJ183" i="5" s="1"/>
  <c r="F128" i="4"/>
  <c r="H179" i="5" s="1"/>
  <c r="D83" i="4"/>
  <c r="E159" i="5" s="1"/>
  <c r="AD13" i="8" s="1"/>
  <c r="Y145" i="4"/>
  <c r="AJ178" i="5" s="1"/>
  <c r="F193" i="4"/>
  <c r="H210" i="5" s="1"/>
  <c r="L67" i="4"/>
  <c r="Q164" i="5" s="1"/>
  <c r="AH187" i="8" s="1"/>
  <c r="AT187" i="8" s="1"/>
  <c r="J187" i="8" s="1"/>
  <c r="Z15" i="4"/>
  <c r="AL181" i="5" s="1"/>
  <c r="O67" i="4"/>
  <c r="U164" i="5" s="1"/>
  <c r="P217" i="4"/>
  <c r="W227" i="5" s="1"/>
  <c r="Y199" i="4"/>
  <c r="AJ243" i="5" s="1"/>
  <c r="U152" i="4" a="1"/>
  <c r="U152" i="4" s="1"/>
  <c r="AD205" i="5" s="1"/>
  <c r="Q131" i="4"/>
  <c r="X199" i="5" s="1"/>
  <c r="O245" i="4"/>
  <c r="U229" i="5" s="1"/>
  <c r="T73" i="4" a="1"/>
  <c r="T73" i="4" s="1"/>
  <c r="AC192" i="5" s="1"/>
  <c r="AL211" i="8" s="1"/>
  <c r="AX211" i="8" s="1"/>
  <c r="N211" i="8" s="1"/>
  <c r="P167" i="4"/>
  <c r="W247" i="5" s="1"/>
  <c r="AJ258" i="8" s="1"/>
  <c r="AV258" i="8" s="1"/>
  <c r="L258" i="8" s="1"/>
  <c r="L160" i="4"/>
  <c r="Q216" i="5" s="1"/>
  <c r="AH229" i="8" s="1"/>
  <c r="AT229" i="8" s="1"/>
  <c r="J229" i="8" s="1"/>
  <c r="T85" i="4" a="1"/>
  <c r="T85" i="4" s="1"/>
  <c r="AC224" i="5" s="1"/>
  <c r="AL237" i="8" s="1"/>
  <c r="AX237" i="8" s="1"/>
  <c r="N237" i="8" s="1"/>
  <c r="L216" i="4"/>
  <c r="Q223" i="5" s="1"/>
  <c r="AH236" i="8" s="1"/>
  <c r="AT236" i="8" s="1"/>
  <c r="J236" i="8" s="1"/>
  <c r="Q95" i="4"/>
  <c r="X273" i="5" s="1"/>
  <c r="Y201" i="4"/>
  <c r="AJ249" i="5" s="1"/>
  <c r="U85" i="4" a="1"/>
  <c r="U85" i="4" s="1"/>
  <c r="AD224" i="5" s="1"/>
  <c r="Q204" i="4"/>
  <c r="X251" i="5" s="1"/>
  <c r="L176" i="4"/>
  <c r="Q267" i="5" s="1"/>
  <c r="AH275" i="8" s="1"/>
  <c r="AT275" i="8" s="1"/>
  <c r="J275" i="8" s="1"/>
  <c r="M197" i="4"/>
  <c r="R234" i="5" s="1"/>
  <c r="E66" i="4"/>
  <c r="F277" i="5" s="1"/>
  <c r="X259" i="4"/>
  <c r="AI297" i="5" s="1"/>
  <c r="AN303" i="8" s="1"/>
  <c r="AZ303" i="8" s="1"/>
  <c r="P303" i="8" s="1"/>
  <c r="L258" i="4"/>
  <c r="Q296" i="5" s="1"/>
  <c r="AH29" i="8" s="1"/>
  <c r="AT29" i="8" s="1"/>
  <c r="J29" i="8" s="1"/>
  <c r="J235" i="4"/>
  <c r="N253" i="5" s="1"/>
  <c r="X179" i="4"/>
  <c r="AI261" i="5" s="1"/>
  <c r="AN270" i="8" s="1"/>
  <c r="AZ270" i="8" s="1"/>
  <c r="P270" i="8" s="1"/>
  <c r="AC79" i="2"/>
  <c r="C116" i="4"/>
  <c r="C256" i="5" s="1"/>
  <c r="L281" i="4"/>
  <c r="Q292" i="5" s="1"/>
  <c r="AH299" i="8" s="1"/>
  <c r="AT299" i="8" s="1"/>
  <c r="J299" i="8" s="1"/>
  <c r="N27" i="4"/>
  <c r="T264" i="5" s="1"/>
  <c r="U146" i="4" a="1"/>
  <c r="U146" i="4" s="1"/>
  <c r="AD284" i="5" s="1"/>
  <c r="U165" i="4" a="1"/>
  <c r="U165" i="4" s="1"/>
  <c r="AD245" i="5" s="1"/>
  <c r="L287" i="4"/>
  <c r="Q287" i="5" s="1"/>
  <c r="AH294" i="8" s="1"/>
  <c r="AT294" i="8" s="1"/>
  <c r="J294" i="8" s="1"/>
  <c r="O325" i="4"/>
  <c r="U328" i="5" s="1"/>
  <c r="M343" i="4"/>
  <c r="R330" i="5" s="1"/>
  <c r="P341" i="4"/>
  <c r="W333" i="5" s="1"/>
  <c r="AJ333" i="8" s="1"/>
  <c r="T41" i="4" a="1"/>
  <c r="T41" i="4" s="1"/>
  <c r="AC279" i="5" s="1"/>
  <c r="AL28" i="8" s="1"/>
  <c r="L365" i="4"/>
  <c r="Q365" i="5" s="1"/>
  <c r="AH363" i="8" s="1"/>
  <c r="AT363" i="8" s="1"/>
  <c r="Z366" i="4"/>
  <c r="AL367" i="5" s="1"/>
  <c r="D360" i="4"/>
  <c r="E364" i="5" s="1"/>
  <c r="T374" i="4"/>
  <c r="AC374" i="5" s="1"/>
  <c r="AL35" i="8" s="1"/>
  <c r="J375" i="4"/>
  <c r="N375" i="5" s="1"/>
  <c r="AG371" i="8" s="1"/>
  <c r="L89" i="8"/>
  <c r="N92" i="8"/>
  <c r="AP19" i="5"/>
  <c r="AC54" i="2"/>
  <c r="Q318" i="4"/>
  <c r="X306" i="5" s="1"/>
  <c r="Q328" i="4"/>
  <c r="X344" i="5" s="1"/>
  <c r="Q327" i="4"/>
  <c r="X343" i="5" s="1"/>
  <c r="Q333" i="4"/>
  <c r="X350" i="5" s="1"/>
  <c r="Q337" i="4"/>
  <c r="X321" i="5" s="1"/>
  <c r="Q326" i="4"/>
  <c r="X342" i="5" s="1"/>
  <c r="Q346" i="4"/>
  <c r="X340" i="5" s="1"/>
  <c r="F303" i="4"/>
  <c r="F331" i="4"/>
  <c r="Z229" i="4"/>
  <c r="AL28" i="5" s="1"/>
  <c r="Z250" i="4"/>
  <c r="AL103" i="5" s="1"/>
  <c r="Z2" i="4"/>
  <c r="Z20" i="4"/>
  <c r="AL187" i="5" s="1"/>
  <c r="Z256" i="4"/>
  <c r="AL213" i="5" s="1"/>
  <c r="Z230" i="4"/>
  <c r="AL220" i="5" s="1"/>
  <c r="Z29" i="4"/>
  <c r="AL268" i="5" s="1"/>
  <c r="Z244" i="4"/>
  <c r="M282" i="4"/>
  <c r="R222" i="5" s="1"/>
  <c r="M19" i="4"/>
  <c r="R186" i="5" s="1"/>
  <c r="M74" i="4"/>
  <c r="R208" i="5" s="1"/>
  <c r="M407" i="4"/>
  <c r="S19" i="4"/>
  <c r="AA186" i="5" s="1"/>
  <c r="S74" i="4"/>
  <c r="AA208" i="5" s="1"/>
  <c r="S282" i="4"/>
  <c r="AA222" i="5" s="1"/>
  <c r="BG90" i="2"/>
  <c r="BG91" i="2"/>
  <c r="Z316" i="8"/>
  <c r="AW314" i="5"/>
  <c r="AD172" i="8"/>
  <c r="AP147" i="5"/>
  <c r="F195" i="4"/>
  <c r="H228" i="5" s="1"/>
  <c r="F85" i="4"/>
  <c r="X311" i="4"/>
  <c r="AI310" i="5" s="1"/>
  <c r="AN312" i="8" s="1"/>
  <c r="AZ312" i="8" s="1"/>
  <c r="P312" i="8" s="1"/>
  <c r="X324" i="4"/>
  <c r="AI327" i="5" s="1"/>
  <c r="AN328" i="8" s="1"/>
  <c r="AZ328" i="8" s="1"/>
  <c r="P328" i="8" s="1"/>
  <c r="X330" i="4"/>
  <c r="AI347" i="5" s="1"/>
  <c r="AN347" i="8" s="1"/>
  <c r="AZ347" i="8" s="1"/>
  <c r="P347" i="8" s="1"/>
  <c r="R332" i="4"/>
  <c r="R338" i="4"/>
  <c r="R304" i="4"/>
  <c r="R340" i="4"/>
  <c r="F344" i="4"/>
  <c r="F343" i="4"/>
  <c r="F305" i="4"/>
  <c r="F345" i="4"/>
  <c r="F306" i="4"/>
  <c r="F323" i="4"/>
  <c r="F350" i="4"/>
  <c r="F351" i="4"/>
  <c r="R238" i="8"/>
  <c r="Q163" i="4"/>
  <c r="X239" i="5" s="1"/>
  <c r="Q164" i="4"/>
  <c r="X240" i="5" s="1"/>
  <c r="Q71" i="4"/>
  <c r="X190" i="5" s="1"/>
  <c r="Q73" i="4"/>
  <c r="X192" i="5" s="1"/>
  <c r="Q222" i="4"/>
  <c r="X269" i="5" s="1"/>
  <c r="R164" i="4"/>
  <c r="R163" i="4"/>
  <c r="V311" i="4"/>
  <c r="AF310" i="5" s="1"/>
  <c r="V324" i="4"/>
  <c r="AF327" i="5" s="1"/>
  <c r="E364" i="4"/>
  <c r="E357" i="4"/>
  <c r="E362" i="4"/>
  <c r="E372" i="4"/>
  <c r="E373" i="4"/>
  <c r="E371" i="4"/>
  <c r="E355" i="4"/>
  <c r="E352" i="4"/>
  <c r="E359" i="4"/>
  <c r="E353" i="4"/>
  <c r="E354" i="4"/>
  <c r="E361" i="4"/>
  <c r="E363" i="4"/>
  <c r="AQ94" i="2"/>
  <c r="AQ93" i="2"/>
  <c r="P71" i="4"/>
  <c r="W190" i="5" s="1"/>
  <c r="AJ17" i="8" s="1"/>
  <c r="P73" i="4"/>
  <c r="W192" i="5" s="1"/>
  <c r="AJ211" i="8" s="1"/>
  <c r="P99" i="4"/>
  <c r="W166" i="5" s="1"/>
  <c r="AJ189" i="8" s="1"/>
  <c r="AV189" i="8" s="1"/>
  <c r="P222" i="4"/>
  <c r="W269" i="5" s="1"/>
  <c r="AJ277" i="8" s="1"/>
  <c r="R180" i="4"/>
  <c r="R224" i="4"/>
  <c r="AG64" i="2"/>
  <c r="AI64" i="2"/>
  <c r="AF64" i="2"/>
  <c r="AF238" i="8"/>
  <c r="AR238" i="8" s="1"/>
  <c r="H238" i="8" s="1"/>
  <c r="AR225" i="5"/>
  <c r="P23" i="4"/>
  <c r="W13" i="5" s="1"/>
  <c r="AJ48" i="8" s="1"/>
  <c r="P53" i="4"/>
  <c r="W43" i="5" s="1"/>
  <c r="AJ74" i="8" s="1"/>
  <c r="P298" i="4"/>
  <c r="W124" i="5" s="1"/>
  <c r="AJ10" i="8" s="1"/>
  <c r="P56" i="4"/>
  <c r="W116" i="5" s="1"/>
  <c r="P412" i="4"/>
  <c r="W402" i="5" s="1"/>
  <c r="AJ394" i="8" s="1"/>
  <c r="AV394" i="8" s="1"/>
  <c r="L394" i="8" s="1"/>
  <c r="P403" i="4"/>
  <c r="W393" i="5" s="1"/>
  <c r="AJ386" i="8" s="1"/>
  <c r="AV386" i="8" s="1"/>
  <c r="L386" i="8" s="1"/>
  <c r="P93" i="4"/>
  <c r="W112" i="5" s="1"/>
  <c r="AJ141" i="8" s="1"/>
  <c r="P143" i="4"/>
  <c r="W126" i="5" s="1"/>
  <c r="AJ151" i="8" s="1"/>
  <c r="P139" i="4"/>
  <c r="W110" i="5" s="1"/>
  <c r="AJ139" i="8" s="1"/>
  <c r="P92" i="4"/>
  <c r="W111" i="5" s="1"/>
  <c r="AJ140" i="8" s="1"/>
  <c r="P98" i="4"/>
  <c r="W163" i="5" s="1"/>
  <c r="AJ186" i="8" s="1"/>
  <c r="P227" i="4"/>
  <c r="W203" i="5" s="1"/>
  <c r="AJ19" i="8" s="1"/>
  <c r="P118" i="4"/>
  <c r="W236" i="5" s="1"/>
  <c r="AJ248" i="8" s="1"/>
  <c r="AV248" i="8" s="1"/>
  <c r="L248" i="8" s="1"/>
  <c r="P197" i="4"/>
  <c r="W234" i="5" s="1"/>
  <c r="AJ246" i="8" s="1"/>
  <c r="AV246" i="8" s="1"/>
  <c r="L246" i="8" s="1"/>
  <c r="P162" i="4"/>
  <c r="W237" i="5" s="1"/>
  <c r="AJ249" i="8" s="1"/>
  <c r="AV249" i="8" s="1"/>
  <c r="L249" i="8" s="1"/>
  <c r="P198" i="4"/>
  <c r="W235" i="5" s="1"/>
  <c r="AJ247" i="8" s="1"/>
  <c r="AV247" i="8" s="1"/>
  <c r="L247" i="8" s="1"/>
  <c r="P100" i="4"/>
  <c r="W238" i="5" s="1"/>
  <c r="AJ250" i="8" s="1"/>
  <c r="AV250" i="8" s="1"/>
  <c r="L250" i="8" s="1"/>
  <c r="P415" i="4"/>
  <c r="W409" i="5" s="1"/>
  <c r="AJ400" i="8" s="1"/>
  <c r="AV400" i="8" s="1"/>
  <c r="L400" i="8" s="1"/>
  <c r="AT381" i="8"/>
  <c r="P19" i="4"/>
  <c r="W186" i="5" s="1"/>
  <c r="AJ206" i="8" s="1"/>
  <c r="AV206" i="8" s="1"/>
  <c r="L206" i="8" s="1"/>
  <c r="P282" i="4"/>
  <c r="W222" i="5" s="1"/>
  <c r="AJ235" i="8" s="1"/>
  <c r="P74" i="4"/>
  <c r="W208" i="5" s="1"/>
  <c r="AJ223" i="8" s="1"/>
  <c r="P407" i="4"/>
  <c r="W395" i="5" s="1"/>
  <c r="AJ388" i="8" s="1"/>
  <c r="AV388" i="8" s="1"/>
  <c r="L388" i="8" s="1"/>
  <c r="I164" i="4"/>
  <c r="I163" i="4"/>
  <c r="I42" i="4"/>
  <c r="I43" i="4"/>
  <c r="I44" i="4"/>
  <c r="L372" i="4"/>
  <c r="Q356" i="5" s="1"/>
  <c r="AH355" i="8" s="1"/>
  <c r="L371" i="4"/>
  <c r="Q355" i="5" s="1"/>
  <c r="AH354" i="8" s="1"/>
  <c r="L363" i="4"/>
  <c r="Q372" i="5" s="1"/>
  <c r="AH369" i="8" s="1"/>
  <c r="L362" i="4"/>
  <c r="Q373" i="5" s="1"/>
  <c r="AH370" i="8" s="1"/>
  <c r="L352" i="4"/>
  <c r="Q358" i="5" s="1"/>
  <c r="AH357" i="8" s="1"/>
  <c r="L364" i="4"/>
  <c r="Q359" i="5" s="1"/>
  <c r="AH358" i="8" s="1"/>
  <c r="L353" i="4"/>
  <c r="Q360" i="5" s="1"/>
  <c r="AH359" i="8" s="1"/>
  <c r="L359" i="4"/>
  <c r="Q363" i="5" s="1"/>
  <c r="AH361" i="8" s="1"/>
  <c r="AX93" i="2"/>
  <c r="AX94" i="2"/>
  <c r="L373" i="4"/>
  <c r="Q357" i="5" s="1"/>
  <c r="AH356" i="8" s="1"/>
  <c r="L355" i="4"/>
  <c r="Q362" i="5" s="1"/>
  <c r="AH33" i="8" s="1"/>
  <c r="L361" i="4"/>
  <c r="Q371" i="5" s="1"/>
  <c r="AH368" i="8" s="1"/>
  <c r="L354" i="4"/>
  <c r="Q370" i="5" s="1"/>
  <c r="AH34" i="8" s="1"/>
  <c r="P174" i="4"/>
  <c r="W79" i="5" s="1"/>
  <c r="AJ108" i="8" s="1"/>
  <c r="AV108" i="8" s="1"/>
  <c r="L108" i="8" s="1"/>
  <c r="P173" i="4"/>
  <c r="W78" i="5" s="1"/>
  <c r="AJ107" i="8" s="1"/>
  <c r="AV107" i="8" s="1"/>
  <c r="L107" i="8" s="1"/>
  <c r="P302" i="4"/>
  <c r="W77" i="5" s="1"/>
  <c r="AJ106" i="8" s="1"/>
  <c r="AV106" i="8" s="1"/>
  <c r="L106" i="8" s="1"/>
  <c r="P24" i="4"/>
  <c r="W182" i="5" s="1"/>
  <c r="AJ203" i="8" s="1"/>
  <c r="AV203" i="8" s="1"/>
  <c r="L203" i="8" s="1"/>
  <c r="P14" i="4"/>
  <c r="W180" i="5" s="1"/>
  <c r="AJ15" i="8" s="1"/>
  <c r="AV15" i="8" s="1"/>
  <c r="L15" i="8" s="1"/>
  <c r="P18" i="4"/>
  <c r="W185" i="5" s="1"/>
  <c r="AJ205" i="8" s="1"/>
  <c r="H190" i="4"/>
  <c r="K281" i="5" s="1"/>
  <c r="H191" i="4"/>
  <c r="K282" i="5" s="1"/>
  <c r="H129" i="4"/>
  <c r="K283" i="5" s="1"/>
  <c r="W377" i="4"/>
  <c r="AG377" i="5" s="1"/>
  <c r="W378" i="4"/>
  <c r="AG378" i="5" s="1"/>
  <c r="W374" i="4"/>
  <c r="AG374" i="5" s="1"/>
  <c r="W376" i="4"/>
  <c r="AG376" i="5" s="1"/>
  <c r="W382" i="4"/>
  <c r="AG382" i="5" s="1"/>
  <c r="W383" i="4"/>
  <c r="AG383" i="5" s="1"/>
  <c r="W380" i="4"/>
  <c r="AG380" i="5" s="1"/>
  <c r="W379" i="4"/>
  <c r="AG379" i="5" s="1"/>
  <c r="W381" i="4"/>
  <c r="AG381" i="5" s="1"/>
  <c r="W375" i="4"/>
  <c r="AG375" i="5" s="1"/>
  <c r="H274" i="4"/>
  <c r="K288" i="5" s="1"/>
  <c r="H257" i="4"/>
  <c r="K295" i="5" s="1"/>
  <c r="H280" i="4"/>
  <c r="K290" i="5" s="1"/>
  <c r="H270" i="4"/>
  <c r="K291" i="5" s="1"/>
  <c r="L237" i="4"/>
  <c r="Q104" i="5" s="1"/>
  <c r="AH133" i="8" s="1"/>
  <c r="AT133" i="8" s="1"/>
  <c r="J133" i="8" s="1"/>
  <c r="L242" i="4"/>
  <c r="Q146" i="5" s="1"/>
  <c r="AH171" i="8" s="1"/>
  <c r="AT171" i="8" s="1"/>
  <c r="J171" i="8" s="1"/>
  <c r="L228" i="4"/>
  <c r="Q218" i="5" s="1"/>
  <c r="AH231" i="8" s="1"/>
  <c r="AT231" i="8" s="1"/>
  <c r="J231" i="8" s="1"/>
  <c r="AX88" i="2"/>
  <c r="AX87" i="2"/>
  <c r="Y303" i="4"/>
  <c r="AJ303" i="5" s="1"/>
  <c r="Y331" i="4"/>
  <c r="AJ348" i="5" s="1"/>
  <c r="F212" i="4"/>
  <c r="F210" i="4"/>
  <c r="F148" i="4"/>
  <c r="F147" i="4"/>
  <c r="J106" i="4"/>
  <c r="N58" i="5" s="1"/>
  <c r="J57" i="4"/>
  <c r="J105" i="4"/>
  <c r="AB296" i="8"/>
  <c r="AY289" i="5"/>
  <c r="I138" i="4"/>
  <c r="I101" i="4"/>
  <c r="I25" i="4"/>
  <c r="I178" i="4"/>
  <c r="I175" i="4"/>
  <c r="I76" i="4"/>
  <c r="I177" i="4"/>
  <c r="I136" i="4"/>
  <c r="BH87" i="2"/>
  <c r="BH88" i="2"/>
  <c r="C313" i="4"/>
  <c r="C312" i="5" s="1"/>
  <c r="R314" i="8" s="1"/>
  <c r="C310" i="4"/>
  <c r="C309" i="5" s="1"/>
  <c r="R311" i="8" s="1"/>
  <c r="C312" i="4"/>
  <c r="C311" i="5" s="1"/>
  <c r="R313" i="8" s="1"/>
  <c r="AO91" i="2"/>
  <c r="AO90" i="2"/>
  <c r="F3" i="4"/>
  <c r="F54" i="4"/>
  <c r="F50" i="4"/>
  <c r="F402" i="4"/>
  <c r="F78" i="4"/>
  <c r="F166" i="4"/>
  <c r="F52" i="4"/>
  <c r="F167" i="4"/>
  <c r="F165" i="4"/>
  <c r="F168" i="4"/>
  <c r="F124" i="4"/>
  <c r="F26" i="4"/>
  <c r="F51" i="4"/>
  <c r="F58" i="4"/>
  <c r="F36" i="4"/>
  <c r="X317" i="4"/>
  <c r="AI305" i="5" s="1"/>
  <c r="AN307" i="8" s="1"/>
  <c r="AZ307" i="8" s="1"/>
  <c r="P307" i="8" s="1"/>
  <c r="X319" i="4"/>
  <c r="AI329" i="5" s="1"/>
  <c r="AN330" i="8" s="1"/>
  <c r="AZ330" i="8" s="1"/>
  <c r="P330" i="8" s="1"/>
  <c r="X334" i="4"/>
  <c r="AI322" i="5" s="1"/>
  <c r="AN324" i="8" s="1"/>
  <c r="AZ324" i="8" s="1"/>
  <c r="P324" i="8" s="1"/>
  <c r="X321" i="4"/>
  <c r="AI324" i="5" s="1"/>
  <c r="AN326" i="8" s="1"/>
  <c r="AZ326" i="8" s="1"/>
  <c r="P326" i="8" s="1"/>
  <c r="X329" i="4"/>
  <c r="AI345" i="5" s="1"/>
  <c r="AN345" i="8" s="1"/>
  <c r="AZ345" i="8" s="1"/>
  <c r="P345" i="8" s="1"/>
  <c r="X336" i="4"/>
  <c r="AI346" i="5" s="1"/>
  <c r="AN346" i="8" s="1"/>
  <c r="AZ346" i="8" s="1"/>
  <c r="P346" i="8" s="1"/>
  <c r="X335" i="4"/>
  <c r="AI323" i="5" s="1"/>
  <c r="AN325" i="8" s="1"/>
  <c r="AZ325" i="8" s="1"/>
  <c r="P325" i="8" s="1"/>
  <c r="X320" i="4"/>
  <c r="AI320" i="5" s="1"/>
  <c r="AN322" i="8" s="1"/>
  <c r="AZ322" i="8" s="1"/>
  <c r="P322" i="8" s="1"/>
  <c r="X342" i="4"/>
  <c r="AI334" i="5" s="1"/>
  <c r="AN334" i="8" s="1"/>
  <c r="AZ334" i="8" s="1"/>
  <c r="P334" i="8" s="1"/>
  <c r="X325" i="4"/>
  <c r="AI328" i="5" s="1"/>
  <c r="AN329" i="8" s="1"/>
  <c r="AZ329" i="8" s="1"/>
  <c r="P329" i="8" s="1"/>
  <c r="C47" i="4"/>
  <c r="C33" i="5" s="1"/>
  <c r="C45" i="4"/>
  <c r="C31" i="5" s="1"/>
  <c r="C5" i="4"/>
  <c r="C61" i="5" s="1"/>
  <c r="R90" i="8" s="1"/>
  <c r="C34" i="4"/>
  <c r="C149" i="5" s="1"/>
  <c r="C7" i="4"/>
  <c r="C176" i="5" s="1"/>
  <c r="R198" i="8" s="1"/>
  <c r="C9" i="4"/>
  <c r="C188" i="5" s="1"/>
  <c r="R208" i="8" s="1"/>
  <c r="C48" i="4"/>
  <c r="C233" i="5" s="1"/>
  <c r="R245" i="8" s="1"/>
  <c r="C183" i="4"/>
  <c r="C271" i="5" s="1"/>
  <c r="P60" i="4"/>
  <c r="W66" i="5" s="1"/>
  <c r="AJ95" i="8" s="1"/>
  <c r="AV95" i="8" s="1"/>
  <c r="L95" i="8" s="1"/>
  <c r="P187" i="4"/>
  <c r="W151" i="5" s="1"/>
  <c r="AJ175" i="8" s="1"/>
  <c r="AV175" i="8" s="1"/>
  <c r="L175" i="8" s="1"/>
  <c r="P185" i="4"/>
  <c r="W136" i="5" s="1"/>
  <c r="AJ161" i="8" s="1"/>
  <c r="AV161" i="8" s="1"/>
  <c r="L161" i="8" s="1"/>
  <c r="P10" i="4"/>
  <c r="W254" i="5" s="1"/>
  <c r="AJ26" i="8" s="1"/>
  <c r="AV26" i="8" s="1"/>
  <c r="L26" i="8" s="1"/>
  <c r="P200" i="4"/>
  <c r="W244" i="5" s="1"/>
  <c r="AJ255" i="8" s="1"/>
  <c r="AV255" i="8" s="1"/>
  <c r="P125" i="4"/>
  <c r="W278" i="5" s="1"/>
  <c r="AJ286" i="8" s="1"/>
  <c r="AV286" i="8" s="1"/>
  <c r="L286" i="8" s="1"/>
  <c r="P393" i="4"/>
  <c r="W392" i="5" s="1"/>
  <c r="AJ36" i="8" s="1"/>
  <c r="AV36" i="8" s="1"/>
  <c r="L36" i="8" s="1"/>
  <c r="P409" i="4"/>
  <c r="W403" i="5" s="1"/>
  <c r="AJ395" i="8" s="1"/>
  <c r="AV395" i="8" s="1"/>
  <c r="L395" i="8" s="1"/>
  <c r="P414" i="4"/>
  <c r="W415" i="5" s="1"/>
  <c r="AJ406" i="8" s="1"/>
  <c r="AV406" i="8" s="1"/>
  <c r="L406" i="8" s="1"/>
  <c r="P398" i="4"/>
  <c r="W405" i="5" s="1"/>
  <c r="AJ397" i="8" s="1"/>
  <c r="AV397" i="8" s="1"/>
  <c r="L397" i="8" s="1"/>
  <c r="P401" i="4"/>
  <c r="W408" i="5" s="1"/>
  <c r="AJ399" i="8" s="1"/>
  <c r="AV399" i="8" s="1"/>
  <c r="L399" i="8" s="1"/>
  <c r="P413" i="4"/>
  <c r="W414" i="5" s="1"/>
  <c r="AJ405" i="8" s="1"/>
  <c r="AV405" i="8" s="1"/>
  <c r="L405" i="8" s="1"/>
  <c r="L92" i="4"/>
  <c r="Q111" i="5" s="1"/>
  <c r="AH140" i="8" s="1"/>
  <c r="AT140" i="8" s="1"/>
  <c r="J140" i="8" s="1"/>
  <c r="L93" i="4"/>
  <c r="Q112" i="5" s="1"/>
  <c r="AH141" i="8" s="1"/>
  <c r="AT141" i="8" s="1"/>
  <c r="J141" i="8" s="1"/>
  <c r="L139" i="4"/>
  <c r="Q110" i="5" s="1"/>
  <c r="AH139" i="8" s="1"/>
  <c r="AT139" i="8" s="1"/>
  <c r="J139" i="8" s="1"/>
  <c r="L65" i="4"/>
  <c r="Q148" i="5" s="1"/>
  <c r="AH12" i="8" s="1"/>
  <c r="AT12" i="8" s="1"/>
  <c r="J12" i="8" s="1"/>
  <c r="L98" i="4"/>
  <c r="Q163" i="5" s="1"/>
  <c r="AH186" i="8" s="1"/>
  <c r="AT186" i="8" s="1"/>
  <c r="J186" i="8" s="1"/>
  <c r="L227" i="4"/>
  <c r="Q203" i="5" s="1"/>
  <c r="AH19" i="8" s="1"/>
  <c r="AT19" i="8" s="1"/>
  <c r="J19" i="8" s="1"/>
  <c r="L145" i="4"/>
  <c r="Q178" i="5" s="1"/>
  <c r="AH200" i="8" s="1"/>
  <c r="AT200" i="8" s="1"/>
  <c r="J200" i="8" s="1"/>
  <c r="L198" i="4"/>
  <c r="Q235" i="5" s="1"/>
  <c r="AH247" i="8" s="1"/>
  <c r="AT247" i="8" s="1"/>
  <c r="J247" i="8" s="1"/>
  <c r="L100" i="4"/>
  <c r="Q238" i="5" s="1"/>
  <c r="AH250" i="8" s="1"/>
  <c r="AT250" i="8" s="1"/>
  <c r="J250" i="8" s="1"/>
  <c r="L118" i="4"/>
  <c r="Q236" i="5" s="1"/>
  <c r="AH248" i="8" s="1"/>
  <c r="AT248" i="8" s="1"/>
  <c r="J248" i="8" s="1"/>
  <c r="L197" i="4"/>
  <c r="Q234" i="5" s="1"/>
  <c r="AH246" i="8" s="1"/>
  <c r="AT246" i="8" s="1"/>
  <c r="J246" i="8" s="1"/>
  <c r="C212" i="4"/>
  <c r="C23" i="5" s="1"/>
  <c r="C148" i="4"/>
  <c r="C200" i="5" s="1"/>
  <c r="C147" i="4"/>
  <c r="C293" i="5" s="1"/>
  <c r="Z194" i="4"/>
  <c r="AL27" i="5" s="1"/>
  <c r="Z122" i="4"/>
  <c r="AL141" i="5" s="1"/>
  <c r="Z123" i="4"/>
  <c r="AL145" i="5" s="1"/>
  <c r="Z246" i="4"/>
  <c r="AL230" i="5" s="1"/>
  <c r="Z245" i="4"/>
  <c r="AL229" i="5" s="1"/>
  <c r="C237" i="4"/>
  <c r="C104" i="5" s="1"/>
  <c r="C228" i="4"/>
  <c r="C218" i="5" s="1"/>
  <c r="AO87" i="2"/>
  <c r="AO88" i="2"/>
  <c r="E146" i="4"/>
  <c r="E192" i="4"/>
  <c r="E149" i="4"/>
  <c r="E117" i="4"/>
  <c r="P101" i="4"/>
  <c r="W35" i="5" s="1"/>
  <c r="AJ66" i="8" s="1"/>
  <c r="P178" i="4"/>
  <c r="W85" i="5" s="1"/>
  <c r="AJ114" i="8" s="1"/>
  <c r="P177" i="4"/>
  <c r="W83" i="5" s="1"/>
  <c r="AJ112" i="8" s="1"/>
  <c r="P136" i="4"/>
  <c r="W84" i="5" s="1"/>
  <c r="AJ113" i="8" s="1"/>
  <c r="AV113" i="8" s="1"/>
  <c r="L113" i="8" s="1"/>
  <c r="P175" i="4"/>
  <c r="W81" i="5" s="1"/>
  <c r="AJ110" i="8" s="1"/>
  <c r="P138" i="4"/>
  <c r="W86" i="5" s="1"/>
  <c r="AJ115" i="8" s="1"/>
  <c r="AV115" i="8" s="1"/>
  <c r="L115" i="8" s="1"/>
  <c r="P76" i="4"/>
  <c r="W115" i="5" s="1"/>
  <c r="AJ143" i="8" s="1"/>
  <c r="AV143" i="8" s="1"/>
  <c r="L143" i="8" s="1"/>
  <c r="P25" i="4"/>
  <c r="W252" i="5" s="1"/>
  <c r="AJ262" i="8" s="1"/>
  <c r="AV262" i="8" s="1"/>
  <c r="L262" i="8" s="1"/>
  <c r="P106" i="4"/>
  <c r="W58" i="5" s="1"/>
  <c r="AJ87" i="8" s="1"/>
  <c r="P105" i="4"/>
  <c r="W57" i="5" s="1"/>
  <c r="AJ86" i="8" s="1"/>
  <c r="AV86" i="8" s="1"/>
  <c r="L86" i="8" s="1"/>
  <c r="P45" i="4"/>
  <c r="W31" i="5" s="1"/>
  <c r="AJ5" i="8" s="1"/>
  <c r="P46" i="4"/>
  <c r="W32" i="5" s="1"/>
  <c r="AJ63" i="8" s="1"/>
  <c r="P5" i="4"/>
  <c r="W61" i="5" s="1"/>
  <c r="AJ90" i="8" s="1"/>
  <c r="P34" i="4"/>
  <c r="W149" i="5" s="1"/>
  <c r="AJ173" i="8" s="1"/>
  <c r="AV173" i="8" s="1"/>
  <c r="L173" i="8" s="1"/>
  <c r="P7" i="4"/>
  <c r="W176" i="5" s="1"/>
  <c r="AJ198" i="8" s="1"/>
  <c r="P9" i="4"/>
  <c r="W188" i="5" s="1"/>
  <c r="AJ208" i="8" s="1"/>
  <c r="P48" i="4"/>
  <c r="W233" i="5" s="1"/>
  <c r="AJ245" i="8" s="1"/>
  <c r="AV245" i="8" s="1"/>
  <c r="L245" i="8" s="1"/>
  <c r="P183" i="4"/>
  <c r="W271" i="5" s="1"/>
  <c r="AJ279" i="8" s="1"/>
  <c r="E213" i="4"/>
  <c r="E211" i="4"/>
  <c r="E214" i="4"/>
  <c r="E215" i="4"/>
  <c r="W220" i="8"/>
  <c r="AU220" i="8" s="1"/>
  <c r="AT202" i="5"/>
  <c r="AL31" i="2"/>
  <c r="R15" i="4"/>
  <c r="Z181" i="5" s="1"/>
  <c r="AK202" i="8" s="1"/>
  <c r="R405" i="4"/>
  <c r="Z410" i="5" s="1"/>
  <c r="R411" i="4"/>
  <c r="Z411" i="5" s="1"/>
  <c r="R297" i="4"/>
  <c r="R111" i="4"/>
  <c r="F413" i="4"/>
  <c r="F218" i="4"/>
  <c r="F185" i="4"/>
  <c r="F187" i="4"/>
  <c r="F55" i="4"/>
  <c r="F414" i="4"/>
  <c r="F109" i="4"/>
  <c r="F125" i="4"/>
  <c r="F10" i="4"/>
  <c r="F409" i="4"/>
  <c r="F60" i="4"/>
  <c r="F398" i="4"/>
  <c r="F38" i="4"/>
  <c r="F401" i="4"/>
  <c r="F200" i="4"/>
  <c r="F393" i="4"/>
  <c r="R153" i="4"/>
  <c r="R201" i="4"/>
  <c r="P248" i="4"/>
  <c r="W76" i="5" s="1"/>
  <c r="AJ105" i="8" s="1"/>
  <c r="AV105" i="8" s="1"/>
  <c r="L105" i="8" s="1"/>
  <c r="P291" i="4"/>
  <c r="W101" i="5" s="1"/>
  <c r="AJ130" i="8" s="1"/>
  <c r="AV130" i="8" s="1"/>
  <c r="L130" i="8" s="1"/>
  <c r="P249" i="4"/>
  <c r="W99" i="5" s="1"/>
  <c r="AJ128" i="8" s="1"/>
  <c r="P292" i="4"/>
  <c r="W143" i="5" s="1"/>
  <c r="AJ168" i="8" s="1"/>
  <c r="AV168" i="8" s="1"/>
  <c r="L168" i="8" s="1"/>
  <c r="P243" i="4"/>
  <c r="W193" i="5" s="1"/>
  <c r="AJ212" i="8" s="1"/>
  <c r="AV212" i="8" s="1"/>
  <c r="L212" i="8" s="1"/>
  <c r="P252" i="4"/>
  <c r="W157" i="5" s="1"/>
  <c r="AJ181" i="8" s="1"/>
  <c r="AV181" i="8" s="1"/>
  <c r="L181" i="8" s="1"/>
  <c r="P260" i="4"/>
  <c r="W46" i="5" s="1"/>
  <c r="AJ77" i="8" s="1"/>
  <c r="AV77" i="8" s="1"/>
  <c r="L77" i="8" s="1"/>
  <c r="P206" i="4"/>
  <c r="W71" i="5" s="1"/>
  <c r="AJ100" i="8" s="1"/>
  <c r="AV100" i="8" s="1"/>
  <c r="L100" i="8" s="1"/>
  <c r="P172" i="4"/>
  <c r="W70" i="5" s="1"/>
  <c r="AJ99" i="8" s="1"/>
  <c r="P37" i="4"/>
  <c r="W62" i="5" s="1"/>
  <c r="AJ91" i="8" s="1"/>
  <c r="AV91" i="8" s="1"/>
  <c r="L91" i="8" s="1"/>
  <c r="P170" i="4"/>
  <c r="W68" i="5" s="1"/>
  <c r="AJ97" i="8" s="1"/>
  <c r="AV97" i="8" s="1"/>
  <c r="L97" i="8" s="1"/>
  <c r="P261" i="4"/>
  <c r="W96" i="5" s="1"/>
  <c r="AJ125" i="8" s="1"/>
  <c r="AV125" i="8" s="1"/>
  <c r="L125" i="8" s="1"/>
  <c r="P295" i="4"/>
  <c r="W98" i="5" s="1"/>
  <c r="AJ127" i="8" s="1"/>
  <c r="AV127" i="8" s="1"/>
  <c r="L127" i="8" s="1"/>
  <c r="P126" i="4"/>
  <c r="W162" i="5" s="1"/>
  <c r="AJ185" i="8" s="1"/>
  <c r="AV185" i="8" s="1"/>
  <c r="L185" i="8" s="1"/>
  <c r="P199" i="4"/>
  <c r="W243" i="5" s="1"/>
  <c r="AJ254" i="8" s="1"/>
  <c r="P41" i="4"/>
  <c r="W279" i="5" s="1"/>
  <c r="AJ28" i="8" s="1"/>
  <c r="O26" i="4"/>
  <c r="U49" i="5" s="1"/>
  <c r="O54" i="4"/>
  <c r="U47" i="5" s="1"/>
  <c r="F322" i="4"/>
  <c r="F321" i="4"/>
  <c r="F334" i="4"/>
  <c r="F335" i="4"/>
  <c r="F317" i="4"/>
  <c r="F325" i="4"/>
  <c r="F319" i="4"/>
  <c r="F320" i="4"/>
  <c r="F348" i="4"/>
  <c r="F342" i="4"/>
  <c r="F336" i="4"/>
  <c r="F341" i="4"/>
  <c r="F329" i="4"/>
  <c r="D266" i="4"/>
  <c r="E7" i="5" s="1"/>
  <c r="D64" i="4"/>
  <c r="E3" i="5" s="1"/>
  <c r="D196" i="4"/>
  <c r="E8" i="5" s="1"/>
  <c r="D202" i="4"/>
  <c r="E36" i="5" s="1"/>
  <c r="D121" i="4"/>
  <c r="E113" i="5" s="1"/>
  <c r="D238" i="4"/>
  <c r="E105" i="5" s="1"/>
  <c r="AD134" i="8" s="1"/>
  <c r="AP134" i="8" s="1"/>
  <c r="D251" i="4"/>
  <c r="E280" i="5" s="1"/>
  <c r="C101" i="4"/>
  <c r="C35" i="5" s="1"/>
  <c r="R66" i="8" s="1"/>
  <c r="C178" i="4"/>
  <c r="C85" i="5" s="1"/>
  <c r="C177" i="4"/>
  <c r="C83" i="5" s="1"/>
  <c r="C175" i="4"/>
  <c r="C81" i="5" s="1"/>
  <c r="C136" i="4"/>
  <c r="C84" i="5" s="1"/>
  <c r="C138" i="4"/>
  <c r="C86" i="5" s="1"/>
  <c r="C76" i="4"/>
  <c r="C115" i="5" s="1"/>
  <c r="C25" i="4"/>
  <c r="C252" i="5" s="1"/>
  <c r="C275" i="4"/>
  <c r="C300" i="5" s="1"/>
  <c r="C289" i="4"/>
  <c r="C52" i="5" s="1"/>
  <c r="R81" i="8" s="1"/>
  <c r="C273" i="4"/>
  <c r="C51" i="5" s="1"/>
  <c r="C68" i="4"/>
  <c r="C165" i="5" s="1"/>
  <c r="C389" i="4"/>
  <c r="R66" i="4"/>
  <c r="R12" i="4"/>
  <c r="M69" i="4"/>
  <c r="R170" i="5" s="1"/>
  <c r="M116" i="4"/>
  <c r="R256" i="5" s="1"/>
  <c r="M392" i="4"/>
  <c r="M410" i="4"/>
  <c r="M275" i="4"/>
  <c r="R300" i="5" s="1"/>
  <c r="M289" i="4"/>
  <c r="R52" i="5" s="1"/>
  <c r="M62" i="4"/>
  <c r="R109" i="5" s="1"/>
  <c r="M75" i="4"/>
  <c r="R250" i="5" s="1"/>
  <c r="M130" i="4"/>
  <c r="R5" i="5" s="1"/>
  <c r="M22" i="4"/>
  <c r="R12" i="5" s="1"/>
  <c r="M262" i="4"/>
  <c r="R4" i="5" s="1"/>
  <c r="M89" i="4"/>
  <c r="R48" i="5" s="1"/>
  <c r="M299" i="4"/>
  <c r="R154" i="5" s="1"/>
  <c r="M404" i="4"/>
  <c r="M394" i="4"/>
  <c r="M395" i="4"/>
  <c r="M396" i="4"/>
  <c r="M399" i="4"/>
  <c r="M400" i="4"/>
  <c r="M277" i="4"/>
  <c r="R301" i="5" s="1"/>
  <c r="M169" i="4"/>
  <c r="R54" i="5" s="1"/>
  <c r="M90" i="4"/>
  <c r="R82" i="5" s="1"/>
  <c r="M91" i="4"/>
  <c r="R92" i="5" s="1"/>
  <c r="BG85" i="2"/>
  <c r="BG84" i="2"/>
  <c r="E81" i="4"/>
  <c r="E80" i="4"/>
  <c r="Z101" i="4"/>
  <c r="AL35" i="5" s="1"/>
  <c r="Z136" i="4"/>
  <c r="AL84" i="5" s="1"/>
  <c r="Z177" i="4"/>
  <c r="AL83" i="5" s="1"/>
  <c r="Z76" i="4"/>
  <c r="AL115" i="5" s="1"/>
  <c r="Z178" i="4"/>
  <c r="AL85" i="5" s="1"/>
  <c r="Z175" i="4"/>
  <c r="AL81" i="5" s="1"/>
  <c r="Z25" i="4"/>
  <c r="AL252" i="5" s="1"/>
  <c r="Z235" i="4"/>
  <c r="AL253" i="5" s="1"/>
  <c r="Z207" i="4"/>
  <c r="AL72" i="5" s="1"/>
  <c r="Z135" i="4"/>
  <c r="AL74" i="5" s="1"/>
  <c r="Z106" i="4"/>
  <c r="AL58" i="5" s="1"/>
  <c r="Z105" i="4"/>
  <c r="AL57" i="5" s="1"/>
  <c r="J311" i="4"/>
  <c r="N310" i="5" s="1"/>
  <c r="J324" i="4"/>
  <c r="N327" i="5" s="1"/>
  <c r="J330" i="4"/>
  <c r="N347" i="5" s="1"/>
  <c r="X381" i="4"/>
  <c r="AI381" i="5" s="1"/>
  <c r="AN377" i="8" s="1"/>
  <c r="X380" i="4"/>
  <c r="AI380" i="5" s="1"/>
  <c r="AN376" i="8" s="1"/>
  <c r="X378" i="4"/>
  <c r="AI378" i="5" s="1"/>
  <c r="AN374" i="8" s="1"/>
  <c r="X375" i="4"/>
  <c r="AI375" i="5" s="1"/>
  <c r="AN371" i="8" s="1"/>
  <c r="X376" i="4"/>
  <c r="AI376" i="5" s="1"/>
  <c r="AN372" i="8" s="1"/>
  <c r="X382" i="4"/>
  <c r="AI382" i="5" s="1"/>
  <c r="AN378" i="8" s="1"/>
  <c r="X374" i="4"/>
  <c r="AI374" i="5" s="1"/>
  <c r="AN35" i="8" s="1"/>
  <c r="V318" i="4"/>
  <c r="AF306" i="5" s="1"/>
  <c r="V333" i="4"/>
  <c r="AF350" i="5" s="1"/>
  <c r="V326" i="4"/>
  <c r="AF342" i="5" s="1"/>
  <c r="V328" i="4"/>
  <c r="AF344" i="5" s="1"/>
  <c r="V327" i="4"/>
  <c r="AF343" i="5" s="1"/>
  <c r="V346" i="4"/>
  <c r="AF340" i="5" s="1"/>
  <c r="E183" i="4"/>
  <c r="F271" i="5" s="1"/>
  <c r="E5" i="4"/>
  <c r="E9" i="4"/>
  <c r="E49" i="4"/>
  <c r="E46" i="4"/>
  <c r="E34" i="4"/>
  <c r="E7" i="4"/>
  <c r="E47" i="4"/>
  <c r="E48" i="4"/>
  <c r="E45" i="4"/>
  <c r="R353" i="4"/>
  <c r="Z360" i="5" s="1"/>
  <c r="R354" i="4"/>
  <c r="Z370" i="5" s="1"/>
  <c r="AK34" i="8" s="1"/>
  <c r="R361" i="4"/>
  <c r="R357" i="4"/>
  <c r="R362" i="4"/>
  <c r="R359" i="4"/>
  <c r="R373" i="4"/>
  <c r="R363" i="4"/>
  <c r="R364" i="4"/>
  <c r="R352" i="4"/>
  <c r="R355" i="4"/>
  <c r="R372" i="4"/>
  <c r="BD94" i="2"/>
  <c r="BD93" i="2"/>
  <c r="R371" i="4"/>
  <c r="Z355" i="5" s="1"/>
  <c r="AK354" i="8" s="1"/>
  <c r="J72" i="4"/>
  <c r="J204" i="4"/>
  <c r="X141" i="4"/>
  <c r="AI123" i="5" s="1"/>
  <c r="AN9" i="8" s="1"/>
  <c r="AZ9" i="8" s="1"/>
  <c r="P9" i="8" s="1"/>
  <c r="X144" i="4"/>
  <c r="AI155" i="5" s="1"/>
  <c r="AN179" i="8" s="1"/>
  <c r="AZ179" i="8" s="1"/>
  <c r="P179" i="8" s="1"/>
  <c r="X161" i="4"/>
  <c r="AI217" i="5" s="1"/>
  <c r="AN230" i="8" s="1"/>
  <c r="AZ230" i="8" s="1"/>
  <c r="P230" i="8" s="1"/>
  <c r="X95" i="4"/>
  <c r="AI273" i="5" s="1"/>
  <c r="AN281" i="8" s="1"/>
  <c r="AZ281" i="8" s="1"/>
  <c r="P281" i="8" s="1"/>
  <c r="F276" i="4"/>
  <c r="F302" i="4"/>
  <c r="H77" i="5" s="1"/>
  <c r="F174" i="4"/>
  <c r="H79" i="5" s="1"/>
  <c r="F24" i="4"/>
  <c r="H182" i="5" s="1"/>
  <c r="F14" i="4"/>
  <c r="H180" i="5" s="1"/>
  <c r="F18" i="4"/>
  <c r="H185" i="5" s="1"/>
  <c r="L326" i="4"/>
  <c r="Q342" i="5" s="1"/>
  <c r="AH342" i="8" s="1"/>
  <c r="AT342" i="8" s="1"/>
  <c r="J342" i="8" s="1"/>
  <c r="L337" i="4"/>
  <c r="Q321" i="5" s="1"/>
  <c r="AH323" i="8" s="1"/>
  <c r="AT323" i="8" s="1"/>
  <c r="J323" i="8" s="1"/>
  <c r="L328" i="4"/>
  <c r="Q344" i="5" s="1"/>
  <c r="AH344" i="8" s="1"/>
  <c r="AT344" i="8" s="1"/>
  <c r="J344" i="8" s="1"/>
  <c r="L327" i="4"/>
  <c r="Q343" i="5" s="1"/>
  <c r="AH343" i="8" s="1"/>
  <c r="AT343" i="8" s="1"/>
  <c r="J343" i="8" s="1"/>
  <c r="L333" i="4"/>
  <c r="Q350" i="5" s="1"/>
  <c r="AH350" i="8" s="1"/>
  <c r="AT350" i="8" s="1"/>
  <c r="J350" i="8" s="1"/>
  <c r="L346" i="4"/>
  <c r="Q340" i="5" s="1"/>
  <c r="AH340" i="8" s="1"/>
  <c r="AT340" i="8" s="1"/>
  <c r="J340" i="8" s="1"/>
  <c r="Z203" i="4"/>
  <c r="AL37" i="5" s="1"/>
  <c r="Z225" i="4"/>
  <c r="AL196" i="5" s="1"/>
  <c r="AX312" i="8"/>
  <c r="Y216" i="4"/>
  <c r="AJ223" i="5" s="1"/>
  <c r="Y119" i="4"/>
  <c r="AJ241" i="5" s="1"/>
  <c r="R277" i="4"/>
  <c r="R91" i="4"/>
  <c r="R169" i="4"/>
  <c r="R90" i="4"/>
  <c r="T313" i="4"/>
  <c r="AC312" i="5" s="1"/>
  <c r="AL314" i="8" s="1"/>
  <c r="T310" i="4"/>
  <c r="AC309" i="5" s="1"/>
  <c r="T312" i="4"/>
  <c r="AC311" i="5" s="1"/>
  <c r="BF91" i="2"/>
  <c r="BF90" i="2"/>
  <c r="X381" i="8"/>
  <c r="AU384" i="5"/>
  <c r="AO252" i="8"/>
  <c r="BA241" i="5"/>
  <c r="C182" i="4"/>
  <c r="C11" i="5" s="1"/>
  <c r="C236" i="4"/>
  <c r="C95" i="5" s="1"/>
  <c r="C137" i="4"/>
  <c r="C260" i="5" s="1"/>
  <c r="C209" i="4"/>
  <c r="C259" i="5" s="1"/>
  <c r="C219" i="4"/>
  <c r="C265" i="5" s="1"/>
  <c r="C176" i="4"/>
  <c r="C267" i="5" s="1"/>
  <c r="Q276" i="4"/>
  <c r="X302" i="5" s="1"/>
  <c r="AV302" i="5" s="1"/>
  <c r="U267" i="4" a="1"/>
  <c r="U267" i="4" s="1"/>
  <c r="AD73" i="5" s="1"/>
  <c r="U161" i="4" a="1"/>
  <c r="U161" i="4" s="1"/>
  <c r="AD217" i="5" s="1"/>
  <c r="T262" i="4" a="1"/>
  <c r="T262" i="4" s="1"/>
  <c r="AC4" i="5" s="1"/>
  <c r="AL41" i="8" s="1"/>
  <c r="AX41" i="8" s="1"/>
  <c r="N41" i="8" s="1"/>
  <c r="T52" i="4" a="1"/>
  <c r="T52" i="4" s="1"/>
  <c r="AC40" i="5" s="1"/>
  <c r="AL71" i="8" s="1"/>
  <c r="AX71" i="8" s="1"/>
  <c r="N71" i="8" s="1"/>
  <c r="T170" i="4" a="1"/>
  <c r="T170" i="4" s="1"/>
  <c r="AC68" i="5" s="1"/>
  <c r="AL97" i="8" s="1"/>
  <c r="T300" i="4" a="1"/>
  <c r="T300" i="4" s="1"/>
  <c r="AC153" i="5" s="1"/>
  <c r="AL177" i="8" s="1"/>
  <c r="L225" i="4"/>
  <c r="Q196" i="5" s="1"/>
  <c r="AH215" i="8" s="1"/>
  <c r="AT215" i="8" s="1"/>
  <c r="J215" i="8" s="1"/>
  <c r="T179" i="4" a="1"/>
  <c r="T179" i="4" s="1"/>
  <c r="AC261" i="5" s="1"/>
  <c r="AL270" i="8" s="1"/>
  <c r="W152" i="8"/>
  <c r="AU152" i="8" s="1"/>
  <c r="I314" i="4"/>
  <c r="L313" i="5" s="1"/>
  <c r="E315" i="4"/>
  <c r="E339" i="4"/>
  <c r="E309" i="4"/>
  <c r="E314" i="4"/>
  <c r="E307" i="4"/>
  <c r="E347" i="4"/>
  <c r="E316" i="4"/>
  <c r="U104" i="4" a="1"/>
  <c r="U104" i="4" s="1"/>
  <c r="AD56" i="5" s="1"/>
  <c r="U60" i="4" a="1"/>
  <c r="U60" i="4" s="1"/>
  <c r="AD66" i="5" s="1"/>
  <c r="J36" i="3"/>
  <c r="H378" i="4"/>
  <c r="K378" i="5" s="1"/>
  <c r="S307" i="4"/>
  <c r="AA317" i="5" s="1"/>
  <c r="M110" i="4"/>
  <c r="R88" i="5" s="1"/>
  <c r="AP60" i="5"/>
  <c r="AD89" i="8"/>
  <c r="AP89" i="8" s="1"/>
  <c r="F89" i="8" s="1"/>
  <c r="U273" i="4" a="1"/>
  <c r="U273" i="4" s="1"/>
  <c r="AD51" i="5" s="1"/>
  <c r="U298" i="4" a="1"/>
  <c r="U298" i="4" s="1"/>
  <c r="AD124" i="5" s="1"/>
  <c r="U218" i="4" a="1"/>
  <c r="U218" i="4" s="1"/>
  <c r="AD242" i="5" s="1"/>
  <c r="U168" i="4" a="1"/>
  <c r="U168" i="4" s="1"/>
  <c r="AD248" i="5" s="1"/>
  <c r="U30" i="4" a="1"/>
  <c r="U30" i="4" s="1"/>
  <c r="AD275" i="5" s="1"/>
  <c r="U259" i="4" a="1"/>
  <c r="U259" i="4" s="1"/>
  <c r="AD297" i="5" s="1"/>
  <c r="U200" i="4" a="1"/>
  <c r="U200" i="4" s="1"/>
  <c r="AD244" i="5" s="1"/>
  <c r="U269" i="4" a="1"/>
  <c r="U269" i="4" s="1"/>
  <c r="AD2" i="5" s="1"/>
  <c r="J28" i="3"/>
  <c r="U154" i="4" a="1"/>
  <c r="U154" i="4" s="1"/>
  <c r="AF55" i="2"/>
  <c r="W61" i="4"/>
  <c r="AG262" i="5" s="1"/>
  <c r="W139" i="4"/>
  <c r="AG110" i="5" s="1"/>
  <c r="M59" i="4"/>
  <c r="R45" i="5" s="1"/>
  <c r="N155" i="4"/>
  <c r="T209" i="5" s="1"/>
  <c r="AI224" i="8" s="1"/>
  <c r="M44" i="4"/>
  <c r="R18" i="5" s="1"/>
  <c r="N286" i="4"/>
  <c r="T108" i="5" s="1"/>
  <c r="T23" i="4" a="1"/>
  <c r="T23" i="4" s="1"/>
  <c r="AC13" i="5" s="1"/>
  <c r="AL48" i="8" s="1"/>
  <c r="M47" i="4"/>
  <c r="R33" i="5" s="1"/>
  <c r="Z89" i="4"/>
  <c r="AL48" i="5" s="1"/>
  <c r="D140" i="4"/>
  <c r="E14" i="5" s="1"/>
  <c r="AD49" i="8" s="1"/>
  <c r="AP49" i="8" s="1"/>
  <c r="M49" i="4"/>
  <c r="R34" i="5" s="1"/>
  <c r="P49" i="4"/>
  <c r="W34" i="5" s="1"/>
  <c r="AJ65" i="8" s="1"/>
  <c r="AV65" i="8" s="1"/>
  <c r="D248" i="4"/>
  <c r="E76" i="5" s="1"/>
  <c r="U205" i="4" a="1"/>
  <c r="U205" i="4" s="1"/>
  <c r="AD53" i="5" s="1"/>
  <c r="M37" i="4"/>
  <c r="R62" i="5" s="1"/>
  <c r="Z39" i="4"/>
  <c r="AL64" i="5" s="1"/>
  <c r="Q249" i="4"/>
  <c r="X99" i="5" s="1"/>
  <c r="T39" i="4" a="1"/>
  <c r="T39" i="4" s="1"/>
  <c r="AC64" i="5" s="1"/>
  <c r="AL93" i="8" s="1"/>
  <c r="AX93" i="8" s="1"/>
  <c r="N93" i="8" s="1"/>
  <c r="M111" i="4"/>
  <c r="R94" i="5" s="1"/>
  <c r="U121" i="4" a="1"/>
  <c r="U121" i="4" s="1"/>
  <c r="AD113" i="5" s="1"/>
  <c r="M138" i="4"/>
  <c r="R86" i="5" s="1"/>
  <c r="P237" i="4"/>
  <c r="W104" i="5" s="1"/>
  <c r="AJ133" i="8" s="1"/>
  <c r="Z143" i="4"/>
  <c r="AL126" i="5" s="1"/>
  <c r="Y111" i="4"/>
  <c r="AJ94" i="5" s="1"/>
  <c r="T105" i="4" a="1"/>
  <c r="T105" i="4" s="1"/>
  <c r="AC57" i="5" s="1"/>
  <c r="AL86" i="8" s="1"/>
  <c r="AX86" i="8" s="1"/>
  <c r="Q79" i="4"/>
  <c r="X131" i="5" s="1"/>
  <c r="O242" i="4"/>
  <c r="U146" i="5" s="1"/>
  <c r="T77" i="4" a="1"/>
  <c r="T77" i="4" s="1"/>
  <c r="AC119" i="5" s="1"/>
  <c r="AL147" i="8" s="1"/>
  <c r="AX147" i="8" s="1"/>
  <c r="N147" i="8" s="1"/>
  <c r="O113" i="4"/>
  <c r="U135" i="5" s="1"/>
  <c r="R188" i="4"/>
  <c r="Z152" i="5" s="1"/>
  <c r="AK176" i="8" s="1"/>
  <c r="Y278" i="4"/>
  <c r="AJ139" i="5" s="1"/>
  <c r="T110" i="4" a="1"/>
  <c r="T110" i="4" s="1"/>
  <c r="AC88" i="5" s="1"/>
  <c r="AL117" i="8" s="1"/>
  <c r="P113" i="4"/>
  <c r="W135" i="5" s="1"/>
  <c r="AJ160" i="8" s="1"/>
  <c r="C114" i="4"/>
  <c r="C138" i="5" s="1"/>
  <c r="C296" i="4"/>
  <c r="C156" i="5" s="1"/>
  <c r="X300" i="4"/>
  <c r="AI153" i="5" s="1"/>
  <c r="AN177" i="8" s="1"/>
  <c r="AZ177" i="8" s="1"/>
  <c r="P177" i="8" s="1"/>
  <c r="C242" i="4"/>
  <c r="C146" i="5" s="1"/>
  <c r="C293" i="4"/>
  <c r="C89" i="5" s="1"/>
  <c r="X80" i="4"/>
  <c r="AI134" i="5" s="1"/>
  <c r="AN159" i="8" s="1"/>
  <c r="AZ159" i="8" s="1"/>
  <c r="P159" i="8" s="1"/>
  <c r="T188" i="4" a="1"/>
  <c r="T188" i="4" s="1"/>
  <c r="AC152" i="5" s="1"/>
  <c r="AL176" i="8" s="1"/>
  <c r="AX176" i="8" s="1"/>
  <c r="Z255" i="4"/>
  <c r="AL195" i="5" s="1"/>
  <c r="P70" i="4"/>
  <c r="W172" i="5" s="1"/>
  <c r="AJ14" i="8" s="1"/>
  <c r="AV14" i="8" s="1"/>
  <c r="L14" i="8" s="1"/>
  <c r="F67" i="4"/>
  <c r="H164" i="5" s="1"/>
  <c r="M255" i="4"/>
  <c r="R195" i="5" s="1"/>
  <c r="Z70" i="4"/>
  <c r="AL172" i="5" s="1"/>
  <c r="R17" i="4"/>
  <c r="Z184" i="5" s="1"/>
  <c r="AK204" i="8" s="1"/>
  <c r="AW204" i="8" s="1"/>
  <c r="P115" i="4"/>
  <c r="W161" i="5" s="1"/>
  <c r="AJ184" i="8" s="1"/>
  <c r="AV184" i="8" s="1"/>
  <c r="Z17" i="4"/>
  <c r="AL184" i="5" s="1"/>
  <c r="U79" i="4" a="1"/>
  <c r="U79" i="4" s="1"/>
  <c r="AD131" i="5" s="1"/>
  <c r="Y98" i="4"/>
  <c r="AJ163" i="5" s="1"/>
  <c r="D16" i="4"/>
  <c r="E183" i="5" s="1"/>
  <c r="AD16" i="8" s="1"/>
  <c r="S189" i="4"/>
  <c r="AA167" i="5" s="1"/>
  <c r="Z117" i="4"/>
  <c r="AL232" i="5" s="1"/>
  <c r="Z165" i="4"/>
  <c r="AL245" i="5" s="1"/>
  <c r="U153" i="4" a="1"/>
  <c r="U153" i="4" s="1"/>
  <c r="AD206" i="5" s="1"/>
  <c r="C254" i="4"/>
  <c r="C194" i="5" s="1"/>
  <c r="X131" i="4"/>
  <c r="AI199" i="5" s="1"/>
  <c r="AN218" i="8" s="1"/>
  <c r="AZ218" i="8" s="1"/>
  <c r="P218" i="8" s="1"/>
  <c r="U245" i="4" a="1"/>
  <c r="U245" i="4" s="1"/>
  <c r="AD229" i="5" s="1"/>
  <c r="Y85" i="4"/>
  <c r="AJ224" i="5" s="1"/>
  <c r="T254" i="4" a="1"/>
  <c r="T254" i="4" s="1"/>
  <c r="AC194" i="5" s="1"/>
  <c r="AL213" i="8" s="1"/>
  <c r="L231" i="4"/>
  <c r="Q221" i="5" s="1"/>
  <c r="AH234" i="8" s="1"/>
  <c r="AT234" i="8" s="1"/>
  <c r="J234" i="8" s="1"/>
  <c r="Y218" i="4"/>
  <c r="AJ242" i="5" s="1"/>
  <c r="D162" i="4"/>
  <c r="E237" i="5" s="1"/>
  <c r="T216" i="4" a="1"/>
  <c r="T216" i="4" s="1"/>
  <c r="AC223" i="5" s="1"/>
  <c r="AL236" i="8" s="1"/>
  <c r="AX236" i="8" s="1"/>
  <c r="N236" i="8" s="1"/>
  <c r="U10" i="4" a="1"/>
  <c r="U10" i="4" s="1"/>
  <c r="AD254" i="5" s="1"/>
  <c r="AX220" i="5"/>
  <c r="AA233" i="8"/>
  <c r="Y95" i="4"/>
  <c r="AJ273" i="5" s="1"/>
  <c r="U195" i="4" a="1"/>
  <c r="U195" i="4" s="1"/>
  <c r="AD228" i="5" s="1"/>
  <c r="U155" i="4" a="1"/>
  <c r="U155" i="4" s="1"/>
  <c r="AD209" i="5" s="1"/>
  <c r="D204" i="4"/>
  <c r="E251" i="5" s="1"/>
  <c r="Q176" i="4"/>
  <c r="X267" i="5" s="1"/>
  <c r="U41" i="4" a="1"/>
  <c r="U41" i="4" s="1"/>
  <c r="AD279" i="5" s="1"/>
  <c r="U159" i="4" a="1"/>
  <c r="U159" i="4" s="1"/>
  <c r="AD215" i="5" s="1"/>
  <c r="T152" i="4" a="1"/>
  <c r="T152" i="4" s="1"/>
  <c r="AC205" i="5" s="1"/>
  <c r="AL21" i="8" s="1"/>
  <c r="R281" i="4"/>
  <c r="Z292" i="5" s="1"/>
  <c r="AK299" i="8" s="1"/>
  <c r="Y235" i="4"/>
  <c r="AJ253" i="5" s="1"/>
  <c r="D179" i="4"/>
  <c r="E261" i="5" s="1"/>
  <c r="Z27" i="4"/>
  <c r="AL264" i="5" s="1"/>
  <c r="U279" i="4" a="1"/>
  <c r="U279" i="4" s="1"/>
  <c r="AD286" i="5" s="1"/>
  <c r="T165" i="4" a="1"/>
  <c r="T165" i="4" s="1"/>
  <c r="AC245" i="5" s="1"/>
  <c r="AL256" i="8" s="1"/>
  <c r="AX256" i="8" s="1"/>
  <c r="N256" i="8" s="1"/>
  <c r="Q334" i="4"/>
  <c r="X322" i="5" s="1"/>
  <c r="D334" i="4"/>
  <c r="E322" i="5" s="1"/>
  <c r="Y338" i="4"/>
  <c r="AJ332" i="5" s="1"/>
  <c r="O338" i="4"/>
  <c r="U332" i="5" s="1"/>
  <c r="N344" i="4"/>
  <c r="T338" i="5" s="1"/>
  <c r="AI338" i="8" s="1"/>
  <c r="AU338" i="8" s="1"/>
  <c r="Y344" i="4"/>
  <c r="AJ338" i="5" s="1"/>
  <c r="N322" i="4"/>
  <c r="T325" i="5" s="1"/>
  <c r="AI30" i="8" s="1"/>
  <c r="T270" i="4" a="1"/>
  <c r="T270" i="4" s="1"/>
  <c r="AC291" i="5" s="1"/>
  <c r="AL298" i="8" s="1"/>
  <c r="J346" i="4"/>
  <c r="N340" i="5" s="1"/>
  <c r="Q321" i="4"/>
  <c r="X324" i="5" s="1"/>
  <c r="S360" i="4"/>
  <c r="AA364" i="5" s="1"/>
  <c r="H381" i="4"/>
  <c r="K381" i="5" s="1"/>
  <c r="AF377" i="8" s="1"/>
  <c r="AR377" i="8" s="1"/>
  <c r="H377" i="8" s="1"/>
  <c r="W373" i="4"/>
  <c r="AG357" i="5" s="1"/>
  <c r="Z379" i="4"/>
  <c r="AL379" i="5" s="1"/>
  <c r="K374" i="4"/>
  <c r="O374" i="5" s="1"/>
  <c r="AW287" i="8"/>
  <c r="M119" i="4"/>
  <c r="R241" i="5" s="1"/>
  <c r="M217" i="4"/>
  <c r="R227" i="5" s="1"/>
  <c r="AC49" i="2"/>
  <c r="AP307" i="5"/>
  <c r="AD309" i="8"/>
  <c r="AP309" i="8" s="1"/>
  <c r="F309" i="8" s="1"/>
  <c r="C96" i="4"/>
  <c r="C122" i="5" s="1"/>
  <c r="C274" i="4"/>
  <c r="C288" i="5" s="1"/>
  <c r="R295" i="8" s="1"/>
  <c r="C281" i="4"/>
  <c r="C292" i="5" s="1"/>
  <c r="C270" i="4"/>
  <c r="C291" i="5" s="1"/>
  <c r="R298" i="8" s="1"/>
  <c r="C280" i="4"/>
  <c r="C290" i="5" s="1"/>
  <c r="R297" i="8" s="1"/>
  <c r="R379" i="4"/>
  <c r="R375" i="4"/>
  <c r="R378" i="4"/>
  <c r="R380" i="4"/>
  <c r="R374" i="4"/>
  <c r="R382" i="4"/>
  <c r="R381" i="4"/>
  <c r="R376" i="4"/>
  <c r="R383" i="4"/>
  <c r="R377" i="4"/>
  <c r="L311" i="4"/>
  <c r="Q310" i="5" s="1"/>
  <c r="AH312" i="8" s="1"/>
  <c r="AT312" i="8" s="1"/>
  <c r="J312" i="8" s="1"/>
  <c r="L324" i="4"/>
  <c r="Q327" i="5" s="1"/>
  <c r="AH328" i="8" s="1"/>
  <c r="AT328" i="8" s="1"/>
  <c r="J328" i="8" s="1"/>
  <c r="L330" i="4"/>
  <c r="Q347" i="5" s="1"/>
  <c r="AH347" i="8" s="1"/>
  <c r="AT347" i="8" s="1"/>
  <c r="J347" i="8" s="1"/>
  <c r="E8" i="13"/>
  <c r="AX307" i="5"/>
  <c r="AA309" i="8"/>
  <c r="BA307" i="5"/>
  <c r="AO309" i="8"/>
  <c r="BA309" i="8" s="1"/>
  <c r="P305" i="4"/>
  <c r="W314" i="5" s="1"/>
  <c r="AJ316" i="8" s="1"/>
  <c r="P306" i="4"/>
  <c r="W315" i="5" s="1"/>
  <c r="AJ317" i="8" s="1"/>
  <c r="P323" i="4"/>
  <c r="W326" i="5" s="1"/>
  <c r="AJ327" i="8" s="1"/>
  <c r="P351" i="4"/>
  <c r="W341" i="5" s="1"/>
  <c r="AJ341" i="8" s="1"/>
  <c r="P343" i="4"/>
  <c r="W330" i="5" s="1"/>
  <c r="AJ331" i="8" s="1"/>
  <c r="P350" i="4"/>
  <c r="W339" i="5" s="1"/>
  <c r="AJ339" i="8" s="1"/>
  <c r="P344" i="4"/>
  <c r="W338" i="5" s="1"/>
  <c r="AJ338" i="8" s="1"/>
  <c r="AV338" i="8" s="1"/>
  <c r="Z23" i="4"/>
  <c r="AL13" i="5" s="1"/>
  <c r="Z53" i="4"/>
  <c r="AL43" i="5" s="1"/>
  <c r="Z298" i="4"/>
  <c r="AL124" i="5" s="1"/>
  <c r="Z56" i="4"/>
  <c r="AL116" i="5" s="1"/>
  <c r="P180" i="4"/>
  <c r="W87" i="5" s="1"/>
  <c r="AJ116" i="8" s="1"/>
  <c r="P224" i="4"/>
  <c r="W169" i="5" s="1"/>
  <c r="AJ192" i="8" s="1"/>
  <c r="M190" i="4"/>
  <c r="R281" i="5" s="1"/>
  <c r="M129" i="4"/>
  <c r="R283" i="5" s="1"/>
  <c r="M191" i="4"/>
  <c r="R282" i="5" s="1"/>
  <c r="E71" i="4"/>
  <c r="E73" i="4"/>
  <c r="E222" i="4"/>
  <c r="E180" i="4"/>
  <c r="F87" i="5" s="1"/>
  <c r="E224" i="4"/>
  <c r="F149" i="4"/>
  <c r="F146" i="4"/>
  <c r="F192" i="4"/>
  <c r="F117" i="4"/>
  <c r="AF381" i="8"/>
  <c r="AR381" i="8" s="1"/>
  <c r="H381" i="8" s="1"/>
  <c r="AI52" i="2"/>
  <c r="AG52" i="2"/>
  <c r="E72" i="4"/>
  <c r="E204" i="4"/>
  <c r="F337" i="4"/>
  <c r="F346" i="4"/>
  <c r="F333" i="4"/>
  <c r="F318" i="4"/>
  <c r="F326" i="4"/>
  <c r="F327" i="4"/>
  <c r="F328" i="4"/>
  <c r="R18" i="4"/>
  <c r="Z185" i="5" s="1"/>
  <c r="AK205" i="8" s="1"/>
  <c r="R24" i="4"/>
  <c r="Z182" i="5" s="1"/>
  <c r="AK203" i="8" s="1"/>
  <c r="R14" i="4"/>
  <c r="Z180" i="5" s="1"/>
  <c r="AK15" i="8" s="1"/>
  <c r="R302" i="4"/>
  <c r="R174" i="4"/>
  <c r="R173" i="4"/>
  <c r="R222" i="4"/>
  <c r="R73" i="4"/>
  <c r="R99" i="4"/>
  <c r="R71" i="4"/>
  <c r="AW87" i="5"/>
  <c r="Z116" i="8"/>
  <c r="O188" i="4"/>
  <c r="U152" i="5" s="1"/>
  <c r="O149" i="4"/>
  <c r="U201" i="5" s="1"/>
  <c r="O117" i="4"/>
  <c r="U232" i="5" s="1"/>
  <c r="AK53" i="2"/>
  <c r="AS386" i="5"/>
  <c r="I305" i="4"/>
  <c r="L314" i="5" s="1"/>
  <c r="I306" i="4"/>
  <c r="L315" i="5" s="1"/>
  <c r="I323" i="4"/>
  <c r="L326" i="5" s="1"/>
  <c r="I351" i="4"/>
  <c r="L341" i="5" s="1"/>
  <c r="I343" i="4"/>
  <c r="L330" i="5" s="1"/>
  <c r="I350" i="4"/>
  <c r="L339" i="5" s="1"/>
  <c r="I344" i="4"/>
  <c r="L338" i="5" s="1"/>
  <c r="Q23" i="4"/>
  <c r="X13" i="5" s="1"/>
  <c r="Q53" i="4"/>
  <c r="X43" i="5" s="1"/>
  <c r="Q298" i="4"/>
  <c r="X124" i="5" s="1"/>
  <c r="Q412" i="4"/>
  <c r="X402" i="5" s="1"/>
  <c r="Q56" i="4"/>
  <c r="R415" i="4"/>
  <c r="Z409" i="5" s="1"/>
  <c r="R65" i="4"/>
  <c r="R198" i="4"/>
  <c r="R143" i="4"/>
  <c r="R197" i="4"/>
  <c r="R162" i="4"/>
  <c r="R189" i="4"/>
  <c r="R93" i="4"/>
  <c r="R227" i="4"/>
  <c r="R145" i="4"/>
  <c r="R118" i="4"/>
  <c r="R139" i="4"/>
  <c r="R92" i="4"/>
  <c r="R98" i="4"/>
  <c r="R100" i="4"/>
  <c r="AU381" i="8"/>
  <c r="D302" i="4"/>
  <c r="E77" i="5" s="1"/>
  <c r="D174" i="4"/>
  <c r="E79" i="5" s="1"/>
  <c r="D24" i="4"/>
  <c r="E182" i="5" s="1"/>
  <c r="D14" i="4"/>
  <c r="E180" i="5" s="1"/>
  <c r="D18" i="4"/>
  <c r="E185" i="5" s="1"/>
  <c r="AD205" i="8" s="1"/>
  <c r="AP205" i="8" s="1"/>
  <c r="F205" i="8" s="1"/>
  <c r="S191" i="4"/>
  <c r="AA282" i="5" s="1"/>
  <c r="S129" i="4"/>
  <c r="AA283" i="5" s="1"/>
  <c r="AY385" i="5"/>
  <c r="AN385" i="5"/>
  <c r="V372" i="4"/>
  <c r="AF356" i="5" s="1"/>
  <c r="AM355" i="8" s="1"/>
  <c r="V352" i="4"/>
  <c r="AF358" i="5" s="1"/>
  <c r="AM357" i="8" s="1"/>
  <c r="V357" i="4"/>
  <c r="AF361" i="5" s="1"/>
  <c r="AM360" i="8" s="1"/>
  <c r="V363" i="4"/>
  <c r="AF372" i="5" s="1"/>
  <c r="AM369" i="8" s="1"/>
  <c r="V362" i="4"/>
  <c r="AF373" i="5" s="1"/>
  <c r="AM370" i="8" s="1"/>
  <c r="V364" i="4"/>
  <c r="AF359" i="5" s="1"/>
  <c r="AM358" i="8" s="1"/>
  <c r="V361" i="4"/>
  <c r="AF371" i="5" s="1"/>
  <c r="AM368" i="8" s="1"/>
  <c r="V353" i="4"/>
  <c r="AF360" i="5" s="1"/>
  <c r="AM359" i="8" s="1"/>
  <c r="BH94" i="2"/>
  <c r="BH93" i="2"/>
  <c r="V373" i="4"/>
  <c r="AF357" i="5" s="1"/>
  <c r="AM356" i="8" s="1"/>
  <c r="V359" i="4"/>
  <c r="AF363" i="5" s="1"/>
  <c r="AM361" i="8" s="1"/>
  <c r="V355" i="4"/>
  <c r="AF362" i="5" s="1"/>
  <c r="AM33" i="8" s="1"/>
  <c r="V371" i="4"/>
  <c r="AF355" i="5" s="1"/>
  <c r="AM354" i="8" s="1"/>
  <c r="AY354" i="8" s="1"/>
  <c r="S141" i="4"/>
  <c r="AA123" i="5" s="1"/>
  <c r="S144" i="4"/>
  <c r="AA155" i="5" s="1"/>
  <c r="S159" i="4"/>
  <c r="AA215" i="5" s="1"/>
  <c r="S160" i="4"/>
  <c r="AA216" i="5" s="1"/>
  <c r="S161" i="4"/>
  <c r="AA217" i="5" s="1"/>
  <c r="AB197" i="8"/>
  <c r="AY175" i="5"/>
  <c r="P277" i="4"/>
  <c r="W301" i="5" s="1"/>
  <c r="P169" i="4"/>
  <c r="W54" i="5" s="1"/>
  <c r="AJ83" i="8" s="1"/>
  <c r="P90" i="4"/>
  <c r="W82" i="5" s="1"/>
  <c r="AJ111" i="8" s="1"/>
  <c r="P91" i="4"/>
  <c r="W92" i="5" s="1"/>
  <c r="AJ121" i="8" s="1"/>
  <c r="AV121" i="8" s="1"/>
  <c r="L121" i="8" s="1"/>
  <c r="Z237" i="4"/>
  <c r="AL104" i="5" s="1"/>
  <c r="Z242" i="4"/>
  <c r="AL146" i="5" s="1"/>
  <c r="Z228" i="4"/>
  <c r="AL218" i="5" s="1"/>
  <c r="BL87" i="2"/>
  <c r="BL88" i="2"/>
  <c r="I65" i="4"/>
  <c r="L148" i="5" s="1"/>
  <c r="I189" i="4"/>
  <c r="I162" i="4"/>
  <c r="I93" i="4"/>
  <c r="I100" i="4"/>
  <c r="I197" i="4"/>
  <c r="I198" i="4"/>
  <c r="I143" i="4"/>
  <c r="I92" i="4"/>
  <c r="I145" i="4"/>
  <c r="I118" i="4"/>
  <c r="I139" i="4"/>
  <c r="I227" i="4"/>
  <c r="I98" i="4"/>
  <c r="J303" i="4"/>
  <c r="N303" i="5" s="1"/>
  <c r="J331" i="4"/>
  <c r="N348" i="5" s="1"/>
  <c r="X152" i="4"/>
  <c r="AI205" i="5" s="1"/>
  <c r="AN21" i="8" s="1"/>
  <c r="X151" i="4"/>
  <c r="AI204" i="5" s="1"/>
  <c r="AN20" i="8" s="1"/>
  <c r="AZ20" i="8" s="1"/>
  <c r="Y64" i="4"/>
  <c r="AJ3" i="5" s="1"/>
  <c r="Y196" i="4"/>
  <c r="AJ8" i="5" s="1"/>
  <c r="Y266" i="4"/>
  <c r="AJ7" i="5" s="1"/>
  <c r="Y202" i="4"/>
  <c r="AJ36" i="5" s="1"/>
  <c r="Y238" i="4"/>
  <c r="AJ105" i="5" s="1"/>
  <c r="Y121" i="4"/>
  <c r="AJ113" i="5" s="1"/>
  <c r="Y251" i="4"/>
  <c r="AJ280" i="5" s="1"/>
  <c r="F297" i="4"/>
  <c r="H272" i="5" s="1"/>
  <c r="F411" i="4"/>
  <c r="F111" i="4"/>
  <c r="F405" i="4"/>
  <c r="P194" i="4"/>
  <c r="W27" i="5" s="1"/>
  <c r="AJ60" i="8" s="1"/>
  <c r="P122" i="4"/>
  <c r="W141" i="5" s="1"/>
  <c r="AJ166" i="8" s="1"/>
  <c r="P123" i="4"/>
  <c r="W145" i="5" s="1"/>
  <c r="AJ170" i="8" s="1"/>
  <c r="AV170" i="8" s="1"/>
  <c r="P131" i="4"/>
  <c r="W199" i="5" s="1"/>
  <c r="AJ218" i="8" s="1"/>
  <c r="P246" i="4"/>
  <c r="W230" i="5" s="1"/>
  <c r="AJ242" i="8" s="1"/>
  <c r="AV242" i="8" s="1"/>
  <c r="L242" i="8" s="1"/>
  <c r="AS87" i="2"/>
  <c r="AS88" i="2"/>
  <c r="E294" i="4"/>
  <c r="F144" i="5" s="1"/>
  <c r="E264" i="4"/>
  <c r="F198" i="5" s="1"/>
  <c r="E254" i="4"/>
  <c r="E226" i="4"/>
  <c r="E301" i="4"/>
  <c r="E255" i="4"/>
  <c r="C66" i="4"/>
  <c r="C277" i="5" s="1"/>
  <c r="C12" i="4"/>
  <c r="C263" i="5" s="1"/>
  <c r="R272" i="8" s="1"/>
  <c r="L317" i="4"/>
  <c r="Q305" i="5" s="1"/>
  <c r="AH307" i="8" s="1"/>
  <c r="AT307" i="8" s="1"/>
  <c r="J307" i="8" s="1"/>
  <c r="L320" i="4"/>
  <c r="Q320" i="5" s="1"/>
  <c r="AH322" i="8" s="1"/>
  <c r="AT322" i="8" s="1"/>
  <c r="J322" i="8" s="1"/>
  <c r="L322" i="4"/>
  <c r="Q325" i="5" s="1"/>
  <c r="AH30" i="8" s="1"/>
  <c r="AT30" i="8" s="1"/>
  <c r="J30" i="8" s="1"/>
  <c r="L319" i="4"/>
  <c r="Q329" i="5" s="1"/>
  <c r="AH330" i="8" s="1"/>
  <c r="AT330" i="8" s="1"/>
  <c r="J330" i="8" s="1"/>
  <c r="L348" i="4"/>
  <c r="Q351" i="5" s="1"/>
  <c r="AH32" i="8" s="1"/>
  <c r="AT32" i="8" s="1"/>
  <c r="J32" i="8" s="1"/>
  <c r="L334" i="4"/>
  <c r="Q322" i="5" s="1"/>
  <c r="AH324" i="8" s="1"/>
  <c r="AT324" i="8" s="1"/>
  <c r="J324" i="8" s="1"/>
  <c r="L335" i="4"/>
  <c r="Q323" i="5" s="1"/>
  <c r="AH325" i="8" s="1"/>
  <c r="AT325" i="8" s="1"/>
  <c r="J325" i="8" s="1"/>
  <c r="L329" i="4"/>
  <c r="Q345" i="5" s="1"/>
  <c r="AH345" i="8" s="1"/>
  <c r="AT345" i="8" s="1"/>
  <c r="J345" i="8" s="1"/>
  <c r="AY52" i="5"/>
  <c r="AB81" i="8"/>
  <c r="R393" i="4"/>
  <c r="Z392" i="5" s="1"/>
  <c r="R409" i="4"/>
  <c r="Z403" i="5" s="1"/>
  <c r="R218" i="4"/>
  <c r="R414" i="4"/>
  <c r="Z415" i="5" s="1"/>
  <c r="R401" i="4"/>
  <c r="Z408" i="5" s="1"/>
  <c r="R109" i="4"/>
  <c r="R185" i="4"/>
  <c r="R413" i="4"/>
  <c r="Z414" i="5" s="1"/>
  <c r="R398" i="4"/>
  <c r="Z405" i="5" s="1"/>
  <c r="R10" i="4"/>
  <c r="R38" i="4"/>
  <c r="R187" i="4"/>
  <c r="R200" i="4"/>
  <c r="R125" i="4"/>
  <c r="R55" i="4"/>
  <c r="R60" i="4"/>
  <c r="O210" i="4"/>
  <c r="U21" i="5" s="1"/>
  <c r="O212" i="4"/>
  <c r="U23" i="5" s="1"/>
  <c r="O148" i="4"/>
  <c r="U200" i="5" s="1"/>
  <c r="O147" i="4"/>
  <c r="U293" i="5" s="1"/>
  <c r="J275" i="4"/>
  <c r="N300" i="5" s="1"/>
  <c r="AS300" i="5" s="1"/>
  <c r="J68" i="4"/>
  <c r="N165" i="5" s="1"/>
  <c r="J289" i="4"/>
  <c r="J273" i="4"/>
  <c r="J62" i="4"/>
  <c r="J75" i="4"/>
  <c r="D42" i="4"/>
  <c r="E16" i="5" s="1"/>
  <c r="D44" i="4"/>
  <c r="E18" i="5" s="1"/>
  <c r="D43" i="4"/>
  <c r="E17" i="5" s="1"/>
  <c r="D32" i="4"/>
  <c r="E129" i="5" s="1"/>
  <c r="AD154" i="8" s="1"/>
  <c r="D33" i="4"/>
  <c r="E137" i="5" s="1"/>
  <c r="D6" i="4"/>
  <c r="E175" i="5" s="1"/>
  <c r="D8" i="4"/>
  <c r="E177" i="5" s="1"/>
  <c r="D30" i="4"/>
  <c r="E275" i="5" s="1"/>
  <c r="D260" i="4"/>
  <c r="E46" i="5" s="1"/>
  <c r="D170" i="4"/>
  <c r="E68" i="5" s="1"/>
  <c r="D172" i="4"/>
  <c r="E70" i="5" s="1"/>
  <c r="D295" i="4"/>
  <c r="E98" i="5" s="1"/>
  <c r="D126" i="4"/>
  <c r="E162" i="5" s="1"/>
  <c r="D41" i="4"/>
  <c r="E279" i="5" s="1"/>
  <c r="L277" i="4"/>
  <c r="Q301" i="5" s="1"/>
  <c r="L90" i="4"/>
  <c r="Q82" i="5" s="1"/>
  <c r="AH111" i="8" s="1"/>
  <c r="AT111" i="8" s="1"/>
  <c r="J111" i="8" s="1"/>
  <c r="L169" i="4"/>
  <c r="Q54" i="5" s="1"/>
  <c r="AH83" i="8" s="1"/>
  <c r="AT83" i="8" s="1"/>
  <c r="J83" i="8" s="1"/>
  <c r="L91" i="4"/>
  <c r="Q92" i="5" s="1"/>
  <c r="AH121" i="8" s="1"/>
  <c r="AT121" i="8" s="1"/>
  <c r="J121" i="8" s="1"/>
  <c r="Y220" i="8"/>
  <c r="AV202" i="5"/>
  <c r="X220" i="4"/>
  <c r="AI9" i="5" s="1"/>
  <c r="AN45" i="8" s="1"/>
  <c r="AZ45" i="8" s="1"/>
  <c r="P45" i="8" s="1"/>
  <c r="X208" i="4"/>
  <c r="AI75" i="5" s="1"/>
  <c r="AN104" i="8" s="1"/>
  <c r="AZ104" i="8" s="1"/>
  <c r="P104" i="8" s="1"/>
  <c r="X36" i="4"/>
  <c r="AI42" i="5" s="1"/>
  <c r="AN73" i="8" s="1"/>
  <c r="AZ73" i="8" s="1"/>
  <c r="P73" i="8" s="1"/>
  <c r="X50" i="4"/>
  <c r="AI38" i="5" s="1"/>
  <c r="AN69" i="8" s="1"/>
  <c r="AZ69" i="8" s="1"/>
  <c r="P69" i="8" s="1"/>
  <c r="X52" i="4"/>
  <c r="AI40" i="5" s="1"/>
  <c r="AN71" i="8" s="1"/>
  <c r="AZ71" i="8" s="1"/>
  <c r="P71" i="8" s="1"/>
  <c r="X26" i="4"/>
  <c r="AI49" i="5" s="1"/>
  <c r="AN7" i="8" s="1"/>
  <c r="AZ7" i="8" s="1"/>
  <c r="P7" i="8" s="1"/>
  <c r="X54" i="4"/>
  <c r="AI47" i="5" s="1"/>
  <c r="AN78" i="8" s="1"/>
  <c r="AZ78" i="8" s="1"/>
  <c r="P78" i="8" s="1"/>
  <c r="X58" i="4"/>
  <c r="AI41" i="5" s="1"/>
  <c r="AN72" i="8" s="1"/>
  <c r="AZ72" i="8" s="1"/>
  <c r="P72" i="8" s="1"/>
  <c r="X165" i="4"/>
  <c r="AI245" i="5" s="1"/>
  <c r="AN256" i="8" s="1"/>
  <c r="AZ256" i="8" s="1"/>
  <c r="P256" i="8" s="1"/>
  <c r="X168" i="4"/>
  <c r="AI248" i="5" s="1"/>
  <c r="AN25" i="8" s="1"/>
  <c r="AZ25" i="8" s="1"/>
  <c r="P25" i="8" s="1"/>
  <c r="X166" i="4"/>
  <c r="AI246" i="5" s="1"/>
  <c r="AN257" i="8" s="1"/>
  <c r="AZ257" i="8" s="1"/>
  <c r="P257" i="8" s="1"/>
  <c r="X402" i="4"/>
  <c r="AI412" i="5" s="1"/>
  <c r="AN403" i="8" s="1"/>
  <c r="AZ403" i="8" s="1"/>
  <c r="P403" i="8" s="1"/>
  <c r="X3" i="4"/>
  <c r="X124" i="4"/>
  <c r="E237" i="4"/>
  <c r="F104" i="5" s="1"/>
  <c r="E228" i="4"/>
  <c r="AQ87" i="2"/>
  <c r="AQ88" i="2"/>
  <c r="R177" i="4"/>
  <c r="R178" i="4"/>
  <c r="R76" i="4"/>
  <c r="R136" i="4"/>
  <c r="R235" i="4"/>
  <c r="R175" i="4"/>
  <c r="R138" i="4"/>
  <c r="R101" i="4"/>
  <c r="R25" i="4"/>
  <c r="R105" i="4"/>
  <c r="R57" i="4"/>
  <c r="R106" i="4"/>
  <c r="N246" i="4"/>
  <c r="T230" i="5" s="1"/>
  <c r="N122" i="4"/>
  <c r="T141" i="5" s="1"/>
  <c r="AI166" i="8" s="1"/>
  <c r="M141" i="4"/>
  <c r="R123" i="5" s="1"/>
  <c r="M161" i="4"/>
  <c r="R217" i="5" s="1"/>
  <c r="M159" i="4"/>
  <c r="R215" i="5" s="1"/>
  <c r="M95" i="4"/>
  <c r="R273" i="5" s="1"/>
  <c r="M152" i="4"/>
  <c r="R205" i="5" s="1"/>
  <c r="M151" i="4"/>
  <c r="R204" i="5" s="1"/>
  <c r="Y84" i="8"/>
  <c r="AV55" i="5"/>
  <c r="AC222" i="8"/>
  <c r="AZ207" i="5"/>
  <c r="L42" i="4"/>
  <c r="Q16" i="5" s="1"/>
  <c r="AH51" i="8" s="1"/>
  <c r="AT51" i="8" s="1"/>
  <c r="J51" i="8" s="1"/>
  <c r="L44" i="4"/>
  <c r="Q18" i="5" s="1"/>
  <c r="AH53" i="8" s="1"/>
  <c r="AT53" i="8" s="1"/>
  <c r="J53" i="8" s="1"/>
  <c r="L43" i="4"/>
  <c r="Q17" i="5" s="1"/>
  <c r="AH52" i="8" s="1"/>
  <c r="AT52" i="8" s="1"/>
  <c r="J52" i="8" s="1"/>
  <c r="L33" i="4"/>
  <c r="Q137" i="5" s="1"/>
  <c r="L32" i="4"/>
  <c r="Q129" i="5" s="1"/>
  <c r="L8" i="4"/>
  <c r="Q177" i="5" s="1"/>
  <c r="AH199" i="8" s="1"/>
  <c r="AT199" i="8" s="1"/>
  <c r="J199" i="8" s="1"/>
  <c r="L6" i="4"/>
  <c r="Q175" i="5" s="1"/>
  <c r="L30" i="4"/>
  <c r="Q275" i="5" s="1"/>
  <c r="AH283" i="8" s="1"/>
  <c r="AT283" i="8" s="1"/>
  <c r="J283" i="8" s="1"/>
  <c r="L260" i="4"/>
  <c r="Q46" i="5" s="1"/>
  <c r="AH77" i="8" s="1"/>
  <c r="AT77" i="8" s="1"/>
  <c r="J77" i="8" s="1"/>
  <c r="L39" i="4"/>
  <c r="Q64" i="5" s="1"/>
  <c r="AH93" i="8" s="1"/>
  <c r="AT93" i="8" s="1"/>
  <c r="J93" i="8" s="1"/>
  <c r="L172" i="4"/>
  <c r="Q70" i="5" s="1"/>
  <c r="AH99" i="8" s="1"/>
  <c r="AT99" i="8" s="1"/>
  <c r="J99" i="8" s="1"/>
  <c r="L37" i="4"/>
  <c r="Q62" i="5" s="1"/>
  <c r="AH91" i="8" s="1"/>
  <c r="AT91" i="8" s="1"/>
  <c r="J91" i="8" s="1"/>
  <c r="L170" i="4"/>
  <c r="Q68" i="5" s="1"/>
  <c r="AH97" i="8" s="1"/>
  <c r="AT97" i="8" s="1"/>
  <c r="J97" i="8" s="1"/>
  <c r="L261" i="4"/>
  <c r="Q96" i="5" s="1"/>
  <c r="AH125" i="8" s="1"/>
  <c r="AT125" i="8" s="1"/>
  <c r="J125" i="8" s="1"/>
  <c r="L126" i="4"/>
  <c r="Q162" i="5" s="1"/>
  <c r="AH185" i="8" s="1"/>
  <c r="AT185" i="8" s="1"/>
  <c r="J185" i="8" s="1"/>
  <c r="L199" i="4"/>
  <c r="Q243" i="5" s="1"/>
  <c r="AH254" i="8" s="1"/>
  <c r="AT254" i="8" s="1"/>
  <c r="J254" i="8" s="1"/>
  <c r="L41" i="4"/>
  <c r="Q279" i="5" s="1"/>
  <c r="AH28" i="8" s="1"/>
  <c r="AT28" i="8" s="1"/>
  <c r="J28" i="8" s="1"/>
  <c r="X277" i="4"/>
  <c r="AI301" i="5" s="1"/>
  <c r="X169" i="4"/>
  <c r="AI54" i="5" s="1"/>
  <c r="AN83" i="8" s="1"/>
  <c r="AZ83" i="8" s="1"/>
  <c r="P83" i="8" s="1"/>
  <c r="X91" i="4"/>
  <c r="AI92" i="5" s="1"/>
  <c r="AN121" i="8" s="1"/>
  <c r="AZ121" i="8" s="1"/>
  <c r="P121" i="8" s="1"/>
  <c r="X90" i="4"/>
  <c r="AI82" i="5" s="1"/>
  <c r="AN111" i="8" s="1"/>
  <c r="AZ111" i="8" s="1"/>
  <c r="P111" i="8" s="1"/>
  <c r="L69" i="4"/>
  <c r="Q170" i="5" s="1"/>
  <c r="AH193" i="8" s="1"/>
  <c r="AT193" i="8" s="1"/>
  <c r="J193" i="8" s="1"/>
  <c r="L116" i="4"/>
  <c r="Q256" i="5" s="1"/>
  <c r="AH265" i="8" s="1"/>
  <c r="AT265" i="8" s="1"/>
  <c r="J265" i="8" s="1"/>
  <c r="L410" i="4"/>
  <c r="Q404" i="5" s="1"/>
  <c r="L392" i="4"/>
  <c r="Q413" i="5" s="1"/>
  <c r="L275" i="4"/>
  <c r="Q300" i="5" s="1"/>
  <c r="L273" i="4"/>
  <c r="Q51" i="5" s="1"/>
  <c r="AH80" i="8" s="1"/>
  <c r="AT80" i="8" s="1"/>
  <c r="J80" i="8" s="1"/>
  <c r="L289" i="4"/>
  <c r="Q52" i="5" s="1"/>
  <c r="AH81" i="8" s="1"/>
  <c r="AT81" i="8" s="1"/>
  <c r="J81" i="8" s="1"/>
  <c r="L62" i="4"/>
  <c r="Q109" i="5" s="1"/>
  <c r="AH138" i="8" s="1"/>
  <c r="AT138" i="8" s="1"/>
  <c r="J138" i="8" s="1"/>
  <c r="L75" i="4"/>
  <c r="Q250" i="5" s="1"/>
  <c r="AH260" i="8" s="1"/>
  <c r="AT260" i="8" s="1"/>
  <c r="J260" i="8" s="1"/>
  <c r="P4" i="4"/>
  <c r="W174" i="5" s="1"/>
  <c r="AJ196" i="8" s="1"/>
  <c r="AV196" i="8" s="1"/>
  <c r="L196" i="8" s="1"/>
  <c r="P179" i="4"/>
  <c r="W261" i="5" s="1"/>
  <c r="AJ270" i="8" s="1"/>
  <c r="P102" i="4"/>
  <c r="W266" i="5" s="1"/>
  <c r="AJ274" i="8" s="1"/>
  <c r="AV274" i="8" s="1"/>
  <c r="L274" i="8" s="1"/>
  <c r="P61" i="4"/>
  <c r="W262" i="5" s="1"/>
  <c r="AJ271" i="8" s="1"/>
  <c r="AV271" i="8" s="1"/>
  <c r="L271" i="8" s="1"/>
  <c r="BB85" i="2"/>
  <c r="BB84" i="2"/>
  <c r="AV222" i="8"/>
  <c r="X106" i="4"/>
  <c r="AI58" i="5" s="1"/>
  <c r="AN87" i="8" s="1"/>
  <c r="AZ87" i="8" s="1"/>
  <c r="P87" i="8" s="1"/>
  <c r="X105" i="4"/>
  <c r="AI57" i="5" s="1"/>
  <c r="AN86" i="8" s="1"/>
  <c r="AZ86" i="8" s="1"/>
  <c r="P86" i="8" s="1"/>
  <c r="F277" i="4"/>
  <c r="F169" i="4"/>
  <c r="F90" i="4"/>
  <c r="F91" i="4"/>
  <c r="E201" i="4"/>
  <c r="E153" i="4"/>
  <c r="R2" i="4"/>
  <c r="R20" i="4"/>
  <c r="Z187" i="5" s="1"/>
  <c r="AK207" i="8" s="1"/>
  <c r="R29" i="4"/>
  <c r="R256" i="4"/>
  <c r="R229" i="4"/>
  <c r="R250" i="4"/>
  <c r="R244" i="4"/>
  <c r="R230" i="4"/>
  <c r="O214" i="4"/>
  <c r="U25" i="5" s="1"/>
  <c r="O211" i="4"/>
  <c r="U22" i="5" s="1"/>
  <c r="O213" i="4"/>
  <c r="U24" i="5" s="1"/>
  <c r="O215" i="4"/>
  <c r="U26" i="5" s="1"/>
  <c r="AZ220" i="8"/>
  <c r="I272" i="4"/>
  <c r="I205" i="4"/>
  <c r="I234" i="4"/>
  <c r="AC131" i="8"/>
  <c r="AZ102" i="5"/>
  <c r="Y267" i="4"/>
  <c r="AJ73" i="5" s="1"/>
  <c r="Y142" i="4"/>
  <c r="AJ125" i="5" s="1"/>
  <c r="Y97" i="4"/>
  <c r="AJ130" i="5" s="1"/>
  <c r="Y269" i="4"/>
  <c r="AJ2" i="5" s="1"/>
  <c r="Y234" i="4"/>
  <c r="AJ30" i="5" s="1"/>
  <c r="Y272" i="4"/>
  <c r="AJ50" i="5" s="1"/>
  <c r="Y205" i="4"/>
  <c r="AJ53" i="5" s="1"/>
  <c r="AC75" i="8"/>
  <c r="AZ44" i="5"/>
  <c r="Y4" i="4"/>
  <c r="AJ174" i="5" s="1"/>
  <c r="Y102" i="4"/>
  <c r="AJ266" i="5" s="1"/>
  <c r="Y61" i="4"/>
  <c r="AJ262" i="5" s="1"/>
  <c r="BK84" i="2"/>
  <c r="BK85" i="2"/>
  <c r="I4" i="4"/>
  <c r="L174" i="5" s="1"/>
  <c r="I102" i="4"/>
  <c r="L266" i="5" s="1"/>
  <c r="I61" i="4"/>
  <c r="I179" i="4"/>
  <c r="AU84" i="2"/>
  <c r="AU85" i="2"/>
  <c r="H43" i="4"/>
  <c r="K17" i="5" s="1"/>
  <c r="H8" i="4"/>
  <c r="K177" i="5" s="1"/>
  <c r="H260" i="4"/>
  <c r="K46" i="5" s="1"/>
  <c r="H170" i="4"/>
  <c r="K68" i="5" s="1"/>
  <c r="H172" i="4"/>
  <c r="K70" i="5" s="1"/>
  <c r="H126" i="4"/>
  <c r="K162" i="5" s="1"/>
  <c r="H199" i="4"/>
  <c r="K243" i="5" s="1"/>
  <c r="AF88" i="8"/>
  <c r="AR88" i="8" s="1"/>
  <c r="H88" i="8" s="1"/>
  <c r="AR59" i="5"/>
  <c r="AG10" i="2"/>
  <c r="AF10" i="2"/>
  <c r="AI10" i="2"/>
  <c r="H60" i="4"/>
  <c r="K66" i="5" s="1"/>
  <c r="H55" i="4"/>
  <c r="K67" i="5" s="1"/>
  <c r="H185" i="4"/>
  <c r="K136" i="5" s="1"/>
  <c r="AF161" i="8" s="1"/>
  <c r="AR161" i="8" s="1"/>
  <c r="H161" i="8" s="1"/>
  <c r="H187" i="4"/>
  <c r="K151" i="5" s="1"/>
  <c r="AF175" i="8" s="1"/>
  <c r="AR175" i="8" s="1"/>
  <c r="H175" i="8" s="1"/>
  <c r="H200" i="4"/>
  <c r="K244" i="5" s="1"/>
  <c r="H125" i="4"/>
  <c r="K278" i="5" s="1"/>
  <c r="H218" i="4"/>
  <c r="K242" i="5" s="1"/>
  <c r="S212" i="4"/>
  <c r="AA23" i="5" s="1"/>
  <c r="S148" i="4"/>
  <c r="AA200" i="5" s="1"/>
  <c r="S147" i="4"/>
  <c r="AA293" i="5" s="1"/>
  <c r="S254" i="4"/>
  <c r="AA194" i="5" s="1"/>
  <c r="S226" i="4"/>
  <c r="AA197" i="5" s="1"/>
  <c r="S301" i="4"/>
  <c r="AA189" i="5" s="1"/>
  <c r="S264" i="4"/>
  <c r="AA198" i="5" s="1"/>
  <c r="S255" i="4"/>
  <c r="AA195" i="5" s="1"/>
  <c r="S101" i="4"/>
  <c r="AA35" i="5" s="1"/>
  <c r="S177" i="4"/>
  <c r="AA83" i="5" s="1"/>
  <c r="S136" i="4"/>
  <c r="AA84" i="5" s="1"/>
  <c r="S178" i="4"/>
  <c r="AA85" i="5" s="1"/>
  <c r="S175" i="4"/>
  <c r="AA81" i="5" s="1"/>
  <c r="S207" i="4"/>
  <c r="AA72" i="5" s="1"/>
  <c r="S135" i="4"/>
  <c r="AA74" i="5" s="1"/>
  <c r="S35" i="4"/>
  <c r="AA173" i="5" s="1"/>
  <c r="S259" i="4"/>
  <c r="AA297" i="5" s="1"/>
  <c r="N136" i="4"/>
  <c r="T84" i="5" s="1"/>
  <c r="N177" i="4"/>
  <c r="T83" i="5" s="1"/>
  <c r="AI112" i="8" s="1"/>
  <c r="N178" i="4"/>
  <c r="T85" i="5" s="1"/>
  <c r="AI114" i="8" s="1"/>
  <c r="AU74" i="5"/>
  <c r="AI103" i="8"/>
  <c r="J304" i="4"/>
  <c r="N304" i="5" s="1"/>
  <c r="J340" i="4"/>
  <c r="N331" i="5" s="1"/>
  <c r="J332" i="4"/>
  <c r="N349" i="5" s="1"/>
  <c r="J338" i="4"/>
  <c r="N332" i="5" s="1"/>
  <c r="AL68" i="2"/>
  <c r="AT91" i="5"/>
  <c r="AH120" i="8"/>
  <c r="AT120" i="8" s="1"/>
  <c r="J120" i="8" s="1"/>
  <c r="J225" i="4"/>
  <c r="J203" i="4"/>
  <c r="J239" i="4"/>
  <c r="P77" i="4"/>
  <c r="W119" i="5" s="1"/>
  <c r="AJ147" i="8" s="1"/>
  <c r="P286" i="4"/>
  <c r="W108" i="5" s="1"/>
  <c r="AJ137" i="8" s="1"/>
  <c r="AV137" i="8" s="1"/>
  <c r="L137" i="8" s="1"/>
  <c r="P285" i="4"/>
  <c r="W107" i="5" s="1"/>
  <c r="AJ136" i="8" s="1"/>
  <c r="AV136" i="8" s="1"/>
  <c r="L136" i="8" s="1"/>
  <c r="P241" i="4"/>
  <c r="W128" i="5" s="1"/>
  <c r="AJ153" i="8" s="1"/>
  <c r="AV153" i="8" s="1"/>
  <c r="L153" i="8" s="1"/>
  <c r="P284" i="4"/>
  <c r="W106" i="5" s="1"/>
  <c r="AJ135" i="8" s="1"/>
  <c r="AV135" i="8" s="1"/>
  <c r="L135" i="8" s="1"/>
  <c r="P293" i="4"/>
  <c r="W89" i="5" s="1"/>
  <c r="AJ118" i="8" s="1"/>
  <c r="AV118" i="8" s="1"/>
  <c r="L118" i="8" s="1"/>
  <c r="P13" i="4"/>
  <c r="W142" i="5" s="1"/>
  <c r="AJ167" i="8" s="1"/>
  <c r="AV167" i="8" s="1"/>
  <c r="L167" i="8" s="1"/>
  <c r="P290" i="4"/>
  <c r="W140" i="5" s="1"/>
  <c r="AJ165" i="8" s="1"/>
  <c r="AV165" i="8" s="1"/>
  <c r="L165" i="8" s="1"/>
  <c r="P63" i="4"/>
  <c r="W270" i="5" s="1"/>
  <c r="AJ278" i="8" s="1"/>
  <c r="AV278" i="8" s="1"/>
  <c r="L278" i="8" s="1"/>
  <c r="P391" i="4"/>
  <c r="W387" i="5" s="1"/>
  <c r="Z92" i="4"/>
  <c r="AL111" i="5" s="1"/>
  <c r="Z93" i="4"/>
  <c r="AL112" i="5" s="1"/>
  <c r="Z139" i="4"/>
  <c r="AL110" i="5" s="1"/>
  <c r="Z227" i="4"/>
  <c r="AL203" i="5" s="1"/>
  <c r="Z98" i="4"/>
  <c r="AL163" i="5" s="1"/>
  <c r="Z145" i="4"/>
  <c r="AL178" i="5" s="1"/>
  <c r="Z198" i="4"/>
  <c r="AL235" i="5" s="1"/>
  <c r="Z100" i="4"/>
  <c r="AL238" i="5" s="1"/>
  <c r="Z118" i="4"/>
  <c r="AL236" i="5" s="1"/>
  <c r="E231" i="4"/>
  <c r="F221" i="5" s="1"/>
  <c r="E85" i="4"/>
  <c r="O229" i="4"/>
  <c r="U28" i="5" s="1"/>
  <c r="O250" i="4"/>
  <c r="U103" i="5" s="1"/>
  <c r="O256" i="4"/>
  <c r="U213" i="5" s="1"/>
  <c r="O244" i="4"/>
  <c r="U219" i="5" s="1"/>
  <c r="O230" i="4"/>
  <c r="U220" i="5" s="1"/>
  <c r="O29" i="4"/>
  <c r="U268" i="5" s="1"/>
  <c r="Y276" i="4"/>
  <c r="AJ302" i="5" s="1"/>
  <c r="AZ302" i="5" s="1"/>
  <c r="Y174" i="4"/>
  <c r="AJ79" i="5" s="1"/>
  <c r="Y173" i="4"/>
  <c r="AJ78" i="5" s="1"/>
  <c r="Y302" i="4"/>
  <c r="AJ77" i="5" s="1"/>
  <c r="Y18" i="4"/>
  <c r="AJ185" i="5" s="1"/>
  <c r="Y24" i="4"/>
  <c r="AJ182" i="5" s="1"/>
  <c r="Y14" i="4"/>
  <c r="AJ180" i="5" s="1"/>
  <c r="C195" i="4"/>
  <c r="C228" i="5" s="1"/>
  <c r="C231" i="4"/>
  <c r="C221" i="5" s="1"/>
  <c r="C133" i="4"/>
  <c r="C226" i="5" s="1"/>
  <c r="R239" i="8" s="1"/>
  <c r="C387" i="4"/>
  <c r="AZ210" i="8"/>
  <c r="X318" i="4"/>
  <c r="AI306" i="5" s="1"/>
  <c r="AN308" i="8" s="1"/>
  <c r="AZ308" i="8" s="1"/>
  <c r="P308" i="8" s="1"/>
  <c r="X333" i="4"/>
  <c r="AI350" i="5" s="1"/>
  <c r="AN350" i="8" s="1"/>
  <c r="AZ350" i="8" s="1"/>
  <c r="P350" i="8" s="1"/>
  <c r="X337" i="4"/>
  <c r="AI321" i="5" s="1"/>
  <c r="AN323" i="8" s="1"/>
  <c r="AZ323" i="8" s="1"/>
  <c r="P323" i="8" s="1"/>
  <c r="X326" i="4"/>
  <c r="AI342" i="5" s="1"/>
  <c r="AN342" i="8" s="1"/>
  <c r="AZ342" i="8" s="1"/>
  <c r="P342" i="8" s="1"/>
  <c r="X327" i="4"/>
  <c r="AI343" i="5" s="1"/>
  <c r="AN343" i="8" s="1"/>
  <c r="AZ343" i="8" s="1"/>
  <c r="P343" i="8" s="1"/>
  <c r="L246" i="4"/>
  <c r="Q230" i="5" s="1"/>
  <c r="AH242" i="8" s="1"/>
  <c r="AT242" i="8" s="1"/>
  <c r="J242" i="8" s="1"/>
  <c r="L194" i="4"/>
  <c r="Q27" i="5" s="1"/>
  <c r="AH60" i="8" s="1"/>
  <c r="AT60" i="8" s="1"/>
  <c r="J60" i="8" s="1"/>
  <c r="L122" i="4"/>
  <c r="Q141" i="5" s="1"/>
  <c r="AH166" i="8" s="1"/>
  <c r="AT166" i="8" s="1"/>
  <c r="J166" i="8" s="1"/>
  <c r="L123" i="4"/>
  <c r="Q145" i="5" s="1"/>
  <c r="AH170" i="8" s="1"/>
  <c r="AT170" i="8" s="1"/>
  <c r="J170" i="8" s="1"/>
  <c r="L245" i="4"/>
  <c r="Q229" i="5" s="1"/>
  <c r="AH241" i="8" s="1"/>
  <c r="AT241" i="8" s="1"/>
  <c r="J241" i="8" s="1"/>
  <c r="J119" i="4"/>
  <c r="J216" i="4"/>
  <c r="J217" i="4"/>
  <c r="M137" i="4"/>
  <c r="R260" i="5" s="1"/>
  <c r="M127" i="4"/>
  <c r="R171" i="5" s="1"/>
  <c r="M182" i="4"/>
  <c r="R11" i="5" s="1"/>
  <c r="M240" i="4"/>
  <c r="R117" i="5" s="1"/>
  <c r="M209" i="4"/>
  <c r="R259" i="5" s="1"/>
  <c r="M219" i="4"/>
  <c r="R265" i="5" s="1"/>
  <c r="J208" i="4"/>
  <c r="J140" i="4"/>
  <c r="J220" i="4"/>
  <c r="AY307" i="5"/>
  <c r="AM309" i="8"/>
  <c r="AN307" i="5"/>
  <c r="N380" i="4"/>
  <c r="T380" i="5" s="1"/>
  <c r="AI376" i="8" s="1"/>
  <c r="N377" i="4"/>
  <c r="T377" i="5" s="1"/>
  <c r="AI373" i="8" s="1"/>
  <c r="N378" i="4"/>
  <c r="T378" i="5" s="1"/>
  <c r="AI374" i="8" s="1"/>
  <c r="N374" i="4"/>
  <c r="T374" i="5" s="1"/>
  <c r="AI35" i="8" s="1"/>
  <c r="N376" i="4"/>
  <c r="T376" i="5" s="1"/>
  <c r="AI372" i="8" s="1"/>
  <c r="N383" i="4"/>
  <c r="T383" i="5" s="1"/>
  <c r="AI379" i="8" s="1"/>
  <c r="N382" i="4"/>
  <c r="T382" i="5" s="1"/>
  <c r="AI378" i="8" s="1"/>
  <c r="N375" i="4"/>
  <c r="T375" i="5" s="1"/>
  <c r="AI371" i="8" s="1"/>
  <c r="AU371" i="8" s="1"/>
  <c r="N381" i="4"/>
  <c r="T381" i="5" s="1"/>
  <c r="AI377" i="8" s="1"/>
  <c r="N379" i="4"/>
  <c r="T379" i="5" s="1"/>
  <c r="AI375" i="8" s="1"/>
  <c r="Q378" i="4"/>
  <c r="X378" i="5" s="1"/>
  <c r="Q374" i="4"/>
  <c r="X374" i="5" s="1"/>
  <c r="Q376" i="4"/>
  <c r="X376" i="5" s="1"/>
  <c r="Q380" i="4"/>
  <c r="X380" i="5" s="1"/>
  <c r="Q377" i="4"/>
  <c r="X377" i="5" s="1"/>
  <c r="Q379" i="4"/>
  <c r="X379" i="5" s="1"/>
  <c r="Q383" i="4"/>
  <c r="X383" i="5" s="1"/>
  <c r="Q375" i="4"/>
  <c r="X375" i="5" s="1"/>
  <c r="Q381" i="4"/>
  <c r="X381" i="5" s="1"/>
  <c r="Q382" i="4"/>
  <c r="X382" i="5" s="1"/>
  <c r="P127" i="4"/>
  <c r="W171" i="5" s="1"/>
  <c r="AJ194" i="8" s="1"/>
  <c r="AV194" i="8" s="1"/>
  <c r="L194" i="8" s="1"/>
  <c r="P182" i="4"/>
  <c r="W11" i="5" s="1"/>
  <c r="AJ47" i="8" s="1"/>
  <c r="AV47" i="8" s="1"/>
  <c r="L47" i="8" s="1"/>
  <c r="P120" i="4"/>
  <c r="W93" i="5" s="1"/>
  <c r="AJ122" i="8" s="1"/>
  <c r="AV122" i="8" s="1"/>
  <c r="L122" i="8" s="1"/>
  <c r="P240" i="4"/>
  <c r="W117" i="5" s="1"/>
  <c r="AJ145" i="8" s="1"/>
  <c r="AV145" i="8" s="1"/>
  <c r="L145" i="8" s="1"/>
  <c r="P236" i="4"/>
  <c r="W95" i="5" s="1"/>
  <c r="AJ124" i="8" s="1"/>
  <c r="AV124" i="8" s="1"/>
  <c r="L124" i="8" s="1"/>
  <c r="P184" i="4"/>
  <c r="W132" i="5" s="1"/>
  <c r="AJ157" i="8" s="1"/>
  <c r="AV157" i="8" s="1"/>
  <c r="L157" i="8" s="1"/>
  <c r="P137" i="4"/>
  <c r="W260" i="5" s="1"/>
  <c r="AJ269" i="8" s="1"/>
  <c r="AV269" i="8" s="1"/>
  <c r="L269" i="8" s="1"/>
  <c r="P209" i="4"/>
  <c r="W259" i="5" s="1"/>
  <c r="AJ268" i="8" s="1"/>
  <c r="AV268" i="8" s="1"/>
  <c r="L268" i="8" s="1"/>
  <c r="P219" i="4"/>
  <c r="W265" i="5" s="1"/>
  <c r="AJ27" i="8" s="1"/>
  <c r="P176" i="4"/>
  <c r="W267" i="5" s="1"/>
  <c r="AJ275" i="8" s="1"/>
  <c r="AV275" i="8" s="1"/>
  <c r="L275" i="8" s="1"/>
  <c r="F110" i="4"/>
  <c r="H88" i="5" s="1"/>
  <c r="T101" i="4" a="1"/>
  <c r="T101" i="4" s="1"/>
  <c r="AC35" i="5" s="1"/>
  <c r="AL66" i="8" s="1"/>
  <c r="T267" i="4" a="1"/>
  <c r="T267" i="4" s="1"/>
  <c r="AC73" i="5" s="1"/>
  <c r="AL102" i="8" s="1"/>
  <c r="T161" i="4" a="1"/>
  <c r="T161" i="4" s="1"/>
  <c r="AC217" i="5" s="1"/>
  <c r="AL230" i="8" s="1"/>
  <c r="T159" i="4" a="1"/>
  <c r="T159" i="4" s="1"/>
  <c r="AC215" i="5" s="1"/>
  <c r="AL23" i="8" s="1"/>
  <c r="T160" i="4" a="1"/>
  <c r="T160" i="4" s="1"/>
  <c r="AC216" i="5" s="1"/>
  <c r="AL229" i="8" s="1"/>
  <c r="T158" i="4" a="1"/>
  <c r="T158" i="4" s="1"/>
  <c r="AC258" i="5" s="1"/>
  <c r="AL267" i="8" s="1"/>
  <c r="D276" i="4"/>
  <c r="E302" i="5" s="1"/>
  <c r="AP302" i="5" s="1"/>
  <c r="AK79" i="2"/>
  <c r="AS313" i="5"/>
  <c r="AG315" i="8"/>
  <c r="X110" i="4"/>
  <c r="AI88" i="5" s="1"/>
  <c r="AN117" i="8" s="1"/>
  <c r="AZ117" i="8" s="1"/>
  <c r="P117" i="8" s="1"/>
  <c r="X31" i="4"/>
  <c r="AI127" i="5" s="1"/>
  <c r="AN152" i="8" s="1"/>
  <c r="AZ152" i="8" s="1"/>
  <c r="P152" i="8" s="1"/>
  <c r="X253" i="4"/>
  <c r="AI168" i="5" s="1"/>
  <c r="AN191" i="8" s="1"/>
  <c r="AZ191" i="8" s="1"/>
  <c r="P191" i="8" s="1"/>
  <c r="S110" i="4"/>
  <c r="AA88" i="5" s="1"/>
  <c r="S253" i="4"/>
  <c r="AA168" i="5" s="1"/>
  <c r="AA265" i="8"/>
  <c r="V309" i="4"/>
  <c r="AF308" i="5" s="1"/>
  <c r="V316" i="4"/>
  <c r="AF318" i="5" s="1"/>
  <c r="V315" i="4"/>
  <c r="AF316" i="5" s="1"/>
  <c r="V347" i="4"/>
  <c r="AF336" i="5" s="1"/>
  <c r="V314" i="4"/>
  <c r="AF313" i="5" s="1"/>
  <c r="V307" i="4"/>
  <c r="AF317" i="5" s="1"/>
  <c r="P339" i="4"/>
  <c r="W319" i="5" s="1"/>
  <c r="AJ321" i="8" s="1"/>
  <c r="AV321" i="8" s="1"/>
  <c r="P315" i="4"/>
  <c r="W316" i="5" s="1"/>
  <c r="AJ318" i="8" s="1"/>
  <c r="P309" i="4"/>
  <c r="W308" i="5" s="1"/>
  <c r="AJ310" i="8" s="1"/>
  <c r="P314" i="4"/>
  <c r="W313" i="5" s="1"/>
  <c r="AJ315" i="8" s="1"/>
  <c r="P307" i="4"/>
  <c r="W317" i="5" s="1"/>
  <c r="AJ319" i="8" s="1"/>
  <c r="P316" i="4"/>
  <c r="W318" i="5" s="1"/>
  <c r="AJ320" i="8" s="1"/>
  <c r="P347" i="4"/>
  <c r="W336" i="5" s="1"/>
  <c r="AJ336" i="8" s="1"/>
  <c r="T60" i="4" a="1"/>
  <c r="T60" i="4" s="1"/>
  <c r="AC66" i="5" s="1"/>
  <c r="AL95" i="8" s="1"/>
  <c r="AX95" i="8" s="1"/>
  <c r="N95" i="8" s="1"/>
  <c r="I36" i="3"/>
  <c r="M378" i="4"/>
  <c r="R378" i="5" s="1"/>
  <c r="U283" i="4" a="1"/>
  <c r="U283" i="4" s="1"/>
  <c r="AD102" i="5" s="1"/>
  <c r="U113" i="4" a="1"/>
  <c r="U113" i="4" s="1"/>
  <c r="AD135" i="5" s="1"/>
  <c r="U68" i="4" a="1"/>
  <c r="U68" i="4" s="1"/>
  <c r="AD165" i="5" s="1"/>
  <c r="U99" i="4" a="1"/>
  <c r="U99" i="4" s="1"/>
  <c r="AD166" i="5" s="1"/>
  <c r="U117" i="4" a="1"/>
  <c r="U117" i="4" s="1"/>
  <c r="AD232" i="5" s="1"/>
  <c r="S314" i="4"/>
  <c r="AA313" i="5" s="1"/>
  <c r="I276" i="4"/>
  <c r="L302" i="5" s="1"/>
  <c r="AR302" i="5" s="1"/>
  <c r="AA5" i="8"/>
  <c r="E27" i="3"/>
  <c r="AX31" i="5"/>
  <c r="T273" i="4" a="1"/>
  <c r="T273" i="4" s="1"/>
  <c r="AC51" i="5" s="1"/>
  <c r="AL80" i="8" s="1"/>
  <c r="T21" i="4" a="1"/>
  <c r="T21" i="4" s="1"/>
  <c r="AC91" i="5" s="1"/>
  <c r="T56" i="4" a="1"/>
  <c r="T56" i="4" s="1"/>
  <c r="AC116" i="5" s="1"/>
  <c r="AL144" i="8" s="1"/>
  <c r="AX144" i="8" s="1"/>
  <c r="N144" i="8" s="1"/>
  <c r="T298" i="4" a="1"/>
  <c r="T298" i="4" s="1"/>
  <c r="AC124" i="5" s="1"/>
  <c r="AL10" i="8" s="1"/>
  <c r="AX10" i="8" s="1"/>
  <c r="N10" i="8" s="1"/>
  <c r="T200" i="4" a="1"/>
  <c r="T200" i="4" s="1"/>
  <c r="AC244" i="5" s="1"/>
  <c r="AL255" i="8" s="1"/>
  <c r="AX255" i="8" s="1"/>
  <c r="N255" i="8" s="1"/>
  <c r="T168" i="4" a="1"/>
  <c r="T168" i="4" s="1"/>
  <c r="AC248" i="5" s="1"/>
  <c r="AL25" i="8" s="1"/>
  <c r="AX25" i="8" s="1"/>
  <c r="N25" i="8" s="1"/>
  <c r="T218" i="4" a="1"/>
  <c r="T218" i="4" s="1"/>
  <c r="AC242" i="5" s="1"/>
  <c r="AL253" i="8" s="1"/>
  <c r="AX253" i="8" s="1"/>
  <c r="N253" i="8" s="1"/>
  <c r="T30" i="4" a="1"/>
  <c r="T30" i="4" s="1"/>
  <c r="AC275" i="5" s="1"/>
  <c r="AL283" i="8" s="1"/>
  <c r="AX283" i="8" s="1"/>
  <c r="N283" i="8" s="1"/>
  <c r="T259" i="4" a="1"/>
  <c r="T259" i="4" s="1"/>
  <c r="AC297" i="5" s="1"/>
  <c r="AL303" i="8" s="1"/>
  <c r="T154" i="4" a="1"/>
  <c r="T154" i="4" s="1"/>
  <c r="I28" i="3"/>
  <c r="T112" i="4" a="1"/>
  <c r="T112" i="4" s="1"/>
  <c r="AC274" i="5" s="1"/>
  <c r="AL282" i="8" s="1"/>
  <c r="W152" i="4"/>
  <c r="AG205" i="5" s="1"/>
  <c r="W20" i="4"/>
  <c r="AG187" i="5" s="1"/>
  <c r="S316" i="4"/>
  <c r="AA318" i="5" s="1"/>
  <c r="W8" i="4"/>
  <c r="AG177" i="5" s="1"/>
  <c r="W256" i="4"/>
  <c r="AG213" i="5" s="1"/>
  <c r="W121" i="4"/>
  <c r="AG113" i="5" s="1"/>
  <c r="W2" i="4"/>
  <c r="D12" i="4"/>
  <c r="E263" i="5" s="1"/>
  <c r="T232" i="4" a="1"/>
  <c r="T232" i="4" s="1"/>
  <c r="AC19" i="5" s="1"/>
  <c r="Z44" i="4"/>
  <c r="AL18" i="5" s="1"/>
  <c r="N157" i="4"/>
  <c r="T212" i="5" s="1"/>
  <c r="AI227" i="8" s="1"/>
  <c r="Q233" i="4"/>
  <c r="X29" i="5" s="1"/>
  <c r="C49" i="4"/>
  <c r="C34" i="5" s="1"/>
  <c r="X41" i="4"/>
  <c r="AI279" i="5" s="1"/>
  <c r="AN28" i="8" s="1"/>
  <c r="AZ28" i="8" s="1"/>
  <c r="P28" i="8" s="1"/>
  <c r="M181" i="4"/>
  <c r="R10" i="5" s="1"/>
  <c r="U213" i="4" a="1"/>
  <c r="U213" i="4" s="1"/>
  <c r="AD24" i="5" s="1"/>
  <c r="N169" i="4"/>
  <c r="T54" i="5" s="1"/>
  <c r="AI83" i="8" s="1"/>
  <c r="U203" i="4" a="1"/>
  <c r="U203" i="4" s="1"/>
  <c r="AD37" i="5" s="1"/>
  <c r="U49" i="4" a="1"/>
  <c r="U49" i="4" s="1"/>
  <c r="AD34" i="5" s="1"/>
  <c r="C210" i="4"/>
  <c r="C21" i="5" s="1"/>
  <c r="X89" i="4"/>
  <c r="AI48" i="5" s="1"/>
  <c r="AN6" i="8" s="1"/>
  <c r="AZ6" i="8" s="1"/>
  <c r="P6" i="8" s="1"/>
  <c r="X49" i="4"/>
  <c r="AI34" i="5" s="1"/>
  <c r="AN65" i="8" s="1"/>
  <c r="AZ65" i="8" s="1"/>
  <c r="P65" i="8" s="1"/>
  <c r="P38" i="4"/>
  <c r="W63" i="5" s="1"/>
  <c r="AJ92" i="8" s="1"/>
  <c r="AV92" i="8" s="1"/>
  <c r="L92" i="8" s="1"/>
  <c r="Q248" i="4"/>
  <c r="X76" i="5" s="1"/>
  <c r="H38" i="4"/>
  <c r="K63" i="5" s="1"/>
  <c r="M206" i="4"/>
  <c r="R71" i="5" s="1"/>
  <c r="D55" i="4"/>
  <c r="E67" i="5" s="1"/>
  <c r="AC78" i="2"/>
  <c r="T208" i="4" a="1"/>
  <c r="T208" i="4" s="1"/>
  <c r="AC75" i="5" s="1"/>
  <c r="AL104" i="8" s="1"/>
  <c r="C250" i="4"/>
  <c r="C103" i="5" s="1"/>
  <c r="D56" i="4"/>
  <c r="E116" i="5" s="1"/>
  <c r="AD144" i="8" s="1"/>
  <c r="X111" i="4"/>
  <c r="AI94" i="5" s="1"/>
  <c r="AN123" i="8" s="1"/>
  <c r="AZ123" i="8" s="1"/>
  <c r="P123" i="8" s="1"/>
  <c r="S239" i="4"/>
  <c r="AA114" i="5" s="1"/>
  <c r="Z138" i="4"/>
  <c r="AL86" i="5" s="1"/>
  <c r="D284" i="4"/>
  <c r="E106" i="5" s="1"/>
  <c r="AD135" i="8" s="1"/>
  <c r="X241" i="4"/>
  <c r="AI128" i="5" s="1"/>
  <c r="AN153" i="8" s="1"/>
  <c r="AZ153" i="8" s="1"/>
  <c r="P153" i="8" s="1"/>
  <c r="AN60" i="5"/>
  <c r="X79" i="4"/>
  <c r="AI131" i="5" s="1"/>
  <c r="AN156" i="8" s="1"/>
  <c r="AZ156" i="8" s="1"/>
  <c r="P156" i="8" s="1"/>
  <c r="Z65" i="4"/>
  <c r="AL148" i="5" s="1"/>
  <c r="C142" i="4"/>
  <c r="C125" i="5" s="1"/>
  <c r="Z113" i="4"/>
  <c r="AL135" i="5" s="1"/>
  <c r="Y188" i="4"/>
  <c r="AJ152" i="5" s="1"/>
  <c r="Q33" i="4"/>
  <c r="X137" i="5" s="1"/>
  <c r="Q242" i="4"/>
  <c r="X146" i="5" s="1"/>
  <c r="U290" i="4" a="1"/>
  <c r="U290" i="4" s="1"/>
  <c r="AD140" i="5" s="1"/>
  <c r="S278" i="4"/>
  <c r="AA139" i="5" s="1"/>
  <c r="X65" i="4"/>
  <c r="AI148" i="5" s="1"/>
  <c r="AN12" i="8" s="1"/>
  <c r="AZ12" i="8" s="1"/>
  <c r="P12" i="8" s="1"/>
  <c r="U261" i="4" a="1"/>
  <c r="U261" i="4" s="1"/>
  <c r="AD96" i="5" s="1"/>
  <c r="P80" i="4"/>
  <c r="W134" i="5" s="1"/>
  <c r="AJ159" i="8" s="1"/>
  <c r="AV159" i="8" s="1"/>
  <c r="L159" i="8" s="1"/>
  <c r="J296" i="4"/>
  <c r="N156" i="5" s="1"/>
  <c r="AF72" i="2"/>
  <c r="Y70" i="4"/>
  <c r="AJ172" i="5" s="1"/>
  <c r="Q67" i="4"/>
  <c r="X164" i="5" s="1"/>
  <c r="Z35" i="4"/>
  <c r="AL173" i="5" s="1"/>
  <c r="D115" i="4"/>
  <c r="E161" i="5" s="1"/>
  <c r="T294" i="4" a="1"/>
  <c r="T294" i="4" s="1"/>
  <c r="AC144" i="5" s="1"/>
  <c r="AL169" i="8" s="1"/>
  <c r="AX169" i="8" s="1"/>
  <c r="N169" i="8" s="1"/>
  <c r="P15" i="4"/>
  <c r="W181" i="5" s="1"/>
  <c r="AJ202" i="8" s="1"/>
  <c r="AV202" i="8" s="1"/>
  <c r="L202" i="8" s="1"/>
  <c r="J67" i="4"/>
  <c r="N164" i="5" s="1"/>
  <c r="H98" i="4"/>
  <c r="K163" i="5" s="1"/>
  <c r="Y128" i="4"/>
  <c r="AJ179" i="5" s="1"/>
  <c r="X189" i="4"/>
  <c r="AI167" i="5" s="1"/>
  <c r="AN190" i="8" s="1"/>
  <c r="AZ190" i="8" s="1"/>
  <c r="P190" i="8" s="1"/>
  <c r="S17" i="4"/>
  <c r="AA184" i="5" s="1"/>
  <c r="T69" i="4" a="1"/>
  <c r="T69" i="4" s="1"/>
  <c r="AC170" i="5" s="1"/>
  <c r="AL193" i="8" s="1"/>
  <c r="AX193" i="8" s="1"/>
  <c r="R35" i="4"/>
  <c r="Z173" i="5" s="1"/>
  <c r="AK195" i="8" s="1"/>
  <c r="U74" i="4" a="1"/>
  <c r="U74" i="4" s="1"/>
  <c r="AD208" i="5" s="1"/>
  <c r="U225" i="4" a="1"/>
  <c r="U225" i="4" s="1"/>
  <c r="AD196" i="5" s="1"/>
  <c r="H247" i="4"/>
  <c r="K231" i="5" s="1"/>
  <c r="Z159" i="4"/>
  <c r="AL215" i="5" s="1"/>
  <c r="L217" i="4"/>
  <c r="Q227" i="5" s="1"/>
  <c r="AH240" i="8" s="1"/>
  <c r="AT240" i="8" s="1"/>
  <c r="J240" i="8" s="1"/>
  <c r="L102" i="4"/>
  <c r="Q266" i="5" s="1"/>
  <c r="AH274" i="8" s="1"/>
  <c r="AT274" i="8" s="1"/>
  <c r="J274" i="8" s="1"/>
  <c r="Z231" i="4"/>
  <c r="AL221" i="5" s="1"/>
  <c r="X116" i="4"/>
  <c r="AI256" i="5" s="1"/>
  <c r="AN265" i="8" s="1"/>
  <c r="AZ265" i="8" s="1"/>
  <c r="P265" i="8" s="1"/>
  <c r="M85" i="4"/>
  <c r="R224" i="5" s="1"/>
  <c r="D116" i="4"/>
  <c r="E256" i="5" s="1"/>
  <c r="Q66" i="4"/>
  <c r="X277" i="5" s="1"/>
  <c r="Q201" i="4"/>
  <c r="X249" i="5" s="1"/>
  <c r="U157" i="4" a="1"/>
  <c r="U157" i="4" s="1"/>
  <c r="AD212" i="5" s="1"/>
  <c r="X204" i="4"/>
  <c r="AI251" i="5" s="1"/>
  <c r="AN261" i="8" s="1"/>
  <c r="AZ261" i="8" s="1"/>
  <c r="P261" i="8" s="1"/>
  <c r="D176" i="4"/>
  <c r="E267" i="5" s="1"/>
  <c r="L162" i="4"/>
  <c r="Q237" i="5" s="1"/>
  <c r="AH249" i="8" s="1"/>
  <c r="AT249" i="8" s="1"/>
  <c r="J249" i="8" s="1"/>
  <c r="M251" i="4"/>
  <c r="R280" i="5" s="1"/>
  <c r="F231" i="4"/>
  <c r="H221" i="5" s="1"/>
  <c r="T156" i="4" a="1"/>
  <c r="T156" i="4" s="1"/>
  <c r="AC211" i="5" s="1"/>
  <c r="AL226" i="8" s="1"/>
  <c r="S132" i="4"/>
  <c r="AA294" i="5" s="1"/>
  <c r="I235" i="4"/>
  <c r="L253" i="5" s="1"/>
  <c r="C179" i="4"/>
  <c r="C261" i="5" s="1"/>
  <c r="M339" i="4"/>
  <c r="R319" i="5" s="1"/>
  <c r="N176" i="4"/>
  <c r="T267" i="5" s="1"/>
  <c r="C257" i="4"/>
  <c r="C295" i="5" s="1"/>
  <c r="D27" i="4"/>
  <c r="E264" i="5" s="1"/>
  <c r="AD273" i="8" s="1"/>
  <c r="H287" i="4"/>
  <c r="K287" i="5" s="1"/>
  <c r="L167" i="4"/>
  <c r="Q247" i="5" s="1"/>
  <c r="AH258" i="8" s="1"/>
  <c r="AT258" i="8" s="1"/>
  <c r="J258" i="8" s="1"/>
  <c r="Y335" i="4"/>
  <c r="AJ323" i="5" s="1"/>
  <c r="P335" i="4"/>
  <c r="W323" i="5" s="1"/>
  <c r="AJ325" i="8" s="1"/>
  <c r="D342" i="4"/>
  <c r="E334" i="5" s="1"/>
  <c r="O341" i="4"/>
  <c r="U333" i="5" s="1"/>
  <c r="N350" i="4"/>
  <c r="T339" i="5" s="1"/>
  <c r="AI339" i="8" s="1"/>
  <c r="AP340" i="5"/>
  <c r="AD340" i="8"/>
  <c r="AP340" i="8" s="1"/>
  <c r="F340" i="8" s="1"/>
  <c r="D343" i="4"/>
  <c r="E330" i="5" s="1"/>
  <c r="L325" i="4"/>
  <c r="Q328" i="5" s="1"/>
  <c r="AH329" i="8" s="1"/>
  <c r="AT329" i="8" s="1"/>
  <c r="J329" i="8" s="1"/>
  <c r="V325" i="4"/>
  <c r="AF328" i="5" s="1"/>
  <c r="T354" i="4"/>
  <c r="AC370" i="5" s="1"/>
  <c r="AL34" i="8" s="1"/>
  <c r="L360" i="4"/>
  <c r="Q364" i="5" s="1"/>
  <c r="AH362" i="8" s="1"/>
  <c r="P375" i="4"/>
  <c r="W375" i="5" s="1"/>
  <c r="AJ371" i="8" s="1"/>
  <c r="C374" i="4"/>
  <c r="C374" i="5" s="1"/>
  <c r="R35" i="8" s="1"/>
  <c r="C381" i="4"/>
  <c r="C381" i="5" s="1"/>
  <c r="R377" i="8" s="1"/>
  <c r="L416" i="4"/>
  <c r="Q400" i="5" s="1"/>
  <c r="J305" i="4"/>
  <c r="N314" i="5" s="1"/>
  <c r="J306" i="4"/>
  <c r="N315" i="5" s="1"/>
  <c r="J351" i="4"/>
  <c r="N341" i="5" s="1"/>
  <c r="J345" i="4"/>
  <c r="N337" i="5" s="1"/>
  <c r="J323" i="4"/>
  <c r="N326" i="5" s="1"/>
  <c r="J343" i="4"/>
  <c r="N330" i="5" s="1"/>
  <c r="J350" i="4"/>
  <c r="N339" i="5" s="1"/>
  <c r="J133" i="4"/>
  <c r="J195" i="4"/>
  <c r="N228" i="5" s="1"/>
  <c r="J231" i="4"/>
  <c r="N221" i="5" s="1"/>
  <c r="L173" i="4"/>
  <c r="Q78" i="5" s="1"/>
  <c r="AH107" i="8" s="1"/>
  <c r="AT107" i="8" s="1"/>
  <c r="J107" i="8" s="1"/>
  <c r="L302" i="4"/>
  <c r="Q77" i="5" s="1"/>
  <c r="AH106" i="8" s="1"/>
  <c r="AT106" i="8" s="1"/>
  <c r="J106" i="8" s="1"/>
  <c r="L174" i="4"/>
  <c r="Q79" i="5" s="1"/>
  <c r="AH108" i="8" s="1"/>
  <c r="AT108" i="8" s="1"/>
  <c r="J108" i="8" s="1"/>
  <c r="L24" i="4"/>
  <c r="Q182" i="5" s="1"/>
  <c r="AH203" i="8" s="1"/>
  <c r="AT203" i="8" s="1"/>
  <c r="J203" i="8" s="1"/>
  <c r="L18" i="4"/>
  <c r="Q185" i="5" s="1"/>
  <c r="AH205" i="8" s="1"/>
  <c r="AT205" i="8" s="1"/>
  <c r="J205" i="8" s="1"/>
  <c r="D352" i="4"/>
  <c r="E358" i="5" s="1"/>
  <c r="D361" i="4"/>
  <c r="E371" i="5" s="1"/>
  <c r="D364" i="4"/>
  <c r="E359" i="5" s="1"/>
  <c r="D353" i="4"/>
  <c r="E360" i="5" s="1"/>
  <c r="D372" i="4"/>
  <c r="E356" i="5" s="1"/>
  <c r="D359" i="4"/>
  <c r="E363" i="5" s="1"/>
  <c r="D363" i="4"/>
  <c r="E372" i="5" s="1"/>
  <c r="D362" i="4"/>
  <c r="E373" i="5" s="1"/>
  <c r="AP93" i="2"/>
  <c r="AP94" i="2"/>
  <c r="D371" i="4"/>
  <c r="E355" i="5" s="1"/>
  <c r="D373" i="4"/>
  <c r="E357" i="5" s="1"/>
  <c r="D355" i="4"/>
  <c r="E362" i="5" s="1"/>
  <c r="R133" i="4"/>
  <c r="Z226" i="5" s="1"/>
  <c r="AK239" i="8" s="1"/>
  <c r="R195" i="4"/>
  <c r="R85" i="4"/>
  <c r="R231" i="4"/>
  <c r="AX303" i="5"/>
  <c r="AA305" i="8"/>
  <c r="R19" i="4"/>
  <c r="Z186" i="5" s="1"/>
  <c r="AK206" i="8" s="1"/>
  <c r="R407" i="4"/>
  <c r="Z395" i="5" s="1"/>
  <c r="R70" i="4"/>
  <c r="R282" i="4"/>
  <c r="R74" i="4"/>
  <c r="C305" i="4"/>
  <c r="C314" i="5" s="1"/>
  <c r="R316" i="8" s="1"/>
  <c r="C306" i="4"/>
  <c r="C315" i="5" s="1"/>
  <c r="R317" i="8" s="1"/>
  <c r="P318" i="4"/>
  <c r="W306" i="5" s="1"/>
  <c r="AJ308" i="8" s="1"/>
  <c r="P327" i="4"/>
  <c r="W343" i="5" s="1"/>
  <c r="AJ343" i="8" s="1"/>
  <c r="P326" i="4"/>
  <c r="W342" i="5" s="1"/>
  <c r="AJ342" i="8" s="1"/>
  <c r="P328" i="4"/>
  <c r="W344" i="5" s="1"/>
  <c r="AJ344" i="8" s="1"/>
  <c r="P346" i="4"/>
  <c r="W340" i="5" s="1"/>
  <c r="AJ340" i="8" s="1"/>
  <c r="O73" i="4"/>
  <c r="U192" i="5" s="1"/>
  <c r="O71" i="4"/>
  <c r="U190" i="5" s="1"/>
  <c r="O222" i="4"/>
  <c r="U269" i="5" s="1"/>
  <c r="Y116" i="8"/>
  <c r="AW116" i="8" s="1"/>
  <c r="E6" i="13"/>
  <c r="AX310" i="5"/>
  <c r="AA312" i="8"/>
  <c r="R72" i="4"/>
  <c r="R204" i="4"/>
  <c r="R346" i="4"/>
  <c r="R327" i="4"/>
  <c r="R337" i="4"/>
  <c r="R333" i="4"/>
  <c r="R328" i="4"/>
  <c r="R326" i="4"/>
  <c r="R318" i="4"/>
  <c r="E141" i="4"/>
  <c r="F123" i="5" s="1"/>
  <c r="E144" i="4"/>
  <c r="F155" i="5" s="1"/>
  <c r="E161" i="4"/>
  <c r="F217" i="5" s="1"/>
  <c r="E159" i="4"/>
  <c r="F215" i="5" s="1"/>
  <c r="J281" i="4"/>
  <c r="J274" i="4"/>
  <c r="J257" i="4"/>
  <c r="J258" i="4"/>
  <c r="J280" i="4"/>
  <c r="J96" i="4"/>
  <c r="J270" i="4"/>
  <c r="F72" i="4"/>
  <c r="F204" i="4"/>
  <c r="I211" i="4"/>
  <c r="I213" i="4"/>
  <c r="I214" i="4"/>
  <c r="I215" i="4"/>
  <c r="Z306" i="4"/>
  <c r="AL315" i="5" s="1"/>
  <c r="Z305" i="4"/>
  <c r="AL314" i="5" s="1"/>
  <c r="F73" i="4"/>
  <c r="F71" i="4"/>
  <c r="F222" i="4"/>
  <c r="P149" i="4"/>
  <c r="W201" i="5" s="1"/>
  <c r="AJ219" i="8" s="1"/>
  <c r="P117" i="4"/>
  <c r="W232" i="5" s="1"/>
  <c r="AJ244" i="8" s="1"/>
  <c r="P146" i="4"/>
  <c r="W284" i="5" s="1"/>
  <c r="AJ291" i="8" s="1"/>
  <c r="AV291" i="8" s="1"/>
  <c r="L291" i="8" s="1"/>
  <c r="P192" i="4"/>
  <c r="W285" i="5" s="1"/>
  <c r="AJ292" i="8" s="1"/>
  <c r="AV292" i="8" s="1"/>
  <c r="L292" i="8" s="1"/>
  <c r="AC120" i="8"/>
  <c r="AZ91" i="5"/>
  <c r="J164" i="4"/>
  <c r="J163" i="4"/>
  <c r="H372" i="4"/>
  <c r="K356" i="5" s="1"/>
  <c r="AF355" i="8" s="1"/>
  <c r="AR355" i="8" s="1"/>
  <c r="H355" i="8" s="1"/>
  <c r="H353" i="4"/>
  <c r="K360" i="5" s="1"/>
  <c r="AF359" i="8" s="1"/>
  <c r="AR359" i="8" s="1"/>
  <c r="H359" i="8" s="1"/>
  <c r="H362" i="4"/>
  <c r="K373" i="5" s="1"/>
  <c r="AF370" i="8" s="1"/>
  <c r="AR370" i="8" s="1"/>
  <c r="H370" i="8" s="1"/>
  <c r="H363" i="4"/>
  <c r="K372" i="5" s="1"/>
  <c r="AF369" i="8" s="1"/>
  <c r="AR369" i="8" s="1"/>
  <c r="H369" i="8" s="1"/>
  <c r="H352" i="4"/>
  <c r="K358" i="5" s="1"/>
  <c r="AF357" i="8" s="1"/>
  <c r="AR357" i="8" s="1"/>
  <c r="H357" i="8" s="1"/>
  <c r="H364" i="4"/>
  <c r="K359" i="5" s="1"/>
  <c r="AF358" i="8" s="1"/>
  <c r="AR358" i="8" s="1"/>
  <c r="H358" i="8" s="1"/>
  <c r="H373" i="4"/>
  <c r="K357" i="5" s="1"/>
  <c r="AF356" i="8" s="1"/>
  <c r="AR356" i="8" s="1"/>
  <c r="H356" i="8" s="1"/>
  <c r="AT93" i="2"/>
  <c r="AT94" i="2"/>
  <c r="H359" i="4"/>
  <c r="K363" i="5" s="1"/>
  <c r="AF361" i="8" s="1"/>
  <c r="AR361" i="8" s="1"/>
  <c r="H361" i="8" s="1"/>
  <c r="H371" i="4"/>
  <c r="K355" i="5" s="1"/>
  <c r="AF354" i="8" s="1"/>
  <c r="AR354" i="8" s="1"/>
  <c r="H354" i="8" s="1"/>
  <c r="H354" i="4"/>
  <c r="K370" i="5" s="1"/>
  <c r="AF34" i="8" s="1"/>
  <c r="AR34" i="8" s="1"/>
  <c r="H34" i="8" s="1"/>
  <c r="H355" i="4"/>
  <c r="K362" i="5" s="1"/>
  <c r="H361" i="4"/>
  <c r="K371" i="5" s="1"/>
  <c r="AF368" i="8" s="1"/>
  <c r="AR368" i="8" s="1"/>
  <c r="H368" i="8" s="1"/>
  <c r="X223" i="4"/>
  <c r="AI15" i="5" s="1"/>
  <c r="AN50" i="8" s="1"/>
  <c r="AZ50" i="8" s="1"/>
  <c r="P50" i="8" s="1"/>
  <c r="X156" i="4"/>
  <c r="AI211" i="5" s="1"/>
  <c r="AN226" i="8" s="1"/>
  <c r="AZ226" i="8" s="1"/>
  <c r="P226" i="8" s="1"/>
  <c r="X157" i="4"/>
  <c r="AI212" i="5" s="1"/>
  <c r="AN227" i="8" s="1"/>
  <c r="AZ227" i="8" s="1"/>
  <c r="P227" i="8" s="1"/>
  <c r="X82" i="4"/>
  <c r="AI158" i="5" s="1"/>
  <c r="AN182" i="8" s="1"/>
  <c r="AZ182" i="8" s="1"/>
  <c r="P182" i="8" s="1"/>
  <c r="X155" i="4"/>
  <c r="AI209" i="5" s="1"/>
  <c r="AN224" i="8" s="1"/>
  <c r="AZ224" i="8" s="1"/>
  <c r="P224" i="8" s="1"/>
  <c r="X288" i="4"/>
  <c r="AI214" i="5" s="1"/>
  <c r="AN22" i="8" s="1"/>
  <c r="AZ22" i="8" s="1"/>
  <c r="P22" i="8" s="1"/>
  <c r="X193" i="4"/>
  <c r="AI210" i="5" s="1"/>
  <c r="AN225" i="8" s="1"/>
  <c r="AZ225" i="8" s="1"/>
  <c r="P225" i="8" s="1"/>
  <c r="X158" i="4"/>
  <c r="AI258" i="5" s="1"/>
  <c r="AN267" i="8" s="1"/>
  <c r="AZ267" i="8" s="1"/>
  <c r="P267" i="8" s="1"/>
  <c r="U372" i="4"/>
  <c r="AD356" i="5" s="1"/>
  <c r="U355" i="4"/>
  <c r="AD362" i="5" s="1"/>
  <c r="U352" i="4"/>
  <c r="AD358" i="5" s="1"/>
  <c r="U364" i="4"/>
  <c r="AD359" i="5" s="1"/>
  <c r="U353" i="4"/>
  <c r="AD360" i="5" s="1"/>
  <c r="U363" i="4"/>
  <c r="AD372" i="5" s="1"/>
  <c r="U362" i="4"/>
  <c r="AD373" i="5" s="1"/>
  <c r="BG94" i="2"/>
  <c r="BG93" i="2"/>
  <c r="U354" i="4"/>
  <c r="AD370" i="5" s="1"/>
  <c r="U373" i="4"/>
  <c r="AD357" i="5" s="1"/>
  <c r="U361" i="4"/>
  <c r="AD371" i="5" s="1"/>
  <c r="U359" i="4"/>
  <c r="AD363" i="5" s="1"/>
  <c r="AW88" i="2"/>
  <c r="AW87" i="2"/>
  <c r="P294" i="4"/>
  <c r="W144" i="5" s="1"/>
  <c r="AJ169" i="8" s="1"/>
  <c r="P226" i="4"/>
  <c r="W197" i="5" s="1"/>
  <c r="AJ216" i="8" s="1"/>
  <c r="P301" i="4"/>
  <c r="W189" i="5" s="1"/>
  <c r="AJ209" i="8" s="1"/>
  <c r="P264" i="4"/>
  <c r="W198" i="5" s="1"/>
  <c r="AJ217" i="8" s="1"/>
  <c r="P255" i="4"/>
  <c r="W195" i="5" s="1"/>
  <c r="AJ214" i="8" s="1"/>
  <c r="AV214" i="8" s="1"/>
  <c r="AP97" i="5"/>
  <c r="AD126" i="8"/>
  <c r="AP126" i="8" s="1"/>
  <c r="F126" i="8" s="1"/>
  <c r="P229" i="4"/>
  <c r="W28" i="5" s="1"/>
  <c r="AJ4" i="8" s="1"/>
  <c r="P2" i="4"/>
  <c r="P250" i="4"/>
  <c r="W103" i="5" s="1"/>
  <c r="AJ132" i="8" s="1"/>
  <c r="P256" i="4"/>
  <c r="W213" i="5" s="1"/>
  <c r="AJ228" i="8" s="1"/>
  <c r="P20" i="4"/>
  <c r="W187" i="5" s="1"/>
  <c r="AJ207" i="8" s="1"/>
  <c r="AV207" i="8" s="1"/>
  <c r="L207" i="8" s="1"/>
  <c r="P230" i="4"/>
  <c r="W220" i="5" s="1"/>
  <c r="AJ233" i="8" s="1"/>
  <c r="P244" i="4"/>
  <c r="W219" i="5" s="1"/>
  <c r="AJ232" i="8" s="1"/>
  <c r="P29" i="4"/>
  <c r="W268" i="5" s="1"/>
  <c r="AJ276" i="8" s="1"/>
  <c r="AU221" i="8"/>
  <c r="E238" i="4"/>
  <c r="F105" i="5" s="1"/>
  <c r="E196" i="4"/>
  <c r="E64" i="4"/>
  <c r="E94" i="4"/>
  <c r="E251" i="4"/>
  <c r="E247" i="4"/>
  <c r="E202" i="4"/>
  <c r="E121" i="4"/>
  <c r="E266" i="4"/>
  <c r="E267" i="4"/>
  <c r="F73" i="5" s="1"/>
  <c r="E97" i="4"/>
  <c r="F130" i="5" s="1"/>
  <c r="E142" i="4"/>
  <c r="E269" i="4"/>
  <c r="C194" i="4"/>
  <c r="C27" i="5" s="1"/>
  <c r="C122" i="4"/>
  <c r="C141" i="5" s="1"/>
  <c r="C246" i="4"/>
  <c r="C230" i="5" s="1"/>
  <c r="C245" i="4"/>
  <c r="C229" i="5" s="1"/>
  <c r="J141" i="4"/>
  <c r="N123" i="5" s="1"/>
  <c r="J159" i="4"/>
  <c r="N215" i="5" s="1"/>
  <c r="J161" i="4"/>
  <c r="N217" i="5" s="1"/>
  <c r="J95" i="4"/>
  <c r="N273" i="5" s="1"/>
  <c r="J144" i="4"/>
  <c r="J160" i="4"/>
  <c r="E32" i="4"/>
  <c r="F129" i="5" s="1"/>
  <c r="E6" i="4"/>
  <c r="E42" i="4"/>
  <c r="E33" i="4"/>
  <c r="E43" i="4"/>
  <c r="E44" i="4"/>
  <c r="E30" i="4"/>
  <c r="E8" i="4"/>
  <c r="J4" i="4"/>
  <c r="N174" i="5" s="1"/>
  <c r="J102" i="4"/>
  <c r="N266" i="5" s="1"/>
  <c r="J61" i="4"/>
  <c r="J179" i="4"/>
  <c r="AV85" i="2"/>
  <c r="AV84" i="2"/>
  <c r="Z305" i="8"/>
  <c r="AW303" i="5"/>
  <c r="Q188" i="4"/>
  <c r="X152" i="5" s="1"/>
  <c r="Q128" i="4"/>
  <c r="X179" i="5" s="1"/>
  <c r="Q149" i="4"/>
  <c r="X201" i="5" s="1"/>
  <c r="Q117" i="4"/>
  <c r="X232" i="5" s="1"/>
  <c r="Q146" i="4"/>
  <c r="X284" i="5" s="1"/>
  <c r="Q192" i="4"/>
  <c r="X285" i="5" s="1"/>
  <c r="AI239" i="8"/>
  <c r="AU226" i="5"/>
  <c r="O303" i="4"/>
  <c r="U303" i="5" s="1"/>
  <c r="O331" i="4"/>
  <c r="U348" i="5" s="1"/>
  <c r="N149" i="4"/>
  <c r="T201" i="5" s="1"/>
  <c r="AI219" i="8" s="1"/>
  <c r="N192" i="4"/>
  <c r="T285" i="5" s="1"/>
  <c r="N146" i="4"/>
  <c r="T284" i="5" s="1"/>
  <c r="X205" i="4"/>
  <c r="AI53" i="5" s="1"/>
  <c r="AN82" i="8" s="1"/>
  <c r="AZ82" i="8" s="1"/>
  <c r="P82" i="8" s="1"/>
  <c r="X272" i="4"/>
  <c r="AI50" i="5" s="1"/>
  <c r="AN79" i="8" s="1"/>
  <c r="AZ79" i="8" s="1"/>
  <c r="P79" i="8" s="1"/>
  <c r="X234" i="4"/>
  <c r="X233" i="4"/>
  <c r="R81" i="4"/>
  <c r="R80" i="4"/>
  <c r="X294" i="4"/>
  <c r="AI144" i="5" s="1"/>
  <c r="AN169" i="8" s="1"/>
  <c r="AZ169" i="8" s="1"/>
  <c r="P169" i="8" s="1"/>
  <c r="X226" i="4"/>
  <c r="AI197" i="5" s="1"/>
  <c r="AN216" i="8" s="1"/>
  <c r="AZ216" i="8" s="1"/>
  <c r="P216" i="8" s="1"/>
  <c r="X301" i="4"/>
  <c r="AI189" i="5" s="1"/>
  <c r="AN209" i="8" s="1"/>
  <c r="AZ209" i="8" s="1"/>
  <c r="X264" i="4"/>
  <c r="AI198" i="5" s="1"/>
  <c r="AN217" i="8" s="1"/>
  <c r="AZ217" i="8" s="1"/>
  <c r="P217" i="8" s="1"/>
  <c r="C220" i="4"/>
  <c r="C9" i="5" s="1"/>
  <c r="C208" i="4"/>
  <c r="C75" i="5" s="1"/>
  <c r="O144" i="4"/>
  <c r="U155" i="5" s="1"/>
  <c r="O141" i="4"/>
  <c r="U123" i="5" s="1"/>
  <c r="O161" i="4"/>
  <c r="U217" i="5" s="1"/>
  <c r="X21" i="8"/>
  <c r="AU205" i="5"/>
  <c r="P372" i="4"/>
  <c r="W356" i="5" s="1"/>
  <c r="AJ355" i="8" s="1"/>
  <c r="P364" i="4"/>
  <c r="W359" i="5" s="1"/>
  <c r="AJ358" i="8" s="1"/>
  <c r="P363" i="4"/>
  <c r="W372" i="5" s="1"/>
  <c r="AJ369" i="8" s="1"/>
  <c r="P352" i="4"/>
  <c r="W358" i="5" s="1"/>
  <c r="AJ357" i="8" s="1"/>
  <c r="P353" i="4"/>
  <c r="W360" i="5" s="1"/>
  <c r="AJ359" i="8" s="1"/>
  <c r="P362" i="4"/>
  <c r="W373" i="5" s="1"/>
  <c r="AJ370" i="8" s="1"/>
  <c r="P357" i="4"/>
  <c r="W361" i="5" s="1"/>
  <c r="AJ360" i="8" s="1"/>
  <c r="P361" i="4"/>
  <c r="W371" i="5" s="1"/>
  <c r="AJ368" i="8" s="1"/>
  <c r="BB93" i="2"/>
  <c r="BB94" i="2"/>
  <c r="P355" i="4"/>
  <c r="W362" i="5" s="1"/>
  <c r="AJ33" i="8" s="1"/>
  <c r="P354" i="4"/>
  <c r="W370" i="5" s="1"/>
  <c r="AJ34" i="8" s="1"/>
  <c r="P371" i="4"/>
  <c r="W355" i="5" s="1"/>
  <c r="AJ354" i="8" s="1"/>
  <c r="Q15" i="4"/>
  <c r="X181" i="5" s="1"/>
  <c r="Q297" i="4"/>
  <c r="X272" i="5" s="1"/>
  <c r="Q411" i="4"/>
  <c r="X411" i="5" s="1"/>
  <c r="Y88" i="8"/>
  <c r="AV59" i="5"/>
  <c r="Q229" i="4"/>
  <c r="X28" i="5" s="1"/>
  <c r="Q2" i="4"/>
  <c r="Q20" i="4"/>
  <c r="X187" i="5" s="1"/>
  <c r="Q244" i="4"/>
  <c r="X219" i="5" s="1"/>
  <c r="Q230" i="4"/>
  <c r="X220" i="5" s="1"/>
  <c r="Q256" i="4"/>
  <c r="X213" i="5" s="1"/>
  <c r="Q29" i="4"/>
  <c r="X268" i="5" s="1"/>
  <c r="O69" i="4"/>
  <c r="U170" i="5" s="1"/>
  <c r="O116" i="4"/>
  <c r="U256" i="5" s="1"/>
  <c r="O275" i="4"/>
  <c r="U300" i="5" s="1"/>
  <c r="O62" i="4"/>
  <c r="U109" i="5" s="1"/>
  <c r="O75" i="4"/>
  <c r="U250" i="5" s="1"/>
  <c r="Q4" i="4"/>
  <c r="X174" i="5" s="1"/>
  <c r="Q61" i="4"/>
  <c r="X262" i="5" s="1"/>
  <c r="Q102" i="4"/>
  <c r="X266" i="5" s="1"/>
  <c r="BC84" i="2"/>
  <c r="BC85" i="2"/>
  <c r="X131" i="8"/>
  <c r="AU102" i="5"/>
  <c r="X62" i="8"/>
  <c r="AU30" i="5"/>
  <c r="F294" i="4"/>
  <c r="H144" i="5" s="1"/>
  <c r="F264" i="4"/>
  <c r="H198" i="5" s="1"/>
  <c r="F255" i="4"/>
  <c r="F226" i="4"/>
  <c r="F301" i="4"/>
  <c r="F254" i="4"/>
  <c r="F106" i="4"/>
  <c r="F57" i="4"/>
  <c r="F105" i="4"/>
  <c r="F4" i="4"/>
  <c r="H174" i="5" s="1"/>
  <c r="F61" i="4"/>
  <c r="F102" i="4"/>
  <c r="F179" i="4"/>
  <c r="AR85" i="2"/>
  <c r="AR84" i="2"/>
  <c r="O93" i="4"/>
  <c r="U112" i="5" s="1"/>
  <c r="O143" i="4"/>
  <c r="U126" i="5" s="1"/>
  <c r="O139" i="4"/>
  <c r="U110" i="5" s="1"/>
  <c r="O92" i="4"/>
  <c r="U111" i="5" s="1"/>
  <c r="O98" i="4"/>
  <c r="U163" i="5" s="1"/>
  <c r="O227" i="4"/>
  <c r="U203" i="5" s="1"/>
  <c r="D101" i="4"/>
  <c r="E35" i="5" s="1"/>
  <c r="D178" i="4"/>
  <c r="E85" i="5" s="1"/>
  <c r="D175" i="4"/>
  <c r="E81" i="5" s="1"/>
  <c r="D136" i="4"/>
  <c r="E84" i="5" s="1"/>
  <c r="D177" i="4"/>
  <c r="E83" i="5" s="1"/>
  <c r="D138" i="4"/>
  <c r="E86" i="5" s="1"/>
  <c r="D76" i="4"/>
  <c r="E115" i="5" s="1"/>
  <c r="D25" i="4"/>
  <c r="E252" i="5" s="1"/>
  <c r="D275" i="4"/>
  <c r="E300" i="5" s="1"/>
  <c r="AP300" i="5" s="1"/>
  <c r="D289" i="4"/>
  <c r="E52" i="5" s="1"/>
  <c r="D273" i="4"/>
  <c r="E51" i="5" s="1"/>
  <c r="D75" i="4"/>
  <c r="E250" i="5" s="1"/>
  <c r="F229" i="4"/>
  <c r="H28" i="5" s="1"/>
  <c r="F250" i="4"/>
  <c r="H103" i="5" s="1"/>
  <c r="F256" i="4"/>
  <c r="H213" i="5" s="1"/>
  <c r="F20" i="4"/>
  <c r="H187" i="5" s="1"/>
  <c r="F230" i="4"/>
  <c r="H220" i="5" s="1"/>
  <c r="F244" i="4"/>
  <c r="H219" i="5" s="1"/>
  <c r="F29" i="4"/>
  <c r="H268" i="5" s="1"/>
  <c r="F2" i="4"/>
  <c r="AO222" i="8"/>
  <c r="BA207" i="5"/>
  <c r="J150" i="4"/>
  <c r="N202" i="5" s="1"/>
  <c r="J114" i="4"/>
  <c r="O111" i="4"/>
  <c r="U94" i="5" s="1"/>
  <c r="O297" i="4"/>
  <c r="U272" i="5" s="1"/>
  <c r="X85" i="8"/>
  <c r="AV85" i="8" s="1"/>
  <c r="AU56" i="5"/>
  <c r="C60" i="4"/>
  <c r="C66" i="5" s="1"/>
  <c r="C185" i="4"/>
  <c r="C136" i="5" s="1"/>
  <c r="C187" i="4"/>
  <c r="C151" i="5" s="1"/>
  <c r="C200" i="4"/>
  <c r="C244" i="5" s="1"/>
  <c r="C10" i="4"/>
  <c r="C254" i="5" s="1"/>
  <c r="C125" i="4"/>
  <c r="C278" i="5" s="1"/>
  <c r="R286" i="8" s="1"/>
  <c r="M267" i="4"/>
  <c r="R73" i="5" s="1"/>
  <c r="M142" i="4"/>
  <c r="R125" i="5" s="1"/>
  <c r="M97" i="4"/>
  <c r="R130" i="5" s="1"/>
  <c r="M269" i="4"/>
  <c r="R2" i="5" s="1"/>
  <c r="M234" i="4"/>
  <c r="R30" i="5" s="1"/>
  <c r="M233" i="4"/>
  <c r="R29" i="5" s="1"/>
  <c r="M272" i="4"/>
  <c r="R50" i="5" s="1"/>
  <c r="M205" i="4"/>
  <c r="R53" i="5" s="1"/>
  <c r="W75" i="8"/>
  <c r="AU75" i="8" s="1"/>
  <c r="AT44" i="5"/>
  <c r="AL8" i="2"/>
  <c r="M4" i="4"/>
  <c r="R174" i="5" s="1"/>
  <c r="M61" i="4"/>
  <c r="R262" i="5" s="1"/>
  <c r="M102" i="4"/>
  <c r="R266" i="5" s="1"/>
  <c r="AY84" i="2"/>
  <c r="AY85" i="2"/>
  <c r="M179" i="4"/>
  <c r="R261" i="5" s="1"/>
  <c r="Z49" i="4"/>
  <c r="AL34" i="5" s="1"/>
  <c r="Z45" i="4"/>
  <c r="AL31" i="5" s="1"/>
  <c r="Z47" i="4"/>
  <c r="AL33" i="5" s="1"/>
  <c r="Z5" i="4"/>
  <c r="AL61" i="5" s="1"/>
  <c r="Z34" i="4"/>
  <c r="AL149" i="5" s="1"/>
  <c r="Z7" i="4"/>
  <c r="AL176" i="5" s="1"/>
  <c r="Z9" i="4"/>
  <c r="AL188" i="5" s="1"/>
  <c r="Z48" i="4"/>
  <c r="AL233" i="5" s="1"/>
  <c r="Z183" i="4"/>
  <c r="AL271" i="5" s="1"/>
  <c r="AO98" i="8"/>
  <c r="BA98" i="8" s="1"/>
  <c r="BA69" i="5"/>
  <c r="BA55" i="5"/>
  <c r="AO84" i="8"/>
  <c r="Z66" i="4"/>
  <c r="AL277" i="5" s="1"/>
  <c r="Z12" i="4"/>
  <c r="AL263" i="5" s="1"/>
  <c r="N367" i="4"/>
  <c r="T368" i="5" s="1"/>
  <c r="AI366" i="8" s="1"/>
  <c r="N360" i="4"/>
  <c r="T364" i="5" s="1"/>
  <c r="AI362" i="8" s="1"/>
  <c r="N356" i="4"/>
  <c r="T366" i="5" s="1"/>
  <c r="AI364" i="8" s="1"/>
  <c r="N358" i="4"/>
  <c r="T352" i="5" s="1"/>
  <c r="AI351" i="8" s="1"/>
  <c r="N369" i="4"/>
  <c r="T353" i="5" s="1"/>
  <c r="AI352" i="8" s="1"/>
  <c r="N366" i="4"/>
  <c r="T367" i="5" s="1"/>
  <c r="AI365" i="8" s="1"/>
  <c r="N368" i="4"/>
  <c r="T369" i="5" s="1"/>
  <c r="AI367" i="8" s="1"/>
  <c r="N365" i="4"/>
  <c r="T365" i="5" s="1"/>
  <c r="AI363" i="8" s="1"/>
  <c r="E282" i="4"/>
  <c r="F222" i="5" s="1"/>
  <c r="E19" i="4"/>
  <c r="F186" i="5" s="1"/>
  <c r="E407" i="4"/>
  <c r="E70" i="4"/>
  <c r="E74" i="4"/>
  <c r="R23" i="4"/>
  <c r="Z13" i="5" s="1"/>
  <c r="AK48" i="8" s="1"/>
  <c r="R56" i="4"/>
  <c r="R53" i="4"/>
  <c r="R412" i="4"/>
  <c r="Z402" i="5" s="1"/>
  <c r="R298" i="4"/>
  <c r="U277" i="4" a="1"/>
  <c r="U277" i="4" s="1"/>
  <c r="AD301" i="5" s="1"/>
  <c r="AX301" i="5" s="1"/>
  <c r="U268" i="4" a="1"/>
  <c r="U268" i="4" s="1"/>
  <c r="AD100" i="5" s="1"/>
  <c r="U249" i="4" a="1"/>
  <c r="U249" i="4" s="1"/>
  <c r="AD99" i="5" s="1"/>
  <c r="U292" i="4" a="1"/>
  <c r="U292" i="4" s="1"/>
  <c r="AD143" i="5" s="1"/>
  <c r="U301" i="4" a="1"/>
  <c r="U301" i="4" s="1"/>
  <c r="AD189" i="5" s="1"/>
  <c r="U72" i="4" a="1"/>
  <c r="U72" i="4" s="1"/>
  <c r="AD191" i="5" s="1"/>
  <c r="U71" i="4" a="1"/>
  <c r="U71" i="4" s="1"/>
  <c r="AD190" i="5" s="1"/>
  <c r="U119" i="4" a="1"/>
  <c r="U119" i="4" s="1"/>
  <c r="AD241" i="5" s="1"/>
  <c r="U280" i="4" a="1"/>
  <c r="U280" i="4" s="1"/>
  <c r="AD290" i="5" s="1"/>
  <c r="J212" i="4"/>
  <c r="N23" i="5" s="1"/>
  <c r="J148" i="4"/>
  <c r="J147" i="4"/>
  <c r="J210" i="4"/>
  <c r="AV386" i="5"/>
  <c r="S195" i="4"/>
  <c r="AA228" i="5" s="1"/>
  <c r="S133" i="4"/>
  <c r="AA226" i="5" s="1"/>
  <c r="S231" i="4"/>
  <c r="AA221" i="5" s="1"/>
  <c r="Q293" i="4"/>
  <c r="X89" i="5" s="1"/>
  <c r="Q77" i="4"/>
  <c r="X119" i="5" s="1"/>
  <c r="Q286" i="4"/>
  <c r="X108" i="5" s="1"/>
  <c r="Q285" i="4"/>
  <c r="X107" i="5" s="1"/>
  <c r="Q241" i="4"/>
  <c r="X128" i="5" s="1"/>
  <c r="Q13" i="4"/>
  <c r="X142" i="5" s="1"/>
  <c r="Q290" i="4"/>
  <c r="X140" i="5" s="1"/>
  <c r="Q63" i="4"/>
  <c r="X270" i="5" s="1"/>
  <c r="E325" i="4"/>
  <c r="E334" i="4"/>
  <c r="E336" i="4"/>
  <c r="E348" i="4"/>
  <c r="E342" i="4"/>
  <c r="E341" i="4"/>
  <c r="E329" i="4"/>
  <c r="E321" i="4"/>
  <c r="E322" i="4"/>
  <c r="E335" i="4"/>
  <c r="E317" i="4"/>
  <c r="E319" i="4"/>
  <c r="E320" i="4"/>
  <c r="S257" i="4"/>
  <c r="AA295" i="5" s="1"/>
  <c r="S280" i="4"/>
  <c r="AA290" i="5" s="1"/>
  <c r="S274" i="4"/>
  <c r="AA288" i="5" s="1"/>
  <c r="S270" i="4"/>
  <c r="AA291" i="5" s="1"/>
  <c r="R63" i="4"/>
  <c r="Z270" i="5" s="1"/>
  <c r="AK278" i="8" s="1"/>
  <c r="R241" i="4"/>
  <c r="R13" i="4"/>
  <c r="R293" i="4"/>
  <c r="R284" i="4"/>
  <c r="R285" i="4"/>
  <c r="R286" i="4"/>
  <c r="R27" i="4"/>
  <c r="R278" i="4"/>
  <c r="R290" i="4"/>
  <c r="R77" i="4"/>
  <c r="O312" i="4"/>
  <c r="U311" i="5" s="1"/>
  <c r="O313" i="4"/>
  <c r="U312" i="5" s="1"/>
  <c r="O310" i="4"/>
  <c r="U309" i="5" s="1"/>
  <c r="O349" i="4"/>
  <c r="U335" i="5" s="1"/>
  <c r="BA91" i="2"/>
  <c r="BA90" i="2"/>
  <c r="X216" i="4"/>
  <c r="AI223" i="5" s="1"/>
  <c r="AN236" i="8" s="1"/>
  <c r="AZ236" i="8" s="1"/>
  <c r="P236" i="8" s="1"/>
  <c r="X119" i="4"/>
  <c r="AI241" i="5" s="1"/>
  <c r="AN252" i="8" s="1"/>
  <c r="AZ252" i="8" s="1"/>
  <c r="P252" i="8" s="1"/>
  <c r="AL74" i="2"/>
  <c r="AT385" i="5"/>
  <c r="J291" i="4"/>
  <c r="N101" i="5" s="1"/>
  <c r="J300" i="4"/>
  <c r="N153" i="5" s="1"/>
  <c r="J249" i="4"/>
  <c r="J292" i="4"/>
  <c r="J248" i="4"/>
  <c r="J252" i="4"/>
  <c r="J243" i="4"/>
  <c r="J268" i="4"/>
  <c r="X369" i="4"/>
  <c r="AI353" i="5" s="1"/>
  <c r="AN352" i="8" s="1"/>
  <c r="X368" i="4"/>
  <c r="AI369" i="5" s="1"/>
  <c r="AN367" i="8" s="1"/>
  <c r="X356" i="4"/>
  <c r="AI366" i="5" s="1"/>
  <c r="AN364" i="8" s="1"/>
  <c r="X370" i="4"/>
  <c r="AI354" i="5" s="1"/>
  <c r="AN353" i="8" s="1"/>
  <c r="AZ353" i="8" s="1"/>
  <c r="X360" i="4"/>
  <c r="AI364" i="5" s="1"/>
  <c r="AN362" i="8" s="1"/>
  <c r="X367" i="4"/>
  <c r="AI368" i="5" s="1"/>
  <c r="AN366" i="8" s="1"/>
  <c r="X358" i="4"/>
  <c r="AI352" i="5" s="1"/>
  <c r="AN351" i="8" s="1"/>
  <c r="P304" i="4"/>
  <c r="W304" i="5" s="1"/>
  <c r="AJ306" i="8" s="1"/>
  <c r="P332" i="4"/>
  <c r="W349" i="5" s="1"/>
  <c r="AJ349" i="8" s="1"/>
  <c r="P340" i="4"/>
  <c r="W331" i="5" s="1"/>
  <c r="AJ31" i="8" s="1"/>
  <c r="AP91" i="5"/>
  <c r="AD120" i="8"/>
  <c r="AP120" i="8" s="1"/>
  <c r="F120" i="8" s="1"/>
  <c r="F251" i="8"/>
  <c r="AC52" i="2"/>
  <c r="AD381" i="8"/>
  <c r="AP381" i="8" s="1"/>
  <c r="F381" i="8" s="1"/>
  <c r="AP384" i="5"/>
  <c r="Z306" i="8"/>
  <c r="AW304" i="5"/>
  <c r="U202" i="4" a="1"/>
  <c r="U202" i="4" s="1"/>
  <c r="AD36" i="5" s="1"/>
  <c r="U53" i="4" a="1"/>
  <c r="U53" i="4" s="1"/>
  <c r="AD43" i="5" s="1"/>
  <c r="U37" i="4" a="1"/>
  <c r="U37" i="4" s="1"/>
  <c r="AD62" i="5" s="1"/>
  <c r="U132" i="4" a="1"/>
  <c r="U132" i="4" s="1"/>
  <c r="AD294" i="5" s="1"/>
  <c r="U201" i="4" a="1"/>
  <c r="U201" i="4" s="1"/>
  <c r="AD249" i="5" s="1"/>
  <c r="H133" i="4"/>
  <c r="K226" i="5" s="1"/>
  <c r="M53" i="4"/>
  <c r="R43" i="5" s="1"/>
  <c r="L31" i="4"/>
  <c r="Q127" i="5" s="1"/>
  <c r="AH152" i="8" s="1"/>
  <c r="AT152" i="8" s="1"/>
  <c r="J152" i="8" s="1"/>
  <c r="L79" i="4"/>
  <c r="Q131" i="5" s="1"/>
  <c r="AH156" i="8" s="1"/>
  <c r="AT156" i="8" s="1"/>
  <c r="J156" i="8" s="1"/>
  <c r="L253" i="4"/>
  <c r="Q168" i="5" s="1"/>
  <c r="AH191" i="8" s="1"/>
  <c r="AT191" i="8" s="1"/>
  <c r="J191" i="8" s="1"/>
  <c r="T103" i="4" a="1"/>
  <c r="T103" i="4" s="1"/>
  <c r="AC55" i="5" s="1"/>
  <c r="AL84" i="8" s="1"/>
  <c r="AX84" i="8" s="1"/>
  <c r="T116" i="4" a="1"/>
  <c r="T116" i="4" s="1"/>
  <c r="AC256" i="5" s="1"/>
  <c r="AL265" i="8" s="1"/>
  <c r="AX265" i="8" s="1"/>
  <c r="N265" i="8" s="1"/>
  <c r="J316" i="4"/>
  <c r="N318" i="5" s="1"/>
  <c r="J315" i="4"/>
  <c r="N316" i="5" s="1"/>
  <c r="J309" i="4"/>
  <c r="N308" i="5" s="1"/>
  <c r="J307" i="4"/>
  <c r="N317" i="5" s="1"/>
  <c r="J339" i="4"/>
  <c r="N319" i="5" s="1"/>
  <c r="J347" i="4"/>
  <c r="N336" i="5" s="1"/>
  <c r="D315" i="4"/>
  <c r="E316" i="5" s="1"/>
  <c r="D309" i="4"/>
  <c r="E308" i="5" s="1"/>
  <c r="D307" i="4"/>
  <c r="E317" i="5" s="1"/>
  <c r="D316" i="4"/>
  <c r="E318" i="5" s="1"/>
  <c r="D339" i="4"/>
  <c r="E319" i="5" s="1"/>
  <c r="D347" i="4"/>
  <c r="E336" i="5" s="1"/>
  <c r="T283" i="4" a="1"/>
  <c r="T283" i="4" s="1"/>
  <c r="AC102" i="5" s="1"/>
  <c r="AL131" i="8" s="1"/>
  <c r="AX131" i="8" s="1"/>
  <c r="T99" i="4" a="1"/>
  <c r="T99" i="4" s="1"/>
  <c r="AC166" i="5" s="1"/>
  <c r="AL189" i="8" s="1"/>
  <c r="AX189" i="8" s="1"/>
  <c r="N189" i="8" s="1"/>
  <c r="T117" i="4" a="1"/>
  <c r="T117" i="4" s="1"/>
  <c r="AC232" i="5" s="1"/>
  <c r="AL244" i="8" s="1"/>
  <c r="BA60" i="5"/>
  <c r="AO89" i="8"/>
  <c r="BA89" i="8" s="1"/>
  <c r="O276" i="4"/>
  <c r="U302" i="5" s="1"/>
  <c r="AU302" i="5" s="1"/>
  <c r="U275" i="4" a="1"/>
  <c r="U275" i="4" s="1"/>
  <c r="AD300" i="5" s="1"/>
  <c r="AX300" i="5" s="1"/>
  <c r="W192" i="4"/>
  <c r="AG285" i="5" s="1"/>
  <c r="D173" i="4"/>
  <c r="E78" i="5" s="1"/>
  <c r="W100" i="4"/>
  <c r="AG238" i="5" s="1"/>
  <c r="X210" i="4"/>
  <c r="AI21" i="5" s="1"/>
  <c r="AN54" i="8" s="1"/>
  <c r="AZ54" i="8" s="1"/>
  <c r="P54" i="8" s="1"/>
  <c r="M12" i="4"/>
  <c r="R263" i="5" s="1"/>
  <c r="P44" i="4"/>
  <c r="W18" i="5" s="1"/>
  <c r="AJ53" i="8" s="1"/>
  <c r="N42" i="4"/>
  <c r="T16" i="5" s="1"/>
  <c r="AI51" i="8" s="1"/>
  <c r="S272" i="4"/>
  <c r="AA50" i="5" s="1"/>
  <c r="Q49" i="4"/>
  <c r="X34" i="5" s="1"/>
  <c r="P223" i="4"/>
  <c r="W15" i="5" s="1"/>
  <c r="AJ50" i="8" s="1"/>
  <c r="H140" i="4"/>
  <c r="K14" i="5" s="1"/>
  <c r="L140" i="4"/>
  <c r="Q14" i="5" s="1"/>
  <c r="AH49" i="8" s="1"/>
  <c r="AT49" i="8" s="1"/>
  <c r="J49" i="8" s="1"/>
  <c r="D181" i="4"/>
  <c r="E10" i="5" s="1"/>
  <c r="U232" i="4" a="1"/>
  <c r="U232" i="4" s="1"/>
  <c r="AD19" i="5" s="1"/>
  <c r="U51" i="4" a="1"/>
  <c r="U51" i="4" s="1"/>
  <c r="AD39" i="5" s="1"/>
  <c r="C51" i="4"/>
  <c r="C39" i="5" s="1"/>
  <c r="T212" i="4" a="1"/>
  <c r="T212" i="4" s="1"/>
  <c r="AC23" i="5" s="1"/>
  <c r="AL56" i="8" s="1"/>
  <c r="U36" i="4" a="1"/>
  <c r="U36" i="4" s="1"/>
  <c r="AD42" i="5" s="1"/>
  <c r="Y38" i="4"/>
  <c r="AJ63" i="5" s="1"/>
  <c r="Z174" i="4"/>
  <c r="AL79" i="5" s="1"/>
  <c r="P39" i="4"/>
  <c r="W64" i="5" s="1"/>
  <c r="AJ93" i="8" s="1"/>
  <c r="AV93" i="8" s="1"/>
  <c r="L93" i="8" s="1"/>
  <c r="C55" i="4"/>
  <c r="C67" i="5" s="1"/>
  <c r="L248" i="4"/>
  <c r="Q76" i="5" s="1"/>
  <c r="AH105" i="8" s="1"/>
  <c r="AT105" i="8" s="1"/>
  <c r="J105" i="8" s="1"/>
  <c r="Q55" i="4"/>
  <c r="X67" i="5" s="1"/>
  <c r="T302" i="4" a="1"/>
  <c r="T302" i="4" s="1"/>
  <c r="AC77" i="5" s="1"/>
  <c r="X248" i="4"/>
  <c r="AI76" i="5" s="1"/>
  <c r="AN105" i="8" s="1"/>
  <c r="AZ105" i="8" s="1"/>
  <c r="P105" i="8" s="1"/>
  <c r="D239" i="4"/>
  <c r="E114" i="5" s="1"/>
  <c r="D94" i="4"/>
  <c r="E120" i="5" s="1"/>
  <c r="M236" i="4"/>
  <c r="R95" i="5" s="1"/>
  <c r="M56" i="4"/>
  <c r="R116" i="5" s="1"/>
  <c r="S138" i="4"/>
  <c r="AA86" i="5" s="1"/>
  <c r="D62" i="4"/>
  <c r="E109" i="5" s="1"/>
  <c r="F32" i="4"/>
  <c r="H129" i="5" s="1"/>
  <c r="T221" i="4" a="1"/>
  <c r="T221" i="4" s="1"/>
  <c r="AC80" i="5" s="1"/>
  <c r="AL109" i="8" s="1"/>
  <c r="C38" i="4"/>
  <c r="C63" i="5" s="1"/>
  <c r="P79" i="4"/>
  <c r="W131" i="5" s="1"/>
  <c r="AJ156" i="8" s="1"/>
  <c r="AV156" i="8" s="1"/>
  <c r="X188" i="4"/>
  <c r="AI152" i="5" s="1"/>
  <c r="AN176" i="8" s="1"/>
  <c r="AZ176" i="8" s="1"/>
  <c r="P176" i="8" s="1"/>
  <c r="T80" i="4" a="1"/>
  <c r="T80" i="4" s="1"/>
  <c r="AC134" i="5" s="1"/>
  <c r="AL159" i="8" s="1"/>
  <c r="AX159" i="8" s="1"/>
  <c r="N159" i="8" s="1"/>
  <c r="M114" i="4"/>
  <c r="R138" i="5" s="1"/>
  <c r="M300" i="4"/>
  <c r="R153" i="5" s="1"/>
  <c r="Y33" i="4"/>
  <c r="AJ137" i="5" s="1"/>
  <c r="E65" i="4"/>
  <c r="F148" i="5" s="1"/>
  <c r="U81" i="4" a="1"/>
  <c r="U81" i="4" s="1"/>
  <c r="AD147" i="5" s="1"/>
  <c r="Z278" i="4"/>
  <c r="AL139" i="5" s="1"/>
  <c r="P111" i="4"/>
  <c r="W94" i="5" s="1"/>
  <c r="AJ123" i="8" s="1"/>
  <c r="T284" i="4" a="1"/>
  <c r="T284" i="4" s="1"/>
  <c r="AC106" i="5" s="1"/>
  <c r="AL135" i="8" s="1"/>
  <c r="Q186" i="4"/>
  <c r="X150" i="5" s="1"/>
  <c r="O96" i="4"/>
  <c r="U122" i="5" s="1"/>
  <c r="T120" i="4" a="1"/>
  <c r="T120" i="4" s="1"/>
  <c r="AC93" i="5" s="1"/>
  <c r="AL122" i="8" s="1"/>
  <c r="L295" i="4"/>
  <c r="Q98" i="5" s="1"/>
  <c r="AH127" i="8" s="1"/>
  <c r="AT127" i="8" s="1"/>
  <c r="J127" i="8" s="1"/>
  <c r="T252" i="4" a="1"/>
  <c r="T252" i="4" s="1"/>
  <c r="AC157" i="5" s="1"/>
  <c r="AL181" i="8" s="1"/>
  <c r="T113" i="4" a="1"/>
  <c r="T113" i="4" s="1"/>
  <c r="AC135" i="5" s="1"/>
  <c r="AL160" i="8" s="1"/>
  <c r="AX160" i="8" s="1"/>
  <c r="D128" i="4"/>
  <c r="E179" i="5" s="1"/>
  <c r="AD201" i="8" s="1"/>
  <c r="F68" i="4"/>
  <c r="H165" i="5" s="1"/>
  <c r="C65" i="4"/>
  <c r="C148" i="5" s="1"/>
  <c r="U145" i="4" a="1"/>
  <c r="U145" i="4" s="1"/>
  <c r="AD178" i="5" s="1"/>
  <c r="M243" i="4"/>
  <c r="R193" i="5" s="1"/>
  <c r="N115" i="4"/>
  <c r="T161" i="5" s="1"/>
  <c r="AI184" i="8" s="1"/>
  <c r="T82" i="4" a="1"/>
  <c r="T82" i="4" s="1"/>
  <c r="AC158" i="5" s="1"/>
  <c r="AL182" i="8" s="1"/>
  <c r="X68" i="4"/>
  <c r="AI165" i="5" s="1"/>
  <c r="AN188" i="8" s="1"/>
  <c r="AZ188" i="8" s="1"/>
  <c r="P188" i="8" s="1"/>
  <c r="T81" i="4" a="1"/>
  <c r="T81" i="4" s="1"/>
  <c r="AC147" i="5" s="1"/>
  <c r="AL172" i="8" s="1"/>
  <c r="AX172" i="8" s="1"/>
  <c r="N172" i="8" s="1"/>
  <c r="C98" i="4"/>
  <c r="C163" i="5" s="1"/>
  <c r="H15" i="4"/>
  <c r="K181" i="5" s="1"/>
  <c r="AF202" i="8" s="1"/>
  <c r="AR202" i="8" s="1"/>
  <c r="H202" i="8" s="1"/>
  <c r="U13" i="4" a="1"/>
  <c r="U13" i="4" s="1"/>
  <c r="AD142" i="5" s="1"/>
  <c r="C189" i="4"/>
  <c r="C167" i="5" s="1"/>
  <c r="E17" i="4"/>
  <c r="F184" i="5" s="1"/>
  <c r="AX183" i="5"/>
  <c r="AA16" i="8"/>
  <c r="C70" i="4"/>
  <c r="C172" i="5" s="1"/>
  <c r="U156" i="4" a="1"/>
  <c r="U156" i="4" s="1"/>
  <c r="AD211" i="5" s="1"/>
  <c r="T225" i="4" a="1"/>
  <c r="T225" i="4" s="1"/>
  <c r="AC196" i="5" s="1"/>
  <c r="AL215" i="8" s="1"/>
  <c r="E160" i="4"/>
  <c r="F216" i="5" s="1"/>
  <c r="Y247" i="4"/>
  <c r="AJ231" i="5" s="1"/>
  <c r="D159" i="4"/>
  <c r="E215" i="5" s="1"/>
  <c r="AD23" i="8" s="1"/>
  <c r="U160" i="4" a="1"/>
  <c r="U160" i="4" s="1"/>
  <c r="AD216" i="5" s="1"/>
  <c r="Z102" i="4"/>
  <c r="AL266" i="5" s="1"/>
  <c r="Z216" i="4"/>
  <c r="AL223" i="5" s="1"/>
  <c r="D167" i="4"/>
  <c r="E247" i="5" s="1"/>
  <c r="O217" i="4"/>
  <c r="U227" i="5" s="1"/>
  <c r="Q116" i="4"/>
  <c r="X256" i="5" s="1"/>
  <c r="U48" i="4" a="1"/>
  <c r="U48" i="4" s="1"/>
  <c r="AD233" i="5" s="1"/>
  <c r="Y66" i="4"/>
  <c r="AJ277" i="5" s="1"/>
  <c r="X201" i="4"/>
  <c r="AI249" i="5" s="1"/>
  <c r="AN259" i="8" s="1"/>
  <c r="AZ259" i="8" s="1"/>
  <c r="P259" i="8" s="1"/>
  <c r="T166" i="4" a="1"/>
  <c r="T166" i="4" s="1"/>
  <c r="AC246" i="5" s="1"/>
  <c r="AL257" i="8" s="1"/>
  <c r="AX257" i="8" s="1"/>
  <c r="N257" i="8" s="1"/>
  <c r="T228" i="4" a="1"/>
  <c r="T228" i="4" s="1"/>
  <c r="AC218" i="5" s="1"/>
  <c r="AL231" i="8" s="1"/>
  <c r="P204" i="4"/>
  <c r="W251" i="5" s="1"/>
  <c r="AJ261" i="8" s="1"/>
  <c r="L200" i="4"/>
  <c r="Q244" i="5" s="1"/>
  <c r="AH255" i="8" s="1"/>
  <c r="AT255" i="8" s="1"/>
  <c r="J255" i="8" s="1"/>
  <c r="X57" i="4"/>
  <c r="AI257" i="5" s="1"/>
  <c r="AN266" i="8" s="1"/>
  <c r="AZ266" i="8" s="1"/>
  <c r="P266" i="8" s="1"/>
  <c r="U190" i="4" a="1"/>
  <c r="U190" i="4" s="1"/>
  <c r="AD281" i="5" s="1"/>
  <c r="C217" i="4"/>
  <c r="C227" i="5" s="1"/>
  <c r="Y259" i="4"/>
  <c r="AJ297" i="5" s="1"/>
  <c r="X235" i="4"/>
  <c r="AI253" i="5" s="1"/>
  <c r="AN263" i="8" s="1"/>
  <c r="AZ263" i="8" s="1"/>
  <c r="P263" i="8" s="1"/>
  <c r="V320" i="4"/>
  <c r="AF320" i="5" s="1"/>
  <c r="Y176" i="4"/>
  <c r="AJ267" i="5" s="1"/>
  <c r="L259" i="4"/>
  <c r="Q297" i="5" s="1"/>
  <c r="AH303" i="8" s="1"/>
  <c r="AT303" i="8" s="1"/>
  <c r="J303" i="8" s="1"/>
  <c r="Q27" i="4"/>
  <c r="X264" i="5" s="1"/>
  <c r="Y287" i="4"/>
  <c r="AJ287" i="5" s="1"/>
  <c r="J322" i="4"/>
  <c r="N325" i="5" s="1"/>
  <c r="O335" i="4"/>
  <c r="U323" i="5" s="1"/>
  <c r="O342" i="4"/>
  <c r="U334" i="5" s="1"/>
  <c r="X345" i="4"/>
  <c r="AI337" i="5" s="1"/>
  <c r="AN337" i="8" s="1"/>
  <c r="AZ337" i="8" s="1"/>
  <c r="P337" i="8" s="1"/>
  <c r="Y346" i="4"/>
  <c r="AJ340" i="5" s="1"/>
  <c r="O346" i="4"/>
  <c r="U340" i="5" s="1"/>
  <c r="Y343" i="4"/>
  <c r="AJ330" i="5" s="1"/>
  <c r="L342" i="4"/>
  <c r="Q334" i="5" s="1"/>
  <c r="AH334" i="8" s="1"/>
  <c r="AT334" i="8" s="1"/>
  <c r="J334" i="8" s="1"/>
  <c r="Q370" i="4"/>
  <c r="X354" i="5" s="1"/>
  <c r="M341" i="4"/>
  <c r="R333" i="5" s="1"/>
  <c r="D354" i="4"/>
  <c r="E370" i="5" s="1"/>
  <c r="C375" i="4"/>
  <c r="C375" i="5" s="1"/>
  <c r="R371" i="8" s="1"/>
  <c r="X348" i="4"/>
  <c r="AI351" i="5" s="1"/>
  <c r="AN32" i="8" s="1"/>
  <c r="AZ32" i="8" s="1"/>
  <c r="P32" i="8" s="1"/>
  <c r="X351" i="4"/>
  <c r="AI341" i="5" s="1"/>
  <c r="AN341" i="8" s="1"/>
  <c r="AZ341" i="8" s="1"/>
  <c r="P341" i="8" s="1"/>
  <c r="Q403" i="4"/>
  <c r="X393" i="5" s="1"/>
  <c r="H76" i="8"/>
  <c r="C367" i="4"/>
  <c r="C368" i="5" s="1"/>
  <c r="R366" i="8" s="1"/>
  <c r="C370" i="4"/>
  <c r="C354" i="5" s="1"/>
  <c r="R353" i="8" s="1"/>
  <c r="C360" i="4"/>
  <c r="C364" i="5" s="1"/>
  <c r="R362" i="8" s="1"/>
  <c r="C356" i="4"/>
  <c r="C366" i="5" s="1"/>
  <c r="R364" i="8" s="1"/>
  <c r="C366" i="4"/>
  <c r="C367" i="5" s="1"/>
  <c r="R365" i="8" s="1"/>
  <c r="C369" i="4"/>
  <c r="C353" i="5" s="1"/>
  <c r="R352" i="8" s="1"/>
  <c r="C368" i="4"/>
  <c r="C369" i="5" s="1"/>
  <c r="R367" i="8" s="1"/>
  <c r="AS307" i="5"/>
  <c r="AK49" i="2"/>
  <c r="AG309" i="8"/>
  <c r="Y280" i="4"/>
  <c r="AJ290" i="5" s="1"/>
  <c r="Y281" i="4"/>
  <c r="AJ292" i="5" s="1"/>
  <c r="Y274" i="4"/>
  <c r="AJ288" i="5" s="1"/>
  <c r="Y270" i="4"/>
  <c r="AJ291" i="5" s="1"/>
  <c r="Y257" i="4"/>
  <c r="Y258" i="4"/>
  <c r="Q127" i="4"/>
  <c r="X171" i="5" s="1"/>
  <c r="Q182" i="4"/>
  <c r="X11" i="5" s="1"/>
  <c r="Q184" i="4"/>
  <c r="X132" i="5" s="1"/>
  <c r="Q219" i="4"/>
  <c r="X265" i="5" s="1"/>
  <c r="Q137" i="4"/>
  <c r="X260" i="5" s="1"/>
  <c r="Q209" i="4"/>
  <c r="X259" i="5" s="1"/>
  <c r="E311" i="4"/>
  <c r="E330" i="4"/>
  <c r="E324" i="4"/>
  <c r="E338" i="4"/>
  <c r="E332" i="4"/>
  <c r="E340" i="4"/>
  <c r="E304" i="4"/>
  <c r="AU307" i="5"/>
  <c r="X309" i="8"/>
  <c r="Q304" i="4"/>
  <c r="X304" i="5" s="1"/>
  <c r="Q340" i="4"/>
  <c r="X331" i="5" s="1"/>
  <c r="Q338" i="4"/>
  <c r="X332" i="5" s="1"/>
  <c r="I231" i="4"/>
  <c r="L221" i="5" s="1"/>
  <c r="I85" i="4"/>
  <c r="L224" i="5" s="1"/>
  <c r="O369" i="4"/>
  <c r="U353" i="5" s="1"/>
  <c r="O368" i="4"/>
  <c r="U369" i="5" s="1"/>
  <c r="O356" i="4"/>
  <c r="U366" i="5" s="1"/>
  <c r="O370" i="4"/>
  <c r="U354" i="5" s="1"/>
  <c r="O360" i="4"/>
  <c r="U364" i="5" s="1"/>
  <c r="O367" i="4"/>
  <c r="U368" i="5" s="1"/>
  <c r="O358" i="4"/>
  <c r="U352" i="5" s="1"/>
  <c r="O365" i="4"/>
  <c r="U365" i="5" s="1"/>
  <c r="Q133" i="4"/>
  <c r="X226" i="5" s="1"/>
  <c r="Q195" i="4"/>
  <c r="X228" i="5" s="1"/>
  <c r="Q231" i="4"/>
  <c r="X221" i="5" s="1"/>
  <c r="F220" i="8"/>
  <c r="D304" i="4"/>
  <c r="E304" i="5" s="1"/>
  <c r="D332" i="4"/>
  <c r="E349" i="5" s="1"/>
  <c r="D338" i="4"/>
  <c r="E332" i="5" s="1"/>
  <c r="V305" i="4"/>
  <c r="AF314" i="5" s="1"/>
  <c r="V306" i="4"/>
  <c r="AF315" i="5" s="1"/>
  <c r="V323" i="4"/>
  <c r="AF326" i="5" s="1"/>
  <c r="V351" i="4"/>
  <c r="AF341" i="5" s="1"/>
  <c r="X133" i="4"/>
  <c r="AI226" i="5" s="1"/>
  <c r="AN239" i="8" s="1"/>
  <c r="X231" i="4"/>
  <c r="AI221" i="5" s="1"/>
  <c r="AN234" i="8" s="1"/>
  <c r="AZ234" i="8" s="1"/>
  <c r="P234" i="8" s="1"/>
  <c r="AV210" i="8"/>
  <c r="Z82" i="4"/>
  <c r="AL158" i="5" s="1"/>
  <c r="Z84" i="4"/>
  <c r="AL160" i="5" s="1"/>
  <c r="Z157" i="4"/>
  <c r="AL212" i="5" s="1"/>
  <c r="Z155" i="4"/>
  <c r="AL209" i="5" s="1"/>
  <c r="Z156" i="4"/>
  <c r="AL211" i="5" s="1"/>
  <c r="Z288" i="4"/>
  <c r="AL214" i="5" s="1"/>
  <c r="Z193" i="4"/>
  <c r="AL210" i="5" s="1"/>
  <c r="X205" i="8"/>
  <c r="AU185" i="5"/>
  <c r="F210" i="8"/>
  <c r="E326" i="4"/>
  <c r="E327" i="4"/>
  <c r="E328" i="4"/>
  <c r="E346" i="4"/>
  <c r="E333" i="4"/>
  <c r="E337" i="4"/>
  <c r="E318" i="4"/>
  <c r="D265" i="4"/>
  <c r="E6" i="5" s="1"/>
  <c r="D221" i="4"/>
  <c r="E80" i="5" s="1"/>
  <c r="D11" i="4"/>
  <c r="E255" i="5" s="1"/>
  <c r="D279" i="4"/>
  <c r="E286" i="5" s="1"/>
  <c r="D263" i="4"/>
  <c r="E289" i="5" s="1"/>
  <c r="D287" i="4"/>
  <c r="E287" i="5" s="1"/>
  <c r="D112" i="4"/>
  <c r="E274" i="5" s="1"/>
  <c r="Q302" i="4"/>
  <c r="X77" i="5" s="1"/>
  <c r="Q173" i="4"/>
  <c r="X78" i="5" s="1"/>
  <c r="Q18" i="4"/>
  <c r="X185" i="5" s="1"/>
  <c r="Q24" i="4"/>
  <c r="X182" i="5" s="1"/>
  <c r="Q14" i="4"/>
  <c r="X180" i="5" s="1"/>
  <c r="F203" i="4"/>
  <c r="F225" i="4"/>
  <c r="F239" i="4"/>
  <c r="J13" i="4"/>
  <c r="N142" i="5" s="1"/>
  <c r="J27" i="4"/>
  <c r="N264" i="5" s="1"/>
  <c r="J284" i="4"/>
  <c r="J241" i="4"/>
  <c r="J293" i="4"/>
  <c r="J63" i="4"/>
  <c r="J285" i="4"/>
  <c r="J77" i="4"/>
  <c r="J286" i="4"/>
  <c r="J278" i="4"/>
  <c r="J290" i="4"/>
  <c r="X237" i="4"/>
  <c r="AI104" i="5" s="1"/>
  <c r="AN133" i="8" s="1"/>
  <c r="AZ133" i="8" s="1"/>
  <c r="P133" i="8" s="1"/>
  <c r="X228" i="4"/>
  <c r="AI218" i="5" s="1"/>
  <c r="AN231" i="8" s="1"/>
  <c r="AZ231" i="8" s="1"/>
  <c r="P231" i="8" s="1"/>
  <c r="BJ87" i="2"/>
  <c r="BJ88" i="2"/>
  <c r="D122" i="4"/>
  <c r="E141" i="5" s="1"/>
  <c r="AD166" i="8" s="1"/>
  <c r="D246" i="4"/>
  <c r="E230" i="5" s="1"/>
  <c r="AD242" i="8" s="1"/>
  <c r="D194" i="4"/>
  <c r="E27" i="5" s="1"/>
  <c r="AD60" i="8" s="1"/>
  <c r="D123" i="4"/>
  <c r="E145" i="5" s="1"/>
  <c r="AD170" i="8" s="1"/>
  <c r="AP170" i="8" s="1"/>
  <c r="D245" i="4"/>
  <c r="E229" i="5" s="1"/>
  <c r="AD241" i="8" s="1"/>
  <c r="L265" i="4"/>
  <c r="Q6" i="5" s="1"/>
  <c r="AH42" i="8" s="1"/>
  <c r="AT42" i="8" s="1"/>
  <c r="J42" i="8" s="1"/>
  <c r="L221" i="4"/>
  <c r="Q80" i="5" s="1"/>
  <c r="AH109" i="8" s="1"/>
  <c r="AT109" i="8" s="1"/>
  <c r="J109" i="8" s="1"/>
  <c r="L11" i="4"/>
  <c r="Q255" i="5" s="1"/>
  <c r="AH264" i="8" s="1"/>
  <c r="AT264" i="8" s="1"/>
  <c r="J264" i="8" s="1"/>
  <c r="L112" i="4"/>
  <c r="Q274" i="5" s="1"/>
  <c r="AH282" i="8" s="1"/>
  <c r="AT282" i="8" s="1"/>
  <c r="J282" i="8" s="1"/>
  <c r="L279" i="4"/>
  <c r="Q286" i="5" s="1"/>
  <c r="AH293" i="8" s="1"/>
  <c r="AT293" i="8" s="1"/>
  <c r="J293" i="8" s="1"/>
  <c r="L263" i="4"/>
  <c r="Q289" i="5" s="1"/>
  <c r="AH296" i="8" s="1"/>
  <c r="AT296" i="8" s="1"/>
  <c r="J296" i="8" s="1"/>
  <c r="Q191" i="4"/>
  <c r="X282" i="5" s="1"/>
  <c r="Q129" i="4"/>
  <c r="X283" i="5" s="1"/>
  <c r="Q190" i="4"/>
  <c r="X281" i="5" s="1"/>
  <c r="S71" i="4"/>
  <c r="AA190" i="5" s="1"/>
  <c r="S222" i="4"/>
  <c r="AA269" i="5" s="1"/>
  <c r="N215" i="4"/>
  <c r="T26" i="5" s="1"/>
  <c r="AI59" i="8" s="1"/>
  <c r="N213" i="4"/>
  <c r="T24" i="5" s="1"/>
  <c r="AI57" i="8" s="1"/>
  <c r="N214" i="4"/>
  <c r="T25" i="5" s="1"/>
  <c r="AI58" i="8" s="1"/>
  <c r="M274" i="4"/>
  <c r="R288" i="5" s="1"/>
  <c r="M270" i="4"/>
  <c r="R291" i="5" s="1"/>
  <c r="M280" i="4"/>
  <c r="R290" i="5" s="1"/>
  <c r="M281" i="4"/>
  <c r="R292" i="5" s="1"/>
  <c r="P191" i="4"/>
  <c r="W282" i="5" s="1"/>
  <c r="AJ289" i="8" s="1"/>
  <c r="P129" i="4"/>
  <c r="W283" i="5" s="1"/>
  <c r="AJ290" i="8" s="1"/>
  <c r="P190" i="4"/>
  <c r="W281" i="5" s="1"/>
  <c r="AJ288" i="8" s="1"/>
  <c r="Z48" i="8"/>
  <c r="T360" i="4"/>
  <c r="AC364" i="5" s="1"/>
  <c r="AL362" i="8" s="1"/>
  <c r="T370" i="4"/>
  <c r="AC354" i="5" s="1"/>
  <c r="AL353" i="8" s="1"/>
  <c r="T366" i="4"/>
  <c r="AC367" i="5" s="1"/>
  <c r="AL365" i="8" s="1"/>
  <c r="T356" i="4"/>
  <c r="AC366" i="5" s="1"/>
  <c r="AL364" i="8" s="1"/>
  <c r="T358" i="4"/>
  <c r="AC352" i="5" s="1"/>
  <c r="AL351" i="8" s="1"/>
  <c r="T367" i="4"/>
  <c r="AC368" i="5" s="1"/>
  <c r="AL366" i="8" s="1"/>
  <c r="T368" i="4"/>
  <c r="AC369" i="5" s="1"/>
  <c r="AL367" i="8" s="1"/>
  <c r="T365" i="4"/>
  <c r="AC365" i="5" s="1"/>
  <c r="AL363" i="8" s="1"/>
  <c r="C223" i="4"/>
  <c r="C15" i="5" s="1"/>
  <c r="C82" i="4"/>
  <c r="C158" i="5" s="1"/>
  <c r="C84" i="4"/>
  <c r="C160" i="5" s="1"/>
  <c r="C157" i="4"/>
  <c r="C212" i="5" s="1"/>
  <c r="C155" i="4"/>
  <c r="C209" i="5" s="1"/>
  <c r="C156" i="4"/>
  <c r="C211" i="5" s="1"/>
  <c r="C158" i="4"/>
  <c r="C258" i="5" s="1"/>
  <c r="AY35" i="5"/>
  <c r="AB66" i="8"/>
  <c r="AS94" i="2"/>
  <c r="AS93" i="2"/>
  <c r="Q141" i="4"/>
  <c r="X123" i="5" s="1"/>
  <c r="Q144" i="4"/>
  <c r="X155" i="5" s="1"/>
  <c r="Q161" i="4"/>
  <c r="X217" i="5" s="1"/>
  <c r="O277" i="4"/>
  <c r="U301" i="5" s="1"/>
  <c r="AU301" i="5" s="1"/>
  <c r="O169" i="4"/>
  <c r="U54" i="5" s="1"/>
  <c r="O90" i="4"/>
  <c r="U82" i="5" s="1"/>
  <c r="Y237" i="4"/>
  <c r="AJ104" i="5" s="1"/>
  <c r="Y242" i="4"/>
  <c r="AJ146" i="5" s="1"/>
  <c r="Y228" i="4"/>
  <c r="AJ218" i="5" s="1"/>
  <c r="BK87" i="2"/>
  <c r="BK88" i="2"/>
  <c r="AO220" i="8"/>
  <c r="BA202" i="5"/>
  <c r="F211" i="4"/>
  <c r="F213" i="4"/>
  <c r="F214" i="4"/>
  <c r="F215" i="4"/>
  <c r="I35" i="4"/>
  <c r="I207" i="4"/>
  <c r="I135" i="4"/>
  <c r="I113" i="4"/>
  <c r="I259" i="4"/>
  <c r="P274" i="4"/>
  <c r="W288" i="5" s="1"/>
  <c r="AJ295" i="8" s="1"/>
  <c r="P270" i="4"/>
  <c r="W291" i="5" s="1"/>
  <c r="AJ298" i="8" s="1"/>
  <c r="P280" i="4"/>
  <c r="W290" i="5" s="1"/>
  <c r="AJ297" i="8" s="1"/>
  <c r="P281" i="4"/>
  <c r="W292" i="5" s="1"/>
  <c r="AJ299" i="8" s="1"/>
  <c r="O223" i="4"/>
  <c r="U15" i="5" s="1"/>
  <c r="O82" i="4"/>
  <c r="U158" i="5" s="1"/>
  <c r="O84" i="4"/>
  <c r="U160" i="5" s="1"/>
  <c r="O193" i="4"/>
  <c r="U210" i="5" s="1"/>
  <c r="O158" i="4"/>
  <c r="U258" i="5" s="1"/>
  <c r="O155" i="4"/>
  <c r="U209" i="5" s="1"/>
  <c r="O156" i="4"/>
  <c r="U211" i="5" s="1"/>
  <c r="AP131" i="8"/>
  <c r="Z127" i="4"/>
  <c r="AL171" i="5" s="1"/>
  <c r="Z182" i="4"/>
  <c r="AL11" i="5" s="1"/>
  <c r="Z120" i="4"/>
  <c r="AL93" i="5" s="1"/>
  <c r="Z184" i="4"/>
  <c r="AL132" i="5" s="1"/>
  <c r="Z209" i="4"/>
  <c r="AL259" i="5" s="1"/>
  <c r="Z219" i="4"/>
  <c r="AL265" i="5" s="1"/>
  <c r="Z137" i="4"/>
  <c r="AL260" i="5" s="1"/>
  <c r="Z240" i="4"/>
  <c r="O282" i="4"/>
  <c r="U222" i="5" s="1"/>
  <c r="O74" i="4"/>
  <c r="U208" i="5" s="1"/>
  <c r="X229" i="4"/>
  <c r="AI28" i="5" s="1"/>
  <c r="AN4" i="8" s="1"/>
  <c r="X2" i="4"/>
  <c r="X250" i="4"/>
  <c r="AI103" i="5" s="1"/>
  <c r="AN132" i="8" s="1"/>
  <c r="AZ132" i="8" s="1"/>
  <c r="P132" i="8" s="1"/>
  <c r="X256" i="4"/>
  <c r="AI213" i="5" s="1"/>
  <c r="AN228" i="8" s="1"/>
  <c r="X230" i="4"/>
  <c r="AI220" i="5" s="1"/>
  <c r="AN233" i="8" s="1"/>
  <c r="X29" i="4"/>
  <c r="AI268" i="5" s="1"/>
  <c r="AN276" i="8" s="1"/>
  <c r="AZ276" i="8" s="1"/>
  <c r="P276" i="8" s="1"/>
  <c r="X244" i="4"/>
  <c r="AI219" i="5" s="1"/>
  <c r="D151" i="4"/>
  <c r="E204" i="5" s="1"/>
  <c r="D152" i="4"/>
  <c r="E205" i="5" s="1"/>
  <c r="C272" i="4"/>
  <c r="C50" i="5" s="1"/>
  <c r="C205" i="4"/>
  <c r="C53" i="5" s="1"/>
  <c r="Y213" i="4"/>
  <c r="AJ24" i="5" s="1"/>
  <c r="Y214" i="4"/>
  <c r="AJ25" i="5" s="1"/>
  <c r="Y215" i="4"/>
  <c r="AJ26" i="5" s="1"/>
  <c r="Y211" i="4"/>
  <c r="AJ22" i="5" s="1"/>
  <c r="W5" i="4"/>
  <c r="AG61" i="5" s="1"/>
  <c r="W9" i="4"/>
  <c r="AG188" i="5" s="1"/>
  <c r="Y82" i="4"/>
  <c r="AJ158" i="5" s="1"/>
  <c r="Y155" i="4"/>
  <c r="AJ209" i="5" s="1"/>
  <c r="Y156" i="4"/>
  <c r="AJ211" i="5" s="1"/>
  <c r="Y84" i="4"/>
  <c r="AJ160" i="5" s="1"/>
  <c r="Y157" i="4"/>
  <c r="AJ212" i="5" s="1"/>
  <c r="Y158" i="4"/>
  <c r="AJ258" i="5" s="1"/>
  <c r="Y193" i="4"/>
  <c r="AJ210" i="5" s="1"/>
  <c r="C372" i="4"/>
  <c r="C356" i="5" s="1"/>
  <c r="R355" i="8" s="1"/>
  <c r="C353" i="4"/>
  <c r="C360" i="5" s="1"/>
  <c r="R359" i="8" s="1"/>
  <c r="C361" i="4"/>
  <c r="C371" i="5" s="1"/>
  <c r="R368" i="8" s="1"/>
  <c r="C352" i="4"/>
  <c r="C358" i="5" s="1"/>
  <c r="R357" i="8" s="1"/>
  <c r="C364" i="4"/>
  <c r="C359" i="5" s="1"/>
  <c r="R358" i="8" s="1"/>
  <c r="C355" i="4"/>
  <c r="C362" i="5" s="1"/>
  <c r="R33" i="8" s="1"/>
  <c r="C362" i="4"/>
  <c r="C373" i="5" s="1"/>
  <c r="R370" i="8" s="1"/>
  <c r="C354" i="4"/>
  <c r="C370" i="5" s="1"/>
  <c r="R34" i="8" s="1"/>
  <c r="C363" i="4"/>
  <c r="C372" i="5" s="1"/>
  <c r="R369" i="8" s="1"/>
  <c r="AO94" i="2"/>
  <c r="AO93" i="2"/>
  <c r="C371" i="4"/>
  <c r="C355" i="5" s="1"/>
  <c r="R354" i="8" s="1"/>
  <c r="C373" i="4"/>
  <c r="C357" i="5" s="1"/>
  <c r="R356" i="8" s="1"/>
  <c r="C359" i="4"/>
  <c r="C363" i="5" s="1"/>
  <c r="R361" i="8" s="1"/>
  <c r="H82" i="4"/>
  <c r="K158" i="5" s="1"/>
  <c r="H155" i="4"/>
  <c r="K209" i="5" s="1"/>
  <c r="H156" i="4"/>
  <c r="K211" i="5" s="1"/>
  <c r="H84" i="4"/>
  <c r="K160" i="5" s="1"/>
  <c r="H83" i="4"/>
  <c r="K159" i="5" s="1"/>
  <c r="H193" i="4"/>
  <c r="K210" i="5" s="1"/>
  <c r="H157" i="4"/>
  <c r="K212" i="5" s="1"/>
  <c r="Y93" i="4"/>
  <c r="AJ112" i="5" s="1"/>
  <c r="Y143" i="4"/>
  <c r="AJ126" i="5" s="1"/>
  <c r="Y139" i="4"/>
  <c r="AJ110" i="5" s="1"/>
  <c r="Y92" i="4"/>
  <c r="AJ111" i="5" s="1"/>
  <c r="Y227" i="4"/>
  <c r="AJ203" i="5" s="1"/>
  <c r="Y198" i="4"/>
  <c r="AJ235" i="5" s="1"/>
  <c r="Y100" i="4"/>
  <c r="AJ238" i="5" s="1"/>
  <c r="Y118" i="4"/>
  <c r="AJ236" i="5" s="1"/>
  <c r="Y197" i="4"/>
  <c r="AJ234" i="5" s="1"/>
  <c r="Y415" i="4"/>
  <c r="AJ409" i="5" s="1"/>
  <c r="P130" i="4"/>
  <c r="W5" i="5" s="1"/>
  <c r="AJ2" i="8" s="1"/>
  <c r="AV2" i="8" s="1"/>
  <c r="L2" i="8" s="1"/>
  <c r="P22" i="4"/>
  <c r="W12" i="5" s="1"/>
  <c r="AJ3" i="8" s="1"/>
  <c r="P59" i="4"/>
  <c r="W45" i="5" s="1"/>
  <c r="AJ76" i="8" s="1"/>
  <c r="P299" i="4"/>
  <c r="W154" i="5" s="1"/>
  <c r="AJ178" i="8" s="1"/>
  <c r="P395" i="4"/>
  <c r="W397" i="5" s="1"/>
  <c r="AJ390" i="8" s="1"/>
  <c r="AV390" i="8" s="1"/>
  <c r="L390" i="8" s="1"/>
  <c r="P399" i="4"/>
  <c r="W406" i="5" s="1"/>
  <c r="AJ398" i="8" s="1"/>
  <c r="AV398" i="8" s="1"/>
  <c r="L398" i="8" s="1"/>
  <c r="P394" i="4"/>
  <c r="W396" i="5" s="1"/>
  <c r="AJ389" i="8" s="1"/>
  <c r="AV389" i="8" s="1"/>
  <c r="L389" i="8" s="1"/>
  <c r="P396" i="4"/>
  <c r="W398" i="5" s="1"/>
  <c r="AJ391" i="8" s="1"/>
  <c r="AV391" i="8" s="1"/>
  <c r="L391" i="8" s="1"/>
  <c r="P404" i="4"/>
  <c r="W394" i="5" s="1"/>
  <c r="AJ387" i="8" s="1"/>
  <c r="AV387" i="8" s="1"/>
  <c r="L387" i="8" s="1"/>
  <c r="P400" i="4"/>
  <c r="W407" i="5" s="1"/>
  <c r="AJ38" i="8" s="1"/>
  <c r="AV38" i="8" s="1"/>
  <c r="L38" i="8" s="1"/>
  <c r="D229" i="4"/>
  <c r="E28" i="5" s="1"/>
  <c r="AD4" i="8" s="1"/>
  <c r="D2" i="4"/>
  <c r="D20" i="4"/>
  <c r="E187" i="5" s="1"/>
  <c r="AD207" i="8" s="1"/>
  <c r="D29" i="4"/>
  <c r="E268" i="5" s="1"/>
  <c r="AD276" i="8" s="1"/>
  <c r="D256" i="4"/>
  <c r="E213" i="5" s="1"/>
  <c r="AD228" i="8" s="1"/>
  <c r="D244" i="4"/>
  <c r="E219" i="5" s="1"/>
  <c r="AD232" i="8" s="1"/>
  <c r="D230" i="4"/>
  <c r="E220" i="5" s="1"/>
  <c r="AD233" i="8" s="1"/>
  <c r="P210" i="4"/>
  <c r="W21" i="5" s="1"/>
  <c r="AJ54" i="8" s="1"/>
  <c r="P212" i="4"/>
  <c r="W23" i="5" s="1"/>
  <c r="AJ56" i="8" s="1"/>
  <c r="P148" i="4"/>
  <c r="W200" i="5" s="1"/>
  <c r="AJ18" i="8" s="1"/>
  <c r="P234" i="4"/>
  <c r="W30" i="5" s="1"/>
  <c r="AJ62" i="8" s="1"/>
  <c r="P272" i="4"/>
  <c r="W50" i="5" s="1"/>
  <c r="AJ79" i="8" s="1"/>
  <c r="AV79" i="8" s="1"/>
  <c r="L79" i="8" s="1"/>
  <c r="P205" i="4"/>
  <c r="W53" i="5" s="1"/>
  <c r="AJ82" i="8" s="1"/>
  <c r="AV82" i="8" s="1"/>
  <c r="L82" i="8" s="1"/>
  <c r="L45" i="4"/>
  <c r="Q31" i="5" s="1"/>
  <c r="AH5" i="8" s="1"/>
  <c r="AT5" i="8" s="1"/>
  <c r="J5" i="8" s="1"/>
  <c r="L46" i="4"/>
  <c r="Q32" i="5" s="1"/>
  <c r="AH63" i="8" s="1"/>
  <c r="AT63" i="8" s="1"/>
  <c r="J63" i="8" s="1"/>
  <c r="L49" i="4"/>
  <c r="Q34" i="5" s="1"/>
  <c r="AH65" i="8" s="1"/>
  <c r="AT65" i="8" s="1"/>
  <c r="J65" i="8" s="1"/>
  <c r="L47" i="4"/>
  <c r="Q33" i="5" s="1"/>
  <c r="AH64" i="8" s="1"/>
  <c r="AT64" i="8" s="1"/>
  <c r="J64" i="8" s="1"/>
  <c r="L5" i="4"/>
  <c r="Q61" i="5" s="1"/>
  <c r="L34" i="4"/>
  <c r="Q149" i="5" s="1"/>
  <c r="L7" i="4"/>
  <c r="Q176" i="5" s="1"/>
  <c r="L9" i="4"/>
  <c r="Q188" i="5" s="1"/>
  <c r="L48" i="4"/>
  <c r="Q233" i="5" s="1"/>
  <c r="AH245" i="8" s="1"/>
  <c r="AT245" i="8" s="1"/>
  <c r="J245" i="8" s="1"/>
  <c r="L183" i="4"/>
  <c r="Q271" i="5" s="1"/>
  <c r="L267" i="4"/>
  <c r="Q73" i="5" s="1"/>
  <c r="AH102" i="8" s="1"/>
  <c r="AT102" i="8" s="1"/>
  <c r="J102" i="8" s="1"/>
  <c r="L142" i="4"/>
  <c r="Q125" i="5" s="1"/>
  <c r="AH11" i="8" s="1"/>
  <c r="AT11" i="8" s="1"/>
  <c r="J11" i="8" s="1"/>
  <c r="L97" i="4"/>
  <c r="Q130" i="5" s="1"/>
  <c r="AH155" i="8" s="1"/>
  <c r="AT155" i="8" s="1"/>
  <c r="J155" i="8" s="1"/>
  <c r="L269" i="4"/>
  <c r="Q2" i="5" s="1"/>
  <c r="AH39" i="8" s="1"/>
  <c r="AT39" i="8" s="1"/>
  <c r="J39" i="8" s="1"/>
  <c r="F80" i="4"/>
  <c r="F81" i="4"/>
  <c r="AC220" i="8"/>
  <c r="AZ202" i="5"/>
  <c r="J272" i="4"/>
  <c r="J205" i="4"/>
  <c r="J234" i="4"/>
  <c r="X60" i="4"/>
  <c r="AI66" i="5" s="1"/>
  <c r="AN95" i="8" s="1"/>
  <c r="AZ95" i="8" s="1"/>
  <c r="P95" i="8" s="1"/>
  <c r="X185" i="4"/>
  <c r="AI136" i="5" s="1"/>
  <c r="AN161" i="8" s="1"/>
  <c r="AZ161" i="8" s="1"/>
  <c r="P161" i="8" s="1"/>
  <c r="X10" i="4"/>
  <c r="AI254" i="5" s="1"/>
  <c r="AN26" i="8" s="1"/>
  <c r="AZ26" i="8" s="1"/>
  <c r="P26" i="8" s="1"/>
  <c r="X125" i="4"/>
  <c r="AI278" i="5" s="1"/>
  <c r="AN286" i="8" s="1"/>
  <c r="X398" i="4"/>
  <c r="AI405" i="5" s="1"/>
  <c r="AN397" i="8" s="1"/>
  <c r="AZ397" i="8" s="1"/>
  <c r="P397" i="8" s="1"/>
  <c r="X401" i="4"/>
  <c r="AI408" i="5" s="1"/>
  <c r="AN399" i="8" s="1"/>
  <c r="AZ399" i="8" s="1"/>
  <c r="P399" i="8" s="1"/>
  <c r="X393" i="4"/>
  <c r="AI392" i="5" s="1"/>
  <c r="AN36" i="8" s="1"/>
  <c r="AZ36" i="8" s="1"/>
  <c r="P36" i="8" s="1"/>
  <c r="X409" i="4"/>
  <c r="AI403" i="5" s="1"/>
  <c r="AN395" i="8" s="1"/>
  <c r="AZ395" i="8" s="1"/>
  <c r="P395" i="8" s="1"/>
  <c r="X414" i="4"/>
  <c r="AI415" i="5" s="1"/>
  <c r="AN406" i="8" s="1"/>
  <c r="AZ406" i="8" s="1"/>
  <c r="P406" i="8" s="1"/>
  <c r="X413" i="4"/>
  <c r="AI414" i="5" s="1"/>
  <c r="AN405" i="8" s="1"/>
  <c r="AZ405" i="8" s="1"/>
  <c r="P405" i="8" s="1"/>
  <c r="X38" i="4"/>
  <c r="X218" i="4"/>
  <c r="R237" i="4"/>
  <c r="R228" i="4"/>
  <c r="R242" i="4"/>
  <c r="BD88" i="2"/>
  <c r="BD87" i="2"/>
  <c r="W222" i="8"/>
  <c r="AL37" i="2"/>
  <c r="AT207" i="5"/>
  <c r="R264" i="4"/>
  <c r="R254" i="4"/>
  <c r="R255" i="4"/>
  <c r="R301" i="4"/>
  <c r="R226" i="4"/>
  <c r="R294" i="4"/>
  <c r="C277" i="4"/>
  <c r="C301" i="5" s="1"/>
  <c r="C169" i="4"/>
  <c r="C54" i="5" s="1"/>
  <c r="C91" i="4"/>
  <c r="C92" i="5" s="1"/>
  <c r="C90" i="4"/>
  <c r="C82" i="5" s="1"/>
  <c r="Y248" i="4"/>
  <c r="AJ76" i="5" s="1"/>
  <c r="Y291" i="4"/>
  <c r="AJ101" i="5" s="1"/>
  <c r="Y268" i="4"/>
  <c r="AJ100" i="5" s="1"/>
  <c r="Y252" i="4"/>
  <c r="AJ157" i="5" s="1"/>
  <c r="Y300" i="4"/>
  <c r="AJ153" i="5" s="1"/>
  <c r="Y292" i="4"/>
  <c r="AJ143" i="5" s="1"/>
  <c r="Y220" i="4"/>
  <c r="AJ9" i="5" s="1"/>
  <c r="Y208" i="4"/>
  <c r="AJ75" i="5" s="1"/>
  <c r="AC85" i="8"/>
  <c r="AZ56" i="5"/>
  <c r="Y36" i="4"/>
  <c r="AJ42" i="5" s="1"/>
  <c r="Y50" i="4"/>
  <c r="AJ38" i="5" s="1"/>
  <c r="Y52" i="4"/>
  <c r="AJ40" i="5" s="1"/>
  <c r="Y26" i="4"/>
  <c r="AJ49" i="5" s="1"/>
  <c r="Y54" i="4"/>
  <c r="AJ47" i="5" s="1"/>
  <c r="Y58" i="4"/>
  <c r="AJ41" i="5" s="1"/>
  <c r="Y3" i="4"/>
  <c r="AJ118" i="5" s="1"/>
  <c r="Y78" i="4"/>
  <c r="AJ121" i="5" s="1"/>
  <c r="Y166" i="4"/>
  <c r="AJ246" i="5" s="1"/>
  <c r="Y165" i="4"/>
  <c r="AJ245" i="5" s="1"/>
  <c r="Y168" i="4"/>
  <c r="AJ248" i="5" s="1"/>
  <c r="Y124" i="4"/>
  <c r="AJ276" i="5" s="1"/>
  <c r="Y402" i="4"/>
  <c r="AJ412" i="5" s="1"/>
  <c r="T268" i="4" a="1"/>
  <c r="T268" i="4" s="1"/>
  <c r="AC100" i="5" s="1"/>
  <c r="AL129" i="8" s="1"/>
  <c r="T93" i="4" a="1"/>
  <c r="T93" i="4" s="1"/>
  <c r="AC112" i="5" s="1"/>
  <c r="AL141" i="8" s="1"/>
  <c r="T239" i="4" a="1"/>
  <c r="T239" i="4" s="1"/>
  <c r="AC114" i="5" s="1"/>
  <c r="AL142" i="8" s="1"/>
  <c r="T291" i="4" a="1"/>
  <c r="T291" i="4" s="1"/>
  <c r="AC101" i="5" s="1"/>
  <c r="AL130" i="8" s="1"/>
  <c r="T292" i="4" a="1"/>
  <c r="T292" i="4" s="1"/>
  <c r="AC143" i="5" s="1"/>
  <c r="AL168" i="8" s="1"/>
  <c r="T71" i="4" a="1"/>
  <c r="T71" i="4" s="1"/>
  <c r="AC190" i="5" s="1"/>
  <c r="AL17" i="8" s="1"/>
  <c r="T301" i="4" a="1"/>
  <c r="T301" i="4" s="1"/>
  <c r="AC189" i="5" s="1"/>
  <c r="AL209" i="8" s="1"/>
  <c r="T119" i="4" a="1"/>
  <c r="T119" i="4" s="1"/>
  <c r="AC241" i="5" s="1"/>
  <c r="AL252" i="8" s="1"/>
  <c r="T280" i="4" a="1"/>
  <c r="T280" i="4" s="1"/>
  <c r="AC290" i="5" s="1"/>
  <c r="AL297" i="8" s="1"/>
  <c r="H69" i="4"/>
  <c r="K170" i="5" s="1"/>
  <c r="H116" i="4"/>
  <c r="K256" i="5" s="1"/>
  <c r="AI21" i="2"/>
  <c r="AG21" i="2"/>
  <c r="AF119" i="8"/>
  <c r="H62" i="4"/>
  <c r="K109" i="5" s="1"/>
  <c r="H75" i="4"/>
  <c r="K250" i="5" s="1"/>
  <c r="H262" i="4"/>
  <c r="K4" i="5" s="1"/>
  <c r="AF41" i="8" s="1"/>
  <c r="AR41" i="8" s="1"/>
  <c r="H41" i="8" s="1"/>
  <c r="H130" i="4"/>
  <c r="K5" i="5" s="1"/>
  <c r="H299" i="4"/>
  <c r="K154" i="5" s="1"/>
  <c r="S128" i="4"/>
  <c r="AA179" i="5" s="1"/>
  <c r="S149" i="4"/>
  <c r="AA201" i="5" s="1"/>
  <c r="S117" i="4"/>
  <c r="AA232" i="5" s="1"/>
  <c r="S146" i="4"/>
  <c r="AA284" i="5" s="1"/>
  <c r="S192" i="4"/>
  <c r="AA285" i="5" s="1"/>
  <c r="S45" i="4"/>
  <c r="AA31" i="5" s="1"/>
  <c r="S46" i="4"/>
  <c r="AA32" i="5" s="1"/>
  <c r="S49" i="4"/>
  <c r="AA34" i="5" s="1"/>
  <c r="S34" i="4"/>
  <c r="AA149" i="5" s="1"/>
  <c r="S48" i="4"/>
  <c r="AA233" i="5" s="1"/>
  <c r="S183" i="4"/>
  <c r="AA271" i="5" s="1"/>
  <c r="Z304" i="8"/>
  <c r="AW298" i="5"/>
  <c r="Z98" i="8"/>
  <c r="AW69" i="5"/>
  <c r="N66" i="4"/>
  <c r="T277" i="5" s="1"/>
  <c r="AI285" i="8" s="1"/>
  <c r="AU285" i="8" s="1"/>
  <c r="N12" i="4"/>
  <c r="T263" i="5" s="1"/>
  <c r="AI272" i="8" s="1"/>
  <c r="D47" i="4"/>
  <c r="E33" i="5" s="1"/>
  <c r="D45" i="4"/>
  <c r="E31" i="5" s="1"/>
  <c r="D5" i="4"/>
  <c r="E61" i="5" s="1"/>
  <c r="D34" i="4"/>
  <c r="E149" i="5" s="1"/>
  <c r="D7" i="4"/>
  <c r="E176" i="5" s="1"/>
  <c r="D9" i="4"/>
  <c r="E188" i="5" s="1"/>
  <c r="D48" i="4"/>
  <c r="E233" i="5" s="1"/>
  <c r="D183" i="4"/>
  <c r="E271" i="5" s="1"/>
  <c r="AD279" i="8" s="1"/>
  <c r="M372" i="4"/>
  <c r="R356" i="5" s="1"/>
  <c r="M363" i="4"/>
  <c r="R372" i="5" s="1"/>
  <c r="M362" i="4"/>
  <c r="R373" i="5" s="1"/>
  <c r="M364" i="4"/>
  <c r="R359" i="5" s="1"/>
  <c r="M352" i="4"/>
  <c r="R358" i="5" s="1"/>
  <c r="M353" i="4"/>
  <c r="R360" i="5" s="1"/>
  <c r="M357" i="4"/>
  <c r="R361" i="5" s="1"/>
  <c r="M361" i="4"/>
  <c r="R371" i="5" s="1"/>
  <c r="AY94" i="2"/>
  <c r="AY93" i="2"/>
  <c r="M354" i="4"/>
  <c r="R370" i="5" s="1"/>
  <c r="M359" i="4"/>
  <c r="R363" i="5" s="1"/>
  <c r="M355" i="4"/>
  <c r="R362" i="5" s="1"/>
  <c r="J23" i="4"/>
  <c r="N13" i="5" s="1"/>
  <c r="J56" i="4"/>
  <c r="N116" i="5" s="1"/>
  <c r="J298" i="4"/>
  <c r="J53" i="4"/>
  <c r="J219" i="4"/>
  <c r="N265" i="5" s="1"/>
  <c r="J184" i="4"/>
  <c r="J137" i="4"/>
  <c r="J240" i="4"/>
  <c r="J181" i="4"/>
  <c r="J182" i="4"/>
  <c r="J120" i="4"/>
  <c r="J236" i="4"/>
  <c r="J176" i="4"/>
  <c r="J209" i="4"/>
  <c r="J127" i="4"/>
  <c r="M241" i="4"/>
  <c r="R128" i="5" s="1"/>
  <c r="M77" i="4"/>
  <c r="R119" i="5" s="1"/>
  <c r="M286" i="4"/>
  <c r="R108" i="5" s="1"/>
  <c r="M13" i="4"/>
  <c r="R142" i="5" s="1"/>
  <c r="M278" i="4"/>
  <c r="R139" i="5" s="1"/>
  <c r="M63" i="4"/>
  <c r="R270" i="5" s="1"/>
  <c r="AZ299" i="5"/>
  <c r="X203" i="4"/>
  <c r="AI37" i="5" s="1"/>
  <c r="AN68" i="8" s="1"/>
  <c r="AZ68" i="8" s="1"/>
  <c r="X225" i="4"/>
  <c r="AI196" i="5" s="1"/>
  <c r="AN215" i="8" s="1"/>
  <c r="AZ215" i="8" s="1"/>
  <c r="P215" i="8" s="1"/>
  <c r="M313" i="4"/>
  <c r="R312" i="5" s="1"/>
  <c r="M310" i="4"/>
  <c r="R309" i="5" s="1"/>
  <c r="M312" i="4"/>
  <c r="R311" i="5" s="1"/>
  <c r="M349" i="4"/>
  <c r="R335" i="5" s="1"/>
  <c r="AY91" i="2"/>
  <c r="AY90" i="2"/>
  <c r="J123" i="4"/>
  <c r="J245" i="4"/>
  <c r="J246" i="4"/>
  <c r="J122" i="4"/>
  <c r="J194" i="4"/>
  <c r="J131" i="4"/>
  <c r="I217" i="4"/>
  <c r="I119" i="4"/>
  <c r="I216" i="4"/>
  <c r="Y203" i="4"/>
  <c r="AJ37" i="5" s="1"/>
  <c r="Y225" i="4"/>
  <c r="AJ196" i="5" s="1"/>
  <c r="M377" i="4"/>
  <c r="R377" i="5" s="1"/>
  <c r="M374" i="4"/>
  <c r="R374" i="5" s="1"/>
  <c r="M376" i="4"/>
  <c r="R376" i="5" s="1"/>
  <c r="M381" i="4"/>
  <c r="R381" i="5" s="1"/>
  <c r="M380" i="4"/>
  <c r="R380" i="5" s="1"/>
  <c r="M379" i="4"/>
  <c r="R379" i="5" s="1"/>
  <c r="M382" i="4"/>
  <c r="R382" i="5" s="1"/>
  <c r="AU385" i="5"/>
  <c r="J294" i="4"/>
  <c r="N144" i="5" s="1"/>
  <c r="J226" i="4"/>
  <c r="N197" i="5" s="1"/>
  <c r="J301" i="4"/>
  <c r="J264" i="4"/>
  <c r="J254" i="4"/>
  <c r="J255" i="4"/>
  <c r="X352" i="4"/>
  <c r="AI358" i="5" s="1"/>
  <c r="AN357" i="8" s="1"/>
  <c r="X372" i="4"/>
  <c r="AI356" i="5" s="1"/>
  <c r="AN355" i="8" s="1"/>
  <c r="X354" i="4"/>
  <c r="AI370" i="5" s="1"/>
  <c r="X364" i="4"/>
  <c r="AI359" i="5" s="1"/>
  <c r="AN358" i="8" s="1"/>
  <c r="X353" i="4"/>
  <c r="AI360" i="5" s="1"/>
  <c r="AN359" i="8" s="1"/>
  <c r="X363" i="4"/>
  <c r="AI372" i="5" s="1"/>
  <c r="AN369" i="8" s="1"/>
  <c r="X362" i="4"/>
  <c r="AI373" i="5" s="1"/>
  <c r="AN370" i="8" s="1"/>
  <c r="X359" i="4"/>
  <c r="AI363" i="5" s="1"/>
  <c r="AN361" i="8" s="1"/>
  <c r="BJ94" i="2"/>
  <c r="BJ93" i="2"/>
  <c r="X361" i="4"/>
  <c r="AI371" i="5" s="1"/>
  <c r="AN368" i="8" s="1"/>
  <c r="AF223" i="8"/>
  <c r="AR223" i="8" s="1"/>
  <c r="H223" i="8" s="1"/>
  <c r="AR208" i="5"/>
  <c r="AW120" i="8"/>
  <c r="AU240" i="5"/>
  <c r="Y370" i="4"/>
  <c r="AJ354" i="5" s="1"/>
  <c r="Y366" i="4"/>
  <c r="AJ367" i="5" s="1"/>
  <c r="Y360" i="4"/>
  <c r="AJ364" i="5" s="1"/>
  <c r="Y358" i="4"/>
  <c r="AJ352" i="5" s="1"/>
  <c r="Y365" i="4"/>
  <c r="AJ365" i="5" s="1"/>
  <c r="Y356" i="4"/>
  <c r="AJ366" i="5" s="1"/>
  <c r="I19" i="4"/>
  <c r="L186" i="5" s="1"/>
  <c r="I282" i="4"/>
  <c r="I70" i="4"/>
  <c r="I74" i="4"/>
  <c r="AW91" i="5"/>
  <c r="Z120" i="8"/>
  <c r="AV385" i="5"/>
  <c r="T53" i="4" a="1"/>
  <c r="T53" i="4" s="1"/>
  <c r="AC43" i="5" s="1"/>
  <c r="AL74" i="8" s="1"/>
  <c r="AX74" i="8" s="1"/>
  <c r="N74" i="8" s="1"/>
  <c r="T171" i="4" a="1"/>
  <c r="T171" i="4" s="1"/>
  <c r="AC69" i="5" s="1"/>
  <c r="T37" i="4" a="1"/>
  <c r="T37" i="4" s="1"/>
  <c r="AC62" i="5" s="1"/>
  <c r="AL91" i="8" s="1"/>
  <c r="AX91" i="8" s="1"/>
  <c r="N91" i="8" s="1"/>
  <c r="T261" i="4" a="1"/>
  <c r="T261" i="4" s="1"/>
  <c r="AC96" i="5" s="1"/>
  <c r="AL125" i="8" s="1"/>
  <c r="AX125" i="8" s="1"/>
  <c r="N125" i="8" s="1"/>
  <c r="T238" i="4" a="1"/>
  <c r="T238" i="4" s="1"/>
  <c r="AC105" i="5" s="1"/>
  <c r="AL134" i="8" s="1"/>
  <c r="T94" i="4" a="1"/>
  <c r="T94" i="4" s="1"/>
  <c r="AC120" i="5" s="1"/>
  <c r="AL148" i="8" s="1"/>
  <c r="AX148" i="8" s="1"/>
  <c r="N148" i="8" s="1"/>
  <c r="T201" i="4" a="1"/>
  <c r="T201" i="4" s="1"/>
  <c r="AC249" i="5" s="1"/>
  <c r="AL259" i="8" s="1"/>
  <c r="T265" i="4" a="1"/>
  <c r="T265" i="4" s="1"/>
  <c r="I31" i="3"/>
  <c r="T266" i="4" a="1"/>
  <c r="T266" i="4" s="1"/>
  <c r="U179" i="4" a="1"/>
  <c r="U179" i="4" s="1"/>
  <c r="AD261" i="5" s="1"/>
  <c r="U127" i="4" a="1"/>
  <c r="U127" i="4" s="1"/>
  <c r="AD171" i="5" s="1"/>
  <c r="U111" i="4" a="1"/>
  <c r="U111" i="4" s="1"/>
  <c r="AD94" i="5" s="1"/>
  <c r="U134" i="4" a="1"/>
  <c r="U134" i="4" s="1"/>
  <c r="AD20" i="5" s="1"/>
  <c r="U169" i="4" a="1"/>
  <c r="U169" i="4" s="1"/>
  <c r="AD54" i="5" s="1"/>
  <c r="U241" i="4" a="1"/>
  <c r="U241" i="4" s="1"/>
  <c r="AD128" i="5" s="1"/>
  <c r="U284" i="4" a="1"/>
  <c r="U284" i="4" s="1"/>
  <c r="AD106" i="5" s="1"/>
  <c r="U278" i="4" a="1"/>
  <c r="U278" i="4" s="1"/>
  <c r="AD139" i="5" s="1"/>
  <c r="U282" i="4" a="1"/>
  <c r="U282" i="4" s="1"/>
  <c r="AD222" i="5" s="1"/>
  <c r="U137" i="4" a="1"/>
  <c r="U137" i="4" s="1"/>
  <c r="AD260" i="5" s="1"/>
  <c r="U25" i="4" a="1"/>
  <c r="U25" i="4" s="1"/>
  <c r="AD252" i="5" s="1"/>
  <c r="U102" i="4" a="1"/>
  <c r="U102" i="4" s="1"/>
  <c r="AD266" i="5" s="1"/>
  <c r="U61" i="4" a="1"/>
  <c r="U61" i="4" s="1"/>
  <c r="AD262" i="5" s="1"/>
  <c r="J378" i="4"/>
  <c r="N378" i="5" s="1"/>
  <c r="AG374" i="8" s="1"/>
  <c r="J276" i="4"/>
  <c r="N302" i="5" s="1"/>
  <c r="AS302" i="5" s="1"/>
  <c r="R110" i="4"/>
  <c r="R79" i="4"/>
  <c r="R31" i="4"/>
  <c r="R253" i="4"/>
  <c r="O315" i="4"/>
  <c r="U316" i="5" s="1"/>
  <c r="O309" i="4"/>
  <c r="U308" i="5" s="1"/>
  <c r="O314" i="4"/>
  <c r="U313" i="5" s="1"/>
  <c r="O307" i="4"/>
  <c r="U317" i="5" s="1"/>
  <c r="O316" i="4"/>
  <c r="U318" i="5" s="1"/>
  <c r="O347" i="4"/>
  <c r="U336" i="5" s="1"/>
  <c r="L276" i="4"/>
  <c r="Q302" i="5" s="1"/>
  <c r="AT302" i="5" s="1"/>
  <c r="U178" i="4" a="1"/>
  <c r="U178" i="4" s="1"/>
  <c r="AD85" i="5" s="1"/>
  <c r="U236" i="4" a="1"/>
  <c r="U236" i="4" s="1"/>
  <c r="AD95" i="5" s="1"/>
  <c r="U14" i="4" a="1"/>
  <c r="U14" i="4" s="1"/>
  <c r="AD180" i="5" s="1"/>
  <c r="L378" i="4"/>
  <c r="Q378" i="5" s="1"/>
  <c r="AH374" i="8" s="1"/>
  <c r="J318" i="4"/>
  <c r="N306" i="5" s="1"/>
  <c r="W270" i="4"/>
  <c r="AG291" i="5" s="1"/>
  <c r="W221" i="4"/>
  <c r="AG80" i="5" s="1"/>
  <c r="W30" i="4"/>
  <c r="AG275" i="5" s="1"/>
  <c r="D59" i="4"/>
  <c r="E45" i="5" s="1"/>
  <c r="N226" i="4"/>
  <c r="T197" i="5" s="1"/>
  <c r="AI216" i="8" s="1"/>
  <c r="X45" i="4"/>
  <c r="AI31" i="5" s="1"/>
  <c r="AN5" i="8" s="1"/>
  <c r="AZ5" i="8" s="1"/>
  <c r="P5" i="8" s="1"/>
  <c r="C44" i="4"/>
  <c r="C18" i="5" s="1"/>
  <c r="L64" i="4"/>
  <c r="Q3" i="5" s="1"/>
  <c r="AH40" i="8" s="1"/>
  <c r="AT40" i="8" s="1"/>
  <c r="J40" i="8" s="1"/>
  <c r="Z273" i="4"/>
  <c r="AL51" i="5" s="1"/>
  <c r="Q51" i="4"/>
  <c r="X39" i="5" s="1"/>
  <c r="M211" i="4"/>
  <c r="R22" i="5" s="1"/>
  <c r="S140" i="4"/>
  <c r="AA14" i="5" s="1"/>
  <c r="M140" i="4"/>
  <c r="R14" i="5" s="1"/>
  <c r="Q181" i="4"/>
  <c r="X10" i="5" s="1"/>
  <c r="L233" i="4"/>
  <c r="Q29" i="5" s="1"/>
  <c r="AH61" i="8" s="1"/>
  <c r="AT61" i="8" s="1"/>
  <c r="J61" i="8" s="1"/>
  <c r="N212" i="4"/>
  <c r="T23" i="5" s="1"/>
  <c r="AI56" i="8" s="1"/>
  <c r="U89" i="4" a="1"/>
  <c r="U89" i="4" s="1"/>
  <c r="AD48" i="5" s="1"/>
  <c r="O51" i="4"/>
  <c r="U39" i="5" s="1"/>
  <c r="C46" i="4"/>
  <c r="C32" i="5" s="1"/>
  <c r="U50" i="4" a="1"/>
  <c r="U50" i="4" s="1"/>
  <c r="AD38" i="5" s="1"/>
  <c r="U260" i="4" a="1"/>
  <c r="U260" i="4" s="1"/>
  <c r="AD46" i="5" s="1"/>
  <c r="U39" i="4" a="1"/>
  <c r="U39" i="4" s="1"/>
  <c r="AD64" i="5" s="1"/>
  <c r="Y39" i="4"/>
  <c r="AJ64" i="5" s="1"/>
  <c r="P55" i="4"/>
  <c r="W67" i="5" s="1"/>
  <c r="AJ96" i="8" s="1"/>
  <c r="AV96" i="8" s="1"/>
  <c r="L96" i="8" s="1"/>
  <c r="H51" i="4"/>
  <c r="K39" i="5" s="1"/>
  <c r="Y55" i="4"/>
  <c r="AJ67" i="5" s="1"/>
  <c r="L138" i="4"/>
  <c r="Q86" i="5" s="1"/>
  <c r="AH115" i="8" s="1"/>
  <c r="AT115" i="8" s="1"/>
  <c r="J115" i="8" s="1"/>
  <c r="L55" i="4"/>
  <c r="Q67" i="5" s="1"/>
  <c r="AH96" i="8" s="1"/>
  <c r="AT96" i="8" s="1"/>
  <c r="J96" i="8" s="1"/>
  <c r="U120" i="4" a="1"/>
  <c r="U120" i="4" s="1"/>
  <c r="AD93" i="5" s="1"/>
  <c r="U177" i="4" a="1"/>
  <c r="U177" i="4" s="1"/>
  <c r="AD83" i="5" s="1"/>
  <c r="Q239" i="4"/>
  <c r="X114" i="5" s="1"/>
  <c r="Q94" i="4"/>
  <c r="X120" i="5" s="1"/>
  <c r="M249" i="4"/>
  <c r="R99" i="5" s="1"/>
  <c r="X240" i="4"/>
  <c r="AI117" i="5" s="1"/>
  <c r="M293" i="4"/>
  <c r="R89" i="5" s="1"/>
  <c r="X62" i="4"/>
  <c r="AI109" i="5" s="1"/>
  <c r="AN138" i="8" s="1"/>
  <c r="AZ138" i="8" s="1"/>
  <c r="P138" i="8" s="1"/>
  <c r="C184" i="4"/>
  <c r="C132" i="5" s="1"/>
  <c r="U138" i="4" a="1"/>
  <c r="U138" i="4" s="1"/>
  <c r="AD86" i="5" s="1"/>
  <c r="C39" i="4"/>
  <c r="C64" i="5" s="1"/>
  <c r="F79" i="4"/>
  <c r="H131" i="5" s="1"/>
  <c r="L300" i="4"/>
  <c r="Q153" i="5" s="1"/>
  <c r="AH177" i="8" s="1"/>
  <c r="AT177" i="8" s="1"/>
  <c r="J177" i="8" s="1"/>
  <c r="M186" i="4"/>
  <c r="R150" i="5" s="1"/>
  <c r="E278" i="4"/>
  <c r="F139" i="5" s="1"/>
  <c r="H296" i="4"/>
  <c r="K156" i="5" s="1"/>
  <c r="AF180" i="8" s="1"/>
  <c r="AR180" i="8" s="1"/>
  <c r="H180" i="8" s="1"/>
  <c r="E123" i="4"/>
  <c r="F145" i="5" s="1"/>
  <c r="T295" i="4" a="1"/>
  <c r="T295" i="4" s="1"/>
  <c r="AC98" i="5" s="1"/>
  <c r="AL127" i="8" s="1"/>
  <c r="AX127" i="8" s="1"/>
  <c r="N127" i="8" s="1"/>
  <c r="E186" i="4"/>
  <c r="F150" i="5" s="1"/>
  <c r="Q250" i="4"/>
  <c r="X103" i="5" s="1"/>
  <c r="U65" i="4" a="1"/>
  <c r="U65" i="4" s="1"/>
  <c r="AD148" i="5" s="1"/>
  <c r="X123" i="4"/>
  <c r="AI145" i="5" s="1"/>
  <c r="AN170" i="8" s="1"/>
  <c r="AZ170" i="8" s="1"/>
  <c r="P170" i="8" s="1"/>
  <c r="T237" i="4" a="1"/>
  <c r="T237" i="4" s="1"/>
  <c r="AC104" i="5" s="1"/>
  <c r="AL133" i="8" s="1"/>
  <c r="Y186" i="4"/>
  <c r="AJ150" i="5" s="1"/>
  <c r="L96" i="4"/>
  <c r="Q122" i="5" s="1"/>
  <c r="U3" i="4" a="1"/>
  <c r="U3" i="4" s="1"/>
  <c r="AD118" i="5" s="1"/>
  <c r="M113" i="4"/>
  <c r="R135" i="5" s="1"/>
  <c r="X83" i="4"/>
  <c r="AI159" i="5" s="1"/>
  <c r="AN13" i="8" s="1"/>
  <c r="AZ13" i="8" s="1"/>
  <c r="P13" i="8" s="1"/>
  <c r="T114" i="4" a="1"/>
  <c r="T114" i="4" s="1"/>
  <c r="AC138" i="5" s="1"/>
  <c r="AL163" i="8" s="1"/>
  <c r="L15" i="4"/>
  <c r="Q181" i="5" s="1"/>
  <c r="AH202" i="8" s="1"/>
  <c r="AT202" i="8" s="1"/>
  <c r="J202" i="8" s="1"/>
  <c r="P68" i="4"/>
  <c r="W165" i="5" s="1"/>
  <c r="AJ188" i="8" s="1"/>
  <c r="Z83" i="4"/>
  <c r="AL159" i="5" s="1"/>
  <c r="E128" i="4"/>
  <c r="F179" i="5" s="1"/>
  <c r="D254" i="4"/>
  <c r="E194" i="5" s="1"/>
  <c r="M115" i="4"/>
  <c r="R161" i="5" s="1"/>
  <c r="U126" i="4" a="1"/>
  <c r="U126" i="4" s="1"/>
  <c r="AD162" i="5" s="1"/>
  <c r="R16" i="4"/>
  <c r="Z183" i="5" s="1"/>
  <c r="AK16" i="8" s="1"/>
  <c r="H68" i="4"/>
  <c r="K165" i="5" s="1"/>
  <c r="T65" i="4" a="1"/>
  <c r="T65" i="4" s="1"/>
  <c r="AC148" i="5" s="1"/>
  <c r="AL12" i="8" s="1"/>
  <c r="Q99" i="4"/>
  <c r="X166" i="5" s="1"/>
  <c r="Y15" i="4"/>
  <c r="AJ181" i="5" s="1"/>
  <c r="M123" i="4"/>
  <c r="R145" i="5" s="1"/>
  <c r="M253" i="4"/>
  <c r="R168" i="5" s="1"/>
  <c r="AL207" i="8"/>
  <c r="AX187" i="5"/>
  <c r="T145" i="4" a="1"/>
  <c r="T145" i="4" s="1"/>
  <c r="AC178" i="5" s="1"/>
  <c r="AL200" i="8" s="1"/>
  <c r="D288" i="4"/>
  <c r="E214" i="5" s="1"/>
  <c r="AD22" i="8" s="1"/>
  <c r="O131" i="4"/>
  <c r="U199" i="5" s="1"/>
  <c r="Q160" i="4"/>
  <c r="X216" i="5" s="1"/>
  <c r="U197" i="4" a="1"/>
  <c r="U197" i="4" s="1"/>
  <c r="AD234" i="5" s="1"/>
  <c r="P159" i="4"/>
  <c r="W215" i="5" s="1"/>
  <c r="AJ23" i="8" s="1"/>
  <c r="F245" i="4"/>
  <c r="H229" i="5" s="1"/>
  <c r="J85" i="4"/>
  <c r="N224" i="5" s="1"/>
  <c r="C224" i="4"/>
  <c r="C169" i="5" s="1"/>
  <c r="F83" i="4"/>
  <c r="H159" i="5" s="1"/>
  <c r="Q167" i="4"/>
  <c r="X247" i="5" s="1"/>
  <c r="U247" i="4" a="1"/>
  <c r="U247" i="4" s="1"/>
  <c r="AD231" i="5" s="1"/>
  <c r="Y116" i="4"/>
  <c r="AJ256" i="5" s="1"/>
  <c r="U118" i="4" a="1"/>
  <c r="U118" i="4" s="1"/>
  <c r="AD236" i="5" s="1"/>
  <c r="Z287" i="4"/>
  <c r="AL287" i="5" s="1"/>
  <c r="D201" i="4"/>
  <c r="E249" i="5" s="1"/>
  <c r="O179" i="4"/>
  <c r="U261" i="5" s="1"/>
  <c r="T133" i="4" a="1"/>
  <c r="T133" i="4" s="1"/>
  <c r="AC226" i="5" s="1"/>
  <c r="AL239" i="8" s="1"/>
  <c r="C204" i="4"/>
  <c r="C251" i="5" s="1"/>
  <c r="T29" i="4" a="1"/>
  <c r="T29" i="4" s="1"/>
  <c r="AC268" i="5" s="1"/>
  <c r="AL276" i="8" s="1"/>
  <c r="M57" i="4"/>
  <c r="R257" i="5" s="1"/>
  <c r="H165" i="4"/>
  <c r="K245" i="5" s="1"/>
  <c r="T100" i="4" a="1"/>
  <c r="T100" i="4" s="1"/>
  <c r="AC238" i="5" s="1"/>
  <c r="AL250" i="8" s="1"/>
  <c r="T288" i="4" a="1"/>
  <c r="T288" i="4" s="1"/>
  <c r="AC214" i="5" s="1"/>
  <c r="AL22" i="8" s="1"/>
  <c r="P235" i="4"/>
  <c r="W253" i="5" s="1"/>
  <c r="AJ263" i="8" s="1"/>
  <c r="AV263" i="8" s="1"/>
  <c r="L263" i="8" s="1"/>
  <c r="X102" i="4"/>
  <c r="AI266" i="5" s="1"/>
  <c r="AN274" i="8" s="1"/>
  <c r="AZ274" i="8" s="1"/>
  <c r="P274" i="8" s="1"/>
  <c r="M320" i="4"/>
  <c r="R320" i="5" s="1"/>
  <c r="C63" i="4"/>
  <c r="C270" i="5" s="1"/>
  <c r="Z259" i="4"/>
  <c r="AL297" i="5" s="1"/>
  <c r="P27" i="4"/>
  <c r="W264" i="5" s="1"/>
  <c r="AJ273" i="8" s="1"/>
  <c r="AV273" i="8" s="1"/>
  <c r="L273" i="8" s="1"/>
  <c r="D147" i="4"/>
  <c r="E293" i="5" s="1"/>
  <c r="U158" i="4" a="1"/>
  <c r="U158" i="4" s="1"/>
  <c r="AD258" i="5" s="1"/>
  <c r="Y323" i="4"/>
  <c r="AJ326" i="5" s="1"/>
  <c r="J321" i="4"/>
  <c r="N324" i="5" s="1"/>
  <c r="M345" i="4"/>
  <c r="R337" i="5" s="1"/>
  <c r="Q331" i="4"/>
  <c r="X348" i="5" s="1"/>
  <c r="L331" i="4"/>
  <c r="Q348" i="5" s="1"/>
  <c r="AH348" i="8" s="1"/>
  <c r="AT348" i="8" s="1"/>
  <c r="J348" i="8" s="1"/>
  <c r="O340" i="4"/>
  <c r="U331" i="5" s="1"/>
  <c r="I345" i="4"/>
  <c r="L337" i="5" s="1"/>
  <c r="Z370" i="4"/>
  <c r="AL354" i="5" s="1"/>
  <c r="AD347" i="8"/>
  <c r="AP347" i="8" s="1"/>
  <c r="F347" i="8" s="1"/>
  <c r="AP347" i="5"/>
  <c r="V343" i="4"/>
  <c r="AF330" i="5" s="1"/>
  <c r="M383" i="4"/>
  <c r="R383" i="5" s="1"/>
  <c r="X377" i="4"/>
  <c r="AI377" i="5" s="1"/>
  <c r="AN373" i="8" s="1"/>
  <c r="C365" i="4"/>
  <c r="C365" i="5" s="1"/>
  <c r="R363" i="8" s="1"/>
  <c r="Z356" i="4"/>
  <c r="AL366" i="5" s="1"/>
  <c r="X341" i="4"/>
  <c r="AI333" i="5" s="1"/>
  <c r="AN333" i="8" s="1"/>
  <c r="AZ333" i="8" s="1"/>
  <c r="P333" i="8" s="1"/>
  <c r="L400" i="4"/>
  <c r="Q407" i="5" s="1"/>
  <c r="X269" i="4"/>
  <c r="AI2" i="5" s="1"/>
  <c r="AN39" i="8" s="1"/>
  <c r="AZ39" i="8" s="1"/>
  <c r="P39" i="8" s="1"/>
  <c r="Y398" i="4"/>
  <c r="AJ405" i="5" s="1"/>
  <c r="AY304" i="8"/>
  <c r="O304" i="8" s="1"/>
  <c r="AR81" i="8"/>
  <c r="H81" i="8" s="1"/>
  <c r="J132" i="8"/>
  <c r="O321" i="8"/>
  <c r="H51" i="8"/>
  <c r="AQ52" i="8"/>
  <c r="G52" i="8" s="1"/>
  <c r="O405" i="8"/>
  <c r="P103" i="8"/>
  <c r="P89" i="8"/>
  <c r="AY391" i="8"/>
  <c r="O391" i="8" s="1"/>
  <c r="AW98" i="8"/>
  <c r="O339" i="8"/>
  <c r="P10" i="8"/>
  <c r="J136" i="8"/>
  <c r="AQ80" i="8"/>
  <c r="G80" i="8" s="1"/>
  <c r="AU188" i="8"/>
  <c r="AW89" i="8"/>
  <c r="AY208" i="8"/>
  <c r="O208" i="8" s="1"/>
  <c r="P96" i="8"/>
  <c r="P56" i="8"/>
  <c r="P53" i="8"/>
  <c r="P76" i="8"/>
  <c r="O396" i="8"/>
  <c r="G92" i="8"/>
  <c r="AU159" i="8"/>
  <c r="H3" i="8"/>
  <c r="P294" i="8"/>
  <c r="P63" i="8"/>
  <c r="AY395" i="8"/>
  <c r="O395" i="8" s="1"/>
  <c r="AY236" i="8"/>
  <c r="AW266" i="8"/>
  <c r="AU14" i="8"/>
  <c r="J113" i="8"/>
  <c r="O108" i="8"/>
  <c r="AS294" i="8"/>
  <c r="I294" i="8" s="1"/>
  <c r="H389" i="8"/>
  <c r="H136" i="8"/>
  <c r="AY204" i="8"/>
  <c r="O204" i="8" s="1"/>
  <c r="P80" i="8"/>
  <c r="AY40" i="8"/>
  <c r="AU104" i="8"/>
  <c r="I84" i="8"/>
  <c r="AU29" i="8"/>
  <c r="I102" i="8"/>
  <c r="AQ56" i="8"/>
  <c r="G56" i="8" s="1"/>
  <c r="AS99" i="8"/>
  <c r="I99" i="8" s="1"/>
  <c r="AS52" i="8"/>
  <c r="I52" i="8" s="1"/>
  <c r="AR80" i="8"/>
  <c r="H80" i="8" s="1"/>
  <c r="O207" i="8"/>
  <c r="AY397" i="8"/>
  <c r="O397" i="8" s="1"/>
  <c r="P84" i="8"/>
  <c r="I185" i="8"/>
  <c r="AW188" i="8"/>
  <c r="G76" i="8"/>
  <c r="AZ93" i="8"/>
  <c r="P93" i="8" s="1"/>
  <c r="AQ294" i="8"/>
  <c r="G294" i="8" s="1"/>
  <c r="P52" i="8"/>
  <c r="O388" i="8"/>
  <c r="J70" i="8"/>
  <c r="G79" i="8"/>
  <c r="O385" i="8"/>
  <c r="B385" i="8" s="1"/>
  <c r="I59" i="8"/>
  <c r="AQ51" i="8"/>
  <c r="G51" i="8" s="1"/>
  <c r="H14" i="8"/>
  <c r="G67" i="8"/>
  <c r="P47" i="8"/>
  <c r="AQ160" i="8"/>
  <c r="G160" i="8" s="1"/>
  <c r="J2" i="8"/>
  <c r="AS226" i="8"/>
  <c r="I226" i="8" s="1"/>
  <c r="AS291" i="8"/>
  <c r="I291" i="8" s="1"/>
  <c r="L16" i="11"/>
  <c r="M16" i="11" s="1"/>
  <c r="AY389" i="8"/>
  <c r="O389" i="8" s="1"/>
  <c r="I57" i="8"/>
  <c r="AY199" i="8"/>
  <c r="O199" i="8" s="1"/>
  <c r="O384" i="8"/>
  <c r="B384" i="8" s="1"/>
  <c r="AS45" i="8"/>
  <c r="I45" i="8" s="1"/>
  <c r="AR39" i="8"/>
  <c r="H39" i="8" s="1"/>
  <c r="AZ77" i="8"/>
  <c r="P77" i="8" s="1"/>
  <c r="AU172" i="8"/>
  <c r="AZ92" i="8"/>
  <c r="P92" i="8" s="1"/>
  <c r="AW108" i="8"/>
  <c r="G10" i="8"/>
  <c r="O399" i="8"/>
  <c r="O402" i="8"/>
  <c r="AY387" i="8"/>
  <c r="O387" i="8" s="1"/>
  <c r="I70" i="8"/>
  <c r="P99" i="8"/>
  <c r="AY98" i="8"/>
  <c r="O98" i="8" s="1"/>
  <c r="O198" i="8"/>
  <c r="AY263" i="8"/>
  <c r="O263" i="8" s="1"/>
  <c r="AW349" i="8"/>
  <c r="AY195" i="8"/>
  <c r="O195" i="8" s="1"/>
  <c r="AW6" i="8"/>
  <c r="O120" i="8"/>
  <c r="O400" i="8"/>
  <c r="I247" i="8"/>
  <c r="AY382" i="8"/>
  <c r="O382" i="8" s="1"/>
  <c r="B382" i="8" s="1"/>
  <c r="AY390" i="8"/>
  <c r="O390" i="8" s="1"/>
  <c r="AS151" i="8"/>
  <c r="I151" i="8" s="1"/>
  <c r="AU176" i="8"/>
  <c r="AY404" i="8"/>
  <c r="O404" i="8" s="1"/>
  <c r="AY232" i="8"/>
  <c r="O232" i="8" s="1"/>
  <c r="AX263" i="8"/>
  <c r="P51" i="8"/>
  <c r="G98" i="8"/>
  <c r="AS163" i="8"/>
  <c r="I163" i="8" s="1"/>
  <c r="AY36" i="8"/>
  <c r="O36" i="8" s="1"/>
  <c r="AY222" i="8"/>
  <c r="O222" i="8" s="1"/>
  <c r="AY206" i="8"/>
  <c r="O206" i="8" s="1"/>
  <c r="G54" i="8"/>
  <c r="J151" i="8"/>
  <c r="P61" i="8"/>
  <c r="L73" i="8"/>
  <c r="O347" i="8"/>
  <c r="AQ14" i="8"/>
  <c r="G14" i="8" s="1"/>
  <c r="J143" i="8"/>
  <c r="G105" i="8"/>
  <c r="J174" i="8"/>
  <c r="O401" i="8"/>
  <c r="O403" i="8"/>
  <c r="AZ91" i="8"/>
  <c r="P91" i="8" s="1"/>
  <c r="AY38" i="8"/>
  <c r="O38" i="8" s="1"/>
  <c r="J85" i="8"/>
  <c r="AW222" i="8"/>
  <c r="AQ42" i="8"/>
  <c r="G42" i="8" s="1"/>
  <c r="AY406" i="8"/>
  <c r="O406" i="8" s="1"/>
  <c r="AS69" i="8"/>
  <c r="I69" i="8" s="1"/>
  <c r="G96" i="8"/>
  <c r="AQ61" i="8"/>
  <c r="G61" i="8" s="1"/>
  <c r="P98" i="8"/>
  <c r="G172" i="8"/>
  <c r="K119" i="8"/>
  <c r="G111" i="8"/>
  <c r="I174" i="8"/>
  <c r="AS3" i="8"/>
  <c r="I3" i="8" s="1"/>
  <c r="AW305" i="8"/>
  <c r="I10" i="8"/>
  <c r="AY136" i="8"/>
  <c r="O136" i="8" s="1"/>
  <c r="O394" i="8"/>
  <c r="AY30" i="8"/>
  <c r="O30" i="8" s="1"/>
  <c r="AY393" i="8"/>
  <c r="O393" i="8" s="1"/>
  <c r="AY337" i="8"/>
  <c r="O337" i="8" s="1"/>
  <c r="BA381" i="8" l="1"/>
  <c r="AV229" i="8"/>
  <c r="AD344" i="8"/>
  <c r="AP344" i="8" s="1"/>
  <c r="F344" i="8" s="1"/>
  <c r="AD343" i="8"/>
  <c r="AP343" i="8" s="1"/>
  <c r="F343" i="8" s="1"/>
  <c r="AD342" i="8"/>
  <c r="AP342" i="8" s="1"/>
  <c r="F342" i="8" s="1"/>
  <c r="AP327" i="5"/>
  <c r="AD328" i="8"/>
  <c r="AP328" i="8" s="1"/>
  <c r="F328" i="8" s="1"/>
  <c r="AP192" i="5"/>
  <c r="AD211" i="8"/>
  <c r="AP211" i="8" s="1"/>
  <c r="F211" i="8" s="1"/>
  <c r="AD277" i="8"/>
  <c r="AP277" i="8" s="1"/>
  <c r="F277" i="8" s="1"/>
  <c r="AP269" i="5"/>
  <c r="BA50" i="8"/>
  <c r="Q50" i="8" s="1"/>
  <c r="AV326" i="8"/>
  <c r="AU300" i="5"/>
  <c r="AS98" i="8"/>
  <c r="AV365" i="8"/>
  <c r="L365" i="8" s="1"/>
  <c r="AX64" i="8"/>
  <c r="BA119" i="8"/>
  <c r="AP172" i="8"/>
  <c r="AV24" i="8"/>
  <c r="BA218" i="8"/>
  <c r="AP160" i="8"/>
  <c r="AP84" i="8"/>
  <c r="F84" i="8" s="1"/>
  <c r="AX302" i="5"/>
  <c r="AP2" i="8"/>
  <c r="AW13" i="5"/>
  <c r="AX20" i="5"/>
  <c r="AX54" i="8"/>
  <c r="N54" i="8" s="1"/>
  <c r="AV303" i="5"/>
  <c r="AX128" i="8"/>
  <c r="AZ286" i="8"/>
  <c r="BA304" i="8"/>
  <c r="AY126" i="8"/>
  <c r="AP13" i="8"/>
  <c r="F13" i="8" s="1"/>
  <c r="AY89" i="2"/>
  <c r="AX249" i="8"/>
  <c r="N249" i="8" s="1"/>
  <c r="AU356" i="8"/>
  <c r="K356" i="8" s="1"/>
  <c r="AV87" i="8"/>
  <c r="L87" i="8" s="1"/>
  <c r="AP233" i="8"/>
  <c r="AV80" i="8"/>
  <c r="AX275" i="8"/>
  <c r="N275" i="8" s="1"/>
  <c r="AS304" i="8"/>
  <c r="AV147" i="8"/>
  <c r="AS159" i="8"/>
  <c r="BA84" i="8"/>
  <c r="Q84" i="8" s="1"/>
  <c r="AX11" i="5"/>
  <c r="AY92" i="2"/>
  <c r="AP228" i="8"/>
  <c r="F228" i="8" s="1"/>
  <c r="AP232" i="8"/>
  <c r="AP263" i="8"/>
  <c r="F263" i="8" s="1"/>
  <c r="AS309" i="8"/>
  <c r="AX86" i="2"/>
  <c r="AZ300" i="5"/>
  <c r="AQ281" i="8"/>
  <c r="AQ92" i="2"/>
  <c r="AV416" i="5"/>
  <c r="AT89" i="2"/>
  <c r="AT277" i="5"/>
  <c r="AZ89" i="2"/>
  <c r="AP89" i="2"/>
  <c r="AX221" i="8"/>
  <c r="BA63" i="8"/>
  <c r="BA92" i="2"/>
  <c r="AP3" i="8"/>
  <c r="BC86" i="2"/>
  <c r="BG86" i="2"/>
  <c r="AP207" i="8"/>
  <c r="AR89" i="2"/>
  <c r="AX252" i="8"/>
  <c r="N252" i="8" s="1"/>
  <c r="AZ239" i="8"/>
  <c r="P239" i="8" s="1"/>
  <c r="AV27" i="8"/>
  <c r="L27" i="8" s="1"/>
  <c r="AZ291" i="8"/>
  <c r="P291" i="8" s="1"/>
  <c r="AP4" i="8"/>
  <c r="AN69" i="5"/>
  <c r="AX19" i="5"/>
  <c r="AN90" i="5"/>
  <c r="AX238" i="8"/>
  <c r="N238" i="8" s="1"/>
  <c r="AU95" i="2"/>
  <c r="BA89" i="2"/>
  <c r="AV89" i="2"/>
  <c r="AX95" i="2"/>
  <c r="AU86" i="2"/>
  <c r="AQ89" i="2"/>
  <c r="AN35" i="5"/>
  <c r="AT300" i="5"/>
  <c r="AX280" i="8"/>
  <c r="AP92" i="2"/>
  <c r="AW86" i="2"/>
  <c r="BF89" i="2"/>
  <c r="AP202" i="8"/>
  <c r="F202" i="8" s="1"/>
  <c r="AU89" i="2"/>
  <c r="BH86" i="2"/>
  <c r="AZ416" i="5"/>
  <c r="AZ301" i="5"/>
  <c r="BJ86" i="2"/>
  <c r="AV92" i="2"/>
  <c r="AY86" i="2"/>
  <c r="AQ176" i="8"/>
  <c r="AN204" i="5"/>
  <c r="AN19" i="5"/>
  <c r="BK86" i="2"/>
  <c r="AW95" i="2"/>
  <c r="BL95" i="2"/>
  <c r="BG89" i="2"/>
  <c r="BJ92" i="2"/>
  <c r="BB89" i="2"/>
  <c r="AV95" i="2"/>
  <c r="AN20" i="5"/>
  <c r="BD86" i="2"/>
  <c r="AN301" i="5"/>
  <c r="AT95" i="2"/>
  <c r="BC92" i="2"/>
  <c r="AX263" i="5"/>
  <c r="AN296" i="5"/>
  <c r="BK95" i="2"/>
  <c r="AN170" i="5"/>
  <c r="BJ89" i="2"/>
  <c r="AT301" i="5"/>
  <c r="BE92" i="2"/>
  <c r="BD95" i="2"/>
  <c r="AV240" i="5"/>
  <c r="BI92" i="2"/>
  <c r="AP86" i="2"/>
  <c r="BC89" i="2"/>
  <c r="AY90" i="8"/>
  <c r="O90" i="8" s="1"/>
  <c r="AT86" i="2"/>
  <c r="AN242" i="5"/>
  <c r="AO86" i="2"/>
  <c r="BG92" i="2"/>
  <c r="AN225" i="5"/>
  <c r="AN303" i="5"/>
  <c r="AW92" i="2"/>
  <c r="BA95" i="2"/>
  <c r="AR95" i="2"/>
  <c r="BK92" i="2"/>
  <c r="AC353" i="8"/>
  <c r="AZ354" i="5"/>
  <c r="X320" i="8"/>
  <c r="AV320" i="8" s="1"/>
  <c r="AU318" i="5"/>
  <c r="AZ211" i="5"/>
  <c r="AC226" i="8"/>
  <c r="AE196" i="8"/>
  <c r="AQ174" i="5"/>
  <c r="W322" i="8"/>
  <c r="AU322" i="8" s="1"/>
  <c r="AT320" i="5"/>
  <c r="AX260" i="5"/>
  <c r="AA269" i="8"/>
  <c r="W372" i="8"/>
  <c r="AU372" i="8" s="1"/>
  <c r="AT376" i="5"/>
  <c r="AC257" i="8"/>
  <c r="AZ246" i="5"/>
  <c r="AC182" i="8"/>
  <c r="AZ158" i="5"/>
  <c r="AO269" i="8"/>
  <c r="BA260" i="5"/>
  <c r="X83" i="8"/>
  <c r="AV83" i="8" s="1"/>
  <c r="AU54" i="5"/>
  <c r="AN209" i="5"/>
  <c r="R224" i="8"/>
  <c r="AD349" i="8"/>
  <c r="AP349" i="8" s="1"/>
  <c r="F349" i="8" s="1"/>
  <c r="AP349" i="5"/>
  <c r="AC275" i="8"/>
  <c r="BA275" i="8" s="1"/>
  <c r="AZ267" i="5"/>
  <c r="W271" i="8"/>
  <c r="AT262" i="5"/>
  <c r="AC15" i="2"/>
  <c r="AD80" i="8"/>
  <c r="AP51" i="5"/>
  <c r="AK62" i="2"/>
  <c r="AG316" i="8"/>
  <c r="AS314" i="5"/>
  <c r="AN125" i="5"/>
  <c r="R11" i="8"/>
  <c r="AQ88" i="5"/>
  <c r="AE117" i="8"/>
  <c r="AD77" i="2"/>
  <c r="X132" i="8"/>
  <c r="AV132" i="8" s="1"/>
  <c r="AU103" i="5"/>
  <c r="AC274" i="8"/>
  <c r="AZ266" i="5"/>
  <c r="AP137" i="5"/>
  <c r="AD162" i="8"/>
  <c r="AQ272" i="5"/>
  <c r="AE280" i="8"/>
  <c r="X244" i="8"/>
  <c r="AV244" i="8" s="1"/>
  <c r="AU232" i="5"/>
  <c r="R299" i="8"/>
  <c r="AN292" i="5"/>
  <c r="AA156" i="8"/>
  <c r="AX131" i="5"/>
  <c r="AP76" i="5"/>
  <c r="AD105" i="8"/>
  <c r="AS327" i="5"/>
  <c r="AG328" i="8"/>
  <c r="AO113" i="8"/>
  <c r="BA84" i="5"/>
  <c r="R262" i="8"/>
  <c r="AN252" i="5"/>
  <c r="Y323" i="8"/>
  <c r="AV321" i="5"/>
  <c r="AX245" i="5"/>
  <c r="AA256" i="8"/>
  <c r="U204" i="8"/>
  <c r="AS204" i="8" s="1"/>
  <c r="AR184" i="5"/>
  <c r="AR48" i="5"/>
  <c r="AF6" i="8"/>
  <c r="AR6" i="8" s="1"/>
  <c r="H6" i="8" s="1"/>
  <c r="Y111" i="8"/>
  <c r="AV82" i="5"/>
  <c r="Z177" i="8"/>
  <c r="AX177" i="8" s="1"/>
  <c r="AW153" i="5"/>
  <c r="Y243" i="8"/>
  <c r="AV231" i="5"/>
  <c r="U346" i="8"/>
  <c r="AR346" i="5"/>
  <c r="X288" i="8"/>
  <c r="AV288" i="8" s="1"/>
  <c r="AU281" i="5"/>
  <c r="Y348" i="8"/>
  <c r="AV348" i="5"/>
  <c r="S201" i="8"/>
  <c r="AP179" i="5"/>
  <c r="AN291" i="5"/>
  <c r="AB298" i="8"/>
  <c r="AY291" i="5"/>
  <c r="AX139" i="5"/>
  <c r="AA164" i="8"/>
  <c r="W137" i="8"/>
  <c r="AT108" i="5"/>
  <c r="AD90" i="8"/>
  <c r="AP90" i="8" s="1"/>
  <c r="F90" i="8" s="1"/>
  <c r="AP61" i="5"/>
  <c r="AC177" i="8"/>
  <c r="AZ153" i="5"/>
  <c r="AT188" i="5"/>
  <c r="AH208" i="8"/>
  <c r="AT208" i="8" s="1"/>
  <c r="J208" i="8" s="1"/>
  <c r="AV131" i="8"/>
  <c r="L131" i="8" s="1"/>
  <c r="AC250" i="8"/>
  <c r="AZ238" i="5"/>
  <c r="AF224" i="8"/>
  <c r="AR224" i="8" s="1"/>
  <c r="H224" i="8" s="1"/>
  <c r="AR209" i="5"/>
  <c r="AN188" i="5"/>
  <c r="AB208" i="8"/>
  <c r="AZ208" i="8" s="1"/>
  <c r="AY188" i="5"/>
  <c r="AO268" i="8"/>
  <c r="BA259" i="5"/>
  <c r="X50" i="8"/>
  <c r="AU15" i="5"/>
  <c r="R183" i="8"/>
  <c r="AP183" i="8" s="1"/>
  <c r="AN160" i="5"/>
  <c r="Z17" i="8"/>
  <c r="AW190" i="5"/>
  <c r="Y107" i="8"/>
  <c r="AV78" i="5"/>
  <c r="AO183" i="8"/>
  <c r="BA160" i="5"/>
  <c r="U237" i="8"/>
  <c r="AR224" i="5"/>
  <c r="AC295" i="8"/>
  <c r="AZ288" i="5"/>
  <c r="AC331" i="8"/>
  <c r="AZ330" i="5"/>
  <c r="Y265" i="8"/>
  <c r="AV256" i="5"/>
  <c r="AY16" i="8"/>
  <c r="O16" i="8" s="1"/>
  <c r="AX178" i="5"/>
  <c r="AA200" i="8"/>
  <c r="AO164" i="8"/>
  <c r="BA139" i="5"/>
  <c r="AP109" i="5"/>
  <c r="AD138" i="8"/>
  <c r="Y65" i="8"/>
  <c r="AV34" i="5"/>
  <c r="AS317" i="5"/>
  <c r="AG319" i="8"/>
  <c r="AX294" i="5"/>
  <c r="AA301" i="8"/>
  <c r="X335" i="8"/>
  <c r="AV335" i="8" s="1"/>
  <c r="AU335" i="5"/>
  <c r="Y136" i="8"/>
  <c r="AV107" i="5"/>
  <c r="AA297" i="8"/>
  <c r="AX290" i="5"/>
  <c r="BA176" i="5"/>
  <c r="AO198" i="8"/>
  <c r="R26" i="8"/>
  <c r="BA222" i="8"/>
  <c r="X139" i="8"/>
  <c r="AV139" i="8" s="1"/>
  <c r="AU110" i="5"/>
  <c r="Y232" i="8"/>
  <c r="AV219" i="5"/>
  <c r="X230" i="8"/>
  <c r="AU217" i="5"/>
  <c r="Y244" i="8"/>
  <c r="AV232" i="5"/>
  <c r="AG23" i="8"/>
  <c r="AS215" i="5"/>
  <c r="AK42" i="2"/>
  <c r="AA33" i="8"/>
  <c r="AX362" i="5"/>
  <c r="BA315" i="5"/>
  <c r="AO317" i="8"/>
  <c r="AP373" i="5"/>
  <c r="AD370" i="8"/>
  <c r="AP370" i="8" s="1"/>
  <c r="U263" i="8"/>
  <c r="AR253" i="5"/>
  <c r="W237" i="8"/>
  <c r="AT224" i="5"/>
  <c r="Z204" i="8"/>
  <c r="AW184" i="5"/>
  <c r="AG180" i="8"/>
  <c r="AS156" i="5"/>
  <c r="W100" i="8"/>
  <c r="AT71" i="5"/>
  <c r="AN187" i="5"/>
  <c r="AB207" i="8"/>
  <c r="AY187" i="5"/>
  <c r="E29" i="3"/>
  <c r="AX91" i="5"/>
  <c r="AL120" i="8"/>
  <c r="AX120" i="8" s="1"/>
  <c r="E12" i="3"/>
  <c r="AX102" i="5"/>
  <c r="AA131" i="8"/>
  <c r="AY313" i="5"/>
  <c r="AM315" i="8"/>
  <c r="AY315" i="8" s="1"/>
  <c r="O315" i="8" s="1"/>
  <c r="AN313" i="5"/>
  <c r="Y379" i="8"/>
  <c r="AV383" i="5"/>
  <c r="W268" i="8"/>
  <c r="AT259" i="5"/>
  <c r="AC203" i="8"/>
  <c r="AZ182" i="5"/>
  <c r="AU84" i="5"/>
  <c r="AI113" i="8"/>
  <c r="Z209" i="8"/>
  <c r="AW189" i="5"/>
  <c r="AF95" i="8"/>
  <c r="AR95" i="8" s="1"/>
  <c r="H95" i="8" s="1"/>
  <c r="AR66" i="5"/>
  <c r="AR17" i="5"/>
  <c r="AF52" i="8"/>
  <c r="AR52" i="8" s="1"/>
  <c r="H52" i="8" s="1"/>
  <c r="AH404" i="8"/>
  <c r="AT404" i="8" s="1"/>
  <c r="J404" i="8" s="1"/>
  <c r="AT413" i="5"/>
  <c r="AN413" i="5"/>
  <c r="AU230" i="5"/>
  <c r="AI242" i="8"/>
  <c r="AP17" i="5"/>
  <c r="AD52" i="8"/>
  <c r="X54" i="8"/>
  <c r="AV54" i="8" s="1"/>
  <c r="AU21" i="5"/>
  <c r="AW408" i="5"/>
  <c r="AK399" i="8"/>
  <c r="AC8" i="8"/>
  <c r="AZ113" i="5"/>
  <c r="Z230" i="8"/>
  <c r="AW217" i="5"/>
  <c r="AD15" i="8"/>
  <c r="AP15" i="8" s="1"/>
  <c r="F15" i="8" s="1"/>
  <c r="AN180" i="5"/>
  <c r="Y48" i="8"/>
  <c r="AW48" i="8" s="1"/>
  <c r="AV13" i="5"/>
  <c r="X176" i="8"/>
  <c r="AV176" i="8" s="1"/>
  <c r="AU152" i="5"/>
  <c r="AL63" i="2"/>
  <c r="W288" i="8"/>
  <c r="AT281" i="5"/>
  <c r="AN122" i="5"/>
  <c r="R150" i="8"/>
  <c r="BA379" i="5"/>
  <c r="AO375" i="8"/>
  <c r="AP322" i="5"/>
  <c r="AD324" i="8"/>
  <c r="AP324" i="8" s="1"/>
  <c r="F324" i="8" s="1"/>
  <c r="AD261" i="8"/>
  <c r="AP251" i="5"/>
  <c r="AC237" i="8"/>
  <c r="AZ224" i="5"/>
  <c r="AN156" i="5"/>
  <c r="R180" i="8"/>
  <c r="BA126" i="5"/>
  <c r="AO151" i="8"/>
  <c r="W65" i="8"/>
  <c r="AT34" i="5"/>
  <c r="AL77" i="2"/>
  <c r="W117" i="8"/>
  <c r="AT88" i="5"/>
  <c r="AO68" i="8"/>
  <c r="BA37" i="5"/>
  <c r="AY350" i="5"/>
  <c r="AM350" i="8"/>
  <c r="AY350" i="8" s="1"/>
  <c r="O350" i="8" s="1"/>
  <c r="AN350" i="5"/>
  <c r="BA57" i="5"/>
  <c r="AO86" i="8"/>
  <c r="AN86" i="5"/>
  <c r="R115" i="8"/>
  <c r="AP3" i="5"/>
  <c r="AD40" i="8"/>
  <c r="R18" i="8"/>
  <c r="AN200" i="5"/>
  <c r="AN375" i="5"/>
  <c r="AB371" i="8"/>
  <c r="AZ371" i="8" s="1"/>
  <c r="AY375" i="5"/>
  <c r="AG63" i="2"/>
  <c r="AI63" i="2"/>
  <c r="AR281" i="5"/>
  <c r="AF288" i="8"/>
  <c r="AR288" i="8" s="1"/>
  <c r="H288" i="8" s="1"/>
  <c r="AF63" i="2"/>
  <c r="AX316" i="8"/>
  <c r="N316" i="8" s="1"/>
  <c r="BA220" i="5"/>
  <c r="AO233" i="8"/>
  <c r="Y343" i="8"/>
  <c r="AV343" i="5"/>
  <c r="AI273" i="8"/>
  <c r="AU273" i="8" s="1"/>
  <c r="K273" i="8" s="1"/>
  <c r="AU264" i="5"/>
  <c r="AA237" i="8"/>
  <c r="AX224" i="5"/>
  <c r="AJ240" i="8"/>
  <c r="AV227" i="5"/>
  <c r="W189" i="8"/>
  <c r="AT166" i="5"/>
  <c r="BA137" i="5"/>
  <c r="AO162" i="8"/>
  <c r="Y93" i="8"/>
  <c r="AV64" i="5"/>
  <c r="AC191" i="8"/>
  <c r="AZ168" i="5"/>
  <c r="AJ68" i="8"/>
  <c r="AV37" i="5"/>
  <c r="W60" i="8"/>
  <c r="AT27" i="5"/>
  <c r="W142" i="8"/>
  <c r="AT114" i="5"/>
  <c r="AG323" i="8"/>
  <c r="AS321" i="5"/>
  <c r="AC241" i="8"/>
  <c r="AZ229" i="5"/>
  <c r="Y159" i="8"/>
  <c r="AV134" i="5"/>
  <c r="AW100" i="5"/>
  <c r="Z129" i="8"/>
  <c r="AX129" i="8" s="1"/>
  <c r="AC38" i="8"/>
  <c r="AZ407" i="5"/>
  <c r="AC81" i="8"/>
  <c r="AZ52" i="5"/>
  <c r="Y134" i="8"/>
  <c r="AV105" i="5"/>
  <c r="X101" i="8"/>
  <c r="AV101" i="8" s="1"/>
  <c r="AU72" i="5"/>
  <c r="U322" i="8"/>
  <c r="AR320" i="5"/>
  <c r="AN59" i="5"/>
  <c r="AV12" i="5"/>
  <c r="Y3" i="8"/>
  <c r="W228" i="8"/>
  <c r="AT213" i="5"/>
  <c r="Y87" i="8"/>
  <c r="AV58" i="5"/>
  <c r="U375" i="8"/>
  <c r="AR379" i="5"/>
  <c r="AG205" i="8"/>
  <c r="AS185" i="5"/>
  <c r="AP337" i="5"/>
  <c r="AD337" i="8"/>
  <c r="AP337" i="8" s="1"/>
  <c r="F337" i="8" s="1"/>
  <c r="AN337" i="5"/>
  <c r="Y397" i="8"/>
  <c r="AV405" i="5"/>
  <c r="AD303" i="8"/>
  <c r="AP297" i="5"/>
  <c r="R258" i="8"/>
  <c r="AN247" i="5"/>
  <c r="S13" i="8"/>
  <c r="AP159" i="5"/>
  <c r="AX90" i="5"/>
  <c r="AA119" i="8"/>
  <c r="AC122" i="8"/>
  <c r="AZ93" i="5"/>
  <c r="AO92" i="8"/>
  <c r="BA63" i="5"/>
  <c r="AN282" i="5"/>
  <c r="AB289" i="8"/>
  <c r="AY282" i="5"/>
  <c r="AA101" i="8"/>
  <c r="E16" i="3"/>
  <c r="AX72" i="5"/>
  <c r="R165" i="8"/>
  <c r="AP165" i="8" s="1"/>
  <c r="AN140" i="5"/>
  <c r="AC132" i="8"/>
  <c r="AZ103" i="5"/>
  <c r="AP211" i="5"/>
  <c r="S226" i="8"/>
  <c r="AO257" i="8"/>
  <c r="BA246" i="5"/>
  <c r="AO45" i="8"/>
  <c r="BA9" i="5"/>
  <c r="Y247" i="8"/>
  <c r="AV235" i="5"/>
  <c r="Y141" i="8"/>
  <c r="AV112" i="5"/>
  <c r="AN345" i="5"/>
  <c r="AY345" i="5"/>
  <c r="AM345" i="8"/>
  <c r="AY345" i="8" s="1"/>
  <c r="O345" i="8" s="1"/>
  <c r="AW56" i="8"/>
  <c r="M56" i="8" s="1"/>
  <c r="AH406" i="8"/>
  <c r="AT406" i="8" s="1"/>
  <c r="J406" i="8" s="1"/>
  <c r="AT415" i="5"/>
  <c r="AN415" i="5"/>
  <c r="U352" i="8"/>
  <c r="AS352" i="8" s="1"/>
  <c r="AR353" i="5"/>
  <c r="AN185" i="5"/>
  <c r="Z251" i="8"/>
  <c r="AX251" i="8" s="1"/>
  <c r="AW239" i="5"/>
  <c r="AC328" i="8"/>
  <c r="AZ327" i="5"/>
  <c r="X345" i="8"/>
  <c r="AV345" i="8" s="1"/>
  <c r="AU345" i="5"/>
  <c r="W296" i="8"/>
  <c r="AT289" i="5"/>
  <c r="AO362" i="8"/>
  <c r="BA364" i="5"/>
  <c r="AR327" i="5"/>
  <c r="U328" i="8"/>
  <c r="AC366" i="8"/>
  <c r="AZ368" i="5"/>
  <c r="Y294" i="8"/>
  <c r="AV287" i="5"/>
  <c r="AX220" i="8"/>
  <c r="N220" i="8" s="1"/>
  <c r="AY202" i="8"/>
  <c r="O202" i="8" s="1"/>
  <c r="AA127" i="8"/>
  <c r="AX98" i="5"/>
  <c r="E18" i="3"/>
  <c r="AX201" i="5"/>
  <c r="AA219" i="8"/>
  <c r="X215" i="8"/>
  <c r="AV215" i="8" s="1"/>
  <c r="AU196" i="5"/>
  <c r="W171" i="8"/>
  <c r="AT146" i="5"/>
  <c r="AN219" i="5"/>
  <c r="X312" i="8"/>
  <c r="AU310" i="5"/>
  <c r="Y295" i="8"/>
  <c r="AV288" i="5"/>
  <c r="Z102" i="8"/>
  <c r="AX102" i="8" s="1"/>
  <c r="AW73" i="5"/>
  <c r="Z151" i="8"/>
  <c r="AX151" i="8" s="1"/>
  <c r="AW126" i="5"/>
  <c r="AG12" i="2"/>
  <c r="AI12" i="2"/>
  <c r="AF87" i="8"/>
  <c r="AR87" i="8" s="1"/>
  <c r="H87" i="8" s="1"/>
  <c r="AC395" i="8"/>
  <c r="AZ403" i="5"/>
  <c r="AC125" i="8"/>
  <c r="AZ96" i="5"/>
  <c r="AC154" i="8"/>
  <c r="AZ129" i="5"/>
  <c r="S139" i="8"/>
  <c r="AP110" i="5"/>
  <c r="Z132" i="8"/>
  <c r="AX132" i="8" s="1"/>
  <c r="AW103" i="5"/>
  <c r="AF57" i="8"/>
  <c r="AR57" i="8" s="1"/>
  <c r="H57" i="8" s="1"/>
  <c r="AR24" i="5"/>
  <c r="AF38" i="2"/>
  <c r="AI38" i="2"/>
  <c r="AG38" i="2"/>
  <c r="Z42" i="8"/>
  <c r="AW6" i="5"/>
  <c r="AN311" i="5"/>
  <c r="AY311" i="5"/>
  <c r="AM313" i="8"/>
  <c r="AY313" i="8" s="1"/>
  <c r="O313" i="8" s="1"/>
  <c r="Y345" i="8"/>
  <c r="AV345" i="5"/>
  <c r="AX379" i="5"/>
  <c r="AA375" i="8"/>
  <c r="AY348" i="5"/>
  <c r="AM348" i="8"/>
  <c r="AY348" i="8" s="1"/>
  <c r="O348" i="8" s="1"/>
  <c r="AN348" i="5"/>
  <c r="AN257" i="5"/>
  <c r="R266" i="8"/>
  <c r="W190" i="8"/>
  <c r="AT167" i="5"/>
  <c r="Z124" i="8"/>
  <c r="AX124" i="8" s="1"/>
  <c r="AW95" i="5"/>
  <c r="AU261" i="8"/>
  <c r="K261" i="8" s="1"/>
  <c r="BL86" i="2"/>
  <c r="AO102" i="8"/>
  <c r="BA73" i="5"/>
  <c r="AN74" i="5"/>
  <c r="R103" i="8"/>
  <c r="Y403" i="8"/>
  <c r="AV412" i="5"/>
  <c r="AV42" i="5"/>
  <c r="Y73" i="8"/>
  <c r="AP178" i="5"/>
  <c r="AD200" i="8"/>
  <c r="AP200" i="8" s="1"/>
  <c r="F200" i="8" s="1"/>
  <c r="Y197" i="8"/>
  <c r="AV175" i="5"/>
  <c r="AG32" i="8"/>
  <c r="AS351" i="5"/>
  <c r="W247" i="8"/>
  <c r="AT235" i="5"/>
  <c r="V369" i="8"/>
  <c r="AT369" i="8" s="1"/>
  <c r="AS372" i="5"/>
  <c r="X354" i="8"/>
  <c r="AV354" i="8" s="1"/>
  <c r="AU355" i="5"/>
  <c r="BA200" i="5"/>
  <c r="AO18" i="8"/>
  <c r="AC50" i="2"/>
  <c r="AD364" i="8"/>
  <c r="AP364" i="8" s="1"/>
  <c r="F364" i="8" s="1"/>
  <c r="AP366" i="5"/>
  <c r="BA180" i="5"/>
  <c r="AO15" i="8"/>
  <c r="U369" i="8"/>
  <c r="AS369" i="8" s="1"/>
  <c r="AR372" i="5"/>
  <c r="Y347" i="8"/>
  <c r="AV347" i="5"/>
  <c r="R72" i="8"/>
  <c r="AN41" i="5"/>
  <c r="Z374" i="8"/>
  <c r="AW378" i="5"/>
  <c r="AD145" i="8"/>
  <c r="AP117" i="5"/>
  <c r="AS186" i="5"/>
  <c r="AG206" i="8"/>
  <c r="X297" i="8"/>
  <c r="AV297" i="8" s="1"/>
  <c r="AU290" i="5"/>
  <c r="Y267" i="8"/>
  <c r="AV258" i="5"/>
  <c r="W259" i="8"/>
  <c r="AT249" i="5"/>
  <c r="Z187" i="8"/>
  <c r="AX187" i="8" s="1"/>
  <c r="AW164" i="5"/>
  <c r="AA104" i="8"/>
  <c r="AX75" i="5"/>
  <c r="AX157" i="5"/>
  <c r="AA181" i="8"/>
  <c r="AC321" i="8"/>
  <c r="AZ319" i="5"/>
  <c r="AA72" i="8"/>
  <c r="AX41" i="5"/>
  <c r="AO288" i="8"/>
  <c r="BA281" i="5"/>
  <c r="AC211" i="8"/>
  <c r="AZ192" i="5"/>
  <c r="BA221" i="8"/>
  <c r="Q221" i="8" s="1"/>
  <c r="Z370" i="8"/>
  <c r="AX370" i="8" s="1"/>
  <c r="AW373" i="5"/>
  <c r="AD345" i="8"/>
  <c r="AP345" i="8" s="1"/>
  <c r="F345" i="8" s="1"/>
  <c r="AP345" i="5"/>
  <c r="AU287" i="5"/>
  <c r="X294" i="8"/>
  <c r="AV294" i="8" s="1"/>
  <c r="Z80" i="8"/>
  <c r="AX80" i="8" s="1"/>
  <c r="AW51" i="5"/>
  <c r="AW36" i="5"/>
  <c r="Z67" i="8"/>
  <c r="AX67" i="8" s="1"/>
  <c r="AR41" i="5"/>
  <c r="AF72" i="8"/>
  <c r="AR72" i="8" s="1"/>
  <c r="H72" i="8" s="1"/>
  <c r="AC245" i="8"/>
  <c r="AZ233" i="5"/>
  <c r="BA371" i="5"/>
  <c r="AO368" i="8"/>
  <c r="Y279" i="8"/>
  <c r="AV271" i="5"/>
  <c r="AK392" i="8"/>
  <c r="AW399" i="5"/>
  <c r="AC360" i="8"/>
  <c r="AZ361" i="5"/>
  <c r="R236" i="8"/>
  <c r="AN223" i="5"/>
  <c r="BA312" i="5"/>
  <c r="AO314" i="8"/>
  <c r="AX274" i="5"/>
  <c r="AA282" i="8"/>
  <c r="U187" i="8"/>
  <c r="AR164" i="5"/>
  <c r="W69" i="8"/>
  <c r="AT38" i="5"/>
  <c r="AL71" i="2"/>
  <c r="W210" i="8"/>
  <c r="AT191" i="5"/>
  <c r="X43" i="8"/>
  <c r="AV43" i="8" s="1"/>
  <c r="AU7" i="5"/>
  <c r="AN360" i="5"/>
  <c r="AB359" i="8"/>
  <c r="AY360" i="5"/>
  <c r="AW176" i="5"/>
  <c r="AK198" i="8"/>
  <c r="BA378" i="5"/>
  <c r="AO374" i="8"/>
  <c r="AX368" i="5"/>
  <c r="AA366" i="8"/>
  <c r="AY366" i="8" s="1"/>
  <c r="AC35" i="8"/>
  <c r="AZ374" i="5"/>
  <c r="AO81" i="8"/>
  <c r="BA52" i="5"/>
  <c r="W303" i="8"/>
  <c r="AT297" i="5"/>
  <c r="W209" i="8"/>
  <c r="AT189" i="5"/>
  <c r="AU17" i="5"/>
  <c r="X52" i="8"/>
  <c r="AC12" i="2"/>
  <c r="AD87" i="8"/>
  <c r="AP58" i="5"/>
  <c r="F134" i="8"/>
  <c r="U87" i="8"/>
  <c r="AR58" i="5"/>
  <c r="AF12" i="2"/>
  <c r="W57" i="8"/>
  <c r="AT24" i="5"/>
  <c r="AL38" i="2"/>
  <c r="AR220" i="5"/>
  <c r="AF233" i="8"/>
  <c r="AR233" i="8" s="1"/>
  <c r="H233" i="8" s="1"/>
  <c r="Z268" i="8"/>
  <c r="AX268" i="8" s="1"/>
  <c r="AW259" i="5"/>
  <c r="AC72" i="2"/>
  <c r="AP196" i="5"/>
  <c r="AD215" i="8"/>
  <c r="AO298" i="8"/>
  <c r="BA291" i="5"/>
  <c r="BA363" i="5"/>
  <c r="AO361" i="8"/>
  <c r="BA361" i="8" s="1"/>
  <c r="AX269" i="5"/>
  <c r="AA277" i="8"/>
  <c r="AX200" i="5"/>
  <c r="AA18" i="8"/>
  <c r="AQ148" i="5"/>
  <c r="AE12" i="8"/>
  <c r="AA61" i="8"/>
  <c r="AX29" i="5"/>
  <c r="AA276" i="8"/>
  <c r="AX268" i="5"/>
  <c r="AA48" i="8"/>
  <c r="AX13" i="5"/>
  <c r="BA316" i="5"/>
  <c r="AO318" i="8"/>
  <c r="AX119" i="8"/>
  <c r="N119" i="8" s="1"/>
  <c r="AC268" i="8"/>
  <c r="AZ259" i="5"/>
  <c r="V375" i="8"/>
  <c r="AT375" i="8" s="1"/>
  <c r="AS379" i="5"/>
  <c r="AF135" i="8"/>
  <c r="AR135" i="8" s="1"/>
  <c r="H135" i="8" s="1"/>
  <c r="AR106" i="5"/>
  <c r="AU88" i="8"/>
  <c r="K88" i="8" s="1"/>
  <c r="Z162" i="8"/>
  <c r="AW137" i="5"/>
  <c r="AC101" i="8"/>
  <c r="AZ72" i="5"/>
  <c r="AO230" i="8"/>
  <c r="BA217" i="5"/>
  <c r="R185" i="8"/>
  <c r="AN162" i="5"/>
  <c r="AN16" i="5"/>
  <c r="R51" i="8"/>
  <c r="AP49" i="5"/>
  <c r="AD7" i="8"/>
  <c r="W365" i="8"/>
  <c r="AT367" i="5"/>
  <c r="Y115" i="8"/>
  <c r="AV86" i="5"/>
  <c r="W8" i="8"/>
  <c r="AT113" i="5"/>
  <c r="BA108" i="5"/>
  <c r="AO137" i="8"/>
  <c r="AC345" i="8"/>
  <c r="AZ345" i="5"/>
  <c r="AA258" i="8"/>
  <c r="AX247" i="5"/>
  <c r="Y300" i="8"/>
  <c r="AV293" i="5"/>
  <c r="Z16" i="8"/>
  <c r="AW183" i="5"/>
  <c r="AX115" i="5"/>
  <c r="AA143" i="8"/>
  <c r="AF94" i="8"/>
  <c r="AR94" i="8" s="1"/>
  <c r="H94" i="8" s="1"/>
  <c r="AR65" i="5"/>
  <c r="U310" i="8"/>
  <c r="AR308" i="5"/>
  <c r="AA161" i="8"/>
  <c r="AX136" i="5"/>
  <c r="AC206" i="8"/>
  <c r="AZ186" i="5"/>
  <c r="AE118" i="8"/>
  <c r="AQ89" i="5"/>
  <c r="AO286" i="8"/>
  <c r="BA278" i="5"/>
  <c r="AO127" i="8"/>
  <c r="BA98" i="5"/>
  <c r="AO51" i="8"/>
  <c r="BA16" i="5"/>
  <c r="W256" i="8"/>
  <c r="AT245" i="5"/>
  <c r="W181" i="8"/>
  <c r="AT157" i="5"/>
  <c r="R216" i="8"/>
  <c r="AD255" i="8"/>
  <c r="AP244" i="5"/>
  <c r="R58" i="8"/>
  <c r="AN25" i="5"/>
  <c r="AC291" i="8"/>
  <c r="AZ284" i="5"/>
  <c r="AK38" i="8"/>
  <c r="AW407" i="5"/>
  <c r="AZ197" i="8"/>
  <c r="P197" i="8" s="1"/>
  <c r="P3" i="8"/>
  <c r="Y34" i="8"/>
  <c r="AW34" i="8" s="1"/>
  <c r="AV370" i="5"/>
  <c r="Y355" i="8"/>
  <c r="AV356" i="5"/>
  <c r="Z366" i="8"/>
  <c r="AW368" i="5"/>
  <c r="AS255" i="5"/>
  <c r="AG264" i="8"/>
  <c r="AD290" i="8"/>
  <c r="AP290" i="8" s="1"/>
  <c r="F290" i="8" s="1"/>
  <c r="AP283" i="5"/>
  <c r="AC278" i="8"/>
  <c r="AZ270" i="5"/>
  <c r="BA226" i="5"/>
  <c r="AO239" i="8"/>
  <c r="R281" i="8"/>
  <c r="AP281" i="8" s="1"/>
  <c r="AN273" i="5"/>
  <c r="AN191" i="5"/>
  <c r="N160" i="8"/>
  <c r="BA142" i="8"/>
  <c r="Q142" i="8" s="1"/>
  <c r="BA126" i="8"/>
  <c r="Q126" i="8" s="1"/>
  <c r="AV280" i="5"/>
  <c r="F189" i="8"/>
  <c r="AR352" i="5"/>
  <c r="AV95" i="5"/>
  <c r="BA342" i="8"/>
  <c r="Q342" i="8" s="1"/>
  <c r="M188" i="8"/>
  <c r="AN112" i="5"/>
  <c r="L170" i="8"/>
  <c r="F170" i="8"/>
  <c r="AZ284" i="8"/>
  <c r="P284" i="8" s="1"/>
  <c r="AN302" i="5"/>
  <c r="L22" i="8"/>
  <c r="N261" i="8"/>
  <c r="E8" i="3"/>
  <c r="AX261" i="5"/>
  <c r="AA270" i="8"/>
  <c r="AZ370" i="5"/>
  <c r="AN34" i="8"/>
  <c r="AY314" i="5"/>
  <c r="AM316" i="8"/>
  <c r="AY316" i="8" s="1"/>
  <c r="O316" i="8" s="1"/>
  <c r="AN314" i="5"/>
  <c r="S229" i="8"/>
  <c r="AP216" i="5"/>
  <c r="AP10" i="5"/>
  <c r="AD46" i="8"/>
  <c r="S155" i="8"/>
  <c r="AP130" i="5"/>
  <c r="X315" i="8"/>
  <c r="AV315" i="8" s="1"/>
  <c r="AU313" i="5"/>
  <c r="W164" i="8"/>
  <c r="AT139" i="5"/>
  <c r="AT271" i="5"/>
  <c r="AH279" i="8"/>
  <c r="AT279" i="8" s="1"/>
  <c r="J279" i="8" s="1"/>
  <c r="AC246" i="8"/>
  <c r="AZ234" i="5"/>
  <c r="AF183" i="8"/>
  <c r="AR183" i="8" s="1"/>
  <c r="H183" i="8" s="1"/>
  <c r="AR160" i="5"/>
  <c r="X183" i="8"/>
  <c r="AU160" i="5"/>
  <c r="X367" i="8"/>
  <c r="AV367" i="8" s="1"/>
  <c r="AU369" i="5"/>
  <c r="AX211" i="5"/>
  <c r="AA226" i="8"/>
  <c r="AW402" i="5"/>
  <c r="AK394" i="8"/>
  <c r="O202" i="5"/>
  <c r="AN202" i="5" s="1"/>
  <c r="AG220" i="8"/>
  <c r="X186" i="8"/>
  <c r="AV186" i="8" s="1"/>
  <c r="AU163" i="5"/>
  <c r="Y292" i="8"/>
  <c r="AV285" i="5"/>
  <c r="X211" i="8"/>
  <c r="AV211" i="8" s="1"/>
  <c r="AU192" i="5"/>
  <c r="W321" i="8"/>
  <c r="AU321" i="8" s="1"/>
  <c r="AT319" i="5"/>
  <c r="AA57" i="8"/>
  <c r="E24" i="3"/>
  <c r="AX24" i="5"/>
  <c r="AX165" i="5"/>
  <c r="AA188" i="8"/>
  <c r="Z214" i="8"/>
  <c r="AX214" i="8" s="1"/>
  <c r="AW195" i="5"/>
  <c r="W9" i="8"/>
  <c r="AT123" i="5"/>
  <c r="AV124" i="5"/>
  <c r="Y10" i="8"/>
  <c r="X332" i="8"/>
  <c r="AU332" i="5"/>
  <c r="AY344" i="5"/>
  <c r="AM344" i="8"/>
  <c r="AY344" i="8" s="1"/>
  <c r="O344" i="8" s="1"/>
  <c r="AN344" i="5"/>
  <c r="AF302" i="8"/>
  <c r="AR302" i="8" s="1"/>
  <c r="H302" i="8" s="1"/>
  <c r="AR295" i="5"/>
  <c r="Y320" i="8"/>
  <c r="AV318" i="5"/>
  <c r="AC9" i="8"/>
  <c r="AZ123" i="5"/>
  <c r="Y313" i="8"/>
  <c r="AV311" i="5"/>
  <c r="AA243" i="8"/>
  <c r="AX231" i="5"/>
  <c r="AX148" i="5"/>
  <c r="AA12" i="8"/>
  <c r="AN132" i="5"/>
  <c r="R157" i="8"/>
  <c r="AR39" i="5"/>
  <c r="AG7" i="2"/>
  <c r="AF7" i="2"/>
  <c r="AI7" i="2"/>
  <c r="AF70" i="8"/>
  <c r="AR70" i="8" s="1"/>
  <c r="H70" i="8" s="1"/>
  <c r="W49" i="8"/>
  <c r="AT14" i="5"/>
  <c r="X318" i="8"/>
  <c r="AV318" i="8" s="1"/>
  <c r="AU316" i="5"/>
  <c r="W373" i="8"/>
  <c r="AU373" i="8" s="1"/>
  <c r="AT377" i="5"/>
  <c r="W360" i="8"/>
  <c r="AT361" i="5"/>
  <c r="Z245" i="8"/>
  <c r="AX245" i="8" s="1"/>
  <c r="AW233" i="5"/>
  <c r="AC146" i="8"/>
  <c r="AZ118" i="5"/>
  <c r="Y230" i="8"/>
  <c r="AV217" i="5"/>
  <c r="BA366" i="5"/>
  <c r="AO364" i="8"/>
  <c r="W337" i="8"/>
  <c r="AT337" i="5"/>
  <c r="Y258" i="8"/>
  <c r="AV247" i="5"/>
  <c r="AO13" i="8"/>
  <c r="BA159" i="5"/>
  <c r="Y132" i="8"/>
  <c r="AV103" i="5"/>
  <c r="Z49" i="8"/>
  <c r="AX49" i="8" s="1"/>
  <c r="AW14" i="5"/>
  <c r="AK80" i="2"/>
  <c r="AG308" i="8"/>
  <c r="AS308" i="8" s="1"/>
  <c r="I308" i="8" s="1"/>
  <c r="AS306" i="5"/>
  <c r="AX106" i="5"/>
  <c r="AA135" i="8"/>
  <c r="U206" i="8"/>
  <c r="AR186" i="5"/>
  <c r="BJ95" i="2"/>
  <c r="AC215" i="8"/>
  <c r="AZ196" i="5"/>
  <c r="W147" i="8"/>
  <c r="AT119" i="5"/>
  <c r="AS265" i="5"/>
  <c r="AG27" i="8"/>
  <c r="W359" i="8"/>
  <c r="AU359" i="8" s="1"/>
  <c r="AT360" i="5"/>
  <c r="AC29" i="2"/>
  <c r="AD5" i="8"/>
  <c r="AP31" i="5"/>
  <c r="Z173" i="8"/>
  <c r="AX173" i="8" s="1"/>
  <c r="AW149" i="5"/>
  <c r="AF260" i="8"/>
  <c r="AR260" i="8" s="1"/>
  <c r="H260" i="8" s="1"/>
  <c r="AR250" i="5"/>
  <c r="AC72" i="8"/>
  <c r="AZ41" i="5"/>
  <c r="AC181" i="8"/>
  <c r="AZ157" i="5"/>
  <c r="AT176" i="5"/>
  <c r="AH198" i="8"/>
  <c r="AT198" i="8" s="1"/>
  <c r="J198" i="8" s="1"/>
  <c r="AC247" i="8"/>
  <c r="AZ235" i="5"/>
  <c r="AR158" i="5"/>
  <c r="AF182" i="8"/>
  <c r="AR182" i="8" s="1"/>
  <c r="H182" i="8" s="1"/>
  <c r="AB90" i="8"/>
  <c r="AY61" i="5"/>
  <c r="AO157" i="8"/>
  <c r="BA132" i="5"/>
  <c r="Y179" i="8"/>
  <c r="AV155" i="5"/>
  <c r="R182" i="8"/>
  <c r="AP182" i="8" s="1"/>
  <c r="AN158" i="5"/>
  <c r="Y288" i="8"/>
  <c r="AV281" i="5"/>
  <c r="AV77" i="5"/>
  <c r="Y106" i="8"/>
  <c r="BA158" i="5"/>
  <c r="AO182" i="8"/>
  <c r="Y234" i="8"/>
  <c r="AV221" i="5"/>
  <c r="U234" i="8"/>
  <c r="AR221" i="5"/>
  <c r="AC299" i="8"/>
  <c r="AZ292" i="5"/>
  <c r="X340" i="8"/>
  <c r="AV340" i="8" s="1"/>
  <c r="AU340" i="5"/>
  <c r="AC303" i="8"/>
  <c r="AZ297" i="5"/>
  <c r="AU227" i="5"/>
  <c r="X240" i="8"/>
  <c r="R12" i="8"/>
  <c r="AP12" i="8" s="1"/>
  <c r="AN148" i="5"/>
  <c r="AX147" i="5"/>
  <c r="AA172" i="8"/>
  <c r="AW86" i="5"/>
  <c r="Z115" i="8"/>
  <c r="AX115" i="8" s="1"/>
  <c r="BA79" i="5"/>
  <c r="AO108" i="8"/>
  <c r="Z79" i="8"/>
  <c r="AX79" i="8" s="1"/>
  <c r="AW50" i="5"/>
  <c r="AG310" i="8"/>
  <c r="AS308" i="5"/>
  <c r="AA91" i="8"/>
  <c r="AX62" i="5"/>
  <c r="X311" i="8"/>
  <c r="AV311" i="8" s="1"/>
  <c r="AU309" i="5"/>
  <c r="Y137" i="8"/>
  <c r="AV108" i="5"/>
  <c r="AX241" i="5"/>
  <c r="AA252" i="8"/>
  <c r="AO173" i="8"/>
  <c r="BA149" i="5"/>
  <c r="R255" i="8"/>
  <c r="AN244" i="5"/>
  <c r="E2" i="12"/>
  <c r="AD262" i="8"/>
  <c r="AP262" i="8" s="1"/>
  <c r="AP252" i="5"/>
  <c r="X151" i="8"/>
  <c r="AV151" i="8" s="1"/>
  <c r="AU126" i="5"/>
  <c r="Y274" i="8"/>
  <c r="AV266" i="5"/>
  <c r="Y207" i="8"/>
  <c r="AW207" i="8" s="1"/>
  <c r="AV187" i="5"/>
  <c r="BB95" i="2"/>
  <c r="X9" i="8"/>
  <c r="AU123" i="5"/>
  <c r="Y219" i="8"/>
  <c r="AV201" i="5"/>
  <c r="AS123" i="5"/>
  <c r="AG9" i="8"/>
  <c r="AX363" i="5"/>
  <c r="AA361" i="8"/>
  <c r="AY361" i="8" s="1"/>
  <c r="AX356" i="5"/>
  <c r="AA355" i="8"/>
  <c r="AY355" i="8" s="1"/>
  <c r="AD369" i="8"/>
  <c r="AP369" i="8" s="1"/>
  <c r="F369" i="8" s="1"/>
  <c r="AP372" i="5"/>
  <c r="AG234" i="8"/>
  <c r="AS221" i="5"/>
  <c r="AT400" i="5"/>
  <c r="AN400" i="5"/>
  <c r="AH393" i="8"/>
  <c r="AT393" i="8" s="1"/>
  <c r="J393" i="8" s="1"/>
  <c r="X333" i="8"/>
  <c r="AU333" i="5"/>
  <c r="Z301" i="8"/>
  <c r="AX301" i="8" s="1"/>
  <c r="AW294" i="5"/>
  <c r="AR63" i="5"/>
  <c r="AF92" i="8"/>
  <c r="AR92" i="8" s="1"/>
  <c r="H92" i="8" s="1"/>
  <c r="R65" i="8"/>
  <c r="AN34" i="5"/>
  <c r="AB21" i="8"/>
  <c r="AZ21" i="8" s="1"/>
  <c r="AY205" i="5"/>
  <c r="AL67" i="2"/>
  <c r="W374" i="8"/>
  <c r="AU374" i="8" s="1"/>
  <c r="AT378" i="5"/>
  <c r="AY336" i="5"/>
  <c r="AM336" i="8"/>
  <c r="AY336" i="8" s="1"/>
  <c r="O336" i="8" s="1"/>
  <c r="AN336" i="5"/>
  <c r="Y375" i="8"/>
  <c r="AV379" i="5"/>
  <c r="W145" i="8"/>
  <c r="AT117" i="5"/>
  <c r="AC205" i="8"/>
  <c r="AZ185" i="5"/>
  <c r="S234" i="8"/>
  <c r="AP221" i="5"/>
  <c r="Z303" i="8"/>
  <c r="AX303" i="8" s="1"/>
  <c r="AW297" i="5"/>
  <c r="Z216" i="8"/>
  <c r="AW197" i="5"/>
  <c r="BB86" i="2"/>
  <c r="AT404" i="5"/>
  <c r="AN404" i="5"/>
  <c r="AH396" i="8"/>
  <c r="AT396" i="8" s="1"/>
  <c r="J396" i="8" s="1"/>
  <c r="AP279" i="5"/>
  <c r="AD28" i="8"/>
  <c r="AP18" i="5"/>
  <c r="AD53" i="8"/>
  <c r="AW415" i="5"/>
  <c r="AK406" i="8"/>
  <c r="AS89" i="2"/>
  <c r="AC134" i="8"/>
  <c r="AZ105" i="5"/>
  <c r="BL89" i="2"/>
  <c r="Z229" i="8"/>
  <c r="AW216" i="5"/>
  <c r="AD203" i="8"/>
  <c r="AP203" i="8" s="1"/>
  <c r="F203" i="8" s="1"/>
  <c r="AN182" i="5"/>
  <c r="U338" i="8"/>
  <c r="AS338" i="8" s="1"/>
  <c r="AR338" i="5"/>
  <c r="AN357" i="5"/>
  <c r="AB356" i="8"/>
  <c r="AZ356" i="8" s="1"/>
  <c r="AY357" i="5"/>
  <c r="Y324" i="8"/>
  <c r="AV322" i="5"/>
  <c r="AX209" i="5"/>
  <c r="AA224" i="8"/>
  <c r="AX229" i="5"/>
  <c r="AA241" i="8"/>
  <c r="R163" i="8"/>
  <c r="AN138" i="5"/>
  <c r="Z319" i="8"/>
  <c r="AW317" i="5"/>
  <c r="AF79" i="2"/>
  <c r="U315" i="8"/>
  <c r="AR313" i="5"/>
  <c r="R275" i="8"/>
  <c r="AN267" i="5"/>
  <c r="AL313" i="8"/>
  <c r="AX311" i="5"/>
  <c r="AY306" i="5"/>
  <c r="AM308" i="8"/>
  <c r="AY308" i="8" s="1"/>
  <c r="O308" i="8" s="1"/>
  <c r="AN306" i="5"/>
  <c r="BA58" i="5"/>
  <c r="AO87" i="8"/>
  <c r="W265" i="8"/>
  <c r="AT256" i="5"/>
  <c r="AN84" i="5"/>
  <c r="R113" i="8"/>
  <c r="AC39" i="2"/>
  <c r="AD43" i="8"/>
  <c r="AP7" i="5"/>
  <c r="R56" i="8"/>
  <c r="AC348" i="8"/>
  <c r="AZ348" i="5"/>
  <c r="AN381" i="5"/>
  <c r="AB377" i="8"/>
  <c r="AZ377" i="8" s="1"/>
  <c r="AY381" i="5"/>
  <c r="AV205" i="8"/>
  <c r="L205" i="8" s="1"/>
  <c r="AQ95" i="2"/>
  <c r="Y251" i="8"/>
  <c r="AV239" i="5"/>
  <c r="BA213" i="5"/>
  <c r="AO228" i="8"/>
  <c r="Y344" i="8"/>
  <c r="AV344" i="5"/>
  <c r="AC259" i="8"/>
  <c r="AZ249" i="5"/>
  <c r="AU164" i="5"/>
  <c r="X187" i="8"/>
  <c r="AC156" i="8"/>
  <c r="AZ131" i="5"/>
  <c r="AP48" i="5"/>
  <c r="AD6" i="8"/>
  <c r="Z55" i="8"/>
  <c r="AX55" i="8" s="1"/>
  <c r="AW22" i="5"/>
  <c r="AL72" i="2"/>
  <c r="W215" i="8"/>
  <c r="AT196" i="5"/>
  <c r="AC152" i="8"/>
  <c r="AZ127" i="5"/>
  <c r="Y241" i="8"/>
  <c r="AV229" i="5"/>
  <c r="AL58" i="2"/>
  <c r="W242" i="8"/>
  <c r="AT230" i="5"/>
  <c r="W68" i="8"/>
  <c r="AT37" i="5"/>
  <c r="AN192" i="5"/>
  <c r="AB211" i="8"/>
  <c r="AY192" i="5"/>
  <c r="AS344" i="5"/>
  <c r="AG344" i="8"/>
  <c r="AC242" i="8"/>
  <c r="AZ230" i="5"/>
  <c r="Y172" i="8"/>
  <c r="AV147" i="5"/>
  <c r="Z130" i="8"/>
  <c r="AW101" i="5"/>
  <c r="AC391" i="8"/>
  <c r="AZ398" i="5"/>
  <c r="AC80" i="8"/>
  <c r="AZ51" i="5"/>
  <c r="AV36" i="5"/>
  <c r="Y67" i="8"/>
  <c r="U307" i="8"/>
  <c r="AR305" i="5"/>
  <c r="AF46" i="2"/>
  <c r="AO58" i="8"/>
  <c r="BA25" i="5"/>
  <c r="W233" i="8"/>
  <c r="AT220" i="5"/>
  <c r="AC20" i="8"/>
  <c r="AZ204" i="5"/>
  <c r="U373" i="8"/>
  <c r="AS373" i="8" s="1"/>
  <c r="AR377" i="5"/>
  <c r="V351" i="8"/>
  <c r="AT351" i="8" s="1"/>
  <c r="AS352" i="5"/>
  <c r="AP17" i="8"/>
  <c r="F17" i="8" s="1"/>
  <c r="AP338" i="5"/>
  <c r="AD338" i="8"/>
  <c r="AP338" i="8" s="1"/>
  <c r="F338" i="8" s="1"/>
  <c r="Y406" i="8"/>
  <c r="AV415" i="5"/>
  <c r="Y338" i="8"/>
  <c r="AV338" i="5"/>
  <c r="W282" i="8"/>
  <c r="AT274" i="5"/>
  <c r="AF170" i="8"/>
  <c r="AR170" i="8" s="1"/>
  <c r="H170" i="8" s="1"/>
  <c r="AR145" i="5"/>
  <c r="AA96" i="8"/>
  <c r="AX67" i="5"/>
  <c r="AD74" i="8"/>
  <c r="AP43" i="5"/>
  <c r="AC69" i="2"/>
  <c r="AA4" i="8"/>
  <c r="AX28" i="5"/>
  <c r="R137" i="8"/>
  <c r="AP137" i="8" s="1"/>
  <c r="AN108" i="5"/>
  <c r="AN288" i="5"/>
  <c r="AC4" i="8"/>
  <c r="AZ28" i="5"/>
  <c r="S224" i="8"/>
  <c r="AP209" i="5"/>
  <c r="BA121" i="5"/>
  <c r="AO149" i="8"/>
  <c r="AO177" i="8"/>
  <c r="BA153" i="5"/>
  <c r="W28" i="8"/>
  <c r="AU28" i="8" s="1"/>
  <c r="AT279" i="5"/>
  <c r="AP154" i="5"/>
  <c r="AD178" i="8"/>
  <c r="Y246" i="8"/>
  <c r="AV234" i="5"/>
  <c r="AF287" i="8"/>
  <c r="AR287" i="8" s="1"/>
  <c r="H287" i="8" s="1"/>
  <c r="AR280" i="5"/>
  <c r="U220" i="8"/>
  <c r="AR202" i="5"/>
  <c r="AF31" i="2"/>
  <c r="AY333" i="5"/>
  <c r="AM333" i="8"/>
  <c r="AY333" i="8" s="1"/>
  <c r="O333" i="8" s="1"/>
  <c r="AN333" i="5"/>
  <c r="D2" i="12"/>
  <c r="AT414" i="5"/>
  <c r="AH405" i="8"/>
  <c r="AT405" i="8" s="1"/>
  <c r="J405" i="8" s="1"/>
  <c r="AN414" i="5"/>
  <c r="U364" i="8"/>
  <c r="AS364" i="8" s="1"/>
  <c r="AF50" i="2"/>
  <c r="AR366" i="5"/>
  <c r="I309" i="8"/>
  <c r="X10" i="8"/>
  <c r="AU124" i="5"/>
  <c r="AC312" i="8"/>
  <c r="BA312" i="8" s="1"/>
  <c r="AZ310" i="5"/>
  <c r="X307" i="8"/>
  <c r="AV307" i="8" s="1"/>
  <c r="AU305" i="5"/>
  <c r="X285" i="8"/>
  <c r="AV285" i="8" s="1"/>
  <c r="AU277" i="5"/>
  <c r="W264" i="8"/>
  <c r="AT255" i="5"/>
  <c r="BA365" i="5"/>
  <c r="AO363" i="8"/>
  <c r="AS183" i="5"/>
  <c r="AG16" i="8"/>
  <c r="AS16" i="8" s="1"/>
  <c r="I16" i="8" s="1"/>
  <c r="AF48" i="2"/>
  <c r="U312" i="8"/>
  <c r="AR310" i="5"/>
  <c r="X379" i="8"/>
  <c r="AV379" i="8" s="1"/>
  <c r="AU383" i="5"/>
  <c r="AX295" i="5"/>
  <c r="AA302" i="8"/>
  <c r="AX238" i="5"/>
  <c r="AA250" i="8"/>
  <c r="W179" i="8"/>
  <c r="AT155" i="5"/>
  <c r="Y50" i="8"/>
  <c r="AV15" i="5"/>
  <c r="E19" i="3"/>
  <c r="AX202" i="5"/>
  <c r="AA220" i="8"/>
  <c r="X68" i="8"/>
  <c r="AU37" i="5"/>
  <c r="W133" i="8"/>
  <c r="AT104" i="5"/>
  <c r="AC343" i="8"/>
  <c r="AZ343" i="5"/>
  <c r="Y297" i="8"/>
  <c r="AV290" i="5"/>
  <c r="Z141" i="8"/>
  <c r="AW112" i="5"/>
  <c r="AF303" i="8"/>
  <c r="AR303" i="8" s="1"/>
  <c r="H303" i="8" s="1"/>
  <c r="AR297" i="5"/>
  <c r="AC286" i="8"/>
  <c r="AZ278" i="5"/>
  <c r="AC97" i="8"/>
  <c r="AZ68" i="5"/>
  <c r="AZ17" i="5"/>
  <c r="AC52" i="8"/>
  <c r="Z4" i="8"/>
  <c r="AW28" i="5"/>
  <c r="AR26" i="5"/>
  <c r="AF59" i="8"/>
  <c r="AR59" i="8" s="1"/>
  <c r="H59" i="8" s="1"/>
  <c r="AD82" i="8"/>
  <c r="AP53" i="5"/>
  <c r="AN309" i="5"/>
  <c r="AY309" i="5"/>
  <c r="AM311" i="8"/>
  <c r="AY311" i="8" s="1"/>
  <c r="O311" i="8" s="1"/>
  <c r="Y307" i="8"/>
  <c r="AV305" i="5"/>
  <c r="U41" i="8"/>
  <c r="AR4" i="5"/>
  <c r="AX381" i="5"/>
  <c r="AA377" i="8"/>
  <c r="U332" i="8"/>
  <c r="AR332" i="5"/>
  <c r="AN153" i="5"/>
  <c r="R177" i="8"/>
  <c r="AC22" i="2"/>
  <c r="AP94" i="5"/>
  <c r="AD123" i="8"/>
  <c r="AQ15" i="5"/>
  <c r="AE50" i="8"/>
  <c r="AQ50" i="8" s="1"/>
  <c r="AV238" i="8"/>
  <c r="AO271" i="8"/>
  <c r="BA262" i="5"/>
  <c r="R101" i="8"/>
  <c r="AN72" i="5"/>
  <c r="Y25" i="8"/>
  <c r="AV248" i="5"/>
  <c r="AD140" i="8"/>
  <c r="AP140" i="8" s="1"/>
  <c r="F140" i="8" s="1"/>
  <c r="AP111" i="5"/>
  <c r="Y199" i="8"/>
  <c r="AV177" i="5"/>
  <c r="AG330" i="8"/>
  <c r="AS329" i="5"/>
  <c r="R105" i="8"/>
  <c r="AN76" i="5"/>
  <c r="W249" i="8"/>
  <c r="AT237" i="5"/>
  <c r="V356" i="8"/>
  <c r="AT356" i="8" s="1"/>
  <c r="AS357" i="5"/>
  <c r="V370" i="8"/>
  <c r="AT370" i="8" s="1"/>
  <c r="AS373" i="5"/>
  <c r="X34" i="8"/>
  <c r="AV34" i="8" s="1"/>
  <c r="AU370" i="5"/>
  <c r="AO56" i="8"/>
  <c r="BA23" i="5"/>
  <c r="AD367" i="8"/>
  <c r="AP367" i="8" s="1"/>
  <c r="F367" i="8" s="1"/>
  <c r="AP369" i="5"/>
  <c r="U56" i="8"/>
  <c r="AF36" i="2"/>
  <c r="AR23" i="5"/>
  <c r="AO203" i="8"/>
  <c r="BA182" i="5"/>
  <c r="U370" i="8"/>
  <c r="AS370" i="8" s="1"/>
  <c r="AR373" i="5"/>
  <c r="Y328" i="8"/>
  <c r="AV327" i="5"/>
  <c r="R78" i="8"/>
  <c r="AN47" i="5"/>
  <c r="Z379" i="8"/>
  <c r="AW383" i="5"/>
  <c r="AP260" i="5"/>
  <c r="AD269" i="8"/>
  <c r="AC73" i="2"/>
  <c r="X302" i="8"/>
  <c r="AV302" i="8" s="1"/>
  <c r="AU295" i="5"/>
  <c r="Y227" i="8"/>
  <c r="AV212" i="5"/>
  <c r="AO258" i="8"/>
  <c r="BA258" i="8" s="1"/>
  <c r="BA247" i="5"/>
  <c r="AX110" i="5"/>
  <c r="AA139" i="8"/>
  <c r="E35" i="3"/>
  <c r="AA84" i="8"/>
  <c r="AX55" i="5"/>
  <c r="AX137" i="5"/>
  <c r="AA162" i="8"/>
  <c r="AC318" i="8"/>
  <c r="AZ316" i="5"/>
  <c r="AC17" i="8"/>
  <c r="AZ190" i="5"/>
  <c r="Z358" i="8"/>
  <c r="AW359" i="5"/>
  <c r="AD322" i="8"/>
  <c r="AP322" i="8" s="1"/>
  <c r="F322" i="8" s="1"/>
  <c r="AP320" i="5"/>
  <c r="X296" i="8"/>
  <c r="AV296" i="8" s="1"/>
  <c r="AU289" i="5"/>
  <c r="Z81" i="8"/>
  <c r="AX81" i="8" s="1"/>
  <c r="AW52" i="5"/>
  <c r="Z44" i="8"/>
  <c r="AX44" i="8" s="1"/>
  <c r="AW8" i="5"/>
  <c r="AF25" i="8"/>
  <c r="AR25" i="8" s="1"/>
  <c r="H25" i="8" s="1"/>
  <c r="AR248" i="5"/>
  <c r="AG25" i="2"/>
  <c r="AI25" i="2"/>
  <c r="AF25" i="2"/>
  <c r="AR100" i="5"/>
  <c r="AF129" i="8"/>
  <c r="AR129" i="8" s="1"/>
  <c r="H129" i="8" s="1"/>
  <c r="AC198" i="8"/>
  <c r="AZ176" i="5"/>
  <c r="BA362" i="5"/>
  <c r="AO33" i="8"/>
  <c r="Y245" i="8"/>
  <c r="AW245" i="8" s="1"/>
  <c r="AV233" i="5"/>
  <c r="AC370" i="8"/>
  <c r="AZ373" i="5"/>
  <c r="S196" i="8"/>
  <c r="AP174" i="5"/>
  <c r="R252" i="8"/>
  <c r="AN241" i="5"/>
  <c r="BA311" i="5"/>
  <c r="AO313" i="8"/>
  <c r="W263" i="8"/>
  <c r="AT253" i="5"/>
  <c r="AX134" i="5"/>
  <c r="AA159" i="8"/>
  <c r="AE171" i="8"/>
  <c r="AQ171" i="8" s="1"/>
  <c r="AQ146" i="5"/>
  <c r="AN359" i="5"/>
  <c r="AB358" i="8"/>
  <c r="AZ358" i="8" s="1"/>
  <c r="AY359" i="5"/>
  <c r="BA374" i="5"/>
  <c r="AO35" i="8"/>
  <c r="AC379" i="8"/>
  <c r="AZ383" i="5"/>
  <c r="AO121" i="8"/>
  <c r="BA92" i="5"/>
  <c r="W16" i="8"/>
  <c r="AT183" i="5"/>
  <c r="W216" i="8"/>
  <c r="AU216" i="8" s="1"/>
  <c r="AT197" i="5"/>
  <c r="AL30" i="2"/>
  <c r="AE230" i="8"/>
  <c r="AQ217" i="5"/>
  <c r="AC30" i="2"/>
  <c r="AD216" i="8"/>
  <c r="AP197" i="5"/>
  <c r="P20" i="8"/>
  <c r="X259" i="8"/>
  <c r="AV259" i="8" s="1"/>
  <c r="AU249" i="5"/>
  <c r="X220" i="8"/>
  <c r="AU202" i="5"/>
  <c r="AN55" i="5"/>
  <c r="Z267" i="8"/>
  <c r="AX267" i="8" s="1"/>
  <c r="AW258" i="5"/>
  <c r="AR219" i="5"/>
  <c r="AF232" i="8"/>
  <c r="AR232" i="8" s="1"/>
  <c r="H232" i="8" s="1"/>
  <c r="Z269" i="8"/>
  <c r="AW260" i="5"/>
  <c r="AD371" i="8"/>
  <c r="AP371" i="8" s="1"/>
  <c r="F371" i="8" s="1"/>
  <c r="AP375" i="5"/>
  <c r="AO295" i="8"/>
  <c r="BA288" i="5"/>
  <c r="Y401" i="8"/>
  <c r="AV410" i="5"/>
  <c r="AX246" i="5"/>
  <c r="AA257" i="8"/>
  <c r="E13" i="3"/>
  <c r="AX218" i="5"/>
  <c r="AA231" i="8"/>
  <c r="Y191" i="8"/>
  <c r="AV168" i="5"/>
  <c r="AC157" i="8"/>
  <c r="AZ132" i="5"/>
  <c r="AC19" i="2"/>
  <c r="S45" i="8"/>
  <c r="AP9" i="5"/>
  <c r="V379" i="8"/>
  <c r="AS383" i="5"/>
  <c r="AW18" i="5"/>
  <c r="Z53" i="8"/>
  <c r="AC262" i="8"/>
  <c r="AZ252" i="5"/>
  <c r="AD121" i="8"/>
  <c r="AP92" i="5"/>
  <c r="BA155" i="5"/>
  <c r="AO179" i="8"/>
  <c r="AC335" i="8"/>
  <c r="AZ335" i="5"/>
  <c r="R127" i="8"/>
  <c r="AN98" i="5"/>
  <c r="AN17" i="5"/>
  <c r="R52" i="8"/>
  <c r="AD71" i="8"/>
  <c r="AP40" i="5"/>
  <c r="AK146" i="8"/>
  <c r="AW118" i="5"/>
  <c r="Y112" i="8"/>
  <c r="AV83" i="5"/>
  <c r="W67" i="8"/>
  <c r="AT36" i="5"/>
  <c r="AO147" i="8"/>
  <c r="BA119" i="5"/>
  <c r="AC330" i="8"/>
  <c r="AZ329" i="5"/>
  <c r="AC234" i="8"/>
  <c r="AZ221" i="5"/>
  <c r="U21" i="8"/>
  <c r="AR205" i="5"/>
  <c r="AF34" i="2"/>
  <c r="AO249" i="8"/>
  <c r="BA249" i="8" s="1"/>
  <c r="BA237" i="5"/>
  <c r="AC212" i="8"/>
  <c r="BA212" i="8" s="1"/>
  <c r="AZ193" i="5"/>
  <c r="AR124" i="5"/>
  <c r="AF10" i="8"/>
  <c r="AR10" i="8" s="1"/>
  <c r="H10" i="8" s="1"/>
  <c r="X128" i="8"/>
  <c r="AV128" i="8" s="1"/>
  <c r="AU99" i="5"/>
  <c r="AY94" i="8"/>
  <c r="O94" i="8" s="1"/>
  <c r="Z87" i="8"/>
  <c r="AW58" i="5"/>
  <c r="N89" i="8"/>
  <c r="U318" i="8"/>
  <c r="AR316" i="5"/>
  <c r="AX144" i="5"/>
  <c r="AA169" i="8"/>
  <c r="AC223" i="8"/>
  <c r="AZ208" i="5"/>
  <c r="AZ296" i="8"/>
  <c r="P296" i="8" s="1"/>
  <c r="AP124" i="5"/>
  <c r="AD10" i="8"/>
  <c r="AO255" i="8"/>
  <c r="BA244" i="5"/>
  <c r="AO125" i="8"/>
  <c r="BA96" i="5"/>
  <c r="AO52" i="8"/>
  <c r="BA17" i="5"/>
  <c r="W146" i="8"/>
  <c r="AT118" i="5"/>
  <c r="W168" i="8"/>
  <c r="AT143" i="5"/>
  <c r="AN195" i="5"/>
  <c r="R214" i="8"/>
  <c r="AD161" i="8"/>
  <c r="AP136" i="5"/>
  <c r="AC219" i="8"/>
  <c r="AZ201" i="5"/>
  <c r="AQ110" i="5"/>
  <c r="AE139" i="8"/>
  <c r="AK391" i="8"/>
  <c r="AW398" i="5"/>
  <c r="Y361" i="8"/>
  <c r="AV363" i="5"/>
  <c r="Z353" i="8"/>
  <c r="AW354" i="5"/>
  <c r="AD289" i="8"/>
  <c r="AP289" i="8" s="1"/>
  <c r="F289" i="8" s="1"/>
  <c r="AP282" i="5"/>
  <c r="AC273" i="8"/>
  <c r="AZ264" i="5"/>
  <c r="AO24" i="8"/>
  <c r="BA228" i="5"/>
  <c r="R23" i="8"/>
  <c r="AP23" i="8" s="1"/>
  <c r="AN215" i="5"/>
  <c r="AT375" i="5"/>
  <c r="L229" i="8"/>
  <c r="AY187" i="8"/>
  <c r="O187" i="8" s="1"/>
  <c r="AW164" i="8"/>
  <c r="M164" i="8" s="1"/>
  <c r="AN253" i="5"/>
  <c r="AU218" i="8"/>
  <c r="K218" i="8" s="1"/>
  <c r="M287" i="8"/>
  <c r="AV22" i="5"/>
  <c r="AN166" i="5"/>
  <c r="AV237" i="5"/>
  <c r="I351" i="8"/>
  <c r="P220" i="8"/>
  <c r="AW124" i="8"/>
  <c r="M124" i="8" s="1"/>
  <c r="AZ151" i="5"/>
  <c r="AY133" i="8"/>
  <c r="O133" i="8" s="1"/>
  <c r="BA131" i="8"/>
  <c r="Q131" i="8" s="1"/>
  <c r="AV71" i="5"/>
  <c r="AT324" i="5"/>
  <c r="L156" i="8"/>
  <c r="N260" i="8"/>
  <c r="AV32" i="5"/>
  <c r="AP164" i="5"/>
  <c r="AN276" i="5"/>
  <c r="N309" i="8"/>
  <c r="BA150" i="8"/>
  <c r="Q150" i="8" s="1"/>
  <c r="I159" i="8"/>
  <c r="AN159" i="5"/>
  <c r="AU367" i="5"/>
  <c r="AX234" i="5"/>
  <c r="AA246" i="8"/>
  <c r="AP233" i="5"/>
  <c r="AD245" i="8"/>
  <c r="AP245" i="8" s="1"/>
  <c r="F245" i="8" s="1"/>
  <c r="X267" i="8"/>
  <c r="AV267" i="8" s="1"/>
  <c r="AU258" i="5"/>
  <c r="R267" i="8"/>
  <c r="AN258" i="5"/>
  <c r="X123" i="8"/>
  <c r="AV123" i="8" s="1"/>
  <c r="AU94" i="5"/>
  <c r="R302" i="8"/>
  <c r="AN295" i="5"/>
  <c r="X31" i="8"/>
  <c r="AV31" i="8" s="1"/>
  <c r="AU331" i="5"/>
  <c r="AF256" i="8"/>
  <c r="AR256" i="8" s="1"/>
  <c r="H256" i="8" s="1"/>
  <c r="AR245" i="5"/>
  <c r="S174" i="8"/>
  <c r="AQ174" i="8" s="1"/>
  <c r="AP150" i="5"/>
  <c r="AC19" i="8"/>
  <c r="AZ203" i="5"/>
  <c r="Y24" i="8"/>
  <c r="AV228" i="5"/>
  <c r="AN227" i="5"/>
  <c r="R240" i="8"/>
  <c r="W144" i="8"/>
  <c r="AT116" i="5"/>
  <c r="AG318" i="8"/>
  <c r="AS316" i="5"/>
  <c r="BA61" i="5"/>
  <c r="AO90" i="8"/>
  <c r="Y271" i="8"/>
  <c r="AV262" i="5"/>
  <c r="X133" i="5"/>
  <c r="P2" i="12"/>
  <c r="Y201" i="8"/>
  <c r="AV179" i="5"/>
  <c r="AN229" i="5"/>
  <c r="R241" i="8"/>
  <c r="AP241" i="8" s="1"/>
  <c r="W133" i="5"/>
  <c r="AJ158" i="8" s="1"/>
  <c r="AV158" i="8" s="1"/>
  <c r="L158" i="8" s="1"/>
  <c r="O2" i="12"/>
  <c r="AX371" i="5"/>
  <c r="AA368" i="8"/>
  <c r="AC42" i="2"/>
  <c r="S23" i="8"/>
  <c r="AP215" i="5"/>
  <c r="AD361" i="8"/>
  <c r="AP361" i="8" s="1"/>
  <c r="F361" i="8" s="1"/>
  <c r="AP363" i="5"/>
  <c r="AS228" i="5"/>
  <c r="AG24" i="8"/>
  <c r="AS24" i="8" s="1"/>
  <c r="I24" i="8" s="1"/>
  <c r="AD334" i="8"/>
  <c r="AP334" i="8" s="1"/>
  <c r="F334" i="8" s="1"/>
  <c r="AP334" i="5"/>
  <c r="AO234" i="8"/>
  <c r="BA221" i="5"/>
  <c r="AC201" i="8"/>
  <c r="AZ179" i="5"/>
  <c r="AX96" i="5"/>
  <c r="AA125" i="8"/>
  <c r="AV76" i="5"/>
  <c r="Y105" i="8"/>
  <c r="AV29" i="5"/>
  <c r="Y61" i="8"/>
  <c r="AN316" i="5"/>
  <c r="AY316" i="5"/>
  <c r="AM318" i="8"/>
  <c r="AY318" i="8" s="1"/>
  <c r="O318" i="8" s="1"/>
  <c r="Y373" i="8"/>
  <c r="AV377" i="5"/>
  <c r="AT11" i="5"/>
  <c r="W47" i="8"/>
  <c r="AC106" i="8"/>
  <c r="AZ77" i="5"/>
  <c r="AO248" i="8"/>
  <c r="BA236" i="5"/>
  <c r="Z195" i="8"/>
  <c r="AW173" i="5"/>
  <c r="Z213" i="8"/>
  <c r="AW194" i="5"/>
  <c r="AC82" i="8"/>
  <c r="AZ53" i="5"/>
  <c r="Z133" i="5"/>
  <c r="Q2" i="12"/>
  <c r="Q222" i="8"/>
  <c r="AP162" i="5"/>
  <c r="AD185" i="8"/>
  <c r="AC28" i="2"/>
  <c r="AP16" i="5"/>
  <c r="AD51" i="8"/>
  <c r="AC67" i="8"/>
  <c r="AZ36" i="5"/>
  <c r="BA218" i="5"/>
  <c r="AO231" i="8"/>
  <c r="Z23" i="8"/>
  <c r="AX23" i="8" s="1"/>
  <c r="AW215" i="5"/>
  <c r="AN79" i="5"/>
  <c r="AD108" i="8"/>
  <c r="AP108" i="8" s="1"/>
  <c r="F108" i="8" s="1"/>
  <c r="U339" i="8"/>
  <c r="AR339" i="5"/>
  <c r="AX228" i="5"/>
  <c r="AA24" i="8"/>
  <c r="BA172" i="5"/>
  <c r="AO14" i="8"/>
  <c r="W115" i="8"/>
  <c r="AT86" i="5"/>
  <c r="BA48" i="5"/>
  <c r="AO6" i="8"/>
  <c r="BA6" i="8" s="1"/>
  <c r="Q6" i="8" s="1"/>
  <c r="AA39" i="8"/>
  <c r="AX2" i="5"/>
  <c r="AG67" i="2"/>
  <c r="AI67" i="2"/>
  <c r="AF374" i="8"/>
  <c r="AR374" i="8" s="1"/>
  <c r="H374" i="8" s="1"/>
  <c r="AT127" i="5"/>
  <c r="R27" i="8"/>
  <c r="AN265" i="5"/>
  <c r="AX309" i="5"/>
  <c r="AL311" i="8"/>
  <c r="AO103" i="8"/>
  <c r="BA74" i="5"/>
  <c r="W178" i="8"/>
  <c r="AT154" i="5"/>
  <c r="W193" i="8"/>
  <c r="AT170" i="5"/>
  <c r="R110" i="8"/>
  <c r="AN81" i="5"/>
  <c r="R279" i="8"/>
  <c r="AP279" i="8" s="1"/>
  <c r="AN271" i="5"/>
  <c r="AC305" i="8"/>
  <c r="BA305" i="8" s="1"/>
  <c r="AZ303" i="5"/>
  <c r="AN379" i="5"/>
  <c r="AB375" i="8"/>
  <c r="AZ375" i="8" s="1"/>
  <c r="AY379" i="5"/>
  <c r="AO207" i="8"/>
  <c r="BA187" i="5"/>
  <c r="Y308" i="8"/>
  <c r="AV306" i="5"/>
  <c r="AD362" i="8"/>
  <c r="AP362" i="8" s="1"/>
  <c r="F362" i="8" s="1"/>
  <c r="AP364" i="5"/>
  <c r="R265" i="8"/>
  <c r="AN256" i="5"/>
  <c r="Y281" i="8"/>
  <c r="AV273" i="5"/>
  <c r="AO202" i="8"/>
  <c r="BA181" i="5"/>
  <c r="R174" i="8"/>
  <c r="AN150" i="5"/>
  <c r="AF100" i="8"/>
  <c r="AR100" i="8" s="1"/>
  <c r="H100" i="8" s="1"/>
  <c r="AR71" i="5"/>
  <c r="W54" i="8"/>
  <c r="AT21" i="5"/>
  <c r="AD41" i="8"/>
  <c r="AP4" i="5"/>
  <c r="AC117" i="8"/>
  <c r="AZ88" i="5"/>
  <c r="Y242" i="8"/>
  <c r="AV230" i="5"/>
  <c r="AN269" i="5"/>
  <c r="AB277" i="8"/>
  <c r="AZ277" i="8" s="1"/>
  <c r="AY269" i="5"/>
  <c r="AC166" i="8"/>
  <c r="AZ141" i="5"/>
  <c r="AW76" i="5"/>
  <c r="Z105" i="8"/>
  <c r="AC387" i="8"/>
  <c r="AZ394" i="5"/>
  <c r="Y40" i="8"/>
  <c r="AV3" i="5"/>
  <c r="R249" i="8"/>
  <c r="AN237" i="5"/>
  <c r="R123" i="8"/>
  <c r="AN94" i="5"/>
  <c r="Y387" i="8"/>
  <c r="AV394" i="5"/>
  <c r="AO59" i="8"/>
  <c r="BA26" i="5"/>
  <c r="W232" i="8"/>
  <c r="AT219" i="5"/>
  <c r="AC21" i="8"/>
  <c r="AZ205" i="5"/>
  <c r="U371" i="8"/>
  <c r="AS371" i="8" s="1"/>
  <c r="AR375" i="5"/>
  <c r="V367" i="8"/>
  <c r="AT367" i="8" s="1"/>
  <c r="AS369" i="5"/>
  <c r="Y396" i="8"/>
  <c r="AV404" i="5"/>
  <c r="AP339" i="5"/>
  <c r="AD339" i="8"/>
  <c r="AP339" i="8" s="1"/>
  <c r="F339" i="8" s="1"/>
  <c r="Y395" i="8"/>
  <c r="AV403" i="5"/>
  <c r="R22" i="8"/>
  <c r="AP22" i="8" s="1"/>
  <c r="AN214" i="5"/>
  <c r="AL197" i="8"/>
  <c r="AX197" i="8" s="1"/>
  <c r="N197" i="8" s="1"/>
  <c r="AX175" i="5"/>
  <c r="S202" i="8"/>
  <c r="AQ202" i="8" s="1"/>
  <c r="AP181" i="5"/>
  <c r="Y91" i="8"/>
  <c r="AV62" i="5"/>
  <c r="AA60" i="8"/>
  <c r="AX27" i="5"/>
  <c r="AN119" i="5"/>
  <c r="R147" i="8"/>
  <c r="AP147" i="8" s="1"/>
  <c r="S22" i="8"/>
  <c r="AP214" i="5"/>
  <c r="AO146" i="8"/>
  <c r="BA118" i="5"/>
  <c r="AO181" i="8"/>
  <c r="BA157" i="5"/>
  <c r="W286" i="8"/>
  <c r="AT278" i="5"/>
  <c r="W254" i="8"/>
  <c r="AT243" i="5"/>
  <c r="Y248" i="8"/>
  <c r="AV236" i="5"/>
  <c r="AF8" i="8"/>
  <c r="AR8" i="8" s="1"/>
  <c r="H8" i="8" s="1"/>
  <c r="AR113" i="5"/>
  <c r="BA280" i="5"/>
  <c r="AO287" i="8"/>
  <c r="AN346" i="5"/>
  <c r="AY346" i="5"/>
  <c r="AM346" i="8"/>
  <c r="AY346" i="8" s="1"/>
  <c r="O346" i="8" s="1"/>
  <c r="S233" i="8"/>
  <c r="AP220" i="5"/>
  <c r="AT405" i="5"/>
  <c r="AH397" i="8"/>
  <c r="AT397" i="8" s="1"/>
  <c r="J397" i="8" s="1"/>
  <c r="AN405" i="5"/>
  <c r="U363" i="8"/>
  <c r="AR365" i="5"/>
  <c r="X74" i="8"/>
  <c r="AU43" i="5"/>
  <c r="J2" i="12"/>
  <c r="X272" i="8"/>
  <c r="AU263" i="5"/>
  <c r="W109" i="8"/>
  <c r="AT80" i="5"/>
  <c r="BA353" i="5"/>
  <c r="AO352" i="8"/>
  <c r="BA352" i="8" s="1"/>
  <c r="Q352" i="8" s="1"/>
  <c r="Z351" i="8"/>
  <c r="AX351" i="8" s="1"/>
  <c r="AW352" i="5"/>
  <c r="AA261" i="8"/>
  <c r="AX251" i="5"/>
  <c r="Z192" i="8"/>
  <c r="AX192" i="8" s="1"/>
  <c r="AW169" i="5"/>
  <c r="AX138" i="5"/>
  <c r="AA163" i="8"/>
  <c r="AP95" i="5"/>
  <c r="AD124" i="8"/>
  <c r="AW47" i="5"/>
  <c r="Z78" i="8"/>
  <c r="AO191" i="8"/>
  <c r="BA168" i="5"/>
  <c r="AX152" i="5"/>
  <c r="AA176" i="8"/>
  <c r="AC344" i="8"/>
  <c r="AZ344" i="5"/>
  <c r="N131" i="8"/>
  <c r="Z140" i="8"/>
  <c r="AX140" i="8" s="1"/>
  <c r="AW111" i="5"/>
  <c r="AR74" i="5"/>
  <c r="AF103" i="8"/>
  <c r="AR103" i="8" s="1"/>
  <c r="H103" i="8" s="1"/>
  <c r="AC255" i="8"/>
  <c r="AZ244" i="5"/>
  <c r="AC99" i="8"/>
  <c r="AZ70" i="5"/>
  <c r="AC53" i="8"/>
  <c r="AZ18" i="5"/>
  <c r="AF58" i="8"/>
  <c r="AR58" i="8" s="1"/>
  <c r="H58" i="8" s="1"/>
  <c r="AR25" i="5"/>
  <c r="AD62" i="8"/>
  <c r="AP62" i="8" s="1"/>
  <c r="F62" i="8" s="1"/>
  <c r="AP30" i="5"/>
  <c r="U216" i="8"/>
  <c r="AR197" i="5"/>
  <c r="AF30" i="2"/>
  <c r="AY312" i="5"/>
  <c r="AM314" i="8"/>
  <c r="AY314" i="8" s="1"/>
  <c r="O314" i="8" s="1"/>
  <c r="AN312" i="5"/>
  <c r="BA204" i="5"/>
  <c r="AO20" i="8"/>
  <c r="AX382" i="5"/>
  <c r="AA378" i="8"/>
  <c r="AA360" i="8"/>
  <c r="AY360" i="8" s="1"/>
  <c r="AX361" i="5"/>
  <c r="AY273" i="8"/>
  <c r="O273" i="8" s="1"/>
  <c r="Z218" i="8"/>
  <c r="AW199" i="5"/>
  <c r="BA166" i="5"/>
  <c r="AO189" i="8"/>
  <c r="AA173" i="8"/>
  <c r="AX149" i="5"/>
  <c r="AR64" i="5"/>
  <c r="AF93" i="8"/>
  <c r="AR93" i="8" s="1"/>
  <c r="H93" i="8" s="1"/>
  <c r="M89" i="8"/>
  <c r="W350" i="8"/>
  <c r="AU350" i="8" s="1"/>
  <c r="AT350" i="5"/>
  <c r="K221" i="8"/>
  <c r="S273" i="8"/>
  <c r="AP264" i="5"/>
  <c r="AO270" i="8"/>
  <c r="BA270" i="8" s="1"/>
  <c r="Q270" i="8" s="1"/>
  <c r="BA261" i="5"/>
  <c r="AD21" i="2"/>
  <c r="AQ90" i="5"/>
  <c r="T119" i="8"/>
  <c r="AR119" i="8" s="1"/>
  <c r="Y284" i="8"/>
  <c r="AV276" i="5"/>
  <c r="AP126" i="5"/>
  <c r="AD151" i="8"/>
  <c r="AV129" i="5"/>
  <c r="Y154" i="8"/>
  <c r="AG346" i="8"/>
  <c r="AS346" i="5"/>
  <c r="W291" i="8"/>
  <c r="AT284" i="5"/>
  <c r="W19" i="8"/>
  <c r="AL32" i="2"/>
  <c r="AT203" i="5"/>
  <c r="U130" i="8"/>
  <c r="AR101" i="5"/>
  <c r="V354" i="8"/>
  <c r="AT354" i="8" s="1"/>
  <c r="AS355" i="5"/>
  <c r="V358" i="8"/>
  <c r="AS359" i="5"/>
  <c r="W324" i="8"/>
  <c r="AT322" i="5"/>
  <c r="AD352" i="8"/>
  <c r="AP352" i="8" s="1"/>
  <c r="F352" i="8" s="1"/>
  <c r="AP353" i="5"/>
  <c r="BA185" i="5"/>
  <c r="AO205" i="8"/>
  <c r="AP12" i="5"/>
  <c r="S3" i="8"/>
  <c r="U368" i="8"/>
  <c r="AR371" i="5"/>
  <c r="Y312" i="8"/>
  <c r="AV310" i="5"/>
  <c r="AN40" i="5"/>
  <c r="R71" i="8"/>
  <c r="AP171" i="5"/>
  <c r="AD194" i="8"/>
  <c r="AP194" i="8" s="1"/>
  <c r="F194" i="8" s="1"/>
  <c r="X299" i="8"/>
  <c r="AU292" i="5"/>
  <c r="X378" i="8"/>
  <c r="AV378" i="8" s="1"/>
  <c r="AU382" i="5"/>
  <c r="Y225" i="8"/>
  <c r="AV210" i="5"/>
  <c r="U285" i="8"/>
  <c r="AR277" i="5"/>
  <c r="AX170" i="5"/>
  <c r="AA193" i="8"/>
  <c r="Z202" i="8"/>
  <c r="AW181" i="5"/>
  <c r="AX114" i="5"/>
  <c r="AA142" i="8"/>
  <c r="BA71" i="5"/>
  <c r="AO100" i="8"/>
  <c r="AN36" i="5"/>
  <c r="AY36" i="5"/>
  <c r="AB67" i="8"/>
  <c r="AX129" i="5"/>
  <c r="AA154" i="8"/>
  <c r="AC320" i="8"/>
  <c r="AZ318" i="5"/>
  <c r="AC189" i="8"/>
  <c r="AZ166" i="5"/>
  <c r="AZ87" i="5"/>
  <c r="Z357" i="8"/>
  <c r="AX357" i="8" s="1"/>
  <c r="AW358" i="5"/>
  <c r="AP329" i="5"/>
  <c r="AD330" i="8"/>
  <c r="AP330" i="8" s="1"/>
  <c r="F330" i="8" s="1"/>
  <c r="X180" i="8"/>
  <c r="AU156" i="5"/>
  <c r="Z40" i="8"/>
  <c r="AW3" i="5"/>
  <c r="AR76" i="5"/>
  <c r="AF105" i="8"/>
  <c r="AR105" i="8" s="1"/>
  <c r="H105" i="8" s="1"/>
  <c r="AC208" i="8"/>
  <c r="AZ188" i="5"/>
  <c r="O205" i="5"/>
  <c r="AG21" i="8"/>
  <c r="Y208" i="8"/>
  <c r="AV188" i="5"/>
  <c r="AC369" i="8"/>
  <c r="AZ372" i="5"/>
  <c r="U280" i="8"/>
  <c r="AR272" i="5"/>
  <c r="S166" i="8"/>
  <c r="AP141" i="5"/>
  <c r="Y215" i="8"/>
  <c r="AV196" i="5"/>
  <c r="W364" i="8"/>
  <c r="AL50" i="2"/>
  <c r="AT366" i="5"/>
  <c r="AX270" i="5"/>
  <c r="AA278" i="8"/>
  <c r="AX176" i="5"/>
  <c r="AL198" i="8"/>
  <c r="AX198" i="8" s="1"/>
  <c r="N198" i="8" s="1"/>
  <c r="AO188" i="8"/>
  <c r="BA188" i="8" s="1"/>
  <c r="Q188" i="8" s="1"/>
  <c r="BA165" i="5"/>
  <c r="AA137" i="8"/>
  <c r="AX108" i="5"/>
  <c r="AU192" i="8"/>
  <c r="K192" i="8" s="1"/>
  <c r="AN358" i="5"/>
  <c r="AB357" i="8"/>
  <c r="AZ357" i="8" s="1"/>
  <c r="AY358" i="5"/>
  <c r="AK90" i="8"/>
  <c r="AW61" i="5"/>
  <c r="W332" i="8"/>
  <c r="AU332" i="8" s="1"/>
  <c r="AT332" i="5"/>
  <c r="AC375" i="8"/>
  <c r="AZ379" i="5"/>
  <c r="AO111" i="8"/>
  <c r="BA82" i="5"/>
  <c r="W204" i="8"/>
  <c r="AT184" i="5"/>
  <c r="W217" i="8"/>
  <c r="AU217" i="8" s="1"/>
  <c r="AT198" i="5"/>
  <c r="AE229" i="8"/>
  <c r="AQ216" i="5"/>
  <c r="AD214" i="8"/>
  <c r="AP195" i="5"/>
  <c r="X221" i="8"/>
  <c r="AU206" i="5"/>
  <c r="X163" i="8"/>
  <c r="AV163" i="8" s="1"/>
  <c r="AU138" i="5"/>
  <c r="Z22" i="8"/>
  <c r="AX22" i="8" s="1"/>
  <c r="AW214" i="5"/>
  <c r="AF296" i="8"/>
  <c r="AR296" i="8" s="1"/>
  <c r="H296" i="8" s="1"/>
  <c r="AR289" i="5"/>
  <c r="AR103" i="5"/>
  <c r="AF132" i="8"/>
  <c r="AR132" i="8" s="1"/>
  <c r="H132" i="8" s="1"/>
  <c r="Z27" i="8"/>
  <c r="AX27" i="8" s="1"/>
  <c r="AW265" i="5"/>
  <c r="AP382" i="5"/>
  <c r="AD378" i="8"/>
  <c r="AP378" i="8" s="1"/>
  <c r="F378" i="8" s="1"/>
  <c r="AO299" i="8"/>
  <c r="BA292" i="5"/>
  <c r="AO267" i="8"/>
  <c r="BA258" i="5"/>
  <c r="AY144" i="8"/>
  <c r="O144" i="8" s="1"/>
  <c r="AY47" i="8"/>
  <c r="O47" i="8" s="1"/>
  <c r="AX250" i="5"/>
  <c r="AA260" i="8"/>
  <c r="Y152" i="8"/>
  <c r="AV127" i="5"/>
  <c r="AC394" i="8"/>
  <c r="AZ402" i="5"/>
  <c r="AC194" i="8"/>
  <c r="AZ171" i="5"/>
  <c r="V376" i="8"/>
  <c r="AT376" i="8" s="1"/>
  <c r="AS380" i="5"/>
  <c r="Z51" i="8"/>
  <c r="AW16" i="5"/>
  <c r="AC143" i="8"/>
  <c r="AZ115" i="5"/>
  <c r="AC3" i="2"/>
  <c r="AP82" i="5"/>
  <c r="AD111" i="8"/>
  <c r="AU85" i="5"/>
  <c r="X114" i="8"/>
  <c r="AV114" i="8" s="1"/>
  <c r="Y104" i="8"/>
  <c r="AV75" i="5"/>
  <c r="AC311" i="8"/>
  <c r="AZ309" i="5"/>
  <c r="R125" i="8"/>
  <c r="AN96" i="5"/>
  <c r="AD69" i="8"/>
  <c r="AP38" i="5"/>
  <c r="AG199" i="8"/>
  <c r="AS199" i="8" s="1"/>
  <c r="I199" i="8" s="1"/>
  <c r="AS177" i="5"/>
  <c r="Y113" i="8"/>
  <c r="AV84" i="5"/>
  <c r="W43" i="8"/>
  <c r="AL39" i="2"/>
  <c r="AT7" i="5"/>
  <c r="Z205" i="8"/>
  <c r="AW185" i="5"/>
  <c r="BA106" i="5"/>
  <c r="AO135" i="8"/>
  <c r="AC334" i="8"/>
  <c r="AZ334" i="5"/>
  <c r="AC239" i="8"/>
  <c r="AZ226" i="5"/>
  <c r="AA171" i="8"/>
  <c r="AX146" i="5"/>
  <c r="Z171" i="8"/>
  <c r="AX171" i="8" s="1"/>
  <c r="AW146" i="5"/>
  <c r="W157" i="8"/>
  <c r="AT132" i="5"/>
  <c r="U321" i="8"/>
  <c r="AR319" i="5"/>
  <c r="AX154" i="5"/>
  <c r="AA178" i="8"/>
  <c r="K381" i="8"/>
  <c r="AZ381" i="8"/>
  <c r="P381" i="8" s="1"/>
  <c r="AP48" i="8"/>
  <c r="F48" i="8" s="1"/>
  <c r="AO26" i="8"/>
  <c r="BA254" i="5"/>
  <c r="BA70" i="5"/>
  <c r="AO99" i="8"/>
  <c r="W149" i="8"/>
  <c r="AT121" i="5"/>
  <c r="W130" i="8"/>
  <c r="AT101" i="5"/>
  <c r="AP151" i="5"/>
  <c r="AD175" i="8"/>
  <c r="U281" i="8"/>
  <c r="AR273" i="5"/>
  <c r="Y282" i="8"/>
  <c r="AV274" i="5"/>
  <c r="AW3" i="8"/>
  <c r="AP193" i="5"/>
  <c r="AD212" i="8"/>
  <c r="AN12" i="5"/>
  <c r="Z364" i="8"/>
  <c r="AX364" i="8" s="1"/>
  <c r="AW366" i="5"/>
  <c r="AP281" i="5"/>
  <c r="AD288" i="8"/>
  <c r="AP288" i="8" s="1"/>
  <c r="F288" i="8" s="1"/>
  <c r="AC63" i="2"/>
  <c r="AC165" i="8"/>
  <c r="AZ140" i="5"/>
  <c r="AN217" i="5"/>
  <c r="R230" i="8"/>
  <c r="AP230" i="8" s="1"/>
  <c r="K371" i="8"/>
  <c r="AX164" i="5"/>
  <c r="AX101" i="5"/>
  <c r="AN97" i="5"/>
  <c r="N263" i="8"/>
  <c r="AZ261" i="5"/>
  <c r="P209" i="8"/>
  <c r="AU238" i="8"/>
  <c r="K238" i="8" s="1"/>
  <c r="AW55" i="8"/>
  <c r="M55" i="8" s="1"/>
  <c r="AT254" i="5"/>
  <c r="AW249" i="8"/>
  <c r="M249" i="8" s="1"/>
  <c r="AX104" i="5"/>
  <c r="AW100" i="8"/>
  <c r="M100" i="8" s="1"/>
  <c r="K326" i="8"/>
  <c r="AY279" i="8"/>
  <c r="O279" i="8" s="1"/>
  <c r="M63" i="8"/>
  <c r="L40" i="8"/>
  <c r="AQ131" i="8"/>
  <c r="G131" i="8" s="1"/>
  <c r="AY280" i="8"/>
  <c r="O280" i="8" s="1"/>
  <c r="AA112" i="8"/>
  <c r="AX83" i="5"/>
  <c r="AD259" i="8"/>
  <c r="AP249" i="5"/>
  <c r="AT122" i="5"/>
  <c r="AH150" i="8"/>
  <c r="AT150" i="8" s="1"/>
  <c r="J150" i="8" s="1"/>
  <c r="AC25" i="8"/>
  <c r="AZ248" i="5"/>
  <c r="Y273" i="8"/>
  <c r="AV264" i="5"/>
  <c r="AP357" i="5"/>
  <c r="AD356" i="8"/>
  <c r="AP356" i="8" s="1"/>
  <c r="F356" i="8" s="1"/>
  <c r="X218" i="8"/>
  <c r="AV218" i="8" s="1"/>
  <c r="AU199" i="5"/>
  <c r="W118" i="8"/>
  <c r="AT89" i="5"/>
  <c r="AX128" i="5"/>
  <c r="AA153" i="8"/>
  <c r="W335" i="8"/>
  <c r="AT335" i="5"/>
  <c r="AP33" i="5"/>
  <c r="AD64" i="8"/>
  <c r="AC129" i="8"/>
  <c r="AZ100" i="5"/>
  <c r="AH173" i="8"/>
  <c r="AT173" i="8" s="1"/>
  <c r="J173" i="8" s="1"/>
  <c r="AT149" i="5"/>
  <c r="Y9" i="8"/>
  <c r="AV123" i="5"/>
  <c r="AD282" i="8"/>
  <c r="AP274" i="5"/>
  <c r="AD258" i="8"/>
  <c r="AP247" i="5"/>
  <c r="S12" i="8"/>
  <c r="AP148" i="5"/>
  <c r="AZ63" i="5"/>
  <c r="AC92" i="8"/>
  <c r="AA74" i="8"/>
  <c r="AX43" i="5"/>
  <c r="AA17" i="8"/>
  <c r="AX190" i="5"/>
  <c r="AP115" i="5"/>
  <c r="AD143" i="8"/>
  <c r="W170" i="8"/>
  <c r="AT145" i="5"/>
  <c r="AA93" i="8"/>
  <c r="AX64" i="5"/>
  <c r="W358" i="8"/>
  <c r="AU358" i="8" s="1"/>
  <c r="AT359" i="5"/>
  <c r="AW32" i="5"/>
  <c r="Z63" i="8"/>
  <c r="AX63" i="8" s="1"/>
  <c r="AC7" i="8"/>
  <c r="AZ49" i="5"/>
  <c r="AC130" i="8"/>
  <c r="AZ101" i="5"/>
  <c r="AH90" i="8"/>
  <c r="AT90" i="8" s="1"/>
  <c r="J90" i="8" s="1"/>
  <c r="AT61" i="5"/>
  <c r="AC140" i="8"/>
  <c r="AZ111" i="5"/>
  <c r="AC59" i="8"/>
  <c r="AZ26" i="5"/>
  <c r="AI133" i="5"/>
  <c r="AN158" i="8" s="1"/>
  <c r="W2" i="12"/>
  <c r="AO47" i="8"/>
  <c r="BA11" i="5"/>
  <c r="BA220" i="8"/>
  <c r="Q220" i="8" s="1"/>
  <c r="AS95" i="2"/>
  <c r="Y289" i="8"/>
  <c r="AV282" i="5"/>
  <c r="AP287" i="5"/>
  <c r="AD294" i="8"/>
  <c r="Y239" i="8"/>
  <c r="AW239" i="8" s="1"/>
  <c r="AV226" i="5"/>
  <c r="Y31" i="8"/>
  <c r="AV331" i="5"/>
  <c r="Y268" i="8"/>
  <c r="AV259" i="5"/>
  <c r="AX281" i="5"/>
  <c r="AA288" i="8"/>
  <c r="AO236" i="8"/>
  <c r="BA223" i="5"/>
  <c r="R190" i="8"/>
  <c r="AN167" i="5"/>
  <c r="AC162" i="8"/>
  <c r="AZ137" i="5"/>
  <c r="W124" i="8"/>
  <c r="AT95" i="5"/>
  <c r="AA73" i="8"/>
  <c r="AX42" i="5"/>
  <c r="AS318" i="5"/>
  <c r="AG320" i="8"/>
  <c r="AA67" i="8"/>
  <c r="AX36" i="5"/>
  <c r="X313" i="8"/>
  <c r="AV313" i="8" s="1"/>
  <c r="AU311" i="5"/>
  <c r="Z298" i="8"/>
  <c r="AX298" i="8" s="1"/>
  <c r="AW291" i="5"/>
  <c r="Y118" i="8"/>
  <c r="AV89" i="5"/>
  <c r="AA210" i="8"/>
  <c r="AX191" i="5"/>
  <c r="AO272" i="8"/>
  <c r="BA272" i="8" s="1"/>
  <c r="Q272" i="8" s="1"/>
  <c r="BA263" i="5"/>
  <c r="BA33" i="5"/>
  <c r="AO64" i="8"/>
  <c r="W82" i="8"/>
  <c r="AT53" i="5"/>
  <c r="AN136" i="5"/>
  <c r="R161" i="8"/>
  <c r="AQ219" i="5"/>
  <c r="AE232" i="8"/>
  <c r="AP86" i="5"/>
  <c r="AD115" i="8"/>
  <c r="AR86" i="2"/>
  <c r="Y196" i="8"/>
  <c r="AW196" i="8" s="1"/>
  <c r="AV174" i="5"/>
  <c r="Y4" i="8"/>
  <c r="AV28" i="5"/>
  <c r="AN75" i="5"/>
  <c r="R104" i="8"/>
  <c r="AP104" i="8" s="1"/>
  <c r="AU284" i="5"/>
  <c r="AI291" i="8"/>
  <c r="Y176" i="8"/>
  <c r="AW176" i="8" s="1"/>
  <c r="AV152" i="5"/>
  <c r="AN230" i="5"/>
  <c r="R242" i="8"/>
  <c r="AP242" i="8" s="1"/>
  <c r="AX357" i="5"/>
  <c r="AA356" i="8"/>
  <c r="AY356" i="8" s="1"/>
  <c r="S230" i="8"/>
  <c r="AP217" i="5"/>
  <c r="AP356" i="5"/>
  <c r="AD355" i="8"/>
  <c r="AP355" i="8" s="1"/>
  <c r="F355" i="8" s="1"/>
  <c r="AE234" i="8"/>
  <c r="AQ221" i="5"/>
  <c r="AF186" i="8"/>
  <c r="AR186" i="8" s="1"/>
  <c r="H186" i="8" s="1"/>
  <c r="AR163" i="5"/>
  <c r="AN318" i="5"/>
  <c r="AY318" i="5"/>
  <c r="AM320" i="8"/>
  <c r="AY320" i="8" s="1"/>
  <c r="O320" i="8" s="1"/>
  <c r="Y376" i="8"/>
  <c r="AV380" i="5"/>
  <c r="W194" i="8"/>
  <c r="AT171" i="5"/>
  <c r="AC107" i="8"/>
  <c r="AZ78" i="5"/>
  <c r="AO250" i="8"/>
  <c r="BA250" i="8" s="1"/>
  <c r="BA238" i="5"/>
  <c r="AG332" i="8"/>
  <c r="AS332" i="5"/>
  <c r="Z103" i="8"/>
  <c r="AX103" i="8" s="1"/>
  <c r="AW74" i="5"/>
  <c r="Z300" i="8"/>
  <c r="AX300" i="8" s="1"/>
  <c r="AW293" i="5"/>
  <c r="AC79" i="8"/>
  <c r="AZ50" i="5"/>
  <c r="X59" i="8"/>
  <c r="AU26" i="5"/>
  <c r="AD127" i="8"/>
  <c r="AP98" i="5"/>
  <c r="AK395" i="8"/>
  <c r="AW403" i="5"/>
  <c r="AC43" i="8"/>
  <c r="AZ7" i="5"/>
  <c r="AO171" i="8"/>
  <c r="BA146" i="5"/>
  <c r="Z179" i="8"/>
  <c r="AW155" i="5"/>
  <c r="AD106" i="8"/>
  <c r="AP106" i="8" s="1"/>
  <c r="F106" i="8" s="1"/>
  <c r="AN77" i="5"/>
  <c r="U331" i="8"/>
  <c r="AR330" i="5"/>
  <c r="AO144" i="8"/>
  <c r="BA116" i="5"/>
  <c r="Z362" i="8"/>
  <c r="AX362" i="8" s="1"/>
  <c r="AW364" i="5"/>
  <c r="AX286" i="5"/>
  <c r="AA293" i="8"/>
  <c r="AC281" i="8"/>
  <c r="AZ273" i="5"/>
  <c r="R213" i="8"/>
  <c r="AN194" i="5"/>
  <c r="W214" i="8"/>
  <c r="AT195" i="5"/>
  <c r="AA8" i="8"/>
  <c r="AX113" i="5"/>
  <c r="W64" i="8"/>
  <c r="AT33" i="5"/>
  <c r="AA255" i="8"/>
  <c r="AX244" i="5"/>
  <c r="K152" i="8"/>
  <c r="AN259" i="5"/>
  <c r="R268" i="8"/>
  <c r="AO101" i="8"/>
  <c r="BA72" i="5"/>
  <c r="W6" i="8"/>
  <c r="AT48" i="5"/>
  <c r="AN83" i="5"/>
  <c r="R112" i="8"/>
  <c r="X78" i="8"/>
  <c r="AV78" i="8" s="1"/>
  <c r="AU47" i="5"/>
  <c r="AO89" i="2"/>
  <c r="AX89" i="2"/>
  <c r="AN380" i="5"/>
  <c r="AB376" i="8"/>
  <c r="AZ376" i="8" s="1"/>
  <c r="AY380" i="5"/>
  <c r="Z235" i="8"/>
  <c r="AX235" i="8" s="1"/>
  <c r="AW222" i="5"/>
  <c r="AL133" i="5"/>
  <c r="Y2" i="12"/>
  <c r="BA367" i="5"/>
  <c r="AO365" i="8"/>
  <c r="AC12" i="8"/>
  <c r="AZ148" i="5"/>
  <c r="AA87" i="8"/>
  <c r="E39" i="3"/>
  <c r="AX58" i="5"/>
  <c r="AV18" i="5"/>
  <c r="Y53" i="8"/>
  <c r="AW53" i="8" s="1"/>
  <c r="Y170" i="8"/>
  <c r="AV145" i="5"/>
  <c r="BB92" i="2"/>
  <c r="AN190" i="5"/>
  <c r="AB17" i="8"/>
  <c r="AZ17" i="8" s="1"/>
  <c r="AY190" i="5"/>
  <c r="Y362" i="8"/>
  <c r="AV364" i="5"/>
  <c r="AC60" i="8"/>
  <c r="AZ27" i="5"/>
  <c r="AC398" i="8"/>
  <c r="AZ406" i="5"/>
  <c r="AC404" i="8"/>
  <c r="AZ413" i="5"/>
  <c r="Y44" i="8"/>
  <c r="AV8" i="5"/>
  <c r="R246" i="8"/>
  <c r="AP246" i="8" s="1"/>
  <c r="AN234" i="5"/>
  <c r="L98" i="8"/>
  <c r="U32" i="8"/>
  <c r="AR351" i="5"/>
  <c r="AW85" i="8"/>
  <c r="M85" i="8" s="1"/>
  <c r="Y391" i="8"/>
  <c r="AV398" i="5"/>
  <c r="AO57" i="8"/>
  <c r="BA24" i="5"/>
  <c r="W207" i="8"/>
  <c r="AT187" i="5"/>
  <c r="AN268" i="5"/>
  <c r="R276" i="8"/>
  <c r="AP276" i="8" s="1"/>
  <c r="U376" i="8"/>
  <c r="AS376" i="8" s="1"/>
  <c r="AR380" i="5"/>
  <c r="V366" i="8"/>
  <c r="AT366" i="8" s="1"/>
  <c r="AS368" i="5"/>
  <c r="Y404" i="8"/>
  <c r="AV413" i="5"/>
  <c r="AD341" i="8"/>
  <c r="AP341" i="8" s="1"/>
  <c r="F341" i="8" s="1"/>
  <c r="AP341" i="5"/>
  <c r="Y36" i="8"/>
  <c r="AV392" i="5"/>
  <c r="AC261" i="8"/>
  <c r="AZ251" i="5"/>
  <c r="S241" i="8"/>
  <c r="AP229" i="5"/>
  <c r="W182" i="8"/>
  <c r="AT158" i="5"/>
  <c r="AD177" i="8"/>
  <c r="AP153" i="5"/>
  <c r="AX81" i="5"/>
  <c r="AA110" i="8"/>
  <c r="AX15" i="5"/>
  <c r="AA50" i="8"/>
  <c r="R153" i="8"/>
  <c r="AN128" i="5"/>
  <c r="Z278" i="8"/>
  <c r="AW270" i="5"/>
  <c r="S227" i="8"/>
  <c r="AP212" i="5"/>
  <c r="K309" i="8"/>
  <c r="BA47" i="5"/>
  <c r="AO78" i="8"/>
  <c r="BA143" i="5"/>
  <c r="AO168" i="8"/>
  <c r="W253" i="8"/>
  <c r="AT242" i="5"/>
  <c r="W185" i="8"/>
  <c r="AT162" i="5"/>
  <c r="W283" i="8"/>
  <c r="AU283" i="8" s="1"/>
  <c r="AT275" i="5"/>
  <c r="AV203" i="5"/>
  <c r="Y19" i="8"/>
  <c r="AR150" i="5"/>
  <c r="AF174" i="8"/>
  <c r="AR174" i="8" s="1"/>
  <c r="H174" i="8" s="1"/>
  <c r="AO243" i="8"/>
  <c r="BA231" i="5"/>
  <c r="AY334" i="5"/>
  <c r="AM334" i="8"/>
  <c r="AY334" i="8" s="1"/>
  <c r="O334" i="8" s="1"/>
  <c r="AN334" i="5"/>
  <c r="S232" i="8"/>
  <c r="AP219" i="5"/>
  <c r="AT403" i="5"/>
  <c r="AN403" i="5"/>
  <c r="AH395" i="8"/>
  <c r="AT395" i="8" s="1"/>
  <c r="J395" i="8" s="1"/>
  <c r="U365" i="8"/>
  <c r="AR367" i="5"/>
  <c r="X48" i="8"/>
  <c r="AV48" i="8" s="1"/>
  <c r="AU13" i="5"/>
  <c r="AK21" i="2"/>
  <c r="AS90" i="5"/>
  <c r="V119" i="8"/>
  <c r="AT119" i="8" s="1"/>
  <c r="Y20" i="8"/>
  <c r="AV204" i="5"/>
  <c r="W42" i="8"/>
  <c r="AL40" i="2"/>
  <c r="AT6" i="5"/>
  <c r="BA368" i="5"/>
  <c r="AO366" i="8"/>
  <c r="AE285" i="8"/>
  <c r="AQ277" i="5"/>
  <c r="Y18" i="8"/>
  <c r="AV200" i="5"/>
  <c r="AX150" i="5"/>
  <c r="AA174" i="8"/>
  <c r="AX45" i="5"/>
  <c r="AA76" i="8"/>
  <c r="AL19" i="2"/>
  <c r="W45" i="8"/>
  <c r="AT9" i="5"/>
  <c r="AO156" i="8"/>
  <c r="BA131" i="5"/>
  <c r="AX141" i="5"/>
  <c r="AA166" i="8"/>
  <c r="AC323" i="8"/>
  <c r="AZ321" i="5"/>
  <c r="W300" i="8"/>
  <c r="AT293" i="5"/>
  <c r="BE86" i="2"/>
  <c r="Z246" i="8"/>
  <c r="AW234" i="5"/>
  <c r="Z58" i="8"/>
  <c r="AX58" i="8" s="1"/>
  <c r="AW25" i="5"/>
  <c r="AF101" i="8"/>
  <c r="AR101" i="8" s="1"/>
  <c r="H101" i="8" s="1"/>
  <c r="AG18" i="2"/>
  <c r="AF18" i="2"/>
  <c r="AI18" i="2"/>
  <c r="AR72" i="5"/>
  <c r="AC26" i="8"/>
  <c r="AZ254" i="5"/>
  <c r="AC100" i="8"/>
  <c r="AZ71" i="5"/>
  <c r="AZ16" i="5"/>
  <c r="AC51" i="8"/>
  <c r="AF55" i="8"/>
  <c r="AR55" i="8" s="1"/>
  <c r="H55" i="8" s="1"/>
  <c r="AR22" i="5"/>
  <c r="U169" i="8"/>
  <c r="AR144" i="5"/>
  <c r="Y334" i="8"/>
  <c r="AV334" i="5"/>
  <c r="BA205" i="5"/>
  <c r="AO21" i="8"/>
  <c r="AX375" i="5"/>
  <c r="AA371" i="8"/>
  <c r="AX221" i="5"/>
  <c r="AA234" i="8"/>
  <c r="AD237" i="8"/>
  <c r="AP237" i="8" s="1"/>
  <c r="F237" i="8" s="1"/>
  <c r="AP224" i="5"/>
  <c r="AQ183" i="5"/>
  <c r="AE16" i="8"/>
  <c r="W7" i="8"/>
  <c r="AT49" i="5"/>
  <c r="Z99" i="8"/>
  <c r="AX99" i="8" s="1"/>
  <c r="AW70" i="5"/>
  <c r="W267" i="8"/>
  <c r="AT258" i="5"/>
  <c r="W344" i="8"/>
  <c r="AU344" i="8" s="1"/>
  <c r="AT344" i="5"/>
  <c r="R10" i="8"/>
  <c r="AN124" i="5"/>
  <c r="S165" i="8"/>
  <c r="AP140" i="5"/>
  <c r="BA174" i="5"/>
  <c r="AO196" i="8"/>
  <c r="W245" i="8"/>
  <c r="AT233" i="5"/>
  <c r="AV275" i="5"/>
  <c r="AJ283" i="8"/>
  <c r="AV283" i="8" s="1"/>
  <c r="L283" i="8" s="1"/>
  <c r="Y256" i="8"/>
  <c r="AV245" i="5"/>
  <c r="U264" i="8"/>
  <c r="AR255" i="5"/>
  <c r="AP112" i="5"/>
  <c r="AD141" i="8"/>
  <c r="AP141" i="8" s="1"/>
  <c r="F141" i="8" s="1"/>
  <c r="AV17" i="5"/>
  <c r="Y52" i="8"/>
  <c r="AW52" i="8" s="1"/>
  <c r="AS345" i="5"/>
  <c r="AG345" i="8"/>
  <c r="W292" i="8"/>
  <c r="AT285" i="5"/>
  <c r="W186" i="8"/>
  <c r="AT163" i="5"/>
  <c r="V361" i="8"/>
  <c r="AS363" i="5"/>
  <c r="V355" i="8"/>
  <c r="AT355" i="8" s="1"/>
  <c r="AS356" i="5"/>
  <c r="W32" i="8"/>
  <c r="AU32" i="8" s="1"/>
  <c r="AT351" i="5"/>
  <c r="AE155" i="8"/>
  <c r="AQ155" i="8" s="1"/>
  <c r="AQ130" i="5"/>
  <c r="Y37" i="8"/>
  <c r="AV401" i="5"/>
  <c r="AO106" i="8"/>
  <c r="BA77" i="5"/>
  <c r="AP5" i="5"/>
  <c r="S2" i="8"/>
  <c r="U360" i="8"/>
  <c r="AS360" i="8" s="1"/>
  <c r="AR361" i="5"/>
  <c r="AN38" i="5"/>
  <c r="R69" i="8"/>
  <c r="X298" i="8"/>
  <c r="AV298" i="8" s="1"/>
  <c r="AU291" i="5"/>
  <c r="X372" i="8"/>
  <c r="AV372" i="8" s="1"/>
  <c r="AU376" i="5"/>
  <c r="Y182" i="8"/>
  <c r="AV158" i="5"/>
  <c r="AA71" i="8"/>
  <c r="AX40" i="5"/>
  <c r="AL70" i="2"/>
  <c r="W17" i="8"/>
  <c r="AT190" i="5"/>
  <c r="AX76" i="5"/>
  <c r="AA105" i="8"/>
  <c r="AC319" i="8"/>
  <c r="AZ317" i="5"/>
  <c r="AC290" i="8"/>
  <c r="AZ283" i="5"/>
  <c r="AP206" i="8"/>
  <c r="F206" i="8" s="1"/>
  <c r="AC46" i="2"/>
  <c r="AP305" i="5"/>
  <c r="AD307" i="8"/>
  <c r="AP307" i="8" s="1"/>
  <c r="F307" i="8" s="1"/>
  <c r="U48" i="8"/>
  <c r="AR13" i="5"/>
  <c r="X109" i="8"/>
  <c r="AV109" i="8" s="1"/>
  <c r="AU80" i="5"/>
  <c r="Z43" i="8"/>
  <c r="AW7" i="5"/>
  <c r="AC173" i="8"/>
  <c r="AZ149" i="5"/>
  <c r="AT396" i="5"/>
  <c r="AH389" i="8"/>
  <c r="AT389" i="8" s="1"/>
  <c r="J389" i="8" s="1"/>
  <c r="AN396" i="5"/>
  <c r="Y198" i="8"/>
  <c r="AV176" i="5"/>
  <c r="AW400" i="5"/>
  <c r="AK393" i="8"/>
  <c r="AC357" i="8"/>
  <c r="AZ358" i="5"/>
  <c r="U202" i="8"/>
  <c r="AR181" i="5"/>
  <c r="S60" i="8"/>
  <c r="AP27" i="5"/>
  <c r="AC367" i="8"/>
  <c r="BA367" i="8" s="1"/>
  <c r="AZ369" i="5"/>
  <c r="X236" i="8"/>
  <c r="AU223" i="5"/>
  <c r="AC13" i="8"/>
  <c r="AZ159" i="5"/>
  <c r="AX84" i="5"/>
  <c r="AA113" i="8"/>
  <c r="AA58" i="8"/>
  <c r="AX25" i="5"/>
  <c r="AN371" i="5"/>
  <c r="AB368" i="8"/>
  <c r="AZ368" i="8" s="1"/>
  <c r="AY371" i="5"/>
  <c r="W349" i="8"/>
  <c r="AT349" i="5"/>
  <c r="AC373" i="8"/>
  <c r="AZ377" i="5"/>
  <c r="AO83" i="8"/>
  <c r="BA54" i="5"/>
  <c r="AT74" i="5"/>
  <c r="W103" i="8"/>
  <c r="AU103" i="8" s="1"/>
  <c r="W169" i="8"/>
  <c r="AU169" i="8" s="1"/>
  <c r="AT144" i="5"/>
  <c r="AE23" i="8"/>
  <c r="AD42" i="2"/>
  <c r="AQ215" i="5"/>
  <c r="AD209" i="8"/>
  <c r="AP209" i="8" s="1"/>
  <c r="F209" i="8" s="1"/>
  <c r="AP189" i="5"/>
  <c r="AW211" i="5"/>
  <c r="Z226" i="8"/>
  <c r="AX226" i="8" s="1"/>
  <c r="AR286" i="5"/>
  <c r="AF293" i="8"/>
  <c r="AR293" i="8" s="1"/>
  <c r="H293" i="8" s="1"/>
  <c r="AG335" i="8"/>
  <c r="AS335" i="5"/>
  <c r="AG44" i="2"/>
  <c r="AI44" i="2"/>
  <c r="AF44" i="2"/>
  <c r="AR28" i="5"/>
  <c r="AF4" i="8"/>
  <c r="AR4" i="8" s="1"/>
  <c r="H4" i="8" s="1"/>
  <c r="Z145" i="8"/>
  <c r="AW117" i="5"/>
  <c r="AP379" i="5"/>
  <c r="AD375" i="8"/>
  <c r="AP375" i="8" s="1"/>
  <c r="F375" i="8" s="1"/>
  <c r="AO297" i="8"/>
  <c r="BA290" i="5"/>
  <c r="W345" i="8"/>
  <c r="AU345" i="8" s="1"/>
  <c r="AT345" i="5"/>
  <c r="AC244" i="8"/>
  <c r="AZ232" i="5"/>
  <c r="AX116" i="5"/>
  <c r="AO105" i="8"/>
  <c r="BA76" i="5"/>
  <c r="AF19" i="2"/>
  <c r="AG19" i="2"/>
  <c r="AI19" i="2"/>
  <c r="AR9" i="5"/>
  <c r="AF45" i="8"/>
  <c r="AR45" i="8" s="1"/>
  <c r="H45" i="8" s="1"/>
  <c r="AA218" i="8"/>
  <c r="AX199" i="5"/>
  <c r="AY184" i="8"/>
  <c r="O184" i="8" s="1"/>
  <c r="Y117" i="8"/>
  <c r="AV88" i="5"/>
  <c r="AC386" i="8"/>
  <c r="AZ393" i="5"/>
  <c r="Y339" i="8"/>
  <c r="AV339" i="5"/>
  <c r="V377" i="8"/>
  <c r="AT377" i="8" s="1"/>
  <c r="AS381" i="5"/>
  <c r="AH386" i="8"/>
  <c r="AT386" i="8" s="1"/>
  <c r="J386" i="8" s="1"/>
  <c r="AT393" i="5"/>
  <c r="AN393" i="5"/>
  <c r="AW17" i="5"/>
  <c r="Z52" i="8"/>
  <c r="AX52" i="8" s="1"/>
  <c r="AC113" i="8"/>
  <c r="AZ84" i="5"/>
  <c r="AD83" i="8"/>
  <c r="AP54" i="5"/>
  <c r="X110" i="8"/>
  <c r="AV110" i="8" s="1"/>
  <c r="AU81" i="5"/>
  <c r="Y45" i="8"/>
  <c r="AV9" i="5"/>
  <c r="AC314" i="8"/>
  <c r="AZ312" i="5"/>
  <c r="AN68" i="5"/>
  <c r="R97" i="8"/>
  <c r="M222" i="8"/>
  <c r="AP42" i="5"/>
  <c r="AD73" i="8"/>
  <c r="Y110" i="8"/>
  <c r="AV81" i="5"/>
  <c r="W44" i="8"/>
  <c r="AT8" i="5"/>
  <c r="AW180" i="5"/>
  <c r="Z15" i="8"/>
  <c r="AX15" i="8" s="1"/>
  <c r="AO136" i="8"/>
  <c r="BA107" i="5"/>
  <c r="AC329" i="8"/>
  <c r="AZ328" i="5"/>
  <c r="AC24" i="8"/>
  <c r="AZ228" i="5"/>
  <c r="AR232" i="5"/>
  <c r="AF244" i="8"/>
  <c r="AR244" i="8" s="1"/>
  <c r="H244" i="8" s="1"/>
  <c r="R16" i="8"/>
  <c r="AP16" i="8" s="1"/>
  <c r="AN183" i="5"/>
  <c r="O180" i="8"/>
  <c r="AA7" i="8"/>
  <c r="AX49" i="5"/>
  <c r="AN236" i="5"/>
  <c r="AB248" i="8"/>
  <c r="AZ248" i="8" s="1"/>
  <c r="AY236" i="5"/>
  <c r="Q89" i="8"/>
  <c r="AO175" i="8"/>
  <c r="BA175" i="8" s="1"/>
  <c r="Q175" i="8" s="1"/>
  <c r="BA151" i="5"/>
  <c r="AO91" i="8"/>
  <c r="BA62" i="5"/>
  <c r="BF86" i="2"/>
  <c r="W73" i="8"/>
  <c r="AT42" i="5"/>
  <c r="AT76" i="5"/>
  <c r="W105" i="8"/>
  <c r="R217" i="8"/>
  <c r="AP217" i="8" s="1"/>
  <c r="AN198" i="5"/>
  <c r="AD94" i="8"/>
  <c r="AP65" i="5"/>
  <c r="Y296" i="8"/>
  <c r="AV289" i="5"/>
  <c r="AD181" i="8"/>
  <c r="AP157" i="5"/>
  <c r="BC95" i="2"/>
  <c r="BA86" i="2"/>
  <c r="AW353" i="5"/>
  <c r="Z352" i="8"/>
  <c r="AE170" i="8"/>
  <c r="AQ145" i="5"/>
  <c r="AC167" i="8"/>
  <c r="AZ142" i="5"/>
  <c r="R179" i="8"/>
  <c r="AP179" i="8" s="1"/>
  <c r="AN155" i="5"/>
  <c r="AY130" i="8"/>
  <c r="O130" i="8" s="1"/>
  <c r="AN189" i="5"/>
  <c r="AX3" i="5"/>
  <c r="AN178" i="5"/>
  <c r="P134" i="8"/>
  <c r="AZ347" i="5"/>
  <c r="AT338" i="5"/>
  <c r="AV261" i="5"/>
  <c r="AX271" i="5"/>
  <c r="L126" i="8"/>
  <c r="K126" i="8"/>
  <c r="L214" i="8"/>
  <c r="P206" i="8"/>
  <c r="Q258" i="8"/>
  <c r="AT296" i="5"/>
  <c r="AX272" i="5"/>
  <c r="BA354" i="5"/>
  <c r="AO353" i="8"/>
  <c r="BA353" i="8" s="1"/>
  <c r="AA6" i="8"/>
  <c r="AX48" i="5"/>
  <c r="X353" i="8"/>
  <c r="AV353" i="8" s="1"/>
  <c r="AU354" i="5"/>
  <c r="X150" i="8"/>
  <c r="AU122" i="5"/>
  <c r="AX372" i="5"/>
  <c r="AA369" i="8"/>
  <c r="AY369" i="8" s="1"/>
  <c r="AC397" i="8"/>
  <c r="AZ405" i="5"/>
  <c r="AS324" i="5"/>
  <c r="AG326" i="8"/>
  <c r="AE13" i="8"/>
  <c r="AQ159" i="5"/>
  <c r="AC364" i="8"/>
  <c r="AZ366" i="5"/>
  <c r="W357" i="8"/>
  <c r="AU357" i="8" s="1"/>
  <c r="AT358" i="5"/>
  <c r="Z65" i="8"/>
  <c r="AX65" i="8" s="1"/>
  <c r="AW34" i="5"/>
  <c r="AR109" i="5"/>
  <c r="AF138" i="8"/>
  <c r="AR138" i="8" s="1"/>
  <c r="H138" i="8" s="1"/>
  <c r="AZ47" i="5"/>
  <c r="AC78" i="8"/>
  <c r="AC297" i="8"/>
  <c r="AZ290" i="5"/>
  <c r="AC327" i="8"/>
  <c r="AZ326" i="5"/>
  <c r="R192" i="8"/>
  <c r="AN169" i="5"/>
  <c r="AN145" i="8"/>
  <c r="AZ145" i="8" s="1"/>
  <c r="P145" i="8" s="1"/>
  <c r="AZ117" i="5"/>
  <c r="W313" i="8"/>
  <c r="AT311" i="5"/>
  <c r="AA267" i="8"/>
  <c r="AX258" i="5"/>
  <c r="AG237" i="8"/>
  <c r="AS237" i="8" s="1"/>
  <c r="AS224" i="5"/>
  <c r="W128" i="8"/>
  <c r="AT99" i="5"/>
  <c r="W370" i="8"/>
  <c r="AU370" i="8" s="1"/>
  <c r="AT373" i="5"/>
  <c r="AD296" i="8"/>
  <c r="AP296" i="8" s="1"/>
  <c r="F296" i="8" s="1"/>
  <c r="AP289" i="5"/>
  <c r="X363" i="8"/>
  <c r="AU365" i="5"/>
  <c r="AV304" i="5"/>
  <c r="Y306" i="8"/>
  <c r="Y269" i="8"/>
  <c r="AV260" i="5"/>
  <c r="Y386" i="8"/>
  <c r="AV393" i="5"/>
  <c r="X334" i="8"/>
  <c r="AV334" i="8" s="1"/>
  <c r="AU334" i="5"/>
  <c r="AO274" i="8"/>
  <c r="BA266" i="5"/>
  <c r="AX142" i="5"/>
  <c r="AA167" i="8"/>
  <c r="W177" i="8"/>
  <c r="AT153" i="5"/>
  <c r="AP120" i="5"/>
  <c r="AD148" i="8"/>
  <c r="W272" i="8"/>
  <c r="AU272" i="8" s="1"/>
  <c r="AT263" i="5"/>
  <c r="AL5" i="2"/>
  <c r="AP336" i="5"/>
  <c r="AD336" i="8"/>
  <c r="AP336" i="8" s="1"/>
  <c r="F336" i="8" s="1"/>
  <c r="Z295" i="8"/>
  <c r="AW288" i="5"/>
  <c r="AX189" i="5"/>
  <c r="AA209" i="8"/>
  <c r="AL14" i="2"/>
  <c r="W79" i="8"/>
  <c r="AT50" i="5"/>
  <c r="R95" i="8"/>
  <c r="AN66" i="5"/>
  <c r="AD112" i="8"/>
  <c r="AP83" i="5"/>
  <c r="AE217" i="8"/>
  <c r="AQ198" i="5"/>
  <c r="X260" i="8"/>
  <c r="AU250" i="5"/>
  <c r="AA34" i="8"/>
  <c r="AX370" i="5"/>
  <c r="AS339" i="5"/>
  <c r="AG339" i="8"/>
  <c r="AC325" i="8"/>
  <c r="AZ323" i="5"/>
  <c r="Z164" i="8"/>
  <c r="AX164" i="8" s="1"/>
  <c r="AW139" i="5"/>
  <c r="AL73" i="2"/>
  <c r="W269" i="8"/>
  <c r="AT260" i="5"/>
  <c r="AC108" i="8"/>
  <c r="AZ79" i="5"/>
  <c r="BA235" i="5"/>
  <c r="AO247" i="8"/>
  <c r="BA247" i="8" s="1"/>
  <c r="AG349" i="8"/>
  <c r="AS349" i="5"/>
  <c r="Z18" i="8"/>
  <c r="AX18" i="8" s="1"/>
  <c r="AW200" i="5"/>
  <c r="X57" i="8"/>
  <c r="AV57" i="8" s="1"/>
  <c r="AU24" i="5"/>
  <c r="AW84" i="8"/>
  <c r="M84" i="8" s="1"/>
  <c r="S133" i="8"/>
  <c r="AP104" i="5"/>
  <c r="AW392" i="5"/>
  <c r="AK36" i="8"/>
  <c r="AC44" i="8"/>
  <c r="AZ8" i="5"/>
  <c r="AO133" i="8"/>
  <c r="BA104" i="5"/>
  <c r="AW123" i="5"/>
  <c r="Z9" i="8"/>
  <c r="AX9" i="8" s="1"/>
  <c r="U341" i="8"/>
  <c r="AR341" i="5"/>
  <c r="AO10" i="8"/>
  <c r="BA124" i="5"/>
  <c r="Y326" i="8"/>
  <c r="AV324" i="5"/>
  <c r="BA264" i="5"/>
  <c r="AO273" i="8"/>
  <c r="AY233" i="8"/>
  <c r="O233" i="8" s="1"/>
  <c r="E22" i="3"/>
  <c r="AX206" i="5"/>
  <c r="AA221" i="8"/>
  <c r="AQ164" i="5"/>
  <c r="AE187" i="8"/>
  <c r="AQ187" i="8" s="1"/>
  <c r="G187" i="8" s="1"/>
  <c r="AC164" i="8"/>
  <c r="AZ139" i="5"/>
  <c r="W123" i="8"/>
  <c r="AT94" i="5"/>
  <c r="AL22" i="2"/>
  <c r="AX48" i="8"/>
  <c r="N48" i="8" s="1"/>
  <c r="AA303" i="8"/>
  <c r="AX297" i="5"/>
  <c r="AA95" i="8"/>
  <c r="AX66" i="5"/>
  <c r="R269" i="8"/>
  <c r="AN260" i="5"/>
  <c r="AO263" i="8"/>
  <c r="BA253" i="5"/>
  <c r="W121" i="8"/>
  <c r="AT92" i="5"/>
  <c r="W41" i="8"/>
  <c r="AT4" i="5"/>
  <c r="R114" i="8"/>
  <c r="AN85" i="5"/>
  <c r="X7" i="8"/>
  <c r="AV7" i="8" s="1"/>
  <c r="AU49" i="5"/>
  <c r="AN218" i="5"/>
  <c r="R231" i="8"/>
  <c r="AN383" i="5"/>
  <c r="AB379" i="8"/>
  <c r="AY383" i="5"/>
  <c r="AN327" i="5"/>
  <c r="AY327" i="5"/>
  <c r="AM328" i="8"/>
  <c r="AY328" i="8" s="1"/>
  <c r="O328" i="8" s="1"/>
  <c r="Z223" i="8"/>
  <c r="AW208" i="5"/>
  <c r="BA103" i="5"/>
  <c r="AO132" i="8"/>
  <c r="AE225" i="8"/>
  <c r="AQ210" i="5"/>
  <c r="AD41" i="2"/>
  <c r="AC163" i="8"/>
  <c r="AZ138" i="5"/>
  <c r="BA65" i="5"/>
  <c r="AO94" i="8"/>
  <c r="AD26" i="8"/>
  <c r="AP26" i="8" s="1"/>
  <c r="AP254" i="5"/>
  <c r="AC4" i="2"/>
  <c r="AC133" i="5"/>
  <c r="AL158" i="8" s="1"/>
  <c r="AX158" i="8" s="1"/>
  <c r="N158" i="8" s="1"/>
  <c r="S2" i="12"/>
  <c r="Y336" i="8"/>
  <c r="AV336" i="5"/>
  <c r="AV141" i="5"/>
  <c r="Y166" i="8"/>
  <c r="Y352" i="8"/>
  <c r="AV353" i="5"/>
  <c r="U121" i="8"/>
  <c r="AR92" i="5"/>
  <c r="AC390" i="8"/>
  <c r="AZ397" i="5"/>
  <c r="AC396" i="8"/>
  <c r="AZ404" i="5"/>
  <c r="Y43" i="8"/>
  <c r="AV7" i="5"/>
  <c r="X279" i="8"/>
  <c r="AV279" i="8" s="1"/>
  <c r="AU271" i="5"/>
  <c r="U325" i="8"/>
  <c r="AR323" i="5"/>
  <c r="Y181" i="8"/>
  <c r="AV157" i="5"/>
  <c r="Y38" i="8"/>
  <c r="AV407" i="5"/>
  <c r="AO55" i="8"/>
  <c r="BA22" i="5"/>
  <c r="R133" i="5"/>
  <c r="L2" i="12"/>
  <c r="F233" i="8"/>
  <c r="U377" i="8"/>
  <c r="AS377" i="8" s="1"/>
  <c r="AR381" i="5"/>
  <c r="V352" i="8"/>
  <c r="AT352" i="8" s="1"/>
  <c r="AS353" i="5"/>
  <c r="Y193" i="8"/>
  <c r="AV170" i="5"/>
  <c r="AD317" i="8"/>
  <c r="AP317" i="8" s="1"/>
  <c r="F317" i="8" s="1"/>
  <c r="AP315" i="5"/>
  <c r="Y286" i="8"/>
  <c r="AV278" i="5"/>
  <c r="U323" i="8"/>
  <c r="AR321" i="5"/>
  <c r="AF218" i="8"/>
  <c r="AR218" i="8" s="1"/>
  <c r="H218" i="8" s="1"/>
  <c r="AR199" i="5"/>
  <c r="Y16" i="8"/>
  <c r="AW16" i="8" s="1"/>
  <c r="AV183" i="5"/>
  <c r="Z154" i="8"/>
  <c r="AX154" i="8" s="1"/>
  <c r="AW129" i="5"/>
  <c r="BA29" i="5"/>
  <c r="AO61" i="8"/>
  <c r="BA61" i="8" s="1"/>
  <c r="Q61" i="8" s="1"/>
  <c r="AL56" i="2"/>
  <c r="AT78" i="5"/>
  <c r="W107" i="8"/>
  <c r="E15" i="3"/>
  <c r="AA45" i="8"/>
  <c r="AX9" i="5"/>
  <c r="Z165" i="8"/>
  <c r="AX165" i="8" s="1"/>
  <c r="AW140" i="5"/>
  <c r="AC41" i="2"/>
  <c r="S225" i="8"/>
  <c r="AP210" i="5"/>
  <c r="BA49" i="5"/>
  <c r="AO7" i="8"/>
  <c r="BA100" i="5"/>
  <c r="AO129" i="8"/>
  <c r="W255" i="8"/>
  <c r="AT244" i="5"/>
  <c r="AT96" i="5"/>
  <c r="W125" i="8"/>
  <c r="W199" i="8"/>
  <c r="AT177" i="5"/>
  <c r="Y250" i="8"/>
  <c r="AV238" i="5"/>
  <c r="AF44" i="8"/>
  <c r="AR44" i="8" s="1"/>
  <c r="H44" i="8" s="1"/>
  <c r="AR8" i="5"/>
  <c r="BA150" i="5"/>
  <c r="AO174" i="8"/>
  <c r="AY351" i="5"/>
  <c r="AM32" i="8"/>
  <c r="AY32" i="8" s="1"/>
  <c r="O32" i="8" s="1"/>
  <c r="AN351" i="5"/>
  <c r="S228" i="8"/>
  <c r="AP213" i="5"/>
  <c r="AT392" i="5"/>
  <c r="AH36" i="8"/>
  <c r="AT36" i="8" s="1"/>
  <c r="J36" i="8" s="1"/>
  <c r="AN392" i="5"/>
  <c r="U362" i="8"/>
  <c r="AS362" i="8" s="1"/>
  <c r="AR364" i="5"/>
  <c r="AF56" i="8"/>
  <c r="AR56" i="8" s="1"/>
  <c r="H56" i="8" s="1"/>
  <c r="AI36" i="2"/>
  <c r="AG36" i="2"/>
  <c r="AH388" i="8"/>
  <c r="AT388" i="8" s="1"/>
  <c r="J388" i="8" s="1"/>
  <c r="AT395" i="5"/>
  <c r="AN395" i="5"/>
  <c r="Y21" i="8"/>
  <c r="AV205" i="5"/>
  <c r="AN364" i="5"/>
  <c r="AB362" i="8"/>
  <c r="AZ362" i="8" s="1"/>
  <c r="AY364" i="5"/>
  <c r="BA352" i="5"/>
  <c r="AO351" i="8"/>
  <c r="U340" i="8"/>
  <c r="AR340" i="5"/>
  <c r="Z29" i="8"/>
  <c r="AX29" i="8" s="1"/>
  <c r="AW296" i="5"/>
  <c r="R187" i="8"/>
  <c r="AP187" i="8" s="1"/>
  <c r="AN164" i="5"/>
  <c r="AX33" i="5"/>
  <c r="AA64" i="8"/>
  <c r="AO117" i="8"/>
  <c r="BA88" i="5"/>
  <c r="AA103" i="8"/>
  <c r="AX74" i="5"/>
  <c r="AC350" i="8"/>
  <c r="AZ350" i="5"/>
  <c r="W56" i="8"/>
  <c r="AU56" i="8" s="1"/>
  <c r="AT23" i="5"/>
  <c r="AL36" i="2"/>
  <c r="Z274" i="8"/>
  <c r="AW266" i="5"/>
  <c r="Z248" i="8"/>
  <c r="AW236" i="5"/>
  <c r="Z59" i="8"/>
  <c r="AW26" i="5"/>
  <c r="AC161" i="8"/>
  <c r="AZ136" i="5"/>
  <c r="AC91" i="8"/>
  <c r="AZ62" i="5"/>
  <c r="R39" i="8"/>
  <c r="AN2" i="5"/>
  <c r="Y333" i="8"/>
  <c r="AV333" i="5"/>
  <c r="Y388" i="8"/>
  <c r="AV395" i="5"/>
  <c r="AX376" i="5"/>
  <c r="AA372" i="8"/>
  <c r="AO240" i="8"/>
  <c r="BA240" i="8" s="1"/>
  <c r="Q240" i="8" s="1"/>
  <c r="BA227" i="5"/>
  <c r="AL25" i="2"/>
  <c r="W129" i="8"/>
  <c r="AT100" i="5"/>
  <c r="AP63" i="5"/>
  <c r="AD92" i="8"/>
  <c r="AQ239" i="5"/>
  <c r="AE251" i="8"/>
  <c r="AQ251" i="8" s="1"/>
  <c r="G251" i="8" s="1"/>
  <c r="R191" i="8"/>
  <c r="AN168" i="5"/>
  <c r="AT211" i="5"/>
  <c r="W226" i="8"/>
  <c r="AU226" i="8" s="1"/>
  <c r="W342" i="8"/>
  <c r="AU342" i="8" s="1"/>
  <c r="AT342" i="5"/>
  <c r="R74" i="8"/>
  <c r="AN43" i="5"/>
  <c r="S118" i="8"/>
  <c r="AP89" i="5"/>
  <c r="BA75" i="8"/>
  <c r="Q75" i="8" s="1"/>
  <c r="K285" i="8"/>
  <c r="W5" i="8"/>
  <c r="AT31" i="5"/>
  <c r="AL29" i="2"/>
  <c r="AQ211" i="5"/>
  <c r="AE226" i="8"/>
  <c r="Y257" i="8"/>
  <c r="AV246" i="5"/>
  <c r="U180" i="8"/>
  <c r="AR156" i="5"/>
  <c r="AP139" i="8"/>
  <c r="F139" i="8" s="1"/>
  <c r="Y28" i="8"/>
  <c r="AV279" i="5"/>
  <c r="Y51" i="8"/>
  <c r="AW51" i="8" s="1"/>
  <c r="AV16" i="5"/>
  <c r="AG324" i="8"/>
  <c r="AS322" i="5"/>
  <c r="W244" i="8"/>
  <c r="AT232" i="5"/>
  <c r="W151" i="8"/>
  <c r="AT126" i="5"/>
  <c r="V34" i="8"/>
  <c r="AT34" i="8" s="1"/>
  <c r="AS370" i="5"/>
  <c r="Y138" i="8"/>
  <c r="AV109" i="5"/>
  <c r="X368" i="8"/>
  <c r="AV368" i="8" s="1"/>
  <c r="AU371" i="5"/>
  <c r="W346" i="8"/>
  <c r="AU346" i="8" s="1"/>
  <c r="AT346" i="5"/>
  <c r="AD20" i="2"/>
  <c r="AQ73" i="5"/>
  <c r="AE102" i="8"/>
  <c r="U335" i="8"/>
  <c r="AR335" i="5"/>
  <c r="L147" i="8"/>
  <c r="AO107" i="8"/>
  <c r="BA78" i="5"/>
  <c r="U359" i="8"/>
  <c r="AS359" i="8" s="1"/>
  <c r="AR360" i="5"/>
  <c r="R73" i="8"/>
  <c r="AN42" i="5"/>
  <c r="Z373" i="8"/>
  <c r="AW377" i="5"/>
  <c r="X295" i="8"/>
  <c r="AV295" i="8" s="1"/>
  <c r="AU288" i="5"/>
  <c r="X375" i="8"/>
  <c r="AV375" i="8" s="1"/>
  <c r="AU379" i="5"/>
  <c r="Y226" i="8"/>
  <c r="AV211" i="5"/>
  <c r="R282" i="8"/>
  <c r="AN274" i="5"/>
  <c r="AX198" i="5"/>
  <c r="AA217" i="8"/>
  <c r="W156" i="8"/>
  <c r="AT131" i="5"/>
  <c r="AC7" i="2"/>
  <c r="AD70" i="8"/>
  <c r="AP39" i="5"/>
  <c r="AX296" i="5"/>
  <c r="AA29" i="8"/>
  <c r="AA79" i="8"/>
  <c r="AX50" i="5"/>
  <c r="AC315" i="8"/>
  <c r="AZ313" i="5"/>
  <c r="AC288" i="8"/>
  <c r="AZ281" i="5"/>
  <c r="X327" i="8"/>
  <c r="AU326" i="5"/>
  <c r="AD223" i="8"/>
  <c r="AP208" i="5"/>
  <c r="Z361" i="8"/>
  <c r="AX361" i="8" s="1"/>
  <c r="AW363" i="5"/>
  <c r="X42" i="8"/>
  <c r="AV42" i="8" s="1"/>
  <c r="AU6" i="5"/>
  <c r="AF284" i="8"/>
  <c r="AR284" i="8" s="1"/>
  <c r="H284" i="8" s="1"/>
  <c r="AR276" i="5"/>
  <c r="AC90" i="8"/>
  <c r="AZ61" i="5"/>
  <c r="AH391" i="8"/>
  <c r="AT391" i="8" s="1"/>
  <c r="J391" i="8" s="1"/>
  <c r="AT398" i="5"/>
  <c r="AN398" i="5"/>
  <c r="Y173" i="8"/>
  <c r="AW173" i="8" s="1"/>
  <c r="AV149" i="5"/>
  <c r="AK37" i="8"/>
  <c r="AW401" i="5"/>
  <c r="AC355" i="8"/>
  <c r="AZ356" i="5"/>
  <c r="AG42" i="2"/>
  <c r="AI42" i="2"/>
  <c r="AF23" i="8"/>
  <c r="AR23" i="8" s="1"/>
  <c r="H23" i="8" s="1"/>
  <c r="S195" i="8"/>
  <c r="AP173" i="5"/>
  <c r="AC296" i="8"/>
  <c r="AZ289" i="5"/>
  <c r="U31" i="8"/>
  <c r="AR331" i="5"/>
  <c r="AC58" i="2"/>
  <c r="S242" i="8"/>
  <c r="AP230" i="5"/>
  <c r="Y299" i="8"/>
  <c r="AW299" i="8" s="1"/>
  <c r="AV292" i="5"/>
  <c r="AX214" i="5"/>
  <c r="AA22" i="8"/>
  <c r="AC187" i="8"/>
  <c r="BA187" i="8" s="1"/>
  <c r="AZ164" i="5"/>
  <c r="AA121" i="8"/>
  <c r="AX92" i="5"/>
  <c r="AE49" i="8"/>
  <c r="AQ14" i="5"/>
  <c r="AN355" i="5"/>
  <c r="AB354" i="8"/>
  <c r="AZ354" i="8" s="1"/>
  <c r="AY355" i="5"/>
  <c r="W31" i="8"/>
  <c r="AU31" i="8" s="1"/>
  <c r="AT331" i="5"/>
  <c r="AC376" i="8"/>
  <c r="AZ380" i="5"/>
  <c r="AO265" i="8"/>
  <c r="BA256" i="5"/>
  <c r="W101" i="8"/>
  <c r="AU101" i="8" s="1"/>
  <c r="AL18" i="2"/>
  <c r="AT72" i="5"/>
  <c r="AQ155" i="5"/>
  <c r="AE179" i="8"/>
  <c r="AC43" i="2"/>
  <c r="AP218" i="5"/>
  <c r="AD231" i="8"/>
  <c r="R40" i="8"/>
  <c r="AN3" i="5"/>
  <c r="Z227" i="8"/>
  <c r="AX227" i="8" s="1"/>
  <c r="AW212" i="5"/>
  <c r="AR274" i="5"/>
  <c r="AF282" i="8"/>
  <c r="AR282" i="8" s="1"/>
  <c r="H282" i="8" s="1"/>
  <c r="AS309" i="5"/>
  <c r="AG311" i="8"/>
  <c r="AU136" i="8"/>
  <c r="K136" i="8" s="1"/>
  <c r="AW93" i="5"/>
  <c r="Z122" i="8"/>
  <c r="AX122" i="8" s="1"/>
  <c r="AP376" i="5"/>
  <c r="AD372" i="8"/>
  <c r="AP372" i="8" s="1"/>
  <c r="F372" i="8" s="1"/>
  <c r="Z188" i="8"/>
  <c r="AW165" i="5"/>
  <c r="AA170" i="8"/>
  <c r="AX145" i="5"/>
  <c r="AA99" i="8"/>
  <c r="E31" i="3"/>
  <c r="AX70" i="5"/>
  <c r="AX10" i="5"/>
  <c r="AX172" i="5"/>
  <c r="AA14" i="8"/>
  <c r="AX192" i="5"/>
  <c r="AA211" i="8"/>
  <c r="AC144" i="8"/>
  <c r="AZ116" i="5"/>
  <c r="Y331" i="8"/>
  <c r="AV330" i="5"/>
  <c r="AQ116" i="5"/>
  <c r="AE144" i="8"/>
  <c r="AQ144" i="8" s="1"/>
  <c r="G144" i="8" s="1"/>
  <c r="S205" i="8"/>
  <c r="AP185" i="5"/>
  <c r="AT402" i="5"/>
  <c r="AN402" i="5"/>
  <c r="AH394" i="8"/>
  <c r="AT394" i="8" s="1"/>
  <c r="J394" i="8" s="1"/>
  <c r="Z21" i="8"/>
  <c r="AX21" i="8" s="1"/>
  <c r="AW205" i="5"/>
  <c r="AF11" i="8"/>
  <c r="AR11" i="8" s="1"/>
  <c r="H11" i="8" s="1"/>
  <c r="AR125" i="5"/>
  <c r="AC86" i="8"/>
  <c r="AZ57" i="5"/>
  <c r="AC115" i="8"/>
  <c r="AZ86" i="5"/>
  <c r="X112" i="8"/>
  <c r="AV112" i="8" s="1"/>
  <c r="AU83" i="5"/>
  <c r="AC313" i="8"/>
  <c r="AZ311" i="5"/>
  <c r="AN62" i="5"/>
  <c r="R91" i="8"/>
  <c r="AP276" i="5"/>
  <c r="AD284" i="8"/>
  <c r="AP284" i="8" s="1"/>
  <c r="F284" i="8" s="1"/>
  <c r="AV85" i="5"/>
  <c r="Y114" i="8"/>
  <c r="Z203" i="8"/>
  <c r="AX203" i="8" s="1"/>
  <c r="AW182" i="5"/>
  <c r="AJ252" i="8"/>
  <c r="AV252" i="8" s="1"/>
  <c r="L252" i="8" s="1"/>
  <c r="AV241" i="5"/>
  <c r="AC322" i="8"/>
  <c r="AZ320" i="5"/>
  <c r="AQ132" i="5"/>
  <c r="AE157" i="8"/>
  <c r="U348" i="8"/>
  <c r="AR348" i="5"/>
  <c r="W275" i="8"/>
  <c r="AT267" i="5"/>
  <c r="AX156" i="5"/>
  <c r="AC25" i="2"/>
  <c r="AD129" i="8"/>
  <c r="AP100" i="5"/>
  <c r="AX72" i="8"/>
  <c r="N72" i="8" s="1"/>
  <c r="AN176" i="5"/>
  <c r="AB198" i="8"/>
  <c r="AZ198" i="8" s="1"/>
  <c r="AY176" i="5"/>
  <c r="E7" i="3"/>
  <c r="AX78" i="5"/>
  <c r="AL107" i="8"/>
  <c r="AO161" i="8"/>
  <c r="BA136" i="5"/>
  <c r="AO97" i="8"/>
  <c r="BA68" i="5"/>
  <c r="W70" i="8"/>
  <c r="AT39" i="5"/>
  <c r="AL7" i="2"/>
  <c r="AN144" i="5"/>
  <c r="R169" i="8"/>
  <c r="AP169" i="8" s="1"/>
  <c r="AP66" i="5"/>
  <c r="AD95" i="8"/>
  <c r="AW177" i="5"/>
  <c r="AK199" i="8"/>
  <c r="X231" i="8"/>
  <c r="AU218" i="5"/>
  <c r="Y293" i="8"/>
  <c r="AV286" i="5"/>
  <c r="AP143" i="5"/>
  <c r="AD168" i="8"/>
  <c r="AP168" i="8" s="1"/>
  <c r="F168" i="8" s="1"/>
  <c r="Y359" i="8"/>
  <c r="AV360" i="5"/>
  <c r="Z367" i="8"/>
  <c r="AW369" i="5"/>
  <c r="AQ141" i="5"/>
  <c r="AE166" i="8"/>
  <c r="AZ107" i="5"/>
  <c r="AC136" i="8"/>
  <c r="BE89" i="2"/>
  <c r="N312" i="8"/>
  <c r="M108" i="8"/>
  <c r="L189" i="8"/>
  <c r="K131" i="8"/>
  <c r="AU319" i="5"/>
  <c r="O40" i="8"/>
  <c r="AV366" i="5"/>
  <c r="M6" i="8"/>
  <c r="N118" i="8"/>
  <c r="AL4" i="2"/>
  <c r="AN105" i="5"/>
  <c r="BA347" i="8"/>
  <c r="Q347" i="8" s="1"/>
  <c r="K338" i="8"/>
  <c r="L142" i="8"/>
  <c r="AP353" i="8"/>
  <c r="F353" i="8" s="1"/>
  <c r="AW270" i="8"/>
  <c r="M270" i="8" s="1"/>
  <c r="P48" i="8"/>
  <c r="F304" i="8"/>
  <c r="AN339" i="5"/>
  <c r="L201" i="8"/>
  <c r="N88" i="8"/>
  <c r="AN186" i="5"/>
  <c r="K29" i="8"/>
  <c r="P280" i="8"/>
  <c r="P245" i="8"/>
  <c r="AP273" i="5"/>
  <c r="X270" i="8"/>
  <c r="AV270" i="8" s="1"/>
  <c r="AU261" i="5"/>
  <c r="W375" i="8"/>
  <c r="AU375" i="8" s="1"/>
  <c r="AT379" i="5"/>
  <c r="AX93" i="5"/>
  <c r="AA122" i="8"/>
  <c r="Y194" i="8"/>
  <c r="AV171" i="5"/>
  <c r="Y278" i="8"/>
  <c r="AW278" i="8" s="1"/>
  <c r="AV270" i="5"/>
  <c r="X193" i="8"/>
  <c r="AV193" i="8" s="1"/>
  <c r="AU170" i="5"/>
  <c r="AX212" i="5"/>
  <c r="AA227" i="8"/>
  <c r="W191" i="8"/>
  <c r="AT168" i="5"/>
  <c r="AC68" i="8"/>
  <c r="AZ37" i="5"/>
  <c r="AO122" i="8"/>
  <c r="BA93" i="5"/>
  <c r="R50" i="8"/>
  <c r="AN15" i="5"/>
  <c r="Y332" i="8"/>
  <c r="AV332" i="5"/>
  <c r="S204" i="8"/>
  <c r="AP184" i="5"/>
  <c r="K75" i="8"/>
  <c r="X141" i="8"/>
  <c r="AV141" i="8" s="1"/>
  <c r="AU112" i="5"/>
  <c r="X179" i="8"/>
  <c r="AV179" i="8" s="1"/>
  <c r="AU155" i="5"/>
  <c r="Y70" i="8"/>
  <c r="AV39" i="5"/>
  <c r="AA83" i="8"/>
  <c r="AX54" i="5"/>
  <c r="O197" i="5"/>
  <c r="AN197" i="5" s="1"/>
  <c r="AG216" i="8"/>
  <c r="W379" i="8"/>
  <c r="AU379" i="8" s="1"/>
  <c r="AT383" i="5"/>
  <c r="S170" i="8"/>
  <c r="AP145" i="5"/>
  <c r="AA124" i="8"/>
  <c r="AX95" i="5"/>
  <c r="W311" i="8"/>
  <c r="AT309" i="5"/>
  <c r="AC58" i="8"/>
  <c r="AZ25" i="5"/>
  <c r="AO194" i="8"/>
  <c r="BA171" i="5"/>
  <c r="AS153" i="5"/>
  <c r="AG177" i="8"/>
  <c r="AS177" i="8" s="1"/>
  <c r="I177" i="8" s="1"/>
  <c r="Z234" i="8"/>
  <c r="AX234" i="8" s="1"/>
  <c r="AW221" i="5"/>
  <c r="AO285" i="8"/>
  <c r="BA277" i="5"/>
  <c r="AO5" i="8"/>
  <c r="BA31" i="5"/>
  <c r="AQ220" i="5"/>
  <c r="AE233" i="8"/>
  <c r="R45" i="8"/>
  <c r="AN9" i="5"/>
  <c r="AI292" i="8"/>
  <c r="AU285" i="5"/>
  <c r="AN141" i="5"/>
  <c r="R166" i="8"/>
  <c r="S179" i="8"/>
  <c r="AP155" i="5"/>
  <c r="AD359" i="8"/>
  <c r="AP359" i="8" s="1"/>
  <c r="F359" i="8" s="1"/>
  <c r="AP360" i="5"/>
  <c r="W287" i="8"/>
  <c r="AT280" i="5"/>
  <c r="AS164" i="5"/>
  <c r="AG187" i="8"/>
  <c r="AS187" i="8" s="1"/>
  <c r="AO115" i="8"/>
  <c r="BA86" i="5"/>
  <c r="BA18" i="5"/>
  <c r="AO53" i="8"/>
  <c r="AY5" i="8"/>
  <c r="O5" i="8" s="1"/>
  <c r="AN308" i="5"/>
  <c r="AY308" i="5"/>
  <c r="AM310" i="8"/>
  <c r="AY310" i="8" s="1"/>
  <c r="O310" i="8" s="1"/>
  <c r="Y372" i="8"/>
  <c r="AV376" i="5"/>
  <c r="Z101" i="8"/>
  <c r="AX101" i="8" s="1"/>
  <c r="AW72" i="5"/>
  <c r="AC62" i="8"/>
  <c r="AZ30" i="5"/>
  <c r="AC16" i="2"/>
  <c r="AP70" i="5"/>
  <c r="AD99" i="8"/>
  <c r="W240" i="8"/>
  <c r="AT227" i="5"/>
  <c r="AY330" i="5"/>
  <c r="AM331" i="8"/>
  <c r="AY331" i="8" s="1"/>
  <c r="O331" i="8" s="1"/>
  <c r="AN330" i="5"/>
  <c r="AD300" i="8"/>
  <c r="AP293" i="5"/>
  <c r="R261" i="8"/>
  <c r="AN251" i="5"/>
  <c r="AQ229" i="5"/>
  <c r="AE241" i="8"/>
  <c r="Y189" i="8"/>
  <c r="AV166" i="5"/>
  <c r="Y148" i="8"/>
  <c r="AV120" i="5"/>
  <c r="AA69" i="8"/>
  <c r="AX38" i="5"/>
  <c r="E11" i="3"/>
  <c r="AX85" i="5"/>
  <c r="AA114" i="8"/>
  <c r="E6" i="3"/>
  <c r="AX94" i="5"/>
  <c r="AA123" i="8"/>
  <c r="AL98" i="8"/>
  <c r="AX98" i="8" s="1"/>
  <c r="N98" i="8" s="1"/>
  <c r="E43" i="3"/>
  <c r="AX69" i="5"/>
  <c r="AC362" i="8"/>
  <c r="AZ364" i="5"/>
  <c r="W314" i="8"/>
  <c r="AT312" i="5"/>
  <c r="AL47" i="2"/>
  <c r="AG48" i="8"/>
  <c r="AS13" i="5"/>
  <c r="W369" i="8"/>
  <c r="AU369" i="8" s="1"/>
  <c r="AT372" i="5"/>
  <c r="Z292" i="8"/>
  <c r="AX292" i="8" s="1"/>
  <c r="AW285" i="5"/>
  <c r="AC69" i="8"/>
  <c r="AZ38" i="5"/>
  <c r="R111" i="8"/>
  <c r="AN82" i="5"/>
  <c r="AC151" i="8"/>
  <c r="AZ126" i="5"/>
  <c r="AO95" i="2"/>
  <c r="AC267" i="8"/>
  <c r="AZ258" i="5"/>
  <c r="AC57" i="8"/>
  <c r="AZ24" i="5"/>
  <c r="AU208" i="5"/>
  <c r="X223" i="8"/>
  <c r="BK89" i="2"/>
  <c r="AZ66" i="8"/>
  <c r="P66" i="8" s="1"/>
  <c r="AX366" i="8"/>
  <c r="W297" i="8"/>
  <c r="AT290" i="5"/>
  <c r="AG167" i="8"/>
  <c r="AS142" i="5"/>
  <c r="AD293" i="8"/>
  <c r="AP286" i="5"/>
  <c r="AN341" i="5"/>
  <c r="AY341" i="5"/>
  <c r="AM341" i="8"/>
  <c r="AY341" i="8" s="1"/>
  <c r="O341" i="8" s="1"/>
  <c r="X351" i="8"/>
  <c r="AU352" i="5"/>
  <c r="Y27" i="8"/>
  <c r="AV265" i="5"/>
  <c r="X325" i="8"/>
  <c r="AU323" i="5"/>
  <c r="AA229" i="8"/>
  <c r="AX216" i="5"/>
  <c r="W163" i="8"/>
  <c r="AT138" i="5"/>
  <c r="AP114" i="5"/>
  <c r="AD142" i="8"/>
  <c r="R70" i="8"/>
  <c r="AN39" i="5"/>
  <c r="AD321" i="8"/>
  <c r="AP321" i="8" s="1"/>
  <c r="F321" i="8" s="1"/>
  <c r="AP319" i="5"/>
  <c r="AG130" i="8"/>
  <c r="AS101" i="5"/>
  <c r="Z297" i="8"/>
  <c r="AX297" i="8" s="1"/>
  <c r="AW290" i="5"/>
  <c r="Z239" i="8"/>
  <c r="AW226" i="5"/>
  <c r="AX143" i="5"/>
  <c r="AA168" i="8"/>
  <c r="S206" i="8"/>
  <c r="AP186" i="5"/>
  <c r="AO65" i="8"/>
  <c r="BA34" i="5"/>
  <c r="AT29" i="5"/>
  <c r="W61" i="8"/>
  <c r="AQ187" i="5"/>
  <c r="AE207" i="8"/>
  <c r="AP84" i="5"/>
  <c r="AD113" i="8"/>
  <c r="AQ144" i="5"/>
  <c r="AE169" i="8"/>
  <c r="X138" i="8"/>
  <c r="AV138" i="8" s="1"/>
  <c r="AU109" i="5"/>
  <c r="AW88" i="8"/>
  <c r="M88" i="8" s="1"/>
  <c r="R60" i="8"/>
  <c r="AN27" i="5"/>
  <c r="BG95" i="2"/>
  <c r="AP123" i="5"/>
  <c r="S9" i="8"/>
  <c r="AP359" i="5"/>
  <c r="AD358" i="8"/>
  <c r="AP358" i="8" s="1"/>
  <c r="F358" i="8" s="1"/>
  <c r="AS330" i="5"/>
  <c r="AG331" i="8"/>
  <c r="AX140" i="5"/>
  <c r="AA165" i="8"/>
  <c r="Z142" i="8"/>
  <c r="AW114" i="5"/>
  <c r="AY265" i="8"/>
  <c r="O265" i="8" s="1"/>
  <c r="AX229" i="8"/>
  <c r="Y35" i="8"/>
  <c r="AV374" i="5"/>
  <c r="AO200" i="8"/>
  <c r="BA178" i="5"/>
  <c r="AG31" i="8"/>
  <c r="AS331" i="5"/>
  <c r="Z110" i="8"/>
  <c r="AW81" i="5"/>
  <c r="Z56" i="8"/>
  <c r="AX56" i="8" s="1"/>
  <c r="AW23" i="5"/>
  <c r="U274" i="8"/>
  <c r="AR266" i="5"/>
  <c r="AC39" i="8"/>
  <c r="AZ2" i="5"/>
  <c r="X55" i="8"/>
  <c r="AU22" i="5"/>
  <c r="W20" i="8"/>
  <c r="AT204" i="5"/>
  <c r="AD97" i="8"/>
  <c r="AP68" i="5"/>
  <c r="R285" i="8"/>
  <c r="AN277" i="5"/>
  <c r="AZ3" i="5"/>
  <c r="AC40" i="8"/>
  <c r="BA40" i="8" s="1"/>
  <c r="U327" i="8"/>
  <c r="AR326" i="5"/>
  <c r="BA43" i="5"/>
  <c r="AO74" i="8"/>
  <c r="AL66" i="2"/>
  <c r="W252" i="8"/>
  <c r="AT241" i="5"/>
  <c r="AS340" i="5"/>
  <c r="AG340" i="8"/>
  <c r="AC2" i="2"/>
  <c r="AP261" i="5"/>
  <c r="AD270" i="8"/>
  <c r="AO256" i="8"/>
  <c r="BA245" i="5"/>
  <c r="AI137" i="8"/>
  <c r="AU108" i="5"/>
  <c r="AX275" i="5"/>
  <c r="AA283" i="8"/>
  <c r="AA85" i="8"/>
  <c r="E36" i="3"/>
  <c r="AX56" i="5"/>
  <c r="R124" i="8"/>
  <c r="AN95" i="5"/>
  <c r="AO262" i="8"/>
  <c r="BA252" i="5"/>
  <c r="AL3" i="2"/>
  <c r="W111" i="8"/>
  <c r="AU111" i="8" s="1"/>
  <c r="AT82" i="5"/>
  <c r="AT12" i="5"/>
  <c r="W3" i="8"/>
  <c r="AW411" i="5"/>
  <c r="AK402" i="8"/>
  <c r="R133" i="8"/>
  <c r="AN104" i="5"/>
  <c r="BH89" i="2"/>
  <c r="AN289" i="5"/>
  <c r="AN382" i="5"/>
  <c r="AB378" i="8"/>
  <c r="AZ378" i="8" s="1"/>
  <c r="AY382" i="5"/>
  <c r="AY310" i="5"/>
  <c r="AM312" i="8"/>
  <c r="AY312" i="8" s="1"/>
  <c r="O312" i="8" s="1"/>
  <c r="AN310" i="5"/>
  <c r="Z206" i="8"/>
  <c r="AW186" i="5"/>
  <c r="AO4" i="8"/>
  <c r="BA28" i="5"/>
  <c r="AS253" i="5"/>
  <c r="AG263" i="8"/>
  <c r="AC200" i="8"/>
  <c r="AZ178" i="5"/>
  <c r="AS92" i="5"/>
  <c r="AG121" i="8"/>
  <c r="AA140" i="8"/>
  <c r="AX111" i="5"/>
  <c r="R6" i="8"/>
  <c r="AN48" i="5"/>
  <c r="AW45" i="5"/>
  <c r="Z76" i="8"/>
  <c r="Y321" i="8"/>
  <c r="AV319" i="5"/>
  <c r="AX122" i="5"/>
  <c r="AA150" i="8"/>
  <c r="Y60" i="8"/>
  <c r="AV27" i="5"/>
  <c r="AR79" i="5"/>
  <c r="AF108" i="8"/>
  <c r="AR108" i="8" s="1"/>
  <c r="H108" i="8" s="1"/>
  <c r="Y365" i="8"/>
  <c r="AV367" i="5"/>
  <c r="AS92" i="2"/>
  <c r="U83" i="8"/>
  <c r="AR54" i="5"/>
  <c r="AC178" i="8"/>
  <c r="AZ154" i="5"/>
  <c r="AC193" i="8"/>
  <c r="AZ170" i="5"/>
  <c r="X198" i="8"/>
  <c r="AV198" i="8" s="1"/>
  <c r="AU176" i="5"/>
  <c r="U326" i="8"/>
  <c r="AR324" i="5"/>
  <c r="Y212" i="8"/>
  <c r="AV193" i="5"/>
  <c r="F172" i="8"/>
  <c r="Y59" i="8"/>
  <c r="AV26" i="5"/>
  <c r="Y389" i="8"/>
  <c r="AV396" i="5"/>
  <c r="AT103" i="5"/>
  <c r="W132" i="8"/>
  <c r="F232" i="8"/>
  <c r="U372" i="8"/>
  <c r="AR376" i="5"/>
  <c r="V364" i="8"/>
  <c r="AS366" i="5"/>
  <c r="AK50" i="2"/>
  <c r="Y184" i="8"/>
  <c r="AV161" i="5"/>
  <c r="AP314" i="5"/>
  <c r="AD316" i="8"/>
  <c r="AP316" i="8" s="1"/>
  <c r="F316" i="8" s="1"/>
  <c r="AC62" i="2"/>
  <c r="Y255" i="8"/>
  <c r="AV244" i="5"/>
  <c r="Z259" i="8"/>
  <c r="AW249" i="5"/>
  <c r="BA169" i="5"/>
  <c r="AO192" i="8"/>
  <c r="AC160" i="8"/>
  <c r="AZ135" i="5"/>
  <c r="AO128" i="8"/>
  <c r="BA128" i="8" s="1"/>
  <c r="Q128" i="8" s="1"/>
  <c r="BA99" i="5"/>
  <c r="Z311" i="8"/>
  <c r="AW309" i="5"/>
  <c r="AX239" i="5"/>
  <c r="AA251" i="8"/>
  <c r="R215" i="8"/>
  <c r="AN196" i="5"/>
  <c r="N381" i="8"/>
  <c r="Z153" i="8"/>
  <c r="AX153" i="8" s="1"/>
  <c r="AW128" i="5"/>
  <c r="S182" i="8"/>
  <c r="AP158" i="5"/>
  <c r="AO71" i="8"/>
  <c r="BA40" i="5"/>
  <c r="AO130" i="8"/>
  <c r="BA101" i="5"/>
  <c r="W161" i="8"/>
  <c r="AT136" i="5"/>
  <c r="W97" i="8"/>
  <c r="AT68" i="5"/>
  <c r="AT17" i="5"/>
  <c r="W52" i="8"/>
  <c r="X28" i="8"/>
  <c r="AV28" i="8" s="1"/>
  <c r="AU279" i="5"/>
  <c r="AP74" i="5"/>
  <c r="AD103" i="8"/>
  <c r="AP103" i="8" s="1"/>
  <c r="Y190" i="8"/>
  <c r="AV167" i="5"/>
  <c r="AF43" i="8"/>
  <c r="AR43" i="8" s="1"/>
  <c r="H43" i="8" s="1"/>
  <c r="AG39" i="2"/>
  <c r="AF39" i="2"/>
  <c r="AI39" i="2"/>
  <c r="AR7" i="5"/>
  <c r="AO134" i="8"/>
  <c r="BA105" i="5"/>
  <c r="AY323" i="5"/>
  <c r="AM325" i="8"/>
  <c r="AY325" i="8" s="1"/>
  <c r="O325" i="8" s="1"/>
  <c r="AN323" i="5"/>
  <c r="S276" i="8"/>
  <c r="AP268" i="5"/>
  <c r="AH399" i="8"/>
  <c r="AT399" i="8" s="1"/>
  <c r="J399" i="8" s="1"/>
  <c r="AT408" i="5"/>
  <c r="AN408" i="5"/>
  <c r="U353" i="8"/>
  <c r="AS353" i="8" s="1"/>
  <c r="AR354" i="5"/>
  <c r="AQ186" i="5"/>
  <c r="AE206" i="8"/>
  <c r="AN352" i="5"/>
  <c r="AB351" i="8"/>
  <c r="AZ351" i="8" s="1"/>
  <c r="AY352" i="5"/>
  <c r="AY305" i="8"/>
  <c r="O305" i="8" s="1"/>
  <c r="AD66" i="2"/>
  <c r="AQ241" i="5"/>
  <c r="AE252" i="8"/>
  <c r="X360" i="8"/>
  <c r="AU361" i="5"/>
  <c r="Z270" i="8"/>
  <c r="AW261" i="5"/>
  <c r="AD243" i="8"/>
  <c r="AP231" i="5"/>
  <c r="S16" i="8"/>
  <c r="AP183" i="5"/>
  <c r="R159" i="8"/>
  <c r="AP159" i="8" s="1"/>
  <c r="AN134" i="5"/>
  <c r="AV63" i="5"/>
  <c r="Y92" i="8"/>
  <c r="AP11" i="5"/>
  <c r="AD47" i="8"/>
  <c r="AO152" i="8"/>
  <c r="BA127" i="5"/>
  <c r="AA49" i="8"/>
  <c r="AX14" i="5"/>
  <c r="BA210" i="8"/>
  <c r="Q210" i="8" s="1"/>
  <c r="AC308" i="8"/>
  <c r="BA308" i="8" s="1"/>
  <c r="AZ306" i="5"/>
  <c r="W339" i="8"/>
  <c r="AU339" i="8" s="1"/>
  <c r="AT339" i="5"/>
  <c r="Z271" i="8"/>
  <c r="AW262" i="5"/>
  <c r="Z250" i="8"/>
  <c r="AX250" i="8" s="1"/>
  <c r="AW238" i="5"/>
  <c r="Z57" i="8"/>
  <c r="AX57" i="8" s="1"/>
  <c r="AW24" i="5"/>
  <c r="AC94" i="8"/>
  <c r="AZ65" i="5"/>
  <c r="AC77" i="8"/>
  <c r="AZ46" i="5"/>
  <c r="AW156" i="5"/>
  <c r="AK180" i="8"/>
  <c r="R155" i="8"/>
  <c r="AP155" i="8" s="1"/>
  <c r="AN130" i="5"/>
  <c r="Y325" i="8"/>
  <c r="AV323" i="5"/>
  <c r="Y235" i="8"/>
  <c r="AV222" i="5"/>
  <c r="AA374" i="8"/>
  <c r="AX378" i="5"/>
  <c r="AX255" i="5"/>
  <c r="AA264" i="8"/>
  <c r="AP296" i="5"/>
  <c r="AD29" i="8"/>
  <c r="AP29" i="8" s="1"/>
  <c r="F29" i="8" s="1"/>
  <c r="AC192" i="8"/>
  <c r="AZ169" i="5"/>
  <c r="W319" i="8"/>
  <c r="AT317" i="5"/>
  <c r="AN127" i="5"/>
  <c r="R152" i="8"/>
  <c r="W224" i="8"/>
  <c r="AU224" i="8" s="1"/>
  <c r="AT209" i="5"/>
  <c r="W340" i="8"/>
  <c r="AT340" i="5"/>
  <c r="AL75" i="2"/>
  <c r="AT240" i="5"/>
  <c r="S135" i="8"/>
  <c r="AP106" i="5"/>
  <c r="AN154" i="5"/>
  <c r="R178" i="8"/>
  <c r="AQ209" i="5"/>
  <c r="AE224" i="8"/>
  <c r="AZ95" i="2"/>
  <c r="Y149" i="8"/>
  <c r="AV121" i="5"/>
  <c r="X178" i="8"/>
  <c r="AV178" i="8" s="1"/>
  <c r="AU154" i="5"/>
  <c r="Y254" i="8"/>
  <c r="AV243" i="5"/>
  <c r="AC38" i="2"/>
  <c r="AP24" i="5"/>
  <c r="AD57" i="8"/>
  <c r="AS320" i="5"/>
  <c r="AG322" i="8"/>
  <c r="AT201" i="5"/>
  <c r="AL35" i="2"/>
  <c r="W219" i="8"/>
  <c r="W141" i="8"/>
  <c r="AT112" i="5"/>
  <c r="V33" i="8"/>
  <c r="AT33" i="8" s="1"/>
  <c r="AS362" i="5"/>
  <c r="AK51" i="2"/>
  <c r="Y80" i="8"/>
  <c r="AV51" i="5"/>
  <c r="X359" i="8"/>
  <c r="AV359" i="8" s="1"/>
  <c r="AU360" i="5"/>
  <c r="W325" i="8"/>
  <c r="AT323" i="5"/>
  <c r="Y392" i="8"/>
  <c r="AV399" i="5"/>
  <c r="AU92" i="2"/>
  <c r="U357" i="8"/>
  <c r="AR358" i="5"/>
  <c r="Z35" i="8"/>
  <c r="AW374" i="5"/>
  <c r="X35" i="8"/>
  <c r="AV35" i="8" s="1"/>
  <c r="AU374" i="5"/>
  <c r="Y224" i="8"/>
  <c r="AV209" i="5"/>
  <c r="AX293" i="5"/>
  <c r="AA300" i="8"/>
  <c r="AL199" i="8"/>
  <c r="AX199" i="8" s="1"/>
  <c r="N199" i="8" s="1"/>
  <c r="AX177" i="5"/>
  <c r="AU29" i="5"/>
  <c r="X61" i="8"/>
  <c r="AA289" i="8"/>
  <c r="AX282" i="5"/>
  <c r="AA54" i="8"/>
  <c r="AX21" i="5"/>
  <c r="AC310" i="8"/>
  <c r="AZ308" i="5"/>
  <c r="X192" i="8"/>
  <c r="AU169" i="5"/>
  <c r="AC289" i="8"/>
  <c r="AZ282" i="5"/>
  <c r="X341" i="8"/>
  <c r="AV341" i="8" s="1"/>
  <c r="AU341" i="5"/>
  <c r="Z368" i="8"/>
  <c r="AW371" i="5"/>
  <c r="AP325" i="5"/>
  <c r="AN325" i="5"/>
  <c r="AD30" i="8"/>
  <c r="AP30" i="8" s="1"/>
  <c r="F30" i="8" s="1"/>
  <c r="BA238" i="8"/>
  <c r="Q238" i="8" s="1"/>
  <c r="N193" i="8"/>
  <c r="AF257" i="8"/>
  <c r="AR257" i="8" s="1"/>
  <c r="H257" i="8" s="1"/>
  <c r="AR246" i="5"/>
  <c r="AZ33" i="5"/>
  <c r="AC64" i="8"/>
  <c r="AH398" i="8"/>
  <c r="AT398" i="8" s="1"/>
  <c r="J398" i="8" s="1"/>
  <c r="AT406" i="5"/>
  <c r="AN406" i="5"/>
  <c r="AN203" i="5"/>
  <c r="AB19" i="8"/>
  <c r="AY203" i="5"/>
  <c r="Y90" i="8"/>
  <c r="AV61" i="5"/>
  <c r="Y214" i="8"/>
  <c r="AV195" i="5"/>
  <c r="AC356" i="8"/>
  <c r="AZ357" i="5"/>
  <c r="AC293" i="8"/>
  <c r="AZ286" i="5"/>
  <c r="U349" i="8"/>
  <c r="AR349" i="5"/>
  <c r="R301" i="8"/>
  <c r="AP301" i="8" s="1"/>
  <c r="AN294" i="5"/>
  <c r="AC266" i="8"/>
  <c r="BA266" i="8" s="1"/>
  <c r="AZ257" i="5"/>
  <c r="AX188" i="5"/>
  <c r="AL208" i="8"/>
  <c r="AX208" i="8" s="1"/>
  <c r="N208" i="8" s="1"/>
  <c r="AP62" i="5"/>
  <c r="AD91" i="8"/>
  <c r="AD65" i="8"/>
  <c r="AP65" i="8" s="1"/>
  <c r="AP34" i="5"/>
  <c r="AX218" i="8"/>
  <c r="X287" i="8"/>
  <c r="AV287" i="8" s="1"/>
  <c r="AU280" i="5"/>
  <c r="AN372" i="5"/>
  <c r="AB369" i="8"/>
  <c r="AZ369" i="8" s="1"/>
  <c r="AY372" i="5"/>
  <c r="BA382" i="5"/>
  <c r="AO378" i="8"/>
  <c r="AL60" i="2"/>
  <c r="W306" i="8"/>
  <c r="AT304" i="5"/>
  <c r="AC377" i="8"/>
  <c r="AZ381" i="5"/>
  <c r="AT124" i="5"/>
  <c r="W10" i="8"/>
  <c r="AO178" i="8"/>
  <c r="BA154" i="5"/>
  <c r="AO193" i="8"/>
  <c r="BA170" i="5"/>
  <c r="W262" i="8"/>
  <c r="AT252" i="5"/>
  <c r="L88" i="8"/>
  <c r="AQ123" i="5"/>
  <c r="AE9" i="8"/>
  <c r="R43" i="8"/>
  <c r="AN7" i="5"/>
  <c r="Z13" i="8"/>
  <c r="AW159" i="5"/>
  <c r="AG314" i="8"/>
  <c r="AS312" i="5"/>
  <c r="AK47" i="2"/>
  <c r="Z157" i="8"/>
  <c r="AX157" i="8" s="1"/>
  <c r="AW132" i="5"/>
  <c r="Z241" i="8"/>
  <c r="AW229" i="5"/>
  <c r="AP383" i="5"/>
  <c r="AD379" i="8"/>
  <c r="AP379" i="8" s="1"/>
  <c r="F379" i="8" s="1"/>
  <c r="AV309" i="8"/>
  <c r="L309" i="8" s="1"/>
  <c r="S278" i="8"/>
  <c r="AP270" i="5"/>
  <c r="AA201" i="8"/>
  <c r="AX179" i="5"/>
  <c r="AX89" i="5"/>
  <c r="AA118" i="8"/>
  <c r="W96" i="8"/>
  <c r="AT67" i="5"/>
  <c r="AY46" i="8"/>
  <c r="O46" i="8" s="1"/>
  <c r="AX158" i="5"/>
  <c r="AA182" i="8"/>
  <c r="AA59" i="8"/>
  <c r="AX26" i="5"/>
  <c r="AQ87" i="5"/>
  <c r="AE116" i="8"/>
  <c r="AD76" i="2"/>
  <c r="AZ124" i="5"/>
  <c r="AC10" i="8"/>
  <c r="Y337" i="8"/>
  <c r="AV337" i="5"/>
  <c r="AE48" i="8"/>
  <c r="AQ13" i="5"/>
  <c r="S15" i="8"/>
  <c r="AP180" i="5"/>
  <c r="Z20" i="8"/>
  <c r="AX20" i="8" s="1"/>
  <c r="AW204" i="5"/>
  <c r="AR130" i="5"/>
  <c r="AF155" i="8"/>
  <c r="AR155" i="8" s="1"/>
  <c r="H155" i="8" s="1"/>
  <c r="AC87" i="8"/>
  <c r="AZ58" i="5"/>
  <c r="AC114" i="8"/>
  <c r="AZ85" i="5"/>
  <c r="X66" i="8"/>
  <c r="AV66" i="8" s="1"/>
  <c r="AU35" i="5"/>
  <c r="AN286" i="5"/>
  <c r="R293" i="8"/>
  <c r="R99" i="8"/>
  <c r="AN70" i="5"/>
  <c r="AD256" i="8"/>
  <c r="AP245" i="5"/>
  <c r="BA120" i="8"/>
  <c r="Q120" i="8" s="1"/>
  <c r="W363" i="8"/>
  <c r="AU363" i="8" s="1"/>
  <c r="AT365" i="5"/>
  <c r="BA285" i="5"/>
  <c r="AO292" i="8"/>
  <c r="Y66" i="8"/>
  <c r="AV35" i="5"/>
  <c r="AW78" i="5"/>
  <c r="Z107" i="8"/>
  <c r="AV223" i="5"/>
  <c r="AJ236" i="8"/>
  <c r="AC307" i="8"/>
  <c r="BA307" i="8" s="1"/>
  <c r="AZ305" i="5"/>
  <c r="AF45" i="2"/>
  <c r="U305" i="8"/>
  <c r="AR303" i="5"/>
  <c r="Y260" i="8"/>
  <c r="AV250" i="5"/>
  <c r="AX117" i="5"/>
  <c r="BA120" i="5"/>
  <c r="AO148" i="8"/>
  <c r="BA148" i="8" s="1"/>
  <c r="Q148" i="8" s="1"/>
  <c r="AN171" i="5"/>
  <c r="BA198" i="5"/>
  <c r="AO217" i="8"/>
  <c r="M120" i="8"/>
  <c r="AO96" i="8"/>
  <c r="BA67" i="5"/>
  <c r="BA46" i="5"/>
  <c r="AO77" i="8"/>
  <c r="BI86" i="2"/>
  <c r="W72" i="8"/>
  <c r="AT41" i="5"/>
  <c r="AK197" i="8"/>
  <c r="AW175" i="5"/>
  <c r="U230" i="8"/>
  <c r="AR217" i="5"/>
  <c r="X133" i="8"/>
  <c r="AV133" i="8" s="1"/>
  <c r="AU104" i="5"/>
  <c r="Y264" i="8"/>
  <c r="AV255" i="5"/>
  <c r="AP101" i="5"/>
  <c r="AD130" i="8"/>
  <c r="AP130" i="8" s="1"/>
  <c r="F130" i="8" s="1"/>
  <c r="Y370" i="8"/>
  <c r="AV373" i="5"/>
  <c r="AE60" i="8"/>
  <c r="AQ27" i="5"/>
  <c r="AC153" i="8"/>
  <c r="AZ128" i="5"/>
  <c r="N84" i="8"/>
  <c r="AV79" i="5"/>
  <c r="Q381" i="8"/>
  <c r="P68" i="8"/>
  <c r="L321" i="8"/>
  <c r="AW304" i="8"/>
  <c r="M304" i="8" s="1"/>
  <c r="AX59" i="5"/>
  <c r="AX305" i="8"/>
  <c r="N305" i="8" s="1"/>
  <c r="AW364" i="8"/>
  <c r="M364" i="8" s="1"/>
  <c r="AZ48" i="5"/>
  <c r="L65" i="8"/>
  <c r="AX312" i="5"/>
  <c r="AT98" i="5"/>
  <c r="AQ238" i="8"/>
  <c r="G238" i="8" s="1"/>
  <c r="AY151" i="8"/>
  <c r="O151" i="8" s="1"/>
  <c r="AV296" i="5"/>
  <c r="AT343" i="5"/>
  <c r="K304" i="8"/>
  <c r="AT152" i="5"/>
  <c r="AV184" i="5"/>
  <c r="AQ189" i="8"/>
  <c r="G189" i="8" s="1"/>
  <c r="AL41" i="2"/>
  <c r="Q304" i="8"/>
  <c r="AX85" i="8"/>
  <c r="N85" i="8" s="1"/>
  <c r="AN13" i="5"/>
  <c r="O126" i="8"/>
  <c r="AW33" i="5"/>
  <c r="AZ237" i="5"/>
  <c r="AN272" i="5"/>
  <c r="AN233" i="5"/>
  <c r="G281" i="8"/>
  <c r="AO303" i="8"/>
  <c r="BA297" i="5"/>
  <c r="AF188" i="8"/>
  <c r="AR188" i="8" s="1"/>
  <c r="H188" i="8" s="1"/>
  <c r="AR165" i="5"/>
  <c r="X70" i="8"/>
  <c r="AU39" i="5"/>
  <c r="Z219" i="8"/>
  <c r="AW201" i="5"/>
  <c r="AC34" i="2"/>
  <c r="AP205" i="5"/>
  <c r="AD21" i="8"/>
  <c r="AP21" i="8" s="1"/>
  <c r="F21" i="8" s="1"/>
  <c r="AC40" i="2"/>
  <c r="AP6" i="5"/>
  <c r="AD42" i="8"/>
  <c r="AG341" i="8"/>
  <c r="AS341" i="5"/>
  <c r="AX236" i="5"/>
  <c r="AA248" i="8"/>
  <c r="AZ64" i="5"/>
  <c r="AC93" i="8"/>
  <c r="W55" i="8"/>
  <c r="AT22" i="5"/>
  <c r="AT128" i="5"/>
  <c r="W153" i="8"/>
  <c r="AC55" i="8"/>
  <c r="AZ22" i="5"/>
  <c r="Y290" i="8"/>
  <c r="AV283" i="5"/>
  <c r="AC340" i="8"/>
  <c r="AZ340" i="5"/>
  <c r="AE188" i="8"/>
  <c r="AQ188" i="8" s="1"/>
  <c r="G188" i="8" s="1"/>
  <c r="AQ165" i="5"/>
  <c r="X314" i="8"/>
  <c r="AV314" i="8" s="1"/>
  <c r="AU312" i="5"/>
  <c r="Y147" i="8"/>
  <c r="AV119" i="5"/>
  <c r="R175" i="8"/>
  <c r="AN151" i="5"/>
  <c r="AE276" i="8"/>
  <c r="AQ268" i="5"/>
  <c r="W266" i="8"/>
  <c r="AT257" i="5"/>
  <c r="AX180" i="5"/>
  <c r="AA15" i="8"/>
  <c r="AC363" i="8"/>
  <c r="AZ365" i="5"/>
  <c r="AC202" i="8"/>
  <c r="AZ181" i="5"/>
  <c r="AX46" i="5"/>
  <c r="AA77" i="8"/>
  <c r="BA51" i="5"/>
  <c r="AO80" i="8"/>
  <c r="BA80" i="8" s="1"/>
  <c r="AC351" i="8"/>
  <c r="AZ352" i="5"/>
  <c r="AS144" i="5"/>
  <c r="AG169" i="8"/>
  <c r="AS116" i="5"/>
  <c r="AG144" i="8"/>
  <c r="AS144" i="8" s="1"/>
  <c r="I144" i="8" s="1"/>
  <c r="Z5" i="8"/>
  <c r="AW31" i="5"/>
  <c r="AX141" i="8"/>
  <c r="AC71" i="8"/>
  <c r="AZ40" i="5"/>
  <c r="AZ76" i="5"/>
  <c r="AC105" i="8"/>
  <c r="AC139" i="8"/>
  <c r="AZ110" i="5"/>
  <c r="AC225" i="8"/>
  <c r="AZ210" i="5"/>
  <c r="W299" i="8"/>
  <c r="AT292" i="5"/>
  <c r="AS264" i="5"/>
  <c r="AG273" i="8"/>
  <c r="W160" i="8"/>
  <c r="AT135" i="5"/>
  <c r="S164" i="8"/>
  <c r="AP139" i="5"/>
  <c r="Y142" i="8"/>
  <c r="AV114" i="5"/>
  <c r="AN32" i="5"/>
  <c r="R63" i="8"/>
  <c r="AP63" i="8" s="1"/>
  <c r="R53" i="8"/>
  <c r="AN18" i="5"/>
  <c r="AA194" i="8"/>
  <c r="AX171" i="5"/>
  <c r="AC365" i="8"/>
  <c r="AZ367" i="5"/>
  <c r="AZ359" i="8"/>
  <c r="W378" i="8"/>
  <c r="AU378" i="8" s="1"/>
  <c r="AT382" i="5"/>
  <c r="W33" i="8"/>
  <c r="AT362" i="5"/>
  <c r="AL51" i="2"/>
  <c r="W355" i="8"/>
  <c r="AU355" i="8" s="1"/>
  <c r="AT356" i="5"/>
  <c r="Z291" i="8"/>
  <c r="AX291" i="8" s="1"/>
  <c r="AW284" i="5"/>
  <c r="AR256" i="5"/>
  <c r="AF265" i="8"/>
  <c r="AR265" i="8" s="1"/>
  <c r="H265" i="8" s="1"/>
  <c r="AC403" i="8"/>
  <c r="AZ412" i="5"/>
  <c r="AZ42" i="5"/>
  <c r="AC73" i="8"/>
  <c r="R121" i="8"/>
  <c r="AN92" i="5"/>
  <c r="BD89" i="2"/>
  <c r="AC141" i="8"/>
  <c r="AZ112" i="5"/>
  <c r="AC227" i="8"/>
  <c r="AZ212" i="5"/>
  <c r="R82" i="8"/>
  <c r="AN53" i="5"/>
  <c r="AU222" i="5"/>
  <c r="X235" i="8"/>
  <c r="AU211" i="5"/>
  <c r="X226" i="8"/>
  <c r="AC231" i="8"/>
  <c r="AZ218" i="5"/>
  <c r="W298" i="8"/>
  <c r="AT291" i="5"/>
  <c r="AP255" i="5"/>
  <c r="AD264" i="8"/>
  <c r="AN326" i="5"/>
  <c r="AY326" i="5"/>
  <c r="AM327" i="8"/>
  <c r="AY327" i="8" s="1"/>
  <c r="O327" i="8" s="1"/>
  <c r="X366" i="8"/>
  <c r="AU368" i="5"/>
  <c r="Y157" i="8"/>
  <c r="AV132" i="5"/>
  <c r="AS325" i="5"/>
  <c r="AG30" i="8"/>
  <c r="AN163" i="5"/>
  <c r="R186" i="8"/>
  <c r="AA70" i="8"/>
  <c r="E32" i="3"/>
  <c r="AX39" i="5"/>
  <c r="AN238" i="5"/>
  <c r="AB250" i="8"/>
  <c r="AZ250" i="8" s="1"/>
  <c r="AY238" i="5"/>
  <c r="AD320" i="8"/>
  <c r="AP320" i="8" s="1"/>
  <c r="F320" i="8" s="1"/>
  <c r="AP318" i="5"/>
  <c r="Z302" i="8"/>
  <c r="AX302" i="8" s="1"/>
  <c r="AW295" i="5"/>
  <c r="Z24" i="8"/>
  <c r="AX24" i="8" s="1"/>
  <c r="AW228" i="5"/>
  <c r="AA128" i="8"/>
  <c r="AX99" i="5"/>
  <c r="AC61" i="2"/>
  <c r="S235" i="8"/>
  <c r="AP222" i="5"/>
  <c r="AL2" i="2"/>
  <c r="W270" i="8"/>
  <c r="AU270" i="8" s="1"/>
  <c r="AT261" i="5"/>
  <c r="W62" i="8"/>
  <c r="AT30" i="5"/>
  <c r="L85" i="8"/>
  <c r="AE228" i="8"/>
  <c r="AQ213" i="5"/>
  <c r="AP81" i="5"/>
  <c r="AD110" i="8"/>
  <c r="Y402" i="8"/>
  <c r="AV411" i="5"/>
  <c r="X348" i="8"/>
  <c r="AU348" i="5"/>
  <c r="AV86" i="2"/>
  <c r="S134" i="8"/>
  <c r="AP105" i="5"/>
  <c r="AV87" i="5"/>
  <c r="AP371" i="5"/>
  <c r="AD368" i="8"/>
  <c r="AP368" i="8" s="1"/>
  <c r="F368" i="8" s="1"/>
  <c r="AG327" i="8"/>
  <c r="AS326" i="5"/>
  <c r="AR287" i="5"/>
  <c r="AF294" i="8"/>
  <c r="AR294" i="8" s="1"/>
  <c r="H294" i="8" s="1"/>
  <c r="AD275" i="8"/>
  <c r="AP267" i="5"/>
  <c r="BA215" i="5"/>
  <c r="AO23" i="8"/>
  <c r="Y171" i="8"/>
  <c r="AV146" i="5"/>
  <c r="R54" i="8"/>
  <c r="AN21" i="5"/>
  <c r="AC5" i="2"/>
  <c r="AD272" i="8"/>
  <c r="AP272" i="8" s="1"/>
  <c r="F272" i="8" s="1"/>
  <c r="AP263" i="5"/>
  <c r="Z315" i="8"/>
  <c r="AW313" i="5"/>
  <c r="AX256" i="5"/>
  <c r="Y374" i="8"/>
  <c r="AV378" i="5"/>
  <c r="AY309" i="8"/>
  <c r="O309" i="8" s="1"/>
  <c r="X276" i="8"/>
  <c r="AV276" i="8" s="1"/>
  <c r="AU268" i="5"/>
  <c r="BA163" i="5"/>
  <c r="AO186" i="8"/>
  <c r="AK60" i="2"/>
  <c r="AS304" i="5"/>
  <c r="AG306" i="8"/>
  <c r="AW85" i="5"/>
  <c r="Z114" i="8"/>
  <c r="AX114" i="8" s="1"/>
  <c r="AF253" i="8"/>
  <c r="AR253" i="8" s="1"/>
  <c r="H253" i="8" s="1"/>
  <c r="AR242" i="5"/>
  <c r="AR243" i="5"/>
  <c r="AF254" i="8"/>
  <c r="AR254" i="8" s="1"/>
  <c r="H254" i="8" s="1"/>
  <c r="U196" i="8"/>
  <c r="AC155" i="8"/>
  <c r="AZ130" i="5"/>
  <c r="X58" i="8"/>
  <c r="AV58" i="8" s="1"/>
  <c r="AU25" i="5"/>
  <c r="AH197" i="8"/>
  <c r="AT197" i="8" s="1"/>
  <c r="J197" i="8" s="1"/>
  <c r="AT175" i="5"/>
  <c r="W21" i="8"/>
  <c r="AT205" i="5"/>
  <c r="AL34" i="2"/>
  <c r="AP46" i="5"/>
  <c r="AD77" i="8"/>
  <c r="AY33" i="8"/>
  <c r="U317" i="8"/>
  <c r="AR315" i="5"/>
  <c r="AC76" i="2"/>
  <c r="S116" i="8"/>
  <c r="AP87" i="5"/>
  <c r="AO48" i="8"/>
  <c r="BA13" i="5"/>
  <c r="AC263" i="8"/>
  <c r="AZ253" i="5"/>
  <c r="AX254" i="5"/>
  <c r="AA26" i="8"/>
  <c r="BA232" i="5"/>
  <c r="AO244" i="8"/>
  <c r="BA195" i="5"/>
  <c r="AO214" i="8"/>
  <c r="BA214" i="8" s="1"/>
  <c r="Q214" i="8" s="1"/>
  <c r="X160" i="8"/>
  <c r="AV160" i="8" s="1"/>
  <c r="AU135" i="5"/>
  <c r="Y128" i="8"/>
  <c r="AV99" i="5"/>
  <c r="W53" i="8"/>
  <c r="AT18" i="5"/>
  <c r="AX248" i="5"/>
  <c r="AA25" i="8"/>
  <c r="R47" i="8"/>
  <c r="AN11" i="5"/>
  <c r="AO110" i="8"/>
  <c r="BA81" i="5"/>
  <c r="W83" i="8"/>
  <c r="AU83" i="8" s="1"/>
  <c r="AT54" i="5"/>
  <c r="AT5" i="5"/>
  <c r="W2" i="8"/>
  <c r="R188" i="8"/>
  <c r="AN165" i="5"/>
  <c r="AW410" i="5"/>
  <c r="AK401" i="8"/>
  <c r="AW401" i="8" s="1"/>
  <c r="AO241" i="8"/>
  <c r="BA229" i="5"/>
  <c r="R173" i="8"/>
  <c r="AN149" i="5"/>
  <c r="AN376" i="5"/>
  <c r="AB372" i="8"/>
  <c r="AY376" i="5"/>
  <c r="AC170" i="8"/>
  <c r="AZ145" i="5"/>
  <c r="X63" i="8"/>
  <c r="AU32" i="5"/>
  <c r="Y319" i="8"/>
  <c r="AV317" i="5"/>
  <c r="AX80" i="5"/>
  <c r="AA109" i="8"/>
  <c r="AR77" i="5"/>
  <c r="AF106" i="8"/>
  <c r="AR106" i="8" s="1"/>
  <c r="H106" i="8" s="1"/>
  <c r="AN281" i="5"/>
  <c r="Y367" i="8"/>
  <c r="AV369" i="5"/>
  <c r="AI284" i="8"/>
  <c r="AU276" i="5"/>
  <c r="Z104" i="8"/>
  <c r="AX104" i="8" s="1"/>
  <c r="AW75" i="5"/>
  <c r="AX222" i="8"/>
  <c r="N222" i="8" s="1"/>
  <c r="AC76" i="8"/>
  <c r="AZ45" i="5"/>
  <c r="X208" i="8"/>
  <c r="AU188" i="5"/>
  <c r="U30" i="8"/>
  <c r="AR325" i="5"/>
  <c r="Y168" i="8"/>
  <c r="AV143" i="5"/>
  <c r="AN147" i="5"/>
  <c r="AW272" i="8"/>
  <c r="M272" i="8" s="1"/>
  <c r="Y57" i="8"/>
  <c r="AV24" i="5"/>
  <c r="Y398" i="8"/>
  <c r="AV406" i="5"/>
  <c r="AL44" i="2"/>
  <c r="AT28" i="5"/>
  <c r="W4" i="8"/>
  <c r="AU4" i="8" s="1"/>
  <c r="U35" i="8"/>
  <c r="AR374" i="5"/>
  <c r="V362" i="8"/>
  <c r="AT362" i="8" s="1"/>
  <c r="AS364" i="5"/>
  <c r="Y26" i="8"/>
  <c r="AV254" i="5"/>
  <c r="AC399" i="8"/>
  <c r="AZ408" i="5"/>
  <c r="AC204" i="8"/>
  <c r="AZ184" i="5"/>
  <c r="W180" i="8"/>
  <c r="AT156" i="5"/>
  <c r="AN116" i="5"/>
  <c r="R144" i="8"/>
  <c r="AP144" i="8" s="1"/>
  <c r="AX230" i="5"/>
  <c r="AA242" i="8"/>
  <c r="AX240" i="5"/>
  <c r="R142" i="8"/>
  <c r="AN114" i="5"/>
  <c r="AW107" i="5"/>
  <c r="Z136" i="8"/>
  <c r="S183" i="8"/>
  <c r="AP160" i="5"/>
  <c r="BA38" i="5"/>
  <c r="AO69" i="8"/>
  <c r="AS86" i="2"/>
  <c r="W175" i="8"/>
  <c r="AT151" i="5"/>
  <c r="W99" i="8"/>
  <c r="AL16" i="2"/>
  <c r="AT70" i="5"/>
  <c r="W51" i="8"/>
  <c r="AT16" i="5"/>
  <c r="AL28" i="2"/>
  <c r="X254" i="8"/>
  <c r="AV254" i="8" s="1"/>
  <c r="AU243" i="5"/>
  <c r="AC18" i="2"/>
  <c r="AD101" i="8"/>
  <c r="AP72" i="5"/>
  <c r="Y186" i="8"/>
  <c r="AV163" i="5"/>
  <c r="AT416" i="5"/>
  <c r="AN416" i="5"/>
  <c r="AO8" i="8"/>
  <c r="BA8" i="8" s="1"/>
  <c r="BA113" i="5"/>
  <c r="AN329" i="5"/>
  <c r="AY329" i="5"/>
  <c r="AM330" i="8"/>
  <c r="AY330" i="8" s="1"/>
  <c r="O330" i="8" s="1"/>
  <c r="S207" i="8"/>
  <c r="AP187" i="5"/>
  <c r="AC217" i="8"/>
  <c r="AZ198" i="5"/>
  <c r="P119" i="8"/>
  <c r="AC337" i="8"/>
  <c r="AZ337" i="5"/>
  <c r="X32" i="8"/>
  <c r="AU351" i="5"/>
  <c r="AD61" i="2"/>
  <c r="AQ222" i="5"/>
  <c r="AE235" i="8"/>
  <c r="AN367" i="5"/>
  <c r="AB365" i="8"/>
  <c r="AY367" i="5"/>
  <c r="W205" i="8"/>
  <c r="AT185" i="5"/>
  <c r="R229" i="8"/>
  <c r="AN216" i="5"/>
  <c r="AA11" i="8"/>
  <c r="AX125" i="5"/>
  <c r="AA86" i="8"/>
  <c r="AX57" i="5"/>
  <c r="X251" i="8"/>
  <c r="AU239" i="5"/>
  <c r="AF61" i="2"/>
  <c r="AG61" i="2"/>
  <c r="AI61" i="2"/>
  <c r="AR222" i="5"/>
  <c r="AF235" i="8"/>
  <c r="AR235" i="8" s="1"/>
  <c r="H235" i="8" s="1"/>
  <c r="X323" i="8"/>
  <c r="AU321" i="5"/>
  <c r="AD302" i="8"/>
  <c r="AP295" i="5"/>
  <c r="AQ105" i="5"/>
  <c r="AE134" i="8"/>
  <c r="W341" i="8"/>
  <c r="AU341" i="8" s="1"/>
  <c r="AT341" i="5"/>
  <c r="AA174" i="5"/>
  <c r="R2" i="12"/>
  <c r="Z247" i="8"/>
  <c r="AW235" i="5"/>
  <c r="AF216" i="8"/>
  <c r="AR216" i="8" s="1"/>
  <c r="H216" i="8" s="1"/>
  <c r="AI30" i="2"/>
  <c r="AG30" i="2"/>
  <c r="AC95" i="8"/>
  <c r="AZ66" i="5"/>
  <c r="AC402" i="8"/>
  <c r="AZ411" i="5"/>
  <c r="I98" i="8"/>
  <c r="AN73" i="5"/>
  <c r="R102" i="8"/>
  <c r="AP102" i="8" s="1"/>
  <c r="AG43" i="2"/>
  <c r="AF43" i="2"/>
  <c r="AR218" i="5"/>
  <c r="AI43" i="2"/>
  <c r="AF231" i="8"/>
  <c r="AR231" i="8" s="1"/>
  <c r="H231" i="8" s="1"/>
  <c r="Y329" i="8"/>
  <c r="AV328" i="5"/>
  <c r="Y206" i="8"/>
  <c r="AV186" i="5"/>
  <c r="AX374" i="5"/>
  <c r="AA35" i="8"/>
  <c r="AN120" i="5"/>
  <c r="R148" i="8"/>
  <c r="AX112" i="5"/>
  <c r="AA141" i="8"/>
  <c r="AC77" i="2"/>
  <c r="AP88" i="5"/>
  <c r="S117" i="8"/>
  <c r="W336" i="8"/>
  <c r="AT336" i="5"/>
  <c r="R156" i="8"/>
  <c r="AN131" i="5"/>
  <c r="AT214" i="5"/>
  <c r="W22" i="8"/>
  <c r="U15" i="8"/>
  <c r="AS15" i="8" s="1"/>
  <c r="AR180" i="5"/>
  <c r="W251" i="8"/>
  <c r="AT239" i="5"/>
  <c r="S153" i="8"/>
  <c r="AP128" i="5"/>
  <c r="AO82" i="8"/>
  <c r="BA82" i="8" s="1"/>
  <c r="BA53" i="5"/>
  <c r="R76" i="8"/>
  <c r="AN45" i="5"/>
  <c r="AQ214" i="5"/>
  <c r="AE22" i="8"/>
  <c r="AQ22" i="8" s="1"/>
  <c r="Y146" i="8"/>
  <c r="AV118" i="5"/>
  <c r="L75" i="8"/>
  <c r="X76" i="8"/>
  <c r="AU45" i="5"/>
  <c r="Y185" i="8"/>
  <c r="AV162" i="5"/>
  <c r="AD59" i="8"/>
  <c r="AP26" i="5"/>
  <c r="AG307" i="8"/>
  <c r="AS305" i="5"/>
  <c r="AK46" i="2"/>
  <c r="W140" i="8"/>
  <c r="AT111" i="5"/>
  <c r="Y81" i="8"/>
  <c r="AV52" i="5"/>
  <c r="X355" i="8"/>
  <c r="AV355" i="8" s="1"/>
  <c r="AU356" i="5"/>
  <c r="W334" i="8"/>
  <c r="AT334" i="5"/>
  <c r="AS272" i="5"/>
  <c r="AG280" i="8"/>
  <c r="AS280" i="8" s="1"/>
  <c r="Y393" i="8"/>
  <c r="AV400" i="5"/>
  <c r="U354" i="8"/>
  <c r="AR355" i="5"/>
  <c r="U358" i="8"/>
  <c r="AS358" i="8" s="1"/>
  <c r="AR359" i="5"/>
  <c r="R257" i="8"/>
  <c r="AN246" i="5"/>
  <c r="Z375" i="8"/>
  <c r="AW379" i="5"/>
  <c r="X371" i="8"/>
  <c r="AV371" i="8" s="1"/>
  <c r="AU375" i="5"/>
  <c r="Y183" i="8"/>
  <c r="AV160" i="5"/>
  <c r="AN161" i="5"/>
  <c r="R184" i="8"/>
  <c r="X188" i="8"/>
  <c r="AU165" i="5"/>
  <c r="AX105" i="8"/>
  <c r="AX280" i="5"/>
  <c r="AA287" i="8"/>
  <c r="AA52" i="8"/>
  <c r="AX17" i="5"/>
  <c r="X116" i="8"/>
  <c r="AV116" i="8" s="1"/>
  <c r="AU87" i="5"/>
  <c r="X337" i="8"/>
  <c r="AU337" i="5"/>
  <c r="Z33" i="8"/>
  <c r="AX33" i="8" s="1"/>
  <c r="AW362" i="5"/>
  <c r="Z34" i="8"/>
  <c r="AW370" i="5"/>
  <c r="AD325" i="8"/>
  <c r="AP325" i="8" s="1"/>
  <c r="F325" i="8" s="1"/>
  <c r="AP323" i="5"/>
  <c r="AR121" i="5"/>
  <c r="AF149" i="8"/>
  <c r="AR149" i="8" s="1"/>
  <c r="H149" i="8" s="1"/>
  <c r="AC5" i="8"/>
  <c r="AZ31" i="5"/>
  <c r="AT394" i="5"/>
  <c r="AH387" i="8"/>
  <c r="AT387" i="8" s="1"/>
  <c r="J387" i="8" s="1"/>
  <c r="AN394" i="5"/>
  <c r="AN235" i="5"/>
  <c r="AB247" i="8"/>
  <c r="AZ247" i="8" s="1"/>
  <c r="AY235" i="5"/>
  <c r="Y64" i="8"/>
  <c r="AW64" i="8" s="1"/>
  <c r="AV33" i="5"/>
  <c r="Y217" i="8"/>
  <c r="AV198" i="5"/>
  <c r="AC358" i="8"/>
  <c r="AZ359" i="5"/>
  <c r="AU141" i="5"/>
  <c r="X166" i="8"/>
  <c r="AC282" i="8"/>
  <c r="AZ274" i="5"/>
  <c r="AF60" i="2"/>
  <c r="U306" i="8"/>
  <c r="AR304" i="5"/>
  <c r="Q309" i="8"/>
  <c r="X234" i="8"/>
  <c r="AV234" i="8" s="1"/>
  <c r="AU221" i="5"/>
  <c r="Y150" i="8"/>
  <c r="AV122" i="5"/>
  <c r="F116" i="8"/>
  <c r="X243" i="8"/>
  <c r="AU231" i="5"/>
  <c r="AN373" i="5"/>
  <c r="AB370" i="8"/>
  <c r="AY373" i="5"/>
  <c r="BA381" i="5"/>
  <c r="AO377" i="8"/>
  <c r="AX369" i="5"/>
  <c r="AA367" i="8"/>
  <c r="AY367" i="8" s="1"/>
  <c r="AC372" i="8"/>
  <c r="AZ376" i="5"/>
  <c r="W48" i="8"/>
  <c r="AT13" i="5"/>
  <c r="AO76" i="8"/>
  <c r="BA45" i="5"/>
  <c r="W86" i="8"/>
  <c r="AT57" i="5"/>
  <c r="AT115" i="5"/>
  <c r="W143" i="8"/>
  <c r="AU75" i="5"/>
  <c r="X104" i="8"/>
  <c r="AC300" i="8"/>
  <c r="AZ293" i="5"/>
  <c r="AE195" i="8"/>
  <c r="AQ173" i="5"/>
  <c r="X216" i="8"/>
  <c r="AV216" i="8" s="1"/>
  <c r="AU197" i="5"/>
  <c r="AP2" i="5"/>
  <c r="AD39" i="8"/>
  <c r="Z182" i="8"/>
  <c r="AX182" i="8" s="1"/>
  <c r="AW158" i="5"/>
  <c r="AR80" i="5"/>
  <c r="AF109" i="8"/>
  <c r="AR109" i="8" s="1"/>
  <c r="H109" i="8" s="1"/>
  <c r="AG313" i="8"/>
  <c r="AS311" i="5"/>
  <c r="Z47" i="8"/>
  <c r="AX47" i="8" s="1"/>
  <c r="AW11" i="5"/>
  <c r="Z242" i="8"/>
  <c r="AW230" i="5"/>
  <c r="AP374" i="5"/>
  <c r="AD35" i="8"/>
  <c r="AP35" i="8" s="1"/>
  <c r="F35" i="8" s="1"/>
  <c r="AA240" i="8"/>
  <c r="AX227" i="5"/>
  <c r="Y192" i="8"/>
  <c r="AV169" i="5"/>
  <c r="Y135" i="8"/>
  <c r="AV106" i="5"/>
  <c r="AA62" i="8"/>
  <c r="AX30" i="5"/>
  <c r="T254" i="5"/>
  <c r="M2" i="12"/>
  <c r="AA183" i="8"/>
  <c r="AX160" i="5"/>
  <c r="AA56" i="8"/>
  <c r="E23" i="3"/>
  <c r="AX23" i="5"/>
  <c r="AC74" i="8"/>
  <c r="AZ43" i="5"/>
  <c r="Y327" i="8"/>
  <c r="AV326" i="5"/>
  <c r="S108" i="8"/>
  <c r="AP79" i="5"/>
  <c r="AI20" i="2"/>
  <c r="AF20" i="2"/>
  <c r="AG20" i="2"/>
  <c r="AR73" i="5"/>
  <c r="AF102" i="8"/>
  <c r="AR102" i="8" s="1"/>
  <c r="H102" i="8" s="1"/>
  <c r="AC392" i="8"/>
  <c r="AZ399" i="5"/>
  <c r="AC110" i="8"/>
  <c r="AZ81" i="5"/>
  <c r="AU222" i="8"/>
  <c r="K222" i="8" s="1"/>
  <c r="AP285" i="5"/>
  <c r="AD292" i="8"/>
  <c r="AP292" i="8" s="1"/>
  <c r="F292" i="8" s="1"/>
  <c r="R294" i="8"/>
  <c r="AN287" i="5"/>
  <c r="AG12" i="8"/>
  <c r="AS148" i="5"/>
  <c r="AN71" i="5"/>
  <c r="R100" i="8"/>
  <c r="AP246" i="5"/>
  <c r="AD257" i="8"/>
  <c r="W367" i="8"/>
  <c r="AU367" i="8" s="1"/>
  <c r="AT369" i="5"/>
  <c r="AO291" i="8"/>
  <c r="BA284" i="5"/>
  <c r="AV9" i="8"/>
  <c r="AO296" i="8"/>
  <c r="BA289" i="5"/>
  <c r="AW79" i="5"/>
  <c r="Z108" i="8"/>
  <c r="AC30" i="8"/>
  <c r="AZ325" i="5"/>
  <c r="AA290" i="8"/>
  <c r="AX283" i="5"/>
  <c r="U23" i="8"/>
  <c r="AF42" i="2"/>
  <c r="AR215" i="5"/>
  <c r="AA186" i="8"/>
  <c r="AX163" i="5"/>
  <c r="AY145" i="8"/>
  <c r="O145" i="8" s="1"/>
  <c r="W80" i="8"/>
  <c r="AT51" i="5"/>
  <c r="AL15" i="2"/>
  <c r="AN290" i="5"/>
  <c r="AB297" i="8"/>
  <c r="AZ297" i="8" s="1"/>
  <c r="AY290" i="5"/>
  <c r="F315" i="8"/>
  <c r="E10" i="3"/>
  <c r="AL304" i="8"/>
  <c r="AX304" i="8" s="1"/>
  <c r="N304" i="8" s="1"/>
  <c r="AX298" i="5"/>
  <c r="BA189" i="5"/>
  <c r="AO209" i="8"/>
  <c r="AQ270" i="5"/>
  <c r="AE278" i="8"/>
  <c r="AO95" i="8"/>
  <c r="BA66" i="5"/>
  <c r="AO280" i="8"/>
  <c r="BA272" i="5"/>
  <c r="W78" i="8"/>
  <c r="AT47" i="5"/>
  <c r="R274" i="8"/>
  <c r="AN266" i="5"/>
  <c r="U9" i="8"/>
  <c r="AR123" i="5"/>
  <c r="Y180" i="8"/>
  <c r="AV156" i="5"/>
  <c r="L255" i="8"/>
  <c r="U207" i="8"/>
  <c r="AR187" i="5"/>
  <c r="Y369" i="8"/>
  <c r="AV372" i="5"/>
  <c r="AD58" i="2"/>
  <c r="AE242" i="8"/>
  <c r="AQ230" i="5"/>
  <c r="AC137" i="8"/>
  <c r="AZ108" i="5"/>
  <c r="Z231" i="8"/>
  <c r="AX231" i="8" s="1"/>
  <c r="AW218" i="5"/>
  <c r="AW152" i="5"/>
  <c r="AZ353" i="5"/>
  <c r="AN37" i="5"/>
  <c r="AT93" i="5"/>
  <c r="AR29" i="5"/>
  <c r="AT216" i="5"/>
  <c r="E37" i="3"/>
  <c r="AP152" i="5"/>
  <c r="AZ199" i="5"/>
  <c r="AZ165" i="5"/>
  <c r="M266" i="8"/>
  <c r="E7" i="13"/>
  <c r="AP15" i="5"/>
  <c r="AU127" i="8"/>
  <c r="K127" i="8" s="1"/>
  <c r="AX126" i="5"/>
  <c r="AW29" i="8"/>
  <c r="M29" i="8" s="1"/>
  <c r="AY379" i="8"/>
  <c r="O379" i="8" s="1"/>
  <c r="K343" i="8"/>
  <c r="K176" i="8"/>
  <c r="M204" i="8"/>
  <c r="AT210" i="5"/>
  <c r="AW213" i="8"/>
  <c r="M213" i="8" s="1"/>
  <c r="O364" i="8"/>
  <c r="AX97" i="5"/>
  <c r="N64" i="8"/>
  <c r="Q249" i="8"/>
  <c r="N308" i="8"/>
  <c r="W174" i="8"/>
  <c r="AT150" i="5"/>
  <c r="W361" i="8"/>
  <c r="AT363" i="5"/>
  <c r="Z244" i="8"/>
  <c r="AX244" i="8" s="1"/>
  <c r="AW232" i="5"/>
  <c r="AF193" i="8"/>
  <c r="AR193" i="8" s="1"/>
  <c r="H193" i="8" s="1"/>
  <c r="AR170" i="5"/>
  <c r="AC284" i="8"/>
  <c r="AZ276" i="5"/>
  <c r="R83" i="8"/>
  <c r="AN54" i="5"/>
  <c r="AF227" i="8"/>
  <c r="AR227" i="8" s="1"/>
  <c r="H227" i="8" s="1"/>
  <c r="AR212" i="5"/>
  <c r="AC183" i="8"/>
  <c r="AZ160" i="5"/>
  <c r="R79" i="8"/>
  <c r="AN50" i="5"/>
  <c r="X224" i="8"/>
  <c r="AU209" i="5"/>
  <c r="AC171" i="8"/>
  <c r="AZ146" i="5"/>
  <c r="AL57" i="2"/>
  <c r="W295" i="8"/>
  <c r="AT288" i="5"/>
  <c r="AP80" i="5"/>
  <c r="AD109" i="8"/>
  <c r="AP109" i="8" s="1"/>
  <c r="F109" i="8" s="1"/>
  <c r="AO225" i="8"/>
  <c r="BA210" i="5"/>
  <c r="AN315" i="5"/>
  <c r="AY315" i="5"/>
  <c r="AM317" i="8"/>
  <c r="AY317" i="8" s="1"/>
  <c r="O317" i="8" s="1"/>
  <c r="X362" i="8"/>
  <c r="AU364" i="5"/>
  <c r="AV11" i="5"/>
  <c r="Y47" i="8"/>
  <c r="AZ287" i="5"/>
  <c r="AC294" i="8"/>
  <c r="AC243" i="8"/>
  <c r="AZ231" i="5"/>
  <c r="AX77" i="5"/>
  <c r="AL106" i="8"/>
  <c r="AD107" i="8"/>
  <c r="AP107" i="8" s="1"/>
  <c r="F107" i="8" s="1"/>
  <c r="AN78" i="5"/>
  <c r="AP317" i="5"/>
  <c r="AD319" i="8"/>
  <c r="AP319" i="8" s="1"/>
  <c r="F319" i="8" s="1"/>
  <c r="E25" i="3"/>
  <c r="AX100" i="5"/>
  <c r="AA129" i="8"/>
  <c r="W39" i="8"/>
  <c r="AT2" i="5"/>
  <c r="X280" i="8"/>
  <c r="AV280" i="8" s="1"/>
  <c r="AU272" i="5"/>
  <c r="AQ103" i="5"/>
  <c r="AE132" i="8"/>
  <c r="AC24" i="2"/>
  <c r="AP85" i="5"/>
  <c r="AD114" i="8"/>
  <c r="X265" i="8"/>
  <c r="AU256" i="5"/>
  <c r="Y280" i="8"/>
  <c r="AV272" i="5"/>
  <c r="AU303" i="5"/>
  <c r="X305" i="8"/>
  <c r="S154" i="8"/>
  <c r="AP129" i="5"/>
  <c r="AX373" i="5"/>
  <c r="AA370" i="8"/>
  <c r="AY370" i="8" s="1"/>
  <c r="M116" i="8"/>
  <c r="AC51" i="2"/>
  <c r="AP362" i="5"/>
  <c r="AD33" i="8"/>
  <c r="AP33" i="8" s="1"/>
  <c r="F33" i="8" s="1"/>
  <c r="AD357" i="8"/>
  <c r="AP357" i="8" s="1"/>
  <c r="F357" i="8" s="1"/>
  <c r="AP358" i="5"/>
  <c r="AS337" i="5"/>
  <c r="AG337" i="8"/>
  <c r="AN328" i="5"/>
  <c r="AY328" i="5"/>
  <c r="AM329" i="8"/>
  <c r="AY329" i="8" s="1"/>
  <c r="O329" i="8" s="1"/>
  <c r="AF243" i="8"/>
  <c r="AR243" i="8" s="1"/>
  <c r="H243" i="8" s="1"/>
  <c r="AR231" i="5"/>
  <c r="AC27" i="2"/>
  <c r="AD184" i="8"/>
  <c r="AP161" i="5"/>
  <c r="Y162" i="8"/>
  <c r="AW162" i="8" s="1"/>
  <c r="AV137" i="5"/>
  <c r="AA65" i="8"/>
  <c r="AX34" i="5"/>
  <c r="AG133" i="5"/>
  <c r="V2" i="12"/>
  <c r="Z191" i="8"/>
  <c r="AW168" i="5"/>
  <c r="AX230" i="8"/>
  <c r="AU220" i="5"/>
  <c r="X233" i="8"/>
  <c r="AV233" i="8" s="1"/>
  <c r="BA203" i="5"/>
  <c r="AO19" i="8"/>
  <c r="AW84" i="5"/>
  <c r="Z113" i="8"/>
  <c r="AR278" i="5"/>
  <c r="AF286" i="8"/>
  <c r="AR286" i="8" s="1"/>
  <c r="H286" i="8" s="1"/>
  <c r="AR162" i="5"/>
  <c r="AF185" i="8"/>
  <c r="AR185" i="8" s="1"/>
  <c r="H185" i="8" s="1"/>
  <c r="AC11" i="8"/>
  <c r="AZ125" i="5"/>
  <c r="W281" i="8"/>
  <c r="AT273" i="5"/>
  <c r="AP275" i="5"/>
  <c r="AD283" i="8"/>
  <c r="AP283" i="8" s="1"/>
  <c r="F283" i="8" s="1"/>
  <c r="AS165" i="5"/>
  <c r="AG188" i="8"/>
  <c r="AS188" i="8" s="1"/>
  <c r="I188" i="8" s="1"/>
  <c r="AN52" i="5"/>
  <c r="AK400" i="8"/>
  <c r="AW409" i="5"/>
  <c r="AF62" i="2"/>
  <c r="U316" i="8"/>
  <c r="AR314" i="5"/>
  <c r="AW167" i="5"/>
  <c r="Z190" i="8"/>
  <c r="BA64" i="5"/>
  <c r="AO93" i="8"/>
  <c r="AX242" i="5"/>
  <c r="AA253" i="8"/>
  <c r="AE205" i="8"/>
  <c r="AQ185" i="5"/>
  <c r="S279" i="8"/>
  <c r="AP271" i="5"/>
  <c r="AO114" i="8"/>
  <c r="BA85" i="5"/>
  <c r="W260" i="8"/>
  <c r="AT250" i="5"/>
  <c r="R80" i="8"/>
  <c r="AN51" i="5"/>
  <c r="AD287" i="8"/>
  <c r="AP280" i="5"/>
  <c r="BA230" i="5"/>
  <c r="AO242" i="8"/>
  <c r="AN374" i="5"/>
  <c r="AB35" i="8"/>
  <c r="AY374" i="5"/>
  <c r="W223" i="8"/>
  <c r="AT208" i="5"/>
  <c r="W331" i="8"/>
  <c r="AU331" i="8" s="1"/>
  <c r="AT330" i="5"/>
  <c r="AE201" i="8"/>
  <c r="AQ201" i="8" s="1"/>
  <c r="AQ179" i="5"/>
  <c r="AR135" i="5"/>
  <c r="AF160" i="8"/>
  <c r="AR160" i="8" s="1"/>
  <c r="H160" i="8" s="1"/>
  <c r="AN106" i="5"/>
  <c r="R135" i="8"/>
  <c r="AP135" i="8" s="1"/>
  <c r="W63" i="8"/>
  <c r="AT32" i="5"/>
  <c r="Y315" i="8"/>
  <c r="AV313" i="5"/>
  <c r="AA97" i="8"/>
  <c r="AX68" i="5"/>
  <c r="AU324" i="8"/>
  <c r="AG56" i="2"/>
  <c r="AI56" i="2"/>
  <c r="AF56" i="2"/>
  <c r="AR78" i="5"/>
  <c r="AF107" i="8"/>
  <c r="AR107" i="8" s="1"/>
  <c r="H107" i="8" s="1"/>
  <c r="AD267" i="8"/>
  <c r="AP258" i="5"/>
  <c r="Y351" i="8"/>
  <c r="AV352" i="5"/>
  <c r="AU121" i="5"/>
  <c r="AI149" i="8"/>
  <c r="Z45" i="8"/>
  <c r="AW9" i="5"/>
  <c r="AC121" i="8"/>
  <c r="AZ92" i="5"/>
  <c r="AC41" i="8"/>
  <c r="AZ4" i="5"/>
  <c r="V98" i="8"/>
  <c r="AS69" i="5"/>
  <c r="AK17" i="2"/>
  <c r="U61" i="5"/>
  <c r="N2" i="12"/>
  <c r="U330" i="8"/>
  <c r="AR329" i="5"/>
  <c r="Y129" i="8"/>
  <c r="AV100" i="5"/>
  <c r="Y58" i="8"/>
  <c r="AV25" i="5"/>
  <c r="Y390" i="8"/>
  <c r="AV397" i="5"/>
  <c r="Y335" i="8"/>
  <c r="AV335" i="5"/>
  <c r="L120" i="8"/>
  <c r="F207" i="8"/>
  <c r="AF67" i="2"/>
  <c r="U374" i="8"/>
  <c r="AR378" i="5"/>
  <c r="V365" i="8"/>
  <c r="AT365" i="8" s="1"/>
  <c r="AS367" i="5"/>
  <c r="P120" i="8"/>
  <c r="Y161" i="8"/>
  <c r="AV136" i="5"/>
  <c r="AQ184" i="5"/>
  <c r="AE204" i="8"/>
  <c r="AE164" i="8"/>
  <c r="AQ139" i="5"/>
  <c r="AX47" i="5"/>
  <c r="AA78" i="8"/>
  <c r="AX169" i="5"/>
  <c r="AA192" i="8"/>
  <c r="AC276" i="8"/>
  <c r="AZ268" i="5"/>
  <c r="Z137" i="8"/>
  <c r="AX137" i="8" s="1"/>
  <c r="AW108" i="5"/>
  <c r="AO73" i="8"/>
  <c r="BA42" i="5"/>
  <c r="W92" i="8"/>
  <c r="AT63" i="5"/>
  <c r="W93" i="8"/>
  <c r="AT64" i="5"/>
  <c r="X99" i="8"/>
  <c r="AU70" i="5"/>
  <c r="AR92" i="2"/>
  <c r="Y200" i="8"/>
  <c r="AV178" i="5"/>
  <c r="AH392" i="8"/>
  <c r="AT392" i="8" s="1"/>
  <c r="J392" i="8" s="1"/>
  <c r="AT399" i="5"/>
  <c r="AN399" i="5"/>
  <c r="AO67" i="8"/>
  <c r="BA36" i="5"/>
  <c r="AY305" i="5"/>
  <c r="AM307" i="8"/>
  <c r="AY307" i="8" s="1"/>
  <c r="O307" i="8" s="1"/>
  <c r="AN305" i="5"/>
  <c r="S132" i="8"/>
  <c r="AP103" i="5"/>
  <c r="AC209" i="8"/>
  <c r="AZ189" i="5"/>
  <c r="AV21" i="8"/>
  <c r="L21" i="8" s="1"/>
  <c r="U28" i="8"/>
  <c r="AR279" i="5"/>
  <c r="AS363" i="8"/>
  <c r="AC339" i="8"/>
  <c r="AZ339" i="5"/>
  <c r="X322" i="8"/>
  <c r="AV322" i="8" s="1"/>
  <c r="AU320" i="5"/>
  <c r="AN365" i="5"/>
  <c r="AB363" i="8"/>
  <c r="AY365" i="5"/>
  <c r="W15" i="8"/>
  <c r="AT180" i="5"/>
  <c r="M210" i="8"/>
  <c r="AN29" i="8"/>
  <c r="AZ29" i="8" s="1"/>
  <c r="P29" i="8" s="1"/>
  <c r="AZ296" i="5"/>
  <c r="AT164" i="5"/>
  <c r="W187" i="8"/>
  <c r="AQ128" i="5"/>
  <c r="AE153" i="8"/>
  <c r="AD122" i="8"/>
  <c r="AP122" i="8" s="1"/>
  <c r="F122" i="8" s="1"/>
  <c r="AP93" i="5"/>
  <c r="AA81" i="8"/>
  <c r="AX52" i="5"/>
  <c r="AK67" i="2"/>
  <c r="V374" i="8"/>
  <c r="AS378" i="5"/>
  <c r="AN240" i="5"/>
  <c r="X350" i="8"/>
  <c r="AU350" i="5"/>
  <c r="AD298" i="8"/>
  <c r="AP298" i="8" s="1"/>
  <c r="F298" i="8" s="1"/>
  <c r="AP291" i="5"/>
  <c r="AZ288" i="8"/>
  <c r="P288" i="8" s="1"/>
  <c r="AZ240" i="5"/>
  <c r="W327" i="8"/>
  <c r="AT326" i="5"/>
  <c r="AS187" i="5"/>
  <c r="AG207" i="8"/>
  <c r="Z186" i="8"/>
  <c r="AX186" i="8" s="1"/>
  <c r="AW163" i="5"/>
  <c r="AR198" i="5"/>
  <c r="AF217" i="8"/>
  <c r="AR217" i="8" s="1"/>
  <c r="H217" i="8" s="1"/>
  <c r="AC401" i="8"/>
  <c r="AZ410" i="5"/>
  <c r="BD92" i="2"/>
  <c r="AZ81" i="8"/>
  <c r="P81" i="8" s="1"/>
  <c r="V222" i="8"/>
  <c r="AK37" i="2"/>
  <c r="AS207" i="5"/>
  <c r="AW287" i="5"/>
  <c r="Z294" i="8"/>
  <c r="AX294" i="8" s="1"/>
  <c r="AF171" i="8"/>
  <c r="AR171" i="8" s="1"/>
  <c r="H171" i="8" s="1"/>
  <c r="AR146" i="5"/>
  <c r="Y30" i="8"/>
  <c r="AV325" i="5"/>
  <c r="Y223" i="8"/>
  <c r="AV208" i="5"/>
  <c r="AX377" i="5"/>
  <c r="AA373" i="8"/>
  <c r="AO259" i="8"/>
  <c r="BA249" i="5"/>
  <c r="W213" i="8"/>
  <c r="AT194" i="5"/>
  <c r="AX127" i="5"/>
  <c r="AA152" i="8"/>
  <c r="AN220" i="5"/>
  <c r="AB233" i="8"/>
  <c r="AY220" i="5"/>
  <c r="W318" i="8"/>
  <c r="AU318" i="8" s="1"/>
  <c r="AT316" i="5"/>
  <c r="F117" i="8"/>
  <c r="W183" i="8"/>
  <c r="AT160" i="5"/>
  <c r="U203" i="8"/>
  <c r="AR182" i="5"/>
  <c r="AZ211" i="8"/>
  <c r="S137" i="8"/>
  <c r="AP108" i="5"/>
  <c r="BA30" i="5"/>
  <c r="AO62" i="8"/>
  <c r="K84" i="8"/>
  <c r="F2" i="8"/>
  <c r="AE227" i="8"/>
  <c r="AQ212" i="5"/>
  <c r="Y72" i="8"/>
  <c r="AV41" i="5"/>
  <c r="AC32" i="2"/>
  <c r="AP203" i="5"/>
  <c r="AD19" i="8"/>
  <c r="AP19" i="8" s="1"/>
  <c r="F19" i="8" s="1"/>
  <c r="AU12" i="5"/>
  <c r="X3" i="8"/>
  <c r="AV3" i="8" s="1"/>
  <c r="Y127" i="8"/>
  <c r="AV98" i="5"/>
  <c r="AD58" i="8"/>
  <c r="AP25" i="5"/>
  <c r="W139" i="8"/>
  <c r="AT110" i="5"/>
  <c r="X358" i="8"/>
  <c r="AU359" i="5"/>
  <c r="W329" i="8"/>
  <c r="AU329" i="8" s="1"/>
  <c r="AT328" i="5"/>
  <c r="AG202" i="8"/>
  <c r="AS181" i="5"/>
  <c r="Y303" i="8"/>
  <c r="AV297" i="5"/>
  <c r="U311" i="8"/>
  <c r="AR309" i="5"/>
  <c r="U361" i="8"/>
  <c r="AR363" i="5"/>
  <c r="U355" i="8"/>
  <c r="AR356" i="5"/>
  <c r="Z372" i="8"/>
  <c r="AX372" i="8" s="1"/>
  <c r="AW376" i="5"/>
  <c r="AQ136" i="8"/>
  <c r="G136" i="8" s="1"/>
  <c r="X373" i="8"/>
  <c r="AV373" i="8" s="1"/>
  <c r="AU377" i="5"/>
  <c r="Y354" i="8"/>
  <c r="AV355" i="5"/>
  <c r="X237" i="8"/>
  <c r="AU224" i="5"/>
  <c r="AN117" i="5"/>
  <c r="R145" i="8"/>
  <c r="Y145" i="8"/>
  <c r="AV117" i="5"/>
  <c r="AA299" i="8"/>
  <c r="AX292" i="5"/>
  <c r="E26" i="3"/>
  <c r="AX16" i="5"/>
  <c r="AA51" i="8"/>
  <c r="AO277" i="8"/>
  <c r="BA269" i="5"/>
  <c r="X339" i="8"/>
  <c r="AV339" i="8" s="1"/>
  <c r="AU339" i="5"/>
  <c r="AD329" i="8"/>
  <c r="AP329" i="8" s="1"/>
  <c r="F329" i="8" s="1"/>
  <c r="AP328" i="5"/>
  <c r="AW82" i="5"/>
  <c r="Z111" i="8"/>
  <c r="AX111" i="8" s="1"/>
  <c r="N221" i="8"/>
  <c r="AR47" i="5"/>
  <c r="AF78" i="8"/>
  <c r="AR78" i="8" s="1"/>
  <c r="H78" i="8" s="1"/>
  <c r="BA373" i="5"/>
  <c r="AO370" i="8"/>
  <c r="BA370" i="8" s="1"/>
  <c r="AH390" i="8"/>
  <c r="AT390" i="8" s="1"/>
  <c r="J390" i="8" s="1"/>
  <c r="AT397" i="5"/>
  <c r="AN397" i="5"/>
  <c r="AH402" i="8"/>
  <c r="AT402" i="8" s="1"/>
  <c r="J402" i="8" s="1"/>
  <c r="AT411" i="5"/>
  <c r="AN411" i="5"/>
  <c r="Y5" i="8"/>
  <c r="AV31" i="5"/>
  <c r="Y209" i="8"/>
  <c r="AV189" i="5"/>
  <c r="AP88" i="8"/>
  <c r="F88" i="8" s="1"/>
  <c r="AC354" i="8"/>
  <c r="BA354" i="8" s="1"/>
  <c r="AZ355" i="5"/>
  <c r="AC359" i="8"/>
  <c r="AZ360" i="5"/>
  <c r="X60" i="8"/>
  <c r="AV60" i="8" s="1"/>
  <c r="AU27" i="5"/>
  <c r="AD335" i="8"/>
  <c r="AP335" i="8" s="1"/>
  <c r="F335" i="8" s="1"/>
  <c r="AP335" i="5"/>
  <c r="AC264" i="8"/>
  <c r="AZ255" i="5"/>
  <c r="AX354" i="5"/>
  <c r="AA353" i="8"/>
  <c r="AX289" i="5"/>
  <c r="AA296" i="8"/>
  <c r="AT140" i="5"/>
  <c r="W165" i="8"/>
  <c r="BA134" i="5"/>
  <c r="AO159" i="8"/>
  <c r="AD100" i="8"/>
  <c r="AP71" i="5"/>
  <c r="W40" i="8"/>
  <c r="AT3" i="5"/>
  <c r="AN87" i="5"/>
  <c r="X8" i="8"/>
  <c r="AU113" i="5"/>
  <c r="AN370" i="5"/>
  <c r="AB34" i="8"/>
  <c r="AY370" i="5"/>
  <c r="AN363" i="5"/>
  <c r="AB361" i="8"/>
  <c r="AY363" i="5"/>
  <c r="BA383" i="5"/>
  <c r="AO379" i="8"/>
  <c r="BA379" i="8" s="1"/>
  <c r="AA365" i="8"/>
  <c r="AY365" i="8" s="1"/>
  <c r="AX367" i="5"/>
  <c r="BA12" i="5"/>
  <c r="AO3" i="8"/>
  <c r="AT58" i="5"/>
  <c r="AL12" i="2"/>
  <c r="W87" i="8"/>
  <c r="W112" i="8"/>
  <c r="AU112" i="8" s="1"/>
  <c r="AT83" i="5"/>
  <c r="X45" i="8"/>
  <c r="AU9" i="5"/>
  <c r="AC18" i="8"/>
  <c r="AZ200" i="5"/>
  <c r="X213" i="8"/>
  <c r="AU194" i="5"/>
  <c r="AX92" i="2"/>
  <c r="AD11" i="8"/>
  <c r="AP11" i="8" s="1"/>
  <c r="AP125" i="5"/>
  <c r="Z224" i="8"/>
  <c r="AW209" i="5"/>
  <c r="AG40" i="2"/>
  <c r="AF40" i="2"/>
  <c r="AI40" i="2"/>
  <c r="AR6" i="5"/>
  <c r="AF42" i="8"/>
  <c r="AR42" i="8" s="1"/>
  <c r="H42" i="8" s="1"/>
  <c r="U344" i="8"/>
  <c r="AR344" i="5"/>
  <c r="W348" i="8"/>
  <c r="AU348" i="8" s="1"/>
  <c r="AT348" i="5"/>
  <c r="Z170" i="8"/>
  <c r="AX170" i="8" s="1"/>
  <c r="AW145" i="5"/>
  <c r="AP377" i="5"/>
  <c r="AD373" i="8"/>
  <c r="AP373" i="8" s="1"/>
  <c r="F373" i="8" s="1"/>
  <c r="K172" i="8"/>
  <c r="W323" i="8"/>
  <c r="AU323" i="8" s="1"/>
  <c r="AT321" i="5"/>
  <c r="AP167" i="5"/>
  <c r="AD190" i="8"/>
  <c r="AO180" i="8"/>
  <c r="BA156" i="5"/>
  <c r="AX123" i="5"/>
  <c r="AA9" i="8"/>
  <c r="AA55" i="8"/>
  <c r="AX22" i="5"/>
  <c r="AC48" i="8"/>
  <c r="AZ13" i="5"/>
  <c r="BA116" i="8"/>
  <c r="Q116" i="8" s="1"/>
  <c r="Y341" i="8"/>
  <c r="AV341" i="5"/>
  <c r="S106" i="8"/>
  <c r="AP77" i="5"/>
  <c r="AD18" i="8"/>
  <c r="AP18" i="8" s="1"/>
  <c r="AP200" i="5"/>
  <c r="N175" i="8"/>
  <c r="AR178" i="5"/>
  <c r="AF200" i="8"/>
  <c r="AR200" i="8" s="1"/>
  <c r="H200" i="8" s="1"/>
  <c r="AC112" i="8"/>
  <c r="AZ83" i="5"/>
  <c r="AP284" i="5"/>
  <c r="AD291" i="8"/>
  <c r="AP291" i="8" s="1"/>
  <c r="F291" i="8" s="1"/>
  <c r="AN46" i="5"/>
  <c r="R77" i="8"/>
  <c r="AD25" i="8"/>
  <c r="AP248" i="5"/>
  <c r="W366" i="8"/>
  <c r="AT368" i="5"/>
  <c r="BA179" i="5"/>
  <c r="AO201" i="8"/>
  <c r="BA201" i="8" s="1"/>
  <c r="AO293" i="8"/>
  <c r="BA286" i="5"/>
  <c r="AW77" i="5"/>
  <c r="Z106" i="8"/>
  <c r="AC32" i="8"/>
  <c r="AZ351" i="5"/>
  <c r="L210" i="8"/>
  <c r="AT410" i="5"/>
  <c r="AH401" i="8"/>
  <c r="AT401" i="8" s="1"/>
  <c r="J401" i="8" s="1"/>
  <c r="AN410" i="5"/>
  <c r="AF267" i="8"/>
  <c r="AR267" i="8" s="1"/>
  <c r="H267" i="8" s="1"/>
  <c r="AR258" i="5"/>
  <c r="X174" i="8"/>
  <c r="AV174" i="8" s="1"/>
  <c r="AU150" i="5"/>
  <c r="AO124" i="8"/>
  <c r="BA95" i="5"/>
  <c r="AF40" i="8"/>
  <c r="AR40" i="8" s="1"/>
  <c r="H40" i="8" s="1"/>
  <c r="AR3" i="5"/>
  <c r="AX278" i="5"/>
  <c r="AA286" i="8"/>
  <c r="AO216" i="8"/>
  <c r="BA197" i="5"/>
  <c r="X349" i="8"/>
  <c r="AV349" i="8" s="1"/>
  <c r="AU349" i="5"/>
  <c r="AQ264" i="5"/>
  <c r="AE273" i="8"/>
  <c r="AQ273" i="8" s="1"/>
  <c r="AO123" i="8"/>
  <c r="BA94" i="5"/>
  <c r="Q172" i="8"/>
  <c r="K85" i="8"/>
  <c r="AW154" i="8"/>
  <c r="R244" i="8"/>
  <c r="AN232" i="5"/>
  <c r="AW75" i="8"/>
  <c r="M75" i="8" s="1"/>
  <c r="Y109" i="8"/>
  <c r="AV80" i="5"/>
  <c r="L133" i="5"/>
  <c r="H2" i="12"/>
  <c r="Y358" i="8"/>
  <c r="AV359" i="5"/>
  <c r="AC147" i="8"/>
  <c r="AZ119" i="5"/>
  <c r="Z133" i="8"/>
  <c r="AX133" i="8" s="1"/>
  <c r="AW104" i="5"/>
  <c r="N176" i="8"/>
  <c r="P221" i="8"/>
  <c r="AU122" i="8"/>
  <c r="K122" i="8" s="1"/>
  <c r="AU229" i="8"/>
  <c r="K229" i="8" s="1"/>
  <c r="AY88" i="8"/>
  <c r="O88" i="8" s="1"/>
  <c r="AN299" i="5"/>
  <c r="P286" i="8"/>
  <c r="G176" i="8"/>
  <c r="AN319" i="5"/>
  <c r="Q218" i="8"/>
  <c r="G50" i="8"/>
  <c r="AT181" i="5"/>
  <c r="AN139" i="5"/>
  <c r="AY354" i="5"/>
  <c r="AP116" i="5"/>
  <c r="AP383" i="8"/>
  <c r="F383" i="8" s="1"/>
  <c r="B383" i="8" s="1"/>
  <c r="AT148" i="5"/>
  <c r="AV349" i="5"/>
  <c r="K225" i="8"/>
  <c r="Q63" i="8"/>
  <c r="AZ363" i="5"/>
  <c r="AV94" i="5"/>
  <c r="AY239" i="8"/>
  <c r="O239" i="8" s="1"/>
  <c r="AX366" i="5"/>
  <c r="AZ15" i="5"/>
  <c r="AX35" i="5"/>
  <c r="U2" i="12"/>
  <c r="N120" i="8"/>
  <c r="AP370" i="5"/>
  <c r="AD34" i="8"/>
  <c r="AP34" i="8" s="1"/>
  <c r="F34" i="8" s="1"/>
  <c r="AN285" i="5"/>
  <c r="AB292" i="8"/>
  <c r="AZ292" i="8" s="1"/>
  <c r="AY285" i="5"/>
  <c r="AX196" i="5"/>
  <c r="AA215" i="8"/>
  <c r="AO195" i="8"/>
  <c r="BA173" i="5"/>
  <c r="AC176" i="8"/>
  <c r="AZ152" i="5"/>
  <c r="AN103" i="5"/>
  <c r="R132" i="8"/>
  <c r="AA68" i="8"/>
  <c r="AX37" i="5"/>
  <c r="AN113" i="5"/>
  <c r="AB8" i="8"/>
  <c r="AZ8" i="8" s="1"/>
  <c r="AY113" i="5"/>
  <c r="AX232" i="5"/>
  <c r="AA244" i="8"/>
  <c r="AW88" i="5"/>
  <c r="Z117" i="8"/>
  <c r="AX117" i="8" s="1"/>
  <c r="X232" i="8"/>
  <c r="AU219" i="5"/>
  <c r="AO139" i="8"/>
  <c r="BA110" i="5"/>
  <c r="Z112" i="8"/>
  <c r="AX112" i="8" s="1"/>
  <c r="AW83" i="5"/>
  <c r="AF255" i="8"/>
  <c r="AR255" i="8" s="1"/>
  <c r="H255" i="8" s="1"/>
  <c r="AR244" i="5"/>
  <c r="AF99" i="8"/>
  <c r="AR99" i="8" s="1"/>
  <c r="H99" i="8" s="1"/>
  <c r="AR70" i="5"/>
  <c r="AI16" i="2"/>
  <c r="AG16" i="2"/>
  <c r="AF16" i="2"/>
  <c r="AC102" i="8"/>
  <c r="AZ73" i="5"/>
  <c r="AH154" i="8"/>
  <c r="AT154" i="8" s="1"/>
  <c r="J154" i="8" s="1"/>
  <c r="AT129" i="5"/>
  <c r="W23" i="8"/>
  <c r="AT215" i="5"/>
  <c r="AL42" i="2"/>
  <c r="AW220" i="8"/>
  <c r="M220" i="8" s="1"/>
  <c r="AD199" i="8"/>
  <c r="AP199" i="8" s="1"/>
  <c r="F199" i="8" s="1"/>
  <c r="AP177" i="5"/>
  <c r="AW405" i="5"/>
  <c r="AK397" i="8"/>
  <c r="AG348" i="8"/>
  <c r="AS348" i="5"/>
  <c r="AC338" i="8"/>
  <c r="AZ338" i="5"/>
  <c r="AD249" i="8"/>
  <c r="AP249" i="8" s="1"/>
  <c r="AP237" i="5"/>
  <c r="X171" i="8"/>
  <c r="AU146" i="5"/>
  <c r="W91" i="8"/>
  <c r="AT62" i="5"/>
  <c r="AL9" i="2"/>
  <c r="W76" i="8"/>
  <c r="AT45" i="5"/>
  <c r="AX124" i="5"/>
  <c r="AA10" i="8"/>
  <c r="AC252" i="8"/>
  <c r="AZ241" i="5"/>
  <c r="AQ180" i="5"/>
  <c r="AE15" i="8"/>
  <c r="AY340" i="5"/>
  <c r="AM340" i="8"/>
  <c r="AY340" i="8" s="1"/>
  <c r="O340" i="8" s="1"/>
  <c r="AN340" i="5"/>
  <c r="AO143" i="8"/>
  <c r="BA143" i="8" s="1"/>
  <c r="BA115" i="5"/>
  <c r="W138" i="8"/>
  <c r="AT109" i="5"/>
  <c r="AO170" i="8"/>
  <c r="BA145" i="5"/>
  <c r="R5" i="8"/>
  <c r="AN31" i="5"/>
  <c r="O58" i="5"/>
  <c r="AN58" i="5" s="1"/>
  <c r="AG87" i="8"/>
  <c r="AF298" i="8"/>
  <c r="AR298" i="8" s="1"/>
  <c r="H298" i="8" s="1"/>
  <c r="AR291" i="5"/>
  <c r="AN378" i="5"/>
  <c r="AB374" i="8"/>
  <c r="AZ374" i="8" s="1"/>
  <c r="AY378" i="5"/>
  <c r="AE24" i="8"/>
  <c r="AQ24" i="8" s="1"/>
  <c r="G24" i="8" s="1"/>
  <c r="AQ228" i="5"/>
  <c r="W206" i="8"/>
  <c r="AT186" i="5"/>
  <c r="Y340" i="8"/>
  <c r="AV340" i="5"/>
  <c r="X329" i="8"/>
  <c r="AU328" i="5"/>
  <c r="S285" i="8"/>
  <c r="AP277" i="5"/>
  <c r="X241" i="8"/>
  <c r="AU229" i="5"/>
  <c r="AC16" i="8"/>
  <c r="AZ183" i="5"/>
  <c r="R129" i="8"/>
  <c r="AN100" i="5"/>
  <c r="Z46" i="8"/>
  <c r="AW10" i="5"/>
  <c r="AN201" i="5"/>
  <c r="AB219" i="8"/>
  <c r="AZ219" i="8" s="1"/>
  <c r="AY201" i="5"/>
  <c r="Y310" i="8"/>
  <c r="AV308" i="5"/>
  <c r="AX63" i="5"/>
  <c r="AA92" i="8"/>
  <c r="Y121" i="8"/>
  <c r="AV92" i="5"/>
  <c r="AC230" i="8"/>
  <c r="AZ217" i="5"/>
  <c r="AP224" i="8"/>
  <c r="Y366" i="8"/>
  <c r="AV368" i="5"/>
  <c r="AS375" i="8"/>
  <c r="Z212" i="8"/>
  <c r="AX212" i="8" s="1"/>
  <c r="AW193" i="5"/>
  <c r="AC111" i="8"/>
  <c r="AZ82" i="5"/>
  <c r="AZ12" i="5"/>
  <c r="AC3" i="8"/>
  <c r="R151" i="8"/>
  <c r="AN126" i="5"/>
  <c r="X64" i="8"/>
  <c r="AU33" i="5"/>
  <c r="U334" i="8"/>
  <c r="AR334" i="5"/>
  <c r="Y130" i="8"/>
  <c r="AV101" i="5"/>
  <c r="Y178" i="8"/>
  <c r="AV154" i="5"/>
  <c r="Y311" i="8"/>
  <c r="AV309" i="5"/>
  <c r="AV183" i="8"/>
  <c r="C133" i="5"/>
  <c r="R158" i="8" s="1"/>
  <c r="B2" i="12"/>
  <c r="V353" i="8"/>
  <c r="AT353" i="8" s="1"/>
  <c r="AS354" i="5"/>
  <c r="AN91" i="5"/>
  <c r="Y94" i="8"/>
  <c r="AV65" i="5"/>
  <c r="U356" i="8"/>
  <c r="AR357" i="5"/>
  <c r="BA242" i="5"/>
  <c r="AO253" i="8"/>
  <c r="W18" i="8"/>
  <c r="AT200" i="5"/>
  <c r="U175" i="8"/>
  <c r="AR151" i="5"/>
  <c r="AC124" i="8"/>
  <c r="AZ95" i="5"/>
  <c r="AD133" i="5"/>
  <c r="T2" i="12"/>
  <c r="AC233" i="8"/>
  <c r="AZ220" i="5"/>
  <c r="Z135" i="8"/>
  <c r="AX135" i="8" s="1"/>
  <c r="AW106" i="5"/>
  <c r="U277" i="8"/>
  <c r="AR269" i="5"/>
  <c r="BA41" i="5"/>
  <c r="AO72" i="8"/>
  <c r="BA72" i="8" s="1"/>
  <c r="W95" i="8"/>
  <c r="AT66" i="5"/>
  <c r="AT46" i="5"/>
  <c r="W77" i="8"/>
  <c r="Y12" i="8"/>
  <c r="AV148" i="5"/>
  <c r="AH37" i="8"/>
  <c r="AT37" i="8" s="1"/>
  <c r="J37" i="8" s="1"/>
  <c r="AT401" i="5"/>
  <c r="AN401" i="5"/>
  <c r="AO43" i="8"/>
  <c r="BA7" i="5"/>
  <c r="Y82" i="8"/>
  <c r="AV53" i="5"/>
  <c r="AC44" i="2"/>
  <c r="S4" i="8"/>
  <c r="AP28" i="5"/>
  <c r="AC216" i="8"/>
  <c r="AZ197" i="5"/>
  <c r="AD348" i="8"/>
  <c r="AP348" i="8" s="1"/>
  <c r="F348" i="8" s="1"/>
  <c r="AP348" i="5"/>
  <c r="AR229" i="5"/>
  <c r="AF241" i="8"/>
  <c r="AR241" i="8" s="1"/>
  <c r="H241" i="8" s="1"/>
  <c r="AC341" i="8"/>
  <c r="AZ341" i="5"/>
  <c r="X324" i="8"/>
  <c r="AU322" i="5"/>
  <c r="AN368" i="5"/>
  <c r="AB366" i="8"/>
  <c r="AZ366" i="8" s="1"/>
  <c r="AY368" i="5"/>
  <c r="W203" i="8"/>
  <c r="AT182" i="5"/>
  <c r="Z310" i="8"/>
  <c r="AW308" i="5"/>
  <c r="AA20" i="8"/>
  <c r="AX204" i="5"/>
  <c r="X343" i="8"/>
  <c r="AU343" i="5"/>
  <c r="AD297" i="8"/>
  <c r="AP297" i="8" s="1"/>
  <c r="F297" i="8" s="1"/>
  <c r="AP290" i="5"/>
  <c r="AZ289" i="8"/>
  <c r="AC251" i="8"/>
  <c r="AZ239" i="5"/>
  <c r="W317" i="8"/>
  <c r="AU317" i="8" s="1"/>
  <c r="AT315" i="5"/>
  <c r="AR192" i="5"/>
  <c r="AF211" i="8"/>
  <c r="AR211" i="8" s="1"/>
  <c r="H211" i="8" s="1"/>
  <c r="N133" i="5"/>
  <c r="I2" i="12"/>
  <c r="Z200" i="8"/>
  <c r="AX200" i="8" s="1"/>
  <c r="AW178" i="5"/>
  <c r="AC280" i="8"/>
  <c r="AZ272" i="5"/>
  <c r="Z276" i="8"/>
  <c r="AW268" i="5"/>
  <c r="Z296" i="8"/>
  <c r="AW289" i="5"/>
  <c r="AG285" i="8"/>
  <c r="AS285" i="8" s="1"/>
  <c r="AS277" i="5"/>
  <c r="AF133" i="8"/>
  <c r="AR133" i="8" s="1"/>
  <c r="H133" i="8" s="1"/>
  <c r="AR104" i="5"/>
  <c r="Y32" i="8"/>
  <c r="AV351" i="5"/>
  <c r="AX380" i="5"/>
  <c r="AA376" i="8"/>
  <c r="AO301" i="8"/>
  <c r="BA294" i="5"/>
  <c r="W200" i="8"/>
  <c r="AT178" i="5"/>
  <c r="AC190" i="8"/>
  <c r="BA190" i="8" s="1"/>
  <c r="AZ167" i="5"/>
  <c r="AP156" i="5"/>
  <c r="AD180" i="8"/>
  <c r="AP180" i="8" s="1"/>
  <c r="Z121" i="8"/>
  <c r="AX121" i="8" s="1"/>
  <c r="AW92" i="5"/>
  <c r="AP29" i="5"/>
  <c r="AD61" i="8"/>
  <c r="AA53" i="8"/>
  <c r="AX18" i="5"/>
  <c r="AX162" i="8"/>
  <c r="W320" i="8"/>
  <c r="AU320" i="8" s="1"/>
  <c r="AT318" i="5"/>
  <c r="W227" i="8"/>
  <c r="AU227" i="8" s="1"/>
  <c r="AT212" i="5"/>
  <c r="U205" i="8"/>
  <c r="AR185" i="5"/>
  <c r="S147" i="8"/>
  <c r="AP119" i="5"/>
  <c r="AO79" i="8"/>
  <c r="BA50" i="5"/>
  <c r="F3" i="8"/>
  <c r="AQ158" i="5"/>
  <c r="AE182" i="8"/>
  <c r="AV47" i="5"/>
  <c r="Y78" i="8"/>
  <c r="AD248" i="8"/>
  <c r="AP248" i="8" s="1"/>
  <c r="F248" i="8" s="1"/>
  <c r="AP236" i="5"/>
  <c r="X41" i="8"/>
  <c r="AU4" i="5"/>
  <c r="Y125" i="8"/>
  <c r="AV96" i="5"/>
  <c r="AD55" i="8"/>
  <c r="AP22" i="5"/>
  <c r="AN193" i="5"/>
  <c r="R212" i="8"/>
  <c r="V359" i="8"/>
  <c r="AS360" i="5"/>
  <c r="AN143" i="5"/>
  <c r="AY143" i="5"/>
  <c r="AB168" i="8"/>
  <c r="X370" i="8"/>
  <c r="AU373" i="5"/>
  <c r="W30" i="8"/>
  <c r="AT325" i="5"/>
  <c r="AD365" i="8"/>
  <c r="AP365" i="8" s="1"/>
  <c r="F365" i="8" s="1"/>
  <c r="AP367" i="5"/>
  <c r="Y195" i="8"/>
  <c r="AW195" i="8" s="1"/>
  <c r="AV173" i="5"/>
  <c r="U314" i="8"/>
  <c r="AR312" i="5"/>
  <c r="AF47" i="2"/>
  <c r="U34" i="8"/>
  <c r="AS34" i="8" s="1"/>
  <c r="AR370" i="5"/>
  <c r="AY332" i="5"/>
  <c r="AM332" i="8"/>
  <c r="AY332" i="8" s="1"/>
  <c r="O332" i="8" s="1"/>
  <c r="AN332" i="5"/>
  <c r="R25" i="8"/>
  <c r="AN248" i="5"/>
  <c r="Z377" i="8"/>
  <c r="AX377" i="8" s="1"/>
  <c r="AW381" i="5"/>
  <c r="X374" i="8"/>
  <c r="AV374" i="8" s="1"/>
  <c r="AU378" i="5"/>
  <c r="L222" i="8"/>
  <c r="BA357" i="5"/>
  <c r="AO356" i="8"/>
  <c r="Y301" i="8"/>
  <c r="AV294" i="5"/>
  <c r="X23" i="8"/>
  <c r="AV23" i="8" s="1"/>
  <c r="AU215" i="5"/>
  <c r="AD150" i="8"/>
  <c r="AP150" i="8" s="1"/>
  <c r="AP122" i="5"/>
  <c r="AO9" i="8"/>
  <c r="BA123" i="5"/>
  <c r="AX243" i="5"/>
  <c r="AA254" i="8"/>
  <c r="AA44" i="8"/>
  <c r="AX8" i="5"/>
  <c r="AO211" i="8"/>
  <c r="BA192" i="5"/>
  <c r="X331" i="8"/>
  <c r="AV331" i="8" s="1"/>
  <c r="AU330" i="5"/>
  <c r="Z354" i="8"/>
  <c r="AX354" i="8" s="1"/>
  <c r="AW355" i="5"/>
  <c r="R223" i="8"/>
  <c r="AN208" i="5"/>
  <c r="AP351" i="5"/>
  <c r="AD32" i="8"/>
  <c r="AP32" i="8" s="1"/>
  <c r="F32" i="8" s="1"/>
  <c r="Z83" i="8"/>
  <c r="AX83" i="8" s="1"/>
  <c r="AW54" i="5"/>
  <c r="Z287" i="8"/>
  <c r="AX287" i="8" s="1"/>
  <c r="AW280" i="5"/>
  <c r="AR49" i="5"/>
  <c r="AF7" i="8"/>
  <c r="AR7" i="8" s="1"/>
  <c r="H7" i="8" s="1"/>
  <c r="BA372" i="5"/>
  <c r="AO369" i="8"/>
  <c r="Y216" i="8"/>
  <c r="AV197" i="5"/>
  <c r="AD311" i="8"/>
  <c r="AP311" i="8" s="1"/>
  <c r="F311" i="8" s="1"/>
  <c r="AP309" i="5"/>
  <c r="AC180" i="8"/>
  <c r="AZ156" i="5"/>
  <c r="M305" i="8"/>
  <c r="AA177" i="8"/>
  <c r="AX153" i="5"/>
  <c r="AC159" i="8"/>
  <c r="AZ134" i="5"/>
  <c r="AX82" i="5"/>
  <c r="AA111" i="8"/>
  <c r="AU130" i="5"/>
  <c r="AI155" i="8"/>
  <c r="W277" i="8"/>
  <c r="AT269" i="5"/>
  <c r="X148" i="8"/>
  <c r="AU120" i="5"/>
  <c r="AN362" i="5"/>
  <c r="AB33" i="8"/>
  <c r="AY362" i="5"/>
  <c r="AN356" i="5"/>
  <c r="AB355" i="8"/>
  <c r="AZ355" i="8" s="1"/>
  <c r="AY356" i="5"/>
  <c r="BA375" i="5"/>
  <c r="AO371" i="8"/>
  <c r="AX365" i="5"/>
  <c r="AA363" i="8"/>
  <c r="AO41" i="8"/>
  <c r="BA4" i="5"/>
  <c r="W114" i="8"/>
  <c r="AU114" i="8" s="1"/>
  <c r="AT85" i="5"/>
  <c r="AL24" i="2"/>
  <c r="X197" i="8"/>
  <c r="AV197" i="8" s="1"/>
  <c r="AU175" i="5"/>
  <c r="AD274" i="8"/>
  <c r="AP266" i="5"/>
  <c r="AC54" i="8"/>
  <c r="AZ21" i="5"/>
  <c r="AQ12" i="5"/>
  <c r="AE3" i="8"/>
  <c r="X217" i="8"/>
  <c r="AU198" i="5"/>
  <c r="AQ271" i="5"/>
  <c r="AE279" i="8"/>
  <c r="Z314" i="8"/>
  <c r="AX314" i="8" s="1"/>
  <c r="AW312" i="5"/>
  <c r="Z183" i="8"/>
  <c r="AX183" i="8" s="1"/>
  <c r="AW160" i="5"/>
  <c r="AW309" i="8"/>
  <c r="M309" i="8" s="1"/>
  <c r="U342" i="8"/>
  <c r="AR342" i="5"/>
  <c r="AL45" i="2"/>
  <c r="W305" i="8"/>
  <c r="AT303" i="5"/>
  <c r="Z166" i="8"/>
  <c r="AX166" i="8" s="1"/>
  <c r="AW141" i="5"/>
  <c r="AD376" i="8"/>
  <c r="AP376" i="8" s="1"/>
  <c r="F376" i="8" s="1"/>
  <c r="AP380" i="5"/>
  <c r="W258" i="8"/>
  <c r="AT247" i="5"/>
  <c r="AN56" i="5"/>
  <c r="AX82" i="8"/>
  <c r="N82" i="8" s="1"/>
  <c r="Z317" i="8"/>
  <c r="AW315" i="5"/>
  <c r="AX103" i="5"/>
  <c r="AA132" i="8"/>
  <c r="BA317" i="5"/>
  <c r="AO319" i="8"/>
  <c r="Y317" i="8"/>
  <c r="AV315" i="5"/>
  <c r="V371" i="8"/>
  <c r="AT371" i="8" s="1"/>
  <c r="AS375" i="5"/>
  <c r="AC56" i="2"/>
  <c r="S107" i="8"/>
  <c r="AP78" i="5"/>
  <c r="AD54" i="8"/>
  <c r="AP21" i="5"/>
  <c r="Z28" i="8"/>
  <c r="AX28" i="8" s="1"/>
  <c r="AW279" i="5"/>
  <c r="K174" i="5"/>
  <c r="AF196" i="8" s="1"/>
  <c r="AR196" i="8" s="1"/>
  <c r="H196" i="8" s="1"/>
  <c r="G2" i="12"/>
  <c r="AF140" i="8"/>
  <c r="AR140" i="8" s="1"/>
  <c r="H140" i="8" s="1"/>
  <c r="AR111" i="5"/>
  <c r="AC37" i="8"/>
  <c r="AZ401" i="5"/>
  <c r="AC66" i="8"/>
  <c r="AZ35" i="5"/>
  <c r="AP232" i="5"/>
  <c r="AD244" i="8"/>
  <c r="R264" i="8"/>
  <c r="AN255" i="5"/>
  <c r="AS54" i="5"/>
  <c r="AG83" i="8"/>
  <c r="AD146" i="8"/>
  <c r="AP118" i="5"/>
  <c r="W352" i="8"/>
  <c r="AT353" i="5"/>
  <c r="BA201" i="5"/>
  <c r="AO219" i="8"/>
  <c r="BA219" i="8" s="1"/>
  <c r="AO282" i="8"/>
  <c r="BA274" i="5"/>
  <c r="AO278" i="8"/>
  <c r="BA278" i="8" s="1"/>
  <c r="BA270" i="5"/>
  <c r="AC324" i="8"/>
  <c r="AZ322" i="5"/>
  <c r="U273" i="8"/>
  <c r="AR264" i="5"/>
  <c r="Y363" i="8"/>
  <c r="AV365" i="5"/>
  <c r="AX285" i="5"/>
  <c r="AA292" i="8"/>
  <c r="Z163" i="8"/>
  <c r="AX163" i="8" s="1"/>
  <c r="AW138" i="5"/>
  <c r="AX116" i="8"/>
  <c r="N116" i="8" s="1"/>
  <c r="X227" i="8"/>
  <c r="AV227" i="8" s="1"/>
  <c r="AU212" i="5"/>
  <c r="AX276" i="5"/>
  <c r="AA284" i="8"/>
  <c r="AO213" i="8"/>
  <c r="BA194" i="5"/>
  <c r="X306" i="8"/>
  <c r="AV306" i="8" s="1"/>
  <c r="AU304" i="5"/>
  <c r="AQ140" i="5"/>
  <c r="AE165" i="8"/>
  <c r="BA88" i="8"/>
  <c r="Q88" i="8" s="1"/>
  <c r="AO283" i="8"/>
  <c r="BA275" i="5"/>
  <c r="R196" i="8"/>
  <c r="R201" i="8"/>
  <c r="AP201" i="8" s="1"/>
  <c r="AN179" i="5"/>
  <c r="Y39" i="8"/>
  <c r="AV2" i="5"/>
  <c r="Y42" i="8"/>
  <c r="AV6" i="5"/>
  <c r="AW396" i="5"/>
  <c r="AK389" i="8"/>
  <c r="Y357" i="8"/>
  <c r="AV358" i="5"/>
  <c r="AC135" i="8"/>
  <c r="AZ106" i="5"/>
  <c r="AN206" i="5"/>
  <c r="AY190" i="8"/>
  <c r="O190" i="8" s="1"/>
  <c r="AW386" i="8"/>
  <c r="AN224" i="5"/>
  <c r="AN278" i="5"/>
  <c r="O236" i="8"/>
  <c r="AW253" i="8"/>
  <c r="M253" i="8" s="1"/>
  <c r="AU202" i="8"/>
  <c r="K202" i="8" s="1"/>
  <c r="AW131" i="8"/>
  <c r="M131" i="8" s="1"/>
  <c r="AU324" i="5"/>
  <c r="P353" i="8"/>
  <c r="F160" i="8"/>
  <c r="AU12" i="8"/>
  <c r="K12" i="8" s="1"/>
  <c r="M119" i="8"/>
  <c r="M349" i="8"/>
  <c r="AU338" i="5"/>
  <c r="Q361" i="8"/>
  <c r="AW123" i="8"/>
  <c r="M123" i="8" s="1"/>
  <c r="AX226" i="5"/>
  <c r="AP164" i="8"/>
  <c r="F164" i="8" s="1"/>
  <c r="AP266" i="8"/>
  <c r="AX318" i="8"/>
  <c r="N318" i="8" s="1"/>
  <c r="AY66" i="8"/>
  <c r="O66" i="8" s="1"/>
  <c r="AM272" i="8"/>
  <c r="AY272" i="8" s="1"/>
  <c r="O272" i="8" s="1"/>
  <c r="AY263" i="5"/>
  <c r="AN263" i="5"/>
  <c r="X336" i="8"/>
  <c r="AV336" i="8" s="1"/>
  <c r="AU336" i="5"/>
  <c r="AN270" i="5"/>
  <c r="R278" i="8"/>
  <c r="W376" i="8"/>
  <c r="AU376" i="8" s="1"/>
  <c r="AT380" i="5"/>
  <c r="AP35" i="5"/>
  <c r="AD66" i="8"/>
  <c r="AP66" i="8" s="1"/>
  <c r="F66" i="8" s="1"/>
  <c r="AX162" i="5"/>
  <c r="AA185" i="8"/>
  <c r="AC174" i="8"/>
  <c r="AZ150" i="5"/>
  <c r="AQ131" i="5"/>
  <c r="AE156" i="8"/>
  <c r="AQ156" i="8" s="1"/>
  <c r="G156" i="8" s="1"/>
  <c r="AC9" i="2"/>
  <c r="AP45" i="5"/>
  <c r="AD76" i="8"/>
  <c r="X319" i="8"/>
  <c r="AV319" i="8" s="1"/>
  <c r="AU317" i="5"/>
  <c r="AX252" i="5"/>
  <c r="AA262" i="8"/>
  <c r="W377" i="8"/>
  <c r="AT381" i="5"/>
  <c r="W278" i="8"/>
  <c r="AT270" i="5"/>
  <c r="AY95" i="2"/>
  <c r="AP188" i="5"/>
  <c r="AD208" i="8"/>
  <c r="AP208" i="8" s="1"/>
  <c r="F208" i="8" s="1"/>
  <c r="Z201" i="8"/>
  <c r="AX201" i="8" s="1"/>
  <c r="AW179" i="5"/>
  <c r="AC256" i="8"/>
  <c r="AZ245" i="5"/>
  <c r="AC104" i="8"/>
  <c r="AZ75" i="5"/>
  <c r="E133" i="5"/>
  <c r="C2" i="12"/>
  <c r="AC400" i="8"/>
  <c r="AZ409" i="5"/>
  <c r="AR159" i="5"/>
  <c r="AF13" i="8"/>
  <c r="AR13" i="8" s="1"/>
  <c r="H13" i="8" s="1"/>
  <c r="F370" i="8"/>
  <c r="AC224" i="8"/>
  <c r="AZ209" i="5"/>
  <c r="AD20" i="8"/>
  <c r="AP20" i="8" s="1"/>
  <c r="F20" i="8" s="1"/>
  <c r="AP204" i="5"/>
  <c r="X225" i="8"/>
  <c r="AU210" i="5"/>
  <c r="AU82" i="5"/>
  <c r="X111" i="8"/>
  <c r="AV111" i="8" s="1"/>
  <c r="R226" i="8"/>
  <c r="AP226" i="8" s="1"/>
  <c r="AN211" i="5"/>
  <c r="AX353" i="8"/>
  <c r="AU57" i="8"/>
  <c r="AV180" i="5"/>
  <c r="Y15" i="8"/>
  <c r="AW15" i="8" s="1"/>
  <c r="BA211" i="5"/>
  <c r="AO226" i="8"/>
  <c r="BA226" i="8" s="1"/>
  <c r="AD332" i="8"/>
  <c r="AP332" i="8" s="1"/>
  <c r="F332" i="8" s="1"/>
  <c r="AP332" i="5"/>
  <c r="X364" i="8"/>
  <c r="AU366" i="5"/>
  <c r="W333" i="8"/>
  <c r="AU333" i="8" s="1"/>
  <c r="AT333" i="5"/>
  <c r="Y174" i="8"/>
  <c r="AV150" i="5"/>
  <c r="AN63" i="5"/>
  <c r="R92" i="8"/>
  <c r="Y96" i="8"/>
  <c r="AV67" i="5"/>
  <c r="AD318" i="8"/>
  <c r="AP318" i="8" s="1"/>
  <c r="F318" i="8" s="1"/>
  <c r="AP316" i="5"/>
  <c r="AL69" i="2"/>
  <c r="W74" i="8"/>
  <c r="AT43" i="5"/>
  <c r="Y165" i="8"/>
  <c r="AV140" i="5"/>
  <c r="AU365" i="8"/>
  <c r="AO279" i="8"/>
  <c r="BA271" i="5"/>
  <c r="W274" i="8"/>
  <c r="AT266" i="5"/>
  <c r="W11" i="8"/>
  <c r="AT125" i="5"/>
  <c r="AP250" i="5"/>
  <c r="AD260" i="8"/>
  <c r="AP260" i="8" s="1"/>
  <c r="F260" i="8" s="1"/>
  <c r="X19" i="8"/>
  <c r="AU203" i="5"/>
  <c r="Y276" i="8"/>
  <c r="AV268" i="5"/>
  <c r="AC20" i="2"/>
  <c r="S102" i="8"/>
  <c r="AP73" i="5"/>
  <c r="AX360" i="5"/>
  <c r="AA359" i="8"/>
  <c r="AY359" i="8" s="1"/>
  <c r="X17" i="8"/>
  <c r="AU190" i="5"/>
  <c r="AD354" i="8"/>
  <c r="AP354" i="8" s="1"/>
  <c r="F354" i="8" s="1"/>
  <c r="AP355" i="5"/>
  <c r="AG317" i="8"/>
  <c r="AS315" i="5"/>
  <c r="AD331" i="8"/>
  <c r="AP331" i="8" s="1"/>
  <c r="F331" i="8" s="1"/>
  <c r="AP330" i="5"/>
  <c r="AI275" i="8"/>
  <c r="AU267" i="5"/>
  <c r="Y259" i="8"/>
  <c r="AV249" i="5"/>
  <c r="AX208" i="5"/>
  <c r="AA223" i="8"/>
  <c r="Y187" i="8"/>
  <c r="AV164" i="5"/>
  <c r="BA135" i="5"/>
  <c r="AO160" i="8"/>
  <c r="AN213" i="5"/>
  <c r="AB228" i="8"/>
  <c r="AZ228" i="8" s="1"/>
  <c r="AY213" i="5"/>
  <c r="AX166" i="5"/>
  <c r="AA189" i="8"/>
  <c r="Y378" i="8"/>
  <c r="AV382" i="5"/>
  <c r="R234" i="8"/>
  <c r="AP234" i="8" s="1"/>
  <c r="AN221" i="5"/>
  <c r="X228" i="8"/>
  <c r="AV228" i="8" s="1"/>
  <c r="AU213" i="5"/>
  <c r="BA112" i="5"/>
  <c r="AO141" i="8"/>
  <c r="Z66" i="8"/>
  <c r="AX66" i="8" s="1"/>
  <c r="AW35" i="5"/>
  <c r="AF97" i="8"/>
  <c r="AR97" i="8" s="1"/>
  <c r="H97" i="8" s="1"/>
  <c r="AR68" i="5"/>
  <c r="AC271" i="8"/>
  <c r="AZ262" i="5"/>
  <c r="AT137" i="5"/>
  <c r="AH162" i="8"/>
  <c r="AT162" i="8" s="1"/>
  <c r="J162" i="8" s="1"/>
  <c r="W230" i="8"/>
  <c r="AT217" i="5"/>
  <c r="AP175" i="5"/>
  <c r="AD197" i="8"/>
  <c r="AP197" i="8" s="1"/>
  <c r="F197" i="8" s="1"/>
  <c r="X300" i="8"/>
  <c r="AU293" i="5"/>
  <c r="AW414" i="5"/>
  <c r="AK405" i="8"/>
  <c r="AK45" i="2"/>
  <c r="AS303" i="5"/>
  <c r="AG305" i="8"/>
  <c r="BH95" i="2"/>
  <c r="Z290" i="8"/>
  <c r="AX290" i="8" s="1"/>
  <c r="AW283" i="5"/>
  <c r="Y394" i="8"/>
  <c r="AV402" i="5"/>
  <c r="E17" i="3"/>
  <c r="AX215" i="5"/>
  <c r="AA23" i="8"/>
  <c r="AC253" i="8"/>
  <c r="AZ242" i="5"/>
  <c r="AC186" i="8"/>
  <c r="AZ163" i="5"/>
  <c r="R118" i="8"/>
  <c r="AN89" i="5"/>
  <c r="Y156" i="8"/>
  <c r="AV131" i="5"/>
  <c r="AA82" i="8"/>
  <c r="AX53" i="5"/>
  <c r="AN110" i="5"/>
  <c r="AB139" i="8"/>
  <c r="AY110" i="5"/>
  <c r="AA80" i="8"/>
  <c r="E28" i="3"/>
  <c r="AX51" i="5"/>
  <c r="AC236" i="8"/>
  <c r="AZ223" i="5"/>
  <c r="AE203" i="8"/>
  <c r="AQ182" i="5"/>
  <c r="AK359" i="8"/>
  <c r="AW360" i="5"/>
  <c r="AN343" i="5"/>
  <c r="AY343" i="5"/>
  <c r="AM343" i="8"/>
  <c r="AY343" i="8" s="1"/>
  <c r="O343" i="8" s="1"/>
  <c r="AG347" i="8"/>
  <c r="AS347" i="5"/>
  <c r="AO112" i="8"/>
  <c r="BA83" i="5"/>
  <c r="W81" i="8"/>
  <c r="AT52" i="5"/>
  <c r="AN300" i="5"/>
  <c r="AD8" i="8"/>
  <c r="AP8" i="8" s="1"/>
  <c r="F8" i="8" s="1"/>
  <c r="AP113" i="5"/>
  <c r="BA141" i="5"/>
  <c r="AO166" i="8"/>
  <c r="AN33" i="5"/>
  <c r="R64" i="8"/>
  <c r="AF297" i="8"/>
  <c r="AR297" i="8" s="1"/>
  <c r="H297" i="8" s="1"/>
  <c r="AR290" i="5"/>
  <c r="AN377" i="5"/>
  <c r="AB373" i="8"/>
  <c r="AZ373" i="8" s="1"/>
  <c r="AY377" i="5"/>
  <c r="Y277" i="8"/>
  <c r="AV269" i="5"/>
  <c r="AL61" i="2"/>
  <c r="AT222" i="5"/>
  <c r="W235" i="8"/>
  <c r="Y342" i="8"/>
  <c r="AV342" i="5"/>
  <c r="W246" i="8"/>
  <c r="AT234" i="5"/>
  <c r="Y218" i="8"/>
  <c r="AV199" i="5"/>
  <c r="Y175" i="8"/>
  <c r="AV151" i="5"/>
  <c r="AD128" i="8"/>
  <c r="AP99" i="5"/>
  <c r="X49" i="8"/>
  <c r="AV49" i="8" s="1"/>
  <c r="AU14" i="5"/>
  <c r="AN111" i="5"/>
  <c r="AB140" i="8"/>
  <c r="AZ140" i="8" s="1"/>
  <c r="AY111" i="5"/>
  <c r="AX4" i="8"/>
  <c r="Y318" i="8"/>
  <c r="AV316" i="5"/>
  <c r="AA41" i="8"/>
  <c r="AX4" i="5"/>
  <c r="Y83" i="8"/>
  <c r="AV54" i="5"/>
  <c r="AC23" i="8"/>
  <c r="AZ215" i="5"/>
  <c r="AG342" i="8"/>
  <c r="AS342" i="5"/>
  <c r="Z181" i="8"/>
  <c r="AX181" i="8" s="1"/>
  <c r="AW157" i="5"/>
  <c r="AC83" i="8"/>
  <c r="AZ54" i="5"/>
  <c r="AC2" i="8"/>
  <c r="AZ5" i="5"/>
  <c r="X5" i="8"/>
  <c r="AV5" i="8" s="1"/>
  <c r="AU31" i="5"/>
  <c r="U329" i="8"/>
  <c r="AR328" i="5"/>
  <c r="AZ92" i="2"/>
  <c r="AV45" i="5"/>
  <c r="Y76" i="8"/>
  <c r="Y314" i="8"/>
  <c r="AV312" i="5"/>
  <c r="F4" i="8"/>
  <c r="X289" i="8"/>
  <c r="AV289" i="8" s="1"/>
  <c r="AU282" i="5"/>
  <c r="L238" i="8"/>
  <c r="Y95" i="8"/>
  <c r="AV66" i="5"/>
  <c r="AZ331" i="5"/>
  <c r="AN31" i="8"/>
  <c r="AZ31" i="8" s="1"/>
  <c r="P31" i="8" s="1"/>
  <c r="W234" i="8"/>
  <c r="AT221" i="5"/>
  <c r="W195" i="8"/>
  <c r="AT173" i="5"/>
  <c r="AN123" i="5"/>
  <c r="R9" i="8"/>
  <c r="AP9" i="8" s="1"/>
  <c r="AO54" i="8"/>
  <c r="BA21" i="5"/>
  <c r="AX155" i="5"/>
  <c r="AA179" i="8"/>
  <c r="AC228" i="8"/>
  <c r="AZ213" i="5"/>
  <c r="AG277" i="8"/>
  <c r="AS269" i="5"/>
  <c r="U189" i="8"/>
  <c r="AR166" i="5"/>
  <c r="W94" i="8"/>
  <c r="AT65" i="5"/>
  <c r="M221" i="8"/>
  <c r="Y140" i="8"/>
  <c r="AV111" i="5"/>
  <c r="BA8" i="5"/>
  <c r="AO44" i="8"/>
  <c r="Y79" i="8"/>
  <c r="AV50" i="5"/>
  <c r="AC213" i="8"/>
  <c r="AZ194" i="5"/>
  <c r="AC45" i="2"/>
  <c r="AP303" i="5"/>
  <c r="AD305" i="8"/>
  <c r="AP305" i="8" s="1"/>
  <c r="F305" i="8" s="1"/>
  <c r="AT92" i="2"/>
  <c r="AR141" i="5"/>
  <c r="AF166" i="8"/>
  <c r="AR166" i="8" s="1"/>
  <c r="H166" i="8" s="1"/>
  <c r="U27" i="8"/>
  <c r="AR265" i="5"/>
  <c r="AC317" i="8"/>
  <c r="AZ315" i="5"/>
  <c r="X30" i="8"/>
  <c r="AV30" i="8" s="1"/>
  <c r="AU325" i="5"/>
  <c r="W301" i="8"/>
  <c r="AT294" i="5"/>
  <c r="AN366" i="5"/>
  <c r="AB364" i="8"/>
  <c r="AZ364" i="8" s="1"/>
  <c r="AY366" i="5"/>
  <c r="W108" i="8"/>
  <c r="AT79" i="5"/>
  <c r="AO16" i="8"/>
  <c r="BA183" i="5"/>
  <c r="Y122" i="8"/>
  <c r="AV93" i="5"/>
  <c r="AX235" i="5"/>
  <c r="AA247" i="8"/>
  <c r="X344" i="8"/>
  <c r="AU344" i="5"/>
  <c r="AP288" i="5"/>
  <c r="AD295" i="8"/>
  <c r="AP295" i="8" s="1"/>
  <c r="F295" i="8" s="1"/>
  <c r="AC57" i="2"/>
  <c r="AL62" i="2"/>
  <c r="W316" i="8"/>
  <c r="AU316" i="8" s="1"/>
  <c r="AT314" i="5"/>
  <c r="AI70" i="2"/>
  <c r="AG70" i="2"/>
  <c r="AF17" i="8"/>
  <c r="AR17" i="8" s="1"/>
  <c r="H17" i="8" s="1"/>
  <c r="AR190" i="5"/>
  <c r="AF70" i="2"/>
  <c r="AZ86" i="2"/>
  <c r="Z39" i="8"/>
  <c r="AX39" i="8" s="1"/>
  <c r="AW2" i="5"/>
  <c r="Z19" i="8"/>
  <c r="AX19" i="8" s="1"/>
  <c r="AW203" i="5"/>
  <c r="AC405" i="8"/>
  <c r="AZ414" i="5"/>
  <c r="AC28" i="8"/>
  <c r="AZ279" i="5"/>
  <c r="AC283" i="8"/>
  <c r="AZ275" i="5"/>
  <c r="Z228" i="8"/>
  <c r="AX228" i="8" s="1"/>
  <c r="AW213" i="5"/>
  <c r="Z293" i="8"/>
  <c r="AW286" i="5"/>
  <c r="BH92" i="2"/>
  <c r="Y330" i="8"/>
  <c r="AV329" i="5"/>
  <c r="AC33" i="8"/>
  <c r="AZ362" i="5"/>
  <c r="AP242" i="5"/>
  <c r="AD253" i="8"/>
  <c r="AP253" i="8" s="1"/>
  <c r="F253" i="8" s="1"/>
  <c r="R162" i="8"/>
  <c r="AN137" i="5"/>
  <c r="AX130" i="5"/>
  <c r="AA155" i="8"/>
  <c r="AA2" i="8"/>
  <c r="AX5" i="5"/>
  <c r="AN28" i="5"/>
  <c r="AY28" i="5"/>
  <c r="AB4" i="8"/>
  <c r="W310" i="8"/>
  <c r="AU310" i="8" s="1"/>
  <c r="AT308" i="5"/>
  <c r="W13" i="8"/>
  <c r="AT159" i="5"/>
  <c r="BA2" i="5"/>
  <c r="AO39" i="8"/>
  <c r="R41" i="8"/>
  <c r="AN4" i="5"/>
  <c r="AE183" i="8"/>
  <c r="AQ160" i="5"/>
  <c r="Y7" i="8"/>
  <c r="AV49" i="5"/>
  <c r="AP238" i="5"/>
  <c r="AD250" i="8"/>
  <c r="AP250" i="8" s="1"/>
  <c r="F250" i="8" s="1"/>
  <c r="L119" i="8"/>
  <c r="Y99" i="8"/>
  <c r="AV70" i="5"/>
  <c r="AS323" i="5"/>
  <c r="AG325" i="8"/>
  <c r="R181" i="8"/>
  <c r="AN157" i="5"/>
  <c r="V360" i="8"/>
  <c r="AS361" i="5"/>
  <c r="AN101" i="5"/>
  <c r="AB130" i="8"/>
  <c r="AZ130" i="8" s="1"/>
  <c r="AY101" i="5"/>
  <c r="X369" i="8"/>
  <c r="AV369" i="8" s="1"/>
  <c r="AU372" i="5"/>
  <c r="W330" i="8"/>
  <c r="AU330" i="8" s="1"/>
  <c r="AT329" i="5"/>
  <c r="AD363" i="8"/>
  <c r="AP363" i="8" s="1"/>
  <c r="F363" i="8" s="1"/>
  <c r="AP365" i="5"/>
  <c r="Y160" i="8"/>
  <c r="AV135" i="5"/>
  <c r="U313" i="8"/>
  <c r="AR311" i="5"/>
  <c r="L24" i="8"/>
  <c r="U33" i="8"/>
  <c r="AS33" i="8" s="1"/>
  <c r="AR362" i="5"/>
  <c r="AF51" i="2"/>
  <c r="AN349" i="5"/>
  <c r="AY349" i="5"/>
  <c r="AM349" i="8"/>
  <c r="AY349" i="8" s="1"/>
  <c r="O349" i="8" s="1"/>
  <c r="R256" i="8"/>
  <c r="AN245" i="5"/>
  <c r="Z378" i="8"/>
  <c r="AX378" i="8" s="1"/>
  <c r="AW382" i="5"/>
  <c r="AD27" i="8"/>
  <c r="AP265" i="5"/>
  <c r="X376" i="8"/>
  <c r="AV376" i="8" s="1"/>
  <c r="AU380" i="5"/>
  <c r="AS172" i="8"/>
  <c r="I172" i="8" s="1"/>
  <c r="Z360" i="8"/>
  <c r="AW361" i="5"/>
  <c r="AR296" i="5"/>
  <c r="AF29" i="8"/>
  <c r="AR29" i="8" s="1"/>
  <c r="H29" i="8" s="1"/>
  <c r="AX159" i="5"/>
  <c r="AA13" i="8"/>
  <c r="AP138" i="5"/>
  <c r="AD163" i="8"/>
  <c r="AP163" i="8" s="1"/>
  <c r="AX88" i="5"/>
  <c r="AA117" i="8"/>
  <c r="AY117" i="8" s="1"/>
  <c r="AW46" i="5"/>
  <c r="Z77" i="8"/>
  <c r="AX77" i="8" s="1"/>
  <c r="AX225" i="5"/>
  <c r="AA238" i="8"/>
  <c r="AP240" i="5"/>
  <c r="AC75" i="2"/>
  <c r="AU88" i="5"/>
  <c r="X117" i="8"/>
  <c r="AO17" i="8"/>
  <c r="BA190" i="5"/>
  <c r="X317" i="8"/>
  <c r="AV317" i="8" s="1"/>
  <c r="AU315" i="5"/>
  <c r="BE95" i="2"/>
  <c r="AN222" i="5"/>
  <c r="R235" i="8"/>
  <c r="AP333" i="5"/>
  <c r="AD333" i="8"/>
  <c r="AP333" i="8" s="1"/>
  <c r="F333" i="8" s="1"/>
  <c r="X293" i="8"/>
  <c r="AU286" i="5"/>
  <c r="AW12" i="5"/>
  <c r="Z3" i="8"/>
  <c r="AX3" i="8" s="1"/>
  <c r="Z243" i="8"/>
  <c r="AX243" i="8" s="1"/>
  <c r="AW231" i="5"/>
  <c r="AF71" i="8"/>
  <c r="AR71" i="8" s="1"/>
  <c r="H71" i="8" s="1"/>
  <c r="AR40" i="5"/>
  <c r="AR193" i="5"/>
  <c r="AF212" i="8"/>
  <c r="AR212" i="8" s="1"/>
  <c r="H212" i="8" s="1"/>
  <c r="Q98" i="8"/>
  <c r="BA358" i="5"/>
  <c r="AO357" i="8"/>
  <c r="BA357" i="8" s="1"/>
  <c r="Y169" i="8"/>
  <c r="AV144" i="5"/>
  <c r="AP280" i="8"/>
  <c r="F280" i="8" s="1"/>
  <c r="AQ86" i="2"/>
  <c r="AC47" i="2"/>
  <c r="AP312" i="5"/>
  <c r="AD314" i="8"/>
  <c r="AP314" i="8" s="1"/>
  <c r="F314" i="8" s="1"/>
  <c r="AZ80" i="5"/>
  <c r="AC109" i="8"/>
  <c r="AZ136" i="8"/>
  <c r="P136" i="8" s="1"/>
  <c r="W328" i="8"/>
  <c r="AT327" i="5"/>
  <c r="BL92" i="2"/>
  <c r="AP243" i="5"/>
  <c r="AD254" i="8"/>
  <c r="AP96" i="5"/>
  <c r="AD125" i="8"/>
  <c r="AW94" i="5"/>
  <c r="Z123" i="8"/>
  <c r="AN283" i="5"/>
  <c r="AB290" i="8"/>
  <c r="AY283" i="5"/>
  <c r="W211" i="8"/>
  <c r="AT192" i="5"/>
  <c r="AU308" i="8"/>
  <c r="K308" i="8" s="1"/>
  <c r="X134" i="8"/>
  <c r="AV134" i="8" s="1"/>
  <c r="AU105" i="5"/>
  <c r="AN361" i="5"/>
  <c r="AB360" i="8"/>
  <c r="AY361" i="5"/>
  <c r="AW279" i="8"/>
  <c r="BA380" i="5"/>
  <c r="AO376" i="8"/>
  <c r="AX352" i="5"/>
  <c r="AA351" i="8"/>
  <c r="AY351" i="8" s="1"/>
  <c r="AC371" i="8"/>
  <c r="AZ375" i="5"/>
  <c r="AO2" i="8"/>
  <c r="BA5" i="5"/>
  <c r="AT84" i="5"/>
  <c r="W113" i="8"/>
  <c r="X199" i="8"/>
  <c r="AV199" i="8" s="1"/>
  <c r="AU177" i="5"/>
  <c r="AD271" i="8"/>
  <c r="AP271" i="8" s="1"/>
  <c r="F271" i="8" s="1"/>
  <c r="AP262" i="5"/>
  <c r="AC56" i="8"/>
  <c r="AZ23" i="5"/>
  <c r="AE2" i="8"/>
  <c r="AQ5" i="5"/>
  <c r="X209" i="8"/>
  <c r="AU189" i="5"/>
  <c r="AN302" i="8"/>
  <c r="AZ302" i="8" s="1"/>
  <c r="P302" i="8" s="1"/>
  <c r="AZ295" i="5"/>
  <c r="Z313" i="8"/>
  <c r="AW311" i="5"/>
  <c r="Z225" i="8"/>
  <c r="AW210" i="5"/>
  <c r="U343" i="8"/>
  <c r="AR343" i="5"/>
  <c r="Z60" i="8"/>
  <c r="AX60" i="8" s="1"/>
  <c r="AW27" i="5"/>
  <c r="AD377" i="8"/>
  <c r="AP377" i="8" s="1"/>
  <c r="F377" i="8" s="1"/>
  <c r="AP381" i="5"/>
  <c r="AP136" i="8"/>
  <c r="F136" i="8" s="1"/>
  <c r="AX287" i="5"/>
  <c r="AA294" i="8"/>
  <c r="BA138" i="5"/>
  <c r="AO163" i="8"/>
  <c r="R61" i="8"/>
  <c r="AN29" i="5"/>
  <c r="AX109" i="5"/>
  <c r="AA138" i="8"/>
  <c r="BA318" i="5"/>
  <c r="AO320" i="8"/>
  <c r="BA320" i="8" s="1"/>
  <c r="Y316" i="8"/>
  <c r="AV314" i="5"/>
  <c r="AS377" i="5"/>
  <c r="V373" i="8"/>
  <c r="AT373" i="8" s="1"/>
  <c r="AR128" i="5"/>
  <c r="AF153" i="8"/>
  <c r="AR153" i="8" s="1"/>
  <c r="H153" i="8" s="1"/>
  <c r="AC36" i="2"/>
  <c r="AD56" i="8"/>
  <c r="AP56" i="8" s="1"/>
  <c r="AP23" i="5"/>
  <c r="Z97" i="8"/>
  <c r="AW68" i="5"/>
  <c r="AR110" i="5"/>
  <c r="AF139" i="8"/>
  <c r="AR139" i="8" s="1"/>
  <c r="H139" i="8" s="1"/>
  <c r="AC393" i="8"/>
  <c r="AZ400" i="5"/>
  <c r="L84" i="8"/>
  <c r="AC35" i="2"/>
  <c r="AP201" i="5"/>
  <c r="AD219" i="8"/>
  <c r="AP219" i="8" s="1"/>
  <c r="F219" i="8" s="1"/>
  <c r="AD149" i="8"/>
  <c r="AP149" i="8" s="1"/>
  <c r="F149" i="8" s="1"/>
  <c r="AP121" i="5"/>
  <c r="Y231" i="8"/>
  <c r="AV218" i="5"/>
  <c r="W351" i="8"/>
  <c r="AU351" i="8" s="1"/>
  <c r="AT352" i="5"/>
  <c r="BF95" i="2"/>
  <c r="Y263" i="8"/>
  <c r="AV253" i="5"/>
  <c r="BA255" i="5"/>
  <c r="AO264" i="8"/>
  <c r="W243" i="8"/>
  <c r="AT231" i="5"/>
  <c r="AO167" i="8"/>
  <c r="BA142" i="5"/>
  <c r="AC326" i="8"/>
  <c r="AZ324" i="5"/>
  <c r="U167" i="8"/>
  <c r="AR142" i="5"/>
  <c r="X261" i="8"/>
  <c r="AV261" i="8" s="1"/>
  <c r="AU251" i="5"/>
  <c r="R218" i="8"/>
  <c r="AN199" i="5"/>
  <c r="AA100" i="8"/>
  <c r="AX71" i="5"/>
  <c r="R46" i="8"/>
  <c r="AN10" i="5"/>
  <c r="U336" i="8"/>
  <c r="AR336" i="5"/>
  <c r="AA216" i="8"/>
  <c r="E30" i="3"/>
  <c r="AX197" i="5"/>
  <c r="BA222" i="5"/>
  <c r="AO235" i="8"/>
  <c r="AO169" i="8"/>
  <c r="BA144" i="5"/>
  <c r="AE135" i="8"/>
  <c r="AQ106" i="5"/>
  <c r="AO28" i="8"/>
  <c r="BA279" i="5"/>
  <c r="AO197" i="8"/>
  <c r="BA175" i="5"/>
  <c r="W284" i="8"/>
  <c r="AT276" i="5"/>
  <c r="R87" i="8"/>
  <c r="R59" i="8"/>
  <c r="AN26" i="5"/>
  <c r="Y11" i="8"/>
  <c r="AV125" i="5"/>
  <c r="AW394" i="5"/>
  <c r="AK387" i="8"/>
  <c r="Y356" i="8"/>
  <c r="AV357" i="5"/>
  <c r="AC66" i="2"/>
  <c r="S252" i="8"/>
  <c r="AP241" i="5"/>
  <c r="Z215" i="8"/>
  <c r="AX215" i="8" s="1"/>
  <c r="AW196" i="5"/>
  <c r="AT264" i="5"/>
  <c r="AN30" i="5"/>
  <c r="AW237" i="8"/>
  <c r="M237" i="8" s="1"/>
  <c r="AX167" i="5"/>
  <c r="I304" i="8"/>
  <c r="AX223" i="5"/>
  <c r="Q119" i="8"/>
  <c r="AW177" i="8"/>
  <c r="M177" i="8" s="1"/>
  <c r="AS365" i="5"/>
  <c r="L326" i="8"/>
  <c r="AN354" i="5"/>
  <c r="O381" i="8"/>
  <c r="AN135" i="5"/>
  <c r="AR153" i="5"/>
  <c r="L338" i="8"/>
  <c r="AN14" i="5"/>
  <c r="BA184" i="8"/>
  <c r="Q184" i="8" s="1"/>
  <c r="I222" i="8"/>
  <c r="AN88" i="5"/>
  <c r="AN102" i="5"/>
  <c r="AV215" i="5"/>
  <c r="AX118" i="5"/>
  <c r="AA146" i="8"/>
  <c r="Y229" i="8"/>
  <c r="AV216" i="5"/>
  <c r="W34" i="8"/>
  <c r="AU34" i="8" s="1"/>
  <c r="AT370" i="5"/>
  <c r="AF225" i="8"/>
  <c r="AR225" i="8" s="1"/>
  <c r="H225" i="8" s="1"/>
  <c r="AF41" i="2"/>
  <c r="AR210" i="5"/>
  <c r="AI41" i="2"/>
  <c r="AG41" i="2"/>
  <c r="BA214" i="5"/>
  <c r="AO22" i="8"/>
  <c r="AD310" i="8"/>
  <c r="AP310" i="8" s="1"/>
  <c r="F310" i="8" s="1"/>
  <c r="AP308" i="5"/>
  <c r="W155" i="8"/>
  <c r="AT130" i="5"/>
  <c r="Y202" i="8"/>
  <c r="AW202" i="8" s="1"/>
  <c r="AV181" i="5"/>
  <c r="X277" i="8"/>
  <c r="AV277" i="8" s="1"/>
  <c r="AU269" i="5"/>
  <c r="U337" i="8"/>
  <c r="AR337" i="5"/>
  <c r="AO224" i="8"/>
  <c r="BA209" i="5"/>
  <c r="AC285" i="8"/>
  <c r="AZ277" i="5"/>
  <c r="AF49" i="8"/>
  <c r="AR49" i="8" s="1"/>
  <c r="H49" i="8" s="1"/>
  <c r="AR14" i="5"/>
  <c r="AF65" i="2"/>
  <c r="AG65" i="2"/>
  <c r="AI65" i="2"/>
  <c r="AR226" i="5"/>
  <c r="AF239" i="8"/>
  <c r="AR239" i="8" s="1"/>
  <c r="H239" i="8" s="1"/>
  <c r="Y167" i="8"/>
  <c r="AV142" i="5"/>
  <c r="AL20" i="2"/>
  <c r="W102" i="8"/>
  <c r="AU102" i="8" s="1"/>
  <c r="AT73" i="5"/>
  <c r="Y228" i="8"/>
  <c r="AV213" i="5"/>
  <c r="AG274" i="8"/>
  <c r="AS266" i="5"/>
  <c r="AX359" i="5"/>
  <c r="AA358" i="8"/>
  <c r="AC14" i="8"/>
  <c r="AZ172" i="5"/>
  <c r="AN177" i="5"/>
  <c r="AB199" i="8"/>
  <c r="AZ199" i="8" s="1"/>
  <c r="AY177" i="5"/>
  <c r="Y377" i="8"/>
  <c r="AV381" i="5"/>
  <c r="AN228" i="5"/>
  <c r="R24" i="8"/>
  <c r="AR46" i="5"/>
  <c r="AF77" i="8"/>
  <c r="AR77" i="8" s="1"/>
  <c r="H77" i="8" s="1"/>
  <c r="X18" i="8"/>
  <c r="AU200" i="5"/>
  <c r="Z289" i="8"/>
  <c r="AW282" i="5"/>
  <c r="W289" i="8"/>
  <c r="AT282" i="5"/>
  <c r="AA28" i="8"/>
  <c r="AX279" i="5"/>
  <c r="AN146" i="5"/>
  <c r="R171" i="8"/>
  <c r="AN262" i="5"/>
  <c r="AB271" i="8"/>
  <c r="AY262" i="5"/>
  <c r="AQ79" i="5"/>
  <c r="AE108" i="8"/>
  <c r="AP36" i="5"/>
  <c r="AD67" i="8"/>
  <c r="AP67" i="8" s="1"/>
  <c r="F67" i="8" s="1"/>
  <c r="BA27" i="5"/>
  <c r="AO60" i="8"/>
  <c r="Y211" i="8"/>
  <c r="AV192" i="5"/>
  <c r="X303" i="8"/>
  <c r="AV303" i="8" s="1"/>
  <c r="AU297" i="5"/>
  <c r="U378" i="8"/>
  <c r="AS378" i="8" s="1"/>
  <c r="AR382" i="5"/>
  <c r="Y405" i="8"/>
  <c r="AV414" i="5"/>
  <c r="W354" i="8"/>
  <c r="AT355" i="5"/>
  <c r="AX277" i="5"/>
  <c r="AA285" i="8"/>
  <c r="AN65" i="5"/>
  <c r="R94" i="8"/>
  <c r="Y54" i="8"/>
  <c r="AV21" i="5"/>
  <c r="AX132" i="5"/>
  <c r="AA157" i="8"/>
  <c r="R273" i="8"/>
  <c r="AN264" i="5"/>
  <c r="AN226" i="5"/>
  <c r="AC207" i="8"/>
  <c r="AZ187" i="5"/>
  <c r="AS166" i="5"/>
  <c r="AG189" i="8"/>
  <c r="BA276" i="5"/>
  <c r="AO284" i="8"/>
  <c r="BA85" i="8"/>
  <c r="Q85" i="8" s="1"/>
  <c r="Y139" i="8"/>
  <c r="AV110" i="5"/>
  <c r="AN324" i="5"/>
  <c r="AY324" i="5"/>
  <c r="AM326" i="8"/>
  <c r="AY326" i="8" s="1"/>
  <c r="O326" i="8" s="1"/>
  <c r="Y62" i="8"/>
  <c r="AV30" i="5"/>
  <c r="BJ96" i="2"/>
  <c r="AW413" i="5"/>
  <c r="AK404" i="8"/>
  <c r="AZ144" i="5"/>
  <c r="AC169" i="8"/>
  <c r="U367" i="8"/>
  <c r="AR369" i="5"/>
  <c r="AF58" i="2"/>
  <c r="AG58" i="2"/>
  <c r="AI58" i="2"/>
  <c r="AF242" i="8"/>
  <c r="AR242" i="8" s="1"/>
  <c r="H242" i="8" s="1"/>
  <c r="AR230" i="5"/>
  <c r="AC316" i="8"/>
  <c r="AZ314" i="5"/>
  <c r="X330" i="8"/>
  <c r="AV330" i="8" s="1"/>
  <c r="AU329" i="5"/>
  <c r="W293" i="8"/>
  <c r="AT286" i="5"/>
  <c r="AN369" i="5"/>
  <c r="AB367" i="8"/>
  <c r="AZ367" i="8" s="1"/>
  <c r="AY369" i="5"/>
  <c r="W106" i="8"/>
  <c r="AT77" i="5"/>
  <c r="X13" i="8"/>
  <c r="AU159" i="5"/>
  <c r="W135" i="8"/>
  <c r="AT106" i="5"/>
  <c r="AO46" i="8"/>
  <c r="BA10" i="5"/>
  <c r="AY89" i="8"/>
  <c r="O89" i="8" s="1"/>
  <c r="E20" i="3"/>
  <c r="AX203" i="5"/>
  <c r="AA19" i="8"/>
  <c r="X342" i="8"/>
  <c r="AU342" i="5"/>
  <c r="X347" i="8"/>
  <c r="AU347" i="5"/>
  <c r="Y302" i="8"/>
  <c r="AV295" i="5"/>
  <c r="Z11" i="8"/>
  <c r="AX11" i="8" s="1"/>
  <c r="AW125" i="5"/>
  <c r="Z12" i="8"/>
  <c r="AW148" i="5"/>
  <c r="AC36" i="8"/>
  <c r="AZ392" i="5"/>
  <c r="AC185" i="8"/>
  <c r="AZ162" i="5"/>
  <c r="AC197" i="8"/>
  <c r="AZ175" i="5"/>
  <c r="Z233" i="8"/>
  <c r="AW220" i="5"/>
  <c r="AG175" i="8"/>
  <c r="AS151" i="5"/>
  <c r="Z282" i="8"/>
  <c r="AX282" i="8" s="1"/>
  <c r="AW274" i="5"/>
  <c r="Y322" i="8"/>
  <c r="AV320" i="5"/>
  <c r="AX306" i="8"/>
  <c r="N306" i="8" s="1"/>
  <c r="AX273" i="5"/>
  <c r="AA281" i="8"/>
  <c r="AA203" i="8"/>
  <c r="AX182" i="5"/>
  <c r="Y13" i="8"/>
  <c r="AV159" i="5"/>
  <c r="AF118" i="8"/>
  <c r="AR118" i="8" s="1"/>
  <c r="H118" i="8" s="1"/>
  <c r="AR89" i="5"/>
  <c r="X46" i="8"/>
  <c r="AU10" i="5"/>
  <c r="AD191" i="8"/>
  <c r="AP168" i="5"/>
  <c r="AL65" i="2"/>
  <c r="W239" i="8"/>
  <c r="AT226" i="5"/>
  <c r="W50" i="8"/>
  <c r="AT15" i="5"/>
  <c r="BA130" i="5"/>
  <c r="AO155" i="8"/>
  <c r="K98" i="8"/>
  <c r="R303" i="8"/>
  <c r="AN297" i="5"/>
  <c r="Y71" i="8"/>
  <c r="AV40" i="5"/>
  <c r="AD247" i="8"/>
  <c r="AP247" i="8" s="1"/>
  <c r="F247" i="8" s="1"/>
  <c r="AP235" i="5"/>
  <c r="Y97" i="8"/>
  <c r="AV68" i="5"/>
  <c r="AG333" i="8"/>
  <c r="AS333" i="8" s="1"/>
  <c r="I333" i="8" s="1"/>
  <c r="AS333" i="5"/>
  <c r="W248" i="8"/>
  <c r="AT236" i="5"/>
  <c r="V357" i="8"/>
  <c r="AS358" i="5"/>
  <c r="X361" i="8"/>
  <c r="AV361" i="8" s="1"/>
  <c r="AU363" i="5"/>
  <c r="W307" i="8"/>
  <c r="AU307" i="8" s="1"/>
  <c r="AT305" i="5"/>
  <c r="AL46" i="2"/>
  <c r="AP352" i="5"/>
  <c r="AD351" i="8"/>
  <c r="AP351" i="8" s="1"/>
  <c r="F351" i="8" s="1"/>
  <c r="Y103" i="8"/>
  <c r="AV74" i="5"/>
  <c r="AY304" i="5"/>
  <c r="AM306" i="8"/>
  <c r="AY306" i="8" s="1"/>
  <c r="O306" i="8" s="1"/>
  <c r="AN304" i="5"/>
  <c r="R146" i="8"/>
  <c r="AN118" i="5"/>
  <c r="Z371" i="8"/>
  <c r="AW375" i="5"/>
  <c r="AP259" i="5"/>
  <c r="AD268" i="8"/>
  <c r="X377" i="8"/>
  <c r="AV377" i="8" s="1"/>
  <c r="AU381" i="5"/>
  <c r="W347" i="8"/>
  <c r="AU347" i="8" s="1"/>
  <c r="AT347" i="5"/>
  <c r="AX291" i="5"/>
  <c r="AA298" i="8"/>
  <c r="AX12" i="5"/>
  <c r="AA3" i="8"/>
  <c r="AX195" i="5"/>
  <c r="AA214" i="8"/>
  <c r="AP239" i="8"/>
  <c r="F239" i="8" s="1"/>
  <c r="X152" i="8"/>
  <c r="AV152" i="8" s="1"/>
  <c r="AU127" i="5"/>
  <c r="AO289" i="8"/>
  <c r="BA282" i="5"/>
  <c r="X316" i="8"/>
  <c r="AV316" i="8" s="1"/>
  <c r="AU314" i="5"/>
  <c r="AP324" i="5"/>
  <c r="AD326" i="8"/>
  <c r="AP326" i="8" s="1"/>
  <c r="F326" i="8" s="1"/>
  <c r="X282" i="8"/>
  <c r="AU274" i="5"/>
  <c r="AW5" i="5"/>
  <c r="Z2" i="8"/>
  <c r="AX2" i="8" s="1"/>
  <c r="Z134" i="8"/>
  <c r="AW105" i="5"/>
  <c r="AF69" i="8"/>
  <c r="AR69" i="8" s="1"/>
  <c r="H69" i="8" s="1"/>
  <c r="AR38" i="5"/>
  <c r="AF181" i="8"/>
  <c r="AR181" i="8" s="1"/>
  <c r="H181" i="8" s="1"/>
  <c r="AR157" i="5"/>
  <c r="BA356" i="5"/>
  <c r="AO355" i="8"/>
  <c r="AP311" i="5"/>
  <c r="AD313" i="8"/>
  <c r="AP313" i="8" s="1"/>
  <c r="F313" i="8" s="1"/>
  <c r="AC42" i="8"/>
  <c r="AZ6" i="5"/>
  <c r="AF364" i="8"/>
  <c r="AR364" i="8" s="1"/>
  <c r="H364" i="8" s="1"/>
  <c r="AI50" i="2"/>
  <c r="AG50" i="2"/>
  <c r="AL48" i="2"/>
  <c r="W312" i="8"/>
  <c r="AT310" i="5"/>
  <c r="S157" i="8"/>
  <c r="AP132" i="5"/>
  <c r="AX213" i="5"/>
  <c r="AA228" i="8"/>
  <c r="AO246" i="8"/>
  <c r="BA234" i="5"/>
  <c r="AY205" i="8"/>
  <c r="O205" i="8" s="1"/>
  <c r="AX120" i="5"/>
  <c r="AA148" i="8"/>
  <c r="BA89" i="5"/>
  <c r="AO118" i="8"/>
  <c r="X44" i="8"/>
  <c r="AU8" i="5"/>
  <c r="BI95" i="2"/>
  <c r="BA377" i="5"/>
  <c r="AO373" i="8"/>
  <c r="AX353" i="5"/>
  <c r="AA352" i="8"/>
  <c r="AY352" i="8" s="1"/>
  <c r="AC374" i="8"/>
  <c r="AZ378" i="5"/>
  <c r="AV59" i="8"/>
  <c r="AO260" i="8"/>
  <c r="BA250" i="5"/>
  <c r="W66" i="8"/>
  <c r="AT35" i="5"/>
  <c r="X51" i="8"/>
  <c r="AV51" i="8" s="1"/>
  <c r="AU16" i="5"/>
  <c r="X169" i="8"/>
  <c r="AV169" i="8" s="1"/>
  <c r="AU144" i="5"/>
  <c r="U161" i="8"/>
  <c r="AR136" i="5"/>
  <c r="AZ298" i="8"/>
  <c r="R287" i="8"/>
  <c r="AN280" i="5"/>
  <c r="AW15" i="5"/>
  <c r="Z50" i="8"/>
  <c r="W59" i="8"/>
  <c r="AU59" i="8" s="1"/>
  <c r="AT26" i="5"/>
  <c r="AF276" i="8"/>
  <c r="AR276" i="8" s="1"/>
  <c r="H276" i="8" s="1"/>
  <c r="AR268" i="5"/>
  <c r="AX307" i="8"/>
  <c r="N307" i="8" s="1"/>
  <c r="AD374" i="8"/>
  <c r="AP374" i="8" s="1"/>
  <c r="F374" i="8" s="1"/>
  <c r="AP378" i="5"/>
  <c r="AC67" i="2"/>
  <c r="AX288" i="5"/>
  <c r="AA295" i="8"/>
  <c r="S203" i="8"/>
  <c r="AP182" i="5"/>
  <c r="AN109" i="5"/>
  <c r="R138" i="8"/>
  <c r="AZ10" i="5"/>
  <c r="AC46" i="8"/>
  <c r="AN8" i="5"/>
  <c r="AB44" i="8"/>
  <c r="AZ44" i="8" s="1"/>
  <c r="AY8" i="5"/>
  <c r="AX87" i="5"/>
  <c r="AA116" i="8"/>
  <c r="BA313" i="5"/>
  <c r="AO315" i="8"/>
  <c r="AC27" i="8"/>
  <c r="AZ265" i="5"/>
  <c r="V372" i="8"/>
  <c r="AS376" i="5"/>
  <c r="AR140" i="5"/>
  <c r="AF165" i="8"/>
  <c r="AR165" i="8" s="1"/>
  <c r="H165" i="8" s="1"/>
  <c r="AR126" i="5"/>
  <c r="AF151" i="8"/>
  <c r="AR151" i="8" s="1"/>
  <c r="H151" i="8" s="1"/>
  <c r="AC195" i="8"/>
  <c r="AZ173" i="5"/>
  <c r="R42" i="8"/>
  <c r="AN6" i="5"/>
  <c r="R28" i="8"/>
  <c r="AN279" i="5"/>
  <c r="AD72" i="8"/>
  <c r="AP41" i="5"/>
  <c r="Y133" i="8"/>
  <c r="AV104" i="5"/>
  <c r="AW412" i="5"/>
  <c r="AK403" i="8"/>
  <c r="AW403" i="8" s="1"/>
  <c r="S280" i="8"/>
  <c r="AP272" i="5"/>
  <c r="W362" i="8"/>
  <c r="AT364" i="5"/>
  <c r="Y262" i="8"/>
  <c r="AV252" i="5"/>
  <c r="AO109" i="8"/>
  <c r="BA80" i="5"/>
  <c r="W148" i="8"/>
  <c r="AT120" i="5"/>
  <c r="AO153" i="8"/>
  <c r="BA128" i="5"/>
  <c r="AC333" i="8"/>
  <c r="AZ333" i="5"/>
  <c r="AX265" i="5"/>
  <c r="AA27" i="8"/>
  <c r="AN239" i="5"/>
  <c r="AC22" i="8"/>
  <c r="AZ214" i="5"/>
  <c r="AR122" i="5"/>
  <c r="AF150" i="8"/>
  <c r="AR150" i="8" s="1"/>
  <c r="H150" i="8" s="1"/>
  <c r="AQ104" i="5"/>
  <c r="AE133" i="8"/>
  <c r="AQ133" i="8" s="1"/>
  <c r="AT40" i="5"/>
  <c r="W71" i="8"/>
  <c r="U320" i="8"/>
  <c r="AR318" i="5"/>
  <c r="AC65" i="2"/>
  <c r="S239" i="8"/>
  <c r="AP226" i="5"/>
  <c r="AA213" i="8"/>
  <c r="AX194" i="5"/>
  <c r="AO223" i="8"/>
  <c r="BA223" i="8" s="1"/>
  <c r="BA208" i="5"/>
  <c r="AC388" i="8"/>
  <c r="AZ395" i="5"/>
  <c r="AV312" i="8"/>
  <c r="AE137" i="8"/>
  <c r="AQ108" i="5"/>
  <c r="BA243" i="5"/>
  <c r="AO254" i="8"/>
  <c r="AO199" i="8"/>
  <c r="BA177" i="5"/>
  <c r="W257" i="8"/>
  <c r="AT246" i="5"/>
  <c r="K104" i="8"/>
  <c r="AN57" i="5"/>
  <c r="R86" i="8"/>
  <c r="R57" i="8"/>
  <c r="AN24" i="5"/>
  <c r="Y155" i="8"/>
  <c r="AV130" i="5"/>
  <c r="AK398" i="8"/>
  <c r="AW406" i="5"/>
  <c r="Q133" i="5"/>
  <c r="AH158" i="8" s="1"/>
  <c r="AT158" i="8" s="1"/>
  <c r="J158" i="8" s="1"/>
  <c r="K2" i="12"/>
  <c r="Y33" i="8"/>
  <c r="AV362" i="5"/>
  <c r="Z365" i="8"/>
  <c r="AW367" i="5"/>
  <c r="Z68" i="8"/>
  <c r="AX68" i="8" s="1"/>
  <c r="AW37" i="5"/>
  <c r="AY275" i="8"/>
  <c r="O275" i="8" s="1"/>
  <c r="AZ99" i="5"/>
  <c r="AU161" i="5"/>
  <c r="AW292" i="5"/>
  <c r="AU51" i="5"/>
  <c r="N86" i="8"/>
  <c r="AP146" i="5"/>
  <c r="AW381" i="8"/>
  <c r="M381" i="8" s="1"/>
  <c r="AN321" i="5"/>
  <c r="K188" i="8"/>
  <c r="AN93" i="5"/>
  <c r="N128" i="8"/>
  <c r="AZ161" i="5"/>
  <c r="J363" i="8"/>
  <c r="L129" i="8"/>
  <c r="AZ195" i="5"/>
  <c r="AP299" i="8"/>
  <c r="AN121" i="5"/>
  <c r="F49" i="8"/>
  <c r="AX355" i="5"/>
  <c r="F131" i="8"/>
  <c r="AN331" i="5"/>
  <c r="AT223" i="5"/>
  <c r="AS61" i="8"/>
  <c r="I61" i="8" s="1"/>
  <c r="AW23" i="8"/>
  <c r="M23" i="8" s="1"/>
  <c r="AX262" i="5"/>
  <c r="AA271" i="8"/>
  <c r="AX266" i="5"/>
  <c r="AA274" i="8"/>
  <c r="AC133" i="8"/>
  <c r="AZ104" i="5"/>
  <c r="AD44" i="2"/>
  <c r="AE4" i="8"/>
  <c r="AQ28" i="5"/>
  <c r="AO294" i="8"/>
  <c r="BA287" i="5"/>
  <c r="W184" i="8"/>
  <c r="AT161" i="5"/>
  <c r="AL27" i="2"/>
  <c r="AN64" i="5"/>
  <c r="R93" i="8"/>
  <c r="AP93" i="8" s="1"/>
  <c r="AN275" i="5"/>
  <c r="AB283" i="8"/>
  <c r="AZ283" i="8" s="1"/>
  <c r="AY275" i="5"/>
  <c r="AD198" i="8"/>
  <c r="AP198" i="8" s="1"/>
  <c r="F198" i="8" s="1"/>
  <c r="AP176" i="5"/>
  <c r="AF178" i="8"/>
  <c r="AR178" i="8" s="1"/>
  <c r="H178" i="8" s="1"/>
  <c r="AR154" i="5"/>
  <c r="AC45" i="8"/>
  <c r="AZ9" i="5"/>
  <c r="AN232" i="8"/>
  <c r="AZ232" i="8" s="1"/>
  <c r="P232" i="8" s="1"/>
  <c r="AZ219" i="5"/>
  <c r="Y203" i="8"/>
  <c r="AW203" i="8" s="1"/>
  <c r="AV182" i="5"/>
  <c r="Y353" i="8"/>
  <c r="AV354" i="5"/>
  <c r="AG336" i="8"/>
  <c r="AS336" i="5"/>
  <c r="AO245" i="8"/>
  <c r="BA245" i="8" s="1"/>
  <c r="BA233" i="5"/>
  <c r="AG281" i="8"/>
  <c r="AS273" i="5"/>
  <c r="Y285" i="8"/>
  <c r="AV277" i="5"/>
  <c r="BA111" i="5"/>
  <c r="AO140" i="8"/>
  <c r="S217" i="8"/>
  <c r="AP198" i="5"/>
  <c r="AX217" i="5"/>
  <c r="AA230" i="8"/>
  <c r="K220" i="8"/>
  <c r="AF290" i="8"/>
  <c r="AR290" i="8" s="1"/>
  <c r="H290" i="8" s="1"/>
  <c r="AR283" i="5"/>
  <c r="AV116" i="5"/>
  <c r="AJ144" i="8"/>
  <c r="AV144" i="8" s="1"/>
  <c r="L144" i="8" s="1"/>
  <c r="E21" i="3"/>
  <c r="AX205" i="5"/>
  <c r="AA21" i="8"/>
  <c r="AC47" i="8"/>
  <c r="AZ11" i="5"/>
  <c r="W241" i="8"/>
  <c r="AT229" i="5"/>
  <c r="AS350" i="5"/>
  <c r="AG350" i="8"/>
  <c r="AS350" i="8" s="1"/>
  <c r="I350" i="8" s="1"/>
  <c r="AC260" i="8"/>
  <c r="AZ250" i="5"/>
  <c r="AV5" i="5"/>
  <c r="Y2" i="8"/>
  <c r="AC349" i="8"/>
  <c r="AZ349" i="5"/>
  <c r="AH38" i="8"/>
  <c r="AT38" i="8" s="1"/>
  <c r="J38" i="8" s="1"/>
  <c r="AT407" i="5"/>
  <c r="AN407" i="5"/>
  <c r="AC265" i="8"/>
  <c r="AZ256" i="5"/>
  <c r="AD213" i="8"/>
  <c r="AP213" i="8" s="1"/>
  <c r="AP194" i="5"/>
  <c r="AX86" i="5"/>
  <c r="AA115" i="8"/>
  <c r="AC96" i="8"/>
  <c r="AZ67" i="5"/>
  <c r="Y46" i="8"/>
  <c r="AV10" i="5"/>
  <c r="AN80" i="5"/>
  <c r="AY80" i="5"/>
  <c r="AB109" i="8"/>
  <c r="AZ109" i="8" s="1"/>
  <c r="X310" i="8"/>
  <c r="AV310" i="8" s="1"/>
  <c r="AU308" i="5"/>
  <c r="AX222" i="5"/>
  <c r="AA235" i="8"/>
  <c r="W35" i="8"/>
  <c r="AU35" i="8" s="1"/>
  <c r="AT374" i="5"/>
  <c r="W167" i="8"/>
  <c r="AT142" i="5"/>
  <c r="W368" i="8"/>
  <c r="AU368" i="8" s="1"/>
  <c r="AT371" i="5"/>
  <c r="AD173" i="8"/>
  <c r="AP149" i="5"/>
  <c r="Z279" i="8"/>
  <c r="AX279" i="8" s="1"/>
  <c r="AW271" i="5"/>
  <c r="AF2" i="8"/>
  <c r="AR2" i="8" s="1"/>
  <c r="H2" i="8" s="1"/>
  <c r="AR5" i="5"/>
  <c r="AX209" i="8"/>
  <c r="AC149" i="8"/>
  <c r="AZ121" i="5"/>
  <c r="AC168" i="8"/>
  <c r="AZ143" i="5"/>
  <c r="AV62" i="8"/>
  <c r="L62" i="8" s="1"/>
  <c r="AC248" i="8"/>
  <c r="AZ236" i="5"/>
  <c r="AR211" i="5"/>
  <c r="AF226" i="8"/>
  <c r="AR226" i="8" s="1"/>
  <c r="H226" i="8" s="1"/>
  <c r="AO27" i="8"/>
  <c r="BA265" i="5"/>
  <c r="X182" i="8"/>
  <c r="AV182" i="8" s="1"/>
  <c r="AU158" i="5"/>
  <c r="AN212" i="5"/>
  <c r="R227" i="8"/>
  <c r="AP227" i="8" s="1"/>
  <c r="Z277" i="8"/>
  <c r="AW269" i="5"/>
  <c r="Y205" i="8"/>
  <c r="AW205" i="8" s="1"/>
  <c r="AV185" i="5"/>
  <c r="BA212" i="5"/>
  <c r="AO227" i="8"/>
  <c r="AP304" i="5"/>
  <c r="AD306" i="8"/>
  <c r="AP306" i="8" s="1"/>
  <c r="F306" i="8" s="1"/>
  <c r="AC60" i="2"/>
  <c r="X352" i="8"/>
  <c r="AV352" i="8" s="1"/>
  <c r="AU353" i="5"/>
  <c r="AC298" i="8"/>
  <c r="AZ291" i="5"/>
  <c r="AY320" i="5"/>
  <c r="AM322" i="8"/>
  <c r="AY322" i="8" s="1"/>
  <c r="O322" i="8" s="1"/>
  <c r="AN320" i="5"/>
  <c r="AX233" i="5"/>
  <c r="AA245" i="8"/>
  <c r="AN172" i="5"/>
  <c r="R14" i="8"/>
  <c r="W212" i="8"/>
  <c r="AT193" i="5"/>
  <c r="AQ129" i="5"/>
  <c r="AE154" i="8"/>
  <c r="R96" i="8"/>
  <c r="AN67" i="5"/>
  <c r="AV50" i="8"/>
  <c r="AG321" i="8"/>
  <c r="AS319" i="5"/>
  <c r="AX249" i="5"/>
  <c r="AA259" i="8"/>
  <c r="Y153" i="8"/>
  <c r="AV128" i="5"/>
  <c r="O23" i="5"/>
  <c r="AN23" i="5" s="1"/>
  <c r="AG56" i="8"/>
  <c r="AS56" i="8" s="1"/>
  <c r="AO208" i="8"/>
  <c r="BA188" i="5"/>
  <c r="W196" i="8"/>
  <c r="AT174" i="5"/>
  <c r="AP52" i="5"/>
  <c r="AD81" i="8"/>
  <c r="AP81" i="8" s="1"/>
  <c r="F81" i="8" s="1"/>
  <c r="X140" i="8"/>
  <c r="AU111" i="5"/>
  <c r="Y233" i="8"/>
  <c r="AV220" i="5"/>
  <c r="Y291" i="8"/>
  <c r="AV284" i="5"/>
  <c r="AG196" i="8"/>
  <c r="AS174" i="5"/>
  <c r="AS217" i="5"/>
  <c r="AG230" i="8"/>
  <c r="AW89" i="2"/>
  <c r="AX358" i="5"/>
  <c r="AA357" i="8"/>
  <c r="AY357" i="8" s="1"/>
  <c r="AF33" i="8"/>
  <c r="AR33" i="8" s="1"/>
  <c r="H33" i="8" s="1"/>
  <c r="AI51" i="2"/>
  <c r="AG51" i="2"/>
  <c r="AO316" i="8"/>
  <c r="BA314" i="5"/>
  <c r="AP238" i="8"/>
  <c r="F238" i="8" s="1"/>
  <c r="AK388" i="8"/>
  <c r="AW395" i="5"/>
  <c r="AP95" i="2"/>
  <c r="AN261" i="5"/>
  <c r="R270" i="8"/>
  <c r="AD265" i="8"/>
  <c r="AP256" i="5"/>
  <c r="AO12" i="8"/>
  <c r="BA148" i="5"/>
  <c r="AD96" i="8"/>
  <c r="AP67" i="5"/>
  <c r="AT10" i="5"/>
  <c r="W46" i="8"/>
  <c r="Z320" i="8"/>
  <c r="AW318" i="5"/>
  <c r="AX135" i="5"/>
  <c r="AA160" i="8"/>
  <c r="AN317" i="5"/>
  <c r="AY317" i="5"/>
  <c r="AM319" i="8"/>
  <c r="AY319" i="8" s="1"/>
  <c r="O319" i="8" s="1"/>
  <c r="Y371" i="8"/>
  <c r="AV375" i="5"/>
  <c r="AT265" i="5"/>
  <c r="W27" i="8"/>
  <c r="AC15" i="8"/>
  <c r="AZ180" i="5"/>
  <c r="AU28" i="5"/>
  <c r="X4" i="8"/>
  <c r="AJ380" i="8"/>
  <c r="AV380" i="8" s="1"/>
  <c r="L380" i="8" s="1"/>
  <c r="B380" i="8" s="1"/>
  <c r="AV387" i="5"/>
  <c r="AN387" i="5"/>
  <c r="Z217" i="8"/>
  <c r="AX217" i="8" s="1"/>
  <c r="AW198" i="5"/>
  <c r="AF96" i="8"/>
  <c r="AR96" i="8" s="1"/>
  <c r="H96" i="8" s="1"/>
  <c r="AR67" i="5"/>
  <c r="AF199" i="8"/>
  <c r="AR199" i="8" s="1"/>
  <c r="H199" i="8" s="1"/>
  <c r="AR177" i="5"/>
  <c r="AC196" i="8"/>
  <c r="AZ174" i="5"/>
  <c r="X56" i="8"/>
  <c r="AV56" i="8" s="1"/>
  <c r="AU23" i="5"/>
  <c r="S169" i="8"/>
  <c r="AP144" i="5"/>
  <c r="AC287" i="8"/>
  <c r="AZ280" i="5"/>
  <c r="U12" i="8"/>
  <c r="AR148" i="5"/>
  <c r="AN175" i="5"/>
  <c r="Y74" i="8"/>
  <c r="AV43" i="5"/>
  <c r="X219" i="8"/>
  <c r="AV219" i="8" s="1"/>
  <c r="AU201" i="5"/>
  <c r="W290" i="8"/>
  <c r="AT283" i="5"/>
  <c r="V35" i="8"/>
  <c r="AS374" i="5"/>
  <c r="AC332" i="8"/>
  <c r="AZ332" i="5"/>
  <c r="Y275" i="8"/>
  <c r="AV267" i="5"/>
  <c r="BA184" i="5"/>
  <c r="AO204" i="8"/>
  <c r="AC123" i="8"/>
  <c r="AZ94" i="5"/>
  <c r="AA102" i="8"/>
  <c r="AX73" i="5"/>
  <c r="BF92" i="2"/>
  <c r="AO215" i="8"/>
  <c r="BA196" i="5"/>
  <c r="AQ77" i="5"/>
  <c r="AE106" i="8"/>
  <c r="AN342" i="5"/>
  <c r="AY342" i="5"/>
  <c r="AM342" i="8"/>
  <c r="AY342" i="8" s="1"/>
  <c r="O342" i="8" s="1"/>
  <c r="AK48" i="2"/>
  <c r="AS310" i="5"/>
  <c r="AG312" i="8"/>
  <c r="AS312" i="8" s="1"/>
  <c r="AO66" i="8"/>
  <c r="BA35" i="5"/>
  <c r="AN115" i="5"/>
  <c r="R143" i="8"/>
  <c r="AD44" i="8"/>
  <c r="AP44" i="8" s="1"/>
  <c r="F44" i="8" s="1"/>
  <c r="AP8" i="5"/>
  <c r="R300" i="8"/>
  <c r="AN293" i="5"/>
  <c r="AO92" i="2"/>
  <c r="AG57" i="2"/>
  <c r="AI57" i="2"/>
  <c r="AF295" i="8"/>
  <c r="AR295" i="8" s="1"/>
  <c r="H295" i="8" s="1"/>
  <c r="AR288" i="5"/>
  <c r="AF57" i="2"/>
  <c r="AF289" i="8"/>
  <c r="AR289" i="8" s="1"/>
  <c r="H289" i="8" s="1"/>
  <c r="AR282" i="5"/>
  <c r="AV10" i="8"/>
  <c r="Y17" i="8"/>
  <c r="AV190" i="5"/>
  <c r="AO276" i="8"/>
  <c r="BA268" i="5"/>
  <c r="Y350" i="8"/>
  <c r="AV350" i="5"/>
  <c r="AX284" i="5"/>
  <c r="AA291" i="8"/>
  <c r="Y261" i="8"/>
  <c r="AV251" i="5"/>
  <c r="AC254" i="8"/>
  <c r="AZ243" i="5"/>
  <c r="Y14" i="8"/>
  <c r="AV172" i="5"/>
  <c r="AZ34" i="5"/>
  <c r="AC65" i="8"/>
  <c r="AN5" i="5"/>
  <c r="AY5" i="5"/>
  <c r="AB2" i="8"/>
  <c r="AZ2" i="8" s="1"/>
  <c r="AL79" i="2"/>
  <c r="W315" i="8"/>
  <c r="AT313" i="5"/>
  <c r="W166" i="8"/>
  <c r="AU166" i="8" s="1"/>
  <c r="AT141" i="5"/>
  <c r="AV301" i="5"/>
  <c r="AS343" i="5"/>
  <c r="AG343" i="8"/>
  <c r="AW143" i="5"/>
  <c r="Z168" i="8"/>
  <c r="AC389" i="8"/>
  <c r="AZ396" i="5"/>
  <c r="AZ109" i="5"/>
  <c r="AC138" i="8"/>
  <c r="Y8" i="8"/>
  <c r="AV113" i="5"/>
  <c r="X195" i="8"/>
  <c r="AV195" i="8" s="1"/>
  <c r="AU173" i="5"/>
  <c r="U345" i="8"/>
  <c r="AR345" i="5"/>
  <c r="AU313" i="8"/>
  <c r="Y41" i="8"/>
  <c r="AV4" i="5"/>
  <c r="W276" i="8"/>
  <c r="AU276" i="8" s="1"/>
  <c r="AT268" i="5"/>
  <c r="AG28" i="8"/>
  <c r="AS279" i="5"/>
  <c r="Y86" i="8"/>
  <c r="AV57" i="5"/>
  <c r="U379" i="8"/>
  <c r="AR383" i="5"/>
  <c r="AG203" i="8"/>
  <c r="AS182" i="5"/>
  <c r="AC306" i="8"/>
  <c r="AZ304" i="5"/>
  <c r="X290" i="8"/>
  <c r="AV290" i="8" s="1"/>
  <c r="AU283" i="5"/>
  <c r="AP326" i="5"/>
  <c r="AD327" i="8"/>
  <c r="AP327" i="8" s="1"/>
  <c r="F327" i="8" s="1"/>
  <c r="Y399" i="8"/>
  <c r="AV408" i="5"/>
  <c r="AU349" i="8"/>
  <c r="X33" i="8"/>
  <c r="AV33" i="8" s="1"/>
  <c r="AU362" i="5"/>
  <c r="AC301" i="8"/>
  <c r="AZ294" i="5"/>
  <c r="AO229" i="8"/>
  <c r="BA229" i="8" s="1"/>
  <c r="Q229" i="8" s="1"/>
  <c r="BA216" i="5"/>
  <c r="AN184" i="5"/>
  <c r="R204" i="8"/>
  <c r="Y163" i="8"/>
  <c r="AV138" i="5"/>
  <c r="AA147" i="8"/>
  <c r="AX119" i="5"/>
  <c r="E34" i="3"/>
  <c r="AN142" i="5"/>
  <c r="R167" i="8"/>
  <c r="AJ133" i="5"/>
  <c r="X2" i="12"/>
  <c r="AO25" i="8"/>
  <c r="BA248" i="5"/>
  <c r="BA75" i="5"/>
  <c r="AO104" i="8"/>
  <c r="W280" i="8"/>
  <c r="AT272" i="5"/>
  <c r="Y400" i="8"/>
  <c r="AV409" i="5"/>
  <c r="Y151" i="8"/>
  <c r="AV126" i="5"/>
  <c r="AN322" i="5"/>
  <c r="AY322" i="5"/>
  <c r="AM324" i="8"/>
  <c r="AY324" i="8" s="1"/>
  <c r="O324" i="8" s="1"/>
  <c r="AV23" i="5"/>
  <c r="AW404" i="5"/>
  <c r="AK396" i="8"/>
  <c r="AS119" i="8"/>
  <c r="I119" i="8" s="1"/>
  <c r="U366" i="8"/>
  <c r="AS366" i="8" s="1"/>
  <c r="AR368" i="5"/>
  <c r="AZ205" i="8"/>
  <c r="P205" i="8" s="1"/>
  <c r="X346" i="8"/>
  <c r="AV346" i="8" s="1"/>
  <c r="AU346" i="5"/>
  <c r="AT287" i="5"/>
  <c r="W294" i="8"/>
  <c r="AN353" i="5"/>
  <c r="AB352" i="8"/>
  <c r="AY353" i="5"/>
  <c r="U347" i="8"/>
  <c r="AR347" i="5"/>
  <c r="AH400" i="8"/>
  <c r="AT400" i="8" s="1"/>
  <c r="J400" i="8" s="1"/>
  <c r="AT409" i="5"/>
  <c r="AN409" i="5"/>
  <c r="AX259" i="5"/>
  <c r="AA268" i="8"/>
  <c r="W201" i="8"/>
  <c r="AT179" i="5"/>
  <c r="AR155" i="5"/>
  <c r="AF179" i="8"/>
  <c r="AR179" i="8" s="1"/>
  <c r="H179" i="8" s="1"/>
  <c r="AC118" i="8"/>
  <c r="AZ89" i="5"/>
  <c r="Z26" i="8"/>
  <c r="AX26" i="8" s="1"/>
  <c r="AW254" i="5"/>
  <c r="AA249" i="8"/>
  <c r="AX237" i="5"/>
  <c r="X308" i="8"/>
  <c r="AU306" i="5"/>
  <c r="W231" i="8"/>
  <c r="AU231" i="8" s="1"/>
  <c r="AL43" i="2"/>
  <c r="AT218" i="5"/>
  <c r="AU337" i="8"/>
  <c r="X328" i="8"/>
  <c r="AV328" i="8" s="1"/>
  <c r="AU327" i="5"/>
  <c r="Y298" i="8"/>
  <c r="AV291" i="5"/>
  <c r="AU266" i="5"/>
  <c r="AI274" i="8"/>
  <c r="Z155" i="8"/>
  <c r="AX155" i="8" s="1"/>
  <c r="AW130" i="5"/>
  <c r="Z139" i="8"/>
  <c r="AX139" i="8" s="1"/>
  <c r="AW110" i="5"/>
  <c r="AF86" i="8"/>
  <c r="AR86" i="8" s="1"/>
  <c r="H86" i="8" s="1"/>
  <c r="AR57" i="5"/>
  <c r="AC406" i="8"/>
  <c r="AZ415" i="5"/>
  <c r="AC127" i="8"/>
  <c r="AZ98" i="5"/>
  <c r="AC199" i="8"/>
  <c r="AZ177" i="5"/>
  <c r="Z207" i="8"/>
  <c r="AX207" i="8" s="1"/>
  <c r="AW187" i="5"/>
  <c r="AG161" i="8"/>
  <c r="AS136" i="5"/>
  <c r="AW80" i="5"/>
  <c r="Z109" i="8"/>
  <c r="AN335" i="5"/>
  <c r="AY335" i="5"/>
  <c r="AM335" i="8"/>
  <c r="AY335" i="8" s="1"/>
  <c r="O335" i="8" s="1"/>
  <c r="Y346" i="8"/>
  <c r="AV346" i="5"/>
  <c r="U324" i="8"/>
  <c r="AR322" i="5"/>
  <c r="W302" i="8"/>
  <c r="AT295" i="5"/>
  <c r="AP172" i="5"/>
  <c r="AD14" i="8"/>
  <c r="AX105" i="5"/>
  <c r="AA134" i="8"/>
  <c r="S49" i="8"/>
  <c r="AP14" i="5"/>
  <c r="AD152" i="8"/>
  <c r="AP127" i="5"/>
  <c r="AT251" i="5"/>
  <c r="S48" i="8"/>
  <c r="AP13" i="5"/>
  <c r="BA125" i="5"/>
  <c r="AO11" i="8"/>
  <c r="R195" i="8"/>
  <c r="AP195" i="8" s="1"/>
  <c r="AN173" i="5"/>
  <c r="AN284" i="5"/>
  <c r="Y69" i="8"/>
  <c r="AV38" i="5"/>
  <c r="AD186" i="8"/>
  <c r="AP163" i="5"/>
  <c r="Y77" i="8"/>
  <c r="AV46" i="5"/>
  <c r="AG329" i="8"/>
  <c r="AS328" i="5"/>
  <c r="R128" i="8"/>
  <c r="AN99" i="5"/>
  <c r="W250" i="8"/>
  <c r="AT238" i="5"/>
  <c r="V368" i="8"/>
  <c r="AS371" i="5"/>
  <c r="X356" i="8"/>
  <c r="AU357" i="5"/>
  <c r="X357" i="8"/>
  <c r="AU358" i="5"/>
  <c r="AO300" i="8"/>
  <c r="BA293" i="5"/>
  <c r="BI89" i="2"/>
  <c r="AD366" i="8"/>
  <c r="AP366" i="8" s="1"/>
  <c r="F366" i="8" s="1"/>
  <c r="AP368" i="5"/>
  <c r="Y101" i="8"/>
  <c r="AV72" i="5"/>
  <c r="AN49" i="5"/>
  <c r="R7" i="8"/>
  <c r="Z376" i="8"/>
  <c r="AX376" i="8" s="1"/>
  <c r="AW380" i="5"/>
  <c r="AP157" i="8"/>
  <c r="X29" i="8"/>
  <c r="AV29" i="8" s="1"/>
  <c r="AU296" i="5"/>
  <c r="Y22" i="8"/>
  <c r="AV214" i="5"/>
  <c r="AO261" i="8"/>
  <c r="BA251" i="5"/>
  <c r="BA152" i="5"/>
  <c r="AO176" i="8"/>
  <c r="AX40" i="8"/>
  <c r="AX193" i="5"/>
  <c r="AA212" i="8"/>
  <c r="AC336" i="8"/>
  <c r="AZ336" i="5"/>
  <c r="AA75" i="8"/>
  <c r="E33" i="3"/>
  <c r="AX44" i="5"/>
  <c r="BA283" i="5"/>
  <c r="AO290" i="8"/>
  <c r="BA290" i="8" s="1"/>
  <c r="AC277" i="8"/>
  <c r="AZ269" i="5"/>
  <c r="Z369" i="8"/>
  <c r="AW372" i="5"/>
  <c r="AD346" i="8"/>
  <c r="AP346" i="8" s="1"/>
  <c r="F346" i="8" s="1"/>
  <c r="AP346" i="5"/>
  <c r="X264" i="8"/>
  <c r="AV264" i="8" s="1"/>
  <c r="AU255" i="5"/>
  <c r="Z138" i="8"/>
  <c r="AW109" i="5"/>
  <c r="Z8" i="8"/>
  <c r="AW113" i="5"/>
  <c r="AR42" i="5"/>
  <c r="AF73" i="8"/>
  <c r="AR73" i="8" s="1"/>
  <c r="H73" i="8" s="1"/>
  <c r="AR143" i="5"/>
  <c r="AF168" i="8"/>
  <c r="AR168" i="8" s="1"/>
  <c r="H168" i="8" s="1"/>
  <c r="AC279" i="8"/>
  <c r="AZ271" i="5"/>
  <c r="BA361" i="5"/>
  <c r="AO360" i="8"/>
  <c r="M98" i="8"/>
  <c r="AC368" i="8"/>
  <c r="AZ371" i="5"/>
  <c r="AN107" i="5"/>
  <c r="BA309" i="5"/>
  <c r="AO311" i="8"/>
  <c r="X281" i="8"/>
  <c r="AU273" i="5"/>
  <c r="AA191" i="8"/>
  <c r="AX168" i="5"/>
  <c r="AX78" i="8"/>
  <c r="X67" i="8"/>
  <c r="AU36" i="5"/>
  <c r="AK208" i="8"/>
  <c r="AW188" i="5"/>
  <c r="BA376" i="5"/>
  <c r="AO372" i="8"/>
  <c r="AX364" i="5"/>
  <c r="AA362" i="8"/>
  <c r="AC378" i="8"/>
  <c r="AZ382" i="5"/>
  <c r="BA109" i="5"/>
  <c r="AO138" i="8"/>
  <c r="W110" i="8"/>
  <c r="AT81" i="5"/>
  <c r="X53" i="8"/>
  <c r="AV53" i="8" s="1"/>
  <c r="AU18" i="5"/>
  <c r="AD86" i="8"/>
  <c r="AP57" i="5"/>
  <c r="AZ295" i="8"/>
  <c r="P295" i="8" s="1"/>
  <c r="AN231" i="5"/>
  <c r="R243" i="8"/>
  <c r="W58" i="8"/>
  <c r="AU58" i="8" s="1"/>
  <c r="AT25" i="5"/>
  <c r="AR213" i="5"/>
  <c r="AF228" i="8"/>
  <c r="AR228" i="8" s="1"/>
  <c r="H228" i="8" s="1"/>
  <c r="K24" i="8"/>
  <c r="AD68" i="8"/>
  <c r="AP68" i="8" s="1"/>
  <c r="F68" i="8" s="1"/>
  <c r="AP37" i="5"/>
  <c r="AT412" i="5"/>
  <c r="AH403" i="8"/>
  <c r="AT403" i="8" s="1"/>
  <c r="J403" i="8" s="1"/>
  <c r="AN412" i="5"/>
  <c r="AX257" i="5"/>
  <c r="AA266" i="8"/>
  <c r="R225" i="8"/>
  <c r="AN210" i="5"/>
  <c r="AX121" i="5"/>
  <c r="AA149" i="8"/>
  <c r="Y49" i="8"/>
  <c r="AV14" i="5"/>
  <c r="AL76" i="2"/>
  <c r="W116" i="8"/>
  <c r="AT87" i="5"/>
  <c r="AX32" i="5"/>
  <c r="AA63" i="8"/>
  <c r="BA308" i="5"/>
  <c r="AO310" i="8"/>
  <c r="AO251" i="8"/>
  <c r="BA239" i="5"/>
  <c r="AC269" i="8"/>
  <c r="AZ260" i="5"/>
  <c r="AT379" i="8"/>
  <c r="V378" i="8"/>
  <c r="AT378" i="8" s="1"/>
  <c r="AS382" i="5"/>
  <c r="AR108" i="5"/>
  <c r="AF137" i="8"/>
  <c r="AR137" i="8" s="1"/>
  <c r="H137" i="8" s="1"/>
  <c r="AI286" i="8"/>
  <c r="AU278" i="5"/>
  <c r="N280" i="8"/>
  <c r="AF141" i="8"/>
  <c r="AR141" i="8" s="1"/>
  <c r="H141" i="8" s="1"/>
  <c r="AR112" i="5"/>
  <c r="AC103" i="8"/>
  <c r="AZ74" i="5"/>
  <c r="L304" i="8"/>
  <c r="AO281" i="8"/>
  <c r="BA273" i="5"/>
  <c r="AN243" i="5"/>
  <c r="R254" i="8"/>
  <c r="R154" i="8"/>
  <c r="AP154" i="8" s="1"/>
  <c r="AN129" i="5"/>
  <c r="AP47" i="5"/>
  <c r="AD78" i="8"/>
  <c r="AP78" i="8" s="1"/>
  <c r="W353" i="8"/>
  <c r="AT354" i="5"/>
  <c r="AX358" i="8"/>
  <c r="Y143" i="8"/>
  <c r="AV115" i="5"/>
  <c r="AO42" i="8"/>
  <c r="BA6" i="5"/>
  <c r="W134" i="8"/>
  <c r="AT105" i="5"/>
  <c r="BA140" i="5"/>
  <c r="AO165" i="8"/>
  <c r="AC346" i="8"/>
  <c r="AZ346" i="5"/>
  <c r="AN338" i="5"/>
  <c r="AM338" i="8"/>
  <c r="AY338" i="8" s="1"/>
  <c r="O338" i="8" s="1"/>
  <c r="AY338" i="5"/>
  <c r="R259" i="8"/>
  <c r="AN249" i="5"/>
  <c r="AN152" i="5"/>
  <c r="R176" i="8"/>
  <c r="AP176" i="8" s="1"/>
  <c r="AC179" i="8"/>
  <c r="AZ155" i="5"/>
  <c r="AC70" i="8"/>
  <c r="AZ39" i="5"/>
  <c r="U319" i="8"/>
  <c r="AR317" i="5"/>
  <c r="AX269" i="8"/>
  <c r="AX151" i="5"/>
  <c r="AA175" i="8"/>
  <c r="AO206" i="8"/>
  <c r="BA206" i="8" s="1"/>
  <c r="BA186" i="5"/>
  <c r="AC235" i="8"/>
  <c r="AZ222" i="5"/>
  <c r="AD19" i="2"/>
  <c r="AQ9" i="5"/>
  <c r="AE45" i="8"/>
  <c r="AE147" i="8"/>
  <c r="AQ119" i="5"/>
  <c r="AV381" i="8"/>
  <c r="L381" i="8" s="1"/>
  <c r="BA162" i="5"/>
  <c r="AO185" i="8"/>
  <c r="BA129" i="5"/>
  <c r="AO154" i="8"/>
  <c r="BA154" i="8" s="1"/>
  <c r="W25" i="8"/>
  <c r="AT248" i="5"/>
  <c r="AT75" i="5"/>
  <c r="AP278" i="5"/>
  <c r="AD286" i="8"/>
  <c r="AP286" i="8" s="1"/>
  <c r="F286" i="8" s="1"/>
  <c r="R55" i="8"/>
  <c r="AN22" i="5"/>
  <c r="AC292" i="8"/>
  <c r="AZ285" i="5"/>
  <c r="Y102" i="8"/>
  <c r="AV73" i="5"/>
  <c r="AV363" i="8"/>
  <c r="AW397" i="5"/>
  <c r="AK390" i="8"/>
  <c r="AG41" i="8"/>
  <c r="AS41" i="8" s="1"/>
  <c r="AS4" i="5"/>
  <c r="Y360" i="8"/>
  <c r="AV361" i="5"/>
  <c r="Y368" i="8"/>
  <c r="AV371" i="5"/>
  <c r="Z363" i="8"/>
  <c r="AX363" i="8" s="1"/>
  <c r="AW365" i="5"/>
  <c r="BA224" i="5"/>
  <c r="AO237" i="8"/>
  <c r="BA237" i="8" s="1"/>
  <c r="AX267" i="5"/>
  <c r="AT357" i="5"/>
  <c r="L184" i="8"/>
  <c r="K89" i="8"/>
  <c r="N299" i="8"/>
  <c r="L80" i="8"/>
  <c r="P210" i="8"/>
  <c r="AW126" i="8"/>
  <c r="M126" i="8" s="1"/>
  <c r="G171" i="8"/>
  <c r="AN250" i="5"/>
  <c r="AP75" i="8"/>
  <c r="F75" i="8" s="1"/>
  <c r="AN181" i="5"/>
  <c r="BA49" i="8"/>
  <c r="Q49" i="8" s="1"/>
  <c r="K14" i="8"/>
  <c r="AZ342" i="5"/>
  <c r="AV165" i="5"/>
  <c r="AN347" i="5"/>
  <c r="P141" i="8"/>
  <c r="AN145" i="5"/>
  <c r="I381" i="8"/>
  <c r="O354" i="8"/>
  <c r="K159" i="8"/>
  <c r="J381" i="8"/>
  <c r="AU236" i="8"/>
  <c r="K236" i="8" s="1"/>
  <c r="N288" i="8"/>
  <c r="AU286" i="8" l="1"/>
  <c r="AP125" i="8"/>
  <c r="BA182" i="8"/>
  <c r="BA96" i="2"/>
  <c r="AP114" i="8"/>
  <c r="BA140" i="8"/>
  <c r="AP58" i="8"/>
  <c r="BC96" i="2"/>
  <c r="AQ226" i="8"/>
  <c r="G226" i="8" s="1"/>
  <c r="BA152" i="8"/>
  <c r="AP101" i="8"/>
  <c r="F101" i="8" s="1"/>
  <c r="AW404" i="8"/>
  <c r="M404" i="8" s="1"/>
  <c r="BA259" i="8"/>
  <c r="BA246" i="8"/>
  <c r="Q246" i="8" s="1"/>
  <c r="AS346" i="8"/>
  <c r="I346" i="8" s="1"/>
  <c r="BA211" i="8"/>
  <c r="Q211" i="8" s="1"/>
  <c r="AP302" i="8"/>
  <c r="AQ2" i="8"/>
  <c r="G2" i="8" s="1"/>
  <c r="BA132" i="8"/>
  <c r="Q132" i="8" s="1"/>
  <c r="BA122" i="8"/>
  <c r="Q122" i="8" s="1"/>
  <c r="BA177" i="8"/>
  <c r="Q177" i="8" s="1"/>
  <c r="AU149" i="8"/>
  <c r="AS263" i="8"/>
  <c r="I263" i="8" s="1"/>
  <c r="BA35" i="8"/>
  <c r="Q35" i="8" s="1"/>
  <c r="BA262" i="8"/>
  <c r="BA311" i="8"/>
  <c r="Q311" i="8" s="1"/>
  <c r="BA291" i="8"/>
  <c r="Q291" i="8" s="1"/>
  <c r="AW197" i="8"/>
  <c r="M197" i="8" s="1"/>
  <c r="BA170" i="8"/>
  <c r="AQ234" i="8"/>
  <c r="G234" i="8" s="1"/>
  <c r="AS281" i="8"/>
  <c r="I281" i="8" s="1"/>
  <c r="BA300" i="8"/>
  <c r="Q300" i="8" s="1"/>
  <c r="BG96" i="2"/>
  <c r="AQ165" i="8"/>
  <c r="AS169" i="8"/>
  <c r="I169" i="8" s="1"/>
  <c r="AS274" i="8"/>
  <c r="I274" i="8" s="1"/>
  <c r="BA73" i="8"/>
  <c r="Q73" i="8" s="1"/>
  <c r="AS331" i="8"/>
  <c r="I331" i="8" s="1"/>
  <c r="BA194" i="8"/>
  <c r="Q194" i="8" s="1"/>
  <c r="AW359" i="8"/>
  <c r="M359" i="8" s="1"/>
  <c r="AQ205" i="8"/>
  <c r="G205" i="8" s="1"/>
  <c r="BA295" i="8"/>
  <c r="Q295" i="8" s="1"/>
  <c r="AQ233" i="8"/>
  <c r="G233" i="8" s="1"/>
  <c r="AP268" i="8"/>
  <c r="F268" i="8" s="1"/>
  <c r="BA106" i="8"/>
  <c r="Q106" i="8" s="1"/>
  <c r="BA69" i="8"/>
  <c r="AP113" i="8"/>
  <c r="F113" i="8" s="1"/>
  <c r="BA163" i="8"/>
  <c r="BA67" i="8"/>
  <c r="Q67" i="8" s="1"/>
  <c r="BA273" i="8"/>
  <c r="Q273" i="8" s="1"/>
  <c r="AP258" i="8"/>
  <c r="F258" i="8" s="1"/>
  <c r="AP27" i="8"/>
  <c r="F27" i="8" s="1"/>
  <c r="BA17" i="8"/>
  <c r="Q17" i="8" s="1"/>
  <c r="AP275" i="8"/>
  <c r="F275" i="8" s="1"/>
  <c r="AW390" i="8"/>
  <c r="M390" i="8" s="1"/>
  <c r="AQ3" i="8"/>
  <c r="G3" i="8" s="1"/>
  <c r="AQ166" i="8"/>
  <c r="G166" i="8" s="1"/>
  <c r="BA299" i="8"/>
  <c r="Q299" i="8" s="1"/>
  <c r="AS332" i="8"/>
  <c r="I332" i="8" s="1"/>
  <c r="BA20" i="8"/>
  <c r="Q20" i="8" s="1"/>
  <c r="AX96" i="2"/>
  <c r="AP54" i="8"/>
  <c r="AP186" i="8"/>
  <c r="F186" i="8" s="1"/>
  <c r="BA227" i="8"/>
  <c r="Q227" i="8" s="1"/>
  <c r="AP190" i="8"/>
  <c r="F190" i="8" s="1"/>
  <c r="AS322" i="8"/>
  <c r="I322" i="8" s="1"/>
  <c r="AQ224" i="8"/>
  <c r="G224" i="8" s="1"/>
  <c r="BA97" i="8"/>
  <c r="Q97" i="8" s="1"/>
  <c r="BA146" i="8"/>
  <c r="Q146" i="8" s="1"/>
  <c r="BA373" i="8"/>
  <c r="Q373" i="8" s="1"/>
  <c r="BA129" i="8"/>
  <c r="Q129" i="8" s="1"/>
  <c r="AW199" i="8"/>
  <c r="M199" i="8" s="1"/>
  <c r="BA289" i="8"/>
  <c r="Q289" i="8" s="1"/>
  <c r="BA281" i="8"/>
  <c r="Q281" i="8" s="1"/>
  <c r="BA44" i="8"/>
  <c r="Q44" i="8" s="1"/>
  <c r="BA167" i="8"/>
  <c r="Q167" i="8" s="1"/>
  <c r="AO96" i="2"/>
  <c r="AP96" i="2"/>
  <c r="AP72" i="8"/>
  <c r="F72" i="8" s="1"/>
  <c r="AS307" i="8"/>
  <c r="I307" i="8" s="1"/>
  <c r="AQ241" i="8"/>
  <c r="G241" i="8" s="1"/>
  <c r="BA274" i="8"/>
  <c r="Q274" i="8" s="1"/>
  <c r="BA191" i="8"/>
  <c r="Q191" i="8" s="1"/>
  <c r="BA41" i="8"/>
  <c r="Q41" i="8" s="1"/>
  <c r="AQ139" i="8"/>
  <c r="G139" i="8" s="1"/>
  <c r="BA215" i="8"/>
  <c r="Q215" i="8" s="1"/>
  <c r="BA12" i="8"/>
  <c r="Q12" i="8" s="1"/>
  <c r="BA242" i="8"/>
  <c r="Q242" i="8" s="1"/>
  <c r="AW396" i="8"/>
  <c r="M396" i="8" s="1"/>
  <c r="BA376" i="8"/>
  <c r="Q376" i="8" s="1"/>
  <c r="BA79" i="8"/>
  <c r="Q79" i="8" s="1"/>
  <c r="BA107" i="8"/>
  <c r="Q107" i="8" s="1"/>
  <c r="AW387" i="8"/>
  <c r="M387" i="8" s="1"/>
  <c r="AW96" i="2"/>
  <c r="BA261" i="8"/>
  <c r="Q261" i="8" s="1"/>
  <c r="AY96" i="2"/>
  <c r="BA165" i="8"/>
  <c r="Q165" i="8" s="1"/>
  <c r="BA208" i="8"/>
  <c r="Q208" i="8" s="1"/>
  <c r="AS130" i="8"/>
  <c r="I130" i="8" s="1"/>
  <c r="AS48" i="8"/>
  <c r="I48" i="8" s="1"/>
  <c r="BA101" i="8"/>
  <c r="Q101" i="8" s="1"/>
  <c r="BA360" i="8"/>
  <c r="Q360" i="8" s="1"/>
  <c r="BA166" i="8"/>
  <c r="Q166" i="8" s="1"/>
  <c r="AP39" i="8"/>
  <c r="F39" i="8" s="1"/>
  <c r="BA9" i="8"/>
  <c r="Q9" i="8" s="1"/>
  <c r="AV96" i="2"/>
  <c r="BA39" i="8"/>
  <c r="Q39" i="8" s="1"/>
  <c r="BA155" i="8"/>
  <c r="Q155" i="8" s="1"/>
  <c r="BA160" i="8"/>
  <c r="Q160" i="8" s="1"/>
  <c r="AS83" i="8"/>
  <c r="I83" i="8" s="1"/>
  <c r="BA60" i="8"/>
  <c r="Q60" i="8" s="1"/>
  <c r="BA319" i="8"/>
  <c r="Q319" i="8" s="1"/>
  <c r="AQ235" i="8"/>
  <c r="G235" i="8" s="1"/>
  <c r="AS230" i="8"/>
  <c r="I230" i="8" s="1"/>
  <c r="AQ227" i="8"/>
  <c r="G227" i="8" s="1"/>
  <c r="BA139" i="8"/>
  <c r="Q139" i="8" s="1"/>
  <c r="BA181" i="8"/>
  <c r="Q181" i="8" s="1"/>
  <c r="AQ4" i="8"/>
  <c r="G4" i="8" s="1"/>
  <c r="BA293" i="8"/>
  <c r="Q293" i="8" s="1"/>
  <c r="BA203" i="8"/>
  <c r="Q203" i="8" s="1"/>
  <c r="BA19" i="8"/>
  <c r="Q19" i="8" s="1"/>
  <c r="AQ229" i="8"/>
  <c r="G229" i="8" s="1"/>
  <c r="AP191" i="8"/>
  <c r="F191" i="8" s="1"/>
  <c r="BA369" i="8"/>
  <c r="Q369" i="8" s="1"/>
  <c r="AS87" i="8"/>
  <c r="I87" i="8" s="1"/>
  <c r="AP267" i="8"/>
  <c r="F267" i="8" s="1"/>
  <c r="BA205" i="8"/>
  <c r="Q205" i="8" s="1"/>
  <c r="BD96" i="2"/>
  <c r="AS121" i="8"/>
  <c r="I121" i="8" s="1"/>
  <c r="BA81" i="8"/>
  <c r="Q81" i="8" s="1"/>
  <c r="AQ228" i="8"/>
  <c r="G228" i="8" s="1"/>
  <c r="AQ195" i="8"/>
  <c r="G195" i="8" s="1"/>
  <c r="AP51" i="8"/>
  <c r="F51" i="8" s="1"/>
  <c r="BA125" i="8"/>
  <c r="Q125" i="8" s="1"/>
  <c r="BA25" i="8"/>
  <c r="Q25" i="8" s="1"/>
  <c r="BA303" i="8"/>
  <c r="Q303" i="8" s="1"/>
  <c r="BA53" i="8"/>
  <c r="Q53" i="8" s="1"/>
  <c r="AS340" i="8"/>
  <c r="I340" i="8" s="1"/>
  <c r="BA156" i="8"/>
  <c r="Q156" i="8" s="1"/>
  <c r="BA366" i="8"/>
  <c r="Q366" i="8" s="1"/>
  <c r="AP214" i="8"/>
  <c r="F214" i="8" s="1"/>
  <c r="AP216" i="8"/>
  <c r="F216" i="8" s="1"/>
  <c r="AS203" i="8"/>
  <c r="I203" i="8" s="1"/>
  <c r="BA153" i="8"/>
  <c r="Q153" i="8" s="1"/>
  <c r="AS339" i="8"/>
  <c r="I339" i="8" s="1"/>
  <c r="BA11" i="8"/>
  <c r="Q11" i="8" s="1"/>
  <c r="AS196" i="8"/>
  <c r="I196" i="8" s="1"/>
  <c r="AS329" i="8"/>
  <c r="I329" i="8" s="1"/>
  <c r="BA224" i="8"/>
  <c r="Q224" i="8" s="1"/>
  <c r="BA193" i="8"/>
  <c r="Q193" i="8" s="1"/>
  <c r="AP95" i="8"/>
  <c r="F95" i="8" s="1"/>
  <c r="BA372" i="8"/>
  <c r="Q372" i="8" s="1"/>
  <c r="BA138" i="8"/>
  <c r="Q138" i="8" s="1"/>
  <c r="BA204" i="8"/>
  <c r="Q204" i="8" s="1"/>
  <c r="BA104" i="8"/>
  <c r="Q104" i="8" s="1"/>
  <c r="BA296" i="8"/>
  <c r="Q296" i="8" s="1"/>
  <c r="AQ106" i="8"/>
  <c r="G106" i="8" s="1"/>
  <c r="AS202" i="8"/>
  <c r="I202" i="8" s="1"/>
  <c r="AQ147" i="8"/>
  <c r="G147" i="8" s="1"/>
  <c r="AQ279" i="8"/>
  <c r="G279" i="8" s="1"/>
  <c r="AW388" i="8"/>
  <c r="M388" i="8" s="1"/>
  <c r="AS28" i="8"/>
  <c r="I28" i="8" s="1"/>
  <c r="BA244" i="8"/>
  <c r="Q244" i="8" s="1"/>
  <c r="BA310" i="8"/>
  <c r="Q310" i="8" s="1"/>
  <c r="AP110" i="8"/>
  <c r="F110" i="8" s="1"/>
  <c r="BA42" i="8"/>
  <c r="Q42" i="8" s="1"/>
  <c r="BA77" i="8"/>
  <c r="Q77" i="8" s="1"/>
  <c r="BA294" i="8"/>
  <c r="Q294" i="8" s="1"/>
  <c r="AU274" i="8"/>
  <c r="K274" i="8" s="1"/>
  <c r="AQ204" i="8"/>
  <c r="G204" i="8" s="1"/>
  <c r="AQ183" i="8"/>
  <c r="G183" i="8" s="1"/>
  <c r="AS30" i="8"/>
  <c r="I30" i="8" s="1"/>
  <c r="AQ276" i="8"/>
  <c r="G276" i="8" s="1"/>
  <c r="AS310" i="8"/>
  <c r="I310" i="8" s="1"/>
  <c r="AP173" i="8"/>
  <c r="F173" i="8" s="1"/>
  <c r="AS175" i="8"/>
  <c r="I175" i="8" s="1"/>
  <c r="AW389" i="8"/>
  <c r="M389" i="8" s="1"/>
  <c r="AP127" i="8"/>
  <c r="F127" i="8" s="1"/>
  <c r="AQ232" i="8"/>
  <c r="G232" i="8" s="1"/>
  <c r="AP152" i="8"/>
  <c r="F152" i="8" s="1"/>
  <c r="AU275" i="8"/>
  <c r="K275" i="8" s="1"/>
  <c r="AS341" i="8"/>
  <c r="I341" i="8" s="1"/>
  <c r="AS343" i="8"/>
  <c r="I343" i="8" s="1"/>
  <c r="AS342" i="8"/>
  <c r="I342" i="8" s="1"/>
  <c r="AP100" i="8"/>
  <c r="F100" i="8" s="1"/>
  <c r="BA117" i="8"/>
  <c r="Q117" i="8" s="1"/>
  <c r="AV236" i="8"/>
  <c r="L236" i="8" s="1"/>
  <c r="BA95" i="8"/>
  <c r="Q95" i="8" s="1"/>
  <c r="BA115" i="8"/>
  <c r="Q115" i="8" s="1"/>
  <c r="AU292" i="8"/>
  <c r="K292" i="8" s="1"/>
  <c r="B381" i="8"/>
  <c r="AW406" i="8"/>
  <c r="M406" i="8" s="1"/>
  <c r="AQ154" i="8"/>
  <c r="G154" i="8" s="1"/>
  <c r="AW37" i="8"/>
  <c r="M37" i="8" s="1"/>
  <c r="BA176" i="8"/>
  <c r="Q176" i="8" s="1"/>
  <c r="BA251" i="8"/>
  <c r="Q251" i="8" s="1"/>
  <c r="AW398" i="8"/>
  <c r="M398" i="8" s="1"/>
  <c r="BA109" i="8"/>
  <c r="Q109" i="8" s="1"/>
  <c r="AS306" i="8"/>
  <c r="I306" i="8" s="1"/>
  <c r="BK96" i="2"/>
  <c r="AN174" i="5"/>
  <c r="AS273" i="8"/>
  <c r="I273" i="8" s="1"/>
  <c r="AS234" i="8"/>
  <c r="I234" i="8" s="1"/>
  <c r="BA217" i="8"/>
  <c r="Q217" i="8" s="1"/>
  <c r="AU291" i="8"/>
  <c r="K291" i="8" s="1"/>
  <c r="AQ137" i="8"/>
  <c r="G137" i="8" s="1"/>
  <c r="AS96" i="2"/>
  <c r="AW208" i="8"/>
  <c r="M208" i="8" s="1"/>
  <c r="AQ135" i="8"/>
  <c r="G135" i="8" s="1"/>
  <c r="AT96" i="2"/>
  <c r="BA134" i="8"/>
  <c r="Q134" i="8" s="1"/>
  <c r="AS216" i="8"/>
  <c r="I216" i="8" s="1"/>
  <c r="BA26" i="8"/>
  <c r="Q26" i="8" s="1"/>
  <c r="AS21" i="8"/>
  <c r="I21" i="8" s="1"/>
  <c r="BA264" i="8"/>
  <c r="Q264" i="8" s="1"/>
  <c r="AQ96" i="2"/>
  <c r="AU96" i="2"/>
  <c r="BA192" i="8"/>
  <c r="Q192" i="8" s="1"/>
  <c r="AP177" i="8"/>
  <c r="F177" i="8" s="1"/>
  <c r="AQ182" i="8"/>
  <c r="G182" i="8" s="1"/>
  <c r="AP115" i="8"/>
  <c r="F115" i="8" s="1"/>
  <c r="AP255" i="8"/>
  <c r="F255" i="8" s="1"/>
  <c r="BA185" i="8"/>
  <c r="Q185" i="8" s="1"/>
  <c r="BA316" i="8"/>
  <c r="Q316" i="8" s="1"/>
  <c r="BA141" i="8"/>
  <c r="Q141" i="8" s="1"/>
  <c r="BA43" i="8"/>
  <c r="Q43" i="8" s="1"/>
  <c r="BA4" i="8"/>
  <c r="Q4" i="8" s="1"/>
  <c r="BA21" i="8"/>
  <c r="Q21" i="8" s="1"/>
  <c r="AS161" i="8"/>
  <c r="I161" i="8" s="1"/>
  <c r="BA284" i="8"/>
  <c r="Q284" i="8" s="1"/>
  <c r="AP86" i="8"/>
  <c r="F86" i="8" s="1"/>
  <c r="BA16" i="8"/>
  <c r="Q16" i="8" s="1"/>
  <c r="AQ108" i="8"/>
  <c r="G108" i="8" s="1"/>
  <c r="AS325" i="8"/>
  <c r="I325" i="8" s="1"/>
  <c r="AS277" i="8"/>
  <c r="I277" i="8" s="1"/>
  <c r="BH96" i="2"/>
  <c r="AS12" i="8"/>
  <c r="I12" i="8" s="1"/>
  <c r="AQ60" i="8"/>
  <c r="G60" i="8" s="1"/>
  <c r="BA130" i="8"/>
  <c r="Q130" i="8" s="1"/>
  <c r="AP112" i="8"/>
  <c r="F112" i="8" s="1"/>
  <c r="BA315" i="8"/>
  <c r="B120" i="8"/>
  <c r="AQ242" i="8"/>
  <c r="G242" i="8" s="1"/>
  <c r="AP185" i="8"/>
  <c r="F185" i="8" s="1"/>
  <c r="BA355" i="8"/>
  <c r="Q355" i="8" s="1"/>
  <c r="AW397" i="8"/>
  <c r="M397" i="8" s="1"/>
  <c r="AP91" i="8"/>
  <c r="F91" i="8" s="1"/>
  <c r="AQ206" i="8"/>
  <c r="G206" i="8" s="1"/>
  <c r="BA99" i="8"/>
  <c r="Q99" i="8" s="1"/>
  <c r="BA257" i="8"/>
  <c r="Q257" i="8" s="1"/>
  <c r="BA356" i="8"/>
  <c r="Q356" i="8" s="1"/>
  <c r="AP61" i="8"/>
  <c r="F61" i="8" s="1"/>
  <c r="AP184" i="8"/>
  <c r="F184" i="8" s="1"/>
  <c r="B184" i="8" s="1"/>
  <c r="AS327" i="8"/>
  <c r="I327" i="8" s="1"/>
  <c r="AW402" i="8"/>
  <c r="M402" i="8" s="1"/>
  <c r="AP142" i="8"/>
  <c r="F142" i="8" s="1"/>
  <c r="BA260" i="8"/>
  <c r="Q260" i="8" s="1"/>
  <c r="AW405" i="8"/>
  <c r="M405" i="8" s="1"/>
  <c r="BA180" i="8"/>
  <c r="Q180" i="8" s="1"/>
  <c r="AQ153" i="8"/>
  <c r="G153" i="8" s="1"/>
  <c r="BA225" i="8"/>
  <c r="Q225" i="8" s="1"/>
  <c r="AP77" i="8"/>
  <c r="F77" i="8" s="1"/>
  <c r="B126" i="8"/>
  <c r="AS318" i="8"/>
  <c r="I318" i="8" s="1"/>
  <c r="AP14" i="8"/>
  <c r="F14" i="8" s="1"/>
  <c r="BA54" i="8"/>
  <c r="Q54" i="8" s="1"/>
  <c r="AP59" i="8"/>
  <c r="F59" i="8" s="1"/>
  <c r="AQ225" i="8"/>
  <c r="G225" i="8" s="1"/>
  <c r="BA91" i="8"/>
  <c r="Q91" i="8" s="1"/>
  <c r="BA235" i="8"/>
  <c r="Q235" i="8" s="1"/>
  <c r="BA199" i="8"/>
  <c r="Q199" i="8" s="1"/>
  <c r="AP293" i="8"/>
  <c r="F293" i="8" s="1"/>
  <c r="BA213" i="8"/>
  <c r="Q213" i="8" s="1"/>
  <c r="BA93" i="8"/>
  <c r="Q93" i="8" s="1"/>
  <c r="AS31" i="8"/>
  <c r="I31" i="8" s="1"/>
  <c r="AP99" i="8"/>
  <c r="F99" i="8" s="1"/>
  <c r="B89" i="8"/>
  <c r="BA45" i="8"/>
  <c r="Q45" i="8" s="1"/>
  <c r="BA46" i="8"/>
  <c r="Q46" i="8" s="1"/>
  <c r="AX106" i="8"/>
  <c r="N106" i="8" s="1"/>
  <c r="AS313" i="8"/>
  <c r="I313" i="8" s="1"/>
  <c r="BA161" i="8"/>
  <c r="Q161" i="8" s="1"/>
  <c r="BA83" i="8"/>
  <c r="Q83" i="8" s="1"/>
  <c r="AS336" i="8"/>
  <c r="I336" i="8" s="1"/>
  <c r="BA112" i="8"/>
  <c r="Q112" i="8" s="1"/>
  <c r="AS311" i="8"/>
  <c r="I311" i="8" s="1"/>
  <c r="AP5" i="8"/>
  <c r="F5" i="8" s="1"/>
  <c r="AS320" i="8"/>
  <c r="I320" i="8" s="1"/>
  <c r="BA2" i="8"/>
  <c r="Q2" i="8" s="1"/>
  <c r="BA62" i="8"/>
  <c r="Q62" i="8" s="1"/>
  <c r="BA377" i="8"/>
  <c r="Q377" i="8" s="1"/>
  <c r="BA292" i="8"/>
  <c r="Q292" i="8" s="1"/>
  <c r="AW395" i="8"/>
  <c r="M395" i="8" s="1"/>
  <c r="AR96" i="2"/>
  <c r="BA189" i="8"/>
  <c r="Q189" i="8" s="1"/>
  <c r="BA27" i="8"/>
  <c r="Q27" i="8" s="1"/>
  <c r="BA279" i="8"/>
  <c r="Q279" i="8" s="1"/>
  <c r="AP274" i="8"/>
  <c r="F274" i="8" s="1"/>
  <c r="B309" i="8"/>
  <c r="AU65" i="8"/>
  <c r="K65" i="8" s="1"/>
  <c r="AU113" i="8"/>
  <c r="K113" i="8" s="1"/>
  <c r="BA331" i="8"/>
  <c r="Q331" i="8" s="1"/>
  <c r="AW111" i="8"/>
  <c r="M111" i="8" s="1"/>
  <c r="F299" i="8"/>
  <c r="AP80" i="8"/>
  <c r="F80" i="8" s="1"/>
  <c r="AW360" i="8"/>
  <c r="M360" i="8" s="1"/>
  <c r="AY285" i="8"/>
  <c r="O285" i="8" s="1"/>
  <c r="AY13" i="8"/>
  <c r="O13" i="8" s="1"/>
  <c r="AW95" i="8"/>
  <c r="M95" i="8" s="1"/>
  <c r="AP55" i="8"/>
  <c r="F55" i="8" s="1"/>
  <c r="AW362" i="8"/>
  <c r="M362" i="8" s="1"/>
  <c r="AW316" i="8"/>
  <c r="M316" i="8" s="1"/>
  <c r="AW96" i="8"/>
  <c r="M96" i="8" s="1"/>
  <c r="K320" i="8"/>
  <c r="AU77" i="8"/>
  <c r="K77" i="8" s="1"/>
  <c r="AU138" i="8"/>
  <c r="K138" i="8" s="1"/>
  <c r="P292" i="8"/>
  <c r="AY286" i="8"/>
  <c r="O286" i="8" s="1"/>
  <c r="AW341" i="8"/>
  <c r="M341" i="8" s="1"/>
  <c r="AV213" i="8"/>
  <c r="L213" i="8" s="1"/>
  <c r="AY296" i="8"/>
  <c r="O296" i="8" s="1"/>
  <c r="AW400" i="8"/>
  <c r="M400" i="8" s="1"/>
  <c r="AY186" i="8"/>
  <c r="O186" i="8" s="1"/>
  <c r="AP156" i="8"/>
  <c r="F156" i="8" s="1"/>
  <c r="AV323" i="8"/>
  <c r="L323" i="8" s="1"/>
  <c r="AU180" i="8"/>
  <c r="K180" i="8" s="1"/>
  <c r="AY128" i="8"/>
  <c r="O128" i="8" s="1"/>
  <c r="AY70" i="8"/>
  <c r="O70" i="8" s="1"/>
  <c r="F63" i="8"/>
  <c r="AY77" i="8"/>
  <c r="O77" i="8" s="1"/>
  <c r="AW290" i="8"/>
  <c r="M290" i="8" s="1"/>
  <c r="AY182" i="8"/>
  <c r="O182" i="8" s="1"/>
  <c r="J33" i="8"/>
  <c r="AW254" i="8"/>
  <c r="M254" i="8" s="1"/>
  <c r="AW235" i="8"/>
  <c r="M235" i="8" s="1"/>
  <c r="AY251" i="8"/>
  <c r="O251" i="8" s="1"/>
  <c r="AU20" i="8"/>
  <c r="K20" i="8" s="1"/>
  <c r="AY114" i="8"/>
  <c r="O114" i="8" s="1"/>
  <c r="BA285" i="8"/>
  <c r="Q285" i="8" s="1"/>
  <c r="AY227" i="8"/>
  <c r="O227" i="8" s="1"/>
  <c r="K375" i="8"/>
  <c r="AQ157" i="8"/>
  <c r="G157" i="8" s="1"/>
  <c r="AW331" i="8"/>
  <c r="M331" i="8" s="1"/>
  <c r="AY170" i="8"/>
  <c r="O170" i="8" s="1"/>
  <c r="P354" i="8"/>
  <c r="M299" i="8"/>
  <c r="L295" i="8"/>
  <c r="J34" i="8"/>
  <c r="AP92" i="8"/>
  <c r="F92" i="8" s="1"/>
  <c r="AX248" i="8"/>
  <c r="N248" i="8" s="1"/>
  <c r="AY64" i="8"/>
  <c r="O64" i="8" s="1"/>
  <c r="I362" i="8"/>
  <c r="BA7" i="8"/>
  <c r="Q7" i="8" s="1"/>
  <c r="AU107" i="8"/>
  <c r="K107" i="8" s="1"/>
  <c r="I377" i="8"/>
  <c r="AW181" i="8"/>
  <c r="M181" i="8" s="1"/>
  <c r="L57" i="8"/>
  <c r="AU177" i="8"/>
  <c r="K177" i="8" s="1"/>
  <c r="F179" i="8"/>
  <c r="AW296" i="8"/>
  <c r="M296" i="8" s="1"/>
  <c r="N52" i="8"/>
  <c r="BA105" i="8"/>
  <c r="Q105" i="8" s="1"/>
  <c r="AY58" i="8"/>
  <c r="O58" i="8" s="1"/>
  <c r="AY71" i="8"/>
  <c r="O71" i="8" s="1"/>
  <c r="M52" i="8"/>
  <c r="AU245" i="8"/>
  <c r="K245" i="8" s="1"/>
  <c r="AX246" i="8"/>
  <c r="N246" i="8" s="1"/>
  <c r="AW19" i="8"/>
  <c r="M19" i="8" s="1"/>
  <c r="F246" i="8"/>
  <c r="AY87" i="8"/>
  <c r="O87" i="8" s="1"/>
  <c r="P376" i="8"/>
  <c r="AY8" i="8"/>
  <c r="O8" i="8" s="1"/>
  <c r="AW376" i="8"/>
  <c r="M376" i="8" s="1"/>
  <c r="BA236" i="8"/>
  <c r="Q236" i="8" s="1"/>
  <c r="AW289" i="8"/>
  <c r="M289" i="8" s="1"/>
  <c r="AX142" i="8"/>
  <c r="N142" i="8" s="1"/>
  <c r="AV180" i="8"/>
  <c r="L180" i="8" s="1"/>
  <c r="I285" i="8"/>
  <c r="AW312" i="8"/>
  <c r="M312" i="8" s="1"/>
  <c r="M154" i="8"/>
  <c r="AY173" i="8"/>
  <c r="O173" i="8" s="1"/>
  <c r="AV272" i="8"/>
  <c r="L272" i="8" s="1"/>
  <c r="B272" i="8" s="1"/>
  <c r="AU254" i="8"/>
  <c r="K254" i="8" s="1"/>
  <c r="P277" i="8"/>
  <c r="AU54" i="8"/>
  <c r="K54" i="8" s="1"/>
  <c r="BA234" i="8"/>
  <c r="Q234" i="8" s="1"/>
  <c r="AW271" i="8"/>
  <c r="M271" i="8" s="1"/>
  <c r="AP166" i="8"/>
  <c r="F166" i="8" s="1"/>
  <c r="F302" i="8"/>
  <c r="AW361" i="8"/>
  <c r="M361" i="8" s="1"/>
  <c r="M401" i="8"/>
  <c r="AQ230" i="8"/>
  <c r="G230" i="8" s="1"/>
  <c r="AU179" i="8"/>
  <c r="K179" i="8" s="1"/>
  <c r="BA363" i="8"/>
  <c r="Q363" i="8" s="1"/>
  <c r="I373" i="8"/>
  <c r="AW344" i="8"/>
  <c r="M344" i="8" s="1"/>
  <c r="AU265" i="8"/>
  <c r="K265" i="8" s="1"/>
  <c r="N229" i="8"/>
  <c r="AW274" i="8"/>
  <c r="M274" i="8" s="1"/>
  <c r="AY252" i="8"/>
  <c r="O252" i="8" s="1"/>
  <c r="AW106" i="8"/>
  <c r="M106" i="8" s="1"/>
  <c r="BA157" i="8"/>
  <c r="Q157" i="8" s="1"/>
  <c r="AY135" i="8"/>
  <c r="O135" i="8" s="1"/>
  <c r="AU49" i="8"/>
  <c r="K49" i="8" s="1"/>
  <c r="AY57" i="8"/>
  <c r="O57" i="8" s="1"/>
  <c r="AW394" i="8"/>
  <c r="M394" i="8" s="1"/>
  <c r="BA51" i="8"/>
  <c r="Q51" i="8" s="1"/>
  <c r="AY258" i="8"/>
  <c r="O258" i="8" s="1"/>
  <c r="AP7" i="8"/>
  <c r="F7" i="8" s="1"/>
  <c r="N162" i="8"/>
  <c r="AU210" i="8"/>
  <c r="K210" i="8" s="1"/>
  <c r="AP236" i="8"/>
  <c r="F236" i="8" s="1"/>
  <c r="Q245" i="8"/>
  <c r="N370" i="8"/>
  <c r="AS206" i="8"/>
  <c r="I206" i="8" s="1"/>
  <c r="N124" i="8"/>
  <c r="AU171" i="8"/>
  <c r="K171" i="8" s="1"/>
  <c r="AY101" i="8"/>
  <c r="O101" i="8" s="1"/>
  <c r="AU228" i="8"/>
  <c r="K228" i="8" s="1"/>
  <c r="BA86" i="8"/>
  <c r="Q86" i="8" s="1"/>
  <c r="BA151" i="8"/>
  <c r="Q151" i="8" s="1"/>
  <c r="F150" i="8"/>
  <c r="AU242" i="8"/>
  <c r="K242" i="8" s="1"/>
  <c r="AY131" i="8"/>
  <c r="O131" i="8" s="1"/>
  <c r="B131" i="8" s="1"/>
  <c r="AS180" i="8"/>
  <c r="I180" i="8" s="1"/>
  <c r="BA317" i="8"/>
  <c r="Q317" i="8" s="1"/>
  <c r="AY297" i="8"/>
  <c r="O297" i="8" s="1"/>
  <c r="AP138" i="8"/>
  <c r="F138" i="8" s="1"/>
  <c r="L288" i="8"/>
  <c r="F262" i="8"/>
  <c r="AQ117" i="8"/>
  <c r="G117" i="8" s="1"/>
  <c r="L83" i="8"/>
  <c r="AW7" i="8"/>
  <c r="M7" i="8" s="1"/>
  <c r="AY253" i="8"/>
  <c r="O253" i="8" s="1"/>
  <c r="L254" i="8"/>
  <c r="AY59" i="8"/>
  <c r="O59" i="8" s="1"/>
  <c r="AY83" i="8"/>
  <c r="O83" i="8" s="1"/>
  <c r="AZ379" i="8"/>
  <c r="P379" i="8" s="1"/>
  <c r="AX379" i="8"/>
  <c r="N379" i="8" s="1"/>
  <c r="AY295" i="8"/>
  <c r="O295" i="8" s="1"/>
  <c r="AW363" i="8"/>
  <c r="M363" i="8" s="1"/>
  <c r="BA252" i="8"/>
  <c r="Q252" i="8" s="1"/>
  <c r="AQ45" i="8"/>
  <c r="G45" i="8" s="1"/>
  <c r="AW49" i="8"/>
  <c r="M49" i="8" s="1"/>
  <c r="AY212" i="8"/>
  <c r="O212" i="8" s="1"/>
  <c r="AW77" i="8"/>
  <c r="M77" i="8" s="1"/>
  <c r="AY147" i="8"/>
  <c r="O147" i="8" s="1"/>
  <c r="L33" i="8"/>
  <c r="B88" i="8"/>
  <c r="AW261" i="8"/>
  <c r="M261" i="8" s="1"/>
  <c r="AW74" i="8"/>
  <c r="M74" i="8" s="1"/>
  <c r="AU241" i="8"/>
  <c r="K241" i="8" s="1"/>
  <c r="AY274" i="8"/>
  <c r="O274" i="8" s="1"/>
  <c r="AY213" i="8"/>
  <c r="O213" i="8" s="1"/>
  <c r="AY116" i="8"/>
  <c r="O116" i="8" s="1"/>
  <c r="AY228" i="8"/>
  <c r="O228" i="8" s="1"/>
  <c r="AU248" i="8"/>
  <c r="K248" i="8" s="1"/>
  <c r="AU135" i="8"/>
  <c r="K135" i="8" s="1"/>
  <c r="AW167" i="8"/>
  <c r="M167" i="8" s="1"/>
  <c r="BA169" i="8"/>
  <c r="Q169" i="8" s="1"/>
  <c r="AY100" i="8"/>
  <c r="O100" i="8" s="1"/>
  <c r="AU243" i="8"/>
  <c r="K243" i="8" s="1"/>
  <c r="BA405" i="8"/>
  <c r="Q405" i="8" s="1"/>
  <c r="B405" i="8" s="1"/>
  <c r="K316" i="8"/>
  <c r="AY223" i="8"/>
  <c r="O223" i="8" s="1"/>
  <c r="AW357" i="8"/>
  <c r="M357" i="8" s="1"/>
  <c r="AY284" i="8"/>
  <c r="O284" i="8" s="1"/>
  <c r="AX317" i="8"/>
  <c r="N317" i="8" s="1"/>
  <c r="K114" i="8"/>
  <c r="AY44" i="8"/>
  <c r="O44" i="8" s="1"/>
  <c r="AW125" i="8"/>
  <c r="M125" i="8" s="1"/>
  <c r="AU200" i="8"/>
  <c r="K200" i="8" s="1"/>
  <c r="AG158" i="8"/>
  <c r="AS133" i="5"/>
  <c r="AY10" i="8"/>
  <c r="O10" i="8" s="1"/>
  <c r="AY68" i="8"/>
  <c r="O68" i="8" s="1"/>
  <c r="K323" i="8"/>
  <c r="O365" i="8"/>
  <c r="Q354" i="8"/>
  <c r="BA277" i="8"/>
  <c r="Q277" i="8" s="1"/>
  <c r="AV237" i="8"/>
  <c r="L237" i="8" s="1"/>
  <c r="AW223" i="8"/>
  <c r="M223" i="8" s="1"/>
  <c r="AV366" i="8"/>
  <c r="L366" i="8" s="1"/>
  <c r="AU260" i="8"/>
  <c r="K260" i="8" s="1"/>
  <c r="AU39" i="8"/>
  <c r="K39" i="8" s="1"/>
  <c r="AU174" i="8"/>
  <c r="K174" i="8" s="1"/>
  <c r="BA280" i="8"/>
  <c r="Q280" i="8" s="1"/>
  <c r="AY56" i="8"/>
  <c r="O56" i="8" s="1"/>
  <c r="AY240" i="8"/>
  <c r="O240" i="8" s="1"/>
  <c r="O367" i="8"/>
  <c r="AX45" i="8"/>
  <c r="N45" i="8" s="1"/>
  <c r="AW185" i="8"/>
  <c r="M185" i="8" s="1"/>
  <c r="F102" i="8"/>
  <c r="AX136" i="8"/>
  <c r="N136" i="8" s="1"/>
  <c r="AY25" i="8"/>
  <c r="O25" i="8" s="1"/>
  <c r="AY26" i="8"/>
  <c r="O26" i="8" s="1"/>
  <c r="L58" i="8"/>
  <c r="AW370" i="8"/>
  <c r="M370" i="8" s="1"/>
  <c r="AS314" i="8"/>
  <c r="I314" i="8" s="1"/>
  <c r="AY300" i="8"/>
  <c r="O300" i="8" s="1"/>
  <c r="AY49" i="8"/>
  <c r="O49" i="8" s="1"/>
  <c r="AP243" i="8"/>
  <c r="AW190" i="8"/>
  <c r="M190" i="8" s="1"/>
  <c r="AW60" i="8"/>
  <c r="M60" i="8" s="1"/>
  <c r="BA256" i="8"/>
  <c r="Q256" i="8" s="1"/>
  <c r="AY165" i="8"/>
  <c r="O165" i="8" s="1"/>
  <c r="AQ207" i="8"/>
  <c r="G207" i="8" s="1"/>
  <c r="AW70" i="8"/>
  <c r="M70" i="8" s="1"/>
  <c r="P198" i="8"/>
  <c r="AV351" i="8"/>
  <c r="L351" i="8" s="1"/>
  <c r="AU156" i="8"/>
  <c r="K156" i="8" s="1"/>
  <c r="P362" i="8"/>
  <c r="AU121" i="8"/>
  <c r="K121" i="8" s="1"/>
  <c r="BA133" i="8"/>
  <c r="Q133" i="8" s="1"/>
  <c r="AV260" i="8"/>
  <c r="L260" i="8" s="1"/>
  <c r="AY167" i="8"/>
  <c r="O167" i="8" s="1"/>
  <c r="K357" i="8"/>
  <c r="AV150" i="8"/>
  <c r="L150" i="8" s="1"/>
  <c r="AW117" i="8"/>
  <c r="M117" i="8" s="1"/>
  <c r="AY113" i="8"/>
  <c r="O113" i="8" s="1"/>
  <c r="K32" i="8"/>
  <c r="BA196" i="8"/>
  <c r="Q196" i="8" s="1"/>
  <c r="N99" i="8"/>
  <c r="BE96" i="2"/>
  <c r="AY76" i="8"/>
  <c r="O76" i="8" s="1"/>
  <c r="AU207" i="8"/>
  <c r="K207" i="8" s="1"/>
  <c r="P17" i="8"/>
  <c r="BA144" i="8"/>
  <c r="Q144" i="8" s="1"/>
  <c r="N103" i="8"/>
  <c r="M176" i="8"/>
  <c r="AY210" i="8"/>
  <c r="O210" i="8" s="1"/>
  <c r="B210" i="8" s="1"/>
  <c r="AY288" i="8"/>
  <c r="O288" i="8" s="1"/>
  <c r="AP143" i="8"/>
  <c r="F143" i="8" s="1"/>
  <c r="AW273" i="8"/>
  <c r="M273" i="8" s="1"/>
  <c r="AW282" i="8"/>
  <c r="M282" i="8" s="1"/>
  <c r="AU157" i="8"/>
  <c r="K157" i="8" s="1"/>
  <c r="AP69" i="8"/>
  <c r="F69" i="8" s="1"/>
  <c r="AW152" i="8"/>
  <c r="M152" i="8" s="1"/>
  <c r="L163" i="8"/>
  <c r="BA111" i="8"/>
  <c r="Q111" i="8" s="1"/>
  <c r="BA344" i="8"/>
  <c r="Q344" i="8" s="1"/>
  <c r="N192" i="8"/>
  <c r="AY60" i="8"/>
  <c r="O60" i="8" s="1"/>
  <c r="F249" i="8"/>
  <c r="Q305" i="8"/>
  <c r="BA103" i="8"/>
  <c r="Q103" i="8" s="1"/>
  <c r="AY39" i="8"/>
  <c r="O39" i="8" s="1"/>
  <c r="AX195" i="8"/>
  <c r="N195" i="8" s="1"/>
  <c r="BA90" i="8"/>
  <c r="Q90" i="8" s="1"/>
  <c r="AU168" i="8"/>
  <c r="K168" i="8" s="1"/>
  <c r="AW146" i="8"/>
  <c r="M146" i="8" s="1"/>
  <c r="AP121" i="8"/>
  <c r="F121" i="8" s="1"/>
  <c r="Q370" i="8"/>
  <c r="N358" i="8"/>
  <c r="F78" i="8"/>
  <c r="BA343" i="8"/>
  <c r="Q343" i="8" s="1"/>
  <c r="AY250" i="8"/>
  <c r="O250" i="8" s="1"/>
  <c r="AT364" i="8"/>
  <c r="J364" i="8" s="1"/>
  <c r="BA149" i="8"/>
  <c r="Q149" i="8" s="1"/>
  <c r="AW172" i="8"/>
  <c r="M172" i="8" s="1"/>
  <c r="N55" i="8"/>
  <c r="BA228" i="8"/>
  <c r="Q228" i="8" s="1"/>
  <c r="BA348" i="8"/>
  <c r="Q348" i="8" s="1"/>
  <c r="BA87" i="8"/>
  <c r="Q87" i="8" s="1"/>
  <c r="P356" i="8"/>
  <c r="N79" i="8"/>
  <c r="AW258" i="8"/>
  <c r="M258" i="8" s="1"/>
  <c r="AV332" i="8"/>
  <c r="L332" i="8" s="1"/>
  <c r="N366" i="8"/>
  <c r="AY48" i="8"/>
  <c r="O48" i="8" s="1"/>
  <c r="BA374" i="8"/>
  <c r="Q374" i="8" s="1"/>
  <c r="BA15" i="8"/>
  <c r="Q15" i="8" s="1"/>
  <c r="AU247" i="8"/>
  <c r="K247" i="8" s="1"/>
  <c r="M403" i="8"/>
  <c r="AW345" i="8"/>
  <c r="M345" i="8" s="1"/>
  <c r="N132" i="8"/>
  <c r="AW294" i="8"/>
  <c r="M294" i="8" s="1"/>
  <c r="BA328" i="8"/>
  <c r="Q328" i="8" s="1"/>
  <c r="M3" i="8"/>
  <c r="AW134" i="8"/>
  <c r="M134" i="8" s="1"/>
  <c r="AS323" i="8"/>
  <c r="I323" i="8" s="1"/>
  <c r="AW93" i="8"/>
  <c r="M93" i="8" s="1"/>
  <c r="AY368" i="8"/>
  <c r="O368" i="8" s="1"/>
  <c r="AW232" i="8"/>
  <c r="M232" i="8" s="1"/>
  <c r="Q250" i="8"/>
  <c r="AY164" i="8"/>
  <c r="O164" i="8" s="1"/>
  <c r="L244" i="8"/>
  <c r="AU191" i="8"/>
  <c r="K191" i="8" s="1"/>
  <c r="B304" i="8"/>
  <c r="AY303" i="8"/>
  <c r="O303" i="8" s="1"/>
  <c r="N15" i="8"/>
  <c r="BA394" i="8"/>
  <c r="Q394" i="8" s="1"/>
  <c r="B394" i="8" s="1"/>
  <c r="N267" i="8"/>
  <c r="AY139" i="8"/>
  <c r="O139" i="8" s="1"/>
  <c r="BA336" i="8"/>
  <c r="Q336" i="8" s="1"/>
  <c r="AW233" i="8"/>
  <c r="M233" i="8" s="1"/>
  <c r="AZ360" i="8"/>
  <c r="P360" i="8" s="1"/>
  <c r="AW330" i="8"/>
  <c r="M330" i="8" s="1"/>
  <c r="L289" i="8"/>
  <c r="AW318" i="8"/>
  <c r="M318" i="8" s="1"/>
  <c r="AW218" i="8"/>
  <c r="M218" i="8" s="1"/>
  <c r="AY82" i="8"/>
  <c r="O82" i="8" s="1"/>
  <c r="AY189" i="8"/>
  <c r="O189" i="8" s="1"/>
  <c r="AW276" i="8"/>
  <c r="M276" i="8" s="1"/>
  <c r="BA37" i="8"/>
  <c r="Q37" i="8" s="1"/>
  <c r="B37" i="8" s="1"/>
  <c r="AW216" i="8"/>
  <c r="M216" i="8" s="1"/>
  <c r="AY254" i="8"/>
  <c r="O254" i="8" s="1"/>
  <c r="AY20" i="8"/>
  <c r="O20" i="8" s="1"/>
  <c r="AA158" i="8"/>
  <c r="AX133" i="5"/>
  <c r="AW311" i="8"/>
  <c r="M311" i="8" s="1"/>
  <c r="AU377" i="8"/>
  <c r="K377" i="8" s="1"/>
  <c r="AP132" i="8"/>
  <c r="F132" i="8" s="1"/>
  <c r="AX46" i="8"/>
  <c r="N46" i="8" s="1"/>
  <c r="X90" i="8"/>
  <c r="AU61" i="5"/>
  <c r="AW280" i="8"/>
  <c r="M280" i="8" s="1"/>
  <c r="N33" i="8"/>
  <c r="L355" i="8"/>
  <c r="AU336" i="8"/>
  <c r="K336" i="8" s="1"/>
  <c r="AY35" i="8"/>
  <c r="O35" i="8" s="1"/>
  <c r="AY109" i="8"/>
  <c r="O109" i="8" s="1"/>
  <c r="AP188" i="8"/>
  <c r="F188" i="8" s="1"/>
  <c r="AX315" i="8"/>
  <c r="N315" i="8" s="1"/>
  <c r="N24" i="8"/>
  <c r="AU299" i="8"/>
  <c r="K299" i="8" s="1"/>
  <c r="AU72" i="8"/>
  <c r="K72" i="8" s="1"/>
  <c r="Q307" i="8"/>
  <c r="K363" i="8"/>
  <c r="AQ48" i="8"/>
  <c r="G48" i="8" s="1"/>
  <c r="AU262" i="8"/>
  <c r="K262" i="8" s="1"/>
  <c r="BA378" i="8"/>
  <c r="Q378" i="8" s="1"/>
  <c r="AU141" i="8"/>
  <c r="K141" i="8" s="1"/>
  <c r="AW325" i="8"/>
  <c r="M325" i="8" s="1"/>
  <c r="N57" i="8"/>
  <c r="AW212" i="8"/>
  <c r="M212" i="8" s="1"/>
  <c r="AY150" i="8"/>
  <c r="O150" i="8" s="1"/>
  <c r="AP270" i="8"/>
  <c r="F270" i="8" s="1"/>
  <c r="N297" i="8"/>
  <c r="AU163" i="8"/>
  <c r="K163" i="8" s="1"/>
  <c r="AP300" i="8"/>
  <c r="F300" i="8" s="1"/>
  <c r="N234" i="8"/>
  <c r="AY124" i="8"/>
  <c r="O124" i="8" s="1"/>
  <c r="L270" i="8"/>
  <c r="N21" i="8"/>
  <c r="AX188" i="8"/>
  <c r="N188" i="8" s="1"/>
  <c r="AY217" i="8"/>
  <c r="O217" i="8" s="1"/>
  <c r="AQ102" i="8"/>
  <c r="G102" i="8" s="1"/>
  <c r="AU151" i="8"/>
  <c r="K151" i="8" s="1"/>
  <c r="AW333" i="8"/>
  <c r="M333" i="8" s="1"/>
  <c r="AW250" i="8"/>
  <c r="M250" i="8" s="1"/>
  <c r="N18" i="8"/>
  <c r="L363" i="8"/>
  <c r="AP94" i="8"/>
  <c r="F94" i="8" s="1"/>
  <c r="F16" i="8"/>
  <c r="AU44" i="8"/>
  <c r="K44" i="8" s="1"/>
  <c r="Q290" i="8"/>
  <c r="AU42" i="8"/>
  <c r="K42" i="8" s="1"/>
  <c r="AW44" i="8"/>
  <c r="M44" i="8" s="1"/>
  <c r="AV343" i="8"/>
  <c r="L343" i="8" s="1"/>
  <c r="N63" i="8"/>
  <c r="AY153" i="8"/>
  <c r="O153" i="8" s="1"/>
  <c r="AX205" i="8"/>
  <c r="N205" i="8" s="1"/>
  <c r="Q143" i="8"/>
  <c r="AY260" i="8"/>
  <c r="O260" i="8" s="1"/>
  <c r="AW225" i="8"/>
  <c r="M225" i="8" s="1"/>
  <c r="AS368" i="8"/>
  <c r="I368" i="8" s="1"/>
  <c r="J354" i="8"/>
  <c r="AZ19" i="8"/>
  <c r="P19" i="8" s="1"/>
  <c r="G273" i="8"/>
  <c r="AY176" i="8"/>
  <c r="O176" i="8" s="1"/>
  <c r="AP229" i="8"/>
  <c r="F229" i="8" s="1"/>
  <c r="K286" i="8"/>
  <c r="AZ35" i="8"/>
  <c r="P35" i="8" s="1"/>
  <c r="F23" i="8"/>
  <c r="Q223" i="8"/>
  <c r="AU263" i="8"/>
  <c r="K263" i="8" s="1"/>
  <c r="BA56" i="8"/>
  <c r="AS330" i="8"/>
  <c r="I330" i="8" s="1"/>
  <c r="AP74" i="8"/>
  <c r="F74" i="8" s="1"/>
  <c r="AP6" i="8"/>
  <c r="F6" i="8" s="1"/>
  <c r="AX319" i="8"/>
  <c r="N319" i="8" s="1"/>
  <c r="BB96" i="2"/>
  <c r="AU145" i="8"/>
  <c r="K145" i="8" s="1"/>
  <c r="P21" i="8"/>
  <c r="AS9" i="8"/>
  <c r="I9" i="8" s="1"/>
  <c r="L151" i="8"/>
  <c r="BA108" i="8"/>
  <c r="Q108" i="8" s="1"/>
  <c r="K359" i="8"/>
  <c r="AW313" i="8"/>
  <c r="M313" i="8" s="1"/>
  <c r="AW10" i="8"/>
  <c r="M10" i="8" s="1"/>
  <c r="K321" i="8"/>
  <c r="AY226" i="8"/>
  <c r="O226" i="8" s="1"/>
  <c r="F58" i="8"/>
  <c r="BA127" i="8"/>
  <c r="Q127" i="8" s="1"/>
  <c r="BA345" i="8"/>
  <c r="Q345" i="8" s="1"/>
  <c r="K57" i="8"/>
  <c r="AU209" i="8"/>
  <c r="K209" i="8" s="1"/>
  <c r="AY104" i="8"/>
  <c r="O104" i="8" s="1"/>
  <c r="AU33" i="8"/>
  <c r="K33" i="8" s="1"/>
  <c r="N151" i="8"/>
  <c r="L215" i="8"/>
  <c r="P289" i="8"/>
  <c r="BA162" i="8"/>
  <c r="Q162" i="8" s="1"/>
  <c r="AW343" i="8"/>
  <c r="M343" i="8" s="1"/>
  <c r="F180" i="8"/>
  <c r="AX204" i="8"/>
  <c r="N204" i="8" s="1"/>
  <c r="AW136" i="8"/>
  <c r="M136" i="8" s="1"/>
  <c r="F183" i="8"/>
  <c r="AU335" i="8"/>
  <c r="K335" i="8" s="1"/>
  <c r="BA113" i="8"/>
  <c r="Q113" i="8" s="1"/>
  <c r="F11" i="8"/>
  <c r="AU271" i="8"/>
  <c r="K271" i="8" s="1"/>
  <c r="BA269" i="8"/>
  <c r="Q269" i="8" s="1"/>
  <c r="K322" i="8"/>
  <c r="AU148" i="8"/>
  <c r="K148" i="8" s="1"/>
  <c r="AY111" i="8"/>
  <c r="O111" i="8" s="1"/>
  <c r="AU161" i="8"/>
  <c r="K161" i="8" s="1"/>
  <c r="AY281" i="8"/>
  <c r="O281" i="8" s="1"/>
  <c r="AW122" i="8"/>
  <c r="M122" i="8" s="1"/>
  <c r="AD158" i="8"/>
  <c r="AP158" i="8" s="1"/>
  <c r="F158" i="8" s="1"/>
  <c r="AP133" i="5"/>
  <c r="P2" i="8"/>
  <c r="AP265" i="8"/>
  <c r="F265" i="8" s="1"/>
  <c r="L330" i="8"/>
  <c r="AW229" i="8"/>
  <c r="M229" i="8" s="1"/>
  <c r="BA346" i="8"/>
  <c r="Q346" i="8" s="1"/>
  <c r="AV356" i="8"/>
  <c r="L356" i="8" s="1"/>
  <c r="AU302" i="8"/>
  <c r="K302" i="8" s="1"/>
  <c r="K231" i="8"/>
  <c r="AU294" i="8"/>
  <c r="K294" i="8" s="1"/>
  <c r="AY160" i="8"/>
  <c r="O160" i="8" s="1"/>
  <c r="AW46" i="8"/>
  <c r="M46" i="8" s="1"/>
  <c r="AY271" i="8"/>
  <c r="O271" i="8" s="1"/>
  <c r="BA254" i="8"/>
  <c r="Q254" i="8" s="1"/>
  <c r="AW262" i="8"/>
  <c r="M262" i="8" s="1"/>
  <c r="AW211" i="8"/>
  <c r="M211" i="8" s="1"/>
  <c r="AY146" i="8"/>
  <c r="O146" i="8" s="1"/>
  <c r="AW356" i="8"/>
  <c r="M356" i="8" s="1"/>
  <c r="AP218" i="8"/>
  <c r="F218" i="8" s="1"/>
  <c r="AY138" i="8"/>
  <c r="O138" i="8" s="1"/>
  <c r="AY238" i="8"/>
  <c r="O238" i="8" s="1"/>
  <c r="B238" i="8" s="1"/>
  <c r="N19" i="8"/>
  <c r="AU195" i="8"/>
  <c r="K195" i="8" s="1"/>
  <c r="P373" i="8"/>
  <c r="AV300" i="8"/>
  <c r="L300" i="8" s="1"/>
  <c r="N66" i="8"/>
  <c r="O359" i="8"/>
  <c r="AW165" i="8"/>
  <c r="M165" i="8" s="1"/>
  <c r="AP146" i="8"/>
  <c r="F146" i="8" s="1"/>
  <c r="J371" i="8"/>
  <c r="AV148" i="8"/>
  <c r="L148" i="8" s="1"/>
  <c r="I34" i="8"/>
  <c r="AY53" i="8"/>
  <c r="O53" i="8" s="1"/>
  <c r="BA301" i="8"/>
  <c r="Q301" i="8" s="1"/>
  <c r="AU95" i="8"/>
  <c r="K95" i="8" s="1"/>
  <c r="AW121" i="8"/>
  <c r="M121" i="8" s="1"/>
  <c r="AW340" i="8"/>
  <c r="M340" i="8" s="1"/>
  <c r="BA338" i="8"/>
  <c r="Q338" i="8" s="1"/>
  <c r="B338" i="8" s="1"/>
  <c r="AW358" i="8"/>
  <c r="M358" i="8" s="1"/>
  <c r="AY51" i="8"/>
  <c r="O51" i="8" s="1"/>
  <c r="AU139" i="8"/>
  <c r="K139" i="8" s="1"/>
  <c r="AW72" i="8"/>
  <c r="M72" i="8" s="1"/>
  <c r="AY152" i="8"/>
  <c r="O152" i="8" s="1"/>
  <c r="AW30" i="8"/>
  <c r="M30" i="8" s="1"/>
  <c r="BA401" i="8"/>
  <c r="Q401" i="8" s="1"/>
  <c r="B401" i="8" s="1"/>
  <c r="L322" i="8"/>
  <c r="AY192" i="8"/>
  <c r="O192" i="8" s="1"/>
  <c r="AW161" i="8"/>
  <c r="M161" i="8" s="1"/>
  <c r="AS372" i="8"/>
  <c r="I372" i="8" s="1"/>
  <c r="BA114" i="8"/>
  <c r="Q114" i="8" s="1"/>
  <c r="AY129" i="8"/>
  <c r="O129" i="8" s="1"/>
  <c r="N231" i="8"/>
  <c r="P297" i="8"/>
  <c r="AY183" i="8"/>
  <c r="O183" i="8" s="1"/>
  <c r="N182" i="8"/>
  <c r="AU143" i="8"/>
  <c r="K143" i="8" s="1"/>
  <c r="AW150" i="8"/>
  <c r="M150" i="8" s="1"/>
  <c r="Z196" i="8"/>
  <c r="AW174" i="5"/>
  <c r="BA337" i="8"/>
  <c r="Q337" i="8" s="1"/>
  <c r="AV329" i="8"/>
  <c r="L329" i="8" s="1"/>
  <c r="N104" i="8"/>
  <c r="AU2" i="8"/>
  <c r="K2" i="8" s="1"/>
  <c r="BA186" i="8"/>
  <c r="Q186" i="8" s="1"/>
  <c r="K378" i="8"/>
  <c r="AW142" i="8"/>
  <c r="M142" i="8" s="1"/>
  <c r="AX5" i="8"/>
  <c r="N5" i="8" s="1"/>
  <c r="AU153" i="8"/>
  <c r="K153" i="8" s="1"/>
  <c r="AV358" i="8"/>
  <c r="L358" i="8" s="1"/>
  <c r="BI96" i="2"/>
  <c r="L178" i="8"/>
  <c r="BA71" i="8"/>
  <c r="Q71" i="8" s="1"/>
  <c r="AV235" i="8"/>
  <c r="L235" i="8" s="1"/>
  <c r="Q40" i="8"/>
  <c r="BA200" i="8"/>
  <c r="Q200" i="8" s="1"/>
  <c r="AU219" i="8"/>
  <c r="K219" i="8" s="1"/>
  <c r="AU61" i="8"/>
  <c r="K61" i="8" s="1"/>
  <c r="N101" i="8"/>
  <c r="L179" i="8"/>
  <c r="L193" i="8"/>
  <c r="BA322" i="8"/>
  <c r="Q322" i="8" s="1"/>
  <c r="AY211" i="8"/>
  <c r="O211" i="8" s="1"/>
  <c r="AX191" i="8"/>
  <c r="N191" i="8" s="1"/>
  <c r="K101" i="8"/>
  <c r="AW257" i="8"/>
  <c r="M257" i="8" s="1"/>
  <c r="AU129" i="8"/>
  <c r="K129" i="8" s="1"/>
  <c r="AS35" i="8"/>
  <c r="I35" i="8" s="1"/>
  <c r="BA263" i="8"/>
  <c r="Q263" i="8" s="1"/>
  <c r="B263" i="8" s="1"/>
  <c r="AQ217" i="8"/>
  <c r="G217" i="8" s="1"/>
  <c r="AY267" i="8"/>
  <c r="O267" i="8" s="1"/>
  <c r="L353" i="8"/>
  <c r="AX123" i="8"/>
  <c r="N123" i="8" s="1"/>
  <c r="K349" i="8"/>
  <c r="AX43" i="8"/>
  <c r="N43" i="8" s="1"/>
  <c r="AV8" i="8"/>
  <c r="L8" i="8" s="1"/>
  <c r="I360" i="8"/>
  <c r="J355" i="8"/>
  <c r="AU7" i="8"/>
  <c r="K7" i="8" s="1"/>
  <c r="AU300" i="8"/>
  <c r="K300" i="8" s="1"/>
  <c r="AY174" i="8"/>
  <c r="O174" i="8" s="1"/>
  <c r="K283" i="8"/>
  <c r="BA57" i="8"/>
  <c r="Q57" i="8" s="1"/>
  <c r="BA365" i="8"/>
  <c r="Q365" i="8" s="1"/>
  <c r="AU214" i="8"/>
  <c r="K214" i="8" s="1"/>
  <c r="AW118" i="8"/>
  <c r="M118" i="8" s="1"/>
  <c r="AY73" i="8"/>
  <c r="O73" i="8" s="1"/>
  <c r="Q140" i="8"/>
  <c r="AP282" i="8"/>
  <c r="F282" i="8" s="1"/>
  <c r="N171" i="8"/>
  <c r="F125" i="8"/>
  <c r="AV221" i="8"/>
  <c r="L221" i="8" s="1"/>
  <c r="AW215" i="8"/>
  <c r="M215" i="8" s="1"/>
  <c r="V21" i="8"/>
  <c r="AS205" i="5"/>
  <c r="AK34" i="2"/>
  <c r="BA100" i="8"/>
  <c r="Q100" i="8" s="1"/>
  <c r="AP151" i="8"/>
  <c r="F151" i="8" s="1"/>
  <c r="AW91" i="8"/>
  <c r="M91" i="8" s="1"/>
  <c r="AW40" i="8"/>
  <c r="M40" i="8" s="1"/>
  <c r="AU123" i="8"/>
  <c r="K123" i="8" s="1"/>
  <c r="AW308" i="8"/>
  <c r="M308" i="8" s="1"/>
  <c r="BA248" i="8"/>
  <c r="Q248" i="8" s="1"/>
  <c r="AW61" i="8"/>
  <c r="M61" i="8" s="1"/>
  <c r="L123" i="8"/>
  <c r="AW391" i="8"/>
  <c r="M391" i="8" s="1"/>
  <c r="AU146" i="8"/>
  <c r="K146" i="8" s="1"/>
  <c r="AY169" i="8"/>
  <c r="O169" i="8" s="1"/>
  <c r="L128" i="8"/>
  <c r="AP71" i="8"/>
  <c r="F71" i="8" s="1"/>
  <c r="Q262" i="8"/>
  <c r="K216" i="8"/>
  <c r="P358" i="8"/>
  <c r="AW328" i="8"/>
  <c r="M328" i="8" s="1"/>
  <c r="BA271" i="8"/>
  <c r="Q271" i="8" s="1"/>
  <c r="AX223" i="8"/>
  <c r="N223" i="8" s="1"/>
  <c r="AU133" i="8"/>
  <c r="K133" i="8" s="1"/>
  <c r="AY302" i="8"/>
  <c r="O302" i="8" s="1"/>
  <c r="AU264" i="8"/>
  <c r="K264" i="8" s="1"/>
  <c r="AV324" i="8"/>
  <c r="L324" i="8" s="1"/>
  <c r="AN205" i="5"/>
  <c r="AW137" i="8"/>
  <c r="M137" i="8" s="1"/>
  <c r="L340" i="8"/>
  <c r="AS27" i="8"/>
  <c r="I27" i="8" s="1"/>
  <c r="N245" i="8"/>
  <c r="F281" i="8"/>
  <c r="AW355" i="8"/>
  <c r="M355" i="8" s="1"/>
  <c r="BA137" i="8"/>
  <c r="Q137" i="8" s="1"/>
  <c r="AY276" i="8"/>
  <c r="O276" i="8" s="1"/>
  <c r="AW198" i="8"/>
  <c r="M198" i="8" s="1"/>
  <c r="AU69" i="8"/>
  <c r="K69" i="8" s="1"/>
  <c r="N67" i="8"/>
  <c r="AP145" i="8"/>
  <c r="F145" i="8" s="1"/>
  <c r="F103" i="8"/>
  <c r="AU190" i="8"/>
  <c r="K190" i="8" s="1"/>
  <c r="AY219" i="8"/>
  <c r="O219" i="8" s="1"/>
  <c r="N251" i="8"/>
  <c r="AP303" i="8"/>
  <c r="F303" i="8" s="1"/>
  <c r="AU311" i="8"/>
  <c r="K311" i="8" s="1"/>
  <c r="BA233" i="8"/>
  <c r="Q233" i="8" s="1"/>
  <c r="P371" i="8"/>
  <c r="N230" i="8"/>
  <c r="O33" i="8"/>
  <c r="BA164" i="8"/>
  <c r="Q164" i="8" s="1"/>
  <c r="AS328" i="8"/>
  <c r="I328" i="8" s="1"/>
  <c r="AQ280" i="8"/>
  <c r="G280" i="8" s="1"/>
  <c r="AU352" i="8"/>
  <c r="K352" i="8" s="1"/>
  <c r="AW371" i="8"/>
  <c r="M371" i="8" s="1"/>
  <c r="AX233" i="8"/>
  <c r="N233" i="8" s="1"/>
  <c r="AW200" i="8"/>
  <c r="M200" i="8" s="1"/>
  <c r="AY248" i="8"/>
  <c r="O248" i="8" s="1"/>
  <c r="AW332" i="8"/>
  <c r="M332" i="8" s="1"/>
  <c r="BA327" i="8"/>
  <c r="Q327" i="8" s="1"/>
  <c r="I371" i="8"/>
  <c r="AY243" i="8"/>
  <c r="O243" i="8" s="1"/>
  <c r="J369" i="8"/>
  <c r="AU280" i="8"/>
  <c r="K280" i="8" s="1"/>
  <c r="K368" i="8"/>
  <c r="AY157" i="8"/>
  <c r="O157" i="8" s="1"/>
  <c r="BA22" i="8"/>
  <c r="Q22" i="8" s="1"/>
  <c r="AU110" i="8"/>
  <c r="K110" i="8" s="1"/>
  <c r="N207" i="8"/>
  <c r="N155" i="8"/>
  <c r="AU201" i="8"/>
  <c r="K201" i="8" s="1"/>
  <c r="AZ271" i="8"/>
  <c r="P271" i="8" s="1"/>
  <c r="BA66" i="8"/>
  <c r="Q66" i="8" s="1"/>
  <c r="AW153" i="8"/>
  <c r="M153" i="8" s="1"/>
  <c r="AU212" i="8"/>
  <c r="K212" i="8" s="1"/>
  <c r="L352" i="8"/>
  <c r="AU167" i="8"/>
  <c r="K167" i="8" s="1"/>
  <c r="AY21" i="8"/>
  <c r="O21" i="8" s="1"/>
  <c r="N68" i="8"/>
  <c r="AW155" i="8"/>
  <c r="M155" i="8" s="1"/>
  <c r="AY27" i="8"/>
  <c r="O27" i="8" s="1"/>
  <c r="P44" i="8"/>
  <c r="AY3" i="8"/>
  <c r="O3" i="8" s="1"/>
  <c r="K330" i="8"/>
  <c r="AY2" i="8"/>
  <c r="O2" i="8" s="1"/>
  <c r="AW79" i="8"/>
  <c r="M79" i="8" s="1"/>
  <c r="L5" i="8"/>
  <c r="AU246" i="8"/>
  <c r="K246" i="8" s="1"/>
  <c r="AQ203" i="8"/>
  <c r="G203" i="8" s="1"/>
  <c r="AW156" i="8"/>
  <c r="M156" i="8" s="1"/>
  <c r="AW259" i="8"/>
  <c r="M259" i="8" s="1"/>
  <c r="AZ352" i="8"/>
  <c r="P352" i="8" s="1"/>
  <c r="AW174" i="8"/>
  <c r="M174" i="8" s="1"/>
  <c r="M15" i="8"/>
  <c r="AY262" i="8"/>
  <c r="O262" i="8" s="1"/>
  <c r="AY185" i="8"/>
  <c r="O185" i="8" s="1"/>
  <c r="BA283" i="8"/>
  <c r="Q283" i="8" s="1"/>
  <c r="BA324" i="8"/>
  <c r="Q324" i="8" s="1"/>
  <c r="AY177" i="8"/>
  <c r="O177" i="8" s="1"/>
  <c r="AW65" i="8"/>
  <c r="M65" i="8" s="1"/>
  <c r="AV41" i="8"/>
  <c r="L41" i="8" s="1"/>
  <c r="AX310" i="8"/>
  <c r="N310" i="8" s="1"/>
  <c r="BA341" i="8"/>
  <c r="Q341" i="8" s="1"/>
  <c r="AW82" i="8"/>
  <c r="M82" i="8" s="1"/>
  <c r="AW94" i="8"/>
  <c r="M94" i="8" s="1"/>
  <c r="AW178" i="8"/>
  <c r="M178" i="8" s="1"/>
  <c r="AU334" i="8"/>
  <c r="K334" i="8" s="1"/>
  <c r="V87" i="8"/>
  <c r="AS58" i="5"/>
  <c r="AK12" i="2"/>
  <c r="AU76" i="8"/>
  <c r="K76" i="8" s="1"/>
  <c r="N117" i="8"/>
  <c r="AW209" i="8"/>
  <c r="M209" i="8" s="1"/>
  <c r="AU187" i="8"/>
  <c r="K187" i="8" s="1"/>
  <c r="AU93" i="8"/>
  <c r="K93" i="8" s="1"/>
  <c r="AW335" i="8"/>
  <c r="M335" i="8" s="1"/>
  <c r="AY97" i="8"/>
  <c r="O97" i="8" s="1"/>
  <c r="AP273" i="8"/>
  <c r="F273" i="8" s="1"/>
  <c r="AV265" i="8"/>
  <c r="L265" i="8" s="1"/>
  <c r="AQ278" i="8"/>
  <c r="G278" i="8" s="1"/>
  <c r="BA358" i="8"/>
  <c r="Q358" i="8" s="1"/>
  <c r="AV337" i="8"/>
  <c r="L337" i="8" s="1"/>
  <c r="I358" i="8"/>
  <c r="AW81" i="8"/>
  <c r="M81" i="8" s="1"/>
  <c r="AV13" i="8"/>
  <c r="L13" i="8" s="1"/>
  <c r="AW168" i="8"/>
  <c r="M168" i="8" s="1"/>
  <c r="AU53" i="8"/>
  <c r="K53" i="8" s="1"/>
  <c r="AR174" i="5"/>
  <c r="AX34" i="8"/>
  <c r="N34" i="8" s="1"/>
  <c r="AU62" i="8"/>
  <c r="K62" i="8" s="1"/>
  <c r="N302" i="8"/>
  <c r="AP264" i="8"/>
  <c r="F264" i="8" s="1"/>
  <c r="BA403" i="8"/>
  <c r="Q403" i="8" s="1"/>
  <c r="B403" i="8" s="1"/>
  <c r="AZ4" i="8"/>
  <c r="P4" i="8" s="1"/>
  <c r="AX276" i="8"/>
  <c r="N276" i="8" s="1"/>
  <c r="AW147" i="8"/>
  <c r="M147" i="8" s="1"/>
  <c r="AP42" i="8"/>
  <c r="F42" i="8" s="1"/>
  <c r="AW337" i="8"/>
  <c r="M337" i="8" s="1"/>
  <c r="AY54" i="8"/>
  <c r="O54" i="8" s="1"/>
  <c r="AW224" i="8"/>
  <c r="M224" i="8" s="1"/>
  <c r="F155" i="8"/>
  <c r="N250" i="8"/>
  <c r="AP47" i="8"/>
  <c r="F47" i="8" s="1"/>
  <c r="AW255" i="8"/>
  <c r="M255" i="8" s="1"/>
  <c r="AS379" i="8"/>
  <c r="I379" i="8" s="1"/>
  <c r="Q69" i="8"/>
  <c r="AY69" i="8"/>
  <c r="O69" i="8" s="1"/>
  <c r="AV293" i="8"/>
  <c r="L293" i="8" s="1"/>
  <c r="N227" i="8"/>
  <c r="AQ49" i="8"/>
  <c r="G49" i="8" s="1"/>
  <c r="Q315" i="8"/>
  <c r="AU244" i="8"/>
  <c r="K244" i="8" s="1"/>
  <c r="F187" i="8"/>
  <c r="AW21" i="8"/>
  <c r="M21" i="8" s="1"/>
  <c r="AW286" i="8"/>
  <c r="M286" i="8" s="1"/>
  <c r="L279" i="8"/>
  <c r="BA94" i="8"/>
  <c r="Q94" i="8" s="1"/>
  <c r="AZ372" i="8"/>
  <c r="P372" i="8" s="1"/>
  <c r="AW326" i="8"/>
  <c r="M326" i="8" s="1"/>
  <c r="AS349" i="8"/>
  <c r="I349" i="8" s="1"/>
  <c r="N164" i="8"/>
  <c r="AQ239" i="8"/>
  <c r="G239" i="8" s="1"/>
  <c r="AQ170" i="8"/>
  <c r="G170" i="8" s="1"/>
  <c r="F217" i="8"/>
  <c r="AW110" i="8"/>
  <c r="M110" i="8" s="1"/>
  <c r="AW45" i="8"/>
  <c r="M45" i="8" s="1"/>
  <c r="Q357" i="8"/>
  <c r="G165" i="8"/>
  <c r="AW334" i="8"/>
  <c r="M334" i="8" s="1"/>
  <c r="AW20" i="8"/>
  <c r="M20" i="8" s="1"/>
  <c r="AX278" i="8"/>
  <c r="N278" i="8" s="1"/>
  <c r="AU182" i="8"/>
  <c r="K182" i="8" s="1"/>
  <c r="AS361" i="8"/>
  <c r="I361" i="8" s="1"/>
  <c r="BA404" i="8"/>
  <c r="Q404" i="8" s="1"/>
  <c r="B404" i="8" s="1"/>
  <c r="F104" i="8"/>
  <c r="AW268" i="8"/>
  <c r="M268" i="8" s="1"/>
  <c r="AY17" i="8"/>
  <c r="O17" i="8" s="1"/>
  <c r="AP175" i="8"/>
  <c r="F175" i="8" s="1"/>
  <c r="N27" i="8"/>
  <c r="AY137" i="8"/>
  <c r="O137" i="8" s="1"/>
  <c r="AX373" i="8"/>
  <c r="N373" i="8" s="1"/>
  <c r="N357" i="8"/>
  <c r="L378" i="8"/>
  <c r="N218" i="8"/>
  <c r="AY261" i="8"/>
  <c r="O261" i="8" s="1"/>
  <c r="AU232" i="8"/>
  <c r="K232" i="8" s="1"/>
  <c r="F279" i="8"/>
  <c r="AX311" i="8"/>
  <c r="N311" i="8" s="1"/>
  <c r="AX134" i="8"/>
  <c r="N134" i="8" s="1"/>
  <c r="BA24" i="8"/>
  <c r="Q24" i="8" s="1"/>
  <c r="BA330" i="8"/>
  <c r="Q330" i="8" s="1"/>
  <c r="AW191" i="8"/>
  <c r="M191" i="8" s="1"/>
  <c r="AV220" i="8"/>
  <c r="L220" i="8" s="1"/>
  <c r="BA313" i="8"/>
  <c r="Q313" i="8" s="1"/>
  <c r="M245" i="8"/>
  <c r="AW227" i="8"/>
  <c r="M227" i="8" s="1"/>
  <c r="L34" i="8"/>
  <c r="AP82" i="8"/>
  <c r="F82" i="8" s="1"/>
  <c r="I364" i="8"/>
  <c r="AY96" i="8"/>
  <c r="O96" i="8" s="1"/>
  <c r="AV224" i="8"/>
  <c r="L224" i="8" s="1"/>
  <c r="AW67" i="8"/>
  <c r="M67" i="8" s="1"/>
  <c r="AS344" i="8"/>
  <c r="I344" i="8" s="1"/>
  <c r="AW251" i="8"/>
  <c r="M251" i="8" s="1"/>
  <c r="AV192" i="8"/>
  <c r="L192" i="8" s="1"/>
  <c r="N115" i="8"/>
  <c r="AW288" i="8"/>
  <c r="M288" i="8" s="1"/>
  <c r="AN61" i="5"/>
  <c r="Q72" i="8"/>
  <c r="K337" i="8"/>
  <c r="L211" i="8"/>
  <c r="AU164" i="8"/>
  <c r="K164" i="8" s="1"/>
  <c r="BA239" i="8"/>
  <c r="Q239" i="8" s="1"/>
  <c r="BA286" i="8"/>
  <c r="Q286" i="8" s="1"/>
  <c r="BA298" i="8"/>
  <c r="Q298" i="8" s="1"/>
  <c r="AU303" i="8"/>
  <c r="K303" i="8" s="1"/>
  <c r="AZ168" i="8"/>
  <c r="P168" i="8" s="1"/>
  <c r="N187" i="8"/>
  <c r="AS32" i="8"/>
  <c r="I32" i="8" s="1"/>
  <c r="N102" i="8"/>
  <c r="AS367" i="8"/>
  <c r="I367" i="8" s="1"/>
  <c r="AZ363" i="8"/>
  <c r="P363" i="8" s="1"/>
  <c r="AS205" i="8"/>
  <c r="I205" i="8" s="1"/>
  <c r="AZ90" i="8"/>
  <c r="P90" i="8" s="1"/>
  <c r="AU142" i="8"/>
  <c r="K142" i="8" s="1"/>
  <c r="AU288" i="8"/>
  <c r="K288" i="8" s="1"/>
  <c r="AU268" i="8"/>
  <c r="K268" i="8" s="1"/>
  <c r="AU237" i="8"/>
  <c r="K237" i="8" s="1"/>
  <c r="L139" i="8"/>
  <c r="L335" i="8"/>
  <c r="AY200" i="8"/>
  <c r="O200" i="8" s="1"/>
  <c r="I237" i="8"/>
  <c r="L50" i="8"/>
  <c r="P298" i="8"/>
  <c r="AU184" i="8"/>
  <c r="K184" i="8" s="1"/>
  <c r="Q182" i="8"/>
  <c r="AQ196" i="8"/>
  <c r="G196" i="8" s="1"/>
  <c r="AW143" i="8"/>
  <c r="M143" i="8" s="1"/>
  <c r="AW302" i="8"/>
  <c r="M302" i="8" s="1"/>
  <c r="AW277" i="8"/>
  <c r="M277" i="8" s="1"/>
  <c r="AW12" i="8"/>
  <c r="M12" i="8" s="1"/>
  <c r="BA359" i="8"/>
  <c r="Q359" i="8" s="1"/>
  <c r="AW192" i="8"/>
  <c r="M192" i="8" s="1"/>
  <c r="AQ179" i="8"/>
  <c r="G179" i="8" s="1"/>
  <c r="AY209" i="8"/>
  <c r="O209" i="8" s="1"/>
  <c r="AY159" i="8"/>
  <c r="O159" i="8" s="1"/>
  <c r="AW338" i="8"/>
  <c r="M338" i="8" s="1"/>
  <c r="N2" i="8"/>
  <c r="BA306" i="8"/>
  <c r="Q306" i="8" s="1"/>
  <c r="K376" i="8"/>
  <c r="BA332" i="8"/>
  <c r="Q332" i="8" s="1"/>
  <c r="AU305" i="8"/>
  <c r="K305" i="8" s="1"/>
  <c r="L195" i="8"/>
  <c r="BA349" i="8"/>
  <c r="Q349" i="8" s="1"/>
  <c r="L261" i="8"/>
  <c r="AW263" i="8"/>
  <c r="M263" i="8" s="1"/>
  <c r="N60" i="8"/>
  <c r="L134" i="8"/>
  <c r="N77" i="8"/>
  <c r="AW99" i="8"/>
  <c r="M99" i="8" s="1"/>
  <c r="AY155" i="8"/>
  <c r="O155" i="8" s="1"/>
  <c r="N39" i="8"/>
  <c r="AU108" i="8"/>
  <c r="K108" i="8" s="1"/>
  <c r="AU234" i="8"/>
  <c r="K234" i="8" s="1"/>
  <c r="P140" i="8"/>
  <c r="AU81" i="8"/>
  <c r="K81" i="8" s="1"/>
  <c r="P228" i="8"/>
  <c r="L336" i="8"/>
  <c r="AW42" i="8"/>
  <c r="M42" i="8" s="1"/>
  <c r="L227" i="8"/>
  <c r="AU258" i="8"/>
  <c r="K258" i="8" s="1"/>
  <c r="N354" i="8"/>
  <c r="L374" i="8"/>
  <c r="AY376" i="8"/>
  <c r="O376" i="8" s="1"/>
  <c r="K317" i="8"/>
  <c r="AY92" i="8"/>
  <c r="O92" i="8" s="1"/>
  <c r="AU206" i="8"/>
  <c r="K206" i="8" s="1"/>
  <c r="AU23" i="8"/>
  <c r="K23" i="8" s="1"/>
  <c r="U158" i="8"/>
  <c r="AR133" i="5"/>
  <c r="BA123" i="8"/>
  <c r="Q123" i="8" s="1"/>
  <c r="AY55" i="8"/>
  <c r="O55" i="8" s="1"/>
  <c r="AU40" i="8"/>
  <c r="K40" i="8" s="1"/>
  <c r="BA339" i="8"/>
  <c r="Q339" i="8" s="1"/>
  <c r="AY78" i="8"/>
  <c r="O78" i="8" s="1"/>
  <c r="AS357" i="8"/>
  <c r="I357" i="8" s="1"/>
  <c r="AW351" i="8"/>
  <c r="M351" i="8" s="1"/>
  <c r="K331" i="8"/>
  <c r="AN133" i="5"/>
  <c r="AB158" i="8"/>
  <c r="AZ158" i="8" s="1"/>
  <c r="AY133" i="5"/>
  <c r="O370" i="8"/>
  <c r="AY290" i="8"/>
  <c r="O290" i="8" s="1"/>
  <c r="K367" i="8"/>
  <c r="AU254" i="5"/>
  <c r="AI26" i="8"/>
  <c r="AU26" i="8" s="1"/>
  <c r="K26" i="8" s="1"/>
  <c r="L234" i="8"/>
  <c r="AV44" i="8"/>
  <c r="L44" i="8" s="1"/>
  <c r="AU251" i="8"/>
  <c r="K251" i="8" s="1"/>
  <c r="K341" i="8"/>
  <c r="AU205" i="8"/>
  <c r="K205" i="8" s="1"/>
  <c r="AX219" i="8"/>
  <c r="N219" i="8" s="1"/>
  <c r="K4" i="8"/>
  <c r="AU284" i="8"/>
  <c r="K284" i="8" s="1"/>
  <c r="AW319" i="8"/>
  <c r="M319" i="8" s="1"/>
  <c r="AW264" i="8"/>
  <c r="M264" i="8" s="1"/>
  <c r="AP256" i="8"/>
  <c r="F256" i="8" s="1"/>
  <c r="AU96" i="8"/>
  <c r="K96" i="8" s="1"/>
  <c r="P369" i="8"/>
  <c r="AP235" i="8"/>
  <c r="F235" i="8" s="1"/>
  <c r="AW149" i="8"/>
  <c r="M149" i="8" s="1"/>
  <c r="L28" i="8"/>
  <c r="AV225" i="8"/>
  <c r="L225" i="8" s="1"/>
  <c r="AW321" i="8"/>
  <c r="M321" i="8" s="1"/>
  <c r="AV166" i="8"/>
  <c r="L166" i="8" s="1"/>
  <c r="AW35" i="8"/>
  <c r="M35" i="8" s="1"/>
  <c r="AY229" i="8"/>
  <c r="O229" i="8" s="1"/>
  <c r="AW372" i="8"/>
  <c r="M372" i="8" s="1"/>
  <c r="L141" i="8"/>
  <c r="M278" i="8"/>
  <c r="AP129" i="8"/>
  <c r="F129" i="8" s="1"/>
  <c r="AY14" i="8"/>
  <c r="O14" i="8" s="1"/>
  <c r="BA265" i="8"/>
  <c r="Q265" i="8" s="1"/>
  <c r="L42" i="8"/>
  <c r="K342" i="8"/>
  <c r="K56" i="8"/>
  <c r="AU199" i="8"/>
  <c r="K199" i="8" s="1"/>
  <c r="W158" i="8"/>
  <c r="AT133" i="5"/>
  <c r="AW352" i="8"/>
  <c r="M352" i="8" s="1"/>
  <c r="AW36" i="8"/>
  <c r="M36" i="8" s="1"/>
  <c r="K313" i="8"/>
  <c r="AQ13" i="8"/>
  <c r="G13" i="8" s="1"/>
  <c r="AY6" i="8"/>
  <c r="O6" i="8" s="1"/>
  <c r="AX352" i="8"/>
  <c r="N352" i="8" s="1"/>
  <c r="AU105" i="8"/>
  <c r="K105" i="8" s="1"/>
  <c r="AX360" i="8"/>
  <c r="N360" i="8" s="1"/>
  <c r="AY218" i="8"/>
  <c r="O218" i="8" s="1"/>
  <c r="K345" i="8"/>
  <c r="AQ23" i="8"/>
  <c r="G23" i="8" s="1"/>
  <c r="AW393" i="8"/>
  <c r="M393" i="8" s="1"/>
  <c r="L109" i="8"/>
  <c r="AW182" i="8"/>
  <c r="M182" i="8" s="1"/>
  <c r="AQ16" i="8"/>
  <c r="G16" i="8" s="1"/>
  <c r="BA323" i="8"/>
  <c r="Q323" i="8" s="1"/>
  <c r="J119" i="8"/>
  <c r="AU185" i="8"/>
  <c r="K185" i="8" s="1"/>
  <c r="F213" i="8"/>
  <c r="N298" i="8"/>
  <c r="AU124" i="8"/>
  <c r="K124" i="8" s="1"/>
  <c r="AW9" i="8"/>
  <c r="M9" i="8" s="1"/>
  <c r="AU118" i="8"/>
  <c r="K118" i="8" s="1"/>
  <c r="AY171" i="8"/>
  <c r="O171" i="8" s="1"/>
  <c r="AU43" i="8"/>
  <c r="K43" i="8" s="1"/>
  <c r="AU99" i="8"/>
  <c r="K99" i="8" s="1"/>
  <c r="AY142" i="8"/>
  <c r="O142" i="8" s="1"/>
  <c r="K350" i="8"/>
  <c r="BA287" i="8"/>
  <c r="Q287" i="8" s="1"/>
  <c r="G202" i="8"/>
  <c r="BA387" i="8"/>
  <c r="Q387" i="8" s="1"/>
  <c r="B387" i="8" s="1"/>
  <c r="AW242" i="8"/>
  <c r="M242" i="8" s="1"/>
  <c r="AP174" i="8"/>
  <c r="F174" i="8" s="1"/>
  <c r="BA207" i="8"/>
  <c r="Q207" i="8" s="1"/>
  <c r="AU115" i="8"/>
  <c r="K115" i="8" s="1"/>
  <c r="AW105" i="8"/>
  <c r="M105" i="8" s="1"/>
  <c r="F241" i="8"/>
  <c r="BA52" i="8"/>
  <c r="Q52" i="8" s="1"/>
  <c r="AY231" i="8"/>
  <c r="O231" i="8" s="1"/>
  <c r="AU16" i="8"/>
  <c r="K16" i="8" s="1"/>
  <c r="BA33" i="8"/>
  <c r="Q33" i="8" s="1"/>
  <c r="N44" i="8"/>
  <c r="I370" i="8"/>
  <c r="AX51" i="8"/>
  <c r="N51" i="8" s="1"/>
  <c r="L285" i="8"/>
  <c r="AW241" i="8"/>
  <c r="M241" i="8" s="1"/>
  <c r="F56" i="8"/>
  <c r="F163" i="8"/>
  <c r="AW375" i="8"/>
  <c r="M375" i="8" s="1"/>
  <c r="F65" i="8"/>
  <c r="AW219" i="8"/>
  <c r="M219" i="8" s="1"/>
  <c r="L311" i="8"/>
  <c r="AX168" i="8"/>
  <c r="N168" i="8" s="1"/>
  <c r="BA364" i="8"/>
  <c r="Q364" i="8" s="1"/>
  <c r="AU360" i="8"/>
  <c r="K360" i="8" s="1"/>
  <c r="AU9" i="8"/>
  <c r="K9" i="8" s="1"/>
  <c r="L367" i="8"/>
  <c r="AZ34" i="8"/>
  <c r="P34" i="8" s="1"/>
  <c r="M34" i="8"/>
  <c r="AY143" i="8"/>
  <c r="O143" i="8" s="1"/>
  <c r="J375" i="8"/>
  <c r="AY61" i="8"/>
  <c r="O61" i="8" s="1"/>
  <c r="AP215" i="8"/>
  <c r="F215" i="8" s="1"/>
  <c r="I187" i="8"/>
  <c r="BA288" i="8"/>
  <c r="Q288" i="8" s="1"/>
  <c r="F266" i="8"/>
  <c r="Q154" i="8"/>
  <c r="BA92" i="8"/>
  <c r="Q92" i="8" s="1"/>
  <c r="BA38" i="8"/>
  <c r="Q38" i="8" s="1"/>
  <c r="B38" i="8" s="1"/>
  <c r="AU189" i="8"/>
  <c r="K189" i="8" s="1"/>
  <c r="Q237" i="8"/>
  <c r="Q8" i="8"/>
  <c r="I204" i="8"/>
  <c r="AP162" i="8"/>
  <c r="F162" i="8" s="1"/>
  <c r="Q226" i="8"/>
  <c r="L29" i="8"/>
  <c r="L219" i="8"/>
  <c r="AT360" i="8"/>
  <c r="J360" i="8" s="1"/>
  <c r="AU94" i="8"/>
  <c r="K94" i="8" s="1"/>
  <c r="L280" i="8"/>
  <c r="AW59" i="8"/>
  <c r="M59" i="8" s="1"/>
  <c r="AY110" i="8"/>
  <c r="O110" i="8" s="1"/>
  <c r="AU6" i="8"/>
  <c r="K6" i="8" s="1"/>
  <c r="AU204" i="8"/>
  <c r="K204" i="8" s="1"/>
  <c r="AY4" i="8"/>
  <c r="O4" i="8" s="1"/>
  <c r="O361" i="8"/>
  <c r="L297" i="8"/>
  <c r="AW275" i="8"/>
  <c r="M275" i="8" s="1"/>
  <c r="AY230" i="8"/>
  <c r="O230" i="8" s="1"/>
  <c r="AW175" i="8"/>
  <c r="M175" i="8" s="1"/>
  <c r="N376" i="8"/>
  <c r="N139" i="8"/>
  <c r="AY291" i="8"/>
  <c r="O291" i="8" s="1"/>
  <c r="O357" i="8"/>
  <c r="AS23" i="5"/>
  <c r="V56" i="8"/>
  <c r="AK36" i="2"/>
  <c r="AY214" i="8"/>
  <c r="O214" i="8" s="1"/>
  <c r="AW139" i="8"/>
  <c r="M139" i="8" s="1"/>
  <c r="AW163" i="8"/>
  <c r="M163" i="8" s="1"/>
  <c r="AW86" i="8"/>
  <c r="M86" i="8" s="1"/>
  <c r="AW322" i="8"/>
  <c r="M322" i="8" s="1"/>
  <c r="AW54" i="8"/>
  <c r="M54" i="8" s="1"/>
  <c r="AP24" i="8"/>
  <c r="F24" i="8" s="1"/>
  <c r="F176" i="8"/>
  <c r="F154" i="8"/>
  <c r="AY266" i="8"/>
  <c r="O266" i="8" s="1"/>
  <c r="K58" i="8"/>
  <c r="AW101" i="8"/>
  <c r="M101" i="8" s="1"/>
  <c r="L346" i="8"/>
  <c r="AV327" i="8"/>
  <c r="L327" i="8" s="1"/>
  <c r="AX320" i="8"/>
  <c r="N320" i="8" s="1"/>
  <c r="K35" i="8"/>
  <c r="AY115" i="8"/>
  <c r="O115" i="8" s="1"/>
  <c r="AW2" i="8"/>
  <c r="M2" i="8" s="1"/>
  <c r="AT372" i="8"/>
  <c r="J372" i="8" s="1"/>
  <c r="AW97" i="8"/>
  <c r="M97" i="8" s="1"/>
  <c r="AU106" i="8"/>
  <c r="K106" i="8" s="1"/>
  <c r="AS189" i="8"/>
  <c r="I189" i="8" s="1"/>
  <c r="BA70" i="8"/>
  <c r="Q70" i="8" s="1"/>
  <c r="AV364" i="8"/>
  <c r="L364" i="8" s="1"/>
  <c r="BA197" i="8"/>
  <c r="Q197" i="8" s="1"/>
  <c r="AY216" i="8"/>
  <c r="O216" i="8" s="1"/>
  <c r="AP254" i="8"/>
  <c r="F254" i="8" s="1"/>
  <c r="L369" i="8"/>
  <c r="AZ139" i="8"/>
  <c r="P139" i="8" s="1"/>
  <c r="AZ96" i="2"/>
  <c r="AW342" i="8"/>
  <c r="M342" i="8" s="1"/>
  <c r="AV232" i="8"/>
  <c r="L232" i="8" s="1"/>
  <c r="B232" i="8" s="1"/>
  <c r="BA371" i="8"/>
  <c r="Q371" i="8" s="1"/>
  <c r="AU277" i="8"/>
  <c r="K277" i="8" s="1"/>
  <c r="AX375" i="8"/>
  <c r="N375" i="8" s="1"/>
  <c r="AW130" i="8"/>
  <c r="M130" i="8" s="1"/>
  <c r="N212" i="8"/>
  <c r="BA32" i="8"/>
  <c r="Q32" i="8" s="1"/>
  <c r="AP25" i="8"/>
  <c r="F25" i="8" s="1"/>
  <c r="AY9" i="8"/>
  <c r="O9" i="8" s="1"/>
  <c r="K112" i="8"/>
  <c r="N111" i="8"/>
  <c r="L373" i="8"/>
  <c r="AU183" i="8"/>
  <c r="K183" i="8" s="1"/>
  <c r="AU213" i="8"/>
  <c r="K213" i="8" s="1"/>
  <c r="N294" i="8"/>
  <c r="AU92" i="8"/>
  <c r="K92" i="8" s="1"/>
  <c r="AT98" i="8"/>
  <c r="J98" i="8" s="1"/>
  <c r="B98" i="8" s="1"/>
  <c r="AW315" i="8"/>
  <c r="M315" i="8" s="1"/>
  <c r="BA209" i="8"/>
  <c r="Q209" i="8" s="1"/>
  <c r="AP257" i="8"/>
  <c r="F257" i="8" s="1"/>
  <c r="AU86" i="8"/>
  <c r="K86" i="8" s="1"/>
  <c r="AV350" i="8"/>
  <c r="L350" i="8" s="1"/>
  <c r="AU140" i="8"/>
  <c r="K140" i="8" s="1"/>
  <c r="BA402" i="8"/>
  <c r="Q402" i="8" s="1"/>
  <c r="B402" i="8" s="1"/>
  <c r="AQ134" i="8"/>
  <c r="G134" i="8" s="1"/>
  <c r="AW186" i="8"/>
  <c r="M186" i="8" s="1"/>
  <c r="BA399" i="8"/>
  <c r="Q399" i="8" s="1"/>
  <c r="B399" i="8" s="1"/>
  <c r="K83" i="8"/>
  <c r="AW128" i="8"/>
  <c r="M128" i="8" s="1"/>
  <c r="L276" i="8"/>
  <c r="AV357" i="8"/>
  <c r="L357" i="8" s="1"/>
  <c r="K270" i="8"/>
  <c r="L314" i="8"/>
  <c r="AU55" i="8"/>
  <c r="K55" i="8" s="1"/>
  <c r="AY118" i="8"/>
  <c r="O118" i="8" s="1"/>
  <c r="AX241" i="8"/>
  <c r="N241" i="8" s="1"/>
  <c r="AP133" i="8"/>
  <c r="F133" i="8" s="1"/>
  <c r="BA178" i="8"/>
  <c r="Q178" i="8" s="1"/>
  <c r="AY289" i="8"/>
  <c r="O289" i="8" s="1"/>
  <c r="L35" i="8"/>
  <c r="AW92" i="8"/>
  <c r="M92" i="8" s="1"/>
  <c r="AQ252" i="8"/>
  <c r="G252" i="8" s="1"/>
  <c r="I353" i="8"/>
  <c r="AU52" i="8"/>
  <c r="K52" i="8" s="1"/>
  <c r="AU132" i="8"/>
  <c r="K132" i="8" s="1"/>
  <c r="L198" i="8"/>
  <c r="AW365" i="8"/>
  <c r="M365" i="8" s="1"/>
  <c r="P378" i="8"/>
  <c r="AU3" i="8"/>
  <c r="K3" i="8" s="1"/>
  <c r="AY85" i="8"/>
  <c r="O85" i="8" s="1"/>
  <c r="B85" i="8" s="1"/>
  <c r="BA65" i="8"/>
  <c r="Q65" i="8" s="1"/>
  <c r="AW148" i="8"/>
  <c r="M148" i="8" s="1"/>
  <c r="AU287" i="8"/>
  <c r="K287" i="8" s="1"/>
  <c r="AV370" i="8"/>
  <c r="L370" i="8" s="1"/>
  <c r="AX130" i="8"/>
  <c r="N130" i="8" s="1"/>
  <c r="F169" i="8"/>
  <c r="AX107" i="8"/>
  <c r="N107" i="8" s="1"/>
  <c r="L112" i="8"/>
  <c r="AY121" i="8"/>
  <c r="O121" i="8" s="1"/>
  <c r="AY79" i="8"/>
  <c r="O79" i="8" s="1"/>
  <c r="AU328" i="8"/>
  <c r="K328" i="8" s="1"/>
  <c r="K346" i="8"/>
  <c r="AS324" i="8"/>
  <c r="I324" i="8" s="1"/>
  <c r="K226" i="8"/>
  <c r="N29" i="8"/>
  <c r="AU125" i="8"/>
  <c r="K125" i="8" s="1"/>
  <c r="N165" i="8"/>
  <c r="AU325" i="8"/>
  <c r="K325" i="8" s="1"/>
  <c r="AX110" i="8"/>
  <c r="N110" i="8" s="1"/>
  <c r="BA325" i="8"/>
  <c r="Q325" i="8" s="1"/>
  <c r="L334" i="8"/>
  <c r="AX367" i="8"/>
  <c r="N367" i="8" s="1"/>
  <c r="AS326" i="8"/>
  <c r="I326" i="8" s="1"/>
  <c r="AV230" i="8"/>
  <c r="L230" i="8" s="1"/>
  <c r="L110" i="8"/>
  <c r="J377" i="8"/>
  <c r="AS335" i="8"/>
  <c r="I335" i="8" s="1"/>
  <c r="P368" i="8"/>
  <c r="AY105" i="8"/>
  <c r="O105" i="8" s="1"/>
  <c r="AY166" i="8"/>
  <c r="O166" i="8" s="1"/>
  <c r="AW18" i="8"/>
  <c r="M18" i="8" s="1"/>
  <c r="J366" i="8"/>
  <c r="BA398" i="8"/>
  <c r="Q398" i="8" s="1"/>
  <c r="B398" i="8" s="1"/>
  <c r="AW170" i="8"/>
  <c r="M170" i="8" s="1"/>
  <c r="AO158" i="8"/>
  <c r="BA133" i="5"/>
  <c r="AV360" i="8"/>
  <c r="L360" i="8" s="1"/>
  <c r="AW31" i="8"/>
  <c r="M31" i="8" s="1"/>
  <c r="K358" i="8"/>
  <c r="AY74" i="8"/>
  <c r="O74" i="8" s="1"/>
  <c r="N364" i="8"/>
  <c r="AY178" i="8"/>
  <c r="O178" i="8" s="1"/>
  <c r="AP278" i="8"/>
  <c r="F278" i="8" s="1"/>
  <c r="K332" i="8"/>
  <c r="AW284" i="8"/>
  <c r="M284" i="8" s="1"/>
  <c r="N78" i="8"/>
  <c r="N351" i="8"/>
  <c r="BA59" i="8"/>
  <c r="Q59" i="8" s="1"/>
  <c r="N105" i="8"/>
  <c r="N23" i="8"/>
  <c r="AK158" i="8"/>
  <c r="AW133" i="5"/>
  <c r="AU47" i="8"/>
  <c r="K47" i="8" s="1"/>
  <c r="G174" i="8"/>
  <c r="AX271" i="8"/>
  <c r="N271" i="8" s="1"/>
  <c r="BA147" i="8"/>
  <c r="Q147" i="8" s="1"/>
  <c r="L259" i="8"/>
  <c r="AX371" i="8"/>
  <c r="N371" i="8" s="1"/>
  <c r="AY162" i="8"/>
  <c r="O162" i="8" s="1"/>
  <c r="L302" i="8"/>
  <c r="J370" i="8"/>
  <c r="AX277" i="8"/>
  <c r="N277" i="8" s="1"/>
  <c r="AY377" i="8"/>
  <c r="O377" i="8" s="1"/>
  <c r="AY220" i="8"/>
  <c r="O220" i="8" s="1"/>
  <c r="L379" i="8"/>
  <c r="AW246" i="8"/>
  <c r="M246" i="8" s="1"/>
  <c r="AU233" i="8"/>
  <c r="K233" i="8" s="1"/>
  <c r="AV187" i="8"/>
  <c r="L187" i="8" s="1"/>
  <c r="AY241" i="8"/>
  <c r="O241" i="8" s="1"/>
  <c r="AX216" i="8"/>
  <c r="N216" i="8" s="1"/>
  <c r="AY172" i="8"/>
  <c r="O172" i="8" s="1"/>
  <c r="B172" i="8" s="1"/>
  <c r="AU147" i="8"/>
  <c r="K147" i="8" s="1"/>
  <c r="N49" i="8"/>
  <c r="F157" i="8"/>
  <c r="AW320" i="8"/>
  <c r="M320" i="8" s="1"/>
  <c r="L315" i="8"/>
  <c r="AQ118" i="8"/>
  <c r="G118" i="8" s="1"/>
  <c r="AU8" i="8"/>
  <c r="K8" i="8" s="1"/>
  <c r="AQ12" i="8"/>
  <c r="G12" i="8" s="1"/>
  <c r="P359" i="8"/>
  <c r="AY282" i="8"/>
  <c r="O282" i="8" s="1"/>
  <c r="AW392" i="8"/>
  <c r="M392" i="8" s="1"/>
  <c r="N80" i="8"/>
  <c r="AU259" i="8"/>
  <c r="K259" i="8" s="1"/>
  <c r="BA18" i="8"/>
  <c r="Q18" i="8" s="1"/>
  <c r="BA102" i="8"/>
  <c r="Q102" i="8" s="1"/>
  <c r="AX42" i="8"/>
  <c r="N42" i="8" s="1"/>
  <c r="AW295" i="8"/>
  <c r="M295" i="8" s="1"/>
  <c r="AW141" i="8"/>
  <c r="M141" i="8" s="1"/>
  <c r="I375" i="8"/>
  <c r="N129" i="8"/>
  <c r="AU60" i="8"/>
  <c r="K60" i="8" s="1"/>
  <c r="F18" i="8"/>
  <c r="BA68" i="8"/>
  <c r="Q68" i="8" s="1"/>
  <c r="AW399" i="8"/>
  <c r="M399" i="8" s="1"/>
  <c r="AN254" i="5"/>
  <c r="AY301" i="8"/>
  <c r="O301" i="8" s="1"/>
  <c r="BA268" i="8"/>
  <c r="Q268" i="8" s="1"/>
  <c r="AW243" i="8"/>
  <c r="M243" i="8" s="1"/>
  <c r="AY256" i="8"/>
  <c r="O256" i="8" s="1"/>
  <c r="AP105" i="8"/>
  <c r="F105" i="8" s="1"/>
  <c r="AS316" i="8"/>
  <c r="I316" i="8" s="1"/>
  <c r="Q275" i="8"/>
  <c r="AW41" i="8"/>
  <c r="M41" i="8" s="1"/>
  <c r="AY203" i="8"/>
  <c r="O203" i="8" s="1"/>
  <c r="AW169" i="8"/>
  <c r="M169" i="8" s="1"/>
  <c r="N181" i="8"/>
  <c r="L339" i="8"/>
  <c r="AY140" i="8"/>
  <c r="O140" i="8" s="1"/>
  <c r="BA390" i="8"/>
  <c r="Q390" i="8" s="1"/>
  <c r="B390" i="8" s="1"/>
  <c r="AU41" i="8"/>
  <c r="K41" i="8" s="1"/>
  <c r="AU128" i="8"/>
  <c r="K128" i="8" s="1"/>
  <c r="N362" i="8"/>
  <c r="AU170" i="8"/>
  <c r="K170" i="8" s="1"/>
  <c r="AW307" i="8"/>
  <c r="M307" i="8" s="1"/>
  <c r="I369" i="8"/>
  <c r="L56" i="8"/>
  <c r="K34" i="8"/>
  <c r="AW160" i="8"/>
  <c r="M160" i="8" s="1"/>
  <c r="F227" i="8"/>
  <c r="AW103" i="8"/>
  <c r="M103" i="8" s="1"/>
  <c r="AU25" i="8"/>
  <c r="K25" i="8" s="1"/>
  <c r="AW69" i="8"/>
  <c r="M69" i="8" s="1"/>
  <c r="AW350" i="8"/>
  <c r="M350" i="8" s="1"/>
  <c r="AY102" i="8"/>
  <c r="O102" i="8" s="1"/>
  <c r="AY259" i="8"/>
  <c r="O259" i="8" s="1"/>
  <c r="AV46" i="8"/>
  <c r="L46" i="8" s="1"/>
  <c r="AY19" i="8"/>
  <c r="O19" i="8" s="1"/>
  <c r="AU134" i="8"/>
  <c r="K134" i="8" s="1"/>
  <c r="AY63" i="8"/>
  <c r="O63" i="8" s="1"/>
  <c r="AW346" i="8"/>
  <c r="M346" i="8" s="1"/>
  <c r="AY249" i="8"/>
  <c r="O249" i="8" s="1"/>
  <c r="AS365" i="8"/>
  <c r="I365" i="8" s="1"/>
  <c r="AW8" i="8"/>
  <c r="M8" i="8" s="1"/>
  <c r="AX8" i="8"/>
  <c r="N8" i="8" s="1"/>
  <c r="BA276" i="8"/>
  <c r="Q276" i="8" s="1"/>
  <c r="AU27" i="8"/>
  <c r="K27" i="8" s="1"/>
  <c r="AU46" i="8"/>
  <c r="K46" i="8" s="1"/>
  <c r="AY245" i="8"/>
  <c r="O245" i="8" s="1"/>
  <c r="AY235" i="8"/>
  <c r="O235" i="8" s="1"/>
  <c r="AW353" i="8"/>
  <c r="M353" i="8" s="1"/>
  <c r="AU71" i="8"/>
  <c r="K71" i="8" s="1"/>
  <c r="BA333" i="8"/>
  <c r="Q333" i="8" s="1"/>
  <c r="L169" i="8"/>
  <c r="O352" i="8"/>
  <c r="AY148" i="8"/>
  <c r="O148" i="8" s="1"/>
  <c r="AY298" i="8"/>
  <c r="O298" i="8" s="1"/>
  <c r="K307" i="8"/>
  <c r="N282" i="8"/>
  <c r="I378" i="8"/>
  <c r="AU289" i="8"/>
  <c r="K289" i="8" s="1"/>
  <c r="L277" i="8"/>
  <c r="J373" i="8"/>
  <c r="L317" i="8"/>
  <c r="O117" i="8"/>
  <c r="L376" i="8"/>
  <c r="I33" i="8"/>
  <c r="N228" i="8"/>
  <c r="P364" i="8"/>
  <c r="AY179" i="8"/>
  <c r="O179" i="8" s="1"/>
  <c r="AW314" i="8"/>
  <c r="M314" i="8" s="1"/>
  <c r="AU235" i="8"/>
  <c r="K235" i="8" s="1"/>
  <c r="N290" i="8"/>
  <c r="AU230" i="8"/>
  <c r="K230" i="8" s="1"/>
  <c r="L228" i="8"/>
  <c r="AU74" i="8"/>
  <c r="K74" i="8" s="1"/>
  <c r="N201" i="8"/>
  <c r="L319" i="8"/>
  <c r="AW39" i="8"/>
  <c r="M39" i="8" s="1"/>
  <c r="AW317" i="8"/>
  <c r="M317" i="8" s="1"/>
  <c r="N183" i="8"/>
  <c r="AU315" i="8"/>
  <c r="K315" i="8" s="1"/>
  <c r="L331" i="8"/>
  <c r="AW78" i="8"/>
  <c r="M78" i="8" s="1"/>
  <c r="N121" i="8"/>
  <c r="AU70" i="8"/>
  <c r="K70" i="8" s="1"/>
  <c r="AU91" i="8"/>
  <c r="K91" i="8" s="1"/>
  <c r="N112" i="8"/>
  <c r="AY244" i="8"/>
  <c r="O244" i="8" s="1"/>
  <c r="BA195" i="8"/>
  <c r="Q195" i="8" s="1"/>
  <c r="AW109" i="8"/>
  <c r="M109" i="8" s="1"/>
  <c r="N170" i="8"/>
  <c r="AU87" i="8"/>
  <c r="K87" i="8" s="1"/>
  <c r="AY299" i="8"/>
  <c r="O299" i="8" s="1"/>
  <c r="AW303" i="8"/>
  <c r="M303" i="8" s="1"/>
  <c r="N186" i="8"/>
  <c r="J365" i="8"/>
  <c r="AU223" i="8"/>
  <c r="K223" i="8" s="1"/>
  <c r="AW354" i="8"/>
  <c r="M354" i="8" s="1"/>
  <c r="AU30" i="8"/>
  <c r="K30" i="8" s="1"/>
  <c r="AY65" i="8"/>
  <c r="O65" i="8" s="1"/>
  <c r="AV217" i="8"/>
  <c r="L217" i="8" s="1"/>
  <c r="AY62" i="8"/>
  <c r="O62" i="8" s="1"/>
  <c r="L216" i="8"/>
  <c r="AW217" i="8"/>
  <c r="M217" i="8" s="1"/>
  <c r="L116" i="8"/>
  <c r="AW183" i="8"/>
  <c r="M183" i="8" s="1"/>
  <c r="AV70" i="8"/>
  <c r="L70" i="8" s="1"/>
  <c r="AW329" i="8"/>
  <c r="M329" i="8" s="1"/>
  <c r="AV251" i="8"/>
  <c r="L251" i="8" s="1"/>
  <c r="AZ365" i="8"/>
  <c r="P365" i="8" s="1"/>
  <c r="AU175" i="8"/>
  <c r="K175" i="8" s="1"/>
  <c r="AY242" i="8"/>
  <c r="O242" i="8" s="1"/>
  <c r="BA241" i="8"/>
  <c r="Q241" i="8" s="1"/>
  <c r="BA48" i="8"/>
  <c r="Q48" i="8" s="1"/>
  <c r="F54" i="8"/>
  <c r="AU298" i="8"/>
  <c r="K298" i="8" s="1"/>
  <c r="AU160" i="8"/>
  <c r="K160" i="8" s="1"/>
  <c r="AY15" i="8"/>
  <c r="O15" i="8" s="1"/>
  <c r="L133" i="8"/>
  <c r="BA96" i="8"/>
  <c r="Q96" i="8" s="1"/>
  <c r="AU10" i="8"/>
  <c r="K10" i="8" s="1"/>
  <c r="Q266" i="8"/>
  <c r="L341" i="8"/>
  <c r="AV61" i="8"/>
  <c r="L61" i="8" s="1"/>
  <c r="L359" i="8"/>
  <c r="AY264" i="8"/>
  <c r="O264" i="8" s="1"/>
  <c r="AW180" i="8"/>
  <c r="M180" i="8" s="1"/>
  <c r="N153" i="8"/>
  <c r="AY283" i="8"/>
  <c r="O283" i="8" s="1"/>
  <c r="AP285" i="8"/>
  <c r="F285" i="8" s="1"/>
  <c r="AS167" i="8"/>
  <c r="I167" i="8" s="1"/>
  <c r="N292" i="8"/>
  <c r="AU240" i="8"/>
  <c r="K240" i="8" s="1"/>
  <c r="K379" i="8"/>
  <c r="AU366" i="8"/>
  <c r="K366" i="8" s="1"/>
  <c r="AW194" i="8"/>
  <c r="M194" i="8" s="1"/>
  <c r="N203" i="8"/>
  <c r="N122" i="8"/>
  <c r="AP231" i="8"/>
  <c r="F231" i="8" s="1"/>
  <c r="N361" i="8"/>
  <c r="AY29" i="8"/>
  <c r="O29" i="8" s="1"/>
  <c r="BA350" i="8"/>
  <c r="Q350" i="8" s="1"/>
  <c r="N154" i="8"/>
  <c r="BA55" i="8"/>
  <c r="Q55" i="8" s="1"/>
  <c r="AW43" i="8"/>
  <c r="M43" i="8" s="1"/>
  <c r="AW166" i="8"/>
  <c r="M166" i="8" s="1"/>
  <c r="AV140" i="8"/>
  <c r="L140" i="8" s="1"/>
  <c r="L7" i="8"/>
  <c r="AX270" i="8"/>
  <c r="N270" i="8" s="1"/>
  <c r="BA10" i="8"/>
  <c r="Q10" i="8" s="1"/>
  <c r="K272" i="8"/>
  <c r="AZ67" i="8"/>
  <c r="P67" i="8" s="1"/>
  <c r="BA297" i="8"/>
  <c r="Q297" i="8" s="1"/>
  <c r="K169" i="8"/>
  <c r="L372" i="8"/>
  <c r="AU186" i="8"/>
  <c r="K186" i="8" s="1"/>
  <c r="AW256" i="8"/>
  <c r="M256" i="8" s="1"/>
  <c r="AU253" i="8"/>
  <c r="K253" i="8" s="1"/>
  <c r="L78" i="8"/>
  <c r="L59" i="8"/>
  <c r="O356" i="8"/>
  <c r="AU82" i="8"/>
  <c r="K82" i="8" s="1"/>
  <c r="L313" i="8"/>
  <c r="BA47" i="8"/>
  <c r="Q47" i="8" s="1"/>
  <c r="AZ361" i="8"/>
  <c r="P361" i="8" s="1"/>
  <c r="AU51" i="8"/>
  <c r="K51" i="8" s="1"/>
  <c r="L218" i="8"/>
  <c r="AW113" i="8"/>
  <c r="M113" i="8" s="1"/>
  <c r="AW104" i="8"/>
  <c r="M104" i="8" s="1"/>
  <c r="J376" i="8"/>
  <c r="AU19" i="8"/>
  <c r="K19" i="8" s="1"/>
  <c r="AV45" i="8"/>
  <c r="L45" i="8" s="1"/>
  <c r="AX295" i="8"/>
  <c r="N295" i="8" s="1"/>
  <c r="I363" i="8"/>
  <c r="AS354" i="8"/>
  <c r="I354" i="8" s="1"/>
  <c r="BA202" i="8"/>
  <c r="Q202" i="8" s="1"/>
  <c r="AV19" i="8"/>
  <c r="L19" i="8" s="1"/>
  <c r="BA14" i="8"/>
  <c r="Q14" i="8" s="1"/>
  <c r="BA231" i="8"/>
  <c r="Q231" i="8" s="1"/>
  <c r="AY125" i="8"/>
  <c r="O125" i="8" s="1"/>
  <c r="AU144" i="8"/>
  <c r="K144" i="8" s="1"/>
  <c r="L267" i="8"/>
  <c r="Q219" i="8"/>
  <c r="Q212" i="8"/>
  <c r="N269" i="8"/>
  <c r="BA121" i="8"/>
  <c r="Q121" i="8" s="1"/>
  <c r="AX224" i="8"/>
  <c r="N224" i="8" s="1"/>
  <c r="N81" i="8"/>
  <c r="L307" i="8"/>
  <c r="AP178" i="8"/>
  <c r="F178" i="8" s="1"/>
  <c r="AS355" i="8"/>
  <c r="I355" i="8" s="1"/>
  <c r="Q80" i="8"/>
  <c r="Q152" i="8"/>
  <c r="AT361" i="8"/>
  <c r="J361" i="8" s="1"/>
  <c r="AP43" i="8"/>
  <c r="F43" i="8" s="1"/>
  <c r="AX313" i="8"/>
  <c r="N313" i="8" s="1"/>
  <c r="I338" i="8"/>
  <c r="AP53" i="8"/>
  <c r="F53" i="8" s="1"/>
  <c r="L9" i="8"/>
  <c r="F182" i="8"/>
  <c r="K373" i="8"/>
  <c r="N214" i="8"/>
  <c r="AW292" i="8"/>
  <c r="M292" i="8" s="1"/>
  <c r="AY270" i="8"/>
  <c r="O270" i="8" s="1"/>
  <c r="Q278" i="8"/>
  <c r="BA230" i="8"/>
  <c r="Q230" i="8" s="1"/>
  <c r="AV55" i="8"/>
  <c r="L55" i="8" s="1"/>
  <c r="L294" i="8"/>
  <c r="AY72" i="8"/>
  <c r="O72" i="8" s="1"/>
  <c r="AX296" i="8"/>
  <c r="N296" i="8" s="1"/>
  <c r="BL96" i="2"/>
  <c r="BA362" i="8"/>
  <c r="Q362" i="8" s="1"/>
  <c r="AV240" i="8"/>
  <c r="L240" i="8" s="1"/>
  <c r="AV17" i="8"/>
  <c r="L17" i="8" s="1"/>
  <c r="AV99" i="8"/>
  <c r="L99" i="8" s="1"/>
  <c r="AP261" i="8"/>
  <c r="F261" i="8" s="1"/>
  <c r="AW379" i="8"/>
  <c r="M379" i="8" s="1"/>
  <c r="AZ207" i="8"/>
  <c r="P207" i="8" s="1"/>
  <c r="AS23" i="8"/>
  <c r="I23" i="8" s="1"/>
  <c r="F26" i="8"/>
  <c r="BA183" i="8"/>
  <c r="Q183" i="8" s="1"/>
  <c r="AX17" i="8"/>
  <c r="N17" i="8" s="1"/>
  <c r="G201" i="8"/>
  <c r="BA389" i="8"/>
  <c r="Q389" i="8" s="1"/>
  <c r="B389" i="8" s="1"/>
  <c r="M205" i="8"/>
  <c r="AY23" i="8"/>
  <c r="O23" i="8" s="1"/>
  <c r="N83" i="8"/>
  <c r="P219" i="8"/>
  <c r="N133" i="8"/>
  <c r="AW293" i="8"/>
  <c r="M293" i="8" s="1"/>
  <c r="N65" i="8"/>
  <c r="AY7" i="8"/>
  <c r="O7" i="8" s="1"/>
  <c r="N300" i="8"/>
  <c r="BA135" i="8"/>
  <c r="Q135" i="8" s="1"/>
  <c r="AW24" i="8"/>
  <c r="M24" i="8" s="1"/>
  <c r="AX87" i="8"/>
  <c r="N87" i="8" s="1"/>
  <c r="L10" i="8"/>
  <c r="AU257" i="8"/>
  <c r="K257" i="8" s="1"/>
  <c r="AU66" i="8"/>
  <c r="K66" i="8" s="1"/>
  <c r="AW187" i="8"/>
  <c r="M187" i="8" s="1"/>
  <c r="AY149" i="8"/>
  <c r="O149" i="8" s="1"/>
  <c r="L53" i="8"/>
  <c r="AY268" i="8"/>
  <c r="O268" i="8" s="1"/>
  <c r="L182" i="8"/>
  <c r="BA118" i="8"/>
  <c r="Q118" i="8" s="1"/>
  <c r="BA36" i="8"/>
  <c r="Q36" i="8" s="1"/>
  <c r="B36" i="8" s="1"/>
  <c r="AY28" i="8"/>
  <c r="O28" i="8" s="1"/>
  <c r="N363" i="8"/>
  <c r="AW102" i="8"/>
  <c r="M102" i="8" s="1"/>
  <c r="F243" i="8"/>
  <c r="AU250" i="8"/>
  <c r="K250" i="8" s="1"/>
  <c r="AY175" i="8"/>
  <c r="O175" i="8" s="1"/>
  <c r="AU361" i="8"/>
  <c r="K361" i="8" s="1"/>
  <c r="AW298" i="8"/>
  <c r="M298" i="8" s="1"/>
  <c r="AC158" i="8"/>
  <c r="AZ133" i="5"/>
  <c r="L290" i="8"/>
  <c r="K166" i="8"/>
  <c r="AU290" i="8"/>
  <c r="K290" i="8" s="1"/>
  <c r="AS321" i="8"/>
  <c r="I321" i="8" s="1"/>
  <c r="AP196" i="8"/>
  <c r="F196" i="8" s="1"/>
  <c r="L316" i="8"/>
  <c r="AU50" i="8"/>
  <c r="K50" i="8" s="1"/>
  <c r="P367" i="8"/>
  <c r="AW377" i="8"/>
  <c r="M377" i="8" s="1"/>
  <c r="AW228" i="8"/>
  <c r="M228" i="8" s="1"/>
  <c r="AW11" i="8"/>
  <c r="M11" i="8" s="1"/>
  <c r="BA28" i="8"/>
  <c r="Q28" i="8" s="1"/>
  <c r="K351" i="8"/>
  <c r="Q56" i="8"/>
  <c r="O351" i="8"/>
  <c r="AU211" i="8"/>
  <c r="K211" i="8" s="1"/>
  <c r="N243" i="8"/>
  <c r="P130" i="8"/>
  <c r="AU13" i="8"/>
  <c r="K13" i="8" s="1"/>
  <c r="AW140" i="8"/>
  <c r="M140" i="8" s="1"/>
  <c r="AW76" i="8"/>
  <c r="M76" i="8" s="1"/>
  <c r="AW83" i="8"/>
  <c r="M83" i="8" s="1"/>
  <c r="L49" i="8"/>
  <c r="AU11" i="8"/>
  <c r="K11" i="8" s="1"/>
  <c r="K333" i="8"/>
  <c r="AP76" i="8"/>
  <c r="F76" i="8" s="1"/>
  <c r="AV347" i="8"/>
  <c r="L347" i="8" s="1"/>
  <c r="B347" i="8" s="1"/>
  <c r="N163" i="8"/>
  <c r="BA282" i="8"/>
  <c r="Q282" i="8" s="1"/>
  <c r="N28" i="8"/>
  <c r="N377" i="8"/>
  <c r="M195" i="8"/>
  <c r="AW32" i="8"/>
  <c r="M32" i="8" s="1"/>
  <c r="AU203" i="8"/>
  <c r="K203" i="8" s="1"/>
  <c r="J353" i="8"/>
  <c r="AW310" i="8"/>
  <c r="M310" i="8" s="1"/>
  <c r="AQ15" i="8"/>
  <c r="G15" i="8" s="1"/>
  <c r="AS348" i="8"/>
  <c r="I348" i="8" s="1"/>
  <c r="AY215" i="8"/>
  <c r="O215" i="8" s="1"/>
  <c r="BA124" i="8"/>
  <c r="Q124" i="8" s="1"/>
  <c r="BA159" i="8"/>
  <c r="Q159" i="8" s="1"/>
  <c r="AW127" i="8"/>
  <c r="M127" i="8" s="1"/>
  <c r="AS207" i="8"/>
  <c r="I207" i="8" s="1"/>
  <c r="AQ164" i="8"/>
  <c r="G164" i="8" s="1"/>
  <c r="AW58" i="8"/>
  <c r="M58" i="8" s="1"/>
  <c r="AS337" i="8"/>
  <c r="I337" i="8" s="1"/>
  <c r="AQ132" i="8"/>
  <c r="G132" i="8" s="1"/>
  <c r="N244" i="8"/>
  <c r="AX113" i="8"/>
  <c r="N113" i="8" s="1"/>
  <c r="BA30" i="8"/>
  <c r="Q30" i="8" s="1"/>
  <c r="BA392" i="8"/>
  <c r="Q392" i="8" s="1"/>
  <c r="B392" i="8" s="1"/>
  <c r="AW327" i="8"/>
  <c r="M327" i="8" s="1"/>
  <c r="BA76" i="8"/>
  <c r="Q76" i="8" s="1"/>
  <c r="I15" i="8"/>
  <c r="AY141" i="8"/>
  <c r="O141" i="8" s="1"/>
  <c r="AZ290" i="8"/>
  <c r="P290" i="8" s="1"/>
  <c r="AW26" i="8"/>
  <c r="M26" i="8" s="1"/>
  <c r="AW367" i="8"/>
  <c r="M367" i="8" s="1"/>
  <c r="AV208" i="8"/>
  <c r="L208" i="8" s="1"/>
  <c r="BA110" i="8"/>
  <c r="Q110" i="8" s="1"/>
  <c r="L160" i="8"/>
  <c r="P250" i="8"/>
  <c r="N291" i="8"/>
  <c r="AY194" i="8"/>
  <c r="O194" i="8" s="1"/>
  <c r="AX12" i="8"/>
  <c r="N12" i="8" s="1"/>
  <c r="AW66" i="8"/>
  <c r="M66" i="8" s="1"/>
  <c r="N20" i="8"/>
  <c r="AQ116" i="8"/>
  <c r="G116" i="8" s="1"/>
  <c r="L287" i="8"/>
  <c r="AW214" i="8"/>
  <c r="M214" i="8" s="1"/>
  <c r="AP57" i="8"/>
  <c r="F57" i="8" s="1"/>
  <c r="K224" i="8"/>
  <c r="K339" i="8"/>
  <c r="AU252" i="8"/>
  <c r="K252" i="8" s="1"/>
  <c r="L138" i="8"/>
  <c r="AW189" i="8"/>
  <c r="M189" i="8" s="1"/>
  <c r="AX365" i="8"/>
  <c r="N365" i="8" s="1"/>
  <c r="AW114" i="8"/>
  <c r="M114" i="8" s="1"/>
  <c r="AT35" i="8"/>
  <c r="J35" i="8" s="1"/>
  <c r="Q187" i="8"/>
  <c r="M173" i="8"/>
  <c r="AW226" i="8"/>
  <c r="M226" i="8" s="1"/>
  <c r="I359" i="8"/>
  <c r="L368" i="8"/>
  <c r="M51" i="8"/>
  <c r="AX247" i="8"/>
  <c r="N247" i="8" s="1"/>
  <c r="AW193" i="8"/>
  <c r="M193" i="8" s="1"/>
  <c r="Q163" i="8"/>
  <c r="AV223" i="8"/>
  <c r="L223" i="8" s="1"/>
  <c r="AY221" i="8"/>
  <c r="O221" i="8" s="1"/>
  <c r="G133" i="8"/>
  <c r="M386" i="8"/>
  <c r="K370" i="8"/>
  <c r="AU73" i="8"/>
  <c r="K73" i="8" s="1"/>
  <c r="P248" i="8"/>
  <c r="BA329" i="8"/>
  <c r="Q329" i="8" s="1"/>
  <c r="AP73" i="8"/>
  <c r="F73" i="8" s="1"/>
  <c r="AP83" i="8"/>
  <c r="F83" i="8" s="1"/>
  <c r="K103" i="8"/>
  <c r="AU340" i="8"/>
  <c r="K340" i="8" s="1"/>
  <c r="K344" i="8"/>
  <c r="AQ285" i="8"/>
  <c r="G285" i="8" s="1"/>
  <c r="BA168" i="8"/>
  <c r="Q168" i="8" s="1"/>
  <c r="AY50" i="8"/>
  <c r="O50" i="8" s="1"/>
  <c r="I376" i="8"/>
  <c r="M53" i="8"/>
  <c r="N235" i="8"/>
  <c r="AY255" i="8"/>
  <c r="O255" i="8" s="1"/>
  <c r="AY293" i="8"/>
  <c r="O293" i="8" s="1"/>
  <c r="AX179" i="8"/>
  <c r="N179" i="8" s="1"/>
  <c r="AW4" i="8"/>
  <c r="M4" i="8" s="1"/>
  <c r="BA64" i="8"/>
  <c r="Q64" i="8" s="1"/>
  <c r="M239" i="8"/>
  <c r="AP259" i="8"/>
  <c r="F259" i="8" s="1"/>
  <c r="AP212" i="8"/>
  <c r="F212" i="8" s="1"/>
  <c r="AU130" i="8"/>
  <c r="K130" i="8" s="1"/>
  <c r="AX368" i="8"/>
  <c r="N368" i="8" s="1"/>
  <c r="L114" i="8"/>
  <c r="AP204" i="8"/>
  <c r="F204" i="8" s="1"/>
  <c r="AW90" i="8"/>
  <c r="M90" i="8" s="1"/>
  <c r="I280" i="8"/>
  <c r="AX202" i="8"/>
  <c r="N202" i="8" s="1"/>
  <c r="H119" i="8"/>
  <c r="AP45" i="8"/>
  <c r="F45" i="8" s="1"/>
  <c r="O360" i="8"/>
  <c r="AP124" i="8"/>
  <c r="F124" i="8" s="1"/>
  <c r="G22" i="8"/>
  <c r="AT359" i="8"/>
  <c r="J359" i="8" s="1"/>
  <c r="AU193" i="8"/>
  <c r="K193" i="8" s="1"/>
  <c r="Q82" i="8"/>
  <c r="AW201" i="8"/>
  <c r="M201" i="8" s="1"/>
  <c r="AP240" i="8"/>
  <c r="F240" i="8" s="1"/>
  <c r="AU67" i="8"/>
  <c r="K67" i="8" s="1"/>
  <c r="AX145" i="8"/>
  <c r="N145" i="8" s="1"/>
  <c r="AP153" i="8"/>
  <c r="F153" i="8" s="1"/>
  <c r="AP252" i="8"/>
  <c r="F252" i="8" s="1"/>
  <c r="AP269" i="8"/>
  <c r="F269" i="8" s="1"/>
  <c r="J356" i="8"/>
  <c r="N4" i="8"/>
  <c r="N141" i="8"/>
  <c r="I312" i="8"/>
  <c r="AS356" i="8"/>
  <c r="I356" i="8" s="1"/>
  <c r="BA58" i="8"/>
  <c r="Q58" i="8" s="1"/>
  <c r="P211" i="8"/>
  <c r="AY224" i="8"/>
  <c r="O224" i="8" s="1"/>
  <c r="N303" i="8"/>
  <c r="AV344" i="8"/>
  <c r="L344" i="8" s="1"/>
  <c r="AY91" i="8"/>
  <c r="O91" i="8" s="1"/>
  <c r="AW132" i="8"/>
  <c r="M132" i="8" s="1"/>
  <c r="AX259" i="8"/>
  <c r="N259" i="8" s="1"/>
  <c r="AY12" i="8"/>
  <c r="O12" i="8" s="1"/>
  <c r="AY188" i="8"/>
  <c r="O188" i="8" s="1"/>
  <c r="L183" i="8"/>
  <c r="AP79" i="8"/>
  <c r="F79" i="8" s="1"/>
  <c r="AU181" i="8"/>
  <c r="K181" i="8" s="1"/>
  <c r="Q206" i="8"/>
  <c r="AX16" i="8"/>
  <c r="N16" i="8" s="1"/>
  <c r="AW115" i="8"/>
  <c r="M115" i="8" s="1"/>
  <c r="AY353" i="8"/>
  <c r="O353" i="8" s="1"/>
  <c r="AY18" i="8"/>
  <c r="O18" i="8" s="1"/>
  <c r="AP118" i="8"/>
  <c r="F118" i="8" s="1"/>
  <c r="BA314" i="8"/>
  <c r="Q314" i="8" s="1"/>
  <c r="M279" i="8"/>
  <c r="L312" i="8"/>
  <c r="AY127" i="8"/>
  <c r="O127" i="8" s="1"/>
  <c r="I352" i="8"/>
  <c r="AW247" i="8"/>
  <c r="M247" i="8" s="1"/>
  <c r="F165" i="8"/>
  <c r="AY119" i="8"/>
  <c r="O119" i="8" s="1"/>
  <c r="AW87" i="8"/>
  <c r="M87" i="8" s="1"/>
  <c r="AV68" i="8"/>
  <c r="L68" i="8" s="1"/>
  <c r="AV74" i="8"/>
  <c r="L74" i="8" s="1"/>
  <c r="AP40" i="8"/>
  <c r="F40" i="8" s="1"/>
  <c r="AU117" i="8"/>
  <c r="K117" i="8" s="1"/>
  <c r="L176" i="8"/>
  <c r="AS315" i="8"/>
  <c r="I315" i="8" s="1"/>
  <c r="BA198" i="8"/>
  <c r="Q198" i="8" s="1"/>
  <c r="AS319" i="8"/>
  <c r="I319" i="8" s="1"/>
  <c r="P208" i="8"/>
  <c r="N177" i="8"/>
  <c r="L320" i="8"/>
  <c r="N378" i="8"/>
  <c r="AW378" i="8"/>
  <c r="M378" i="8" s="1"/>
  <c r="J362" i="8"/>
  <c r="AW306" i="8"/>
  <c r="M306" i="8" s="1"/>
  <c r="AY371" i="8"/>
  <c r="O371" i="8" s="1"/>
  <c r="AW324" i="8"/>
  <c r="M324" i="8" s="1"/>
  <c r="AV281" i="8"/>
  <c r="L281" i="8" s="1"/>
  <c r="L377" i="8"/>
  <c r="F9" i="8"/>
  <c r="AU78" i="8"/>
  <c r="K78" i="8" s="1"/>
  <c r="AW301" i="8"/>
  <c r="M301" i="8" s="1"/>
  <c r="N26" i="8"/>
  <c r="AP167" i="8"/>
  <c r="F167" i="8" s="1"/>
  <c r="AW14" i="8"/>
  <c r="M14" i="8" s="1"/>
  <c r="M203" i="8"/>
  <c r="AW33" i="8"/>
  <c r="M33" i="8" s="1"/>
  <c r="BA388" i="8"/>
  <c r="Q388" i="8" s="1"/>
  <c r="B388" i="8" s="1"/>
  <c r="AY362" i="8"/>
  <c r="O362" i="8" s="1"/>
  <c r="L361" i="8"/>
  <c r="AW13" i="8"/>
  <c r="M13" i="8" s="1"/>
  <c r="N11" i="8"/>
  <c r="AW62" i="8"/>
  <c r="M62" i="8" s="1"/>
  <c r="AP171" i="8"/>
  <c r="F171" i="8" s="1"/>
  <c r="AX109" i="8"/>
  <c r="N109" i="8" s="1"/>
  <c r="M202" i="8"/>
  <c r="BA326" i="8"/>
  <c r="Q326" i="8" s="1"/>
  <c r="B326" i="8" s="1"/>
  <c r="BA393" i="8"/>
  <c r="Q393" i="8" s="1"/>
  <c r="B393" i="8" s="1"/>
  <c r="AX225" i="8"/>
  <c r="N225" i="8" s="1"/>
  <c r="N3" i="8"/>
  <c r="AY247" i="8"/>
  <c r="O247" i="8" s="1"/>
  <c r="AS347" i="8"/>
  <c r="I347" i="8" s="1"/>
  <c r="AY80" i="8"/>
  <c r="O80" i="8" s="1"/>
  <c r="AS305" i="8"/>
  <c r="I305" i="8" s="1"/>
  <c r="F234" i="8"/>
  <c r="F226" i="8"/>
  <c r="F201" i="8"/>
  <c r="AY292" i="8"/>
  <c r="O292" i="8" s="1"/>
  <c r="AP244" i="8"/>
  <c r="F244" i="8" s="1"/>
  <c r="N314" i="8"/>
  <c r="P355" i="8"/>
  <c r="AU155" i="8"/>
  <c r="K155" i="8" s="1"/>
  <c r="N287" i="8"/>
  <c r="AV52" i="8"/>
  <c r="L52" i="8" s="1"/>
  <c r="N135" i="8"/>
  <c r="AU18" i="8"/>
  <c r="K18" i="8" s="1"/>
  <c r="AX50" i="8"/>
  <c r="N50" i="8" s="1"/>
  <c r="AV241" i="8"/>
  <c r="L241" i="8" s="1"/>
  <c r="AT368" i="8"/>
  <c r="J368" i="8" s="1"/>
  <c r="AV171" i="8"/>
  <c r="L171" i="8" s="1"/>
  <c r="L349" i="8"/>
  <c r="K348" i="8"/>
  <c r="L60" i="8"/>
  <c r="AW145" i="8"/>
  <c r="M145" i="8" s="1"/>
  <c r="L3" i="8"/>
  <c r="K318" i="8"/>
  <c r="AU63" i="8"/>
  <c r="K63" i="8" s="1"/>
  <c r="AP287" i="8"/>
  <c r="F287" i="8" s="1"/>
  <c r="L233" i="8"/>
  <c r="AW47" i="8"/>
  <c r="M47" i="8" s="1"/>
  <c r="AU295" i="8"/>
  <c r="K295" i="8" s="1"/>
  <c r="AX108" i="8"/>
  <c r="N108" i="8" s="1"/>
  <c r="AW135" i="8"/>
  <c r="M135" i="8" s="1"/>
  <c r="N47" i="8"/>
  <c r="AV243" i="8"/>
  <c r="L243" i="8" s="1"/>
  <c r="M64" i="8"/>
  <c r="AY52" i="8"/>
  <c r="O52" i="8" s="1"/>
  <c r="L371" i="8"/>
  <c r="AU22" i="8"/>
  <c r="K22" i="8" s="1"/>
  <c r="AY86" i="8"/>
  <c r="O86" i="8" s="1"/>
  <c r="F144" i="8"/>
  <c r="Q170" i="8"/>
  <c r="AU21" i="8"/>
  <c r="K21" i="8" s="1"/>
  <c r="AW374" i="8"/>
  <c r="M374" i="8" s="1"/>
  <c r="AW171" i="8"/>
  <c r="M171" i="8" s="1"/>
  <c r="AW157" i="8"/>
  <c r="M157" i="8" s="1"/>
  <c r="AV76" i="8"/>
  <c r="L76" i="8" s="1"/>
  <c r="AS374" i="8"/>
  <c r="I374" i="8" s="1"/>
  <c r="AV188" i="8"/>
  <c r="L188" i="8" s="1"/>
  <c r="AW260" i="8"/>
  <c r="M260" i="8" s="1"/>
  <c r="AX369" i="8"/>
  <c r="N369" i="8" s="1"/>
  <c r="AY201" i="8"/>
  <c r="O201" i="8" s="1"/>
  <c r="N157" i="8"/>
  <c r="F301" i="8"/>
  <c r="AW80" i="8"/>
  <c r="M80" i="8" s="1"/>
  <c r="F159" i="8"/>
  <c r="AU97" i="8"/>
  <c r="K97" i="8" s="1"/>
  <c r="AW184" i="8"/>
  <c r="M184" i="8" s="1"/>
  <c r="K111" i="8"/>
  <c r="N56" i="8"/>
  <c r="AQ169" i="8"/>
  <c r="G169" i="8" s="1"/>
  <c r="AY168" i="8"/>
  <c r="O168" i="8" s="1"/>
  <c r="AW27" i="8"/>
  <c r="M27" i="8" s="1"/>
  <c r="AU297" i="8"/>
  <c r="K297" i="8" s="1"/>
  <c r="K369" i="8"/>
  <c r="AY123" i="8"/>
  <c r="O123" i="8" s="1"/>
  <c r="V216" i="8"/>
  <c r="AS197" i="5"/>
  <c r="AK30" i="2"/>
  <c r="AT374" i="8"/>
  <c r="J374" i="8" s="1"/>
  <c r="AY122" i="8"/>
  <c r="O122" i="8" s="1"/>
  <c r="AV348" i="8"/>
  <c r="L348" i="8" s="1"/>
  <c r="K31" i="8"/>
  <c r="AY22" i="8"/>
  <c r="O22" i="8" s="1"/>
  <c r="AP223" i="8"/>
  <c r="F223" i="8" s="1"/>
  <c r="AU5" i="8"/>
  <c r="K5" i="8" s="1"/>
  <c r="AY372" i="8"/>
  <c r="O372" i="8" s="1"/>
  <c r="AY103" i="8"/>
  <c r="O103" i="8" s="1"/>
  <c r="BA174" i="8"/>
  <c r="Q174" i="8" s="1"/>
  <c r="AU255" i="8"/>
  <c r="K255" i="8" s="1"/>
  <c r="M16" i="8"/>
  <c r="BA396" i="8"/>
  <c r="Q396" i="8" s="1"/>
  <c r="B396" i="8" s="1"/>
  <c r="AT357" i="8"/>
  <c r="J357" i="8" s="1"/>
  <c r="F114" i="8"/>
  <c r="AY95" i="8"/>
  <c r="O95" i="8" s="1"/>
  <c r="AV308" i="8"/>
  <c r="L308" i="8" s="1"/>
  <c r="AU79" i="8"/>
  <c r="K79" i="8" s="1"/>
  <c r="AP148" i="8"/>
  <c r="F148" i="8" s="1"/>
  <c r="AZ370" i="8"/>
  <c r="P370" i="8" s="1"/>
  <c r="AP192" i="8"/>
  <c r="F192" i="8" s="1"/>
  <c r="BA397" i="8"/>
  <c r="Q397" i="8" s="1"/>
  <c r="B397" i="8" s="1"/>
  <c r="AS334" i="8"/>
  <c r="I334" i="8" s="1"/>
  <c r="BF96" i="2"/>
  <c r="AW339" i="8"/>
  <c r="M339" i="8" s="1"/>
  <c r="N226" i="8"/>
  <c r="Q367" i="8"/>
  <c r="AU17" i="8"/>
  <c r="K17" i="8" s="1"/>
  <c r="L298" i="8"/>
  <c r="AY234" i="8"/>
  <c r="O234" i="8" s="1"/>
  <c r="AZ33" i="8"/>
  <c r="P33" i="8" s="1"/>
  <c r="L48" i="8"/>
  <c r="BA243" i="8"/>
  <c r="Q243" i="8" s="1"/>
  <c r="AX293" i="8"/>
  <c r="N293" i="8" s="1"/>
  <c r="F276" i="8"/>
  <c r="AU194" i="8"/>
  <c r="K194" i="8" s="1"/>
  <c r="AV4" i="8"/>
  <c r="L4" i="8" s="1"/>
  <c r="AP294" i="8"/>
  <c r="F294" i="8" s="1"/>
  <c r="AY93" i="8"/>
  <c r="O93" i="8" s="1"/>
  <c r="AX274" i="8"/>
  <c r="N274" i="8" s="1"/>
  <c r="K217" i="8"/>
  <c r="AY278" i="8"/>
  <c r="O278" i="8" s="1"/>
  <c r="N40" i="8"/>
  <c r="Q320" i="8"/>
  <c r="AY193" i="8"/>
  <c r="O193" i="8" s="1"/>
  <c r="AY378" i="8"/>
  <c r="O378" i="8" s="1"/>
  <c r="N140" i="8"/>
  <c r="F147" i="8"/>
  <c r="F22" i="8"/>
  <c r="J367" i="8"/>
  <c r="AP41" i="8"/>
  <c r="F41" i="8" s="1"/>
  <c r="AW281" i="8"/>
  <c r="M281" i="8" s="1"/>
  <c r="AY24" i="8"/>
  <c r="O24" i="8" s="1"/>
  <c r="AV342" i="8"/>
  <c r="L342" i="8" s="1"/>
  <c r="B342" i="8" s="1"/>
  <c r="AP161" i="8"/>
  <c r="F161" i="8" s="1"/>
  <c r="BA255" i="8"/>
  <c r="Q255" i="8" s="1"/>
  <c r="BA335" i="8"/>
  <c r="Q335" i="8" s="1"/>
  <c r="J379" i="8"/>
  <c r="AY257" i="8"/>
  <c r="O257" i="8" s="1"/>
  <c r="L296" i="8"/>
  <c r="AY84" i="8"/>
  <c r="O84" i="8" s="1"/>
  <c r="B84" i="8" s="1"/>
  <c r="AW25" i="8"/>
  <c r="M25" i="8" s="1"/>
  <c r="AP123" i="8"/>
  <c r="F123" i="8" s="1"/>
  <c r="I41" i="8"/>
  <c r="Q312" i="8"/>
  <c r="F137" i="8"/>
  <c r="AU282" i="8"/>
  <c r="K282" i="8" s="1"/>
  <c r="AU314" i="8"/>
  <c r="K314" i="8" s="1"/>
  <c r="BA391" i="8"/>
  <c r="Q391" i="8" s="1"/>
  <c r="B391" i="8" s="1"/>
  <c r="Q259" i="8"/>
  <c r="AP28" i="8"/>
  <c r="F28" i="8" s="1"/>
  <c r="N301" i="8"/>
  <c r="O355" i="8"/>
  <c r="BA173" i="8"/>
  <c r="Q173" i="8" s="1"/>
  <c r="F12" i="8"/>
  <c r="AW234" i="8"/>
  <c r="M234" i="8" s="1"/>
  <c r="AW179" i="8"/>
  <c r="M179" i="8" s="1"/>
  <c r="Q247" i="8"/>
  <c r="N173" i="8"/>
  <c r="AW230" i="8"/>
  <c r="M230" i="8" s="1"/>
  <c r="L186" i="8"/>
  <c r="G155" i="8"/>
  <c r="AW38" i="8"/>
  <c r="M38" i="8" s="1"/>
  <c r="N268" i="8"/>
  <c r="AP87" i="8"/>
  <c r="F87" i="8" s="1"/>
  <c r="L43" i="8"/>
  <c r="BA368" i="8"/>
  <c r="Q368" i="8" s="1"/>
  <c r="BA321" i="8"/>
  <c r="Q321" i="8" s="1"/>
  <c r="B321" i="8" s="1"/>
  <c r="AW267" i="8"/>
  <c r="M267" i="8" s="1"/>
  <c r="AW347" i="8"/>
  <c r="M347" i="8" s="1"/>
  <c r="L354" i="8"/>
  <c r="BA395" i="8"/>
  <c r="Q395" i="8" s="1"/>
  <c r="B395" i="8" s="1"/>
  <c r="AU327" i="8"/>
  <c r="K327" i="8" s="1"/>
  <c r="AU296" i="8"/>
  <c r="K296" i="8" s="1"/>
  <c r="AV32" i="8"/>
  <c r="L32" i="8" s="1"/>
  <c r="AW159" i="8"/>
  <c r="M159" i="8" s="1"/>
  <c r="AY237" i="8"/>
  <c r="O237" i="8" s="1"/>
  <c r="L54" i="8"/>
  <c r="AW244" i="8"/>
  <c r="M244" i="8" s="1"/>
  <c r="AW265" i="8"/>
  <c r="M265" i="8" s="1"/>
  <c r="AW107" i="8"/>
  <c r="M107" i="8" s="1"/>
  <c r="AP225" i="8"/>
  <c r="F225" i="8" s="1"/>
  <c r="AW323" i="8"/>
  <c r="M323" i="8" s="1"/>
  <c r="AY156" i="8"/>
  <c r="O156" i="8" s="1"/>
  <c r="F224" i="8"/>
  <c r="K372" i="8"/>
  <c r="L264" i="8"/>
  <c r="P109" i="8"/>
  <c r="AU293" i="8"/>
  <c r="K293" i="8" s="1"/>
  <c r="AV117" i="8"/>
  <c r="L117" i="8" s="1"/>
  <c r="Q190" i="8"/>
  <c r="P374" i="8"/>
  <c r="BA216" i="8"/>
  <c r="Q216" i="8" s="1"/>
  <c r="K329" i="8"/>
  <c r="AY81" i="8"/>
  <c r="O81" i="8" s="1"/>
  <c r="P247" i="8"/>
  <c r="AY11" i="8"/>
  <c r="O11" i="8" s="1"/>
  <c r="AW57" i="8"/>
  <c r="M57" i="8" s="1"/>
  <c r="L66" i="8"/>
  <c r="P351" i="8"/>
  <c r="AY34" i="8"/>
  <c r="O34" i="8" s="1"/>
  <c r="BA386" i="8"/>
  <c r="Q386" i="8" s="1"/>
  <c r="B386" i="8" s="1"/>
  <c r="AU45" i="8"/>
  <c r="K45" i="8" s="1"/>
  <c r="AU68" i="8"/>
  <c r="K68" i="8" s="1"/>
  <c r="V220" i="8"/>
  <c r="AK31" i="2"/>
  <c r="AS202" i="5"/>
  <c r="O366" i="8"/>
  <c r="L345" i="8"/>
  <c r="I366" i="8"/>
  <c r="F93" i="8"/>
  <c r="AW133" i="8"/>
  <c r="M133" i="8" s="1"/>
  <c r="L152" i="8"/>
  <c r="L199" i="8"/>
  <c r="L30" i="8"/>
  <c r="AY41" i="8"/>
  <c r="O41" i="8" s="1"/>
  <c r="AU278" i="8"/>
  <c r="K278" i="8" s="1"/>
  <c r="AU353" i="8"/>
  <c r="K353" i="8" s="1"/>
  <c r="AW368" i="8"/>
  <c r="M368" i="8" s="1"/>
  <c r="AW22" i="8"/>
  <c r="M22" i="8" s="1"/>
  <c r="AY134" i="8"/>
  <c r="O134" i="8" s="1"/>
  <c r="K276" i="8"/>
  <c r="AW17" i="8"/>
  <c r="M17" i="8" s="1"/>
  <c r="AU196" i="8"/>
  <c r="K196" i="8" s="1"/>
  <c r="AW285" i="8"/>
  <c r="M285" i="8" s="1"/>
  <c r="J378" i="8"/>
  <c r="AU116" i="8"/>
  <c r="K116" i="8" s="1"/>
  <c r="AY191" i="8"/>
  <c r="O191" i="8" s="1"/>
  <c r="AY75" i="8"/>
  <c r="O75" i="8" s="1"/>
  <c r="B75" i="8" s="1"/>
  <c r="F195" i="8"/>
  <c r="BA406" i="8"/>
  <c r="Q406" i="8" s="1"/>
  <c r="B406" i="8" s="1"/>
  <c r="L328" i="8"/>
  <c r="AW151" i="8"/>
  <c r="M151" i="8" s="1"/>
  <c r="AX213" i="8"/>
  <c r="N213" i="8" s="1"/>
  <c r="N217" i="8"/>
  <c r="AP96" i="8"/>
  <c r="F96" i="8" s="1"/>
  <c r="AW291" i="8"/>
  <c r="M291" i="8" s="1"/>
  <c r="N279" i="8"/>
  <c r="L310" i="8"/>
  <c r="P283" i="8"/>
  <c r="K59" i="8"/>
  <c r="L51" i="8"/>
  <c r="K347" i="8"/>
  <c r="AW71" i="8"/>
  <c r="M71" i="8" s="1"/>
  <c r="L303" i="8"/>
  <c r="AX289" i="8"/>
  <c r="N289" i="8" s="1"/>
  <c r="P199" i="8"/>
  <c r="K102" i="8"/>
  <c r="N215" i="8"/>
  <c r="AW231" i="8"/>
  <c r="M231" i="8" s="1"/>
  <c r="AY294" i="8"/>
  <c r="O294" i="8" s="1"/>
  <c r="AX138" i="8"/>
  <c r="N138" i="8" s="1"/>
  <c r="K310" i="8"/>
  <c r="AU301" i="8"/>
  <c r="K301" i="8" s="1"/>
  <c r="AP128" i="8"/>
  <c r="F128" i="8" s="1"/>
  <c r="AS317" i="8"/>
  <c r="I317" i="8" s="1"/>
  <c r="AU239" i="8"/>
  <c r="K239" i="8" s="1"/>
  <c r="L111" i="8"/>
  <c r="BA400" i="8"/>
  <c r="Q400" i="8" s="1"/>
  <c r="B400" i="8" s="1"/>
  <c r="L306" i="8"/>
  <c r="AY132" i="8"/>
  <c r="O132" i="8" s="1"/>
  <c r="N166" i="8"/>
  <c r="L197" i="8"/>
  <c r="L23" i="8"/>
  <c r="K227" i="8"/>
  <c r="N200" i="8"/>
  <c r="P366" i="8"/>
  <c r="BA253" i="8"/>
  <c r="Q253" i="8" s="1"/>
  <c r="AV64" i="8"/>
  <c r="L64" i="8" s="1"/>
  <c r="AW366" i="8"/>
  <c r="M366" i="8" s="1"/>
  <c r="P8" i="8"/>
  <c r="AV209" i="8"/>
  <c r="L209" i="8" s="1"/>
  <c r="L174" i="8"/>
  <c r="AY363" i="8"/>
  <c r="O363" i="8" s="1"/>
  <c r="BA3" i="8"/>
  <c r="Q3" i="8" s="1"/>
  <c r="AU165" i="8"/>
  <c r="K165" i="8" s="1"/>
  <c r="N372" i="8"/>
  <c r="AY373" i="8"/>
  <c r="O373" i="8" s="1"/>
  <c r="AT222" i="8"/>
  <c r="J222" i="8" s="1"/>
  <c r="B222" i="8" s="1"/>
  <c r="AU15" i="8"/>
  <c r="K15" i="8" s="1"/>
  <c r="N137" i="8"/>
  <c r="AW129" i="8"/>
  <c r="M129" i="8" s="1"/>
  <c r="F135" i="8"/>
  <c r="AX97" i="8"/>
  <c r="N97" i="8" s="1"/>
  <c r="AU281" i="8"/>
  <c r="K281" i="8" s="1"/>
  <c r="M162" i="8"/>
  <c r="AW369" i="8"/>
  <c r="M369" i="8" s="1"/>
  <c r="AU48" i="8"/>
  <c r="K48" i="8" s="1"/>
  <c r="AY287" i="8"/>
  <c r="O287" i="8" s="1"/>
  <c r="AV333" i="8"/>
  <c r="L333" i="8" s="1"/>
  <c r="N114" i="8"/>
  <c r="BA23" i="8"/>
  <c r="Q23" i="8" s="1"/>
  <c r="K355" i="8"/>
  <c r="AX239" i="8"/>
  <c r="N239" i="8" s="1"/>
  <c r="AU266" i="8"/>
  <c r="K266" i="8" s="1"/>
  <c r="BA340" i="8"/>
  <c r="Q340" i="8" s="1"/>
  <c r="AQ107" i="8"/>
  <c r="G107" i="8" s="1"/>
  <c r="AX190" i="8"/>
  <c r="N190" i="8" s="1"/>
  <c r="AV305" i="8"/>
  <c r="L305" i="8" s="1"/>
  <c r="AQ9" i="8"/>
  <c r="G9" i="8" s="1"/>
  <c r="AU319" i="8"/>
  <c r="K319" i="8" s="1"/>
  <c r="AU80" i="8"/>
  <c r="K80" i="8" s="1"/>
  <c r="AV67" i="8"/>
  <c r="L67" i="8" s="1"/>
  <c r="AU312" i="8"/>
  <c r="K312" i="8" s="1"/>
  <c r="AY374" i="8"/>
  <c r="O374" i="8" s="1"/>
  <c r="Q308" i="8"/>
  <c r="AX206" i="8"/>
  <c r="N206" i="8" s="1"/>
  <c r="AU137" i="8"/>
  <c r="K137" i="8" s="1"/>
  <c r="BA74" i="8"/>
  <c r="Q74" i="8" s="1"/>
  <c r="AP97" i="8"/>
  <c r="F97" i="8" s="1"/>
  <c r="BA5" i="8"/>
  <c r="Q5" i="8" s="1"/>
  <c r="AY99" i="8"/>
  <c r="O99" i="8" s="1"/>
  <c r="AW5" i="8"/>
  <c r="M5" i="8" s="1"/>
  <c r="AP70" i="8"/>
  <c r="F70" i="8" s="1"/>
  <c r="L375" i="8"/>
  <c r="AW138" i="8"/>
  <c r="M138" i="8" s="1"/>
  <c r="AW28" i="8"/>
  <c r="M28" i="8" s="1"/>
  <c r="BA351" i="8"/>
  <c r="Q351" i="8" s="1"/>
  <c r="AY45" i="8"/>
  <c r="O45" i="8" s="1"/>
  <c r="J352" i="8"/>
  <c r="AV231" i="8"/>
  <c r="L231" i="8" s="1"/>
  <c r="AW336" i="8"/>
  <c r="M336" i="8" s="1"/>
  <c r="N9" i="8"/>
  <c r="AU269" i="8"/>
  <c r="K269" i="8" s="1"/>
  <c r="AW269" i="8"/>
  <c r="M269" i="8" s="1"/>
  <c r="O369" i="8"/>
  <c r="AP181" i="8"/>
  <c r="F181" i="8" s="1"/>
  <c r="BA136" i="8"/>
  <c r="Q136" i="8" s="1"/>
  <c r="AX13" i="8"/>
  <c r="N13" i="8" s="1"/>
  <c r="AS345" i="8"/>
  <c r="I345" i="8" s="1"/>
  <c r="AU354" i="8"/>
  <c r="K354" i="8" s="1"/>
  <c r="AU267" i="8"/>
  <c r="K267" i="8" s="1"/>
  <c r="N58" i="8"/>
  <c r="BA78" i="8"/>
  <c r="Q78" i="8" s="1"/>
  <c r="AX76" i="8"/>
  <c r="N76" i="8" s="1"/>
  <c r="AT358" i="8"/>
  <c r="J358" i="8" s="1"/>
  <c r="AU64" i="8"/>
  <c r="K64" i="8" s="1"/>
  <c r="BA171" i="8"/>
  <c r="Q171" i="8" s="1"/>
  <c r="AV325" i="8"/>
  <c r="L325" i="8" s="1"/>
  <c r="F242" i="8"/>
  <c r="M196" i="8"/>
  <c r="AY67" i="8"/>
  <c r="O67" i="8" s="1"/>
  <c r="AP64" i="8"/>
  <c r="F64" i="8" s="1"/>
  <c r="AY112" i="8"/>
  <c r="O112" i="8" s="1"/>
  <c r="F230" i="8"/>
  <c r="K149" i="8"/>
  <c r="BA334" i="8"/>
  <c r="Q334" i="8" s="1"/>
  <c r="AP111" i="8"/>
  <c r="F111" i="8" s="1"/>
  <c r="BA267" i="8"/>
  <c r="Q267" i="8" s="1"/>
  <c r="N22" i="8"/>
  <c r="P357" i="8"/>
  <c r="AY154" i="8"/>
  <c r="O154" i="8" s="1"/>
  <c r="K324" i="8"/>
  <c r="AY163" i="8"/>
  <c r="O163" i="8" s="1"/>
  <c r="AU109" i="8"/>
  <c r="K109" i="8" s="1"/>
  <c r="AW248" i="8"/>
  <c r="M248" i="8" s="1"/>
  <c r="AU306" i="8"/>
  <c r="K306" i="8" s="1"/>
  <c r="AP50" i="8"/>
  <c r="F50" i="8" s="1"/>
  <c r="AX242" i="8"/>
  <c r="N242" i="8" s="1"/>
  <c r="P375" i="8"/>
  <c r="AU178" i="8"/>
  <c r="K178" i="8" s="1"/>
  <c r="AW373" i="8"/>
  <c r="M373" i="8" s="1"/>
  <c r="Q201" i="8"/>
  <c r="Y158" i="8"/>
  <c r="AV133" i="5"/>
  <c r="L31" i="8"/>
  <c r="B31" i="8" s="1"/>
  <c r="AY246" i="8"/>
  <c r="O246" i="8" s="1"/>
  <c r="N353" i="8"/>
  <c r="AP10" i="8"/>
  <c r="F10" i="8" s="1"/>
  <c r="AW112" i="8"/>
  <c r="M112" i="8" s="1"/>
  <c r="BA179" i="8"/>
  <c r="Q179" i="8" s="1"/>
  <c r="Q379" i="8"/>
  <c r="I56" i="8"/>
  <c r="AU249" i="8"/>
  <c r="K249" i="8" s="1"/>
  <c r="AV104" i="8"/>
  <c r="L104" i="8" s="1"/>
  <c r="AV282" i="8"/>
  <c r="L282" i="8" s="1"/>
  <c r="AW297" i="8"/>
  <c r="M297" i="8" s="1"/>
  <c r="AW50" i="8"/>
  <c r="M50" i="8" s="1"/>
  <c r="K28" i="8"/>
  <c r="J351" i="8"/>
  <c r="AU215" i="8"/>
  <c r="K215" i="8" s="1"/>
  <c r="AX35" i="8"/>
  <c r="N35" i="8" s="1"/>
  <c r="P377" i="8"/>
  <c r="AY358" i="8"/>
  <c r="O358" i="8" s="1"/>
  <c r="K374" i="8"/>
  <c r="M207" i="8"/>
  <c r="AU362" i="8"/>
  <c r="K362" i="8" s="1"/>
  <c r="AV299" i="8"/>
  <c r="L299" i="8" s="1"/>
  <c r="AV18" i="8"/>
  <c r="L18" i="8" s="1"/>
  <c r="BA13" i="8"/>
  <c r="Q13" i="8" s="1"/>
  <c r="AZ233" i="8"/>
  <c r="P233" i="8" s="1"/>
  <c r="L318" i="8"/>
  <c r="AS220" i="8"/>
  <c r="I220" i="8" s="1"/>
  <c r="AP46" i="8"/>
  <c r="F46" i="8" s="1"/>
  <c r="AS264" i="8"/>
  <c r="I264" i="8" s="1"/>
  <c r="AV362" i="8"/>
  <c r="L362" i="8" s="1"/>
  <c r="AU256" i="8"/>
  <c r="K256" i="8" s="1"/>
  <c r="AY161" i="8"/>
  <c r="O161" i="8" s="1"/>
  <c r="AW300" i="8"/>
  <c r="M300" i="8" s="1"/>
  <c r="K365" i="8"/>
  <c r="BA318" i="8"/>
  <c r="Q318" i="8" s="1"/>
  <c r="AY277" i="8"/>
  <c r="O277" i="8" s="1"/>
  <c r="AX59" i="8"/>
  <c r="N59" i="8" s="1"/>
  <c r="AX374" i="8"/>
  <c r="N374" i="8" s="1"/>
  <c r="AY181" i="8"/>
  <c r="O181" i="8" s="1"/>
  <c r="AW73" i="8"/>
  <c r="M73" i="8" s="1"/>
  <c r="AX53" i="8"/>
  <c r="N53" i="8" s="1"/>
  <c r="AY375" i="8"/>
  <c r="O375" i="8" s="1"/>
  <c r="AV226" i="8"/>
  <c r="L226" i="8" s="1"/>
  <c r="L101" i="8"/>
  <c r="BA375" i="8"/>
  <c r="Q375" i="8" s="1"/>
  <c r="M48" i="8"/>
  <c r="AP52" i="8"/>
  <c r="F52" i="8" s="1"/>
  <c r="N209" i="8"/>
  <c r="AU100" i="8"/>
  <c r="K100" i="8" s="1"/>
  <c r="AW206" i="8"/>
  <c r="M206" i="8" s="1"/>
  <c r="AU364" i="8"/>
  <c r="K364" i="8" s="1"/>
  <c r="AP60" i="8"/>
  <c r="F60" i="8" s="1"/>
  <c r="AW348" i="8"/>
  <c r="M348" i="8" s="1"/>
  <c r="AV63" i="8"/>
  <c r="L63" i="8" s="1"/>
  <c r="L132" i="8"/>
  <c r="AY269" i="8"/>
  <c r="O269" i="8" s="1"/>
  <c r="Q353" i="8"/>
  <c r="B331" i="8" l="1"/>
  <c r="B128" i="8"/>
  <c r="B305" i="8"/>
  <c r="B327" i="8"/>
  <c r="B325" i="8"/>
  <c r="B333" i="8"/>
  <c r="B306" i="8"/>
  <c r="B149" i="8"/>
  <c r="B346" i="8"/>
  <c r="B336" i="8"/>
  <c r="B206" i="8"/>
  <c r="B25" i="8"/>
  <c r="B337" i="8"/>
  <c r="B106" i="8"/>
  <c r="B335" i="8"/>
  <c r="B116" i="8"/>
  <c r="B285" i="8"/>
  <c r="B307" i="8"/>
  <c r="B48" i="8"/>
  <c r="B96" i="8"/>
  <c r="B144" i="8"/>
  <c r="B205" i="8"/>
  <c r="B316" i="8"/>
  <c r="B118" i="8"/>
  <c r="B146" i="8"/>
  <c r="B160" i="8"/>
  <c r="B117" i="8"/>
  <c r="B197" i="8"/>
  <c r="B212" i="8"/>
  <c r="B365" i="8"/>
  <c r="B291" i="8"/>
  <c r="B275" i="8"/>
  <c r="B362" i="8"/>
  <c r="B341" i="8"/>
  <c r="B50" i="8"/>
  <c r="B148" i="8"/>
  <c r="B108" i="8"/>
  <c r="B68" i="8"/>
  <c r="B203" i="8"/>
  <c r="B367" i="8"/>
  <c r="B124" i="8"/>
  <c r="B194" i="8"/>
  <c r="B295" i="8"/>
  <c r="B319" i="8"/>
  <c r="B284" i="8"/>
  <c r="B289" i="8"/>
  <c r="B357" i="8"/>
  <c r="B167" i="8"/>
  <c r="B322" i="8"/>
  <c r="B250" i="8"/>
  <c r="B62" i="8"/>
  <c r="B40" i="8"/>
  <c r="B49" i="8"/>
  <c r="B239" i="8"/>
  <c r="B207" i="8"/>
  <c r="B244" i="8"/>
  <c r="B265" i="8"/>
  <c r="B4" i="8"/>
  <c r="B251" i="8"/>
  <c r="B2" i="8"/>
  <c r="B28" i="8"/>
  <c r="B298" i="8"/>
  <c r="B290" i="8"/>
  <c r="B369" i="8"/>
  <c r="B115" i="8"/>
  <c r="B199" i="8"/>
  <c r="B66" i="8"/>
  <c r="B371" i="8"/>
  <c r="B261" i="8"/>
  <c r="B376" i="8"/>
  <c r="B130" i="8"/>
  <c r="B219" i="8"/>
  <c r="B175" i="8"/>
  <c r="B355" i="8"/>
  <c r="B236" i="8"/>
  <c r="B271" i="8"/>
  <c r="B348" i="8"/>
  <c r="B320" i="8"/>
  <c r="B202" i="8"/>
  <c r="B27" i="8"/>
  <c r="B133" i="8"/>
  <c r="B345" i="8"/>
  <c r="B237" i="8"/>
  <c r="B373" i="8"/>
  <c r="B17" i="8"/>
  <c r="B19" i="8"/>
  <c r="B292" i="8"/>
  <c r="B280" i="8"/>
  <c r="B324" i="8"/>
  <c r="B8" i="8"/>
  <c r="B248" i="8"/>
  <c r="B189" i="8"/>
  <c r="B356" i="8"/>
  <c r="B344" i="8"/>
  <c r="B57" i="8"/>
  <c r="B354" i="8"/>
  <c r="B343" i="8"/>
  <c r="B351" i="8"/>
  <c r="B310" i="8"/>
  <c r="B170" i="8"/>
  <c r="B315" i="8"/>
  <c r="BA158" i="8"/>
  <c r="Q158" i="8" s="1"/>
  <c r="B24" i="8"/>
  <c r="B44" i="8"/>
  <c r="B349" i="8"/>
  <c r="B221" i="8"/>
  <c r="B121" i="8"/>
  <c r="B46" i="8"/>
  <c r="B303" i="8"/>
  <c r="B70" i="8"/>
  <c r="B287" i="8"/>
  <c r="B165" i="8"/>
  <c r="B359" i="8"/>
  <c r="B43" i="8"/>
  <c r="B140" i="8"/>
  <c r="B122" i="8"/>
  <c r="B257" i="8"/>
  <c r="B129" i="8"/>
  <c r="B317" i="8"/>
  <c r="B329" i="8"/>
  <c r="B135" i="8"/>
  <c r="B378" i="8"/>
  <c r="B93" i="8"/>
  <c r="B69" i="8"/>
  <c r="B32" i="8"/>
  <c r="B379" i="8"/>
  <c r="B20" i="8"/>
  <c r="B208" i="8"/>
  <c r="B353" i="8"/>
  <c r="B361" i="8"/>
  <c r="B228" i="8"/>
  <c r="B157" i="8"/>
  <c r="B245" i="8"/>
  <c r="B200" i="8"/>
  <c r="B10" i="8"/>
  <c r="B308" i="8"/>
  <c r="B153" i="8"/>
  <c r="B141" i="8"/>
  <c r="B30" i="8"/>
  <c r="B60" i="8"/>
  <c r="B209" i="8"/>
  <c r="B83" i="8"/>
  <c r="B283" i="8"/>
  <c r="B223" i="8"/>
  <c r="B79" i="8"/>
  <c r="B105" i="8"/>
  <c r="B366" i="8"/>
  <c r="B377" i="8"/>
  <c r="B273" i="8"/>
  <c r="B151" i="8"/>
  <c r="B260" i="8"/>
  <c r="B152" i="8"/>
  <c r="B52" i="8"/>
  <c r="B225" i="8"/>
  <c r="B73" i="8"/>
  <c r="B111" i="8"/>
  <c r="B181" i="8"/>
  <c r="B161" i="8"/>
  <c r="B45" i="8"/>
  <c r="B296" i="8"/>
  <c r="B339" i="8"/>
  <c r="B107" i="8"/>
  <c r="B352" i="8"/>
  <c r="B235" i="8"/>
  <c r="B164" i="8"/>
  <c r="B211" i="8"/>
  <c r="B143" i="8"/>
  <c r="B323" i="8"/>
  <c r="B3" i="8"/>
  <c r="B74" i="8"/>
  <c r="B229" i="8"/>
  <c r="B288" i="8"/>
  <c r="B33" i="8"/>
  <c r="B286" i="8"/>
  <c r="B35" i="8"/>
  <c r="B81" i="8"/>
  <c r="B277" i="8"/>
  <c r="B193" i="8"/>
  <c r="B318" i="8"/>
  <c r="B97" i="8"/>
  <c r="B67" i="8"/>
  <c r="B294" i="8"/>
  <c r="B247" i="8"/>
  <c r="B198" i="8"/>
  <c r="B168" i="8"/>
  <c r="B109" i="8"/>
  <c r="B358" i="8"/>
  <c r="B64" i="8"/>
  <c r="B41" i="8"/>
  <c r="B171" i="8"/>
  <c r="B334" i="8"/>
  <c r="B350" i="8"/>
  <c r="B166" i="8"/>
  <c r="B233" i="8"/>
  <c r="B231" i="8"/>
  <c r="B311" i="8"/>
  <c r="B256" i="8"/>
  <c r="B363" i="8"/>
  <c r="B332" i="8"/>
  <c r="B374" i="8"/>
  <c r="B76" i="8"/>
  <c r="B370" i="8"/>
  <c r="B34" i="8"/>
  <c r="B368" i="8"/>
  <c r="B278" i="8"/>
  <c r="B297" i="8"/>
  <c r="B139" i="8"/>
  <c r="B375" i="8"/>
  <c r="B314" i="8"/>
  <c r="B372" i="8"/>
  <c r="B360" i="8"/>
  <c r="B188" i="8"/>
  <c r="B364" i="8"/>
  <c r="B313" i="8"/>
  <c r="B29" i="8"/>
  <c r="B47" i="8"/>
  <c r="B13" i="8"/>
  <c r="B136" i="8"/>
  <c r="B134" i="8"/>
  <c r="B218" i="8"/>
  <c r="B330" i="8"/>
  <c r="B15" i="8"/>
  <c r="B253" i="8"/>
  <c r="B12" i="8"/>
  <c r="B226" i="8"/>
  <c r="B300" i="8"/>
  <c r="B59" i="8"/>
  <c r="B154" i="8"/>
  <c r="B174" i="8"/>
  <c r="B104" i="8"/>
  <c r="B217" i="8"/>
  <c r="B78" i="8"/>
  <c r="B102" i="8"/>
  <c r="AT220" i="8"/>
  <c r="J220" i="8" s="1"/>
  <c r="B220" i="8" s="1"/>
  <c r="B224" i="8"/>
  <c r="B114" i="8"/>
  <c r="B252" i="8"/>
  <c r="B264" i="8"/>
  <c r="B255" i="8"/>
  <c r="B42" i="8"/>
  <c r="B176" i="8"/>
  <c r="B14" i="8"/>
  <c r="AU158" i="8"/>
  <c r="K158" i="8" s="1"/>
  <c r="B279" i="8"/>
  <c r="B268" i="8"/>
  <c r="B186" i="8"/>
  <c r="B246" i="8"/>
  <c r="B242" i="8"/>
  <c r="B145" i="8"/>
  <c r="B195" i="8"/>
  <c r="B137" i="8"/>
  <c r="B22" i="8"/>
  <c r="B191" i="8"/>
  <c r="B234" i="8"/>
  <c r="AW158" i="8"/>
  <c r="M158" i="8" s="1"/>
  <c r="B266" i="8"/>
  <c r="B187" i="8"/>
  <c r="B183" i="8"/>
  <c r="B302" i="8"/>
  <c r="B63" i="8"/>
  <c r="B159" i="8"/>
  <c r="B293" i="8"/>
  <c r="B94" i="8"/>
  <c r="B204" i="8"/>
  <c r="B267" i="8"/>
  <c r="B213" i="8"/>
  <c r="B39" i="8"/>
  <c r="B82" i="8"/>
  <c r="AT87" i="8"/>
  <c r="J87" i="8" s="1"/>
  <c r="B87" i="8" s="1"/>
  <c r="AX196" i="8"/>
  <c r="N196" i="8" s="1"/>
  <c r="B196" i="8" s="1"/>
  <c r="B270" i="8"/>
  <c r="B58" i="8"/>
  <c r="B92" i="8"/>
  <c r="B156" i="8"/>
  <c r="B192" i="8"/>
  <c r="B26" i="8"/>
  <c r="B227" i="8"/>
  <c r="B110" i="8"/>
  <c r="B169" i="8"/>
  <c r="AT56" i="8"/>
  <c r="J56" i="8" s="1"/>
  <c r="B56" i="8" s="1"/>
  <c r="B65" i="8"/>
  <c r="B241" i="8"/>
  <c r="B173" i="8"/>
  <c r="B142" i="8"/>
  <c r="B340" i="8"/>
  <c r="B7" i="8"/>
  <c r="AV90" i="8"/>
  <c r="L90" i="8" s="1"/>
  <c r="B90" i="8" s="1"/>
  <c r="B249" i="8"/>
  <c r="B147" i="8"/>
  <c r="AT216" i="8"/>
  <c r="J216" i="8" s="1"/>
  <c r="B216" i="8" s="1"/>
  <c r="B127" i="8"/>
  <c r="B80" i="8"/>
  <c r="AT21" i="8"/>
  <c r="J21" i="8" s="1"/>
  <c r="B21" i="8" s="1"/>
  <c r="B299" i="8"/>
  <c r="B214" i="8"/>
  <c r="B274" i="8"/>
  <c r="B243" i="8"/>
  <c r="P158" i="8"/>
  <c r="AY158" i="8"/>
  <c r="O158" i="8" s="1"/>
  <c r="B258" i="8"/>
  <c r="B91" i="8"/>
  <c r="B262" i="8"/>
  <c r="B150" i="8"/>
  <c r="B179" i="8"/>
  <c r="B215" i="8"/>
  <c r="B53" i="8"/>
  <c r="B113" i="8"/>
  <c r="B276" i="8"/>
  <c r="B138" i="8"/>
  <c r="B254" i="8"/>
  <c r="B72" i="8"/>
  <c r="B163" i="8"/>
  <c r="B177" i="8"/>
  <c r="B123" i="8"/>
  <c r="B71" i="8"/>
  <c r="B162" i="8"/>
  <c r="B77" i="8"/>
  <c r="B18" i="8"/>
  <c r="B269" i="8"/>
  <c r="B282" i="8"/>
  <c r="AS158" i="8"/>
  <c r="I158" i="8" s="1"/>
  <c r="B240" i="8"/>
  <c r="B301" i="8"/>
  <c r="B312" i="8"/>
  <c r="B119" i="8"/>
  <c r="B112" i="8"/>
  <c r="B100" i="8"/>
  <c r="B95" i="8"/>
  <c r="B54" i="8"/>
  <c r="B61" i="8"/>
  <c r="B155" i="8"/>
  <c r="B180" i="8"/>
  <c r="B178" i="8"/>
  <c r="B86" i="8"/>
  <c r="B99" i="8"/>
  <c r="B103" i="8"/>
  <c r="B125" i="8"/>
  <c r="B230" i="8"/>
  <c r="B6" i="8"/>
  <c r="B190" i="8"/>
  <c r="B328" i="8"/>
  <c r="B259" i="8"/>
  <c r="B55" i="8"/>
  <c r="B201" i="8"/>
  <c r="B9" i="8"/>
  <c r="B182" i="8"/>
  <c r="B5" i="8"/>
  <c r="B185" i="8"/>
  <c r="B281" i="8"/>
  <c r="B11" i="8"/>
  <c r="B51" i="8"/>
  <c r="B23" i="8"/>
  <c r="B16" i="8"/>
  <c r="B132" i="8"/>
  <c r="B101" i="8"/>
  <c r="B158" i="8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GPCRdb_alignment" type="6" refreshedVersion="0" background="1" saveData="1">
    <textPr fileType="mac" sourceFile="/Users/David/Downloads/GPCRdb_alignment.csv" decimal="," thousands="." tab="0" comma="1">
      <textFields count="2">
        <textField/>
        <textField/>
      </textFields>
    </textPr>
  </connection>
  <connection id="2" xr16:uid="{00000000-0015-0000-FFFF-FFFF01000000}" name="human_GPCR_fasta.fas" type="6" refreshedVersion="0" background="1" saveData="1">
    <textPr fileType="mac" sourceFile="/Users/David/Dropbox (GloriamGroup)/Projects/GPCRDB/GPCRdb_Proj_Seq_Alignments/1.Annotation_of_structures--Kasper/Future_Format_Planning/human_GPCR_fasta.fas.txt" decimal="," thousands=".">
      <textFields count="2">
        <textField/>
        <textField/>
      </textFields>
    </textPr>
  </connection>
  <connection id="3" xr16:uid="{00000000-0015-0000-FFFF-FFFF02000000}" name="xtal_templates1" type="6" refreshedVersion="0" background="1" saveData="1">
    <textPr fileType="mac" sourceFile="/Users/ntv489/protwis_vagrant/shared/data/protwis/gpcr/structure_data/annotation/xtal_templates.csv" decimal="," thousands="." comma="1">
      <textFields count="2">
        <textField/>
        <textField/>
      </textFields>
    </textPr>
  </connection>
  <connection id="4" xr16:uid="{00000000-0015-0000-FFFF-FFFF03000000}" name="xtal_templates2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5" xr16:uid="{00000000-0015-0000-FFFF-FFFF04000000}" name="xtal_templates3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6" xr16:uid="{00000000-0015-0000-FFFF-FFFF05000000}" name="xtal_templates4" type="6" refreshedVersion="0" background="1" saveData="1">
    <textPr fileType="mac" sourceFile="/Users/ntv489/protwis_vagrant/shared/data/protwis/gpcr/structure_data/annotation/xtal_templates.csv" decimal="," thousands="." comma="1">
      <textFields count="2">
        <textField/>
        <textField/>
      </textFields>
    </textPr>
  </connection>
  <connection id="7" xr16:uid="{00000000-0015-0000-FFFF-FFFF06000000}" name="xtal_templates5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8" xr16:uid="{00000000-0015-0000-FFFF-FFFF07000000}" name="xtal_templates6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9" xr16:uid="{00000000-0015-0000-FFFF-FFFF08000000}" name="xtal_templates7" type="6" refreshedVersion="0" background="1" saveData="1">
    <textPr fileType="mac" sourceFile="/Users/ntv489/pvagrant/shared/data/protwis/gpcr/structure_data/annotation/xtal_templates.csv" decimal="," thousands="." comma="1">
      <textFields count="2">
        <textField/>
        <textField/>
      </textFields>
    </textPr>
  </connection>
  <connection id="10" xr16:uid="{00000000-0015-0000-FFFF-FFFF09000000}" name="xtal_templates8" type="6" refreshedVersion="0" background="1" saveData="1">
    <textPr fileType="mac" sourceFile="/Users/ntv489/pvagrant/shared/data/protwis/gpcr/structure_data/annotation/xtal_templates.csv" decimal="," thousands="." comma="1">
      <textFields count="2">
        <textField/>
        <textField/>
      </textFields>
    </textPr>
  </connection>
  <connection id="11" xr16:uid="{00000000-0015-0000-FFFF-FFFF0A000000}" name="xtal_templates9" type="6" refreshedVersion="0" background="1" saveData="1">
    <textPr fileType="mac" sourceFile="/Users/ntv489/pvagrant/shared/data/protwis/gpcr/structure_data/annotation/xtal_templates.csv" decimal="," thousands="." tab="0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<sst xmlns="http://schemas.openxmlformats.org/spreadsheetml/2006/main" count="17024" uniqueCount="1677">
  <si>
    <t>LigType</t>
  </si>
  <si>
    <t>A</t>
  </si>
  <si>
    <t>Aminergic</t>
  </si>
  <si>
    <t>TM1</t>
  </si>
  <si>
    <t>TM2</t>
  </si>
  <si>
    <t>2x551</t>
  </si>
  <si>
    <t>TM3</t>
  </si>
  <si>
    <t>TM4</t>
  </si>
  <si>
    <t>TM5</t>
  </si>
  <si>
    <t>5x461</t>
  </si>
  <si>
    <t>TM6</t>
  </si>
  <si>
    <t>TM7</t>
  </si>
  <si>
    <t>7x44</t>
  </si>
  <si>
    <t>1x411</t>
  </si>
  <si>
    <t>4x58</t>
  </si>
  <si>
    <t>Adenosine</t>
  </si>
  <si>
    <t>Gs</t>
  </si>
  <si>
    <t>Peptide</t>
  </si>
  <si>
    <t>4x57</t>
  </si>
  <si>
    <t>Lipid</t>
  </si>
  <si>
    <t>4x56</t>
  </si>
  <si>
    <t>23x501</t>
  </si>
  <si>
    <t>Other</t>
  </si>
  <si>
    <t>-</t>
  </si>
  <si>
    <t>GalphaCT</t>
  </si>
  <si>
    <t>4x491</t>
  </si>
  <si>
    <t>4x52</t>
  </si>
  <si>
    <t>C</t>
  </si>
  <si>
    <t>F</t>
  </si>
  <si>
    <t>Protein</t>
  </si>
  <si>
    <t>PDB</t>
  </si>
  <si>
    <t>UniProt</t>
  </si>
  <si>
    <t>glr_human</t>
  </si>
  <si>
    <t>smo_human</t>
  </si>
  <si>
    <t>5ht1b_human</t>
  </si>
  <si>
    <t>5ht2b_human</t>
  </si>
  <si>
    <t>AA2AR_human</t>
  </si>
  <si>
    <t>ADRB2_human</t>
  </si>
  <si>
    <t>crfr1_human</t>
  </si>
  <si>
    <t>ACM2_human</t>
  </si>
  <si>
    <t>grm1_human</t>
  </si>
  <si>
    <t>grm5_human</t>
  </si>
  <si>
    <t>US28_hcmva</t>
  </si>
  <si>
    <t>OPSD_bovin</t>
  </si>
  <si>
    <t>OPRM_mouse</t>
  </si>
  <si>
    <t>OPRD_mouse</t>
  </si>
  <si>
    <t>NTR1_rat</t>
  </si>
  <si>
    <t>ADRB1_melga</t>
  </si>
  <si>
    <t>ACM3_rat</t>
  </si>
  <si>
    <t>5EE7</t>
  </si>
  <si>
    <t>4GRV</t>
  </si>
  <si>
    <t>4L6R</t>
  </si>
  <si>
    <t>4PHU</t>
  </si>
  <si>
    <t>1U19</t>
  </si>
  <si>
    <t>3DQB</t>
  </si>
  <si>
    <t>4ZWJ</t>
  </si>
  <si>
    <t>4QIN</t>
  </si>
  <si>
    <t>4OO9</t>
  </si>
  <si>
    <t>5CGC</t>
  </si>
  <si>
    <t>5CGD</t>
  </si>
  <si>
    <t>4IAR</t>
  </si>
  <si>
    <t>5DSG</t>
  </si>
  <si>
    <t>5CXV</t>
  </si>
  <si>
    <t>3ODU</t>
  </si>
  <si>
    <t>4EJ4</t>
  </si>
  <si>
    <t>4DKL</t>
  </si>
  <si>
    <t>3P0G</t>
  </si>
  <si>
    <t>4EA3</t>
  </si>
  <si>
    <t>4MQS</t>
  </si>
  <si>
    <t>4YAY</t>
  </si>
  <si>
    <t>4IB4</t>
  </si>
  <si>
    <t>4U15</t>
  </si>
  <si>
    <t>3PBL</t>
  </si>
  <si>
    <t>3RZE</t>
  </si>
  <si>
    <t>4MBS</t>
  </si>
  <si>
    <t>2RH1</t>
  </si>
  <si>
    <t>3D4S</t>
  </si>
  <si>
    <t>4LDE</t>
  </si>
  <si>
    <t>4QKX</t>
  </si>
  <si>
    <t>3UON</t>
  </si>
  <si>
    <t>2YDV</t>
  </si>
  <si>
    <t>4EIY</t>
  </si>
  <si>
    <t>4BVN</t>
  </si>
  <si>
    <t>3REY</t>
  </si>
  <si>
    <t>5C1M</t>
  </si>
  <si>
    <t>3SN6</t>
  </si>
  <si>
    <t>4JKV</t>
  </si>
  <si>
    <t>4N6H</t>
  </si>
  <si>
    <t>4DJH</t>
  </si>
  <si>
    <t>4Z35</t>
  </si>
  <si>
    <t>4ZJ8</t>
  </si>
  <si>
    <t>4ZJC</t>
  </si>
  <si>
    <t>4S0V</t>
  </si>
  <si>
    <t>3VW7</t>
  </si>
  <si>
    <t>3V2Y</t>
  </si>
  <si>
    <t>4K5Y</t>
  </si>
  <si>
    <t>4OR2</t>
  </si>
  <si>
    <t>2Z73</t>
  </si>
  <si>
    <t>OPSD_todpa</t>
  </si>
  <si>
    <t>Cl</t>
  </si>
  <si>
    <t>_wt</t>
  </si>
  <si>
    <t>GPCR</t>
  </si>
  <si>
    <t>adrb3_human</t>
  </si>
  <si>
    <t>lpar1_human</t>
  </si>
  <si>
    <t>s1pr1_human</t>
  </si>
  <si>
    <t>casr_human</t>
  </si>
  <si>
    <t>gabr1_human</t>
  </si>
  <si>
    <t>gabr2_human</t>
  </si>
  <si>
    <t>gp156_human</t>
  </si>
  <si>
    <t>gp158_human</t>
  </si>
  <si>
    <t>gp179_human</t>
  </si>
  <si>
    <t>gpc5b_human</t>
  </si>
  <si>
    <t>gpc5c_human</t>
  </si>
  <si>
    <t>gpc5d_human</t>
  </si>
  <si>
    <t>gpc6a_human</t>
  </si>
  <si>
    <t>grm2_human</t>
  </si>
  <si>
    <t>grm3_human</t>
  </si>
  <si>
    <t>grm4_human</t>
  </si>
  <si>
    <t>grm6_human</t>
  </si>
  <si>
    <t>grm7_human</t>
  </si>
  <si>
    <t>grm8_human</t>
  </si>
  <si>
    <t>rai3_human</t>
  </si>
  <si>
    <t>ts1r1_human</t>
  </si>
  <si>
    <t>ts1r2_human</t>
  </si>
  <si>
    <t>ts1r3_human</t>
  </si>
  <si>
    <t>adrb1_human</t>
  </si>
  <si>
    <t>adrb2_human</t>
  </si>
  <si>
    <t>ntr1_human</t>
  </si>
  <si>
    <t>5ht1a_human</t>
  </si>
  <si>
    <t>5ht1d_human</t>
  </si>
  <si>
    <t>5ht1e_human</t>
  </si>
  <si>
    <t>5ht1f_human</t>
  </si>
  <si>
    <t>5ht2a_human</t>
  </si>
  <si>
    <t>5ht2c_human</t>
  </si>
  <si>
    <t>5ht4r_human</t>
  </si>
  <si>
    <t>5ht5a_human</t>
  </si>
  <si>
    <t>5ht6r_human</t>
  </si>
  <si>
    <t>5ht7r_human</t>
  </si>
  <si>
    <t>aa1r_human</t>
  </si>
  <si>
    <t>aa2ar_human</t>
  </si>
  <si>
    <t>aa2br_human</t>
  </si>
  <si>
    <t>aa3r_human</t>
  </si>
  <si>
    <t>ackr1_human</t>
  </si>
  <si>
    <t>ackr2_human</t>
  </si>
  <si>
    <t>ackr3_human</t>
  </si>
  <si>
    <t>ackr4_human</t>
  </si>
  <si>
    <t>acm1_human</t>
  </si>
  <si>
    <t>acm2_human</t>
  </si>
  <si>
    <t>acm3_human</t>
  </si>
  <si>
    <t>acm4_human</t>
  </si>
  <si>
    <t>acm5_human</t>
  </si>
  <si>
    <t>acthr_human</t>
  </si>
  <si>
    <t>ada1a_human</t>
  </si>
  <si>
    <t>ada1b_human</t>
  </si>
  <si>
    <t>ada1d_human</t>
  </si>
  <si>
    <t>ada2a_human</t>
  </si>
  <si>
    <t>ada2b_human</t>
  </si>
  <si>
    <t>ada2c_human</t>
  </si>
  <si>
    <t>agtr1_human</t>
  </si>
  <si>
    <t>agtr2_human</t>
  </si>
  <si>
    <t>apj_human</t>
  </si>
  <si>
    <t>bkrb1_human</t>
  </si>
  <si>
    <t>bkrb2_human</t>
  </si>
  <si>
    <t>brs3_human</t>
  </si>
  <si>
    <t>c3ar_human</t>
  </si>
  <si>
    <t>c5ar1_human</t>
  </si>
  <si>
    <t>c5ar2_human</t>
  </si>
  <si>
    <t>cckar_human</t>
  </si>
  <si>
    <t>ccr1_human</t>
  </si>
  <si>
    <t>ccr10_human</t>
  </si>
  <si>
    <t>ccr2_human</t>
  </si>
  <si>
    <t>ccr3_human</t>
  </si>
  <si>
    <t>ccr4_human</t>
  </si>
  <si>
    <t>ccr5_human</t>
  </si>
  <si>
    <t>ccr6_human</t>
  </si>
  <si>
    <t>ccr7_human</t>
  </si>
  <si>
    <t>ccr8_human</t>
  </si>
  <si>
    <t>ccr9_human</t>
  </si>
  <si>
    <t>ccrl2_human</t>
  </si>
  <si>
    <t>cltr1_human</t>
  </si>
  <si>
    <t>cltr2_human</t>
  </si>
  <si>
    <t>cml1_human</t>
  </si>
  <si>
    <t>cnr1_human</t>
  </si>
  <si>
    <t>cnr2_human</t>
  </si>
  <si>
    <t>cx3c1_human</t>
  </si>
  <si>
    <t>cxcr1_human</t>
  </si>
  <si>
    <t>cxcr2_human</t>
  </si>
  <si>
    <t>cxcr3_human</t>
  </si>
  <si>
    <t>cxcr5_human</t>
  </si>
  <si>
    <t>cxcr6_human</t>
  </si>
  <si>
    <t>drd1_human</t>
  </si>
  <si>
    <t>drd2_human</t>
  </si>
  <si>
    <t>drd3_human</t>
  </si>
  <si>
    <t>drd4_human</t>
  </si>
  <si>
    <t>drd5_human</t>
  </si>
  <si>
    <t>ednra_human</t>
  </si>
  <si>
    <t>ednrb_human</t>
  </si>
  <si>
    <t>ffar2_human</t>
  </si>
  <si>
    <t>ffar3_human</t>
  </si>
  <si>
    <t>ffar4_human</t>
  </si>
  <si>
    <t>fpr1_human</t>
  </si>
  <si>
    <t>fpr2_human</t>
  </si>
  <si>
    <t>fpr3_human</t>
  </si>
  <si>
    <t>fshr_human</t>
  </si>
  <si>
    <t>galr1_human</t>
  </si>
  <si>
    <t>galr2_human</t>
  </si>
  <si>
    <t>galr3_human</t>
  </si>
  <si>
    <t>gasr_human</t>
  </si>
  <si>
    <t>ghsr_human</t>
  </si>
  <si>
    <t>gnrhr_human</t>
  </si>
  <si>
    <t>gnrr2_human</t>
  </si>
  <si>
    <t>gp101_human</t>
  </si>
  <si>
    <t>gp119_human</t>
  </si>
  <si>
    <t>gp132_human</t>
  </si>
  <si>
    <t>gp135_human</t>
  </si>
  <si>
    <t>gp139_human</t>
  </si>
  <si>
    <t>gp141_human</t>
  </si>
  <si>
    <t>gp142_human</t>
  </si>
  <si>
    <t>gp146_human</t>
  </si>
  <si>
    <t>gp148_human</t>
  </si>
  <si>
    <t>gp149_human</t>
  </si>
  <si>
    <t>gp150_human</t>
  </si>
  <si>
    <t>gp151_human</t>
  </si>
  <si>
    <t>gp152_human</t>
  </si>
  <si>
    <t>gp153_human</t>
  </si>
  <si>
    <t>gp160_human</t>
  </si>
  <si>
    <t>gp161_human</t>
  </si>
  <si>
    <t>gp162_human</t>
  </si>
  <si>
    <t>gp171_human</t>
  </si>
  <si>
    <t>gp173_human</t>
  </si>
  <si>
    <t>gp174_human</t>
  </si>
  <si>
    <t>gp176_human</t>
  </si>
  <si>
    <t>gp182_human</t>
  </si>
  <si>
    <t>gp183_human</t>
  </si>
  <si>
    <t>gpbar_human</t>
  </si>
  <si>
    <t>gper1_human</t>
  </si>
  <si>
    <t>gpr1_human</t>
  </si>
  <si>
    <t>gpr12_human</t>
  </si>
  <si>
    <t>gpr15_human</t>
  </si>
  <si>
    <t>gpr17_human</t>
  </si>
  <si>
    <t>gpr18_human</t>
  </si>
  <si>
    <t>gpr19_human</t>
  </si>
  <si>
    <t>gpr20_human</t>
  </si>
  <si>
    <t>gpr21_human</t>
  </si>
  <si>
    <t>gpr22_human</t>
  </si>
  <si>
    <t>gpr25_human</t>
  </si>
  <si>
    <t>gpr26_human</t>
  </si>
  <si>
    <t>gpr27_human</t>
  </si>
  <si>
    <t>gpr3_human</t>
  </si>
  <si>
    <t>gpr31_human</t>
  </si>
  <si>
    <t>gpr32_human</t>
  </si>
  <si>
    <t>gpr33_human</t>
  </si>
  <si>
    <t>gpr34_human</t>
  </si>
  <si>
    <t>gpr35_human</t>
  </si>
  <si>
    <t>gpr37_human</t>
  </si>
  <si>
    <t>gpr39_human</t>
  </si>
  <si>
    <t>gpr4_human</t>
  </si>
  <si>
    <t>gpr42_human</t>
  </si>
  <si>
    <t>gpr45_human</t>
  </si>
  <si>
    <t>gpr52_human</t>
  </si>
  <si>
    <t>gpr55_human</t>
  </si>
  <si>
    <t>gpr6_human</t>
  </si>
  <si>
    <t>gpr61_human</t>
  </si>
  <si>
    <t>gpr62_human</t>
  </si>
  <si>
    <t>gpr63_human</t>
  </si>
  <si>
    <t>gpr75_human</t>
  </si>
  <si>
    <t>gpr78_human</t>
  </si>
  <si>
    <t>gpr82_human</t>
  </si>
  <si>
    <t>gpr83_human</t>
  </si>
  <si>
    <t>gpr84_human</t>
  </si>
  <si>
    <t>gpr85_human</t>
  </si>
  <si>
    <t>gpr87_human</t>
  </si>
  <si>
    <t>gpr88_human</t>
  </si>
  <si>
    <t>grpr_human</t>
  </si>
  <si>
    <t>hcar1_human</t>
  </si>
  <si>
    <t>hcar2_human</t>
  </si>
  <si>
    <t>hcar3_human</t>
  </si>
  <si>
    <t>hrh1_human</t>
  </si>
  <si>
    <t>hrh2_human</t>
  </si>
  <si>
    <t>hrh3_human</t>
  </si>
  <si>
    <t>hrh4_human</t>
  </si>
  <si>
    <t>kissr_human</t>
  </si>
  <si>
    <t>lgr4_human</t>
  </si>
  <si>
    <t>lgr5_human</t>
  </si>
  <si>
    <t>lgr6_human</t>
  </si>
  <si>
    <t>lpar2_human</t>
  </si>
  <si>
    <t>lpar3_human</t>
  </si>
  <si>
    <t>lpar4_human</t>
  </si>
  <si>
    <t>lpar5_human</t>
  </si>
  <si>
    <t>lpar6_human</t>
  </si>
  <si>
    <t>lshr_human</t>
  </si>
  <si>
    <t>lt4r1_human</t>
  </si>
  <si>
    <t>lt4r2_human</t>
  </si>
  <si>
    <t>mas_human</t>
  </si>
  <si>
    <t>mas1l_human</t>
  </si>
  <si>
    <t>mc3r_human</t>
  </si>
  <si>
    <t>mc4r_human</t>
  </si>
  <si>
    <t>mc5r_human</t>
  </si>
  <si>
    <t>mchr1_human</t>
  </si>
  <si>
    <t>mchr2_human</t>
  </si>
  <si>
    <t>mrgrd_human</t>
  </si>
  <si>
    <t>mrgre_human</t>
  </si>
  <si>
    <t>mrgrf_human</t>
  </si>
  <si>
    <t>mrgrg_human</t>
  </si>
  <si>
    <t>mrgx1_human</t>
  </si>
  <si>
    <t>mrgx2_human</t>
  </si>
  <si>
    <t>mrgx3_human</t>
  </si>
  <si>
    <t>mrgx4_human</t>
  </si>
  <si>
    <t>mshr_human</t>
  </si>
  <si>
    <t>mtlr_human</t>
  </si>
  <si>
    <t>mtr1a_human</t>
  </si>
  <si>
    <t>mtr1b_human</t>
  </si>
  <si>
    <t>mtr1l_human</t>
  </si>
  <si>
    <t>nk1r_human</t>
  </si>
  <si>
    <t>nk2r_human</t>
  </si>
  <si>
    <t>nk3r_human</t>
  </si>
  <si>
    <t>nmbr_human</t>
  </si>
  <si>
    <t>nmur1_human</t>
  </si>
  <si>
    <t>nmur2_human</t>
  </si>
  <si>
    <t>npbw1_human</t>
  </si>
  <si>
    <t>npbw2_human</t>
  </si>
  <si>
    <t>npff1_human</t>
  </si>
  <si>
    <t>npff2_human</t>
  </si>
  <si>
    <t>npsr1_human</t>
  </si>
  <si>
    <t>npy1r_human</t>
  </si>
  <si>
    <t>npy2r_human</t>
  </si>
  <si>
    <t>npy4r_human</t>
  </si>
  <si>
    <t>npy5r_human</t>
  </si>
  <si>
    <t>npy6r_human</t>
  </si>
  <si>
    <t>ntr2_human</t>
  </si>
  <si>
    <t>ogr1_human</t>
  </si>
  <si>
    <t>opn3_human</t>
  </si>
  <si>
    <t>opn4_human</t>
  </si>
  <si>
    <t>opn5_human</t>
  </si>
  <si>
    <t>oprd_human</t>
  </si>
  <si>
    <t>oprk_human</t>
  </si>
  <si>
    <t>oprm_human</t>
  </si>
  <si>
    <t>opsb_human</t>
  </si>
  <si>
    <t>opsd_human</t>
  </si>
  <si>
    <t>opsg_human</t>
  </si>
  <si>
    <t>opsr_human</t>
  </si>
  <si>
    <t>oxer1_human</t>
  </si>
  <si>
    <t>oxgr1_human</t>
  </si>
  <si>
    <t>oxyr_human</t>
  </si>
  <si>
    <t>p2ry1_human</t>
  </si>
  <si>
    <t>p2ry2_human</t>
  </si>
  <si>
    <t>p2ry4_human</t>
  </si>
  <si>
    <t>p2ry6_human</t>
  </si>
  <si>
    <t>p2ry8_human</t>
  </si>
  <si>
    <t>p2y10_human</t>
  </si>
  <si>
    <t>p2y11_human</t>
  </si>
  <si>
    <t>p2y12_human</t>
  </si>
  <si>
    <t>p2y13_human</t>
  </si>
  <si>
    <t>p2y14_human</t>
  </si>
  <si>
    <t>par1_human</t>
  </si>
  <si>
    <t>par2_human</t>
  </si>
  <si>
    <t>par3_human</t>
  </si>
  <si>
    <t>par4_human</t>
  </si>
  <si>
    <t>pd2r_human</t>
  </si>
  <si>
    <t>pd2r2_human</t>
  </si>
  <si>
    <t>pe2r1_human</t>
  </si>
  <si>
    <t>pe2r2_human</t>
  </si>
  <si>
    <t>pe2r3_human</t>
  </si>
  <si>
    <t>pe2r4_human</t>
  </si>
  <si>
    <t>pf2r_human</t>
  </si>
  <si>
    <t>pi2r_human</t>
  </si>
  <si>
    <t>pkr1_human</t>
  </si>
  <si>
    <t>pkr2_human</t>
  </si>
  <si>
    <t>prlhr_human</t>
  </si>
  <si>
    <t>psyr_human</t>
  </si>
  <si>
    <t>ptafr_human</t>
  </si>
  <si>
    <t>qrfpr_human</t>
  </si>
  <si>
    <t>rl3r1_human</t>
  </si>
  <si>
    <t>rl3r2_human</t>
  </si>
  <si>
    <t>rxfp1_human</t>
  </si>
  <si>
    <t>rxfp2_human</t>
  </si>
  <si>
    <t>s1pr2_human</t>
  </si>
  <si>
    <t>s1pr3_human</t>
  </si>
  <si>
    <t>s1pr4_human</t>
  </si>
  <si>
    <t>s1pr5_human</t>
  </si>
  <si>
    <t>ssr1_human</t>
  </si>
  <si>
    <t>ssr2_human</t>
  </si>
  <si>
    <t>ssr3_human</t>
  </si>
  <si>
    <t>ssr4_human</t>
  </si>
  <si>
    <t>ssr5_human</t>
  </si>
  <si>
    <t>sucr1_human</t>
  </si>
  <si>
    <t>taar1_human</t>
  </si>
  <si>
    <t>taar2_human</t>
  </si>
  <si>
    <t>taar3_human</t>
  </si>
  <si>
    <t>taar5_human</t>
  </si>
  <si>
    <t>taar6_human</t>
  </si>
  <si>
    <t>taar8_human</t>
  </si>
  <si>
    <t>taar9_human</t>
  </si>
  <si>
    <t>trfr_human</t>
  </si>
  <si>
    <t>tshr_human</t>
  </si>
  <si>
    <t>ur2r_human</t>
  </si>
  <si>
    <t>v1ar_human</t>
  </si>
  <si>
    <t>v1br_human</t>
  </si>
  <si>
    <t>v2r_human</t>
  </si>
  <si>
    <t>xcr1_human</t>
  </si>
  <si>
    <t>calcr_human</t>
  </si>
  <si>
    <t>calrl_human</t>
  </si>
  <si>
    <t>crfr2_human</t>
  </si>
  <si>
    <t>ghrhr_human</t>
  </si>
  <si>
    <t>gipr_human</t>
  </si>
  <si>
    <t>glp1r_human</t>
  </si>
  <si>
    <t>glp2r_human</t>
  </si>
  <si>
    <t>pacr_human</t>
  </si>
  <si>
    <t>pth1r_human</t>
  </si>
  <si>
    <t>pth2r_human</t>
  </si>
  <si>
    <t>sctr_human</t>
  </si>
  <si>
    <t>vipr1_human</t>
  </si>
  <si>
    <t>vipr2_human</t>
  </si>
  <si>
    <t>celr1_human</t>
  </si>
  <si>
    <t>celr2_human</t>
  </si>
  <si>
    <t>celr3_human</t>
  </si>
  <si>
    <t>eltd1_human</t>
  </si>
  <si>
    <t>emr1_human</t>
  </si>
  <si>
    <t>emr2_human</t>
  </si>
  <si>
    <t>emr3_human</t>
  </si>
  <si>
    <t>emr4_human</t>
  </si>
  <si>
    <t>gp110_human</t>
  </si>
  <si>
    <t>gp111_human</t>
  </si>
  <si>
    <t>gp112_human</t>
  </si>
  <si>
    <t>gp113_human</t>
  </si>
  <si>
    <t>gp114_human</t>
  </si>
  <si>
    <t>gp115_human</t>
  </si>
  <si>
    <t>gp116_human</t>
  </si>
  <si>
    <t>gp123_human</t>
  </si>
  <si>
    <t>gp124_human</t>
  </si>
  <si>
    <t>gp125_human</t>
  </si>
  <si>
    <t>gp128_human</t>
  </si>
  <si>
    <t>gp133_human</t>
  </si>
  <si>
    <t>gp144_human</t>
  </si>
  <si>
    <t>gpr56_human</t>
  </si>
  <si>
    <t>gpr64_human</t>
  </si>
  <si>
    <t>gpr97_human</t>
  </si>
  <si>
    <t>lphn1_human</t>
  </si>
  <si>
    <t>lphn2_human</t>
  </si>
  <si>
    <t>lphn3_human</t>
  </si>
  <si>
    <t>fzd1_human</t>
  </si>
  <si>
    <t>fzd10_human</t>
  </si>
  <si>
    <t>fzd2_human</t>
  </si>
  <si>
    <t>fzd3_human</t>
  </si>
  <si>
    <t>fzd4_human</t>
  </si>
  <si>
    <t>fzd5_human</t>
  </si>
  <si>
    <t>fzd6_human</t>
  </si>
  <si>
    <t>fzd7_human</t>
  </si>
  <si>
    <t>fzd8_human</t>
  </si>
  <si>
    <t>fzd9_human</t>
  </si>
  <si>
    <t>t2r10_human</t>
  </si>
  <si>
    <t>t2r13_human</t>
  </si>
  <si>
    <t>t2r14_human</t>
  </si>
  <si>
    <t>t2r16_human</t>
  </si>
  <si>
    <t>t2r19_human</t>
  </si>
  <si>
    <t>t2r20_human</t>
  </si>
  <si>
    <t>t2r30_human</t>
  </si>
  <si>
    <t>t2r31_human</t>
  </si>
  <si>
    <t>t2r38_human</t>
  </si>
  <si>
    <t>t2r39_human</t>
  </si>
  <si>
    <t>t2r40_human</t>
  </si>
  <si>
    <t>t2r41_human</t>
  </si>
  <si>
    <t>t2r42_human</t>
  </si>
  <si>
    <t>t2r43_human</t>
  </si>
  <si>
    <t>t2r46_human</t>
  </si>
  <si>
    <t>t2r50_human</t>
  </si>
  <si>
    <t>t2r60_human</t>
  </si>
  <si>
    <t>ta2r_human</t>
  </si>
  <si>
    <t>ta2r1_human</t>
  </si>
  <si>
    <t>ta2r3_human</t>
  </si>
  <si>
    <t>ta2r4_human</t>
  </si>
  <si>
    <t>ta2r5_human</t>
  </si>
  <si>
    <t>ta2r7_human</t>
  </si>
  <si>
    <t>ta2r8_human</t>
  </si>
  <si>
    <t>ta2r9_human</t>
  </si>
  <si>
    <t>g137a_human</t>
  </si>
  <si>
    <t>gp107_human</t>
  </si>
  <si>
    <t>o51e1_human</t>
  </si>
  <si>
    <t>tpra1_human</t>
  </si>
  <si>
    <t>gp143_human</t>
  </si>
  <si>
    <t>gp157_human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</si>
  <si>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</si>
  <si>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</si>
  <si>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</si>
  <si>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</si>
  <si>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</si>
  <si>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</si>
  <si>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</si>
  <si>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</si>
  <si>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</si>
  <si>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</si>
  <si>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</si>
  <si>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</si>
  <si>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</si>
  <si>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</si>
  <si>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</si>
  <si>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</si>
  <si>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</si>
  <si>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</si>
  <si>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</si>
  <si>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</si>
  <si>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</si>
  <si>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</si>
  <si>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</si>
  <si>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</si>
  <si>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</si>
  <si>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</si>
  <si>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</si>
  <si>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</si>
  <si>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</si>
  <si>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</si>
  <si>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</si>
  <si>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</si>
  <si>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</si>
  <si>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</si>
  <si>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</si>
  <si>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</si>
  <si>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</si>
  <si>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</si>
  <si>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</si>
  <si>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</si>
  <si>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</si>
  <si>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</si>
  <si>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</si>
  <si>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</si>
  <si>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</si>
  <si>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</si>
  <si>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</si>
  <si>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</si>
  <si>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</si>
  <si>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</si>
  <si>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</si>
  <si>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</si>
  <si>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</si>
  <si>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</si>
  <si>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</si>
  <si>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</si>
  <si>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</si>
  <si>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</si>
  <si>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</si>
  <si>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</si>
  <si>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</si>
  <si>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</si>
  <si>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</si>
  <si>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</si>
  <si>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</si>
  <si>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</si>
  <si>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</si>
  <si>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</si>
  <si>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</si>
  <si>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</si>
  <si>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</si>
  <si>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</si>
  <si>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</si>
  <si>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</si>
  <si>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</si>
  <si>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</si>
  <si>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</si>
  <si>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</si>
  <si>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</si>
  <si>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</si>
  <si>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</si>
  <si>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</si>
  <si>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</si>
  <si>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</si>
  <si>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</si>
  <si>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</si>
  <si>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</si>
  <si>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</si>
  <si>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</si>
  <si>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</si>
  <si>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</si>
  <si>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</si>
  <si>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</si>
  <si>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</si>
  <si>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</si>
  <si>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</si>
  <si>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</si>
  <si>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</si>
  <si>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</si>
  <si>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</si>
  <si>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</si>
  <si>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</si>
  <si>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</si>
  <si>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</si>
  <si>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</si>
  <si>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</si>
  <si>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</si>
  <si>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</si>
  <si>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</si>
  <si>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</si>
  <si>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</si>
  <si>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</si>
  <si>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</si>
  <si>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</si>
  <si>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</si>
  <si>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</si>
  <si>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</si>
  <si>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</si>
  <si>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</si>
  <si>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</si>
  <si>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</si>
  <si>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</si>
  <si>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</si>
  <si>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</si>
  <si>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</si>
  <si>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</si>
  <si>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</si>
  <si>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</si>
  <si>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</si>
  <si>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</si>
  <si>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</si>
  <si>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</si>
  <si>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</si>
  <si>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</si>
  <si>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</si>
  <si>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</si>
  <si>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</si>
  <si>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</si>
  <si>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</si>
  <si>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</si>
  <si>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</si>
  <si>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</si>
  <si>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</si>
  <si>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</si>
  <si>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</si>
  <si>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</si>
  <si>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</si>
  <si>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</si>
  <si>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</si>
  <si>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</si>
  <si>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</si>
  <si>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</si>
  <si>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</si>
  <si>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</si>
  <si>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</si>
  <si>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</si>
  <si>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</si>
  <si>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</si>
  <si>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</si>
  <si>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</si>
  <si>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</si>
  <si>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</si>
  <si>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</si>
  <si>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</si>
  <si>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</si>
  <si>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</si>
  <si>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</si>
  <si>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</si>
  <si>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</si>
  <si>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</si>
  <si>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</si>
  <si>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</si>
  <si>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</si>
  <si>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</si>
  <si>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</si>
  <si>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</si>
  <si>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</si>
  <si>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</si>
  <si>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</si>
  <si>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</si>
  <si>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</si>
  <si>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</si>
  <si>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</si>
  <si>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</si>
  <si>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</si>
  <si>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</si>
  <si>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</si>
  <si>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</si>
  <si>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</si>
  <si>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</si>
  <si>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</si>
  <si>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</si>
  <si>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</si>
  <si>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</si>
  <si>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</si>
  <si>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</si>
  <si>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</si>
  <si>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</si>
  <si>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</si>
  <si>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</si>
  <si>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</si>
  <si>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</si>
  <si>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</si>
  <si>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</si>
  <si>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</si>
  <si>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</si>
  <si>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</si>
  <si>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</si>
  <si>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</si>
  <si>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</si>
  <si>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</si>
  <si>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</si>
  <si>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</si>
  <si>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</si>
  <si>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</si>
  <si>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</si>
  <si>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</si>
  <si>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</si>
  <si>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</si>
  <si>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</si>
  <si>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</si>
  <si>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</si>
  <si>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</si>
  <si>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</si>
  <si>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</si>
  <si>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</si>
  <si>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</si>
  <si>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</si>
  <si>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</si>
  <si>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</si>
  <si>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</si>
  <si>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</si>
  <si>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</si>
  <si>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</si>
  <si>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</si>
  <si>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</si>
  <si>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</si>
  <si>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</si>
  <si>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</si>
  <si>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</si>
  <si>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</si>
  <si>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</si>
  <si>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</si>
  <si>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</si>
  <si>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</si>
  <si>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</si>
  <si>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</si>
  <si>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</si>
  <si>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</si>
  <si>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</si>
  <si>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</si>
  <si>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</si>
  <si>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</si>
  <si>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</si>
  <si>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</si>
  <si>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</si>
  <si>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</si>
  <si>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</si>
  <si>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</si>
  <si>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</si>
  <si>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</si>
  <si>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</si>
  <si>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</si>
  <si>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</si>
  <si>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</si>
  <si>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</si>
  <si>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</si>
  <si>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</si>
  <si>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</si>
  <si>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</si>
  <si>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</si>
  <si>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</si>
  <si>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</si>
  <si>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</si>
  <si>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</si>
  <si>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</si>
  <si>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</si>
  <si>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</si>
  <si>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</si>
  <si>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</si>
  <si>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</si>
  <si>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</si>
  <si>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</si>
  <si>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</si>
  <si>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</si>
  <si>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</si>
  <si>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</si>
  <si>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</si>
  <si>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</si>
  <si>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</si>
  <si>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</si>
  <si>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</si>
  <si>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</si>
  <si>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</si>
  <si>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</si>
  <si>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</si>
  <si>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</si>
  <si>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</si>
  <si>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</si>
  <si>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</si>
  <si>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</si>
  <si>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</si>
  <si>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</si>
  <si>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</si>
  <si>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</si>
  <si>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</si>
  <si>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</si>
  <si>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</si>
  <si>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</si>
  <si>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</si>
  <si>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</si>
  <si>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</si>
  <si>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</si>
  <si>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</si>
  <si>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</si>
  <si>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</si>
  <si>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</si>
  <si>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</si>
  <si>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</si>
  <si>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</si>
  <si>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</si>
  <si>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</si>
  <si>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</si>
  <si>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</si>
  <si>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</si>
  <si>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</si>
  <si>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</si>
  <si>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</si>
  <si>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</si>
  <si>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</si>
  <si>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</si>
  <si>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</si>
  <si>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</si>
  <si>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</si>
  <si>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</si>
  <si>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</si>
  <si>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</si>
  <si>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</si>
  <si>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</si>
  <si>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</si>
  <si>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</si>
  <si>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</si>
  <si>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</si>
  <si>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</si>
  <si>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</si>
  <si>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</si>
  <si>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</si>
  <si>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</si>
  <si>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</si>
  <si>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</si>
  <si>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</si>
  <si>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</si>
  <si>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</si>
  <si>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</si>
  <si>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</si>
  <si>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</si>
  <si>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</si>
  <si>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</si>
  <si>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</si>
  <si>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</si>
  <si>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</si>
  <si>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</si>
  <si>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</si>
  <si>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</si>
  <si>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</si>
  <si>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</si>
  <si>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</si>
  <si>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</si>
  <si>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</si>
  <si>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</si>
  <si>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</si>
  <si>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</si>
  <si>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</si>
  <si>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</si>
  <si>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</si>
  <si>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</si>
  <si>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</si>
  <si>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</si>
  <si>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</si>
  <si>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</si>
  <si>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</si>
  <si>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</si>
  <si>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</si>
  <si>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</si>
  <si>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</si>
  <si>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</si>
  <si>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</si>
  <si>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</si>
  <si>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</si>
  <si>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</si>
  <si>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</si>
  <si>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</si>
  <si>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</si>
  <si>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</si>
  <si>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</si>
  <si>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</si>
  <si>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</si>
  <si>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</si>
  <si>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</si>
  <si>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</si>
  <si>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</si>
  <si>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</si>
  <si>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</si>
  <si>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</si>
  <si>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</si>
  <si>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</si>
  <si>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</si>
  <si>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</si>
  <si>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</si>
  <si>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</si>
  <si>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</si>
  <si>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</si>
  <si>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</si>
  <si>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</si>
  <si>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</si>
  <si>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</si>
  <si>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</si>
  <si>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</si>
  <si>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</si>
  <si>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</si>
  <si>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</si>
  <si>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</si>
  <si>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</si>
  <si>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</si>
  <si>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</si>
  <si>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</si>
  <si>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</si>
  <si>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</si>
  <si>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</si>
  <si>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</si>
  <si>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oprm_mouse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</si>
  <si>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</si>
  <si>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opsd_bovin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</si>
  <si>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</si>
  <si>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opsd_todpa</t>
  </si>
  <si>
    <t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t>
  </si>
  <si>
    <t>us28_hcmva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</si>
  <si>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</si>
  <si>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us28_human</t>
  </si>
  <si>
    <t>vipr_human</t>
  </si>
  <si>
    <t>tr114_human</t>
  </si>
  <si>
    <t>tr106_human</t>
  </si>
  <si>
    <t>t2r45_human</t>
  </si>
  <si>
    <t>O</t>
  </si>
  <si>
    <t>Class</t>
  </si>
  <si>
    <t>Chemokine</t>
  </si>
  <si>
    <t>Opioid</t>
  </si>
  <si>
    <t>Ligandtype</t>
  </si>
  <si>
    <t>Receptorfamily</t>
  </si>
  <si>
    <t>5-Hydroxytryptamine</t>
  </si>
  <si>
    <t>Nucleotide</t>
  </si>
  <si>
    <t>Acetylcholine(muscarinic)</t>
  </si>
  <si>
    <t>Melanocortin</t>
  </si>
  <si>
    <t>Adrenoceptors</t>
  </si>
  <si>
    <t>Angiotensin</t>
  </si>
  <si>
    <t>Apelin</t>
  </si>
  <si>
    <t>B2</t>
  </si>
  <si>
    <t>Orphan</t>
  </si>
  <si>
    <t>Adhesionclassorphans</t>
  </si>
  <si>
    <t>Bradykinin</t>
  </si>
  <si>
    <t>Bombesin</t>
  </si>
  <si>
    <t>Complementpeptide</t>
  </si>
  <si>
    <t>B1</t>
  </si>
  <si>
    <t>Calcitonin</t>
  </si>
  <si>
    <t>Ion</t>
  </si>
  <si>
    <t>Calcium-sensing</t>
  </si>
  <si>
    <t>Cholecystokinin</t>
  </si>
  <si>
    <t>Leukotriene</t>
  </si>
  <si>
    <t>Chemerinreceptor</t>
  </si>
  <si>
    <t>Cannabinoid</t>
  </si>
  <si>
    <t>Corticotropin-releasingfact</t>
  </si>
  <si>
    <t>Dopamine</t>
  </si>
  <si>
    <t>Endothelin</t>
  </si>
  <si>
    <t>ClassAorphans</t>
  </si>
  <si>
    <t>Freefattyacid</t>
  </si>
  <si>
    <t>Formylpeptide</t>
  </si>
  <si>
    <t>Glycoproteinhormone</t>
  </si>
  <si>
    <t>Frizzled</t>
  </si>
  <si>
    <t>OtherGPCRorphans</t>
  </si>
  <si>
    <t>Aminoacid</t>
  </si>
  <si>
    <t>GABA&lt;sub&gt;B&lt;/sub&gt;</t>
  </si>
  <si>
    <t>Galanin</t>
  </si>
  <si>
    <t>Glucagonreceptorfamily</t>
  </si>
  <si>
    <t>Ghrelin</t>
  </si>
  <si>
    <t>Gonadotrophin-releasinghorm</t>
  </si>
  <si>
    <t>GPR18</t>
  </si>
  <si>
    <t>ClassCOrphans</t>
  </si>
  <si>
    <t>Steroid</t>
  </si>
  <si>
    <t>Bileacid</t>
  </si>
  <si>
    <t>Estrogen(Gprotein-coupled)</t>
  </si>
  <si>
    <t>Metabotropicglutamate</t>
  </si>
  <si>
    <t>Alicarboxylicacid</t>
  </si>
  <si>
    <t>Hydroxycarboxylicacid</t>
  </si>
  <si>
    <t>Histamine</t>
  </si>
  <si>
    <t>Kisspeptin</t>
  </si>
  <si>
    <t>Lysophospholipid(LPA)</t>
  </si>
  <si>
    <t>Melanin-concentratinghormon</t>
  </si>
  <si>
    <t>Motilin</t>
  </si>
  <si>
    <t>Melatonin</t>
  </si>
  <si>
    <t>Tachykinin</t>
  </si>
  <si>
    <t>NeuromedinU</t>
  </si>
  <si>
    <t>NeuropeptideW/neuropeptide</t>
  </si>
  <si>
    <t>NeuropeptideFF/neuropeptide</t>
  </si>
  <si>
    <t>NeuropeptideS</t>
  </si>
  <si>
    <t>NeuropeptideY</t>
  </si>
  <si>
    <t>Neurotensin</t>
  </si>
  <si>
    <t>Sensory</t>
  </si>
  <si>
    <t>Opsins</t>
  </si>
  <si>
    <t>Orexin</t>
  </si>
  <si>
    <t>Oxoglutarate</t>
  </si>
  <si>
    <t>Vasopressinandoxytocin</t>
  </si>
  <si>
    <t>P2Y</t>
  </si>
  <si>
    <t>VIPandPACAP</t>
  </si>
  <si>
    <t>Proteinase-activated</t>
  </si>
  <si>
    <t>Prostanoid</t>
  </si>
  <si>
    <t>Prokineticin</t>
  </si>
  <si>
    <t>Prolactin-releasingpeptide</t>
  </si>
  <si>
    <t>Platelet-activatingfactor</t>
  </si>
  <si>
    <t>Parathyroidhormone</t>
  </si>
  <si>
    <t>PeptideP518</t>
  </si>
  <si>
    <t>Relaxinfamilypeptide</t>
  </si>
  <si>
    <t>Lysophospholipid(S1P)</t>
  </si>
  <si>
    <t>Somatostatin</t>
  </si>
  <si>
    <t>Succinate</t>
  </si>
  <si>
    <t>Taste2</t>
  </si>
  <si>
    <t>Traceamine</t>
  </si>
  <si>
    <t>Thyrotropin-releasinghormon</t>
  </si>
  <si>
    <t>Taste1</t>
  </si>
  <si>
    <t>Urotensin</t>
  </si>
  <si>
    <t>Unclassified</t>
  </si>
  <si>
    <t>V</t>
  </si>
  <si>
    <t>S</t>
  </si>
  <si>
    <t>Q</t>
  </si>
  <si>
    <t>AA</t>
  </si>
  <si>
    <t>E</t>
  </si>
  <si>
    <t>2Y00</t>
  </si>
  <si>
    <t>2Y02</t>
  </si>
  <si>
    <t>2Y03</t>
  </si>
  <si>
    <t>2Y04</t>
  </si>
  <si>
    <t>2YCW</t>
  </si>
  <si>
    <t>2YCZ</t>
  </si>
  <si>
    <t>2YDO</t>
  </si>
  <si>
    <t>3NY9</t>
  </si>
  <si>
    <t>CXCR4_human</t>
  </si>
  <si>
    <t>3OE0</t>
  </si>
  <si>
    <t>3PQR</t>
  </si>
  <si>
    <t>3QAK</t>
  </si>
  <si>
    <t>3RFM</t>
  </si>
  <si>
    <t>3UZA</t>
  </si>
  <si>
    <t>3UZC</t>
  </si>
  <si>
    <t>3ZPQ</t>
  </si>
  <si>
    <t>3ZPR</t>
  </si>
  <si>
    <t>4AMI</t>
  </si>
  <si>
    <t>4AMJ</t>
  </si>
  <si>
    <t>4GPO</t>
  </si>
  <si>
    <t>4IAQ</t>
  </si>
  <si>
    <t>4J4Q</t>
  </si>
  <si>
    <t>4LDL</t>
  </si>
  <si>
    <t>4LDO</t>
  </si>
  <si>
    <t>4MQT</t>
  </si>
  <si>
    <t>4N4W</t>
  </si>
  <si>
    <t>4NTJ</t>
  </si>
  <si>
    <t>4O9R</t>
  </si>
  <si>
    <t>4PY0</t>
  </si>
  <si>
    <t>4QIM</t>
  </si>
  <si>
    <t>4RWS</t>
  </si>
  <si>
    <t>4U16</t>
  </si>
  <si>
    <t>4UHR</t>
  </si>
  <si>
    <t>4XNW</t>
  </si>
  <si>
    <t>4Z34</t>
  </si>
  <si>
    <t>4Z36</t>
  </si>
  <si>
    <t>5A8E</t>
  </si>
  <si>
    <t>4Z9G</t>
  </si>
  <si>
    <t>1b</t>
  </si>
  <si>
    <t>1e</t>
  </si>
  <si>
    <t>2b</t>
  </si>
  <si>
    <t>2e</t>
  </si>
  <si>
    <t>3b</t>
  </si>
  <si>
    <t>3e</t>
  </si>
  <si>
    <t>4b</t>
  </si>
  <si>
    <t>4e</t>
  </si>
  <si>
    <t>5b</t>
  </si>
  <si>
    <t>5e</t>
  </si>
  <si>
    <t>6b</t>
  </si>
  <si>
    <t>6e</t>
  </si>
  <si>
    <t>7b</t>
  </si>
  <si>
    <t>7e</t>
  </si>
  <si>
    <t>8b</t>
  </si>
  <si>
    <t>8e</t>
  </si>
  <si>
    <t>Key</t>
  </si>
  <si>
    <t>i1b</t>
  </si>
  <si>
    <t>i1e</t>
  </si>
  <si>
    <t>e1b</t>
  </si>
  <si>
    <t>e1e</t>
  </si>
  <si>
    <t>1x</t>
  </si>
  <si>
    <t>i1x</t>
  </si>
  <si>
    <t>2x</t>
  </si>
  <si>
    <t>e1x</t>
  </si>
  <si>
    <t>3x</t>
  </si>
  <si>
    <t>4x</t>
  </si>
  <si>
    <t>5x</t>
  </si>
  <si>
    <t>6x</t>
  </si>
  <si>
    <t>7x</t>
  </si>
  <si>
    <t>8x</t>
  </si>
  <si>
    <t>i2x</t>
  </si>
  <si>
    <t>i2b</t>
  </si>
  <si>
    <t>i2e</t>
  </si>
  <si>
    <t>e2x</t>
  </si>
  <si>
    <t>e2b</t>
  </si>
  <si>
    <t>e2e</t>
  </si>
  <si>
    <t>OPRM_human</t>
  </si>
  <si>
    <t>AuxProt</t>
  </si>
  <si>
    <t>Repr</t>
  </si>
  <si>
    <t>Active</t>
  </si>
  <si>
    <t>(mut)</t>
  </si>
  <si>
    <t>5ePro</t>
  </si>
  <si>
    <t>3VG9</t>
  </si>
  <si>
    <t>inactive</t>
  </si>
  <si>
    <t>active</t>
  </si>
  <si>
    <t>4GBR</t>
  </si>
  <si>
    <t>Note</t>
  </si>
  <si>
    <t>4GBR has a longer TM5 and less ICL3-deletion than other inactive structure. With a complete ICL3, TM5 might be as long (5x76) in active and inactive states.</t>
  </si>
  <si>
    <t>Note long</t>
  </si>
  <si>
    <t>Inactive structures can have as long TM5 as the active state, if ICL3 is complete.</t>
  </si>
  <si>
    <t>nanobody</t>
  </si>
  <si>
    <t>Active state, but short TM5 and ICL3 (large deletion)</t>
  </si>
  <si>
    <t xml:space="preserve">4MQS </t>
  </si>
  <si>
    <t>repr</t>
  </si>
  <si>
    <t>Template</t>
  </si>
  <si>
    <t>long</t>
  </si>
  <si>
    <t>medium</t>
  </si>
  <si>
    <t>Short in construct, long in wt</t>
  </si>
  <si>
    <t>most</t>
  </si>
  <si>
    <t>3C9M</t>
  </si>
  <si>
    <t>2J4Y and 3C9M have a longer TM5 than other inactive structure, all have full ICL3s, and it is as long as in the active structure 3DQB.</t>
  </si>
  <si>
    <t>Wt ICL3 is so short that TM5 cannot be elongated, despite that this is an active state structure</t>
  </si>
  <si>
    <t>4XT1</t>
  </si>
  <si>
    <t>template</t>
  </si>
  <si>
    <t>5eGPCRdb</t>
  </si>
  <si>
    <t>5eBW</t>
  </si>
  <si>
    <t>short in wt</t>
  </si>
  <si>
    <t>KeyPDB</t>
  </si>
  <si>
    <t>5ePro_</t>
  </si>
  <si>
    <t>2J4Y</t>
  </si>
  <si>
    <t>6bBW</t>
  </si>
  <si>
    <t>6bGPCRdb</t>
  </si>
  <si>
    <t>6bPro</t>
  </si>
  <si>
    <t>ICL Length Xtal</t>
  </si>
  <si>
    <t>ILC3 Length Wt</t>
  </si>
  <si>
    <t>Diff</t>
  </si>
  <si>
    <t>5x50-6x50</t>
  </si>
  <si>
    <t>#H_AAs</t>
  </si>
  <si>
    <t>SQS</t>
  </si>
  <si>
    <t>QQES</t>
  </si>
  <si>
    <t>SGS</t>
  </si>
  <si>
    <t>complete</t>
  </si>
  <si>
    <t>partial_coordinates</t>
  </si>
  <si>
    <t>deletetion</t>
  </si>
  <si>
    <t>ICL3 (all have no fusions)</t>
  </si>
  <si>
    <t>no, is small outlier</t>
  </si>
  <si>
    <t>no, TM6 too short, use ADRB1_melga instead</t>
  </si>
  <si>
    <t>FFAR1_human</t>
  </si>
  <si>
    <t>no US28 is better, as it does not have too long TM6</t>
  </si>
  <si>
    <t>no, too short helices</t>
  </si>
  <si>
    <t>4XNV</t>
  </si>
  <si>
    <t>4PXZ</t>
  </si>
  <si>
    <t>OPRX_human</t>
  </si>
  <si>
    <t>OX1R_human</t>
  </si>
  <si>
    <t>OX2R_human</t>
  </si>
  <si>
    <t>Sequence</t>
  </si>
  <si>
    <t>Query</t>
  </si>
  <si>
    <t>T</t>
  </si>
  <si>
    <t>4YAY_dist</t>
  </si>
  <si>
    <t>4K5Y_dist</t>
  </si>
  <si>
    <t>4Z9G_dist</t>
  </si>
  <si>
    <t>Longer TM7 is due to Y392A mutation</t>
  </si>
  <si>
    <t>H8 start is same as in class A, if shifting TM7 alignmnent to match the 2 Pro residues</t>
  </si>
  <si>
    <t>4IB4_dist</t>
  </si>
  <si>
    <t>TM7 is 1 pos longer</t>
  </si>
  <si>
    <t>Valid</t>
  </si>
  <si>
    <t>#Res</t>
  </si>
  <si>
    <t>TM4 is too long, it is ICL2 helix in 4XNW</t>
  </si>
  <si>
    <t>TM4 and ICL3 are short</t>
  </si>
  <si>
    <t>3b starts early</t>
  </si>
  <si>
    <t>cxcr4_human</t>
  </si>
  <si>
    <t>ffar1_human</t>
  </si>
  <si>
    <t>oprx_human</t>
  </si>
  <si>
    <t>ox1r_human</t>
  </si>
  <si>
    <t>ox2r_human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</si>
  <si>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</si>
  <si>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</si>
  <si>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</si>
  <si>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</si>
  <si>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</si>
  <si>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</si>
  <si>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</si>
  <si>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</si>
  <si>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</si>
  <si>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</si>
  <si>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</si>
  <si>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</si>
  <si>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</si>
  <si>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</si>
  <si>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</si>
  <si>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</si>
  <si>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</si>
  <si>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</si>
  <si>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</si>
  <si>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</si>
  <si>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</si>
  <si>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</si>
  <si>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</si>
  <si>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</si>
  <si>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</si>
  <si>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</si>
  <si>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Val #</t>
  </si>
  <si>
    <t>Xtal Templ</t>
  </si>
  <si>
    <t>Species</t>
  </si>
  <si>
    <t>Rec Fam</t>
  </si>
  <si>
    <t>XtalTempl</t>
  </si>
  <si>
    <t>TM8</t>
  </si>
  <si>
    <t>icl1</t>
  </si>
  <si>
    <t>icl2</t>
  </si>
  <si>
    <t>ecl1</t>
  </si>
  <si>
    <t>ecl2</t>
  </si>
  <si>
    <t>1len</t>
  </si>
  <si>
    <t>i1len</t>
  </si>
  <si>
    <t>2len</t>
  </si>
  <si>
    <t>e1len</t>
  </si>
  <si>
    <t>3len</t>
  </si>
  <si>
    <t>i2len</t>
  </si>
  <si>
    <t>4len</t>
  </si>
  <si>
    <t>e2len</t>
  </si>
  <si>
    <t>5len</t>
  </si>
  <si>
    <t>6len</t>
  </si>
  <si>
    <t>7len</t>
  </si>
  <si>
    <t>8len</t>
  </si>
  <si>
    <t>Wt</t>
  </si>
  <si>
    <t>Seq4BLAST</t>
  </si>
  <si>
    <t>Xtalised</t>
  </si>
  <si>
    <t>Cl Query</t>
  </si>
  <si>
    <t>1e-i1b</t>
  </si>
  <si>
    <t>i1e-2b</t>
  </si>
  <si>
    <t>2e-e1b</t>
  </si>
  <si>
    <t>e1e-3b</t>
  </si>
  <si>
    <t>3e-i2b</t>
  </si>
  <si>
    <t>i2e-4b</t>
  </si>
  <si>
    <t>4e-e2b</t>
  </si>
  <si>
    <t>e2e-5b</t>
  </si>
  <si>
    <t>5e-6b</t>
  </si>
  <si>
    <t>6e-7b</t>
  </si>
  <si>
    <t>7e-8b</t>
  </si>
  <si>
    <t>6x7x</t>
  </si>
  <si>
    <t>1x2x</t>
  </si>
  <si>
    <t>2x3x</t>
  </si>
  <si>
    <t>5x6x</t>
  </si>
  <si>
    <t>5ht1b_human__wt</t>
  </si>
  <si>
    <t>5ht2b_human__wt</t>
  </si>
  <si>
    <t>aa2ar_human__wt</t>
  </si>
  <si>
    <t>acm1_human__wt</t>
  </si>
  <si>
    <t>acm2_human__wt</t>
  </si>
  <si>
    <t>acm3_rat__wt</t>
  </si>
  <si>
    <t>acm4_human__wt</t>
  </si>
  <si>
    <t>adrb1_melga__wt</t>
  </si>
  <si>
    <t>adrb2_human__wt</t>
  </si>
  <si>
    <t>agtr1_human__wt</t>
  </si>
  <si>
    <t>ccr5_human__wt</t>
  </si>
  <si>
    <t>cxcr4_human__wt</t>
  </si>
  <si>
    <t>drd3_human__wt</t>
  </si>
  <si>
    <t>ffar1_human__wt</t>
  </si>
  <si>
    <t>hrh1_human__wt</t>
  </si>
  <si>
    <t>lpar1_human__wt</t>
  </si>
  <si>
    <t>ntr1_rat__wt</t>
  </si>
  <si>
    <t>oprd_human__wt</t>
  </si>
  <si>
    <t>oprd_mouse__wt</t>
  </si>
  <si>
    <t>oprk_human__wt</t>
  </si>
  <si>
    <t>oprm_mouse__wt</t>
  </si>
  <si>
    <t>oprx_human__wt</t>
  </si>
  <si>
    <t>opsd_bovin__wt</t>
  </si>
  <si>
    <t>opsd_human__wt</t>
  </si>
  <si>
    <t>opsd_todpa__wt</t>
  </si>
  <si>
    <t>ox1r_human__wt</t>
  </si>
  <si>
    <t>ox2r_human__wt</t>
  </si>
  <si>
    <t>p2ry1_human__wt</t>
  </si>
  <si>
    <t>p2y12_human__wt</t>
  </si>
  <si>
    <t>par1_human__wt</t>
  </si>
  <si>
    <t>s1pr1_human__wt</t>
  </si>
  <si>
    <t>us28_hcmva__wt</t>
  </si>
  <si>
    <t>i2x4x</t>
  </si>
  <si>
    <t>4L6R_dist</t>
  </si>
  <si>
    <t>Could be 64, if including terminal bulge</t>
  </si>
  <si>
    <t>Could be one pos higher</t>
  </si>
  <si>
    <t>e2x5x</t>
  </si>
  <si>
    <t>GG</t>
  </si>
  <si>
    <t>B</t>
  </si>
  <si>
    <t>2xe1x</t>
  </si>
  <si>
    <t>2e-e1x</t>
  </si>
  <si>
    <t>e1e3b</t>
  </si>
  <si>
    <t>2e3b</t>
  </si>
  <si>
    <t>i1x2x</t>
  </si>
  <si>
    <t>a</t>
  </si>
  <si>
    <t>i1e2b</t>
  </si>
  <si>
    <t>1ei1b</t>
  </si>
  <si>
    <t>3ei2b</t>
  </si>
  <si>
    <t>Act</t>
  </si>
  <si>
    <t>5G53</t>
  </si>
  <si>
    <t>5e6b</t>
  </si>
  <si>
    <t>Set to P</t>
  </si>
  <si>
    <t>Set to G</t>
  </si>
  <si>
    <t>Note 5e</t>
  </si>
  <si>
    <t>Note 6b</t>
  </si>
  <si>
    <t>Set to S240</t>
  </si>
  <si>
    <t>Set to T236</t>
  </si>
  <si>
    <t>Extended due to hydrophobic residues</t>
  </si>
  <si>
    <t>Set to S</t>
  </si>
  <si>
    <t>Is long</t>
  </si>
  <si>
    <t>Manual (David)</t>
  </si>
  <si>
    <t>Manual</t>
  </si>
  <si>
    <t>8e-End</t>
  </si>
  <si>
    <t>Ps</t>
  </si>
  <si>
    <t>No H8</t>
  </si>
  <si>
    <t>4NC3</t>
  </si>
  <si>
    <t>2.50</t>
  </si>
  <si>
    <t>2.56</t>
  </si>
  <si>
    <t>2.57</t>
  </si>
  <si>
    <t>2.58</t>
  </si>
  <si>
    <t>2.59</t>
  </si>
  <si>
    <t>4.56</t>
  </si>
  <si>
    <t>4.57</t>
  </si>
  <si>
    <t>4.58</t>
  </si>
  <si>
    <t>4.59</t>
  </si>
  <si>
    <t>4.60</t>
  </si>
  <si>
    <t>5x411</t>
  </si>
  <si>
    <t>5.46</t>
  </si>
  <si>
    <t>5.50</t>
  </si>
  <si>
    <t>6x461</t>
  </si>
  <si>
    <t>5x421</t>
  </si>
  <si>
    <t>7x521</t>
  </si>
  <si>
    <t>Max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</si>
  <si>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</si>
  <si>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5GLI</t>
  </si>
  <si>
    <t>5GLH</t>
  </si>
  <si>
    <t>ednrb_human__wt</t>
  </si>
  <si>
    <t>NonX</t>
  </si>
  <si>
    <t>NOT USED AS TEMPLATES!</t>
  </si>
  <si>
    <t>4BUO</t>
  </si>
  <si>
    <t>3NY8</t>
  </si>
  <si>
    <t>3NYA</t>
  </si>
  <si>
    <t>3PDS</t>
  </si>
  <si>
    <t>4ZUD</t>
  </si>
  <si>
    <t>1GZM</t>
  </si>
  <si>
    <t>4RWD</t>
  </si>
  <si>
    <t>5K2A</t>
  </si>
  <si>
    <t>5K2B</t>
  </si>
  <si>
    <t>5K2C</t>
  </si>
  <si>
    <t>5K2D</t>
  </si>
  <si>
    <t>5D6L</t>
  </si>
  <si>
    <t>5JQH</t>
  </si>
  <si>
    <t>5IU4</t>
  </si>
  <si>
    <t>5IU7</t>
  </si>
  <si>
    <t>5IU8</t>
  </si>
  <si>
    <t>5IUA</t>
  </si>
  <si>
    <t>5IUB</t>
  </si>
  <si>
    <t>4XEE</t>
  </si>
  <si>
    <t>4XES</t>
  </si>
  <si>
    <t>5L7D</t>
  </si>
  <si>
    <t>5L7I</t>
  </si>
  <si>
    <t>5F8U</t>
  </si>
  <si>
    <t>5DHG</t>
  </si>
  <si>
    <t>5DHH</t>
  </si>
  <si>
    <t>5DYS</t>
  </si>
  <si>
    <t>5EN0</t>
  </si>
  <si>
    <t>5TGZ</t>
  </si>
  <si>
    <t>PDB validation says chain B is better, but A is more complete</t>
  </si>
  <si>
    <t>Chain B is longer than A</t>
  </si>
  <si>
    <t>cnr1_human__wt</t>
  </si>
  <si>
    <t>2x581</t>
  </si>
  <si>
    <t>5U09</t>
  </si>
  <si>
    <t>5LWE</t>
  </si>
  <si>
    <t>5x431</t>
  </si>
  <si>
    <t>ccr9_human__wt</t>
  </si>
  <si>
    <t>Validation (correct class of template)</t>
  </si>
  <si>
    <t>2X72</t>
  </si>
  <si>
    <t>4A4M</t>
  </si>
  <si>
    <t>4XT3</t>
  </si>
  <si>
    <t>NA</t>
  </si>
  <si>
    <t>State</t>
  </si>
  <si>
    <t>Inact</t>
  </si>
  <si>
    <t>Repr_Act</t>
  </si>
  <si>
    <t>Repr_Inact</t>
  </si>
  <si>
    <t>?</t>
  </si>
  <si>
    <t>5T1A</t>
  </si>
  <si>
    <t>ccr2_human__wt</t>
  </si>
  <si>
    <t>RF</t>
  </si>
  <si>
    <t>Chain</t>
  </si>
  <si>
    <t>PrefChain</t>
  </si>
  <si>
    <t>2.60</t>
  </si>
  <si>
    <t>5LWE_dist</t>
  </si>
  <si>
    <t>5T04</t>
  </si>
  <si>
    <t>5TVN</t>
  </si>
  <si>
    <t>5UIG</t>
  </si>
  <si>
    <t>Manual (Gaspar)</t>
  </si>
  <si>
    <t>5UEN</t>
  </si>
  <si>
    <t>aa1r_human__wt</t>
  </si>
  <si>
    <t>4x5x</t>
  </si>
  <si>
    <t>5UNF</t>
  </si>
  <si>
    <t>agtr2_human__wt</t>
  </si>
  <si>
    <t>5UNG</t>
  </si>
  <si>
    <t>5UNH</t>
  </si>
  <si>
    <t>5NDD</t>
  </si>
  <si>
    <t>5NDZ</t>
  </si>
  <si>
    <t>5NJ6</t>
  </si>
  <si>
    <t>5TE3</t>
  </si>
  <si>
    <t>5TE5</t>
  </si>
  <si>
    <t>5UZ7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</si>
  <si>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</si>
  <si>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David templates</t>
  </si>
  <si>
    <t>Cl Template</t>
  </si>
  <si>
    <t>Cl David Template</t>
  </si>
  <si>
    <t>5VEX</t>
  </si>
  <si>
    <t>5VEW</t>
  </si>
  <si>
    <t>Class B</t>
  </si>
  <si>
    <t>5XEZ</t>
  </si>
  <si>
    <t>5XF1</t>
  </si>
  <si>
    <t>5UVI</t>
  </si>
  <si>
    <t>5JTB</t>
  </si>
  <si>
    <t>agrg6_human</t>
  </si>
  <si>
    <t>5VBL</t>
  </si>
  <si>
    <t>apj_human__wt</t>
  </si>
  <si>
    <t>5TZR</t>
  </si>
  <si>
    <t>5TZY</t>
  </si>
  <si>
    <t>5NX2</t>
  </si>
  <si>
    <t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t>
  </si>
  <si>
    <t>g1sgd4_rabit</t>
  </si>
  <si>
    <t>5VAI</t>
  </si>
  <si>
    <t>R</t>
  </si>
  <si>
    <t>5UIW</t>
  </si>
  <si>
    <t>5XR8</t>
  </si>
  <si>
    <t>5XRA</t>
  </si>
  <si>
    <t>Resolution</t>
  </si>
  <si>
    <t>5TUD</t>
  </si>
  <si>
    <t>Inter</t>
  </si>
  <si>
    <t>Repr_Inter</t>
  </si>
  <si>
    <t>5N2R</t>
  </si>
  <si>
    <t>5N2S</t>
  </si>
  <si>
    <t>5W0P</t>
  </si>
  <si>
    <t>D</t>
  </si>
  <si>
    <t>5DGY</t>
  </si>
  <si>
    <t>5MZJ</t>
  </si>
  <si>
    <t>5MZP</t>
  </si>
  <si>
    <t>5X7D</t>
  </si>
  <si>
    <t>5X93</t>
  </si>
  <si>
    <t>5XPR</t>
  </si>
  <si>
    <t>q08bg4_danre</t>
  </si>
  <si>
    <t>MYNTSLEMEMLNVSNVTHCPKNDNFKYPLYSMVFSIVFMVGLITNVAAMYIFMCSLKLRNETTTYMMNLVVSDLLFVLTLPLRVFYFVQQNWPFGSLLCKLSVSLFYTNMYGSILFLTCISVDRFLAIVYPFRSRGLRTKRNAKIVCAAVWVLVLSGSLPTGFMLNSTNKLENNSISCFENFSSKEWKSHLSKVVIFIETVGFLIPLMLNVVCSAMVLQTLRRPNTVSRGGKLNKKKILRMIIVHLFIFCFCFIPYNVNLVFYSLVRTNTLKGCAAESVVRTIYPIALCIAVSNCCFDPIVYYFTSETIQNSIKRKTQTGHSIDVKFSEALQSETSSTLQFSLRSIKNKMFHNESHV</t>
  </si>
  <si>
    <t>5XSZ</t>
  </si>
  <si>
    <t>5NM2</t>
  </si>
  <si>
    <t>5WIU</t>
  </si>
  <si>
    <t>drd4_human__wt</t>
  </si>
  <si>
    <t>5WIV</t>
  </si>
  <si>
    <t>5WQC</t>
  </si>
  <si>
    <t>5WS3</t>
  </si>
  <si>
    <t>5VRA</t>
  </si>
  <si>
    <t>5WKT</t>
  </si>
  <si>
    <t>q9wtk1_cavpo</t>
  </si>
  <si>
    <t>5X33</t>
  </si>
  <si>
    <t>MDRNTTTRAASPSGSNTFIPLLAMILLSVSMVVGLPGNTFVVWSILKRMRKRSVTALMVLNLALADLAVLLTAPFFLHFLTWHTWSFKLAGCRLCHYICGVSMYASVLLITAMSLDRSLAVASPFLSQKVRTKTAARWLLVGIWGASFLLATPVLAFRKVVKLTNETDLCLAVYPSDRHKAFHLLFEAFTGFVVPFLIVVASYADISRRLRVRRFHRRRRTGRLVVIIILAFAAFWLPYHVVDLVEGSRVLAGTLDQSKQQLRNARKVCIALAFLSSSVNPLLYACAGGGLLRSAGVGFVAKLLEATGSEAFSTRRGGTLAQTVKGIPMAPEPGASGSLDGLKQSESD</t>
  </si>
  <si>
    <t>5OLG</t>
  </si>
  <si>
    <t>5OLH</t>
  </si>
  <si>
    <t>5OLO</t>
  </si>
  <si>
    <t>5OLV</t>
  </si>
  <si>
    <t>5OLZ</t>
  </si>
  <si>
    <t>5OM1</t>
  </si>
  <si>
    <t>5OM4</t>
  </si>
  <si>
    <t>6AQF</t>
  </si>
  <si>
    <t>5YQZ</t>
  </si>
  <si>
    <t>6B73</t>
  </si>
  <si>
    <t>drd2_human__wt</t>
  </si>
  <si>
    <t>6BQG</t>
  </si>
  <si>
    <t>6BQH</t>
  </si>
  <si>
    <t>5V54</t>
  </si>
  <si>
    <t>5ht2c_human__wt</t>
  </si>
  <si>
    <t>1x36</t>
  </si>
  <si>
    <t>5WF5</t>
  </si>
  <si>
    <t>Intermediate</t>
  </si>
  <si>
    <t>5WF6</t>
  </si>
  <si>
    <t>6B3J</t>
  </si>
  <si>
    <t>6FFH</t>
  </si>
  <si>
    <t>6FFI</t>
  </si>
  <si>
    <t>6CM4</t>
  </si>
  <si>
    <t>5V56</t>
  </si>
  <si>
    <t>5V57</t>
  </si>
  <si>
    <t>5O9H</t>
  </si>
  <si>
    <t>7x8x</t>
  </si>
  <si>
    <t>6FK6</t>
  </si>
  <si>
    <t>6FK7</t>
  </si>
  <si>
    <t>6FK8</t>
  </si>
  <si>
    <t>6FK9</t>
  </si>
  <si>
    <t>6FKA</t>
  </si>
  <si>
    <t>6FKB</t>
  </si>
  <si>
    <t>6FKC</t>
  </si>
  <si>
    <t>6FKD</t>
  </si>
  <si>
    <t>5ZBQ</t>
  </si>
  <si>
    <t>5ZBH</t>
  </si>
  <si>
    <t>5KW2</t>
  </si>
  <si>
    <t>6GDG</t>
  </si>
  <si>
    <t>Xtal</t>
  </si>
  <si>
    <t>6D32</t>
  </si>
  <si>
    <t>q98sw5_xenla</t>
  </si>
  <si>
    <t>MSSMVPWICWIGGFGFLLFICTSGGVQINETFYMDKCKKTTTCEPLKYNICLGSVLPYALTSTVLAEDSSSQDEVHDKLSLWSGLRNAPRCWDAIRPLLCAVYMPKCEGGKVELPSQGLCQTTRVPCAIVARERGWPDFLKCTTDYFPEGCPNEVQNIKFNSSGQCEAPLVRTDNPKSWYEDVEGCGIQCQNPLFTNKEHREMHIYIAIFSSVTIFCTFFTLATFLADWKNSNRYPAVILFYVNACFFVGSIGWLAQFMDGARDEIVCRGDGTMRLGEPTSNETLSCVIIFIIVYYSMMSGVIWFVMLTYAWHTSFKALGTTHQPLSGKTSYFHLITWSIPFVLTVAILAVAQVDGDSVSGICFVGYKNYHYRAGFVLAPIGLVLIGGGYFLIRGVMTLFSIKSNHPGLLSEKAASKINETMLRLGIFGFLAFGFVLITFGCHFYDFFNQAEWERSFREYVLCEANVTIAEQTNKPIPECYIKNRPSLLVEKINLFAMFGTGISMSTWVWTKATIIIWKRAWCRILGRSDDEPKRIKKSKMIAKAFSKRKELLNNPEKELSFSLHSVSHEGPVAGLNFDMNEPSADMSSAWAQHVTKMVARRGAILPQDVSVTPVATPVPPEERDQWFIEGDIPQGMVKKMSKKKKRRKKKEIQPLEAKTVKEHFHSRANTAVPRLPKLPLKTGLVTRSKPQEVDETLPGSYREFRRLPNIQEKLYPVEGVNNNLGYTRYPQSNMISHPFAADKMPLTDESRVAYVPVPKHDGVFQYSSANSYSNPMDLTSYRGRTQPRWTENPPMHSRANLMDAELMDTDSDF</t>
  </si>
  <si>
    <t>6D35</t>
  </si>
  <si>
    <t>6C1Q</t>
  </si>
  <si>
    <t>6C1R</t>
  </si>
  <si>
    <t>6DDE</t>
  </si>
  <si>
    <t>6DDF</t>
  </si>
  <si>
    <t>6CMO</t>
  </si>
  <si>
    <t>6D9H</t>
  </si>
  <si>
    <t>6G79</t>
  </si>
  <si>
    <t>5ZKP</t>
  </si>
  <si>
    <t>5ZKQ</t>
  </si>
  <si>
    <t>q80km9_hcmv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</si>
  <si>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GSPSRRETSSDTLSDEVCRVSQIIP</t>
  </si>
  <si>
    <t>5WB1</t>
  </si>
  <si>
    <t>5WB2</t>
  </si>
  <si>
    <t>5XJM</t>
  </si>
  <si>
    <t>6DRX</t>
  </si>
  <si>
    <t>6DRY</t>
  </si>
  <si>
    <t>6DRZ</t>
  </si>
  <si>
    <t>6DS0</t>
  </si>
  <si>
    <t>6E3Y</t>
  </si>
  <si>
    <t>6D26</t>
  </si>
  <si>
    <t>6FUF</t>
  </si>
  <si>
    <t>6H7J</t>
  </si>
  <si>
    <t>6H7L</t>
  </si>
  <si>
    <t>6H7M</t>
  </si>
  <si>
    <t>6H7N</t>
  </si>
  <si>
    <t>6H7O</t>
  </si>
  <si>
    <t>6AKX</t>
  </si>
  <si>
    <t>6AKY</t>
  </si>
  <si>
    <t>6MXT</t>
  </si>
  <si>
    <t>6FJ3</t>
  </si>
  <si>
    <t>6IGL</t>
  </si>
  <si>
    <t>6IGK</t>
  </si>
  <si>
    <t>5ZKC</t>
  </si>
  <si>
    <t>5ZKB</t>
  </si>
  <si>
    <t>5ZK8</t>
  </si>
  <si>
    <t>5ZK3</t>
  </si>
  <si>
    <t>5YC8</t>
  </si>
  <si>
    <t>6E59</t>
  </si>
  <si>
    <t>5YWY</t>
  </si>
  <si>
    <t>5YHL</t>
  </si>
  <si>
    <t>6M9T</t>
  </si>
  <si>
    <t>6AK3</t>
  </si>
  <si>
    <t>6MET</t>
  </si>
  <si>
    <t>6MEO</t>
  </si>
  <si>
    <t>6D27</t>
  </si>
  <si>
    <t>6HLL</t>
  </si>
  <si>
    <t>6HLO</t>
  </si>
  <si>
    <t>6HLP</t>
  </si>
  <si>
    <t>6GPS</t>
  </si>
  <si>
    <t>6GPX</t>
  </si>
  <si>
    <t>6IIU</t>
  </si>
  <si>
    <t>6IIV</t>
  </si>
  <si>
    <t>6IBL</t>
  </si>
  <si>
    <t>6NIY</t>
  </si>
  <si>
    <t>6N51</t>
  </si>
  <si>
    <t>6N52</t>
  </si>
  <si>
    <t>6BD4</t>
  </si>
  <si>
    <t>6DO1</t>
  </si>
  <si>
    <t>6N4B</t>
  </si>
  <si>
    <t>5ZTY</t>
  </si>
  <si>
    <t>6A94</t>
  </si>
  <si>
    <t>6A93</t>
  </si>
  <si>
    <t>5NM4</t>
  </si>
  <si>
    <t>5NLX</t>
  </si>
  <si>
    <t>6J20</t>
  </si>
  <si>
    <t>6J21</t>
  </si>
  <si>
    <t>6ME2</t>
  </si>
  <si>
    <t>6ME3</t>
  </si>
  <si>
    <t>6ME4</t>
  </si>
  <si>
    <t>6ME5</t>
  </si>
  <si>
    <t>6ME6</t>
  </si>
  <si>
    <t>6ME7</t>
  </si>
  <si>
    <t>6ME8</t>
  </si>
  <si>
    <t>6ME9</t>
  </si>
  <si>
    <t>6MH8</t>
  </si>
  <si>
    <t>6NBF</t>
  </si>
  <si>
    <t>6NBH</t>
  </si>
  <si>
    <t>6NBI</t>
  </si>
  <si>
    <t>5ZHP</t>
  </si>
  <si>
    <t>6OIJ</t>
  </si>
  <si>
    <t>6OIK</t>
  </si>
  <si>
    <t>6E67</t>
  </si>
  <si>
    <t>6OT0</t>
  </si>
  <si>
    <t>6N48</t>
  </si>
  <si>
    <t>6MH9</t>
  </si>
  <si>
    <t>6OS9</t>
  </si>
  <si>
    <t>6OSA</t>
  </si>
  <si>
    <t>6QNO</t>
  </si>
  <si>
    <t>6K1Q</t>
  </si>
  <si>
    <t>6OY9</t>
  </si>
  <si>
    <t>6OYA</t>
  </si>
  <si>
    <t>6GT3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</si>
  <si>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</si>
  <si>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6OFJ</t>
  </si>
  <si>
    <t>6QZH</t>
  </si>
  <si>
    <t>6KQI</t>
  </si>
  <si>
    <t>smo_mouse</t>
  </si>
  <si>
    <t>6O3C</t>
  </si>
  <si>
    <t>MAAGRPVRGPELAPRRLLQLLLLVLLGGPGRGAALSGNVTGPGPHSASGSSRRDVPVTSPPPPLLSHCGRAAHCEPLRYNVCLGSALPYGATTTLLAGDSDSQEEAHGKLVLWSGLRNAPRCWAVIQPLLCAVYMPKCENDRVELPSRTLCQATRGPCAIVERERGWPDFLRCTPDHFPEGCPNEVQNIKFNSSGQCEAPLVRTDNPKSWYEDVEGCGIQCQNPLFTEAEHQDMHSYIAAFGAVTGLCTLFTLATFVADWRNSNRYPAVILFYVNACFFVGSIGWLAQFMDGARREIVCRADGTMRFGEPTSSETLSCVIIFVIVYYALMAGVVWFVVLTYAWHTSFKALGTTYQPLSGKTSYFHLLTWSLPFVLTVAILAVAQVDGDSVSGICFVGYKNYRYRAGFVLAPIGLVLIVGGYFLIRGVMTLFSIKSNHPGLLSEKAASKINETMLRLGIFGFLAFGFVLITFSCHFYDFFNQAEWERSFRDYVLCQANVTIGLPTKKPIPDCEIKNRPSLLVEKINLFAMFGTGIAMSTWVWTKATLLIWRRTWCRLTGHSDDEPKRIKKSKMIAKAFSKRRELLQNPGQELSFSMHTVSHDGPVAGLAFDLNEPSADVSSAWAQHVTKMVARRGAILPQDVSVTPVATPVPPEEQANMWLVEAEISPELEKRLGRKKKRRKRKKEVCPLRPAPELHHSAPVPATSAVPRLPQLPRQKCLVAANAWGTGESCRQGAWTLVSNPFCPEPSPHQDPFLPGASAPRVWAQGRLQGLGSIHSRTNLMEAEILDADSDF</t>
  </si>
  <si>
    <t>sucr1_rat</t>
  </si>
  <si>
    <t>6IBB</t>
  </si>
  <si>
    <t>MAQNLSCENWLALENILKKYYLSAFYGIEFIVGMLGNFTVVFGYLFCMKNWNSSNVYLFNLSISDLAFLCTLPMLIRSYATGNWTYGDVLCISNRYVLHANLYTSILFLTFISIDRYLLMKFPFREHILQKKEFAILISLAVWVLVTLEVLPMLTFITSTPIEKGDSCVDYASSGNPKYSLIYSLCLTLLGFLIPLSVMCFFYYKMVVFLKKRSQQQATVLSLNKPLRLVVLAVVIFSVLFTPYHIMRNVRIASRLDSWPQGCSQKAIKCLYILTRPLAFLNSAVNPIFYFLVGDHFRDMLFSKLRQYFKSLTSFRL</t>
  </si>
  <si>
    <t>6RNK</t>
  </si>
  <si>
    <t>6RZ4</t>
  </si>
  <si>
    <t>6RZ5</t>
  </si>
  <si>
    <t>6JZH</t>
  </si>
  <si>
    <t>6KJV</t>
  </si>
  <si>
    <t>6KK1</t>
  </si>
  <si>
    <t>6KK7</t>
  </si>
  <si>
    <t>6PRZ</t>
  </si>
  <si>
    <t>6PS0</t>
  </si>
  <si>
    <t>6PS1</t>
  </si>
  <si>
    <t>6PS2</t>
  </si>
  <si>
    <t>6PS3</t>
  </si>
  <si>
    <t>6PS4</t>
  </si>
  <si>
    <t>6PS5</t>
  </si>
  <si>
    <t>6PS6</t>
  </si>
  <si>
    <t>6PS7</t>
  </si>
  <si>
    <t>6PS8</t>
  </si>
  <si>
    <t>6NI3</t>
  </si>
  <si>
    <t>6PWC</t>
  </si>
  <si>
    <t>6RZ6</t>
  </si>
  <si>
    <t>6RZ7</t>
  </si>
  <si>
    <t>6RZ8</t>
  </si>
  <si>
    <t>6RZ9</t>
  </si>
  <si>
    <t>6OL9</t>
  </si>
  <si>
    <t>6TPN</t>
  </si>
  <si>
    <t>6TO7</t>
  </si>
  <si>
    <t>6TOD</t>
  </si>
  <si>
    <t>6TP3</t>
  </si>
  <si>
    <t>6TP4</t>
  </si>
  <si>
    <t>6TP6</t>
  </si>
  <si>
    <t>6TQ4</t>
  </si>
  <si>
    <t>6TQ6</t>
  </si>
  <si>
    <t>6TQ7</t>
  </si>
  <si>
    <t>6TQ9</t>
  </si>
  <si>
    <t>6JOD</t>
  </si>
  <si>
    <t>6TOS</t>
  </si>
  <si>
    <t>6TOT</t>
  </si>
  <si>
    <t>or1a1_human</t>
  </si>
  <si>
    <t>MRENNQSSTLEFILLGVTGQQEQEDFFYILFLFIYPITLIGNLLIVLAICSDVRLHNPMYFLLANLSLVDIFFSSVTIPKMLANHLLGSKSISFGGCLTQMYFMIALGNTDSYILAAMAYDRAVAISRPLHYTTIMSPRSCIWLIAGSWVIGNANALPHTLLTASLSFCGNQEVANFYCDITPLLKLSCSDIHFHVKMMYLGVGIFSVPLLCIIVSYIRVFSTVFQVPSTKGVLKAFSTCGSHLTVVSLYYGTVMGTYFRPLTNYSLKDAVITVMYTAVTPMLNPFIYSLRNRDMKAALRKLFNKRISS</t>
  </si>
  <si>
    <t>Olfactory</t>
  </si>
  <si>
    <t>or1g1_human</t>
  </si>
  <si>
    <t>MEGKNLTSISECFLLGFSEQLEEQKPLFGSFLFMYLVTVAGNLLIILVIITDTQLHTPMYFFLANLSLADACFVSTTVPKMLANIQIQSQAISYSGCLLQLYFFMLFVMLEAFLLAVMAYDCYVAICHPLHYILIMSPGLCIFLVSASWIMNALHSLLHTLLMNSLSFCANHEIPHFFCDINPLLSLSCTDPFTNELVIFITGGLTGLICVLCLIISYTNVFSTILKIPSAQGKRKAFSTCSSHLSVVSLFFGTSFCVDFSSPSTHSAQKDTVASVMYTVVTPMLNPFIYSLRNQEIKSSLRKLIWVRKIHSP</t>
  </si>
  <si>
    <t>o2t11_human</t>
  </si>
  <si>
    <t>MTNTSSSDFTLLGLLVNSEAAGIVFTVILAVFLGAVTANLVMIFLIQVDSRLHTPMYFLLSQLSIMDTLFICTTVPKLLADMVSKEKIISFVACGIQIFLYLTMIGSEFFLLGLMAYDCYVAVCNPLRYPVLMNRKKCLLLAAGAWFGGSLDGFLLTPITMNVPYCGSRSINHFFCEIPAVLKLACADTSLYETLMYICCVLMLLIPISIISTSYSLILLTIHRMPSAEGRKKAFTTCSSHLTVVSIFYGAAFYTYVLPQSFHTPEQDKVVSAFYTIVTPMLNPLIYSLRNKDVIGAFKKVFACCSSAQKVATSDA</t>
  </si>
  <si>
    <t>6KNM</t>
  </si>
  <si>
    <t>6P9Y</t>
  </si>
  <si>
    <t>6TPG</t>
  </si>
  <si>
    <t>6TPJ</t>
  </si>
  <si>
    <t>6LRY</t>
  </si>
  <si>
    <t>6KPC</t>
  </si>
  <si>
    <t>6KPF</t>
  </si>
  <si>
    <t>6PT0</t>
  </si>
  <si>
    <t>6PB1</t>
  </si>
  <si>
    <t>P</t>
  </si>
  <si>
    <t>6NWE</t>
  </si>
  <si>
    <t>6U1N</t>
  </si>
  <si>
    <t>6LUQ</t>
  </si>
  <si>
    <t>6KP6</t>
  </si>
  <si>
    <t>6OBA</t>
  </si>
  <si>
    <t>6OS0</t>
  </si>
  <si>
    <t>6OS1</t>
  </si>
  <si>
    <t>6OS2</t>
  </si>
  <si>
    <t>6LW5</t>
  </si>
  <si>
    <t>6OMM</t>
  </si>
  <si>
    <t>6UP7</t>
  </si>
  <si>
    <t>6VI4</t>
  </si>
  <si>
    <t>6KPG</t>
  </si>
  <si>
    <t>6LI0</t>
  </si>
  <si>
    <t>6LN2</t>
  </si>
  <si>
    <t>6LI1</t>
  </si>
  <si>
    <t>6LI2</t>
  </si>
  <si>
    <t>6LI3</t>
  </si>
  <si>
    <t>6UUN</t>
  </si>
  <si>
    <t>6UUS</t>
  </si>
  <si>
    <t>6UVA</t>
  </si>
  <si>
    <t>6LMK</t>
  </si>
  <si>
    <t>6LML</t>
  </si>
  <si>
    <t>6LPB</t>
  </si>
  <si>
    <t>ste2_yeast</t>
  </si>
  <si>
    <t>agrb1_human</t>
  </si>
  <si>
    <t>agrv1_human</t>
  </si>
  <si>
    <t>agre5_human</t>
  </si>
  <si>
    <t>g37l1_human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</si>
</sst>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mbria"/>
      <family val="1"/>
    </font>
    <font>
      <sz val="8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2"/>
      <color rgb="FF808080"/>
      <name val="Calibri"/>
      <family val="2"/>
    </font>
    <font>
      <b/>
      <sz val="12"/>
      <color rgb="FF000000"/>
      <name val="Calibri"/>
      <family val="2"/>
      <charset val="1"/>
    </font>
    <font>
      <b/>
      <sz val="12"/>
      <color rgb="FF808080"/>
      <name val="Calibri"/>
      <family val="2"/>
      <charset val="1"/>
    </font>
    <font>
      <sz val="12"/>
      <color rgb="FF00B050"/>
      <name val="Calibri"/>
      <family val="2"/>
      <charset val="1"/>
    </font>
    <font>
      <sz val="10"/>
      <color rgb="FF000000"/>
      <name val="Arial Unicode MS"/>
      <family val="2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4"/>
      <color rgb="FF333333"/>
      <name val="Helvetica Neue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</borders>
  <cellStyleXfs count="82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41">
    <xf numFmtId="0" fontId="0" fillId="0" borderId="0" xfId="0"/>
    <xf numFmtId="0" fontId="0" fillId="0" borderId="0" xfId="0" applyFill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ill="1" applyBorder="1"/>
    <xf numFmtId="0" fontId="0" fillId="0" borderId="1" xfId="0" applyFill="1" applyBorder="1"/>
    <xf numFmtId="0" fontId="4" fillId="0" borderId="0" xfId="0" applyFont="1" applyFill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2" borderId="0" xfId="0" applyFont="1" applyFill="1"/>
    <xf numFmtId="0" fontId="1" fillId="0" borderId="0" xfId="0" applyFont="1" applyFill="1"/>
    <xf numFmtId="0" fontId="0" fillId="2" borderId="0" xfId="0" applyFill="1" applyBorder="1"/>
    <xf numFmtId="0" fontId="0" fillId="2" borderId="0" xfId="0" applyFill="1"/>
    <xf numFmtId="0" fontId="0" fillId="2" borderId="1" xfId="0" applyFill="1" applyBorder="1"/>
    <xf numFmtId="0" fontId="5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1" xfId="0" applyFont="1" applyFill="1" applyBorder="1"/>
    <xf numFmtId="0" fontId="1" fillId="0" borderId="2" xfId="0" applyFont="1" applyFill="1" applyBorder="1" applyAlignment="1">
      <alignment horizontal="center"/>
    </xf>
    <xf numFmtId="0" fontId="5" fillId="0" borderId="0" xfId="0" applyFont="1" applyFill="1" applyBorder="1"/>
    <xf numFmtId="0" fontId="1" fillId="0" borderId="2" xfId="0" applyFont="1" applyFill="1" applyBorder="1" applyAlignment="1">
      <alignment horizontal="left"/>
    </xf>
    <xf numFmtId="0" fontId="1" fillId="0" borderId="0" xfId="0" applyFont="1" applyFill="1" applyBorder="1"/>
    <xf numFmtId="0" fontId="1" fillId="0" borderId="0" xfId="0" applyFont="1"/>
    <xf numFmtId="1" fontId="1" fillId="0" borderId="2" xfId="0" applyNumberFormat="1" applyFont="1" applyFill="1" applyBorder="1" applyAlignment="1">
      <alignment horizontal="center"/>
    </xf>
    <xf numFmtId="1" fontId="0" fillId="0" borderId="0" xfId="0" applyNumberFormat="1" applyFont="1" applyFill="1"/>
    <xf numFmtId="0" fontId="1" fillId="0" borderId="0" xfId="0" applyFont="1" applyAlignment="1">
      <alignment horizontal="center"/>
    </xf>
    <xf numFmtId="0" fontId="0" fillId="0" borderId="0" xfId="0" applyFill="1" applyAlignment="1">
      <alignment horizontal="left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0" fontId="1" fillId="0" borderId="1" xfId="0" applyFont="1" applyBorder="1"/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" fontId="0" fillId="0" borderId="1" xfId="0" applyNumberFormat="1" applyFont="1" applyFill="1" applyBorder="1"/>
    <xf numFmtId="0" fontId="1" fillId="0" borderId="0" xfId="0" applyFont="1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ont="1" applyFill="1" applyBorder="1"/>
    <xf numFmtId="0" fontId="8" fillId="0" borderId="0" xfId="0" applyFont="1" applyFill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0" borderId="8" xfId="0" applyFill="1" applyBorder="1" applyAlignment="1">
      <alignment horizontal="center"/>
    </xf>
    <xf numFmtId="0" fontId="0" fillId="0" borderId="5" xfId="0" applyFill="1" applyBorder="1"/>
    <xf numFmtId="0" fontId="0" fillId="0" borderId="6" xfId="0" applyFill="1" applyBorder="1"/>
    <xf numFmtId="0" fontId="0" fillId="0" borderId="6" xfId="0" applyFill="1" applyBorder="1" applyAlignment="1">
      <alignment horizontal="center"/>
    </xf>
    <xf numFmtId="0" fontId="0" fillId="3" borderId="0" xfId="0" applyFont="1" applyFill="1"/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7" fillId="0" borderId="0" xfId="0" applyFont="1" applyFill="1" applyBorder="1"/>
    <xf numFmtId="0" fontId="8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1" fontId="0" fillId="0" borderId="0" xfId="0" applyNumberFormat="1" applyFont="1" applyFill="1" applyBorder="1"/>
    <xf numFmtId="0" fontId="9" fillId="0" borderId="0" xfId="0" applyFont="1" applyFill="1" applyBorder="1"/>
    <xf numFmtId="0" fontId="0" fillId="2" borderId="1" xfId="0" applyFont="1" applyFill="1" applyBorder="1" applyAlignment="1">
      <alignment horizontal="center"/>
    </xf>
    <xf numFmtId="0" fontId="0" fillId="0" borderId="7" xfId="0" applyFont="1" applyFill="1" applyBorder="1"/>
    <xf numFmtId="0" fontId="0" fillId="0" borderId="7" xfId="0" applyBorder="1"/>
    <xf numFmtId="0" fontId="10" fillId="0" borderId="0" xfId="0" applyFont="1" applyFill="1" applyAlignment="1">
      <alignment horizontal="center"/>
    </xf>
    <xf numFmtId="1" fontId="10" fillId="0" borderId="0" xfId="0" applyNumberFormat="1" applyFont="1" applyFill="1" applyAlignment="1">
      <alignment horizontal="center"/>
    </xf>
    <xf numFmtId="0" fontId="10" fillId="0" borderId="4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1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0" borderId="0" xfId="0" applyFont="1" applyFill="1" applyAlignment="1">
      <alignment horizontal="center"/>
    </xf>
    <xf numFmtId="1" fontId="11" fillId="0" borderId="0" xfId="0" applyNumberFormat="1" applyFont="1" applyFill="1" applyAlignment="1">
      <alignment horizontal="center"/>
    </xf>
    <xf numFmtId="0" fontId="9" fillId="0" borderId="1" xfId="0" applyFont="1" applyFill="1" applyBorder="1"/>
    <xf numFmtId="1" fontId="9" fillId="0" borderId="0" xfId="0" applyNumberFormat="1" applyFont="1" applyFill="1"/>
    <xf numFmtId="0" fontId="9" fillId="0" borderId="0" xfId="0" applyFont="1" applyFill="1"/>
    <xf numFmtId="0" fontId="12" fillId="0" borderId="0" xfId="0" applyFont="1" applyFill="1"/>
    <xf numFmtId="0" fontId="0" fillId="0" borderId="9" xfId="0" applyFont="1" applyFill="1" applyBorder="1"/>
    <xf numFmtId="0" fontId="9" fillId="0" borderId="9" xfId="0" applyFont="1" applyFill="1" applyBorder="1"/>
    <xf numFmtId="0" fontId="10" fillId="0" borderId="0" xfId="0" applyFont="1" applyFill="1" applyBorder="1" applyAlignment="1">
      <alignment horizontal="center" wrapText="1"/>
    </xf>
    <xf numFmtId="0" fontId="0" fillId="0" borderId="4" xfId="0" applyFont="1" applyFill="1" applyBorder="1" applyAlignment="1">
      <alignment horizontal="center"/>
    </xf>
    <xf numFmtId="0" fontId="0" fillId="0" borderId="10" xfId="0" applyFont="1" applyFill="1" applyBorder="1" applyAlignment="1">
      <alignment horizontal="center"/>
    </xf>
    <xf numFmtId="0" fontId="4" fillId="0" borderId="7" xfId="0" applyFont="1" applyFill="1" applyBorder="1"/>
    <xf numFmtId="0" fontId="0" fillId="0" borderId="11" xfId="0" applyFill="1" applyBorder="1"/>
    <xf numFmtId="0" fontId="0" fillId="0" borderId="12" xfId="0" applyFont="1" applyFill="1" applyBorder="1"/>
    <xf numFmtId="0" fontId="0" fillId="0" borderId="13" xfId="0" applyFont="1" applyFill="1" applyBorder="1"/>
    <xf numFmtId="0" fontId="1" fillId="0" borderId="3" xfId="0" applyFont="1" applyFill="1" applyBorder="1" applyAlignment="1">
      <alignment horizontal="left"/>
    </xf>
    <xf numFmtId="0" fontId="5" fillId="0" borderId="1" xfId="0" applyFont="1" applyFill="1" applyBorder="1"/>
    <xf numFmtId="0" fontId="1" fillId="0" borderId="5" xfId="0" applyFont="1" applyFill="1" applyBorder="1" applyAlignment="1">
      <alignment horizontal="left"/>
    </xf>
    <xf numFmtId="0" fontId="1" fillId="4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 applyBorder="1"/>
    <xf numFmtId="0" fontId="0" fillId="4" borderId="7" xfId="0" applyFill="1" applyBorder="1"/>
    <xf numFmtId="0" fontId="0" fillId="4" borderId="5" xfId="0" applyFill="1" applyBorder="1"/>
    <xf numFmtId="1" fontId="0" fillId="0" borderId="9" xfId="0" applyNumberFormat="1" applyFont="1" applyFill="1" applyBorder="1"/>
    <xf numFmtId="0" fontId="0" fillId="0" borderId="9" xfId="0" applyFill="1" applyBorder="1" applyAlignment="1">
      <alignment horizontal="center"/>
    </xf>
    <xf numFmtId="0" fontId="0" fillId="0" borderId="9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left"/>
    </xf>
    <xf numFmtId="0" fontId="10" fillId="0" borderId="1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1" fillId="2" borderId="0" xfId="0" applyFont="1" applyFill="1" applyAlignment="1">
      <alignment horizontal="center"/>
    </xf>
    <xf numFmtId="0" fontId="0" fillId="4" borderId="0" xfId="0" applyFont="1" applyFill="1"/>
    <xf numFmtId="0" fontId="0" fillId="2" borderId="7" xfId="0" applyFill="1" applyBorder="1"/>
    <xf numFmtId="0" fontId="0" fillId="2" borderId="5" xfId="0" applyFill="1" applyBorder="1"/>
    <xf numFmtId="49" fontId="1" fillId="0" borderId="0" xfId="0" applyNumberFormat="1" applyFont="1" applyFill="1" applyBorder="1" applyAlignment="1">
      <alignment horizontal="center"/>
    </xf>
    <xf numFmtId="0" fontId="10" fillId="2" borderId="0" xfId="0" applyFont="1" applyFill="1" applyAlignment="1">
      <alignment horizontal="center"/>
    </xf>
    <xf numFmtId="0" fontId="0" fillId="5" borderId="0" xfId="0" applyFont="1" applyFill="1"/>
    <xf numFmtId="0" fontId="0" fillId="5" borderId="0" xfId="0" applyFont="1" applyFill="1" applyBorder="1"/>
    <xf numFmtId="0" fontId="7" fillId="5" borderId="0" xfId="0" applyFont="1" applyFill="1" applyBorder="1"/>
    <xf numFmtId="0" fontId="0" fillId="5" borderId="0" xfId="0" applyFill="1"/>
    <xf numFmtId="1" fontId="0" fillId="2" borderId="0" xfId="0" applyNumberFormat="1" applyFont="1" applyFill="1"/>
    <xf numFmtId="0" fontId="0" fillId="2" borderId="4" xfId="0" applyFont="1" applyFill="1" applyBorder="1" applyAlignment="1">
      <alignment horizontal="center"/>
    </xf>
    <xf numFmtId="0" fontId="9" fillId="2" borderId="1" xfId="0" applyFont="1" applyFill="1" applyBorder="1"/>
    <xf numFmtId="0" fontId="9" fillId="2" borderId="0" xfId="0" applyFont="1" applyFill="1" applyBorder="1"/>
    <xf numFmtId="1" fontId="9" fillId="2" borderId="0" xfId="0" applyNumberFormat="1" applyFont="1" applyFill="1"/>
    <xf numFmtId="0" fontId="9" fillId="2" borderId="0" xfId="0" applyFont="1" applyFill="1"/>
    <xf numFmtId="0" fontId="0" fillId="5" borderId="0" xfId="0" applyFill="1" applyBorder="1"/>
    <xf numFmtId="0" fontId="0" fillId="5" borderId="7" xfId="0" applyFill="1" applyBorder="1"/>
    <xf numFmtId="2" fontId="10" fillId="0" borderId="0" xfId="0" applyNumberFormat="1" applyFont="1" applyFill="1" applyAlignment="1">
      <alignment horizontal="center"/>
    </xf>
    <xf numFmtId="2" fontId="0" fillId="0" borderId="0" xfId="0" applyNumberFormat="1" applyFont="1" applyFill="1"/>
    <xf numFmtId="2" fontId="0" fillId="2" borderId="0" xfId="0" applyNumberFormat="1" applyFont="1" applyFill="1"/>
    <xf numFmtId="0" fontId="13" fillId="0" borderId="0" xfId="0" applyFont="1"/>
    <xf numFmtId="0" fontId="14" fillId="0" borderId="0" xfId="0" applyFont="1"/>
    <xf numFmtId="0" fontId="14" fillId="0" borderId="0" xfId="0" applyFont="1" applyFill="1"/>
    <xf numFmtId="0" fontId="0" fillId="2" borderId="9" xfId="0" applyFont="1" applyFill="1" applyBorder="1"/>
    <xf numFmtId="0" fontId="15" fillId="0" borderId="0" xfId="0" applyFont="1" applyFill="1"/>
    <xf numFmtId="0" fontId="15" fillId="5" borderId="0" xfId="0" applyFont="1" applyFill="1"/>
    <xf numFmtId="0" fontId="0" fillId="2" borderId="1" xfId="0" applyFont="1" applyFill="1" applyBorder="1"/>
    <xf numFmtId="0" fontId="14" fillId="2" borderId="0" xfId="0" applyFont="1" applyFill="1"/>
    <xf numFmtId="0" fontId="4" fillId="2" borderId="0" xfId="0" applyFont="1" applyFill="1"/>
    <xf numFmtId="1" fontId="0" fillId="2" borderId="0" xfId="0" applyNumberFormat="1" applyFont="1" applyFill="1" applyBorder="1"/>
    <xf numFmtId="49" fontId="0" fillId="2" borderId="0" xfId="0" applyNumberFormat="1" applyFont="1" applyFill="1"/>
    <xf numFmtId="0" fontId="0" fillId="6" borderId="0" xfId="0" applyFill="1"/>
    <xf numFmtId="11" fontId="0" fillId="0" borderId="0" xfId="0" applyNumberFormat="1" applyFont="1" applyFill="1"/>
    <xf numFmtId="49" fontId="0" fillId="0" borderId="0" xfId="0" applyNumberFormat="1" applyFont="1" applyFill="1"/>
    <xf numFmtId="0" fontId="0" fillId="2" borderId="10" xfId="0" applyFont="1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9" fillId="2" borderId="9" xfId="0" applyFont="1" applyFill="1" applyBorder="1"/>
    <xf numFmtId="0" fontId="16" fillId="0" borderId="0" xfId="0" applyFont="1"/>
    <xf numFmtId="0" fontId="0" fillId="0" borderId="14" xfId="0" applyFill="1" applyBorder="1"/>
    <xf numFmtId="0" fontId="0" fillId="0" borderId="15" xfId="0" applyFont="1" applyFill="1" applyBorder="1"/>
    <xf numFmtId="0" fontId="0" fillId="0" borderId="16" xfId="0" applyFont="1" applyFill="1" applyBorder="1"/>
  </cellXfs>
  <cellStyles count="821">
    <cellStyle name="Followed Hyperlink" xfId="464" builtinId="9" hidden="1"/>
    <cellStyle name="Followed Hyperlink" xfId="480" builtinId="9" hidden="1"/>
    <cellStyle name="Followed Hyperlink" xfId="496" builtinId="9" hidden="1"/>
    <cellStyle name="Followed Hyperlink" xfId="512" builtinId="9" hidden="1"/>
    <cellStyle name="Followed Hyperlink" xfId="528" builtinId="9" hidden="1"/>
    <cellStyle name="Followed Hyperlink" xfId="544" builtinId="9" hidden="1"/>
    <cellStyle name="Followed Hyperlink" xfId="560" builtinId="9" hidden="1"/>
    <cellStyle name="Followed Hyperlink" xfId="576" builtinId="9" hidden="1"/>
    <cellStyle name="Followed Hyperlink" xfId="592" builtinId="9" hidden="1"/>
    <cellStyle name="Followed Hyperlink" xfId="608" builtinId="9" hidden="1"/>
    <cellStyle name="Followed Hyperlink" xfId="624" builtinId="9" hidden="1"/>
    <cellStyle name="Followed Hyperlink" xfId="640" builtinId="9" hidden="1"/>
    <cellStyle name="Followed Hyperlink" xfId="656" builtinId="9" hidden="1"/>
    <cellStyle name="Followed Hyperlink" xfId="672" builtinId="9" hidden="1"/>
    <cellStyle name="Followed Hyperlink" xfId="688" builtinId="9" hidden="1"/>
    <cellStyle name="Followed Hyperlink" xfId="704" builtinId="9" hidden="1"/>
    <cellStyle name="Followed Hyperlink" xfId="720" builtinId="9" hidden="1"/>
    <cellStyle name="Followed Hyperlink" xfId="736" builtinId="9" hidden="1"/>
    <cellStyle name="Followed Hyperlink" xfId="752" builtinId="9" hidden="1"/>
    <cellStyle name="Followed Hyperlink" xfId="768" builtinId="9" hidden="1"/>
    <cellStyle name="Followed Hyperlink" xfId="758" builtinId="9" hidden="1"/>
    <cellStyle name="Followed Hyperlink" xfId="742" builtinId="9" hidden="1"/>
    <cellStyle name="Followed Hyperlink" xfId="726" builtinId="9" hidden="1"/>
    <cellStyle name="Followed Hyperlink" xfId="710" builtinId="9" hidden="1"/>
    <cellStyle name="Followed Hyperlink" xfId="694" builtinId="9" hidden="1"/>
    <cellStyle name="Followed Hyperlink" xfId="678" builtinId="9" hidden="1"/>
    <cellStyle name="Followed Hyperlink" xfId="662" builtinId="9" hidden="1"/>
    <cellStyle name="Followed Hyperlink" xfId="646" builtinId="9" hidden="1"/>
    <cellStyle name="Followed Hyperlink" xfId="630" builtinId="9" hidden="1"/>
    <cellStyle name="Followed Hyperlink" xfId="614" builtinId="9" hidden="1"/>
    <cellStyle name="Followed Hyperlink" xfId="598" builtinId="9" hidden="1"/>
    <cellStyle name="Followed Hyperlink" xfId="582" builtinId="9" hidden="1"/>
    <cellStyle name="Followed Hyperlink" xfId="566" builtinId="9" hidden="1"/>
    <cellStyle name="Followed Hyperlink" xfId="550" builtinId="9" hidden="1"/>
    <cellStyle name="Followed Hyperlink" xfId="534" builtinId="9" hidden="1"/>
    <cellStyle name="Followed Hyperlink" xfId="518" builtinId="9" hidden="1"/>
    <cellStyle name="Followed Hyperlink" xfId="502" builtinId="9" hidden="1"/>
    <cellStyle name="Followed Hyperlink" xfId="486" builtinId="9" hidden="1"/>
    <cellStyle name="Followed Hyperlink" xfId="470" builtinId="9" hidden="1"/>
    <cellStyle name="Followed Hyperlink" xfId="454" builtinId="9" hidden="1"/>
    <cellStyle name="Followed Hyperlink" xfId="438" builtinId="9" hidden="1"/>
    <cellStyle name="Followed Hyperlink" xfId="422" builtinId="9" hidden="1"/>
    <cellStyle name="Followed Hyperlink" xfId="406" builtinId="9" hidden="1"/>
    <cellStyle name="Followed Hyperlink" xfId="390" builtinId="9" hidden="1"/>
    <cellStyle name="Followed Hyperlink" xfId="374" builtinId="9" hidden="1"/>
    <cellStyle name="Followed Hyperlink" xfId="358" builtinId="9" hidden="1"/>
    <cellStyle name="Followed Hyperlink" xfId="342" builtinId="9" hidden="1"/>
    <cellStyle name="Followed Hyperlink" xfId="326" builtinId="9" hidden="1"/>
    <cellStyle name="Followed Hyperlink" xfId="310" builtinId="9" hidden="1"/>
    <cellStyle name="Followed Hyperlink" xfId="294" builtinId="9" hidden="1"/>
    <cellStyle name="Followed Hyperlink" xfId="278" builtinId="9" hidden="1"/>
    <cellStyle name="Followed Hyperlink" xfId="262" builtinId="9" hidden="1"/>
    <cellStyle name="Followed Hyperlink" xfId="246" builtinId="9" hidden="1"/>
    <cellStyle name="Followed Hyperlink" xfId="230" builtinId="9" hidden="1"/>
    <cellStyle name="Followed Hyperlink" xfId="214" builtinId="9" hidden="1"/>
    <cellStyle name="Followed Hyperlink" xfId="198" builtinId="9" hidden="1"/>
    <cellStyle name="Followed Hyperlink" xfId="182" builtinId="9" hidden="1"/>
    <cellStyle name="Followed Hyperlink" xfId="166" builtinId="9" hidden="1"/>
    <cellStyle name="Followed Hyperlink" xfId="150" builtinId="9" hidden="1"/>
    <cellStyle name="Followed Hyperlink" xfId="134" builtinId="9" hidden="1"/>
    <cellStyle name="Followed Hyperlink" xfId="118" builtinId="9" hidden="1"/>
    <cellStyle name="Followed Hyperlink" xfId="102" builtinId="9" hidden="1"/>
    <cellStyle name="Followed Hyperlink" xfId="86" builtinId="9" hidden="1"/>
    <cellStyle name="Followed Hyperlink" xfId="70" builtinId="9" hidden="1"/>
    <cellStyle name="Followed Hyperlink" xfId="28" builtinId="9" hidden="1"/>
    <cellStyle name="Followed Hyperlink" xfId="40" builtinId="9" hidden="1"/>
    <cellStyle name="Followed Hyperlink" xfId="50" builtinId="9" hidden="1"/>
    <cellStyle name="Followed Hyperlink" xfId="60" builtinId="9" hidden="1"/>
    <cellStyle name="Followed Hyperlink" xfId="46" builtinId="9" hidden="1"/>
    <cellStyle name="Followed Hyperlink" xfId="10" builtinId="9" hidden="1"/>
    <cellStyle name="Followed Hyperlink" xfId="20" builtinId="9" hidden="1"/>
    <cellStyle name="Followed Hyperlink" xfId="4" builtinId="9" hidden="1"/>
    <cellStyle name="Followed Hyperlink" xfId="8" builtinId="9" hidden="1"/>
    <cellStyle name="Followed Hyperlink" xfId="18" builtinId="9" hidden="1"/>
    <cellStyle name="Followed Hyperlink" xfId="22" builtinId="9" hidden="1"/>
    <cellStyle name="Followed Hyperlink" xfId="54" builtinId="9" hidden="1"/>
    <cellStyle name="Followed Hyperlink" xfId="58" builtinId="9" hidden="1"/>
    <cellStyle name="Followed Hyperlink" xfId="48" builtinId="9" hidden="1"/>
    <cellStyle name="Followed Hyperlink" xfId="36" builtinId="9" hidden="1"/>
    <cellStyle name="Followed Hyperlink" xfId="26" builtinId="9" hidden="1"/>
    <cellStyle name="Followed Hyperlink" xfId="74" builtinId="9" hidden="1"/>
    <cellStyle name="Followed Hyperlink" xfId="90" builtinId="9" hidden="1"/>
    <cellStyle name="Followed Hyperlink" xfId="106" builtinId="9" hidden="1"/>
    <cellStyle name="Followed Hyperlink" xfId="122" builtinId="9" hidden="1"/>
    <cellStyle name="Followed Hyperlink" xfId="138" builtinId="9" hidden="1"/>
    <cellStyle name="Followed Hyperlink" xfId="154" builtinId="9" hidden="1"/>
    <cellStyle name="Followed Hyperlink" xfId="170" builtinId="9" hidden="1"/>
    <cellStyle name="Followed Hyperlink" xfId="186" builtinId="9" hidden="1"/>
    <cellStyle name="Followed Hyperlink" xfId="202" builtinId="9" hidden="1"/>
    <cellStyle name="Followed Hyperlink" xfId="218" builtinId="9" hidden="1"/>
    <cellStyle name="Followed Hyperlink" xfId="234" builtinId="9" hidden="1"/>
    <cellStyle name="Followed Hyperlink" xfId="250" builtinId="9" hidden="1"/>
    <cellStyle name="Followed Hyperlink" xfId="266" builtinId="9" hidden="1"/>
    <cellStyle name="Followed Hyperlink" xfId="282" builtinId="9" hidden="1"/>
    <cellStyle name="Followed Hyperlink" xfId="298" builtinId="9" hidden="1"/>
    <cellStyle name="Followed Hyperlink" xfId="314" builtinId="9" hidden="1"/>
    <cellStyle name="Followed Hyperlink" xfId="330" builtinId="9" hidden="1"/>
    <cellStyle name="Followed Hyperlink" xfId="346" builtinId="9" hidden="1"/>
    <cellStyle name="Followed Hyperlink" xfId="362" builtinId="9" hidden="1"/>
    <cellStyle name="Followed Hyperlink" xfId="378" builtinId="9" hidden="1"/>
    <cellStyle name="Followed Hyperlink" xfId="394" builtinId="9" hidden="1"/>
    <cellStyle name="Followed Hyperlink" xfId="410" builtinId="9" hidden="1"/>
    <cellStyle name="Followed Hyperlink" xfId="426" builtinId="9" hidden="1"/>
    <cellStyle name="Followed Hyperlink" xfId="442" builtinId="9" hidden="1"/>
    <cellStyle name="Followed Hyperlink" xfId="458" builtinId="9" hidden="1"/>
    <cellStyle name="Followed Hyperlink" xfId="474" builtinId="9" hidden="1"/>
    <cellStyle name="Followed Hyperlink" xfId="490" builtinId="9" hidden="1"/>
    <cellStyle name="Followed Hyperlink" xfId="506" builtinId="9" hidden="1"/>
    <cellStyle name="Followed Hyperlink" xfId="522" builtinId="9" hidden="1"/>
    <cellStyle name="Followed Hyperlink" xfId="538" builtinId="9" hidden="1"/>
    <cellStyle name="Followed Hyperlink" xfId="554" builtinId="9" hidden="1"/>
    <cellStyle name="Followed Hyperlink" xfId="570" builtinId="9" hidden="1"/>
    <cellStyle name="Followed Hyperlink" xfId="586" builtinId="9" hidden="1"/>
    <cellStyle name="Followed Hyperlink" xfId="602" builtinId="9" hidden="1"/>
    <cellStyle name="Followed Hyperlink" xfId="618" builtinId="9" hidden="1"/>
    <cellStyle name="Followed Hyperlink" xfId="634" builtinId="9" hidden="1"/>
    <cellStyle name="Followed Hyperlink" xfId="650" builtinId="9" hidden="1"/>
    <cellStyle name="Followed Hyperlink" xfId="666" builtinId="9" hidden="1"/>
    <cellStyle name="Followed Hyperlink" xfId="682" builtinId="9" hidden="1"/>
    <cellStyle name="Followed Hyperlink" xfId="698" builtinId="9" hidden="1"/>
    <cellStyle name="Followed Hyperlink" xfId="714" builtinId="9" hidden="1"/>
    <cellStyle name="Followed Hyperlink" xfId="730" builtinId="9" hidden="1"/>
    <cellStyle name="Followed Hyperlink" xfId="746" builtinId="9" hidden="1"/>
    <cellStyle name="Followed Hyperlink" xfId="762" builtinId="9" hidden="1"/>
    <cellStyle name="Followed Hyperlink" xfId="764" builtinId="9" hidden="1"/>
    <cellStyle name="Followed Hyperlink" xfId="748" builtinId="9" hidden="1"/>
    <cellStyle name="Followed Hyperlink" xfId="732" builtinId="9" hidden="1"/>
    <cellStyle name="Followed Hyperlink" xfId="716" builtinId="9" hidden="1"/>
    <cellStyle name="Followed Hyperlink" xfId="700" builtinId="9" hidden="1"/>
    <cellStyle name="Followed Hyperlink" xfId="684" builtinId="9" hidden="1"/>
    <cellStyle name="Followed Hyperlink" xfId="668" builtinId="9" hidden="1"/>
    <cellStyle name="Followed Hyperlink" xfId="652" builtinId="9" hidden="1"/>
    <cellStyle name="Followed Hyperlink" xfId="636" builtinId="9" hidden="1"/>
    <cellStyle name="Followed Hyperlink" xfId="620" builtinId="9" hidden="1"/>
    <cellStyle name="Followed Hyperlink" xfId="604" builtinId="9" hidden="1"/>
    <cellStyle name="Followed Hyperlink" xfId="588" builtinId="9" hidden="1"/>
    <cellStyle name="Followed Hyperlink" xfId="572" builtinId="9" hidden="1"/>
    <cellStyle name="Followed Hyperlink" xfId="556" builtinId="9" hidden="1"/>
    <cellStyle name="Followed Hyperlink" xfId="540" builtinId="9" hidden="1"/>
    <cellStyle name="Followed Hyperlink" xfId="524" builtinId="9" hidden="1"/>
    <cellStyle name="Followed Hyperlink" xfId="508" builtinId="9" hidden="1"/>
    <cellStyle name="Followed Hyperlink" xfId="492" builtinId="9" hidden="1"/>
    <cellStyle name="Followed Hyperlink" xfId="476" builtinId="9" hidden="1"/>
    <cellStyle name="Followed Hyperlink" xfId="460" builtinId="9" hidden="1"/>
    <cellStyle name="Followed Hyperlink" xfId="444" builtinId="9" hidden="1"/>
    <cellStyle name="Followed Hyperlink" xfId="428" builtinId="9" hidden="1"/>
    <cellStyle name="Followed Hyperlink" xfId="412" builtinId="9" hidden="1"/>
    <cellStyle name="Followed Hyperlink" xfId="396" builtinId="9" hidden="1"/>
    <cellStyle name="Followed Hyperlink" xfId="380" builtinId="9" hidden="1"/>
    <cellStyle name="Followed Hyperlink" xfId="364" builtinId="9" hidden="1"/>
    <cellStyle name="Followed Hyperlink" xfId="348" builtinId="9" hidden="1"/>
    <cellStyle name="Followed Hyperlink" xfId="332" builtinId="9" hidden="1"/>
    <cellStyle name="Followed Hyperlink" xfId="316" builtinId="9" hidden="1"/>
    <cellStyle name="Followed Hyperlink" xfId="300" builtinId="9" hidden="1"/>
    <cellStyle name="Followed Hyperlink" xfId="284" builtinId="9" hidden="1"/>
    <cellStyle name="Followed Hyperlink" xfId="268" builtinId="9" hidden="1"/>
    <cellStyle name="Followed Hyperlink" xfId="252" builtinId="9" hidden="1"/>
    <cellStyle name="Followed Hyperlink" xfId="236" builtinId="9" hidden="1"/>
    <cellStyle name="Followed Hyperlink" xfId="220" builtinId="9" hidden="1"/>
    <cellStyle name="Followed Hyperlink" xfId="204" builtinId="9" hidden="1"/>
    <cellStyle name="Followed Hyperlink" xfId="112" builtinId="9" hidden="1"/>
    <cellStyle name="Followed Hyperlink" xfId="120" builtinId="9" hidden="1"/>
    <cellStyle name="Followed Hyperlink" xfId="132" builtinId="9" hidden="1"/>
    <cellStyle name="Followed Hyperlink" xfId="144" builtinId="9" hidden="1"/>
    <cellStyle name="Followed Hyperlink" xfId="152" builtinId="9" hidden="1"/>
    <cellStyle name="Followed Hyperlink" xfId="164" builtinId="9" hidden="1"/>
    <cellStyle name="Followed Hyperlink" xfId="176" builtinId="9" hidden="1"/>
    <cellStyle name="Followed Hyperlink" xfId="184" builtinId="9" hidden="1"/>
    <cellStyle name="Followed Hyperlink" xfId="188" builtinId="9" hidden="1"/>
    <cellStyle name="Followed Hyperlink" xfId="156" builtinId="9" hidden="1"/>
    <cellStyle name="Followed Hyperlink" xfId="124" builtinId="9" hidden="1"/>
    <cellStyle name="Followed Hyperlink" xfId="84" builtinId="9" hidden="1"/>
    <cellStyle name="Followed Hyperlink" xfId="96" builtinId="9" hidden="1"/>
    <cellStyle name="Followed Hyperlink" xfId="104" builtinId="9" hidden="1"/>
    <cellStyle name="Followed Hyperlink" xfId="76" builtinId="9" hidden="1"/>
    <cellStyle name="Followed Hyperlink" xfId="72" builtinId="9" hidden="1"/>
    <cellStyle name="Followed Hyperlink" xfId="68" builtinId="9" hidden="1"/>
    <cellStyle name="Followed Hyperlink" xfId="80" builtinId="9" hidden="1"/>
    <cellStyle name="Followed Hyperlink" xfId="92" builtinId="9" hidden="1"/>
    <cellStyle name="Followed Hyperlink" xfId="100" builtinId="9" hidden="1"/>
    <cellStyle name="Followed Hyperlink" xfId="88" builtinId="9" hidden="1"/>
    <cellStyle name="Followed Hyperlink" xfId="108" builtinId="9" hidden="1"/>
    <cellStyle name="Followed Hyperlink" xfId="140" builtinId="9" hidden="1"/>
    <cellStyle name="Followed Hyperlink" xfId="172" builtinId="9" hidden="1"/>
    <cellStyle name="Followed Hyperlink" xfId="192" builtinId="9" hidden="1"/>
    <cellStyle name="Followed Hyperlink" xfId="180" builtinId="9" hidden="1"/>
    <cellStyle name="Followed Hyperlink" xfId="168" builtinId="9" hidden="1"/>
    <cellStyle name="Followed Hyperlink" xfId="160" builtinId="9" hidden="1"/>
    <cellStyle name="Followed Hyperlink" xfId="148" builtinId="9" hidden="1"/>
    <cellStyle name="Followed Hyperlink" xfId="136" builtinId="9" hidden="1"/>
    <cellStyle name="Followed Hyperlink" xfId="128" builtinId="9" hidden="1"/>
    <cellStyle name="Followed Hyperlink" xfId="116" builtinId="9" hidden="1"/>
    <cellStyle name="Followed Hyperlink" xfId="196" builtinId="9" hidden="1"/>
    <cellStyle name="Followed Hyperlink" xfId="212" builtinId="9" hidden="1"/>
    <cellStyle name="Followed Hyperlink" xfId="228" builtinId="9" hidden="1"/>
    <cellStyle name="Followed Hyperlink" xfId="244" builtinId="9" hidden="1"/>
    <cellStyle name="Followed Hyperlink" xfId="260" builtinId="9" hidden="1"/>
    <cellStyle name="Followed Hyperlink" xfId="276" builtinId="9" hidden="1"/>
    <cellStyle name="Followed Hyperlink" xfId="292" builtinId="9" hidden="1"/>
    <cellStyle name="Followed Hyperlink" xfId="308" builtinId="9" hidden="1"/>
    <cellStyle name="Followed Hyperlink" xfId="324" builtinId="9" hidden="1"/>
    <cellStyle name="Followed Hyperlink" xfId="340" builtinId="9" hidden="1"/>
    <cellStyle name="Followed Hyperlink" xfId="356" builtinId="9" hidden="1"/>
    <cellStyle name="Followed Hyperlink" xfId="372" builtinId="9" hidden="1"/>
    <cellStyle name="Followed Hyperlink" xfId="388" builtinId="9" hidden="1"/>
    <cellStyle name="Followed Hyperlink" xfId="404" builtinId="9" hidden="1"/>
    <cellStyle name="Followed Hyperlink" xfId="420" builtinId="9" hidden="1"/>
    <cellStyle name="Followed Hyperlink" xfId="436" builtinId="9" hidden="1"/>
    <cellStyle name="Followed Hyperlink" xfId="452" builtinId="9" hidden="1"/>
    <cellStyle name="Followed Hyperlink" xfId="468" builtinId="9" hidden="1"/>
    <cellStyle name="Followed Hyperlink" xfId="484" builtinId="9" hidden="1"/>
    <cellStyle name="Followed Hyperlink" xfId="500" builtinId="9" hidden="1"/>
    <cellStyle name="Followed Hyperlink" xfId="516" builtinId="9" hidden="1"/>
    <cellStyle name="Followed Hyperlink" xfId="532" builtinId="9" hidden="1"/>
    <cellStyle name="Followed Hyperlink" xfId="548" builtinId="9" hidden="1"/>
    <cellStyle name="Followed Hyperlink" xfId="564" builtinId="9" hidden="1"/>
    <cellStyle name="Followed Hyperlink" xfId="580" builtinId="9" hidden="1"/>
    <cellStyle name="Followed Hyperlink" xfId="596" builtinId="9" hidden="1"/>
    <cellStyle name="Followed Hyperlink" xfId="612" builtinId="9" hidden="1"/>
    <cellStyle name="Followed Hyperlink" xfId="628" builtinId="9" hidden="1"/>
    <cellStyle name="Followed Hyperlink" xfId="644" builtinId="9" hidden="1"/>
    <cellStyle name="Followed Hyperlink" xfId="660" builtinId="9" hidden="1"/>
    <cellStyle name="Followed Hyperlink" xfId="676" builtinId="9" hidden="1"/>
    <cellStyle name="Followed Hyperlink" xfId="692" builtinId="9" hidden="1"/>
    <cellStyle name="Followed Hyperlink" xfId="708" builtinId="9" hidden="1"/>
    <cellStyle name="Followed Hyperlink" xfId="724" builtinId="9" hidden="1"/>
    <cellStyle name="Followed Hyperlink" xfId="740" builtinId="9" hidden="1"/>
    <cellStyle name="Followed Hyperlink" xfId="756" builtinId="9" hidden="1"/>
    <cellStyle name="Followed Hyperlink" xfId="770" builtinId="9" hidden="1"/>
    <cellStyle name="Followed Hyperlink" xfId="754" builtinId="9" hidden="1"/>
    <cellStyle name="Followed Hyperlink" xfId="738" builtinId="9" hidden="1"/>
    <cellStyle name="Followed Hyperlink" xfId="722" builtinId="9" hidden="1"/>
    <cellStyle name="Followed Hyperlink" xfId="706" builtinId="9" hidden="1"/>
    <cellStyle name="Followed Hyperlink" xfId="690" builtinId="9" hidden="1"/>
    <cellStyle name="Followed Hyperlink" xfId="674" builtinId="9" hidden="1"/>
    <cellStyle name="Followed Hyperlink" xfId="658" builtinId="9" hidden="1"/>
    <cellStyle name="Followed Hyperlink" xfId="642" builtinId="9" hidden="1"/>
    <cellStyle name="Followed Hyperlink" xfId="626" builtinId="9" hidden="1"/>
    <cellStyle name="Followed Hyperlink" xfId="610" builtinId="9" hidden="1"/>
    <cellStyle name="Followed Hyperlink" xfId="594" builtinId="9" hidden="1"/>
    <cellStyle name="Followed Hyperlink" xfId="578" builtinId="9" hidden="1"/>
    <cellStyle name="Followed Hyperlink" xfId="562" builtinId="9" hidden="1"/>
    <cellStyle name="Followed Hyperlink" xfId="546" builtinId="9" hidden="1"/>
    <cellStyle name="Followed Hyperlink" xfId="530" builtinId="9" hidden="1"/>
    <cellStyle name="Followed Hyperlink" xfId="514" builtinId="9" hidden="1"/>
    <cellStyle name="Followed Hyperlink" xfId="498" builtinId="9" hidden="1"/>
    <cellStyle name="Followed Hyperlink" xfId="482" builtinId="9" hidden="1"/>
    <cellStyle name="Followed Hyperlink" xfId="466" builtinId="9" hidden="1"/>
    <cellStyle name="Followed Hyperlink" xfId="450" builtinId="9" hidden="1"/>
    <cellStyle name="Followed Hyperlink" xfId="434" builtinId="9" hidden="1"/>
    <cellStyle name="Followed Hyperlink" xfId="418" builtinId="9" hidden="1"/>
    <cellStyle name="Followed Hyperlink" xfId="402" builtinId="9" hidden="1"/>
    <cellStyle name="Followed Hyperlink" xfId="386" builtinId="9" hidden="1"/>
    <cellStyle name="Followed Hyperlink" xfId="370" builtinId="9" hidden="1"/>
    <cellStyle name="Followed Hyperlink" xfId="354" builtinId="9" hidden="1"/>
    <cellStyle name="Followed Hyperlink" xfId="338" builtinId="9" hidden="1"/>
    <cellStyle name="Followed Hyperlink" xfId="322" builtinId="9" hidden="1"/>
    <cellStyle name="Followed Hyperlink" xfId="306" builtinId="9" hidden="1"/>
    <cellStyle name="Followed Hyperlink" xfId="290" builtinId="9" hidden="1"/>
    <cellStyle name="Followed Hyperlink" xfId="274" builtinId="9" hidden="1"/>
    <cellStyle name="Followed Hyperlink" xfId="258" builtinId="9" hidden="1"/>
    <cellStyle name="Followed Hyperlink" xfId="242" builtinId="9" hidden="1"/>
    <cellStyle name="Followed Hyperlink" xfId="226" builtinId="9" hidden="1"/>
    <cellStyle name="Followed Hyperlink" xfId="210" builtinId="9" hidden="1"/>
    <cellStyle name="Followed Hyperlink" xfId="194" builtinId="9" hidden="1"/>
    <cellStyle name="Followed Hyperlink" xfId="178" builtinId="9" hidden="1"/>
    <cellStyle name="Followed Hyperlink" xfId="162" builtinId="9" hidden="1"/>
    <cellStyle name="Followed Hyperlink" xfId="146" builtinId="9" hidden="1"/>
    <cellStyle name="Followed Hyperlink" xfId="130" builtinId="9" hidden="1"/>
    <cellStyle name="Followed Hyperlink" xfId="114" builtinId="9" hidden="1"/>
    <cellStyle name="Followed Hyperlink" xfId="98" builtinId="9" hidden="1"/>
    <cellStyle name="Followed Hyperlink" xfId="82" builtinId="9" hidden="1"/>
    <cellStyle name="Followed Hyperlink" xfId="66" builtinId="9" hidden="1"/>
    <cellStyle name="Followed Hyperlink" xfId="32" builtinId="9" hidden="1"/>
    <cellStyle name="Followed Hyperlink" xfId="42" builtinId="9" hidden="1"/>
    <cellStyle name="Followed Hyperlink" xfId="52" builtinId="9" hidden="1"/>
    <cellStyle name="Followed Hyperlink" xfId="64" builtinId="9" hidden="1"/>
    <cellStyle name="Followed Hyperlink" xfId="38" builtinId="9" hidden="1"/>
    <cellStyle name="Followed Hyperlink" xfId="12" builtinId="9" hidden="1"/>
    <cellStyle name="Followed Hyperlink" xfId="14" builtinId="9" hidden="1"/>
    <cellStyle name="Followed Hyperlink" xfId="2" builtinId="9" hidden="1"/>
    <cellStyle name="Followed Hyperlink" xfId="6" builtinId="9" hidden="1"/>
    <cellStyle name="Followed Hyperlink" xfId="16" builtinId="9" hidden="1"/>
    <cellStyle name="Followed Hyperlink" xfId="30" builtinId="9" hidden="1"/>
    <cellStyle name="Followed Hyperlink" xfId="62" builtinId="9" hidden="1"/>
    <cellStyle name="Followed Hyperlink" xfId="56" builtinId="9" hidden="1"/>
    <cellStyle name="Followed Hyperlink" xfId="44" builtinId="9" hidden="1"/>
    <cellStyle name="Followed Hyperlink" xfId="34" builtinId="9" hidden="1"/>
    <cellStyle name="Followed Hyperlink" xfId="24" builtinId="9" hidden="1"/>
    <cellStyle name="Followed Hyperlink" xfId="78" builtinId="9" hidden="1"/>
    <cellStyle name="Followed Hyperlink" xfId="94" builtinId="9" hidden="1"/>
    <cellStyle name="Followed Hyperlink" xfId="110" builtinId="9" hidden="1"/>
    <cellStyle name="Followed Hyperlink" xfId="126" builtinId="9" hidden="1"/>
    <cellStyle name="Followed Hyperlink" xfId="142" builtinId="9" hidden="1"/>
    <cellStyle name="Followed Hyperlink" xfId="158" builtinId="9" hidden="1"/>
    <cellStyle name="Followed Hyperlink" xfId="174" builtinId="9" hidden="1"/>
    <cellStyle name="Followed Hyperlink" xfId="190" builtinId="9" hidden="1"/>
    <cellStyle name="Followed Hyperlink" xfId="206" builtinId="9" hidden="1"/>
    <cellStyle name="Followed Hyperlink" xfId="222" builtinId="9" hidden="1"/>
    <cellStyle name="Followed Hyperlink" xfId="238" builtinId="9" hidden="1"/>
    <cellStyle name="Followed Hyperlink" xfId="254" builtinId="9" hidden="1"/>
    <cellStyle name="Followed Hyperlink" xfId="270" builtinId="9" hidden="1"/>
    <cellStyle name="Followed Hyperlink" xfId="286" builtinId="9" hidden="1"/>
    <cellStyle name="Followed Hyperlink" xfId="302" builtinId="9" hidden="1"/>
    <cellStyle name="Followed Hyperlink" xfId="318" builtinId="9" hidden="1"/>
    <cellStyle name="Followed Hyperlink" xfId="334" builtinId="9" hidden="1"/>
    <cellStyle name="Followed Hyperlink" xfId="350" builtinId="9" hidden="1"/>
    <cellStyle name="Followed Hyperlink" xfId="366" builtinId="9" hidden="1"/>
    <cellStyle name="Followed Hyperlink" xfId="382" builtinId="9" hidden="1"/>
    <cellStyle name="Followed Hyperlink" xfId="398" builtinId="9" hidden="1"/>
    <cellStyle name="Followed Hyperlink" xfId="414" builtinId="9" hidden="1"/>
    <cellStyle name="Followed Hyperlink" xfId="430" builtinId="9" hidden="1"/>
    <cellStyle name="Followed Hyperlink" xfId="446" builtinId="9" hidden="1"/>
    <cellStyle name="Followed Hyperlink" xfId="462" builtinId="9" hidden="1"/>
    <cellStyle name="Followed Hyperlink" xfId="478" builtinId="9" hidden="1"/>
    <cellStyle name="Followed Hyperlink" xfId="494" builtinId="9" hidden="1"/>
    <cellStyle name="Followed Hyperlink" xfId="510" builtinId="9" hidden="1"/>
    <cellStyle name="Followed Hyperlink" xfId="526" builtinId="9" hidden="1"/>
    <cellStyle name="Followed Hyperlink" xfId="542" builtinId="9" hidden="1"/>
    <cellStyle name="Followed Hyperlink" xfId="558" builtinId="9" hidden="1"/>
    <cellStyle name="Followed Hyperlink" xfId="574" builtinId="9" hidden="1"/>
    <cellStyle name="Followed Hyperlink" xfId="590" builtinId="9" hidden="1"/>
    <cellStyle name="Followed Hyperlink" xfId="606" builtinId="9" hidden="1"/>
    <cellStyle name="Followed Hyperlink" xfId="622" builtinId="9" hidden="1"/>
    <cellStyle name="Followed Hyperlink" xfId="638" builtinId="9" hidden="1"/>
    <cellStyle name="Followed Hyperlink" xfId="654" builtinId="9" hidden="1"/>
    <cellStyle name="Followed Hyperlink" xfId="670" builtinId="9" hidden="1"/>
    <cellStyle name="Followed Hyperlink" xfId="686" builtinId="9" hidden="1"/>
    <cellStyle name="Followed Hyperlink" xfId="702" builtinId="9" hidden="1"/>
    <cellStyle name="Followed Hyperlink" xfId="718" builtinId="9" hidden="1"/>
    <cellStyle name="Followed Hyperlink" xfId="734" builtinId="9" hidden="1"/>
    <cellStyle name="Followed Hyperlink" xfId="750" builtinId="9" hidden="1"/>
    <cellStyle name="Followed Hyperlink" xfId="766" builtinId="9" hidden="1"/>
    <cellStyle name="Followed Hyperlink" xfId="760" builtinId="9" hidden="1"/>
    <cellStyle name="Followed Hyperlink" xfId="744" builtinId="9" hidden="1"/>
    <cellStyle name="Followed Hyperlink" xfId="728" builtinId="9" hidden="1"/>
    <cellStyle name="Followed Hyperlink" xfId="712" builtinId="9" hidden="1"/>
    <cellStyle name="Followed Hyperlink" xfId="696" builtinId="9" hidden="1"/>
    <cellStyle name="Followed Hyperlink" xfId="680" builtinId="9" hidden="1"/>
    <cellStyle name="Followed Hyperlink" xfId="664" builtinId="9" hidden="1"/>
    <cellStyle name="Followed Hyperlink" xfId="648" builtinId="9" hidden="1"/>
    <cellStyle name="Followed Hyperlink" xfId="632" builtinId="9" hidden="1"/>
    <cellStyle name="Followed Hyperlink" xfId="616" builtinId="9" hidden="1"/>
    <cellStyle name="Followed Hyperlink" xfId="600" builtinId="9" hidden="1"/>
    <cellStyle name="Followed Hyperlink" xfId="584" builtinId="9" hidden="1"/>
    <cellStyle name="Followed Hyperlink" xfId="568" builtinId="9" hidden="1"/>
    <cellStyle name="Followed Hyperlink" xfId="552" builtinId="9" hidden="1"/>
    <cellStyle name="Followed Hyperlink" xfId="536" builtinId="9" hidden="1"/>
    <cellStyle name="Followed Hyperlink" xfId="520" builtinId="9" hidden="1"/>
    <cellStyle name="Followed Hyperlink" xfId="504" builtinId="9" hidden="1"/>
    <cellStyle name="Followed Hyperlink" xfId="488" builtinId="9" hidden="1"/>
    <cellStyle name="Followed Hyperlink" xfId="472" builtinId="9" hidden="1"/>
    <cellStyle name="Followed Hyperlink" xfId="456" builtinId="9" hidden="1"/>
    <cellStyle name="Followed Hyperlink" xfId="288" builtinId="9" hidden="1"/>
    <cellStyle name="Followed Hyperlink" xfId="296" builtinId="9" hidden="1"/>
    <cellStyle name="Followed Hyperlink" xfId="304" builtinId="9" hidden="1"/>
    <cellStyle name="Followed Hyperlink" xfId="320" builtinId="9" hidden="1"/>
    <cellStyle name="Followed Hyperlink" xfId="328" builtinId="9" hidden="1"/>
    <cellStyle name="Followed Hyperlink" xfId="336" builtinId="9" hidden="1"/>
    <cellStyle name="Followed Hyperlink" xfId="352" builtinId="9" hidden="1"/>
    <cellStyle name="Followed Hyperlink" xfId="360" builtinId="9" hidden="1"/>
    <cellStyle name="Followed Hyperlink" xfId="368" builtinId="9" hidden="1"/>
    <cellStyle name="Followed Hyperlink" xfId="384" builtinId="9" hidden="1"/>
    <cellStyle name="Followed Hyperlink" xfId="392" builtinId="9" hidden="1"/>
    <cellStyle name="Followed Hyperlink" xfId="400" builtinId="9" hidden="1"/>
    <cellStyle name="Followed Hyperlink" xfId="416" builtinId="9" hidden="1"/>
    <cellStyle name="Followed Hyperlink" xfId="424" builtinId="9" hidden="1"/>
    <cellStyle name="Followed Hyperlink" xfId="432" builtinId="9" hidden="1"/>
    <cellStyle name="Followed Hyperlink" xfId="448" builtinId="9" hidden="1"/>
    <cellStyle name="Followed Hyperlink" xfId="440" builtinId="9" hidden="1"/>
    <cellStyle name="Followed Hyperlink" xfId="408" builtinId="9" hidden="1"/>
    <cellStyle name="Followed Hyperlink" xfId="376" builtinId="9" hidden="1"/>
    <cellStyle name="Followed Hyperlink" xfId="344" builtinId="9" hidden="1"/>
    <cellStyle name="Followed Hyperlink" xfId="312" builtinId="9" hidden="1"/>
    <cellStyle name="Followed Hyperlink" xfId="280" builtinId="9" hidden="1"/>
    <cellStyle name="Followed Hyperlink" xfId="232" builtinId="9" hidden="1"/>
    <cellStyle name="Followed Hyperlink" xfId="240" builtinId="9" hidden="1"/>
    <cellStyle name="Followed Hyperlink" xfId="256" builtinId="9" hidden="1"/>
    <cellStyle name="Followed Hyperlink" xfId="264" builtinId="9" hidden="1"/>
    <cellStyle name="Followed Hyperlink" xfId="272" builtinId="9" hidden="1"/>
    <cellStyle name="Followed Hyperlink" xfId="248" builtinId="9" hidden="1"/>
    <cellStyle name="Followed Hyperlink" xfId="216" builtinId="9" hidden="1"/>
    <cellStyle name="Followed Hyperlink" xfId="224" builtinId="9" hidden="1"/>
    <cellStyle name="Followed Hyperlink" xfId="208" builtinId="9" hidden="1"/>
    <cellStyle name="Followed Hyperlink" xfId="20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Hyperlink" xfId="65" builtinId="8" hidden="1"/>
    <cellStyle name="Hyperlink" xfId="67" builtinId="8" hidden="1"/>
    <cellStyle name="Hyperlink" xfId="73" builtinId="8" hidden="1"/>
    <cellStyle name="Hyperlink" xfId="75" builtinId="8" hidden="1"/>
    <cellStyle name="Hyperlink" xfId="81" builtinId="8" hidden="1"/>
    <cellStyle name="Hyperlink" xfId="85" builtinId="8" hidden="1"/>
    <cellStyle name="Hyperlink" xfId="89" builtinId="8" hidden="1"/>
    <cellStyle name="Hyperlink" xfId="91" builtinId="8" hidden="1"/>
    <cellStyle name="Hyperlink" xfId="97" builtinId="8" hidden="1"/>
    <cellStyle name="Hyperlink" xfId="99" builtinId="8" hidden="1"/>
    <cellStyle name="Hyperlink" xfId="101" builtinId="8" hidden="1"/>
    <cellStyle name="Hyperlink" xfId="107" builtinId="8" hidden="1"/>
    <cellStyle name="Hyperlink" xfId="109" builtinId="8" hidden="1"/>
    <cellStyle name="Hyperlink" xfId="115" builtinId="8" hidden="1"/>
    <cellStyle name="Hyperlink" xfId="119" builtinId="8" hidden="1"/>
    <cellStyle name="Hyperlink" xfId="79" builtinId="8" hidden="1"/>
    <cellStyle name="Hyperlink" xfId="27" builtinId="8" hidden="1"/>
    <cellStyle name="Hyperlink" xfId="33" builtinId="8" hidden="1"/>
    <cellStyle name="Hyperlink" xfId="35" builtinId="8" hidden="1"/>
    <cellStyle name="Hyperlink" xfId="37" builtinId="8" hidden="1"/>
    <cellStyle name="Hyperlink" xfId="43" builtinId="8" hidden="1"/>
    <cellStyle name="Hyperlink" xfId="45" builtinId="8" hidden="1"/>
    <cellStyle name="Hyperlink" xfId="51" builtinId="8" hidden="1"/>
    <cellStyle name="Hyperlink" xfId="55" builtinId="8" hidden="1"/>
    <cellStyle name="Hyperlink" xfId="13" builtinId="8" hidden="1"/>
    <cellStyle name="Hyperlink" xfId="15" builtinId="8" hidden="1"/>
    <cellStyle name="Hyperlink" xfId="21" builtinId="8" hidden="1"/>
    <cellStyle name="Hyperlink" xfId="23" builtinId="8" hidden="1"/>
    <cellStyle name="Hyperlink" xfId="25" builtinId="8" hidden="1"/>
    <cellStyle name="Hyperlink" xfId="11" builtinId="8" hidden="1"/>
    <cellStyle name="Hyperlink" xfId="3" builtinId="8" hidden="1"/>
    <cellStyle name="Hyperlink" xfId="1" builtinId="8" hidden="1"/>
    <cellStyle name="Hyperlink" xfId="7" builtinId="8" hidden="1"/>
    <cellStyle name="Hyperlink" xfId="19" builtinId="8" hidden="1"/>
    <cellStyle name="Hyperlink" xfId="47" builtinId="8" hidden="1"/>
    <cellStyle name="Hyperlink" xfId="39" builtinId="8" hidden="1"/>
    <cellStyle name="Hyperlink" xfId="31" builtinId="8" hidden="1"/>
    <cellStyle name="Hyperlink" xfId="111" builtinId="8" hidden="1"/>
    <cellStyle name="Hyperlink" xfId="103" builtinId="8" hidden="1"/>
    <cellStyle name="Hyperlink" xfId="95" builtinId="8" hidden="1"/>
    <cellStyle name="Hyperlink" xfId="87" builtinId="8" hidden="1"/>
    <cellStyle name="Hyperlink" xfId="69" builtinId="8" hidden="1"/>
    <cellStyle name="Hyperlink" xfId="61" builtinId="8" hidden="1"/>
    <cellStyle name="Hyperlink" xfId="143" builtinId="8" hidden="1"/>
    <cellStyle name="Hyperlink" xfId="271" builtinId="8" hidden="1"/>
    <cellStyle name="Hyperlink" xfId="275" builtinId="8" hidden="1"/>
    <cellStyle name="Hyperlink" xfId="265" builtinId="8" hidden="1"/>
    <cellStyle name="Hyperlink" xfId="247" builtinId="8" hidden="1"/>
    <cellStyle name="Hyperlink" xfId="237" builtinId="8" hidden="1"/>
    <cellStyle name="Hyperlink" xfId="229" builtinId="8" hidden="1"/>
    <cellStyle name="Hyperlink" xfId="211" builtinId="8" hidden="1"/>
    <cellStyle name="Hyperlink" xfId="201" builtinId="8" hidden="1"/>
    <cellStyle name="Hyperlink" xfId="193" builtinId="8" hidden="1"/>
    <cellStyle name="Hyperlink" xfId="173" builtinId="8" hidden="1"/>
    <cellStyle name="Hyperlink" xfId="165" builtinId="8" hidden="1"/>
    <cellStyle name="Hyperlink" xfId="155" builtinId="8" hidden="1"/>
    <cellStyle name="Hyperlink" xfId="137" builtinId="8" hidden="1"/>
    <cellStyle name="Hyperlink" xfId="129" builtinId="8" hidden="1"/>
    <cellStyle name="Hyperlink" xfId="287" builtinId="8" hidden="1"/>
    <cellStyle name="Hyperlink" xfId="351" builtinId="8" hidden="1"/>
    <cellStyle name="Hyperlink" xfId="383" builtinId="8" hidden="1"/>
    <cellStyle name="Hyperlink" xfId="415" builtinId="8" hidden="1"/>
    <cellStyle name="Hyperlink" xfId="479" builtinId="8" hidden="1"/>
    <cellStyle name="Hyperlink" xfId="511" builtinId="8" hidden="1"/>
    <cellStyle name="Hyperlink" xfId="543" builtinId="8" hidden="1"/>
    <cellStyle name="Hyperlink" xfId="607" builtinId="8" hidden="1"/>
    <cellStyle name="Hyperlink" xfId="639" builtinId="8" hidden="1"/>
    <cellStyle name="Hyperlink" xfId="671" builtinId="8" hidden="1"/>
    <cellStyle name="Hyperlink" xfId="735" builtinId="8" hidden="1"/>
    <cellStyle name="Hyperlink" xfId="767" builtinId="8" hidden="1"/>
    <cellStyle name="Hyperlink" xfId="761" builtinId="8" hidden="1"/>
    <cellStyle name="Hyperlink" xfId="739" builtinId="8" hidden="1"/>
    <cellStyle name="Hyperlink" xfId="729" builtinId="8" hidden="1"/>
    <cellStyle name="Hyperlink" xfId="717" builtinId="8" hidden="1"/>
    <cellStyle name="Hyperlink" xfId="697" builtinId="8" hidden="1"/>
    <cellStyle name="Hyperlink" xfId="685" builtinId="8" hidden="1"/>
    <cellStyle name="Hyperlink" xfId="675" builtinId="8" hidden="1"/>
    <cellStyle name="Hyperlink" xfId="443" builtinId="8" hidden="1"/>
    <cellStyle name="Hyperlink" xfId="445" builtinId="8" hidden="1"/>
    <cellStyle name="Hyperlink" xfId="449" builtinId="8" hidden="1"/>
    <cellStyle name="Hyperlink" xfId="457" builtinId="8" hidden="1"/>
    <cellStyle name="Hyperlink" xfId="459" builtinId="8" hidden="1"/>
    <cellStyle name="Hyperlink" xfId="461" builtinId="8" hidden="1"/>
    <cellStyle name="Hyperlink" xfId="467" builtinId="8" hidden="1"/>
    <cellStyle name="Hyperlink" xfId="469" builtinId="8" hidden="1"/>
    <cellStyle name="Hyperlink" xfId="475" builtinId="8" hidden="1"/>
    <cellStyle name="Hyperlink" xfId="481" builtinId="8" hidden="1"/>
    <cellStyle name="Hyperlink" xfId="483" builtinId="8" hidden="1"/>
    <cellStyle name="Hyperlink" xfId="485" builtinId="8" hidden="1"/>
    <cellStyle name="Hyperlink" xfId="491" builtinId="8" hidden="1"/>
    <cellStyle name="Hyperlink" xfId="497" builtinId="8" hidden="1"/>
    <cellStyle name="Hyperlink" xfId="499" builtinId="8" hidden="1"/>
    <cellStyle name="Hyperlink" xfId="505" builtinId="8" hidden="1"/>
    <cellStyle name="Hyperlink" xfId="507" builtinId="8" hidden="1"/>
    <cellStyle name="Hyperlink" xfId="509" builtinId="8" hidden="1"/>
    <cellStyle name="Hyperlink" xfId="517" builtinId="8" hidden="1"/>
    <cellStyle name="Hyperlink" xfId="521" builtinId="8" hidden="1"/>
    <cellStyle name="Hyperlink" xfId="523" builtinId="8" hidden="1"/>
    <cellStyle name="Hyperlink" xfId="529" builtinId="8" hidden="1"/>
    <cellStyle name="Hyperlink" xfId="531" builtinId="8" hidden="1"/>
    <cellStyle name="Hyperlink" xfId="533" builtinId="8" hidden="1"/>
    <cellStyle name="Hyperlink" xfId="541" builtinId="8" hidden="1"/>
    <cellStyle name="Hyperlink" xfId="545" builtinId="8" hidden="1"/>
    <cellStyle name="Hyperlink" xfId="547" builtinId="8" hidden="1"/>
    <cellStyle name="Hyperlink" xfId="553" builtinId="8" hidden="1"/>
    <cellStyle name="Hyperlink" xfId="555" builtinId="8" hidden="1"/>
    <cellStyle name="Hyperlink" xfId="561" builtinId="8" hidden="1"/>
    <cellStyle name="Hyperlink" xfId="565" builtinId="8" hidden="1"/>
    <cellStyle name="Hyperlink" xfId="569" builtinId="8" hidden="1"/>
    <cellStyle name="Hyperlink" xfId="571" builtinId="8" hidden="1"/>
    <cellStyle name="Hyperlink" xfId="577" builtinId="8" hidden="1"/>
    <cellStyle name="Hyperlink" xfId="581" builtinId="8" hidden="1"/>
    <cellStyle name="Hyperlink" xfId="585" builtinId="8" hidden="1"/>
    <cellStyle name="Hyperlink" xfId="589" builtinId="8" hidden="1"/>
    <cellStyle name="Hyperlink" xfId="593" builtinId="8" hidden="1"/>
    <cellStyle name="Hyperlink" xfId="595" builtinId="8" hidden="1"/>
    <cellStyle name="Hyperlink" xfId="603" builtinId="8" hidden="1"/>
    <cellStyle name="Hyperlink" xfId="605" builtinId="8" hidden="1"/>
    <cellStyle name="Hyperlink" xfId="609" builtinId="8" hidden="1"/>
    <cellStyle name="Hyperlink" xfId="613" builtinId="8" hidden="1"/>
    <cellStyle name="Hyperlink" xfId="617" builtinId="8" hidden="1"/>
    <cellStyle name="Hyperlink" xfId="619" builtinId="8" hidden="1"/>
    <cellStyle name="Hyperlink" xfId="627" builtinId="8" hidden="1"/>
    <cellStyle name="Hyperlink" xfId="629" builtinId="8" hidden="1"/>
    <cellStyle name="Hyperlink" xfId="633" builtinId="8" hidden="1"/>
    <cellStyle name="Hyperlink" xfId="637" builtinId="8" hidden="1"/>
    <cellStyle name="Hyperlink" xfId="641" builtinId="8" hidden="1"/>
    <cellStyle name="Hyperlink" xfId="645" builtinId="8" hidden="1"/>
    <cellStyle name="Hyperlink" xfId="651" builtinId="8" hidden="1"/>
    <cellStyle name="Hyperlink" xfId="653" builtinId="8" hidden="1"/>
    <cellStyle name="Hyperlink" xfId="657" builtinId="8" hidden="1"/>
    <cellStyle name="Hyperlink" xfId="621" builtinId="8" hidden="1"/>
    <cellStyle name="Hyperlink" xfId="601" builtinId="8" hidden="1"/>
    <cellStyle name="Hyperlink" xfId="579" builtinId="8" hidden="1"/>
    <cellStyle name="Hyperlink" xfId="537" builtinId="8" hidden="1"/>
    <cellStyle name="Hyperlink" xfId="515" builtinId="8" hidden="1"/>
    <cellStyle name="Hyperlink" xfId="493" builtinId="8" hidden="1"/>
    <cellStyle name="Hyperlink" xfId="451" builtinId="8" hidden="1"/>
    <cellStyle name="Hyperlink" xfId="357" builtinId="8" hidden="1"/>
    <cellStyle name="Hyperlink" xfId="361" builtinId="8" hidden="1"/>
    <cellStyle name="Hyperlink" xfId="365" builtinId="8" hidden="1"/>
    <cellStyle name="Hyperlink" xfId="369" builtinId="8" hidden="1"/>
    <cellStyle name="Hyperlink" xfId="371" builtinId="8" hidden="1"/>
    <cellStyle name="Hyperlink" xfId="377" builtinId="8" hidden="1"/>
    <cellStyle name="Hyperlink" xfId="379" builtinId="8" hidden="1"/>
    <cellStyle name="Hyperlink" xfId="381" builtinId="8" hidden="1"/>
    <cellStyle name="Hyperlink" xfId="389" builtinId="8" hidden="1"/>
    <cellStyle name="Hyperlink" xfId="393" builtinId="8" hidden="1"/>
    <cellStyle name="Hyperlink" xfId="395" builtinId="8" hidden="1"/>
    <cellStyle name="Hyperlink" xfId="401" builtinId="8" hidden="1"/>
    <cellStyle name="Hyperlink" xfId="403" builtinId="8" hidden="1"/>
    <cellStyle name="Hyperlink" xfId="405" builtinId="8" hidden="1"/>
    <cellStyle name="Hyperlink" xfId="411" builtinId="8" hidden="1"/>
    <cellStyle name="Hyperlink" xfId="413" builtinId="8" hidden="1"/>
    <cellStyle name="Hyperlink" xfId="417" builtinId="8" hidden="1"/>
    <cellStyle name="Hyperlink" xfId="421" builtinId="8" hidden="1"/>
    <cellStyle name="Hyperlink" xfId="425" builtinId="8" hidden="1"/>
    <cellStyle name="Hyperlink" xfId="427" builtinId="8" hidden="1"/>
    <cellStyle name="Hyperlink" xfId="435" builtinId="8" hidden="1"/>
    <cellStyle name="Hyperlink" xfId="437" builtinId="8" hidden="1"/>
    <cellStyle name="Hyperlink" xfId="441" builtinId="8" hidden="1"/>
    <cellStyle name="Hyperlink" xfId="387" builtinId="8" hidden="1"/>
    <cellStyle name="Hyperlink" xfId="317" builtinId="8" hidden="1"/>
    <cellStyle name="Hyperlink" xfId="321" builtinId="8" hidden="1"/>
    <cellStyle name="Hyperlink" xfId="325" builtinId="8" hidden="1"/>
    <cellStyle name="Hyperlink" xfId="329" builtinId="8" hidden="1"/>
    <cellStyle name="Hyperlink" xfId="331" builtinId="8" hidden="1"/>
    <cellStyle name="Hyperlink" xfId="337" builtinId="8" hidden="1"/>
    <cellStyle name="Hyperlink" xfId="339" builtinId="8" hidden="1"/>
    <cellStyle name="Hyperlink" xfId="341" builtinId="8" hidden="1"/>
    <cellStyle name="Hyperlink" xfId="349" builtinId="8" hidden="1"/>
    <cellStyle name="Hyperlink" xfId="353" builtinId="8" hidden="1"/>
    <cellStyle name="Hyperlink" xfId="355" builtinId="8" hidden="1"/>
    <cellStyle name="Hyperlink" xfId="299" builtinId="8" hidden="1"/>
    <cellStyle name="Hyperlink" xfId="301" builtinId="8" hidden="1"/>
    <cellStyle name="Hyperlink" xfId="305" builtinId="8" hidden="1"/>
    <cellStyle name="Hyperlink" xfId="309" builtinId="8" hidden="1"/>
    <cellStyle name="Hyperlink" xfId="313" builtinId="8" hidden="1"/>
    <cellStyle name="Hyperlink" xfId="315" builtinId="8" hidden="1"/>
    <cellStyle name="Hyperlink" xfId="293" builtinId="8" hidden="1"/>
    <cellStyle name="Hyperlink" xfId="297" builtinId="8" hidden="1"/>
    <cellStyle name="Hyperlink" xfId="285" builtinId="8" hidden="1"/>
    <cellStyle name="Hyperlink" xfId="283" builtinId="8" hidden="1"/>
    <cellStyle name="Hyperlink" xfId="289" builtinId="8" hidden="1"/>
    <cellStyle name="Hyperlink" xfId="291" builtinId="8" hidden="1"/>
    <cellStyle name="Hyperlink" xfId="307" builtinId="8" hidden="1"/>
    <cellStyle name="Hyperlink" xfId="345" builtinId="8" hidden="1"/>
    <cellStyle name="Hyperlink" xfId="347" builtinId="8" hidden="1"/>
    <cellStyle name="Hyperlink" xfId="333" builtinId="8" hidden="1"/>
    <cellStyle name="Hyperlink" xfId="323" builtinId="8" hidden="1"/>
    <cellStyle name="Hyperlink" xfId="429" builtinId="8" hidden="1"/>
    <cellStyle name="Hyperlink" xfId="433" builtinId="8" hidden="1"/>
    <cellStyle name="Hyperlink" xfId="419" builtinId="8" hidden="1"/>
    <cellStyle name="Hyperlink" xfId="409" builtinId="8" hidden="1"/>
    <cellStyle name="Hyperlink" xfId="397" builtinId="8" hidden="1"/>
    <cellStyle name="Hyperlink" xfId="385" builtinId="8" hidden="1"/>
    <cellStyle name="Hyperlink" xfId="373" builtinId="8" hidden="1"/>
    <cellStyle name="Hyperlink" xfId="363" builtinId="8" hidden="1"/>
    <cellStyle name="Hyperlink" xfId="473" builtinId="8" hidden="1"/>
    <cellStyle name="Hyperlink" xfId="557" builtinId="8" hidden="1"/>
    <cellStyle name="Hyperlink" xfId="643" builtinId="8" hidden="1"/>
    <cellStyle name="Hyperlink" xfId="649" builtinId="8" hidden="1"/>
    <cellStyle name="Hyperlink" xfId="635" builtinId="8" hidden="1"/>
    <cellStyle name="Hyperlink" xfId="625" builtinId="8" hidden="1"/>
    <cellStyle name="Hyperlink" xfId="611" builtinId="8" hidden="1"/>
    <cellStyle name="Hyperlink" xfId="597" builtinId="8" hidden="1"/>
    <cellStyle name="Hyperlink" xfId="587" builtinId="8" hidden="1"/>
    <cellStyle name="Hyperlink" xfId="573" builtinId="8" hidden="1"/>
    <cellStyle name="Hyperlink" xfId="563" builtinId="8" hidden="1"/>
    <cellStyle name="Hyperlink" xfId="549" builtinId="8" hidden="1"/>
    <cellStyle name="Hyperlink" xfId="539" builtinId="8" hidden="1"/>
    <cellStyle name="Hyperlink" xfId="525" builtinId="8" hidden="1"/>
    <cellStyle name="Hyperlink" xfId="513" builtinId="8" hidden="1"/>
    <cellStyle name="Hyperlink" xfId="501" builtinId="8" hidden="1"/>
    <cellStyle name="Hyperlink" xfId="489" builtinId="8" hidden="1"/>
    <cellStyle name="Hyperlink" xfId="477" builtinId="8" hidden="1"/>
    <cellStyle name="Hyperlink" xfId="465" builtinId="8" hidden="1"/>
    <cellStyle name="Hyperlink" xfId="453" builtinId="8" hidden="1"/>
    <cellStyle name="Hyperlink" xfId="665" builtinId="8" hidden="1"/>
    <cellStyle name="Hyperlink" xfId="707" builtinId="8" hidden="1"/>
    <cellStyle name="Hyperlink" xfId="749" builtinId="8" hidden="1"/>
    <cellStyle name="Hyperlink" xfId="703" builtinId="8" hidden="1"/>
    <cellStyle name="Hyperlink" xfId="575" builtinId="8" hidden="1"/>
    <cellStyle name="Hyperlink" xfId="447" builtinId="8" hidden="1"/>
    <cellStyle name="Hyperlink" xfId="319" builtinId="8" hidden="1"/>
    <cellStyle name="Hyperlink" xfId="147" builtinId="8" hidden="1"/>
    <cellStyle name="Hyperlink" xfId="183" builtinId="8" hidden="1"/>
    <cellStyle name="Hyperlink" xfId="219" builtinId="8" hidden="1"/>
    <cellStyle name="Hyperlink" xfId="257" builtinId="8" hidden="1"/>
    <cellStyle name="Hyperlink" xfId="207" builtinId="8" hidden="1"/>
    <cellStyle name="Hyperlink" xfId="77" builtinId="8" hidden="1"/>
    <cellStyle name="Hyperlink" xfId="113" builtinId="8" hidden="1"/>
    <cellStyle name="Hyperlink" xfId="49" builtinId="8" hidden="1"/>
    <cellStyle name="Hyperlink" xfId="5" builtinId="8" hidden="1"/>
    <cellStyle name="Hyperlink" xfId="9" builtinId="8" hidden="1"/>
    <cellStyle name="Hyperlink" xfId="17" builtinId="8" hidden="1"/>
    <cellStyle name="Hyperlink" xfId="53" builtinId="8" hidden="1"/>
    <cellStyle name="Hyperlink" xfId="41" builtinId="8" hidden="1"/>
    <cellStyle name="Hyperlink" xfId="29" builtinId="8" hidden="1"/>
    <cellStyle name="Hyperlink" xfId="117" builtinId="8" hidden="1"/>
    <cellStyle name="Hyperlink" xfId="105" builtinId="8" hidden="1"/>
    <cellStyle name="Hyperlink" xfId="93" builtinId="8" hidden="1"/>
    <cellStyle name="Hyperlink" xfId="83" builtinId="8" hidden="1"/>
    <cellStyle name="Hyperlink" xfId="71" builtinId="8" hidden="1"/>
    <cellStyle name="Hyperlink" xfId="463" builtinId="8" hidden="1"/>
    <cellStyle name="Hyperlink" xfId="455" builtinId="8" hidden="1"/>
    <cellStyle name="Hyperlink" xfId="439" builtinId="8" hidden="1"/>
    <cellStyle name="Hyperlink" xfId="423" builtinId="8" hidden="1"/>
    <cellStyle name="Hyperlink" xfId="407" builtinId="8" hidden="1"/>
    <cellStyle name="Hyperlink" xfId="399" builtinId="8" hidden="1"/>
    <cellStyle name="Hyperlink" xfId="391" builtinId="8" hidden="1"/>
    <cellStyle name="Hyperlink" xfId="375" builtinId="8" hidden="1"/>
    <cellStyle name="Hyperlink" xfId="367" builtinId="8" hidden="1"/>
    <cellStyle name="Hyperlink" xfId="359" builtinId="8" hidden="1"/>
    <cellStyle name="Hyperlink" xfId="335" builtinId="8" hidden="1"/>
    <cellStyle name="Hyperlink" xfId="327" builtinId="8" hidden="1"/>
    <cellStyle name="Hyperlink" xfId="311" builtinId="8" hidden="1"/>
    <cellStyle name="Hyperlink" xfId="303" builtinId="8" hidden="1"/>
    <cellStyle name="Hyperlink" xfId="295" builtinId="8" hidden="1"/>
    <cellStyle name="Hyperlink" xfId="121" builtinId="8" hidden="1"/>
    <cellStyle name="Hyperlink" xfId="123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5" builtinId="8" hidden="1"/>
    <cellStyle name="Hyperlink" xfId="149" builtinId="8" hidden="1"/>
    <cellStyle name="Hyperlink" xfId="153" builtinId="8" hidden="1"/>
    <cellStyle name="Hyperlink" xfId="157" builtinId="8" hidden="1"/>
    <cellStyle name="Hyperlink" xfId="161" builtinId="8" hidden="1"/>
    <cellStyle name="Hyperlink" xfId="163" builtinId="8" hidden="1"/>
    <cellStyle name="Hyperlink" xfId="167" builtinId="8" hidden="1"/>
    <cellStyle name="Hyperlink" xfId="169" builtinId="8" hidden="1"/>
    <cellStyle name="Hyperlink" xfId="171" builtinId="8" hidden="1"/>
    <cellStyle name="Hyperlink" xfId="179" builtinId="8" hidden="1"/>
    <cellStyle name="Hyperlink" xfId="181" builtinId="8" hidden="1"/>
    <cellStyle name="Hyperlink" xfId="185" builtinId="8" hidden="1"/>
    <cellStyle name="Hyperlink" xfId="187" builtinId="8" hidden="1"/>
    <cellStyle name="Hyperlink" xfId="189" builtinId="8" hidden="1"/>
    <cellStyle name="Hyperlink" xfId="195" builtinId="8" hidden="1"/>
    <cellStyle name="Hyperlink" xfId="197" builtinId="8" hidden="1"/>
    <cellStyle name="Hyperlink" xfId="203" builtinId="8" hidden="1"/>
    <cellStyle name="Hyperlink" xfId="205" builtinId="8" hidden="1"/>
    <cellStyle name="Hyperlink" xfId="209" builtinId="8" hidden="1"/>
    <cellStyle name="Hyperlink" xfId="213" builtinId="8" hidden="1"/>
    <cellStyle name="Hyperlink" xfId="215" builtinId="8" hidden="1"/>
    <cellStyle name="Hyperlink" xfId="217" builtinId="8" hidden="1"/>
    <cellStyle name="Hyperlink" xfId="221" builtinId="8" hidden="1"/>
    <cellStyle name="Hyperlink" xfId="227" builtinId="8" hidden="1"/>
    <cellStyle name="Hyperlink" xfId="231" builtinId="8" hidden="1"/>
    <cellStyle name="Hyperlink" xfId="233" builtinId="8" hidden="1"/>
    <cellStyle name="Hyperlink" xfId="235" builtinId="8" hidden="1"/>
    <cellStyle name="Hyperlink" xfId="241" builtinId="8" hidden="1"/>
    <cellStyle name="Hyperlink" xfId="243" builtinId="8" hidden="1"/>
    <cellStyle name="Hyperlink" xfId="245" builtinId="8" hidden="1"/>
    <cellStyle name="Hyperlink" xfId="251" builtinId="8" hidden="1"/>
    <cellStyle name="Hyperlink" xfId="253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7" builtinId="8" hidden="1"/>
    <cellStyle name="Hyperlink" xfId="279" builtinId="8" hidden="1"/>
    <cellStyle name="Hyperlink" xfId="281" builtinId="8" hidden="1"/>
    <cellStyle name="Hyperlink" xfId="255" builtinId="8" hidden="1"/>
    <cellStyle name="Hyperlink" xfId="239" builtinId="8" hidden="1"/>
    <cellStyle name="Hyperlink" xfId="223" builtinId="8" hidden="1"/>
    <cellStyle name="Hyperlink" xfId="191" builtinId="8" hidden="1"/>
    <cellStyle name="Hyperlink" xfId="159" builtinId="8" hidden="1"/>
    <cellStyle name="Hyperlink" xfId="127" builtinId="8" hidden="1"/>
    <cellStyle name="Hyperlink" xfId="57" builtinId="8" hidden="1"/>
    <cellStyle name="Hyperlink" xfId="59" builtinId="8" hidden="1"/>
    <cellStyle name="Hyperlink" xfId="63" builtinId="8" hidden="1"/>
    <cellStyle name="Hyperlink" xfId="175" builtinId="8" hidden="1"/>
    <cellStyle name="Hyperlink" xfId="273" builtinId="8" hidden="1"/>
    <cellStyle name="Hyperlink" xfId="249" builtinId="8" hidden="1"/>
    <cellStyle name="Hyperlink" xfId="225" builtinId="8" hidden="1"/>
    <cellStyle name="Hyperlink" xfId="199" builtinId="8" hidden="1"/>
    <cellStyle name="Hyperlink" xfId="177" builtinId="8" hidden="1"/>
    <cellStyle name="Hyperlink" xfId="151" builtinId="8" hidden="1"/>
    <cellStyle name="Hyperlink" xfId="125" builtinId="8" hidden="1"/>
    <cellStyle name="Hyperlink" xfId="343" builtinId="8" hidden="1"/>
    <cellStyle name="Hyperlink" xfId="431" builtinId="8" hidden="1"/>
    <cellStyle name="Hyperlink" xfId="757" builtinId="8" hidden="1"/>
    <cellStyle name="Hyperlink" xfId="763" builtinId="8" hidden="1"/>
    <cellStyle name="Hyperlink" xfId="765" builtinId="8" hidden="1"/>
    <cellStyle name="Hyperlink" xfId="769" builtinId="8" hidden="1"/>
    <cellStyle name="Hyperlink" xfId="759" builtinId="8" hidden="1"/>
    <cellStyle name="Hyperlink" xfId="751" builtinId="8" hidden="1"/>
    <cellStyle name="Hyperlink" xfId="743" builtinId="8" hidden="1"/>
    <cellStyle name="Hyperlink" xfId="727" builtinId="8" hidden="1"/>
    <cellStyle name="Hyperlink" xfId="719" builtinId="8" hidden="1"/>
    <cellStyle name="Hyperlink" xfId="711" builtinId="8" hidden="1"/>
    <cellStyle name="Hyperlink" xfId="695" builtinId="8" hidden="1"/>
    <cellStyle name="Hyperlink" xfId="679" builtinId="8" hidden="1"/>
    <cellStyle name="Hyperlink" xfId="663" builtinId="8" hidden="1"/>
    <cellStyle name="Hyperlink" xfId="655" builtinId="8" hidden="1"/>
    <cellStyle name="Hyperlink" xfId="647" builtinId="8" hidden="1"/>
    <cellStyle name="Hyperlink" xfId="631" builtinId="8" hidden="1"/>
    <cellStyle name="Hyperlink" xfId="623" builtinId="8" hidden="1"/>
    <cellStyle name="Hyperlink" xfId="615" builtinId="8" hidden="1"/>
    <cellStyle name="Hyperlink" xfId="599" builtinId="8" hidden="1"/>
    <cellStyle name="Hyperlink" xfId="591" builtinId="8" hidden="1"/>
    <cellStyle name="Hyperlink" xfId="583" builtinId="8" hidden="1"/>
    <cellStyle name="Hyperlink" xfId="567" builtinId="8" hidden="1"/>
    <cellStyle name="Hyperlink" xfId="559" builtinId="8" hidden="1"/>
    <cellStyle name="Hyperlink" xfId="551" builtinId="8" hidden="1"/>
    <cellStyle name="Hyperlink" xfId="535" builtinId="8" hidden="1"/>
    <cellStyle name="Hyperlink" xfId="527" builtinId="8" hidden="1"/>
    <cellStyle name="Hyperlink" xfId="503" builtinId="8" hidden="1"/>
    <cellStyle name="Hyperlink" xfId="495" builtinId="8" hidden="1"/>
    <cellStyle name="Hyperlink" xfId="487" builtinId="8" hidden="1"/>
    <cellStyle name="Hyperlink" xfId="471" builtinId="8" hidden="1"/>
    <cellStyle name="Hyperlink" xfId="519" builtinId="8" hidden="1"/>
    <cellStyle name="Hyperlink" xfId="687" builtinId="8" hidden="1"/>
    <cellStyle name="Hyperlink" xfId="705" builtinId="8" hidden="1"/>
    <cellStyle name="Hyperlink" xfId="709" builtinId="8" hidden="1"/>
    <cellStyle name="Hyperlink" xfId="713" builtinId="8" hidden="1"/>
    <cellStyle name="Hyperlink" xfId="715" builtinId="8" hidden="1"/>
    <cellStyle name="Hyperlink" xfId="721" builtinId="8" hidden="1"/>
    <cellStyle name="Hyperlink" xfId="723" builtinId="8" hidden="1"/>
    <cellStyle name="Hyperlink" xfId="725" builtinId="8" hidden="1"/>
    <cellStyle name="Hyperlink" xfId="731" builtinId="8" hidden="1"/>
    <cellStyle name="Hyperlink" xfId="733" builtinId="8" hidden="1"/>
    <cellStyle name="Hyperlink" xfId="737" builtinId="8" hidden="1"/>
    <cellStyle name="Hyperlink" xfId="745" builtinId="8" hidden="1"/>
    <cellStyle name="Hyperlink" xfId="747" builtinId="8" hidden="1"/>
    <cellStyle name="Hyperlink" xfId="753" builtinId="8" hidden="1"/>
    <cellStyle name="Hyperlink" xfId="755" builtinId="8" hidden="1"/>
    <cellStyle name="Hyperlink" xfId="741" builtinId="8" hidden="1"/>
    <cellStyle name="Hyperlink" xfId="681" builtinId="8" hidden="1"/>
    <cellStyle name="Hyperlink" xfId="683" builtinId="8" hidden="1"/>
    <cellStyle name="Hyperlink" xfId="689" builtinId="8" hidden="1"/>
    <cellStyle name="Hyperlink" xfId="691" builtinId="8" hidden="1"/>
    <cellStyle name="Hyperlink" xfId="693" builtinId="8" hidden="1"/>
    <cellStyle name="Hyperlink" xfId="699" builtinId="8" hidden="1"/>
    <cellStyle name="Hyperlink" xfId="701" builtinId="8" hidden="1"/>
    <cellStyle name="Hyperlink" xfId="669" builtinId="8" hidden="1"/>
    <cellStyle name="Hyperlink" xfId="673" builtinId="8" hidden="1"/>
    <cellStyle name="Hyperlink" xfId="677" builtinId="8" hidden="1"/>
    <cellStyle name="Hyperlink" xfId="661" builtinId="8" hidden="1"/>
    <cellStyle name="Hyperlink" xfId="667" builtinId="8" hidden="1"/>
    <cellStyle name="Hyperlink" xfId="65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Normal" xfId="0" builtinId="0"/>
  </cellStyles>
  <dxfs count="71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lotArea>
      <c:layout>
        <c:manualLayout>
          <c:layoutTarget val="inner"/>
          <c:xMode val="edge"/>
          <c:yMode val="edge"/>
          <c:x val="5.4295072941457599E-2"/>
          <c:y val="1.5495584352692E-2"/>
          <c:w val="0.937382013432145"/>
          <c:h val="0.74139779034366604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ICL3_classA!$F$6:$F$39</c:f>
              <c:numCache>
                <c:formatCode>General</c:formatCode>
                <c:ptCount val="34"/>
                <c:pt idx="0">
                  <c:v>43</c:v>
                </c:pt>
                <c:pt idx="1">
                  <c:v>43</c:v>
                </c:pt>
                <c:pt idx="2">
                  <c:v>43</c:v>
                </c:pt>
                <c:pt idx="3">
                  <c:v>43</c:v>
                </c:pt>
                <c:pt idx="4">
                  <c:v>43</c:v>
                </c:pt>
                <c:pt idx="5">
                  <c:v>44</c:v>
                </c:pt>
                <c:pt idx="6">
                  <c:v>45</c:v>
                </c:pt>
                <c:pt idx="7">
                  <c:v>46</c:v>
                </c:pt>
                <c:pt idx="8">
                  <c:v>46</c:v>
                </c:pt>
                <c:pt idx="9">
                  <c:v>48</c:v>
                </c:pt>
                <c:pt idx="10">
                  <c:v>48</c:v>
                </c:pt>
                <c:pt idx="11">
                  <c:v>50</c:v>
                </c:pt>
                <c:pt idx="12">
                  <c:v>51</c:v>
                </c:pt>
                <c:pt idx="13">
                  <c:v>51</c:v>
                </c:pt>
                <c:pt idx="14">
                  <c:v>51</c:v>
                </c:pt>
                <c:pt idx="15">
                  <c:v>51</c:v>
                </c:pt>
                <c:pt idx="16">
                  <c:v>51</c:v>
                </c:pt>
                <c:pt idx="17">
                  <c:v>52</c:v>
                </c:pt>
                <c:pt idx="18">
                  <c:v>52</c:v>
                </c:pt>
                <c:pt idx="19">
                  <c:v>53</c:v>
                </c:pt>
                <c:pt idx="20">
                  <c:v>56</c:v>
                </c:pt>
                <c:pt idx="21">
                  <c:v>58</c:v>
                </c:pt>
                <c:pt idx="22">
                  <c:v>59</c:v>
                </c:pt>
                <c:pt idx="23">
                  <c:v>59</c:v>
                </c:pt>
                <c:pt idx="24">
                  <c:v>74</c:v>
                </c:pt>
                <c:pt idx="25">
                  <c:v>77</c:v>
                </c:pt>
                <c:pt idx="26">
                  <c:v>109</c:v>
                </c:pt>
                <c:pt idx="27">
                  <c:v>110</c:v>
                </c:pt>
                <c:pt idx="28">
                  <c:v>144</c:v>
                </c:pt>
                <c:pt idx="29">
                  <c:v>180</c:v>
                </c:pt>
                <c:pt idx="30">
                  <c:v>204</c:v>
                </c:pt>
                <c:pt idx="31">
                  <c:v>208</c:v>
                </c:pt>
                <c:pt idx="32">
                  <c:v>228</c:v>
                </c:pt>
                <c:pt idx="33">
                  <c:v>263</c:v>
                </c:pt>
              </c:numCache>
            </c:numRef>
          </c:cat>
          <c:val>
            <c:numRef>
              <c:f>ICL3_classA!$G$6:$G$39</c:f>
              <c:numCache>
                <c:formatCode>General</c:formatCode>
                <c:ptCount val="34"/>
                <c:pt idx="0">
                  <c:v>68</c:v>
                </c:pt>
                <c:pt idx="1">
                  <c:v>68</c:v>
                </c:pt>
                <c:pt idx="2">
                  <c:v>68</c:v>
                </c:pt>
                <c:pt idx="3">
                  <c:v>69</c:v>
                </c:pt>
                <c:pt idx="4">
                  <c:v>68</c:v>
                </c:pt>
                <c:pt idx="5">
                  <c:v>68</c:v>
                </c:pt>
                <c:pt idx="6">
                  <c:v>67</c:v>
                </c:pt>
                <c:pt idx="7">
                  <c:v>67</c:v>
                </c:pt>
                <c:pt idx="8">
                  <c:v>68</c:v>
                </c:pt>
                <c:pt idx="9">
                  <c:v>68</c:v>
                </c:pt>
                <c:pt idx="10">
                  <c:v>68</c:v>
                </c:pt>
                <c:pt idx="11">
                  <c:v>72</c:v>
                </c:pt>
                <c:pt idx="12">
                  <c:v>68</c:v>
                </c:pt>
                <c:pt idx="13">
                  <c:v>68</c:v>
                </c:pt>
                <c:pt idx="14">
                  <c:v>68</c:v>
                </c:pt>
                <c:pt idx="15">
                  <c:v>68</c:v>
                </c:pt>
                <c:pt idx="16">
                  <c:v>68</c:v>
                </c:pt>
                <c:pt idx="17">
                  <c:v>72</c:v>
                </c:pt>
                <c:pt idx="18">
                  <c:v>72</c:v>
                </c:pt>
                <c:pt idx="19">
                  <c:v>72</c:v>
                </c:pt>
                <c:pt idx="20">
                  <c:v>73</c:v>
                </c:pt>
                <c:pt idx="21">
                  <c:v>73</c:v>
                </c:pt>
                <c:pt idx="22">
                  <c:v>74</c:v>
                </c:pt>
                <c:pt idx="23">
                  <c:v>74</c:v>
                </c:pt>
                <c:pt idx="24">
                  <c:v>76</c:v>
                </c:pt>
                <c:pt idx="25">
                  <c:v>76</c:v>
                </c:pt>
                <c:pt idx="26">
                  <c:v>74</c:v>
                </c:pt>
                <c:pt idx="27">
                  <c:v>76</c:v>
                </c:pt>
                <c:pt idx="28">
                  <c:v>76</c:v>
                </c:pt>
                <c:pt idx="29">
                  <c:v>75</c:v>
                </c:pt>
                <c:pt idx="30">
                  <c:v>75</c:v>
                </c:pt>
                <c:pt idx="31">
                  <c:v>75</c:v>
                </c:pt>
                <c:pt idx="32">
                  <c:v>76</c:v>
                </c:pt>
                <c:pt idx="33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0A-A049-876D-3A5BEB911FF2}"/>
            </c:ext>
          </c:extLst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ICL3_classA!$F$6:$F$39</c:f>
              <c:numCache>
                <c:formatCode>General</c:formatCode>
                <c:ptCount val="34"/>
                <c:pt idx="0">
                  <c:v>43</c:v>
                </c:pt>
                <c:pt idx="1">
                  <c:v>43</c:v>
                </c:pt>
                <c:pt idx="2">
                  <c:v>43</c:v>
                </c:pt>
                <c:pt idx="3">
                  <c:v>43</c:v>
                </c:pt>
                <c:pt idx="4">
                  <c:v>43</c:v>
                </c:pt>
                <c:pt idx="5">
                  <c:v>44</c:v>
                </c:pt>
                <c:pt idx="6">
                  <c:v>45</c:v>
                </c:pt>
                <c:pt idx="7">
                  <c:v>46</c:v>
                </c:pt>
                <c:pt idx="8">
                  <c:v>46</c:v>
                </c:pt>
                <c:pt idx="9">
                  <c:v>48</c:v>
                </c:pt>
                <c:pt idx="10">
                  <c:v>48</c:v>
                </c:pt>
                <c:pt idx="11">
                  <c:v>50</c:v>
                </c:pt>
                <c:pt idx="12">
                  <c:v>51</c:v>
                </c:pt>
                <c:pt idx="13">
                  <c:v>51</c:v>
                </c:pt>
                <c:pt idx="14">
                  <c:v>51</c:v>
                </c:pt>
                <c:pt idx="15">
                  <c:v>51</c:v>
                </c:pt>
                <c:pt idx="16">
                  <c:v>51</c:v>
                </c:pt>
                <c:pt idx="17">
                  <c:v>52</c:v>
                </c:pt>
                <c:pt idx="18">
                  <c:v>52</c:v>
                </c:pt>
                <c:pt idx="19">
                  <c:v>53</c:v>
                </c:pt>
                <c:pt idx="20">
                  <c:v>56</c:v>
                </c:pt>
                <c:pt idx="21">
                  <c:v>58</c:v>
                </c:pt>
                <c:pt idx="22">
                  <c:v>59</c:v>
                </c:pt>
                <c:pt idx="23">
                  <c:v>59</c:v>
                </c:pt>
                <c:pt idx="24">
                  <c:v>74</c:v>
                </c:pt>
                <c:pt idx="25">
                  <c:v>77</c:v>
                </c:pt>
                <c:pt idx="26">
                  <c:v>109</c:v>
                </c:pt>
                <c:pt idx="27">
                  <c:v>110</c:v>
                </c:pt>
                <c:pt idx="28">
                  <c:v>144</c:v>
                </c:pt>
                <c:pt idx="29">
                  <c:v>180</c:v>
                </c:pt>
                <c:pt idx="30">
                  <c:v>204</c:v>
                </c:pt>
                <c:pt idx="31">
                  <c:v>208</c:v>
                </c:pt>
                <c:pt idx="32">
                  <c:v>228</c:v>
                </c:pt>
                <c:pt idx="33">
                  <c:v>263</c:v>
                </c:pt>
              </c:numCache>
            </c:numRef>
          </c:cat>
          <c:val>
            <c:numRef>
              <c:f>ICL3_classA!$H$6:$H$39</c:f>
              <c:numCache>
                <c:formatCode>General</c:formatCode>
                <c:ptCount val="34"/>
                <c:pt idx="0">
                  <c:v>30</c:v>
                </c:pt>
                <c:pt idx="1">
                  <c:v>31</c:v>
                </c:pt>
                <c:pt idx="2">
                  <c:v>28</c:v>
                </c:pt>
                <c:pt idx="3">
                  <c:v>31</c:v>
                </c:pt>
                <c:pt idx="4">
                  <c:v>29</c:v>
                </c:pt>
                <c:pt idx="5">
                  <c:v>28</c:v>
                </c:pt>
                <c:pt idx="6">
                  <c:v>28</c:v>
                </c:pt>
                <c:pt idx="7">
                  <c:v>26</c:v>
                </c:pt>
                <c:pt idx="8">
                  <c:v>28</c:v>
                </c:pt>
                <c:pt idx="9">
                  <c:v>24</c:v>
                </c:pt>
                <c:pt idx="10">
                  <c:v>28</c:v>
                </c:pt>
                <c:pt idx="11">
                  <c:v>29</c:v>
                </c:pt>
                <c:pt idx="12">
                  <c:v>23</c:v>
                </c:pt>
                <c:pt idx="13">
                  <c:v>23</c:v>
                </c:pt>
                <c:pt idx="14">
                  <c:v>23</c:v>
                </c:pt>
                <c:pt idx="15">
                  <c:v>23</c:v>
                </c:pt>
                <c:pt idx="16">
                  <c:v>23</c:v>
                </c:pt>
                <c:pt idx="17">
                  <c:v>23</c:v>
                </c:pt>
                <c:pt idx="18">
                  <c:v>24</c:v>
                </c:pt>
                <c:pt idx="19">
                  <c:v>24</c:v>
                </c:pt>
                <c:pt idx="20">
                  <c:v>22</c:v>
                </c:pt>
                <c:pt idx="21">
                  <c:v>24</c:v>
                </c:pt>
                <c:pt idx="22">
                  <c:v>21</c:v>
                </c:pt>
                <c:pt idx="23">
                  <c:v>28</c:v>
                </c:pt>
                <c:pt idx="24">
                  <c:v>24</c:v>
                </c:pt>
                <c:pt idx="25">
                  <c:v>24</c:v>
                </c:pt>
                <c:pt idx="26">
                  <c:v>24</c:v>
                </c:pt>
                <c:pt idx="27">
                  <c:v>24</c:v>
                </c:pt>
                <c:pt idx="28">
                  <c:v>24</c:v>
                </c:pt>
                <c:pt idx="29">
                  <c:v>24</c:v>
                </c:pt>
                <c:pt idx="30">
                  <c:v>24</c:v>
                </c:pt>
                <c:pt idx="31">
                  <c:v>24</c:v>
                </c:pt>
                <c:pt idx="32">
                  <c:v>24</c:v>
                </c:pt>
                <c:pt idx="33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0A-A049-876D-3A5BEB911FF2}"/>
            </c:ext>
          </c:extLst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ICL3_classA!$F$6:$F$39</c:f>
              <c:numCache>
                <c:formatCode>General</c:formatCode>
                <c:ptCount val="34"/>
                <c:pt idx="0">
                  <c:v>43</c:v>
                </c:pt>
                <c:pt idx="1">
                  <c:v>43</c:v>
                </c:pt>
                <c:pt idx="2">
                  <c:v>43</c:v>
                </c:pt>
                <c:pt idx="3">
                  <c:v>43</c:v>
                </c:pt>
                <c:pt idx="4">
                  <c:v>43</c:v>
                </c:pt>
                <c:pt idx="5">
                  <c:v>44</c:v>
                </c:pt>
                <c:pt idx="6">
                  <c:v>45</c:v>
                </c:pt>
                <c:pt idx="7">
                  <c:v>46</c:v>
                </c:pt>
                <c:pt idx="8">
                  <c:v>46</c:v>
                </c:pt>
                <c:pt idx="9">
                  <c:v>48</c:v>
                </c:pt>
                <c:pt idx="10">
                  <c:v>48</c:v>
                </c:pt>
                <c:pt idx="11">
                  <c:v>50</c:v>
                </c:pt>
                <c:pt idx="12">
                  <c:v>51</c:v>
                </c:pt>
                <c:pt idx="13">
                  <c:v>51</c:v>
                </c:pt>
                <c:pt idx="14">
                  <c:v>51</c:v>
                </c:pt>
                <c:pt idx="15">
                  <c:v>51</c:v>
                </c:pt>
                <c:pt idx="16">
                  <c:v>51</c:v>
                </c:pt>
                <c:pt idx="17">
                  <c:v>52</c:v>
                </c:pt>
                <c:pt idx="18">
                  <c:v>52</c:v>
                </c:pt>
                <c:pt idx="19">
                  <c:v>53</c:v>
                </c:pt>
                <c:pt idx="20">
                  <c:v>56</c:v>
                </c:pt>
                <c:pt idx="21">
                  <c:v>58</c:v>
                </c:pt>
                <c:pt idx="22">
                  <c:v>59</c:v>
                </c:pt>
                <c:pt idx="23">
                  <c:v>59</c:v>
                </c:pt>
                <c:pt idx="24">
                  <c:v>74</c:v>
                </c:pt>
                <c:pt idx="25">
                  <c:v>77</c:v>
                </c:pt>
                <c:pt idx="26">
                  <c:v>109</c:v>
                </c:pt>
                <c:pt idx="27">
                  <c:v>110</c:v>
                </c:pt>
                <c:pt idx="28">
                  <c:v>144</c:v>
                </c:pt>
                <c:pt idx="29">
                  <c:v>180</c:v>
                </c:pt>
                <c:pt idx="30">
                  <c:v>204</c:v>
                </c:pt>
                <c:pt idx="31">
                  <c:v>208</c:v>
                </c:pt>
                <c:pt idx="32">
                  <c:v>228</c:v>
                </c:pt>
                <c:pt idx="33">
                  <c:v>263</c:v>
                </c:pt>
              </c:numCache>
            </c:numRef>
          </c:cat>
          <c:val>
            <c:numRef>
              <c:f>ICL3_classA!$G$6:$G$39</c:f>
              <c:numCache>
                <c:formatCode>General</c:formatCode>
                <c:ptCount val="34"/>
                <c:pt idx="0">
                  <c:v>68</c:v>
                </c:pt>
                <c:pt idx="1">
                  <c:v>68</c:v>
                </c:pt>
                <c:pt idx="2">
                  <c:v>68</c:v>
                </c:pt>
                <c:pt idx="3">
                  <c:v>69</c:v>
                </c:pt>
                <c:pt idx="4">
                  <c:v>68</c:v>
                </c:pt>
                <c:pt idx="5">
                  <c:v>68</c:v>
                </c:pt>
                <c:pt idx="6">
                  <c:v>67</c:v>
                </c:pt>
                <c:pt idx="7">
                  <c:v>67</c:v>
                </c:pt>
                <c:pt idx="8">
                  <c:v>68</c:v>
                </c:pt>
                <c:pt idx="9">
                  <c:v>68</c:v>
                </c:pt>
                <c:pt idx="10">
                  <c:v>68</c:v>
                </c:pt>
                <c:pt idx="11">
                  <c:v>72</c:v>
                </c:pt>
                <c:pt idx="12">
                  <c:v>68</c:v>
                </c:pt>
                <c:pt idx="13">
                  <c:v>68</c:v>
                </c:pt>
                <c:pt idx="14">
                  <c:v>68</c:v>
                </c:pt>
                <c:pt idx="15">
                  <c:v>68</c:v>
                </c:pt>
                <c:pt idx="16">
                  <c:v>68</c:v>
                </c:pt>
                <c:pt idx="17">
                  <c:v>72</c:v>
                </c:pt>
                <c:pt idx="18">
                  <c:v>72</c:v>
                </c:pt>
                <c:pt idx="19">
                  <c:v>72</c:v>
                </c:pt>
                <c:pt idx="20">
                  <c:v>73</c:v>
                </c:pt>
                <c:pt idx="21">
                  <c:v>73</c:v>
                </c:pt>
                <c:pt idx="22">
                  <c:v>74</c:v>
                </c:pt>
                <c:pt idx="23">
                  <c:v>74</c:v>
                </c:pt>
                <c:pt idx="24">
                  <c:v>76</c:v>
                </c:pt>
                <c:pt idx="25">
                  <c:v>76</c:v>
                </c:pt>
                <c:pt idx="26">
                  <c:v>74</c:v>
                </c:pt>
                <c:pt idx="27">
                  <c:v>76</c:v>
                </c:pt>
                <c:pt idx="28">
                  <c:v>76</c:v>
                </c:pt>
                <c:pt idx="29">
                  <c:v>75</c:v>
                </c:pt>
                <c:pt idx="30">
                  <c:v>75</c:v>
                </c:pt>
                <c:pt idx="31">
                  <c:v>75</c:v>
                </c:pt>
                <c:pt idx="32">
                  <c:v>76</c:v>
                </c:pt>
                <c:pt idx="33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0A-A049-876D-3A5BEB911FF2}"/>
            </c:ext>
          </c:extLst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ICL3_classA!$F$6:$F$39</c:f>
              <c:numCache>
                <c:formatCode>General</c:formatCode>
                <c:ptCount val="34"/>
                <c:pt idx="0">
                  <c:v>43</c:v>
                </c:pt>
                <c:pt idx="1">
                  <c:v>43</c:v>
                </c:pt>
                <c:pt idx="2">
                  <c:v>43</c:v>
                </c:pt>
                <c:pt idx="3">
                  <c:v>43</c:v>
                </c:pt>
                <c:pt idx="4">
                  <c:v>43</c:v>
                </c:pt>
                <c:pt idx="5">
                  <c:v>44</c:v>
                </c:pt>
                <c:pt idx="6">
                  <c:v>45</c:v>
                </c:pt>
                <c:pt idx="7">
                  <c:v>46</c:v>
                </c:pt>
                <c:pt idx="8">
                  <c:v>46</c:v>
                </c:pt>
                <c:pt idx="9">
                  <c:v>48</c:v>
                </c:pt>
                <c:pt idx="10">
                  <c:v>48</c:v>
                </c:pt>
                <c:pt idx="11">
                  <c:v>50</c:v>
                </c:pt>
                <c:pt idx="12">
                  <c:v>51</c:v>
                </c:pt>
                <c:pt idx="13">
                  <c:v>51</c:v>
                </c:pt>
                <c:pt idx="14">
                  <c:v>51</c:v>
                </c:pt>
                <c:pt idx="15">
                  <c:v>51</c:v>
                </c:pt>
                <c:pt idx="16">
                  <c:v>51</c:v>
                </c:pt>
                <c:pt idx="17">
                  <c:v>52</c:v>
                </c:pt>
                <c:pt idx="18">
                  <c:v>52</c:v>
                </c:pt>
                <c:pt idx="19">
                  <c:v>53</c:v>
                </c:pt>
                <c:pt idx="20">
                  <c:v>56</c:v>
                </c:pt>
                <c:pt idx="21">
                  <c:v>58</c:v>
                </c:pt>
                <c:pt idx="22">
                  <c:v>59</c:v>
                </c:pt>
                <c:pt idx="23">
                  <c:v>59</c:v>
                </c:pt>
                <c:pt idx="24">
                  <c:v>74</c:v>
                </c:pt>
                <c:pt idx="25">
                  <c:v>77</c:v>
                </c:pt>
                <c:pt idx="26">
                  <c:v>109</c:v>
                </c:pt>
                <c:pt idx="27">
                  <c:v>110</c:v>
                </c:pt>
                <c:pt idx="28">
                  <c:v>144</c:v>
                </c:pt>
                <c:pt idx="29">
                  <c:v>180</c:v>
                </c:pt>
                <c:pt idx="30">
                  <c:v>204</c:v>
                </c:pt>
                <c:pt idx="31">
                  <c:v>208</c:v>
                </c:pt>
                <c:pt idx="32">
                  <c:v>228</c:v>
                </c:pt>
                <c:pt idx="33">
                  <c:v>263</c:v>
                </c:pt>
              </c:numCache>
            </c:numRef>
          </c:cat>
          <c:val>
            <c:numRef>
              <c:f>ICL3_classA!$H$6:$H$39</c:f>
              <c:numCache>
                <c:formatCode>General</c:formatCode>
                <c:ptCount val="34"/>
                <c:pt idx="0">
                  <c:v>30</c:v>
                </c:pt>
                <c:pt idx="1">
                  <c:v>31</c:v>
                </c:pt>
                <c:pt idx="2">
                  <c:v>28</c:v>
                </c:pt>
                <c:pt idx="3">
                  <c:v>31</c:v>
                </c:pt>
                <c:pt idx="4">
                  <c:v>29</c:v>
                </c:pt>
                <c:pt idx="5">
                  <c:v>28</c:v>
                </c:pt>
                <c:pt idx="6">
                  <c:v>28</c:v>
                </c:pt>
                <c:pt idx="7">
                  <c:v>26</c:v>
                </c:pt>
                <c:pt idx="8">
                  <c:v>28</c:v>
                </c:pt>
                <c:pt idx="9">
                  <c:v>24</c:v>
                </c:pt>
                <c:pt idx="10">
                  <c:v>28</c:v>
                </c:pt>
                <c:pt idx="11">
                  <c:v>29</c:v>
                </c:pt>
                <c:pt idx="12">
                  <c:v>23</c:v>
                </c:pt>
                <c:pt idx="13">
                  <c:v>23</c:v>
                </c:pt>
                <c:pt idx="14">
                  <c:v>23</c:v>
                </c:pt>
                <c:pt idx="15">
                  <c:v>23</c:v>
                </c:pt>
                <c:pt idx="16">
                  <c:v>23</c:v>
                </c:pt>
                <c:pt idx="17">
                  <c:v>23</c:v>
                </c:pt>
                <c:pt idx="18">
                  <c:v>24</c:v>
                </c:pt>
                <c:pt idx="19">
                  <c:v>24</c:v>
                </c:pt>
                <c:pt idx="20">
                  <c:v>22</c:v>
                </c:pt>
                <c:pt idx="21">
                  <c:v>24</c:v>
                </c:pt>
                <c:pt idx="22">
                  <c:v>21</c:v>
                </c:pt>
                <c:pt idx="23">
                  <c:v>28</c:v>
                </c:pt>
                <c:pt idx="24">
                  <c:v>24</c:v>
                </c:pt>
                <c:pt idx="25">
                  <c:v>24</c:v>
                </c:pt>
                <c:pt idx="26">
                  <c:v>24</c:v>
                </c:pt>
                <c:pt idx="27">
                  <c:v>24</c:v>
                </c:pt>
                <c:pt idx="28">
                  <c:v>24</c:v>
                </c:pt>
                <c:pt idx="29">
                  <c:v>24</c:v>
                </c:pt>
                <c:pt idx="30">
                  <c:v>24</c:v>
                </c:pt>
                <c:pt idx="31">
                  <c:v>24</c:v>
                </c:pt>
                <c:pt idx="32">
                  <c:v>24</c:v>
                </c:pt>
                <c:pt idx="33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90A-A049-876D-3A5BEB911F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5891744"/>
        <c:axId val="2062073904"/>
      </c:lineChart>
      <c:catAx>
        <c:axId val="-2075891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062073904"/>
        <c:crosses val="autoZero"/>
        <c:auto val="1"/>
        <c:lblAlgn val="ctr"/>
        <c:lblOffset val="100"/>
        <c:noMultiLvlLbl val="0"/>
      </c:catAx>
      <c:valAx>
        <c:axId val="206207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-2075891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lotArea>
      <c:layout>
        <c:manualLayout>
          <c:layoutTarget val="inner"/>
          <c:xMode val="edge"/>
          <c:yMode val="edge"/>
          <c:x val="5.1062353997516997E-2"/>
          <c:y val="2.7240757844092502E-2"/>
          <c:w val="0.937382013432145"/>
          <c:h val="0.74139779034366604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</c:v>
                </c:pt>
                <c:pt idx="1">
                  <c:v>50</c:v>
                </c:pt>
                <c:pt idx="2">
                  <c:v>50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71</c:v>
                </c:pt>
                <c:pt idx="1">
                  <c:v>71</c:v>
                </c:pt>
                <c:pt idx="2">
                  <c:v>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74-F440-811C-CD7FC9F0F907}"/>
            </c:ext>
          </c:extLst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</c:v>
                </c:pt>
                <c:pt idx="1">
                  <c:v>50</c:v>
                </c:pt>
                <c:pt idx="2">
                  <c:v>50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28</c:v>
                </c:pt>
                <c:pt idx="1">
                  <c:v>28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74-F440-811C-CD7FC9F0F907}"/>
            </c:ext>
          </c:extLst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</c:v>
                </c:pt>
                <c:pt idx="1">
                  <c:v>50</c:v>
                </c:pt>
                <c:pt idx="2">
                  <c:v>50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71</c:v>
                </c:pt>
                <c:pt idx="1">
                  <c:v>71</c:v>
                </c:pt>
                <c:pt idx="2">
                  <c:v>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74-F440-811C-CD7FC9F0F907}"/>
            </c:ext>
          </c:extLst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</c:v>
                </c:pt>
                <c:pt idx="1">
                  <c:v>50</c:v>
                </c:pt>
                <c:pt idx="2">
                  <c:v>50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28</c:v>
                </c:pt>
                <c:pt idx="1">
                  <c:v>28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74-F440-811C-CD7FC9F0F9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1895408"/>
        <c:axId val="2061899104"/>
      </c:lineChart>
      <c:catAx>
        <c:axId val="2061895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061899104"/>
        <c:crosses val="autoZero"/>
        <c:auto val="1"/>
        <c:lblAlgn val="ctr"/>
        <c:lblOffset val="100"/>
        <c:noMultiLvlLbl val="0"/>
      </c:catAx>
      <c:valAx>
        <c:axId val="206189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061895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lotArea>
      <c:layout>
        <c:manualLayout>
          <c:layoutTarget val="inner"/>
          <c:xMode val="edge"/>
          <c:yMode val="edge"/>
          <c:x val="5.4295072941457599E-2"/>
          <c:y val="1.5495584352692E-2"/>
          <c:w val="0.937382013432145"/>
          <c:h val="0.74139779034366604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C9-264D-87C9-63459D2FD6F9}"/>
            </c:ext>
          </c:extLst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C9-264D-87C9-63459D2FD6F9}"/>
            </c:ext>
          </c:extLst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C9-264D-87C9-63459D2FD6F9}"/>
            </c:ext>
          </c:extLst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C9-264D-87C9-63459D2FD6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1855968"/>
        <c:axId val="1961858528"/>
      </c:lineChart>
      <c:catAx>
        <c:axId val="1961855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961858528"/>
        <c:crosses val="autoZero"/>
        <c:auto val="1"/>
        <c:lblAlgn val="ctr"/>
        <c:lblOffset val="100"/>
        <c:noMultiLvlLbl val="0"/>
      </c:catAx>
      <c:valAx>
        <c:axId val="196185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961855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17</xdr:row>
      <xdr:rowOff>69227</xdr:rowOff>
    </xdr:from>
    <xdr:to>
      <xdr:col>24</xdr:col>
      <xdr:colOff>274744</xdr:colOff>
      <xdr:row>37</xdr:row>
      <xdr:rowOff>30582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138580</xdr:colOff>
      <xdr:row>1</xdr:row>
      <xdr:rowOff>13032</xdr:rowOff>
    </xdr:from>
    <xdr:to>
      <xdr:col>24</xdr:col>
      <xdr:colOff>308461</xdr:colOff>
      <xdr:row>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5</xdr:row>
      <xdr:rowOff>0</xdr:rowOff>
    </xdr:from>
    <xdr:to>
      <xdr:col>24</xdr:col>
      <xdr:colOff>274744</xdr:colOff>
      <xdr:row>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PCRdb_alignment" connectionId="1" xr16:uid="{00000000-0016-0000-0800-000001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uman_GPCR_fasta.fas" connectionId="2" xr16:uid="{00000000-0016-0000-0800-00000000000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xtal_templates_1" connectionId="3" xr16:uid="{00000000-0016-0000-0A00-000007000000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xtal_templates_12" connectionId="10" xr16:uid="{00000000-0016-0000-0A00-000006000000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xtal_templates_10" connectionId="9" xr16:uid="{00000000-0016-0000-0A00-000005000000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xtal_templates_3" connectionId="4" xr16:uid="{00000000-0016-0000-0A00-00000A000000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xtal_templates_6" connectionId="6" xr16:uid="{00000000-0016-0000-0A00-000009000000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xtal_templates_13" connectionId="11" xr16:uid="{00000000-0016-0000-0A00-000004000000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xtal_templates_4" connectionId="5" xr16:uid="{00000000-0016-0000-0A00-000008000000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xtal_templates_8" connectionId="8" xr16:uid="{00000000-0016-0000-0A00-000003000000}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xtal_templates_7" connectionId="7" xr16:uid="{00000000-0016-0000-0A00-000002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0.xml"/><Relationship Id="rId3" Type="http://schemas.openxmlformats.org/officeDocument/2006/relationships/queryTable" Target="../queryTables/queryTable5.xml"/><Relationship Id="rId7" Type="http://schemas.openxmlformats.org/officeDocument/2006/relationships/queryTable" Target="../queryTables/queryTable9.xml"/><Relationship Id="rId2" Type="http://schemas.openxmlformats.org/officeDocument/2006/relationships/queryTable" Target="../queryTables/queryTable4.xml"/><Relationship Id="rId1" Type="http://schemas.openxmlformats.org/officeDocument/2006/relationships/queryTable" Target="../queryTables/queryTable3.xml"/><Relationship Id="rId6" Type="http://schemas.openxmlformats.org/officeDocument/2006/relationships/queryTable" Target="../queryTables/queryTable8.xml"/><Relationship Id="rId5" Type="http://schemas.openxmlformats.org/officeDocument/2006/relationships/queryTable" Target="../queryTables/queryTable7.xml"/><Relationship Id="rId4" Type="http://schemas.openxmlformats.org/officeDocument/2006/relationships/queryTable" Target="../queryTables/queryTable6.xml"/><Relationship Id="rId9" Type="http://schemas.openxmlformats.org/officeDocument/2006/relationships/queryTable" Target="../queryTables/query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AMP538"/>
  <sheetViews>
    <sheetView tabSelected="1" zoomScale="110" zoomScaleNormal="110" zoomScalePageLayoutView="110" workbookViewId="0">
      <pane xSplit="3" ySplit="1" topLeftCell="D305" activePane="bottomRight" state="frozenSplit"/>
      <selection pane="topRight" activeCell="D1" sqref="D1"/>
      <selection pane="bottomLeft" activeCell="A2" sqref="A2"/>
      <selection pane="bottomRight" activeCell="A336" sqref="A336"/>
    </sheetView>
  </sheetViews>
  <sheetFormatPr baseColWidth="10" defaultColWidth="8.83203125" defaultRowHeight="16" x14ac:dyDescent="0.2"/>
  <cols>
    <col min="1" max="1" width="19.1640625" style="3" customWidth="1"/>
    <col min="2" max="2" width="12.83203125" style="3" bestFit="1" customWidth="1"/>
    <col min="3" max="3" width="9.33203125" style="3" bestFit="1" customWidth="1"/>
    <col min="4" max="4" width="2.83203125" style="3" bestFit="1" customWidth="1"/>
    <col min="5" max="5" width="6.5" style="3" bestFit="1" customWidth="1"/>
    <col min="6" max="6" width="2.5" style="3" bestFit="1" customWidth="1"/>
    <col min="7" max="7" width="5.33203125" style="3" bestFit="1" customWidth="1"/>
    <col min="8" max="8" width="2.83203125" style="3" bestFit="1" customWidth="1"/>
    <col min="9" max="9" width="5.1640625" style="3" bestFit="1" customWidth="1"/>
    <col min="10" max="10" width="2.5" style="3" bestFit="1" customWidth="1"/>
    <col min="11" max="11" width="5.1640625" style="3" bestFit="1" customWidth="1"/>
    <col min="12" max="12" width="2.5" style="3" bestFit="1" customWidth="1"/>
    <col min="13" max="13" width="5.33203125" style="3" bestFit="1" customWidth="1"/>
    <col min="14" max="14" width="2.83203125" style="3" bestFit="1" customWidth="1"/>
    <col min="15" max="15" width="5.33203125" style="3" bestFit="1" customWidth="1"/>
    <col min="16" max="16" width="2.83203125" style="3" bestFit="1" customWidth="1"/>
    <col min="17" max="17" width="5.33203125" style="3" bestFit="1" customWidth="1"/>
    <col min="18" max="18" width="3.1640625" style="3" bestFit="1" customWidth="1"/>
    <col min="19" max="19" width="5.33203125" style="3" bestFit="1" customWidth="1"/>
    <col min="20" max="20" width="2.5" style="3" bestFit="1" customWidth="1"/>
    <col min="21" max="21" width="5.33203125" style="3" bestFit="1" customWidth="1"/>
    <col min="22" max="22" width="2.83203125" style="3" bestFit="1" customWidth="1"/>
    <col min="23" max="23" width="5.33203125" style="3" bestFit="1" customWidth="1"/>
    <col min="24" max="24" width="2.83203125" style="3" bestFit="1" customWidth="1"/>
    <col min="25" max="25" width="5.33203125" style="3" bestFit="1" customWidth="1"/>
    <col min="26" max="26" width="2.83203125" style="3" bestFit="1" customWidth="1"/>
    <col min="27" max="27" width="5.33203125" style="3" bestFit="1" customWidth="1"/>
    <col min="28" max="28" width="2.83203125" style="3" bestFit="1" customWidth="1"/>
    <col min="29" max="29" width="5.33203125" style="9" bestFit="1" customWidth="1"/>
    <col min="30" max="30" width="2.83203125" style="3" bestFit="1" customWidth="1"/>
    <col min="31" max="31" width="5.33203125" style="3" bestFit="1" customWidth="1"/>
    <col min="32" max="32" width="2.1640625" style="3" bestFit="1" customWidth="1"/>
    <col min="33" max="33" width="5.33203125" style="3" bestFit="1" customWidth="1"/>
    <col min="34" max="34" width="2.33203125" style="3" bestFit="1" customWidth="1"/>
    <col min="35" max="35" width="5.33203125" style="3" bestFit="1" customWidth="1"/>
    <col min="36" max="36" width="2.83203125" style="3" bestFit="1" customWidth="1"/>
    <col min="37" max="37" width="5.33203125" style="3" bestFit="1" customWidth="1"/>
    <col min="38" max="38" width="2.83203125" style="3" bestFit="1" customWidth="1"/>
    <col min="39" max="39" width="5.33203125" style="3" bestFit="1" customWidth="1"/>
    <col min="40" max="40" width="2.83203125" style="3" bestFit="1" customWidth="1"/>
    <col min="41" max="41" width="5.33203125" style="3" bestFit="1" customWidth="1"/>
    <col min="42" max="42" width="2.5" style="3" bestFit="1" customWidth="1"/>
    <col min="43" max="43" width="5.33203125" style="3" bestFit="1" customWidth="1"/>
    <col min="44" max="44" width="2.83203125" style="3" bestFit="1" customWidth="1"/>
    <col min="45" max="45" width="5.33203125" style="3" bestFit="1" customWidth="1"/>
    <col min="46" max="46" width="2.83203125" style="3" bestFit="1" customWidth="1"/>
    <col min="47" max="47" width="5.33203125" style="3" bestFit="1" customWidth="1"/>
    <col min="48" max="48" width="2.33203125" style="3" bestFit="1" customWidth="1"/>
    <col min="49" max="49" width="5.33203125" style="3" bestFit="1" customWidth="1"/>
    <col min="50" max="50" width="2.83203125" style="3" bestFit="1" customWidth="1"/>
    <col min="51" max="51" width="5.33203125" style="3" bestFit="1" customWidth="1"/>
    <col min="52" max="52" width="3.1640625" style="78" bestFit="1" customWidth="1"/>
    <col min="53" max="53" width="3.1640625" style="93" customWidth="1"/>
    <col min="54" max="54" width="6.6640625" style="74" customWidth="1"/>
    <col min="55" max="55" width="5" style="3" bestFit="1" customWidth="1"/>
    <col min="56" max="56" width="8.1640625" style="74" bestFit="1" customWidth="1"/>
    <col min="57" max="57" width="5.6640625" style="3" customWidth="1"/>
    <col min="58" max="58" width="5.6640625" style="118" customWidth="1"/>
    <col min="59" max="60" width="5.6640625" style="49" customWidth="1"/>
    <col min="61" max="61" width="8.5" style="3" customWidth="1"/>
    <col min="62" max="62" width="3.1640625" style="75" bestFit="1" customWidth="1"/>
    <col min="63" max="63" width="3.6640625" style="57" bestFit="1" customWidth="1"/>
    <col min="64" max="64" width="3.1640625" style="57" bestFit="1" customWidth="1"/>
    <col min="65" max="65" width="4.1640625" style="57" bestFit="1" customWidth="1"/>
    <col min="66" max="66" width="3.1640625" style="57" bestFit="1" customWidth="1"/>
    <col min="67" max="67" width="3.6640625" style="57" bestFit="1" customWidth="1"/>
    <col min="68" max="68" width="3.1640625" style="57" bestFit="1" customWidth="1"/>
    <col min="69" max="69" width="4.1640625" style="57" bestFit="1" customWidth="1"/>
    <col min="70" max="72" width="3.1640625" style="57" bestFit="1" customWidth="1"/>
    <col min="73" max="73" width="3.1640625" style="72" bestFit="1" customWidth="1"/>
    <col min="74" max="74" width="4.1640625" style="75" bestFit="1" customWidth="1"/>
    <col min="75" max="85" width="4.1640625" style="72" bestFit="1" customWidth="1"/>
    <col min="86" max="86" width="4.1640625" style="75" bestFit="1" customWidth="1"/>
    <col min="87" max="97" width="4.1640625" style="72" bestFit="1" customWidth="1"/>
    <col min="98" max="98" width="8.1640625" style="3" bestFit="1" customWidth="1"/>
    <col min="99" max="1029" width="8.83203125" style="3"/>
    <col min="1030" max="16384" width="8.83203125" style="1"/>
  </cols>
  <sheetData>
    <row r="1" spans="1:1029" s="61" customFormat="1" ht="16" customHeight="1" x14ac:dyDescent="0.2">
      <c r="A1" s="61" t="s">
        <v>1070</v>
      </c>
      <c r="B1" s="61" t="s">
        <v>31</v>
      </c>
      <c r="C1" s="61" t="s">
        <v>30</v>
      </c>
      <c r="E1" s="61" t="s">
        <v>1054</v>
      </c>
      <c r="G1" s="61" t="s">
        <v>1055</v>
      </c>
      <c r="I1" s="62" t="s">
        <v>1071</v>
      </c>
      <c r="K1" s="62" t="s">
        <v>1072</v>
      </c>
      <c r="M1" s="61" t="s">
        <v>1056</v>
      </c>
      <c r="O1" s="61" t="s">
        <v>1057</v>
      </c>
      <c r="Q1" s="61" t="s">
        <v>1073</v>
      </c>
      <c r="S1" s="61" t="s">
        <v>1074</v>
      </c>
      <c r="U1" s="61" t="s">
        <v>1058</v>
      </c>
      <c r="W1" s="61" t="s">
        <v>1059</v>
      </c>
      <c r="Y1" s="61" t="s">
        <v>1086</v>
      </c>
      <c r="AA1" s="61" t="s">
        <v>1087</v>
      </c>
      <c r="AC1" s="104" t="s">
        <v>1060</v>
      </c>
      <c r="AE1" s="61" t="s">
        <v>1061</v>
      </c>
      <c r="AG1" s="61" t="s">
        <v>1089</v>
      </c>
      <c r="AI1" s="61" t="s">
        <v>1090</v>
      </c>
      <c r="AK1" s="61" t="s">
        <v>1062</v>
      </c>
      <c r="AM1" s="61" t="s">
        <v>1063</v>
      </c>
      <c r="AO1" s="61" t="s">
        <v>1064</v>
      </c>
      <c r="AQ1" s="61" t="s">
        <v>1065</v>
      </c>
      <c r="AS1" s="61" t="s">
        <v>1066</v>
      </c>
      <c r="AU1" s="61" t="s">
        <v>1067</v>
      </c>
      <c r="AW1" s="61" t="s">
        <v>1068</v>
      </c>
      <c r="AY1" s="61" t="s">
        <v>1069</v>
      </c>
      <c r="AZ1" s="63" t="s">
        <v>99</v>
      </c>
      <c r="BA1" s="64" t="s">
        <v>1374</v>
      </c>
      <c r="BB1" s="64" t="s">
        <v>1196</v>
      </c>
      <c r="BC1" s="61" t="s">
        <v>1161</v>
      </c>
      <c r="BD1" s="64" t="s">
        <v>1093</v>
      </c>
      <c r="BE1" s="61" t="s">
        <v>1367</v>
      </c>
      <c r="BF1" s="117" t="s">
        <v>1420</v>
      </c>
      <c r="BG1" s="76" t="s">
        <v>1375</v>
      </c>
      <c r="BH1" s="76" t="s">
        <v>1376</v>
      </c>
      <c r="BI1" s="61" t="s">
        <v>1101</v>
      </c>
      <c r="BJ1" s="65" t="s">
        <v>1054</v>
      </c>
      <c r="BK1" s="66" t="s">
        <v>1071</v>
      </c>
      <c r="BL1" s="67" t="s">
        <v>1056</v>
      </c>
      <c r="BM1" s="67" t="s">
        <v>1073</v>
      </c>
      <c r="BN1" s="67" t="s">
        <v>1058</v>
      </c>
      <c r="BO1" s="67" t="s">
        <v>1086</v>
      </c>
      <c r="BP1" s="67" t="s">
        <v>1060</v>
      </c>
      <c r="BQ1" s="67" t="s">
        <v>1089</v>
      </c>
      <c r="BR1" s="67" t="s">
        <v>1062</v>
      </c>
      <c r="BS1" s="67" t="s">
        <v>1064</v>
      </c>
      <c r="BT1" s="67" t="s">
        <v>1066</v>
      </c>
      <c r="BU1" s="68" t="s">
        <v>1068</v>
      </c>
      <c r="BV1" s="65" t="s">
        <v>1054</v>
      </c>
      <c r="BW1" s="69" t="s">
        <v>1071</v>
      </c>
      <c r="BX1" s="68" t="s">
        <v>1056</v>
      </c>
      <c r="BY1" s="68" t="s">
        <v>1073</v>
      </c>
      <c r="BZ1" s="68" t="s">
        <v>1058</v>
      </c>
      <c r="CA1" s="68" t="s">
        <v>1086</v>
      </c>
      <c r="CB1" s="68" t="s">
        <v>1060</v>
      </c>
      <c r="CC1" s="68" t="s">
        <v>1089</v>
      </c>
      <c r="CD1" s="68" t="s">
        <v>1062</v>
      </c>
      <c r="CE1" s="68" t="s">
        <v>1064</v>
      </c>
      <c r="CF1" s="68" t="s">
        <v>1066</v>
      </c>
      <c r="CG1" s="68" t="s">
        <v>1068</v>
      </c>
      <c r="CH1" s="65" t="s">
        <v>1055</v>
      </c>
      <c r="CI1" s="69" t="s">
        <v>1072</v>
      </c>
      <c r="CJ1" s="68" t="s">
        <v>1057</v>
      </c>
      <c r="CK1" s="68" t="s">
        <v>1074</v>
      </c>
      <c r="CL1" s="68" t="s">
        <v>1059</v>
      </c>
      <c r="CM1" s="68" t="s">
        <v>1087</v>
      </c>
      <c r="CN1" s="68" t="s">
        <v>1061</v>
      </c>
      <c r="CO1" s="68" t="s">
        <v>1090</v>
      </c>
      <c r="CP1" s="68" t="s">
        <v>1063</v>
      </c>
      <c r="CQ1" s="68" t="s">
        <v>1065</v>
      </c>
      <c r="CR1" s="68" t="s">
        <v>1067</v>
      </c>
      <c r="CS1" s="68" t="s">
        <v>1069</v>
      </c>
      <c r="CT1" s="61" t="s">
        <v>1282</v>
      </c>
    </row>
    <row r="2" spans="1:1029" x14ac:dyDescent="0.2">
      <c r="A2" s="3" t="str">
        <f t="shared" ref="A2:A77" si="0">CONCATENATE(B2,"_",C2)</f>
        <v>5ht1b_human__wt</v>
      </c>
      <c r="B2" s="3" t="s">
        <v>34</v>
      </c>
      <c r="C2" s="3" t="s">
        <v>100</v>
      </c>
      <c r="D2" s="3" t="str">
        <f>IFERROR(MID(VLOOKUP($B2,Seqs!$A:$B,2,0),E2,1),"")</f>
        <v>S</v>
      </c>
      <c r="E2" s="105">
        <v>45</v>
      </c>
      <c r="F2" s="3" t="str">
        <f>IFERROR(MID(VLOOKUP($B2,Seqs!$A:$B,2,0),G2,1),"")</f>
        <v>T</v>
      </c>
      <c r="G2" s="3">
        <v>77</v>
      </c>
      <c r="H2" s="3" t="str">
        <f>IFERROR(MID(VLOOKUP($B2,Seqs!$A:$B,2,0),I2,1),"")</f>
        <v>R</v>
      </c>
      <c r="I2" s="23">
        <v>78</v>
      </c>
      <c r="J2" s="3" t="str">
        <f>IFERROR(MID(VLOOKUP($B2,Seqs!$A:$B,2,0),K2,1),"")</f>
        <v>H</v>
      </c>
      <c r="K2" s="23">
        <v>81</v>
      </c>
      <c r="L2" s="3" t="str">
        <f>IFERROR(MID(VLOOKUP($B2,Seqs!$A:$B,2,0),M2,1),"")</f>
        <v>T</v>
      </c>
      <c r="M2" s="3">
        <v>82</v>
      </c>
      <c r="N2" s="3" t="str">
        <f>IFERROR(MID(VLOOKUP($B2,Seqs!$A:$B,2,0),O2,1),"")</f>
        <v>G</v>
      </c>
      <c r="O2" s="3">
        <v>113</v>
      </c>
      <c r="P2" s="3" t="str">
        <f>IFERROR(MID(VLOOKUP($B2,Seqs!$A:$B,2,0),Q2,1),"")</f>
        <v>R</v>
      </c>
      <c r="Q2" s="3">
        <v>114</v>
      </c>
      <c r="R2" s="3" t="str">
        <f>IFERROR(MID(VLOOKUP($B2,Seqs!$A:$B,2,0),S2,1),"")</f>
        <v>L</v>
      </c>
      <c r="S2" s="3">
        <v>117</v>
      </c>
      <c r="T2" s="3" t="str">
        <f>IFERROR(MID(VLOOKUP($B2,Seqs!$A:$B,2,0),U2,1),"")</f>
        <v>G</v>
      </c>
      <c r="U2" s="3">
        <v>118</v>
      </c>
      <c r="V2" s="3" t="str">
        <f>IFERROR(MID(VLOOKUP($B2,Seqs!$A:$B,2,0),W2,1),"")</f>
        <v>D</v>
      </c>
      <c r="W2" s="3">
        <v>153</v>
      </c>
      <c r="X2" s="3" t="str">
        <f>IFERROR(MID(VLOOKUP($B2,Seqs!$A:$B,2,0),Y2,1),"")</f>
        <v>A</v>
      </c>
      <c r="Y2" s="3">
        <v>154</v>
      </c>
      <c r="Z2" s="3" t="str">
        <f>IFERROR(MID(VLOOKUP($B2,Seqs!$A:$B,2,0),AA2,1),"")</f>
        <v>R</v>
      </c>
      <c r="AA2" s="3">
        <v>161</v>
      </c>
      <c r="AB2" s="3" t="str">
        <f>IFERROR(MID(VLOOKUP($B2,Seqs!$A:$B,2,0),AC2,1),"")</f>
        <v>T</v>
      </c>
      <c r="AC2" s="9">
        <v>162</v>
      </c>
      <c r="AD2" s="3" t="str">
        <f>IFERROR(MID(VLOOKUP($B2,Seqs!$A:$B,2,0),AE2,1),"")</f>
        <v>W</v>
      </c>
      <c r="AE2" s="3">
        <v>187</v>
      </c>
      <c r="AF2" s="3" t="str">
        <f>IFERROR(MID(VLOOKUP($B2,Seqs!$A:$B,2,0),AG2,1),"")</f>
        <v>C</v>
      </c>
      <c r="AG2" s="3">
        <v>199</v>
      </c>
      <c r="AH2" s="3" t="str">
        <f>IFERROR(MID(VLOOKUP($B2,Seqs!$A:$B,2,0),AI2,1),"")</f>
        <v>V</v>
      </c>
      <c r="AI2" s="3">
        <v>201</v>
      </c>
      <c r="AJ2" s="3" t="str">
        <f>IFERROR(MID(VLOOKUP($B2,Seqs!$A:$B,2,0),AK2,1),"")</f>
        <v>H</v>
      </c>
      <c r="AK2" s="3">
        <v>205</v>
      </c>
      <c r="AL2" s="3" t="str">
        <f>IFERROR(MID(VLOOKUP($B2,Seqs!$A:$B,2,0),AM2,1),"")</f>
        <v>P</v>
      </c>
      <c r="AM2" s="3">
        <v>244</v>
      </c>
      <c r="AN2" s="3" t="str">
        <f>IFERROR(MID(VLOOKUP($B2,Seqs!$A:$B,2,0),AO2,1),"")</f>
        <v>K</v>
      </c>
      <c r="AO2" s="3">
        <v>303</v>
      </c>
      <c r="AP2" s="3" t="str">
        <f>IFERROR(MID(VLOOKUP($B2,Seqs!$A:$B,2,0),AQ2,1),"")</f>
        <v>I</v>
      </c>
      <c r="AQ2" s="3">
        <v>339</v>
      </c>
      <c r="AR2" s="3" t="str">
        <f>IFERROR(MID(VLOOKUP($B2,Seqs!$A:$B,2,0),AS2,1),"")</f>
        <v>H</v>
      </c>
      <c r="AS2" s="3">
        <v>347</v>
      </c>
      <c r="AT2" s="3" t="str">
        <f>IFERROR(MID(VLOOKUP($B2,Seqs!$A:$B,2,0),AU2,1),"")</f>
        <v>S</v>
      </c>
      <c r="AU2" s="3">
        <v>372</v>
      </c>
      <c r="AV2" s="3" t="str">
        <f>IFERROR(MID(VLOOKUP($B2,Seqs!$A:$B,2,0),AW2,1),"")</f>
        <v>N</v>
      </c>
      <c r="AW2" s="3">
        <v>373</v>
      </c>
      <c r="AX2" s="3" t="str">
        <f>IFERROR(MID(VLOOKUP($B2,Seqs!$A:$B,2,0),AY2,1),"")</f>
        <v>I</v>
      </c>
      <c r="AY2" s="3">
        <v>384</v>
      </c>
      <c r="AZ2" s="77" t="str">
        <f>VLOOKUP(B2,Classification!A:D,2,0)</f>
        <v>A</v>
      </c>
      <c r="BA2" s="94" t="str">
        <f>VLOOKUP(B2,Classification!A:D,4,0)</f>
        <v>5-Hydroxytryptamine</v>
      </c>
      <c r="BB2" s="27" t="b">
        <f t="shared" ref="BB2:BB77" si="1">AND(E2&lt;G2,OR(G2&lt;I2,I2="-"),OR(I2&lt;K2,I2="-"),OR(K2&lt;M2,K2="-"),M2&lt;O2,OR(O2&lt;Q2,Q2="-"),OR(Q2&lt;S2,Q2="-"),OR(S2&lt;U2,S2="-"),U2&lt;W2,OR(W2&lt;Y2,Y2="-"),OR(Y2&lt;AA2,Y2="-"),OR(AA2&lt;AC2,AA2="-"),AC2&lt;AE2,OR(AE2&lt;AG2,AG2="-"),OR(AG2&lt;AI2,AG2="-"),OR(AI2&lt;AK2,AI2="-"),AK2&lt;AM2,AM2&lt;AO2,AO2&lt;AQ2,AQ2&lt;AS2,AS2&lt;AU2,OR(AU2&lt;AW2,AW2="-"),OR(AW2&lt;AY2,AW2="-"))</f>
        <v>1</v>
      </c>
      <c r="BC2" s="23">
        <f t="shared" ref="BC2:BC13" si="2">_xlfn.AGGREGATE(9,6,CH2:CS2)-_xlfn.AGGREGATE(9,6,BV2:CG2)+12</f>
        <v>261</v>
      </c>
      <c r="BD2" s="34" t="s">
        <v>23</v>
      </c>
      <c r="BE2" s="3" t="s">
        <v>23</v>
      </c>
      <c r="BF2" s="118" t="s">
        <v>23</v>
      </c>
      <c r="BG2" s="49" t="s">
        <v>1366</v>
      </c>
      <c r="BH2" s="49" t="s">
        <v>1371</v>
      </c>
      <c r="BI2" s="1"/>
      <c r="BJ2" s="70" t="s">
        <v>1281</v>
      </c>
      <c r="BK2" s="57" t="s">
        <v>1281</v>
      </c>
      <c r="BL2" s="57" t="s">
        <v>1281</v>
      </c>
      <c r="BM2" s="57" t="s">
        <v>1281</v>
      </c>
      <c r="BN2" s="57" t="s">
        <v>1281</v>
      </c>
      <c r="BO2" s="57" t="s">
        <v>1281</v>
      </c>
      <c r="BP2" s="57" t="s">
        <v>1281</v>
      </c>
      <c r="BQ2" s="57" t="s">
        <v>1281</v>
      </c>
      <c r="BR2" s="57" t="s">
        <v>1281</v>
      </c>
      <c r="BS2" s="57" t="s">
        <v>1281</v>
      </c>
      <c r="BT2" s="57" t="s">
        <v>1281</v>
      </c>
      <c r="BU2" s="57" t="s">
        <v>1281</v>
      </c>
      <c r="BV2" s="70">
        <f t="shared" ref="BV2:BV37" si="3">E2</f>
        <v>45</v>
      </c>
      <c r="BW2" s="71">
        <f t="shared" ref="BW2:BW37" si="4">I2</f>
        <v>78</v>
      </c>
      <c r="BX2" s="72">
        <f t="shared" ref="BX2:BX37" si="5">M2</f>
        <v>82</v>
      </c>
      <c r="BY2" s="71">
        <f t="shared" ref="BY2:BY37" si="6">Q2</f>
        <v>114</v>
      </c>
      <c r="BZ2" s="72">
        <f t="shared" ref="BZ2:BZ37" si="7">U2</f>
        <v>118</v>
      </c>
      <c r="CA2" s="71">
        <f t="shared" ref="CA2:CA37" si="8">Y2</f>
        <v>154</v>
      </c>
      <c r="CB2" s="72">
        <f t="shared" ref="CB2:CB37" si="9">AC2</f>
        <v>162</v>
      </c>
      <c r="CC2" s="71">
        <f t="shared" ref="CC2:CC37" si="10">AG2</f>
        <v>199</v>
      </c>
      <c r="CD2" s="72">
        <f t="shared" ref="CD2:CD37" si="11">AK2</f>
        <v>205</v>
      </c>
      <c r="CE2" s="71">
        <f t="shared" ref="CE2:CE37" si="12">AO2</f>
        <v>303</v>
      </c>
      <c r="CF2" s="72">
        <f t="shared" ref="CF2:CF37" si="13">AS2</f>
        <v>347</v>
      </c>
      <c r="CG2" s="71">
        <f t="shared" ref="CG2:CG37" si="14">AW2</f>
        <v>373</v>
      </c>
      <c r="CH2" s="70">
        <f t="shared" ref="CH2:CH37" si="15">G2</f>
        <v>77</v>
      </c>
      <c r="CI2" s="71">
        <f t="shared" ref="CI2:CI37" si="16">K2</f>
        <v>81</v>
      </c>
      <c r="CJ2" s="72">
        <f t="shared" ref="CJ2:CJ37" si="17">O2</f>
        <v>113</v>
      </c>
      <c r="CK2" s="72">
        <f t="shared" ref="CK2:CK37" si="18">S2</f>
        <v>117</v>
      </c>
      <c r="CL2" s="72">
        <f t="shared" ref="CL2:CL37" si="19">W2</f>
        <v>153</v>
      </c>
      <c r="CM2" s="72">
        <f t="shared" ref="CM2:CM37" si="20">AA2</f>
        <v>161</v>
      </c>
      <c r="CN2" s="72">
        <f t="shared" ref="CN2:CN37" si="21">AE2</f>
        <v>187</v>
      </c>
      <c r="CO2" s="72">
        <f t="shared" ref="CO2:CO37" si="22">AI2</f>
        <v>201</v>
      </c>
      <c r="CP2" s="72">
        <f t="shared" ref="CP2:CP37" si="23">AM2</f>
        <v>244</v>
      </c>
      <c r="CQ2" s="72">
        <f t="shared" ref="CQ2:CQ37" si="24">AQ2</f>
        <v>339</v>
      </c>
      <c r="CR2" s="72">
        <f t="shared" ref="CR2:CR37" si="25">AU2</f>
        <v>372</v>
      </c>
      <c r="CS2" s="72">
        <f t="shared" ref="CS2:CS37" si="26">AY2</f>
        <v>384</v>
      </c>
      <c r="CT2" s="23">
        <f t="shared" ref="CT2:CT37" si="27">M2-K2</f>
        <v>1</v>
      </c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</row>
    <row r="3" spans="1:1029" x14ac:dyDescent="0.2">
      <c r="A3" s="3" t="str">
        <f t="shared" si="0"/>
        <v>5ht1b_human_4IAQ</v>
      </c>
      <c r="B3" s="3" t="s">
        <v>34</v>
      </c>
      <c r="C3" s="3" t="s">
        <v>1036</v>
      </c>
      <c r="D3" s="3" t="str">
        <f>IFERROR(MID(VLOOKUP($B3,Seqs!$A:$B,2,0),E3,1),"")</f>
        <v>S</v>
      </c>
      <c r="E3" s="3">
        <v>45</v>
      </c>
      <c r="F3" s="3" t="str">
        <f>IFERROR(MID(VLOOKUP($B3,Seqs!$A:$B,2,0),G3,1),"")</f>
        <v>T</v>
      </c>
      <c r="G3" s="3">
        <v>77</v>
      </c>
      <c r="H3" s="3" t="str">
        <f>IFERROR(MID(VLOOKUP($B3,Seqs!$A:$B,2,0),I3,1),"")</f>
        <v>R</v>
      </c>
      <c r="I3" s="23">
        <v>78</v>
      </c>
      <c r="J3" s="3" t="str">
        <f>IFERROR(MID(VLOOKUP($B3,Seqs!$A:$B,2,0),K3,1),"")</f>
        <v>H</v>
      </c>
      <c r="K3" s="23">
        <v>81</v>
      </c>
      <c r="L3" s="3" t="str">
        <f>IFERROR(MID(VLOOKUP($B3,Seqs!$A:$B,2,0),M3,1),"")</f>
        <v>T</v>
      </c>
      <c r="M3" s="3">
        <v>82</v>
      </c>
      <c r="N3" s="3" t="str">
        <f>IFERROR(MID(VLOOKUP($B3,Seqs!$A:$B,2,0),O3,1),"")</f>
        <v>G</v>
      </c>
      <c r="O3" s="3">
        <v>113</v>
      </c>
      <c r="P3" s="3" t="str">
        <f>IFERROR(MID(VLOOKUP($B3,Seqs!$A:$B,2,0),Q3,1),"")</f>
        <v>R</v>
      </c>
      <c r="Q3" s="3">
        <v>114</v>
      </c>
      <c r="R3" s="3" t="str">
        <f>IFERROR(MID(VLOOKUP($B3,Seqs!$A:$B,2,0),S3,1),"")</f>
        <v>L</v>
      </c>
      <c r="S3" s="3">
        <v>117</v>
      </c>
      <c r="T3" s="3" t="str">
        <f>IFERROR(MID(VLOOKUP($B3,Seqs!$A:$B,2,0),U3,1),"")</f>
        <v>G</v>
      </c>
      <c r="U3" s="3">
        <v>118</v>
      </c>
      <c r="V3" s="3" t="str">
        <f>IFERROR(MID(VLOOKUP($B3,Seqs!$A:$B,2,0),W3,1),"")</f>
        <v>D</v>
      </c>
      <c r="W3" s="3">
        <v>153</v>
      </c>
      <c r="X3" s="3" t="str">
        <f>IFERROR(MID(VLOOKUP($B3,Seqs!$A:$B,2,0),Y3,1),"")</f>
        <v>A</v>
      </c>
      <c r="Y3" s="3">
        <v>154</v>
      </c>
      <c r="Z3" s="3" t="str">
        <f>IFERROR(MID(VLOOKUP($B3,Seqs!$A:$B,2,0),AA3,1),"")</f>
        <v>R</v>
      </c>
      <c r="AA3" s="3">
        <v>161</v>
      </c>
      <c r="AB3" s="3" t="str">
        <f>IFERROR(MID(VLOOKUP($B3,Seqs!$A:$B,2,0),AC3,1),"")</f>
        <v>T</v>
      </c>
      <c r="AC3" s="9">
        <v>162</v>
      </c>
      <c r="AD3" s="3" t="str">
        <f>IFERROR(MID(VLOOKUP($B3,Seqs!$A:$B,2,0),AE3,1),"")</f>
        <v>P</v>
      </c>
      <c r="AE3" s="3">
        <v>184</v>
      </c>
      <c r="AF3" s="3" t="str">
        <f>IFERROR(MID(VLOOKUP($B3,Seqs!$A:$B,2,0),AG3,1),"")</f>
        <v>C</v>
      </c>
      <c r="AG3" s="3">
        <v>199</v>
      </c>
      <c r="AH3" s="3" t="str">
        <f>IFERROR(MID(VLOOKUP($B3,Seqs!$A:$B,2,0),AI3,1),"")</f>
        <v>V</v>
      </c>
      <c r="AI3" s="3">
        <v>201</v>
      </c>
      <c r="AJ3" s="3" t="str">
        <f>IFERROR(MID(VLOOKUP($B3,Seqs!$A:$B,2,0),AK3,1),"")</f>
        <v>H</v>
      </c>
      <c r="AK3" s="3">
        <v>205</v>
      </c>
      <c r="AL3" s="3" t="str">
        <f>IFERROR(MID(VLOOKUP($B3,Seqs!$A:$B,2,0),AM3,1),"")</f>
        <v>R</v>
      </c>
      <c r="AM3" s="3">
        <v>238</v>
      </c>
      <c r="AN3" s="3" t="str">
        <f>IFERROR(MID(VLOOKUP($B3,Seqs!$A:$B,2,0),AO3,1),"")</f>
        <v>L</v>
      </c>
      <c r="AO3" s="3">
        <v>304</v>
      </c>
      <c r="AP3" s="3" t="str">
        <f>IFERROR(MID(VLOOKUP($B3,Seqs!$A:$B,2,0),AQ3,1),"")</f>
        <v>I</v>
      </c>
      <c r="AQ3" s="3">
        <v>339</v>
      </c>
      <c r="AR3" s="3" t="str">
        <f>IFERROR(MID(VLOOKUP($B3,Seqs!$A:$B,2,0),AS3,1),"")</f>
        <v>H</v>
      </c>
      <c r="AS3" s="3">
        <v>347</v>
      </c>
      <c r="AT3" s="3" t="str">
        <f>IFERROR(MID(VLOOKUP($B3,Seqs!$A:$B,2,0),AU3,1),"")</f>
        <v>S</v>
      </c>
      <c r="AU3" s="3">
        <v>372</v>
      </c>
      <c r="AV3" s="3" t="str">
        <f>IFERROR(MID(VLOOKUP($B3,Seqs!$A:$B,2,0),AW3,1),"")</f>
        <v>N</v>
      </c>
      <c r="AW3" s="3">
        <v>373</v>
      </c>
      <c r="AX3" s="3" t="str">
        <f>IFERROR(MID(VLOOKUP($B3,Seqs!$A:$B,2,0),AY3,1),"")</f>
        <v>I</v>
      </c>
      <c r="AY3" s="3">
        <v>384</v>
      </c>
      <c r="AZ3" s="77" t="str">
        <f>VLOOKUP(B3,Classification!A:D,2,0)</f>
        <v>A</v>
      </c>
      <c r="BA3" s="94" t="str">
        <f>VLOOKUP(B3,Classification!A:D,4,0)</f>
        <v>5-Hydroxytryptamine</v>
      </c>
      <c r="BB3" s="27" t="b">
        <f t="shared" si="1"/>
        <v>1</v>
      </c>
      <c r="BC3" s="23">
        <f t="shared" si="2"/>
        <v>251</v>
      </c>
      <c r="BD3" s="16" t="s">
        <v>1423</v>
      </c>
      <c r="BE3" s="3" t="s">
        <v>1422</v>
      </c>
      <c r="BF3" s="118">
        <v>2.8</v>
      </c>
      <c r="BG3" s="49" t="s">
        <v>1371</v>
      </c>
      <c r="BH3" s="49" t="s">
        <v>1371</v>
      </c>
      <c r="BI3" s="1"/>
      <c r="BJ3" s="70" t="s">
        <v>1281</v>
      </c>
      <c r="BK3" s="57" t="s">
        <v>1281</v>
      </c>
      <c r="BL3" s="57" t="s">
        <v>1281</v>
      </c>
      <c r="BM3" s="57" t="s">
        <v>1281</v>
      </c>
      <c r="BN3" s="57" t="s">
        <v>1281</v>
      </c>
      <c r="BO3" s="57" t="s">
        <v>1281</v>
      </c>
      <c r="BP3" s="57" t="s">
        <v>1281</v>
      </c>
      <c r="BQ3" s="57" t="s">
        <v>1281</v>
      </c>
      <c r="BR3" s="57" t="s">
        <v>1281</v>
      </c>
      <c r="BS3" s="57" t="s">
        <v>1281</v>
      </c>
      <c r="BT3" s="57" t="s">
        <v>1281</v>
      </c>
      <c r="BU3" s="57" t="s">
        <v>1281</v>
      </c>
      <c r="BV3" s="70">
        <f t="shared" si="3"/>
        <v>45</v>
      </c>
      <c r="BW3" s="71">
        <f t="shared" si="4"/>
        <v>78</v>
      </c>
      <c r="BX3" s="72">
        <f t="shared" si="5"/>
        <v>82</v>
      </c>
      <c r="BY3" s="71">
        <f t="shared" si="6"/>
        <v>114</v>
      </c>
      <c r="BZ3" s="72">
        <f t="shared" si="7"/>
        <v>118</v>
      </c>
      <c r="CA3" s="71">
        <f t="shared" si="8"/>
        <v>154</v>
      </c>
      <c r="CB3" s="72">
        <f t="shared" si="9"/>
        <v>162</v>
      </c>
      <c r="CC3" s="71">
        <f t="shared" si="10"/>
        <v>199</v>
      </c>
      <c r="CD3" s="72">
        <f t="shared" si="11"/>
        <v>205</v>
      </c>
      <c r="CE3" s="71">
        <f t="shared" si="12"/>
        <v>304</v>
      </c>
      <c r="CF3" s="72">
        <f t="shared" si="13"/>
        <v>347</v>
      </c>
      <c r="CG3" s="71">
        <f t="shared" si="14"/>
        <v>373</v>
      </c>
      <c r="CH3" s="70">
        <f t="shared" si="15"/>
        <v>77</v>
      </c>
      <c r="CI3" s="71">
        <f t="shared" si="16"/>
        <v>81</v>
      </c>
      <c r="CJ3" s="72">
        <f t="shared" si="17"/>
        <v>113</v>
      </c>
      <c r="CK3" s="72">
        <f t="shared" si="18"/>
        <v>117</v>
      </c>
      <c r="CL3" s="72">
        <f t="shared" si="19"/>
        <v>153</v>
      </c>
      <c r="CM3" s="72">
        <f t="shared" si="20"/>
        <v>161</v>
      </c>
      <c r="CN3" s="72">
        <f t="shared" si="21"/>
        <v>184</v>
      </c>
      <c r="CO3" s="72">
        <f t="shared" si="22"/>
        <v>201</v>
      </c>
      <c r="CP3" s="72">
        <f t="shared" si="23"/>
        <v>238</v>
      </c>
      <c r="CQ3" s="72">
        <f t="shared" si="24"/>
        <v>339</v>
      </c>
      <c r="CR3" s="72">
        <f t="shared" si="25"/>
        <v>372</v>
      </c>
      <c r="CS3" s="72">
        <f t="shared" si="26"/>
        <v>384</v>
      </c>
      <c r="CT3" s="23">
        <f t="shared" si="27"/>
        <v>1</v>
      </c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</row>
    <row r="4" spans="1:1029" x14ac:dyDescent="0.2">
      <c r="A4" s="3" t="str">
        <f t="shared" si="0"/>
        <v>5ht1b_human_4IAR</v>
      </c>
      <c r="B4" s="3" t="s">
        <v>34</v>
      </c>
      <c r="C4" s="3" t="s">
        <v>60</v>
      </c>
      <c r="D4" s="3" t="str">
        <f>IFERROR(MID(VLOOKUP($B4,Seqs!$A:$B,2,0),E4,1),"")</f>
        <v>S</v>
      </c>
      <c r="E4" s="3">
        <v>45</v>
      </c>
      <c r="F4" s="3" t="str">
        <f>IFERROR(MID(VLOOKUP($B4,Seqs!$A:$B,2,0),G4,1),"")</f>
        <v>T</v>
      </c>
      <c r="G4" s="3">
        <v>77</v>
      </c>
      <c r="H4" s="3" t="str">
        <f>IFERROR(MID(VLOOKUP($B4,Seqs!$A:$B,2,0),I4,1),"")</f>
        <v>R</v>
      </c>
      <c r="I4" s="23">
        <v>78</v>
      </c>
      <c r="J4" s="3" t="str">
        <f>IFERROR(MID(VLOOKUP($B4,Seqs!$A:$B,2,0),K4,1),"")</f>
        <v>H</v>
      </c>
      <c r="K4" s="23">
        <v>81</v>
      </c>
      <c r="L4" s="3" t="str">
        <f>IFERROR(MID(VLOOKUP($B4,Seqs!$A:$B,2,0),M4,1),"")</f>
        <v>T</v>
      </c>
      <c r="M4" s="3">
        <v>82</v>
      </c>
      <c r="N4" s="3" t="str">
        <f>IFERROR(MID(VLOOKUP($B4,Seqs!$A:$B,2,0),O4,1),"")</f>
        <v>G</v>
      </c>
      <c r="O4" s="3">
        <v>113</v>
      </c>
      <c r="P4" s="3" t="str">
        <f>IFERROR(MID(VLOOKUP($B4,Seqs!$A:$B,2,0),Q4,1),"")</f>
        <v>R</v>
      </c>
      <c r="Q4" s="3">
        <v>114</v>
      </c>
      <c r="R4" s="3" t="str">
        <f>IFERROR(MID(VLOOKUP($B4,Seqs!$A:$B,2,0),S4,1),"")</f>
        <v>L</v>
      </c>
      <c r="S4" s="3">
        <v>117</v>
      </c>
      <c r="T4" s="3" t="str">
        <f>IFERROR(MID(VLOOKUP($B4,Seqs!$A:$B,2,0),U4,1),"")</f>
        <v>G</v>
      </c>
      <c r="U4" s="3">
        <v>118</v>
      </c>
      <c r="V4" s="3" t="str">
        <f>IFERROR(MID(VLOOKUP($B4,Seqs!$A:$B,2,0),W4,1),"")</f>
        <v>D</v>
      </c>
      <c r="W4" s="3">
        <v>153</v>
      </c>
      <c r="X4" s="3" t="str">
        <f>IFERROR(MID(VLOOKUP($B4,Seqs!$A:$B,2,0),Y4,1),"")</f>
        <v>A</v>
      </c>
      <c r="Y4" s="3">
        <v>154</v>
      </c>
      <c r="Z4" s="3" t="str">
        <f>IFERROR(MID(VLOOKUP($B4,Seqs!$A:$B,2,0),AA4,1),"")</f>
        <v>R</v>
      </c>
      <c r="AA4" s="3">
        <v>161</v>
      </c>
      <c r="AB4" s="3" t="str">
        <f>IFERROR(MID(VLOOKUP($B4,Seqs!$A:$B,2,0),AC4,1),"")</f>
        <v>T</v>
      </c>
      <c r="AC4" s="9">
        <v>162</v>
      </c>
      <c r="AD4" s="3" t="str">
        <f>IFERROR(MID(VLOOKUP($B4,Seqs!$A:$B,2,0),AE4,1),"")</f>
        <v>P</v>
      </c>
      <c r="AE4" s="3">
        <v>184</v>
      </c>
      <c r="AF4" s="3" t="str">
        <f>IFERROR(MID(VLOOKUP($B4,Seqs!$A:$B,2,0),AG4,1),"")</f>
        <v>C</v>
      </c>
      <c r="AG4" s="3">
        <v>199</v>
      </c>
      <c r="AH4" s="3" t="str">
        <f>IFERROR(MID(VLOOKUP($B4,Seqs!$A:$B,2,0),AI4,1),"")</f>
        <v>V</v>
      </c>
      <c r="AI4" s="3">
        <v>201</v>
      </c>
      <c r="AJ4" s="3" t="str">
        <f>IFERROR(MID(VLOOKUP($B4,Seqs!$A:$B,2,0),AK4,1),"")</f>
        <v>H</v>
      </c>
      <c r="AK4" s="3">
        <v>205</v>
      </c>
      <c r="AL4" s="3" t="str">
        <f>IFERROR(MID(VLOOKUP($B4,Seqs!$A:$B,2,0),AM4,1),"")</f>
        <v>I</v>
      </c>
      <c r="AM4" s="3">
        <v>239</v>
      </c>
      <c r="AN4" s="3" t="str">
        <f>IFERROR(MID(VLOOKUP($B4,Seqs!$A:$B,2,0),AO4,1),"")</f>
        <v>R</v>
      </c>
      <c r="AO4" s="3">
        <v>310</v>
      </c>
      <c r="AP4" s="3" t="str">
        <f>IFERROR(MID(VLOOKUP($B4,Seqs!$A:$B,2,0),AQ4,1),"")</f>
        <v>I</v>
      </c>
      <c r="AQ4" s="3">
        <v>339</v>
      </c>
      <c r="AR4" s="3" t="str">
        <f>IFERROR(MID(VLOOKUP($B4,Seqs!$A:$B,2,0),AS4,1),"")</f>
        <v>H</v>
      </c>
      <c r="AS4" s="3">
        <v>347</v>
      </c>
      <c r="AT4" s="3" t="str">
        <f>IFERROR(MID(VLOOKUP($B4,Seqs!$A:$B,2,0),AU4,1),"")</f>
        <v>M</v>
      </c>
      <c r="AU4" s="3">
        <v>371</v>
      </c>
      <c r="AV4" s="3" t="str">
        <f>IFERROR(MID(VLOOKUP($B4,Seqs!$A:$B,2,0),AW4,1),"")</f>
        <v>N</v>
      </c>
      <c r="AW4" s="3">
        <v>373</v>
      </c>
      <c r="AX4" s="3" t="str">
        <f>IFERROR(MID(VLOOKUP($B4,Seqs!$A:$B,2,0),AY4,1),"")</f>
        <v>I</v>
      </c>
      <c r="AY4" s="3">
        <v>384</v>
      </c>
      <c r="AZ4" s="77" t="str">
        <f>VLOOKUP(B4,Classification!A:D,2,0)</f>
        <v>A</v>
      </c>
      <c r="BA4" s="94" t="str">
        <f>VLOOKUP(B4,Classification!A:D,4,0)</f>
        <v>5-Hydroxytryptamine</v>
      </c>
      <c r="BB4" s="27" t="b">
        <f t="shared" si="1"/>
        <v>1</v>
      </c>
      <c r="BC4" s="23">
        <f t="shared" si="2"/>
        <v>245</v>
      </c>
      <c r="BD4" s="4" t="s">
        <v>23</v>
      </c>
      <c r="BE4" s="3" t="s">
        <v>1422</v>
      </c>
      <c r="BF4" s="118">
        <v>2.7</v>
      </c>
      <c r="BG4" s="49" t="s">
        <v>1371</v>
      </c>
      <c r="BH4" s="49" t="s">
        <v>1371</v>
      </c>
      <c r="BI4" s="1"/>
      <c r="BJ4" s="70" t="s">
        <v>1281</v>
      </c>
      <c r="BK4" s="57" t="s">
        <v>1281</v>
      </c>
      <c r="BL4" s="57" t="s">
        <v>1281</v>
      </c>
      <c r="BM4" s="57" t="s">
        <v>1281</v>
      </c>
      <c r="BN4" s="57" t="s">
        <v>1281</v>
      </c>
      <c r="BO4" s="57" t="s">
        <v>1281</v>
      </c>
      <c r="BP4" s="57" t="s">
        <v>1281</v>
      </c>
      <c r="BQ4" s="57" t="s">
        <v>1281</v>
      </c>
      <c r="BR4" s="57" t="s">
        <v>1281</v>
      </c>
      <c r="BS4" s="57" t="s">
        <v>1281</v>
      </c>
      <c r="BT4" s="57" t="s">
        <v>1281</v>
      </c>
      <c r="BU4" s="57" t="s">
        <v>1281</v>
      </c>
      <c r="BV4" s="70">
        <f t="shared" si="3"/>
        <v>45</v>
      </c>
      <c r="BW4" s="71">
        <f t="shared" si="4"/>
        <v>78</v>
      </c>
      <c r="BX4" s="72">
        <f t="shared" si="5"/>
        <v>82</v>
      </c>
      <c r="BY4" s="71">
        <f t="shared" si="6"/>
        <v>114</v>
      </c>
      <c r="BZ4" s="72">
        <f t="shared" si="7"/>
        <v>118</v>
      </c>
      <c r="CA4" s="71">
        <f t="shared" si="8"/>
        <v>154</v>
      </c>
      <c r="CB4" s="72">
        <f t="shared" si="9"/>
        <v>162</v>
      </c>
      <c r="CC4" s="71">
        <f t="shared" si="10"/>
        <v>199</v>
      </c>
      <c r="CD4" s="72">
        <f t="shared" si="11"/>
        <v>205</v>
      </c>
      <c r="CE4" s="71">
        <f t="shared" si="12"/>
        <v>310</v>
      </c>
      <c r="CF4" s="72">
        <f t="shared" si="13"/>
        <v>347</v>
      </c>
      <c r="CG4" s="71">
        <f t="shared" si="14"/>
        <v>373</v>
      </c>
      <c r="CH4" s="70">
        <f t="shared" si="15"/>
        <v>77</v>
      </c>
      <c r="CI4" s="71">
        <f t="shared" si="16"/>
        <v>81</v>
      </c>
      <c r="CJ4" s="72">
        <f t="shared" si="17"/>
        <v>113</v>
      </c>
      <c r="CK4" s="72">
        <f t="shared" si="18"/>
        <v>117</v>
      </c>
      <c r="CL4" s="72">
        <f t="shared" si="19"/>
        <v>153</v>
      </c>
      <c r="CM4" s="72">
        <f t="shared" si="20"/>
        <v>161</v>
      </c>
      <c r="CN4" s="72">
        <f t="shared" si="21"/>
        <v>184</v>
      </c>
      <c r="CO4" s="72">
        <f t="shared" si="22"/>
        <v>201</v>
      </c>
      <c r="CP4" s="72">
        <f t="shared" si="23"/>
        <v>239</v>
      </c>
      <c r="CQ4" s="72">
        <f t="shared" si="24"/>
        <v>339</v>
      </c>
      <c r="CR4" s="72">
        <f t="shared" si="25"/>
        <v>371</v>
      </c>
      <c r="CS4" s="72">
        <f t="shared" si="26"/>
        <v>384</v>
      </c>
      <c r="CT4" s="23">
        <f t="shared" si="27"/>
        <v>1</v>
      </c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</row>
    <row r="5" spans="1:1029" x14ac:dyDescent="0.2">
      <c r="A5" s="3" t="str">
        <f>CONCATENATE(B5,"_",C5)</f>
        <v>5ht1b_human_5V54</v>
      </c>
      <c r="B5" s="3" t="s">
        <v>34</v>
      </c>
      <c r="C5" s="3" t="s">
        <v>1461</v>
      </c>
      <c r="D5" s="3" t="str">
        <f>IFERROR(MID(VLOOKUP($B5,Seqs!$A:$B,2,0),E5,1),"")</f>
        <v>S</v>
      </c>
      <c r="E5" s="3">
        <v>45</v>
      </c>
      <c r="F5" s="3" t="str">
        <f>IFERROR(MID(VLOOKUP($B5,Seqs!$A:$B,2,0),G5,1),"")</f>
        <v>T</v>
      </c>
      <c r="G5" s="3">
        <v>77</v>
      </c>
      <c r="H5" s="3" t="str">
        <f>IFERROR(MID(VLOOKUP($B5,Seqs!$A:$B,2,0),I5,1),"")</f>
        <v>R</v>
      </c>
      <c r="I5" s="23">
        <v>78</v>
      </c>
      <c r="J5" s="3" t="str">
        <f>IFERROR(MID(VLOOKUP($B5,Seqs!$A:$B,2,0),K5,1),"")</f>
        <v>H</v>
      </c>
      <c r="K5" s="23">
        <v>81</v>
      </c>
      <c r="L5" s="3" t="str">
        <f>IFERROR(MID(VLOOKUP($B5,Seqs!$A:$B,2,0),M5,1),"")</f>
        <v>T</v>
      </c>
      <c r="M5" s="3">
        <v>82</v>
      </c>
      <c r="N5" s="3" t="str">
        <f>IFERROR(MID(VLOOKUP($B5,Seqs!$A:$B,2,0),O5,1),"")</f>
        <v>G</v>
      </c>
      <c r="O5" s="3">
        <v>113</v>
      </c>
      <c r="P5" s="3" t="str">
        <f>IFERROR(MID(VLOOKUP($B5,Seqs!$A:$B,2,0),Q5,1),"")</f>
        <v>R</v>
      </c>
      <c r="Q5" s="3">
        <v>114</v>
      </c>
      <c r="R5" s="3" t="str">
        <f>IFERROR(MID(VLOOKUP($B5,Seqs!$A:$B,2,0),S5,1),"")</f>
        <v>L</v>
      </c>
      <c r="S5" s="3">
        <v>117</v>
      </c>
      <c r="T5" s="3" t="str">
        <f>IFERROR(MID(VLOOKUP($B5,Seqs!$A:$B,2,0),U5,1),"")</f>
        <v>G</v>
      </c>
      <c r="U5" s="3">
        <v>118</v>
      </c>
      <c r="V5" s="3" t="str">
        <f>IFERROR(MID(VLOOKUP($B5,Seqs!$A:$B,2,0),W5,1),"")</f>
        <v>T</v>
      </c>
      <c r="W5" s="3">
        <v>152</v>
      </c>
      <c r="X5" s="3" t="str">
        <f>IFERROR(MID(VLOOKUP($B5,Seqs!$A:$B,2,0),Y5,1),"")</f>
        <v>A</v>
      </c>
      <c r="Y5" s="3">
        <v>154</v>
      </c>
      <c r="Z5" s="3" t="str">
        <f>IFERROR(MID(VLOOKUP($B5,Seqs!$A:$B,2,0),AA5,1),"")</f>
        <v>R</v>
      </c>
      <c r="AA5" s="3">
        <v>161</v>
      </c>
      <c r="AB5" s="3" t="str">
        <f>IFERROR(MID(VLOOKUP($B5,Seqs!$A:$B,2,0),AC5,1),"")</f>
        <v>T</v>
      </c>
      <c r="AC5" s="3">
        <v>162</v>
      </c>
      <c r="AD5" s="3" t="str">
        <f>IFERROR(MID(VLOOKUP($B5,Seqs!$A:$B,2,0),AE5,1),"")</f>
        <v>P</v>
      </c>
      <c r="AE5" s="3">
        <v>184</v>
      </c>
      <c r="AF5" s="3" t="str">
        <f>IFERROR(MID(VLOOKUP($B5,Seqs!$A:$B,2,0),AG5,1),"")</f>
        <v>C</v>
      </c>
      <c r="AG5" s="3">
        <v>199</v>
      </c>
      <c r="AH5" s="3" t="str">
        <f>IFERROR(MID(VLOOKUP($B5,Seqs!$A:$B,2,0),AI5,1),"")</f>
        <v>V</v>
      </c>
      <c r="AI5" s="3">
        <v>201</v>
      </c>
      <c r="AJ5" s="3" t="str">
        <f>IFERROR(MID(VLOOKUP($B5,Seqs!$A:$B,2,0),AK5,1),"")</f>
        <v>H</v>
      </c>
      <c r="AK5" s="3">
        <v>205</v>
      </c>
      <c r="AL5" s="3" t="str">
        <f>IFERROR(MID(VLOOKUP($B5,Seqs!$A:$B,2,0),AM5,1),"")</f>
        <v>I</v>
      </c>
      <c r="AM5" s="3">
        <v>239</v>
      </c>
      <c r="AN5" s="3" t="str">
        <f>IFERROR(MID(VLOOKUP($B5,Seqs!$A:$B,2,0),AO5,1),"")</f>
        <v>R</v>
      </c>
      <c r="AO5" s="3">
        <v>308</v>
      </c>
      <c r="AP5" s="3" t="str">
        <f>IFERROR(MID(VLOOKUP($B5,Seqs!$A:$B,2,0),AQ5,1),"")</f>
        <v>M</v>
      </c>
      <c r="AQ5" s="3">
        <v>337</v>
      </c>
      <c r="AR5" s="3" t="str">
        <f>IFERROR(MID(VLOOKUP($B5,Seqs!$A:$B,2,0),AS5,1),"")</f>
        <v>F</v>
      </c>
      <c r="AS5" s="3">
        <v>346</v>
      </c>
      <c r="AT5" s="3" t="str">
        <f>IFERROR(MID(VLOOKUP($B5,Seqs!$A:$B,2,0),AU5,1),"")</f>
        <v>S</v>
      </c>
      <c r="AU5" s="3">
        <v>372</v>
      </c>
      <c r="AV5" s="3" t="str">
        <f>IFERROR(MID(VLOOKUP($B5,Seqs!$A:$B,2,0),AW5,1),"")</f>
        <v>N</v>
      </c>
      <c r="AW5" s="3">
        <v>373</v>
      </c>
      <c r="AX5" s="3" t="str">
        <f>IFERROR(MID(VLOOKUP($B5,Seqs!$A:$B,2,0),AY5,1),"")</f>
        <v>I</v>
      </c>
      <c r="AY5" s="3">
        <v>384</v>
      </c>
      <c r="AZ5" s="77" t="str">
        <f>VLOOKUP(B5,Classification!A:D,2,0)</f>
        <v>A</v>
      </c>
      <c r="BA5" s="94" t="str">
        <f>VLOOKUP(B5,Classification!A:D,4,0)</f>
        <v>5-Hydroxytryptamine</v>
      </c>
      <c r="BB5" s="27" t="b">
        <f>AND(E5&lt;G5,OR(G5&lt;I5,I5="-"),OR(I5&lt;K5,I5="-"),OR(K5&lt;M5,K5="-"),M5&lt;O5,OR(O5&lt;Q5,Q5="-"),OR(Q5&lt;S5,Q5="-"),OR(S5&lt;U5,S5="-"),U5&lt;W5,OR(W5&lt;Y5,Y5="-"),OR(Y5&lt;AA5,Y5="-"),OR(AA5&lt;AC5,AA5="-"),AC5&lt;AE5,OR(AE5&lt;AG5,AG5="-"),OR(AG5&lt;AI5,AG5="-"),OR(AI5&lt;AK5,AI5="-"),AK5&lt;AM5,AM5&lt;AO5,AO5&lt;AQ5,AQ5&lt;AS5,AS5&lt;AU5,OR(AU5&lt;AW5,AW5="-"),OR(AW5&lt;AY5,AW5="-"))</f>
        <v>1</v>
      </c>
      <c r="BC5" s="23">
        <f>_xlfn.AGGREGATE(9,6,CH5:CS5)-_xlfn.AGGREGATE(9,6,BV5:CG5)+12</f>
        <v>246</v>
      </c>
      <c r="BD5" s="4" t="s">
        <v>23</v>
      </c>
      <c r="BE5" s="3" t="s">
        <v>1422</v>
      </c>
      <c r="BF5" s="118">
        <v>3.7</v>
      </c>
      <c r="BG5" s="49" t="s">
        <v>1371</v>
      </c>
      <c r="BH5" s="49" t="s">
        <v>1371</v>
      </c>
      <c r="BI5" s="1"/>
      <c r="BJ5" s="70" t="s">
        <v>1281</v>
      </c>
      <c r="BK5" s="57" t="s">
        <v>1281</v>
      </c>
      <c r="BL5" s="57" t="s">
        <v>1281</v>
      </c>
      <c r="BM5" s="57" t="s">
        <v>1281</v>
      </c>
      <c r="BN5" s="57" t="s">
        <v>1281</v>
      </c>
      <c r="BO5" s="57" t="s">
        <v>1281</v>
      </c>
      <c r="BP5" s="57" t="s">
        <v>1281</v>
      </c>
      <c r="BQ5" s="57" t="s">
        <v>1281</v>
      </c>
      <c r="BR5" s="57" t="s">
        <v>1281</v>
      </c>
      <c r="BS5" s="57" t="s">
        <v>1281</v>
      </c>
      <c r="BT5" s="57" t="s">
        <v>1281</v>
      </c>
      <c r="BU5" s="57" t="s">
        <v>1281</v>
      </c>
      <c r="BV5" s="70">
        <f>E5</f>
        <v>45</v>
      </c>
      <c r="BW5" s="71">
        <f>I5</f>
        <v>78</v>
      </c>
      <c r="BX5" s="72">
        <f>M5</f>
        <v>82</v>
      </c>
      <c r="BY5" s="71">
        <f>Q5</f>
        <v>114</v>
      </c>
      <c r="BZ5" s="72">
        <f>U5</f>
        <v>118</v>
      </c>
      <c r="CA5" s="71">
        <f>Y5</f>
        <v>154</v>
      </c>
      <c r="CB5" s="72">
        <f>AC5</f>
        <v>162</v>
      </c>
      <c r="CC5" s="71">
        <f>AG5</f>
        <v>199</v>
      </c>
      <c r="CD5" s="72">
        <f>AK5</f>
        <v>205</v>
      </c>
      <c r="CE5" s="71">
        <f>AO5</f>
        <v>308</v>
      </c>
      <c r="CF5" s="72">
        <f>AS5</f>
        <v>346</v>
      </c>
      <c r="CG5" s="71">
        <f>AW5</f>
        <v>373</v>
      </c>
      <c r="CH5" s="70">
        <f>G5</f>
        <v>77</v>
      </c>
      <c r="CI5" s="71">
        <f>K5</f>
        <v>81</v>
      </c>
      <c r="CJ5" s="72">
        <f>O5</f>
        <v>113</v>
      </c>
      <c r="CK5" s="72">
        <f>S5</f>
        <v>117</v>
      </c>
      <c r="CL5" s="72">
        <f>W5</f>
        <v>152</v>
      </c>
      <c r="CM5" s="72">
        <f>AA5</f>
        <v>161</v>
      </c>
      <c r="CN5" s="72">
        <f>AE5</f>
        <v>184</v>
      </c>
      <c r="CO5" s="72">
        <f>AI5</f>
        <v>201</v>
      </c>
      <c r="CP5" s="72">
        <f>AM5</f>
        <v>239</v>
      </c>
      <c r="CQ5" s="72">
        <f>AQ5</f>
        <v>337</v>
      </c>
      <c r="CR5" s="72">
        <f>AU5</f>
        <v>372</v>
      </c>
      <c r="CS5" s="72">
        <f>AY5</f>
        <v>384</v>
      </c>
      <c r="CT5" s="23">
        <f>M5-K5</f>
        <v>1</v>
      </c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</row>
    <row r="6" spans="1:1029" x14ac:dyDescent="0.2">
      <c r="A6" s="3" t="str">
        <f>CONCATENATE(B6,"_",C6)</f>
        <v>5ht1b_human_6G79</v>
      </c>
      <c r="B6" s="3" t="s">
        <v>34</v>
      </c>
      <c r="C6" s="3" t="s">
        <v>1498</v>
      </c>
      <c r="D6" s="3" t="str">
        <f>IFERROR(MID(VLOOKUP($B6,Seqs!$A:$B,2,0),E6,1),"")</f>
        <v>S</v>
      </c>
      <c r="E6" s="3">
        <v>45</v>
      </c>
      <c r="F6" s="3" t="str">
        <f>IFERROR(MID(VLOOKUP($B6,Seqs!$A:$B,2,0),G6,1),"")</f>
        <v>T</v>
      </c>
      <c r="G6" s="3">
        <v>77</v>
      </c>
      <c r="H6" s="3" t="str">
        <f>IFERROR(MID(VLOOKUP($B6,Seqs!$A:$B,2,0),I6,1),"")</f>
        <v>R</v>
      </c>
      <c r="I6" s="23">
        <v>78</v>
      </c>
      <c r="J6" s="3" t="str">
        <f>IFERROR(MID(VLOOKUP($B6,Seqs!$A:$B,2,0),K6,1),"")</f>
        <v>H</v>
      </c>
      <c r="K6" s="23">
        <v>81</v>
      </c>
      <c r="L6" s="3" t="str">
        <f>IFERROR(MID(VLOOKUP($B6,Seqs!$A:$B,2,0),M6,1),"")</f>
        <v>T</v>
      </c>
      <c r="M6" s="3">
        <v>82</v>
      </c>
      <c r="N6" s="3" t="str">
        <f>IFERROR(MID(VLOOKUP($B6,Seqs!$A:$B,2,0),O6,1),"")</f>
        <v>G</v>
      </c>
      <c r="O6" s="3">
        <v>113</v>
      </c>
      <c r="P6" s="3" t="str">
        <f>IFERROR(MID(VLOOKUP($B6,Seqs!$A:$B,2,0),Q6,1),"")</f>
        <v>R</v>
      </c>
      <c r="Q6" s="3">
        <v>114</v>
      </c>
      <c r="R6" s="3" t="str">
        <f>IFERROR(MID(VLOOKUP($B6,Seqs!$A:$B,2,0),S6,1),"")</f>
        <v>L</v>
      </c>
      <c r="S6" s="3">
        <v>117</v>
      </c>
      <c r="T6" s="3" t="str">
        <f>IFERROR(MID(VLOOKUP($B6,Seqs!$A:$B,2,0),U6,1),"")</f>
        <v>G</v>
      </c>
      <c r="U6" s="3">
        <v>118</v>
      </c>
      <c r="V6" s="3" t="str">
        <f>IFERROR(MID(VLOOKUP($B6,Seqs!$A:$B,2,0),W6,1),"")</f>
        <v>D</v>
      </c>
      <c r="W6" s="3">
        <v>153</v>
      </c>
      <c r="X6" s="3" t="str">
        <f>IFERROR(MID(VLOOKUP($B6,Seqs!$A:$B,2,0),Y6,1),"")</f>
        <v>A</v>
      </c>
      <c r="Y6" s="3">
        <v>154</v>
      </c>
      <c r="Z6" s="3" t="str">
        <f>IFERROR(MID(VLOOKUP($B6,Seqs!$A:$B,2,0),AA6,1),"")</f>
        <v>R</v>
      </c>
      <c r="AA6" s="3">
        <v>161</v>
      </c>
      <c r="AB6" s="3" t="str">
        <f>IFERROR(MID(VLOOKUP($B6,Seqs!$A:$B,2,0),AC6,1),"")</f>
        <v>T</v>
      </c>
      <c r="AC6" s="3">
        <v>162</v>
      </c>
      <c r="AD6" s="3" t="str">
        <f>IFERROR(MID(VLOOKUP($B6,Seqs!$A:$B,2,0),AE6,1),"")</f>
        <v>P</v>
      </c>
      <c r="AE6" s="3">
        <v>183</v>
      </c>
      <c r="AF6" s="3" t="str">
        <f>IFERROR(MID(VLOOKUP($B6,Seqs!$A:$B,2,0),AG6,1),"")</f>
        <v>C</v>
      </c>
      <c r="AG6" s="3">
        <v>199</v>
      </c>
      <c r="AH6" s="3" t="str">
        <f>IFERROR(MID(VLOOKUP($B6,Seqs!$A:$B,2,0),AI6,1),"")</f>
        <v>V</v>
      </c>
      <c r="AI6" s="3">
        <v>201</v>
      </c>
      <c r="AJ6" s="3" t="str">
        <f>IFERROR(MID(VLOOKUP($B6,Seqs!$A:$B,2,0),AK6,1),"")</f>
        <v>H</v>
      </c>
      <c r="AK6" s="3">
        <v>205</v>
      </c>
      <c r="AL6" s="3" t="str">
        <f>IFERROR(MID(VLOOKUP($B6,Seqs!$A:$B,2,0),AM6,1),"")</f>
        <v>L</v>
      </c>
      <c r="AM6" s="3">
        <v>240</v>
      </c>
      <c r="AN6" s="3" t="str">
        <f>IFERROR(MID(VLOOKUP($B6,Seqs!$A:$B,2,0),AO6,1),"")</f>
        <v>M</v>
      </c>
      <c r="AO6" s="3">
        <v>305</v>
      </c>
      <c r="AP6" s="3" t="str">
        <f>IFERROR(MID(VLOOKUP($B6,Seqs!$A:$B,2,0),AQ6,1),"")</f>
        <v>M</v>
      </c>
      <c r="AQ6" s="3">
        <v>337</v>
      </c>
      <c r="AR6" s="3" t="str">
        <f>IFERROR(MID(VLOOKUP($B6,Seqs!$A:$B,2,0),AS6,1),"")</f>
        <v>L</v>
      </c>
      <c r="AS6" s="3">
        <v>348</v>
      </c>
      <c r="AT6" s="3" t="str">
        <f>IFERROR(MID(VLOOKUP($B6,Seqs!$A:$B,2,0),AU6,1),"")</f>
        <v>S</v>
      </c>
      <c r="AU6" s="3">
        <v>372</v>
      </c>
      <c r="AV6" s="3" t="str">
        <f>IFERROR(MID(VLOOKUP($B6,Seqs!$A:$B,2,0),AW6,1),"")</f>
        <v>N</v>
      </c>
      <c r="AW6" s="3">
        <v>373</v>
      </c>
      <c r="AX6" s="3" t="str">
        <f>IFERROR(MID(VLOOKUP($B6,Seqs!$A:$B,2,0),AY6,1),"")</f>
        <v>I</v>
      </c>
      <c r="AY6" s="3">
        <v>384</v>
      </c>
      <c r="AZ6" s="77" t="str">
        <f>VLOOKUP(B6,Classification!A:D,2,0)</f>
        <v>A</v>
      </c>
      <c r="BA6" s="94" t="str">
        <f>VLOOKUP(B6,Classification!A:D,4,0)</f>
        <v>5-Hydroxytryptamine</v>
      </c>
      <c r="BB6" s="27" t="b">
        <f>AND(E6&lt;G6,OR(G6&lt;I6,I6="-"),OR(I6&lt;K6,I6="-"),OR(K6&lt;M6,K6="-"),M6&lt;O6,OR(O6&lt;Q6,Q6="-"),OR(Q6&lt;S6,Q6="-"),OR(S6&lt;U6,S6="-"),U6&lt;W6,OR(W6&lt;Y6,Y6="-"),OR(Y6&lt;AA6,Y6="-"),OR(AA6&lt;AC6,AA6="-"),AC6&lt;AE6,OR(AE6&lt;AG6,AG6="-"),OR(AG6&lt;AI6,AG6="-"),OR(AI6&lt;AK6,AI6="-"),AK6&lt;AM6,AM6&lt;AO6,AO6&lt;AQ6,AQ6&lt;AS6,AS6&lt;AU6,OR(AU6&lt;AW6,AW6="-"),OR(AW6&lt;AY6,AW6="-"))</f>
        <v>1</v>
      </c>
      <c r="BC6" s="23">
        <f>_xlfn.AGGREGATE(9,6,CH6:CS6)-_xlfn.AGGREGATE(9,6,BV6:CG6)+12</f>
        <v>248</v>
      </c>
      <c r="BD6" s="4" t="s">
        <v>1369</v>
      </c>
      <c r="BE6" s="3" t="s">
        <v>1285</v>
      </c>
      <c r="BF6" s="118">
        <v>3.78</v>
      </c>
      <c r="BG6" s="49" t="s">
        <v>1012</v>
      </c>
      <c r="BH6" s="49" t="s">
        <v>1012</v>
      </c>
      <c r="BI6" s="1"/>
      <c r="BJ6" s="70" t="s">
        <v>1281</v>
      </c>
      <c r="BK6" s="57" t="s">
        <v>1281</v>
      </c>
      <c r="BL6" s="57" t="s">
        <v>1281</v>
      </c>
      <c r="BM6" s="57" t="s">
        <v>1281</v>
      </c>
      <c r="BN6" s="57" t="s">
        <v>1281</v>
      </c>
      <c r="BO6" s="57" t="s">
        <v>1281</v>
      </c>
      <c r="BP6" s="57" t="s">
        <v>1281</v>
      </c>
      <c r="BQ6" s="57" t="s">
        <v>1281</v>
      </c>
      <c r="BR6" s="57" t="s">
        <v>1281</v>
      </c>
      <c r="BS6" s="57" t="s">
        <v>1281</v>
      </c>
      <c r="BT6" s="57" t="s">
        <v>1281</v>
      </c>
      <c r="BU6" s="57" t="s">
        <v>1281</v>
      </c>
      <c r="BV6" s="70">
        <f>E6</f>
        <v>45</v>
      </c>
      <c r="BW6" s="71">
        <f>I6</f>
        <v>78</v>
      </c>
      <c r="BX6" s="72">
        <f>M6</f>
        <v>82</v>
      </c>
      <c r="BY6" s="71">
        <f>Q6</f>
        <v>114</v>
      </c>
      <c r="BZ6" s="72">
        <f>U6</f>
        <v>118</v>
      </c>
      <c r="CA6" s="71">
        <f>Y6</f>
        <v>154</v>
      </c>
      <c r="CB6" s="72">
        <f>AC6</f>
        <v>162</v>
      </c>
      <c r="CC6" s="71">
        <f>AG6</f>
        <v>199</v>
      </c>
      <c r="CD6" s="72">
        <f>AK6</f>
        <v>205</v>
      </c>
      <c r="CE6" s="71">
        <f>AO6</f>
        <v>305</v>
      </c>
      <c r="CF6" s="72">
        <f>AS6</f>
        <v>348</v>
      </c>
      <c r="CG6" s="71">
        <f>AW6</f>
        <v>373</v>
      </c>
      <c r="CH6" s="70">
        <f>G6</f>
        <v>77</v>
      </c>
      <c r="CI6" s="71">
        <f>K6</f>
        <v>81</v>
      </c>
      <c r="CJ6" s="72">
        <f>O6</f>
        <v>113</v>
      </c>
      <c r="CK6" s="72">
        <f>S6</f>
        <v>117</v>
      </c>
      <c r="CL6" s="72">
        <f>W6</f>
        <v>153</v>
      </c>
      <c r="CM6" s="72">
        <f>AA6</f>
        <v>161</v>
      </c>
      <c r="CN6" s="72">
        <f>AE6</f>
        <v>183</v>
      </c>
      <c r="CO6" s="72">
        <f>AI6</f>
        <v>201</v>
      </c>
      <c r="CP6" s="72">
        <f>AM6</f>
        <v>240</v>
      </c>
      <c r="CQ6" s="72">
        <f>AQ6</f>
        <v>337</v>
      </c>
      <c r="CR6" s="72">
        <f>AU6</f>
        <v>372</v>
      </c>
      <c r="CS6" s="72">
        <f>AY6</f>
        <v>384</v>
      </c>
      <c r="CT6" s="23">
        <f>M6-K6</f>
        <v>1</v>
      </c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</row>
    <row r="7" spans="1:1029" s="12" customFormat="1" x14ac:dyDescent="0.2">
      <c r="A7" s="9" t="str">
        <f t="shared" ref="A7:A9" si="28">CONCATENATE(B7,"_",C7)</f>
        <v>5ht2a_human__wt</v>
      </c>
      <c r="B7" s="9" t="s">
        <v>132</v>
      </c>
      <c r="C7" s="9" t="s">
        <v>100</v>
      </c>
      <c r="D7" s="9" t="str">
        <f>IFERROR(MID(VLOOKUP($B7,Seqs!$A:$B,2,0),E7,1),"")</f>
        <v>L</v>
      </c>
      <c r="E7" s="9">
        <v>69</v>
      </c>
      <c r="F7" s="9" t="str">
        <f>IFERROR(MID(VLOOKUP($B7,Seqs!$A:$B,2,0),G7,1),"")</f>
        <v>E</v>
      </c>
      <c r="G7" s="9">
        <v>102</v>
      </c>
      <c r="H7" s="9" t="str">
        <f>IFERROR(MID(VLOOKUP($B7,Seqs!$A:$B,2,0),I7,1),"")</f>
        <v>K</v>
      </c>
      <c r="I7" s="109">
        <v>103</v>
      </c>
      <c r="J7" s="9" t="str">
        <f>IFERROR(MID(VLOOKUP($B7,Seqs!$A:$B,2,0),K7,1),"")</f>
        <v>Q</v>
      </c>
      <c r="K7" s="109">
        <v>106</v>
      </c>
      <c r="L7" s="9" t="str">
        <f>IFERROR(MID(VLOOKUP($B7,Seqs!$A:$B,2,0),M7,1),"")</f>
        <v>N</v>
      </c>
      <c r="M7" s="9">
        <v>107</v>
      </c>
      <c r="N7" s="9" t="str">
        <f>IFERROR(MID(VLOOKUP($B7,Seqs!$A:$B,2,0),O7,1),"")</f>
        <v>G</v>
      </c>
      <c r="O7" s="9">
        <v>138</v>
      </c>
      <c r="P7" s="9" t="str">
        <f>IFERROR(MID(VLOOKUP($B7,Seqs!$A:$B,2,0),Q7,1),"")</f>
        <v>R</v>
      </c>
      <c r="Q7" s="9">
        <v>140</v>
      </c>
      <c r="R7" s="9" t="str">
        <f>IFERROR(MID(VLOOKUP($B7,Seqs!$A:$B,2,0),S7,1),"")</f>
        <v>L</v>
      </c>
      <c r="S7" s="9">
        <v>143</v>
      </c>
      <c r="T7" s="9" t="str">
        <f>IFERROR(MID(VLOOKUP($B7,Seqs!$A:$B,2,0),U7,1),"")</f>
        <v>P</v>
      </c>
      <c r="U7" s="9">
        <v>144</v>
      </c>
      <c r="V7" s="9" t="str">
        <f>IFERROR(MID(VLOOKUP($B7,Seqs!$A:$B,2,0),W7,1),"")</f>
        <v>N</v>
      </c>
      <c r="W7" s="9">
        <v>179</v>
      </c>
      <c r="X7" s="9" t="str">
        <f>IFERROR(MID(VLOOKUP($B7,Seqs!$A:$B,2,0),Y7,1),"")</f>
        <v>P</v>
      </c>
      <c r="Y7" s="9">
        <v>180</v>
      </c>
      <c r="Z7" s="9" t="str">
        <f>IFERROR(MID(VLOOKUP($B7,Seqs!$A:$B,2,0),AA7,1),"")</f>
        <v>N</v>
      </c>
      <c r="AA7" s="9">
        <v>187</v>
      </c>
      <c r="AB7" s="9" t="str">
        <f>IFERROR(MID(VLOOKUP($B7,Seqs!$A:$B,2,0),AC7,1),"")</f>
        <v>S</v>
      </c>
      <c r="AC7" s="9">
        <v>188</v>
      </c>
      <c r="AD7" s="9" t="str">
        <f>IFERROR(MID(VLOOKUP($B7,Seqs!$A:$B,2,0),AE7,1),"")</f>
        <v>D</v>
      </c>
      <c r="AE7" s="9">
        <v>217</v>
      </c>
      <c r="AF7" s="9" t="str">
        <f>IFERROR(MID(VLOOKUP($B7,Seqs!$A:$B,2,0),AG7,1),"")</f>
        <v>C</v>
      </c>
      <c r="AG7" s="9">
        <v>227</v>
      </c>
      <c r="AH7" s="9" t="str">
        <f>IFERROR(MID(VLOOKUP($B7,Seqs!$A:$B,2,0),AI7,1),"")</f>
        <v>L</v>
      </c>
      <c r="AI7" s="9">
        <v>229</v>
      </c>
      <c r="AJ7" s="9" t="str">
        <f>IFERROR(MID(VLOOKUP($B7,Seqs!$A:$B,2,0),AK7,1),"")</f>
        <v>D</v>
      </c>
      <c r="AK7" s="9">
        <v>231</v>
      </c>
      <c r="AL7" s="9" t="str">
        <f>IFERROR(MID(VLOOKUP($B7,Seqs!$A:$B,2,0),AM7,1),"")</f>
        <v>L</v>
      </c>
      <c r="AM7" s="9">
        <v>272</v>
      </c>
      <c r="AN7" s="9" t="str">
        <f>IFERROR(MID(VLOOKUP($B7,Seqs!$A:$B,2,0),AO7,1),"")</f>
        <v>M</v>
      </c>
      <c r="AO7" s="9">
        <v>312</v>
      </c>
      <c r="AP7" s="9" t="str">
        <f>IFERROR(MID(VLOOKUP($B7,Seqs!$A:$B,2,0),AQ7,1),"")</f>
        <v>C</v>
      </c>
      <c r="AQ7" s="9">
        <v>349</v>
      </c>
      <c r="AR7" s="9" t="str">
        <f>IFERROR(MID(VLOOKUP($B7,Seqs!$A:$B,2,0),AS7,1),"")</f>
        <v>N</v>
      </c>
      <c r="AS7" s="9">
        <v>354</v>
      </c>
      <c r="AT7" s="9" t="str">
        <f>IFERROR(MID(VLOOKUP($B7,Seqs!$A:$B,2,0),AU7,1),"")</f>
        <v>F</v>
      </c>
      <c r="AU7" s="9">
        <v>383</v>
      </c>
      <c r="AV7" s="9" t="str">
        <f>IFERROR(MID(VLOOKUP($B7,Seqs!$A:$B,2,0),AW7,1),"")</f>
        <v>N</v>
      </c>
      <c r="AW7" s="9">
        <v>384</v>
      </c>
      <c r="AX7" s="9" t="str">
        <f>IFERROR(MID(VLOOKUP($B7,Seqs!$A:$B,2,0),AY7,1),"")</f>
        <v>C</v>
      </c>
      <c r="AY7" s="9">
        <v>397</v>
      </c>
      <c r="AZ7" s="110" t="str">
        <f>VLOOKUP(B7,Classification!A:D,2,0)</f>
        <v>A</v>
      </c>
      <c r="BA7" s="98" t="str">
        <f>VLOOKUP(B7,Classification!A:D,4,0)</f>
        <v>5-Hydroxytryptamine</v>
      </c>
      <c r="BB7" s="36" t="b">
        <f t="shared" ref="BB7:BB9" si="29">AND(E7&lt;G7,OR(G7&lt;I7,I7="-"),OR(I7&lt;K7,I7="-"),OR(K7&lt;M7,K7="-"),M7&lt;O7,OR(O7&lt;Q7,Q7="-"),OR(Q7&lt;S7,Q7="-"),OR(S7&lt;U7,S7="-"),U7&lt;W7,OR(W7&lt;Y7,Y7="-"),OR(Y7&lt;AA7,Y7="-"),OR(AA7&lt;AC7,AA7="-"),AC7&lt;AE7,OR(AE7&lt;AG7,AG7="-"),OR(AG7&lt;AI7,AG7="-"),OR(AI7&lt;AK7,AI7="-"),AK7&lt;AM7,AM7&lt;AO7,AO7&lt;AQ7,AQ7&lt;AS7,AS7&lt;AU7,OR(AU7&lt;AW7,AW7="-"),OR(AW7&lt;AY7,AW7="-"))</f>
        <v>1</v>
      </c>
      <c r="BC7" s="109">
        <f t="shared" ref="BC7:BC9" si="30">_xlfn.AGGREGATE(9,6,CH7:CS7)-_xlfn.AGGREGATE(9,6,BV7:CG7)+12</f>
        <v>275</v>
      </c>
      <c r="BD7" s="11" t="s">
        <v>23</v>
      </c>
      <c r="BE7" s="9" t="s">
        <v>23</v>
      </c>
      <c r="BF7" s="119" t="s">
        <v>23</v>
      </c>
      <c r="BG7" s="51" t="s">
        <v>23</v>
      </c>
      <c r="BH7" s="51" t="s">
        <v>23</v>
      </c>
      <c r="BJ7" s="111" t="s">
        <v>1281</v>
      </c>
      <c r="BK7" s="112" t="s">
        <v>1281</v>
      </c>
      <c r="BL7" s="112" t="s">
        <v>1281</v>
      </c>
      <c r="BM7" s="112" t="s">
        <v>1281</v>
      </c>
      <c r="BN7" s="112" t="s">
        <v>1281</v>
      </c>
      <c r="BO7" s="112" t="s">
        <v>1281</v>
      </c>
      <c r="BP7" s="112" t="s">
        <v>1281</v>
      </c>
      <c r="BQ7" s="112" t="s">
        <v>1281</v>
      </c>
      <c r="BR7" s="112" t="s">
        <v>1281</v>
      </c>
      <c r="BS7" s="112" t="s">
        <v>1281</v>
      </c>
      <c r="BT7" s="112" t="s">
        <v>1281</v>
      </c>
      <c r="BU7" s="112" t="s">
        <v>1281</v>
      </c>
      <c r="BV7" s="111">
        <f t="shared" ref="BV7:BV9" si="31">E7</f>
        <v>69</v>
      </c>
      <c r="BW7" s="113">
        <f t="shared" ref="BW7:BW9" si="32">I7</f>
        <v>103</v>
      </c>
      <c r="BX7" s="114">
        <f t="shared" ref="BX7:BX9" si="33">M7</f>
        <v>107</v>
      </c>
      <c r="BY7" s="113">
        <f t="shared" ref="BY7:BY9" si="34">Q7</f>
        <v>140</v>
      </c>
      <c r="BZ7" s="114">
        <f t="shared" ref="BZ7:BZ9" si="35">U7</f>
        <v>144</v>
      </c>
      <c r="CA7" s="113">
        <f t="shared" ref="CA7:CA9" si="36">Y7</f>
        <v>180</v>
      </c>
      <c r="CB7" s="114">
        <f t="shared" ref="CB7:CB9" si="37">AC7</f>
        <v>188</v>
      </c>
      <c r="CC7" s="113">
        <f t="shared" ref="CC7:CC9" si="38">AG7</f>
        <v>227</v>
      </c>
      <c r="CD7" s="114">
        <f t="shared" ref="CD7:CD9" si="39">AK7</f>
        <v>231</v>
      </c>
      <c r="CE7" s="113">
        <f t="shared" ref="CE7:CE9" si="40">AO7</f>
        <v>312</v>
      </c>
      <c r="CF7" s="114">
        <f t="shared" ref="CF7:CF9" si="41">AS7</f>
        <v>354</v>
      </c>
      <c r="CG7" s="113">
        <f t="shared" ref="CG7:CG9" si="42">AW7</f>
        <v>384</v>
      </c>
      <c r="CH7" s="111">
        <f t="shared" ref="CH7:CH9" si="43">G7</f>
        <v>102</v>
      </c>
      <c r="CI7" s="113">
        <f t="shared" ref="CI7:CI9" si="44">K7</f>
        <v>106</v>
      </c>
      <c r="CJ7" s="114">
        <f t="shared" ref="CJ7:CJ9" si="45">O7</f>
        <v>138</v>
      </c>
      <c r="CK7" s="114">
        <f t="shared" ref="CK7:CK9" si="46">S7</f>
        <v>143</v>
      </c>
      <c r="CL7" s="114">
        <f t="shared" ref="CL7:CL9" si="47">W7</f>
        <v>179</v>
      </c>
      <c r="CM7" s="114">
        <f t="shared" ref="CM7:CM9" si="48">AA7</f>
        <v>187</v>
      </c>
      <c r="CN7" s="114">
        <f t="shared" ref="CN7:CN9" si="49">AE7</f>
        <v>217</v>
      </c>
      <c r="CO7" s="114">
        <f t="shared" ref="CO7:CO9" si="50">AI7</f>
        <v>229</v>
      </c>
      <c r="CP7" s="114">
        <f t="shared" ref="CP7:CP9" si="51">AM7</f>
        <v>272</v>
      </c>
      <c r="CQ7" s="114">
        <f t="shared" ref="CQ7:CQ9" si="52">AQ7</f>
        <v>349</v>
      </c>
      <c r="CR7" s="114">
        <f t="shared" ref="CR7:CR9" si="53">AU7</f>
        <v>383</v>
      </c>
      <c r="CS7" s="114">
        <f t="shared" ref="CS7:CS9" si="54">AY7</f>
        <v>397</v>
      </c>
      <c r="CT7" s="109">
        <f t="shared" ref="CT7:CT9" si="55">M7-K7</f>
        <v>1</v>
      </c>
    </row>
    <row r="8" spans="1:1029" s="12" customFormat="1" x14ac:dyDescent="0.2">
      <c r="A8" s="9" t="str">
        <f t="shared" ref="A8" si="56">CONCATENATE(B8,"_",C8)</f>
        <v>5ht2a_human_6A93</v>
      </c>
      <c r="B8" s="9" t="s">
        <v>132</v>
      </c>
      <c r="C8" s="9" t="s">
        <v>1553</v>
      </c>
      <c r="D8" s="9" t="str">
        <f>IFERROR(MID(VLOOKUP($B8,Seqs!$A:$B,2,0),E8,1),"")</f>
        <v>L</v>
      </c>
      <c r="E8" s="9">
        <v>69</v>
      </c>
      <c r="F8" s="9" t="str">
        <f>IFERROR(MID(VLOOKUP($B8,Seqs!$A:$B,2,0),G8,1),"")</f>
        <v>E</v>
      </c>
      <c r="G8" s="9">
        <v>102</v>
      </c>
      <c r="H8" s="9" t="str">
        <f>IFERROR(MID(VLOOKUP($B8,Seqs!$A:$B,2,0),I8,1),"")</f>
        <v>K</v>
      </c>
      <c r="I8" s="109">
        <v>103</v>
      </c>
      <c r="J8" s="9" t="str">
        <f>IFERROR(MID(VLOOKUP($B8,Seqs!$A:$B,2,0),K8,1),"")</f>
        <v>Q</v>
      </c>
      <c r="K8" s="109">
        <v>106</v>
      </c>
      <c r="L8" s="9" t="str">
        <f>IFERROR(MID(VLOOKUP($B8,Seqs!$A:$B,2,0),M8,1),"")</f>
        <v>N</v>
      </c>
      <c r="M8" s="9">
        <v>107</v>
      </c>
      <c r="N8" s="9" t="str">
        <f>IFERROR(MID(VLOOKUP($B8,Seqs!$A:$B,2,0),O8,1),"")</f>
        <v>G</v>
      </c>
      <c r="O8" s="9">
        <v>138</v>
      </c>
      <c r="P8" s="9" t="str">
        <f>IFERROR(MID(VLOOKUP($B8,Seqs!$A:$B,2,0),Q8,1),"")</f>
        <v>R</v>
      </c>
      <c r="Q8" s="9">
        <v>140</v>
      </c>
      <c r="R8" s="9" t="str">
        <f>IFERROR(MID(VLOOKUP($B8,Seqs!$A:$B,2,0),S8,1),"")</f>
        <v>L</v>
      </c>
      <c r="S8" s="9">
        <v>143</v>
      </c>
      <c r="T8" s="9" t="str">
        <f>IFERROR(MID(VLOOKUP($B8,Seqs!$A:$B,2,0),U8,1),"")</f>
        <v>P</v>
      </c>
      <c r="U8" s="9">
        <v>144</v>
      </c>
      <c r="V8" s="9" t="str">
        <f>IFERROR(MID(VLOOKUP($B8,Seqs!$A:$B,2,0),W8,1),"")</f>
        <v>N</v>
      </c>
      <c r="W8" s="9">
        <v>179</v>
      </c>
      <c r="X8" s="9" t="str">
        <f>IFERROR(MID(VLOOKUP($B8,Seqs!$A:$B,2,0),Y8,1),"")</f>
        <v/>
      </c>
      <c r="Y8" s="9" t="s">
        <v>23</v>
      </c>
      <c r="Z8" s="9" t="str">
        <f>IFERROR(MID(VLOOKUP($B8,Seqs!$A:$B,2,0),AA8,1),"")</f>
        <v/>
      </c>
      <c r="AA8" s="9" t="s">
        <v>23</v>
      </c>
      <c r="AB8" s="9" t="str">
        <f>IFERROR(MID(VLOOKUP($B8,Seqs!$A:$B,2,0),AC8,1),"")</f>
        <v>R</v>
      </c>
      <c r="AC8" s="9">
        <v>189</v>
      </c>
      <c r="AD8" s="9" t="str">
        <f>IFERROR(MID(VLOOKUP($B8,Seqs!$A:$B,2,0),AE8,1),"")</f>
        <v>D</v>
      </c>
      <c r="AE8" s="9">
        <v>217</v>
      </c>
      <c r="AF8" s="9" t="str">
        <f>IFERROR(MID(VLOOKUP($B8,Seqs!$A:$B,2,0),AG8,1),"")</f>
        <v>C</v>
      </c>
      <c r="AG8" s="9">
        <v>227</v>
      </c>
      <c r="AH8" s="9" t="str">
        <f>IFERROR(MID(VLOOKUP($B8,Seqs!$A:$B,2,0),AI8,1),"")</f>
        <v>L</v>
      </c>
      <c r="AI8" s="9">
        <v>229</v>
      </c>
      <c r="AJ8" s="9" t="str">
        <f>IFERROR(MID(VLOOKUP($B8,Seqs!$A:$B,2,0),AK8,1),"")</f>
        <v>D</v>
      </c>
      <c r="AK8" s="9">
        <v>231</v>
      </c>
      <c r="AL8" s="9" t="str">
        <f>IFERROR(MID(VLOOKUP($B8,Seqs!$A:$B,2,0),AM8,1),"")</f>
        <v>A</v>
      </c>
      <c r="AM8" s="9">
        <v>265</v>
      </c>
      <c r="AN8" s="9" t="str">
        <f>IFERROR(MID(VLOOKUP($B8,Seqs!$A:$B,2,0),AO8,1),"")</f>
        <v>Q</v>
      </c>
      <c r="AO8" s="9">
        <v>313</v>
      </c>
      <c r="AP8" s="9" t="str">
        <f>IFERROR(MID(VLOOKUP($B8,Seqs!$A:$B,2,0),AQ8,1),"")</f>
        <v>C</v>
      </c>
      <c r="AQ8" s="9">
        <v>349</v>
      </c>
      <c r="AR8" s="9" t="str">
        <f>IFERROR(MID(VLOOKUP($B8,Seqs!$A:$B,2,0),AS8,1),"")</f>
        <v>N</v>
      </c>
      <c r="AS8" s="9">
        <v>354</v>
      </c>
      <c r="AT8" s="9" t="str">
        <f>IFERROR(MID(VLOOKUP($B8,Seqs!$A:$B,2,0),AU8,1),"")</f>
        <v>F</v>
      </c>
      <c r="AU8" s="9">
        <v>383</v>
      </c>
      <c r="AV8" s="9" t="str">
        <f>IFERROR(MID(VLOOKUP($B8,Seqs!$A:$B,2,0),AW8,1),"")</f>
        <v>N</v>
      </c>
      <c r="AW8" s="9">
        <v>384</v>
      </c>
      <c r="AX8" s="9" t="str">
        <f>IFERROR(MID(VLOOKUP($B8,Seqs!$A:$B,2,0),AY8,1),"")</f>
        <v>C</v>
      </c>
      <c r="AY8" s="9">
        <v>397</v>
      </c>
      <c r="AZ8" s="110" t="str">
        <f>VLOOKUP(B8,Classification!A:D,2,0)</f>
        <v>A</v>
      </c>
      <c r="BA8" s="98" t="str">
        <f>VLOOKUP(B8,Classification!A:D,4,0)</f>
        <v>5-Hydroxytryptamine</v>
      </c>
      <c r="BB8" s="36" t="b">
        <f t="shared" ref="BB8" si="57">AND(E8&lt;G8,OR(G8&lt;I8,I8="-"),OR(I8&lt;K8,I8="-"),OR(K8&lt;M8,K8="-"),M8&lt;O8,OR(O8&lt;Q8,Q8="-"),OR(Q8&lt;S8,Q8="-"),OR(S8&lt;U8,S8="-"),U8&lt;W8,OR(W8&lt;Y8,Y8="-"),OR(Y8&lt;AA8,Y8="-"),OR(AA8&lt;AC8,AA8="-"),AC8&lt;AE8,OR(AE8&lt;AG8,AG8="-"),OR(AG8&lt;AI8,AG8="-"),OR(AI8&lt;AK8,AI8="-"),AK8&lt;AM8,AM8&lt;AO8,AO8&lt;AQ8,AQ8&lt;AS8,AS8&lt;AU8,OR(AU8&lt;AW8,AW8="-"),OR(AW8&lt;AY8,AW8="-"))</f>
        <v>1</v>
      </c>
      <c r="BC8" s="109">
        <f t="shared" ref="BC8" si="58">_xlfn.AGGREGATE(9,6,CH8:CS8)-_xlfn.AGGREGATE(9,6,BV8:CG8)+12</f>
        <v>259</v>
      </c>
      <c r="BD8" s="11" t="s">
        <v>23</v>
      </c>
      <c r="BE8" s="9" t="s">
        <v>1368</v>
      </c>
      <c r="BF8" s="119">
        <v>3</v>
      </c>
      <c r="BG8" s="51" t="s">
        <v>1</v>
      </c>
      <c r="BH8" s="51" t="s">
        <v>1</v>
      </c>
      <c r="BJ8" s="111" t="s">
        <v>1281</v>
      </c>
      <c r="BK8" s="112" t="s">
        <v>1281</v>
      </c>
      <c r="BL8" s="112" t="s">
        <v>1281</v>
      </c>
      <c r="BM8" s="112" t="s">
        <v>1281</v>
      </c>
      <c r="BN8" s="112" t="s">
        <v>1281</v>
      </c>
      <c r="BO8" s="112" t="s">
        <v>1281</v>
      </c>
      <c r="BP8" s="112" t="s">
        <v>1281</v>
      </c>
      <c r="BQ8" s="112" t="s">
        <v>1281</v>
      </c>
      <c r="BR8" s="112" t="s">
        <v>1281</v>
      </c>
      <c r="BS8" s="112" t="s">
        <v>1281</v>
      </c>
      <c r="BT8" s="112" t="s">
        <v>1281</v>
      </c>
      <c r="BU8" s="112" t="s">
        <v>1281</v>
      </c>
      <c r="BV8" s="111">
        <f t="shared" ref="BV8" si="59">E8</f>
        <v>69</v>
      </c>
      <c r="BW8" s="113">
        <f t="shared" ref="BW8" si="60">I8</f>
        <v>103</v>
      </c>
      <c r="BX8" s="114">
        <f t="shared" ref="BX8" si="61">M8</f>
        <v>107</v>
      </c>
      <c r="BY8" s="113">
        <f t="shared" ref="BY8" si="62">Q8</f>
        <v>140</v>
      </c>
      <c r="BZ8" s="114">
        <f t="shared" ref="BZ8" si="63">U8</f>
        <v>144</v>
      </c>
      <c r="CA8" s="113" t="str">
        <f t="shared" ref="CA8" si="64">Y8</f>
        <v>-</v>
      </c>
      <c r="CB8" s="114">
        <f t="shared" ref="CB8" si="65">AC8</f>
        <v>189</v>
      </c>
      <c r="CC8" s="113">
        <f t="shared" ref="CC8" si="66">AG8</f>
        <v>227</v>
      </c>
      <c r="CD8" s="114">
        <f t="shared" ref="CD8" si="67">AK8</f>
        <v>231</v>
      </c>
      <c r="CE8" s="113">
        <f t="shared" ref="CE8" si="68">AO8</f>
        <v>313</v>
      </c>
      <c r="CF8" s="114">
        <f t="shared" ref="CF8" si="69">AS8</f>
        <v>354</v>
      </c>
      <c r="CG8" s="113">
        <f t="shared" ref="CG8" si="70">AW8</f>
        <v>384</v>
      </c>
      <c r="CH8" s="111">
        <f t="shared" ref="CH8" si="71">G8</f>
        <v>102</v>
      </c>
      <c r="CI8" s="113">
        <f t="shared" ref="CI8" si="72">K8</f>
        <v>106</v>
      </c>
      <c r="CJ8" s="114">
        <f t="shared" ref="CJ8" si="73">O8</f>
        <v>138</v>
      </c>
      <c r="CK8" s="114">
        <f t="shared" ref="CK8" si="74">S8</f>
        <v>143</v>
      </c>
      <c r="CL8" s="114">
        <f t="shared" ref="CL8" si="75">W8</f>
        <v>179</v>
      </c>
      <c r="CM8" s="114" t="str">
        <f t="shared" ref="CM8" si="76">AA8</f>
        <v>-</v>
      </c>
      <c r="CN8" s="114">
        <f t="shared" ref="CN8" si="77">AE8</f>
        <v>217</v>
      </c>
      <c r="CO8" s="114">
        <f t="shared" ref="CO8" si="78">AI8</f>
        <v>229</v>
      </c>
      <c r="CP8" s="114">
        <f t="shared" ref="CP8" si="79">AM8</f>
        <v>265</v>
      </c>
      <c r="CQ8" s="114">
        <f t="shared" ref="CQ8" si="80">AQ8</f>
        <v>349</v>
      </c>
      <c r="CR8" s="114">
        <f t="shared" ref="CR8" si="81">AU8</f>
        <v>383</v>
      </c>
      <c r="CS8" s="114">
        <f t="shared" ref="CS8" si="82">AY8</f>
        <v>397</v>
      </c>
      <c r="CT8" s="109">
        <f t="shared" ref="CT8" si="83">M8-K8</f>
        <v>1</v>
      </c>
    </row>
    <row r="9" spans="1:1029" s="12" customFormat="1" x14ac:dyDescent="0.2">
      <c r="A9" s="9" t="str">
        <f t="shared" si="28"/>
        <v>5ht2a_human_6A94</v>
      </c>
      <c r="B9" s="9" t="s">
        <v>132</v>
      </c>
      <c r="C9" s="9" t="s">
        <v>1552</v>
      </c>
      <c r="D9" s="9" t="str">
        <f>IFERROR(MID(VLOOKUP($B9,Seqs!$A:$B,2,0),E9,1),"")</f>
        <v>L</v>
      </c>
      <c r="E9" s="9">
        <v>69</v>
      </c>
      <c r="F9" s="9" t="str">
        <f>IFERROR(MID(VLOOKUP($B9,Seqs!$A:$B,2,0),G9,1),"")</f>
        <v>E</v>
      </c>
      <c r="G9" s="9">
        <v>102</v>
      </c>
      <c r="H9" s="9" t="str">
        <f>IFERROR(MID(VLOOKUP($B9,Seqs!$A:$B,2,0),I9,1),"")</f>
        <v>K</v>
      </c>
      <c r="I9" s="109">
        <v>103</v>
      </c>
      <c r="J9" s="9" t="str">
        <f>IFERROR(MID(VLOOKUP($B9,Seqs!$A:$B,2,0),K9,1),"")</f>
        <v>Q</v>
      </c>
      <c r="K9" s="109">
        <v>106</v>
      </c>
      <c r="L9" s="9" t="str">
        <f>IFERROR(MID(VLOOKUP($B9,Seqs!$A:$B,2,0),M9,1),"")</f>
        <v>N</v>
      </c>
      <c r="M9" s="9">
        <v>107</v>
      </c>
      <c r="N9" s="9" t="str">
        <f>IFERROR(MID(VLOOKUP($B9,Seqs!$A:$B,2,0),O9,1),"")</f>
        <v>G</v>
      </c>
      <c r="O9" s="9">
        <v>138</v>
      </c>
      <c r="P9" s="9" t="str">
        <f>IFERROR(MID(VLOOKUP($B9,Seqs!$A:$B,2,0),Q9,1),"")</f>
        <v>R</v>
      </c>
      <c r="Q9" s="9">
        <v>140</v>
      </c>
      <c r="R9" s="9" t="str">
        <f>IFERROR(MID(VLOOKUP($B9,Seqs!$A:$B,2,0),S9,1),"")</f>
        <v>L</v>
      </c>
      <c r="S9" s="9">
        <v>143</v>
      </c>
      <c r="T9" s="9" t="str">
        <f>IFERROR(MID(VLOOKUP($B9,Seqs!$A:$B,2,0),U9,1),"")</f>
        <v>P</v>
      </c>
      <c r="U9" s="9">
        <v>144</v>
      </c>
      <c r="V9" s="9" t="str">
        <f>IFERROR(MID(VLOOKUP($B9,Seqs!$A:$B,2,0),W9,1),"")</f>
        <v>N</v>
      </c>
      <c r="W9" s="9">
        <v>179</v>
      </c>
      <c r="X9" s="9" t="str">
        <f>IFERROR(MID(VLOOKUP($B9,Seqs!$A:$B,2,0),Y9,1),"")</f>
        <v/>
      </c>
      <c r="Y9" s="9" t="s">
        <v>23</v>
      </c>
      <c r="Z9" s="9" t="str">
        <f>IFERROR(MID(VLOOKUP($B9,Seqs!$A:$B,2,0),AA9,1),"")</f>
        <v/>
      </c>
      <c r="AA9" s="9" t="s">
        <v>23</v>
      </c>
      <c r="AB9" s="9" t="str">
        <f>IFERROR(MID(VLOOKUP($B9,Seqs!$A:$B,2,0),AC9,1),"")</f>
        <v>R</v>
      </c>
      <c r="AC9" s="9">
        <v>189</v>
      </c>
      <c r="AD9" s="9" t="str">
        <f>IFERROR(MID(VLOOKUP($B9,Seqs!$A:$B,2,0),AE9,1),"")</f>
        <v>D</v>
      </c>
      <c r="AE9" s="9">
        <v>217</v>
      </c>
      <c r="AF9" s="9" t="str">
        <f>IFERROR(MID(VLOOKUP($B9,Seqs!$A:$B,2,0),AG9,1),"")</f>
        <v>C</v>
      </c>
      <c r="AG9" s="9">
        <v>227</v>
      </c>
      <c r="AH9" s="9" t="str">
        <f>IFERROR(MID(VLOOKUP($B9,Seqs!$A:$B,2,0),AI9,1),"")</f>
        <v>L</v>
      </c>
      <c r="AI9" s="9">
        <v>229</v>
      </c>
      <c r="AJ9" s="9" t="str">
        <f>IFERROR(MID(VLOOKUP($B9,Seqs!$A:$B,2,0),AK9,1),"")</f>
        <v>D</v>
      </c>
      <c r="AK9" s="9">
        <v>231</v>
      </c>
      <c r="AL9" s="9" t="str">
        <f>IFERROR(MID(VLOOKUP($B9,Seqs!$A:$B,2,0),AM9,1),"")</f>
        <v>A</v>
      </c>
      <c r="AM9" s="9">
        <v>265</v>
      </c>
      <c r="AN9" s="9" t="str">
        <f>IFERROR(MID(VLOOKUP($B9,Seqs!$A:$B,2,0),AO9,1),"")</f>
        <v>Q</v>
      </c>
      <c r="AO9" s="9">
        <v>313</v>
      </c>
      <c r="AP9" s="9" t="str">
        <f>IFERROR(MID(VLOOKUP($B9,Seqs!$A:$B,2,0),AQ9,1),"")</f>
        <v>C</v>
      </c>
      <c r="AQ9" s="9">
        <v>349</v>
      </c>
      <c r="AR9" s="9" t="str">
        <f>IFERROR(MID(VLOOKUP($B9,Seqs!$A:$B,2,0),AS9,1),"")</f>
        <v>N</v>
      </c>
      <c r="AS9" s="9">
        <v>354</v>
      </c>
      <c r="AT9" s="9" t="str">
        <f>IFERROR(MID(VLOOKUP($B9,Seqs!$A:$B,2,0),AU9,1),"")</f>
        <v>F</v>
      </c>
      <c r="AU9" s="9">
        <v>383</v>
      </c>
      <c r="AV9" s="9" t="str">
        <f>IFERROR(MID(VLOOKUP($B9,Seqs!$A:$B,2,0),AW9,1),"")</f>
        <v>N</v>
      </c>
      <c r="AW9" s="9">
        <v>384</v>
      </c>
      <c r="AX9" s="9" t="str">
        <f>IFERROR(MID(VLOOKUP($B9,Seqs!$A:$B,2,0),AY9,1),"")</f>
        <v>C</v>
      </c>
      <c r="AY9" s="9">
        <v>397</v>
      </c>
      <c r="AZ9" s="110" t="str">
        <f>VLOOKUP(B9,Classification!A:D,2,0)</f>
        <v>A</v>
      </c>
      <c r="BA9" s="98" t="str">
        <f>VLOOKUP(B9,Classification!A:D,4,0)</f>
        <v>5-Hydroxytryptamine</v>
      </c>
      <c r="BB9" s="36" t="b">
        <f t="shared" si="29"/>
        <v>1</v>
      </c>
      <c r="BC9" s="109">
        <f t="shared" si="30"/>
        <v>259</v>
      </c>
      <c r="BD9" s="11" t="s">
        <v>1370</v>
      </c>
      <c r="BE9" s="9" t="s">
        <v>1368</v>
      </c>
      <c r="BF9" s="119">
        <v>2.9</v>
      </c>
      <c r="BG9" s="51" t="s">
        <v>1</v>
      </c>
      <c r="BH9" s="51" t="s">
        <v>1</v>
      </c>
      <c r="BJ9" s="111" t="s">
        <v>1281</v>
      </c>
      <c r="BK9" s="112" t="s">
        <v>1281</v>
      </c>
      <c r="BL9" s="112" t="s">
        <v>1281</v>
      </c>
      <c r="BM9" s="112" t="s">
        <v>1281</v>
      </c>
      <c r="BN9" s="112" t="s">
        <v>1281</v>
      </c>
      <c r="BO9" s="112" t="s">
        <v>1281</v>
      </c>
      <c r="BP9" s="112" t="s">
        <v>1281</v>
      </c>
      <c r="BQ9" s="112" t="s">
        <v>1281</v>
      </c>
      <c r="BR9" s="112" t="s">
        <v>1281</v>
      </c>
      <c r="BS9" s="112" t="s">
        <v>1281</v>
      </c>
      <c r="BT9" s="112" t="s">
        <v>1281</v>
      </c>
      <c r="BU9" s="112" t="s">
        <v>1281</v>
      </c>
      <c r="BV9" s="111">
        <f t="shared" si="31"/>
        <v>69</v>
      </c>
      <c r="BW9" s="113">
        <f t="shared" si="32"/>
        <v>103</v>
      </c>
      <c r="BX9" s="114">
        <f t="shared" si="33"/>
        <v>107</v>
      </c>
      <c r="BY9" s="113">
        <f t="shared" si="34"/>
        <v>140</v>
      </c>
      <c r="BZ9" s="114">
        <f t="shared" si="35"/>
        <v>144</v>
      </c>
      <c r="CA9" s="113" t="str">
        <f t="shared" si="36"/>
        <v>-</v>
      </c>
      <c r="CB9" s="114">
        <f t="shared" si="37"/>
        <v>189</v>
      </c>
      <c r="CC9" s="113">
        <f t="shared" si="38"/>
        <v>227</v>
      </c>
      <c r="CD9" s="114">
        <f t="shared" si="39"/>
        <v>231</v>
      </c>
      <c r="CE9" s="113">
        <f t="shared" si="40"/>
        <v>313</v>
      </c>
      <c r="CF9" s="114">
        <f t="shared" si="41"/>
        <v>354</v>
      </c>
      <c r="CG9" s="113">
        <f t="shared" si="42"/>
        <v>384</v>
      </c>
      <c r="CH9" s="111">
        <f t="shared" si="43"/>
        <v>102</v>
      </c>
      <c r="CI9" s="113">
        <f t="shared" si="44"/>
        <v>106</v>
      </c>
      <c r="CJ9" s="114">
        <f t="shared" si="45"/>
        <v>138</v>
      </c>
      <c r="CK9" s="114">
        <f t="shared" si="46"/>
        <v>143</v>
      </c>
      <c r="CL9" s="114">
        <f t="shared" si="47"/>
        <v>179</v>
      </c>
      <c r="CM9" s="114" t="str">
        <f t="shared" si="48"/>
        <v>-</v>
      </c>
      <c r="CN9" s="114">
        <f t="shared" si="49"/>
        <v>217</v>
      </c>
      <c r="CO9" s="114">
        <f t="shared" si="50"/>
        <v>229</v>
      </c>
      <c r="CP9" s="114">
        <f t="shared" si="51"/>
        <v>265</v>
      </c>
      <c r="CQ9" s="114">
        <f t="shared" si="52"/>
        <v>349</v>
      </c>
      <c r="CR9" s="114">
        <f t="shared" si="53"/>
        <v>383</v>
      </c>
      <c r="CS9" s="114">
        <f t="shared" si="54"/>
        <v>397</v>
      </c>
      <c r="CT9" s="109">
        <f t="shared" si="55"/>
        <v>1</v>
      </c>
    </row>
    <row r="10" spans="1:1029" x14ac:dyDescent="0.2">
      <c r="A10" s="3" t="str">
        <f t="shared" si="0"/>
        <v>5ht2b_human__wt</v>
      </c>
      <c r="B10" s="3" t="s">
        <v>35</v>
      </c>
      <c r="C10" s="3" t="s">
        <v>100</v>
      </c>
      <c r="D10" s="3" t="str">
        <f>IFERROR(MID(VLOOKUP($B10,Seqs!$A:$B,2,0),E10,1),"")</f>
        <v>K</v>
      </c>
      <c r="E10" s="105">
        <v>53</v>
      </c>
      <c r="F10" s="3" t="str">
        <f>IFERROR(MID(VLOOKUP($B10,Seqs!$A:$B,2,0),G10,1),"")</f>
        <v>E</v>
      </c>
      <c r="G10" s="3">
        <v>82</v>
      </c>
      <c r="H10" s="3" t="str">
        <f>IFERROR(MID(VLOOKUP($B10,Seqs!$A:$B,2,0),I10,1),"")</f>
        <v>K</v>
      </c>
      <c r="I10" s="23">
        <v>83</v>
      </c>
      <c r="J10" s="3" t="str">
        <f>IFERROR(MID(VLOOKUP($B10,Seqs!$A:$B,2,0),K10,1),"")</f>
        <v>Q</v>
      </c>
      <c r="K10" s="23">
        <v>86</v>
      </c>
      <c r="L10" s="3" t="str">
        <f>IFERROR(MID(VLOOKUP($B10,Seqs!$A:$B,2,0),M10,1),"")</f>
        <v>Y</v>
      </c>
      <c r="M10" s="3">
        <v>87</v>
      </c>
      <c r="N10" s="3" t="str">
        <f>IFERROR(MID(VLOOKUP($B10,Seqs!$A:$B,2,0),O10,1),"")</f>
        <v>F</v>
      </c>
      <c r="O10" s="3">
        <v>117</v>
      </c>
      <c r="P10" s="3" t="str">
        <f>IFERROR(MID(VLOOKUP($B10,Seqs!$A:$B,2,0),Q10,1),"")</f>
        <v>M</v>
      </c>
      <c r="Q10" s="3">
        <v>120</v>
      </c>
      <c r="R10" s="3" t="str">
        <f>IFERROR(MID(VLOOKUP($B10,Seqs!$A:$B,2,0),S10,1),"")</f>
        <v>L</v>
      </c>
      <c r="S10" s="3">
        <v>123</v>
      </c>
      <c r="T10" s="3" t="str">
        <f>IFERROR(MID(VLOOKUP($B10,Seqs!$A:$B,2,0),U10,1),"")</f>
        <v>P</v>
      </c>
      <c r="U10" s="3">
        <v>124</v>
      </c>
      <c r="V10" s="3" t="str">
        <f>IFERROR(MID(VLOOKUP($B10,Seqs!$A:$B,2,0),W10,1),"")</f>
        <v>K</v>
      </c>
      <c r="W10" s="3">
        <v>159</v>
      </c>
      <c r="X10" s="3" t="str">
        <f>IFERROR(MID(VLOOKUP($B10,Seqs!$A:$B,2,0),Y10,1),"")</f>
        <v>P</v>
      </c>
      <c r="Y10" s="3">
        <v>160</v>
      </c>
      <c r="Z10" s="3" t="str">
        <f>IFERROR(MID(VLOOKUP($B10,Seqs!$A:$B,2,0),AA10,1),"")</f>
        <v>N</v>
      </c>
      <c r="AA10" s="3">
        <v>167</v>
      </c>
      <c r="AB10" s="3" t="str">
        <f>IFERROR(MID(VLOOKUP($B10,Seqs!$A:$B,2,0),AC10,1),"")</f>
        <v>S</v>
      </c>
      <c r="AC10" s="9">
        <v>168</v>
      </c>
      <c r="AD10" s="3" t="str">
        <f>IFERROR(MID(VLOOKUP($B10,Seqs!$A:$B,2,0),AE10,1),"")</f>
        <v>G</v>
      </c>
      <c r="AE10" s="3">
        <v>194</v>
      </c>
      <c r="AF10" s="3" t="str">
        <f>IFERROR(MID(VLOOKUP($B10,Seqs!$A:$B,2,0),AG10,1),"")</f>
        <v>C</v>
      </c>
      <c r="AG10" s="3">
        <v>207</v>
      </c>
      <c r="AH10" s="3" t="str">
        <f>IFERROR(MID(VLOOKUP($B10,Seqs!$A:$B,2,0),AI10,1),"")</f>
        <v>L</v>
      </c>
      <c r="AI10" s="3">
        <v>209</v>
      </c>
      <c r="AJ10" s="3" t="str">
        <f>IFERROR(MID(VLOOKUP($B10,Seqs!$A:$B,2,0),AK10,1),"")</f>
        <v>F</v>
      </c>
      <c r="AK10" s="3">
        <v>214</v>
      </c>
      <c r="AL10" s="3" t="str">
        <f>IFERROR(MID(VLOOKUP($B10,Seqs!$A:$B,2,0),AM10,1),"")</f>
        <v>P</v>
      </c>
      <c r="AM10" s="3">
        <v>255</v>
      </c>
      <c r="AN10" s="3" t="str">
        <f>IFERROR(MID(VLOOKUP($B10,Seqs!$A:$B,2,0),AO10,1),"")</f>
        <v>V</v>
      </c>
      <c r="AO10" s="3">
        <v>313</v>
      </c>
      <c r="AP10" s="3" t="str">
        <f>IFERROR(MID(VLOOKUP($B10,Seqs!$A:$B,2,0),AQ10,1),"")</f>
        <v>C</v>
      </c>
      <c r="AQ10" s="3">
        <v>350</v>
      </c>
      <c r="AR10" s="3" t="str">
        <f>IFERROR(MID(VLOOKUP($B10,Seqs!$A:$B,2,0),AS10,1),"")</f>
        <v>N</v>
      </c>
      <c r="AS10" s="105">
        <v>354</v>
      </c>
      <c r="AT10" s="3" t="str">
        <f>IFERROR(MID(VLOOKUP($B10,Seqs!$A:$B,2,0),AU10,1),"")</f>
        <v>F</v>
      </c>
      <c r="AU10" s="3">
        <v>383</v>
      </c>
      <c r="AV10" s="3" t="str">
        <f>IFERROR(MID(VLOOKUP($B10,Seqs!$A:$B,2,0),AW10,1),"")</f>
        <v>N</v>
      </c>
      <c r="AW10" s="3">
        <v>384</v>
      </c>
      <c r="AX10" s="3" t="str">
        <f>IFERROR(MID(VLOOKUP($B10,Seqs!$A:$B,2,0),AY10,1),"")</f>
        <v>I</v>
      </c>
      <c r="AY10" s="3">
        <v>395</v>
      </c>
      <c r="AZ10" s="77" t="str">
        <f>VLOOKUP(B10,Classification!A:D,2,0)</f>
        <v>A</v>
      </c>
      <c r="BA10" s="94" t="str">
        <f>VLOOKUP(B10,Classification!A:D,4,0)</f>
        <v>5-Hydroxytryptamine</v>
      </c>
      <c r="BB10" s="27" t="b">
        <f t="shared" si="1"/>
        <v>1</v>
      </c>
      <c r="BC10" s="23">
        <f t="shared" si="2"/>
        <v>265</v>
      </c>
      <c r="BD10" s="91" t="s">
        <v>23</v>
      </c>
      <c r="BE10" s="3" t="s">
        <v>23</v>
      </c>
      <c r="BF10" s="118" t="s">
        <v>23</v>
      </c>
      <c r="BG10" s="49" t="s">
        <v>1366</v>
      </c>
      <c r="BH10" s="49" t="s">
        <v>1371</v>
      </c>
      <c r="BI10" s="1"/>
      <c r="BJ10" s="70" t="s">
        <v>1281</v>
      </c>
      <c r="BK10" s="57" t="s">
        <v>1281</v>
      </c>
      <c r="BL10" s="57" t="s">
        <v>1281</v>
      </c>
      <c r="BM10" s="57" t="s">
        <v>1281</v>
      </c>
      <c r="BN10" s="57" t="s">
        <v>1281</v>
      </c>
      <c r="BO10" s="57" t="s">
        <v>1281</v>
      </c>
      <c r="BP10" s="57" t="s">
        <v>1281</v>
      </c>
      <c r="BQ10" s="57" t="s">
        <v>1281</v>
      </c>
      <c r="BR10" s="57" t="s">
        <v>1281</v>
      </c>
      <c r="BS10" s="57" t="s">
        <v>1281</v>
      </c>
      <c r="BT10" s="57" t="s">
        <v>1281</v>
      </c>
      <c r="BU10" s="57" t="s">
        <v>1281</v>
      </c>
      <c r="BV10" s="70">
        <f t="shared" si="3"/>
        <v>53</v>
      </c>
      <c r="BW10" s="71">
        <f t="shared" si="4"/>
        <v>83</v>
      </c>
      <c r="BX10" s="72">
        <f t="shared" si="5"/>
        <v>87</v>
      </c>
      <c r="BY10" s="71">
        <f t="shared" si="6"/>
        <v>120</v>
      </c>
      <c r="BZ10" s="72">
        <f t="shared" si="7"/>
        <v>124</v>
      </c>
      <c r="CA10" s="71">
        <f t="shared" si="8"/>
        <v>160</v>
      </c>
      <c r="CB10" s="72">
        <f t="shared" si="9"/>
        <v>168</v>
      </c>
      <c r="CC10" s="71">
        <f t="shared" si="10"/>
        <v>207</v>
      </c>
      <c r="CD10" s="72">
        <f t="shared" si="11"/>
        <v>214</v>
      </c>
      <c r="CE10" s="71">
        <f t="shared" si="12"/>
        <v>313</v>
      </c>
      <c r="CF10" s="72">
        <f t="shared" si="13"/>
        <v>354</v>
      </c>
      <c r="CG10" s="71">
        <f t="shared" si="14"/>
        <v>384</v>
      </c>
      <c r="CH10" s="70">
        <f t="shared" si="15"/>
        <v>82</v>
      </c>
      <c r="CI10" s="71">
        <f t="shared" si="16"/>
        <v>86</v>
      </c>
      <c r="CJ10" s="72">
        <f t="shared" si="17"/>
        <v>117</v>
      </c>
      <c r="CK10" s="72">
        <f t="shared" si="18"/>
        <v>123</v>
      </c>
      <c r="CL10" s="72">
        <f t="shared" si="19"/>
        <v>159</v>
      </c>
      <c r="CM10" s="72">
        <f t="shared" si="20"/>
        <v>167</v>
      </c>
      <c r="CN10" s="72">
        <f t="shared" si="21"/>
        <v>194</v>
      </c>
      <c r="CO10" s="72">
        <f t="shared" si="22"/>
        <v>209</v>
      </c>
      <c r="CP10" s="72">
        <f t="shared" si="23"/>
        <v>255</v>
      </c>
      <c r="CQ10" s="72">
        <f t="shared" si="24"/>
        <v>350</v>
      </c>
      <c r="CR10" s="72">
        <f t="shared" si="25"/>
        <v>383</v>
      </c>
      <c r="CS10" s="72">
        <f t="shared" si="26"/>
        <v>395</v>
      </c>
      <c r="CT10" s="23">
        <f t="shared" si="27"/>
        <v>1</v>
      </c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</row>
    <row r="11" spans="1:1029" x14ac:dyDescent="0.2">
      <c r="A11" s="3" t="str">
        <f t="shared" si="0"/>
        <v>5ht2b_human_4IB4</v>
      </c>
      <c r="B11" s="3" t="s">
        <v>35</v>
      </c>
      <c r="C11" s="3" t="s">
        <v>70</v>
      </c>
      <c r="D11" s="3" t="str">
        <f>IFERROR(MID(VLOOKUP($B11,Seqs!$A:$B,2,0),E11,1),"")</f>
        <v>K</v>
      </c>
      <c r="E11" s="3">
        <v>53</v>
      </c>
      <c r="F11" s="3" t="str">
        <f>IFERROR(MID(VLOOKUP($B11,Seqs!$A:$B,2,0),G11,1),"")</f>
        <v>E</v>
      </c>
      <c r="G11" s="3">
        <v>82</v>
      </c>
      <c r="H11" s="3" t="str">
        <f>IFERROR(MID(VLOOKUP($B11,Seqs!$A:$B,2,0),I11,1),"")</f>
        <v>K</v>
      </c>
      <c r="I11" s="23">
        <v>83</v>
      </c>
      <c r="J11" s="3" t="str">
        <f>IFERROR(MID(VLOOKUP($B11,Seqs!$A:$B,2,0),K11,1),"")</f>
        <v>Q</v>
      </c>
      <c r="K11" s="23">
        <v>86</v>
      </c>
      <c r="L11" s="3" t="str">
        <f>IFERROR(MID(VLOOKUP($B11,Seqs!$A:$B,2,0),M11,1),"")</f>
        <v>Y</v>
      </c>
      <c r="M11" s="3">
        <v>87</v>
      </c>
      <c r="N11" s="3" t="str">
        <f>IFERROR(MID(VLOOKUP($B11,Seqs!$A:$B,2,0),O11,1),"")</f>
        <v>F</v>
      </c>
      <c r="O11" s="3">
        <v>117</v>
      </c>
      <c r="P11" s="3" t="str">
        <f>IFERROR(MID(VLOOKUP($B11,Seqs!$A:$B,2,0),Q11,1),"")</f>
        <v>M</v>
      </c>
      <c r="Q11" s="3">
        <v>120</v>
      </c>
      <c r="R11" s="3" t="str">
        <f>IFERROR(MID(VLOOKUP($B11,Seqs!$A:$B,2,0),S11,1),"")</f>
        <v>L</v>
      </c>
      <c r="S11" s="3">
        <v>123</v>
      </c>
      <c r="T11" s="3" t="str">
        <f>IFERROR(MID(VLOOKUP($B11,Seqs!$A:$B,2,0),U11,1),"")</f>
        <v>P</v>
      </c>
      <c r="U11" s="3">
        <v>124</v>
      </c>
      <c r="V11" s="3" t="str">
        <f>IFERROR(MID(VLOOKUP($B11,Seqs!$A:$B,2,0),W11,1),"")</f>
        <v>K</v>
      </c>
      <c r="W11" s="3">
        <v>159</v>
      </c>
      <c r="X11" s="3" t="str">
        <f>IFERROR(MID(VLOOKUP($B11,Seqs!$A:$B,2,0),Y11,1),"")</f>
        <v/>
      </c>
      <c r="Y11" s="3" t="s">
        <v>23</v>
      </c>
      <c r="Z11" s="3" t="str">
        <f>IFERROR(MID(VLOOKUP($B11,Seqs!$A:$B,2,0),AA11,1),"")</f>
        <v/>
      </c>
      <c r="AA11" s="3" t="s">
        <v>23</v>
      </c>
      <c r="AB11" s="3" t="str">
        <f>IFERROR(MID(VLOOKUP($B11,Seqs!$A:$B,2,0),AC11,1),"")</f>
        <v>N</v>
      </c>
      <c r="AC11" s="3">
        <v>164</v>
      </c>
      <c r="AD11" s="3" t="str">
        <f>IFERROR(MID(VLOOKUP($B11,Seqs!$A:$B,2,0),AE11,1),"")</f>
        <v>G</v>
      </c>
      <c r="AE11" s="3">
        <v>194</v>
      </c>
      <c r="AF11" s="3" t="str">
        <f>IFERROR(MID(VLOOKUP($B11,Seqs!$A:$B,2,0),AG11,1),"")</f>
        <v>C</v>
      </c>
      <c r="AG11" s="3">
        <v>207</v>
      </c>
      <c r="AH11" s="3" t="str">
        <f>IFERROR(MID(VLOOKUP($B11,Seqs!$A:$B,2,0),AI11,1),"")</f>
        <v>L</v>
      </c>
      <c r="AI11" s="3">
        <v>209</v>
      </c>
      <c r="AJ11" s="3" t="str">
        <f>IFERROR(MID(VLOOKUP($B11,Seqs!$A:$B,2,0),AK11,1),"")</f>
        <v>F</v>
      </c>
      <c r="AK11" s="3">
        <v>214</v>
      </c>
      <c r="AL11" s="3" t="str">
        <f>IFERROR(MID(VLOOKUP($B11,Seqs!$A:$B,2,0),AM11,1),"")</f>
        <v>A</v>
      </c>
      <c r="AM11" s="3">
        <v>248</v>
      </c>
      <c r="AN11" s="3" t="str">
        <f>IFERROR(MID(VLOOKUP($B11,Seqs!$A:$B,2,0),AO11,1),"")</f>
        <v>Q</v>
      </c>
      <c r="AO11" s="3">
        <v>314</v>
      </c>
      <c r="AP11" s="3" t="str">
        <f>IFERROR(MID(VLOOKUP($B11,Seqs!$A:$B,2,0),AQ11,1),"")</f>
        <v>C</v>
      </c>
      <c r="AQ11" s="3">
        <v>350</v>
      </c>
      <c r="AR11" s="3" t="str">
        <f>IFERROR(MID(VLOOKUP($B11,Seqs!$A:$B,2,0),AS11,1),"")</f>
        <v>N</v>
      </c>
      <c r="AS11" s="3">
        <v>354</v>
      </c>
      <c r="AT11" s="3" t="str">
        <f>IFERROR(MID(VLOOKUP($B11,Seqs!$A:$B,2,0),AU11,1),"")</f>
        <v>F</v>
      </c>
      <c r="AU11" s="3">
        <v>383</v>
      </c>
      <c r="AV11" s="3" t="str">
        <f>IFERROR(MID(VLOOKUP($B11,Seqs!$A:$B,2,0),AW11,1),"")</f>
        <v>N</v>
      </c>
      <c r="AW11" s="3">
        <v>384</v>
      </c>
      <c r="AX11" s="3" t="str">
        <f>IFERROR(MID(VLOOKUP($B11,Seqs!$A:$B,2,0),AY11,1),"")</f>
        <v>I</v>
      </c>
      <c r="AY11" s="3">
        <v>395</v>
      </c>
      <c r="AZ11" s="77" t="str">
        <f>VLOOKUP(B11,Classification!A:D,2,0)</f>
        <v>A</v>
      </c>
      <c r="BA11" s="94" t="str">
        <f>VLOOKUP(B11,Classification!A:D,4,0)</f>
        <v>5-Hydroxytryptamine</v>
      </c>
      <c r="BB11" s="27" t="b">
        <f t="shared" si="1"/>
        <v>1</v>
      </c>
      <c r="BC11" s="23">
        <f t="shared" si="2"/>
        <v>254</v>
      </c>
      <c r="BD11" s="16" t="s">
        <v>1423</v>
      </c>
      <c r="BE11" s="3" t="s">
        <v>1422</v>
      </c>
      <c r="BF11" s="118">
        <v>2.7</v>
      </c>
      <c r="BG11" s="49" t="s">
        <v>1371</v>
      </c>
      <c r="BH11" s="49" t="s">
        <v>1371</v>
      </c>
      <c r="BI11" s="1"/>
      <c r="BJ11" s="70" t="s">
        <v>1281</v>
      </c>
      <c r="BK11" s="57" t="s">
        <v>1281</v>
      </c>
      <c r="BL11" s="57" t="s">
        <v>1281</v>
      </c>
      <c r="BM11" s="57" t="s">
        <v>1281</v>
      </c>
      <c r="BN11" s="57" t="s">
        <v>1281</v>
      </c>
      <c r="BO11" s="57" t="s">
        <v>1281</v>
      </c>
      <c r="BP11" s="57" t="s">
        <v>1281</v>
      </c>
      <c r="BQ11" s="57" t="s">
        <v>1281</v>
      </c>
      <c r="BR11" s="57" t="s">
        <v>1281</v>
      </c>
      <c r="BS11" s="57" t="s">
        <v>1281</v>
      </c>
      <c r="BT11" s="57" t="s">
        <v>1281</v>
      </c>
      <c r="BU11" s="57" t="s">
        <v>1281</v>
      </c>
      <c r="BV11" s="70">
        <f t="shared" si="3"/>
        <v>53</v>
      </c>
      <c r="BW11" s="71">
        <f t="shared" si="4"/>
        <v>83</v>
      </c>
      <c r="BX11" s="72">
        <f t="shared" si="5"/>
        <v>87</v>
      </c>
      <c r="BY11" s="71">
        <f t="shared" si="6"/>
        <v>120</v>
      </c>
      <c r="BZ11" s="72">
        <f t="shared" si="7"/>
        <v>124</v>
      </c>
      <c r="CA11" s="71" t="str">
        <f t="shared" si="8"/>
        <v>-</v>
      </c>
      <c r="CB11" s="72">
        <f t="shared" si="9"/>
        <v>164</v>
      </c>
      <c r="CC11" s="71">
        <f t="shared" si="10"/>
        <v>207</v>
      </c>
      <c r="CD11" s="72">
        <f t="shared" si="11"/>
        <v>214</v>
      </c>
      <c r="CE11" s="71">
        <f t="shared" si="12"/>
        <v>314</v>
      </c>
      <c r="CF11" s="72">
        <f t="shared" si="13"/>
        <v>354</v>
      </c>
      <c r="CG11" s="71">
        <f t="shared" si="14"/>
        <v>384</v>
      </c>
      <c r="CH11" s="70">
        <f t="shared" si="15"/>
        <v>82</v>
      </c>
      <c r="CI11" s="71">
        <f t="shared" si="16"/>
        <v>86</v>
      </c>
      <c r="CJ11" s="72">
        <f t="shared" si="17"/>
        <v>117</v>
      </c>
      <c r="CK11" s="72">
        <f t="shared" si="18"/>
        <v>123</v>
      </c>
      <c r="CL11" s="72">
        <f t="shared" si="19"/>
        <v>159</v>
      </c>
      <c r="CM11" s="72" t="str">
        <f t="shared" si="20"/>
        <v>-</v>
      </c>
      <c r="CN11" s="72">
        <f t="shared" si="21"/>
        <v>194</v>
      </c>
      <c r="CO11" s="72">
        <f t="shared" si="22"/>
        <v>209</v>
      </c>
      <c r="CP11" s="72">
        <f t="shared" si="23"/>
        <v>248</v>
      </c>
      <c r="CQ11" s="72">
        <f t="shared" si="24"/>
        <v>350</v>
      </c>
      <c r="CR11" s="72">
        <f t="shared" si="25"/>
        <v>383</v>
      </c>
      <c r="CS11" s="72">
        <f t="shared" si="26"/>
        <v>395</v>
      </c>
      <c r="CT11" s="23">
        <f t="shared" si="27"/>
        <v>1</v>
      </c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</row>
    <row r="12" spans="1:1029" x14ac:dyDescent="0.2">
      <c r="A12" s="3" t="str">
        <f t="shared" si="0"/>
        <v>5ht2b_human_4IB4_dist</v>
      </c>
      <c r="B12" s="3" t="s">
        <v>35</v>
      </c>
      <c r="C12" s="3" t="s">
        <v>1158</v>
      </c>
      <c r="D12" s="3" t="str">
        <f>IFERROR(MID(VLOOKUP($B12,Seqs!$A:$B,2,0),E12,1),"")</f>
        <v>K</v>
      </c>
      <c r="E12" s="3">
        <v>53</v>
      </c>
      <c r="F12" s="3" t="str">
        <f>IFERROR(MID(VLOOKUP($B12,Seqs!$A:$B,2,0),G12,1),"")</f>
        <v>E</v>
      </c>
      <c r="G12" s="3">
        <v>82</v>
      </c>
      <c r="H12" s="3" t="str">
        <f>IFERROR(MID(VLOOKUP($B12,Seqs!$A:$B,2,0),I12,1),"")</f>
        <v>K</v>
      </c>
      <c r="I12" s="23">
        <v>83</v>
      </c>
      <c r="J12" s="3" t="str">
        <f>IFERROR(MID(VLOOKUP($B12,Seqs!$A:$B,2,0),K12,1),"")</f>
        <v>Q</v>
      </c>
      <c r="K12" s="23">
        <v>86</v>
      </c>
      <c r="L12" s="3" t="str">
        <f>IFERROR(MID(VLOOKUP($B12,Seqs!$A:$B,2,0),M12,1),"")</f>
        <v>Y</v>
      </c>
      <c r="M12" s="3">
        <v>87</v>
      </c>
      <c r="N12" s="3" t="str">
        <f>IFERROR(MID(VLOOKUP($B12,Seqs!$A:$B,2,0),O12,1),"")</f>
        <v>F</v>
      </c>
      <c r="O12" s="3">
        <v>117</v>
      </c>
      <c r="P12" s="3" t="str">
        <f>IFERROR(MID(VLOOKUP($B12,Seqs!$A:$B,2,0),Q12,1),"")</f>
        <v>M</v>
      </c>
      <c r="Q12" s="3">
        <v>120</v>
      </c>
      <c r="R12" s="3" t="str">
        <f>IFERROR(MID(VLOOKUP($B12,Seqs!$A:$B,2,0),S12,1),"")</f>
        <v>L</v>
      </c>
      <c r="S12" s="3">
        <v>123</v>
      </c>
      <c r="T12" s="3" t="str">
        <f>IFERROR(MID(VLOOKUP($B12,Seqs!$A:$B,2,0),U12,1),"")</f>
        <v>P</v>
      </c>
      <c r="U12" s="3">
        <v>124</v>
      </c>
      <c r="V12" s="3" t="str">
        <f>IFERROR(MID(VLOOKUP($B12,Seqs!$A:$B,2,0),W12,1),"")</f>
        <v>K</v>
      </c>
      <c r="W12" s="3">
        <v>159</v>
      </c>
      <c r="X12" s="3" t="str">
        <f>IFERROR(MID(VLOOKUP($B12,Seqs!$A:$B,2,0),Y12,1),"")</f>
        <v/>
      </c>
      <c r="Y12" s="3" t="s">
        <v>23</v>
      </c>
      <c r="Z12" s="3" t="str">
        <f>IFERROR(MID(VLOOKUP($B12,Seqs!$A:$B,2,0),AA12,1),"")</f>
        <v/>
      </c>
      <c r="AA12" s="3" t="s">
        <v>23</v>
      </c>
      <c r="AB12" s="3" t="str">
        <f>IFERROR(MID(VLOOKUP($B12,Seqs!$A:$B,2,0),AC12,1),"")</f>
        <v>Q</v>
      </c>
      <c r="AC12" s="3">
        <v>165</v>
      </c>
      <c r="AD12" s="3" t="str">
        <f>IFERROR(MID(VLOOKUP($B12,Seqs!$A:$B,2,0),AE12,1),"")</f>
        <v>G</v>
      </c>
      <c r="AE12" s="3">
        <v>194</v>
      </c>
      <c r="AF12" s="3" t="str">
        <f>IFERROR(MID(VLOOKUP($B12,Seqs!$A:$B,2,0),AG12,1),"")</f>
        <v>C</v>
      </c>
      <c r="AG12" s="3">
        <v>207</v>
      </c>
      <c r="AH12" s="3" t="str">
        <f>IFERROR(MID(VLOOKUP($B12,Seqs!$A:$B,2,0),AI12,1),"")</f>
        <v>L</v>
      </c>
      <c r="AI12" s="3">
        <v>209</v>
      </c>
      <c r="AJ12" s="3" t="str">
        <f>IFERROR(MID(VLOOKUP($B12,Seqs!$A:$B,2,0),AK12,1),"")</f>
        <v>F</v>
      </c>
      <c r="AK12" s="3">
        <v>214</v>
      </c>
      <c r="AL12" s="3" t="str">
        <f>IFERROR(MID(VLOOKUP($B12,Seqs!$A:$B,2,0),AM12,1),"")</f>
        <v>A</v>
      </c>
      <c r="AM12" s="3">
        <v>248</v>
      </c>
      <c r="AN12" s="3" t="str">
        <f>IFERROR(MID(VLOOKUP($B12,Seqs!$A:$B,2,0),AO12,1),"")</f>
        <v>Q</v>
      </c>
      <c r="AO12" s="3">
        <v>314</v>
      </c>
      <c r="AP12" s="3" t="str">
        <f>IFERROR(MID(VLOOKUP($B12,Seqs!$A:$B,2,0),AQ12,1),"")</f>
        <v>C</v>
      </c>
      <c r="AQ12" s="3">
        <v>350</v>
      </c>
      <c r="AR12" s="3" t="str">
        <f>IFERROR(MID(VLOOKUP($B12,Seqs!$A:$B,2,0),AS12,1),"")</f>
        <v>N</v>
      </c>
      <c r="AS12" s="3">
        <v>354</v>
      </c>
      <c r="AT12" s="3" t="str">
        <f>IFERROR(MID(VLOOKUP($B12,Seqs!$A:$B,2,0),AU12,1),"")</f>
        <v>F</v>
      </c>
      <c r="AU12" s="3">
        <v>383</v>
      </c>
      <c r="AV12" s="3" t="str">
        <f>IFERROR(MID(VLOOKUP($B12,Seqs!$A:$B,2,0),AW12,1),"")</f>
        <v>N</v>
      </c>
      <c r="AW12" s="3">
        <v>384</v>
      </c>
      <c r="AX12" s="3" t="str">
        <f>IFERROR(MID(VLOOKUP($B12,Seqs!$A:$B,2,0),AY12,1),"")</f>
        <v>I</v>
      </c>
      <c r="AY12" s="3">
        <v>395</v>
      </c>
      <c r="AZ12" s="77" t="str">
        <f>VLOOKUP(B12,Classification!A:D,2,0)</f>
        <v>A</v>
      </c>
      <c r="BA12" s="94" t="str">
        <f>VLOOKUP(B12,Classification!A:D,4,0)</f>
        <v>5-Hydroxytryptamine</v>
      </c>
      <c r="BB12" s="27" t="b">
        <f t="shared" si="1"/>
        <v>1</v>
      </c>
      <c r="BC12" s="23">
        <f t="shared" si="2"/>
        <v>253</v>
      </c>
      <c r="BD12" s="56" t="s">
        <v>23</v>
      </c>
      <c r="BE12" s="3" t="s">
        <v>1422</v>
      </c>
      <c r="BF12" s="118">
        <v>2.7</v>
      </c>
      <c r="BG12" s="49" t="s">
        <v>1371</v>
      </c>
      <c r="BH12" s="49" t="s">
        <v>1371</v>
      </c>
      <c r="BI12" s="1"/>
      <c r="BJ12" s="70" t="s">
        <v>1281</v>
      </c>
      <c r="BK12" s="57" t="s">
        <v>1281</v>
      </c>
      <c r="BL12" s="57" t="s">
        <v>1281</v>
      </c>
      <c r="BM12" s="57" t="s">
        <v>1281</v>
      </c>
      <c r="BN12" s="57" t="s">
        <v>1281</v>
      </c>
      <c r="BO12" s="57" t="s">
        <v>1281</v>
      </c>
      <c r="BP12" s="57" t="s">
        <v>1281</v>
      </c>
      <c r="BQ12" s="57" t="s">
        <v>1281</v>
      </c>
      <c r="BR12" s="57" t="s">
        <v>1281</v>
      </c>
      <c r="BS12" s="57" t="s">
        <v>1281</v>
      </c>
      <c r="BT12" s="57" t="s">
        <v>1281</v>
      </c>
      <c r="BU12" s="57" t="s">
        <v>1281</v>
      </c>
      <c r="BV12" s="70">
        <f t="shared" si="3"/>
        <v>53</v>
      </c>
      <c r="BW12" s="71">
        <f t="shared" si="4"/>
        <v>83</v>
      </c>
      <c r="BX12" s="72">
        <f t="shared" si="5"/>
        <v>87</v>
      </c>
      <c r="BY12" s="71">
        <f t="shared" si="6"/>
        <v>120</v>
      </c>
      <c r="BZ12" s="72">
        <f t="shared" si="7"/>
        <v>124</v>
      </c>
      <c r="CA12" s="71" t="str">
        <f t="shared" si="8"/>
        <v>-</v>
      </c>
      <c r="CB12" s="72">
        <f t="shared" si="9"/>
        <v>165</v>
      </c>
      <c r="CC12" s="71">
        <f t="shared" si="10"/>
        <v>207</v>
      </c>
      <c r="CD12" s="72">
        <f t="shared" si="11"/>
        <v>214</v>
      </c>
      <c r="CE12" s="71">
        <f t="shared" si="12"/>
        <v>314</v>
      </c>
      <c r="CF12" s="72">
        <f t="shared" si="13"/>
        <v>354</v>
      </c>
      <c r="CG12" s="71">
        <f t="shared" si="14"/>
        <v>384</v>
      </c>
      <c r="CH12" s="70">
        <f t="shared" si="15"/>
        <v>82</v>
      </c>
      <c r="CI12" s="71">
        <f t="shared" si="16"/>
        <v>86</v>
      </c>
      <c r="CJ12" s="72">
        <f t="shared" si="17"/>
        <v>117</v>
      </c>
      <c r="CK12" s="72">
        <f t="shared" si="18"/>
        <v>123</v>
      </c>
      <c r="CL12" s="72">
        <f t="shared" si="19"/>
        <v>159</v>
      </c>
      <c r="CM12" s="72" t="str">
        <f t="shared" si="20"/>
        <v>-</v>
      </c>
      <c r="CN12" s="72">
        <f t="shared" si="21"/>
        <v>194</v>
      </c>
      <c r="CO12" s="72">
        <f t="shared" si="22"/>
        <v>209</v>
      </c>
      <c r="CP12" s="72">
        <f t="shared" si="23"/>
        <v>248</v>
      </c>
      <c r="CQ12" s="72">
        <f t="shared" si="24"/>
        <v>350</v>
      </c>
      <c r="CR12" s="72">
        <f t="shared" si="25"/>
        <v>383</v>
      </c>
      <c r="CS12" s="72">
        <f t="shared" si="26"/>
        <v>395</v>
      </c>
      <c r="CT12" s="23">
        <f t="shared" si="27"/>
        <v>1</v>
      </c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</row>
    <row r="13" spans="1:1029" x14ac:dyDescent="0.2">
      <c r="A13" s="3" t="str">
        <f t="shared" si="0"/>
        <v>5ht2b_human_4NC3</v>
      </c>
      <c r="B13" s="3" t="s">
        <v>35</v>
      </c>
      <c r="C13" s="3" t="s">
        <v>1302</v>
      </c>
      <c r="D13" s="3" t="str">
        <f>IFERROR(MID(VLOOKUP($B13,Seqs!$A:$B,2,0),E13,1),"")</f>
        <v>K</v>
      </c>
      <c r="E13" s="3">
        <v>53</v>
      </c>
      <c r="F13" s="3" t="str">
        <f>IFERROR(MID(VLOOKUP($B13,Seqs!$A:$B,2,0),G13,1),"")</f>
        <v>E</v>
      </c>
      <c r="G13" s="3">
        <v>82</v>
      </c>
      <c r="H13" s="3" t="str">
        <f>IFERROR(MID(VLOOKUP($B13,Seqs!$A:$B,2,0),I13,1),"")</f>
        <v>K</v>
      </c>
      <c r="I13" s="23">
        <v>83</v>
      </c>
      <c r="J13" s="3" t="str">
        <f>IFERROR(MID(VLOOKUP($B13,Seqs!$A:$B,2,0),K13,1),"")</f>
        <v>Q</v>
      </c>
      <c r="K13" s="23">
        <v>86</v>
      </c>
      <c r="L13" s="3" t="str">
        <f>IFERROR(MID(VLOOKUP($B13,Seqs!$A:$B,2,0),M13,1),"")</f>
        <v>Y</v>
      </c>
      <c r="M13" s="3">
        <v>87</v>
      </c>
      <c r="N13" s="3" t="str">
        <f>IFERROR(MID(VLOOKUP($B13,Seqs!$A:$B,2,0),O13,1),"")</f>
        <v>F</v>
      </c>
      <c r="O13" s="3">
        <v>117</v>
      </c>
      <c r="P13" s="3" t="str">
        <f>IFERROR(MID(VLOOKUP($B13,Seqs!$A:$B,2,0),Q13,1),"")</f>
        <v>M</v>
      </c>
      <c r="Q13" s="3">
        <v>120</v>
      </c>
      <c r="R13" s="3" t="str">
        <f>IFERROR(MID(VLOOKUP($B13,Seqs!$A:$B,2,0),S13,1),"")</f>
        <v>L</v>
      </c>
      <c r="S13" s="3">
        <v>123</v>
      </c>
      <c r="T13" s="3" t="str">
        <f>IFERROR(MID(VLOOKUP($B13,Seqs!$A:$B,2,0),U13,1),"")</f>
        <v>P</v>
      </c>
      <c r="U13" s="3">
        <v>124</v>
      </c>
      <c r="V13" s="3" t="str">
        <f>IFERROR(MID(VLOOKUP($B13,Seqs!$A:$B,2,0),W13,1),"")</f>
        <v>K</v>
      </c>
      <c r="W13" s="3">
        <v>159</v>
      </c>
      <c r="X13" s="3" t="str">
        <f>IFERROR(MID(VLOOKUP($B13,Seqs!$A:$B,2,0),Y13,1),"")</f>
        <v/>
      </c>
      <c r="Y13" s="3" t="s">
        <v>23</v>
      </c>
      <c r="Z13" s="3" t="str">
        <f>IFERROR(MID(VLOOKUP($B13,Seqs!$A:$B,2,0),AA13,1),"")</f>
        <v/>
      </c>
      <c r="AA13" s="3" t="s">
        <v>23</v>
      </c>
      <c r="AB13" s="3" t="str">
        <f>IFERROR(MID(VLOOKUP($B13,Seqs!$A:$B,2,0),AC13,1),"")</f>
        <v>N</v>
      </c>
      <c r="AC13" s="3">
        <v>164</v>
      </c>
      <c r="AD13" s="3" t="str">
        <f>IFERROR(MID(VLOOKUP($B13,Seqs!$A:$B,2,0),AE13,1),"")</f>
        <v>G</v>
      </c>
      <c r="AE13" s="3">
        <v>194</v>
      </c>
      <c r="AF13" s="3" t="str">
        <f>IFERROR(MID(VLOOKUP($B13,Seqs!$A:$B,2,0),AG13,1),"")</f>
        <v>C</v>
      </c>
      <c r="AG13" s="3">
        <v>207</v>
      </c>
      <c r="AH13" s="3" t="str">
        <f>IFERROR(MID(VLOOKUP($B13,Seqs!$A:$B,2,0),AI13,1),"")</f>
        <v>L</v>
      </c>
      <c r="AI13" s="3">
        <v>209</v>
      </c>
      <c r="AJ13" s="3" t="str">
        <f>IFERROR(MID(VLOOKUP($B13,Seqs!$A:$B,2,0),AK13,1),"")</f>
        <v>F</v>
      </c>
      <c r="AK13" s="3">
        <v>214</v>
      </c>
      <c r="AL13" s="3" t="str">
        <f>IFERROR(MID(VLOOKUP($B13,Seqs!$A:$B,2,0),AM13,1),"")</f>
        <v>A</v>
      </c>
      <c r="AM13" s="3">
        <v>248</v>
      </c>
      <c r="AN13" s="3" t="str">
        <f>IFERROR(MID(VLOOKUP($B13,Seqs!$A:$B,2,0),AO13,1),"")</f>
        <v>Q</v>
      </c>
      <c r="AO13" s="3">
        <v>314</v>
      </c>
      <c r="AP13" s="3" t="str">
        <f>IFERROR(MID(VLOOKUP($B13,Seqs!$A:$B,2,0),AQ13,1),"")</f>
        <v>C</v>
      </c>
      <c r="AQ13" s="3">
        <v>350</v>
      </c>
      <c r="AR13" s="3" t="str">
        <f>IFERROR(MID(VLOOKUP($B13,Seqs!$A:$B,2,0),AS13,1),"")</f>
        <v>N</v>
      </c>
      <c r="AS13" s="3">
        <v>354</v>
      </c>
      <c r="AT13" s="3" t="str">
        <f>IFERROR(MID(VLOOKUP($B13,Seqs!$A:$B,2,0),AU13,1),"")</f>
        <v>F</v>
      </c>
      <c r="AU13" s="3">
        <v>383</v>
      </c>
      <c r="AV13" s="3" t="str">
        <f>IFERROR(MID(VLOOKUP($B13,Seqs!$A:$B,2,0),AW13,1),"")</f>
        <v>N</v>
      </c>
      <c r="AW13" s="3">
        <v>384</v>
      </c>
      <c r="AX13" s="3" t="str">
        <f>IFERROR(MID(VLOOKUP($B13,Seqs!$A:$B,2,0),AY13,1),"")</f>
        <v>I</v>
      </c>
      <c r="AY13" s="3">
        <v>395</v>
      </c>
      <c r="AZ13" s="77" t="str">
        <f>VLOOKUP(B13,Classification!A:D,2,0)</f>
        <v>A</v>
      </c>
      <c r="BA13" s="94" t="str">
        <f>VLOOKUP(B13,Classification!A:D,4,0)</f>
        <v>5-Hydroxytryptamine</v>
      </c>
      <c r="BB13" s="27" t="b">
        <f t="shared" si="1"/>
        <v>1</v>
      </c>
      <c r="BC13" s="23">
        <f t="shared" si="2"/>
        <v>254</v>
      </c>
      <c r="BD13" s="4" t="s">
        <v>23</v>
      </c>
      <c r="BE13" s="3" t="s">
        <v>1422</v>
      </c>
      <c r="BF13" s="118">
        <v>2.8</v>
      </c>
      <c r="BG13" s="49" t="s">
        <v>1371</v>
      </c>
      <c r="BH13" s="49" t="s">
        <v>1371</v>
      </c>
      <c r="BI13" s="1"/>
      <c r="BJ13" s="70" t="s">
        <v>1281</v>
      </c>
      <c r="BK13" s="57" t="s">
        <v>1281</v>
      </c>
      <c r="BL13" s="57" t="s">
        <v>1281</v>
      </c>
      <c r="BM13" s="57" t="s">
        <v>1281</v>
      </c>
      <c r="BN13" s="57" t="s">
        <v>1281</v>
      </c>
      <c r="BO13" s="57" t="s">
        <v>1281</v>
      </c>
      <c r="BP13" s="57" t="s">
        <v>1281</v>
      </c>
      <c r="BQ13" s="57" t="s">
        <v>1281</v>
      </c>
      <c r="BR13" s="57" t="s">
        <v>1281</v>
      </c>
      <c r="BS13" s="57" t="s">
        <v>1281</v>
      </c>
      <c r="BT13" s="57" t="s">
        <v>1281</v>
      </c>
      <c r="BU13" s="57" t="s">
        <v>1281</v>
      </c>
      <c r="BV13" s="70">
        <f t="shared" si="3"/>
        <v>53</v>
      </c>
      <c r="BW13" s="71">
        <f t="shared" si="4"/>
        <v>83</v>
      </c>
      <c r="BX13" s="72">
        <f t="shared" si="5"/>
        <v>87</v>
      </c>
      <c r="BY13" s="71">
        <f t="shared" si="6"/>
        <v>120</v>
      </c>
      <c r="BZ13" s="72">
        <f t="shared" si="7"/>
        <v>124</v>
      </c>
      <c r="CA13" s="71" t="str">
        <f t="shared" si="8"/>
        <v>-</v>
      </c>
      <c r="CB13" s="72">
        <f t="shared" si="9"/>
        <v>164</v>
      </c>
      <c r="CC13" s="71">
        <f t="shared" si="10"/>
        <v>207</v>
      </c>
      <c r="CD13" s="72">
        <f t="shared" si="11"/>
        <v>214</v>
      </c>
      <c r="CE13" s="71">
        <f t="shared" si="12"/>
        <v>314</v>
      </c>
      <c r="CF13" s="72">
        <f t="shared" si="13"/>
        <v>354</v>
      </c>
      <c r="CG13" s="71">
        <f t="shared" si="14"/>
        <v>384</v>
      </c>
      <c r="CH13" s="70">
        <f t="shared" si="15"/>
        <v>82</v>
      </c>
      <c r="CI13" s="71">
        <f t="shared" si="16"/>
        <v>86</v>
      </c>
      <c r="CJ13" s="72">
        <f t="shared" si="17"/>
        <v>117</v>
      </c>
      <c r="CK13" s="72">
        <f t="shared" si="18"/>
        <v>123</v>
      </c>
      <c r="CL13" s="72">
        <f t="shared" si="19"/>
        <v>159</v>
      </c>
      <c r="CM13" s="72" t="str">
        <f t="shared" si="20"/>
        <v>-</v>
      </c>
      <c r="CN13" s="72">
        <f t="shared" si="21"/>
        <v>194</v>
      </c>
      <c r="CO13" s="72">
        <f t="shared" si="22"/>
        <v>209</v>
      </c>
      <c r="CP13" s="72">
        <f t="shared" si="23"/>
        <v>248</v>
      </c>
      <c r="CQ13" s="72">
        <f t="shared" si="24"/>
        <v>350</v>
      </c>
      <c r="CR13" s="72">
        <f t="shared" si="25"/>
        <v>383</v>
      </c>
      <c r="CS13" s="72">
        <f t="shared" si="26"/>
        <v>395</v>
      </c>
      <c r="CT13" s="23">
        <f t="shared" si="27"/>
        <v>1</v>
      </c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</row>
    <row r="14" spans="1:1029" x14ac:dyDescent="0.2">
      <c r="A14" s="3" t="str">
        <f t="shared" ref="A14:A25" si="84">CONCATENATE(B14,"_",C14)</f>
        <v>5ht2b_human_5TUD</v>
      </c>
      <c r="B14" s="3" t="s">
        <v>35</v>
      </c>
      <c r="C14" s="3" t="s">
        <v>1421</v>
      </c>
      <c r="D14" s="3" t="str">
        <f>IFERROR(MID(VLOOKUP($B14,Seqs!$A:$B,2,0),E14,1),"")</f>
        <v>A</v>
      </c>
      <c r="E14" s="3">
        <v>57</v>
      </c>
      <c r="F14" s="3" t="str">
        <f>IFERROR(MID(VLOOKUP($B14,Seqs!$A:$B,2,0),G14,1),"")</f>
        <v>E</v>
      </c>
      <c r="G14" s="3">
        <v>82</v>
      </c>
      <c r="H14" s="3" t="str">
        <f>IFERROR(MID(VLOOKUP($B14,Seqs!$A:$B,2,0),I14,1),"")</f>
        <v>K</v>
      </c>
      <c r="I14" s="23">
        <v>83</v>
      </c>
      <c r="J14" s="3" t="str">
        <f>IFERROR(MID(VLOOKUP($B14,Seqs!$A:$B,2,0),K14,1),"")</f>
        <v>Q</v>
      </c>
      <c r="K14" s="23">
        <v>86</v>
      </c>
      <c r="L14" s="3" t="str">
        <f>IFERROR(MID(VLOOKUP($B14,Seqs!$A:$B,2,0),M14,1),"")</f>
        <v>Y</v>
      </c>
      <c r="M14" s="3">
        <v>87</v>
      </c>
      <c r="N14" s="3" t="str">
        <f>IFERROR(MID(VLOOKUP($B14,Seqs!$A:$B,2,0),O14,1),"")</f>
        <v>F</v>
      </c>
      <c r="O14" s="3">
        <v>117</v>
      </c>
      <c r="P14" s="3" t="str">
        <f>IFERROR(MID(VLOOKUP($B14,Seqs!$A:$B,2,0),Q14,1),"")</f>
        <v>M</v>
      </c>
      <c r="Q14" s="3">
        <v>120</v>
      </c>
      <c r="R14" s="3" t="str">
        <f>IFERROR(MID(VLOOKUP($B14,Seqs!$A:$B,2,0),S14,1),"")</f>
        <v>L</v>
      </c>
      <c r="S14" s="3">
        <v>123</v>
      </c>
      <c r="T14" s="3" t="str">
        <f>IFERROR(MID(VLOOKUP($B14,Seqs!$A:$B,2,0),U14,1),"")</f>
        <v>P</v>
      </c>
      <c r="U14" s="3">
        <v>124</v>
      </c>
      <c r="V14" s="3" t="str">
        <f>IFERROR(MID(VLOOKUP($B14,Seqs!$A:$B,2,0),W14,1),"")</f>
        <v>K</v>
      </c>
      <c r="W14" s="3">
        <v>159</v>
      </c>
      <c r="X14" s="3" t="str">
        <f>IFERROR(MID(VLOOKUP($B14,Seqs!$A:$B,2,0),Y14,1),"")</f>
        <v/>
      </c>
      <c r="Y14" s="3" t="s">
        <v>23</v>
      </c>
      <c r="Z14" s="3" t="str">
        <f>IFERROR(MID(VLOOKUP($B14,Seqs!$A:$B,2,0),AA14,1),"")</f>
        <v/>
      </c>
      <c r="AA14" s="3" t="s">
        <v>23</v>
      </c>
      <c r="AB14" s="3" t="str">
        <f>IFERROR(MID(VLOOKUP($B14,Seqs!$A:$B,2,0),AC14,1),"")</f>
        <v>N</v>
      </c>
      <c r="AC14" s="3">
        <v>164</v>
      </c>
      <c r="AD14" s="3" t="str">
        <f>IFERROR(MID(VLOOKUP($B14,Seqs!$A:$B,2,0),AE14,1),"")</f>
        <v>K</v>
      </c>
      <c r="AE14" s="3">
        <v>193</v>
      </c>
      <c r="AF14" s="3" t="str">
        <f>IFERROR(MID(VLOOKUP($B14,Seqs!$A:$B,2,0),AG14,1),"")</f>
        <v>C</v>
      </c>
      <c r="AG14" s="3">
        <v>207</v>
      </c>
      <c r="AH14" s="3" t="str">
        <f>IFERROR(MID(VLOOKUP($B14,Seqs!$A:$B,2,0),AI14,1),"")</f>
        <v>L</v>
      </c>
      <c r="AI14" s="3">
        <v>209</v>
      </c>
      <c r="AJ14" s="3" t="str">
        <f>IFERROR(MID(VLOOKUP($B14,Seqs!$A:$B,2,0),AK14,1),"")</f>
        <v>F</v>
      </c>
      <c r="AK14" s="3">
        <v>214</v>
      </c>
      <c r="AL14" s="3" t="str">
        <f>IFERROR(MID(VLOOKUP($B14,Seqs!$A:$B,2,0),AM14,1),"")</f>
        <v>A</v>
      </c>
      <c r="AM14" s="3">
        <v>248</v>
      </c>
      <c r="AN14" s="3" t="str">
        <f>IFERROR(MID(VLOOKUP($B14,Seqs!$A:$B,2,0),AO14,1),"")</f>
        <v>Q</v>
      </c>
      <c r="AO14" s="3">
        <v>314</v>
      </c>
      <c r="AP14" s="3" t="str">
        <f>IFERROR(MID(VLOOKUP($B14,Seqs!$A:$B,2,0),AQ14,1),"")</f>
        <v>C</v>
      </c>
      <c r="AQ14" s="3">
        <v>350</v>
      </c>
      <c r="AR14" s="3" t="str">
        <f>IFERROR(MID(VLOOKUP($B14,Seqs!$A:$B,2,0),AS14,1),"")</f>
        <v>N</v>
      </c>
      <c r="AS14" s="3">
        <v>354</v>
      </c>
      <c r="AT14" s="3" t="str">
        <f>IFERROR(MID(VLOOKUP($B14,Seqs!$A:$B,2,0),AU14,1),"")</f>
        <v>L</v>
      </c>
      <c r="AU14" s="3">
        <v>382</v>
      </c>
      <c r="AV14" s="3" t="str">
        <f>IFERROR(MID(VLOOKUP($B14,Seqs!$A:$B,2,0),AW14,1),"")</f>
        <v>N</v>
      </c>
      <c r="AW14" s="3">
        <v>384</v>
      </c>
      <c r="AX14" s="3" t="str">
        <f>IFERROR(MID(VLOOKUP($B14,Seqs!$A:$B,2,0),AY14,1),"")</f>
        <v>T</v>
      </c>
      <c r="AY14" s="3">
        <v>396</v>
      </c>
      <c r="AZ14" s="77" t="str">
        <f>VLOOKUP(B14,Classification!A:D,2,0)</f>
        <v>A</v>
      </c>
      <c r="BA14" s="94" t="str">
        <f>VLOOKUP(B14,Classification!A:D,4,0)</f>
        <v>5-Hydroxytryptamine</v>
      </c>
      <c r="BB14" s="27" t="b">
        <f t="shared" ref="BB14:BB25" si="85">AND(E14&lt;G14,OR(G14&lt;I14,I14="-"),OR(I14&lt;K14,I14="-"),OR(K14&lt;M14,K14="-"),M14&lt;O14,OR(O14&lt;Q14,Q14="-"),OR(Q14&lt;S14,Q14="-"),OR(S14&lt;U14,S14="-"),U14&lt;W14,OR(W14&lt;Y14,Y14="-"),OR(Y14&lt;AA14,Y14="-"),OR(AA14&lt;AC14,AA14="-"),AC14&lt;AE14,OR(AE14&lt;AG14,AG14="-"),OR(AG14&lt;AI14,AG14="-"),OR(AI14&lt;AK14,AI14="-"),AK14&lt;AM14,AM14&lt;AO14,AO14&lt;AQ14,AQ14&lt;AS14,AS14&lt;AU14,OR(AU14&lt;AW14,AW14="-"),OR(AW14&lt;AY14,AW14="-"))</f>
        <v>1</v>
      </c>
      <c r="BC14" s="23">
        <f t="shared" ref="BC14:BC25" si="86">_xlfn.AGGREGATE(9,6,CH14:CS14)-_xlfn.AGGREGATE(9,6,BV14:CG14)+12</f>
        <v>249</v>
      </c>
      <c r="BD14" s="4" t="s">
        <v>1369</v>
      </c>
      <c r="BE14" s="3" t="s">
        <v>1285</v>
      </c>
      <c r="BF14" s="118">
        <v>3</v>
      </c>
      <c r="BG14" s="49" t="s">
        <v>1371</v>
      </c>
      <c r="BH14" s="49" t="s">
        <v>1371</v>
      </c>
      <c r="BI14" s="1"/>
      <c r="BJ14" s="70" t="s">
        <v>1281</v>
      </c>
      <c r="BK14" s="57" t="s">
        <v>1281</v>
      </c>
      <c r="BL14" s="57" t="s">
        <v>1281</v>
      </c>
      <c r="BM14" s="57" t="s">
        <v>1281</v>
      </c>
      <c r="BN14" s="57" t="s">
        <v>1281</v>
      </c>
      <c r="BO14" s="57" t="s">
        <v>1281</v>
      </c>
      <c r="BP14" s="57" t="s">
        <v>1281</v>
      </c>
      <c r="BQ14" s="57" t="s">
        <v>1281</v>
      </c>
      <c r="BR14" s="57" t="s">
        <v>1281</v>
      </c>
      <c r="BS14" s="57" t="s">
        <v>1281</v>
      </c>
      <c r="BT14" s="57" t="s">
        <v>1281</v>
      </c>
      <c r="BU14" s="57" t="s">
        <v>1281</v>
      </c>
      <c r="BV14" s="70">
        <f t="shared" ref="BV14:BV25" si="87">E14</f>
        <v>57</v>
      </c>
      <c r="BW14" s="71">
        <f t="shared" ref="BW14:BW25" si="88">I14</f>
        <v>83</v>
      </c>
      <c r="BX14" s="72">
        <f t="shared" ref="BX14:BX25" si="89">M14</f>
        <v>87</v>
      </c>
      <c r="BY14" s="71">
        <f t="shared" ref="BY14:BY25" si="90">Q14</f>
        <v>120</v>
      </c>
      <c r="BZ14" s="72">
        <f t="shared" ref="BZ14:BZ25" si="91">U14</f>
        <v>124</v>
      </c>
      <c r="CA14" s="71" t="str">
        <f t="shared" ref="CA14:CA25" si="92">Y14</f>
        <v>-</v>
      </c>
      <c r="CB14" s="72">
        <f t="shared" ref="CB14:CB25" si="93">AC14</f>
        <v>164</v>
      </c>
      <c r="CC14" s="71">
        <f t="shared" ref="CC14:CC25" si="94">AG14</f>
        <v>207</v>
      </c>
      <c r="CD14" s="72">
        <f t="shared" ref="CD14:CD25" si="95">AK14</f>
        <v>214</v>
      </c>
      <c r="CE14" s="71">
        <f t="shared" ref="CE14:CE25" si="96">AO14</f>
        <v>314</v>
      </c>
      <c r="CF14" s="72">
        <f t="shared" ref="CF14:CF25" si="97">AS14</f>
        <v>354</v>
      </c>
      <c r="CG14" s="71">
        <f t="shared" ref="CG14:CG25" si="98">AW14</f>
        <v>384</v>
      </c>
      <c r="CH14" s="70">
        <f t="shared" ref="CH14:CH25" si="99">G14</f>
        <v>82</v>
      </c>
      <c r="CI14" s="71">
        <f t="shared" ref="CI14:CI25" si="100">K14</f>
        <v>86</v>
      </c>
      <c r="CJ14" s="72">
        <f t="shared" ref="CJ14:CJ25" si="101">O14</f>
        <v>117</v>
      </c>
      <c r="CK14" s="72">
        <f t="shared" ref="CK14:CK25" si="102">S14</f>
        <v>123</v>
      </c>
      <c r="CL14" s="72">
        <f t="shared" ref="CL14:CL25" si="103">W14</f>
        <v>159</v>
      </c>
      <c r="CM14" s="72" t="str">
        <f t="shared" ref="CM14:CM25" si="104">AA14</f>
        <v>-</v>
      </c>
      <c r="CN14" s="72">
        <f t="shared" ref="CN14:CN25" si="105">AE14</f>
        <v>193</v>
      </c>
      <c r="CO14" s="72">
        <f t="shared" ref="CO14:CO25" si="106">AI14</f>
        <v>209</v>
      </c>
      <c r="CP14" s="72">
        <f t="shared" ref="CP14:CP25" si="107">AM14</f>
        <v>248</v>
      </c>
      <c r="CQ14" s="72">
        <f t="shared" ref="CQ14:CQ25" si="108">AQ14</f>
        <v>350</v>
      </c>
      <c r="CR14" s="72">
        <f t="shared" ref="CR14:CR25" si="109">AU14</f>
        <v>382</v>
      </c>
      <c r="CS14" s="72">
        <f t="shared" ref="CS14:CS25" si="110">AY14</f>
        <v>396</v>
      </c>
      <c r="CT14" s="23">
        <f t="shared" ref="CT14:CT25" si="111">M14-K14</f>
        <v>1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</row>
    <row r="15" spans="1:1029" x14ac:dyDescent="0.2">
      <c r="A15" s="3" t="str">
        <f t="shared" si="84"/>
        <v>5ht2b_human_5TVN</v>
      </c>
      <c r="B15" s="3" t="s">
        <v>35</v>
      </c>
      <c r="C15" s="3" t="s">
        <v>1380</v>
      </c>
      <c r="D15" s="3" t="str">
        <f>IFERROR(MID(VLOOKUP($B15,Seqs!$A:$B,2,0),E15,1),"")</f>
        <v>K</v>
      </c>
      <c r="E15" s="3">
        <v>53</v>
      </c>
      <c r="F15" s="3" t="str">
        <f>IFERROR(MID(VLOOKUP($B15,Seqs!$A:$B,2,0),G15,1),"")</f>
        <v>E</v>
      </c>
      <c r="G15" s="3">
        <v>82</v>
      </c>
      <c r="H15" s="3" t="str">
        <f>IFERROR(MID(VLOOKUP($B15,Seqs!$A:$B,2,0),I15,1),"")</f>
        <v>K</v>
      </c>
      <c r="I15" s="23">
        <v>83</v>
      </c>
      <c r="J15" s="3" t="str">
        <f>IFERROR(MID(VLOOKUP($B15,Seqs!$A:$B,2,0),K15,1),"")</f>
        <v>Q</v>
      </c>
      <c r="K15" s="23">
        <v>86</v>
      </c>
      <c r="L15" s="3" t="str">
        <f>IFERROR(MID(VLOOKUP($B15,Seqs!$A:$B,2,0),M15,1),"")</f>
        <v>Y</v>
      </c>
      <c r="M15" s="3">
        <v>87</v>
      </c>
      <c r="N15" s="3" t="str">
        <f>IFERROR(MID(VLOOKUP($B15,Seqs!$A:$B,2,0),O15,1),"")</f>
        <v>F</v>
      </c>
      <c r="O15" s="3">
        <v>117</v>
      </c>
      <c r="P15" s="3" t="str">
        <f>IFERROR(MID(VLOOKUP($B15,Seqs!$A:$B,2,0),Q15,1),"")</f>
        <v>M</v>
      </c>
      <c r="Q15" s="3">
        <v>120</v>
      </c>
      <c r="R15" s="3" t="str">
        <f>IFERROR(MID(VLOOKUP($B15,Seqs!$A:$B,2,0),S15,1),"")</f>
        <v>L</v>
      </c>
      <c r="S15" s="3">
        <v>123</v>
      </c>
      <c r="T15" s="3" t="str">
        <f>IFERROR(MID(VLOOKUP($B15,Seqs!$A:$B,2,0),U15,1),"")</f>
        <v>P</v>
      </c>
      <c r="U15" s="3">
        <v>124</v>
      </c>
      <c r="V15" s="3" t="str">
        <f>IFERROR(MID(VLOOKUP($B15,Seqs!$A:$B,2,0),W15,1),"")</f>
        <v>K</v>
      </c>
      <c r="W15" s="3">
        <v>159</v>
      </c>
      <c r="X15" s="3" t="str">
        <f>IFERROR(MID(VLOOKUP($B15,Seqs!$A:$B,2,0),Y15,1),"")</f>
        <v/>
      </c>
      <c r="Y15" s="3" t="s">
        <v>23</v>
      </c>
      <c r="Z15" s="3" t="str">
        <f>IFERROR(MID(VLOOKUP($B15,Seqs!$A:$B,2,0),AA15,1),"")</f>
        <v/>
      </c>
      <c r="AA15" s="3" t="s">
        <v>23</v>
      </c>
      <c r="AB15" s="3" t="str">
        <f>IFERROR(MID(VLOOKUP($B15,Seqs!$A:$B,2,0),AC15,1),"")</f>
        <v>S</v>
      </c>
      <c r="AC15" s="3">
        <v>168</v>
      </c>
      <c r="AD15" s="3" t="str">
        <f>IFERROR(MID(VLOOKUP($B15,Seqs!$A:$B,2,0),AE15,1),"")</f>
        <v>G</v>
      </c>
      <c r="AE15" s="3">
        <v>194</v>
      </c>
      <c r="AF15" s="3" t="str">
        <f>IFERROR(MID(VLOOKUP($B15,Seqs!$A:$B,2,0),AG15,1),"")</f>
        <v>C</v>
      </c>
      <c r="AG15" s="3">
        <v>207</v>
      </c>
      <c r="AH15" s="3" t="str">
        <f>IFERROR(MID(VLOOKUP($B15,Seqs!$A:$B,2,0),AI15,1),"")</f>
        <v>L</v>
      </c>
      <c r="AI15" s="3">
        <v>209</v>
      </c>
      <c r="AJ15" s="3" t="str">
        <f>IFERROR(MID(VLOOKUP($B15,Seqs!$A:$B,2,0),AK15,1),"")</f>
        <v>F</v>
      </c>
      <c r="AK15" s="3">
        <v>214</v>
      </c>
      <c r="AL15" s="3" t="str">
        <f>IFERROR(MID(VLOOKUP($B15,Seqs!$A:$B,2,0),AM15,1),"")</f>
        <v>A</v>
      </c>
      <c r="AM15" s="3">
        <v>248</v>
      </c>
      <c r="AN15" s="3" t="str">
        <f>IFERROR(MID(VLOOKUP($B15,Seqs!$A:$B,2,0),AO15,1),"")</f>
        <v>V</v>
      </c>
      <c r="AO15" s="3">
        <v>313</v>
      </c>
      <c r="AP15" s="3" t="str">
        <f>IFERROR(MID(VLOOKUP($B15,Seqs!$A:$B,2,0),AQ15,1),"")</f>
        <v>C</v>
      </c>
      <c r="AQ15" s="3">
        <v>350</v>
      </c>
      <c r="AR15" s="3" t="str">
        <f>IFERROR(MID(VLOOKUP($B15,Seqs!$A:$B,2,0),AS15,1),"")</f>
        <v>N</v>
      </c>
      <c r="AS15" s="3">
        <v>354</v>
      </c>
      <c r="AT15" s="3" t="str">
        <f>IFERROR(MID(VLOOKUP($B15,Seqs!$A:$B,2,0),AU15,1),"")</f>
        <v>F</v>
      </c>
      <c r="AU15" s="3">
        <v>383</v>
      </c>
      <c r="AV15" s="3" t="str">
        <f>IFERROR(MID(VLOOKUP($B15,Seqs!$A:$B,2,0),AW15,1),"")</f>
        <v>N</v>
      </c>
      <c r="AW15" s="3">
        <v>384</v>
      </c>
      <c r="AX15" s="3" t="str">
        <f>IFERROR(MID(VLOOKUP($B15,Seqs!$A:$B,2,0),AY15,1),"")</f>
        <v>I</v>
      </c>
      <c r="AY15" s="3">
        <v>395</v>
      </c>
      <c r="AZ15" s="77" t="str">
        <f>VLOOKUP(B15,Classification!A:D,2,0)</f>
        <v>A</v>
      </c>
      <c r="BA15" s="94" t="str">
        <f>VLOOKUP(B15,Classification!A:D,4,0)</f>
        <v>5-Hydroxytryptamine</v>
      </c>
      <c r="BB15" s="27" t="b">
        <f t="shared" si="85"/>
        <v>1</v>
      </c>
      <c r="BC15" s="23">
        <f t="shared" si="86"/>
        <v>251</v>
      </c>
      <c r="BD15" s="4" t="s">
        <v>23</v>
      </c>
      <c r="BE15" s="3" t="s">
        <v>1422</v>
      </c>
      <c r="BF15" s="118">
        <v>2.9</v>
      </c>
      <c r="BG15" s="49" t="s">
        <v>1371</v>
      </c>
      <c r="BH15" s="49" t="s">
        <v>1371</v>
      </c>
      <c r="BI15" s="1"/>
      <c r="BJ15" s="70" t="s">
        <v>1281</v>
      </c>
      <c r="BK15" s="57" t="s">
        <v>1281</v>
      </c>
      <c r="BL15" s="57" t="s">
        <v>1281</v>
      </c>
      <c r="BM15" s="57" t="s">
        <v>1281</v>
      </c>
      <c r="BN15" s="57" t="s">
        <v>1281</v>
      </c>
      <c r="BO15" s="57" t="s">
        <v>1281</v>
      </c>
      <c r="BP15" s="57" t="s">
        <v>1281</v>
      </c>
      <c r="BQ15" s="57" t="s">
        <v>1281</v>
      </c>
      <c r="BR15" s="57" t="s">
        <v>1281</v>
      </c>
      <c r="BS15" s="57" t="s">
        <v>1281</v>
      </c>
      <c r="BT15" s="57" t="s">
        <v>1281</v>
      </c>
      <c r="BU15" s="57" t="s">
        <v>1281</v>
      </c>
      <c r="BV15" s="70">
        <f t="shared" si="87"/>
        <v>53</v>
      </c>
      <c r="BW15" s="71">
        <f t="shared" si="88"/>
        <v>83</v>
      </c>
      <c r="BX15" s="72">
        <f t="shared" si="89"/>
        <v>87</v>
      </c>
      <c r="BY15" s="71">
        <f t="shared" si="90"/>
        <v>120</v>
      </c>
      <c r="BZ15" s="72">
        <f t="shared" si="91"/>
        <v>124</v>
      </c>
      <c r="CA15" s="71" t="str">
        <f t="shared" si="92"/>
        <v>-</v>
      </c>
      <c r="CB15" s="72">
        <f t="shared" si="93"/>
        <v>168</v>
      </c>
      <c r="CC15" s="71">
        <f t="shared" si="94"/>
        <v>207</v>
      </c>
      <c r="CD15" s="72">
        <f t="shared" si="95"/>
        <v>214</v>
      </c>
      <c r="CE15" s="71">
        <f t="shared" si="96"/>
        <v>313</v>
      </c>
      <c r="CF15" s="72">
        <f t="shared" si="97"/>
        <v>354</v>
      </c>
      <c r="CG15" s="71">
        <f t="shared" si="98"/>
        <v>384</v>
      </c>
      <c r="CH15" s="70">
        <f t="shared" si="99"/>
        <v>82</v>
      </c>
      <c r="CI15" s="71">
        <f t="shared" si="100"/>
        <v>86</v>
      </c>
      <c r="CJ15" s="72">
        <f t="shared" si="101"/>
        <v>117</v>
      </c>
      <c r="CK15" s="72">
        <f t="shared" si="102"/>
        <v>123</v>
      </c>
      <c r="CL15" s="72">
        <f t="shared" si="103"/>
        <v>159</v>
      </c>
      <c r="CM15" s="72" t="str">
        <f t="shared" si="104"/>
        <v>-</v>
      </c>
      <c r="CN15" s="72">
        <f t="shared" si="105"/>
        <v>194</v>
      </c>
      <c r="CO15" s="72">
        <f t="shared" si="106"/>
        <v>209</v>
      </c>
      <c r="CP15" s="72">
        <f t="shared" si="107"/>
        <v>248</v>
      </c>
      <c r="CQ15" s="72">
        <f t="shared" si="108"/>
        <v>350</v>
      </c>
      <c r="CR15" s="72">
        <f t="shared" si="109"/>
        <v>383</v>
      </c>
      <c r="CS15" s="72">
        <f t="shared" si="110"/>
        <v>395</v>
      </c>
      <c r="CT15" s="23">
        <f t="shared" si="111"/>
        <v>1</v>
      </c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</row>
    <row r="16" spans="1:1029" s="12" customFormat="1" x14ac:dyDescent="0.2">
      <c r="A16" s="9" t="str">
        <f t="shared" ref="A16" si="112">CONCATENATE(B16,"_",C16)</f>
        <v>5ht2b_human_6DRX</v>
      </c>
      <c r="B16" s="9" t="s">
        <v>35</v>
      </c>
      <c r="C16" s="9" t="s">
        <v>1506</v>
      </c>
      <c r="D16" s="9" t="str">
        <f>IFERROR(MID(VLOOKUP($B16,Seqs!$A:$B,2,0),E16,1),"")</f>
        <v>K</v>
      </c>
      <c r="E16" s="9">
        <v>53</v>
      </c>
      <c r="F16" s="9" t="str">
        <f>IFERROR(MID(VLOOKUP($B16,Seqs!$A:$B,2,0),G16,1),"")</f>
        <v>E</v>
      </c>
      <c r="G16" s="9">
        <v>82</v>
      </c>
      <c r="H16" s="9" t="str">
        <f>IFERROR(MID(VLOOKUP($B16,Seqs!$A:$B,2,0),I16,1),"")</f>
        <v>K</v>
      </c>
      <c r="I16" s="109">
        <v>83</v>
      </c>
      <c r="J16" s="9" t="str">
        <f>IFERROR(MID(VLOOKUP($B16,Seqs!$A:$B,2,0),K16,1),"")</f>
        <v>Q</v>
      </c>
      <c r="K16" s="109">
        <v>86</v>
      </c>
      <c r="L16" s="9" t="str">
        <f>IFERROR(MID(VLOOKUP($B16,Seqs!$A:$B,2,0),M16,1),"")</f>
        <v>Y</v>
      </c>
      <c r="M16" s="9">
        <v>87</v>
      </c>
      <c r="N16" s="9" t="str">
        <f>IFERROR(MID(VLOOKUP($B16,Seqs!$A:$B,2,0),O16,1),"")</f>
        <v>F</v>
      </c>
      <c r="O16" s="9">
        <v>117</v>
      </c>
      <c r="P16" s="9" t="str">
        <f>IFERROR(MID(VLOOKUP($B16,Seqs!$A:$B,2,0),Q16,1),"")</f>
        <v>M</v>
      </c>
      <c r="Q16" s="9">
        <v>120</v>
      </c>
      <c r="R16" s="9" t="str">
        <f>IFERROR(MID(VLOOKUP($B16,Seqs!$A:$B,2,0),S16,1),"")</f>
        <v>L</v>
      </c>
      <c r="S16" s="9">
        <v>123</v>
      </c>
      <c r="T16" s="9" t="str">
        <f>IFERROR(MID(VLOOKUP($B16,Seqs!$A:$B,2,0),U16,1),"")</f>
        <v>P</v>
      </c>
      <c r="U16" s="9">
        <v>124</v>
      </c>
      <c r="V16" s="9" t="str">
        <f>IFERROR(MID(VLOOKUP($B16,Seqs!$A:$B,2,0),W16,1),"")</f>
        <v>K</v>
      </c>
      <c r="W16" s="9">
        <v>159</v>
      </c>
      <c r="X16" s="9" t="str">
        <f>IFERROR(MID(VLOOKUP($B16,Seqs!$A:$B,2,0),Y16,1),"")</f>
        <v/>
      </c>
      <c r="Y16" s="9" t="s">
        <v>23</v>
      </c>
      <c r="Z16" s="9" t="str">
        <f>IFERROR(MID(VLOOKUP($B16,Seqs!$A:$B,2,0),AA16,1),"")</f>
        <v/>
      </c>
      <c r="AA16" s="9" t="s">
        <v>23</v>
      </c>
      <c r="AB16" s="9" t="str">
        <f>IFERROR(MID(VLOOKUP($B16,Seqs!$A:$B,2,0),AC16,1),"")</f>
        <v>N</v>
      </c>
      <c r="AC16" s="9">
        <v>164</v>
      </c>
      <c r="AD16" s="9" t="str">
        <f>IFERROR(MID(VLOOKUP($B16,Seqs!$A:$B,2,0),AE16,1),"")</f>
        <v>G</v>
      </c>
      <c r="AE16" s="9">
        <v>194</v>
      </c>
      <c r="AF16" s="9" t="str">
        <f>IFERROR(MID(VLOOKUP($B16,Seqs!$A:$B,2,0),AG16,1),"")</f>
        <v>C</v>
      </c>
      <c r="AG16" s="9">
        <v>207</v>
      </c>
      <c r="AH16" s="9" t="str">
        <f>IFERROR(MID(VLOOKUP($B16,Seqs!$A:$B,2,0),AI16,1),"")</f>
        <v>L</v>
      </c>
      <c r="AI16" s="9">
        <v>209</v>
      </c>
      <c r="AJ16" s="9" t="str">
        <f>IFERROR(MID(VLOOKUP($B16,Seqs!$A:$B,2,0),AK16,1),"")</f>
        <v>F</v>
      </c>
      <c r="AK16" s="9">
        <v>214</v>
      </c>
      <c r="AL16" s="9" t="str">
        <f>IFERROR(MID(VLOOKUP($B16,Seqs!$A:$B,2,0),AM16,1),"")</f>
        <v>A</v>
      </c>
      <c r="AM16" s="9">
        <v>248</v>
      </c>
      <c r="AN16" s="9" t="str">
        <f>IFERROR(MID(VLOOKUP($B16,Seqs!$A:$B,2,0),AO16,1),"")</f>
        <v>Q</v>
      </c>
      <c r="AO16" s="9">
        <v>314</v>
      </c>
      <c r="AP16" s="9" t="str">
        <f>IFERROR(MID(VLOOKUP($B16,Seqs!$A:$B,2,0),AQ16,1),"")</f>
        <v>C</v>
      </c>
      <c r="AQ16" s="9">
        <v>350</v>
      </c>
      <c r="AR16" s="9" t="str">
        <f>IFERROR(MID(VLOOKUP($B16,Seqs!$A:$B,2,0),AS16,1),"")</f>
        <v>N</v>
      </c>
      <c r="AS16" s="9">
        <v>354</v>
      </c>
      <c r="AT16" s="9" t="str">
        <f>IFERROR(MID(VLOOKUP($B16,Seqs!$A:$B,2,0),AU16,1),"")</f>
        <v>F</v>
      </c>
      <c r="AU16" s="9">
        <v>383</v>
      </c>
      <c r="AV16" s="9" t="str">
        <f>IFERROR(MID(VLOOKUP($B16,Seqs!$A:$B,2,0),AW16,1),"")</f>
        <v>N</v>
      </c>
      <c r="AW16" s="9">
        <v>384</v>
      </c>
      <c r="AX16" s="9" t="str">
        <f>IFERROR(MID(VLOOKUP($B16,Seqs!$A:$B,2,0),AY16,1),"")</f>
        <v>I</v>
      </c>
      <c r="AY16" s="9">
        <v>395</v>
      </c>
      <c r="AZ16" s="110" t="str">
        <f>VLOOKUP(B16,Classification!A:D,2,0)</f>
        <v>A</v>
      </c>
      <c r="BA16" s="98" t="str">
        <f>VLOOKUP(B16,Classification!A:D,4,0)</f>
        <v>5-Hydroxytryptamine</v>
      </c>
      <c r="BB16" s="36" t="b">
        <f t="shared" ref="BB16" si="113">AND(E16&lt;G16,OR(G16&lt;I16,I16="-"),OR(I16&lt;K16,I16="-"),OR(K16&lt;M16,K16="-"),M16&lt;O16,OR(O16&lt;Q16,Q16="-"),OR(Q16&lt;S16,Q16="-"),OR(S16&lt;U16,S16="-"),U16&lt;W16,OR(W16&lt;Y16,Y16="-"),OR(Y16&lt;AA16,Y16="-"),OR(AA16&lt;AC16,AA16="-"),AC16&lt;AE16,OR(AE16&lt;AG16,AG16="-"),OR(AG16&lt;AI16,AG16="-"),OR(AI16&lt;AK16,AI16="-"),AK16&lt;AM16,AM16&lt;AO16,AO16&lt;AQ16,AQ16&lt;AS16,AS16&lt;AU16,OR(AU16&lt;AW16,AW16="-"),OR(AW16&lt;AY16,AW16="-"))</f>
        <v>1</v>
      </c>
      <c r="BC16" s="109">
        <f t="shared" ref="BC16" si="114">_xlfn.AGGREGATE(9,6,CH16:CS16)-_xlfn.AGGREGATE(9,6,BV16:CG16)+12</f>
        <v>254</v>
      </c>
      <c r="BD16" s="11" t="s">
        <v>23</v>
      </c>
      <c r="BE16" s="9" t="s">
        <v>1422</v>
      </c>
      <c r="BF16" s="119">
        <v>3.1</v>
      </c>
      <c r="BG16" s="51" t="s">
        <v>1</v>
      </c>
      <c r="BH16" s="51" t="s">
        <v>1</v>
      </c>
      <c r="BJ16" s="111" t="s">
        <v>1281</v>
      </c>
      <c r="BK16" s="112" t="s">
        <v>1281</v>
      </c>
      <c r="BL16" s="112" t="s">
        <v>1281</v>
      </c>
      <c r="BM16" s="112" t="s">
        <v>1281</v>
      </c>
      <c r="BN16" s="112" t="s">
        <v>1281</v>
      </c>
      <c r="BO16" s="112" t="s">
        <v>1281</v>
      </c>
      <c r="BP16" s="112" t="s">
        <v>1281</v>
      </c>
      <c r="BQ16" s="112" t="s">
        <v>1281</v>
      </c>
      <c r="BR16" s="112" t="s">
        <v>1281</v>
      </c>
      <c r="BS16" s="112" t="s">
        <v>1281</v>
      </c>
      <c r="BT16" s="112" t="s">
        <v>1281</v>
      </c>
      <c r="BU16" s="112" t="s">
        <v>1281</v>
      </c>
      <c r="BV16" s="111">
        <f t="shared" ref="BV16" si="115">E16</f>
        <v>53</v>
      </c>
      <c r="BW16" s="113">
        <f t="shared" ref="BW16" si="116">I16</f>
        <v>83</v>
      </c>
      <c r="BX16" s="114">
        <f t="shared" ref="BX16" si="117">M16</f>
        <v>87</v>
      </c>
      <c r="BY16" s="113">
        <f t="shared" ref="BY16" si="118">Q16</f>
        <v>120</v>
      </c>
      <c r="BZ16" s="114">
        <f t="shared" ref="BZ16" si="119">U16</f>
        <v>124</v>
      </c>
      <c r="CA16" s="113" t="str">
        <f t="shared" ref="CA16" si="120">Y16</f>
        <v>-</v>
      </c>
      <c r="CB16" s="114">
        <f t="shared" ref="CB16" si="121">AC16</f>
        <v>164</v>
      </c>
      <c r="CC16" s="113">
        <f t="shared" ref="CC16" si="122">AG16</f>
        <v>207</v>
      </c>
      <c r="CD16" s="114">
        <f t="shared" ref="CD16" si="123">AK16</f>
        <v>214</v>
      </c>
      <c r="CE16" s="113">
        <f t="shared" ref="CE16" si="124">AO16</f>
        <v>314</v>
      </c>
      <c r="CF16" s="114">
        <f t="shared" ref="CF16" si="125">AS16</f>
        <v>354</v>
      </c>
      <c r="CG16" s="113">
        <f t="shared" ref="CG16" si="126">AW16</f>
        <v>384</v>
      </c>
      <c r="CH16" s="111">
        <f t="shared" ref="CH16" si="127">G16</f>
        <v>82</v>
      </c>
      <c r="CI16" s="113">
        <f t="shared" ref="CI16" si="128">K16</f>
        <v>86</v>
      </c>
      <c r="CJ16" s="114">
        <f t="shared" ref="CJ16" si="129">O16</f>
        <v>117</v>
      </c>
      <c r="CK16" s="114">
        <f t="shared" ref="CK16" si="130">S16</f>
        <v>123</v>
      </c>
      <c r="CL16" s="114">
        <f t="shared" ref="CL16" si="131">W16</f>
        <v>159</v>
      </c>
      <c r="CM16" s="114" t="str">
        <f t="shared" ref="CM16" si="132">AA16</f>
        <v>-</v>
      </c>
      <c r="CN16" s="114">
        <f t="shared" ref="CN16" si="133">AE16</f>
        <v>194</v>
      </c>
      <c r="CO16" s="114">
        <f t="shared" ref="CO16" si="134">AI16</f>
        <v>209</v>
      </c>
      <c r="CP16" s="114">
        <f t="shared" ref="CP16" si="135">AM16</f>
        <v>248</v>
      </c>
      <c r="CQ16" s="114">
        <f t="shared" ref="CQ16" si="136">AQ16</f>
        <v>350</v>
      </c>
      <c r="CR16" s="114">
        <f t="shared" ref="CR16" si="137">AU16</f>
        <v>383</v>
      </c>
      <c r="CS16" s="114">
        <f t="shared" ref="CS16" si="138">AY16</f>
        <v>395</v>
      </c>
      <c r="CT16" s="109">
        <f t="shared" ref="CT16" si="139">M16-K16</f>
        <v>1</v>
      </c>
    </row>
    <row r="17" spans="1:1029" s="12" customFormat="1" x14ac:dyDescent="0.2">
      <c r="A17" s="9" t="str">
        <f t="shared" ref="A17" si="140">CONCATENATE(B17,"_",C17)</f>
        <v>5ht2b_human_6DRY</v>
      </c>
      <c r="B17" s="9" t="s">
        <v>35</v>
      </c>
      <c r="C17" s="9" t="s">
        <v>1507</v>
      </c>
      <c r="D17" s="9" t="str">
        <f>IFERROR(MID(VLOOKUP($B17,Seqs!$A:$B,2,0),E17,1),"")</f>
        <v>K</v>
      </c>
      <c r="E17" s="9">
        <v>53</v>
      </c>
      <c r="F17" s="9" t="str">
        <f>IFERROR(MID(VLOOKUP($B17,Seqs!$A:$B,2,0),G17,1),"")</f>
        <v>E</v>
      </c>
      <c r="G17" s="9">
        <v>82</v>
      </c>
      <c r="H17" s="9" t="str">
        <f>IFERROR(MID(VLOOKUP($B17,Seqs!$A:$B,2,0),I17,1),"")</f>
        <v>K</v>
      </c>
      <c r="I17" s="109">
        <v>83</v>
      </c>
      <c r="J17" s="9" t="str">
        <f>IFERROR(MID(VLOOKUP($B17,Seqs!$A:$B,2,0),K17,1),"")</f>
        <v>Q</v>
      </c>
      <c r="K17" s="109">
        <v>86</v>
      </c>
      <c r="L17" s="9" t="str">
        <f>IFERROR(MID(VLOOKUP($B17,Seqs!$A:$B,2,0),M17,1),"")</f>
        <v>Y</v>
      </c>
      <c r="M17" s="9">
        <v>87</v>
      </c>
      <c r="N17" s="9" t="str">
        <f>IFERROR(MID(VLOOKUP($B17,Seqs!$A:$B,2,0),O17,1),"")</f>
        <v>F</v>
      </c>
      <c r="O17" s="9">
        <v>117</v>
      </c>
      <c r="P17" s="9" t="str">
        <f>IFERROR(MID(VLOOKUP($B17,Seqs!$A:$B,2,0),Q17,1),"")</f>
        <v>M</v>
      </c>
      <c r="Q17" s="9">
        <v>120</v>
      </c>
      <c r="R17" s="9" t="str">
        <f>IFERROR(MID(VLOOKUP($B17,Seqs!$A:$B,2,0),S17,1),"")</f>
        <v>L</v>
      </c>
      <c r="S17" s="9">
        <v>123</v>
      </c>
      <c r="T17" s="9" t="str">
        <f>IFERROR(MID(VLOOKUP($B17,Seqs!$A:$B,2,0),U17,1),"")</f>
        <v>P</v>
      </c>
      <c r="U17" s="9">
        <v>124</v>
      </c>
      <c r="V17" s="9" t="str">
        <f>IFERROR(MID(VLOOKUP($B17,Seqs!$A:$B,2,0),W17,1),"")</f>
        <v>K</v>
      </c>
      <c r="W17" s="9">
        <v>159</v>
      </c>
      <c r="X17" s="9" t="str">
        <f>IFERROR(MID(VLOOKUP($B17,Seqs!$A:$B,2,0),Y17,1),"")</f>
        <v/>
      </c>
      <c r="Y17" s="9" t="s">
        <v>23</v>
      </c>
      <c r="Z17" s="9" t="str">
        <f>IFERROR(MID(VLOOKUP($B17,Seqs!$A:$B,2,0),AA17,1),"")</f>
        <v/>
      </c>
      <c r="AA17" s="9" t="s">
        <v>23</v>
      </c>
      <c r="AB17" s="9" t="str">
        <f>IFERROR(MID(VLOOKUP($B17,Seqs!$A:$B,2,0),AC17,1),"")</f>
        <v>S</v>
      </c>
      <c r="AC17" s="9">
        <v>168</v>
      </c>
      <c r="AD17" s="9" t="str">
        <f>IFERROR(MID(VLOOKUP($B17,Seqs!$A:$B,2,0),AE17,1),"")</f>
        <v>G</v>
      </c>
      <c r="AE17" s="9">
        <v>194</v>
      </c>
      <c r="AF17" s="9" t="str">
        <f>IFERROR(MID(VLOOKUP($B17,Seqs!$A:$B,2,0),AG17,1),"")</f>
        <v>C</v>
      </c>
      <c r="AG17" s="9">
        <v>207</v>
      </c>
      <c r="AH17" s="9" t="str">
        <f>IFERROR(MID(VLOOKUP($B17,Seqs!$A:$B,2,0),AI17,1),"")</f>
        <v>L</v>
      </c>
      <c r="AI17" s="9">
        <v>209</v>
      </c>
      <c r="AJ17" s="9" t="str">
        <f>IFERROR(MID(VLOOKUP($B17,Seqs!$A:$B,2,0),AK17,1),"")</f>
        <v>F</v>
      </c>
      <c r="AK17" s="9">
        <v>214</v>
      </c>
      <c r="AL17" s="9" t="str">
        <f>IFERROR(MID(VLOOKUP($B17,Seqs!$A:$B,2,0),AM17,1),"")</f>
        <v>A</v>
      </c>
      <c r="AM17" s="9">
        <v>248</v>
      </c>
      <c r="AN17" s="9" t="str">
        <f>IFERROR(MID(VLOOKUP($B17,Seqs!$A:$B,2,0),AO17,1),"")</f>
        <v>V</v>
      </c>
      <c r="AO17" s="9">
        <v>313</v>
      </c>
      <c r="AP17" s="9" t="str">
        <f>IFERROR(MID(VLOOKUP($B17,Seqs!$A:$B,2,0),AQ17,1),"")</f>
        <v>C</v>
      </c>
      <c r="AQ17" s="9">
        <v>350</v>
      </c>
      <c r="AR17" s="9" t="str">
        <f>IFERROR(MID(VLOOKUP($B17,Seqs!$A:$B,2,0),AS17,1),"")</f>
        <v>N</v>
      </c>
      <c r="AS17" s="9">
        <v>354</v>
      </c>
      <c r="AT17" s="9" t="str">
        <f>IFERROR(MID(VLOOKUP($B17,Seqs!$A:$B,2,0),AU17,1),"")</f>
        <v>F</v>
      </c>
      <c r="AU17" s="9">
        <v>383</v>
      </c>
      <c r="AV17" s="9" t="str">
        <f>IFERROR(MID(VLOOKUP($B17,Seqs!$A:$B,2,0),AW17,1),"")</f>
        <v>N</v>
      </c>
      <c r="AW17" s="9">
        <v>384</v>
      </c>
      <c r="AX17" s="9" t="str">
        <f>IFERROR(MID(VLOOKUP($B17,Seqs!$A:$B,2,0),AY17,1),"")</f>
        <v>I</v>
      </c>
      <c r="AY17" s="9">
        <v>395</v>
      </c>
      <c r="AZ17" s="110" t="str">
        <f>VLOOKUP(B17,Classification!A:D,2,0)</f>
        <v>A</v>
      </c>
      <c r="BA17" s="98" t="str">
        <f>VLOOKUP(B17,Classification!A:D,4,0)</f>
        <v>5-Hydroxytryptamine</v>
      </c>
      <c r="BB17" s="36" t="b">
        <f t="shared" ref="BB17" si="141">AND(E17&lt;G17,OR(G17&lt;I17,I17="-"),OR(I17&lt;K17,I17="-"),OR(K17&lt;M17,K17="-"),M17&lt;O17,OR(O17&lt;Q17,Q17="-"),OR(Q17&lt;S17,Q17="-"),OR(S17&lt;U17,S17="-"),U17&lt;W17,OR(W17&lt;Y17,Y17="-"),OR(Y17&lt;AA17,Y17="-"),OR(AA17&lt;AC17,AA17="-"),AC17&lt;AE17,OR(AE17&lt;AG17,AG17="-"),OR(AG17&lt;AI17,AG17="-"),OR(AI17&lt;AK17,AI17="-"),AK17&lt;AM17,AM17&lt;AO17,AO17&lt;AQ17,AQ17&lt;AS17,AS17&lt;AU17,OR(AU17&lt;AW17,AW17="-"),OR(AW17&lt;AY17,AW17="-"))</f>
        <v>1</v>
      </c>
      <c r="BC17" s="109">
        <f t="shared" ref="BC17" si="142">_xlfn.AGGREGATE(9,6,CH17:CS17)-_xlfn.AGGREGATE(9,6,BV17:CG17)+12</f>
        <v>251</v>
      </c>
      <c r="BD17" s="11" t="s">
        <v>23</v>
      </c>
      <c r="BE17" s="9" t="s">
        <v>1422</v>
      </c>
      <c r="BF17" s="119">
        <v>2.92</v>
      </c>
      <c r="BG17" s="51" t="s">
        <v>1</v>
      </c>
      <c r="BH17" s="51" t="s">
        <v>1</v>
      </c>
      <c r="BJ17" s="111" t="s">
        <v>1281</v>
      </c>
      <c r="BK17" s="112" t="s">
        <v>1281</v>
      </c>
      <c r="BL17" s="112" t="s">
        <v>1281</v>
      </c>
      <c r="BM17" s="112" t="s">
        <v>1281</v>
      </c>
      <c r="BN17" s="112" t="s">
        <v>1281</v>
      </c>
      <c r="BO17" s="112" t="s">
        <v>1281</v>
      </c>
      <c r="BP17" s="112" t="s">
        <v>1281</v>
      </c>
      <c r="BQ17" s="112" t="s">
        <v>1281</v>
      </c>
      <c r="BR17" s="112" t="s">
        <v>1281</v>
      </c>
      <c r="BS17" s="112" t="s">
        <v>1281</v>
      </c>
      <c r="BT17" s="112" t="s">
        <v>1281</v>
      </c>
      <c r="BU17" s="112" t="s">
        <v>1281</v>
      </c>
      <c r="BV17" s="111">
        <f t="shared" ref="BV17" si="143">E17</f>
        <v>53</v>
      </c>
      <c r="BW17" s="113">
        <f t="shared" ref="BW17" si="144">I17</f>
        <v>83</v>
      </c>
      <c r="BX17" s="114">
        <f t="shared" ref="BX17" si="145">M17</f>
        <v>87</v>
      </c>
      <c r="BY17" s="113">
        <f t="shared" ref="BY17" si="146">Q17</f>
        <v>120</v>
      </c>
      <c r="BZ17" s="114">
        <f t="shared" ref="BZ17" si="147">U17</f>
        <v>124</v>
      </c>
      <c r="CA17" s="113" t="str">
        <f t="shared" ref="CA17" si="148">Y17</f>
        <v>-</v>
      </c>
      <c r="CB17" s="114">
        <f t="shared" ref="CB17" si="149">AC17</f>
        <v>168</v>
      </c>
      <c r="CC17" s="113">
        <f t="shared" ref="CC17" si="150">AG17</f>
        <v>207</v>
      </c>
      <c r="CD17" s="114">
        <f t="shared" ref="CD17" si="151">AK17</f>
        <v>214</v>
      </c>
      <c r="CE17" s="113">
        <f t="shared" ref="CE17" si="152">AO17</f>
        <v>313</v>
      </c>
      <c r="CF17" s="114">
        <f t="shared" ref="CF17" si="153">AS17</f>
        <v>354</v>
      </c>
      <c r="CG17" s="113">
        <f t="shared" ref="CG17" si="154">AW17</f>
        <v>384</v>
      </c>
      <c r="CH17" s="111">
        <f t="shared" ref="CH17" si="155">G17</f>
        <v>82</v>
      </c>
      <c r="CI17" s="113">
        <f t="shared" ref="CI17" si="156">K17</f>
        <v>86</v>
      </c>
      <c r="CJ17" s="114">
        <f t="shared" ref="CJ17" si="157">O17</f>
        <v>117</v>
      </c>
      <c r="CK17" s="114">
        <f t="shared" ref="CK17" si="158">S17</f>
        <v>123</v>
      </c>
      <c r="CL17" s="114">
        <f t="shared" ref="CL17" si="159">W17</f>
        <v>159</v>
      </c>
      <c r="CM17" s="114" t="str">
        <f t="shared" ref="CM17" si="160">AA17</f>
        <v>-</v>
      </c>
      <c r="CN17" s="114">
        <f t="shared" ref="CN17" si="161">AE17</f>
        <v>194</v>
      </c>
      <c r="CO17" s="114">
        <f t="shared" ref="CO17" si="162">AI17</f>
        <v>209</v>
      </c>
      <c r="CP17" s="114">
        <f t="shared" ref="CP17" si="163">AM17</f>
        <v>248</v>
      </c>
      <c r="CQ17" s="114">
        <f t="shared" ref="CQ17" si="164">AQ17</f>
        <v>350</v>
      </c>
      <c r="CR17" s="114">
        <f t="shared" ref="CR17" si="165">AU17</f>
        <v>383</v>
      </c>
      <c r="CS17" s="114">
        <f t="shared" ref="CS17" si="166">AY17</f>
        <v>395</v>
      </c>
      <c r="CT17" s="109">
        <f t="shared" ref="CT17" si="167">M17-K17</f>
        <v>1</v>
      </c>
    </row>
    <row r="18" spans="1:1029" s="12" customFormat="1" x14ac:dyDescent="0.2">
      <c r="A18" s="9" t="str">
        <f t="shared" ref="A18" si="168">CONCATENATE(B18,"_",C18)</f>
        <v>5ht2b_human_6DRZ</v>
      </c>
      <c r="B18" s="9" t="s">
        <v>35</v>
      </c>
      <c r="C18" s="9" t="s">
        <v>1508</v>
      </c>
      <c r="D18" s="9" t="str">
        <f>IFERROR(MID(VLOOKUP($B18,Seqs!$A:$B,2,0),E18,1),"")</f>
        <v>K</v>
      </c>
      <c r="E18" s="9">
        <v>53</v>
      </c>
      <c r="F18" s="9" t="str">
        <f>IFERROR(MID(VLOOKUP($B18,Seqs!$A:$B,2,0),G18,1),"")</f>
        <v>E</v>
      </c>
      <c r="G18" s="9">
        <v>82</v>
      </c>
      <c r="H18" s="9" t="str">
        <f>IFERROR(MID(VLOOKUP($B18,Seqs!$A:$B,2,0),I18,1),"")</f>
        <v>K</v>
      </c>
      <c r="I18" s="109">
        <v>83</v>
      </c>
      <c r="J18" s="9" t="str">
        <f>IFERROR(MID(VLOOKUP($B18,Seqs!$A:$B,2,0),K18,1),"")</f>
        <v>Q</v>
      </c>
      <c r="K18" s="109">
        <v>86</v>
      </c>
      <c r="L18" s="9" t="str">
        <f>IFERROR(MID(VLOOKUP($B18,Seqs!$A:$B,2,0),M18,1),"")</f>
        <v>Y</v>
      </c>
      <c r="M18" s="9">
        <v>87</v>
      </c>
      <c r="N18" s="9" t="str">
        <f>IFERROR(MID(VLOOKUP($B18,Seqs!$A:$B,2,0),O18,1),"")</f>
        <v>F</v>
      </c>
      <c r="O18" s="9">
        <v>117</v>
      </c>
      <c r="P18" s="9" t="str">
        <f>IFERROR(MID(VLOOKUP($B18,Seqs!$A:$B,2,0),Q18,1),"")</f>
        <v>M</v>
      </c>
      <c r="Q18" s="9">
        <v>120</v>
      </c>
      <c r="R18" s="9" t="str">
        <f>IFERROR(MID(VLOOKUP($B18,Seqs!$A:$B,2,0),S18,1),"")</f>
        <v>L</v>
      </c>
      <c r="S18" s="9">
        <v>123</v>
      </c>
      <c r="T18" s="9" t="str">
        <f>IFERROR(MID(VLOOKUP($B18,Seqs!$A:$B,2,0),U18,1),"")</f>
        <v>P</v>
      </c>
      <c r="U18" s="9">
        <v>124</v>
      </c>
      <c r="V18" s="9" t="str">
        <f>IFERROR(MID(VLOOKUP($B18,Seqs!$A:$B,2,0),W18,1),"")</f>
        <v>K</v>
      </c>
      <c r="W18" s="9">
        <v>159</v>
      </c>
      <c r="X18" s="9" t="str">
        <f>IFERROR(MID(VLOOKUP($B18,Seqs!$A:$B,2,0),Y18,1),"")</f>
        <v/>
      </c>
      <c r="Y18" s="9" t="s">
        <v>23</v>
      </c>
      <c r="Z18" s="9" t="str">
        <f>IFERROR(MID(VLOOKUP($B18,Seqs!$A:$B,2,0),AA18,1),"")</f>
        <v/>
      </c>
      <c r="AA18" s="9" t="s">
        <v>23</v>
      </c>
      <c r="AB18" s="9" t="str">
        <f>IFERROR(MID(VLOOKUP($B18,Seqs!$A:$B,2,0),AC18,1),"")</f>
        <v>R</v>
      </c>
      <c r="AC18" s="9">
        <v>169</v>
      </c>
      <c r="AD18" s="9" t="str">
        <f>IFERROR(MID(VLOOKUP($B18,Seqs!$A:$B,2,0),AE18,1),"")</f>
        <v>G</v>
      </c>
      <c r="AE18" s="9">
        <v>194</v>
      </c>
      <c r="AF18" s="9" t="str">
        <f>IFERROR(MID(VLOOKUP($B18,Seqs!$A:$B,2,0),AG18,1),"")</f>
        <v>C</v>
      </c>
      <c r="AG18" s="9">
        <v>207</v>
      </c>
      <c r="AH18" s="9" t="str">
        <f>IFERROR(MID(VLOOKUP($B18,Seqs!$A:$B,2,0),AI18,1),"")</f>
        <v>L</v>
      </c>
      <c r="AI18" s="9">
        <v>209</v>
      </c>
      <c r="AJ18" s="9" t="str">
        <f>IFERROR(MID(VLOOKUP($B18,Seqs!$A:$B,2,0),AK18,1),"")</f>
        <v>F</v>
      </c>
      <c r="AK18" s="9">
        <v>214</v>
      </c>
      <c r="AL18" s="9" t="str">
        <f>IFERROR(MID(VLOOKUP($B18,Seqs!$A:$B,2,0),AM18,1),"")</f>
        <v>A</v>
      </c>
      <c r="AM18" s="9">
        <v>248</v>
      </c>
      <c r="AN18" s="9" t="str">
        <f>IFERROR(MID(VLOOKUP($B18,Seqs!$A:$B,2,0),AO18,1),"")</f>
        <v>V</v>
      </c>
      <c r="AO18" s="9">
        <v>313</v>
      </c>
      <c r="AP18" s="9" t="str">
        <f>IFERROR(MID(VLOOKUP($B18,Seqs!$A:$B,2,0),AQ18,1),"")</f>
        <v>C</v>
      </c>
      <c r="AQ18" s="9">
        <v>350</v>
      </c>
      <c r="AR18" s="9" t="str">
        <f>IFERROR(MID(VLOOKUP($B18,Seqs!$A:$B,2,0),AS18,1),"")</f>
        <v>N</v>
      </c>
      <c r="AS18" s="9">
        <v>354</v>
      </c>
      <c r="AT18" s="9" t="str">
        <f>IFERROR(MID(VLOOKUP($B18,Seqs!$A:$B,2,0),AU18,1),"")</f>
        <v>F</v>
      </c>
      <c r="AU18" s="9">
        <v>383</v>
      </c>
      <c r="AV18" s="9" t="str">
        <f>IFERROR(MID(VLOOKUP($B18,Seqs!$A:$B,2,0),AW18,1),"")</f>
        <v>N</v>
      </c>
      <c r="AW18" s="9">
        <v>384</v>
      </c>
      <c r="AX18" s="9" t="str">
        <f>IFERROR(MID(VLOOKUP($B18,Seqs!$A:$B,2,0),AY18,1),"")</f>
        <v>I</v>
      </c>
      <c r="AY18" s="9">
        <v>395</v>
      </c>
      <c r="AZ18" s="110" t="str">
        <f>VLOOKUP(B18,Classification!A:D,2,0)</f>
        <v>A</v>
      </c>
      <c r="BA18" s="98" t="str">
        <f>VLOOKUP(B18,Classification!A:D,4,0)</f>
        <v>5-Hydroxytryptamine</v>
      </c>
      <c r="BB18" s="36" t="b">
        <f t="shared" ref="BB18" si="169">AND(E18&lt;G18,OR(G18&lt;I18,I18="-"),OR(I18&lt;K18,I18="-"),OR(K18&lt;M18,K18="-"),M18&lt;O18,OR(O18&lt;Q18,Q18="-"),OR(Q18&lt;S18,Q18="-"),OR(S18&lt;U18,S18="-"),U18&lt;W18,OR(W18&lt;Y18,Y18="-"),OR(Y18&lt;AA18,Y18="-"),OR(AA18&lt;AC18,AA18="-"),AC18&lt;AE18,OR(AE18&lt;AG18,AG18="-"),OR(AG18&lt;AI18,AG18="-"),OR(AI18&lt;AK18,AI18="-"),AK18&lt;AM18,AM18&lt;AO18,AO18&lt;AQ18,AQ18&lt;AS18,AS18&lt;AU18,OR(AU18&lt;AW18,AW18="-"),OR(AW18&lt;AY18,AW18="-"))</f>
        <v>1</v>
      </c>
      <c r="BC18" s="109">
        <f t="shared" ref="BC18" si="170">_xlfn.AGGREGATE(9,6,CH18:CS18)-_xlfn.AGGREGATE(9,6,BV18:CG18)+12</f>
        <v>250</v>
      </c>
      <c r="BD18" s="11" t="s">
        <v>23</v>
      </c>
      <c r="BE18" s="9" t="s">
        <v>1422</v>
      </c>
      <c r="BF18" s="119">
        <v>3.1</v>
      </c>
      <c r="BG18" s="51" t="s">
        <v>1</v>
      </c>
      <c r="BH18" s="51" t="s">
        <v>1</v>
      </c>
      <c r="BJ18" s="111" t="s">
        <v>1281</v>
      </c>
      <c r="BK18" s="112" t="s">
        <v>1281</v>
      </c>
      <c r="BL18" s="112" t="s">
        <v>1281</v>
      </c>
      <c r="BM18" s="112" t="s">
        <v>1281</v>
      </c>
      <c r="BN18" s="112" t="s">
        <v>1281</v>
      </c>
      <c r="BO18" s="112" t="s">
        <v>1281</v>
      </c>
      <c r="BP18" s="112" t="s">
        <v>1281</v>
      </c>
      <c r="BQ18" s="112" t="s">
        <v>1281</v>
      </c>
      <c r="BR18" s="112" t="s">
        <v>1281</v>
      </c>
      <c r="BS18" s="112" t="s">
        <v>1281</v>
      </c>
      <c r="BT18" s="112" t="s">
        <v>1281</v>
      </c>
      <c r="BU18" s="112" t="s">
        <v>1281</v>
      </c>
      <c r="BV18" s="111">
        <f t="shared" ref="BV18" si="171">E18</f>
        <v>53</v>
      </c>
      <c r="BW18" s="113">
        <f t="shared" ref="BW18" si="172">I18</f>
        <v>83</v>
      </c>
      <c r="BX18" s="114">
        <f t="shared" ref="BX18" si="173">M18</f>
        <v>87</v>
      </c>
      <c r="BY18" s="113">
        <f t="shared" ref="BY18" si="174">Q18</f>
        <v>120</v>
      </c>
      <c r="BZ18" s="114">
        <f t="shared" ref="BZ18" si="175">U18</f>
        <v>124</v>
      </c>
      <c r="CA18" s="113" t="str">
        <f t="shared" ref="CA18" si="176">Y18</f>
        <v>-</v>
      </c>
      <c r="CB18" s="114">
        <f t="shared" ref="CB18" si="177">AC18</f>
        <v>169</v>
      </c>
      <c r="CC18" s="113">
        <f t="shared" ref="CC18" si="178">AG18</f>
        <v>207</v>
      </c>
      <c r="CD18" s="114">
        <f t="shared" ref="CD18" si="179">AK18</f>
        <v>214</v>
      </c>
      <c r="CE18" s="113">
        <f t="shared" ref="CE18" si="180">AO18</f>
        <v>313</v>
      </c>
      <c r="CF18" s="114">
        <f t="shared" ref="CF18" si="181">AS18</f>
        <v>354</v>
      </c>
      <c r="CG18" s="113">
        <f t="shared" ref="CG18" si="182">AW18</f>
        <v>384</v>
      </c>
      <c r="CH18" s="111">
        <f t="shared" ref="CH18" si="183">G18</f>
        <v>82</v>
      </c>
      <c r="CI18" s="113">
        <f t="shared" ref="CI18" si="184">K18</f>
        <v>86</v>
      </c>
      <c r="CJ18" s="114">
        <f t="shared" ref="CJ18" si="185">O18</f>
        <v>117</v>
      </c>
      <c r="CK18" s="114">
        <f t="shared" ref="CK18" si="186">S18</f>
        <v>123</v>
      </c>
      <c r="CL18" s="114">
        <f t="shared" ref="CL18" si="187">W18</f>
        <v>159</v>
      </c>
      <c r="CM18" s="114" t="str">
        <f t="shared" ref="CM18" si="188">AA18</f>
        <v>-</v>
      </c>
      <c r="CN18" s="114">
        <f t="shared" ref="CN18" si="189">AE18</f>
        <v>194</v>
      </c>
      <c r="CO18" s="114">
        <f t="shared" ref="CO18" si="190">AI18</f>
        <v>209</v>
      </c>
      <c r="CP18" s="114">
        <f t="shared" ref="CP18" si="191">AM18</f>
        <v>248</v>
      </c>
      <c r="CQ18" s="114">
        <f t="shared" ref="CQ18" si="192">AQ18</f>
        <v>350</v>
      </c>
      <c r="CR18" s="114">
        <f t="shared" ref="CR18" si="193">AU18</f>
        <v>383</v>
      </c>
      <c r="CS18" s="114">
        <f t="shared" ref="CS18" si="194">AY18</f>
        <v>395</v>
      </c>
      <c r="CT18" s="109">
        <f t="shared" ref="CT18" si="195">M18-K18</f>
        <v>1</v>
      </c>
    </row>
    <row r="19" spans="1:1029" s="12" customFormat="1" x14ac:dyDescent="0.2">
      <c r="A19" s="9" t="str">
        <f t="shared" ref="A19" si="196">CONCATENATE(B19,"_",C19)</f>
        <v>5ht2b_human_6DS0</v>
      </c>
      <c r="B19" s="9" t="s">
        <v>35</v>
      </c>
      <c r="C19" s="9" t="s">
        <v>1509</v>
      </c>
      <c r="D19" s="9" t="str">
        <f>IFERROR(MID(VLOOKUP($B19,Seqs!$A:$B,2,0),E19,1),"")</f>
        <v>K</v>
      </c>
      <c r="E19" s="9">
        <v>53</v>
      </c>
      <c r="F19" s="9" t="str">
        <f>IFERROR(MID(VLOOKUP($B19,Seqs!$A:$B,2,0),G19,1),"")</f>
        <v>E</v>
      </c>
      <c r="G19" s="9">
        <v>82</v>
      </c>
      <c r="H19" s="9" t="str">
        <f>IFERROR(MID(VLOOKUP($B19,Seqs!$A:$B,2,0),I19,1),"")</f>
        <v>K</v>
      </c>
      <c r="I19" s="109">
        <v>83</v>
      </c>
      <c r="J19" s="9" t="str">
        <f>IFERROR(MID(VLOOKUP($B19,Seqs!$A:$B,2,0),K19,1),"")</f>
        <v>Q</v>
      </c>
      <c r="K19" s="109">
        <v>86</v>
      </c>
      <c r="L19" s="9" t="str">
        <f>IFERROR(MID(VLOOKUP($B19,Seqs!$A:$B,2,0),M19,1),"")</f>
        <v>Y</v>
      </c>
      <c r="M19" s="9">
        <v>87</v>
      </c>
      <c r="N19" s="9" t="str">
        <f>IFERROR(MID(VLOOKUP($B19,Seqs!$A:$B,2,0),O19,1),"")</f>
        <v>F</v>
      </c>
      <c r="O19" s="9">
        <v>117</v>
      </c>
      <c r="P19" s="9" t="str">
        <f>IFERROR(MID(VLOOKUP($B19,Seqs!$A:$B,2,0),Q19,1),"")</f>
        <v>M</v>
      </c>
      <c r="Q19" s="9">
        <v>120</v>
      </c>
      <c r="R19" s="9" t="str">
        <f>IFERROR(MID(VLOOKUP($B19,Seqs!$A:$B,2,0),S19,1),"")</f>
        <v>L</v>
      </c>
      <c r="S19" s="9">
        <v>123</v>
      </c>
      <c r="T19" s="9" t="str">
        <f>IFERROR(MID(VLOOKUP($B19,Seqs!$A:$B,2,0),U19,1),"")</f>
        <v>P</v>
      </c>
      <c r="U19" s="9">
        <v>124</v>
      </c>
      <c r="V19" s="9" t="str">
        <f>IFERROR(MID(VLOOKUP($B19,Seqs!$A:$B,2,0),W19,1),"")</f>
        <v>K</v>
      </c>
      <c r="W19" s="9">
        <v>159</v>
      </c>
      <c r="X19" s="9" t="str">
        <f>IFERROR(MID(VLOOKUP($B19,Seqs!$A:$B,2,0),Y19,1),"")</f>
        <v/>
      </c>
      <c r="Y19" s="9" t="s">
        <v>23</v>
      </c>
      <c r="Z19" s="9" t="str">
        <f>IFERROR(MID(VLOOKUP($B19,Seqs!$A:$B,2,0),AA19,1),"")</f>
        <v/>
      </c>
      <c r="AA19" s="9" t="s">
        <v>23</v>
      </c>
      <c r="AB19" s="9" t="str">
        <f>IFERROR(MID(VLOOKUP($B19,Seqs!$A:$B,2,0),AC19,1),"")</f>
        <v>N</v>
      </c>
      <c r="AC19" s="9">
        <v>167</v>
      </c>
      <c r="AD19" s="9" t="str">
        <f>IFERROR(MID(VLOOKUP($B19,Seqs!$A:$B,2,0),AE19,1),"")</f>
        <v>G</v>
      </c>
      <c r="AE19" s="9">
        <v>194</v>
      </c>
      <c r="AF19" s="9" t="str">
        <f>IFERROR(MID(VLOOKUP($B19,Seqs!$A:$B,2,0),AG19,1),"")</f>
        <v>C</v>
      </c>
      <c r="AG19" s="9">
        <v>207</v>
      </c>
      <c r="AH19" s="9" t="str">
        <f>IFERROR(MID(VLOOKUP($B19,Seqs!$A:$B,2,0),AI19,1),"")</f>
        <v>L</v>
      </c>
      <c r="AI19" s="9">
        <v>209</v>
      </c>
      <c r="AJ19" s="9" t="str">
        <f>IFERROR(MID(VLOOKUP($B19,Seqs!$A:$B,2,0),AK19,1),"")</f>
        <v>F</v>
      </c>
      <c r="AK19" s="9">
        <v>214</v>
      </c>
      <c r="AL19" s="9" t="str">
        <f>IFERROR(MID(VLOOKUP($B19,Seqs!$A:$B,2,0),AM19,1),"")</f>
        <v>A</v>
      </c>
      <c r="AM19" s="9">
        <v>248</v>
      </c>
      <c r="AN19" s="9" t="str">
        <f>IFERROR(MID(VLOOKUP($B19,Seqs!$A:$B,2,0),AO19,1),"")</f>
        <v>Q</v>
      </c>
      <c r="AO19" s="9">
        <v>314</v>
      </c>
      <c r="AP19" s="9" t="str">
        <f>IFERROR(MID(VLOOKUP($B19,Seqs!$A:$B,2,0),AQ19,1),"")</f>
        <v>C</v>
      </c>
      <c r="AQ19" s="9">
        <v>350</v>
      </c>
      <c r="AR19" s="9" t="str">
        <f>IFERROR(MID(VLOOKUP($B19,Seqs!$A:$B,2,0),AS19,1),"")</f>
        <v>N</v>
      </c>
      <c r="AS19" s="9">
        <v>354</v>
      </c>
      <c r="AT19" s="9" t="str">
        <f>IFERROR(MID(VLOOKUP($B19,Seqs!$A:$B,2,0),AU19,1),"")</f>
        <v>F</v>
      </c>
      <c r="AU19" s="9">
        <v>383</v>
      </c>
      <c r="AV19" s="9" t="str">
        <f>IFERROR(MID(VLOOKUP($B19,Seqs!$A:$B,2,0),AW19,1),"")</f>
        <v>N</v>
      </c>
      <c r="AW19" s="9">
        <v>384</v>
      </c>
      <c r="AX19" s="9" t="str">
        <f>IFERROR(MID(VLOOKUP($B19,Seqs!$A:$B,2,0),AY19,1),"")</f>
        <v>I</v>
      </c>
      <c r="AY19" s="9">
        <v>395</v>
      </c>
      <c r="AZ19" s="110" t="str">
        <f>VLOOKUP(B19,Classification!A:D,2,0)</f>
        <v>A</v>
      </c>
      <c r="BA19" s="98" t="str">
        <f>VLOOKUP(B19,Classification!A:D,4,0)</f>
        <v>5-Hydroxytryptamine</v>
      </c>
      <c r="BB19" s="36" t="b">
        <f t="shared" ref="BB19" si="197">AND(E19&lt;G19,OR(G19&lt;I19,I19="-"),OR(I19&lt;K19,I19="-"),OR(K19&lt;M19,K19="-"),M19&lt;O19,OR(O19&lt;Q19,Q19="-"),OR(Q19&lt;S19,Q19="-"),OR(S19&lt;U19,S19="-"),U19&lt;W19,OR(W19&lt;Y19,Y19="-"),OR(Y19&lt;AA19,Y19="-"),OR(AA19&lt;AC19,AA19="-"),AC19&lt;AE19,OR(AE19&lt;AG19,AG19="-"),OR(AG19&lt;AI19,AG19="-"),OR(AI19&lt;AK19,AI19="-"),AK19&lt;AM19,AM19&lt;AO19,AO19&lt;AQ19,AQ19&lt;AS19,AS19&lt;AU19,OR(AU19&lt;AW19,AW19="-"),OR(AW19&lt;AY19,AW19="-"))</f>
        <v>1</v>
      </c>
      <c r="BC19" s="109">
        <f t="shared" ref="BC19" si="198">_xlfn.AGGREGATE(9,6,CH19:CS19)-_xlfn.AGGREGATE(9,6,BV19:CG19)+12</f>
        <v>251</v>
      </c>
      <c r="BD19" s="11" t="s">
        <v>23</v>
      </c>
      <c r="BE19" s="9" t="s">
        <v>1422</v>
      </c>
      <c r="BF19" s="119">
        <v>3.19</v>
      </c>
      <c r="BG19" s="51" t="s">
        <v>1</v>
      </c>
      <c r="BH19" s="51" t="s">
        <v>1</v>
      </c>
      <c r="BJ19" s="111" t="s">
        <v>1281</v>
      </c>
      <c r="BK19" s="112" t="s">
        <v>1281</v>
      </c>
      <c r="BL19" s="112" t="s">
        <v>1281</v>
      </c>
      <c r="BM19" s="112" t="s">
        <v>1281</v>
      </c>
      <c r="BN19" s="112" t="s">
        <v>1281</v>
      </c>
      <c r="BO19" s="112" t="s">
        <v>1281</v>
      </c>
      <c r="BP19" s="112" t="s">
        <v>1281</v>
      </c>
      <c r="BQ19" s="112" t="s">
        <v>1281</v>
      </c>
      <c r="BR19" s="112" t="s">
        <v>1281</v>
      </c>
      <c r="BS19" s="112" t="s">
        <v>1281</v>
      </c>
      <c r="BT19" s="112" t="s">
        <v>1281</v>
      </c>
      <c r="BU19" s="112" t="s">
        <v>1281</v>
      </c>
      <c r="BV19" s="111">
        <f t="shared" ref="BV19" si="199">E19</f>
        <v>53</v>
      </c>
      <c r="BW19" s="113">
        <f t="shared" ref="BW19" si="200">I19</f>
        <v>83</v>
      </c>
      <c r="BX19" s="114">
        <f t="shared" ref="BX19" si="201">M19</f>
        <v>87</v>
      </c>
      <c r="BY19" s="113">
        <f t="shared" ref="BY19" si="202">Q19</f>
        <v>120</v>
      </c>
      <c r="BZ19" s="114">
        <f t="shared" ref="BZ19" si="203">U19</f>
        <v>124</v>
      </c>
      <c r="CA19" s="113" t="str">
        <f t="shared" ref="CA19" si="204">Y19</f>
        <v>-</v>
      </c>
      <c r="CB19" s="114">
        <f t="shared" ref="CB19" si="205">AC19</f>
        <v>167</v>
      </c>
      <c r="CC19" s="113">
        <f t="shared" ref="CC19" si="206">AG19</f>
        <v>207</v>
      </c>
      <c r="CD19" s="114">
        <f t="shared" ref="CD19" si="207">AK19</f>
        <v>214</v>
      </c>
      <c r="CE19" s="113">
        <f t="shared" ref="CE19" si="208">AO19</f>
        <v>314</v>
      </c>
      <c r="CF19" s="114">
        <f t="shared" ref="CF19" si="209">AS19</f>
        <v>354</v>
      </c>
      <c r="CG19" s="113">
        <f t="shared" ref="CG19" si="210">AW19</f>
        <v>384</v>
      </c>
      <c r="CH19" s="111">
        <f t="shared" ref="CH19" si="211">G19</f>
        <v>82</v>
      </c>
      <c r="CI19" s="113">
        <f t="shared" ref="CI19" si="212">K19</f>
        <v>86</v>
      </c>
      <c r="CJ19" s="114">
        <f t="shared" ref="CJ19" si="213">O19</f>
        <v>117</v>
      </c>
      <c r="CK19" s="114">
        <f t="shared" ref="CK19" si="214">S19</f>
        <v>123</v>
      </c>
      <c r="CL19" s="114">
        <f t="shared" ref="CL19" si="215">W19</f>
        <v>159</v>
      </c>
      <c r="CM19" s="114" t="str">
        <f t="shared" ref="CM19" si="216">AA19</f>
        <v>-</v>
      </c>
      <c r="CN19" s="114">
        <f t="shared" ref="CN19" si="217">AE19</f>
        <v>194</v>
      </c>
      <c r="CO19" s="114">
        <f t="shared" ref="CO19" si="218">AI19</f>
        <v>209</v>
      </c>
      <c r="CP19" s="114">
        <f t="shared" ref="CP19" si="219">AM19</f>
        <v>248</v>
      </c>
      <c r="CQ19" s="114">
        <f t="shared" ref="CQ19" si="220">AQ19</f>
        <v>350</v>
      </c>
      <c r="CR19" s="114">
        <f t="shared" ref="CR19" si="221">AU19</f>
        <v>383</v>
      </c>
      <c r="CS19" s="114">
        <f t="shared" ref="CS19" si="222">AY19</f>
        <v>395</v>
      </c>
      <c r="CT19" s="109">
        <f t="shared" ref="CT19" si="223">M19-K19</f>
        <v>1</v>
      </c>
    </row>
    <row r="20" spans="1:1029" x14ac:dyDescent="0.2">
      <c r="A20" s="3" t="str">
        <f t="shared" si="84"/>
        <v>5ht2c_human__wt</v>
      </c>
      <c r="B20" s="3" t="s">
        <v>133</v>
      </c>
      <c r="C20" s="3" t="s">
        <v>100</v>
      </c>
      <c r="D20" s="3" t="str">
        <f>IFERROR(MID(VLOOKUP($B20,Seqs!$A:$B,2,0),E20,1),"")</f>
        <v>N</v>
      </c>
      <c r="E20" s="3">
        <v>54</v>
      </c>
      <c r="F20" s="3" t="str">
        <f>IFERROR(MID(VLOOKUP($B20,Seqs!$A:$B,2,0),G20,1),"")</f>
        <v>E</v>
      </c>
      <c r="G20" s="3">
        <v>81</v>
      </c>
      <c r="H20" s="3" t="str">
        <f>IFERROR(MID(VLOOKUP($B20,Seqs!$A:$B,2,0),I20,1),"")</f>
        <v>K</v>
      </c>
      <c r="I20" s="23">
        <v>82</v>
      </c>
      <c r="J20" s="3" t="str">
        <f>IFERROR(MID(VLOOKUP($B20,Seqs!$A:$B,2,0),K20,1),"")</f>
        <v>H</v>
      </c>
      <c r="K20" s="23">
        <v>85</v>
      </c>
      <c r="L20" s="3" t="str">
        <f>IFERROR(MID(VLOOKUP($B20,Seqs!$A:$B,2,0),M20,1),"")</f>
        <v>N</v>
      </c>
      <c r="M20" s="3">
        <v>86</v>
      </c>
      <c r="N20" s="3" t="str">
        <f>IFERROR(MID(VLOOKUP($B20,Seqs!$A:$B,2,0),O20,1),"")</f>
        <v>D</v>
      </c>
      <c r="O20" s="3">
        <v>117</v>
      </c>
      <c r="P20" s="3" t="str">
        <f>IFERROR(MID(VLOOKUP($B20,Seqs!$A:$B,2,0),Q20,1),"")</f>
        <v>V</v>
      </c>
      <c r="Q20" s="3">
        <v>119</v>
      </c>
      <c r="R20" s="3" t="str">
        <f>IFERROR(MID(VLOOKUP($B20,Seqs!$A:$B,2,0),S20,1),"")</f>
        <v>L</v>
      </c>
      <c r="S20" s="3">
        <v>122</v>
      </c>
      <c r="T20" s="3" t="str">
        <f>IFERROR(MID(VLOOKUP($B20,Seqs!$A:$B,2,0),U20,1),"")</f>
        <v>P</v>
      </c>
      <c r="U20" s="3">
        <v>123</v>
      </c>
      <c r="V20" s="3" t="str">
        <f>IFERROR(MID(VLOOKUP($B20,Seqs!$A:$B,2,0),W20,1),"")</f>
        <v>N</v>
      </c>
      <c r="W20" s="3">
        <v>158</v>
      </c>
      <c r="X20" s="3" t="str">
        <f>IFERROR(MID(VLOOKUP($B20,Seqs!$A:$B,2,0),Y20,1),"")</f>
        <v>P</v>
      </c>
      <c r="Y20" s="3">
        <v>159</v>
      </c>
      <c r="Z20" s="3" t="str">
        <f>IFERROR(MID(VLOOKUP($B20,Seqs!$A:$B,2,0),AA20,1),"")</f>
        <v>N</v>
      </c>
      <c r="AA20" s="3">
        <v>166</v>
      </c>
      <c r="AB20" s="3" t="str">
        <f>IFERROR(MID(VLOOKUP($B20,Seqs!$A:$B,2,0),AC20,1),"")</f>
        <v>S</v>
      </c>
      <c r="AC20" s="3">
        <v>167</v>
      </c>
      <c r="AD20" s="3" t="str">
        <f>IFERROR(MID(VLOOKUP($B20,Seqs!$A:$B,2,0),AE20,1),"")</f>
        <v>D</v>
      </c>
      <c r="AE20" s="3">
        <v>196</v>
      </c>
      <c r="AF20" s="3" t="str">
        <f>IFERROR(MID(VLOOKUP($B20,Seqs!$A:$B,2,0),AG20,1),"")</f>
        <v>C</v>
      </c>
      <c r="AG20" s="3">
        <v>207</v>
      </c>
      <c r="AH20" s="3" t="str">
        <f>IFERROR(MID(VLOOKUP($B20,Seqs!$A:$B,2,0),AI20,1),"")</f>
        <v>L</v>
      </c>
      <c r="AI20" s="3">
        <v>209</v>
      </c>
      <c r="AJ20" s="3" t="str">
        <f>IFERROR(MID(VLOOKUP($B20,Seqs!$A:$B,2,0),AK20,1),"")</f>
        <v>D</v>
      </c>
      <c r="AK20" s="3">
        <v>211</v>
      </c>
      <c r="AL20" s="3" t="str">
        <f>IFERROR(MID(VLOOKUP($B20,Seqs!$A:$B,2,0),AM20,1),"")</f>
        <v>H</v>
      </c>
      <c r="AM20" s="3">
        <v>250</v>
      </c>
      <c r="AN20" s="3" t="str">
        <f>IFERROR(MID(VLOOKUP($B20,Seqs!$A:$B,2,0),AO20,1),"")</f>
        <v>M</v>
      </c>
      <c r="AO20" s="3">
        <v>300</v>
      </c>
      <c r="AP20" s="3" t="str">
        <f>IFERROR(MID(VLOOKUP($B20,Seqs!$A:$B,2,0),AQ20,1),"")</f>
        <v>C</v>
      </c>
      <c r="AQ20" s="3">
        <v>337</v>
      </c>
      <c r="AR20" s="3" t="str">
        <f>IFERROR(MID(VLOOKUP($B20,Seqs!$A:$B,2,0),AS20,1),"")</f>
        <v>N</v>
      </c>
      <c r="AS20" s="3">
        <v>342</v>
      </c>
      <c r="AT20" s="3" t="str">
        <f>IFERROR(MID(VLOOKUP($B20,Seqs!$A:$B,2,0),AU20,1),"")</f>
        <v>F</v>
      </c>
      <c r="AU20" s="3">
        <v>371</v>
      </c>
      <c r="AV20" s="3" t="str">
        <f>IFERROR(MID(VLOOKUP($B20,Seqs!$A:$B,2,0),AW20,1),"")</f>
        <v>N</v>
      </c>
      <c r="AW20" s="3">
        <v>372</v>
      </c>
      <c r="AX20" s="3" t="str">
        <f>IFERROR(MID(VLOOKUP($B20,Seqs!$A:$B,2,0),AY20,1),"")</f>
        <v>C</v>
      </c>
      <c r="AY20" s="3">
        <v>385</v>
      </c>
      <c r="AZ20" s="77" t="str">
        <f>VLOOKUP(B20,Classification!A:D,2,0)</f>
        <v>A</v>
      </c>
      <c r="BA20" s="94" t="str">
        <f>VLOOKUP(B20,Classification!A:D,4,0)</f>
        <v>5-Hydroxytryptamine</v>
      </c>
      <c r="BB20" s="27" t="b">
        <f t="shared" si="85"/>
        <v>1</v>
      </c>
      <c r="BC20" s="23">
        <f t="shared" si="86"/>
        <v>267</v>
      </c>
      <c r="BD20" s="4" t="s">
        <v>23</v>
      </c>
      <c r="BE20" s="3" t="s">
        <v>23</v>
      </c>
      <c r="BF20" s="118" t="s">
        <v>23</v>
      </c>
      <c r="BG20" s="49" t="s">
        <v>1371</v>
      </c>
      <c r="BH20" s="49" t="s">
        <v>1371</v>
      </c>
      <c r="BI20" s="1"/>
      <c r="BJ20" s="70" t="s">
        <v>1281</v>
      </c>
      <c r="BK20" s="57" t="s">
        <v>1281</v>
      </c>
      <c r="BL20" s="57" t="s">
        <v>1281</v>
      </c>
      <c r="BM20" s="57" t="s">
        <v>1281</v>
      </c>
      <c r="BN20" s="57" t="s">
        <v>1281</v>
      </c>
      <c r="BO20" s="57" t="s">
        <v>1281</v>
      </c>
      <c r="BP20" s="57" t="s">
        <v>1281</v>
      </c>
      <c r="BQ20" s="57" t="s">
        <v>1281</v>
      </c>
      <c r="BR20" s="57" t="s">
        <v>1281</v>
      </c>
      <c r="BS20" s="57" t="s">
        <v>1281</v>
      </c>
      <c r="BT20" s="57" t="s">
        <v>1281</v>
      </c>
      <c r="BU20" s="57" t="s">
        <v>1281</v>
      </c>
      <c r="BV20" s="70">
        <f t="shared" si="87"/>
        <v>54</v>
      </c>
      <c r="BW20" s="71">
        <f t="shared" si="88"/>
        <v>82</v>
      </c>
      <c r="BX20" s="72">
        <f t="shared" si="89"/>
        <v>86</v>
      </c>
      <c r="BY20" s="71">
        <f t="shared" si="90"/>
        <v>119</v>
      </c>
      <c r="BZ20" s="72">
        <f t="shared" si="91"/>
        <v>123</v>
      </c>
      <c r="CA20" s="71">
        <f t="shared" si="92"/>
        <v>159</v>
      </c>
      <c r="CB20" s="72">
        <f t="shared" si="93"/>
        <v>167</v>
      </c>
      <c r="CC20" s="71">
        <f t="shared" si="94"/>
        <v>207</v>
      </c>
      <c r="CD20" s="72">
        <f t="shared" si="95"/>
        <v>211</v>
      </c>
      <c r="CE20" s="71">
        <f t="shared" si="96"/>
        <v>300</v>
      </c>
      <c r="CF20" s="72">
        <f t="shared" si="97"/>
        <v>342</v>
      </c>
      <c r="CG20" s="71">
        <f t="shared" si="98"/>
        <v>372</v>
      </c>
      <c r="CH20" s="70">
        <f t="shared" si="99"/>
        <v>81</v>
      </c>
      <c r="CI20" s="71">
        <f t="shared" si="100"/>
        <v>85</v>
      </c>
      <c r="CJ20" s="72">
        <f t="shared" si="101"/>
        <v>117</v>
      </c>
      <c r="CK20" s="72">
        <f t="shared" si="102"/>
        <v>122</v>
      </c>
      <c r="CL20" s="72">
        <f t="shared" si="103"/>
        <v>158</v>
      </c>
      <c r="CM20" s="72">
        <f t="shared" si="104"/>
        <v>166</v>
      </c>
      <c r="CN20" s="72">
        <f t="shared" si="105"/>
        <v>196</v>
      </c>
      <c r="CO20" s="72">
        <f t="shared" si="106"/>
        <v>209</v>
      </c>
      <c r="CP20" s="72">
        <f t="shared" si="107"/>
        <v>250</v>
      </c>
      <c r="CQ20" s="72">
        <f t="shared" si="108"/>
        <v>337</v>
      </c>
      <c r="CR20" s="72">
        <f t="shared" si="109"/>
        <v>371</v>
      </c>
      <c r="CS20" s="72">
        <f t="shared" si="110"/>
        <v>385</v>
      </c>
      <c r="CT20" s="23">
        <f t="shared" si="111"/>
        <v>1</v>
      </c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</row>
    <row r="21" spans="1:1029" x14ac:dyDescent="0.2">
      <c r="A21" s="3" t="str">
        <f t="shared" si="84"/>
        <v>5ht2c_human_6BQG</v>
      </c>
      <c r="B21" s="3" t="s">
        <v>133</v>
      </c>
      <c r="C21" s="3" t="s">
        <v>1459</v>
      </c>
      <c r="D21" s="3" t="str">
        <f>IFERROR(MID(VLOOKUP($B21,Seqs!$A:$B,2,0),E21,1),"")</f>
        <v>V</v>
      </c>
      <c r="E21" s="3">
        <v>61</v>
      </c>
      <c r="F21" s="3" t="str">
        <f>IFERROR(MID(VLOOKUP($B21,Seqs!$A:$B,2,0),G21,1),"")</f>
        <v>E</v>
      </c>
      <c r="G21" s="3">
        <v>81</v>
      </c>
      <c r="H21" s="3" t="str">
        <f>IFERROR(MID(VLOOKUP($B21,Seqs!$A:$B,2,0),I21,1),"")</f>
        <v>K</v>
      </c>
      <c r="I21" s="23">
        <v>82</v>
      </c>
      <c r="J21" s="3" t="str">
        <f>IFERROR(MID(VLOOKUP($B21,Seqs!$A:$B,2,0),K21,1),"")</f>
        <v>H</v>
      </c>
      <c r="K21" s="23">
        <v>85</v>
      </c>
      <c r="L21" s="3" t="str">
        <f>IFERROR(MID(VLOOKUP($B21,Seqs!$A:$B,2,0),M21,1),"")</f>
        <v>N</v>
      </c>
      <c r="M21" s="3">
        <v>86</v>
      </c>
      <c r="N21" s="3" t="str">
        <f>IFERROR(MID(VLOOKUP($B21,Seqs!$A:$B,2,0),O21,1),"")</f>
        <v>D</v>
      </c>
      <c r="O21" s="3">
        <v>117</v>
      </c>
      <c r="P21" s="3" t="str">
        <f>IFERROR(MID(VLOOKUP($B21,Seqs!$A:$B,2,0),Q21,1),"")</f>
        <v>V</v>
      </c>
      <c r="Q21" s="3">
        <v>119</v>
      </c>
      <c r="R21" s="3" t="str">
        <f>IFERROR(MID(VLOOKUP($B21,Seqs!$A:$B,2,0),S21,1),"")</f>
        <v>L</v>
      </c>
      <c r="S21" s="3">
        <v>122</v>
      </c>
      <c r="T21" s="3" t="str">
        <f>IFERROR(MID(VLOOKUP($B21,Seqs!$A:$B,2,0),U21,1),"")</f>
        <v>P</v>
      </c>
      <c r="U21" s="3">
        <v>123</v>
      </c>
      <c r="V21" s="3" t="str">
        <f>IFERROR(MID(VLOOKUP($B21,Seqs!$A:$B,2,0),W21,1),"")</f>
        <v>N</v>
      </c>
      <c r="W21" s="3">
        <v>158</v>
      </c>
      <c r="X21" s="3" t="str">
        <f>IFERROR(MID(VLOOKUP($B21,Seqs!$A:$B,2,0),Y21,1),"")</f>
        <v/>
      </c>
      <c r="Y21" s="3" t="s">
        <v>23</v>
      </c>
      <c r="Z21" s="3" t="str">
        <f>IFERROR(MID(VLOOKUP($B21,Seqs!$A:$B,2,0),AA21,1),"")</f>
        <v/>
      </c>
      <c r="AA21" s="3" t="s">
        <v>23</v>
      </c>
      <c r="AB21" s="3" t="str">
        <f>IFERROR(MID(VLOOKUP($B21,Seqs!$A:$B,2,0),AC21,1),"")</f>
        <v>S</v>
      </c>
      <c r="AC21" s="3">
        <v>167</v>
      </c>
      <c r="AD21" s="3" t="str">
        <f>IFERROR(MID(VLOOKUP($B21,Seqs!$A:$B,2,0),AE21,1),"")</f>
        <v>D</v>
      </c>
      <c r="AE21" s="3">
        <v>196</v>
      </c>
      <c r="AF21" s="3" t="str">
        <f>IFERROR(MID(VLOOKUP($B21,Seqs!$A:$B,2,0),AG21,1),"")</f>
        <v>C</v>
      </c>
      <c r="AG21" s="3">
        <v>207</v>
      </c>
      <c r="AH21" s="3" t="str">
        <f>IFERROR(MID(VLOOKUP($B21,Seqs!$A:$B,2,0),AI21,1),"")</f>
        <v>L</v>
      </c>
      <c r="AI21" s="3">
        <v>209</v>
      </c>
      <c r="AJ21" s="3" t="str">
        <f>IFERROR(MID(VLOOKUP($B21,Seqs!$A:$B,2,0),AK21,1),"")</f>
        <v>D</v>
      </c>
      <c r="AK21" s="3">
        <v>211</v>
      </c>
      <c r="AL21" s="3" t="str">
        <f>IFERROR(MID(VLOOKUP($B21,Seqs!$A:$B,2,0),AM21,1),"")</f>
        <v>A</v>
      </c>
      <c r="AM21" s="3">
        <v>245</v>
      </c>
      <c r="AN21" s="3" t="str">
        <f>IFERROR(MID(VLOOKUP($B21,Seqs!$A:$B,2,0),AO21,1),"")</f>
        <v>Q</v>
      </c>
      <c r="AO21" s="3">
        <v>301</v>
      </c>
      <c r="AP21" s="3" t="str">
        <f>IFERROR(MID(VLOOKUP($B21,Seqs!$A:$B,2,0),AQ21,1),"")</f>
        <v>C</v>
      </c>
      <c r="AQ21" s="3">
        <v>337</v>
      </c>
      <c r="AR21" s="3" t="str">
        <f>IFERROR(MID(VLOOKUP($B21,Seqs!$A:$B,2,0),AS21,1),"")</f>
        <v>N</v>
      </c>
      <c r="AS21" s="3">
        <v>342</v>
      </c>
      <c r="AT21" s="3" t="str">
        <f>IFERROR(MID(VLOOKUP($B21,Seqs!$A:$B,2,0),AU21,1),"")</f>
        <v>F</v>
      </c>
      <c r="AU21" s="3">
        <v>371</v>
      </c>
      <c r="AV21" s="3" t="str">
        <f>IFERROR(MID(VLOOKUP($B21,Seqs!$A:$B,2,0),AW21,1),"")</f>
        <v>N</v>
      </c>
      <c r="AW21" s="3">
        <v>372</v>
      </c>
      <c r="AX21" s="3" t="str">
        <f>IFERROR(MID(VLOOKUP($B21,Seqs!$A:$B,2,0),AY21,1),"")</f>
        <v>C</v>
      </c>
      <c r="AY21" s="3">
        <v>385</v>
      </c>
      <c r="AZ21" s="77" t="str">
        <f>VLOOKUP(B21,Classification!A:D,2,0)</f>
        <v>A</v>
      </c>
      <c r="BA21" s="94" t="str">
        <f>VLOOKUP(B21,Classification!A:D,4,0)</f>
        <v>5-Hydroxytryptamine</v>
      </c>
      <c r="BB21" s="27" t="b">
        <f t="shared" si="85"/>
        <v>1</v>
      </c>
      <c r="BC21" s="23">
        <f t="shared" si="86"/>
        <v>247</v>
      </c>
      <c r="BD21" s="4" t="s">
        <v>1369</v>
      </c>
      <c r="BE21" s="3" t="s">
        <v>1285</v>
      </c>
      <c r="BF21" s="118">
        <v>3</v>
      </c>
      <c r="BG21" s="49" t="s">
        <v>1</v>
      </c>
      <c r="BH21" s="49" t="s">
        <v>1</v>
      </c>
      <c r="BI21" s="1"/>
      <c r="BJ21" s="70" t="s">
        <v>1281</v>
      </c>
      <c r="BK21" s="57" t="s">
        <v>1281</v>
      </c>
      <c r="BL21" s="57" t="s">
        <v>1281</v>
      </c>
      <c r="BM21" s="57" t="s">
        <v>1281</v>
      </c>
      <c r="BN21" s="57" t="s">
        <v>1281</v>
      </c>
      <c r="BO21" s="57" t="s">
        <v>1281</v>
      </c>
      <c r="BP21" s="57" t="s">
        <v>1281</v>
      </c>
      <c r="BQ21" s="57" t="s">
        <v>1281</v>
      </c>
      <c r="BR21" s="57" t="s">
        <v>1281</v>
      </c>
      <c r="BS21" s="57" t="s">
        <v>1281</v>
      </c>
      <c r="BT21" s="57" t="s">
        <v>1281</v>
      </c>
      <c r="BU21" s="57" t="s">
        <v>1281</v>
      </c>
      <c r="BV21" s="70">
        <f t="shared" si="87"/>
        <v>61</v>
      </c>
      <c r="BW21" s="71">
        <f t="shared" si="88"/>
        <v>82</v>
      </c>
      <c r="BX21" s="72">
        <f t="shared" si="89"/>
        <v>86</v>
      </c>
      <c r="BY21" s="71">
        <f t="shared" si="90"/>
        <v>119</v>
      </c>
      <c r="BZ21" s="72">
        <f t="shared" si="91"/>
        <v>123</v>
      </c>
      <c r="CA21" s="71" t="str">
        <f t="shared" si="92"/>
        <v>-</v>
      </c>
      <c r="CB21" s="72">
        <f t="shared" si="93"/>
        <v>167</v>
      </c>
      <c r="CC21" s="71">
        <f t="shared" si="94"/>
        <v>207</v>
      </c>
      <c r="CD21" s="72">
        <f t="shared" si="95"/>
        <v>211</v>
      </c>
      <c r="CE21" s="71">
        <f t="shared" si="96"/>
        <v>301</v>
      </c>
      <c r="CF21" s="72">
        <f t="shared" si="97"/>
        <v>342</v>
      </c>
      <c r="CG21" s="71">
        <f t="shared" si="98"/>
        <v>372</v>
      </c>
      <c r="CH21" s="70">
        <f t="shared" si="99"/>
        <v>81</v>
      </c>
      <c r="CI21" s="71">
        <f t="shared" si="100"/>
        <v>85</v>
      </c>
      <c r="CJ21" s="72">
        <f t="shared" si="101"/>
        <v>117</v>
      </c>
      <c r="CK21" s="72">
        <f t="shared" si="102"/>
        <v>122</v>
      </c>
      <c r="CL21" s="72">
        <f t="shared" si="103"/>
        <v>158</v>
      </c>
      <c r="CM21" s="72" t="str">
        <f t="shared" si="104"/>
        <v>-</v>
      </c>
      <c r="CN21" s="72">
        <f t="shared" si="105"/>
        <v>196</v>
      </c>
      <c r="CO21" s="72">
        <f t="shared" si="106"/>
        <v>209</v>
      </c>
      <c r="CP21" s="72">
        <f t="shared" si="107"/>
        <v>245</v>
      </c>
      <c r="CQ21" s="72">
        <f t="shared" si="108"/>
        <v>337</v>
      </c>
      <c r="CR21" s="72">
        <f t="shared" si="109"/>
        <v>371</v>
      </c>
      <c r="CS21" s="72">
        <f t="shared" si="110"/>
        <v>385</v>
      </c>
      <c r="CT21" s="23">
        <f t="shared" si="111"/>
        <v>1</v>
      </c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</row>
    <row r="22" spans="1:1029" x14ac:dyDescent="0.2">
      <c r="A22" s="3" t="str">
        <f t="shared" si="84"/>
        <v>5ht2c_human_6BQH</v>
      </c>
      <c r="B22" s="3" t="s">
        <v>133</v>
      </c>
      <c r="C22" s="3" t="s">
        <v>1460</v>
      </c>
      <c r="D22" s="3" t="str">
        <f>IFERROR(MID(VLOOKUP($B22,Seqs!$A:$B,2,0),E22,1),"")</f>
        <v>I</v>
      </c>
      <c r="E22" s="3">
        <v>60</v>
      </c>
      <c r="F22" s="3" t="str">
        <f>IFERROR(MID(VLOOKUP($B22,Seqs!$A:$B,2,0),G22,1),"")</f>
        <v>E</v>
      </c>
      <c r="G22" s="3">
        <v>81</v>
      </c>
      <c r="H22" s="3" t="str">
        <f>IFERROR(MID(VLOOKUP($B22,Seqs!$A:$B,2,0),I22,1),"")</f>
        <v>K</v>
      </c>
      <c r="I22" s="23">
        <v>82</v>
      </c>
      <c r="J22" s="3" t="str">
        <f>IFERROR(MID(VLOOKUP($B22,Seqs!$A:$B,2,0),K22,1),"")</f>
        <v>H</v>
      </c>
      <c r="K22" s="23">
        <v>85</v>
      </c>
      <c r="L22" s="3" t="str">
        <f>IFERROR(MID(VLOOKUP($B22,Seqs!$A:$B,2,0),M22,1),"")</f>
        <v>N</v>
      </c>
      <c r="M22" s="3">
        <v>86</v>
      </c>
      <c r="N22" s="3" t="str">
        <f>IFERROR(MID(VLOOKUP($B22,Seqs!$A:$B,2,0),O22,1),"")</f>
        <v>D</v>
      </c>
      <c r="O22" s="3">
        <v>117</v>
      </c>
      <c r="P22" s="3" t="str">
        <f>IFERROR(MID(VLOOKUP($B22,Seqs!$A:$B,2,0),Q22,1),"")</f>
        <v>V</v>
      </c>
      <c r="Q22" s="3">
        <v>119</v>
      </c>
      <c r="R22" s="3" t="str">
        <f>IFERROR(MID(VLOOKUP($B22,Seqs!$A:$B,2,0),S22,1),"")</f>
        <v>L</v>
      </c>
      <c r="S22" s="3">
        <v>122</v>
      </c>
      <c r="T22" s="3" t="str">
        <f>IFERROR(MID(VLOOKUP($B22,Seqs!$A:$B,2,0),U22,1),"")</f>
        <v>P</v>
      </c>
      <c r="U22" s="3">
        <v>123</v>
      </c>
      <c r="V22" s="3" t="str">
        <f>IFERROR(MID(VLOOKUP($B22,Seqs!$A:$B,2,0),W22,1),"")</f>
        <v>R</v>
      </c>
      <c r="W22" s="3">
        <v>157</v>
      </c>
      <c r="X22" s="3" t="str">
        <f>IFERROR(MID(VLOOKUP($B22,Seqs!$A:$B,2,0),Y22,1),"")</f>
        <v/>
      </c>
      <c r="Y22" s="3" t="s">
        <v>23</v>
      </c>
      <c r="Z22" s="3" t="str">
        <f>IFERROR(MID(VLOOKUP($B22,Seqs!$A:$B,2,0),AA22,1),"")</f>
        <v/>
      </c>
      <c r="AA22" s="3" t="s">
        <v>23</v>
      </c>
      <c r="AB22" s="3" t="str">
        <f>IFERROR(MID(VLOOKUP($B22,Seqs!$A:$B,2,0),AC22,1),"")</f>
        <v>N</v>
      </c>
      <c r="AC22" s="3">
        <v>166</v>
      </c>
      <c r="AD22" s="3" t="str">
        <f>IFERROR(MID(VLOOKUP($B22,Seqs!$A:$B,2,0),AE22,1),"")</f>
        <v>D</v>
      </c>
      <c r="AE22" s="3">
        <v>196</v>
      </c>
      <c r="AF22" s="3" t="str">
        <f>IFERROR(MID(VLOOKUP($B22,Seqs!$A:$B,2,0),AG22,1),"")</f>
        <v>C</v>
      </c>
      <c r="AG22" s="3">
        <v>207</v>
      </c>
      <c r="AH22" s="3" t="str">
        <f>IFERROR(MID(VLOOKUP($B22,Seqs!$A:$B,2,0),AI22,1),"")</f>
        <v>L</v>
      </c>
      <c r="AI22" s="3">
        <v>209</v>
      </c>
      <c r="AJ22" s="3" t="str">
        <f>IFERROR(MID(VLOOKUP($B22,Seqs!$A:$B,2,0),AK22,1),"")</f>
        <v>D</v>
      </c>
      <c r="AK22" s="3">
        <v>211</v>
      </c>
      <c r="AL22" s="3" t="str">
        <f>IFERROR(MID(VLOOKUP($B22,Seqs!$A:$B,2,0),AM22,1),"")</f>
        <v>A</v>
      </c>
      <c r="AM22" s="3">
        <v>245</v>
      </c>
      <c r="AN22" s="3" t="str">
        <f>IFERROR(MID(VLOOKUP($B22,Seqs!$A:$B,2,0),AO22,1),"")</f>
        <v>Q</v>
      </c>
      <c r="AO22" s="3">
        <v>301</v>
      </c>
      <c r="AP22" s="3" t="str">
        <f>IFERROR(MID(VLOOKUP($B22,Seqs!$A:$B,2,0),AQ22,1),"")</f>
        <v>L</v>
      </c>
      <c r="AQ22" s="3">
        <v>336</v>
      </c>
      <c r="AR22" s="3" t="str">
        <f>IFERROR(MID(VLOOKUP($B22,Seqs!$A:$B,2,0),AS22,1),"")</f>
        <v>N</v>
      </c>
      <c r="AS22" s="3">
        <v>342</v>
      </c>
      <c r="AT22" s="3" t="str">
        <f>IFERROR(MID(VLOOKUP($B22,Seqs!$A:$B,2,0),AU22,1),"")</f>
        <v>F</v>
      </c>
      <c r="AU22" s="3">
        <v>371</v>
      </c>
      <c r="AV22" s="3" t="str">
        <f>IFERROR(MID(VLOOKUP($B22,Seqs!$A:$B,2,0),AW22,1),"")</f>
        <v>N</v>
      </c>
      <c r="AW22" s="3">
        <v>372</v>
      </c>
      <c r="AX22" s="3" t="str">
        <f>IFERROR(MID(VLOOKUP($B22,Seqs!$A:$B,2,0),AY22,1),"")</f>
        <v>N</v>
      </c>
      <c r="AY22" s="3">
        <v>386</v>
      </c>
      <c r="AZ22" s="77" t="str">
        <f>VLOOKUP(B22,Classification!A:D,2,0)</f>
        <v>A</v>
      </c>
      <c r="BA22" s="94" t="str">
        <f>VLOOKUP(B22,Classification!A:D,4,0)</f>
        <v>5-Hydroxytryptamine</v>
      </c>
      <c r="BB22" s="27" t="b">
        <f t="shared" si="85"/>
        <v>1</v>
      </c>
      <c r="BC22" s="23">
        <f t="shared" si="86"/>
        <v>248</v>
      </c>
      <c r="BD22" s="4" t="s">
        <v>1423</v>
      </c>
      <c r="BE22" s="3" t="s">
        <v>1422</v>
      </c>
      <c r="BF22" s="118">
        <v>2.7</v>
      </c>
      <c r="BG22" s="49" t="s">
        <v>1</v>
      </c>
      <c r="BH22" s="49" t="s">
        <v>1</v>
      </c>
      <c r="BI22" s="1"/>
      <c r="BJ22" s="70" t="s">
        <v>1281</v>
      </c>
      <c r="BK22" s="57" t="s">
        <v>1281</v>
      </c>
      <c r="BL22" s="57" t="s">
        <v>1281</v>
      </c>
      <c r="BM22" s="57" t="s">
        <v>1281</v>
      </c>
      <c r="BN22" s="57" t="s">
        <v>1281</v>
      </c>
      <c r="BO22" s="57" t="s">
        <v>1281</v>
      </c>
      <c r="BP22" s="57" t="s">
        <v>1281</v>
      </c>
      <c r="BQ22" s="57" t="s">
        <v>1281</v>
      </c>
      <c r="BR22" s="57" t="s">
        <v>1281</v>
      </c>
      <c r="BS22" s="57" t="s">
        <v>1281</v>
      </c>
      <c r="BT22" s="57" t="s">
        <v>1281</v>
      </c>
      <c r="BU22" s="57" t="s">
        <v>1281</v>
      </c>
      <c r="BV22" s="70">
        <f t="shared" si="87"/>
        <v>60</v>
      </c>
      <c r="BW22" s="71">
        <f t="shared" si="88"/>
        <v>82</v>
      </c>
      <c r="BX22" s="72">
        <f t="shared" si="89"/>
        <v>86</v>
      </c>
      <c r="BY22" s="71">
        <f t="shared" si="90"/>
        <v>119</v>
      </c>
      <c r="BZ22" s="72">
        <f t="shared" si="91"/>
        <v>123</v>
      </c>
      <c r="CA22" s="71" t="str">
        <f t="shared" si="92"/>
        <v>-</v>
      </c>
      <c r="CB22" s="72">
        <f t="shared" si="93"/>
        <v>166</v>
      </c>
      <c r="CC22" s="71">
        <f t="shared" si="94"/>
        <v>207</v>
      </c>
      <c r="CD22" s="72">
        <f t="shared" si="95"/>
        <v>211</v>
      </c>
      <c r="CE22" s="71">
        <f t="shared" si="96"/>
        <v>301</v>
      </c>
      <c r="CF22" s="72">
        <f t="shared" si="97"/>
        <v>342</v>
      </c>
      <c r="CG22" s="71">
        <f t="shared" si="98"/>
        <v>372</v>
      </c>
      <c r="CH22" s="70">
        <f t="shared" si="99"/>
        <v>81</v>
      </c>
      <c r="CI22" s="71">
        <f t="shared" si="100"/>
        <v>85</v>
      </c>
      <c r="CJ22" s="72">
        <f t="shared" si="101"/>
        <v>117</v>
      </c>
      <c r="CK22" s="72">
        <f t="shared" si="102"/>
        <v>122</v>
      </c>
      <c r="CL22" s="72">
        <f t="shared" si="103"/>
        <v>157</v>
      </c>
      <c r="CM22" s="72" t="str">
        <f t="shared" si="104"/>
        <v>-</v>
      </c>
      <c r="CN22" s="72">
        <f t="shared" si="105"/>
        <v>196</v>
      </c>
      <c r="CO22" s="72">
        <f t="shared" si="106"/>
        <v>209</v>
      </c>
      <c r="CP22" s="72">
        <f t="shared" si="107"/>
        <v>245</v>
      </c>
      <c r="CQ22" s="72">
        <f t="shared" si="108"/>
        <v>336</v>
      </c>
      <c r="CR22" s="72">
        <f t="shared" si="109"/>
        <v>371</v>
      </c>
      <c r="CS22" s="72">
        <f t="shared" si="110"/>
        <v>386</v>
      </c>
      <c r="CT22" s="23">
        <f t="shared" si="111"/>
        <v>1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</row>
    <row r="23" spans="1:1029" x14ac:dyDescent="0.2">
      <c r="A23" s="3" t="str">
        <f t="shared" si="84"/>
        <v>aa1r_human__wt</v>
      </c>
      <c r="B23" s="3" t="s">
        <v>138</v>
      </c>
      <c r="C23" s="3" t="s">
        <v>100</v>
      </c>
      <c r="D23" s="3" t="str">
        <f>IFERROR(MID(VLOOKUP($B23,Seqs!$A:$B,2,0),E23,1),"")</f>
        <v>S</v>
      </c>
      <c r="E23" s="3">
        <v>6</v>
      </c>
      <c r="F23" s="3" t="str">
        <f>IFERROR(MID(VLOOKUP($B23,Seqs!$A:$B,2,0),G23,1),"")</f>
        <v>N</v>
      </c>
      <c r="G23" s="3">
        <v>37</v>
      </c>
      <c r="H23" s="3" t="str">
        <f>IFERROR(MID(VLOOKUP($B23,Seqs!$A:$B,2,0),I23,1),"")</f>
        <v>Q</v>
      </c>
      <c r="I23" s="23">
        <v>38</v>
      </c>
      <c r="J23" s="3" t="str">
        <f>IFERROR(MID(VLOOKUP($B23,Seqs!$A:$B,2,0),K23,1),"")</f>
        <v>R</v>
      </c>
      <c r="K23" s="23">
        <v>41</v>
      </c>
      <c r="L23" s="3" t="str">
        <f>IFERROR(MID(VLOOKUP($B23,Seqs!$A:$B,2,0),M23,1),"")</f>
        <v>D</v>
      </c>
      <c r="M23" s="3">
        <v>42</v>
      </c>
      <c r="N23" s="3" t="str">
        <f>IFERROR(MID(VLOOKUP($B23,Seqs!$A:$B,2,0),O23,1),"")</f>
        <v>G</v>
      </c>
      <c r="O23" s="3">
        <v>72</v>
      </c>
      <c r="P23" s="3" t="str">
        <f>IFERROR(MID(VLOOKUP($B23,Seqs!$A:$B,2,0),Q23,1),"")</f>
        <v>P</v>
      </c>
      <c r="Q23" s="3">
        <v>73</v>
      </c>
      <c r="R23" s="3" t="str">
        <f>IFERROR(MID(VLOOKUP($B23,Seqs!$A:$B,2,0),S23,1),"")</f>
        <v>T</v>
      </c>
      <c r="S23" s="3">
        <v>75</v>
      </c>
      <c r="T23" s="3" t="str">
        <f>IFERROR(MID(VLOOKUP($B23,Seqs!$A:$B,2,0),U23,1),"")</f>
        <v>Y</v>
      </c>
      <c r="U23" s="3">
        <v>76</v>
      </c>
      <c r="V23" s="3" t="str">
        <f>IFERROR(MID(VLOOKUP($B23,Seqs!$A:$B,2,0),W23,1),"")</f>
        <v>I</v>
      </c>
      <c r="W23" s="3">
        <v>111</v>
      </c>
      <c r="X23" s="3" t="str">
        <f>IFERROR(MID(VLOOKUP($B23,Seqs!$A:$B,2,0),Y23,1),"")</f>
        <v>P</v>
      </c>
      <c r="Y23" s="3">
        <v>112</v>
      </c>
      <c r="Z23" s="3" t="str">
        <f>IFERROR(MID(VLOOKUP($B23,Seqs!$A:$B,2,0),AA23,1),"")</f>
        <v>V</v>
      </c>
      <c r="AA23" s="3">
        <v>119</v>
      </c>
      <c r="AB23" s="3" t="str">
        <f>IFERROR(MID(VLOOKUP($B23,Seqs!$A:$B,2,0),AC23,1),"")</f>
        <v>T</v>
      </c>
      <c r="AC23" s="3">
        <v>120</v>
      </c>
      <c r="AD23" s="3" t="str">
        <f>IFERROR(MID(VLOOKUP($B23,Seqs!$A:$B,2,0),AE23,1),"")</f>
        <v>G</v>
      </c>
      <c r="AE23" s="3">
        <v>145</v>
      </c>
      <c r="AF23" s="3" t="str">
        <f>IFERROR(MID(VLOOKUP($B23,Seqs!$A:$B,2,0),AG23,1),"")</f>
        <v>C</v>
      </c>
      <c r="AG23" s="3">
        <v>169</v>
      </c>
      <c r="AH23" s="3" t="str">
        <f>IFERROR(MID(VLOOKUP($B23,Seqs!$A:$B,2,0),AI23,1),"")</f>
        <v>F</v>
      </c>
      <c r="AI23" s="3">
        <v>171</v>
      </c>
      <c r="AJ23" s="3" t="str">
        <f>IFERROR(MID(VLOOKUP($B23,Seqs!$A:$B,2,0),AK23,1),"")</f>
        <v>S</v>
      </c>
      <c r="AK23" s="3">
        <v>176</v>
      </c>
      <c r="AL23" s="3" t="str">
        <f>IFERROR(MID(VLOOKUP($B23,Seqs!$A:$B,2,0),AM23,1),"")</f>
        <v>V</v>
      </c>
      <c r="AM23" s="3">
        <v>215</v>
      </c>
      <c r="AN23" s="3" t="str">
        <f>IFERROR(MID(VLOOKUP($B23,Seqs!$A:$B,2,0),AO23,1),"")</f>
        <v>D</v>
      </c>
      <c r="AO23" s="3">
        <v>221</v>
      </c>
      <c r="AP23" s="3" t="str">
        <f>IFERROR(MID(VLOOKUP($B23,Seqs!$A:$B,2,0),AQ23,1),"")</f>
        <v>C</v>
      </c>
      <c r="AQ23" s="3">
        <v>260</v>
      </c>
      <c r="AR23" s="3" t="str">
        <f>IFERROR(MID(VLOOKUP($B23,Seqs!$A:$B,2,0),AS23,1),"")</f>
        <v>P</v>
      </c>
      <c r="AS23" s="3">
        <v>266</v>
      </c>
      <c r="AT23" s="3" t="str">
        <f>IFERROR(MID(VLOOKUP($B23,Seqs!$A:$B,2,0),AU23,1),"")</f>
        <v>R</v>
      </c>
      <c r="AU23" s="3">
        <v>291</v>
      </c>
      <c r="AV23" s="3" t="str">
        <f>IFERROR(MID(VLOOKUP($B23,Seqs!$A:$B,2,0),AW23,1),"")</f>
        <v>I</v>
      </c>
      <c r="AW23" s="3">
        <v>292</v>
      </c>
      <c r="AX23" s="3" t="str">
        <f>IFERROR(MID(VLOOKUP($B23,Seqs!$A:$B,2,0),AY23,1),"")</f>
        <v>P</v>
      </c>
      <c r="AY23" s="3">
        <v>314</v>
      </c>
      <c r="AZ23" s="77" t="str">
        <f>VLOOKUP(B23,Classification!A:D,2,0)</f>
        <v>A</v>
      </c>
      <c r="BA23" s="94" t="str">
        <f>VLOOKUP(B23,Classification!A:D,4,0)</f>
        <v>Adenosine</v>
      </c>
      <c r="BB23" s="27" t="b">
        <f t="shared" si="85"/>
        <v>1</v>
      </c>
      <c r="BC23" s="23">
        <f t="shared" si="86"/>
        <v>272</v>
      </c>
      <c r="BD23" s="4" t="s">
        <v>23</v>
      </c>
      <c r="BE23" s="3" t="s">
        <v>23</v>
      </c>
      <c r="BF23" s="118" t="s">
        <v>23</v>
      </c>
      <c r="BG23" s="49" t="s">
        <v>1371</v>
      </c>
      <c r="BH23" s="49" t="s">
        <v>1371</v>
      </c>
      <c r="BI23" s="1"/>
      <c r="BJ23" s="70" t="s">
        <v>1281</v>
      </c>
      <c r="BK23" s="57" t="s">
        <v>1281</v>
      </c>
      <c r="BL23" s="57" t="s">
        <v>1281</v>
      </c>
      <c r="BM23" s="57" t="s">
        <v>1281</v>
      </c>
      <c r="BN23" s="57" t="s">
        <v>1281</v>
      </c>
      <c r="BO23" s="57" t="s">
        <v>1281</v>
      </c>
      <c r="BP23" s="57" t="s">
        <v>1281</v>
      </c>
      <c r="BQ23" s="57" t="s">
        <v>1281</v>
      </c>
      <c r="BR23" s="57" t="s">
        <v>1281</v>
      </c>
      <c r="BS23" s="57" t="s">
        <v>1281</v>
      </c>
      <c r="BT23" s="57" t="s">
        <v>1281</v>
      </c>
      <c r="BU23" s="57" t="s">
        <v>1281</v>
      </c>
      <c r="BV23" s="70">
        <f t="shared" si="87"/>
        <v>6</v>
      </c>
      <c r="BW23" s="71">
        <f t="shared" si="88"/>
        <v>38</v>
      </c>
      <c r="BX23" s="72">
        <f t="shared" si="89"/>
        <v>42</v>
      </c>
      <c r="BY23" s="71">
        <f t="shared" si="90"/>
        <v>73</v>
      </c>
      <c r="BZ23" s="72">
        <f t="shared" si="91"/>
        <v>76</v>
      </c>
      <c r="CA23" s="71">
        <f t="shared" si="92"/>
        <v>112</v>
      </c>
      <c r="CB23" s="72">
        <f t="shared" si="93"/>
        <v>120</v>
      </c>
      <c r="CC23" s="71">
        <f t="shared" si="94"/>
        <v>169</v>
      </c>
      <c r="CD23" s="72">
        <f t="shared" si="95"/>
        <v>176</v>
      </c>
      <c r="CE23" s="71">
        <f t="shared" si="96"/>
        <v>221</v>
      </c>
      <c r="CF23" s="72">
        <f t="shared" si="97"/>
        <v>266</v>
      </c>
      <c r="CG23" s="71">
        <f t="shared" si="98"/>
        <v>292</v>
      </c>
      <c r="CH23" s="70">
        <f t="shared" si="99"/>
        <v>37</v>
      </c>
      <c r="CI23" s="71">
        <f t="shared" si="100"/>
        <v>41</v>
      </c>
      <c r="CJ23" s="72">
        <f t="shared" si="101"/>
        <v>72</v>
      </c>
      <c r="CK23" s="72">
        <f t="shared" si="102"/>
        <v>75</v>
      </c>
      <c r="CL23" s="72">
        <f t="shared" si="103"/>
        <v>111</v>
      </c>
      <c r="CM23" s="72">
        <f t="shared" si="104"/>
        <v>119</v>
      </c>
      <c r="CN23" s="72">
        <f t="shared" si="105"/>
        <v>145</v>
      </c>
      <c r="CO23" s="72">
        <f t="shared" si="106"/>
        <v>171</v>
      </c>
      <c r="CP23" s="72">
        <f t="shared" si="107"/>
        <v>215</v>
      </c>
      <c r="CQ23" s="72">
        <f t="shared" si="108"/>
        <v>260</v>
      </c>
      <c r="CR23" s="72">
        <f t="shared" si="109"/>
        <v>291</v>
      </c>
      <c r="CS23" s="72">
        <f t="shared" si="110"/>
        <v>314</v>
      </c>
      <c r="CT23" s="23">
        <f t="shared" si="111"/>
        <v>1</v>
      </c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</row>
    <row r="24" spans="1:1029" x14ac:dyDescent="0.2">
      <c r="A24" s="3" t="str">
        <f t="shared" si="84"/>
        <v>aa1r_human_5N2S</v>
      </c>
      <c r="B24" s="3" t="s">
        <v>138</v>
      </c>
      <c r="C24" s="3" t="s">
        <v>1425</v>
      </c>
      <c r="D24" s="3" t="str">
        <f>IFERROR(MID(VLOOKUP($B24,Seqs!$A:$B,2,0),E24,1),"")</f>
        <v/>
      </c>
      <c r="E24" s="3">
        <v>1111</v>
      </c>
      <c r="F24" s="3" t="str">
        <f>IFERROR(MID(VLOOKUP($B24,Seqs!$A:$B,2,0),G24,1),"")</f>
        <v/>
      </c>
      <c r="G24" s="3">
        <v>1141</v>
      </c>
      <c r="H24" s="3" t="str">
        <f>IFERROR(MID(VLOOKUP($B24,Seqs!$A:$B,2,0),I24,1),"")</f>
        <v/>
      </c>
      <c r="I24" s="23" t="s">
        <v>23</v>
      </c>
      <c r="J24" s="3" t="str">
        <f>IFERROR(MID(VLOOKUP($B24,Seqs!$A:$B,2,0),K24,1),"")</f>
        <v/>
      </c>
      <c r="K24" s="23" t="s">
        <v>23</v>
      </c>
      <c r="L24" s="3" t="str">
        <f>IFERROR(MID(VLOOKUP($B24,Seqs!$A:$B,2,0),M24,1),"")</f>
        <v/>
      </c>
      <c r="M24" s="3">
        <v>1147</v>
      </c>
      <c r="N24" s="3" t="str">
        <f>IFERROR(MID(VLOOKUP($B24,Seqs!$A:$B,2,0),O24,1),"")</f>
        <v/>
      </c>
      <c r="O24" s="3">
        <v>1177</v>
      </c>
      <c r="P24" s="3" t="str">
        <f>IFERROR(MID(VLOOKUP($B24,Seqs!$A:$B,2,0),Q24,1),"")</f>
        <v/>
      </c>
      <c r="Q24" s="3">
        <v>1178</v>
      </c>
      <c r="R24" s="3" t="str">
        <f>IFERROR(MID(VLOOKUP($B24,Seqs!$A:$B,2,0),S24,1),"")</f>
        <v/>
      </c>
      <c r="S24" s="3">
        <v>1180</v>
      </c>
      <c r="T24" s="3" t="str">
        <f>IFERROR(MID(VLOOKUP($B24,Seqs!$A:$B,2,0),U24,1),"")</f>
        <v/>
      </c>
      <c r="U24" s="3">
        <v>1181</v>
      </c>
      <c r="V24" s="3" t="str">
        <f>IFERROR(MID(VLOOKUP($B24,Seqs!$A:$B,2,0),W24,1),"")</f>
        <v/>
      </c>
      <c r="W24" s="3">
        <v>1216</v>
      </c>
      <c r="X24" s="3" t="str">
        <f>IFERROR(MID(VLOOKUP($B24,Seqs!$A:$B,2,0),Y24,1),"")</f>
        <v/>
      </c>
      <c r="Y24" s="3">
        <v>1217</v>
      </c>
      <c r="Z24" s="3" t="str">
        <f>IFERROR(MID(VLOOKUP($B24,Seqs!$A:$B,2,0),AA24,1),"")</f>
        <v/>
      </c>
      <c r="AA24" s="3">
        <v>1224</v>
      </c>
      <c r="AB24" s="3" t="str">
        <f>IFERROR(MID(VLOOKUP($B24,Seqs!$A:$B,2,0),AC24,1),"")</f>
        <v/>
      </c>
      <c r="AC24" s="3">
        <v>1225</v>
      </c>
      <c r="AD24" s="3" t="str">
        <f>IFERROR(MID(VLOOKUP($B24,Seqs!$A:$B,2,0),AE24,1),"")</f>
        <v/>
      </c>
      <c r="AE24" s="3">
        <v>1250</v>
      </c>
      <c r="AF24" s="3" t="str">
        <f>IFERROR(MID(VLOOKUP($B24,Seqs!$A:$B,2,0),AG24,1),"")</f>
        <v/>
      </c>
      <c r="AG24" s="3">
        <v>1274</v>
      </c>
      <c r="AH24" s="3" t="str">
        <f>IFERROR(MID(VLOOKUP($B24,Seqs!$A:$B,2,0),AI24,1),"")</f>
        <v/>
      </c>
      <c r="AI24" s="3">
        <v>1276</v>
      </c>
      <c r="AJ24" s="3" t="str">
        <f>IFERROR(MID(VLOOKUP($B24,Seqs!$A:$B,2,0),AK24,1),"")</f>
        <v/>
      </c>
      <c r="AK24" s="3">
        <v>1281</v>
      </c>
      <c r="AL24" s="3" t="str">
        <f>IFERROR(MID(VLOOKUP($B24,Seqs!$A:$B,2,0),AM24,1),"")</f>
        <v/>
      </c>
      <c r="AM24" s="3">
        <v>1316</v>
      </c>
      <c r="AN24" s="3" t="str">
        <f>IFERROR(MID(VLOOKUP($B24,Seqs!$A:$B,2,0),AO24,1),"")</f>
        <v/>
      </c>
      <c r="AO24" s="3">
        <v>1328</v>
      </c>
      <c r="AP24" s="3" t="str">
        <f>IFERROR(MID(VLOOKUP($B24,Seqs!$A:$B,2,0),AQ24,1),"")</f>
        <v/>
      </c>
      <c r="AQ24" s="3">
        <v>1365</v>
      </c>
      <c r="AR24" s="3" t="str">
        <f>IFERROR(MID(VLOOKUP($B24,Seqs!$A:$B,2,0),AS24,1),"")</f>
        <v/>
      </c>
      <c r="AS24" s="3">
        <v>1371</v>
      </c>
      <c r="AT24" s="3" t="str">
        <f>IFERROR(MID(VLOOKUP($B24,Seqs!$A:$B,2,0),AU24,1),"")</f>
        <v/>
      </c>
      <c r="AU24" s="3">
        <v>1400</v>
      </c>
      <c r="AV24" s="3" t="str">
        <f>IFERROR(MID(VLOOKUP($B24,Seqs!$A:$B,2,0),AW24,1),"")</f>
        <v/>
      </c>
      <c r="AW24" s="3" t="s">
        <v>23</v>
      </c>
      <c r="AX24" s="3" t="str">
        <f>IFERROR(MID(VLOOKUP($B24,Seqs!$A:$B,2,0),AY24,1),"")</f>
        <v/>
      </c>
      <c r="AY24" s="3" t="s">
        <v>23</v>
      </c>
      <c r="AZ24" s="77" t="str">
        <f>VLOOKUP(B24,Classification!A:D,2,0)</f>
        <v>A</v>
      </c>
      <c r="BA24" s="94" t="str">
        <f>VLOOKUP(B24,Classification!A:D,4,0)</f>
        <v>Adenosine</v>
      </c>
      <c r="BB24" s="27" t="b">
        <f t="shared" si="85"/>
        <v>1</v>
      </c>
      <c r="BC24" s="23">
        <f t="shared" si="86"/>
        <v>244</v>
      </c>
      <c r="BD24" s="5" t="s">
        <v>23</v>
      </c>
      <c r="BE24" s="3" t="s">
        <v>1368</v>
      </c>
      <c r="BF24" s="118">
        <v>3.3</v>
      </c>
      <c r="BG24" s="49" t="s">
        <v>1</v>
      </c>
      <c r="BH24" s="49" t="s">
        <v>1</v>
      </c>
      <c r="BI24" s="1"/>
      <c r="BJ24" s="70" t="s">
        <v>1281</v>
      </c>
      <c r="BK24" s="57" t="s">
        <v>1281</v>
      </c>
      <c r="BL24" s="57" t="s">
        <v>1281</v>
      </c>
      <c r="BM24" s="57" t="s">
        <v>1281</v>
      </c>
      <c r="BN24" s="57" t="s">
        <v>1281</v>
      </c>
      <c r="BO24" s="57" t="s">
        <v>1281</v>
      </c>
      <c r="BP24" s="57" t="s">
        <v>1281</v>
      </c>
      <c r="BQ24" s="57" t="s">
        <v>1281</v>
      </c>
      <c r="BR24" s="57" t="s">
        <v>1281</v>
      </c>
      <c r="BS24" s="57" t="s">
        <v>1281</v>
      </c>
      <c r="BT24" s="57" t="s">
        <v>1281</v>
      </c>
      <c r="BU24" s="57" t="s">
        <v>1281</v>
      </c>
      <c r="BV24" s="70">
        <f t="shared" si="87"/>
        <v>1111</v>
      </c>
      <c r="BW24" s="71" t="str">
        <f t="shared" si="88"/>
        <v>-</v>
      </c>
      <c r="BX24" s="72">
        <f t="shared" si="89"/>
        <v>1147</v>
      </c>
      <c r="BY24" s="71">
        <f t="shared" si="90"/>
        <v>1178</v>
      </c>
      <c r="BZ24" s="72">
        <f t="shared" si="91"/>
        <v>1181</v>
      </c>
      <c r="CA24" s="71">
        <f t="shared" si="92"/>
        <v>1217</v>
      </c>
      <c r="CB24" s="72">
        <f t="shared" si="93"/>
        <v>1225</v>
      </c>
      <c r="CC24" s="71">
        <f t="shared" si="94"/>
        <v>1274</v>
      </c>
      <c r="CD24" s="72">
        <f t="shared" si="95"/>
        <v>1281</v>
      </c>
      <c r="CE24" s="71">
        <f t="shared" si="96"/>
        <v>1328</v>
      </c>
      <c r="CF24" s="72">
        <f t="shared" si="97"/>
        <v>1371</v>
      </c>
      <c r="CG24" s="71" t="str">
        <f t="shared" si="98"/>
        <v>-</v>
      </c>
      <c r="CH24" s="70">
        <f t="shared" si="99"/>
        <v>1141</v>
      </c>
      <c r="CI24" s="71" t="str">
        <f t="shared" si="100"/>
        <v>-</v>
      </c>
      <c r="CJ24" s="72">
        <f t="shared" si="101"/>
        <v>1177</v>
      </c>
      <c r="CK24" s="72">
        <f t="shared" si="102"/>
        <v>1180</v>
      </c>
      <c r="CL24" s="72">
        <f t="shared" si="103"/>
        <v>1216</v>
      </c>
      <c r="CM24" s="72">
        <f t="shared" si="104"/>
        <v>1224</v>
      </c>
      <c r="CN24" s="72">
        <f t="shared" si="105"/>
        <v>1250</v>
      </c>
      <c r="CO24" s="72">
        <f t="shared" si="106"/>
        <v>1276</v>
      </c>
      <c r="CP24" s="72">
        <f t="shared" si="107"/>
        <v>1316</v>
      </c>
      <c r="CQ24" s="72">
        <f t="shared" si="108"/>
        <v>1365</v>
      </c>
      <c r="CR24" s="72">
        <f t="shared" si="109"/>
        <v>1400</v>
      </c>
      <c r="CS24" s="72" t="str">
        <f t="shared" si="110"/>
        <v>-</v>
      </c>
      <c r="CT24" s="23" t="e">
        <f t="shared" si="111"/>
        <v>#VALUE!</v>
      </c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</row>
    <row r="25" spans="1:1029" x14ac:dyDescent="0.2">
      <c r="A25" s="3" t="str">
        <f t="shared" si="84"/>
        <v>aa1r_human_5UEN</v>
      </c>
      <c r="B25" s="3" t="s">
        <v>138</v>
      </c>
      <c r="C25" s="3" t="s">
        <v>1383</v>
      </c>
      <c r="D25" s="3" t="str">
        <f>IFERROR(MID(VLOOKUP($B25,Seqs!$A:$B,2,0),E25,1),"")</f>
        <v>S</v>
      </c>
      <c r="E25" s="3">
        <v>6</v>
      </c>
      <c r="F25" s="3" t="str">
        <f>IFERROR(MID(VLOOKUP($B25,Seqs!$A:$B,2,0),G25,1),"")</f>
        <v>N</v>
      </c>
      <c r="G25" s="3">
        <v>37</v>
      </c>
      <c r="H25" s="3" t="str">
        <f>IFERROR(MID(VLOOKUP($B25,Seqs!$A:$B,2,0),I25,1),"")</f>
        <v>Q</v>
      </c>
      <c r="I25" s="23">
        <v>38</v>
      </c>
      <c r="J25" s="3" t="str">
        <f>IFERROR(MID(VLOOKUP($B25,Seqs!$A:$B,2,0),K25,1),"")</f>
        <v>R</v>
      </c>
      <c r="K25" s="23">
        <v>41</v>
      </c>
      <c r="L25" s="3" t="str">
        <f>IFERROR(MID(VLOOKUP($B25,Seqs!$A:$B,2,0),M25,1),"")</f>
        <v>D</v>
      </c>
      <c r="M25" s="3">
        <v>42</v>
      </c>
      <c r="N25" s="3" t="str">
        <f>IFERROR(MID(VLOOKUP($B25,Seqs!$A:$B,2,0),O25,1),"")</f>
        <v>G</v>
      </c>
      <c r="O25" s="3">
        <v>72</v>
      </c>
      <c r="P25" s="3" t="str">
        <f>IFERROR(MID(VLOOKUP($B25,Seqs!$A:$B,2,0),Q25,1),"")</f>
        <v>P</v>
      </c>
      <c r="Q25" s="3">
        <v>73</v>
      </c>
      <c r="R25" s="3" t="str">
        <f>IFERROR(MID(VLOOKUP($B25,Seqs!$A:$B,2,0),S25,1),"")</f>
        <v>T</v>
      </c>
      <c r="S25" s="3">
        <v>75</v>
      </c>
      <c r="T25" s="3" t="str">
        <f>IFERROR(MID(VLOOKUP($B25,Seqs!$A:$B,2,0),U25,1),"")</f>
        <v>Y</v>
      </c>
      <c r="U25" s="3">
        <v>76</v>
      </c>
      <c r="V25" s="3" t="str">
        <f>IFERROR(MID(VLOOKUP($B25,Seqs!$A:$B,2,0),W25,1),"")</f>
        <v>I</v>
      </c>
      <c r="W25" s="3">
        <v>111</v>
      </c>
      <c r="X25" s="3" t="str">
        <f>IFERROR(MID(VLOOKUP($B25,Seqs!$A:$B,2,0),Y25,1),"")</f>
        <v>P</v>
      </c>
      <c r="Y25" s="3">
        <v>112</v>
      </c>
      <c r="Z25" s="3" t="str">
        <f>IFERROR(MID(VLOOKUP($B25,Seqs!$A:$B,2,0),AA25,1),"")</f>
        <v>V</v>
      </c>
      <c r="AA25" s="3">
        <v>119</v>
      </c>
      <c r="AB25" s="3" t="str">
        <f>IFERROR(MID(VLOOKUP($B25,Seqs!$A:$B,2,0),AC25,1),"")</f>
        <v>T</v>
      </c>
      <c r="AC25" s="3">
        <v>120</v>
      </c>
      <c r="AD25" s="3" t="str">
        <f>IFERROR(MID(VLOOKUP($B25,Seqs!$A:$B,2,0),AE25,1),"")</f>
        <v>G</v>
      </c>
      <c r="AE25" s="3">
        <v>145</v>
      </c>
      <c r="AF25" s="3" t="str">
        <f>IFERROR(MID(VLOOKUP($B25,Seqs!$A:$B,2,0),AG25,1),"")</f>
        <v>C</v>
      </c>
      <c r="AG25" s="3">
        <v>169</v>
      </c>
      <c r="AH25" s="3" t="str">
        <f>IFERROR(MID(VLOOKUP($B25,Seqs!$A:$B,2,0),AI25,1),"")</f>
        <v>F</v>
      </c>
      <c r="AI25" s="3">
        <v>171</v>
      </c>
      <c r="AJ25" s="3" t="str">
        <f>IFERROR(MID(VLOOKUP($B25,Seqs!$A:$B,2,0),AK25,1),"")</f>
        <v>S</v>
      </c>
      <c r="AK25" s="3">
        <v>176</v>
      </c>
      <c r="AL25" s="3" t="str">
        <f>IFERROR(MID(VLOOKUP($B25,Seqs!$A:$B,2,0),AM25,1),"")</f>
        <v>L</v>
      </c>
      <c r="AM25" s="3">
        <v>211</v>
      </c>
      <c r="AN25" s="3" t="str">
        <f>IFERROR(MID(VLOOKUP($B25,Seqs!$A:$B,2,0),AO25,1),"")</f>
        <v>G</v>
      </c>
      <c r="AO25" s="3">
        <v>220</v>
      </c>
      <c r="AP25" s="3" t="str">
        <f>IFERROR(MID(VLOOKUP($B25,Seqs!$A:$B,2,0),AQ25,1),"")</f>
        <v>C</v>
      </c>
      <c r="AQ25" s="3">
        <v>260</v>
      </c>
      <c r="AR25" s="3" t="str">
        <f>IFERROR(MID(VLOOKUP($B25,Seqs!$A:$B,2,0),AS25,1),"")</f>
        <v>P</v>
      </c>
      <c r="AS25" s="3">
        <v>266</v>
      </c>
      <c r="AT25" s="3" t="str">
        <f>IFERROR(MID(VLOOKUP($B25,Seqs!$A:$B,2,0),AU25,1),"")</f>
        <v>R</v>
      </c>
      <c r="AU25" s="3">
        <v>291</v>
      </c>
      <c r="AV25" s="3" t="str">
        <f>IFERROR(MID(VLOOKUP($B25,Seqs!$A:$B,2,0),AW25,1),"")</f>
        <v>I</v>
      </c>
      <c r="AW25" s="3">
        <v>292</v>
      </c>
      <c r="AX25" s="3" t="str">
        <f>IFERROR(MID(VLOOKUP($B25,Seqs!$A:$B,2,0),AY25,1),"")</f>
        <v>F</v>
      </c>
      <c r="AY25" s="3">
        <v>307</v>
      </c>
      <c r="AZ25" s="77" t="str">
        <f>VLOOKUP(B25,Classification!A:D,2,0)</f>
        <v>A</v>
      </c>
      <c r="BA25" s="94" t="str">
        <f>VLOOKUP(B25,Classification!A:D,4,0)</f>
        <v>Adenosine</v>
      </c>
      <c r="BB25" s="27" t="b">
        <f t="shared" si="85"/>
        <v>1</v>
      </c>
      <c r="BC25" s="23">
        <f t="shared" si="86"/>
        <v>262</v>
      </c>
      <c r="BD25" s="4" t="s">
        <v>1370</v>
      </c>
      <c r="BE25" s="3" t="s">
        <v>1368</v>
      </c>
      <c r="BF25" s="118">
        <v>3.2</v>
      </c>
      <c r="BG25" s="49" t="s">
        <v>1371</v>
      </c>
      <c r="BH25" s="49" t="s">
        <v>1371</v>
      </c>
      <c r="BI25" s="1"/>
      <c r="BJ25" s="70" t="s">
        <v>1281</v>
      </c>
      <c r="BK25" s="57" t="s">
        <v>1281</v>
      </c>
      <c r="BL25" s="57" t="s">
        <v>1281</v>
      </c>
      <c r="BM25" s="57" t="s">
        <v>1281</v>
      </c>
      <c r="BN25" s="57" t="s">
        <v>1281</v>
      </c>
      <c r="BO25" s="57" t="s">
        <v>1281</v>
      </c>
      <c r="BP25" s="57" t="s">
        <v>1281</v>
      </c>
      <c r="BQ25" s="57" t="s">
        <v>1281</v>
      </c>
      <c r="BR25" s="57" t="s">
        <v>1281</v>
      </c>
      <c r="BS25" s="57" t="s">
        <v>1281</v>
      </c>
      <c r="BT25" s="57" t="s">
        <v>1281</v>
      </c>
      <c r="BU25" s="57" t="s">
        <v>1281</v>
      </c>
      <c r="BV25" s="70">
        <f t="shared" si="87"/>
        <v>6</v>
      </c>
      <c r="BW25" s="71">
        <f t="shared" si="88"/>
        <v>38</v>
      </c>
      <c r="BX25" s="72">
        <f t="shared" si="89"/>
        <v>42</v>
      </c>
      <c r="BY25" s="71">
        <f t="shared" si="90"/>
        <v>73</v>
      </c>
      <c r="BZ25" s="72">
        <f t="shared" si="91"/>
        <v>76</v>
      </c>
      <c r="CA25" s="71">
        <f t="shared" si="92"/>
        <v>112</v>
      </c>
      <c r="CB25" s="72">
        <f t="shared" si="93"/>
        <v>120</v>
      </c>
      <c r="CC25" s="71">
        <f t="shared" si="94"/>
        <v>169</v>
      </c>
      <c r="CD25" s="72">
        <f t="shared" si="95"/>
        <v>176</v>
      </c>
      <c r="CE25" s="71">
        <f t="shared" si="96"/>
        <v>220</v>
      </c>
      <c r="CF25" s="72">
        <f t="shared" si="97"/>
        <v>266</v>
      </c>
      <c r="CG25" s="71">
        <f t="shared" si="98"/>
        <v>292</v>
      </c>
      <c r="CH25" s="70">
        <f t="shared" si="99"/>
        <v>37</v>
      </c>
      <c r="CI25" s="71">
        <f t="shared" si="100"/>
        <v>41</v>
      </c>
      <c r="CJ25" s="72">
        <f t="shared" si="101"/>
        <v>72</v>
      </c>
      <c r="CK25" s="72">
        <f t="shared" si="102"/>
        <v>75</v>
      </c>
      <c r="CL25" s="72">
        <f t="shared" si="103"/>
        <v>111</v>
      </c>
      <c r="CM25" s="72">
        <f t="shared" si="104"/>
        <v>119</v>
      </c>
      <c r="CN25" s="72">
        <f t="shared" si="105"/>
        <v>145</v>
      </c>
      <c r="CO25" s="72">
        <f t="shared" si="106"/>
        <v>171</v>
      </c>
      <c r="CP25" s="72">
        <f t="shared" si="107"/>
        <v>211</v>
      </c>
      <c r="CQ25" s="72">
        <f t="shared" si="108"/>
        <v>260</v>
      </c>
      <c r="CR25" s="72">
        <f t="shared" si="109"/>
        <v>291</v>
      </c>
      <c r="CS25" s="72">
        <f t="shared" si="110"/>
        <v>307</v>
      </c>
      <c r="CT25" s="23">
        <f t="shared" si="111"/>
        <v>1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</row>
    <row r="26" spans="1:1029" x14ac:dyDescent="0.2">
      <c r="A26" s="3" t="str">
        <f>CONCATENATE(B26,"_",C26)</f>
        <v>aa1r_human_6D9H</v>
      </c>
      <c r="B26" s="3" t="s">
        <v>138</v>
      </c>
      <c r="C26" s="3" t="s">
        <v>1497</v>
      </c>
      <c r="D26" s="3" t="str">
        <f>IFERROR(MID(VLOOKUP($B26,Seqs!$A:$B,2,0),E26,1),"")</f>
        <v>S</v>
      </c>
      <c r="E26" s="3">
        <v>6</v>
      </c>
      <c r="F26" s="3" t="str">
        <f>IFERROR(MID(VLOOKUP($B26,Seqs!$A:$B,2,0),G26,1),"")</f>
        <v>N</v>
      </c>
      <c r="G26" s="3">
        <v>37</v>
      </c>
      <c r="H26" s="3" t="str">
        <f>IFERROR(MID(VLOOKUP($B26,Seqs!$A:$B,2,0),I26,1),"")</f>
        <v/>
      </c>
      <c r="I26" s="23" t="s">
        <v>23</v>
      </c>
      <c r="J26" s="3" t="str">
        <f>IFERROR(MID(VLOOKUP($B26,Seqs!$A:$B,2,0),K26,1),"")</f>
        <v/>
      </c>
      <c r="K26" s="23" t="s">
        <v>23</v>
      </c>
      <c r="L26" s="3" t="str">
        <f>IFERROR(MID(VLOOKUP($B26,Seqs!$A:$B,2,0),M26,1),"")</f>
        <v>D</v>
      </c>
      <c r="M26" s="3">
        <v>42</v>
      </c>
      <c r="N26" s="3" t="str">
        <f>IFERROR(MID(VLOOKUP($B26,Seqs!$A:$B,2,0),O26,1),"")</f>
        <v>G</v>
      </c>
      <c r="O26" s="3">
        <v>72</v>
      </c>
      <c r="P26" s="3" t="str">
        <f>IFERROR(MID(VLOOKUP($B26,Seqs!$A:$B,2,0),Q26,1),"")</f>
        <v>P</v>
      </c>
      <c r="Q26" s="3">
        <v>73</v>
      </c>
      <c r="R26" s="3" t="str">
        <f>IFERROR(MID(VLOOKUP($B26,Seqs!$A:$B,2,0),S26,1),"")</f>
        <v>T</v>
      </c>
      <c r="S26" s="3">
        <v>75</v>
      </c>
      <c r="T26" s="3" t="str">
        <f>IFERROR(MID(VLOOKUP($B26,Seqs!$A:$B,2,0),U26,1),"")</f>
        <v>Y</v>
      </c>
      <c r="U26" s="3">
        <v>76</v>
      </c>
      <c r="V26" s="3" t="str">
        <f>IFERROR(MID(VLOOKUP($B26,Seqs!$A:$B,2,0),W26,1),"")</f>
        <v>I</v>
      </c>
      <c r="W26" s="3">
        <v>111</v>
      </c>
      <c r="X26" s="3" t="str">
        <f>IFERROR(MID(VLOOKUP($B26,Seqs!$A:$B,2,0),Y26,1),"")</f>
        <v>P</v>
      </c>
      <c r="Y26" s="3">
        <v>112</v>
      </c>
      <c r="Z26" s="3" t="str">
        <f>IFERROR(MID(VLOOKUP($B26,Seqs!$A:$B,2,0),AA26,1),"")</f>
        <v>V</v>
      </c>
      <c r="AA26" s="3">
        <v>119</v>
      </c>
      <c r="AB26" s="3" t="str">
        <f>IFERROR(MID(VLOOKUP($B26,Seqs!$A:$B,2,0),AC26,1),"")</f>
        <v>T</v>
      </c>
      <c r="AC26" s="3">
        <v>120</v>
      </c>
      <c r="AD26" s="3" t="str">
        <f>IFERROR(MID(VLOOKUP($B26,Seqs!$A:$B,2,0),AE26,1),"")</f>
        <v>G</v>
      </c>
      <c r="AE26" s="3">
        <v>145</v>
      </c>
      <c r="AF26" s="3" t="str">
        <f>IFERROR(MID(VLOOKUP($B26,Seqs!$A:$B,2,0),AG26,1),"")</f>
        <v>C</v>
      </c>
      <c r="AG26" s="3">
        <v>169</v>
      </c>
      <c r="AH26" s="3" t="str">
        <f>IFERROR(MID(VLOOKUP($B26,Seqs!$A:$B,2,0),AI26,1),"")</f>
        <v>F</v>
      </c>
      <c r="AI26" s="3">
        <v>171</v>
      </c>
      <c r="AJ26" s="3" t="str">
        <f>IFERROR(MID(VLOOKUP($B26,Seqs!$A:$B,2,0),AK26,1),"")</f>
        <v>S</v>
      </c>
      <c r="AK26" s="3">
        <v>176</v>
      </c>
      <c r="AL26" s="3" t="str">
        <f>IFERROR(MID(VLOOKUP($B26,Seqs!$A:$B,2,0),AM26,1),"")</f>
        <v>K</v>
      </c>
      <c r="AM26" s="3">
        <v>213</v>
      </c>
      <c r="AN26" s="3" t="str">
        <f>IFERROR(MID(VLOOKUP($B26,Seqs!$A:$B,2,0),AO26,1),"")</f>
        <v>Q</v>
      </c>
      <c r="AO26" s="3">
        <v>223</v>
      </c>
      <c r="AP26" s="3" t="str">
        <f>IFERROR(MID(VLOOKUP($B26,Seqs!$A:$B,2,0),AQ26,1),"")</f>
        <v>C</v>
      </c>
      <c r="AQ26" s="3">
        <v>260</v>
      </c>
      <c r="AR26" s="3" t="str">
        <f>IFERROR(MID(VLOOKUP($B26,Seqs!$A:$B,2,0),AS26,1),"")</f>
        <v>S</v>
      </c>
      <c r="AS26" s="3">
        <v>267</v>
      </c>
      <c r="AT26" s="3" t="str">
        <f>IFERROR(MID(VLOOKUP($B26,Seqs!$A:$B,2,0),AU26,1),"")</f>
        <v>R</v>
      </c>
      <c r="AU26" s="3">
        <v>291</v>
      </c>
      <c r="AV26" s="3" t="str">
        <f>IFERROR(MID(VLOOKUP($B26,Seqs!$A:$B,2,0),AW26,1),"")</f>
        <v>I</v>
      </c>
      <c r="AW26" s="3">
        <v>292</v>
      </c>
      <c r="AX26" s="3" t="str">
        <f>IFERROR(MID(VLOOKUP($B26,Seqs!$A:$B,2,0),AY26,1),"")</f>
        <v>K</v>
      </c>
      <c r="AY26" s="3">
        <v>301</v>
      </c>
      <c r="AZ26" s="77" t="str">
        <f>VLOOKUP(B26,Classification!A:D,2,0)</f>
        <v>A</v>
      </c>
      <c r="BA26" s="94" t="str">
        <f>VLOOKUP(B26,Classification!A:D,4,0)</f>
        <v>Adenosine</v>
      </c>
      <c r="BB26" s="27" t="b">
        <f>AND(E26&lt;G26,OR(G26&lt;I26,I26="-"),OR(I26&lt;K26,I26="-"),OR(K26&lt;M26,K26="-"),M26&lt;O26,OR(O26&lt;Q26,Q26="-"),OR(Q26&lt;S26,Q26="-"),OR(S26&lt;U26,S26="-"),U26&lt;W26,OR(W26&lt;Y26,Y26="-"),OR(Y26&lt;AA26,Y26="-"),OR(AA26&lt;AC26,AA26="-"),AC26&lt;AE26,OR(AE26&lt;AG26,AG26="-"),OR(AG26&lt;AI26,AG26="-"),OR(AI26&lt;AK26,AI26="-"),AK26&lt;AM26,AM26&lt;AO26,AO26&lt;AQ26,AQ26&lt;AS26,AS26&lt;AU26,OR(AU26&lt;AW26,AW26="-"),OR(AW26&lt;AY26,AW26="-"))</f>
        <v>1</v>
      </c>
      <c r="BC26" s="23">
        <f>_xlfn.AGGREGATE(9,6,CH26:CS26)-_xlfn.AGGREGATE(9,6,BV26:CG26)+12</f>
        <v>251</v>
      </c>
      <c r="BD26" s="4" t="s">
        <v>1369</v>
      </c>
      <c r="BE26" s="3" t="s">
        <v>1285</v>
      </c>
      <c r="BF26" s="118">
        <v>3.6</v>
      </c>
      <c r="BG26" s="49" t="s">
        <v>1416</v>
      </c>
      <c r="BH26" s="49" t="s">
        <v>1416</v>
      </c>
      <c r="BI26" s="1"/>
      <c r="BJ26" s="70" t="s">
        <v>1281</v>
      </c>
      <c r="BK26" s="57" t="s">
        <v>1281</v>
      </c>
      <c r="BL26" s="57" t="s">
        <v>1281</v>
      </c>
      <c r="BM26" s="57" t="s">
        <v>1281</v>
      </c>
      <c r="BN26" s="57" t="s">
        <v>1281</v>
      </c>
      <c r="BO26" s="57" t="s">
        <v>1281</v>
      </c>
      <c r="BP26" s="57" t="s">
        <v>1281</v>
      </c>
      <c r="BQ26" s="57" t="s">
        <v>1281</v>
      </c>
      <c r="BR26" s="57" t="s">
        <v>1281</v>
      </c>
      <c r="BS26" s="57" t="s">
        <v>1281</v>
      </c>
      <c r="BT26" s="57" t="s">
        <v>1281</v>
      </c>
      <c r="BU26" s="57" t="s">
        <v>1281</v>
      </c>
      <c r="BV26" s="70">
        <f>E26</f>
        <v>6</v>
      </c>
      <c r="BW26" s="71" t="str">
        <f>I26</f>
        <v>-</v>
      </c>
      <c r="BX26" s="72">
        <f>M26</f>
        <v>42</v>
      </c>
      <c r="BY26" s="71">
        <f>Q26</f>
        <v>73</v>
      </c>
      <c r="BZ26" s="72">
        <f>U26</f>
        <v>76</v>
      </c>
      <c r="CA26" s="71">
        <f>Y26</f>
        <v>112</v>
      </c>
      <c r="CB26" s="72">
        <f>AC26</f>
        <v>120</v>
      </c>
      <c r="CC26" s="71">
        <f>AG26</f>
        <v>169</v>
      </c>
      <c r="CD26" s="72">
        <f>AK26</f>
        <v>176</v>
      </c>
      <c r="CE26" s="71">
        <f>AO26</f>
        <v>223</v>
      </c>
      <c r="CF26" s="72">
        <f>AS26</f>
        <v>267</v>
      </c>
      <c r="CG26" s="71">
        <f>AW26</f>
        <v>292</v>
      </c>
      <c r="CH26" s="70">
        <f>G26</f>
        <v>37</v>
      </c>
      <c r="CI26" s="71" t="str">
        <f>K26</f>
        <v>-</v>
      </c>
      <c r="CJ26" s="72">
        <f>O26</f>
        <v>72</v>
      </c>
      <c r="CK26" s="72">
        <f>S26</f>
        <v>75</v>
      </c>
      <c r="CL26" s="72">
        <f>W26</f>
        <v>111</v>
      </c>
      <c r="CM26" s="72">
        <f>AA26</f>
        <v>119</v>
      </c>
      <c r="CN26" s="72">
        <f>AE26</f>
        <v>145</v>
      </c>
      <c r="CO26" s="72">
        <f>AI26</f>
        <v>171</v>
      </c>
      <c r="CP26" s="72">
        <f>AM26</f>
        <v>213</v>
      </c>
      <c r="CQ26" s="72">
        <f>AQ26</f>
        <v>260</v>
      </c>
      <c r="CR26" s="72">
        <f>AU26</f>
        <v>291</v>
      </c>
      <c r="CS26" s="72">
        <f>AY26</f>
        <v>301</v>
      </c>
      <c r="CT26" s="23" t="e">
        <f>M26-K26</f>
        <v>#VALUE!</v>
      </c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</row>
    <row r="27" spans="1:1029" x14ac:dyDescent="0.2">
      <c r="A27" s="3" t="str">
        <f t="shared" si="0"/>
        <v>aa2ar_human__wt</v>
      </c>
      <c r="B27" s="3" t="s">
        <v>139</v>
      </c>
      <c r="C27" s="3" t="s">
        <v>100</v>
      </c>
      <c r="D27" s="3" t="str">
        <f>IFERROR(MID(VLOOKUP($B27,Seqs!$A:$B,2,0),E27,1),"")</f>
        <v>M</v>
      </c>
      <c r="E27" s="3">
        <v>1</v>
      </c>
      <c r="F27" s="3" t="str">
        <f>IFERROR(MID(VLOOKUP($B27,Seqs!$A:$B,2,0),G27,1),"")</f>
        <v>N</v>
      </c>
      <c r="G27" s="3">
        <v>34</v>
      </c>
      <c r="H27" s="3" t="str">
        <f>IFERROR(MID(VLOOKUP($B27,Seqs!$A:$B,2,0),I27,1),"")</f>
        <v>S</v>
      </c>
      <c r="I27" s="23">
        <v>35</v>
      </c>
      <c r="J27" s="3" t="str">
        <f>IFERROR(MID(VLOOKUP($B27,Seqs!$A:$B,2,0),K27,1),"")</f>
        <v>Q</v>
      </c>
      <c r="K27" s="23">
        <v>38</v>
      </c>
      <c r="L27" s="3" t="str">
        <f>IFERROR(MID(VLOOKUP($B27,Seqs!$A:$B,2,0),M27,1),"")</f>
        <v>N</v>
      </c>
      <c r="M27" s="3">
        <v>39</v>
      </c>
      <c r="N27" s="3" t="str">
        <f>IFERROR(MID(VLOOKUP($B27,Seqs!$A:$B,2,0),O27,1),"")</f>
        <v>G</v>
      </c>
      <c r="O27" s="3">
        <v>69</v>
      </c>
      <c r="P27" s="3" t="str">
        <f>IFERROR(MID(VLOOKUP($B27,Seqs!$A:$B,2,0),Q27,1),"")</f>
        <v>F</v>
      </c>
      <c r="Q27" s="3">
        <v>70</v>
      </c>
      <c r="R27" s="3" t="str">
        <f>IFERROR(MID(VLOOKUP($B27,Seqs!$A:$B,2,0),S27,1),"")</f>
        <v>A</v>
      </c>
      <c r="S27" s="3">
        <v>72</v>
      </c>
      <c r="T27" s="3" t="str">
        <f>IFERROR(MID(VLOOKUP($B27,Seqs!$A:$B,2,0),U27,1),"")</f>
        <v>A</v>
      </c>
      <c r="U27" s="3">
        <v>73</v>
      </c>
      <c r="V27" s="3" t="str">
        <f>IFERROR(MID(VLOOKUP($B27,Seqs!$A:$B,2,0),W27,1),"")</f>
        <v>I</v>
      </c>
      <c r="W27" s="3">
        <v>108</v>
      </c>
      <c r="X27" s="3" t="str">
        <f>IFERROR(MID(VLOOKUP($B27,Seqs!$A:$B,2,0),Y27,1),"")</f>
        <v>P</v>
      </c>
      <c r="Y27" s="3">
        <v>109</v>
      </c>
      <c r="Z27" s="3" t="str">
        <f>IFERROR(MID(VLOOKUP($B27,Seqs!$A:$B,2,0),AA27,1),"")</f>
        <v>V</v>
      </c>
      <c r="AA27" s="3">
        <v>116</v>
      </c>
      <c r="AB27" s="3" t="str">
        <f>IFERROR(MID(VLOOKUP($B27,Seqs!$A:$B,2,0),AC27,1),"")</f>
        <v>T</v>
      </c>
      <c r="AC27" s="9">
        <v>117</v>
      </c>
      <c r="AD27" s="3" t="str">
        <f>IFERROR(MID(VLOOKUP($B27,Seqs!$A:$B,2,0),AE27,1),"")</f>
        <v>G</v>
      </c>
      <c r="AE27" s="3">
        <v>142</v>
      </c>
      <c r="AF27" s="3" t="str">
        <f>IFERROR(MID(VLOOKUP($B27,Seqs!$A:$B,2,0),AG27,1),"")</f>
        <v>C</v>
      </c>
      <c r="AG27" s="3">
        <v>166</v>
      </c>
      <c r="AH27" s="3" t="str">
        <f>IFERROR(MID(VLOOKUP($B27,Seqs!$A:$B,2,0),AI27,1),"")</f>
        <v>F</v>
      </c>
      <c r="AI27" s="3">
        <v>168</v>
      </c>
      <c r="AJ27" s="3" t="str">
        <f>IFERROR(MID(VLOOKUP($B27,Seqs!$A:$B,2,0),AK27,1),"")</f>
        <v>P</v>
      </c>
      <c r="AK27" s="3">
        <v>173</v>
      </c>
      <c r="AL27" s="3" t="str">
        <f>IFERROR(MID(VLOOKUP($B27,Seqs!$A:$B,2,0),AM27,1),"")</f>
        <v>S</v>
      </c>
      <c r="AM27" s="3">
        <v>213</v>
      </c>
      <c r="AN27" s="3" t="str">
        <f>IFERROR(MID(VLOOKUP($B27,Seqs!$A:$B,2,0),AO27,1),"")</f>
        <v>E</v>
      </c>
      <c r="AO27" s="3">
        <v>219</v>
      </c>
      <c r="AP27" s="3" t="str">
        <f>IFERROR(MID(VLOOKUP($B27,Seqs!$A:$B,2,0),AQ27,1),"")</f>
        <v>C</v>
      </c>
      <c r="AQ27" s="3">
        <v>259</v>
      </c>
      <c r="AR27" s="3" t="str">
        <f>IFERROR(MID(VLOOKUP($B27,Seqs!$A:$B,2,0),AS27,1),"")</f>
        <v>P</v>
      </c>
      <c r="AS27" s="3">
        <v>266</v>
      </c>
      <c r="AT27" s="3" t="str">
        <f>IFERROR(MID(VLOOKUP($B27,Seqs!$A:$B,2,0),AU27,1),"")</f>
        <v>R</v>
      </c>
      <c r="AU27" s="3">
        <v>291</v>
      </c>
      <c r="AV27" s="3" t="str">
        <f>IFERROR(MID(VLOOKUP($B27,Seqs!$A:$B,2,0),AW27,1),"")</f>
        <v>I</v>
      </c>
      <c r="AW27" s="3">
        <v>292</v>
      </c>
      <c r="AX27" s="3" t="str">
        <f>IFERROR(MID(VLOOKUP($B27,Seqs!$A:$B,2,0),AY27,1),"")</f>
        <v>F</v>
      </c>
      <c r="AY27" s="3">
        <v>314</v>
      </c>
      <c r="AZ27" s="77" t="str">
        <f>VLOOKUP(B27,Classification!A:D,2,0)</f>
        <v>A</v>
      </c>
      <c r="BA27" s="94" t="str">
        <f>VLOOKUP(B27,Classification!A:D,4,0)</f>
        <v>Adenosine</v>
      </c>
      <c r="BB27" s="27" t="b">
        <f t="shared" si="1"/>
        <v>1</v>
      </c>
      <c r="BC27" s="23">
        <f t="shared" ref="BC27:BC37" si="224">_xlfn.AGGREGATE(9,6,CH27:CS27)-_xlfn.AGGREGATE(9,6,BV27:CG27)+12</f>
        <v>276</v>
      </c>
      <c r="BD27" s="34" t="s">
        <v>23</v>
      </c>
      <c r="BE27" s="3" t="s">
        <v>23</v>
      </c>
      <c r="BF27" s="118" t="s">
        <v>23</v>
      </c>
      <c r="BG27" s="49" t="s">
        <v>1366</v>
      </c>
      <c r="BH27" s="49" t="s">
        <v>1371</v>
      </c>
      <c r="BI27" s="1"/>
      <c r="BJ27" s="70" t="s">
        <v>1281</v>
      </c>
      <c r="BK27" s="57" t="s">
        <v>1281</v>
      </c>
      <c r="BL27" s="57" t="s">
        <v>1281</v>
      </c>
      <c r="BM27" s="57" t="s">
        <v>1281</v>
      </c>
      <c r="BN27" s="57" t="s">
        <v>1281</v>
      </c>
      <c r="BO27" s="57" t="s">
        <v>1281</v>
      </c>
      <c r="BP27" s="57" t="s">
        <v>1281</v>
      </c>
      <c r="BQ27" s="57" t="s">
        <v>1281</v>
      </c>
      <c r="BR27" s="57" t="s">
        <v>1281</v>
      </c>
      <c r="BS27" s="57" t="s">
        <v>1281</v>
      </c>
      <c r="BT27" s="57" t="s">
        <v>1281</v>
      </c>
      <c r="BU27" s="57" t="s">
        <v>1281</v>
      </c>
      <c r="BV27" s="70">
        <f t="shared" si="3"/>
        <v>1</v>
      </c>
      <c r="BW27" s="71">
        <f t="shared" si="4"/>
        <v>35</v>
      </c>
      <c r="BX27" s="72">
        <f t="shared" si="5"/>
        <v>39</v>
      </c>
      <c r="BY27" s="71">
        <f t="shared" si="6"/>
        <v>70</v>
      </c>
      <c r="BZ27" s="72">
        <f t="shared" si="7"/>
        <v>73</v>
      </c>
      <c r="CA27" s="71">
        <f t="shared" si="8"/>
        <v>109</v>
      </c>
      <c r="CB27" s="72">
        <f t="shared" si="9"/>
        <v>117</v>
      </c>
      <c r="CC27" s="71">
        <f t="shared" si="10"/>
        <v>166</v>
      </c>
      <c r="CD27" s="72">
        <f t="shared" si="11"/>
        <v>173</v>
      </c>
      <c r="CE27" s="71">
        <f t="shared" si="12"/>
        <v>219</v>
      </c>
      <c r="CF27" s="72">
        <f t="shared" si="13"/>
        <v>266</v>
      </c>
      <c r="CG27" s="71">
        <f t="shared" si="14"/>
        <v>292</v>
      </c>
      <c r="CH27" s="70">
        <f t="shared" si="15"/>
        <v>34</v>
      </c>
      <c r="CI27" s="71">
        <f t="shared" si="16"/>
        <v>38</v>
      </c>
      <c r="CJ27" s="72">
        <f t="shared" si="17"/>
        <v>69</v>
      </c>
      <c r="CK27" s="72">
        <f t="shared" si="18"/>
        <v>72</v>
      </c>
      <c r="CL27" s="72">
        <f t="shared" si="19"/>
        <v>108</v>
      </c>
      <c r="CM27" s="72">
        <f t="shared" si="20"/>
        <v>116</v>
      </c>
      <c r="CN27" s="72">
        <f t="shared" si="21"/>
        <v>142</v>
      </c>
      <c r="CO27" s="72">
        <f t="shared" si="22"/>
        <v>168</v>
      </c>
      <c r="CP27" s="72">
        <f t="shared" si="23"/>
        <v>213</v>
      </c>
      <c r="CQ27" s="72">
        <f t="shared" si="24"/>
        <v>259</v>
      </c>
      <c r="CR27" s="72">
        <f t="shared" si="25"/>
        <v>291</v>
      </c>
      <c r="CS27" s="72">
        <f t="shared" si="26"/>
        <v>314</v>
      </c>
      <c r="CT27" s="23">
        <f t="shared" si="27"/>
        <v>1</v>
      </c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</row>
    <row r="28" spans="1:1029" x14ac:dyDescent="0.2">
      <c r="A28" s="3" t="str">
        <f t="shared" si="0"/>
        <v>aa2ar_human_2YDO</v>
      </c>
      <c r="B28" s="3" t="s">
        <v>139</v>
      </c>
      <c r="C28" s="3" t="s">
        <v>1022</v>
      </c>
      <c r="D28" s="3" t="str">
        <f>IFERROR(MID(VLOOKUP($B28,Seqs!$A:$B,2,0),E28,1),"")</f>
        <v>S</v>
      </c>
      <c r="E28" s="3">
        <v>7</v>
      </c>
      <c r="F28" s="3" t="str">
        <f>IFERROR(MID(VLOOKUP($B28,Seqs!$A:$B,2,0),G28,1),"")</f>
        <v>N</v>
      </c>
      <c r="G28" s="3">
        <v>34</v>
      </c>
      <c r="H28" s="3" t="str">
        <f>IFERROR(MID(VLOOKUP($B28,Seqs!$A:$B,2,0),I28,1),"")</f>
        <v>S</v>
      </c>
      <c r="I28" s="23">
        <v>35</v>
      </c>
      <c r="J28" s="3" t="str">
        <f>IFERROR(MID(VLOOKUP($B28,Seqs!$A:$B,2,0),K28,1),"")</f>
        <v>Q</v>
      </c>
      <c r="K28" s="23">
        <v>38</v>
      </c>
      <c r="L28" s="3" t="str">
        <f>IFERROR(MID(VLOOKUP($B28,Seqs!$A:$B,2,0),M28,1),"")</f>
        <v>N</v>
      </c>
      <c r="M28" s="3">
        <v>39</v>
      </c>
      <c r="N28" s="3" t="str">
        <f>IFERROR(MID(VLOOKUP($B28,Seqs!$A:$B,2,0),O28,1),"")</f>
        <v>G</v>
      </c>
      <c r="O28" s="3">
        <v>69</v>
      </c>
      <c r="P28" s="3" t="str">
        <f>IFERROR(MID(VLOOKUP($B28,Seqs!$A:$B,2,0),Q28,1),"")</f>
        <v>F</v>
      </c>
      <c r="Q28" s="3">
        <v>70</v>
      </c>
      <c r="R28" s="3" t="str">
        <f>IFERROR(MID(VLOOKUP($B28,Seqs!$A:$B,2,0),S28,1),"")</f>
        <v>A</v>
      </c>
      <c r="S28" s="3">
        <v>72</v>
      </c>
      <c r="T28" s="3" t="str">
        <f>IFERROR(MID(VLOOKUP($B28,Seqs!$A:$B,2,0),U28,1),"")</f>
        <v>A</v>
      </c>
      <c r="U28" s="3">
        <v>73</v>
      </c>
      <c r="V28" s="3" t="str">
        <f>IFERROR(MID(VLOOKUP($B28,Seqs!$A:$B,2,0),W28,1),"")</f>
        <v>I</v>
      </c>
      <c r="W28" s="3">
        <v>108</v>
      </c>
      <c r="X28" s="3" t="str">
        <f>IFERROR(MID(VLOOKUP($B28,Seqs!$A:$B,2,0),Y28,1),"")</f>
        <v>P</v>
      </c>
      <c r="Y28" s="3">
        <v>109</v>
      </c>
      <c r="Z28" s="3" t="str">
        <f>IFERROR(MID(VLOOKUP($B28,Seqs!$A:$B,2,0),AA28,1),"")</f>
        <v>V</v>
      </c>
      <c r="AA28" s="3">
        <v>116</v>
      </c>
      <c r="AB28" s="3" t="str">
        <f>IFERROR(MID(VLOOKUP($B28,Seqs!$A:$B,2,0),AC28,1),"")</f>
        <v>T</v>
      </c>
      <c r="AC28" s="9">
        <v>117</v>
      </c>
      <c r="AD28" s="3" t="str">
        <f>IFERROR(MID(VLOOKUP($B28,Seqs!$A:$B,2,0),AE28,1),"")</f>
        <v>G</v>
      </c>
      <c r="AE28" s="3">
        <v>142</v>
      </c>
      <c r="AF28" s="3" t="str">
        <f>IFERROR(MID(VLOOKUP($B28,Seqs!$A:$B,2,0),AG28,1),"")</f>
        <v>C</v>
      </c>
      <c r="AG28" s="3">
        <v>166</v>
      </c>
      <c r="AH28" s="3" t="str">
        <f>IFERROR(MID(VLOOKUP($B28,Seqs!$A:$B,2,0),AI28,1),"")</f>
        <v>F</v>
      </c>
      <c r="AI28" s="3">
        <v>168</v>
      </c>
      <c r="AJ28" s="3" t="str">
        <f>IFERROR(MID(VLOOKUP($B28,Seqs!$A:$B,2,0),AK28,1),"")</f>
        <v>P</v>
      </c>
      <c r="AK28" s="3">
        <v>173</v>
      </c>
      <c r="AL28" s="3" t="str">
        <f>IFERROR(MID(VLOOKUP($B28,Seqs!$A:$B,2,0),AM28,1),"")</f>
        <v>Q</v>
      </c>
      <c r="AM28" s="3">
        <v>210</v>
      </c>
      <c r="AN28" s="3" t="str">
        <f>IFERROR(MID(VLOOKUP($B28,Seqs!$A:$B,2,0),AO28,1),"")</f>
        <v>L</v>
      </c>
      <c r="AO28" s="3">
        <v>225</v>
      </c>
      <c r="AP28" s="3" t="str">
        <f>IFERROR(MID(VLOOKUP($B28,Seqs!$A:$B,2,0),AQ28,1),"")</f>
        <v>C</v>
      </c>
      <c r="AQ28" s="3">
        <v>259</v>
      </c>
      <c r="AR28" s="3" t="str">
        <f>IFERROR(MID(VLOOKUP($B28,Seqs!$A:$B,2,0),AS28,1),"")</f>
        <v>P</v>
      </c>
      <c r="AS28" s="3">
        <v>266</v>
      </c>
      <c r="AT28" s="3" t="str">
        <f>IFERROR(MID(VLOOKUP($B28,Seqs!$A:$B,2,0),AU28,1),"")</f>
        <v>R</v>
      </c>
      <c r="AU28" s="3">
        <v>291</v>
      </c>
      <c r="AV28" s="3" t="str">
        <f>IFERROR(MID(VLOOKUP($B28,Seqs!$A:$B,2,0),AW28,1),"")</f>
        <v>I</v>
      </c>
      <c r="AW28" s="3">
        <v>292</v>
      </c>
      <c r="AX28" s="3" t="str">
        <f>IFERROR(MID(VLOOKUP($B28,Seqs!$A:$B,2,0),AY28,1),"")</f>
        <v>A</v>
      </c>
      <c r="AY28" s="3">
        <v>317</v>
      </c>
      <c r="AZ28" s="77" t="str">
        <f>VLOOKUP(B28,Classification!A:D,2,0)</f>
        <v>A</v>
      </c>
      <c r="BA28" s="94" t="str">
        <f>VLOOKUP(B28,Classification!A:D,4,0)</f>
        <v>Adenosine</v>
      </c>
      <c r="BB28" s="27" t="b">
        <f t="shared" si="1"/>
        <v>1</v>
      </c>
      <c r="BC28" s="23">
        <f t="shared" si="224"/>
        <v>264</v>
      </c>
      <c r="BD28" s="4" t="s">
        <v>23</v>
      </c>
      <c r="BE28" s="3" t="s">
        <v>1422</v>
      </c>
      <c r="BF28" s="118">
        <v>3</v>
      </c>
      <c r="BG28" s="49" t="s">
        <v>1371</v>
      </c>
      <c r="BH28" s="49" t="s">
        <v>1371</v>
      </c>
      <c r="BI28" s="1"/>
      <c r="BJ28" s="70" t="s">
        <v>1281</v>
      </c>
      <c r="BK28" s="57" t="s">
        <v>1281</v>
      </c>
      <c r="BL28" s="57" t="s">
        <v>1281</v>
      </c>
      <c r="BM28" s="57" t="s">
        <v>1281</v>
      </c>
      <c r="BN28" s="57" t="s">
        <v>1281</v>
      </c>
      <c r="BO28" s="57" t="s">
        <v>1281</v>
      </c>
      <c r="BP28" s="57" t="s">
        <v>1281</v>
      </c>
      <c r="BQ28" s="57" t="s">
        <v>1281</v>
      </c>
      <c r="BR28" s="57" t="s">
        <v>1281</v>
      </c>
      <c r="BS28" s="57" t="s">
        <v>1281</v>
      </c>
      <c r="BT28" s="57" t="s">
        <v>1281</v>
      </c>
      <c r="BU28" s="57" t="s">
        <v>1281</v>
      </c>
      <c r="BV28" s="70">
        <f t="shared" si="3"/>
        <v>7</v>
      </c>
      <c r="BW28" s="71">
        <f t="shared" si="4"/>
        <v>35</v>
      </c>
      <c r="BX28" s="72">
        <f t="shared" si="5"/>
        <v>39</v>
      </c>
      <c r="BY28" s="71">
        <f t="shared" si="6"/>
        <v>70</v>
      </c>
      <c r="BZ28" s="72">
        <f t="shared" si="7"/>
        <v>73</v>
      </c>
      <c r="CA28" s="71">
        <f t="shared" si="8"/>
        <v>109</v>
      </c>
      <c r="CB28" s="72">
        <f t="shared" si="9"/>
        <v>117</v>
      </c>
      <c r="CC28" s="71">
        <f t="shared" si="10"/>
        <v>166</v>
      </c>
      <c r="CD28" s="72">
        <f t="shared" si="11"/>
        <v>173</v>
      </c>
      <c r="CE28" s="71">
        <f t="shared" si="12"/>
        <v>225</v>
      </c>
      <c r="CF28" s="72">
        <f t="shared" si="13"/>
        <v>266</v>
      </c>
      <c r="CG28" s="71">
        <f t="shared" si="14"/>
        <v>292</v>
      </c>
      <c r="CH28" s="70">
        <f t="shared" si="15"/>
        <v>34</v>
      </c>
      <c r="CI28" s="71">
        <f t="shared" si="16"/>
        <v>38</v>
      </c>
      <c r="CJ28" s="72">
        <f t="shared" si="17"/>
        <v>69</v>
      </c>
      <c r="CK28" s="72">
        <f t="shared" si="18"/>
        <v>72</v>
      </c>
      <c r="CL28" s="72">
        <f t="shared" si="19"/>
        <v>108</v>
      </c>
      <c r="CM28" s="72">
        <f t="shared" si="20"/>
        <v>116</v>
      </c>
      <c r="CN28" s="72">
        <f t="shared" si="21"/>
        <v>142</v>
      </c>
      <c r="CO28" s="72">
        <f t="shared" si="22"/>
        <v>168</v>
      </c>
      <c r="CP28" s="72">
        <f t="shared" si="23"/>
        <v>210</v>
      </c>
      <c r="CQ28" s="72">
        <f t="shared" si="24"/>
        <v>259</v>
      </c>
      <c r="CR28" s="72">
        <f t="shared" si="25"/>
        <v>291</v>
      </c>
      <c r="CS28" s="72">
        <f t="shared" si="26"/>
        <v>317</v>
      </c>
      <c r="CT28" s="23">
        <f t="shared" si="27"/>
        <v>1</v>
      </c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</row>
    <row r="29" spans="1:1029" x14ac:dyDescent="0.2">
      <c r="A29" s="3" t="str">
        <f t="shared" si="0"/>
        <v>aa2ar_human_2YDV</v>
      </c>
      <c r="B29" s="3" t="s">
        <v>139</v>
      </c>
      <c r="C29" s="3" t="s">
        <v>80</v>
      </c>
      <c r="D29" s="3" t="str">
        <f>IFERROR(MID(VLOOKUP($B29,Seqs!$A:$B,2,0),E29,1),"")</f>
        <v>S</v>
      </c>
      <c r="E29" s="3">
        <v>7</v>
      </c>
      <c r="F29" s="3" t="str">
        <f>IFERROR(MID(VLOOKUP($B29,Seqs!$A:$B,2,0),G29,1),"")</f>
        <v>N</v>
      </c>
      <c r="G29" s="3">
        <v>34</v>
      </c>
      <c r="H29" s="3" t="str">
        <f>IFERROR(MID(VLOOKUP($B29,Seqs!$A:$B,2,0),I29,1),"")</f>
        <v>S</v>
      </c>
      <c r="I29" s="23">
        <v>35</v>
      </c>
      <c r="J29" s="3" t="str">
        <f>IFERROR(MID(VLOOKUP($B29,Seqs!$A:$B,2,0),K29,1),"")</f>
        <v>Q</v>
      </c>
      <c r="K29" s="23">
        <v>38</v>
      </c>
      <c r="L29" s="3" t="str">
        <f>IFERROR(MID(VLOOKUP($B29,Seqs!$A:$B,2,0),M29,1),"")</f>
        <v>N</v>
      </c>
      <c r="M29" s="3">
        <v>39</v>
      </c>
      <c r="N29" s="3" t="str">
        <f>IFERROR(MID(VLOOKUP($B29,Seqs!$A:$B,2,0),O29,1),"")</f>
        <v>G</v>
      </c>
      <c r="O29" s="3">
        <v>69</v>
      </c>
      <c r="P29" s="3" t="str">
        <f>IFERROR(MID(VLOOKUP($B29,Seqs!$A:$B,2,0),Q29,1),"")</f>
        <v>F</v>
      </c>
      <c r="Q29" s="3">
        <v>70</v>
      </c>
      <c r="R29" s="3" t="str">
        <f>IFERROR(MID(VLOOKUP($B29,Seqs!$A:$B,2,0),S29,1),"")</f>
        <v>A</v>
      </c>
      <c r="S29" s="3">
        <v>72</v>
      </c>
      <c r="T29" s="3" t="str">
        <f>IFERROR(MID(VLOOKUP($B29,Seqs!$A:$B,2,0),U29,1),"")</f>
        <v>A</v>
      </c>
      <c r="U29" s="3">
        <v>73</v>
      </c>
      <c r="V29" s="3" t="str">
        <f>IFERROR(MID(VLOOKUP($B29,Seqs!$A:$B,2,0),W29,1),"")</f>
        <v>I</v>
      </c>
      <c r="W29" s="3">
        <v>108</v>
      </c>
      <c r="X29" s="3" t="str">
        <f>IFERROR(MID(VLOOKUP($B29,Seqs!$A:$B,2,0),Y29,1),"")</f>
        <v>P</v>
      </c>
      <c r="Y29" s="3">
        <v>109</v>
      </c>
      <c r="Z29" s="3" t="str">
        <f>IFERROR(MID(VLOOKUP($B29,Seqs!$A:$B,2,0),AA29,1),"")</f>
        <v>V</v>
      </c>
      <c r="AA29" s="3">
        <v>116</v>
      </c>
      <c r="AB29" s="3" t="str">
        <f>IFERROR(MID(VLOOKUP($B29,Seqs!$A:$B,2,0),AC29,1),"")</f>
        <v>T</v>
      </c>
      <c r="AC29" s="9">
        <v>117</v>
      </c>
      <c r="AD29" s="3" t="str">
        <f>IFERROR(MID(VLOOKUP($B29,Seqs!$A:$B,2,0),AE29,1),"")</f>
        <v>G</v>
      </c>
      <c r="AE29" s="3">
        <v>142</v>
      </c>
      <c r="AF29" s="3" t="str">
        <f>IFERROR(MID(VLOOKUP($B29,Seqs!$A:$B,2,0),AG29,1),"")</f>
        <v>C</v>
      </c>
      <c r="AG29" s="3">
        <v>166</v>
      </c>
      <c r="AH29" s="3" t="str">
        <f>IFERROR(MID(VLOOKUP($B29,Seqs!$A:$B,2,0),AI29,1),"")</f>
        <v>F</v>
      </c>
      <c r="AI29" s="3">
        <v>168</v>
      </c>
      <c r="AJ29" s="3" t="str">
        <f>IFERROR(MID(VLOOKUP($B29,Seqs!$A:$B,2,0),AK29,1),"")</f>
        <v>P</v>
      </c>
      <c r="AK29" s="3">
        <v>173</v>
      </c>
      <c r="AL29" s="3" t="str">
        <f>IFERROR(MID(VLOOKUP($B29,Seqs!$A:$B,2,0),AM29,1),"")</f>
        <v>Q</v>
      </c>
      <c r="AM29" s="3">
        <v>210</v>
      </c>
      <c r="AN29" s="3" t="str">
        <f>IFERROR(MID(VLOOKUP($B29,Seqs!$A:$B,2,0),AO29,1),"")</f>
        <v>T</v>
      </c>
      <c r="AO29" s="3">
        <v>224</v>
      </c>
      <c r="AP29" s="3" t="str">
        <f>IFERROR(MID(VLOOKUP($B29,Seqs!$A:$B,2,0),AQ29,1),"")</f>
        <v>C</v>
      </c>
      <c r="AQ29" s="3">
        <v>259</v>
      </c>
      <c r="AR29" s="3" t="str">
        <f>IFERROR(MID(VLOOKUP($B29,Seqs!$A:$B,2,0),AS29,1),"")</f>
        <v>P</v>
      </c>
      <c r="AS29" s="3">
        <v>266</v>
      </c>
      <c r="AT29" s="3" t="str">
        <f>IFERROR(MID(VLOOKUP($B29,Seqs!$A:$B,2,0),AU29,1),"")</f>
        <v>R</v>
      </c>
      <c r="AU29" s="3">
        <v>291</v>
      </c>
      <c r="AV29" s="3" t="str">
        <f>IFERROR(MID(VLOOKUP($B29,Seqs!$A:$B,2,0),AW29,1),"")</f>
        <v>I</v>
      </c>
      <c r="AW29" s="3">
        <v>292</v>
      </c>
      <c r="AX29" s="3" t="str">
        <f>IFERROR(MID(VLOOKUP($B29,Seqs!$A:$B,2,0),AY29,1),"")</f>
        <v>A</v>
      </c>
      <c r="AY29" s="3">
        <v>317</v>
      </c>
      <c r="AZ29" s="77" t="str">
        <f>VLOOKUP(B29,Classification!A:D,2,0)</f>
        <v>A</v>
      </c>
      <c r="BA29" s="94" t="str">
        <f>VLOOKUP(B29,Classification!A:D,4,0)</f>
        <v>Adenosine</v>
      </c>
      <c r="BB29" s="27" t="b">
        <f t="shared" si="1"/>
        <v>1</v>
      </c>
      <c r="BC29" s="23">
        <f t="shared" si="224"/>
        <v>265</v>
      </c>
      <c r="BD29" s="4" t="s">
        <v>23</v>
      </c>
      <c r="BE29" s="3" t="s">
        <v>1422</v>
      </c>
      <c r="BF29" s="118">
        <v>2.6</v>
      </c>
      <c r="BG29" s="49" t="s">
        <v>1371</v>
      </c>
      <c r="BH29" s="49" t="s">
        <v>1371</v>
      </c>
      <c r="BI29" s="1"/>
      <c r="BJ29" s="70" t="s">
        <v>1281</v>
      </c>
      <c r="BK29" s="57" t="s">
        <v>1281</v>
      </c>
      <c r="BL29" s="57" t="s">
        <v>1281</v>
      </c>
      <c r="BM29" s="57" t="s">
        <v>1281</v>
      </c>
      <c r="BN29" s="57" t="s">
        <v>1281</v>
      </c>
      <c r="BO29" s="57" t="s">
        <v>1281</v>
      </c>
      <c r="BP29" s="57" t="s">
        <v>1281</v>
      </c>
      <c r="BQ29" s="57" t="s">
        <v>1281</v>
      </c>
      <c r="BR29" s="57" t="s">
        <v>1281</v>
      </c>
      <c r="BS29" s="57" t="s">
        <v>1281</v>
      </c>
      <c r="BT29" s="57" t="s">
        <v>1281</v>
      </c>
      <c r="BU29" s="57" t="s">
        <v>1281</v>
      </c>
      <c r="BV29" s="70">
        <f t="shared" si="3"/>
        <v>7</v>
      </c>
      <c r="BW29" s="71">
        <f t="shared" si="4"/>
        <v>35</v>
      </c>
      <c r="BX29" s="72">
        <f t="shared" si="5"/>
        <v>39</v>
      </c>
      <c r="BY29" s="71">
        <f t="shared" si="6"/>
        <v>70</v>
      </c>
      <c r="BZ29" s="72">
        <f t="shared" si="7"/>
        <v>73</v>
      </c>
      <c r="CA29" s="71">
        <f t="shared" si="8"/>
        <v>109</v>
      </c>
      <c r="CB29" s="72">
        <f t="shared" si="9"/>
        <v>117</v>
      </c>
      <c r="CC29" s="71">
        <f t="shared" si="10"/>
        <v>166</v>
      </c>
      <c r="CD29" s="72">
        <f t="shared" si="11"/>
        <v>173</v>
      </c>
      <c r="CE29" s="71">
        <f t="shared" si="12"/>
        <v>224</v>
      </c>
      <c r="CF29" s="72">
        <f t="shared" si="13"/>
        <v>266</v>
      </c>
      <c r="CG29" s="71">
        <f t="shared" si="14"/>
        <v>292</v>
      </c>
      <c r="CH29" s="70">
        <f t="shared" si="15"/>
        <v>34</v>
      </c>
      <c r="CI29" s="71">
        <f t="shared" si="16"/>
        <v>38</v>
      </c>
      <c r="CJ29" s="72">
        <f t="shared" si="17"/>
        <v>69</v>
      </c>
      <c r="CK29" s="72">
        <f t="shared" si="18"/>
        <v>72</v>
      </c>
      <c r="CL29" s="72">
        <f t="shared" si="19"/>
        <v>108</v>
      </c>
      <c r="CM29" s="72">
        <f t="shared" si="20"/>
        <v>116</v>
      </c>
      <c r="CN29" s="72">
        <f t="shared" si="21"/>
        <v>142</v>
      </c>
      <c r="CO29" s="72">
        <f t="shared" si="22"/>
        <v>168</v>
      </c>
      <c r="CP29" s="72">
        <f t="shared" si="23"/>
        <v>210</v>
      </c>
      <c r="CQ29" s="72">
        <f t="shared" si="24"/>
        <v>259</v>
      </c>
      <c r="CR29" s="72">
        <f t="shared" si="25"/>
        <v>291</v>
      </c>
      <c r="CS29" s="72">
        <f t="shared" si="26"/>
        <v>317</v>
      </c>
      <c r="CT29" s="23">
        <f t="shared" si="27"/>
        <v>1</v>
      </c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</row>
    <row r="30" spans="1:1029" x14ac:dyDescent="0.2">
      <c r="A30" s="3" t="str">
        <f t="shared" si="0"/>
        <v>aa2ar_human_3QAK</v>
      </c>
      <c r="B30" s="3" t="s">
        <v>139</v>
      </c>
      <c r="C30" s="3" t="s">
        <v>1027</v>
      </c>
      <c r="D30" s="3" t="str">
        <f>IFERROR(MID(VLOOKUP($B30,Seqs!$A:$B,2,0),E30,1),"")</f>
        <v>G</v>
      </c>
      <c r="E30" s="3">
        <v>5</v>
      </c>
      <c r="F30" s="3" t="str">
        <f>IFERROR(MID(VLOOKUP($B30,Seqs!$A:$B,2,0),G30,1),"")</f>
        <v>N</v>
      </c>
      <c r="G30" s="3">
        <v>34</v>
      </c>
      <c r="H30" s="3" t="str">
        <f>IFERROR(MID(VLOOKUP($B30,Seqs!$A:$B,2,0),I30,1),"")</f>
        <v>S</v>
      </c>
      <c r="I30" s="23">
        <v>35</v>
      </c>
      <c r="J30" s="3" t="str">
        <f>IFERROR(MID(VLOOKUP($B30,Seqs!$A:$B,2,0),K30,1),"")</f>
        <v>Q</v>
      </c>
      <c r="K30" s="23">
        <v>38</v>
      </c>
      <c r="L30" s="3" t="str">
        <f>IFERROR(MID(VLOOKUP($B30,Seqs!$A:$B,2,0),M30,1),"")</f>
        <v>N</v>
      </c>
      <c r="M30" s="3">
        <v>39</v>
      </c>
      <c r="N30" s="3" t="str">
        <f>IFERROR(MID(VLOOKUP($B30,Seqs!$A:$B,2,0),O30,1),"")</f>
        <v>G</v>
      </c>
      <c r="O30" s="3">
        <v>69</v>
      </c>
      <c r="P30" s="3" t="str">
        <f>IFERROR(MID(VLOOKUP($B30,Seqs!$A:$B,2,0),Q30,1),"")</f>
        <v>F</v>
      </c>
      <c r="Q30" s="3">
        <v>70</v>
      </c>
      <c r="R30" s="3" t="str">
        <f>IFERROR(MID(VLOOKUP($B30,Seqs!$A:$B,2,0),S30,1),"")</f>
        <v>A</v>
      </c>
      <c r="S30" s="3">
        <v>72</v>
      </c>
      <c r="T30" s="3" t="str">
        <f>IFERROR(MID(VLOOKUP($B30,Seqs!$A:$B,2,0),U30,1),"")</f>
        <v>A</v>
      </c>
      <c r="U30" s="3">
        <v>73</v>
      </c>
      <c r="V30" s="3" t="str">
        <f>IFERROR(MID(VLOOKUP($B30,Seqs!$A:$B,2,0),W30,1),"")</f>
        <v>I</v>
      </c>
      <c r="W30" s="3">
        <v>108</v>
      </c>
      <c r="X30" s="3" t="str">
        <f>IFERROR(MID(VLOOKUP($B30,Seqs!$A:$B,2,0),Y30,1),"")</f>
        <v>P</v>
      </c>
      <c r="Y30" s="3">
        <v>109</v>
      </c>
      <c r="Z30" s="3" t="str">
        <f>IFERROR(MID(VLOOKUP($B30,Seqs!$A:$B,2,0),AA30,1),"")</f>
        <v>V</v>
      </c>
      <c r="AA30" s="3">
        <v>116</v>
      </c>
      <c r="AB30" s="3" t="str">
        <f>IFERROR(MID(VLOOKUP($B30,Seqs!$A:$B,2,0),AC30,1),"")</f>
        <v>T</v>
      </c>
      <c r="AC30" s="9">
        <v>117</v>
      </c>
      <c r="AD30" s="3" t="str">
        <f>IFERROR(MID(VLOOKUP($B30,Seqs!$A:$B,2,0),AE30,1),"")</f>
        <v>G</v>
      </c>
      <c r="AE30" s="3">
        <v>142</v>
      </c>
      <c r="AF30" s="3" t="str">
        <f>IFERROR(MID(VLOOKUP($B30,Seqs!$A:$B,2,0),AG30,1),"")</f>
        <v>C</v>
      </c>
      <c r="AG30" s="3">
        <v>166</v>
      </c>
      <c r="AH30" s="3" t="str">
        <f>IFERROR(MID(VLOOKUP($B30,Seqs!$A:$B,2,0),AI30,1),"")</f>
        <v>F</v>
      </c>
      <c r="AI30" s="3">
        <v>168</v>
      </c>
      <c r="AJ30" s="3" t="str">
        <f>IFERROR(MID(VLOOKUP($B30,Seqs!$A:$B,2,0),AK30,1),"")</f>
        <v>P</v>
      </c>
      <c r="AK30" s="3">
        <v>173</v>
      </c>
      <c r="AL30" s="3" t="str">
        <f>IFERROR(MID(VLOOKUP($B30,Seqs!$A:$B,2,0),AM30,1),"")</f>
        <v>A</v>
      </c>
      <c r="AM30" s="3">
        <v>204</v>
      </c>
      <c r="AN30" s="3" t="str">
        <f>IFERROR(MID(VLOOKUP($B30,Seqs!$A:$B,2,0),AO30,1),"")</f>
        <v>Q</v>
      </c>
      <c r="AO30" s="3">
        <v>226</v>
      </c>
      <c r="AP30" s="3" t="str">
        <f>IFERROR(MID(VLOOKUP($B30,Seqs!$A:$B,2,0),AQ30,1),"")</f>
        <v>C</v>
      </c>
      <c r="AQ30" s="3">
        <v>259</v>
      </c>
      <c r="AR30" s="3" t="str">
        <f>IFERROR(MID(VLOOKUP($B30,Seqs!$A:$B,2,0),AS30,1),"")</f>
        <v>P</v>
      </c>
      <c r="AS30" s="3">
        <v>266</v>
      </c>
      <c r="AT30" s="3" t="str">
        <f>IFERROR(MID(VLOOKUP($B30,Seqs!$A:$B,2,0),AU30,1),"")</f>
        <v>R</v>
      </c>
      <c r="AU30" s="3">
        <v>291</v>
      </c>
      <c r="AV30" s="3" t="str">
        <f>IFERROR(MID(VLOOKUP($B30,Seqs!$A:$B,2,0),AW30,1),"")</f>
        <v>I</v>
      </c>
      <c r="AW30" s="3">
        <v>292</v>
      </c>
      <c r="AX30" s="3" t="str">
        <f>IFERROR(MID(VLOOKUP($B30,Seqs!$A:$B,2,0),AY30,1),"")</f>
        <v>L</v>
      </c>
      <c r="AY30" s="3">
        <v>308</v>
      </c>
      <c r="AZ30" s="77" t="str">
        <f>VLOOKUP(B30,Classification!A:D,2,0)</f>
        <v>A</v>
      </c>
      <c r="BA30" s="94" t="str">
        <f>VLOOKUP(B30,Classification!A:D,4,0)</f>
        <v>Adenosine</v>
      </c>
      <c r="BB30" s="27" t="b">
        <f t="shared" si="1"/>
        <v>1</v>
      </c>
      <c r="BC30" s="23">
        <f t="shared" si="224"/>
        <v>250</v>
      </c>
      <c r="BD30" s="4" t="s">
        <v>23</v>
      </c>
      <c r="BE30" s="3" t="s">
        <v>1422</v>
      </c>
      <c r="BF30" s="118">
        <v>2.71</v>
      </c>
      <c r="BG30" s="49" t="s">
        <v>1371</v>
      </c>
      <c r="BH30" s="49" t="s">
        <v>1371</v>
      </c>
      <c r="BI30" s="1"/>
      <c r="BJ30" s="70" t="s">
        <v>1281</v>
      </c>
      <c r="BK30" s="57" t="s">
        <v>1281</v>
      </c>
      <c r="BL30" s="57" t="s">
        <v>1281</v>
      </c>
      <c r="BM30" s="57" t="s">
        <v>1281</v>
      </c>
      <c r="BN30" s="57" t="s">
        <v>1281</v>
      </c>
      <c r="BO30" s="57" t="s">
        <v>1281</v>
      </c>
      <c r="BP30" s="57" t="s">
        <v>1281</v>
      </c>
      <c r="BQ30" s="57" t="s">
        <v>1281</v>
      </c>
      <c r="BR30" s="57" t="s">
        <v>1281</v>
      </c>
      <c r="BS30" s="57" t="s">
        <v>1281</v>
      </c>
      <c r="BT30" s="57" t="s">
        <v>1281</v>
      </c>
      <c r="BU30" s="57" t="s">
        <v>1281</v>
      </c>
      <c r="BV30" s="70">
        <f t="shared" si="3"/>
        <v>5</v>
      </c>
      <c r="BW30" s="71">
        <f t="shared" si="4"/>
        <v>35</v>
      </c>
      <c r="BX30" s="72">
        <f t="shared" si="5"/>
        <v>39</v>
      </c>
      <c r="BY30" s="71">
        <f t="shared" si="6"/>
        <v>70</v>
      </c>
      <c r="BZ30" s="72">
        <f t="shared" si="7"/>
        <v>73</v>
      </c>
      <c r="CA30" s="71">
        <f t="shared" si="8"/>
        <v>109</v>
      </c>
      <c r="CB30" s="72">
        <f t="shared" si="9"/>
        <v>117</v>
      </c>
      <c r="CC30" s="71">
        <f t="shared" si="10"/>
        <v>166</v>
      </c>
      <c r="CD30" s="72">
        <f t="shared" si="11"/>
        <v>173</v>
      </c>
      <c r="CE30" s="71">
        <f t="shared" si="12"/>
        <v>226</v>
      </c>
      <c r="CF30" s="72">
        <f t="shared" si="13"/>
        <v>266</v>
      </c>
      <c r="CG30" s="71">
        <f t="shared" si="14"/>
        <v>292</v>
      </c>
      <c r="CH30" s="70">
        <f t="shared" si="15"/>
        <v>34</v>
      </c>
      <c r="CI30" s="71">
        <f t="shared" si="16"/>
        <v>38</v>
      </c>
      <c r="CJ30" s="72">
        <f t="shared" si="17"/>
        <v>69</v>
      </c>
      <c r="CK30" s="72">
        <f t="shared" si="18"/>
        <v>72</v>
      </c>
      <c r="CL30" s="72">
        <f t="shared" si="19"/>
        <v>108</v>
      </c>
      <c r="CM30" s="72">
        <f t="shared" si="20"/>
        <v>116</v>
      </c>
      <c r="CN30" s="72">
        <f t="shared" si="21"/>
        <v>142</v>
      </c>
      <c r="CO30" s="72">
        <f t="shared" si="22"/>
        <v>168</v>
      </c>
      <c r="CP30" s="72">
        <f t="shared" si="23"/>
        <v>204</v>
      </c>
      <c r="CQ30" s="72">
        <f t="shared" si="24"/>
        <v>259</v>
      </c>
      <c r="CR30" s="72">
        <f t="shared" si="25"/>
        <v>291</v>
      </c>
      <c r="CS30" s="72">
        <f t="shared" si="26"/>
        <v>308</v>
      </c>
      <c r="CT30" s="23">
        <f t="shared" si="27"/>
        <v>1</v>
      </c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</row>
    <row r="31" spans="1:1029" x14ac:dyDescent="0.2">
      <c r="A31" s="3" t="str">
        <f t="shared" si="0"/>
        <v>aa2ar_human_3REY</v>
      </c>
      <c r="B31" s="3" t="s">
        <v>139</v>
      </c>
      <c r="C31" s="3" t="s">
        <v>83</v>
      </c>
      <c r="D31" s="3" t="str">
        <f>IFERROR(MID(VLOOKUP($B31,Seqs!$A:$B,2,0),E31,1),"")</f>
        <v>S</v>
      </c>
      <c r="E31" s="3">
        <v>7</v>
      </c>
      <c r="F31" s="3" t="str">
        <f>IFERROR(MID(VLOOKUP($B31,Seqs!$A:$B,2,0),G31,1),"")</f>
        <v>N</v>
      </c>
      <c r="G31" s="3">
        <v>34</v>
      </c>
      <c r="H31" s="3" t="str">
        <f>IFERROR(MID(VLOOKUP($B31,Seqs!$A:$B,2,0),I31,1),"")</f>
        <v>S</v>
      </c>
      <c r="I31" s="23">
        <v>35</v>
      </c>
      <c r="J31" s="3" t="str">
        <f>IFERROR(MID(VLOOKUP($B31,Seqs!$A:$B,2,0),K31,1),"")</f>
        <v>Q</v>
      </c>
      <c r="K31" s="23">
        <v>38</v>
      </c>
      <c r="L31" s="3" t="str">
        <f>IFERROR(MID(VLOOKUP($B31,Seqs!$A:$B,2,0),M31,1),"")</f>
        <v>N</v>
      </c>
      <c r="M31" s="3">
        <v>39</v>
      </c>
      <c r="N31" s="3" t="str">
        <f>IFERROR(MID(VLOOKUP($B31,Seqs!$A:$B,2,0),O31,1),"")</f>
        <v>G</v>
      </c>
      <c r="O31" s="3">
        <v>69</v>
      </c>
      <c r="P31" s="3" t="str">
        <f>IFERROR(MID(VLOOKUP($B31,Seqs!$A:$B,2,0),Q31,1),"")</f>
        <v>F</v>
      </c>
      <c r="Q31" s="3">
        <v>70</v>
      </c>
      <c r="R31" s="3" t="str">
        <f>IFERROR(MID(VLOOKUP($B31,Seqs!$A:$B,2,0),S31,1),"")</f>
        <v>A</v>
      </c>
      <c r="S31" s="3">
        <v>72</v>
      </c>
      <c r="T31" s="3" t="str">
        <f>IFERROR(MID(VLOOKUP($B31,Seqs!$A:$B,2,0),U31,1),"")</f>
        <v>A</v>
      </c>
      <c r="U31" s="3">
        <v>73</v>
      </c>
      <c r="V31" s="3" t="str">
        <f>IFERROR(MID(VLOOKUP($B31,Seqs!$A:$B,2,0),W31,1),"")</f>
        <v>I</v>
      </c>
      <c r="W31" s="3">
        <v>108</v>
      </c>
      <c r="X31" s="3" t="str">
        <f>IFERROR(MID(VLOOKUP($B31,Seqs!$A:$B,2,0),Y31,1),"")</f>
        <v>P</v>
      </c>
      <c r="Y31" s="3">
        <v>109</v>
      </c>
      <c r="Z31" s="3" t="str">
        <f>IFERROR(MID(VLOOKUP($B31,Seqs!$A:$B,2,0),AA31,1),"")</f>
        <v>V</v>
      </c>
      <c r="AA31" s="3">
        <v>116</v>
      </c>
      <c r="AB31" s="3" t="str">
        <f>IFERROR(MID(VLOOKUP($B31,Seqs!$A:$B,2,0),AC31,1),"")</f>
        <v>T</v>
      </c>
      <c r="AC31" s="9">
        <v>117</v>
      </c>
      <c r="AD31" s="3" t="str">
        <f>IFERROR(MID(VLOOKUP($B31,Seqs!$A:$B,2,0),AE31,1),"")</f>
        <v>G</v>
      </c>
      <c r="AE31" s="3">
        <v>142</v>
      </c>
      <c r="AF31" s="3" t="str">
        <f>IFERROR(MID(VLOOKUP($B31,Seqs!$A:$B,2,0),AG31,1),"")</f>
        <v>C</v>
      </c>
      <c r="AG31" s="3">
        <v>166</v>
      </c>
      <c r="AH31" s="3" t="str">
        <f>IFERROR(MID(VLOOKUP($B31,Seqs!$A:$B,2,0),AI31,1),"")</f>
        <v>F</v>
      </c>
      <c r="AI31" s="3">
        <v>168</v>
      </c>
      <c r="AJ31" s="3" t="str">
        <f>IFERROR(MID(VLOOKUP($B31,Seqs!$A:$B,2,0),AK31,1),"")</f>
        <v>P</v>
      </c>
      <c r="AK31" s="3">
        <v>173</v>
      </c>
      <c r="AL31" s="3" t="str">
        <f>IFERROR(MID(VLOOKUP($B31,Seqs!$A:$B,2,0),AM31,1),"")</f>
        <v>Q</v>
      </c>
      <c r="AM31" s="3">
        <v>210</v>
      </c>
      <c r="AN31" s="3" t="str">
        <f>IFERROR(MID(VLOOKUP($B31,Seqs!$A:$B,2,0),AO31,1),"")</f>
        <v>E</v>
      </c>
      <c r="AO31" s="3">
        <v>219</v>
      </c>
      <c r="AP31" s="3" t="str">
        <f>IFERROR(MID(VLOOKUP($B31,Seqs!$A:$B,2,0),AQ31,1),"")</f>
        <v>C</v>
      </c>
      <c r="AQ31" s="3">
        <v>259</v>
      </c>
      <c r="AR31" s="3" t="str">
        <f>IFERROR(MID(VLOOKUP($B31,Seqs!$A:$B,2,0),AS31,1),"")</f>
        <v>P</v>
      </c>
      <c r="AS31" s="3">
        <v>266</v>
      </c>
      <c r="AT31" s="3" t="str">
        <f>IFERROR(MID(VLOOKUP($B31,Seqs!$A:$B,2,0),AU31,1),"")</f>
        <v>R</v>
      </c>
      <c r="AU31" s="3">
        <v>291</v>
      </c>
      <c r="AV31" s="3" t="str">
        <f>IFERROR(MID(VLOOKUP($B31,Seqs!$A:$B,2,0),AW31,1),"")</f>
        <v>I</v>
      </c>
      <c r="AW31" s="3">
        <v>292</v>
      </c>
      <c r="AX31" s="3" t="str">
        <f>IFERROR(MID(VLOOKUP($B31,Seqs!$A:$B,2,0),AY31,1),"")</f>
        <v>S</v>
      </c>
      <c r="AY31" s="3">
        <v>305</v>
      </c>
      <c r="AZ31" s="77" t="str">
        <f>VLOOKUP(B31,Classification!A:D,2,0)</f>
        <v>A</v>
      </c>
      <c r="BA31" s="94" t="str">
        <f>VLOOKUP(B31,Classification!A:D,4,0)</f>
        <v>Adenosine</v>
      </c>
      <c r="BB31" s="27" t="b">
        <f t="shared" si="1"/>
        <v>1</v>
      </c>
      <c r="BC31" s="23">
        <f t="shared" si="224"/>
        <v>258</v>
      </c>
      <c r="BD31" s="4" t="s">
        <v>23</v>
      </c>
      <c r="BE31" s="3" t="s">
        <v>1422</v>
      </c>
      <c r="BF31" s="118">
        <v>3.31</v>
      </c>
      <c r="BG31" s="49" t="s">
        <v>1371</v>
      </c>
      <c r="BH31" s="49" t="s">
        <v>1371</v>
      </c>
      <c r="BI31" s="1"/>
      <c r="BJ31" s="70" t="s">
        <v>1281</v>
      </c>
      <c r="BK31" s="57" t="s">
        <v>1281</v>
      </c>
      <c r="BL31" s="57" t="s">
        <v>1281</v>
      </c>
      <c r="BM31" s="57" t="s">
        <v>1281</v>
      </c>
      <c r="BN31" s="57" t="s">
        <v>1281</v>
      </c>
      <c r="BO31" s="57" t="s">
        <v>1281</v>
      </c>
      <c r="BP31" s="57" t="s">
        <v>1281</v>
      </c>
      <c r="BQ31" s="57" t="s">
        <v>1281</v>
      </c>
      <c r="BR31" s="57" t="s">
        <v>1281</v>
      </c>
      <c r="BS31" s="57" t="s">
        <v>1281</v>
      </c>
      <c r="BT31" s="57" t="s">
        <v>1281</v>
      </c>
      <c r="BU31" s="57" t="s">
        <v>1281</v>
      </c>
      <c r="BV31" s="70">
        <f t="shared" si="3"/>
        <v>7</v>
      </c>
      <c r="BW31" s="71">
        <f t="shared" si="4"/>
        <v>35</v>
      </c>
      <c r="BX31" s="72">
        <f t="shared" si="5"/>
        <v>39</v>
      </c>
      <c r="BY31" s="71">
        <f t="shared" si="6"/>
        <v>70</v>
      </c>
      <c r="BZ31" s="72">
        <f t="shared" si="7"/>
        <v>73</v>
      </c>
      <c r="CA31" s="71">
        <f t="shared" si="8"/>
        <v>109</v>
      </c>
      <c r="CB31" s="72">
        <f t="shared" si="9"/>
        <v>117</v>
      </c>
      <c r="CC31" s="71">
        <f t="shared" si="10"/>
        <v>166</v>
      </c>
      <c r="CD31" s="72">
        <f t="shared" si="11"/>
        <v>173</v>
      </c>
      <c r="CE31" s="71">
        <f t="shared" si="12"/>
        <v>219</v>
      </c>
      <c r="CF31" s="72">
        <f t="shared" si="13"/>
        <v>266</v>
      </c>
      <c r="CG31" s="71">
        <f t="shared" si="14"/>
        <v>292</v>
      </c>
      <c r="CH31" s="70">
        <f t="shared" si="15"/>
        <v>34</v>
      </c>
      <c r="CI31" s="71">
        <f t="shared" si="16"/>
        <v>38</v>
      </c>
      <c r="CJ31" s="72">
        <f t="shared" si="17"/>
        <v>69</v>
      </c>
      <c r="CK31" s="72">
        <f t="shared" si="18"/>
        <v>72</v>
      </c>
      <c r="CL31" s="72">
        <f t="shared" si="19"/>
        <v>108</v>
      </c>
      <c r="CM31" s="72">
        <f t="shared" si="20"/>
        <v>116</v>
      </c>
      <c r="CN31" s="72">
        <f t="shared" si="21"/>
        <v>142</v>
      </c>
      <c r="CO31" s="72">
        <f t="shared" si="22"/>
        <v>168</v>
      </c>
      <c r="CP31" s="72">
        <f t="shared" si="23"/>
        <v>210</v>
      </c>
      <c r="CQ31" s="72">
        <f t="shared" si="24"/>
        <v>259</v>
      </c>
      <c r="CR31" s="72">
        <f t="shared" si="25"/>
        <v>291</v>
      </c>
      <c r="CS31" s="72">
        <f t="shared" si="26"/>
        <v>305</v>
      </c>
      <c r="CT31" s="23">
        <f t="shared" si="27"/>
        <v>1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</row>
    <row r="32" spans="1:1029" x14ac:dyDescent="0.2">
      <c r="A32" s="3" t="str">
        <f t="shared" si="0"/>
        <v>aa2ar_human_3RFM</v>
      </c>
      <c r="B32" s="3" t="s">
        <v>139</v>
      </c>
      <c r="C32" s="3" t="s">
        <v>1028</v>
      </c>
      <c r="D32" s="3" t="str">
        <f>IFERROR(MID(VLOOKUP($B32,Seqs!$A:$B,2,0),E32,1),"")</f>
        <v>S</v>
      </c>
      <c r="E32" s="3">
        <v>7</v>
      </c>
      <c r="F32" s="3" t="str">
        <f>IFERROR(MID(VLOOKUP($B32,Seqs!$A:$B,2,0),G32,1),"")</f>
        <v>N</v>
      </c>
      <c r="G32" s="3">
        <v>34</v>
      </c>
      <c r="H32" s="3" t="str">
        <f>IFERROR(MID(VLOOKUP($B32,Seqs!$A:$B,2,0),I32,1),"")</f>
        <v>S</v>
      </c>
      <c r="I32" s="23">
        <v>35</v>
      </c>
      <c r="J32" s="3" t="str">
        <f>IFERROR(MID(VLOOKUP($B32,Seqs!$A:$B,2,0),K32,1),"")</f>
        <v>Q</v>
      </c>
      <c r="K32" s="23">
        <v>38</v>
      </c>
      <c r="L32" s="3" t="str">
        <f>IFERROR(MID(VLOOKUP($B32,Seqs!$A:$B,2,0),M32,1),"")</f>
        <v>N</v>
      </c>
      <c r="M32" s="3">
        <v>39</v>
      </c>
      <c r="N32" s="3" t="str">
        <f>IFERROR(MID(VLOOKUP($B32,Seqs!$A:$B,2,0),O32,1),"")</f>
        <v>G</v>
      </c>
      <c r="O32" s="3">
        <v>69</v>
      </c>
      <c r="P32" s="3" t="str">
        <f>IFERROR(MID(VLOOKUP($B32,Seqs!$A:$B,2,0),Q32,1),"")</f>
        <v>F</v>
      </c>
      <c r="Q32" s="3">
        <v>70</v>
      </c>
      <c r="R32" s="3" t="str">
        <f>IFERROR(MID(VLOOKUP($B32,Seqs!$A:$B,2,0),S32,1),"")</f>
        <v>A</v>
      </c>
      <c r="S32" s="3">
        <v>72</v>
      </c>
      <c r="T32" s="3" t="str">
        <f>IFERROR(MID(VLOOKUP($B32,Seqs!$A:$B,2,0),U32,1),"")</f>
        <v>A</v>
      </c>
      <c r="U32" s="3">
        <v>73</v>
      </c>
      <c r="V32" s="3" t="str">
        <f>IFERROR(MID(VLOOKUP($B32,Seqs!$A:$B,2,0),W32,1),"")</f>
        <v>I</v>
      </c>
      <c r="W32" s="3">
        <v>108</v>
      </c>
      <c r="X32" s="3" t="str">
        <f>IFERROR(MID(VLOOKUP($B32,Seqs!$A:$B,2,0),Y32,1),"")</f>
        <v>P</v>
      </c>
      <c r="Y32" s="3">
        <v>109</v>
      </c>
      <c r="Z32" s="3" t="str">
        <f>IFERROR(MID(VLOOKUP($B32,Seqs!$A:$B,2,0),AA32,1),"")</f>
        <v>V</v>
      </c>
      <c r="AA32" s="3">
        <v>116</v>
      </c>
      <c r="AB32" s="3" t="str">
        <f>IFERROR(MID(VLOOKUP($B32,Seqs!$A:$B,2,0),AC32,1),"")</f>
        <v>T</v>
      </c>
      <c r="AC32" s="9">
        <v>117</v>
      </c>
      <c r="AD32" s="3" t="str">
        <f>IFERROR(MID(VLOOKUP($B32,Seqs!$A:$B,2,0),AE32,1),"")</f>
        <v>G</v>
      </c>
      <c r="AE32" s="3">
        <v>142</v>
      </c>
      <c r="AF32" s="3" t="str">
        <f>IFERROR(MID(VLOOKUP($B32,Seqs!$A:$B,2,0),AG32,1),"")</f>
        <v>C</v>
      </c>
      <c r="AG32" s="3">
        <v>166</v>
      </c>
      <c r="AH32" s="3" t="str">
        <f>IFERROR(MID(VLOOKUP($B32,Seqs!$A:$B,2,0),AI32,1),"")</f>
        <v>F</v>
      </c>
      <c r="AI32" s="3">
        <v>168</v>
      </c>
      <c r="AJ32" s="3" t="str">
        <f>IFERROR(MID(VLOOKUP($B32,Seqs!$A:$B,2,0),AK32,1),"")</f>
        <v>P</v>
      </c>
      <c r="AK32" s="3">
        <v>173</v>
      </c>
      <c r="AL32" s="3" t="str">
        <f>IFERROR(MID(VLOOKUP($B32,Seqs!$A:$B,2,0),AM32,1),"")</f>
        <v>S</v>
      </c>
      <c r="AM32" s="3">
        <v>213</v>
      </c>
      <c r="AN32" s="3" t="str">
        <f>IFERROR(MID(VLOOKUP($B32,Seqs!$A:$B,2,0),AO32,1),"")</f>
        <v>E</v>
      </c>
      <c r="AO32" s="3">
        <v>219</v>
      </c>
      <c r="AP32" s="3" t="str">
        <f>IFERROR(MID(VLOOKUP($B32,Seqs!$A:$B,2,0),AQ32,1),"")</f>
        <v>C</v>
      </c>
      <c r="AQ32" s="3">
        <v>259</v>
      </c>
      <c r="AR32" s="3" t="str">
        <f>IFERROR(MID(VLOOKUP($B32,Seqs!$A:$B,2,0),AS32,1),"")</f>
        <v>P</v>
      </c>
      <c r="AS32" s="3">
        <v>266</v>
      </c>
      <c r="AT32" s="3" t="str">
        <f>IFERROR(MID(VLOOKUP($B32,Seqs!$A:$B,2,0),AU32,1),"")</f>
        <v>R</v>
      </c>
      <c r="AU32" s="3">
        <v>291</v>
      </c>
      <c r="AV32" s="3" t="str">
        <f>IFERROR(MID(VLOOKUP($B32,Seqs!$A:$B,2,0),AW32,1),"")</f>
        <v>I</v>
      </c>
      <c r="AW32" s="3">
        <v>292</v>
      </c>
      <c r="AX32" s="3" t="str">
        <f>IFERROR(MID(VLOOKUP($B32,Seqs!$A:$B,2,0),AY32,1),"")</f>
        <v>S</v>
      </c>
      <c r="AY32" s="3">
        <v>305</v>
      </c>
      <c r="AZ32" s="77" t="str">
        <f>VLOOKUP(B32,Classification!A:D,2,0)</f>
        <v>A</v>
      </c>
      <c r="BA32" s="94" t="str">
        <f>VLOOKUP(B32,Classification!A:D,4,0)</f>
        <v>Adenosine</v>
      </c>
      <c r="BB32" s="27" t="b">
        <f t="shared" si="1"/>
        <v>1</v>
      </c>
      <c r="BC32" s="23">
        <f t="shared" si="224"/>
        <v>261</v>
      </c>
      <c r="BD32" s="4" t="s">
        <v>23</v>
      </c>
      <c r="BE32" s="3" t="s">
        <v>1368</v>
      </c>
      <c r="BF32" s="118">
        <v>3.6</v>
      </c>
      <c r="BG32" s="49" t="s">
        <v>1371</v>
      </c>
      <c r="BH32" s="49" t="s">
        <v>1371</v>
      </c>
      <c r="BI32" s="1"/>
      <c r="BJ32" s="70" t="s">
        <v>1281</v>
      </c>
      <c r="BK32" s="57" t="s">
        <v>1281</v>
      </c>
      <c r="BL32" s="57" t="s">
        <v>1281</v>
      </c>
      <c r="BM32" s="57" t="s">
        <v>1281</v>
      </c>
      <c r="BN32" s="57" t="s">
        <v>1281</v>
      </c>
      <c r="BO32" s="57" t="s">
        <v>1281</v>
      </c>
      <c r="BP32" s="57" t="s">
        <v>1281</v>
      </c>
      <c r="BQ32" s="57" t="s">
        <v>1281</v>
      </c>
      <c r="BR32" s="57" t="s">
        <v>1281</v>
      </c>
      <c r="BS32" s="57" t="s">
        <v>1281</v>
      </c>
      <c r="BT32" s="57" t="s">
        <v>1281</v>
      </c>
      <c r="BU32" s="57" t="s">
        <v>1281</v>
      </c>
      <c r="BV32" s="70">
        <f t="shared" si="3"/>
        <v>7</v>
      </c>
      <c r="BW32" s="71">
        <f t="shared" si="4"/>
        <v>35</v>
      </c>
      <c r="BX32" s="72">
        <f t="shared" si="5"/>
        <v>39</v>
      </c>
      <c r="BY32" s="71">
        <f t="shared" si="6"/>
        <v>70</v>
      </c>
      <c r="BZ32" s="72">
        <f t="shared" si="7"/>
        <v>73</v>
      </c>
      <c r="CA32" s="71">
        <f t="shared" si="8"/>
        <v>109</v>
      </c>
      <c r="CB32" s="72">
        <f t="shared" si="9"/>
        <v>117</v>
      </c>
      <c r="CC32" s="71">
        <f t="shared" si="10"/>
        <v>166</v>
      </c>
      <c r="CD32" s="72">
        <f t="shared" si="11"/>
        <v>173</v>
      </c>
      <c r="CE32" s="71">
        <f t="shared" si="12"/>
        <v>219</v>
      </c>
      <c r="CF32" s="72">
        <f t="shared" si="13"/>
        <v>266</v>
      </c>
      <c r="CG32" s="71">
        <f t="shared" si="14"/>
        <v>292</v>
      </c>
      <c r="CH32" s="70">
        <f t="shared" si="15"/>
        <v>34</v>
      </c>
      <c r="CI32" s="71">
        <f t="shared" si="16"/>
        <v>38</v>
      </c>
      <c r="CJ32" s="72">
        <f t="shared" si="17"/>
        <v>69</v>
      </c>
      <c r="CK32" s="72">
        <f t="shared" si="18"/>
        <v>72</v>
      </c>
      <c r="CL32" s="72">
        <f t="shared" si="19"/>
        <v>108</v>
      </c>
      <c r="CM32" s="72">
        <f t="shared" si="20"/>
        <v>116</v>
      </c>
      <c r="CN32" s="72">
        <f t="shared" si="21"/>
        <v>142</v>
      </c>
      <c r="CO32" s="72">
        <f t="shared" si="22"/>
        <v>168</v>
      </c>
      <c r="CP32" s="72">
        <f t="shared" si="23"/>
        <v>213</v>
      </c>
      <c r="CQ32" s="72">
        <f t="shared" si="24"/>
        <v>259</v>
      </c>
      <c r="CR32" s="72">
        <f t="shared" si="25"/>
        <v>291</v>
      </c>
      <c r="CS32" s="72">
        <f t="shared" si="26"/>
        <v>305</v>
      </c>
      <c r="CT32" s="23">
        <f t="shared" si="27"/>
        <v>1</v>
      </c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</row>
    <row r="33" spans="1:1030" x14ac:dyDescent="0.2">
      <c r="A33" s="3" t="str">
        <f t="shared" si="0"/>
        <v>aa2ar_human_3UZA</v>
      </c>
      <c r="B33" s="3" t="s">
        <v>139</v>
      </c>
      <c r="C33" s="3" t="s">
        <v>1029</v>
      </c>
      <c r="D33" s="3" t="str">
        <f>IFERROR(MID(VLOOKUP($B33,Seqs!$A:$B,2,0),E33,1),"")</f>
        <v>S</v>
      </c>
      <c r="E33" s="3">
        <v>7</v>
      </c>
      <c r="F33" s="3" t="str">
        <f>IFERROR(MID(VLOOKUP($B33,Seqs!$A:$B,2,0),G33,1),"")</f>
        <v>N</v>
      </c>
      <c r="G33" s="3">
        <v>34</v>
      </c>
      <c r="H33" s="3" t="str">
        <f>IFERROR(MID(VLOOKUP($B33,Seqs!$A:$B,2,0),I33,1),"")</f>
        <v>S</v>
      </c>
      <c r="I33" s="23">
        <v>35</v>
      </c>
      <c r="J33" s="3" t="str">
        <f>IFERROR(MID(VLOOKUP($B33,Seqs!$A:$B,2,0),K33,1),"")</f>
        <v>Q</v>
      </c>
      <c r="K33" s="23">
        <v>38</v>
      </c>
      <c r="L33" s="3" t="str">
        <f>IFERROR(MID(VLOOKUP($B33,Seqs!$A:$B,2,0),M33,1),"")</f>
        <v>N</v>
      </c>
      <c r="M33" s="3">
        <v>39</v>
      </c>
      <c r="N33" s="3" t="str">
        <f>IFERROR(MID(VLOOKUP($B33,Seqs!$A:$B,2,0),O33,1),"")</f>
        <v>G</v>
      </c>
      <c r="O33" s="3">
        <v>69</v>
      </c>
      <c r="P33" s="3" t="str">
        <f>IFERROR(MID(VLOOKUP($B33,Seqs!$A:$B,2,0),Q33,1),"")</f>
        <v>F</v>
      </c>
      <c r="Q33" s="3">
        <v>70</v>
      </c>
      <c r="R33" s="3" t="str">
        <f>IFERROR(MID(VLOOKUP($B33,Seqs!$A:$B,2,0),S33,1),"")</f>
        <v>A</v>
      </c>
      <c r="S33" s="3">
        <v>72</v>
      </c>
      <c r="T33" s="3" t="str">
        <f>IFERROR(MID(VLOOKUP($B33,Seqs!$A:$B,2,0),U33,1),"")</f>
        <v>A</v>
      </c>
      <c r="U33" s="3">
        <v>73</v>
      </c>
      <c r="V33" s="3" t="str">
        <f>IFERROR(MID(VLOOKUP($B33,Seqs!$A:$B,2,0),W33,1),"")</f>
        <v>I</v>
      </c>
      <c r="W33" s="3">
        <v>108</v>
      </c>
      <c r="X33" s="3" t="str">
        <f>IFERROR(MID(VLOOKUP($B33,Seqs!$A:$B,2,0),Y33,1),"")</f>
        <v>P</v>
      </c>
      <c r="Y33" s="3">
        <v>109</v>
      </c>
      <c r="Z33" s="3" t="str">
        <f>IFERROR(MID(VLOOKUP($B33,Seqs!$A:$B,2,0),AA33,1),"")</f>
        <v>V</v>
      </c>
      <c r="AA33" s="3">
        <v>116</v>
      </c>
      <c r="AB33" s="3" t="str">
        <f>IFERROR(MID(VLOOKUP($B33,Seqs!$A:$B,2,0),AC33,1),"")</f>
        <v>T</v>
      </c>
      <c r="AC33" s="9">
        <v>117</v>
      </c>
      <c r="AD33" s="3" t="str">
        <f>IFERROR(MID(VLOOKUP($B33,Seqs!$A:$B,2,0),AE33,1),"")</f>
        <v>G</v>
      </c>
      <c r="AE33" s="3">
        <v>142</v>
      </c>
      <c r="AF33" s="3" t="str">
        <f>IFERROR(MID(VLOOKUP($B33,Seqs!$A:$B,2,0),AG33,1),"")</f>
        <v>C</v>
      </c>
      <c r="AG33" s="3">
        <v>166</v>
      </c>
      <c r="AH33" s="3" t="str">
        <f>IFERROR(MID(VLOOKUP($B33,Seqs!$A:$B,2,0),AI33,1),"")</f>
        <v>F</v>
      </c>
      <c r="AI33" s="3">
        <v>168</v>
      </c>
      <c r="AJ33" s="3" t="str">
        <f>IFERROR(MID(VLOOKUP($B33,Seqs!$A:$B,2,0),AK33,1),"")</f>
        <v>P</v>
      </c>
      <c r="AK33" s="3">
        <v>173</v>
      </c>
      <c r="AL33" s="3" t="str">
        <f>IFERROR(MID(VLOOKUP($B33,Seqs!$A:$B,2,0),AM33,1),"")</f>
        <v>S</v>
      </c>
      <c r="AM33" s="3">
        <v>213</v>
      </c>
      <c r="AN33" s="3" t="str">
        <f>IFERROR(MID(VLOOKUP($B33,Seqs!$A:$B,2,0),AO33,1),"")</f>
        <v>E</v>
      </c>
      <c r="AO33" s="3">
        <v>219</v>
      </c>
      <c r="AP33" s="3" t="str">
        <f>IFERROR(MID(VLOOKUP($B33,Seqs!$A:$B,2,0),AQ33,1),"")</f>
        <v>C</v>
      </c>
      <c r="AQ33" s="3">
        <v>259</v>
      </c>
      <c r="AR33" s="3" t="str">
        <f>IFERROR(MID(VLOOKUP($B33,Seqs!$A:$B,2,0),AS33,1),"")</f>
        <v>P</v>
      </c>
      <c r="AS33" s="3">
        <v>266</v>
      </c>
      <c r="AT33" s="3" t="str">
        <f>IFERROR(MID(VLOOKUP($B33,Seqs!$A:$B,2,0),AU33,1),"")</f>
        <v>R</v>
      </c>
      <c r="AU33" s="3">
        <v>291</v>
      </c>
      <c r="AV33" s="3" t="str">
        <f>IFERROR(MID(VLOOKUP($B33,Seqs!$A:$B,2,0),AW33,1),"")</f>
        <v>I</v>
      </c>
      <c r="AW33" s="3">
        <v>292</v>
      </c>
      <c r="AX33" s="3" t="str">
        <f>IFERROR(MID(VLOOKUP($B33,Seqs!$A:$B,2,0),AY33,1),"")</f>
        <v>S</v>
      </c>
      <c r="AY33" s="3">
        <v>305</v>
      </c>
      <c r="AZ33" s="77" t="str">
        <f>VLOOKUP(B33,Classification!A:D,2,0)</f>
        <v>A</v>
      </c>
      <c r="BA33" s="94" t="str">
        <f>VLOOKUP(B33,Classification!A:D,4,0)</f>
        <v>Adenosine</v>
      </c>
      <c r="BB33" s="27" t="b">
        <f t="shared" si="1"/>
        <v>1</v>
      </c>
      <c r="BC33" s="23">
        <f t="shared" si="224"/>
        <v>261</v>
      </c>
      <c r="BD33" s="4" t="s">
        <v>23</v>
      </c>
      <c r="BE33" s="3" t="s">
        <v>1368</v>
      </c>
      <c r="BF33" s="118">
        <v>3.27</v>
      </c>
      <c r="BG33" s="49" t="s">
        <v>1371</v>
      </c>
      <c r="BH33" s="49" t="s">
        <v>1371</v>
      </c>
      <c r="BI33" s="1"/>
      <c r="BJ33" s="70" t="s">
        <v>1281</v>
      </c>
      <c r="BK33" s="57" t="s">
        <v>1281</v>
      </c>
      <c r="BL33" s="57" t="s">
        <v>1281</v>
      </c>
      <c r="BM33" s="57" t="s">
        <v>1281</v>
      </c>
      <c r="BN33" s="57" t="s">
        <v>1281</v>
      </c>
      <c r="BO33" s="57" t="s">
        <v>1281</v>
      </c>
      <c r="BP33" s="57" t="s">
        <v>1281</v>
      </c>
      <c r="BQ33" s="57" t="s">
        <v>1281</v>
      </c>
      <c r="BR33" s="57" t="s">
        <v>1281</v>
      </c>
      <c r="BS33" s="57" t="s">
        <v>1281</v>
      </c>
      <c r="BT33" s="57" t="s">
        <v>1281</v>
      </c>
      <c r="BU33" s="57" t="s">
        <v>1281</v>
      </c>
      <c r="BV33" s="70">
        <f t="shared" si="3"/>
        <v>7</v>
      </c>
      <c r="BW33" s="71">
        <f t="shared" si="4"/>
        <v>35</v>
      </c>
      <c r="BX33" s="72">
        <f t="shared" si="5"/>
        <v>39</v>
      </c>
      <c r="BY33" s="71">
        <f t="shared" si="6"/>
        <v>70</v>
      </c>
      <c r="BZ33" s="72">
        <f t="shared" si="7"/>
        <v>73</v>
      </c>
      <c r="CA33" s="71">
        <f t="shared" si="8"/>
        <v>109</v>
      </c>
      <c r="CB33" s="72">
        <f t="shared" si="9"/>
        <v>117</v>
      </c>
      <c r="CC33" s="71">
        <f t="shared" si="10"/>
        <v>166</v>
      </c>
      <c r="CD33" s="72">
        <f t="shared" si="11"/>
        <v>173</v>
      </c>
      <c r="CE33" s="71">
        <f t="shared" si="12"/>
        <v>219</v>
      </c>
      <c r="CF33" s="72">
        <f t="shared" si="13"/>
        <v>266</v>
      </c>
      <c r="CG33" s="71">
        <f t="shared" si="14"/>
        <v>292</v>
      </c>
      <c r="CH33" s="70">
        <f t="shared" si="15"/>
        <v>34</v>
      </c>
      <c r="CI33" s="71">
        <f t="shared" si="16"/>
        <v>38</v>
      </c>
      <c r="CJ33" s="72">
        <f t="shared" si="17"/>
        <v>69</v>
      </c>
      <c r="CK33" s="72">
        <f t="shared" si="18"/>
        <v>72</v>
      </c>
      <c r="CL33" s="72">
        <f t="shared" si="19"/>
        <v>108</v>
      </c>
      <c r="CM33" s="72">
        <f t="shared" si="20"/>
        <v>116</v>
      </c>
      <c r="CN33" s="72">
        <f t="shared" si="21"/>
        <v>142</v>
      </c>
      <c r="CO33" s="72">
        <f t="shared" si="22"/>
        <v>168</v>
      </c>
      <c r="CP33" s="72">
        <f t="shared" si="23"/>
        <v>213</v>
      </c>
      <c r="CQ33" s="72">
        <f t="shared" si="24"/>
        <v>259</v>
      </c>
      <c r="CR33" s="72">
        <f t="shared" si="25"/>
        <v>291</v>
      </c>
      <c r="CS33" s="72">
        <f t="shared" si="26"/>
        <v>305</v>
      </c>
      <c r="CT33" s="23">
        <f t="shared" si="27"/>
        <v>1</v>
      </c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</row>
    <row r="34" spans="1:1030" s="6" customFormat="1" x14ac:dyDescent="0.2">
      <c r="A34" s="3" t="str">
        <f t="shared" si="0"/>
        <v>aa2ar_human_3UZC</v>
      </c>
      <c r="B34" s="3" t="s">
        <v>139</v>
      </c>
      <c r="C34" s="3" t="s">
        <v>1030</v>
      </c>
      <c r="D34" s="3" t="str">
        <f>IFERROR(MID(VLOOKUP($B34,Seqs!$A:$B,2,0),E34,1),"")</f>
        <v>S</v>
      </c>
      <c r="E34" s="3">
        <v>7</v>
      </c>
      <c r="F34" s="3" t="str">
        <f>IFERROR(MID(VLOOKUP($B34,Seqs!$A:$B,2,0),G34,1),"")</f>
        <v>N</v>
      </c>
      <c r="G34" s="3">
        <v>34</v>
      </c>
      <c r="H34" s="3" t="str">
        <f>IFERROR(MID(VLOOKUP($B34,Seqs!$A:$B,2,0),I34,1),"")</f>
        <v>S</v>
      </c>
      <c r="I34" s="23">
        <v>35</v>
      </c>
      <c r="J34" s="3" t="str">
        <f>IFERROR(MID(VLOOKUP($B34,Seqs!$A:$B,2,0),K34,1),"")</f>
        <v>Q</v>
      </c>
      <c r="K34" s="23">
        <v>38</v>
      </c>
      <c r="L34" s="3" t="str">
        <f>IFERROR(MID(VLOOKUP($B34,Seqs!$A:$B,2,0),M34,1),"")</f>
        <v>N</v>
      </c>
      <c r="M34" s="3">
        <v>39</v>
      </c>
      <c r="N34" s="3" t="str">
        <f>IFERROR(MID(VLOOKUP($B34,Seqs!$A:$B,2,0),O34,1),"")</f>
        <v>G</v>
      </c>
      <c r="O34" s="3">
        <v>69</v>
      </c>
      <c r="P34" s="3" t="str">
        <f>IFERROR(MID(VLOOKUP($B34,Seqs!$A:$B,2,0),Q34,1),"")</f>
        <v>F</v>
      </c>
      <c r="Q34" s="3">
        <v>70</v>
      </c>
      <c r="R34" s="3" t="str">
        <f>IFERROR(MID(VLOOKUP($B34,Seqs!$A:$B,2,0),S34,1),"")</f>
        <v>A</v>
      </c>
      <c r="S34" s="3">
        <v>72</v>
      </c>
      <c r="T34" s="3" t="str">
        <f>IFERROR(MID(VLOOKUP($B34,Seqs!$A:$B,2,0),U34,1),"")</f>
        <v>A</v>
      </c>
      <c r="U34" s="3">
        <v>73</v>
      </c>
      <c r="V34" s="3" t="str">
        <f>IFERROR(MID(VLOOKUP($B34,Seqs!$A:$B,2,0),W34,1),"")</f>
        <v>I</v>
      </c>
      <c r="W34" s="3">
        <v>108</v>
      </c>
      <c r="X34" s="3" t="str">
        <f>IFERROR(MID(VLOOKUP($B34,Seqs!$A:$B,2,0),Y34,1),"")</f>
        <v>P</v>
      </c>
      <c r="Y34" s="3">
        <v>109</v>
      </c>
      <c r="Z34" s="3" t="str">
        <f>IFERROR(MID(VLOOKUP($B34,Seqs!$A:$B,2,0),AA34,1),"")</f>
        <v>V</v>
      </c>
      <c r="AA34" s="3">
        <v>116</v>
      </c>
      <c r="AB34" s="3" t="str">
        <f>IFERROR(MID(VLOOKUP($B34,Seqs!$A:$B,2,0),AC34,1),"")</f>
        <v>T</v>
      </c>
      <c r="AC34" s="9">
        <v>117</v>
      </c>
      <c r="AD34" s="3" t="str">
        <f>IFERROR(MID(VLOOKUP($B34,Seqs!$A:$B,2,0),AE34,1),"")</f>
        <v>G</v>
      </c>
      <c r="AE34" s="3">
        <v>142</v>
      </c>
      <c r="AF34" s="3" t="str">
        <f>IFERROR(MID(VLOOKUP($B34,Seqs!$A:$B,2,0),AG34,1),"")</f>
        <v>C</v>
      </c>
      <c r="AG34" s="3">
        <v>166</v>
      </c>
      <c r="AH34" s="3" t="str">
        <f>IFERROR(MID(VLOOKUP($B34,Seqs!$A:$B,2,0),AI34,1),"")</f>
        <v>F</v>
      </c>
      <c r="AI34" s="3">
        <v>168</v>
      </c>
      <c r="AJ34" s="3" t="str">
        <f>IFERROR(MID(VLOOKUP($B34,Seqs!$A:$B,2,0),AK34,1),"")</f>
        <v>P</v>
      </c>
      <c r="AK34" s="3">
        <v>173</v>
      </c>
      <c r="AL34" s="3" t="str">
        <f>IFERROR(MID(VLOOKUP($B34,Seqs!$A:$B,2,0),AM34,1),"")</f>
        <v>S</v>
      </c>
      <c r="AM34" s="3">
        <v>213</v>
      </c>
      <c r="AN34" s="3" t="str">
        <f>IFERROR(MID(VLOOKUP($B34,Seqs!$A:$B,2,0),AO34,1),"")</f>
        <v>E</v>
      </c>
      <c r="AO34" s="3">
        <v>219</v>
      </c>
      <c r="AP34" s="3" t="str">
        <f>IFERROR(MID(VLOOKUP($B34,Seqs!$A:$B,2,0),AQ34,1),"")</f>
        <v>C</v>
      </c>
      <c r="AQ34" s="3">
        <v>259</v>
      </c>
      <c r="AR34" s="3" t="str">
        <f>IFERROR(MID(VLOOKUP($B34,Seqs!$A:$B,2,0),AS34,1),"")</f>
        <v>P</v>
      </c>
      <c r="AS34" s="3">
        <v>266</v>
      </c>
      <c r="AT34" s="3" t="str">
        <f>IFERROR(MID(VLOOKUP($B34,Seqs!$A:$B,2,0),AU34,1),"")</f>
        <v>R</v>
      </c>
      <c r="AU34" s="3">
        <v>291</v>
      </c>
      <c r="AV34" s="3" t="str">
        <f>IFERROR(MID(VLOOKUP($B34,Seqs!$A:$B,2,0),AW34,1),"")</f>
        <v>I</v>
      </c>
      <c r="AW34" s="3">
        <v>292</v>
      </c>
      <c r="AX34" s="3" t="str">
        <f>IFERROR(MID(VLOOKUP($B34,Seqs!$A:$B,2,0),AY34,1),"")</f>
        <v>S</v>
      </c>
      <c r="AY34" s="3">
        <v>305</v>
      </c>
      <c r="AZ34" s="77" t="str">
        <f>VLOOKUP(B34,Classification!A:D,2,0)</f>
        <v>A</v>
      </c>
      <c r="BA34" s="94" t="str">
        <f>VLOOKUP(B34,Classification!A:D,4,0)</f>
        <v>Adenosine</v>
      </c>
      <c r="BB34" s="27" t="b">
        <f t="shared" si="1"/>
        <v>1</v>
      </c>
      <c r="BC34" s="23">
        <f t="shared" si="224"/>
        <v>261</v>
      </c>
      <c r="BD34" s="4" t="s">
        <v>23</v>
      </c>
      <c r="BE34" s="3" t="s">
        <v>1368</v>
      </c>
      <c r="BF34" s="118">
        <v>3.34</v>
      </c>
      <c r="BG34" s="49" t="s">
        <v>1371</v>
      </c>
      <c r="BH34" s="49" t="s">
        <v>1371</v>
      </c>
      <c r="BI34" s="1"/>
      <c r="BJ34" s="70" t="s">
        <v>1281</v>
      </c>
      <c r="BK34" s="57" t="s">
        <v>1281</v>
      </c>
      <c r="BL34" s="57" t="s">
        <v>1281</v>
      </c>
      <c r="BM34" s="57" t="s">
        <v>1281</v>
      </c>
      <c r="BN34" s="57" t="s">
        <v>1281</v>
      </c>
      <c r="BO34" s="57" t="s">
        <v>1281</v>
      </c>
      <c r="BP34" s="57" t="s">
        <v>1281</v>
      </c>
      <c r="BQ34" s="57" t="s">
        <v>1281</v>
      </c>
      <c r="BR34" s="57" t="s">
        <v>1281</v>
      </c>
      <c r="BS34" s="57" t="s">
        <v>1281</v>
      </c>
      <c r="BT34" s="57" t="s">
        <v>1281</v>
      </c>
      <c r="BU34" s="57" t="s">
        <v>1281</v>
      </c>
      <c r="BV34" s="70">
        <f t="shared" si="3"/>
        <v>7</v>
      </c>
      <c r="BW34" s="71">
        <f t="shared" si="4"/>
        <v>35</v>
      </c>
      <c r="BX34" s="72">
        <f t="shared" si="5"/>
        <v>39</v>
      </c>
      <c r="BY34" s="71">
        <f t="shared" si="6"/>
        <v>70</v>
      </c>
      <c r="BZ34" s="72">
        <f t="shared" si="7"/>
        <v>73</v>
      </c>
      <c r="CA34" s="71">
        <f t="shared" si="8"/>
        <v>109</v>
      </c>
      <c r="CB34" s="72">
        <f t="shared" si="9"/>
        <v>117</v>
      </c>
      <c r="CC34" s="71">
        <f t="shared" si="10"/>
        <v>166</v>
      </c>
      <c r="CD34" s="72">
        <f t="shared" si="11"/>
        <v>173</v>
      </c>
      <c r="CE34" s="71">
        <f t="shared" si="12"/>
        <v>219</v>
      </c>
      <c r="CF34" s="72">
        <f t="shared" si="13"/>
        <v>266</v>
      </c>
      <c r="CG34" s="71">
        <f t="shared" si="14"/>
        <v>292</v>
      </c>
      <c r="CH34" s="70">
        <f t="shared" si="15"/>
        <v>34</v>
      </c>
      <c r="CI34" s="71">
        <f t="shared" si="16"/>
        <v>38</v>
      </c>
      <c r="CJ34" s="72">
        <f t="shared" si="17"/>
        <v>69</v>
      </c>
      <c r="CK34" s="72">
        <f t="shared" si="18"/>
        <v>72</v>
      </c>
      <c r="CL34" s="72">
        <f t="shared" si="19"/>
        <v>108</v>
      </c>
      <c r="CM34" s="72">
        <f t="shared" si="20"/>
        <v>116</v>
      </c>
      <c r="CN34" s="72">
        <f t="shared" si="21"/>
        <v>142</v>
      </c>
      <c r="CO34" s="72">
        <f t="shared" si="22"/>
        <v>168</v>
      </c>
      <c r="CP34" s="72">
        <f t="shared" si="23"/>
        <v>213</v>
      </c>
      <c r="CQ34" s="72">
        <f t="shared" si="24"/>
        <v>259</v>
      </c>
      <c r="CR34" s="72">
        <f t="shared" si="25"/>
        <v>291</v>
      </c>
      <c r="CS34" s="72">
        <f t="shared" si="26"/>
        <v>305</v>
      </c>
      <c r="CT34" s="23">
        <f t="shared" si="27"/>
        <v>1</v>
      </c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</row>
    <row r="35" spans="1:1030" s="6" customFormat="1" x14ac:dyDescent="0.2">
      <c r="A35" s="3" t="str">
        <f t="shared" si="0"/>
        <v>aa2ar_human_3VG9</v>
      </c>
      <c r="B35" s="3" t="s">
        <v>139</v>
      </c>
      <c r="C35" s="3" t="s">
        <v>1097</v>
      </c>
      <c r="D35" s="3" t="str">
        <f>IFERROR(MID(VLOOKUP($B35,Seqs!$A:$B,2,0),E35,1),"")</f>
        <v>S</v>
      </c>
      <c r="E35" s="3">
        <v>6</v>
      </c>
      <c r="F35" s="3" t="str">
        <f>IFERROR(MID(VLOOKUP($B35,Seqs!$A:$B,2,0),G35,1),"")</f>
        <v>N</v>
      </c>
      <c r="G35" s="3">
        <v>34</v>
      </c>
      <c r="H35" s="3" t="str">
        <f>IFERROR(MID(VLOOKUP($B35,Seqs!$A:$B,2,0),I35,1),"")</f>
        <v>S</v>
      </c>
      <c r="I35" s="23">
        <v>35</v>
      </c>
      <c r="J35" s="3" t="str">
        <f>IFERROR(MID(VLOOKUP($B35,Seqs!$A:$B,2,0),K35,1),"")</f>
        <v>Q</v>
      </c>
      <c r="K35" s="23">
        <v>38</v>
      </c>
      <c r="L35" s="3" t="str">
        <f>IFERROR(MID(VLOOKUP($B35,Seqs!$A:$B,2,0),M35,1),"")</f>
        <v>N</v>
      </c>
      <c r="M35" s="3">
        <v>39</v>
      </c>
      <c r="N35" s="3" t="str">
        <f>IFERROR(MID(VLOOKUP($B35,Seqs!$A:$B,2,0),O35,1),"")</f>
        <v>G</v>
      </c>
      <c r="O35" s="3">
        <v>69</v>
      </c>
      <c r="P35" s="3" t="str">
        <f>IFERROR(MID(VLOOKUP($B35,Seqs!$A:$B,2,0),Q35,1),"")</f>
        <v>F</v>
      </c>
      <c r="Q35" s="3">
        <v>70</v>
      </c>
      <c r="R35" s="3" t="str">
        <f>IFERROR(MID(VLOOKUP($B35,Seqs!$A:$B,2,0),S35,1),"")</f>
        <v>A</v>
      </c>
      <c r="S35" s="3">
        <v>72</v>
      </c>
      <c r="T35" s="3" t="str">
        <f>IFERROR(MID(VLOOKUP($B35,Seqs!$A:$B,2,0),U35,1),"")</f>
        <v>A</v>
      </c>
      <c r="U35" s="3">
        <v>73</v>
      </c>
      <c r="V35" s="3" t="str">
        <f>IFERROR(MID(VLOOKUP($B35,Seqs!$A:$B,2,0),W35,1),"")</f>
        <v>I</v>
      </c>
      <c r="W35" s="3">
        <v>108</v>
      </c>
      <c r="X35" s="3" t="str">
        <f>IFERROR(MID(VLOOKUP($B35,Seqs!$A:$B,2,0),Y35,1),"")</f>
        <v>P</v>
      </c>
      <c r="Y35" s="3">
        <v>109</v>
      </c>
      <c r="Z35" s="3" t="str">
        <f>IFERROR(MID(VLOOKUP($B35,Seqs!$A:$B,2,0),AA35,1),"")</f>
        <v>V</v>
      </c>
      <c r="AA35" s="3">
        <v>116</v>
      </c>
      <c r="AB35" s="3" t="str">
        <f>IFERROR(MID(VLOOKUP($B35,Seqs!$A:$B,2,0),AC35,1),"")</f>
        <v>T</v>
      </c>
      <c r="AC35" s="9">
        <v>117</v>
      </c>
      <c r="AD35" s="3" t="str">
        <f>IFERROR(MID(VLOOKUP($B35,Seqs!$A:$B,2,0),AE35,1),"")</f>
        <v>G</v>
      </c>
      <c r="AE35" s="3">
        <v>142</v>
      </c>
      <c r="AF35" s="3" t="str">
        <f>IFERROR(MID(VLOOKUP($B35,Seqs!$A:$B,2,0),AG35,1),"")</f>
        <v>C</v>
      </c>
      <c r="AG35" s="3">
        <v>166</v>
      </c>
      <c r="AH35" s="3" t="str">
        <f>IFERROR(MID(VLOOKUP($B35,Seqs!$A:$B,2,0),AI35,1),"")</f>
        <v>F</v>
      </c>
      <c r="AI35" s="3">
        <v>168</v>
      </c>
      <c r="AJ35" s="3" t="str">
        <f>IFERROR(MID(VLOOKUP($B35,Seqs!$A:$B,2,0),AK35,1),"")</f>
        <v>P</v>
      </c>
      <c r="AK35" s="3">
        <v>173</v>
      </c>
      <c r="AL35" s="3" t="str">
        <f>IFERROR(MID(VLOOKUP($B35,Seqs!$A:$B,2,0),AM35,1),"")</f>
        <v>Q</v>
      </c>
      <c r="AM35" s="3">
        <v>214</v>
      </c>
      <c r="AN35" s="3" t="str">
        <f>IFERROR(MID(VLOOKUP($B35,Seqs!$A:$B,2,0),AO35,1),"")</f>
        <v>A</v>
      </c>
      <c r="AO35" s="3">
        <v>221</v>
      </c>
      <c r="AP35" s="3" t="str">
        <f>IFERROR(MID(VLOOKUP($B35,Seqs!$A:$B,2,0),AQ35,1),"")</f>
        <v>C</v>
      </c>
      <c r="AQ35" s="3">
        <v>259</v>
      </c>
      <c r="AR35" s="3" t="str">
        <f>IFERROR(MID(VLOOKUP($B35,Seqs!$A:$B,2,0),AS35,1),"")</f>
        <v>P</v>
      </c>
      <c r="AS35" s="3">
        <v>266</v>
      </c>
      <c r="AT35" s="3" t="str">
        <f>IFERROR(MID(VLOOKUP($B35,Seqs!$A:$B,2,0),AU35,1),"")</f>
        <v>R</v>
      </c>
      <c r="AU35" s="3">
        <v>291</v>
      </c>
      <c r="AV35" s="3" t="str">
        <f>IFERROR(MID(VLOOKUP($B35,Seqs!$A:$B,2,0),AW35,1),"")</f>
        <v>I</v>
      </c>
      <c r="AW35" s="3">
        <v>292</v>
      </c>
      <c r="AX35" s="3" t="str">
        <f>IFERROR(MID(VLOOKUP($B35,Seqs!$A:$B,2,0),AY35,1),"")</f>
        <v>Q</v>
      </c>
      <c r="AY35" s="3">
        <v>311</v>
      </c>
      <c r="AZ35" s="77" t="str">
        <f>VLOOKUP(B35,Classification!A:D,2,0)</f>
        <v>A</v>
      </c>
      <c r="BA35" s="94" t="str">
        <f>VLOOKUP(B35,Classification!A:D,4,0)</f>
        <v>Adenosine</v>
      </c>
      <c r="BB35" s="27" t="b">
        <f t="shared" si="1"/>
        <v>1</v>
      </c>
      <c r="BC35" s="23">
        <f t="shared" si="224"/>
        <v>267</v>
      </c>
      <c r="BD35" s="4" t="s">
        <v>1370</v>
      </c>
      <c r="BE35" s="3" t="s">
        <v>1368</v>
      </c>
      <c r="BF35" s="118">
        <v>2.7</v>
      </c>
      <c r="BG35" s="49" t="s">
        <v>1371</v>
      </c>
      <c r="BH35" s="49" t="s">
        <v>1371</v>
      </c>
      <c r="BI35" s="1"/>
      <c r="BJ35" s="70" t="s">
        <v>1281</v>
      </c>
      <c r="BK35" s="57" t="s">
        <v>1281</v>
      </c>
      <c r="BL35" s="57" t="s">
        <v>1281</v>
      </c>
      <c r="BM35" s="57" t="s">
        <v>1281</v>
      </c>
      <c r="BN35" s="57" t="s">
        <v>1281</v>
      </c>
      <c r="BO35" s="57" t="s">
        <v>1281</v>
      </c>
      <c r="BP35" s="57" t="s">
        <v>1281</v>
      </c>
      <c r="BQ35" s="57" t="s">
        <v>1281</v>
      </c>
      <c r="BR35" s="57" t="s">
        <v>1281</v>
      </c>
      <c r="BS35" s="57" t="s">
        <v>1281</v>
      </c>
      <c r="BT35" s="57" t="s">
        <v>1281</v>
      </c>
      <c r="BU35" s="57" t="s">
        <v>1281</v>
      </c>
      <c r="BV35" s="70">
        <f t="shared" si="3"/>
        <v>6</v>
      </c>
      <c r="BW35" s="71">
        <f t="shared" si="4"/>
        <v>35</v>
      </c>
      <c r="BX35" s="72">
        <f t="shared" si="5"/>
        <v>39</v>
      </c>
      <c r="BY35" s="71">
        <f t="shared" si="6"/>
        <v>70</v>
      </c>
      <c r="BZ35" s="72">
        <f t="shared" si="7"/>
        <v>73</v>
      </c>
      <c r="CA35" s="71">
        <f t="shared" si="8"/>
        <v>109</v>
      </c>
      <c r="CB35" s="72">
        <f t="shared" si="9"/>
        <v>117</v>
      </c>
      <c r="CC35" s="71">
        <f t="shared" si="10"/>
        <v>166</v>
      </c>
      <c r="CD35" s="72">
        <f t="shared" si="11"/>
        <v>173</v>
      </c>
      <c r="CE35" s="71">
        <f t="shared" si="12"/>
        <v>221</v>
      </c>
      <c r="CF35" s="72">
        <f t="shared" si="13"/>
        <v>266</v>
      </c>
      <c r="CG35" s="71">
        <f t="shared" si="14"/>
        <v>292</v>
      </c>
      <c r="CH35" s="70">
        <f t="shared" si="15"/>
        <v>34</v>
      </c>
      <c r="CI35" s="71">
        <f t="shared" si="16"/>
        <v>38</v>
      </c>
      <c r="CJ35" s="72">
        <f t="shared" si="17"/>
        <v>69</v>
      </c>
      <c r="CK35" s="72">
        <f t="shared" si="18"/>
        <v>72</v>
      </c>
      <c r="CL35" s="72">
        <f t="shared" si="19"/>
        <v>108</v>
      </c>
      <c r="CM35" s="72">
        <f t="shared" si="20"/>
        <v>116</v>
      </c>
      <c r="CN35" s="72">
        <f t="shared" si="21"/>
        <v>142</v>
      </c>
      <c r="CO35" s="72">
        <f t="shared" si="22"/>
        <v>168</v>
      </c>
      <c r="CP35" s="72">
        <f t="shared" si="23"/>
        <v>214</v>
      </c>
      <c r="CQ35" s="72">
        <f t="shared" si="24"/>
        <v>259</v>
      </c>
      <c r="CR35" s="72">
        <f t="shared" si="25"/>
        <v>291</v>
      </c>
      <c r="CS35" s="72">
        <f t="shared" si="26"/>
        <v>311</v>
      </c>
      <c r="CT35" s="23">
        <f t="shared" si="27"/>
        <v>1</v>
      </c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</row>
    <row r="36" spans="1:1030" x14ac:dyDescent="0.2">
      <c r="A36" s="3" t="str">
        <f t="shared" si="0"/>
        <v>aa2ar_human_4EIY</v>
      </c>
      <c r="B36" s="3" t="s">
        <v>139</v>
      </c>
      <c r="C36" s="3" t="s">
        <v>81</v>
      </c>
      <c r="D36" s="3" t="str">
        <f>IFERROR(MID(VLOOKUP($B36,Seqs!$A:$B,2,0),E36,1),"")</f>
        <v>P</v>
      </c>
      <c r="E36" s="3">
        <v>2</v>
      </c>
      <c r="F36" s="3" t="str">
        <f>IFERROR(MID(VLOOKUP($B36,Seqs!$A:$B,2,0),G36,1),"")</f>
        <v>N</v>
      </c>
      <c r="G36" s="3">
        <v>34</v>
      </c>
      <c r="H36" s="3" t="str">
        <f>IFERROR(MID(VLOOKUP($B36,Seqs!$A:$B,2,0),I36,1),"")</f>
        <v>S</v>
      </c>
      <c r="I36" s="23">
        <v>35</v>
      </c>
      <c r="J36" s="3" t="str">
        <f>IFERROR(MID(VLOOKUP($B36,Seqs!$A:$B,2,0),K36,1),"")</f>
        <v>Q</v>
      </c>
      <c r="K36" s="23">
        <v>38</v>
      </c>
      <c r="L36" s="3" t="str">
        <f>IFERROR(MID(VLOOKUP($B36,Seqs!$A:$B,2,0),M36,1),"")</f>
        <v>N</v>
      </c>
      <c r="M36" s="3">
        <v>39</v>
      </c>
      <c r="N36" s="3" t="str">
        <f>IFERROR(MID(VLOOKUP($B36,Seqs!$A:$B,2,0),O36,1),"")</f>
        <v>G</v>
      </c>
      <c r="O36" s="3">
        <v>69</v>
      </c>
      <c r="P36" s="3" t="str">
        <f>IFERROR(MID(VLOOKUP($B36,Seqs!$A:$B,2,0),Q36,1),"")</f>
        <v>F</v>
      </c>
      <c r="Q36" s="3">
        <v>70</v>
      </c>
      <c r="R36" s="3" t="str">
        <f>IFERROR(MID(VLOOKUP($B36,Seqs!$A:$B,2,0),S36,1),"")</f>
        <v>A</v>
      </c>
      <c r="S36" s="3">
        <v>72</v>
      </c>
      <c r="T36" s="3" t="str">
        <f>IFERROR(MID(VLOOKUP($B36,Seqs!$A:$B,2,0),U36,1),"")</f>
        <v>A</v>
      </c>
      <c r="U36" s="3">
        <v>73</v>
      </c>
      <c r="V36" s="3" t="str">
        <f>IFERROR(MID(VLOOKUP($B36,Seqs!$A:$B,2,0),W36,1),"")</f>
        <v>I</v>
      </c>
      <c r="W36" s="3">
        <v>108</v>
      </c>
      <c r="X36" s="3" t="str">
        <f>IFERROR(MID(VLOOKUP($B36,Seqs!$A:$B,2,0),Y36,1),"")</f>
        <v>P</v>
      </c>
      <c r="Y36" s="3">
        <v>109</v>
      </c>
      <c r="Z36" s="3" t="str">
        <f>IFERROR(MID(VLOOKUP($B36,Seqs!$A:$B,2,0),AA36,1),"")</f>
        <v>V</v>
      </c>
      <c r="AA36" s="3">
        <v>116</v>
      </c>
      <c r="AB36" s="3" t="str">
        <f>IFERROR(MID(VLOOKUP($B36,Seqs!$A:$B,2,0),AC36,1),"")</f>
        <v>T</v>
      </c>
      <c r="AC36" s="9">
        <v>117</v>
      </c>
      <c r="AD36" s="3" t="str">
        <f>IFERROR(MID(VLOOKUP($B36,Seqs!$A:$B,2,0),AE36,1),"")</f>
        <v>G</v>
      </c>
      <c r="AE36" s="3">
        <v>142</v>
      </c>
      <c r="AF36" s="3" t="str">
        <f>IFERROR(MID(VLOOKUP($B36,Seqs!$A:$B,2,0),AG36,1),"")</f>
        <v>C</v>
      </c>
      <c r="AG36" s="3">
        <v>166</v>
      </c>
      <c r="AH36" s="3" t="str">
        <f>IFERROR(MID(VLOOKUP($B36,Seqs!$A:$B,2,0),AI36,1),"")</f>
        <v>F</v>
      </c>
      <c r="AI36" s="3">
        <v>168</v>
      </c>
      <c r="AJ36" s="3" t="str">
        <f>IFERROR(MID(VLOOKUP($B36,Seqs!$A:$B,2,0),AK36,1),"")</f>
        <v>P</v>
      </c>
      <c r="AK36" s="3">
        <v>173</v>
      </c>
      <c r="AL36" s="3" t="str">
        <f>IFERROR(MID(VLOOKUP($B36,Seqs!$A:$B,2,0),AM36,1),"")</f>
        <v>Q</v>
      </c>
      <c r="AM36" s="3">
        <v>207</v>
      </c>
      <c r="AN36" s="3" t="str">
        <f>IFERROR(MID(VLOOKUP($B36,Seqs!$A:$B,2,0),AO36,1),"")</f>
        <v>E</v>
      </c>
      <c r="AO36" s="3">
        <v>219</v>
      </c>
      <c r="AP36" s="3" t="str">
        <f>IFERROR(MID(VLOOKUP($B36,Seqs!$A:$B,2,0),AQ36,1),"")</f>
        <v>C</v>
      </c>
      <c r="AQ36" s="3">
        <v>259</v>
      </c>
      <c r="AR36" s="3" t="str">
        <f>IFERROR(MID(VLOOKUP($B36,Seqs!$A:$B,2,0),AS36,1),"")</f>
        <v>P</v>
      </c>
      <c r="AS36" s="3">
        <v>266</v>
      </c>
      <c r="AT36" s="3" t="str">
        <f>IFERROR(MID(VLOOKUP($B36,Seqs!$A:$B,2,0),AU36,1),"")</f>
        <v>R</v>
      </c>
      <c r="AU36" s="3">
        <v>291</v>
      </c>
      <c r="AV36" s="3" t="str">
        <f>IFERROR(MID(VLOOKUP($B36,Seqs!$A:$B,2,0),AW36,1),"")</f>
        <v>I</v>
      </c>
      <c r="AW36" s="3">
        <v>292</v>
      </c>
      <c r="AX36" s="3" t="str">
        <f>IFERROR(MID(VLOOKUP($B36,Seqs!$A:$B,2,0),AY36,1),"")</f>
        <v>V</v>
      </c>
      <c r="AY36" s="3">
        <v>307</v>
      </c>
      <c r="AZ36" s="77" t="str">
        <f>VLOOKUP(B36,Classification!A:D,2,0)</f>
        <v>A</v>
      </c>
      <c r="BA36" s="94" t="str">
        <f>VLOOKUP(B36,Classification!A:D,4,0)</f>
        <v>Adenosine</v>
      </c>
      <c r="BB36" s="27" t="b">
        <f t="shared" si="1"/>
        <v>1</v>
      </c>
      <c r="BC36" s="23">
        <f t="shared" si="224"/>
        <v>262</v>
      </c>
      <c r="BD36" s="4" t="s">
        <v>23</v>
      </c>
      <c r="BE36" s="3" t="s">
        <v>1368</v>
      </c>
      <c r="BF36" s="118">
        <v>1.8</v>
      </c>
      <c r="BG36" s="49" t="s">
        <v>1371</v>
      </c>
      <c r="BH36" s="49" t="s">
        <v>1371</v>
      </c>
      <c r="BI36" s="1"/>
      <c r="BJ36" s="70" t="s">
        <v>1281</v>
      </c>
      <c r="BK36" s="57" t="s">
        <v>1281</v>
      </c>
      <c r="BL36" s="57" t="s">
        <v>1281</v>
      </c>
      <c r="BM36" s="57" t="s">
        <v>1281</v>
      </c>
      <c r="BN36" s="57" t="s">
        <v>1281</v>
      </c>
      <c r="BO36" s="57" t="s">
        <v>1281</v>
      </c>
      <c r="BP36" s="57" t="s">
        <v>1281</v>
      </c>
      <c r="BQ36" s="57" t="s">
        <v>1281</v>
      </c>
      <c r="BR36" s="57" t="s">
        <v>1281</v>
      </c>
      <c r="BS36" s="57" t="s">
        <v>1281</v>
      </c>
      <c r="BT36" s="57" t="s">
        <v>1281</v>
      </c>
      <c r="BU36" s="57" t="s">
        <v>1281</v>
      </c>
      <c r="BV36" s="70">
        <f t="shared" si="3"/>
        <v>2</v>
      </c>
      <c r="BW36" s="71">
        <f t="shared" si="4"/>
        <v>35</v>
      </c>
      <c r="BX36" s="72">
        <f t="shared" si="5"/>
        <v>39</v>
      </c>
      <c r="BY36" s="71">
        <f t="shared" si="6"/>
        <v>70</v>
      </c>
      <c r="BZ36" s="72">
        <f t="shared" si="7"/>
        <v>73</v>
      </c>
      <c r="CA36" s="71">
        <f t="shared" si="8"/>
        <v>109</v>
      </c>
      <c r="CB36" s="72">
        <f t="shared" si="9"/>
        <v>117</v>
      </c>
      <c r="CC36" s="71">
        <f t="shared" si="10"/>
        <v>166</v>
      </c>
      <c r="CD36" s="72">
        <f t="shared" si="11"/>
        <v>173</v>
      </c>
      <c r="CE36" s="71">
        <f t="shared" si="12"/>
        <v>219</v>
      </c>
      <c r="CF36" s="72">
        <f t="shared" si="13"/>
        <v>266</v>
      </c>
      <c r="CG36" s="71">
        <f t="shared" si="14"/>
        <v>292</v>
      </c>
      <c r="CH36" s="70">
        <f t="shared" si="15"/>
        <v>34</v>
      </c>
      <c r="CI36" s="71">
        <f t="shared" si="16"/>
        <v>38</v>
      </c>
      <c r="CJ36" s="72">
        <f t="shared" si="17"/>
        <v>69</v>
      </c>
      <c r="CK36" s="72">
        <f t="shared" si="18"/>
        <v>72</v>
      </c>
      <c r="CL36" s="72">
        <f t="shared" si="19"/>
        <v>108</v>
      </c>
      <c r="CM36" s="72">
        <f t="shared" si="20"/>
        <v>116</v>
      </c>
      <c r="CN36" s="72">
        <f t="shared" si="21"/>
        <v>142</v>
      </c>
      <c r="CO36" s="72">
        <f t="shared" si="22"/>
        <v>168</v>
      </c>
      <c r="CP36" s="72">
        <f t="shared" si="23"/>
        <v>207</v>
      </c>
      <c r="CQ36" s="72">
        <f t="shared" si="24"/>
        <v>259</v>
      </c>
      <c r="CR36" s="72">
        <f t="shared" si="25"/>
        <v>291</v>
      </c>
      <c r="CS36" s="72">
        <f t="shared" si="26"/>
        <v>307</v>
      </c>
      <c r="CT36" s="23">
        <f t="shared" si="27"/>
        <v>1</v>
      </c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</row>
    <row r="37" spans="1:1030" x14ac:dyDescent="0.2">
      <c r="A37" s="3" t="str">
        <f t="shared" si="0"/>
        <v>aa2ar_human_4UHR</v>
      </c>
      <c r="B37" s="3" t="s">
        <v>139</v>
      </c>
      <c r="C37" s="3" t="s">
        <v>1048</v>
      </c>
      <c r="D37" s="3" t="str">
        <f>IFERROR(MID(VLOOKUP($B37,Seqs!$A:$B,2,0),E37,1),"")</f>
        <v>S</v>
      </c>
      <c r="E37" s="3">
        <v>6</v>
      </c>
      <c r="F37" s="3" t="str">
        <f>IFERROR(MID(VLOOKUP($B37,Seqs!$A:$B,2,0),G37,1),"")</f>
        <v>N</v>
      </c>
      <c r="G37" s="3">
        <v>34</v>
      </c>
      <c r="H37" s="3" t="str">
        <f>IFERROR(MID(VLOOKUP($B37,Seqs!$A:$B,2,0),I37,1),"")</f>
        <v>S</v>
      </c>
      <c r="I37" s="23">
        <v>35</v>
      </c>
      <c r="J37" s="3" t="str">
        <f>IFERROR(MID(VLOOKUP($B37,Seqs!$A:$B,2,0),K37,1),"")</f>
        <v>Q</v>
      </c>
      <c r="K37" s="23">
        <v>38</v>
      </c>
      <c r="L37" s="3" t="str">
        <f>IFERROR(MID(VLOOKUP($B37,Seqs!$A:$B,2,0),M37,1),"")</f>
        <v>N</v>
      </c>
      <c r="M37" s="3">
        <v>39</v>
      </c>
      <c r="N37" s="3" t="str">
        <f>IFERROR(MID(VLOOKUP($B37,Seqs!$A:$B,2,0),O37,1),"")</f>
        <v>G</v>
      </c>
      <c r="O37" s="3">
        <v>69</v>
      </c>
      <c r="P37" s="3" t="str">
        <f>IFERROR(MID(VLOOKUP($B37,Seqs!$A:$B,2,0),Q37,1),"")</f>
        <v>F</v>
      </c>
      <c r="Q37" s="3">
        <v>70</v>
      </c>
      <c r="R37" s="3" t="str">
        <f>IFERROR(MID(VLOOKUP($B37,Seqs!$A:$B,2,0),S37,1),"")</f>
        <v>A</v>
      </c>
      <c r="S37" s="3">
        <v>72</v>
      </c>
      <c r="T37" s="3" t="str">
        <f>IFERROR(MID(VLOOKUP($B37,Seqs!$A:$B,2,0),U37,1),"")</f>
        <v>A</v>
      </c>
      <c r="U37" s="3">
        <v>73</v>
      </c>
      <c r="V37" s="3" t="str">
        <f>IFERROR(MID(VLOOKUP($B37,Seqs!$A:$B,2,0),W37,1),"")</f>
        <v>I</v>
      </c>
      <c r="W37" s="3">
        <v>108</v>
      </c>
      <c r="X37" s="3" t="str">
        <f>IFERROR(MID(VLOOKUP($B37,Seqs!$A:$B,2,0),Y37,1),"")</f>
        <v>P</v>
      </c>
      <c r="Y37" s="3">
        <v>109</v>
      </c>
      <c r="Z37" s="3" t="str">
        <f>IFERROR(MID(VLOOKUP($B37,Seqs!$A:$B,2,0),AA37,1),"")</f>
        <v>V</v>
      </c>
      <c r="AA37" s="3">
        <v>116</v>
      </c>
      <c r="AB37" s="3" t="str">
        <f>IFERROR(MID(VLOOKUP($B37,Seqs!$A:$B,2,0),AC37,1),"")</f>
        <v>T</v>
      </c>
      <c r="AC37" s="9">
        <v>117</v>
      </c>
      <c r="AD37" s="3" t="str">
        <f>IFERROR(MID(VLOOKUP($B37,Seqs!$A:$B,2,0),AE37,1),"")</f>
        <v>G</v>
      </c>
      <c r="AE37" s="3">
        <v>142</v>
      </c>
      <c r="AF37" s="3" t="str">
        <f>IFERROR(MID(VLOOKUP($B37,Seqs!$A:$B,2,0),AG37,1),"")</f>
        <v>C</v>
      </c>
      <c r="AG37" s="3">
        <v>166</v>
      </c>
      <c r="AH37" s="3" t="str">
        <f>IFERROR(MID(VLOOKUP($B37,Seqs!$A:$B,2,0),AI37,1),"")</f>
        <v>F</v>
      </c>
      <c r="AI37" s="3">
        <v>168</v>
      </c>
      <c r="AJ37" s="3" t="str">
        <f>IFERROR(MID(VLOOKUP($B37,Seqs!$A:$B,2,0),AK37,1),"")</f>
        <v>P</v>
      </c>
      <c r="AK37" s="3">
        <v>173</v>
      </c>
      <c r="AL37" s="3" t="str">
        <f>IFERROR(MID(VLOOKUP($B37,Seqs!$A:$B,2,0),AM37,1),"")</f>
        <v>S</v>
      </c>
      <c r="AM37" s="3">
        <v>213</v>
      </c>
      <c r="AN37" s="3" t="str">
        <f>IFERROR(MID(VLOOKUP($B37,Seqs!$A:$B,2,0),AO37,1),"")</f>
        <v>E</v>
      </c>
      <c r="AO37" s="3">
        <v>219</v>
      </c>
      <c r="AP37" s="3" t="str">
        <f>IFERROR(MID(VLOOKUP($B37,Seqs!$A:$B,2,0),AQ37,1),"")</f>
        <v>C</v>
      </c>
      <c r="AQ37" s="3">
        <v>259</v>
      </c>
      <c r="AR37" s="3" t="str">
        <f>IFERROR(MID(VLOOKUP($B37,Seqs!$A:$B,2,0),AS37,1),"")</f>
        <v>P</v>
      </c>
      <c r="AS37" s="3">
        <v>266</v>
      </c>
      <c r="AT37" s="3" t="str">
        <f>IFERROR(MID(VLOOKUP($B37,Seqs!$A:$B,2,0),AU37,1),"")</f>
        <v>R</v>
      </c>
      <c r="AU37" s="3">
        <v>291</v>
      </c>
      <c r="AV37" s="3" t="str">
        <f>IFERROR(MID(VLOOKUP($B37,Seqs!$A:$B,2,0),AW37,1),"")</f>
        <v>I</v>
      </c>
      <c r="AW37" s="3">
        <v>292</v>
      </c>
      <c r="AX37" s="3" t="str">
        <f>IFERROR(MID(VLOOKUP($B37,Seqs!$A:$B,2,0),AY37,1),"")</f>
        <v>Q</v>
      </c>
      <c r="AY37" s="3">
        <v>311</v>
      </c>
      <c r="AZ37" s="77" t="str">
        <f>VLOOKUP(B37,Classification!A:D,2,0)</f>
        <v>A</v>
      </c>
      <c r="BA37" s="94" t="str">
        <f>VLOOKUP(B37,Classification!A:D,4,0)</f>
        <v>Adenosine</v>
      </c>
      <c r="BB37" s="27" t="b">
        <f t="shared" si="1"/>
        <v>1</v>
      </c>
      <c r="BC37" s="23">
        <f t="shared" si="224"/>
        <v>268</v>
      </c>
      <c r="BD37" s="2" t="s">
        <v>1423</v>
      </c>
      <c r="BE37" s="3" t="s">
        <v>1422</v>
      </c>
      <c r="BF37" s="118">
        <v>2.6</v>
      </c>
      <c r="BG37" s="49" t="s">
        <v>1371</v>
      </c>
      <c r="BH37" s="49" t="s">
        <v>1371</v>
      </c>
      <c r="BI37" s="1"/>
      <c r="BJ37" s="70" t="s">
        <v>1281</v>
      </c>
      <c r="BK37" s="57" t="s">
        <v>1281</v>
      </c>
      <c r="BL37" s="57" t="s">
        <v>1281</v>
      </c>
      <c r="BM37" s="57" t="s">
        <v>1281</v>
      </c>
      <c r="BN37" s="57" t="s">
        <v>1281</v>
      </c>
      <c r="BO37" s="57" t="s">
        <v>1281</v>
      </c>
      <c r="BP37" s="57" t="s">
        <v>1281</v>
      </c>
      <c r="BQ37" s="57" t="s">
        <v>1281</v>
      </c>
      <c r="BR37" s="57" t="s">
        <v>1281</v>
      </c>
      <c r="BS37" s="57" t="s">
        <v>1281</v>
      </c>
      <c r="BT37" s="57" t="s">
        <v>1281</v>
      </c>
      <c r="BU37" s="57" t="s">
        <v>1281</v>
      </c>
      <c r="BV37" s="70">
        <f t="shared" si="3"/>
        <v>6</v>
      </c>
      <c r="BW37" s="71">
        <f t="shared" si="4"/>
        <v>35</v>
      </c>
      <c r="BX37" s="72">
        <f t="shared" si="5"/>
        <v>39</v>
      </c>
      <c r="BY37" s="71">
        <f t="shared" si="6"/>
        <v>70</v>
      </c>
      <c r="BZ37" s="72">
        <f t="shared" si="7"/>
        <v>73</v>
      </c>
      <c r="CA37" s="71">
        <f t="shared" si="8"/>
        <v>109</v>
      </c>
      <c r="CB37" s="72">
        <f t="shared" si="9"/>
        <v>117</v>
      </c>
      <c r="CC37" s="71">
        <f t="shared" si="10"/>
        <v>166</v>
      </c>
      <c r="CD37" s="72">
        <f t="shared" si="11"/>
        <v>173</v>
      </c>
      <c r="CE37" s="71">
        <f t="shared" si="12"/>
        <v>219</v>
      </c>
      <c r="CF37" s="72">
        <f t="shared" si="13"/>
        <v>266</v>
      </c>
      <c r="CG37" s="71">
        <f t="shared" si="14"/>
        <v>292</v>
      </c>
      <c r="CH37" s="70">
        <f t="shared" si="15"/>
        <v>34</v>
      </c>
      <c r="CI37" s="71">
        <f t="shared" si="16"/>
        <v>38</v>
      </c>
      <c r="CJ37" s="72">
        <f t="shared" si="17"/>
        <v>69</v>
      </c>
      <c r="CK37" s="72">
        <f t="shared" si="18"/>
        <v>72</v>
      </c>
      <c r="CL37" s="72">
        <f t="shared" si="19"/>
        <v>108</v>
      </c>
      <c r="CM37" s="72">
        <f t="shared" si="20"/>
        <v>116</v>
      </c>
      <c r="CN37" s="72">
        <f t="shared" si="21"/>
        <v>142</v>
      </c>
      <c r="CO37" s="72">
        <f t="shared" si="22"/>
        <v>168</v>
      </c>
      <c r="CP37" s="72">
        <f t="shared" si="23"/>
        <v>213</v>
      </c>
      <c r="CQ37" s="72">
        <f t="shared" si="24"/>
        <v>259</v>
      </c>
      <c r="CR37" s="72">
        <f t="shared" si="25"/>
        <v>291</v>
      </c>
      <c r="CS37" s="72">
        <f t="shared" si="26"/>
        <v>311</v>
      </c>
      <c r="CT37" s="23">
        <f t="shared" si="27"/>
        <v>1</v>
      </c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</row>
    <row r="38" spans="1:1030" x14ac:dyDescent="0.2">
      <c r="A38" s="3" t="str">
        <f t="shared" si="0"/>
        <v>aa2ar_human_5G53</v>
      </c>
      <c r="B38" s="3" t="s">
        <v>139</v>
      </c>
      <c r="C38" s="3" t="s">
        <v>1286</v>
      </c>
      <c r="D38" s="3" t="str">
        <f>IFERROR(MID(VLOOKUP($B38,Seqs!$A:$B,2,0),E38,1),"")</f>
        <v>S</v>
      </c>
      <c r="E38" s="3">
        <v>6</v>
      </c>
      <c r="F38" s="3" t="str">
        <f>IFERROR(MID(VLOOKUP($B38,Seqs!$A:$B,2,0),G38,1),"")</f>
        <v>N</v>
      </c>
      <c r="G38" s="3">
        <v>34</v>
      </c>
      <c r="H38" s="3" t="str">
        <f>IFERROR(MID(VLOOKUP($B38,Seqs!$A:$B,2,0),I38,1),"")</f>
        <v>S</v>
      </c>
      <c r="I38" s="23">
        <v>35</v>
      </c>
      <c r="J38" s="3" t="str">
        <f>IFERROR(MID(VLOOKUP($B38,Seqs!$A:$B,2,0),K38,1),"")</f>
        <v>Q</v>
      </c>
      <c r="K38" s="23">
        <v>38</v>
      </c>
      <c r="L38" s="3" t="str">
        <f>IFERROR(MID(VLOOKUP($B38,Seqs!$A:$B,2,0),M38,1),"")</f>
        <v>N</v>
      </c>
      <c r="M38" s="3">
        <v>39</v>
      </c>
      <c r="N38" s="3" t="str">
        <f>IFERROR(MID(VLOOKUP($B38,Seqs!$A:$B,2,0),O38,1),"")</f>
        <v>G</v>
      </c>
      <c r="O38" s="3">
        <v>69</v>
      </c>
      <c r="P38" s="3" t="str">
        <f>IFERROR(MID(VLOOKUP($B38,Seqs!$A:$B,2,0),Q38,1),"")</f>
        <v>F</v>
      </c>
      <c r="Q38" s="3">
        <v>70</v>
      </c>
      <c r="R38" s="3" t="str">
        <f>IFERROR(MID(VLOOKUP($B38,Seqs!$A:$B,2,0),S38,1),"")</f>
        <v>A</v>
      </c>
      <c r="S38" s="3">
        <v>72</v>
      </c>
      <c r="T38" s="3" t="str">
        <f>IFERROR(MID(VLOOKUP($B38,Seqs!$A:$B,2,0),U38,1),"")</f>
        <v>A</v>
      </c>
      <c r="U38" s="3">
        <v>73</v>
      </c>
      <c r="V38" s="3" t="str">
        <f>IFERROR(MID(VLOOKUP($B38,Seqs!$A:$B,2,0),W38,1),"")</f>
        <v>I</v>
      </c>
      <c r="W38" s="3">
        <v>108</v>
      </c>
      <c r="X38" s="3" t="str">
        <f>IFERROR(MID(VLOOKUP($B38,Seqs!$A:$B,2,0),Y38,1),"")</f>
        <v>P</v>
      </c>
      <c r="Y38" s="3">
        <v>109</v>
      </c>
      <c r="Z38" s="3" t="str">
        <f>IFERROR(MID(VLOOKUP($B38,Seqs!$A:$B,2,0),AA38,1),"")</f>
        <v>V</v>
      </c>
      <c r="AA38" s="3">
        <v>116</v>
      </c>
      <c r="AB38" s="3" t="str">
        <f>IFERROR(MID(VLOOKUP($B38,Seqs!$A:$B,2,0),AC38,1),"")</f>
        <v>T</v>
      </c>
      <c r="AC38" s="9">
        <v>117</v>
      </c>
      <c r="AD38" s="3" t="str">
        <f>IFERROR(MID(VLOOKUP($B38,Seqs!$A:$B,2,0),AE38,1),"")</f>
        <v>G</v>
      </c>
      <c r="AE38" s="3">
        <v>142</v>
      </c>
      <c r="AF38" s="3" t="str">
        <f>IFERROR(MID(VLOOKUP($B38,Seqs!$A:$B,2,0),AG38,1),"")</f>
        <v>C</v>
      </c>
      <c r="AG38" s="3">
        <v>166</v>
      </c>
      <c r="AH38" s="3" t="str">
        <f>IFERROR(MID(VLOOKUP($B38,Seqs!$A:$B,2,0),AI38,1),"")</f>
        <v>F</v>
      </c>
      <c r="AI38" s="3">
        <v>168</v>
      </c>
      <c r="AJ38" s="3" t="str">
        <f>IFERROR(MID(VLOOKUP($B38,Seqs!$A:$B,2,0),AK38,1),"")</f>
        <v>P</v>
      </c>
      <c r="AK38" s="3">
        <v>173</v>
      </c>
      <c r="AL38" s="3" t="str">
        <f>IFERROR(MID(VLOOKUP($B38,Seqs!$A:$B,2,0),AM38,1),"")</f>
        <v>Q</v>
      </c>
      <c r="AM38" s="3">
        <v>207</v>
      </c>
      <c r="AN38" s="3" t="str">
        <f>IFERROR(MID(VLOOKUP($B38,Seqs!$A:$B,2,0),AO38,1),"")</f>
        <v>T</v>
      </c>
      <c r="AO38" s="3">
        <v>224</v>
      </c>
      <c r="AP38" s="3" t="str">
        <f>IFERROR(MID(VLOOKUP($B38,Seqs!$A:$B,2,0),AQ38,1),"")</f>
        <v>C</v>
      </c>
      <c r="AQ38" s="3">
        <v>259</v>
      </c>
      <c r="AR38" s="3" t="str">
        <f>IFERROR(MID(VLOOKUP($B38,Seqs!$A:$B,2,0),AS38,1),"")</f>
        <v>P</v>
      </c>
      <c r="AS38" s="3">
        <v>266</v>
      </c>
      <c r="AT38" s="3" t="str">
        <f>IFERROR(MID(VLOOKUP($B38,Seqs!$A:$B,2,0),AU38,1),"")</f>
        <v>R</v>
      </c>
      <c r="AU38" s="3">
        <v>291</v>
      </c>
      <c r="AV38" s="3" t="str">
        <f>IFERROR(MID(VLOOKUP($B38,Seqs!$A:$B,2,0),AW38,1),"")</f>
        <v>I</v>
      </c>
      <c r="AW38" s="3">
        <v>292</v>
      </c>
      <c r="AX38" s="3" t="str">
        <f>IFERROR(MID(VLOOKUP($B38,Seqs!$A:$B,2,0),AY38,1),"")</f>
        <v>S</v>
      </c>
      <c r="AY38" s="3">
        <v>305</v>
      </c>
      <c r="AZ38" s="77" t="str">
        <f>VLOOKUP(B38,Classification!A:D,2,0)</f>
        <v>A</v>
      </c>
      <c r="BA38" s="94" t="str">
        <f>VLOOKUP(B38,Classification!A:D,4,0)</f>
        <v>Adenosine</v>
      </c>
      <c r="BB38" s="27" t="b">
        <f t="shared" si="1"/>
        <v>1</v>
      </c>
      <c r="BC38" s="23">
        <f t="shared" ref="BC38:BC107" si="225">_xlfn.AGGREGATE(9,6,CH38:CS38)-_xlfn.AGGREGATE(9,6,BV38:CG38)+12</f>
        <v>251</v>
      </c>
      <c r="BD38" s="4" t="s">
        <v>1369</v>
      </c>
      <c r="BE38" s="3" t="s">
        <v>1285</v>
      </c>
      <c r="BF38" s="118">
        <v>3.4</v>
      </c>
      <c r="BG38" s="49" t="s">
        <v>1275</v>
      </c>
      <c r="BH38" s="49" t="s">
        <v>1275</v>
      </c>
      <c r="BI38" s="1"/>
      <c r="BJ38" s="70" t="s">
        <v>1281</v>
      </c>
      <c r="BK38" s="57" t="s">
        <v>1281</v>
      </c>
      <c r="BL38" s="57" t="s">
        <v>1281</v>
      </c>
      <c r="BM38" s="57" t="s">
        <v>1281</v>
      </c>
      <c r="BN38" s="57" t="s">
        <v>1281</v>
      </c>
      <c r="BO38" s="57" t="s">
        <v>1281</v>
      </c>
      <c r="BP38" s="57" t="s">
        <v>1281</v>
      </c>
      <c r="BQ38" s="57" t="s">
        <v>1281</v>
      </c>
      <c r="BR38" s="57" t="s">
        <v>1281</v>
      </c>
      <c r="BS38" s="57" t="s">
        <v>1281</v>
      </c>
      <c r="BT38" s="57" t="s">
        <v>1281</v>
      </c>
      <c r="BU38" s="57" t="s">
        <v>1281</v>
      </c>
      <c r="BV38" s="70">
        <f t="shared" ref="BV38:BV107" si="226">E38</f>
        <v>6</v>
      </c>
      <c r="BW38" s="71">
        <f t="shared" ref="BW38:BW107" si="227">I38</f>
        <v>35</v>
      </c>
      <c r="BX38" s="72">
        <f t="shared" ref="BX38:BX107" si="228">M38</f>
        <v>39</v>
      </c>
      <c r="BY38" s="71">
        <f t="shared" ref="BY38:BY107" si="229">Q38</f>
        <v>70</v>
      </c>
      <c r="BZ38" s="72">
        <f t="shared" ref="BZ38:BZ107" si="230">U38</f>
        <v>73</v>
      </c>
      <c r="CA38" s="71">
        <f t="shared" ref="CA38:CA107" si="231">Y38</f>
        <v>109</v>
      </c>
      <c r="CB38" s="72">
        <f t="shared" ref="CB38:CB107" si="232">AC38</f>
        <v>117</v>
      </c>
      <c r="CC38" s="71">
        <f t="shared" ref="CC38:CC107" si="233">AG38</f>
        <v>166</v>
      </c>
      <c r="CD38" s="72">
        <f t="shared" ref="CD38:CD107" si="234">AK38</f>
        <v>173</v>
      </c>
      <c r="CE38" s="71">
        <f t="shared" ref="CE38:CE107" si="235">AO38</f>
        <v>224</v>
      </c>
      <c r="CF38" s="72">
        <f t="shared" ref="CF38:CF107" si="236">AS38</f>
        <v>266</v>
      </c>
      <c r="CG38" s="71">
        <f t="shared" ref="CG38:CG107" si="237">AW38</f>
        <v>292</v>
      </c>
      <c r="CH38" s="70">
        <f t="shared" ref="CH38:CH107" si="238">G38</f>
        <v>34</v>
      </c>
      <c r="CI38" s="71">
        <f t="shared" ref="CI38:CI107" si="239">K38</f>
        <v>38</v>
      </c>
      <c r="CJ38" s="72">
        <f t="shared" ref="CJ38:CJ107" si="240">O38</f>
        <v>69</v>
      </c>
      <c r="CK38" s="72">
        <f t="shared" ref="CK38:CK107" si="241">S38</f>
        <v>72</v>
      </c>
      <c r="CL38" s="72">
        <f t="shared" ref="CL38:CL107" si="242">W38</f>
        <v>108</v>
      </c>
      <c r="CM38" s="72">
        <f t="shared" ref="CM38:CM107" si="243">AA38</f>
        <v>116</v>
      </c>
      <c r="CN38" s="72">
        <f t="shared" ref="CN38:CN107" si="244">AE38</f>
        <v>142</v>
      </c>
      <c r="CO38" s="72">
        <f t="shared" ref="CO38:CO107" si="245">AI38</f>
        <v>168</v>
      </c>
      <c r="CP38" s="72">
        <f t="shared" ref="CP38:CP107" si="246">AM38</f>
        <v>207</v>
      </c>
      <c r="CQ38" s="72">
        <f t="shared" ref="CQ38:CQ107" si="247">AQ38</f>
        <v>259</v>
      </c>
      <c r="CR38" s="72">
        <f t="shared" ref="CR38:CR107" si="248">AU38</f>
        <v>291</v>
      </c>
      <c r="CS38" s="72">
        <f t="shared" ref="CS38:CS107" si="249">AY38</f>
        <v>305</v>
      </c>
      <c r="CT38" s="23">
        <f t="shared" ref="CT38:CT107" si="250">M38-K38</f>
        <v>1</v>
      </c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</row>
    <row r="39" spans="1:1030" x14ac:dyDescent="0.2">
      <c r="A39" s="3" t="str">
        <f t="shared" si="0"/>
        <v>aa2ar_human_5IU4</v>
      </c>
      <c r="B39" s="3" t="s">
        <v>139</v>
      </c>
      <c r="C39" s="3" t="s">
        <v>1339</v>
      </c>
      <c r="D39" s="3" t="str">
        <f>IFERROR(MID(VLOOKUP($B39,Seqs!$A:$B,2,0),E39,1),"")</f>
        <v>P</v>
      </c>
      <c r="E39" s="3">
        <v>2</v>
      </c>
      <c r="F39" s="3" t="str">
        <f>IFERROR(MID(VLOOKUP($B39,Seqs!$A:$B,2,0),G39,1),"")</f>
        <v>N</v>
      </c>
      <c r="G39" s="3">
        <v>34</v>
      </c>
      <c r="H39" s="3" t="str">
        <f>IFERROR(MID(VLOOKUP($B39,Seqs!$A:$B,2,0),I39,1),"")</f>
        <v>S</v>
      </c>
      <c r="I39" s="23">
        <v>35</v>
      </c>
      <c r="J39" s="3" t="str">
        <f>IFERROR(MID(VLOOKUP($B39,Seqs!$A:$B,2,0),K39,1),"")</f>
        <v>Q</v>
      </c>
      <c r="K39" s="23">
        <v>38</v>
      </c>
      <c r="L39" s="3" t="str">
        <f>IFERROR(MID(VLOOKUP($B39,Seqs!$A:$B,2,0),M39,1),"")</f>
        <v>N</v>
      </c>
      <c r="M39" s="3">
        <v>39</v>
      </c>
      <c r="N39" s="3" t="str">
        <f>IFERROR(MID(VLOOKUP($B39,Seqs!$A:$B,2,0),O39,1),"")</f>
        <v>G</v>
      </c>
      <c r="O39" s="3">
        <v>69</v>
      </c>
      <c r="P39" s="3" t="str">
        <f>IFERROR(MID(VLOOKUP($B39,Seqs!$A:$B,2,0),Q39,1),"")</f>
        <v>F</v>
      </c>
      <c r="Q39" s="3">
        <v>70</v>
      </c>
      <c r="R39" s="3" t="str">
        <f>IFERROR(MID(VLOOKUP($B39,Seqs!$A:$B,2,0),S39,1),"")</f>
        <v>A</v>
      </c>
      <c r="S39" s="3">
        <v>72</v>
      </c>
      <c r="T39" s="3" t="str">
        <f>IFERROR(MID(VLOOKUP($B39,Seqs!$A:$B,2,0),U39,1),"")</f>
        <v>A</v>
      </c>
      <c r="U39" s="3">
        <v>73</v>
      </c>
      <c r="V39" s="3" t="str">
        <f>IFERROR(MID(VLOOKUP($B39,Seqs!$A:$B,2,0),W39,1),"")</f>
        <v>I</v>
      </c>
      <c r="W39" s="3">
        <v>108</v>
      </c>
      <c r="X39" s="3" t="str">
        <f>IFERROR(MID(VLOOKUP($B39,Seqs!$A:$B,2,0),Y39,1),"")</f>
        <v>P</v>
      </c>
      <c r="Y39" s="3">
        <v>109</v>
      </c>
      <c r="Z39" s="3" t="str">
        <f>IFERROR(MID(VLOOKUP($B39,Seqs!$A:$B,2,0),AA39,1),"")</f>
        <v>V</v>
      </c>
      <c r="AA39" s="3">
        <v>116</v>
      </c>
      <c r="AB39" s="3" t="str">
        <f>IFERROR(MID(VLOOKUP($B39,Seqs!$A:$B,2,0),AC39,1),"")</f>
        <v>T</v>
      </c>
      <c r="AC39" s="9">
        <v>117</v>
      </c>
      <c r="AD39" s="3" t="str">
        <f>IFERROR(MID(VLOOKUP($B39,Seqs!$A:$B,2,0),AE39,1),"")</f>
        <v>G</v>
      </c>
      <c r="AE39" s="3">
        <v>142</v>
      </c>
      <c r="AF39" s="3" t="str">
        <f>IFERROR(MID(VLOOKUP($B39,Seqs!$A:$B,2,0),AG39,1),"")</f>
        <v>C</v>
      </c>
      <c r="AG39" s="3">
        <v>166</v>
      </c>
      <c r="AH39" s="3" t="str">
        <f>IFERROR(MID(VLOOKUP($B39,Seqs!$A:$B,2,0),AI39,1),"")</f>
        <v>F</v>
      </c>
      <c r="AI39" s="3">
        <v>168</v>
      </c>
      <c r="AJ39" s="3" t="str">
        <f>IFERROR(MID(VLOOKUP($B39,Seqs!$A:$B,2,0),AK39,1),"")</f>
        <v>P</v>
      </c>
      <c r="AK39" s="3">
        <v>173</v>
      </c>
      <c r="AL39" s="3" t="str">
        <f>IFERROR(MID(VLOOKUP($B39,Seqs!$A:$B,2,0),AM39,1),"")</f>
        <v>L</v>
      </c>
      <c r="AM39" s="3">
        <v>208</v>
      </c>
      <c r="AN39" s="3" t="str">
        <f>IFERROR(MID(VLOOKUP($B39,Seqs!$A:$B,2,0),AO39,1),"")</f>
        <v>E</v>
      </c>
      <c r="AO39" s="3">
        <v>219</v>
      </c>
      <c r="AP39" s="3" t="str">
        <f>IFERROR(MID(VLOOKUP($B39,Seqs!$A:$B,2,0),AQ39,1),"")</f>
        <v>C</v>
      </c>
      <c r="AQ39" s="3">
        <v>259</v>
      </c>
      <c r="AR39" s="3" t="str">
        <f>IFERROR(MID(VLOOKUP($B39,Seqs!$A:$B,2,0),AS39,1),"")</f>
        <v>P</v>
      </c>
      <c r="AS39" s="3">
        <v>266</v>
      </c>
      <c r="AT39" s="3" t="str">
        <f>IFERROR(MID(VLOOKUP($B39,Seqs!$A:$B,2,0),AU39,1),"")</f>
        <v>R</v>
      </c>
      <c r="AU39" s="3">
        <v>291</v>
      </c>
      <c r="AV39" s="3" t="str">
        <f>IFERROR(MID(VLOOKUP($B39,Seqs!$A:$B,2,0),AW39,1),"")</f>
        <v>I</v>
      </c>
      <c r="AW39" s="3">
        <v>292</v>
      </c>
      <c r="AX39" s="3" t="str">
        <f>IFERROR(MID(VLOOKUP($B39,Seqs!$A:$B,2,0),AY39,1),"")</f>
        <v>S</v>
      </c>
      <c r="AY39" s="3">
        <v>305</v>
      </c>
      <c r="AZ39" s="77" t="str">
        <f>VLOOKUP(B39,Classification!A:D,2,0)</f>
        <v>A</v>
      </c>
      <c r="BA39" s="94" t="str">
        <f>VLOOKUP(B39,Classification!A:D,4,0)</f>
        <v>Adenosine</v>
      </c>
      <c r="BB39" s="27" t="b">
        <f t="shared" si="1"/>
        <v>1</v>
      </c>
      <c r="BC39" s="23">
        <f t="shared" si="225"/>
        <v>261</v>
      </c>
      <c r="BD39" s="4" t="s">
        <v>23</v>
      </c>
      <c r="BE39" s="3" t="s">
        <v>1368</v>
      </c>
      <c r="BF39" s="118">
        <v>1.72</v>
      </c>
      <c r="BG39" s="49" t="s">
        <v>1371</v>
      </c>
      <c r="BH39" s="49" t="s">
        <v>1371</v>
      </c>
      <c r="BI39" s="1"/>
      <c r="BJ39" s="70" t="s">
        <v>1281</v>
      </c>
      <c r="BK39" s="57" t="s">
        <v>1281</v>
      </c>
      <c r="BL39" s="57" t="s">
        <v>1281</v>
      </c>
      <c r="BM39" s="57" t="s">
        <v>1281</v>
      </c>
      <c r="BN39" s="57" t="s">
        <v>1281</v>
      </c>
      <c r="BO39" s="57" t="s">
        <v>1281</v>
      </c>
      <c r="BP39" s="57" t="s">
        <v>1281</v>
      </c>
      <c r="BQ39" s="57" t="s">
        <v>1281</v>
      </c>
      <c r="BR39" s="57" t="s">
        <v>1281</v>
      </c>
      <c r="BS39" s="57" t="s">
        <v>1281</v>
      </c>
      <c r="BT39" s="57" t="s">
        <v>1281</v>
      </c>
      <c r="BU39" s="57" t="s">
        <v>1281</v>
      </c>
      <c r="BV39" s="70">
        <f t="shared" si="226"/>
        <v>2</v>
      </c>
      <c r="BW39" s="71">
        <f t="shared" si="227"/>
        <v>35</v>
      </c>
      <c r="BX39" s="72">
        <f t="shared" si="228"/>
        <v>39</v>
      </c>
      <c r="BY39" s="71">
        <f t="shared" si="229"/>
        <v>70</v>
      </c>
      <c r="BZ39" s="72">
        <f t="shared" si="230"/>
        <v>73</v>
      </c>
      <c r="CA39" s="71">
        <f t="shared" si="231"/>
        <v>109</v>
      </c>
      <c r="CB39" s="72">
        <f t="shared" si="232"/>
        <v>117</v>
      </c>
      <c r="CC39" s="71">
        <f t="shared" si="233"/>
        <v>166</v>
      </c>
      <c r="CD39" s="72">
        <f t="shared" si="234"/>
        <v>173</v>
      </c>
      <c r="CE39" s="71">
        <f t="shared" si="235"/>
        <v>219</v>
      </c>
      <c r="CF39" s="72">
        <f t="shared" si="236"/>
        <v>266</v>
      </c>
      <c r="CG39" s="71">
        <f t="shared" si="237"/>
        <v>292</v>
      </c>
      <c r="CH39" s="70">
        <f t="shared" si="238"/>
        <v>34</v>
      </c>
      <c r="CI39" s="71">
        <f t="shared" si="239"/>
        <v>38</v>
      </c>
      <c r="CJ39" s="72">
        <f t="shared" si="240"/>
        <v>69</v>
      </c>
      <c r="CK39" s="72">
        <f t="shared" si="241"/>
        <v>72</v>
      </c>
      <c r="CL39" s="72">
        <f t="shared" si="242"/>
        <v>108</v>
      </c>
      <c r="CM39" s="72">
        <f t="shared" si="243"/>
        <v>116</v>
      </c>
      <c r="CN39" s="72">
        <f t="shared" si="244"/>
        <v>142</v>
      </c>
      <c r="CO39" s="72">
        <f t="shared" si="245"/>
        <v>168</v>
      </c>
      <c r="CP39" s="72">
        <f t="shared" si="246"/>
        <v>208</v>
      </c>
      <c r="CQ39" s="72">
        <f t="shared" si="247"/>
        <v>259</v>
      </c>
      <c r="CR39" s="72">
        <f t="shared" si="248"/>
        <v>291</v>
      </c>
      <c r="CS39" s="72">
        <f t="shared" si="249"/>
        <v>305</v>
      </c>
      <c r="CT39" s="23">
        <f t="shared" si="250"/>
        <v>1</v>
      </c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</row>
    <row r="40" spans="1:1030" x14ac:dyDescent="0.2">
      <c r="A40" s="3" t="str">
        <f t="shared" si="0"/>
        <v>aa2ar_human_5IU7</v>
      </c>
      <c r="B40" s="3" t="s">
        <v>139</v>
      </c>
      <c r="C40" s="3" t="s">
        <v>1340</v>
      </c>
      <c r="D40" s="3" t="str">
        <f>IFERROR(MID(VLOOKUP($B40,Seqs!$A:$B,2,0),E40,1),"")</f>
        <v>P</v>
      </c>
      <c r="E40" s="3">
        <v>2</v>
      </c>
      <c r="F40" s="3" t="str">
        <f>IFERROR(MID(VLOOKUP($B40,Seqs!$A:$B,2,0),G40,1),"")</f>
        <v>N</v>
      </c>
      <c r="G40" s="3">
        <v>34</v>
      </c>
      <c r="H40" s="3" t="str">
        <f>IFERROR(MID(VLOOKUP($B40,Seqs!$A:$B,2,0),I40,1),"")</f>
        <v>S</v>
      </c>
      <c r="I40" s="23">
        <v>35</v>
      </c>
      <c r="J40" s="3" t="str">
        <f>IFERROR(MID(VLOOKUP($B40,Seqs!$A:$B,2,0),K40,1),"")</f>
        <v>Q</v>
      </c>
      <c r="K40" s="23">
        <v>38</v>
      </c>
      <c r="L40" s="3" t="str">
        <f>IFERROR(MID(VLOOKUP($B40,Seqs!$A:$B,2,0),M40,1),"")</f>
        <v>N</v>
      </c>
      <c r="M40" s="3">
        <v>39</v>
      </c>
      <c r="N40" s="3" t="str">
        <f>IFERROR(MID(VLOOKUP($B40,Seqs!$A:$B,2,0),O40,1),"")</f>
        <v>G</v>
      </c>
      <c r="O40" s="3">
        <v>69</v>
      </c>
      <c r="P40" s="3" t="str">
        <f>IFERROR(MID(VLOOKUP($B40,Seqs!$A:$B,2,0),Q40,1),"")</f>
        <v>F</v>
      </c>
      <c r="Q40" s="3">
        <v>70</v>
      </c>
      <c r="R40" s="3" t="str">
        <f>IFERROR(MID(VLOOKUP($B40,Seqs!$A:$B,2,0),S40,1),"")</f>
        <v>A</v>
      </c>
      <c r="S40" s="3">
        <v>72</v>
      </c>
      <c r="T40" s="3" t="str">
        <f>IFERROR(MID(VLOOKUP($B40,Seqs!$A:$B,2,0),U40,1),"")</f>
        <v>A</v>
      </c>
      <c r="U40" s="3">
        <v>73</v>
      </c>
      <c r="V40" s="3" t="str">
        <f>IFERROR(MID(VLOOKUP($B40,Seqs!$A:$B,2,0),W40,1),"")</f>
        <v>I</v>
      </c>
      <c r="W40" s="3">
        <v>108</v>
      </c>
      <c r="X40" s="3" t="str">
        <f>IFERROR(MID(VLOOKUP($B40,Seqs!$A:$B,2,0),Y40,1),"")</f>
        <v>P</v>
      </c>
      <c r="Y40" s="3">
        <v>109</v>
      </c>
      <c r="Z40" s="3" t="str">
        <f>IFERROR(MID(VLOOKUP($B40,Seqs!$A:$B,2,0),AA40,1),"")</f>
        <v>V</v>
      </c>
      <c r="AA40" s="3">
        <v>116</v>
      </c>
      <c r="AB40" s="3" t="str">
        <f>IFERROR(MID(VLOOKUP($B40,Seqs!$A:$B,2,0),AC40,1),"")</f>
        <v>T</v>
      </c>
      <c r="AC40" s="9">
        <v>117</v>
      </c>
      <c r="AD40" s="3" t="str">
        <f>IFERROR(MID(VLOOKUP($B40,Seqs!$A:$B,2,0),AE40,1),"")</f>
        <v>G</v>
      </c>
      <c r="AE40" s="3">
        <v>142</v>
      </c>
      <c r="AF40" s="3" t="str">
        <f>IFERROR(MID(VLOOKUP($B40,Seqs!$A:$B,2,0),AG40,1),"")</f>
        <v>C</v>
      </c>
      <c r="AG40" s="3">
        <v>166</v>
      </c>
      <c r="AH40" s="3" t="str">
        <f>IFERROR(MID(VLOOKUP($B40,Seqs!$A:$B,2,0),AI40,1),"")</f>
        <v>F</v>
      </c>
      <c r="AI40" s="3">
        <v>168</v>
      </c>
      <c r="AJ40" s="3" t="str">
        <f>IFERROR(MID(VLOOKUP($B40,Seqs!$A:$B,2,0),AK40,1),"")</f>
        <v>P</v>
      </c>
      <c r="AK40" s="3">
        <v>173</v>
      </c>
      <c r="AL40" s="3" t="str">
        <f>IFERROR(MID(VLOOKUP($B40,Seqs!$A:$B,2,0),AM40,1),"")</f>
        <v>L</v>
      </c>
      <c r="AM40" s="3">
        <v>208</v>
      </c>
      <c r="AN40" s="3" t="str">
        <f>IFERROR(MID(VLOOKUP($B40,Seqs!$A:$B,2,0),AO40,1),"")</f>
        <v>E</v>
      </c>
      <c r="AO40" s="3">
        <v>219</v>
      </c>
      <c r="AP40" s="3" t="str">
        <f>IFERROR(MID(VLOOKUP($B40,Seqs!$A:$B,2,0),AQ40,1),"")</f>
        <v>C</v>
      </c>
      <c r="AQ40" s="3">
        <v>259</v>
      </c>
      <c r="AR40" s="3" t="str">
        <f>IFERROR(MID(VLOOKUP($B40,Seqs!$A:$B,2,0),AS40,1),"")</f>
        <v>P</v>
      </c>
      <c r="AS40" s="3">
        <v>266</v>
      </c>
      <c r="AT40" s="3" t="str">
        <f>IFERROR(MID(VLOOKUP($B40,Seqs!$A:$B,2,0),AU40,1),"")</f>
        <v>R</v>
      </c>
      <c r="AU40" s="3">
        <v>291</v>
      </c>
      <c r="AV40" s="3" t="str">
        <f>IFERROR(MID(VLOOKUP($B40,Seqs!$A:$B,2,0),AW40,1),"")</f>
        <v>I</v>
      </c>
      <c r="AW40" s="3">
        <v>292</v>
      </c>
      <c r="AX40" s="3" t="str">
        <f>IFERROR(MID(VLOOKUP($B40,Seqs!$A:$B,2,0),AY40,1),"")</f>
        <v>V</v>
      </c>
      <c r="AY40" s="3">
        <v>307</v>
      </c>
      <c r="AZ40" s="77" t="str">
        <f>VLOOKUP(B40,Classification!A:D,2,0)</f>
        <v>A</v>
      </c>
      <c r="BA40" s="94" t="str">
        <f>VLOOKUP(B40,Classification!A:D,4,0)</f>
        <v>Adenosine</v>
      </c>
      <c r="BB40" s="27" t="b">
        <f t="shared" si="1"/>
        <v>1</v>
      </c>
      <c r="BC40" s="23">
        <f t="shared" si="225"/>
        <v>263</v>
      </c>
      <c r="BD40" s="4" t="s">
        <v>23</v>
      </c>
      <c r="BE40" s="3" t="s">
        <v>1368</v>
      </c>
      <c r="BF40" s="118">
        <v>1.9</v>
      </c>
      <c r="BG40" s="49" t="s">
        <v>1371</v>
      </c>
      <c r="BH40" s="49" t="s">
        <v>1371</v>
      </c>
      <c r="BI40" s="1"/>
      <c r="BJ40" s="70" t="s">
        <v>1281</v>
      </c>
      <c r="BK40" s="57" t="s">
        <v>1281</v>
      </c>
      <c r="BL40" s="57" t="s">
        <v>1281</v>
      </c>
      <c r="BM40" s="57" t="s">
        <v>1281</v>
      </c>
      <c r="BN40" s="57" t="s">
        <v>1281</v>
      </c>
      <c r="BO40" s="57" t="s">
        <v>1281</v>
      </c>
      <c r="BP40" s="57" t="s">
        <v>1281</v>
      </c>
      <c r="BQ40" s="57" t="s">
        <v>1281</v>
      </c>
      <c r="BR40" s="57" t="s">
        <v>1281</v>
      </c>
      <c r="BS40" s="57" t="s">
        <v>1281</v>
      </c>
      <c r="BT40" s="57" t="s">
        <v>1281</v>
      </c>
      <c r="BU40" s="57" t="s">
        <v>1281</v>
      </c>
      <c r="BV40" s="70">
        <f t="shared" si="226"/>
        <v>2</v>
      </c>
      <c r="BW40" s="71">
        <f t="shared" si="227"/>
        <v>35</v>
      </c>
      <c r="BX40" s="72">
        <f t="shared" si="228"/>
        <v>39</v>
      </c>
      <c r="BY40" s="71">
        <f t="shared" si="229"/>
        <v>70</v>
      </c>
      <c r="BZ40" s="72">
        <f t="shared" si="230"/>
        <v>73</v>
      </c>
      <c r="CA40" s="71">
        <f t="shared" si="231"/>
        <v>109</v>
      </c>
      <c r="CB40" s="72">
        <f t="shared" si="232"/>
        <v>117</v>
      </c>
      <c r="CC40" s="71">
        <f t="shared" si="233"/>
        <v>166</v>
      </c>
      <c r="CD40" s="72">
        <f t="shared" si="234"/>
        <v>173</v>
      </c>
      <c r="CE40" s="71">
        <f t="shared" si="235"/>
        <v>219</v>
      </c>
      <c r="CF40" s="72">
        <f t="shared" si="236"/>
        <v>266</v>
      </c>
      <c r="CG40" s="71">
        <f t="shared" si="237"/>
        <v>292</v>
      </c>
      <c r="CH40" s="70">
        <f t="shared" si="238"/>
        <v>34</v>
      </c>
      <c r="CI40" s="71">
        <f t="shared" si="239"/>
        <v>38</v>
      </c>
      <c r="CJ40" s="72">
        <f t="shared" si="240"/>
        <v>69</v>
      </c>
      <c r="CK40" s="72">
        <f t="shared" si="241"/>
        <v>72</v>
      </c>
      <c r="CL40" s="72">
        <f t="shared" si="242"/>
        <v>108</v>
      </c>
      <c r="CM40" s="72">
        <f t="shared" si="243"/>
        <v>116</v>
      </c>
      <c r="CN40" s="72">
        <f t="shared" si="244"/>
        <v>142</v>
      </c>
      <c r="CO40" s="72">
        <f t="shared" si="245"/>
        <v>168</v>
      </c>
      <c r="CP40" s="72">
        <f t="shared" si="246"/>
        <v>208</v>
      </c>
      <c r="CQ40" s="72">
        <f t="shared" si="247"/>
        <v>259</v>
      </c>
      <c r="CR40" s="72">
        <f t="shared" si="248"/>
        <v>291</v>
      </c>
      <c r="CS40" s="72">
        <f t="shared" si="249"/>
        <v>307</v>
      </c>
      <c r="CT40" s="23">
        <f t="shared" si="250"/>
        <v>1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</row>
    <row r="41" spans="1:1030" x14ac:dyDescent="0.2">
      <c r="A41" s="3" t="str">
        <f t="shared" si="0"/>
        <v>aa2ar_human_5IU8</v>
      </c>
      <c r="B41" s="3" t="s">
        <v>139</v>
      </c>
      <c r="C41" s="3" t="s">
        <v>1341</v>
      </c>
      <c r="D41" s="3" t="str">
        <f>IFERROR(MID(VLOOKUP($B41,Seqs!$A:$B,2,0),E41,1),"")</f>
        <v>P</v>
      </c>
      <c r="E41" s="3">
        <v>2</v>
      </c>
      <c r="F41" s="3" t="str">
        <f>IFERROR(MID(VLOOKUP($B41,Seqs!$A:$B,2,0),G41,1),"")</f>
        <v>N</v>
      </c>
      <c r="G41" s="3">
        <v>34</v>
      </c>
      <c r="H41" s="3" t="str">
        <f>IFERROR(MID(VLOOKUP($B41,Seqs!$A:$B,2,0),I41,1),"")</f>
        <v>S</v>
      </c>
      <c r="I41" s="23">
        <v>35</v>
      </c>
      <c r="J41" s="3" t="str">
        <f>IFERROR(MID(VLOOKUP($B41,Seqs!$A:$B,2,0),K41,1),"")</f>
        <v>Q</v>
      </c>
      <c r="K41" s="23">
        <v>38</v>
      </c>
      <c r="L41" s="3" t="str">
        <f>IFERROR(MID(VLOOKUP($B41,Seqs!$A:$B,2,0),M41,1),"")</f>
        <v>N</v>
      </c>
      <c r="M41" s="3">
        <v>39</v>
      </c>
      <c r="N41" s="3" t="str">
        <f>IFERROR(MID(VLOOKUP($B41,Seqs!$A:$B,2,0),O41,1),"")</f>
        <v>G</v>
      </c>
      <c r="O41" s="3">
        <v>69</v>
      </c>
      <c r="P41" s="3" t="str">
        <f>IFERROR(MID(VLOOKUP($B41,Seqs!$A:$B,2,0),Q41,1),"")</f>
        <v>F</v>
      </c>
      <c r="Q41" s="3">
        <v>70</v>
      </c>
      <c r="R41" s="3" t="str">
        <f>IFERROR(MID(VLOOKUP($B41,Seqs!$A:$B,2,0),S41,1),"")</f>
        <v>A</v>
      </c>
      <c r="S41" s="3">
        <v>72</v>
      </c>
      <c r="T41" s="3" t="str">
        <f>IFERROR(MID(VLOOKUP($B41,Seqs!$A:$B,2,0),U41,1),"")</f>
        <v>A</v>
      </c>
      <c r="U41" s="3">
        <v>73</v>
      </c>
      <c r="V41" s="3" t="str">
        <f>IFERROR(MID(VLOOKUP($B41,Seqs!$A:$B,2,0),W41,1),"")</f>
        <v>I</v>
      </c>
      <c r="W41" s="3">
        <v>108</v>
      </c>
      <c r="X41" s="3" t="str">
        <f>IFERROR(MID(VLOOKUP($B41,Seqs!$A:$B,2,0),Y41,1),"")</f>
        <v>P</v>
      </c>
      <c r="Y41" s="3">
        <v>109</v>
      </c>
      <c r="Z41" s="3" t="str">
        <f>IFERROR(MID(VLOOKUP($B41,Seqs!$A:$B,2,0),AA41,1),"")</f>
        <v>V</v>
      </c>
      <c r="AA41" s="3">
        <v>116</v>
      </c>
      <c r="AB41" s="3" t="str">
        <f>IFERROR(MID(VLOOKUP($B41,Seqs!$A:$B,2,0),AC41,1),"")</f>
        <v>T</v>
      </c>
      <c r="AC41" s="9">
        <v>117</v>
      </c>
      <c r="AD41" s="3" t="str">
        <f>IFERROR(MID(VLOOKUP($B41,Seqs!$A:$B,2,0),AE41,1),"")</f>
        <v>G</v>
      </c>
      <c r="AE41" s="3">
        <v>142</v>
      </c>
      <c r="AF41" s="3" t="str">
        <f>IFERROR(MID(VLOOKUP($B41,Seqs!$A:$B,2,0),AG41,1),"")</f>
        <v>C</v>
      </c>
      <c r="AG41" s="3">
        <v>166</v>
      </c>
      <c r="AH41" s="3" t="str">
        <f>IFERROR(MID(VLOOKUP($B41,Seqs!$A:$B,2,0),AI41,1),"")</f>
        <v>F</v>
      </c>
      <c r="AI41" s="3">
        <v>168</v>
      </c>
      <c r="AJ41" s="3" t="str">
        <f>IFERROR(MID(VLOOKUP($B41,Seqs!$A:$B,2,0),AK41,1),"")</f>
        <v>P</v>
      </c>
      <c r="AK41" s="3">
        <v>173</v>
      </c>
      <c r="AL41" s="3" t="str">
        <f>IFERROR(MID(VLOOKUP($B41,Seqs!$A:$B,2,0),AM41,1),"")</f>
        <v>L</v>
      </c>
      <c r="AM41" s="3">
        <v>208</v>
      </c>
      <c r="AN41" s="3" t="str">
        <f>IFERROR(MID(VLOOKUP($B41,Seqs!$A:$B,2,0),AO41,1),"")</f>
        <v>E</v>
      </c>
      <c r="AO41" s="3">
        <v>219</v>
      </c>
      <c r="AP41" s="3" t="str">
        <f>IFERROR(MID(VLOOKUP($B41,Seqs!$A:$B,2,0),AQ41,1),"")</f>
        <v>C</v>
      </c>
      <c r="AQ41" s="3">
        <v>259</v>
      </c>
      <c r="AR41" s="3" t="str">
        <f>IFERROR(MID(VLOOKUP($B41,Seqs!$A:$B,2,0),AS41,1),"")</f>
        <v>P</v>
      </c>
      <c r="AS41" s="3">
        <v>266</v>
      </c>
      <c r="AT41" s="3" t="str">
        <f>IFERROR(MID(VLOOKUP($B41,Seqs!$A:$B,2,0),AU41,1),"")</f>
        <v>R</v>
      </c>
      <c r="AU41" s="3">
        <v>291</v>
      </c>
      <c r="AV41" s="3" t="str">
        <f>IFERROR(MID(VLOOKUP($B41,Seqs!$A:$B,2,0),AW41,1),"")</f>
        <v>I</v>
      </c>
      <c r="AW41" s="3">
        <v>292</v>
      </c>
      <c r="AX41" s="3" t="str">
        <f>IFERROR(MID(VLOOKUP($B41,Seqs!$A:$B,2,0),AY41,1),"")</f>
        <v>S</v>
      </c>
      <c r="AY41" s="3">
        <v>305</v>
      </c>
      <c r="AZ41" s="77" t="str">
        <f>VLOOKUP(B41,Classification!A:D,2,0)</f>
        <v>A</v>
      </c>
      <c r="BA41" s="94" t="str">
        <f>VLOOKUP(B41,Classification!A:D,4,0)</f>
        <v>Adenosine</v>
      </c>
      <c r="BB41" s="27" t="b">
        <f t="shared" si="1"/>
        <v>1</v>
      </c>
      <c r="BC41" s="23">
        <f t="shared" si="225"/>
        <v>261</v>
      </c>
      <c r="BD41" s="4" t="s">
        <v>23</v>
      </c>
      <c r="BE41" s="3" t="s">
        <v>1368</v>
      </c>
      <c r="BF41" s="118">
        <v>2</v>
      </c>
      <c r="BG41" s="49" t="s">
        <v>1371</v>
      </c>
      <c r="BH41" s="49" t="s">
        <v>1371</v>
      </c>
      <c r="BI41" s="1"/>
      <c r="BJ41" s="70" t="s">
        <v>1281</v>
      </c>
      <c r="BK41" s="57" t="s">
        <v>1281</v>
      </c>
      <c r="BL41" s="57" t="s">
        <v>1281</v>
      </c>
      <c r="BM41" s="57" t="s">
        <v>1281</v>
      </c>
      <c r="BN41" s="57" t="s">
        <v>1281</v>
      </c>
      <c r="BO41" s="57" t="s">
        <v>1281</v>
      </c>
      <c r="BP41" s="57" t="s">
        <v>1281</v>
      </c>
      <c r="BQ41" s="57" t="s">
        <v>1281</v>
      </c>
      <c r="BR41" s="57" t="s">
        <v>1281</v>
      </c>
      <c r="BS41" s="57" t="s">
        <v>1281</v>
      </c>
      <c r="BT41" s="57" t="s">
        <v>1281</v>
      </c>
      <c r="BU41" s="57" t="s">
        <v>1281</v>
      </c>
      <c r="BV41" s="70">
        <f t="shared" si="226"/>
        <v>2</v>
      </c>
      <c r="BW41" s="71">
        <f t="shared" si="227"/>
        <v>35</v>
      </c>
      <c r="BX41" s="72">
        <f t="shared" si="228"/>
        <v>39</v>
      </c>
      <c r="BY41" s="71">
        <f t="shared" si="229"/>
        <v>70</v>
      </c>
      <c r="BZ41" s="72">
        <f t="shared" si="230"/>
        <v>73</v>
      </c>
      <c r="CA41" s="71">
        <f t="shared" si="231"/>
        <v>109</v>
      </c>
      <c r="CB41" s="72">
        <f t="shared" si="232"/>
        <v>117</v>
      </c>
      <c r="CC41" s="71">
        <f t="shared" si="233"/>
        <v>166</v>
      </c>
      <c r="CD41" s="72">
        <f t="shared" si="234"/>
        <v>173</v>
      </c>
      <c r="CE41" s="71">
        <f t="shared" si="235"/>
        <v>219</v>
      </c>
      <c r="CF41" s="72">
        <f t="shared" si="236"/>
        <v>266</v>
      </c>
      <c r="CG41" s="71">
        <f t="shared" si="237"/>
        <v>292</v>
      </c>
      <c r="CH41" s="70">
        <f t="shared" si="238"/>
        <v>34</v>
      </c>
      <c r="CI41" s="71">
        <f t="shared" si="239"/>
        <v>38</v>
      </c>
      <c r="CJ41" s="72">
        <f t="shared" si="240"/>
        <v>69</v>
      </c>
      <c r="CK41" s="72">
        <f t="shared" si="241"/>
        <v>72</v>
      </c>
      <c r="CL41" s="72">
        <f t="shared" si="242"/>
        <v>108</v>
      </c>
      <c r="CM41" s="72">
        <f t="shared" si="243"/>
        <v>116</v>
      </c>
      <c r="CN41" s="72">
        <f t="shared" si="244"/>
        <v>142</v>
      </c>
      <c r="CO41" s="72">
        <f t="shared" si="245"/>
        <v>168</v>
      </c>
      <c r="CP41" s="72">
        <f t="shared" si="246"/>
        <v>208</v>
      </c>
      <c r="CQ41" s="72">
        <f t="shared" si="247"/>
        <v>259</v>
      </c>
      <c r="CR41" s="72">
        <f t="shared" si="248"/>
        <v>291</v>
      </c>
      <c r="CS41" s="72">
        <f t="shared" si="249"/>
        <v>305</v>
      </c>
      <c r="CT41" s="23">
        <f t="shared" si="250"/>
        <v>1</v>
      </c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</row>
    <row r="42" spans="1:1030" x14ac:dyDescent="0.2">
      <c r="A42" s="3" t="str">
        <f t="shared" si="0"/>
        <v>aa2ar_human_5IUA</v>
      </c>
      <c r="B42" s="3" t="s">
        <v>139</v>
      </c>
      <c r="C42" s="3" t="s">
        <v>1342</v>
      </c>
      <c r="D42" s="3" t="str">
        <f>IFERROR(MID(VLOOKUP($B42,Seqs!$A:$B,2,0),E42,1),"")</f>
        <v>P</v>
      </c>
      <c r="E42" s="3">
        <v>2</v>
      </c>
      <c r="F42" s="3" t="str">
        <f>IFERROR(MID(VLOOKUP($B42,Seqs!$A:$B,2,0),G42,1),"")</f>
        <v>N</v>
      </c>
      <c r="G42" s="3">
        <v>34</v>
      </c>
      <c r="H42" s="3" t="str">
        <f>IFERROR(MID(VLOOKUP($B42,Seqs!$A:$B,2,0),I42,1),"")</f>
        <v>S</v>
      </c>
      <c r="I42" s="23">
        <v>35</v>
      </c>
      <c r="J42" s="3" t="str">
        <f>IFERROR(MID(VLOOKUP($B42,Seqs!$A:$B,2,0),K42,1),"")</f>
        <v>Q</v>
      </c>
      <c r="K42" s="23">
        <v>38</v>
      </c>
      <c r="L42" s="3" t="str">
        <f>IFERROR(MID(VLOOKUP($B42,Seqs!$A:$B,2,0),M42,1),"")</f>
        <v>N</v>
      </c>
      <c r="M42" s="3">
        <v>39</v>
      </c>
      <c r="N42" s="3" t="str">
        <f>IFERROR(MID(VLOOKUP($B42,Seqs!$A:$B,2,0),O42,1),"")</f>
        <v>G</v>
      </c>
      <c r="O42" s="3">
        <v>69</v>
      </c>
      <c r="P42" s="3" t="str">
        <f>IFERROR(MID(VLOOKUP($B42,Seqs!$A:$B,2,0),Q42,1),"")</f>
        <v>F</v>
      </c>
      <c r="Q42" s="3">
        <v>70</v>
      </c>
      <c r="R42" s="3" t="str">
        <f>IFERROR(MID(VLOOKUP($B42,Seqs!$A:$B,2,0),S42,1),"")</f>
        <v>A</v>
      </c>
      <c r="S42" s="3">
        <v>72</v>
      </c>
      <c r="T42" s="3" t="str">
        <f>IFERROR(MID(VLOOKUP($B42,Seqs!$A:$B,2,0),U42,1),"")</f>
        <v>A</v>
      </c>
      <c r="U42" s="3">
        <v>73</v>
      </c>
      <c r="V42" s="3" t="str">
        <f>IFERROR(MID(VLOOKUP($B42,Seqs!$A:$B,2,0),W42,1),"")</f>
        <v>I</v>
      </c>
      <c r="W42" s="3">
        <v>108</v>
      </c>
      <c r="X42" s="3" t="str">
        <f>IFERROR(MID(VLOOKUP($B42,Seqs!$A:$B,2,0),Y42,1),"")</f>
        <v>P</v>
      </c>
      <c r="Y42" s="3">
        <v>109</v>
      </c>
      <c r="Z42" s="3" t="str">
        <f>IFERROR(MID(VLOOKUP($B42,Seqs!$A:$B,2,0),AA42,1),"")</f>
        <v>V</v>
      </c>
      <c r="AA42" s="3">
        <v>116</v>
      </c>
      <c r="AB42" s="3" t="str">
        <f>IFERROR(MID(VLOOKUP($B42,Seqs!$A:$B,2,0),AC42,1),"")</f>
        <v>T</v>
      </c>
      <c r="AC42" s="9">
        <v>117</v>
      </c>
      <c r="AD42" s="3" t="str">
        <f>IFERROR(MID(VLOOKUP($B42,Seqs!$A:$B,2,0),AE42,1),"")</f>
        <v>G</v>
      </c>
      <c r="AE42" s="3">
        <v>142</v>
      </c>
      <c r="AF42" s="3" t="str">
        <f>IFERROR(MID(VLOOKUP($B42,Seqs!$A:$B,2,0),AG42,1),"")</f>
        <v>C</v>
      </c>
      <c r="AG42" s="3">
        <v>166</v>
      </c>
      <c r="AH42" s="3" t="str">
        <f>IFERROR(MID(VLOOKUP($B42,Seqs!$A:$B,2,0),AI42,1),"")</f>
        <v>F</v>
      </c>
      <c r="AI42" s="3">
        <v>168</v>
      </c>
      <c r="AJ42" s="3" t="str">
        <f>IFERROR(MID(VLOOKUP($B42,Seqs!$A:$B,2,0),AK42,1),"")</f>
        <v>P</v>
      </c>
      <c r="AK42" s="3">
        <v>173</v>
      </c>
      <c r="AL42" s="3" t="str">
        <f>IFERROR(MID(VLOOKUP($B42,Seqs!$A:$B,2,0),AM42,1),"")</f>
        <v>L</v>
      </c>
      <c r="AM42" s="3">
        <v>208</v>
      </c>
      <c r="AN42" s="3" t="str">
        <f>IFERROR(MID(VLOOKUP($B42,Seqs!$A:$B,2,0),AO42,1),"")</f>
        <v>E</v>
      </c>
      <c r="AO42" s="3">
        <v>219</v>
      </c>
      <c r="AP42" s="3" t="str">
        <f>IFERROR(MID(VLOOKUP($B42,Seqs!$A:$B,2,0),AQ42,1),"")</f>
        <v>C</v>
      </c>
      <c r="AQ42" s="3">
        <v>259</v>
      </c>
      <c r="AR42" s="3" t="str">
        <f>IFERROR(MID(VLOOKUP($B42,Seqs!$A:$B,2,0),AS42,1),"")</f>
        <v>P</v>
      </c>
      <c r="AS42" s="3">
        <v>266</v>
      </c>
      <c r="AT42" s="3" t="str">
        <f>IFERROR(MID(VLOOKUP($B42,Seqs!$A:$B,2,0),AU42,1),"")</f>
        <v>R</v>
      </c>
      <c r="AU42" s="3">
        <v>291</v>
      </c>
      <c r="AV42" s="3" t="str">
        <f>IFERROR(MID(VLOOKUP($B42,Seqs!$A:$B,2,0),AW42,1),"")</f>
        <v>I</v>
      </c>
      <c r="AW42" s="3">
        <v>292</v>
      </c>
      <c r="AX42" s="3" t="str">
        <f>IFERROR(MID(VLOOKUP($B42,Seqs!$A:$B,2,0),AY42,1),"")</f>
        <v>H</v>
      </c>
      <c r="AY42" s="3">
        <v>306</v>
      </c>
      <c r="AZ42" s="77" t="str">
        <f>VLOOKUP(B42,Classification!A:D,2,0)</f>
        <v>A</v>
      </c>
      <c r="BA42" s="94" t="str">
        <f>VLOOKUP(B42,Classification!A:D,4,0)</f>
        <v>Adenosine</v>
      </c>
      <c r="BB42" s="27" t="b">
        <f t="shared" si="1"/>
        <v>1</v>
      </c>
      <c r="BC42" s="23">
        <f t="shared" si="225"/>
        <v>262</v>
      </c>
      <c r="BD42" s="4" t="s">
        <v>23</v>
      </c>
      <c r="BE42" s="3" t="s">
        <v>1368</v>
      </c>
      <c r="BF42" s="118">
        <v>2.2000000000000002</v>
      </c>
      <c r="BG42" s="49" t="s">
        <v>1371</v>
      </c>
      <c r="BH42" s="49" t="s">
        <v>1371</v>
      </c>
      <c r="BI42" s="1"/>
      <c r="BJ42" s="70" t="s">
        <v>1281</v>
      </c>
      <c r="BK42" s="57" t="s">
        <v>1281</v>
      </c>
      <c r="BL42" s="57" t="s">
        <v>1281</v>
      </c>
      <c r="BM42" s="57" t="s">
        <v>1281</v>
      </c>
      <c r="BN42" s="57" t="s">
        <v>1281</v>
      </c>
      <c r="BO42" s="57" t="s">
        <v>1281</v>
      </c>
      <c r="BP42" s="57" t="s">
        <v>1281</v>
      </c>
      <c r="BQ42" s="57" t="s">
        <v>1281</v>
      </c>
      <c r="BR42" s="57" t="s">
        <v>1281</v>
      </c>
      <c r="BS42" s="57" t="s">
        <v>1281</v>
      </c>
      <c r="BT42" s="57" t="s">
        <v>1281</v>
      </c>
      <c r="BU42" s="57" t="s">
        <v>1281</v>
      </c>
      <c r="BV42" s="70">
        <f t="shared" si="226"/>
        <v>2</v>
      </c>
      <c r="BW42" s="71">
        <f t="shared" si="227"/>
        <v>35</v>
      </c>
      <c r="BX42" s="72">
        <f t="shared" si="228"/>
        <v>39</v>
      </c>
      <c r="BY42" s="71">
        <f t="shared" si="229"/>
        <v>70</v>
      </c>
      <c r="BZ42" s="72">
        <f t="shared" si="230"/>
        <v>73</v>
      </c>
      <c r="CA42" s="71">
        <f t="shared" si="231"/>
        <v>109</v>
      </c>
      <c r="CB42" s="72">
        <f t="shared" si="232"/>
        <v>117</v>
      </c>
      <c r="CC42" s="71">
        <f t="shared" si="233"/>
        <v>166</v>
      </c>
      <c r="CD42" s="72">
        <f t="shared" si="234"/>
        <v>173</v>
      </c>
      <c r="CE42" s="71">
        <f t="shared" si="235"/>
        <v>219</v>
      </c>
      <c r="CF42" s="72">
        <f t="shared" si="236"/>
        <v>266</v>
      </c>
      <c r="CG42" s="71">
        <f t="shared" si="237"/>
        <v>292</v>
      </c>
      <c r="CH42" s="70">
        <f t="shared" si="238"/>
        <v>34</v>
      </c>
      <c r="CI42" s="71">
        <f t="shared" si="239"/>
        <v>38</v>
      </c>
      <c r="CJ42" s="72">
        <f t="shared" si="240"/>
        <v>69</v>
      </c>
      <c r="CK42" s="72">
        <f t="shared" si="241"/>
        <v>72</v>
      </c>
      <c r="CL42" s="72">
        <f t="shared" si="242"/>
        <v>108</v>
      </c>
      <c r="CM42" s="72">
        <f t="shared" si="243"/>
        <v>116</v>
      </c>
      <c r="CN42" s="72">
        <f t="shared" si="244"/>
        <v>142</v>
      </c>
      <c r="CO42" s="72">
        <f t="shared" si="245"/>
        <v>168</v>
      </c>
      <c r="CP42" s="72">
        <f t="shared" si="246"/>
        <v>208</v>
      </c>
      <c r="CQ42" s="72">
        <f t="shared" si="247"/>
        <v>259</v>
      </c>
      <c r="CR42" s="72">
        <f t="shared" si="248"/>
        <v>291</v>
      </c>
      <c r="CS42" s="72">
        <f t="shared" si="249"/>
        <v>306</v>
      </c>
      <c r="CT42" s="23">
        <f t="shared" si="250"/>
        <v>1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</row>
    <row r="43" spans="1:1030" x14ac:dyDescent="0.2">
      <c r="A43" s="3" t="str">
        <f t="shared" si="0"/>
        <v>aa2ar_human_5IUB</v>
      </c>
      <c r="B43" s="3" t="s">
        <v>139</v>
      </c>
      <c r="C43" s="3" t="s">
        <v>1343</v>
      </c>
      <c r="D43" s="3" t="str">
        <f>IFERROR(MID(VLOOKUP($B43,Seqs!$A:$B,2,0),E43,1),"")</f>
        <v>P</v>
      </c>
      <c r="E43" s="3">
        <v>2</v>
      </c>
      <c r="F43" s="3" t="str">
        <f>IFERROR(MID(VLOOKUP($B43,Seqs!$A:$B,2,0),G43,1),"")</f>
        <v>N</v>
      </c>
      <c r="G43" s="3">
        <v>34</v>
      </c>
      <c r="H43" s="3" t="str">
        <f>IFERROR(MID(VLOOKUP($B43,Seqs!$A:$B,2,0),I43,1),"")</f>
        <v>S</v>
      </c>
      <c r="I43" s="23">
        <v>35</v>
      </c>
      <c r="J43" s="3" t="str">
        <f>IFERROR(MID(VLOOKUP($B43,Seqs!$A:$B,2,0),K43,1),"")</f>
        <v>Q</v>
      </c>
      <c r="K43" s="23">
        <v>38</v>
      </c>
      <c r="L43" s="3" t="str">
        <f>IFERROR(MID(VLOOKUP($B43,Seqs!$A:$B,2,0),M43,1),"")</f>
        <v>N</v>
      </c>
      <c r="M43" s="3">
        <v>39</v>
      </c>
      <c r="N43" s="3" t="str">
        <f>IFERROR(MID(VLOOKUP($B43,Seqs!$A:$B,2,0),O43,1),"")</f>
        <v>G</v>
      </c>
      <c r="O43" s="3">
        <v>69</v>
      </c>
      <c r="P43" s="3" t="str">
        <f>IFERROR(MID(VLOOKUP($B43,Seqs!$A:$B,2,0),Q43,1),"")</f>
        <v>F</v>
      </c>
      <c r="Q43" s="3">
        <v>70</v>
      </c>
      <c r="R43" s="3" t="str">
        <f>IFERROR(MID(VLOOKUP($B43,Seqs!$A:$B,2,0),S43,1),"")</f>
        <v>A</v>
      </c>
      <c r="S43" s="3">
        <v>72</v>
      </c>
      <c r="T43" s="3" t="str">
        <f>IFERROR(MID(VLOOKUP($B43,Seqs!$A:$B,2,0),U43,1),"")</f>
        <v>A</v>
      </c>
      <c r="U43" s="3">
        <v>73</v>
      </c>
      <c r="V43" s="3" t="str">
        <f>IFERROR(MID(VLOOKUP($B43,Seqs!$A:$B,2,0),W43,1),"")</f>
        <v>I</v>
      </c>
      <c r="W43" s="3">
        <v>108</v>
      </c>
      <c r="X43" s="3" t="str">
        <f>IFERROR(MID(VLOOKUP($B43,Seqs!$A:$B,2,0),Y43,1),"")</f>
        <v>P</v>
      </c>
      <c r="Y43" s="3">
        <v>109</v>
      </c>
      <c r="Z43" s="3" t="str">
        <f>IFERROR(MID(VLOOKUP($B43,Seqs!$A:$B,2,0),AA43,1),"")</f>
        <v>V</v>
      </c>
      <c r="AA43" s="3">
        <v>116</v>
      </c>
      <c r="AB43" s="3" t="str">
        <f>IFERROR(MID(VLOOKUP($B43,Seqs!$A:$B,2,0),AC43,1),"")</f>
        <v>T</v>
      </c>
      <c r="AC43" s="9">
        <v>117</v>
      </c>
      <c r="AD43" s="3" t="str">
        <f>IFERROR(MID(VLOOKUP($B43,Seqs!$A:$B,2,0),AE43,1),"")</f>
        <v>G</v>
      </c>
      <c r="AE43" s="3">
        <v>142</v>
      </c>
      <c r="AF43" s="3" t="str">
        <f>IFERROR(MID(VLOOKUP($B43,Seqs!$A:$B,2,0),AG43,1),"")</f>
        <v>C</v>
      </c>
      <c r="AG43" s="3">
        <v>166</v>
      </c>
      <c r="AH43" s="3" t="str">
        <f>IFERROR(MID(VLOOKUP($B43,Seqs!$A:$B,2,0),AI43,1),"")</f>
        <v>F</v>
      </c>
      <c r="AI43" s="3">
        <v>168</v>
      </c>
      <c r="AJ43" s="3" t="str">
        <f>IFERROR(MID(VLOOKUP($B43,Seqs!$A:$B,2,0),AK43,1),"")</f>
        <v>P</v>
      </c>
      <c r="AK43" s="3">
        <v>173</v>
      </c>
      <c r="AL43" s="3" t="str">
        <f>IFERROR(MID(VLOOKUP($B43,Seqs!$A:$B,2,0),AM43,1),"")</f>
        <v>L</v>
      </c>
      <c r="AM43" s="3">
        <v>208</v>
      </c>
      <c r="AN43" s="3" t="str">
        <f>IFERROR(MID(VLOOKUP($B43,Seqs!$A:$B,2,0),AO43,1),"")</f>
        <v>E</v>
      </c>
      <c r="AO43" s="3">
        <v>219</v>
      </c>
      <c r="AP43" s="3" t="str">
        <f>IFERROR(MID(VLOOKUP($B43,Seqs!$A:$B,2,0),AQ43,1),"")</f>
        <v>C</v>
      </c>
      <c r="AQ43" s="3">
        <v>259</v>
      </c>
      <c r="AR43" s="3" t="str">
        <f>IFERROR(MID(VLOOKUP($B43,Seqs!$A:$B,2,0),AS43,1),"")</f>
        <v>P</v>
      </c>
      <c r="AS43" s="3">
        <v>266</v>
      </c>
      <c r="AT43" s="3" t="str">
        <f>IFERROR(MID(VLOOKUP($B43,Seqs!$A:$B,2,0),AU43,1),"")</f>
        <v>R</v>
      </c>
      <c r="AU43" s="3">
        <v>291</v>
      </c>
      <c r="AV43" s="3" t="str">
        <f>IFERROR(MID(VLOOKUP($B43,Seqs!$A:$B,2,0),AW43,1),"")</f>
        <v>I</v>
      </c>
      <c r="AW43" s="3">
        <v>292</v>
      </c>
      <c r="AX43" s="3" t="str">
        <f>IFERROR(MID(VLOOKUP($B43,Seqs!$A:$B,2,0),AY43,1),"")</f>
        <v>S</v>
      </c>
      <c r="AY43" s="3">
        <v>305</v>
      </c>
      <c r="AZ43" s="77" t="str">
        <f>VLOOKUP(B43,Classification!A:D,2,0)</f>
        <v>A</v>
      </c>
      <c r="BA43" s="94" t="str">
        <f>VLOOKUP(B43,Classification!A:D,4,0)</f>
        <v>Adenosine</v>
      </c>
      <c r="BB43" s="27" t="b">
        <f t="shared" si="1"/>
        <v>1</v>
      </c>
      <c r="BC43" s="23">
        <f t="shared" si="225"/>
        <v>261</v>
      </c>
      <c r="BD43" s="4" t="s">
        <v>23</v>
      </c>
      <c r="BE43" s="3" t="s">
        <v>1368</v>
      </c>
      <c r="BF43" s="118">
        <v>2.1</v>
      </c>
      <c r="BG43" s="49" t="s">
        <v>1371</v>
      </c>
      <c r="BH43" s="49" t="s">
        <v>1371</v>
      </c>
      <c r="BI43" s="1"/>
      <c r="BJ43" s="70" t="s">
        <v>1281</v>
      </c>
      <c r="BK43" s="57" t="s">
        <v>1281</v>
      </c>
      <c r="BL43" s="57" t="s">
        <v>1281</v>
      </c>
      <c r="BM43" s="57" t="s">
        <v>1281</v>
      </c>
      <c r="BN43" s="57" t="s">
        <v>1281</v>
      </c>
      <c r="BO43" s="57" t="s">
        <v>1281</v>
      </c>
      <c r="BP43" s="57" t="s">
        <v>1281</v>
      </c>
      <c r="BQ43" s="57" t="s">
        <v>1281</v>
      </c>
      <c r="BR43" s="57" t="s">
        <v>1281</v>
      </c>
      <c r="BS43" s="57" t="s">
        <v>1281</v>
      </c>
      <c r="BT43" s="57" t="s">
        <v>1281</v>
      </c>
      <c r="BU43" s="57" t="s">
        <v>1281</v>
      </c>
      <c r="BV43" s="70">
        <f t="shared" si="226"/>
        <v>2</v>
      </c>
      <c r="BW43" s="71">
        <f t="shared" si="227"/>
        <v>35</v>
      </c>
      <c r="BX43" s="72">
        <f t="shared" si="228"/>
        <v>39</v>
      </c>
      <c r="BY43" s="71">
        <f t="shared" si="229"/>
        <v>70</v>
      </c>
      <c r="BZ43" s="72">
        <f t="shared" si="230"/>
        <v>73</v>
      </c>
      <c r="CA43" s="71">
        <f t="shared" si="231"/>
        <v>109</v>
      </c>
      <c r="CB43" s="72">
        <f t="shared" si="232"/>
        <v>117</v>
      </c>
      <c r="CC43" s="71">
        <f t="shared" si="233"/>
        <v>166</v>
      </c>
      <c r="CD43" s="72">
        <f t="shared" si="234"/>
        <v>173</v>
      </c>
      <c r="CE43" s="71">
        <f t="shared" si="235"/>
        <v>219</v>
      </c>
      <c r="CF43" s="72">
        <f t="shared" si="236"/>
        <v>266</v>
      </c>
      <c r="CG43" s="71">
        <f t="shared" si="237"/>
        <v>292</v>
      </c>
      <c r="CH43" s="70">
        <f t="shared" si="238"/>
        <v>34</v>
      </c>
      <c r="CI43" s="71">
        <f t="shared" si="239"/>
        <v>38</v>
      </c>
      <c r="CJ43" s="72">
        <f t="shared" si="240"/>
        <v>69</v>
      </c>
      <c r="CK43" s="72">
        <f t="shared" si="241"/>
        <v>72</v>
      </c>
      <c r="CL43" s="72">
        <f t="shared" si="242"/>
        <v>108</v>
      </c>
      <c r="CM43" s="72">
        <f t="shared" si="243"/>
        <v>116</v>
      </c>
      <c r="CN43" s="72">
        <f t="shared" si="244"/>
        <v>142</v>
      </c>
      <c r="CO43" s="72">
        <f t="shared" si="245"/>
        <v>168</v>
      </c>
      <c r="CP43" s="72">
        <f t="shared" si="246"/>
        <v>208</v>
      </c>
      <c r="CQ43" s="72">
        <f t="shared" si="247"/>
        <v>259</v>
      </c>
      <c r="CR43" s="72">
        <f t="shared" si="248"/>
        <v>291</v>
      </c>
      <c r="CS43" s="72">
        <f t="shared" si="249"/>
        <v>305</v>
      </c>
      <c r="CT43" s="23">
        <f t="shared" si="250"/>
        <v>1</v>
      </c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</row>
    <row r="44" spans="1:1030" x14ac:dyDescent="0.2">
      <c r="A44" s="3" t="str">
        <f t="shared" si="0"/>
        <v>aa2ar_human_5K2A</v>
      </c>
      <c r="B44" s="3" t="s">
        <v>139</v>
      </c>
      <c r="C44" s="3" t="s">
        <v>1333</v>
      </c>
      <c r="D44" s="3" t="str">
        <f>IFERROR(MID(VLOOKUP($B44,Seqs!$A:$B,2,0),E44,1),"")</f>
        <v>P</v>
      </c>
      <c r="E44" s="3">
        <v>2</v>
      </c>
      <c r="F44" s="3" t="str">
        <f>IFERROR(MID(VLOOKUP($B44,Seqs!$A:$B,2,0),G44,1),"")</f>
        <v>N</v>
      </c>
      <c r="G44" s="3">
        <v>34</v>
      </c>
      <c r="H44" s="3" t="str">
        <f>IFERROR(MID(VLOOKUP($B44,Seqs!$A:$B,2,0),I44,1),"")</f>
        <v>S</v>
      </c>
      <c r="I44" s="23">
        <v>35</v>
      </c>
      <c r="J44" s="3" t="str">
        <f>IFERROR(MID(VLOOKUP($B44,Seqs!$A:$B,2,0),K44,1),"")</f>
        <v>Q</v>
      </c>
      <c r="K44" s="23">
        <v>38</v>
      </c>
      <c r="L44" s="3" t="str">
        <f>IFERROR(MID(VLOOKUP($B44,Seqs!$A:$B,2,0),M44,1),"")</f>
        <v>N</v>
      </c>
      <c r="M44" s="3">
        <v>39</v>
      </c>
      <c r="N44" s="3" t="str">
        <f>IFERROR(MID(VLOOKUP($B44,Seqs!$A:$B,2,0),O44,1),"")</f>
        <v>G</v>
      </c>
      <c r="O44" s="3">
        <v>69</v>
      </c>
      <c r="P44" s="3" t="str">
        <f>IFERROR(MID(VLOOKUP($B44,Seqs!$A:$B,2,0),Q44,1),"")</f>
        <v>F</v>
      </c>
      <c r="Q44" s="3">
        <v>70</v>
      </c>
      <c r="R44" s="3" t="str">
        <f>IFERROR(MID(VLOOKUP($B44,Seqs!$A:$B,2,0),S44,1),"")</f>
        <v>A</v>
      </c>
      <c r="S44" s="3">
        <v>72</v>
      </c>
      <c r="T44" s="3" t="str">
        <f>IFERROR(MID(VLOOKUP($B44,Seqs!$A:$B,2,0),U44,1),"")</f>
        <v>A</v>
      </c>
      <c r="U44" s="3">
        <v>73</v>
      </c>
      <c r="V44" s="3" t="str">
        <f>IFERROR(MID(VLOOKUP($B44,Seqs!$A:$B,2,0),W44,1),"")</f>
        <v>I</v>
      </c>
      <c r="W44" s="3">
        <v>108</v>
      </c>
      <c r="X44" s="3" t="str">
        <f>IFERROR(MID(VLOOKUP($B44,Seqs!$A:$B,2,0),Y44,1),"")</f>
        <v>P</v>
      </c>
      <c r="Y44" s="3">
        <v>109</v>
      </c>
      <c r="Z44" s="3" t="str">
        <f>IFERROR(MID(VLOOKUP($B44,Seqs!$A:$B,2,0),AA44,1),"")</f>
        <v>V</v>
      </c>
      <c r="AA44" s="3">
        <v>116</v>
      </c>
      <c r="AB44" s="3" t="str">
        <f>IFERROR(MID(VLOOKUP($B44,Seqs!$A:$B,2,0),AC44,1),"")</f>
        <v>T</v>
      </c>
      <c r="AC44" s="9">
        <v>117</v>
      </c>
      <c r="AD44" s="3" t="str">
        <f>IFERROR(MID(VLOOKUP($B44,Seqs!$A:$B,2,0),AE44,1),"")</f>
        <v>G</v>
      </c>
      <c r="AE44" s="3">
        <v>142</v>
      </c>
      <c r="AF44" s="3" t="str">
        <f>IFERROR(MID(VLOOKUP($B44,Seqs!$A:$B,2,0),AG44,1),"")</f>
        <v>C</v>
      </c>
      <c r="AG44" s="3">
        <v>166</v>
      </c>
      <c r="AH44" s="3" t="str">
        <f>IFERROR(MID(VLOOKUP($B44,Seqs!$A:$B,2,0),AI44,1),"")</f>
        <v>F</v>
      </c>
      <c r="AI44" s="3">
        <v>168</v>
      </c>
      <c r="AJ44" s="3" t="str">
        <f>IFERROR(MID(VLOOKUP($B44,Seqs!$A:$B,2,0),AK44,1),"")</f>
        <v>P</v>
      </c>
      <c r="AK44" s="3">
        <v>173</v>
      </c>
      <c r="AL44" s="3" t="str">
        <f>IFERROR(MID(VLOOKUP($B44,Seqs!$A:$B,2,0),AM44,1),"")</f>
        <v>L</v>
      </c>
      <c r="AM44" s="3">
        <v>208</v>
      </c>
      <c r="AN44" s="3" t="str">
        <f>IFERROR(MID(VLOOKUP($B44,Seqs!$A:$B,2,0),AO44,1),"")</f>
        <v>E</v>
      </c>
      <c r="AO44" s="3">
        <v>219</v>
      </c>
      <c r="AP44" s="3" t="str">
        <f>IFERROR(MID(VLOOKUP($B44,Seqs!$A:$B,2,0),AQ44,1),"")</f>
        <v>C</v>
      </c>
      <c r="AQ44" s="3">
        <v>259</v>
      </c>
      <c r="AR44" s="3" t="str">
        <f>IFERROR(MID(VLOOKUP($B44,Seqs!$A:$B,2,0),AS44,1),"")</f>
        <v>P</v>
      </c>
      <c r="AS44" s="3">
        <v>266</v>
      </c>
      <c r="AT44" s="3" t="str">
        <f>IFERROR(MID(VLOOKUP($B44,Seqs!$A:$B,2,0),AU44,1),"")</f>
        <v>R</v>
      </c>
      <c r="AU44" s="3">
        <v>291</v>
      </c>
      <c r="AV44" s="3" t="str">
        <f>IFERROR(MID(VLOOKUP($B44,Seqs!$A:$B,2,0),AW44,1),"")</f>
        <v>I</v>
      </c>
      <c r="AW44" s="3">
        <v>292</v>
      </c>
      <c r="AX44" s="3" t="str">
        <f>IFERROR(MID(VLOOKUP($B44,Seqs!$A:$B,2,0),AY44,1),"")</f>
        <v>V</v>
      </c>
      <c r="AY44" s="3">
        <v>307</v>
      </c>
      <c r="AZ44" s="77" t="str">
        <f>VLOOKUP(B44,Classification!A:D,2,0)</f>
        <v>A</v>
      </c>
      <c r="BA44" s="94" t="str">
        <f>VLOOKUP(B44,Classification!A:D,4,0)</f>
        <v>Adenosine</v>
      </c>
      <c r="BB44" s="27" t="b">
        <f t="shared" si="1"/>
        <v>1</v>
      </c>
      <c r="BC44" s="23">
        <f t="shared" si="225"/>
        <v>263</v>
      </c>
      <c r="BD44" s="1" t="s">
        <v>23</v>
      </c>
      <c r="BE44" s="3" t="s">
        <v>1368</v>
      </c>
      <c r="BF44" s="118">
        <v>2.5</v>
      </c>
      <c r="BG44" s="49" t="s">
        <v>1371</v>
      </c>
      <c r="BH44" s="49" t="s">
        <v>1371</v>
      </c>
      <c r="BI44" s="1"/>
      <c r="BJ44" s="70" t="s">
        <v>1281</v>
      </c>
      <c r="BK44" s="57" t="s">
        <v>1281</v>
      </c>
      <c r="BL44" s="57" t="s">
        <v>1281</v>
      </c>
      <c r="BM44" s="57" t="s">
        <v>1281</v>
      </c>
      <c r="BN44" s="57" t="s">
        <v>1281</v>
      </c>
      <c r="BO44" s="57" t="s">
        <v>1281</v>
      </c>
      <c r="BP44" s="57" t="s">
        <v>1281</v>
      </c>
      <c r="BQ44" s="57" t="s">
        <v>1281</v>
      </c>
      <c r="BR44" s="57" t="s">
        <v>1281</v>
      </c>
      <c r="BS44" s="57" t="s">
        <v>1281</v>
      </c>
      <c r="BT44" s="57" t="s">
        <v>1281</v>
      </c>
      <c r="BU44" s="57" t="s">
        <v>1281</v>
      </c>
      <c r="BV44" s="70">
        <f t="shared" si="226"/>
        <v>2</v>
      </c>
      <c r="BW44" s="71">
        <f t="shared" si="227"/>
        <v>35</v>
      </c>
      <c r="BX44" s="72">
        <f t="shared" si="228"/>
        <v>39</v>
      </c>
      <c r="BY44" s="71">
        <f t="shared" si="229"/>
        <v>70</v>
      </c>
      <c r="BZ44" s="72">
        <f t="shared" si="230"/>
        <v>73</v>
      </c>
      <c r="CA44" s="71">
        <f t="shared" si="231"/>
        <v>109</v>
      </c>
      <c r="CB44" s="72">
        <f t="shared" si="232"/>
        <v>117</v>
      </c>
      <c r="CC44" s="71">
        <f t="shared" si="233"/>
        <v>166</v>
      </c>
      <c r="CD44" s="72">
        <f t="shared" si="234"/>
        <v>173</v>
      </c>
      <c r="CE44" s="71">
        <f t="shared" si="235"/>
        <v>219</v>
      </c>
      <c r="CF44" s="72">
        <f t="shared" si="236"/>
        <v>266</v>
      </c>
      <c r="CG44" s="71">
        <f t="shared" si="237"/>
        <v>292</v>
      </c>
      <c r="CH44" s="70">
        <f t="shared" si="238"/>
        <v>34</v>
      </c>
      <c r="CI44" s="71">
        <f t="shared" si="239"/>
        <v>38</v>
      </c>
      <c r="CJ44" s="72">
        <f t="shared" si="240"/>
        <v>69</v>
      </c>
      <c r="CK44" s="72">
        <f t="shared" si="241"/>
        <v>72</v>
      </c>
      <c r="CL44" s="72">
        <f t="shared" si="242"/>
        <v>108</v>
      </c>
      <c r="CM44" s="72">
        <f t="shared" si="243"/>
        <v>116</v>
      </c>
      <c r="CN44" s="72">
        <f t="shared" si="244"/>
        <v>142</v>
      </c>
      <c r="CO44" s="72">
        <f t="shared" si="245"/>
        <v>168</v>
      </c>
      <c r="CP44" s="72">
        <f t="shared" si="246"/>
        <v>208</v>
      </c>
      <c r="CQ44" s="72">
        <f t="shared" si="247"/>
        <v>259</v>
      </c>
      <c r="CR44" s="72">
        <f t="shared" si="248"/>
        <v>291</v>
      </c>
      <c r="CS44" s="72">
        <f t="shared" si="249"/>
        <v>307</v>
      </c>
      <c r="CT44" s="23">
        <f t="shared" si="250"/>
        <v>1</v>
      </c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</row>
    <row r="45" spans="1:1030" x14ac:dyDescent="0.2">
      <c r="A45" s="3" t="str">
        <f t="shared" si="0"/>
        <v>aa2ar_human_5K2B</v>
      </c>
      <c r="B45" s="3" t="s">
        <v>139</v>
      </c>
      <c r="C45" s="3" t="s">
        <v>1334</v>
      </c>
      <c r="D45" s="3" t="str">
        <f>IFERROR(MID(VLOOKUP($B45,Seqs!$A:$B,2,0),E45,1),"")</f>
        <v>P</v>
      </c>
      <c r="E45" s="3">
        <v>2</v>
      </c>
      <c r="F45" s="3" t="str">
        <f>IFERROR(MID(VLOOKUP($B45,Seqs!$A:$B,2,0),G45,1),"")</f>
        <v>N</v>
      </c>
      <c r="G45" s="3">
        <v>34</v>
      </c>
      <c r="H45" s="3" t="str">
        <f>IFERROR(MID(VLOOKUP($B45,Seqs!$A:$B,2,0),I45,1),"")</f>
        <v>S</v>
      </c>
      <c r="I45" s="23">
        <v>35</v>
      </c>
      <c r="J45" s="3" t="str">
        <f>IFERROR(MID(VLOOKUP($B45,Seqs!$A:$B,2,0),K45,1),"")</f>
        <v>Q</v>
      </c>
      <c r="K45" s="23">
        <v>38</v>
      </c>
      <c r="L45" s="3" t="str">
        <f>IFERROR(MID(VLOOKUP($B45,Seqs!$A:$B,2,0),M45,1),"")</f>
        <v>N</v>
      </c>
      <c r="M45" s="3">
        <v>39</v>
      </c>
      <c r="N45" s="3" t="str">
        <f>IFERROR(MID(VLOOKUP($B45,Seqs!$A:$B,2,0),O45,1),"")</f>
        <v>G</v>
      </c>
      <c r="O45" s="3">
        <v>69</v>
      </c>
      <c r="P45" s="3" t="str">
        <f>IFERROR(MID(VLOOKUP($B45,Seqs!$A:$B,2,0),Q45,1),"")</f>
        <v>F</v>
      </c>
      <c r="Q45" s="3">
        <v>70</v>
      </c>
      <c r="R45" s="3" t="str">
        <f>IFERROR(MID(VLOOKUP($B45,Seqs!$A:$B,2,0),S45,1),"")</f>
        <v>A</v>
      </c>
      <c r="S45" s="3">
        <v>72</v>
      </c>
      <c r="T45" s="3" t="str">
        <f>IFERROR(MID(VLOOKUP($B45,Seqs!$A:$B,2,0),U45,1),"")</f>
        <v>A</v>
      </c>
      <c r="U45" s="3">
        <v>73</v>
      </c>
      <c r="V45" s="3" t="str">
        <f>IFERROR(MID(VLOOKUP($B45,Seqs!$A:$B,2,0),W45,1),"")</f>
        <v>I</v>
      </c>
      <c r="W45" s="3">
        <v>108</v>
      </c>
      <c r="X45" s="3" t="str">
        <f>IFERROR(MID(VLOOKUP($B45,Seqs!$A:$B,2,0),Y45,1),"")</f>
        <v>P</v>
      </c>
      <c r="Y45" s="3">
        <v>109</v>
      </c>
      <c r="Z45" s="3" t="str">
        <f>IFERROR(MID(VLOOKUP($B45,Seqs!$A:$B,2,0),AA45,1),"")</f>
        <v>V</v>
      </c>
      <c r="AA45" s="3">
        <v>116</v>
      </c>
      <c r="AB45" s="3" t="str">
        <f>IFERROR(MID(VLOOKUP($B45,Seqs!$A:$B,2,0),AC45,1),"")</f>
        <v>T</v>
      </c>
      <c r="AC45" s="9">
        <v>117</v>
      </c>
      <c r="AD45" s="3" t="str">
        <f>IFERROR(MID(VLOOKUP($B45,Seqs!$A:$B,2,0),AE45,1),"")</f>
        <v>G</v>
      </c>
      <c r="AE45" s="3">
        <v>142</v>
      </c>
      <c r="AF45" s="3" t="str">
        <f>IFERROR(MID(VLOOKUP($B45,Seqs!$A:$B,2,0),AG45,1),"")</f>
        <v>C</v>
      </c>
      <c r="AG45" s="3">
        <v>166</v>
      </c>
      <c r="AH45" s="3" t="str">
        <f>IFERROR(MID(VLOOKUP($B45,Seqs!$A:$B,2,0),AI45,1),"")</f>
        <v>F</v>
      </c>
      <c r="AI45" s="3">
        <v>168</v>
      </c>
      <c r="AJ45" s="3" t="str">
        <f>IFERROR(MID(VLOOKUP($B45,Seqs!$A:$B,2,0),AK45,1),"")</f>
        <v>P</v>
      </c>
      <c r="AK45" s="3">
        <v>173</v>
      </c>
      <c r="AL45" s="3" t="str">
        <f>IFERROR(MID(VLOOKUP($B45,Seqs!$A:$B,2,0),AM45,1),"")</f>
        <v>L</v>
      </c>
      <c r="AM45" s="3">
        <v>208</v>
      </c>
      <c r="AN45" s="3" t="str">
        <f>IFERROR(MID(VLOOKUP($B45,Seqs!$A:$B,2,0),AO45,1),"")</f>
        <v>E</v>
      </c>
      <c r="AO45" s="3">
        <v>219</v>
      </c>
      <c r="AP45" s="3" t="str">
        <f>IFERROR(MID(VLOOKUP($B45,Seqs!$A:$B,2,0),AQ45,1),"")</f>
        <v>C</v>
      </c>
      <c r="AQ45" s="3">
        <v>259</v>
      </c>
      <c r="AR45" s="3" t="str">
        <f>IFERROR(MID(VLOOKUP($B45,Seqs!$A:$B,2,0),AS45,1),"")</f>
        <v>P</v>
      </c>
      <c r="AS45" s="3">
        <v>266</v>
      </c>
      <c r="AT45" s="3" t="str">
        <f>IFERROR(MID(VLOOKUP($B45,Seqs!$A:$B,2,0),AU45,1),"")</f>
        <v>R</v>
      </c>
      <c r="AU45" s="3">
        <v>291</v>
      </c>
      <c r="AV45" s="3" t="str">
        <f>IFERROR(MID(VLOOKUP($B45,Seqs!$A:$B,2,0),AW45,1),"")</f>
        <v>I</v>
      </c>
      <c r="AW45" s="3">
        <v>292</v>
      </c>
      <c r="AX45" s="3" t="str">
        <f>IFERROR(MID(VLOOKUP($B45,Seqs!$A:$B,2,0),AY45,1),"")</f>
        <v>V</v>
      </c>
      <c r="AY45" s="3">
        <v>307</v>
      </c>
      <c r="AZ45" s="77" t="str">
        <f>VLOOKUP(B45,Classification!A:D,2,0)</f>
        <v>A</v>
      </c>
      <c r="BA45" s="94" t="str">
        <f>VLOOKUP(B45,Classification!A:D,4,0)</f>
        <v>Adenosine</v>
      </c>
      <c r="BB45" s="27" t="b">
        <f t="shared" si="1"/>
        <v>1</v>
      </c>
      <c r="BC45" s="23">
        <f t="shared" si="225"/>
        <v>263</v>
      </c>
      <c r="BD45" s="4" t="s">
        <v>23</v>
      </c>
      <c r="BE45" s="3" t="s">
        <v>1368</v>
      </c>
      <c r="BF45" s="118">
        <v>2.5</v>
      </c>
      <c r="BG45" s="49" t="s">
        <v>1371</v>
      </c>
      <c r="BH45" s="49" t="s">
        <v>1371</v>
      </c>
      <c r="BI45" s="1"/>
      <c r="BJ45" s="70" t="s">
        <v>1281</v>
      </c>
      <c r="BK45" s="57" t="s">
        <v>1281</v>
      </c>
      <c r="BL45" s="57" t="s">
        <v>1281</v>
      </c>
      <c r="BM45" s="57" t="s">
        <v>1281</v>
      </c>
      <c r="BN45" s="57" t="s">
        <v>1281</v>
      </c>
      <c r="BO45" s="57" t="s">
        <v>1281</v>
      </c>
      <c r="BP45" s="57" t="s">
        <v>1281</v>
      </c>
      <c r="BQ45" s="57" t="s">
        <v>1281</v>
      </c>
      <c r="BR45" s="57" t="s">
        <v>1281</v>
      </c>
      <c r="BS45" s="57" t="s">
        <v>1281</v>
      </c>
      <c r="BT45" s="57" t="s">
        <v>1281</v>
      </c>
      <c r="BU45" s="57" t="s">
        <v>1281</v>
      </c>
      <c r="BV45" s="70">
        <f t="shared" si="226"/>
        <v>2</v>
      </c>
      <c r="BW45" s="71">
        <f t="shared" si="227"/>
        <v>35</v>
      </c>
      <c r="BX45" s="72">
        <f t="shared" si="228"/>
        <v>39</v>
      </c>
      <c r="BY45" s="71">
        <f t="shared" si="229"/>
        <v>70</v>
      </c>
      <c r="BZ45" s="72">
        <f t="shared" si="230"/>
        <v>73</v>
      </c>
      <c r="CA45" s="71">
        <f t="shared" si="231"/>
        <v>109</v>
      </c>
      <c r="CB45" s="72">
        <f t="shared" si="232"/>
        <v>117</v>
      </c>
      <c r="CC45" s="71">
        <f t="shared" si="233"/>
        <v>166</v>
      </c>
      <c r="CD45" s="72">
        <f t="shared" si="234"/>
        <v>173</v>
      </c>
      <c r="CE45" s="71">
        <f t="shared" si="235"/>
        <v>219</v>
      </c>
      <c r="CF45" s="72">
        <f t="shared" si="236"/>
        <v>266</v>
      </c>
      <c r="CG45" s="71">
        <f t="shared" si="237"/>
        <v>292</v>
      </c>
      <c r="CH45" s="70">
        <f t="shared" si="238"/>
        <v>34</v>
      </c>
      <c r="CI45" s="71">
        <f t="shared" si="239"/>
        <v>38</v>
      </c>
      <c r="CJ45" s="72">
        <f t="shared" si="240"/>
        <v>69</v>
      </c>
      <c r="CK45" s="72">
        <f t="shared" si="241"/>
        <v>72</v>
      </c>
      <c r="CL45" s="72">
        <f t="shared" si="242"/>
        <v>108</v>
      </c>
      <c r="CM45" s="72">
        <f t="shared" si="243"/>
        <v>116</v>
      </c>
      <c r="CN45" s="72">
        <f t="shared" si="244"/>
        <v>142</v>
      </c>
      <c r="CO45" s="72">
        <f t="shared" si="245"/>
        <v>168</v>
      </c>
      <c r="CP45" s="72">
        <f t="shared" si="246"/>
        <v>208</v>
      </c>
      <c r="CQ45" s="72">
        <f t="shared" si="247"/>
        <v>259</v>
      </c>
      <c r="CR45" s="72">
        <f t="shared" si="248"/>
        <v>291</v>
      </c>
      <c r="CS45" s="72">
        <f t="shared" si="249"/>
        <v>307</v>
      </c>
      <c r="CT45" s="23">
        <f t="shared" si="250"/>
        <v>1</v>
      </c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</row>
    <row r="46" spans="1:1030" x14ac:dyDescent="0.2">
      <c r="A46" s="3" t="str">
        <f t="shared" si="0"/>
        <v>aa2ar_human_5K2C</v>
      </c>
      <c r="B46" s="3" t="s">
        <v>139</v>
      </c>
      <c r="C46" s="3" t="s">
        <v>1335</v>
      </c>
      <c r="D46" s="3" t="str">
        <f>IFERROR(MID(VLOOKUP($B46,Seqs!$A:$B,2,0),E46,1),"")</f>
        <v>P</v>
      </c>
      <c r="E46" s="3">
        <v>2</v>
      </c>
      <c r="F46" s="3" t="str">
        <f>IFERROR(MID(VLOOKUP($B46,Seqs!$A:$B,2,0),G46,1),"")</f>
        <v>N</v>
      </c>
      <c r="G46" s="3">
        <v>34</v>
      </c>
      <c r="H46" s="3" t="str">
        <f>IFERROR(MID(VLOOKUP($B46,Seqs!$A:$B,2,0),I46,1),"")</f>
        <v>S</v>
      </c>
      <c r="I46" s="23">
        <v>35</v>
      </c>
      <c r="J46" s="3" t="str">
        <f>IFERROR(MID(VLOOKUP($B46,Seqs!$A:$B,2,0),K46,1),"")</f>
        <v>Q</v>
      </c>
      <c r="K46" s="23">
        <v>38</v>
      </c>
      <c r="L46" s="3" t="str">
        <f>IFERROR(MID(VLOOKUP($B46,Seqs!$A:$B,2,0),M46,1),"")</f>
        <v>N</v>
      </c>
      <c r="M46" s="3">
        <v>39</v>
      </c>
      <c r="N46" s="3" t="str">
        <f>IFERROR(MID(VLOOKUP($B46,Seqs!$A:$B,2,0),O46,1),"")</f>
        <v>G</v>
      </c>
      <c r="O46" s="3">
        <v>69</v>
      </c>
      <c r="P46" s="3" t="str">
        <f>IFERROR(MID(VLOOKUP($B46,Seqs!$A:$B,2,0),Q46,1),"")</f>
        <v>F</v>
      </c>
      <c r="Q46" s="3">
        <v>70</v>
      </c>
      <c r="R46" s="3" t="str">
        <f>IFERROR(MID(VLOOKUP($B46,Seqs!$A:$B,2,0),S46,1),"")</f>
        <v>A</v>
      </c>
      <c r="S46" s="3">
        <v>72</v>
      </c>
      <c r="T46" s="3" t="str">
        <f>IFERROR(MID(VLOOKUP($B46,Seqs!$A:$B,2,0),U46,1),"")</f>
        <v>A</v>
      </c>
      <c r="U46" s="3">
        <v>73</v>
      </c>
      <c r="V46" s="3" t="str">
        <f>IFERROR(MID(VLOOKUP($B46,Seqs!$A:$B,2,0),W46,1),"")</f>
        <v>I</v>
      </c>
      <c r="W46" s="3">
        <v>108</v>
      </c>
      <c r="X46" s="3" t="str">
        <f>IFERROR(MID(VLOOKUP($B46,Seqs!$A:$B,2,0),Y46,1),"")</f>
        <v>P</v>
      </c>
      <c r="Y46" s="3">
        <v>109</v>
      </c>
      <c r="Z46" s="3" t="str">
        <f>IFERROR(MID(VLOOKUP($B46,Seqs!$A:$B,2,0),AA46,1),"")</f>
        <v>V</v>
      </c>
      <c r="AA46" s="3">
        <v>116</v>
      </c>
      <c r="AB46" s="3" t="str">
        <f>IFERROR(MID(VLOOKUP($B46,Seqs!$A:$B,2,0),AC46,1),"")</f>
        <v>T</v>
      </c>
      <c r="AC46" s="9">
        <v>117</v>
      </c>
      <c r="AD46" s="3" t="str">
        <f>IFERROR(MID(VLOOKUP($B46,Seqs!$A:$B,2,0),AE46,1),"")</f>
        <v>G</v>
      </c>
      <c r="AE46" s="3">
        <v>142</v>
      </c>
      <c r="AF46" s="3" t="str">
        <f>IFERROR(MID(VLOOKUP($B46,Seqs!$A:$B,2,0),AG46,1),"")</f>
        <v>C</v>
      </c>
      <c r="AG46" s="3">
        <v>166</v>
      </c>
      <c r="AH46" s="3" t="str">
        <f>IFERROR(MID(VLOOKUP($B46,Seqs!$A:$B,2,0),AI46,1),"")</f>
        <v>F</v>
      </c>
      <c r="AI46" s="3">
        <v>168</v>
      </c>
      <c r="AJ46" s="3" t="str">
        <f>IFERROR(MID(VLOOKUP($B46,Seqs!$A:$B,2,0),AK46,1),"")</f>
        <v>P</v>
      </c>
      <c r="AK46" s="3">
        <v>173</v>
      </c>
      <c r="AL46" s="3" t="str">
        <f>IFERROR(MID(VLOOKUP($B46,Seqs!$A:$B,2,0),AM46,1),"")</f>
        <v>L</v>
      </c>
      <c r="AM46" s="3">
        <v>208</v>
      </c>
      <c r="AN46" s="3" t="str">
        <f>IFERROR(MID(VLOOKUP($B46,Seqs!$A:$B,2,0),AO46,1),"")</f>
        <v>E</v>
      </c>
      <c r="AO46" s="3">
        <v>219</v>
      </c>
      <c r="AP46" s="3" t="str">
        <f>IFERROR(MID(VLOOKUP($B46,Seqs!$A:$B,2,0),AQ46,1),"")</f>
        <v>C</v>
      </c>
      <c r="AQ46" s="3">
        <v>259</v>
      </c>
      <c r="AR46" s="3" t="str">
        <f>IFERROR(MID(VLOOKUP($B46,Seqs!$A:$B,2,0),AS46,1),"")</f>
        <v>P</v>
      </c>
      <c r="AS46" s="3">
        <v>266</v>
      </c>
      <c r="AT46" s="3" t="str">
        <f>IFERROR(MID(VLOOKUP($B46,Seqs!$A:$B,2,0),AU46,1),"")</f>
        <v>R</v>
      </c>
      <c r="AU46" s="3">
        <v>291</v>
      </c>
      <c r="AV46" s="3" t="str">
        <f>IFERROR(MID(VLOOKUP($B46,Seqs!$A:$B,2,0),AW46,1),"")</f>
        <v>I</v>
      </c>
      <c r="AW46" s="3">
        <v>292</v>
      </c>
      <c r="AX46" s="3" t="str">
        <f>IFERROR(MID(VLOOKUP($B46,Seqs!$A:$B,2,0),AY46,1),"")</f>
        <v>V</v>
      </c>
      <c r="AY46" s="3">
        <v>307</v>
      </c>
      <c r="AZ46" s="77" t="str">
        <f>VLOOKUP(B46,Classification!A:D,2,0)</f>
        <v>A</v>
      </c>
      <c r="BA46" s="94" t="str">
        <f>VLOOKUP(B46,Classification!A:D,4,0)</f>
        <v>Adenosine</v>
      </c>
      <c r="BB46" s="27" t="b">
        <f t="shared" si="1"/>
        <v>1</v>
      </c>
      <c r="BC46" s="23">
        <f t="shared" si="225"/>
        <v>263</v>
      </c>
      <c r="BD46" s="4" t="s">
        <v>23</v>
      </c>
      <c r="BE46" s="3" t="s">
        <v>1368</v>
      </c>
      <c r="BF46" s="118">
        <v>1.9</v>
      </c>
      <c r="BG46" s="49" t="s">
        <v>1371</v>
      </c>
      <c r="BH46" s="49" t="s">
        <v>1371</v>
      </c>
      <c r="BI46" s="1"/>
      <c r="BJ46" s="70" t="s">
        <v>1281</v>
      </c>
      <c r="BK46" s="57" t="s">
        <v>1281</v>
      </c>
      <c r="BL46" s="57" t="s">
        <v>1281</v>
      </c>
      <c r="BM46" s="57" t="s">
        <v>1281</v>
      </c>
      <c r="BN46" s="57" t="s">
        <v>1281</v>
      </c>
      <c r="BO46" s="57" t="s">
        <v>1281</v>
      </c>
      <c r="BP46" s="57" t="s">
        <v>1281</v>
      </c>
      <c r="BQ46" s="57" t="s">
        <v>1281</v>
      </c>
      <c r="BR46" s="57" t="s">
        <v>1281</v>
      </c>
      <c r="BS46" s="57" t="s">
        <v>1281</v>
      </c>
      <c r="BT46" s="57" t="s">
        <v>1281</v>
      </c>
      <c r="BU46" s="57" t="s">
        <v>1281</v>
      </c>
      <c r="BV46" s="70">
        <f t="shared" si="226"/>
        <v>2</v>
      </c>
      <c r="BW46" s="71">
        <f t="shared" si="227"/>
        <v>35</v>
      </c>
      <c r="BX46" s="72">
        <f t="shared" si="228"/>
        <v>39</v>
      </c>
      <c r="BY46" s="71">
        <f t="shared" si="229"/>
        <v>70</v>
      </c>
      <c r="BZ46" s="72">
        <f t="shared" si="230"/>
        <v>73</v>
      </c>
      <c r="CA46" s="71">
        <f t="shared" si="231"/>
        <v>109</v>
      </c>
      <c r="CB46" s="72">
        <f t="shared" si="232"/>
        <v>117</v>
      </c>
      <c r="CC46" s="71">
        <f t="shared" si="233"/>
        <v>166</v>
      </c>
      <c r="CD46" s="72">
        <f t="shared" si="234"/>
        <v>173</v>
      </c>
      <c r="CE46" s="71">
        <f t="shared" si="235"/>
        <v>219</v>
      </c>
      <c r="CF46" s="72">
        <f t="shared" si="236"/>
        <v>266</v>
      </c>
      <c r="CG46" s="71">
        <f t="shared" si="237"/>
        <v>292</v>
      </c>
      <c r="CH46" s="70">
        <f t="shared" si="238"/>
        <v>34</v>
      </c>
      <c r="CI46" s="71">
        <f t="shared" si="239"/>
        <v>38</v>
      </c>
      <c r="CJ46" s="72">
        <f t="shared" si="240"/>
        <v>69</v>
      </c>
      <c r="CK46" s="72">
        <f t="shared" si="241"/>
        <v>72</v>
      </c>
      <c r="CL46" s="72">
        <f t="shared" si="242"/>
        <v>108</v>
      </c>
      <c r="CM46" s="72">
        <f t="shared" si="243"/>
        <v>116</v>
      </c>
      <c r="CN46" s="72">
        <f t="shared" si="244"/>
        <v>142</v>
      </c>
      <c r="CO46" s="72">
        <f t="shared" si="245"/>
        <v>168</v>
      </c>
      <c r="CP46" s="72">
        <f t="shared" si="246"/>
        <v>208</v>
      </c>
      <c r="CQ46" s="72">
        <f t="shared" si="247"/>
        <v>259</v>
      </c>
      <c r="CR46" s="72">
        <f t="shared" si="248"/>
        <v>291</v>
      </c>
      <c r="CS46" s="72">
        <f t="shared" si="249"/>
        <v>307</v>
      </c>
      <c r="CT46" s="23">
        <f t="shared" si="250"/>
        <v>1</v>
      </c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</row>
    <row r="47" spans="1:1030" x14ac:dyDescent="0.2">
      <c r="A47" s="3" t="str">
        <f t="shared" si="0"/>
        <v>aa2ar_human_5K2D</v>
      </c>
      <c r="B47" s="3" t="s">
        <v>139</v>
      </c>
      <c r="C47" s="3" t="s">
        <v>1336</v>
      </c>
      <c r="D47" s="3" t="str">
        <f>IFERROR(MID(VLOOKUP($B47,Seqs!$A:$B,2,0),E47,1),"")</f>
        <v>P</v>
      </c>
      <c r="E47" s="3">
        <v>2</v>
      </c>
      <c r="F47" s="3" t="str">
        <f>IFERROR(MID(VLOOKUP($B47,Seqs!$A:$B,2,0),G47,1),"")</f>
        <v>N</v>
      </c>
      <c r="G47" s="3">
        <v>34</v>
      </c>
      <c r="H47" s="3" t="str">
        <f>IFERROR(MID(VLOOKUP($B47,Seqs!$A:$B,2,0),I47,1),"")</f>
        <v>S</v>
      </c>
      <c r="I47" s="23">
        <v>35</v>
      </c>
      <c r="J47" s="3" t="str">
        <f>IFERROR(MID(VLOOKUP($B47,Seqs!$A:$B,2,0),K47,1),"")</f>
        <v>Q</v>
      </c>
      <c r="K47" s="23">
        <v>38</v>
      </c>
      <c r="L47" s="3" t="str">
        <f>IFERROR(MID(VLOOKUP($B47,Seqs!$A:$B,2,0),M47,1),"")</f>
        <v>N</v>
      </c>
      <c r="M47" s="3">
        <v>39</v>
      </c>
      <c r="N47" s="3" t="str">
        <f>IFERROR(MID(VLOOKUP($B47,Seqs!$A:$B,2,0),O47,1),"")</f>
        <v>G</v>
      </c>
      <c r="O47" s="3">
        <v>69</v>
      </c>
      <c r="P47" s="3" t="str">
        <f>IFERROR(MID(VLOOKUP($B47,Seqs!$A:$B,2,0),Q47,1),"")</f>
        <v>F</v>
      </c>
      <c r="Q47" s="3">
        <v>70</v>
      </c>
      <c r="R47" s="3" t="str">
        <f>IFERROR(MID(VLOOKUP($B47,Seqs!$A:$B,2,0),S47,1),"")</f>
        <v>A</v>
      </c>
      <c r="S47" s="3">
        <v>72</v>
      </c>
      <c r="T47" s="3" t="str">
        <f>IFERROR(MID(VLOOKUP($B47,Seqs!$A:$B,2,0),U47,1),"")</f>
        <v>A</v>
      </c>
      <c r="U47" s="3">
        <v>73</v>
      </c>
      <c r="V47" s="3" t="str">
        <f>IFERROR(MID(VLOOKUP($B47,Seqs!$A:$B,2,0),W47,1),"")</f>
        <v>I</v>
      </c>
      <c r="W47" s="3">
        <v>108</v>
      </c>
      <c r="X47" s="3" t="str">
        <f>IFERROR(MID(VLOOKUP($B47,Seqs!$A:$B,2,0),Y47,1),"")</f>
        <v>P</v>
      </c>
      <c r="Y47" s="3">
        <v>109</v>
      </c>
      <c r="Z47" s="3" t="str">
        <f>IFERROR(MID(VLOOKUP($B47,Seqs!$A:$B,2,0),AA47,1),"")</f>
        <v>V</v>
      </c>
      <c r="AA47" s="3">
        <v>116</v>
      </c>
      <c r="AB47" s="3" t="str">
        <f>IFERROR(MID(VLOOKUP($B47,Seqs!$A:$B,2,0),AC47,1),"")</f>
        <v>T</v>
      </c>
      <c r="AC47" s="9">
        <v>117</v>
      </c>
      <c r="AD47" s="3" t="str">
        <f>IFERROR(MID(VLOOKUP($B47,Seqs!$A:$B,2,0),AE47,1),"")</f>
        <v>G</v>
      </c>
      <c r="AE47" s="3">
        <v>142</v>
      </c>
      <c r="AF47" s="3" t="str">
        <f>IFERROR(MID(VLOOKUP($B47,Seqs!$A:$B,2,0),AG47,1),"")</f>
        <v>C</v>
      </c>
      <c r="AG47" s="3">
        <v>166</v>
      </c>
      <c r="AH47" s="3" t="str">
        <f>IFERROR(MID(VLOOKUP($B47,Seqs!$A:$B,2,0),AI47,1),"")</f>
        <v>F</v>
      </c>
      <c r="AI47" s="3">
        <v>168</v>
      </c>
      <c r="AJ47" s="3" t="str">
        <f>IFERROR(MID(VLOOKUP($B47,Seqs!$A:$B,2,0),AK47,1),"")</f>
        <v>P</v>
      </c>
      <c r="AK47" s="3">
        <v>173</v>
      </c>
      <c r="AL47" s="3" t="str">
        <f>IFERROR(MID(VLOOKUP($B47,Seqs!$A:$B,2,0),AM47,1),"")</f>
        <v>L</v>
      </c>
      <c r="AM47" s="3">
        <v>208</v>
      </c>
      <c r="AN47" s="3" t="str">
        <f>IFERROR(MID(VLOOKUP($B47,Seqs!$A:$B,2,0),AO47,1),"")</f>
        <v>E</v>
      </c>
      <c r="AO47" s="3">
        <v>219</v>
      </c>
      <c r="AP47" s="3" t="str">
        <f>IFERROR(MID(VLOOKUP($B47,Seqs!$A:$B,2,0),AQ47,1),"")</f>
        <v>C</v>
      </c>
      <c r="AQ47" s="3">
        <v>259</v>
      </c>
      <c r="AR47" s="3" t="str">
        <f>IFERROR(MID(VLOOKUP($B47,Seqs!$A:$B,2,0),AS47,1),"")</f>
        <v>P</v>
      </c>
      <c r="AS47" s="3">
        <v>266</v>
      </c>
      <c r="AT47" s="3" t="str">
        <f>IFERROR(MID(VLOOKUP($B47,Seqs!$A:$B,2,0),AU47,1),"")</f>
        <v>R</v>
      </c>
      <c r="AU47" s="3">
        <v>291</v>
      </c>
      <c r="AV47" s="3" t="str">
        <f>IFERROR(MID(VLOOKUP($B47,Seqs!$A:$B,2,0),AW47,1),"")</f>
        <v>I</v>
      </c>
      <c r="AW47" s="3">
        <v>292</v>
      </c>
      <c r="AX47" s="3" t="str">
        <f>IFERROR(MID(VLOOKUP($B47,Seqs!$A:$B,2,0),AY47,1),"")</f>
        <v>V</v>
      </c>
      <c r="AY47" s="3">
        <v>307</v>
      </c>
      <c r="AZ47" s="77" t="str">
        <f>VLOOKUP(B47,Classification!A:D,2,0)</f>
        <v>A</v>
      </c>
      <c r="BA47" s="94" t="str">
        <f>VLOOKUP(B47,Classification!A:D,4,0)</f>
        <v>Adenosine</v>
      </c>
      <c r="BB47" s="27" t="b">
        <f t="shared" si="1"/>
        <v>1</v>
      </c>
      <c r="BC47" s="23">
        <f t="shared" si="225"/>
        <v>263</v>
      </c>
      <c r="BD47" s="5" t="s">
        <v>23</v>
      </c>
      <c r="BE47" s="3" t="s">
        <v>1368</v>
      </c>
      <c r="BF47" s="118">
        <v>1.9</v>
      </c>
      <c r="BG47" s="49" t="s">
        <v>1371</v>
      </c>
      <c r="BH47" s="49" t="s">
        <v>1371</v>
      </c>
      <c r="BI47" s="1"/>
      <c r="BJ47" s="70" t="s">
        <v>1281</v>
      </c>
      <c r="BK47" s="57" t="s">
        <v>1281</v>
      </c>
      <c r="BL47" s="57" t="s">
        <v>1281</v>
      </c>
      <c r="BM47" s="57" t="s">
        <v>1281</v>
      </c>
      <c r="BN47" s="57" t="s">
        <v>1281</v>
      </c>
      <c r="BO47" s="57" t="s">
        <v>1281</v>
      </c>
      <c r="BP47" s="57" t="s">
        <v>1281</v>
      </c>
      <c r="BQ47" s="57" t="s">
        <v>1281</v>
      </c>
      <c r="BR47" s="57" t="s">
        <v>1281</v>
      </c>
      <c r="BS47" s="57" t="s">
        <v>1281</v>
      </c>
      <c r="BT47" s="57" t="s">
        <v>1281</v>
      </c>
      <c r="BU47" s="57" t="s">
        <v>1281</v>
      </c>
      <c r="BV47" s="70">
        <f t="shared" si="226"/>
        <v>2</v>
      </c>
      <c r="BW47" s="71">
        <f t="shared" si="227"/>
        <v>35</v>
      </c>
      <c r="BX47" s="72">
        <f t="shared" si="228"/>
        <v>39</v>
      </c>
      <c r="BY47" s="71">
        <f t="shared" si="229"/>
        <v>70</v>
      </c>
      <c r="BZ47" s="72">
        <f t="shared" si="230"/>
        <v>73</v>
      </c>
      <c r="CA47" s="71">
        <f t="shared" si="231"/>
        <v>109</v>
      </c>
      <c r="CB47" s="72">
        <f t="shared" si="232"/>
        <v>117</v>
      </c>
      <c r="CC47" s="71">
        <f t="shared" si="233"/>
        <v>166</v>
      </c>
      <c r="CD47" s="72">
        <f t="shared" si="234"/>
        <v>173</v>
      </c>
      <c r="CE47" s="71">
        <f t="shared" si="235"/>
        <v>219</v>
      </c>
      <c r="CF47" s="72">
        <f t="shared" si="236"/>
        <v>266</v>
      </c>
      <c r="CG47" s="71">
        <f t="shared" si="237"/>
        <v>292</v>
      </c>
      <c r="CH47" s="70">
        <f t="shared" si="238"/>
        <v>34</v>
      </c>
      <c r="CI47" s="71">
        <f t="shared" si="239"/>
        <v>38</v>
      </c>
      <c r="CJ47" s="72">
        <f t="shared" si="240"/>
        <v>69</v>
      </c>
      <c r="CK47" s="72">
        <f t="shared" si="241"/>
        <v>72</v>
      </c>
      <c r="CL47" s="72">
        <f t="shared" si="242"/>
        <v>108</v>
      </c>
      <c r="CM47" s="72">
        <f t="shared" si="243"/>
        <v>116</v>
      </c>
      <c r="CN47" s="72">
        <f t="shared" si="244"/>
        <v>142</v>
      </c>
      <c r="CO47" s="72">
        <f t="shared" si="245"/>
        <v>168</v>
      </c>
      <c r="CP47" s="72">
        <f t="shared" si="246"/>
        <v>208</v>
      </c>
      <c r="CQ47" s="72">
        <f t="shared" si="247"/>
        <v>259</v>
      </c>
      <c r="CR47" s="72">
        <f t="shared" si="248"/>
        <v>291</v>
      </c>
      <c r="CS47" s="72">
        <f t="shared" si="249"/>
        <v>307</v>
      </c>
      <c r="CT47" s="23">
        <f t="shared" si="250"/>
        <v>1</v>
      </c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</row>
    <row r="48" spans="1:1030" x14ac:dyDescent="0.2">
      <c r="A48" s="3" t="str">
        <f t="shared" ref="A48:A68" si="251">CONCATENATE(B48,"_",C48)</f>
        <v>aa2ar_human_5MZJ</v>
      </c>
      <c r="B48" s="3" t="s">
        <v>139</v>
      </c>
      <c r="C48" s="3" t="s">
        <v>1429</v>
      </c>
      <c r="D48" s="3" t="str">
        <f>IFERROR(MID(VLOOKUP($B48,Seqs!$A:$B,2,0),E48,1),"")</f>
        <v>P</v>
      </c>
      <c r="E48" s="3">
        <v>2</v>
      </c>
      <c r="F48" s="3" t="str">
        <f>IFERROR(MID(VLOOKUP($B48,Seqs!$A:$B,2,0),G48,1),"")</f>
        <v>N</v>
      </c>
      <c r="G48" s="3">
        <v>34</v>
      </c>
      <c r="H48" s="3" t="str">
        <f>IFERROR(MID(VLOOKUP($B48,Seqs!$A:$B,2,0),I48,1),"")</f>
        <v>S</v>
      </c>
      <c r="I48" s="23">
        <v>35</v>
      </c>
      <c r="J48" s="3" t="str">
        <f>IFERROR(MID(VLOOKUP($B48,Seqs!$A:$B,2,0),K48,1),"")</f>
        <v>Q</v>
      </c>
      <c r="K48" s="23">
        <v>38</v>
      </c>
      <c r="L48" s="3" t="str">
        <f>IFERROR(MID(VLOOKUP($B48,Seqs!$A:$B,2,0),M48,1),"")</f>
        <v>N</v>
      </c>
      <c r="M48" s="3">
        <v>39</v>
      </c>
      <c r="N48" s="3" t="str">
        <f>IFERROR(MID(VLOOKUP($B48,Seqs!$A:$B,2,0),O48,1),"")</f>
        <v>G</v>
      </c>
      <c r="O48" s="3">
        <v>69</v>
      </c>
      <c r="P48" s="3" t="str">
        <f>IFERROR(MID(VLOOKUP($B48,Seqs!$A:$B,2,0),Q48,1),"")</f>
        <v>F</v>
      </c>
      <c r="Q48" s="3">
        <v>70</v>
      </c>
      <c r="R48" s="3" t="str">
        <f>IFERROR(MID(VLOOKUP($B48,Seqs!$A:$B,2,0),S48,1),"")</f>
        <v>A</v>
      </c>
      <c r="S48" s="3">
        <v>72</v>
      </c>
      <c r="T48" s="3" t="str">
        <f>IFERROR(MID(VLOOKUP($B48,Seqs!$A:$B,2,0),U48,1),"")</f>
        <v>A</v>
      </c>
      <c r="U48" s="3">
        <v>73</v>
      </c>
      <c r="V48" s="3" t="str">
        <f>IFERROR(MID(VLOOKUP($B48,Seqs!$A:$B,2,0),W48,1),"")</f>
        <v>I</v>
      </c>
      <c r="W48" s="3">
        <v>108</v>
      </c>
      <c r="X48" s="3" t="str">
        <f>IFERROR(MID(VLOOKUP($B48,Seqs!$A:$B,2,0),Y48,1),"")</f>
        <v>P</v>
      </c>
      <c r="Y48" s="3">
        <v>109</v>
      </c>
      <c r="Z48" s="3" t="str">
        <f>IFERROR(MID(VLOOKUP($B48,Seqs!$A:$B,2,0),AA48,1),"")</f>
        <v>V</v>
      </c>
      <c r="AA48" s="3">
        <v>116</v>
      </c>
      <c r="AB48" s="3" t="str">
        <f>IFERROR(MID(VLOOKUP($B48,Seqs!$A:$B,2,0),AC48,1),"")</f>
        <v>T</v>
      </c>
      <c r="AC48" s="3">
        <v>117</v>
      </c>
      <c r="AD48" s="3" t="str">
        <f>IFERROR(MID(VLOOKUP($B48,Seqs!$A:$B,2,0),AE48,1),"")</f>
        <v>G</v>
      </c>
      <c r="AE48" s="3">
        <v>142</v>
      </c>
      <c r="AF48" s="3" t="str">
        <f>IFERROR(MID(VLOOKUP($B48,Seqs!$A:$B,2,0),AG48,1),"")</f>
        <v>C</v>
      </c>
      <c r="AG48" s="3">
        <v>166</v>
      </c>
      <c r="AH48" s="3" t="str">
        <f>IFERROR(MID(VLOOKUP($B48,Seqs!$A:$B,2,0),AI48,1),"")</f>
        <v>F</v>
      </c>
      <c r="AI48" s="3">
        <v>168</v>
      </c>
      <c r="AJ48" s="3" t="str">
        <f>IFERROR(MID(VLOOKUP($B48,Seqs!$A:$B,2,0),AK48,1),"")</f>
        <v>P</v>
      </c>
      <c r="AK48" s="3">
        <v>173</v>
      </c>
      <c r="AL48" s="3" t="str">
        <f>IFERROR(MID(VLOOKUP($B48,Seqs!$A:$B,2,0),AM48,1),"")</f>
        <v>L</v>
      </c>
      <c r="AM48" s="3">
        <v>208</v>
      </c>
      <c r="AN48" s="3" t="str">
        <f>IFERROR(MID(VLOOKUP($B48,Seqs!$A:$B,2,0),AO48,1),"")</f>
        <v>E</v>
      </c>
      <c r="AO48" s="3">
        <v>219</v>
      </c>
      <c r="AP48" s="3" t="str">
        <f>IFERROR(MID(VLOOKUP($B48,Seqs!$A:$B,2,0),AQ48,1),"")</f>
        <v>C</v>
      </c>
      <c r="AQ48" s="3">
        <v>259</v>
      </c>
      <c r="AR48" s="3" t="str">
        <f>IFERROR(MID(VLOOKUP($B48,Seqs!$A:$B,2,0),AS48,1),"")</f>
        <v>P</v>
      </c>
      <c r="AS48" s="3">
        <v>266</v>
      </c>
      <c r="AT48" s="3" t="str">
        <f>IFERROR(MID(VLOOKUP($B48,Seqs!$A:$B,2,0),AU48,1),"")</f>
        <v>R</v>
      </c>
      <c r="AU48" s="3">
        <v>291</v>
      </c>
      <c r="AV48" s="3" t="str">
        <f>IFERROR(MID(VLOOKUP($B48,Seqs!$A:$B,2,0),AW48,1),"")</f>
        <v>I</v>
      </c>
      <c r="AW48" s="3">
        <v>292</v>
      </c>
      <c r="AX48" s="3" t="str">
        <f>IFERROR(MID(VLOOKUP($B48,Seqs!$A:$B,2,0),AY48,1),"")</f>
        <v>S</v>
      </c>
      <c r="AY48" s="3">
        <v>305</v>
      </c>
      <c r="AZ48" s="77" t="str">
        <f>VLOOKUP(B48,Classification!A:D,2,0)</f>
        <v>A</v>
      </c>
      <c r="BA48" s="94" t="str">
        <f>VLOOKUP(B48,Classification!A:D,4,0)</f>
        <v>Adenosine</v>
      </c>
      <c r="BB48" s="27" t="b">
        <f t="shared" ref="BB48:BB68" si="252">AND(E48&lt;G48,OR(G48&lt;I48,I48="-"),OR(I48&lt;K48,I48="-"),OR(K48&lt;M48,K48="-"),M48&lt;O48,OR(O48&lt;Q48,Q48="-"),OR(Q48&lt;S48,Q48="-"),OR(S48&lt;U48,S48="-"),U48&lt;W48,OR(W48&lt;Y48,Y48="-"),OR(Y48&lt;AA48,Y48="-"),OR(AA48&lt;AC48,AA48="-"),AC48&lt;AE48,OR(AE48&lt;AG48,AG48="-"),OR(AG48&lt;AI48,AG48="-"),OR(AI48&lt;AK48,AI48="-"),AK48&lt;AM48,AM48&lt;AO48,AO48&lt;AQ48,AQ48&lt;AS48,AS48&lt;AU48,OR(AU48&lt;AW48,AW48="-"),OR(AW48&lt;AY48,AW48="-"))</f>
        <v>1</v>
      </c>
      <c r="BC48" s="23">
        <f t="shared" ref="BC48:BC68" si="253">_xlfn.AGGREGATE(9,6,CH48:CS48)-_xlfn.AGGREGATE(9,6,BV48:CG48)+12</f>
        <v>261</v>
      </c>
      <c r="BD48" s="5" t="s">
        <v>23</v>
      </c>
      <c r="BE48" s="3" t="s">
        <v>1368</v>
      </c>
      <c r="BF48" s="118">
        <v>2</v>
      </c>
      <c r="BG48" s="49" t="s">
        <v>1</v>
      </c>
      <c r="BH48" s="49" t="s">
        <v>1</v>
      </c>
      <c r="BI48" s="1"/>
      <c r="BJ48" s="70" t="s">
        <v>1281</v>
      </c>
      <c r="BK48" s="57" t="s">
        <v>1281</v>
      </c>
      <c r="BL48" s="57" t="s">
        <v>1281</v>
      </c>
      <c r="BM48" s="57" t="s">
        <v>1281</v>
      </c>
      <c r="BN48" s="57" t="s">
        <v>1281</v>
      </c>
      <c r="BO48" s="57" t="s">
        <v>1281</v>
      </c>
      <c r="BP48" s="57" t="s">
        <v>1281</v>
      </c>
      <c r="BQ48" s="57" t="s">
        <v>1281</v>
      </c>
      <c r="BR48" s="57" t="s">
        <v>1281</v>
      </c>
      <c r="BS48" s="57" t="s">
        <v>1281</v>
      </c>
      <c r="BT48" s="57" t="s">
        <v>1281</v>
      </c>
      <c r="BU48" s="57" t="s">
        <v>1281</v>
      </c>
      <c r="BV48" s="70">
        <f t="shared" ref="BV48:BV68" si="254">E48</f>
        <v>2</v>
      </c>
      <c r="BW48" s="71">
        <f t="shared" ref="BW48:BW68" si="255">I48</f>
        <v>35</v>
      </c>
      <c r="BX48" s="72">
        <f t="shared" ref="BX48:BX68" si="256">M48</f>
        <v>39</v>
      </c>
      <c r="BY48" s="71">
        <f t="shared" ref="BY48:BY68" si="257">Q48</f>
        <v>70</v>
      </c>
      <c r="BZ48" s="72">
        <f t="shared" ref="BZ48:BZ68" si="258">U48</f>
        <v>73</v>
      </c>
      <c r="CA48" s="71">
        <f t="shared" ref="CA48:CA68" si="259">Y48</f>
        <v>109</v>
      </c>
      <c r="CB48" s="72">
        <f t="shared" ref="CB48:CB68" si="260">AC48</f>
        <v>117</v>
      </c>
      <c r="CC48" s="71">
        <f t="shared" ref="CC48:CC68" si="261">AG48</f>
        <v>166</v>
      </c>
      <c r="CD48" s="72">
        <f t="shared" ref="CD48:CD68" si="262">AK48</f>
        <v>173</v>
      </c>
      <c r="CE48" s="71">
        <f t="shared" ref="CE48:CE68" si="263">AO48</f>
        <v>219</v>
      </c>
      <c r="CF48" s="72">
        <f t="shared" ref="CF48:CF68" si="264">AS48</f>
        <v>266</v>
      </c>
      <c r="CG48" s="71">
        <f t="shared" ref="CG48:CG68" si="265">AW48</f>
        <v>292</v>
      </c>
      <c r="CH48" s="70">
        <f t="shared" ref="CH48:CH68" si="266">G48</f>
        <v>34</v>
      </c>
      <c r="CI48" s="71">
        <f t="shared" ref="CI48:CI68" si="267">K48</f>
        <v>38</v>
      </c>
      <c r="CJ48" s="72">
        <f t="shared" ref="CJ48:CJ68" si="268">O48</f>
        <v>69</v>
      </c>
      <c r="CK48" s="72">
        <f t="shared" ref="CK48:CK68" si="269">S48</f>
        <v>72</v>
      </c>
      <c r="CL48" s="72">
        <f t="shared" ref="CL48:CL68" si="270">W48</f>
        <v>108</v>
      </c>
      <c r="CM48" s="72">
        <f t="shared" ref="CM48:CM68" si="271">AA48</f>
        <v>116</v>
      </c>
      <c r="CN48" s="72">
        <f t="shared" ref="CN48:CN68" si="272">AE48</f>
        <v>142</v>
      </c>
      <c r="CO48" s="72">
        <f t="shared" ref="CO48:CO68" si="273">AI48</f>
        <v>168</v>
      </c>
      <c r="CP48" s="72">
        <f t="shared" ref="CP48:CP68" si="274">AM48</f>
        <v>208</v>
      </c>
      <c r="CQ48" s="72">
        <f t="shared" ref="CQ48:CQ68" si="275">AQ48</f>
        <v>259</v>
      </c>
      <c r="CR48" s="72">
        <f t="shared" ref="CR48:CR68" si="276">AU48</f>
        <v>291</v>
      </c>
      <c r="CS48" s="72">
        <f t="shared" ref="CS48:CS68" si="277">AY48</f>
        <v>305</v>
      </c>
      <c r="CT48" s="23">
        <f t="shared" ref="CT48:CT68" si="278">M48-K48</f>
        <v>1</v>
      </c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</row>
    <row r="49" spans="1:1029" x14ac:dyDescent="0.2">
      <c r="A49" s="3" t="str">
        <f t="shared" si="251"/>
        <v>aa2ar_human_5MZP</v>
      </c>
      <c r="B49" s="3" t="s">
        <v>139</v>
      </c>
      <c r="C49" s="3" t="s">
        <v>1430</v>
      </c>
      <c r="D49" s="3" t="str">
        <f>IFERROR(MID(VLOOKUP($B49,Seqs!$A:$B,2,0),E49,1),"")</f>
        <v>P</v>
      </c>
      <c r="E49" s="3">
        <v>2</v>
      </c>
      <c r="F49" s="3" t="str">
        <f>IFERROR(MID(VLOOKUP($B49,Seqs!$A:$B,2,0),G49,1),"")</f>
        <v>N</v>
      </c>
      <c r="G49" s="3">
        <v>34</v>
      </c>
      <c r="H49" s="3" t="str">
        <f>IFERROR(MID(VLOOKUP($B49,Seqs!$A:$B,2,0),I49,1),"")</f>
        <v>S</v>
      </c>
      <c r="I49" s="23">
        <v>35</v>
      </c>
      <c r="J49" s="3" t="str">
        <f>IFERROR(MID(VLOOKUP($B49,Seqs!$A:$B,2,0),K49,1),"")</f>
        <v>Q</v>
      </c>
      <c r="K49" s="23">
        <v>38</v>
      </c>
      <c r="L49" s="3" t="str">
        <f>IFERROR(MID(VLOOKUP($B49,Seqs!$A:$B,2,0),M49,1),"")</f>
        <v>N</v>
      </c>
      <c r="M49" s="3">
        <v>39</v>
      </c>
      <c r="N49" s="3" t="str">
        <f>IFERROR(MID(VLOOKUP($B49,Seqs!$A:$B,2,0),O49,1),"")</f>
        <v>G</v>
      </c>
      <c r="O49" s="3">
        <v>69</v>
      </c>
      <c r="P49" s="3" t="str">
        <f>IFERROR(MID(VLOOKUP($B49,Seqs!$A:$B,2,0),Q49,1),"")</f>
        <v>F</v>
      </c>
      <c r="Q49" s="3">
        <v>70</v>
      </c>
      <c r="R49" s="3" t="str">
        <f>IFERROR(MID(VLOOKUP($B49,Seqs!$A:$B,2,0),S49,1),"")</f>
        <v>A</v>
      </c>
      <c r="S49" s="3">
        <v>72</v>
      </c>
      <c r="T49" s="3" t="str">
        <f>IFERROR(MID(VLOOKUP($B49,Seqs!$A:$B,2,0),U49,1),"")</f>
        <v>A</v>
      </c>
      <c r="U49" s="3">
        <v>73</v>
      </c>
      <c r="V49" s="3" t="str">
        <f>IFERROR(MID(VLOOKUP($B49,Seqs!$A:$B,2,0),W49,1),"")</f>
        <v>I</v>
      </c>
      <c r="W49" s="3">
        <v>108</v>
      </c>
      <c r="X49" s="3" t="str">
        <f>IFERROR(MID(VLOOKUP($B49,Seqs!$A:$B,2,0),Y49,1),"")</f>
        <v>P</v>
      </c>
      <c r="Y49" s="3">
        <v>109</v>
      </c>
      <c r="Z49" s="3" t="str">
        <f>IFERROR(MID(VLOOKUP($B49,Seqs!$A:$B,2,0),AA49,1),"")</f>
        <v>V</v>
      </c>
      <c r="AA49" s="3">
        <v>116</v>
      </c>
      <c r="AB49" s="3" t="str">
        <f>IFERROR(MID(VLOOKUP($B49,Seqs!$A:$B,2,0),AC49,1),"")</f>
        <v>T</v>
      </c>
      <c r="AC49" s="3">
        <v>117</v>
      </c>
      <c r="AD49" s="3" t="str">
        <f>IFERROR(MID(VLOOKUP($B49,Seqs!$A:$B,2,0),AE49,1),"")</f>
        <v>G</v>
      </c>
      <c r="AE49" s="3">
        <v>142</v>
      </c>
      <c r="AF49" s="3" t="str">
        <f>IFERROR(MID(VLOOKUP($B49,Seqs!$A:$B,2,0),AG49,1),"")</f>
        <v>C</v>
      </c>
      <c r="AG49" s="3">
        <v>166</v>
      </c>
      <c r="AH49" s="3" t="str">
        <f>IFERROR(MID(VLOOKUP($B49,Seqs!$A:$B,2,0),AI49,1),"")</f>
        <v>F</v>
      </c>
      <c r="AI49" s="3">
        <v>168</v>
      </c>
      <c r="AJ49" s="3" t="str">
        <f>IFERROR(MID(VLOOKUP($B49,Seqs!$A:$B,2,0),AK49,1),"")</f>
        <v>P</v>
      </c>
      <c r="AK49" s="3">
        <v>173</v>
      </c>
      <c r="AL49" s="3" t="str">
        <f>IFERROR(MID(VLOOKUP($B49,Seqs!$A:$B,2,0),AM49,1),"")</f>
        <v>L</v>
      </c>
      <c r="AM49" s="3">
        <v>208</v>
      </c>
      <c r="AN49" s="3" t="str">
        <f>IFERROR(MID(VLOOKUP($B49,Seqs!$A:$B,2,0),AO49,1),"")</f>
        <v>E</v>
      </c>
      <c r="AO49" s="3">
        <v>219</v>
      </c>
      <c r="AP49" s="3" t="str">
        <f>IFERROR(MID(VLOOKUP($B49,Seqs!$A:$B,2,0),AQ49,1),"")</f>
        <v>C</v>
      </c>
      <c r="AQ49" s="3">
        <v>259</v>
      </c>
      <c r="AR49" s="3" t="str">
        <f>IFERROR(MID(VLOOKUP($B49,Seqs!$A:$B,2,0),AS49,1),"")</f>
        <v>P</v>
      </c>
      <c r="AS49" s="3">
        <v>266</v>
      </c>
      <c r="AT49" s="3" t="str">
        <f>IFERROR(MID(VLOOKUP($B49,Seqs!$A:$B,2,0),AU49,1),"")</f>
        <v>R</v>
      </c>
      <c r="AU49" s="3">
        <v>291</v>
      </c>
      <c r="AV49" s="3" t="str">
        <f>IFERROR(MID(VLOOKUP($B49,Seqs!$A:$B,2,0),AW49,1),"")</f>
        <v>I</v>
      </c>
      <c r="AW49" s="3">
        <v>292</v>
      </c>
      <c r="AX49" s="3" t="str">
        <f>IFERROR(MID(VLOOKUP($B49,Seqs!$A:$B,2,0),AY49,1),"")</f>
        <v>S</v>
      </c>
      <c r="AY49" s="3">
        <v>305</v>
      </c>
      <c r="AZ49" s="77" t="str">
        <f>VLOOKUP(B49,Classification!A:D,2,0)</f>
        <v>A</v>
      </c>
      <c r="BA49" s="94" t="str">
        <f>VLOOKUP(B49,Classification!A:D,4,0)</f>
        <v>Adenosine</v>
      </c>
      <c r="BB49" s="27" t="b">
        <f t="shared" si="252"/>
        <v>1</v>
      </c>
      <c r="BC49" s="23">
        <f t="shared" si="253"/>
        <v>261</v>
      </c>
      <c r="BD49" s="5" t="s">
        <v>23</v>
      </c>
      <c r="BE49" s="3" t="s">
        <v>1368</v>
      </c>
      <c r="BF49" s="118">
        <v>3</v>
      </c>
      <c r="BG49" s="49" t="s">
        <v>1</v>
      </c>
      <c r="BH49" s="49" t="s">
        <v>1</v>
      </c>
      <c r="BI49" s="1"/>
      <c r="BJ49" s="70" t="s">
        <v>1281</v>
      </c>
      <c r="BK49" s="57" t="s">
        <v>1281</v>
      </c>
      <c r="BL49" s="57" t="s">
        <v>1281</v>
      </c>
      <c r="BM49" s="57" t="s">
        <v>1281</v>
      </c>
      <c r="BN49" s="57" t="s">
        <v>1281</v>
      </c>
      <c r="BO49" s="57" t="s">
        <v>1281</v>
      </c>
      <c r="BP49" s="57" t="s">
        <v>1281</v>
      </c>
      <c r="BQ49" s="57" t="s">
        <v>1281</v>
      </c>
      <c r="BR49" s="57" t="s">
        <v>1281</v>
      </c>
      <c r="BS49" s="57" t="s">
        <v>1281</v>
      </c>
      <c r="BT49" s="57" t="s">
        <v>1281</v>
      </c>
      <c r="BU49" s="57" t="s">
        <v>1281</v>
      </c>
      <c r="BV49" s="70">
        <f t="shared" si="254"/>
        <v>2</v>
      </c>
      <c r="BW49" s="71">
        <f t="shared" si="255"/>
        <v>35</v>
      </c>
      <c r="BX49" s="72">
        <f t="shared" si="256"/>
        <v>39</v>
      </c>
      <c r="BY49" s="71">
        <f t="shared" si="257"/>
        <v>70</v>
      </c>
      <c r="BZ49" s="72">
        <f t="shared" si="258"/>
        <v>73</v>
      </c>
      <c r="CA49" s="71">
        <f t="shared" si="259"/>
        <v>109</v>
      </c>
      <c r="CB49" s="72">
        <f t="shared" si="260"/>
        <v>117</v>
      </c>
      <c r="CC49" s="71">
        <f t="shared" si="261"/>
        <v>166</v>
      </c>
      <c r="CD49" s="72">
        <f t="shared" si="262"/>
        <v>173</v>
      </c>
      <c r="CE49" s="71">
        <f t="shared" si="263"/>
        <v>219</v>
      </c>
      <c r="CF49" s="72">
        <f t="shared" si="264"/>
        <v>266</v>
      </c>
      <c r="CG49" s="71">
        <f t="shared" si="265"/>
        <v>292</v>
      </c>
      <c r="CH49" s="70">
        <f t="shared" si="266"/>
        <v>34</v>
      </c>
      <c r="CI49" s="71">
        <f t="shared" si="267"/>
        <v>38</v>
      </c>
      <c r="CJ49" s="72">
        <f t="shared" si="268"/>
        <v>69</v>
      </c>
      <c r="CK49" s="72">
        <f t="shared" si="269"/>
        <v>72</v>
      </c>
      <c r="CL49" s="72">
        <f t="shared" si="270"/>
        <v>108</v>
      </c>
      <c r="CM49" s="72">
        <f t="shared" si="271"/>
        <v>116</v>
      </c>
      <c r="CN49" s="72">
        <f t="shared" si="272"/>
        <v>142</v>
      </c>
      <c r="CO49" s="72">
        <f t="shared" si="273"/>
        <v>168</v>
      </c>
      <c r="CP49" s="72">
        <f t="shared" si="274"/>
        <v>208</v>
      </c>
      <c r="CQ49" s="72">
        <f t="shared" si="275"/>
        <v>259</v>
      </c>
      <c r="CR49" s="72">
        <f t="shared" si="276"/>
        <v>291</v>
      </c>
      <c r="CS49" s="72">
        <f t="shared" si="277"/>
        <v>305</v>
      </c>
      <c r="CT49" s="23">
        <f t="shared" si="278"/>
        <v>1</v>
      </c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</row>
    <row r="50" spans="1:1029" x14ac:dyDescent="0.2">
      <c r="A50" s="3" t="str">
        <f t="shared" si="251"/>
        <v>aa2ar_human_5N2R</v>
      </c>
      <c r="B50" s="3" t="s">
        <v>139</v>
      </c>
      <c r="C50" s="3" t="s">
        <v>1424</v>
      </c>
      <c r="D50" s="3" t="str">
        <f>IFERROR(MID(VLOOKUP($B50,Seqs!$A:$B,2,0),E50,1),"")</f>
        <v>P</v>
      </c>
      <c r="E50" s="3">
        <v>2</v>
      </c>
      <c r="F50" s="3" t="str">
        <f>IFERROR(MID(VLOOKUP($B50,Seqs!$A:$B,2,0),G50,1),"")</f>
        <v>N</v>
      </c>
      <c r="G50" s="3">
        <v>34</v>
      </c>
      <c r="H50" s="3" t="str">
        <f>IFERROR(MID(VLOOKUP($B50,Seqs!$A:$B,2,0),I50,1),"")</f>
        <v>S</v>
      </c>
      <c r="I50" s="23">
        <v>35</v>
      </c>
      <c r="J50" s="3" t="str">
        <f>IFERROR(MID(VLOOKUP($B50,Seqs!$A:$B,2,0),K50,1),"")</f>
        <v>Q</v>
      </c>
      <c r="K50" s="23">
        <v>38</v>
      </c>
      <c r="L50" s="3" t="str">
        <f>IFERROR(MID(VLOOKUP($B50,Seqs!$A:$B,2,0),M50,1),"")</f>
        <v>N</v>
      </c>
      <c r="M50" s="3">
        <v>39</v>
      </c>
      <c r="N50" s="3" t="str">
        <f>IFERROR(MID(VLOOKUP($B50,Seqs!$A:$B,2,0),O50,1),"")</f>
        <v>G</v>
      </c>
      <c r="O50" s="3">
        <v>69</v>
      </c>
      <c r="P50" s="3" t="str">
        <f>IFERROR(MID(VLOOKUP($B50,Seqs!$A:$B,2,0),Q50,1),"")</f>
        <v>F</v>
      </c>
      <c r="Q50" s="3">
        <v>70</v>
      </c>
      <c r="R50" s="3" t="str">
        <f>IFERROR(MID(VLOOKUP($B50,Seqs!$A:$B,2,0),S50,1),"")</f>
        <v>A</v>
      </c>
      <c r="S50" s="3">
        <v>72</v>
      </c>
      <c r="T50" s="3" t="str">
        <f>IFERROR(MID(VLOOKUP($B50,Seqs!$A:$B,2,0),U50,1),"")</f>
        <v>A</v>
      </c>
      <c r="U50" s="3">
        <v>73</v>
      </c>
      <c r="V50" s="3" t="str">
        <f>IFERROR(MID(VLOOKUP($B50,Seqs!$A:$B,2,0),W50,1),"")</f>
        <v>I</v>
      </c>
      <c r="W50" s="3">
        <v>108</v>
      </c>
      <c r="X50" s="3" t="str">
        <f>IFERROR(MID(VLOOKUP($B50,Seqs!$A:$B,2,0),Y50,1),"")</f>
        <v>P</v>
      </c>
      <c r="Y50" s="3">
        <v>109</v>
      </c>
      <c r="Z50" s="3" t="str">
        <f>IFERROR(MID(VLOOKUP($B50,Seqs!$A:$B,2,0),AA50,1),"")</f>
        <v>V</v>
      </c>
      <c r="AA50" s="3">
        <v>116</v>
      </c>
      <c r="AB50" s="3" t="str">
        <f>IFERROR(MID(VLOOKUP($B50,Seqs!$A:$B,2,0),AC50,1),"")</f>
        <v>T</v>
      </c>
      <c r="AC50" s="3">
        <v>117</v>
      </c>
      <c r="AD50" s="3" t="str">
        <f>IFERROR(MID(VLOOKUP($B50,Seqs!$A:$B,2,0),AE50,1),"")</f>
        <v>G</v>
      </c>
      <c r="AE50" s="3">
        <v>142</v>
      </c>
      <c r="AF50" s="3" t="str">
        <f>IFERROR(MID(VLOOKUP($B50,Seqs!$A:$B,2,0),AG50,1),"")</f>
        <v>C</v>
      </c>
      <c r="AG50" s="3">
        <v>166</v>
      </c>
      <c r="AH50" s="3" t="str">
        <f>IFERROR(MID(VLOOKUP($B50,Seqs!$A:$B,2,0),AI50,1),"")</f>
        <v>F</v>
      </c>
      <c r="AI50" s="3">
        <v>168</v>
      </c>
      <c r="AJ50" s="3" t="str">
        <f>IFERROR(MID(VLOOKUP($B50,Seqs!$A:$B,2,0),AK50,1),"")</f>
        <v>P</v>
      </c>
      <c r="AK50" s="3">
        <v>173</v>
      </c>
      <c r="AL50" s="3" t="str">
        <f>IFERROR(MID(VLOOKUP($B50,Seqs!$A:$B,2,0),AM50,1),"")</f>
        <v>L</v>
      </c>
      <c r="AM50" s="3">
        <v>208</v>
      </c>
      <c r="AN50" s="3" t="str">
        <f>IFERROR(MID(VLOOKUP($B50,Seqs!$A:$B,2,0),AO50,1),"")</f>
        <v>E</v>
      </c>
      <c r="AO50" s="3">
        <v>219</v>
      </c>
      <c r="AP50" s="3" t="str">
        <f>IFERROR(MID(VLOOKUP($B50,Seqs!$A:$B,2,0),AQ50,1),"")</f>
        <v>C</v>
      </c>
      <c r="AQ50" s="3">
        <v>259</v>
      </c>
      <c r="AR50" s="3" t="str">
        <f>IFERROR(MID(VLOOKUP($B50,Seqs!$A:$B,2,0),AS50,1),"")</f>
        <v>P</v>
      </c>
      <c r="AS50" s="3">
        <v>266</v>
      </c>
      <c r="AT50" s="3" t="str">
        <f>IFERROR(MID(VLOOKUP($B50,Seqs!$A:$B,2,0),AU50,1),"")</f>
        <v>R</v>
      </c>
      <c r="AU50" s="3">
        <v>291</v>
      </c>
      <c r="AV50" s="3" t="str">
        <f>IFERROR(MID(VLOOKUP($B50,Seqs!$A:$B,2,0),AW50,1),"")</f>
        <v>I</v>
      </c>
      <c r="AW50" s="3">
        <v>292</v>
      </c>
      <c r="AX50" s="3" t="str">
        <f>IFERROR(MID(VLOOKUP($B50,Seqs!$A:$B,2,0),AY50,1),"")</f>
        <v>S</v>
      </c>
      <c r="AY50" s="3">
        <v>305</v>
      </c>
      <c r="AZ50" s="77" t="str">
        <f>VLOOKUP(B50,Classification!A:D,2,0)</f>
        <v>A</v>
      </c>
      <c r="BA50" s="94" t="str">
        <f>VLOOKUP(B50,Classification!A:D,4,0)</f>
        <v>Adenosine</v>
      </c>
      <c r="BB50" s="27" t="b">
        <f t="shared" si="252"/>
        <v>1</v>
      </c>
      <c r="BC50" s="23">
        <f t="shared" si="253"/>
        <v>261</v>
      </c>
      <c r="BD50" s="5" t="s">
        <v>23</v>
      </c>
      <c r="BE50" s="3" t="s">
        <v>1368</v>
      </c>
      <c r="BF50" s="118">
        <v>2.9</v>
      </c>
      <c r="BG50" s="49" t="s">
        <v>1</v>
      </c>
      <c r="BH50" s="49" t="s">
        <v>1</v>
      </c>
      <c r="BI50" s="1"/>
      <c r="BJ50" s="70" t="s">
        <v>1281</v>
      </c>
      <c r="BK50" s="57" t="s">
        <v>1281</v>
      </c>
      <c r="BL50" s="57" t="s">
        <v>1281</v>
      </c>
      <c r="BM50" s="57" t="s">
        <v>1281</v>
      </c>
      <c r="BN50" s="57" t="s">
        <v>1281</v>
      </c>
      <c r="BO50" s="57" t="s">
        <v>1281</v>
      </c>
      <c r="BP50" s="57" t="s">
        <v>1281</v>
      </c>
      <c r="BQ50" s="57" t="s">
        <v>1281</v>
      </c>
      <c r="BR50" s="57" t="s">
        <v>1281</v>
      </c>
      <c r="BS50" s="57" t="s">
        <v>1281</v>
      </c>
      <c r="BT50" s="57" t="s">
        <v>1281</v>
      </c>
      <c r="BU50" s="57" t="s">
        <v>1281</v>
      </c>
      <c r="BV50" s="70">
        <f t="shared" si="254"/>
        <v>2</v>
      </c>
      <c r="BW50" s="71">
        <f t="shared" si="255"/>
        <v>35</v>
      </c>
      <c r="BX50" s="72">
        <f t="shared" si="256"/>
        <v>39</v>
      </c>
      <c r="BY50" s="71">
        <f t="shared" si="257"/>
        <v>70</v>
      </c>
      <c r="BZ50" s="72">
        <f t="shared" si="258"/>
        <v>73</v>
      </c>
      <c r="CA50" s="71">
        <f t="shared" si="259"/>
        <v>109</v>
      </c>
      <c r="CB50" s="72">
        <f t="shared" si="260"/>
        <v>117</v>
      </c>
      <c r="CC50" s="71">
        <f t="shared" si="261"/>
        <v>166</v>
      </c>
      <c r="CD50" s="72">
        <f t="shared" si="262"/>
        <v>173</v>
      </c>
      <c r="CE50" s="71">
        <f t="shared" si="263"/>
        <v>219</v>
      </c>
      <c r="CF50" s="72">
        <f t="shared" si="264"/>
        <v>266</v>
      </c>
      <c r="CG50" s="71">
        <f t="shared" si="265"/>
        <v>292</v>
      </c>
      <c r="CH50" s="70">
        <f t="shared" si="266"/>
        <v>34</v>
      </c>
      <c r="CI50" s="71">
        <f t="shared" si="267"/>
        <v>38</v>
      </c>
      <c r="CJ50" s="72">
        <f t="shared" si="268"/>
        <v>69</v>
      </c>
      <c r="CK50" s="72">
        <f t="shared" si="269"/>
        <v>72</v>
      </c>
      <c r="CL50" s="72">
        <f t="shared" si="270"/>
        <v>108</v>
      </c>
      <c r="CM50" s="72">
        <f t="shared" si="271"/>
        <v>116</v>
      </c>
      <c r="CN50" s="72">
        <f t="shared" si="272"/>
        <v>142</v>
      </c>
      <c r="CO50" s="72">
        <f t="shared" si="273"/>
        <v>168</v>
      </c>
      <c r="CP50" s="72">
        <f t="shared" si="274"/>
        <v>208</v>
      </c>
      <c r="CQ50" s="72">
        <f t="shared" si="275"/>
        <v>259</v>
      </c>
      <c r="CR50" s="72">
        <f t="shared" si="276"/>
        <v>291</v>
      </c>
      <c r="CS50" s="72">
        <f t="shared" si="277"/>
        <v>305</v>
      </c>
      <c r="CT50" s="23">
        <f t="shared" si="278"/>
        <v>1</v>
      </c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</row>
    <row r="51" spans="1:1029" x14ac:dyDescent="0.2">
      <c r="A51" s="3" t="str">
        <f t="shared" si="251"/>
        <v>aa2ar_human_5UIG</v>
      </c>
      <c r="B51" s="3" t="s">
        <v>139</v>
      </c>
      <c r="C51" s="3" t="s">
        <v>1381</v>
      </c>
      <c r="D51" s="3" t="str">
        <f>IFERROR(MID(VLOOKUP($B51,Seqs!$A:$B,2,0),E51,1),"")</f>
        <v>M</v>
      </c>
      <c r="E51" s="3">
        <v>4</v>
      </c>
      <c r="F51" s="3" t="str">
        <f>IFERROR(MID(VLOOKUP($B51,Seqs!$A:$B,2,0),G51,1),"")</f>
        <v>N</v>
      </c>
      <c r="G51" s="3">
        <v>34</v>
      </c>
      <c r="H51" s="3" t="str">
        <f>IFERROR(MID(VLOOKUP($B51,Seqs!$A:$B,2,0),I51,1),"")</f>
        <v>S</v>
      </c>
      <c r="I51" s="23">
        <v>35</v>
      </c>
      <c r="J51" s="3" t="str">
        <f>IFERROR(MID(VLOOKUP($B51,Seqs!$A:$B,2,0),K51,1),"")</f>
        <v>Q</v>
      </c>
      <c r="K51" s="23">
        <v>38</v>
      </c>
      <c r="L51" s="3" t="str">
        <f>IFERROR(MID(VLOOKUP($B51,Seqs!$A:$B,2,0),M51,1),"")</f>
        <v>N</v>
      </c>
      <c r="M51" s="3">
        <v>39</v>
      </c>
      <c r="N51" s="3" t="str">
        <f>IFERROR(MID(VLOOKUP($B51,Seqs!$A:$B,2,0),O51,1),"")</f>
        <v>G</v>
      </c>
      <c r="O51" s="3">
        <v>69</v>
      </c>
      <c r="P51" s="3" t="str">
        <f>IFERROR(MID(VLOOKUP($B51,Seqs!$A:$B,2,0),Q51,1),"")</f>
        <v>F</v>
      </c>
      <c r="Q51" s="3">
        <v>70</v>
      </c>
      <c r="R51" s="3" t="str">
        <f>IFERROR(MID(VLOOKUP($B51,Seqs!$A:$B,2,0),S51,1),"")</f>
        <v>A</v>
      </c>
      <c r="S51" s="3">
        <v>72</v>
      </c>
      <c r="T51" s="3" t="str">
        <f>IFERROR(MID(VLOOKUP($B51,Seqs!$A:$B,2,0),U51,1),"")</f>
        <v>A</v>
      </c>
      <c r="U51" s="3">
        <v>73</v>
      </c>
      <c r="V51" s="3" t="str">
        <f>IFERROR(MID(VLOOKUP($B51,Seqs!$A:$B,2,0),W51,1),"")</f>
        <v>I</v>
      </c>
      <c r="W51" s="3">
        <v>108</v>
      </c>
      <c r="X51" s="3" t="str">
        <f>IFERROR(MID(VLOOKUP($B51,Seqs!$A:$B,2,0),Y51,1),"")</f>
        <v>P</v>
      </c>
      <c r="Y51" s="3">
        <v>109</v>
      </c>
      <c r="Z51" s="3" t="str">
        <f>IFERROR(MID(VLOOKUP($B51,Seqs!$A:$B,2,0),AA51,1),"")</f>
        <v>V</v>
      </c>
      <c r="AA51" s="3">
        <v>116</v>
      </c>
      <c r="AB51" s="3" t="str">
        <f>IFERROR(MID(VLOOKUP($B51,Seqs!$A:$B,2,0),AC51,1),"")</f>
        <v>T</v>
      </c>
      <c r="AC51" s="3">
        <v>117</v>
      </c>
      <c r="AD51" s="3" t="str">
        <f>IFERROR(MID(VLOOKUP($B51,Seqs!$A:$B,2,0),AE51,1),"")</f>
        <v>G</v>
      </c>
      <c r="AE51" s="3">
        <v>142</v>
      </c>
      <c r="AF51" s="3" t="str">
        <f>IFERROR(MID(VLOOKUP($B51,Seqs!$A:$B,2,0),AG51,1),"")</f>
        <v>C</v>
      </c>
      <c r="AG51" s="3">
        <v>166</v>
      </c>
      <c r="AH51" s="3" t="str">
        <f>IFERROR(MID(VLOOKUP($B51,Seqs!$A:$B,2,0),AI51,1),"")</f>
        <v>F</v>
      </c>
      <c r="AI51" s="3">
        <v>168</v>
      </c>
      <c r="AJ51" s="3" t="str">
        <f>IFERROR(MID(VLOOKUP($B51,Seqs!$A:$B,2,0),AK51,1),"")</f>
        <v>P</v>
      </c>
      <c r="AK51" s="3">
        <v>173</v>
      </c>
      <c r="AL51" s="3" t="str">
        <f>IFERROR(MID(VLOOKUP($B51,Seqs!$A:$B,2,0),AM51,1),"")</f>
        <v>L</v>
      </c>
      <c r="AM51" s="3">
        <v>208</v>
      </c>
      <c r="AN51" s="3" t="str">
        <f>IFERROR(MID(VLOOKUP($B51,Seqs!$A:$B,2,0),AO51,1),"")</f>
        <v>E</v>
      </c>
      <c r="AO51" s="3">
        <v>219</v>
      </c>
      <c r="AP51" s="3" t="str">
        <f>IFERROR(MID(VLOOKUP($B51,Seqs!$A:$B,2,0),AQ51,1),"")</f>
        <v>C</v>
      </c>
      <c r="AQ51" s="3">
        <v>259</v>
      </c>
      <c r="AR51" s="3" t="str">
        <f>IFERROR(MID(VLOOKUP($B51,Seqs!$A:$B,2,0),AS51,1),"")</f>
        <v>P</v>
      </c>
      <c r="AS51" s="3">
        <v>266</v>
      </c>
      <c r="AT51" s="3" t="str">
        <f>IFERROR(MID(VLOOKUP($B51,Seqs!$A:$B,2,0),AU51,1),"")</f>
        <v>R</v>
      </c>
      <c r="AU51" s="3">
        <v>291</v>
      </c>
      <c r="AV51" s="3" t="str">
        <f>IFERROR(MID(VLOOKUP($B51,Seqs!$A:$B,2,0),AW51,1),"")</f>
        <v>I</v>
      </c>
      <c r="AW51" s="3">
        <v>292</v>
      </c>
      <c r="AX51" s="3" t="str">
        <f>IFERROR(MID(VLOOKUP($B51,Seqs!$A:$B,2,0),AY51,1),"")</f>
        <v>Q</v>
      </c>
      <c r="AY51" s="3">
        <v>297</v>
      </c>
      <c r="AZ51" s="77" t="str">
        <f>VLOOKUP(B51,Classification!A:D,2,0)</f>
        <v>A</v>
      </c>
      <c r="BA51" s="94" t="str">
        <f>VLOOKUP(B51,Classification!A:D,4,0)</f>
        <v>Adenosine</v>
      </c>
      <c r="BB51" s="27" t="b">
        <f t="shared" si="252"/>
        <v>1</v>
      </c>
      <c r="BC51" s="23">
        <f t="shared" si="253"/>
        <v>251</v>
      </c>
      <c r="BD51" s="5" t="s">
        <v>23</v>
      </c>
      <c r="BE51" s="3" t="s">
        <v>1368</v>
      </c>
      <c r="BF51" s="118">
        <v>3.5</v>
      </c>
      <c r="BG51" s="49" t="s">
        <v>1371</v>
      </c>
      <c r="BH51" s="49" t="s">
        <v>1371</v>
      </c>
      <c r="BI51" s="1"/>
      <c r="BJ51" s="70" t="s">
        <v>1281</v>
      </c>
      <c r="BK51" s="57" t="s">
        <v>1281</v>
      </c>
      <c r="BL51" s="57" t="s">
        <v>1281</v>
      </c>
      <c r="BM51" s="57" t="s">
        <v>1281</v>
      </c>
      <c r="BN51" s="57" t="s">
        <v>1281</v>
      </c>
      <c r="BO51" s="57" t="s">
        <v>1281</v>
      </c>
      <c r="BP51" s="57" t="s">
        <v>1281</v>
      </c>
      <c r="BQ51" s="57" t="s">
        <v>1281</v>
      </c>
      <c r="BR51" s="57" t="s">
        <v>1281</v>
      </c>
      <c r="BS51" s="57" t="s">
        <v>1281</v>
      </c>
      <c r="BT51" s="57" t="s">
        <v>1281</v>
      </c>
      <c r="BU51" s="57" t="s">
        <v>1281</v>
      </c>
      <c r="BV51" s="70">
        <f t="shared" si="254"/>
        <v>4</v>
      </c>
      <c r="BW51" s="71">
        <f t="shared" si="255"/>
        <v>35</v>
      </c>
      <c r="BX51" s="72">
        <f t="shared" si="256"/>
        <v>39</v>
      </c>
      <c r="BY51" s="71">
        <f t="shared" si="257"/>
        <v>70</v>
      </c>
      <c r="BZ51" s="72">
        <f t="shared" si="258"/>
        <v>73</v>
      </c>
      <c r="CA51" s="71">
        <f t="shared" si="259"/>
        <v>109</v>
      </c>
      <c r="CB51" s="72">
        <f t="shared" si="260"/>
        <v>117</v>
      </c>
      <c r="CC51" s="71">
        <f t="shared" si="261"/>
        <v>166</v>
      </c>
      <c r="CD51" s="72">
        <f t="shared" si="262"/>
        <v>173</v>
      </c>
      <c r="CE51" s="71">
        <f t="shared" si="263"/>
        <v>219</v>
      </c>
      <c r="CF51" s="72">
        <f t="shared" si="264"/>
        <v>266</v>
      </c>
      <c r="CG51" s="71">
        <f t="shared" si="265"/>
        <v>292</v>
      </c>
      <c r="CH51" s="70">
        <f t="shared" si="266"/>
        <v>34</v>
      </c>
      <c r="CI51" s="71">
        <f t="shared" si="267"/>
        <v>38</v>
      </c>
      <c r="CJ51" s="72">
        <f t="shared" si="268"/>
        <v>69</v>
      </c>
      <c r="CK51" s="72">
        <f t="shared" si="269"/>
        <v>72</v>
      </c>
      <c r="CL51" s="72">
        <f t="shared" si="270"/>
        <v>108</v>
      </c>
      <c r="CM51" s="72">
        <f t="shared" si="271"/>
        <v>116</v>
      </c>
      <c r="CN51" s="72">
        <f t="shared" si="272"/>
        <v>142</v>
      </c>
      <c r="CO51" s="72">
        <f t="shared" si="273"/>
        <v>168</v>
      </c>
      <c r="CP51" s="72">
        <f t="shared" si="274"/>
        <v>208</v>
      </c>
      <c r="CQ51" s="72">
        <f t="shared" si="275"/>
        <v>259</v>
      </c>
      <c r="CR51" s="72">
        <f t="shared" si="276"/>
        <v>291</v>
      </c>
      <c r="CS51" s="72">
        <f t="shared" si="277"/>
        <v>297</v>
      </c>
      <c r="CT51" s="23">
        <f t="shared" si="278"/>
        <v>1</v>
      </c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</row>
    <row r="52" spans="1:1029" x14ac:dyDescent="0.2">
      <c r="A52" s="3" t="str">
        <f t="shared" si="251"/>
        <v>aa2ar_human_5UVI</v>
      </c>
      <c r="B52" s="3" t="s">
        <v>139</v>
      </c>
      <c r="C52" s="3" t="s">
        <v>1405</v>
      </c>
      <c r="D52" s="3" t="str">
        <f>IFERROR(MID(VLOOKUP($B52,Seqs!$A:$B,2,0),E52,1),"")</f>
        <v>M</v>
      </c>
      <c r="E52" s="3">
        <v>1</v>
      </c>
      <c r="F52" s="3" t="str">
        <f>IFERROR(MID(VLOOKUP($B52,Seqs!$A:$B,2,0),G52,1),"")</f>
        <v>N</v>
      </c>
      <c r="G52" s="3">
        <v>34</v>
      </c>
      <c r="H52" s="3" t="str">
        <f>IFERROR(MID(VLOOKUP($B52,Seqs!$A:$B,2,0),I52,1),"")</f>
        <v>S</v>
      </c>
      <c r="I52" s="23">
        <v>35</v>
      </c>
      <c r="J52" s="3" t="str">
        <f>IFERROR(MID(VLOOKUP($B52,Seqs!$A:$B,2,0),K52,1),"")</f>
        <v>Q</v>
      </c>
      <c r="K52" s="23">
        <v>38</v>
      </c>
      <c r="L52" s="3" t="str">
        <f>IFERROR(MID(VLOOKUP($B52,Seqs!$A:$B,2,0),M52,1),"")</f>
        <v>N</v>
      </c>
      <c r="M52" s="3">
        <v>39</v>
      </c>
      <c r="N52" s="3" t="str">
        <f>IFERROR(MID(VLOOKUP($B52,Seqs!$A:$B,2,0),O52,1),"")</f>
        <v>G</v>
      </c>
      <c r="O52" s="3">
        <v>69</v>
      </c>
      <c r="P52" s="3" t="str">
        <f>IFERROR(MID(VLOOKUP($B52,Seqs!$A:$B,2,0),Q52,1),"")</f>
        <v>F</v>
      </c>
      <c r="Q52" s="3">
        <v>70</v>
      </c>
      <c r="R52" s="3" t="str">
        <f>IFERROR(MID(VLOOKUP($B52,Seqs!$A:$B,2,0),S52,1),"")</f>
        <v>A</v>
      </c>
      <c r="S52" s="3">
        <v>72</v>
      </c>
      <c r="T52" s="3" t="str">
        <f>IFERROR(MID(VLOOKUP($B52,Seqs!$A:$B,2,0),U52,1),"")</f>
        <v>A</v>
      </c>
      <c r="U52" s="3">
        <v>73</v>
      </c>
      <c r="V52" s="3" t="str">
        <f>IFERROR(MID(VLOOKUP($B52,Seqs!$A:$B,2,0),W52,1),"")</f>
        <v>I</v>
      </c>
      <c r="W52" s="3">
        <v>108</v>
      </c>
      <c r="X52" s="3" t="str">
        <f>IFERROR(MID(VLOOKUP($B52,Seqs!$A:$B,2,0),Y52,1),"")</f>
        <v>P</v>
      </c>
      <c r="Y52" s="3">
        <v>109</v>
      </c>
      <c r="Z52" s="3" t="str">
        <f>IFERROR(MID(VLOOKUP($B52,Seqs!$A:$B,2,0),AA52,1),"")</f>
        <v>V</v>
      </c>
      <c r="AA52" s="3">
        <v>116</v>
      </c>
      <c r="AB52" s="3" t="str">
        <f>IFERROR(MID(VLOOKUP($B52,Seqs!$A:$B,2,0),AC52,1),"")</f>
        <v>T</v>
      </c>
      <c r="AC52" s="3">
        <v>117</v>
      </c>
      <c r="AD52" s="3" t="str">
        <f>IFERROR(MID(VLOOKUP($B52,Seqs!$A:$B,2,0),AE52,1),"")</f>
        <v>G</v>
      </c>
      <c r="AE52" s="3">
        <v>142</v>
      </c>
      <c r="AF52" s="3" t="str">
        <f>IFERROR(MID(VLOOKUP($B52,Seqs!$A:$B,2,0),AG52,1),"")</f>
        <v>C</v>
      </c>
      <c r="AG52" s="3">
        <v>166</v>
      </c>
      <c r="AH52" s="3" t="str">
        <f>IFERROR(MID(VLOOKUP($B52,Seqs!$A:$B,2,0),AI52,1),"")</f>
        <v>F</v>
      </c>
      <c r="AI52" s="3">
        <v>168</v>
      </c>
      <c r="AJ52" s="3" t="str">
        <f>IFERROR(MID(VLOOKUP($B52,Seqs!$A:$B,2,0),AK52,1),"")</f>
        <v>P</v>
      </c>
      <c r="AK52" s="3">
        <v>173</v>
      </c>
      <c r="AL52" s="3" t="str">
        <f>IFERROR(MID(VLOOKUP($B52,Seqs!$A:$B,2,0),AM52,1),"")</f>
        <v>L</v>
      </c>
      <c r="AM52" s="3">
        <v>208</v>
      </c>
      <c r="AN52" s="3" t="str">
        <f>IFERROR(MID(VLOOKUP($B52,Seqs!$A:$B,2,0),AO52,1),"")</f>
        <v>E</v>
      </c>
      <c r="AO52" s="3">
        <v>219</v>
      </c>
      <c r="AP52" s="3" t="str">
        <f>IFERROR(MID(VLOOKUP($B52,Seqs!$A:$B,2,0),AQ52,1),"")</f>
        <v>C</v>
      </c>
      <c r="AQ52" s="3">
        <v>259</v>
      </c>
      <c r="AR52" s="3" t="str">
        <f>IFERROR(MID(VLOOKUP($B52,Seqs!$A:$B,2,0),AS52,1),"")</f>
        <v>P</v>
      </c>
      <c r="AS52" s="3">
        <v>266</v>
      </c>
      <c r="AT52" s="3" t="str">
        <f>IFERROR(MID(VLOOKUP($B52,Seqs!$A:$B,2,0),AU52,1),"")</f>
        <v>R</v>
      </c>
      <c r="AU52" s="3">
        <v>291</v>
      </c>
      <c r="AV52" s="3" t="str">
        <f>IFERROR(MID(VLOOKUP($B52,Seqs!$A:$B,2,0),AW52,1),"")</f>
        <v>I</v>
      </c>
      <c r="AW52" s="3">
        <v>292</v>
      </c>
      <c r="AX52" s="3" t="str">
        <f>IFERROR(MID(VLOOKUP($B52,Seqs!$A:$B,2,0),AY52,1),"")</f>
        <v>H</v>
      </c>
      <c r="AY52" s="3">
        <v>306</v>
      </c>
      <c r="AZ52" s="77" t="str">
        <f>VLOOKUP(B52,Classification!A:D,2,0)</f>
        <v>A</v>
      </c>
      <c r="BA52" s="94" t="str">
        <f>VLOOKUP(B52,Classification!A:D,4,0)</f>
        <v>Adenosine</v>
      </c>
      <c r="BB52" s="27" t="b">
        <f t="shared" si="252"/>
        <v>1</v>
      </c>
      <c r="BC52" s="23">
        <f t="shared" si="253"/>
        <v>263</v>
      </c>
      <c r="BD52" s="5" t="s">
        <v>23</v>
      </c>
      <c r="BE52" s="3" t="s">
        <v>1368</v>
      </c>
      <c r="BF52" s="118">
        <v>3.2</v>
      </c>
      <c r="BG52" s="49" t="s">
        <v>1</v>
      </c>
      <c r="BH52" s="49" t="s">
        <v>1</v>
      </c>
      <c r="BI52" s="1"/>
      <c r="BJ52" s="70" t="s">
        <v>1281</v>
      </c>
      <c r="BK52" s="57" t="s">
        <v>1281</v>
      </c>
      <c r="BL52" s="57" t="s">
        <v>1281</v>
      </c>
      <c r="BM52" s="57" t="s">
        <v>1281</v>
      </c>
      <c r="BN52" s="57" t="s">
        <v>1281</v>
      </c>
      <c r="BO52" s="57" t="s">
        <v>1281</v>
      </c>
      <c r="BP52" s="57" t="s">
        <v>1281</v>
      </c>
      <c r="BQ52" s="57" t="s">
        <v>1281</v>
      </c>
      <c r="BR52" s="57" t="s">
        <v>1281</v>
      </c>
      <c r="BS52" s="57" t="s">
        <v>1281</v>
      </c>
      <c r="BT52" s="57" t="s">
        <v>1281</v>
      </c>
      <c r="BU52" s="57" t="s">
        <v>1281</v>
      </c>
      <c r="BV52" s="70">
        <f t="shared" si="254"/>
        <v>1</v>
      </c>
      <c r="BW52" s="71">
        <f t="shared" si="255"/>
        <v>35</v>
      </c>
      <c r="BX52" s="72">
        <f t="shared" si="256"/>
        <v>39</v>
      </c>
      <c r="BY52" s="71">
        <f t="shared" si="257"/>
        <v>70</v>
      </c>
      <c r="BZ52" s="72">
        <f t="shared" si="258"/>
        <v>73</v>
      </c>
      <c r="CA52" s="71">
        <f t="shared" si="259"/>
        <v>109</v>
      </c>
      <c r="CB52" s="72">
        <f t="shared" si="260"/>
        <v>117</v>
      </c>
      <c r="CC52" s="71">
        <f t="shared" si="261"/>
        <v>166</v>
      </c>
      <c r="CD52" s="72">
        <f t="shared" si="262"/>
        <v>173</v>
      </c>
      <c r="CE52" s="71">
        <f t="shared" si="263"/>
        <v>219</v>
      </c>
      <c r="CF52" s="72">
        <f t="shared" si="264"/>
        <v>266</v>
      </c>
      <c r="CG52" s="71">
        <f t="shared" si="265"/>
        <v>292</v>
      </c>
      <c r="CH52" s="70">
        <f t="shared" si="266"/>
        <v>34</v>
      </c>
      <c r="CI52" s="71">
        <f t="shared" si="267"/>
        <v>38</v>
      </c>
      <c r="CJ52" s="72">
        <f t="shared" si="268"/>
        <v>69</v>
      </c>
      <c r="CK52" s="72">
        <f t="shared" si="269"/>
        <v>72</v>
      </c>
      <c r="CL52" s="72">
        <f t="shared" si="270"/>
        <v>108</v>
      </c>
      <c r="CM52" s="72">
        <f t="shared" si="271"/>
        <v>116</v>
      </c>
      <c r="CN52" s="72">
        <f t="shared" si="272"/>
        <v>142</v>
      </c>
      <c r="CO52" s="72">
        <f t="shared" si="273"/>
        <v>168</v>
      </c>
      <c r="CP52" s="72">
        <f t="shared" si="274"/>
        <v>208</v>
      </c>
      <c r="CQ52" s="72">
        <f t="shared" si="275"/>
        <v>259</v>
      </c>
      <c r="CR52" s="72">
        <f t="shared" si="276"/>
        <v>291</v>
      </c>
      <c r="CS52" s="72">
        <f t="shared" si="277"/>
        <v>306</v>
      </c>
      <c r="CT52" s="23">
        <f t="shared" si="278"/>
        <v>1</v>
      </c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  <c r="AMO52" s="1"/>
    </row>
    <row r="53" spans="1:1029" x14ac:dyDescent="0.2">
      <c r="A53" s="3" t="str">
        <f t="shared" si="251"/>
        <v>aa2ar_human_5JTB</v>
      </c>
      <c r="B53" s="3" t="s">
        <v>139</v>
      </c>
      <c r="C53" s="3" t="s">
        <v>1406</v>
      </c>
      <c r="D53" s="3" t="str">
        <f>IFERROR(MID(VLOOKUP($B53,Seqs!$A:$B,2,0),E53,1),"")</f>
        <v>M</v>
      </c>
      <c r="E53" s="3">
        <v>1</v>
      </c>
      <c r="F53" s="3" t="str">
        <f>IFERROR(MID(VLOOKUP($B53,Seqs!$A:$B,2,0),G53,1),"")</f>
        <v>N</v>
      </c>
      <c r="G53" s="3">
        <v>34</v>
      </c>
      <c r="H53" s="3" t="str">
        <f>IFERROR(MID(VLOOKUP($B53,Seqs!$A:$B,2,0),I53,1),"")</f>
        <v>S</v>
      </c>
      <c r="I53" s="23">
        <v>35</v>
      </c>
      <c r="J53" s="3" t="str">
        <f>IFERROR(MID(VLOOKUP($B53,Seqs!$A:$B,2,0),K53,1),"")</f>
        <v>Q</v>
      </c>
      <c r="K53" s="23">
        <v>38</v>
      </c>
      <c r="L53" s="3" t="str">
        <f>IFERROR(MID(VLOOKUP($B53,Seqs!$A:$B,2,0),M53,1),"")</f>
        <v>N</v>
      </c>
      <c r="M53" s="3">
        <v>39</v>
      </c>
      <c r="N53" s="3" t="str">
        <f>IFERROR(MID(VLOOKUP($B53,Seqs!$A:$B,2,0),O53,1),"")</f>
        <v>G</v>
      </c>
      <c r="O53" s="3">
        <v>69</v>
      </c>
      <c r="P53" s="3" t="str">
        <f>IFERROR(MID(VLOOKUP($B53,Seqs!$A:$B,2,0),Q53,1),"")</f>
        <v>F</v>
      </c>
      <c r="Q53" s="3">
        <v>70</v>
      </c>
      <c r="R53" s="3" t="str">
        <f>IFERROR(MID(VLOOKUP($B53,Seqs!$A:$B,2,0),S53,1),"")</f>
        <v>A</v>
      </c>
      <c r="S53" s="3">
        <v>72</v>
      </c>
      <c r="T53" s="3" t="str">
        <f>IFERROR(MID(VLOOKUP($B53,Seqs!$A:$B,2,0),U53,1),"")</f>
        <v>A</v>
      </c>
      <c r="U53" s="3">
        <v>73</v>
      </c>
      <c r="V53" s="3" t="str">
        <f>IFERROR(MID(VLOOKUP($B53,Seqs!$A:$B,2,0),W53,1),"")</f>
        <v>I</v>
      </c>
      <c r="W53" s="3">
        <v>108</v>
      </c>
      <c r="X53" s="3" t="str">
        <f>IFERROR(MID(VLOOKUP($B53,Seqs!$A:$B,2,0),Y53,1),"")</f>
        <v>P</v>
      </c>
      <c r="Y53" s="3">
        <v>109</v>
      </c>
      <c r="Z53" s="3" t="str">
        <f>IFERROR(MID(VLOOKUP($B53,Seqs!$A:$B,2,0),AA53,1),"")</f>
        <v>V</v>
      </c>
      <c r="AA53" s="3">
        <v>116</v>
      </c>
      <c r="AB53" s="3" t="str">
        <f>IFERROR(MID(VLOOKUP($B53,Seqs!$A:$B,2,0),AC53,1),"")</f>
        <v>T</v>
      </c>
      <c r="AC53" s="3">
        <v>117</v>
      </c>
      <c r="AD53" s="3" t="str">
        <f>IFERROR(MID(VLOOKUP($B53,Seqs!$A:$B,2,0),AE53,1),"")</f>
        <v>G</v>
      </c>
      <c r="AE53" s="3">
        <v>142</v>
      </c>
      <c r="AF53" s="3" t="str">
        <f>IFERROR(MID(VLOOKUP($B53,Seqs!$A:$B,2,0),AG53,1),"")</f>
        <v>C</v>
      </c>
      <c r="AG53" s="3">
        <v>166</v>
      </c>
      <c r="AH53" s="3" t="str">
        <f>IFERROR(MID(VLOOKUP($B53,Seqs!$A:$B,2,0),AI53,1),"")</f>
        <v>F</v>
      </c>
      <c r="AI53" s="3">
        <v>168</v>
      </c>
      <c r="AJ53" s="3" t="str">
        <f>IFERROR(MID(VLOOKUP($B53,Seqs!$A:$B,2,0),AK53,1),"")</f>
        <v>P</v>
      </c>
      <c r="AK53" s="3">
        <v>173</v>
      </c>
      <c r="AL53" s="3" t="str">
        <f>IFERROR(MID(VLOOKUP($B53,Seqs!$A:$B,2,0),AM53,1),"")</f>
        <v>L</v>
      </c>
      <c r="AM53" s="3">
        <v>208</v>
      </c>
      <c r="AN53" s="3" t="str">
        <f>IFERROR(MID(VLOOKUP($B53,Seqs!$A:$B,2,0),AO53,1),"")</f>
        <v>E</v>
      </c>
      <c r="AO53" s="3">
        <v>219</v>
      </c>
      <c r="AP53" s="3" t="str">
        <f>IFERROR(MID(VLOOKUP($B53,Seqs!$A:$B,2,0),AQ53,1),"")</f>
        <v>C</v>
      </c>
      <c r="AQ53" s="3">
        <v>259</v>
      </c>
      <c r="AR53" s="3" t="str">
        <f>IFERROR(MID(VLOOKUP($B53,Seqs!$A:$B,2,0),AS53,1),"")</f>
        <v>P</v>
      </c>
      <c r="AS53" s="3">
        <v>266</v>
      </c>
      <c r="AT53" s="3" t="str">
        <f>IFERROR(MID(VLOOKUP($B53,Seqs!$A:$B,2,0),AU53,1),"")</f>
        <v>R</v>
      </c>
      <c r="AU53" s="3">
        <v>291</v>
      </c>
      <c r="AV53" s="3" t="str">
        <f>IFERROR(MID(VLOOKUP($B53,Seqs!$A:$B,2,0),AW53,1),"")</f>
        <v>I</v>
      </c>
      <c r="AW53" s="3">
        <v>292</v>
      </c>
      <c r="AX53" s="3" t="str">
        <f>IFERROR(MID(VLOOKUP($B53,Seqs!$A:$B,2,0),AY53,1),"")</f>
        <v>V</v>
      </c>
      <c r="AY53" s="3">
        <v>307</v>
      </c>
      <c r="AZ53" s="77" t="str">
        <f>VLOOKUP(B53,Classification!A:D,2,0)</f>
        <v>A</v>
      </c>
      <c r="BA53" s="94" t="str">
        <f>VLOOKUP(B53,Classification!A:D,4,0)</f>
        <v>Adenosine</v>
      </c>
      <c r="BB53" s="27" t="b">
        <f t="shared" si="252"/>
        <v>1</v>
      </c>
      <c r="BC53" s="23">
        <f t="shared" si="253"/>
        <v>264</v>
      </c>
      <c r="BD53" s="5" t="s">
        <v>23</v>
      </c>
      <c r="BE53" s="3" t="s">
        <v>1368</v>
      </c>
      <c r="BF53" s="118">
        <v>2.8</v>
      </c>
      <c r="BG53" s="49" t="s">
        <v>1</v>
      </c>
      <c r="BH53" s="49" t="s">
        <v>1</v>
      </c>
      <c r="BI53" s="1"/>
      <c r="BJ53" s="70" t="s">
        <v>1281</v>
      </c>
      <c r="BK53" s="57" t="s">
        <v>1281</v>
      </c>
      <c r="BL53" s="57" t="s">
        <v>1281</v>
      </c>
      <c r="BM53" s="57" t="s">
        <v>1281</v>
      </c>
      <c r="BN53" s="57" t="s">
        <v>1281</v>
      </c>
      <c r="BO53" s="57" t="s">
        <v>1281</v>
      </c>
      <c r="BP53" s="57" t="s">
        <v>1281</v>
      </c>
      <c r="BQ53" s="57" t="s">
        <v>1281</v>
      </c>
      <c r="BR53" s="57" t="s">
        <v>1281</v>
      </c>
      <c r="BS53" s="57" t="s">
        <v>1281</v>
      </c>
      <c r="BT53" s="57" t="s">
        <v>1281</v>
      </c>
      <c r="BU53" s="57" t="s">
        <v>1281</v>
      </c>
      <c r="BV53" s="70">
        <f t="shared" si="254"/>
        <v>1</v>
      </c>
      <c r="BW53" s="71">
        <f t="shared" si="255"/>
        <v>35</v>
      </c>
      <c r="BX53" s="72">
        <f t="shared" si="256"/>
        <v>39</v>
      </c>
      <c r="BY53" s="71">
        <f t="shared" si="257"/>
        <v>70</v>
      </c>
      <c r="BZ53" s="72">
        <f t="shared" si="258"/>
        <v>73</v>
      </c>
      <c r="CA53" s="71">
        <f t="shared" si="259"/>
        <v>109</v>
      </c>
      <c r="CB53" s="72">
        <f t="shared" si="260"/>
        <v>117</v>
      </c>
      <c r="CC53" s="71">
        <f t="shared" si="261"/>
        <v>166</v>
      </c>
      <c r="CD53" s="72">
        <f t="shared" si="262"/>
        <v>173</v>
      </c>
      <c r="CE53" s="71">
        <f t="shared" si="263"/>
        <v>219</v>
      </c>
      <c r="CF53" s="72">
        <f t="shared" si="264"/>
        <v>266</v>
      </c>
      <c r="CG53" s="71">
        <f t="shared" si="265"/>
        <v>292</v>
      </c>
      <c r="CH53" s="70">
        <f t="shared" si="266"/>
        <v>34</v>
      </c>
      <c r="CI53" s="71">
        <f t="shared" si="267"/>
        <v>38</v>
      </c>
      <c r="CJ53" s="72">
        <f t="shared" si="268"/>
        <v>69</v>
      </c>
      <c r="CK53" s="72">
        <f t="shared" si="269"/>
        <v>72</v>
      </c>
      <c r="CL53" s="72">
        <f t="shared" si="270"/>
        <v>108</v>
      </c>
      <c r="CM53" s="72">
        <f t="shared" si="271"/>
        <v>116</v>
      </c>
      <c r="CN53" s="72">
        <f t="shared" si="272"/>
        <v>142</v>
      </c>
      <c r="CO53" s="72">
        <f t="shared" si="273"/>
        <v>168</v>
      </c>
      <c r="CP53" s="72">
        <f t="shared" si="274"/>
        <v>208</v>
      </c>
      <c r="CQ53" s="72">
        <f t="shared" si="275"/>
        <v>259</v>
      </c>
      <c r="CR53" s="72">
        <f t="shared" si="276"/>
        <v>291</v>
      </c>
      <c r="CS53" s="72">
        <f t="shared" si="277"/>
        <v>307</v>
      </c>
      <c r="CT53" s="23">
        <f t="shared" si="278"/>
        <v>1</v>
      </c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  <c r="AMO53" s="1"/>
    </row>
    <row r="54" spans="1:1029" x14ac:dyDescent="0.2">
      <c r="A54" s="3" t="str">
        <f t="shared" si="251"/>
        <v>aa2ar_human_5NM2</v>
      </c>
      <c r="B54" s="3" t="s">
        <v>139</v>
      </c>
      <c r="C54" s="3" t="s">
        <v>1437</v>
      </c>
      <c r="D54" s="3" t="str">
        <f>IFERROR(MID(VLOOKUP($B54,Seqs!$A:$B,2,0),E54,1),"")</f>
        <v>M</v>
      </c>
      <c r="E54" s="3">
        <v>1</v>
      </c>
      <c r="F54" s="3" t="str">
        <f>IFERROR(MID(VLOOKUP($B54,Seqs!$A:$B,2,0),G54,1),"")</f>
        <v>N</v>
      </c>
      <c r="G54" s="3">
        <v>34</v>
      </c>
      <c r="H54" s="3" t="str">
        <f>IFERROR(MID(VLOOKUP($B54,Seqs!$A:$B,2,0),I54,1),"")</f>
        <v>S</v>
      </c>
      <c r="I54" s="23">
        <v>35</v>
      </c>
      <c r="J54" s="3" t="str">
        <f>IFERROR(MID(VLOOKUP($B54,Seqs!$A:$B,2,0),K54,1),"")</f>
        <v>Q</v>
      </c>
      <c r="K54" s="23">
        <v>38</v>
      </c>
      <c r="L54" s="3" t="str">
        <f>IFERROR(MID(VLOOKUP($B54,Seqs!$A:$B,2,0),M54,1),"")</f>
        <v>N</v>
      </c>
      <c r="M54" s="3">
        <v>39</v>
      </c>
      <c r="N54" s="3" t="str">
        <f>IFERROR(MID(VLOOKUP($B54,Seqs!$A:$B,2,0),O54,1),"")</f>
        <v>G</v>
      </c>
      <c r="O54" s="3">
        <v>69</v>
      </c>
      <c r="P54" s="3" t="str">
        <f>IFERROR(MID(VLOOKUP($B54,Seqs!$A:$B,2,0),Q54,1),"")</f>
        <v>F</v>
      </c>
      <c r="Q54" s="3">
        <v>70</v>
      </c>
      <c r="R54" s="3" t="str">
        <f>IFERROR(MID(VLOOKUP($B54,Seqs!$A:$B,2,0),S54,1),"")</f>
        <v>A</v>
      </c>
      <c r="S54" s="3">
        <v>72</v>
      </c>
      <c r="T54" s="3" t="str">
        <f>IFERROR(MID(VLOOKUP($B54,Seqs!$A:$B,2,0),U54,1),"")</f>
        <v>A</v>
      </c>
      <c r="U54" s="3">
        <v>73</v>
      </c>
      <c r="V54" s="3" t="str">
        <f>IFERROR(MID(VLOOKUP($B54,Seqs!$A:$B,2,0),W54,1),"")</f>
        <v>I</v>
      </c>
      <c r="W54" s="3">
        <v>108</v>
      </c>
      <c r="X54" s="3" t="str">
        <f>IFERROR(MID(VLOOKUP($B54,Seqs!$A:$B,2,0),Y54,1),"")</f>
        <v>P</v>
      </c>
      <c r="Y54" s="3">
        <v>109</v>
      </c>
      <c r="Z54" s="3" t="str">
        <f>IFERROR(MID(VLOOKUP($B54,Seqs!$A:$B,2,0),AA54,1),"")</f>
        <v>V</v>
      </c>
      <c r="AA54" s="3">
        <v>116</v>
      </c>
      <c r="AB54" s="3" t="str">
        <f>IFERROR(MID(VLOOKUP($B54,Seqs!$A:$B,2,0),AC54,1),"")</f>
        <v>T</v>
      </c>
      <c r="AC54" s="3">
        <v>117</v>
      </c>
      <c r="AD54" s="3" t="str">
        <f>IFERROR(MID(VLOOKUP($B54,Seqs!$A:$B,2,0),AE54,1),"")</f>
        <v>G</v>
      </c>
      <c r="AE54" s="3">
        <v>142</v>
      </c>
      <c r="AF54" s="3" t="str">
        <f>IFERROR(MID(VLOOKUP($B54,Seqs!$A:$B,2,0),AG54,1),"")</f>
        <v>C</v>
      </c>
      <c r="AG54" s="3">
        <v>166</v>
      </c>
      <c r="AH54" s="3" t="str">
        <f>IFERROR(MID(VLOOKUP($B54,Seqs!$A:$B,2,0),AI54,1),"")</f>
        <v>F</v>
      </c>
      <c r="AI54" s="3">
        <v>168</v>
      </c>
      <c r="AJ54" s="3" t="str">
        <f>IFERROR(MID(VLOOKUP($B54,Seqs!$A:$B,2,0),AK54,1),"")</f>
        <v>P</v>
      </c>
      <c r="AK54" s="3">
        <v>173</v>
      </c>
      <c r="AL54" s="3" t="str">
        <f>IFERROR(MID(VLOOKUP($B54,Seqs!$A:$B,2,0),AM54,1),"")</f>
        <v>L</v>
      </c>
      <c r="AM54" s="3">
        <v>208</v>
      </c>
      <c r="AN54" s="3" t="str">
        <f>IFERROR(MID(VLOOKUP($B54,Seqs!$A:$B,2,0),AO54,1),"")</f>
        <v>E</v>
      </c>
      <c r="AO54" s="3">
        <v>219</v>
      </c>
      <c r="AP54" s="3" t="str">
        <f>IFERROR(MID(VLOOKUP($B54,Seqs!$A:$B,2,0),AQ54,1),"")</f>
        <v>C</v>
      </c>
      <c r="AQ54" s="3">
        <v>259</v>
      </c>
      <c r="AR54" s="3" t="str">
        <f>IFERROR(MID(VLOOKUP($B54,Seqs!$A:$B,2,0),AS54,1),"")</f>
        <v>P</v>
      </c>
      <c r="AS54" s="3">
        <v>266</v>
      </c>
      <c r="AT54" s="3" t="str">
        <f>IFERROR(MID(VLOOKUP($B54,Seqs!$A:$B,2,0),AU54,1),"")</f>
        <v>R</v>
      </c>
      <c r="AU54" s="3">
        <v>291</v>
      </c>
      <c r="AV54" s="3" t="str">
        <f>IFERROR(MID(VLOOKUP($B54,Seqs!$A:$B,2,0),AW54,1),"")</f>
        <v>I</v>
      </c>
      <c r="AW54" s="3">
        <v>292</v>
      </c>
      <c r="AX54" s="3" t="str">
        <f>IFERROR(MID(VLOOKUP($B54,Seqs!$A:$B,2,0),AY54,1),"")</f>
        <v>S</v>
      </c>
      <c r="AY54" s="3">
        <v>305</v>
      </c>
      <c r="AZ54" s="77" t="str">
        <f>VLOOKUP(B54,Classification!A:D,2,0)</f>
        <v>A</v>
      </c>
      <c r="BA54" s="94" t="str">
        <f>VLOOKUP(B54,Classification!A:D,4,0)</f>
        <v>Adenosine</v>
      </c>
      <c r="BB54" s="27" t="b">
        <f t="shared" si="252"/>
        <v>1</v>
      </c>
      <c r="BC54" s="23">
        <f t="shared" si="253"/>
        <v>262</v>
      </c>
      <c r="BD54" s="5" t="s">
        <v>23</v>
      </c>
      <c r="BE54" s="3" t="s">
        <v>1368</v>
      </c>
      <c r="BF54" s="118">
        <v>1.95</v>
      </c>
      <c r="BG54" s="49" t="s">
        <v>1</v>
      </c>
      <c r="BH54" s="49" t="s">
        <v>1</v>
      </c>
      <c r="BI54" s="1"/>
      <c r="BJ54" s="70" t="s">
        <v>1281</v>
      </c>
      <c r="BK54" s="57" t="s">
        <v>1281</v>
      </c>
      <c r="BL54" s="57" t="s">
        <v>1281</v>
      </c>
      <c r="BM54" s="57" t="s">
        <v>1281</v>
      </c>
      <c r="BN54" s="57" t="s">
        <v>1281</v>
      </c>
      <c r="BO54" s="57" t="s">
        <v>1281</v>
      </c>
      <c r="BP54" s="57" t="s">
        <v>1281</v>
      </c>
      <c r="BQ54" s="57" t="s">
        <v>1281</v>
      </c>
      <c r="BR54" s="57" t="s">
        <v>1281</v>
      </c>
      <c r="BS54" s="57" t="s">
        <v>1281</v>
      </c>
      <c r="BT54" s="57" t="s">
        <v>1281</v>
      </c>
      <c r="BU54" s="57" t="s">
        <v>1281</v>
      </c>
      <c r="BV54" s="70">
        <f t="shared" si="254"/>
        <v>1</v>
      </c>
      <c r="BW54" s="71">
        <f t="shared" si="255"/>
        <v>35</v>
      </c>
      <c r="BX54" s="72">
        <f t="shared" si="256"/>
        <v>39</v>
      </c>
      <c r="BY54" s="71">
        <f t="shared" si="257"/>
        <v>70</v>
      </c>
      <c r="BZ54" s="72">
        <f t="shared" si="258"/>
        <v>73</v>
      </c>
      <c r="CA54" s="71">
        <f t="shared" si="259"/>
        <v>109</v>
      </c>
      <c r="CB54" s="72">
        <f t="shared" si="260"/>
        <v>117</v>
      </c>
      <c r="CC54" s="71">
        <f t="shared" si="261"/>
        <v>166</v>
      </c>
      <c r="CD54" s="72">
        <f t="shared" si="262"/>
        <v>173</v>
      </c>
      <c r="CE54" s="71">
        <f t="shared" si="263"/>
        <v>219</v>
      </c>
      <c r="CF54" s="72">
        <f t="shared" si="264"/>
        <v>266</v>
      </c>
      <c r="CG54" s="71">
        <f t="shared" si="265"/>
        <v>292</v>
      </c>
      <c r="CH54" s="70">
        <f t="shared" si="266"/>
        <v>34</v>
      </c>
      <c r="CI54" s="71">
        <f t="shared" si="267"/>
        <v>38</v>
      </c>
      <c r="CJ54" s="72">
        <f t="shared" si="268"/>
        <v>69</v>
      </c>
      <c r="CK54" s="72">
        <f t="shared" si="269"/>
        <v>72</v>
      </c>
      <c r="CL54" s="72">
        <f t="shared" si="270"/>
        <v>108</v>
      </c>
      <c r="CM54" s="72">
        <f t="shared" si="271"/>
        <v>116</v>
      </c>
      <c r="CN54" s="72">
        <f t="shared" si="272"/>
        <v>142</v>
      </c>
      <c r="CO54" s="72">
        <f t="shared" si="273"/>
        <v>168</v>
      </c>
      <c r="CP54" s="72">
        <f t="shared" si="274"/>
        <v>208</v>
      </c>
      <c r="CQ54" s="72">
        <f t="shared" si="275"/>
        <v>259</v>
      </c>
      <c r="CR54" s="72">
        <f t="shared" si="276"/>
        <v>291</v>
      </c>
      <c r="CS54" s="72">
        <f t="shared" si="277"/>
        <v>305</v>
      </c>
      <c r="CT54" s="23">
        <f t="shared" si="278"/>
        <v>1</v>
      </c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  <c r="AMO54" s="1"/>
    </row>
    <row r="55" spans="1:1029" s="12" customFormat="1" x14ac:dyDescent="0.2">
      <c r="A55" s="9" t="str">
        <f t="shared" ref="A55" si="279">CONCATENATE(B55,"_",C55)</f>
        <v>aa2ar_human_5NM4</v>
      </c>
      <c r="B55" s="9" t="s">
        <v>139</v>
      </c>
      <c r="C55" s="9" t="s">
        <v>1554</v>
      </c>
      <c r="D55" s="9" t="str">
        <f>IFERROR(MID(VLOOKUP($B55,Seqs!$A:$B,2,0),E55,1),"")</f>
        <v>I</v>
      </c>
      <c r="E55" s="9">
        <v>10</v>
      </c>
      <c r="F55" s="9" t="str">
        <f>IFERROR(MID(VLOOKUP($B55,Seqs!$A:$B,2,0),G55,1),"")</f>
        <v>Y</v>
      </c>
      <c r="G55" s="9">
        <v>43</v>
      </c>
      <c r="H55" s="9" t="str">
        <f>IFERROR(MID(VLOOKUP($B55,Seqs!$A:$B,2,0),I55,1),"")</f>
        <v>F</v>
      </c>
      <c r="I55" s="109">
        <v>44</v>
      </c>
      <c r="J55" s="9" t="str">
        <f>IFERROR(MID(VLOOKUP($B55,Seqs!$A:$B,2,0),K55,1),"")</f>
        <v>S</v>
      </c>
      <c r="K55" s="109">
        <v>47</v>
      </c>
      <c r="L55" s="9" t="str">
        <f>IFERROR(MID(VLOOKUP($B55,Seqs!$A:$B,2,0),M55,1),"")</f>
        <v>L</v>
      </c>
      <c r="M55" s="9">
        <v>48</v>
      </c>
      <c r="N55" s="9" t="str">
        <f>IFERROR(MID(VLOOKUP($B55,Seqs!$A:$B,2,0),O55,1),"")</f>
        <v>L</v>
      </c>
      <c r="O55" s="9">
        <v>78</v>
      </c>
      <c r="P55" s="9" t="str">
        <f>IFERROR(MID(VLOOKUP($B55,Seqs!$A:$B,2,0),Q55,1),"")</f>
        <v>F</v>
      </c>
      <c r="Q55" s="9">
        <v>79</v>
      </c>
      <c r="R55" s="9" t="str">
        <f>IFERROR(MID(VLOOKUP($B55,Seqs!$A:$B,2,0),S55,1),"")</f>
        <v>A</v>
      </c>
      <c r="S55" s="9">
        <v>81</v>
      </c>
      <c r="T55" s="9" t="str">
        <f>IFERROR(MID(VLOOKUP($B55,Seqs!$A:$B,2,0),U55,1),"")</f>
        <v>C</v>
      </c>
      <c r="U55" s="9">
        <v>82</v>
      </c>
      <c r="V55" s="9" t="str">
        <f>IFERROR(MID(VLOOKUP($B55,Seqs!$A:$B,2,0),W55,1),"")</f>
        <v>T</v>
      </c>
      <c r="W55" s="9">
        <v>117</v>
      </c>
      <c r="X55" s="9" t="str">
        <f>IFERROR(MID(VLOOKUP($B55,Seqs!$A:$B,2,0),Y55,1),"")</f>
        <v>G</v>
      </c>
      <c r="Y55" s="9">
        <v>118</v>
      </c>
      <c r="Z55" s="9" t="str">
        <f>IFERROR(MID(VLOOKUP($B55,Seqs!$A:$B,2,0),AA55,1),"")</f>
        <v>I</v>
      </c>
      <c r="AA55" s="9">
        <v>125</v>
      </c>
      <c r="AB55" s="9" t="str">
        <f>IFERROR(MID(VLOOKUP($B55,Seqs!$A:$B,2,0),AC55,1),"")</f>
        <v>A</v>
      </c>
      <c r="AC55" s="9">
        <v>126</v>
      </c>
      <c r="AD55" s="9" t="str">
        <f>IFERROR(MID(VLOOKUP($B55,Seqs!$A:$B,2,0),AE55,1),"")</f>
        <v>E</v>
      </c>
      <c r="AE55" s="9">
        <v>151</v>
      </c>
      <c r="AF55" s="9" t="str">
        <f>IFERROR(MID(VLOOKUP($B55,Seqs!$A:$B,2,0),AG55,1),"")</f>
        <v>N</v>
      </c>
      <c r="AG55" s="9">
        <v>175</v>
      </c>
      <c r="AH55" s="9" t="str">
        <f>IFERROR(MID(VLOOKUP($B55,Seqs!$A:$B,2,0),AI55,1),"")</f>
        <v>M</v>
      </c>
      <c r="AI55" s="9">
        <v>177</v>
      </c>
      <c r="AJ55" s="9" t="str">
        <f>IFERROR(MID(VLOOKUP($B55,Seqs!$A:$B,2,0),AK55,1),"")</f>
        <v>F</v>
      </c>
      <c r="AK55" s="9">
        <v>182</v>
      </c>
      <c r="AL55" s="9" t="str">
        <f>IFERROR(MID(VLOOKUP($B55,Seqs!$A:$B,2,0),AM55,1),"")</f>
        <v>R</v>
      </c>
      <c r="AM55" s="9">
        <v>222</v>
      </c>
      <c r="AN55" s="9" t="str">
        <f>IFERROR(MID(VLOOKUP($B55,Seqs!$A:$B,2,0),AO55,1),"")</f>
        <v>L</v>
      </c>
      <c r="AO55" s="9">
        <v>324</v>
      </c>
      <c r="AP55" s="9" t="str">
        <f>IFERROR(MID(VLOOKUP($B55,Seqs!$A:$B,2,0),AQ55,1),"")</f>
        <v>G</v>
      </c>
      <c r="AQ55" s="9">
        <v>364</v>
      </c>
      <c r="AR55" s="9" t="str">
        <f>IFERROR(MID(VLOOKUP($B55,Seqs!$A:$B,2,0),AS55,1),"")</f>
        <v>A</v>
      </c>
      <c r="AS55" s="9">
        <v>371</v>
      </c>
      <c r="AT55" s="9" t="str">
        <f>IFERROR(MID(VLOOKUP($B55,Seqs!$A:$B,2,0),AU55,1),"")</f>
        <v>E</v>
      </c>
      <c r="AU55" s="9">
        <v>396</v>
      </c>
      <c r="AV55" s="9" t="str">
        <f>IFERROR(MID(VLOOKUP($B55,Seqs!$A:$B,2,0),AW55,1),"")</f>
        <v>P</v>
      </c>
      <c r="AW55" s="9">
        <v>397</v>
      </c>
      <c r="AX55" s="9" t="str">
        <f>IFERROR(MID(VLOOKUP($B55,Seqs!$A:$B,2,0),AY55,1),"")</f>
        <v>A</v>
      </c>
      <c r="AY55" s="9">
        <v>409</v>
      </c>
      <c r="AZ55" s="110" t="str">
        <f>VLOOKUP(B55,Classification!A:D,2,0)</f>
        <v>A</v>
      </c>
      <c r="BA55" s="98" t="str">
        <f>VLOOKUP(B55,Classification!A:D,4,0)</f>
        <v>Adenosine</v>
      </c>
      <c r="BB55" s="36" t="b">
        <f t="shared" ref="BB55" si="280">AND(E55&lt;G55,OR(G55&lt;I55,I55="-"),OR(I55&lt;K55,I55="-"),OR(K55&lt;M55,K55="-"),M55&lt;O55,OR(O55&lt;Q55,Q55="-"),OR(Q55&lt;S55,Q55="-"),OR(S55&lt;U55,S55="-"),U55&lt;W55,OR(W55&lt;Y55,Y55="-"),OR(Y55&lt;AA55,Y55="-"),OR(AA55&lt;AC55,AA55="-"),AC55&lt;AE55,OR(AE55&lt;AG55,AG55="-"),OR(AG55&lt;AI55,AG55="-"),OR(AI55&lt;AK55,AI55="-"),AK55&lt;AM55,AM55&lt;AO55,AO55&lt;AQ55,AQ55&lt;AS55,AS55&lt;AU55,OR(AU55&lt;AW55,AW55="-"),OR(AW55&lt;AY55,AW55="-"))</f>
        <v>1</v>
      </c>
      <c r="BC55" s="109">
        <f t="shared" ref="BC55" si="281">_xlfn.AGGREGATE(9,6,CH55:CS55)-_xlfn.AGGREGATE(9,6,BV55:CG55)+12</f>
        <v>266</v>
      </c>
      <c r="BD55" s="13" t="s">
        <v>23</v>
      </c>
      <c r="BE55" s="9" t="s">
        <v>1368</v>
      </c>
      <c r="BF55" s="119">
        <v>1.7</v>
      </c>
      <c r="BG55" s="51" t="s">
        <v>1</v>
      </c>
      <c r="BH55" s="51" t="s">
        <v>1</v>
      </c>
      <c r="BJ55" s="111" t="s">
        <v>1281</v>
      </c>
      <c r="BK55" s="112" t="s">
        <v>1281</v>
      </c>
      <c r="BL55" s="112" t="s">
        <v>1281</v>
      </c>
      <c r="BM55" s="112" t="s">
        <v>1281</v>
      </c>
      <c r="BN55" s="112" t="s">
        <v>1281</v>
      </c>
      <c r="BO55" s="112" t="s">
        <v>1281</v>
      </c>
      <c r="BP55" s="112" t="s">
        <v>1281</v>
      </c>
      <c r="BQ55" s="112" t="s">
        <v>1281</v>
      </c>
      <c r="BR55" s="112" t="s">
        <v>1281</v>
      </c>
      <c r="BS55" s="112" t="s">
        <v>1281</v>
      </c>
      <c r="BT55" s="112" t="s">
        <v>1281</v>
      </c>
      <c r="BU55" s="112" t="s">
        <v>1281</v>
      </c>
      <c r="BV55" s="111">
        <f t="shared" ref="BV55" si="282">E55</f>
        <v>10</v>
      </c>
      <c r="BW55" s="113">
        <f t="shared" ref="BW55" si="283">I55</f>
        <v>44</v>
      </c>
      <c r="BX55" s="114">
        <f t="shared" ref="BX55" si="284">M55</f>
        <v>48</v>
      </c>
      <c r="BY55" s="113">
        <f t="shared" ref="BY55" si="285">Q55</f>
        <v>79</v>
      </c>
      <c r="BZ55" s="114">
        <f t="shared" ref="BZ55" si="286">U55</f>
        <v>82</v>
      </c>
      <c r="CA55" s="113">
        <f t="shared" ref="CA55" si="287">Y55</f>
        <v>118</v>
      </c>
      <c r="CB55" s="114">
        <f t="shared" ref="CB55" si="288">AC55</f>
        <v>126</v>
      </c>
      <c r="CC55" s="113">
        <f t="shared" ref="CC55" si="289">AG55</f>
        <v>175</v>
      </c>
      <c r="CD55" s="114">
        <f t="shared" ref="CD55" si="290">AK55</f>
        <v>182</v>
      </c>
      <c r="CE55" s="113">
        <f t="shared" ref="CE55" si="291">AO55</f>
        <v>324</v>
      </c>
      <c r="CF55" s="114">
        <f t="shared" ref="CF55" si="292">AS55</f>
        <v>371</v>
      </c>
      <c r="CG55" s="113">
        <f t="shared" ref="CG55" si="293">AW55</f>
        <v>397</v>
      </c>
      <c r="CH55" s="111">
        <f t="shared" ref="CH55" si="294">G55</f>
        <v>43</v>
      </c>
      <c r="CI55" s="113">
        <f t="shared" ref="CI55" si="295">K55</f>
        <v>47</v>
      </c>
      <c r="CJ55" s="114">
        <f t="shared" ref="CJ55" si="296">O55</f>
        <v>78</v>
      </c>
      <c r="CK55" s="114">
        <f t="shared" ref="CK55" si="297">S55</f>
        <v>81</v>
      </c>
      <c r="CL55" s="114">
        <f t="shared" ref="CL55" si="298">W55</f>
        <v>117</v>
      </c>
      <c r="CM55" s="114">
        <f t="shared" ref="CM55" si="299">AA55</f>
        <v>125</v>
      </c>
      <c r="CN55" s="114">
        <f t="shared" ref="CN55" si="300">AE55</f>
        <v>151</v>
      </c>
      <c r="CO55" s="114">
        <f t="shared" ref="CO55" si="301">AI55</f>
        <v>177</v>
      </c>
      <c r="CP55" s="114">
        <f t="shared" ref="CP55" si="302">AM55</f>
        <v>222</v>
      </c>
      <c r="CQ55" s="114">
        <f t="shared" ref="CQ55" si="303">AQ55</f>
        <v>364</v>
      </c>
      <c r="CR55" s="114">
        <f t="shared" ref="CR55" si="304">AU55</f>
        <v>396</v>
      </c>
      <c r="CS55" s="114">
        <f t="shared" ref="CS55" si="305">AY55</f>
        <v>409</v>
      </c>
      <c r="CT55" s="109">
        <f t="shared" ref="CT55" si="306">M55-K55</f>
        <v>1</v>
      </c>
    </row>
    <row r="56" spans="1:1029" s="12" customFormat="1" x14ac:dyDescent="0.2">
      <c r="A56" s="9" t="str">
        <f t="shared" ref="A56" si="307">CONCATENATE(B56,"_",C56)</f>
        <v>aa2ar_human_5NLX</v>
      </c>
      <c r="B56" s="9" t="s">
        <v>139</v>
      </c>
      <c r="C56" s="9" t="s">
        <v>1555</v>
      </c>
      <c r="D56" s="9" t="str">
        <f>IFERROR(MID(VLOOKUP($B56,Seqs!$A:$B,2,0),E56,1),"")</f>
        <v>I</v>
      </c>
      <c r="E56" s="9">
        <v>10</v>
      </c>
      <c r="F56" s="9" t="str">
        <f>IFERROR(MID(VLOOKUP($B56,Seqs!$A:$B,2,0),G56,1),"")</f>
        <v>Y</v>
      </c>
      <c r="G56" s="9">
        <v>43</v>
      </c>
      <c r="H56" s="9" t="str">
        <f>IFERROR(MID(VLOOKUP($B56,Seqs!$A:$B,2,0),I56,1),"")</f>
        <v>F</v>
      </c>
      <c r="I56" s="109">
        <v>44</v>
      </c>
      <c r="J56" s="9" t="str">
        <f>IFERROR(MID(VLOOKUP($B56,Seqs!$A:$B,2,0),K56,1),"")</f>
        <v>S</v>
      </c>
      <c r="K56" s="109">
        <v>47</v>
      </c>
      <c r="L56" s="9" t="str">
        <f>IFERROR(MID(VLOOKUP($B56,Seqs!$A:$B,2,0),M56,1),"")</f>
        <v>L</v>
      </c>
      <c r="M56" s="9">
        <v>48</v>
      </c>
      <c r="N56" s="9" t="str">
        <f>IFERROR(MID(VLOOKUP($B56,Seqs!$A:$B,2,0),O56,1),"")</f>
        <v>L</v>
      </c>
      <c r="O56" s="9">
        <v>78</v>
      </c>
      <c r="P56" s="9" t="str">
        <f>IFERROR(MID(VLOOKUP($B56,Seqs!$A:$B,2,0),Q56,1),"")</f>
        <v>F</v>
      </c>
      <c r="Q56" s="9">
        <v>79</v>
      </c>
      <c r="R56" s="9" t="str">
        <f>IFERROR(MID(VLOOKUP($B56,Seqs!$A:$B,2,0),S56,1),"")</f>
        <v>A</v>
      </c>
      <c r="S56" s="9">
        <v>81</v>
      </c>
      <c r="T56" s="9" t="str">
        <f>IFERROR(MID(VLOOKUP($B56,Seqs!$A:$B,2,0),U56,1),"")</f>
        <v>C</v>
      </c>
      <c r="U56" s="9">
        <v>82</v>
      </c>
      <c r="V56" s="9" t="str">
        <f>IFERROR(MID(VLOOKUP($B56,Seqs!$A:$B,2,0),W56,1),"")</f>
        <v>T</v>
      </c>
      <c r="W56" s="9">
        <v>117</v>
      </c>
      <c r="X56" s="9" t="str">
        <f>IFERROR(MID(VLOOKUP($B56,Seqs!$A:$B,2,0),Y56,1),"")</f>
        <v>G</v>
      </c>
      <c r="Y56" s="9">
        <v>118</v>
      </c>
      <c r="Z56" s="9" t="str">
        <f>IFERROR(MID(VLOOKUP($B56,Seqs!$A:$B,2,0),AA56,1),"")</f>
        <v>I</v>
      </c>
      <c r="AA56" s="9">
        <v>125</v>
      </c>
      <c r="AB56" s="9" t="str">
        <f>IFERROR(MID(VLOOKUP($B56,Seqs!$A:$B,2,0),AC56,1),"")</f>
        <v>A</v>
      </c>
      <c r="AC56" s="9">
        <v>126</v>
      </c>
      <c r="AD56" s="9" t="str">
        <f>IFERROR(MID(VLOOKUP($B56,Seqs!$A:$B,2,0),AE56,1),"")</f>
        <v>E</v>
      </c>
      <c r="AE56" s="9">
        <v>151</v>
      </c>
      <c r="AF56" s="9" t="str">
        <f>IFERROR(MID(VLOOKUP($B56,Seqs!$A:$B,2,0),AG56,1),"")</f>
        <v>N</v>
      </c>
      <c r="AG56" s="9">
        <v>175</v>
      </c>
      <c r="AH56" s="9" t="str">
        <f>IFERROR(MID(VLOOKUP($B56,Seqs!$A:$B,2,0),AI56,1),"")</f>
        <v>M</v>
      </c>
      <c r="AI56" s="9">
        <v>177</v>
      </c>
      <c r="AJ56" s="9" t="str">
        <f>IFERROR(MID(VLOOKUP($B56,Seqs!$A:$B,2,0),AK56,1),"")</f>
        <v>F</v>
      </c>
      <c r="AK56" s="9">
        <v>182</v>
      </c>
      <c r="AL56" s="9" t="str">
        <f>IFERROR(MID(VLOOKUP($B56,Seqs!$A:$B,2,0),AM56,1),"")</f>
        <v>R</v>
      </c>
      <c r="AM56" s="9">
        <v>222</v>
      </c>
      <c r="AN56" s="9" t="str">
        <f>IFERROR(MID(VLOOKUP($B56,Seqs!$A:$B,2,0),AO56,1),"")</f>
        <v>L</v>
      </c>
      <c r="AO56" s="9">
        <v>324</v>
      </c>
      <c r="AP56" s="9" t="str">
        <f>IFERROR(MID(VLOOKUP($B56,Seqs!$A:$B,2,0),AQ56,1),"")</f>
        <v>G</v>
      </c>
      <c r="AQ56" s="9">
        <v>364</v>
      </c>
      <c r="AR56" s="9" t="str">
        <f>IFERROR(MID(VLOOKUP($B56,Seqs!$A:$B,2,0),AS56,1),"")</f>
        <v>A</v>
      </c>
      <c r="AS56" s="9">
        <v>371</v>
      </c>
      <c r="AT56" s="9" t="str">
        <f>IFERROR(MID(VLOOKUP($B56,Seqs!$A:$B,2,0),AU56,1),"")</f>
        <v>E</v>
      </c>
      <c r="AU56" s="9">
        <v>396</v>
      </c>
      <c r="AV56" s="9" t="str">
        <f>IFERROR(MID(VLOOKUP($B56,Seqs!$A:$B,2,0),AW56,1),"")</f>
        <v>P</v>
      </c>
      <c r="AW56" s="9">
        <v>397</v>
      </c>
      <c r="AX56" s="9" t="str">
        <f>IFERROR(MID(VLOOKUP($B56,Seqs!$A:$B,2,0),AY56,1),"")</f>
        <v>A</v>
      </c>
      <c r="AY56" s="9">
        <v>409</v>
      </c>
      <c r="AZ56" s="110" t="str">
        <f>VLOOKUP(B56,Classification!A:D,2,0)</f>
        <v>A</v>
      </c>
      <c r="BA56" s="98" t="str">
        <f>VLOOKUP(B56,Classification!A:D,4,0)</f>
        <v>Adenosine</v>
      </c>
      <c r="BB56" s="36" t="b">
        <f t="shared" ref="BB56" si="308">AND(E56&lt;G56,OR(G56&lt;I56,I56="-"),OR(I56&lt;K56,I56="-"),OR(K56&lt;M56,K56="-"),M56&lt;O56,OR(O56&lt;Q56,Q56="-"),OR(Q56&lt;S56,Q56="-"),OR(S56&lt;U56,S56="-"),U56&lt;W56,OR(W56&lt;Y56,Y56="-"),OR(Y56&lt;AA56,Y56="-"),OR(AA56&lt;AC56,AA56="-"),AC56&lt;AE56,OR(AE56&lt;AG56,AG56="-"),OR(AG56&lt;AI56,AG56="-"),OR(AI56&lt;AK56,AI56="-"),AK56&lt;AM56,AM56&lt;AO56,AO56&lt;AQ56,AQ56&lt;AS56,AS56&lt;AU56,OR(AU56&lt;AW56,AW56="-"),OR(AW56&lt;AY56,AW56="-"))</f>
        <v>1</v>
      </c>
      <c r="BC56" s="109">
        <f t="shared" ref="BC56" si="309">_xlfn.AGGREGATE(9,6,CH56:CS56)-_xlfn.AGGREGATE(9,6,BV56:CG56)+12</f>
        <v>266</v>
      </c>
      <c r="BD56" s="13" t="s">
        <v>23</v>
      </c>
      <c r="BE56" s="9" t="s">
        <v>1368</v>
      </c>
      <c r="BF56" s="119">
        <v>2.14</v>
      </c>
      <c r="BG56" s="51" t="s">
        <v>1</v>
      </c>
      <c r="BH56" s="51" t="s">
        <v>1</v>
      </c>
      <c r="BJ56" s="111" t="s">
        <v>1281</v>
      </c>
      <c r="BK56" s="112" t="s">
        <v>1281</v>
      </c>
      <c r="BL56" s="112" t="s">
        <v>1281</v>
      </c>
      <c r="BM56" s="112" t="s">
        <v>1281</v>
      </c>
      <c r="BN56" s="112" t="s">
        <v>1281</v>
      </c>
      <c r="BO56" s="112" t="s">
        <v>1281</v>
      </c>
      <c r="BP56" s="112" t="s">
        <v>1281</v>
      </c>
      <c r="BQ56" s="112" t="s">
        <v>1281</v>
      </c>
      <c r="BR56" s="112" t="s">
        <v>1281</v>
      </c>
      <c r="BS56" s="112" t="s">
        <v>1281</v>
      </c>
      <c r="BT56" s="112" t="s">
        <v>1281</v>
      </c>
      <c r="BU56" s="112" t="s">
        <v>1281</v>
      </c>
      <c r="BV56" s="111">
        <f t="shared" ref="BV56" si="310">E56</f>
        <v>10</v>
      </c>
      <c r="BW56" s="113">
        <f t="shared" ref="BW56" si="311">I56</f>
        <v>44</v>
      </c>
      <c r="BX56" s="114">
        <f t="shared" ref="BX56" si="312">M56</f>
        <v>48</v>
      </c>
      <c r="BY56" s="113">
        <f t="shared" ref="BY56" si="313">Q56</f>
        <v>79</v>
      </c>
      <c r="BZ56" s="114">
        <f t="shared" ref="BZ56" si="314">U56</f>
        <v>82</v>
      </c>
      <c r="CA56" s="113">
        <f t="shared" ref="CA56" si="315">Y56</f>
        <v>118</v>
      </c>
      <c r="CB56" s="114">
        <f t="shared" ref="CB56" si="316">AC56</f>
        <v>126</v>
      </c>
      <c r="CC56" s="113">
        <f t="shared" ref="CC56" si="317">AG56</f>
        <v>175</v>
      </c>
      <c r="CD56" s="114">
        <f t="shared" ref="CD56" si="318">AK56</f>
        <v>182</v>
      </c>
      <c r="CE56" s="113">
        <f t="shared" ref="CE56" si="319">AO56</f>
        <v>324</v>
      </c>
      <c r="CF56" s="114">
        <f t="shared" ref="CF56" si="320">AS56</f>
        <v>371</v>
      </c>
      <c r="CG56" s="113">
        <f t="shared" ref="CG56" si="321">AW56</f>
        <v>397</v>
      </c>
      <c r="CH56" s="111">
        <f t="shared" ref="CH56" si="322">G56</f>
        <v>43</v>
      </c>
      <c r="CI56" s="113">
        <f t="shared" ref="CI56" si="323">K56</f>
        <v>47</v>
      </c>
      <c r="CJ56" s="114">
        <f t="shared" ref="CJ56" si="324">O56</f>
        <v>78</v>
      </c>
      <c r="CK56" s="114">
        <f t="shared" ref="CK56" si="325">S56</f>
        <v>81</v>
      </c>
      <c r="CL56" s="114">
        <f t="shared" ref="CL56" si="326">W56</f>
        <v>117</v>
      </c>
      <c r="CM56" s="114">
        <f t="shared" ref="CM56" si="327">AA56</f>
        <v>125</v>
      </c>
      <c r="CN56" s="114">
        <f t="shared" ref="CN56" si="328">AE56</f>
        <v>151</v>
      </c>
      <c r="CO56" s="114">
        <f t="shared" ref="CO56" si="329">AI56</f>
        <v>177</v>
      </c>
      <c r="CP56" s="114">
        <f t="shared" ref="CP56" si="330">AM56</f>
        <v>222</v>
      </c>
      <c r="CQ56" s="114">
        <f t="shared" ref="CQ56" si="331">AQ56</f>
        <v>364</v>
      </c>
      <c r="CR56" s="114">
        <f t="shared" ref="CR56" si="332">AU56</f>
        <v>396</v>
      </c>
      <c r="CS56" s="114">
        <f t="shared" ref="CS56" si="333">AY56</f>
        <v>409</v>
      </c>
      <c r="CT56" s="109">
        <f t="shared" ref="CT56" si="334">M56-K56</f>
        <v>1</v>
      </c>
    </row>
    <row r="57" spans="1:1029" x14ac:dyDescent="0.2">
      <c r="A57" s="3" t="str">
        <f t="shared" si="251"/>
        <v>aa2ar_human_5VRA</v>
      </c>
      <c r="B57" s="3" t="s">
        <v>139</v>
      </c>
      <c r="C57" s="3" t="s">
        <v>1443</v>
      </c>
      <c r="D57" s="3" t="str">
        <f>IFERROR(MID(VLOOKUP($B57,Seqs!$A:$B,2,0),E57,1),"")</f>
        <v>M</v>
      </c>
      <c r="E57" s="3">
        <v>1</v>
      </c>
      <c r="F57" s="3" t="str">
        <f>IFERROR(MID(VLOOKUP($B57,Seqs!$A:$B,2,0),G57,1),"")</f>
        <v>N</v>
      </c>
      <c r="G57" s="3">
        <v>34</v>
      </c>
      <c r="H57" s="3" t="str">
        <f>IFERROR(MID(VLOOKUP($B57,Seqs!$A:$B,2,0),I57,1),"")</f>
        <v>S</v>
      </c>
      <c r="I57" s="23">
        <v>35</v>
      </c>
      <c r="J57" s="3" t="str">
        <f>IFERROR(MID(VLOOKUP($B57,Seqs!$A:$B,2,0),K57,1),"")</f>
        <v>Q</v>
      </c>
      <c r="K57" s="23">
        <v>38</v>
      </c>
      <c r="L57" s="3" t="str">
        <f>IFERROR(MID(VLOOKUP($B57,Seqs!$A:$B,2,0),M57,1),"")</f>
        <v>N</v>
      </c>
      <c r="M57" s="3">
        <v>39</v>
      </c>
      <c r="N57" s="3" t="str">
        <f>IFERROR(MID(VLOOKUP($B57,Seqs!$A:$B,2,0),O57,1),"")</f>
        <v>G</v>
      </c>
      <c r="O57" s="3">
        <v>69</v>
      </c>
      <c r="P57" s="3" t="str">
        <f>IFERROR(MID(VLOOKUP($B57,Seqs!$A:$B,2,0),Q57,1),"")</f>
        <v>F</v>
      </c>
      <c r="Q57" s="3">
        <v>70</v>
      </c>
      <c r="R57" s="3" t="str">
        <f>IFERROR(MID(VLOOKUP($B57,Seqs!$A:$B,2,0),S57,1),"")</f>
        <v>A</v>
      </c>
      <c r="S57" s="3">
        <v>72</v>
      </c>
      <c r="T57" s="3" t="str">
        <f>IFERROR(MID(VLOOKUP($B57,Seqs!$A:$B,2,0),U57,1),"")</f>
        <v>A</v>
      </c>
      <c r="U57" s="3">
        <v>73</v>
      </c>
      <c r="V57" s="3" t="str">
        <f>IFERROR(MID(VLOOKUP($B57,Seqs!$A:$B,2,0),W57,1),"")</f>
        <v>I</v>
      </c>
      <c r="W57" s="3">
        <v>108</v>
      </c>
      <c r="X57" s="3" t="str">
        <f>IFERROR(MID(VLOOKUP($B57,Seqs!$A:$B,2,0),Y57,1),"")</f>
        <v>P</v>
      </c>
      <c r="Y57" s="3">
        <v>109</v>
      </c>
      <c r="Z57" s="3" t="str">
        <f>IFERROR(MID(VLOOKUP($B57,Seqs!$A:$B,2,0),AA57,1),"")</f>
        <v>V</v>
      </c>
      <c r="AA57" s="3">
        <v>116</v>
      </c>
      <c r="AB57" s="3" t="str">
        <f>IFERROR(MID(VLOOKUP($B57,Seqs!$A:$B,2,0),AC57,1),"")</f>
        <v>T</v>
      </c>
      <c r="AC57" s="3">
        <v>117</v>
      </c>
      <c r="AD57" s="3" t="str">
        <f>IFERROR(MID(VLOOKUP($B57,Seqs!$A:$B,2,0),AE57,1),"")</f>
        <v>G</v>
      </c>
      <c r="AE57" s="3">
        <v>142</v>
      </c>
      <c r="AF57" s="3" t="str">
        <f>IFERROR(MID(VLOOKUP($B57,Seqs!$A:$B,2,0),AG57,1),"")</f>
        <v>C</v>
      </c>
      <c r="AG57" s="3">
        <v>166</v>
      </c>
      <c r="AH57" s="3" t="str">
        <f>IFERROR(MID(VLOOKUP($B57,Seqs!$A:$B,2,0),AI57,1),"")</f>
        <v>F</v>
      </c>
      <c r="AI57" s="3">
        <v>168</v>
      </c>
      <c r="AJ57" s="3" t="str">
        <f>IFERROR(MID(VLOOKUP($B57,Seqs!$A:$B,2,0),AK57,1),"")</f>
        <v>P</v>
      </c>
      <c r="AK57" s="3">
        <v>173</v>
      </c>
      <c r="AL57" s="3" t="str">
        <f>IFERROR(MID(VLOOKUP($B57,Seqs!$A:$B,2,0),AM57,1),"")</f>
        <v>L</v>
      </c>
      <c r="AM57" s="3">
        <v>208</v>
      </c>
      <c r="AN57" s="3" t="str">
        <f>IFERROR(MID(VLOOKUP($B57,Seqs!$A:$B,2,0),AO57,1),"")</f>
        <v>E</v>
      </c>
      <c r="AO57" s="3">
        <v>219</v>
      </c>
      <c r="AP57" s="3" t="str">
        <f>IFERROR(MID(VLOOKUP($B57,Seqs!$A:$B,2,0),AQ57,1),"")</f>
        <v>C</v>
      </c>
      <c r="AQ57" s="3">
        <v>259</v>
      </c>
      <c r="AR57" s="3" t="str">
        <f>IFERROR(MID(VLOOKUP($B57,Seqs!$A:$B,2,0),AS57,1),"")</f>
        <v>P</v>
      </c>
      <c r="AS57" s="3">
        <v>266</v>
      </c>
      <c r="AT57" s="3" t="str">
        <f>IFERROR(MID(VLOOKUP($B57,Seqs!$A:$B,2,0),AU57,1),"")</f>
        <v>R</v>
      </c>
      <c r="AU57" s="3">
        <v>291</v>
      </c>
      <c r="AV57" s="3" t="str">
        <f>IFERROR(MID(VLOOKUP($B57,Seqs!$A:$B,2,0),AW57,1),"")</f>
        <v>I</v>
      </c>
      <c r="AW57" s="3">
        <v>292</v>
      </c>
      <c r="AX57" s="3" t="str">
        <f>IFERROR(MID(VLOOKUP($B57,Seqs!$A:$B,2,0),AY57,1),"")</f>
        <v>H</v>
      </c>
      <c r="AY57" s="3">
        <v>306</v>
      </c>
      <c r="AZ57" s="77" t="str">
        <f>VLOOKUP(B57,Classification!A:D,2,0)</f>
        <v>A</v>
      </c>
      <c r="BA57" s="94" t="str">
        <f>VLOOKUP(B57,Classification!A:D,4,0)</f>
        <v>Adenosine</v>
      </c>
      <c r="BB57" s="27" t="b">
        <f t="shared" si="252"/>
        <v>1</v>
      </c>
      <c r="BC57" s="23">
        <f t="shared" si="253"/>
        <v>263</v>
      </c>
      <c r="BD57" s="5" t="s">
        <v>23</v>
      </c>
      <c r="BE57" s="3" t="s">
        <v>1368</v>
      </c>
      <c r="BF57" s="118">
        <v>2.35</v>
      </c>
      <c r="BG57" s="49" t="s">
        <v>1</v>
      </c>
      <c r="BH57" s="49" t="s">
        <v>1</v>
      </c>
      <c r="BI57" s="1"/>
      <c r="BJ57" s="70" t="s">
        <v>1281</v>
      </c>
      <c r="BK57" s="57" t="s">
        <v>1281</v>
      </c>
      <c r="BL57" s="57" t="s">
        <v>1281</v>
      </c>
      <c r="BM57" s="57" t="s">
        <v>1281</v>
      </c>
      <c r="BN57" s="57" t="s">
        <v>1281</v>
      </c>
      <c r="BO57" s="57" t="s">
        <v>1281</v>
      </c>
      <c r="BP57" s="57" t="s">
        <v>1281</v>
      </c>
      <c r="BQ57" s="57" t="s">
        <v>1281</v>
      </c>
      <c r="BR57" s="57" t="s">
        <v>1281</v>
      </c>
      <c r="BS57" s="57" t="s">
        <v>1281</v>
      </c>
      <c r="BT57" s="57" t="s">
        <v>1281</v>
      </c>
      <c r="BU57" s="57" t="s">
        <v>1281</v>
      </c>
      <c r="BV57" s="70">
        <f t="shared" si="254"/>
        <v>1</v>
      </c>
      <c r="BW57" s="71">
        <f t="shared" si="255"/>
        <v>35</v>
      </c>
      <c r="BX57" s="72">
        <f t="shared" si="256"/>
        <v>39</v>
      </c>
      <c r="BY57" s="71">
        <f t="shared" si="257"/>
        <v>70</v>
      </c>
      <c r="BZ57" s="72">
        <f t="shared" si="258"/>
        <v>73</v>
      </c>
      <c r="CA57" s="71">
        <f t="shared" si="259"/>
        <v>109</v>
      </c>
      <c r="CB57" s="72">
        <f t="shared" si="260"/>
        <v>117</v>
      </c>
      <c r="CC57" s="71">
        <f t="shared" si="261"/>
        <v>166</v>
      </c>
      <c r="CD57" s="72">
        <f t="shared" si="262"/>
        <v>173</v>
      </c>
      <c r="CE57" s="71">
        <f t="shared" si="263"/>
        <v>219</v>
      </c>
      <c r="CF57" s="72">
        <f t="shared" si="264"/>
        <v>266</v>
      </c>
      <c r="CG57" s="71">
        <f t="shared" si="265"/>
        <v>292</v>
      </c>
      <c r="CH57" s="70">
        <f t="shared" si="266"/>
        <v>34</v>
      </c>
      <c r="CI57" s="71">
        <f t="shared" si="267"/>
        <v>38</v>
      </c>
      <c r="CJ57" s="72">
        <f t="shared" si="268"/>
        <v>69</v>
      </c>
      <c r="CK57" s="72">
        <f t="shared" si="269"/>
        <v>72</v>
      </c>
      <c r="CL57" s="72">
        <f t="shared" si="270"/>
        <v>108</v>
      </c>
      <c r="CM57" s="72">
        <f t="shared" si="271"/>
        <v>116</v>
      </c>
      <c r="CN57" s="72">
        <f t="shared" si="272"/>
        <v>142</v>
      </c>
      <c r="CO57" s="72">
        <f t="shared" si="273"/>
        <v>168</v>
      </c>
      <c r="CP57" s="72">
        <f t="shared" si="274"/>
        <v>208</v>
      </c>
      <c r="CQ57" s="72">
        <f t="shared" si="275"/>
        <v>259</v>
      </c>
      <c r="CR57" s="72">
        <f t="shared" si="276"/>
        <v>291</v>
      </c>
      <c r="CS57" s="72">
        <f t="shared" si="277"/>
        <v>306</v>
      </c>
      <c r="CT57" s="23">
        <f t="shared" si="278"/>
        <v>1</v>
      </c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</row>
    <row r="58" spans="1:1029" x14ac:dyDescent="0.2">
      <c r="A58" s="3" t="str">
        <f t="shared" si="251"/>
        <v>aa2ar_human_5OLG</v>
      </c>
      <c r="B58" s="3" t="s">
        <v>139</v>
      </c>
      <c r="C58" s="3" t="s">
        <v>1448</v>
      </c>
      <c r="D58" s="3" t="str">
        <f>IFERROR(MID(VLOOKUP($B58,Seqs!$A:$B,2,0),E58,1),"")</f>
        <v>M</v>
      </c>
      <c r="E58" s="3">
        <v>1</v>
      </c>
      <c r="F58" s="3" t="str">
        <f>IFERROR(MID(VLOOKUP($B58,Seqs!$A:$B,2,0),G58,1),"")</f>
        <v>N</v>
      </c>
      <c r="G58" s="3">
        <v>34</v>
      </c>
      <c r="H58" s="3" t="str">
        <f>IFERROR(MID(VLOOKUP($B58,Seqs!$A:$B,2,0),I58,1),"")</f>
        <v>S</v>
      </c>
      <c r="I58" s="23">
        <v>35</v>
      </c>
      <c r="J58" s="3" t="str">
        <f>IFERROR(MID(VLOOKUP($B58,Seqs!$A:$B,2,0),K58,1),"")</f>
        <v>Q</v>
      </c>
      <c r="K58" s="23">
        <v>38</v>
      </c>
      <c r="L58" s="3" t="str">
        <f>IFERROR(MID(VLOOKUP($B58,Seqs!$A:$B,2,0),M58,1),"")</f>
        <v>N</v>
      </c>
      <c r="M58" s="3">
        <v>39</v>
      </c>
      <c r="N58" s="3" t="str">
        <f>IFERROR(MID(VLOOKUP($B58,Seqs!$A:$B,2,0),O58,1),"")</f>
        <v>G</v>
      </c>
      <c r="O58" s="3">
        <v>69</v>
      </c>
      <c r="P58" s="3" t="str">
        <f>IFERROR(MID(VLOOKUP($B58,Seqs!$A:$B,2,0),Q58,1),"")</f>
        <v>F</v>
      </c>
      <c r="Q58" s="3">
        <v>70</v>
      </c>
      <c r="R58" s="3" t="str">
        <f>IFERROR(MID(VLOOKUP($B58,Seqs!$A:$B,2,0),S58,1),"")</f>
        <v>A</v>
      </c>
      <c r="S58" s="3">
        <v>72</v>
      </c>
      <c r="T58" s="3" t="str">
        <f>IFERROR(MID(VLOOKUP($B58,Seqs!$A:$B,2,0),U58,1),"")</f>
        <v>A</v>
      </c>
      <c r="U58" s="3">
        <v>73</v>
      </c>
      <c r="V58" s="3" t="str">
        <f>IFERROR(MID(VLOOKUP($B58,Seqs!$A:$B,2,0),W58,1),"")</f>
        <v>I</v>
      </c>
      <c r="W58" s="3">
        <v>108</v>
      </c>
      <c r="X58" s="3" t="str">
        <f>IFERROR(MID(VLOOKUP($B58,Seqs!$A:$B,2,0),Y58,1),"")</f>
        <v>P</v>
      </c>
      <c r="Y58" s="3">
        <v>109</v>
      </c>
      <c r="Z58" s="3" t="str">
        <f>IFERROR(MID(VLOOKUP($B58,Seqs!$A:$B,2,0),AA58,1),"")</f>
        <v>V</v>
      </c>
      <c r="AA58" s="3">
        <v>116</v>
      </c>
      <c r="AB58" s="3" t="str">
        <f>IFERROR(MID(VLOOKUP($B58,Seqs!$A:$B,2,0),AC58,1),"")</f>
        <v>T</v>
      </c>
      <c r="AC58" s="3">
        <v>117</v>
      </c>
      <c r="AD58" s="3" t="str">
        <f>IFERROR(MID(VLOOKUP($B58,Seqs!$A:$B,2,0),AE58,1),"")</f>
        <v>G</v>
      </c>
      <c r="AE58" s="3">
        <v>142</v>
      </c>
      <c r="AF58" s="3" t="str">
        <f>IFERROR(MID(VLOOKUP($B58,Seqs!$A:$B,2,0),AG58,1),"")</f>
        <v>C</v>
      </c>
      <c r="AG58" s="3">
        <v>166</v>
      </c>
      <c r="AH58" s="3" t="str">
        <f>IFERROR(MID(VLOOKUP($B58,Seqs!$A:$B,2,0),AI58,1),"")</f>
        <v>F</v>
      </c>
      <c r="AI58" s="3">
        <v>168</v>
      </c>
      <c r="AJ58" s="3" t="str">
        <f>IFERROR(MID(VLOOKUP($B58,Seqs!$A:$B,2,0),AK58,1),"")</f>
        <v>P</v>
      </c>
      <c r="AK58" s="3">
        <v>173</v>
      </c>
      <c r="AL58" s="3" t="str">
        <f>IFERROR(MID(VLOOKUP($B58,Seqs!$A:$B,2,0),AM58,1),"")</f>
        <v>L</v>
      </c>
      <c r="AM58" s="3">
        <v>208</v>
      </c>
      <c r="AN58" s="3" t="str">
        <f>IFERROR(MID(VLOOKUP($B58,Seqs!$A:$B,2,0),AO58,1),"")</f>
        <v>E</v>
      </c>
      <c r="AO58" s="3">
        <v>219</v>
      </c>
      <c r="AP58" s="3" t="str">
        <f>IFERROR(MID(VLOOKUP($B58,Seqs!$A:$B,2,0),AQ58,1),"")</f>
        <v>C</v>
      </c>
      <c r="AQ58" s="3">
        <v>259</v>
      </c>
      <c r="AR58" s="3" t="str">
        <f>IFERROR(MID(VLOOKUP($B58,Seqs!$A:$B,2,0),AS58,1),"")</f>
        <v>P</v>
      </c>
      <c r="AS58" s="3">
        <v>266</v>
      </c>
      <c r="AT58" s="3" t="str">
        <f>IFERROR(MID(VLOOKUP($B58,Seqs!$A:$B,2,0),AU58,1),"")</f>
        <v>R</v>
      </c>
      <c r="AU58" s="3">
        <v>291</v>
      </c>
      <c r="AV58" s="3" t="str">
        <f>IFERROR(MID(VLOOKUP($B58,Seqs!$A:$B,2,0),AW58,1),"")</f>
        <v>I</v>
      </c>
      <c r="AW58" s="3">
        <v>292</v>
      </c>
      <c r="AX58" s="3" t="str">
        <f>IFERROR(MID(VLOOKUP($B58,Seqs!$A:$B,2,0),AY58,1),"")</f>
        <v>S</v>
      </c>
      <c r="AY58" s="3">
        <v>305</v>
      </c>
      <c r="AZ58" s="77" t="str">
        <f>VLOOKUP(B58,Classification!A:D,2,0)</f>
        <v>A</v>
      </c>
      <c r="BA58" s="94" t="str">
        <f>VLOOKUP(B58,Classification!A:D,4,0)</f>
        <v>Adenosine</v>
      </c>
      <c r="BB58" s="27" t="b">
        <f t="shared" si="252"/>
        <v>1</v>
      </c>
      <c r="BC58" s="23">
        <f t="shared" si="253"/>
        <v>262</v>
      </c>
      <c r="BD58" s="5" t="s">
        <v>23</v>
      </c>
      <c r="BE58" s="3" t="s">
        <v>1368</v>
      </c>
      <c r="BF58" s="118">
        <v>1.87</v>
      </c>
      <c r="BG58" s="49" t="s">
        <v>1</v>
      </c>
      <c r="BH58" s="49" t="s">
        <v>1</v>
      </c>
      <c r="BI58" s="1"/>
      <c r="BJ58" s="70" t="s">
        <v>1281</v>
      </c>
      <c r="BK58" s="57" t="s">
        <v>1281</v>
      </c>
      <c r="BL58" s="57" t="s">
        <v>1281</v>
      </c>
      <c r="BM58" s="57" t="s">
        <v>1281</v>
      </c>
      <c r="BN58" s="57" t="s">
        <v>1281</v>
      </c>
      <c r="BO58" s="57" t="s">
        <v>1281</v>
      </c>
      <c r="BP58" s="57" t="s">
        <v>1281</v>
      </c>
      <c r="BQ58" s="57" t="s">
        <v>1281</v>
      </c>
      <c r="BR58" s="57" t="s">
        <v>1281</v>
      </c>
      <c r="BS58" s="57" t="s">
        <v>1281</v>
      </c>
      <c r="BT58" s="57" t="s">
        <v>1281</v>
      </c>
      <c r="BU58" s="57" t="s">
        <v>1281</v>
      </c>
      <c r="BV58" s="70">
        <f t="shared" si="254"/>
        <v>1</v>
      </c>
      <c r="BW58" s="71">
        <f t="shared" si="255"/>
        <v>35</v>
      </c>
      <c r="BX58" s="72">
        <f t="shared" si="256"/>
        <v>39</v>
      </c>
      <c r="BY58" s="71">
        <f t="shared" si="257"/>
        <v>70</v>
      </c>
      <c r="BZ58" s="72">
        <f t="shared" si="258"/>
        <v>73</v>
      </c>
      <c r="CA58" s="71">
        <f t="shared" si="259"/>
        <v>109</v>
      </c>
      <c r="CB58" s="72">
        <f t="shared" si="260"/>
        <v>117</v>
      </c>
      <c r="CC58" s="71">
        <f t="shared" si="261"/>
        <v>166</v>
      </c>
      <c r="CD58" s="72">
        <f t="shared" si="262"/>
        <v>173</v>
      </c>
      <c r="CE58" s="71">
        <f t="shared" si="263"/>
        <v>219</v>
      </c>
      <c r="CF58" s="72">
        <f t="shared" si="264"/>
        <v>266</v>
      </c>
      <c r="CG58" s="71">
        <f t="shared" si="265"/>
        <v>292</v>
      </c>
      <c r="CH58" s="70">
        <f t="shared" si="266"/>
        <v>34</v>
      </c>
      <c r="CI58" s="71">
        <f t="shared" si="267"/>
        <v>38</v>
      </c>
      <c r="CJ58" s="72">
        <f t="shared" si="268"/>
        <v>69</v>
      </c>
      <c r="CK58" s="72">
        <f t="shared" si="269"/>
        <v>72</v>
      </c>
      <c r="CL58" s="72">
        <f t="shared" si="270"/>
        <v>108</v>
      </c>
      <c r="CM58" s="72">
        <f t="shared" si="271"/>
        <v>116</v>
      </c>
      <c r="CN58" s="72">
        <f t="shared" si="272"/>
        <v>142</v>
      </c>
      <c r="CO58" s="72">
        <f t="shared" si="273"/>
        <v>168</v>
      </c>
      <c r="CP58" s="72">
        <f t="shared" si="274"/>
        <v>208</v>
      </c>
      <c r="CQ58" s="72">
        <f t="shared" si="275"/>
        <v>259</v>
      </c>
      <c r="CR58" s="72">
        <f t="shared" si="276"/>
        <v>291</v>
      </c>
      <c r="CS58" s="72">
        <f t="shared" si="277"/>
        <v>305</v>
      </c>
      <c r="CT58" s="23">
        <f t="shared" si="278"/>
        <v>1</v>
      </c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</row>
    <row r="59" spans="1:1029" x14ac:dyDescent="0.2">
      <c r="A59" s="3" t="str">
        <f t="shared" si="251"/>
        <v>aa2ar_human_5OLH</v>
      </c>
      <c r="B59" s="3" t="s">
        <v>139</v>
      </c>
      <c r="C59" s="3" t="s">
        <v>1449</v>
      </c>
      <c r="D59" s="3" t="str">
        <f>IFERROR(MID(VLOOKUP($B59,Seqs!$A:$B,2,0),E59,1),"")</f>
        <v>M</v>
      </c>
      <c r="E59" s="3">
        <v>1</v>
      </c>
      <c r="F59" s="3" t="str">
        <f>IFERROR(MID(VLOOKUP($B59,Seqs!$A:$B,2,0),G59,1),"")</f>
        <v>N</v>
      </c>
      <c r="G59" s="3">
        <v>34</v>
      </c>
      <c r="H59" s="3" t="str">
        <f>IFERROR(MID(VLOOKUP($B59,Seqs!$A:$B,2,0),I59,1),"")</f>
        <v>S</v>
      </c>
      <c r="I59" s="23">
        <v>35</v>
      </c>
      <c r="J59" s="3" t="str">
        <f>IFERROR(MID(VLOOKUP($B59,Seqs!$A:$B,2,0),K59,1),"")</f>
        <v>Q</v>
      </c>
      <c r="K59" s="23">
        <v>38</v>
      </c>
      <c r="L59" s="3" t="str">
        <f>IFERROR(MID(VLOOKUP($B59,Seqs!$A:$B,2,0),M59,1),"")</f>
        <v>N</v>
      </c>
      <c r="M59" s="3">
        <v>39</v>
      </c>
      <c r="N59" s="3" t="str">
        <f>IFERROR(MID(VLOOKUP($B59,Seqs!$A:$B,2,0),O59,1),"")</f>
        <v>G</v>
      </c>
      <c r="O59" s="3">
        <v>69</v>
      </c>
      <c r="P59" s="3" t="str">
        <f>IFERROR(MID(VLOOKUP($B59,Seqs!$A:$B,2,0),Q59,1),"")</f>
        <v>F</v>
      </c>
      <c r="Q59" s="3">
        <v>70</v>
      </c>
      <c r="R59" s="3" t="str">
        <f>IFERROR(MID(VLOOKUP($B59,Seqs!$A:$B,2,0),S59,1),"")</f>
        <v>A</v>
      </c>
      <c r="S59" s="3">
        <v>72</v>
      </c>
      <c r="T59" s="3" t="str">
        <f>IFERROR(MID(VLOOKUP($B59,Seqs!$A:$B,2,0),U59,1),"")</f>
        <v>A</v>
      </c>
      <c r="U59" s="3">
        <v>73</v>
      </c>
      <c r="V59" s="3" t="str">
        <f>IFERROR(MID(VLOOKUP($B59,Seqs!$A:$B,2,0),W59,1),"")</f>
        <v>I</v>
      </c>
      <c r="W59" s="3">
        <v>108</v>
      </c>
      <c r="X59" s="3" t="str">
        <f>IFERROR(MID(VLOOKUP($B59,Seqs!$A:$B,2,0),Y59,1),"")</f>
        <v>P</v>
      </c>
      <c r="Y59" s="3">
        <v>109</v>
      </c>
      <c r="Z59" s="3" t="str">
        <f>IFERROR(MID(VLOOKUP($B59,Seqs!$A:$B,2,0),AA59,1),"")</f>
        <v>V</v>
      </c>
      <c r="AA59" s="3">
        <v>116</v>
      </c>
      <c r="AB59" s="3" t="str">
        <f>IFERROR(MID(VLOOKUP($B59,Seqs!$A:$B,2,0),AC59,1),"")</f>
        <v>T</v>
      </c>
      <c r="AC59" s="3">
        <v>117</v>
      </c>
      <c r="AD59" s="3" t="str">
        <f>IFERROR(MID(VLOOKUP($B59,Seqs!$A:$B,2,0),AE59,1),"")</f>
        <v>G</v>
      </c>
      <c r="AE59" s="3">
        <v>142</v>
      </c>
      <c r="AF59" s="3" t="str">
        <f>IFERROR(MID(VLOOKUP($B59,Seqs!$A:$B,2,0),AG59,1),"")</f>
        <v>C</v>
      </c>
      <c r="AG59" s="3">
        <v>166</v>
      </c>
      <c r="AH59" s="3" t="str">
        <f>IFERROR(MID(VLOOKUP($B59,Seqs!$A:$B,2,0),AI59,1),"")</f>
        <v>F</v>
      </c>
      <c r="AI59" s="3">
        <v>168</v>
      </c>
      <c r="AJ59" s="3" t="str">
        <f>IFERROR(MID(VLOOKUP($B59,Seqs!$A:$B,2,0),AK59,1),"")</f>
        <v>P</v>
      </c>
      <c r="AK59" s="3">
        <v>173</v>
      </c>
      <c r="AL59" s="3" t="str">
        <f>IFERROR(MID(VLOOKUP($B59,Seqs!$A:$B,2,0),AM59,1),"")</f>
        <v>L</v>
      </c>
      <c r="AM59" s="3">
        <v>208</v>
      </c>
      <c r="AN59" s="3" t="str">
        <f>IFERROR(MID(VLOOKUP($B59,Seqs!$A:$B,2,0),AO59,1),"")</f>
        <v>E</v>
      </c>
      <c r="AO59" s="3">
        <v>219</v>
      </c>
      <c r="AP59" s="3" t="str">
        <f>IFERROR(MID(VLOOKUP($B59,Seqs!$A:$B,2,0),AQ59,1),"")</f>
        <v>C</v>
      </c>
      <c r="AQ59" s="3">
        <v>259</v>
      </c>
      <c r="AR59" s="3" t="str">
        <f>IFERROR(MID(VLOOKUP($B59,Seqs!$A:$B,2,0),AS59,1),"")</f>
        <v>P</v>
      </c>
      <c r="AS59" s="3">
        <v>266</v>
      </c>
      <c r="AT59" s="3" t="str">
        <f>IFERROR(MID(VLOOKUP($B59,Seqs!$A:$B,2,0),AU59,1),"")</f>
        <v>R</v>
      </c>
      <c r="AU59" s="3">
        <v>291</v>
      </c>
      <c r="AV59" s="3" t="str">
        <f>IFERROR(MID(VLOOKUP($B59,Seqs!$A:$B,2,0),AW59,1),"")</f>
        <v>I</v>
      </c>
      <c r="AW59" s="3">
        <v>292</v>
      </c>
      <c r="AX59" s="3" t="str">
        <f>IFERROR(MID(VLOOKUP($B59,Seqs!$A:$B,2,0),AY59,1),"")</f>
        <v>S</v>
      </c>
      <c r="AY59" s="3">
        <v>305</v>
      </c>
      <c r="AZ59" s="77" t="str">
        <f>VLOOKUP(B59,Classification!A:D,2,0)</f>
        <v>A</v>
      </c>
      <c r="BA59" s="94" t="str">
        <f>VLOOKUP(B59,Classification!A:D,4,0)</f>
        <v>Adenosine</v>
      </c>
      <c r="BB59" s="27" t="b">
        <f t="shared" si="252"/>
        <v>1</v>
      </c>
      <c r="BC59" s="23">
        <f t="shared" si="253"/>
        <v>262</v>
      </c>
      <c r="BD59" s="5" t="s">
        <v>23</v>
      </c>
      <c r="BE59" s="3" t="s">
        <v>1368</v>
      </c>
      <c r="BF59" s="118">
        <v>2.6</v>
      </c>
      <c r="BG59" s="49" t="s">
        <v>1</v>
      </c>
      <c r="BH59" s="49" t="s">
        <v>1</v>
      </c>
      <c r="BI59" s="1"/>
      <c r="BJ59" s="70" t="s">
        <v>1281</v>
      </c>
      <c r="BK59" s="57" t="s">
        <v>1281</v>
      </c>
      <c r="BL59" s="57" t="s">
        <v>1281</v>
      </c>
      <c r="BM59" s="57" t="s">
        <v>1281</v>
      </c>
      <c r="BN59" s="57" t="s">
        <v>1281</v>
      </c>
      <c r="BO59" s="57" t="s">
        <v>1281</v>
      </c>
      <c r="BP59" s="57" t="s">
        <v>1281</v>
      </c>
      <c r="BQ59" s="57" t="s">
        <v>1281</v>
      </c>
      <c r="BR59" s="57" t="s">
        <v>1281</v>
      </c>
      <c r="BS59" s="57" t="s">
        <v>1281</v>
      </c>
      <c r="BT59" s="57" t="s">
        <v>1281</v>
      </c>
      <c r="BU59" s="57" t="s">
        <v>1281</v>
      </c>
      <c r="BV59" s="70">
        <f t="shared" si="254"/>
        <v>1</v>
      </c>
      <c r="BW59" s="71">
        <f t="shared" si="255"/>
        <v>35</v>
      </c>
      <c r="BX59" s="72">
        <f t="shared" si="256"/>
        <v>39</v>
      </c>
      <c r="BY59" s="71">
        <f t="shared" si="257"/>
        <v>70</v>
      </c>
      <c r="BZ59" s="72">
        <f t="shared" si="258"/>
        <v>73</v>
      </c>
      <c r="CA59" s="71">
        <f t="shared" si="259"/>
        <v>109</v>
      </c>
      <c r="CB59" s="72">
        <f t="shared" si="260"/>
        <v>117</v>
      </c>
      <c r="CC59" s="71">
        <f t="shared" si="261"/>
        <v>166</v>
      </c>
      <c r="CD59" s="72">
        <f t="shared" si="262"/>
        <v>173</v>
      </c>
      <c r="CE59" s="71">
        <f t="shared" si="263"/>
        <v>219</v>
      </c>
      <c r="CF59" s="72">
        <f t="shared" si="264"/>
        <v>266</v>
      </c>
      <c r="CG59" s="71">
        <f t="shared" si="265"/>
        <v>292</v>
      </c>
      <c r="CH59" s="70">
        <f t="shared" si="266"/>
        <v>34</v>
      </c>
      <c r="CI59" s="71">
        <f t="shared" si="267"/>
        <v>38</v>
      </c>
      <c r="CJ59" s="72">
        <f t="shared" si="268"/>
        <v>69</v>
      </c>
      <c r="CK59" s="72">
        <f t="shared" si="269"/>
        <v>72</v>
      </c>
      <c r="CL59" s="72">
        <f t="shared" si="270"/>
        <v>108</v>
      </c>
      <c r="CM59" s="72">
        <f t="shared" si="271"/>
        <v>116</v>
      </c>
      <c r="CN59" s="72">
        <f t="shared" si="272"/>
        <v>142</v>
      </c>
      <c r="CO59" s="72">
        <f t="shared" si="273"/>
        <v>168</v>
      </c>
      <c r="CP59" s="72">
        <f t="shared" si="274"/>
        <v>208</v>
      </c>
      <c r="CQ59" s="72">
        <f t="shared" si="275"/>
        <v>259</v>
      </c>
      <c r="CR59" s="72">
        <f t="shared" si="276"/>
        <v>291</v>
      </c>
      <c r="CS59" s="72">
        <f t="shared" si="277"/>
        <v>305</v>
      </c>
      <c r="CT59" s="23">
        <f t="shared" si="278"/>
        <v>1</v>
      </c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  <c r="AMO59" s="1"/>
    </row>
    <row r="60" spans="1:1029" x14ac:dyDescent="0.2">
      <c r="A60" s="3" t="str">
        <f t="shared" si="251"/>
        <v>aa2ar_human_5OLO</v>
      </c>
      <c r="B60" s="3" t="s">
        <v>139</v>
      </c>
      <c r="C60" s="3" t="s">
        <v>1450</v>
      </c>
      <c r="D60" s="3" t="str">
        <f>IFERROR(MID(VLOOKUP($B60,Seqs!$A:$B,2,0),E60,1),"")</f>
        <v>M</v>
      </c>
      <c r="E60" s="3">
        <v>1</v>
      </c>
      <c r="F60" s="3" t="str">
        <f>IFERROR(MID(VLOOKUP($B60,Seqs!$A:$B,2,0),G60,1),"")</f>
        <v>N</v>
      </c>
      <c r="G60" s="3">
        <v>34</v>
      </c>
      <c r="H60" s="3" t="str">
        <f>IFERROR(MID(VLOOKUP($B60,Seqs!$A:$B,2,0),I60,1),"")</f>
        <v>S</v>
      </c>
      <c r="I60" s="23">
        <v>35</v>
      </c>
      <c r="J60" s="3" t="str">
        <f>IFERROR(MID(VLOOKUP($B60,Seqs!$A:$B,2,0),K60,1),"")</f>
        <v>Q</v>
      </c>
      <c r="K60" s="23">
        <v>38</v>
      </c>
      <c r="L60" s="3" t="str">
        <f>IFERROR(MID(VLOOKUP($B60,Seqs!$A:$B,2,0),M60,1),"")</f>
        <v>N</v>
      </c>
      <c r="M60" s="3">
        <v>39</v>
      </c>
      <c r="N60" s="3" t="str">
        <f>IFERROR(MID(VLOOKUP($B60,Seqs!$A:$B,2,0),O60,1),"")</f>
        <v>G</v>
      </c>
      <c r="O60" s="3">
        <v>69</v>
      </c>
      <c r="P60" s="3" t="str">
        <f>IFERROR(MID(VLOOKUP($B60,Seqs!$A:$B,2,0),Q60,1),"")</f>
        <v>F</v>
      </c>
      <c r="Q60" s="3">
        <v>70</v>
      </c>
      <c r="R60" s="3" t="str">
        <f>IFERROR(MID(VLOOKUP($B60,Seqs!$A:$B,2,0),S60,1),"")</f>
        <v>A</v>
      </c>
      <c r="S60" s="3">
        <v>72</v>
      </c>
      <c r="T60" s="3" t="str">
        <f>IFERROR(MID(VLOOKUP($B60,Seqs!$A:$B,2,0),U60,1),"")</f>
        <v>A</v>
      </c>
      <c r="U60" s="3">
        <v>73</v>
      </c>
      <c r="V60" s="3" t="str">
        <f>IFERROR(MID(VLOOKUP($B60,Seqs!$A:$B,2,0),W60,1),"")</f>
        <v>I</v>
      </c>
      <c r="W60" s="3">
        <v>108</v>
      </c>
      <c r="X60" s="3" t="str">
        <f>IFERROR(MID(VLOOKUP($B60,Seqs!$A:$B,2,0),Y60,1),"")</f>
        <v>P</v>
      </c>
      <c r="Y60" s="3">
        <v>109</v>
      </c>
      <c r="Z60" s="3" t="str">
        <f>IFERROR(MID(VLOOKUP($B60,Seqs!$A:$B,2,0),AA60,1),"")</f>
        <v>V</v>
      </c>
      <c r="AA60" s="3">
        <v>116</v>
      </c>
      <c r="AB60" s="3" t="str">
        <f>IFERROR(MID(VLOOKUP($B60,Seqs!$A:$B,2,0),AC60,1),"")</f>
        <v>T</v>
      </c>
      <c r="AC60" s="3">
        <v>117</v>
      </c>
      <c r="AD60" s="3" t="str">
        <f>IFERROR(MID(VLOOKUP($B60,Seqs!$A:$B,2,0),AE60,1),"")</f>
        <v>G</v>
      </c>
      <c r="AE60" s="3">
        <v>142</v>
      </c>
      <c r="AF60" s="3" t="str">
        <f>IFERROR(MID(VLOOKUP($B60,Seqs!$A:$B,2,0),AG60,1),"")</f>
        <v>C</v>
      </c>
      <c r="AG60" s="3">
        <v>166</v>
      </c>
      <c r="AH60" s="3" t="str">
        <f>IFERROR(MID(VLOOKUP($B60,Seqs!$A:$B,2,0),AI60,1),"")</f>
        <v>F</v>
      </c>
      <c r="AI60" s="3">
        <v>168</v>
      </c>
      <c r="AJ60" s="3" t="str">
        <f>IFERROR(MID(VLOOKUP($B60,Seqs!$A:$B,2,0),AK60,1),"")</f>
        <v>P</v>
      </c>
      <c r="AK60" s="3">
        <v>173</v>
      </c>
      <c r="AL60" s="3" t="str">
        <f>IFERROR(MID(VLOOKUP($B60,Seqs!$A:$B,2,0),AM60,1),"")</f>
        <v>L</v>
      </c>
      <c r="AM60" s="3">
        <v>208</v>
      </c>
      <c r="AN60" s="3" t="str">
        <f>IFERROR(MID(VLOOKUP($B60,Seqs!$A:$B,2,0),AO60,1),"")</f>
        <v>E</v>
      </c>
      <c r="AO60" s="3">
        <v>219</v>
      </c>
      <c r="AP60" s="3" t="str">
        <f>IFERROR(MID(VLOOKUP($B60,Seqs!$A:$B,2,0),AQ60,1),"")</f>
        <v>C</v>
      </c>
      <c r="AQ60" s="3">
        <v>259</v>
      </c>
      <c r="AR60" s="3" t="str">
        <f>IFERROR(MID(VLOOKUP($B60,Seqs!$A:$B,2,0),AS60,1),"")</f>
        <v>P</v>
      </c>
      <c r="AS60" s="3">
        <v>266</v>
      </c>
      <c r="AT60" s="3" t="str">
        <f>IFERROR(MID(VLOOKUP($B60,Seqs!$A:$B,2,0),AU60,1),"")</f>
        <v>R</v>
      </c>
      <c r="AU60" s="3">
        <v>291</v>
      </c>
      <c r="AV60" s="3" t="str">
        <f>IFERROR(MID(VLOOKUP($B60,Seqs!$A:$B,2,0),AW60,1),"")</f>
        <v>I</v>
      </c>
      <c r="AW60" s="3">
        <v>292</v>
      </c>
      <c r="AX60" s="3" t="str">
        <f>IFERROR(MID(VLOOKUP($B60,Seqs!$A:$B,2,0),AY60,1),"")</f>
        <v>S</v>
      </c>
      <c r="AY60" s="3">
        <v>305</v>
      </c>
      <c r="AZ60" s="77" t="str">
        <f>VLOOKUP(B60,Classification!A:D,2,0)</f>
        <v>A</v>
      </c>
      <c r="BA60" s="94" t="str">
        <f>VLOOKUP(B60,Classification!A:D,4,0)</f>
        <v>Adenosine</v>
      </c>
      <c r="BB60" s="27" t="b">
        <f t="shared" si="252"/>
        <v>1</v>
      </c>
      <c r="BC60" s="23">
        <f t="shared" si="253"/>
        <v>262</v>
      </c>
      <c r="BD60" s="5" t="s">
        <v>23</v>
      </c>
      <c r="BE60" s="3" t="s">
        <v>1368</v>
      </c>
      <c r="BF60" s="118">
        <v>3.1</v>
      </c>
      <c r="BG60" s="49" t="s">
        <v>1</v>
      </c>
      <c r="BH60" s="49" t="s">
        <v>1</v>
      </c>
      <c r="BI60" s="1"/>
      <c r="BJ60" s="70" t="s">
        <v>1281</v>
      </c>
      <c r="BK60" s="57" t="s">
        <v>1281</v>
      </c>
      <c r="BL60" s="57" t="s">
        <v>1281</v>
      </c>
      <c r="BM60" s="57" t="s">
        <v>1281</v>
      </c>
      <c r="BN60" s="57" t="s">
        <v>1281</v>
      </c>
      <c r="BO60" s="57" t="s">
        <v>1281</v>
      </c>
      <c r="BP60" s="57" t="s">
        <v>1281</v>
      </c>
      <c r="BQ60" s="57" t="s">
        <v>1281</v>
      </c>
      <c r="BR60" s="57" t="s">
        <v>1281</v>
      </c>
      <c r="BS60" s="57" t="s">
        <v>1281</v>
      </c>
      <c r="BT60" s="57" t="s">
        <v>1281</v>
      </c>
      <c r="BU60" s="57" t="s">
        <v>1281</v>
      </c>
      <c r="BV60" s="70">
        <f t="shared" si="254"/>
        <v>1</v>
      </c>
      <c r="BW60" s="71">
        <f t="shared" si="255"/>
        <v>35</v>
      </c>
      <c r="BX60" s="72">
        <f t="shared" si="256"/>
        <v>39</v>
      </c>
      <c r="BY60" s="71">
        <f t="shared" si="257"/>
        <v>70</v>
      </c>
      <c r="BZ60" s="72">
        <f t="shared" si="258"/>
        <v>73</v>
      </c>
      <c r="CA60" s="71">
        <f t="shared" si="259"/>
        <v>109</v>
      </c>
      <c r="CB60" s="72">
        <f t="shared" si="260"/>
        <v>117</v>
      </c>
      <c r="CC60" s="71">
        <f t="shared" si="261"/>
        <v>166</v>
      </c>
      <c r="CD60" s="72">
        <f t="shared" si="262"/>
        <v>173</v>
      </c>
      <c r="CE60" s="71">
        <f t="shared" si="263"/>
        <v>219</v>
      </c>
      <c r="CF60" s="72">
        <f t="shared" si="264"/>
        <v>266</v>
      </c>
      <c r="CG60" s="71">
        <f t="shared" si="265"/>
        <v>292</v>
      </c>
      <c r="CH60" s="70">
        <f t="shared" si="266"/>
        <v>34</v>
      </c>
      <c r="CI60" s="71">
        <f t="shared" si="267"/>
        <v>38</v>
      </c>
      <c r="CJ60" s="72">
        <f t="shared" si="268"/>
        <v>69</v>
      </c>
      <c r="CK60" s="72">
        <f t="shared" si="269"/>
        <v>72</v>
      </c>
      <c r="CL60" s="72">
        <f t="shared" si="270"/>
        <v>108</v>
      </c>
      <c r="CM60" s="72">
        <f t="shared" si="271"/>
        <v>116</v>
      </c>
      <c r="CN60" s="72">
        <f t="shared" si="272"/>
        <v>142</v>
      </c>
      <c r="CO60" s="72">
        <f t="shared" si="273"/>
        <v>168</v>
      </c>
      <c r="CP60" s="72">
        <f t="shared" si="274"/>
        <v>208</v>
      </c>
      <c r="CQ60" s="72">
        <f t="shared" si="275"/>
        <v>259</v>
      </c>
      <c r="CR60" s="72">
        <f t="shared" si="276"/>
        <v>291</v>
      </c>
      <c r="CS60" s="72">
        <f t="shared" si="277"/>
        <v>305</v>
      </c>
      <c r="CT60" s="23">
        <f t="shared" si="278"/>
        <v>1</v>
      </c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</row>
    <row r="61" spans="1:1029" x14ac:dyDescent="0.2">
      <c r="A61" s="3" t="str">
        <f t="shared" si="251"/>
        <v>aa2ar_human_5OLV</v>
      </c>
      <c r="B61" s="3" t="s">
        <v>139</v>
      </c>
      <c r="C61" s="3" t="s">
        <v>1451</v>
      </c>
      <c r="D61" s="3" t="str">
        <f>IFERROR(MID(VLOOKUP($B61,Seqs!$A:$B,2,0),E61,1),"")</f>
        <v>M</v>
      </c>
      <c r="E61" s="3">
        <v>1</v>
      </c>
      <c r="F61" s="3" t="str">
        <f>IFERROR(MID(VLOOKUP($B61,Seqs!$A:$B,2,0),G61,1),"")</f>
        <v>N</v>
      </c>
      <c r="G61" s="3">
        <v>34</v>
      </c>
      <c r="H61" s="3" t="str">
        <f>IFERROR(MID(VLOOKUP($B61,Seqs!$A:$B,2,0),I61,1),"")</f>
        <v>S</v>
      </c>
      <c r="I61" s="23">
        <v>35</v>
      </c>
      <c r="J61" s="3" t="str">
        <f>IFERROR(MID(VLOOKUP($B61,Seqs!$A:$B,2,0),K61,1),"")</f>
        <v>Q</v>
      </c>
      <c r="K61" s="23">
        <v>38</v>
      </c>
      <c r="L61" s="3" t="str">
        <f>IFERROR(MID(VLOOKUP($B61,Seqs!$A:$B,2,0),M61,1),"")</f>
        <v>N</v>
      </c>
      <c r="M61" s="3">
        <v>39</v>
      </c>
      <c r="N61" s="3" t="str">
        <f>IFERROR(MID(VLOOKUP($B61,Seqs!$A:$B,2,0),O61,1),"")</f>
        <v>G</v>
      </c>
      <c r="O61" s="3">
        <v>69</v>
      </c>
      <c r="P61" s="3" t="str">
        <f>IFERROR(MID(VLOOKUP($B61,Seqs!$A:$B,2,0),Q61,1),"")</f>
        <v>F</v>
      </c>
      <c r="Q61" s="3">
        <v>70</v>
      </c>
      <c r="R61" s="3" t="str">
        <f>IFERROR(MID(VLOOKUP($B61,Seqs!$A:$B,2,0),S61,1),"")</f>
        <v>A</v>
      </c>
      <c r="S61" s="3">
        <v>72</v>
      </c>
      <c r="T61" s="3" t="str">
        <f>IFERROR(MID(VLOOKUP($B61,Seqs!$A:$B,2,0),U61,1),"")</f>
        <v>A</v>
      </c>
      <c r="U61" s="3">
        <v>73</v>
      </c>
      <c r="V61" s="3" t="str">
        <f>IFERROR(MID(VLOOKUP($B61,Seqs!$A:$B,2,0),W61,1),"")</f>
        <v>I</v>
      </c>
      <c r="W61" s="3">
        <v>108</v>
      </c>
      <c r="X61" s="3" t="str">
        <f>IFERROR(MID(VLOOKUP($B61,Seqs!$A:$B,2,0),Y61,1),"")</f>
        <v>P</v>
      </c>
      <c r="Y61" s="3">
        <v>109</v>
      </c>
      <c r="Z61" s="3" t="str">
        <f>IFERROR(MID(VLOOKUP($B61,Seqs!$A:$B,2,0),AA61,1),"")</f>
        <v>V</v>
      </c>
      <c r="AA61" s="3">
        <v>116</v>
      </c>
      <c r="AB61" s="3" t="str">
        <f>IFERROR(MID(VLOOKUP($B61,Seqs!$A:$B,2,0),AC61,1),"")</f>
        <v>T</v>
      </c>
      <c r="AC61" s="3">
        <v>117</v>
      </c>
      <c r="AD61" s="3" t="str">
        <f>IFERROR(MID(VLOOKUP($B61,Seqs!$A:$B,2,0),AE61,1),"")</f>
        <v>G</v>
      </c>
      <c r="AE61" s="3">
        <v>142</v>
      </c>
      <c r="AF61" s="3" t="str">
        <f>IFERROR(MID(VLOOKUP($B61,Seqs!$A:$B,2,0),AG61,1),"")</f>
        <v>C</v>
      </c>
      <c r="AG61" s="3">
        <v>166</v>
      </c>
      <c r="AH61" s="3" t="str">
        <f>IFERROR(MID(VLOOKUP($B61,Seqs!$A:$B,2,0),AI61,1),"")</f>
        <v>F</v>
      </c>
      <c r="AI61" s="3">
        <v>168</v>
      </c>
      <c r="AJ61" s="3" t="str">
        <f>IFERROR(MID(VLOOKUP($B61,Seqs!$A:$B,2,0),AK61,1),"")</f>
        <v>P</v>
      </c>
      <c r="AK61" s="3">
        <v>173</v>
      </c>
      <c r="AL61" s="3" t="str">
        <f>IFERROR(MID(VLOOKUP($B61,Seqs!$A:$B,2,0),AM61,1),"")</f>
        <v>L</v>
      </c>
      <c r="AM61" s="3">
        <v>208</v>
      </c>
      <c r="AN61" s="3" t="str">
        <f>IFERROR(MID(VLOOKUP($B61,Seqs!$A:$B,2,0),AO61,1),"")</f>
        <v>E</v>
      </c>
      <c r="AO61" s="3">
        <v>219</v>
      </c>
      <c r="AP61" s="3" t="str">
        <f>IFERROR(MID(VLOOKUP($B61,Seqs!$A:$B,2,0),AQ61,1),"")</f>
        <v>C</v>
      </c>
      <c r="AQ61" s="3">
        <v>259</v>
      </c>
      <c r="AR61" s="3" t="str">
        <f>IFERROR(MID(VLOOKUP($B61,Seqs!$A:$B,2,0),AS61,1),"")</f>
        <v>P</v>
      </c>
      <c r="AS61" s="3">
        <v>266</v>
      </c>
      <c r="AT61" s="3" t="str">
        <f>IFERROR(MID(VLOOKUP($B61,Seqs!$A:$B,2,0),AU61,1),"")</f>
        <v>R</v>
      </c>
      <c r="AU61" s="3">
        <v>291</v>
      </c>
      <c r="AV61" s="3" t="str">
        <f>IFERROR(MID(VLOOKUP($B61,Seqs!$A:$B,2,0),AW61,1),"")</f>
        <v>I</v>
      </c>
      <c r="AW61" s="3">
        <v>292</v>
      </c>
      <c r="AX61" s="3" t="str">
        <f>IFERROR(MID(VLOOKUP($B61,Seqs!$A:$B,2,0),AY61,1),"")</f>
        <v>S</v>
      </c>
      <c r="AY61" s="3">
        <v>305</v>
      </c>
      <c r="AZ61" s="77" t="str">
        <f>VLOOKUP(B61,Classification!A:D,2,0)</f>
        <v>A</v>
      </c>
      <c r="BA61" s="94" t="str">
        <f>VLOOKUP(B61,Classification!A:D,4,0)</f>
        <v>Adenosine</v>
      </c>
      <c r="BB61" s="27" t="b">
        <f t="shared" si="252"/>
        <v>1</v>
      </c>
      <c r="BC61" s="23">
        <f t="shared" si="253"/>
        <v>262</v>
      </c>
      <c r="BD61" s="5" t="s">
        <v>23</v>
      </c>
      <c r="BE61" s="3" t="s">
        <v>1368</v>
      </c>
      <c r="BF61" s="118">
        <v>2</v>
      </c>
      <c r="BG61" s="49" t="s">
        <v>1</v>
      </c>
      <c r="BH61" s="49" t="s">
        <v>1</v>
      </c>
      <c r="BI61" s="1"/>
      <c r="BJ61" s="70" t="s">
        <v>1281</v>
      </c>
      <c r="BK61" s="57" t="s">
        <v>1281</v>
      </c>
      <c r="BL61" s="57" t="s">
        <v>1281</v>
      </c>
      <c r="BM61" s="57" t="s">
        <v>1281</v>
      </c>
      <c r="BN61" s="57" t="s">
        <v>1281</v>
      </c>
      <c r="BO61" s="57" t="s">
        <v>1281</v>
      </c>
      <c r="BP61" s="57" t="s">
        <v>1281</v>
      </c>
      <c r="BQ61" s="57" t="s">
        <v>1281</v>
      </c>
      <c r="BR61" s="57" t="s">
        <v>1281</v>
      </c>
      <c r="BS61" s="57" t="s">
        <v>1281</v>
      </c>
      <c r="BT61" s="57" t="s">
        <v>1281</v>
      </c>
      <c r="BU61" s="57" t="s">
        <v>1281</v>
      </c>
      <c r="BV61" s="70">
        <f t="shared" si="254"/>
        <v>1</v>
      </c>
      <c r="BW61" s="71">
        <f t="shared" si="255"/>
        <v>35</v>
      </c>
      <c r="BX61" s="72">
        <f t="shared" si="256"/>
        <v>39</v>
      </c>
      <c r="BY61" s="71">
        <f t="shared" si="257"/>
        <v>70</v>
      </c>
      <c r="BZ61" s="72">
        <f t="shared" si="258"/>
        <v>73</v>
      </c>
      <c r="CA61" s="71">
        <f t="shared" si="259"/>
        <v>109</v>
      </c>
      <c r="CB61" s="72">
        <f t="shared" si="260"/>
        <v>117</v>
      </c>
      <c r="CC61" s="71">
        <f t="shared" si="261"/>
        <v>166</v>
      </c>
      <c r="CD61" s="72">
        <f t="shared" si="262"/>
        <v>173</v>
      </c>
      <c r="CE61" s="71">
        <f t="shared" si="263"/>
        <v>219</v>
      </c>
      <c r="CF61" s="72">
        <f t="shared" si="264"/>
        <v>266</v>
      </c>
      <c r="CG61" s="71">
        <f t="shared" si="265"/>
        <v>292</v>
      </c>
      <c r="CH61" s="70">
        <f t="shared" si="266"/>
        <v>34</v>
      </c>
      <c r="CI61" s="71">
        <f t="shared" si="267"/>
        <v>38</v>
      </c>
      <c r="CJ61" s="72">
        <f t="shared" si="268"/>
        <v>69</v>
      </c>
      <c r="CK61" s="72">
        <f t="shared" si="269"/>
        <v>72</v>
      </c>
      <c r="CL61" s="72">
        <f t="shared" si="270"/>
        <v>108</v>
      </c>
      <c r="CM61" s="72">
        <f t="shared" si="271"/>
        <v>116</v>
      </c>
      <c r="CN61" s="72">
        <f t="shared" si="272"/>
        <v>142</v>
      </c>
      <c r="CO61" s="72">
        <f t="shared" si="273"/>
        <v>168</v>
      </c>
      <c r="CP61" s="72">
        <f t="shared" si="274"/>
        <v>208</v>
      </c>
      <c r="CQ61" s="72">
        <f t="shared" si="275"/>
        <v>259</v>
      </c>
      <c r="CR61" s="72">
        <f t="shared" si="276"/>
        <v>291</v>
      </c>
      <c r="CS61" s="72">
        <f t="shared" si="277"/>
        <v>305</v>
      </c>
      <c r="CT61" s="23">
        <f t="shared" si="278"/>
        <v>1</v>
      </c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</row>
    <row r="62" spans="1:1029" x14ac:dyDescent="0.2">
      <c r="A62" s="3" t="str">
        <f t="shared" si="251"/>
        <v>aa2ar_human_5OLZ</v>
      </c>
      <c r="B62" s="3" t="s">
        <v>139</v>
      </c>
      <c r="C62" s="3" t="s">
        <v>1452</v>
      </c>
      <c r="D62" s="3" t="str">
        <f>IFERROR(MID(VLOOKUP($B62,Seqs!$A:$B,2,0),E62,1),"")</f>
        <v>M</v>
      </c>
      <c r="E62" s="3">
        <v>1</v>
      </c>
      <c r="F62" s="3" t="str">
        <f>IFERROR(MID(VLOOKUP($B62,Seqs!$A:$B,2,0),G62,1),"")</f>
        <v>N</v>
      </c>
      <c r="G62" s="3">
        <v>34</v>
      </c>
      <c r="H62" s="3" t="str">
        <f>IFERROR(MID(VLOOKUP($B62,Seqs!$A:$B,2,0),I62,1),"")</f>
        <v>S</v>
      </c>
      <c r="I62" s="23">
        <v>35</v>
      </c>
      <c r="J62" s="3" t="str">
        <f>IFERROR(MID(VLOOKUP($B62,Seqs!$A:$B,2,0),K62,1),"")</f>
        <v>Q</v>
      </c>
      <c r="K62" s="23">
        <v>38</v>
      </c>
      <c r="L62" s="3" t="str">
        <f>IFERROR(MID(VLOOKUP($B62,Seqs!$A:$B,2,0),M62,1),"")</f>
        <v>N</v>
      </c>
      <c r="M62" s="3">
        <v>39</v>
      </c>
      <c r="N62" s="3" t="str">
        <f>IFERROR(MID(VLOOKUP($B62,Seqs!$A:$B,2,0),O62,1),"")</f>
        <v>G</v>
      </c>
      <c r="O62" s="3">
        <v>69</v>
      </c>
      <c r="P62" s="3" t="str">
        <f>IFERROR(MID(VLOOKUP($B62,Seqs!$A:$B,2,0),Q62,1),"")</f>
        <v>F</v>
      </c>
      <c r="Q62" s="3">
        <v>70</v>
      </c>
      <c r="R62" s="3" t="str">
        <f>IFERROR(MID(VLOOKUP($B62,Seqs!$A:$B,2,0),S62,1),"")</f>
        <v>A</v>
      </c>
      <c r="S62" s="3">
        <v>72</v>
      </c>
      <c r="T62" s="3" t="str">
        <f>IFERROR(MID(VLOOKUP($B62,Seqs!$A:$B,2,0),U62,1),"")</f>
        <v>A</v>
      </c>
      <c r="U62" s="3">
        <v>73</v>
      </c>
      <c r="V62" s="3" t="str">
        <f>IFERROR(MID(VLOOKUP($B62,Seqs!$A:$B,2,0),W62,1),"")</f>
        <v>I</v>
      </c>
      <c r="W62" s="3">
        <v>108</v>
      </c>
      <c r="X62" s="3" t="str">
        <f>IFERROR(MID(VLOOKUP($B62,Seqs!$A:$B,2,0),Y62,1),"")</f>
        <v>P</v>
      </c>
      <c r="Y62" s="3">
        <v>109</v>
      </c>
      <c r="Z62" s="3" t="str">
        <f>IFERROR(MID(VLOOKUP($B62,Seqs!$A:$B,2,0),AA62,1),"")</f>
        <v>V</v>
      </c>
      <c r="AA62" s="3">
        <v>116</v>
      </c>
      <c r="AB62" s="3" t="str">
        <f>IFERROR(MID(VLOOKUP($B62,Seqs!$A:$B,2,0),AC62,1),"")</f>
        <v>T</v>
      </c>
      <c r="AC62" s="3">
        <v>117</v>
      </c>
      <c r="AD62" s="3" t="str">
        <f>IFERROR(MID(VLOOKUP($B62,Seqs!$A:$B,2,0),AE62,1),"")</f>
        <v>G</v>
      </c>
      <c r="AE62" s="3">
        <v>142</v>
      </c>
      <c r="AF62" s="3" t="str">
        <f>IFERROR(MID(VLOOKUP($B62,Seqs!$A:$B,2,0),AG62,1),"")</f>
        <v>C</v>
      </c>
      <c r="AG62" s="3">
        <v>166</v>
      </c>
      <c r="AH62" s="3" t="str">
        <f>IFERROR(MID(VLOOKUP($B62,Seqs!$A:$B,2,0),AI62,1),"")</f>
        <v>F</v>
      </c>
      <c r="AI62" s="3">
        <v>168</v>
      </c>
      <c r="AJ62" s="3" t="str">
        <f>IFERROR(MID(VLOOKUP($B62,Seqs!$A:$B,2,0),AK62,1),"")</f>
        <v>P</v>
      </c>
      <c r="AK62" s="3">
        <v>173</v>
      </c>
      <c r="AL62" s="3" t="str">
        <f>IFERROR(MID(VLOOKUP($B62,Seqs!$A:$B,2,0),AM62,1),"")</f>
        <v>L</v>
      </c>
      <c r="AM62" s="3">
        <v>208</v>
      </c>
      <c r="AN62" s="3" t="str">
        <f>IFERROR(MID(VLOOKUP($B62,Seqs!$A:$B,2,0),AO62,1),"")</f>
        <v>E</v>
      </c>
      <c r="AO62" s="3">
        <v>219</v>
      </c>
      <c r="AP62" s="3" t="str">
        <f>IFERROR(MID(VLOOKUP($B62,Seqs!$A:$B,2,0),AQ62,1),"")</f>
        <v>C</v>
      </c>
      <c r="AQ62" s="3">
        <v>259</v>
      </c>
      <c r="AR62" s="3" t="str">
        <f>IFERROR(MID(VLOOKUP($B62,Seqs!$A:$B,2,0),AS62,1),"")</f>
        <v>P</v>
      </c>
      <c r="AS62" s="3">
        <v>266</v>
      </c>
      <c r="AT62" s="3" t="str">
        <f>IFERROR(MID(VLOOKUP($B62,Seqs!$A:$B,2,0),AU62,1),"")</f>
        <v>R</v>
      </c>
      <c r="AU62" s="3">
        <v>291</v>
      </c>
      <c r="AV62" s="3" t="str">
        <f>IFERROR(MID(VLOOKUP($B62,Seqs!$A:$B,2,0),AW62,1),"")</f>
        <v>I</v>
      </c>
      <c r="AW62" s="3">
        <v>292</v>
      </c>
      <c r="AX62" s="3" t="str">
        <f>IFERROR(MID(VLOOKUP($B62,Seqs!$A:$B,2,0),AY62,1),"")</f>
        <v>S</v>
      </c>
      <c r="AY62" s="3">
        <v>305</v>
      </c>
      <c r="AZ62" s="77" t="str">
        <f>VLOOKUP(B62,Classification!A:D,2,0)</f>
        <v>A</v>
      </c>
      <c r="BA62" s="94" t="str">
        <f>VLOOKUP(B62,Classification!A:D,4,0)</f>
        <v>Adenosine</v>
      </c>
      <c r="BB62" s="27" t="b">
        <f t="shared" si="252"/>
        <v>1</v>
      </c>
      <c r="BC62" s="23">
        <f t="shared" si="253"/>
        <v>262</v>
      </c>
      <c r="BD62" s="5" t="s">
        <v>23</v>
      </c>
      <c r="BE62" s="3" t="s">
        <v>1368</v>
      </c>
      <c r="BF62" s="118">
        <v>1.9</v>
      </c>
      <c r="BG62" s="49" t="s">
        <v>1</v>
      </c>
      <c r="BH62" s="49" t="s">
        <v>1</v>
      </c>
      <c r="BI62" s="1"/>
      <c r="BJ62" s="70" t="s">
        <v>1281</v>
      </c>
      <c r="BK62" s="57" t="s">
        <v>1281</v>
      </c>
      <c r="BL62" s="57" t="s">
        <v>1281</v>
      </c>
      <c r="BM62" s="57" t="s">
        <v>1281</v>
      </c>
      <c r="BN62" s="57" t="s">
        <v>1281</v>
      </c>
      <c r="BO62" s="57" t="s">
        <v>1281</v>
      </c>
      <c r="BP62" s="57" t="s">
        <v>1281</v>
      </c>
      <c r="BQ62" s="57" t="s">
        <v>1281</v>
      </c>
      <c r="BR62" s="57" t="s">
        <v>1281</v>
      </c>
      <c r="BS62" s="57" t="s">
        <v>1281</v>
      </c>
      <c r="BT62" s="57" t="s">
        <v>1281</v>
      </c>
      <c r="BU62" s="57" t="s">
        <v>1281</v>
      </c>
      <c r="BV62" s="70">
        <f t="shared" si="254"/>
        <v>1</v>
      </c>
      <c r="BW62" s="71">
        <f t="shared" si="255"/>
        <v>35</v>
      </c>
      <c r="BX62" s="72">
        <f t="shared" si="256"/>
        <v>39</v>
      </c>
      <c r="BY62" s="71">
        <f t="shared" si="257"/>
        <v>70</v>
      </c>
      <c r="BZ62" s="72">
        <f t="shared" si="258"/>
        <v>73</v>
      </c>
      <c r="CA62" s="71">
        <f t="shared" si="259"/>
        <v>109</v>
      </c>
      <c r="CB62" s="72">
        <f t="shared" si="260"/>
        <v>117</v>
      </c>
      <c r="CC62" s="71">
        <f t="shared" si="261"/>
        <v>166</v>
      </c>
      <c r="CD62" s="72">
        <f t="shared" si="262"/>
        <v>173</v>
      </c>
      <c r="CE62" s="71">
        <f t="shared" si="263"/>
        <v>219</v>
      </c>
      <c r="CF62" s="72">
        <f t="shared" si="264"/>
        <v>266</v>
      </c>
      <c r="CG62" s="71">
        <f t="shared" si="265"/>
        <v>292</v>
      </c>
      <c r="CH62" s="70">
        <f t="shared" si="266"/>
        <v>34</v>
      </c>
      <c r="CI62" s="71">
        <f t="shared" si="267"/>
        <v>38</v>
      </c>
      <c r="CJ62" s="72">
        <f t="shared" si="268"/>
        <v>69</v>
      </c>
      <c r="CK62" s="72">
        <f t="shared" si="269"/>
        <v>72</v>
      </c>
      <c r="CL62" s="72">
        <f t="shared" si="270"/>
        <v>108</v>
      </c>
      <c r="CM62" s="72">
        <f t="shared" si="271"/>
        <v>116</v>
      </c>
      <c r="CN62" s="72">
        <f t="shared" si="272"/>
        <v>142</v>
      </c>
      <c r="CO62" s="72">
        <f t="shared" si="273"/>
        <v>168</v>
      </c>
      <c r="CP62" s="72">
        <f t="shared" si="274"/>
        <v>208</v>
      </c>
      <c r="CQ62" s="72">
        <f t="shared" si="275"/>
        <v>259</v>
      </c>
      <c r="CR62" s="72">
        <f t="shared" si="276"/>
        <v>291</v>
      </c>
      <c r="CS62" s="72">
        <f t="shared" si="277"/>
        <v>305</v>
      </c>
      <c r="CT62" s="23">
        <f t="shared" si="278"/>
        <v>1</v>
      </c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</row>
    <row r="63" spans="1:1029" x14ac:dyDescent="0.2">
      <c r="A63" s="3" t="str">
        <f t="shared" si="251"/>
        <v>aa2ar_human_5OM1</v>
      </c>
      <c r="B63" s="3" t="s">
        <v>139</v>
      </c>
      <c r="C63" s="3" t="s">
        <v>1453</v>
      </c>
      <c r="D63" s="3" t="str">
        <f>IFERROR(MID(VLOOKUP($B63,Seqs!$A:$B,2,0),E63,1),"")</f>
        <v>M</v>
      </c>
      <c r="E63" s="3">
        <v>1</v>
      </c>
      <c r="F63" s="3" t="str">
        <f>IFERROR(MID(VLOOKUP($B63,Seqs!$A:$B,2,0),G63,1),"")</f>
        <v>N</v>
      </c>
      <c r="G63" s="3">
        <v>34</v>
      </c>
      <c r="H63" s="3" t="str">
        <f>IFERROR(MID(VLOOKUP($B63,Seqs!$A:$B,2,0),I63,1),"")</f>
        <v>S</v>
      </c>
      <c r="I63" s="23">
        <v>35</v>
      </c>
      <c r="J63" s="3" t="str">
        <f>IFERROR(MID(VLOOKUP($B63,Seqs!$A:$B,2,0),K63,1),"")</f>
        <v>Q</v>
      </c>
      <c r="K63" s="23">
        <v>38</v>
      </c>
      <c r="L63" s="3" t="str">
        <f>IFERROR(MID(VLOOKUP($B63,Seqs!$A:$B,2,0),M63,1),"")</f>
        <v>N</v>
      </c>
      <c r="M63" s="3">
        <v>39</v>
      </c>
      <c r="N63" s="3" t="str">
        <f>IFERROR(MID(VLOOKUP($B63,Seqs!$A:$B,2,0),O63,1),"")</f>
        <v>G</v>
      </c>
      <c r="O63" s="3">
        <v>69</v>
      </c>
      <c r="P63" s="3" t="str">
        <f>IFERROR(MID(VLOOKUP($B63,Seqs!$A:$B,2,0),Q63,1),"")</f>
        <v>F</v>
      </c>
      <c r="Q63" s="3">
        <v>70</v>
      </c>
      <c r="R63" s="3" t="str">
        <f>IFERROR(MID(VLOOKUP($B63,Seqs!$A:$B,2,0),S63,1),"")</f>
        <v>A</v>
      </c>
      <c r="S63" s="3">
        <v>72</v>
      </c>
      <c r="T63" s="3" t="str">
        <f>IFERROR(MID(VLOOKUP($B63,Seqs!$A:$B,2,0),U63,1),"")</f>
        <v>A</v>
      </c>
      <c r="U63" s="3">
        <v>73</v>
      </c>
      <c r="V63" s="3" t="str">
        <f>IFERROR(MID(VLOOKUP($B63,Seqs!$A:$B,2,0),W63,1),"")</f>
        <v>I</v>
      </c>
      <c r="W63" s="3">
        <v>108</v>
      </c>
      <c r="X63" s="3" t="str">
        <f>IFERROR(MID(VLOOKUP($B63,Seqs!$A:$B,2,0),Y63,1),"")</f>
        <v>P</v>
      </c>
      <c r="Y63" s="3">
        <v>109</v>
      </c>
      <c r="Z63" s="3" t="str">
        <f>IFERROR(MID(VLOOKUP($B63,Seqs!$A:$B,2,0),AA63,1),"")</f>
        <v>V</v>
      </c>
      <c r="AA63" s="3">
        <v>116</v>
      </c>
      <c r="AB63" s="3" t="str">
        <f>IFERROR(MID(VLOOKUP($B63,Seqs!$A:$B,2,0),AC63,1),"")</f>
        <v>T</v>
      </c>
      <c r="AC63" s="3">
        <v>117</v>
      </c>
      <c r="AD63" s="3" t="str">
        <f>IFERROR(MID(VLOOKUP($B63,Seqs!$A:$B,2,0),AE63,1),"")</f>
        <v>G</v>
      </c>
      <c r="AE63" s="3">
        <v>142</v>
      </c>
      <c r="AF63" s="3" t="str">
        <f>IFERROR(MID(VLOOKUP($B63,Seqs!$A:$B,2,0),AG63,1),"")</f>
        <v>C</v>
      </c>
      <c r="AG63" s="3">
        <v>166</v>
      </c>
      <c r="AH63" s="3" t="str">
        <f>IFERROR(MID(VLOOKUP($B63,Seqs!$A:$B,2,0),AI63,1),"")</f>
        <v>F</v>
      </c>
      <c r="AI63" s="3">
        <v>168</v>
      </c>
      <c r="AJ63" s="3" t="str">
        <f>IFERROR(MID(VLOOKUP($B63,Seqs!$A:$B,2,0),AK63,1),"")</f>
        <v>P</v>
      </c>
      <c r="AK63" s="3">
        <v>173</v>
      </c>
      <c r="AL63" s="3" t="str">
        <f>IFERROR(MID(VLOOKUP($B63,Seqs!$A:$B,2,0),AM63,1),"")</f>
        <v>L</v>
      </c>
      <c r="AM63" s="3">
        <v>208</v>
      </c>
      <c r="AN63" s="3" t="str">
        <f>IFERROR(MID(VLOOKUP($B63,Seqs!$A:$B,2,0),AO63,1),"")</f>
        <v>E</v>
      </c>
      <c r="AO63" s="3">
        <v>219</v>
      </c>
      <c r="AP63" s="3" t="str">
        <f>IFERROR(MID(VLOOKUP($B63,Seqs!$A:$B,2,0),AQ63,1),"")</f>
        <v>C</v>
      </c>
      <c r="AQ63" s="3">
        <v>259</v>
      </c>
      <c r="AR63" s="3" t="str">
        <f>IFERROR(MID(VLOOKUP($B63,Seqs!$A:$B,2,0),AS63,1),"")</f>
        <v>P</v>
      </c>
      <c r="AS63" s="3">
        <v>266</v>
      </c>
      <c r="AT63" s="3" t="str">
        <f>IFERROR(MID(VLOOKUP($B63,Seqs!$A:$B,2,0),AU63,1),"")</f>
        <v>R</v>
      </c>
      <c r="AU63" s="3">
        <v>291</v>
      </c>
      <c r="AV63" s="3" t="str">
        <f>IFERROR(MID(VLOOKUP($B63,Seqs!$A:$B,2,0),AW63,1),"")</f>
        <v>I</v>
      </c>
      <c r="AW63" s="3">
        <v>292</v>
      </c>
      <c r="AX63" s="3" t="str">
        <f>IFERROR(MID(VLOOKUP($B63,Seqs!$A:$B,2,0),AY63,1),"")</f>
        <v>S</v>
      </c>
      <c r="AY63" s="3">
        <v>305</v>
      </c>
      <c r="AZ63" s="77" t="str">
        <f>VLOOKUP(B63,Classification!A:D,2,0)</f>
        <v>A</v>
      </c>
      <c r="BA63" s="94" t="str">
        <f>VLOOKUP(B63,Classification!A:D,4,0)</f>
        <v>Adenosine</v>
      </c>
      <c r="BB63" s="27" t="b">
        <f t="shared" si="252"/>
        <v>1</v>
      </c>
      <c r="BC63" s="23">
        <f t="shared" si="253"/>
        <v>262</v>
      </c>
      <c r="BD63" s="5" t="s">
        <v>23</v>
      </c>
      <c r="BE63" s="3" t="s">
        <v>1368</v>
      </c>
      <c r="BF63" s="118">
        <v>2.1</v>
      </c>
      <c r="BG63" s="49" t="s">
        <v>1</v>
      </c>
      <c r="BH63" s="49" t="s">
        <v>1</v>
      </c>
      <c r="BI63" s="1"/>
      <c r="BJ63" s="70" t="s">
        <v>1281</v>
      </c>
      <c r="BK63" s="57" t="s">
        <v>1281</v>
      </c>
      <c r="BL63" s="57" t="s">
        <v>1281</v>
      </c>
      <c r="BM63" s="57" t="s">
        <v>1281</v>
      </c>
      <c r="BN63" s="57" t="s">
        <v>1281</v>
      </c>
      <c r="BO63" s="57" t="s">
        <v>1281</v>
      </c>
      <c r="BP63" s="57" t="s">
        <v>1281</v>
      </c>
      <c r="BQ63" s="57" t="s">
        <v>1281</v>
      </c>
      <c r="BR63" s="57" t="s">
        <v>1281</v>
      </c>
      <c r="BS63" s="57" t="s">
        <v>1281</v>
      </c>
      <c r="BT63" s="57" t="s">
        <v>1281</v>
      </c>
      <c r="BU63" s="57" t="s">
        <v>1281</v>
      </c>
      <c r="BV63" s="70">
        <f t="shared" si="254"/>
        <v>1</v>
      </c>
      <c r="BW63" s="71">
        <f t="shared" si="255"/>
        <v>35</v>
      </c>
      <c r="BX63" s="72">
        <f t="shared" si="256"/>
        <v>39</v>
      </c>
      <c r="BY63" s="71">
        <f t="shared" si="257"/>
        <v>70</v>
      </c>
      <c r="BZ63" s="72">
        <f t="shared" si="258"/>
        <v>73</v>
      </c>
      <c r="CA63" s="71">
        <f t="shared" si="259"/>
        <v>109</v>
      </c>
      <c r="CB63" s="72">
        <f t="shared" si="260"/>
        <v>117</v>
      </c>
      <c r="CC63" s="71">
        <f t="shared" si="261"/>
        <v>166</v>
      </c>
      <c r="CD63" s="72">
        <f t="shared" si="262"/>
        <v>173</v>
      </c>
      <c r="CE63" s="71">
        <f t="shared" si="263"/>
        <v>219</v>
      </c>
      <c r="CF63" s="72">
        <f t="shared" si="264"/>
        <v>266</v>
      </c>
      <c r="CG63" s="71">
        <f t="shared" si="265"/>
        <v>292</v>
      </c>
      <c r="CH63" s="70">
        <f t="shared" si="266"/>
        <v>34</v>
      </c>
      <c r="CI63" s="71">
        <f t="shared" si="267"/>
        <v>38</v>
      </c>
      <c r="CJ63" s="72">
        <f t="shared" si="268"/>
        <v>69</v>
      </c>
      <c r="CK63" s="72">
        <f t="shared" si="269"/>
        <v>72</v>
      </c>
      <c r="CL63" s="72">
        <f t="shared" si="270"/>
        <v>108</v>
      </c>
      <c r="CM63" s="72">
        <f t="shared" si="271"/>
        <v>116</v>
      </c>
      <c r="CN63" s="72">
        <f t="shared" si="272"/>
        <v>142</v>
      </c>
      <c r="CO63" s="72">
        <f t="shared" si="273"/>
        <v>168</v>
      </c>
      <c r="CP63" s="72">
        <f t="shared" si="274"/>
        <v>208</v>
      </c>
      <c r="CQ63" s="72">
        <f t="shared" si="275"/>
        <v>259</v>
      </c>
      <c r="CR63" s="72">
        <f t="shared" si="276"/>
        <v>291</v>
      </c>
      <c r="CS63" s="72">
        <f t="shared" si="277"/>
        <v>305</v>
      </c>
      <c r="CT63" s="23">
        <f t="shared" si="278"/>
        <v>1</v>
      </c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</row>
    <row r="64" spans="1:1029" x14ac:dyDescent="0.2">
      <c r="A64" s="3" t="str">
        <f t="shared" si="251"/>
        <v>aa2ar_human_5OM4</v>
      </c>
      <c r="B64" s="3" t="s">
        <v>139</v>
      </c>
      <c r="C64" s="3" t="s">
        <v>1454</v>
      </c>
      <c r="D64" s="3" t="str">
        <f>IFERROR(MID(VLOOKUP($B64,Seqs!$A:$B,2,0),E64,1),"")</f>
        <v>M</v>
      </c>
      <c r="E64" s="3">
        <v>1</v>
      </c>
      <c r="F64" s="3" t="str">
        <f>IFERROR(MID(VLOOKUP($B64,Seqs!$A:$B,2,0),G64,1),"")</f>
        <v>N</v>
      </c>
      <c r="G64" s="3">
        <v>34</v>
      </c>
      <c r="H64" s="3" t="str">
        <f>IFERROR(MID(VLOOKUP($B64,Seqs!$A:$B,2,0),I64,1),"")</f>
        <v>S</v>
      </c>
      <c r="I64" s="23">
        <v>35</v>
      </c>
      <c r="J64" s="3" t="str">
        <f>IFERROR(MID(VLOOKUP($B64,Seqs!$A:$B,2,0),K64,1),"")</f>
        <v>Q</v>
      </c>
      <c r="K64" s="23">
        <v>38</v>
      </c>
      <c r="L64" s="3" t="str">
        <f>IFERROR(MID(VLOOKUP($B64,Seqs!$A:$B,2,0),M64,1),"")</f>
        <v>N</v>
      </c>
      <c r="M64" s="3">
        <v>39</v>
      </c>
      <c r="N64" s="3" t="str">
        <f>IFERROR(MID(VLOOKUP($B64,Seqs!$A:$B,2,0),O64,1),"")</f>
        <v>G</v>
      </c>
      <c r="O64" s="3">
        <v>69</v>
      </c>
      <c r="P64" s="3" t="str">
        <f>IFERROR(MID(VLOOKUP($B64,Seqs!$A:$B,2,0),Q64,1),"")</f>
        <v>F</v>
      </c>
      <c r="Q64" s="3">
        <v>70</v>
      </c>
      <c r="R64" s="3" t="str">
        <f>IFERROR(MID(VLOOKUP($B64,Seqs!$A:$B,2,0),S64,1),"")</f>
        <v>A</v>
      </c>
      <c r="S64" s="3">
        <v>72</v>
      </c>
      <c r="T64" s="3" t="str">
        <f>IFERROR(MID(VLOOKUP($B64,Seqs!$A:$B,2,0),U64,1),"")</f>
        <v>A</v>
      </c>
      <c r="U64" s="3">
        <v>73</v>
      </c>
      <c r="V64" s="3" t="str">
        <f>IFERROR(MID(VLOOKUP($B64,Seqs!$A:$B,2,0),W64,1),"")</f>
        <v>I</v>
      </c>
      <c r="W64" s="3">
        <v>108</v>
      </c>
      <c r="X64" s="3" t="str">
        <f>IFERROR(MID(VLOOKUP($B64,Seqs!$A:$B,2,0),Y64,1),"")</f>
        <v>P</v>
      </c>
      <c r="Y64" s="3">
        <v>109</v>
      </c>
      <c r="Z64" s="3" t="str">
        <f>IFERROR(MID(VLOOKUP($B64,Seqs!$A:$B,2,0),AA64,1),"")</f>
        <v>V</v>
      </c>
      <c r="AA64" s="3">
        <v>116</v>
      </c>
      <c r="AB64" s="3" t="str">
        <f>IFERROR(MID(VLOOKUP($B64,Seqs!$A:$B,2,0),AC64,1),"")</f>
        <v>T</v>
      </c>
      <c r="AC64" s="3">
        <v>117</v>
      </c>
      <c r="AD64" s="3" t="str">
        <f>IFERROR(MID(VLOOKUP($B64,Seqs!$A:$B,2,0),AE64,1),"")</f>
        <v>G</v>
      </c>
      <c r="AE64" s="3">
        <v>142</v>
      </c>
      <c r="AF64" s="3" t="str">
        <f>IFERROR(MID(VLOOKUP($B64,Seqs!$A:$B,2,0),AG64,1),"")</f>
        <v>C</v>
      </c>
      <c r="AG64" s="3">
        <v>166</v>
      </c>
      <c r="AH64" s="3" t="str">
        <f>IFERROR(MID(VLOOKUP($B64,Seqs!$A:$B,2,0),AI64,1),"")</f>
        <v>F</v>
      </c>
      <c r="AI64" s="3">
        <v>168</v>
      </c>
      <c r="AJ64" s="3" t="str">
        <f>IFERROR(MID(VLOOKUP($B64,Seqs!$A:$B,2,0),AK64,1),"")</f>
        <v>P</v>
      </c>
      <c r="AK64" s="3">
        <v>173</v>
      </c>
      <c r="AL64" s="3" t="str">
        <f>IFERROR(MID(VLOOKUP($B64,Seqs!$A:$B,2,0),AM64,1),"")</f>
        <v>L</v>
      </c>
      <c r="AM64" s="3">
        <v>208</v>
      </c>
      <c r="AN64" s="3" t="str">
        <f>IFERROR(MID(VLOOKUP($B64,Seqs!$A:$B,2,0),AO64,1),"")</f>
        <v>E</v>
      </c>
      <c r="AO64" s="3">
        <v>219</v>
      </c>
      <c r="AP64" s="3" t="str">
        <f>IFERROR(MID(VLOOKUP($B64,Seqs!$A:$B,2,0),AQ64,1),"")</f>
        <v>C</v>
      </c>
      <c r="AQ64" s="3">
        <v>259</v>
      </c>
      <c r="AR64" s="3" t="str">
        <f>IFERROR(MID(VLOOKUP($B64,Seqs!$A:$B,2,0),AS64,1),"")</f>
        <v>P</v>
      </c>
      <c r="AS64" s="3">
        <v>266</v>
      </c>
      <c r="AT64" s="3" t="str">
        <f>IFERROR(MID(VLOOKUP($B64,Seqs!$A:$B,2,0),AU64,1),"")</f>
        <v>R</v>
      </c>
      <c r="AU64" s="3">
        <v>291</v>
      </c>
      <c r="AV64" s="3" t="str">
        <f>IFERROR(MID(VLOOKUP($B64,Seqs!$A:$B,2,0),AW64,1),"")</f>
        <v>I</v>
      </c>
      <c r="AW64" s="3">
        <v>292</v>
      </c>
      <c r="AX64" s="3" t="str">
        <f>IFERROR(MID(VLOOKUP($B64,Seqs!$A:$B,2,0),AY64,1),"")</f>
        <v>V</v>
      </c>
      <c r="AY64" s="3">
        <v>307</v>
      </c>
      <c r="AZ64" s="77" t="str">
        <f>VLOOKUP(B64,Classification!A:D,2,0)</f>
        <v>A</v>
      </c>
      <c r="BA64" s="94" t="str">
        <f>VLOOKUP(B64,Classification!A:D,4,0)</f>
        <v>Adenosine</v>
      </c>
      <c r="BB64" s="27" t="b">
        <f t="shared" si="252"/>
        <v>1</v>
      </c>
      <c r="BC64" s="23">
        <f t="shared" si="253"/>
        <v>264</v>
      </c>
      <c r="BD64" s="5" t="s">
        <v>23</v>
      </c>
      <c r="BE64" s="3" t="s">
        <v>1368</v>
      </c>
      <c r="BF64" s="118">
        <v>2</v>
      </c>
      <c r="BG64" s="49" t="s">
        <v>1</v>
      </c>
      <c r="BH64" s="49" t="s">
        <v>1</v>
      </c>
      <c r="BI64" s="1"/>
      <c r="BJ64" s="70" t="s">
        <v>1281</v>
      </c>
      <c r="BK64" s="57" t="s">
        <v>1281</v>
      </c>
      <c r="BL64" s="57" t="s">
        <v>1281</v>
      </c>
      <c r="BM64" s="57" t="s">
        <v>1281</v>
      </c>
      <c r="BN64" s="57" t="s">
        <v>1281</v>
      </c>
      <c r="BO64" s="57" t="s">
        <v>1281</v>
      </c>
      <c r="BP64" s="57" t="s">
        <v>1281</v>
      </c>
      <c r="BQ64" s="57" t="s">
        <v>1281</v>
      </c>
      <c r="BR64" s="57" t="s">
        <v>1281</v>
      </c>
      <c r="BS64" s="57" t="s">
        <v>1281</v>
      </c>
      <c r="BT64" s="57" t="s">
        <v>1281</v>
      </c>
      <c r="BU64" s="57" t="s">
        <v>1281</v>
      </c>
      <c r="BV64" s="70">
        <f t="shared" si="254"/>
        <v>1</v>
      </c>
      <c r="BW64" s="71">
        <f t="shared" si="255"/>
        <v>35</v>
      </c>
      <c r="BX64" s="72">
        <f t="shared" si="256"/>
        <v>39</v>
      </c>
      <c r="BY64" s="71">
        <f t="shared" si="257"/>
        <v>70</v>
      </c>
      <c r="BZ64" s="72">
        <f t="shared" si="258"/>
        <v>73</v>
      </c>
      <c r="CA64" s="71">
        <f t="shared" si="259"/>
        <v>109</v>
      </c>
      <c r="CB64" s="72">
        <f t="shared" si="260"/>
        <v>117</v>
      </c>
      <c r="CC64" s="71">
        <f t="shared" si="261"/>
        <v>166</v>
      </c>
      <c r="CD64" s="72">
        <f t="shared" si="262"/>
        <v>173</v>
      </c>
      <c r="CE64" s="71">
        <f t="shared" si="263"/>
        <v>219</v>
      </c>
      <c r="CF64" s="72">
        <f t="shared" si="264"/>
        <v>266</v>
      </c>
      <c r="CG64" s="71">
        <f t="shared" si="265"/>
        <v>292</v>
      </c>
      <c r="CH64" s="70">
        <f t="shared" si="266"/>
        <v>34</v>
      </c>
      <c r="CI64" s="71">
        <f t="shared" si="267"/>
        <v>38</v>
      </c>
      <c r="CJ64" s="72">
        <f t="shared" si="268"/>
        <v>69</v>
      </c>
      <c r="CK64" s="72">
        <f t="shared" si="269"/>
        <v>72</v>
      </c>
      <c r="CL64" s="72">
        <f t="shared" si="270"/>
        <v>108</v>
      </c>
      <c r="CM64" s="72">
        <f t="shared" si="271"/>
        <v>116</v>
      </c>
      <c r="CN64" s="72">
        <f t="shared" si="272"/>
        <v>142</v>
      </c>
      <c r="CO64" s="72">
        <f t="shared" si="273"/>
        <v>168</v>
      </c>
      <c r="CP64" s="72">
        <f t="shared" si="274"/>
        <v>208</v>
      </c>
      <c r="CQ64" s="72">
        <f t="shared" si="275"/>
        <v>259</v>
      </c>
      <c r="CR64" s="72">
        <f t="shared" si="276"/>
        <v>291</v>
      </c>
      <c r="CS64" s="72">
        <f t="shared" si="277"/>
        <v>307</v>
      </c>
      <c r="CT64" s="23">
        <f t="shared" si="278"/>
        <v>1</v>
      </c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</row>
    <row r="65" spans="1:1029" x14ac:dyDescent="0.2">
      <c r="A65" s="3" t="str">
        <f t="shared" si="251"/>
        <v>aa2ar_human_6AQF</v>
      </c>
      <c r="B65" s="3" t="s">
        <v>139</v>
      </c>
      <c r="C65" s="3" t="s">
        <v>1455</v>
      </c>
      <c r="D65" s="3" t="str">
        <f>IFERROR(MID(VLOOKUP($B65,Seqs!$A:$B,2,0),E65,1),"")</f>
        <v>M</v>
      </c>
      <c r="E65" s="3">
        <v>1</v>
      </c>
      <c r="F65" s="3" t="str">
        <f>IFERROR(MID(VLOOKUP($B65,Seqs!$A:$B,2,0),G65,1),"")</f>
        <v>N</v>
      </c>
      <c r="G65" s="3">
        <v>34</v>
      </c>
      <c r="H65" s="3" t="str">
        <f>IFERROR(MID(VLOOKUP($B65,Seqs!$A:$B,2,0),I65,1),"")</f>
        <v>S</v>
      </c>
      <c r="I65" s="23">
        <v>35</v>
      </c>
      <c r="J65" s="3" t="str">
        <f>IFERROR(MID(VLOOKUP($B65,Seqs!$A:$B,2,0),K65,1),"")</f>
        <v>Q</v>
      </c>
      <c r="K65" s="23">
        <v>38</v>
      </c>
      <c r="L65" s="3" t="str">
        <f>IFERROR(MID(VLOOKUP($B65,Seqs!$A:$B,2,0),M65,1),"")</f>
        <v>N</v>
      </c>
      <c r="M65" s="3">
        <v>39</v>
      </c>
      <c r="N65" s="3" t="str">
        <f>IFERROR(MID(VLOOKUP($B65,Seqs!$A:$B,2,0),O65,1),"")</f>
        <v>G</v>
      </c>
      <c r="O65" s="3">
        <v>69</v>
      </c>
      <c r="P65" s="3" t="str">
        <f>IFERROR(MID(VLOOKUP($B65,Seqs!$A:$B,2,0),Q65,1),"")</f>
        <v>F</v>
      </c>
      <c r="Q65" s="3">
        <v>70</v>
      </c>
      <c r="R65" s="3" t="str">
        <f>IFERROR(MID(VLOOKUP($B65,Seqs!$A:$B,2,0),S65,1),"")</f>
        <v>A</v>
      </c>
      <c r="S65" s="3">
        <v>72</v>
      </c>
      <c r="T65" s="3" t="str">
        <f>IFERROR(MID(VLOOKUP($B65,Seqs!$A:$B,2,0),U65,1),"")</f>
        <v>A</v>
      </c>
      <c r="U65" s="3">
        <v>73</v>
      </c>
      <c r="V65" s="3" t="str">
        <f>IFERROR(MID(VLOOKUP($B65,Seqs!$A:$B,2,0),W65,1),"")</f>
        <v>I</v>
      </c>
      <c r="W65" s="3">
        <v>108</v>
      </c>
      <c r="X65" s="3" t="str">
        <f>IFERROR(MID(VLOOKUP($B65,Seqs!$A:$B,2,0),Y65,1),"")</f>
        <v>P</v>
      </c>
      <c r="Y65" s="3">
        <v>109</v>
      </c>
      <c r="Z65" s="3" t="str">
        <f>IFERROR(MID(VLOOKUP($B65,Seqs!$A:$B,2,0),AA65,1),"")</f>
        <v>V</v>
      </c>
      <c r="AA65" s="3">
        <v>116</v>
      </c>
      <c r="AB65" s="3" t="str">
        <f>IFERROR(MID(VLOOKUP($B65,Seqs!$A:$B,2,0),AC65,1),"")</f>
        <v>T</v>
      </c>
      <c r="AC65" s="3">
        <v>117</v>
      </c>
      <c r="AD65" s="3" t="str">
        <f>IFERROR(MID(VLOOKUP($B65,Seqs!$A:$B,2,0),AE65,1),"")</f>
        <v>G</v>
      </c>
      <c r="AE65" s="3">
        <v>142</v>
      </c>
      <c r="AF65" s="3" t="str">
        <f>IFERROR(MID(VLOOKUP($B65,Seqs!$A:$B,2,0),AG65,1),"")</f>
        <v>C</v>
      </c>
      <c r="AG65" s="3">
        <v>166</v>
      </c>
      <c r="AH65" s="3" t="str">
        <f>IFERROR(MID(VLOOKUP($B65,Seqs!$A:$B,2,0),AI65,1),"")</f>
        <v>F</v>
      </c>
      <c r="AI65" s="3">
        <v>168</v>
      </c>
      <c r="AJ65" s="3" t="str">
        <f>IFERROR(MID(VLOOKUP($B65,Seqs!$A:$B,2,0),AK65,1),"")</f>
        <v>P</v>
      </c>
      <c r="AK65" s="3">
        <v>173</v>
      </c>
      <c r="AL65" s="3" t="str">
        <f>IFERROR(MID(VLOOKUP($B65,Seqs!$A:$B,2,0),AM65,1),"")</f>
        <v>L</v>
      </c>
      <c r="AM65" s="3">
        <v>208</v>
      </c>
      <c r="AN65" s="3" t="str">
        <f>IFERROR(MID(VLOOKUP($B65,Seqs!$A:$B,2,0),AO65,1),"")</f>
        <v>E</v>
      </c>
      <c r="AO65" s="3">
        <v>219</v>
      </c>
      <c r="AP65" s="3" t="str">
        <f>IFERROR(MID(VLOOKUP($B65,Seqs!$A:$B,2,0),AQ65,1),"")</f>
        <v>C</v>
      </c>
      <c r="AQ65" s="3">
        <v>259</v>
      </c>
      <c r="AR65" s="3" t="str">
        <f>IFERROR(MID(VLOOKUP($B65,Seqs!$A:$B,2,0),AS65,1),"")</f>
        <v>P</v>
      </c>
      <c r="AS65" s="3">
        <v>266</v>
      </c>
      <c r="AT65" s="3" t="str">
        <f>IFERROR(MID(VLOOKUP($B65,Seqs!$A:$B,2,0),AU65,1),"")</f>
        <v>R</v>
      </c>
      <c r="AU65" s="3">
        <v>291</v>
      </c>
      <c r="AV65" s="3" t="str">
        <f>IFERROR(MID(VLOOKUP($B65,Seqs!$A:$B,2,0),AW65,1),"")</f>
        <v>I</v>
      </c>
      <c r="AW65" s="3">
        <v>292</v>
      </c>
      <c r="AX65" s="3" t="str">
        <f>IFERROR(MID(VLOOKUP($B65,Seqs!$A:$B,2,0),AY65,1),"")</f>
        <v>H</v>
      </c>
      <c r="AY65" s="3">
        <v>306</v>
      </c>
      <c r="AZ65" s="77" t="str">
        <f>VLOOKUP(B65,Classification!A:D,2,0)</f>
        <v>A</v>
      </c>
      <c r="BA65" s="94" t="str">
        <f>VLOOKUP(B65,Classification!A:D,4,0)</f>
        <v>Adenosine</v>
      </c>
      <c r="BB65" s="27" t="b">
        <f t="shared" si="252"/>
        <v>1</v>
      </c>
      <c r="BC65" s="23">
        <f t="shared" si="253"/>
        <v>263</v>
      </c>
      <c r="BD65" s="5" t="s">
        <v>23</v>
      </c>
      <c r="BE65" s="3" t="s">
        <v>1368</v>
      </c>
      <c r="BF65" s="118">
        <v>2.5099999999999998</v>
      </c>
      <c r="BG65" s="49" t="s">
        <v>1</v>
      </c>
      <c r="BH65" s="49" t="s">
        <v>1</v>
      </c>
      <c r="BI65" s="1"/>
      <c r="BJ65" s="70" t="s">
        <v>1281</v>
      </c>
      <c r="BK65" s="57" t="s">
        <v>1281</v>
      </c>
      <c r="BL65" s="57" t="s">
        <v>1281</v>
      </c>
      <c r="BM65" s="57" t="s">
        <v>1281</v>
      </c>
      <c r="BN65" s="57" t="s">
        <v>1281</v>
      </c>
      <c r="BO65" s="57" t="s">
        <v>1281</v>
      </c>
      <c r="BP65" s="57" t="s">
        <v>1281</v>
      </c>
      <c r="BQ65" s="57" t="s">
        <v>1281</v>
      </c>
      <c r="BR65" s="57" t="s">
        <v>1281</v>
      </c>
      <c r="BS65" s="57" t="s">
        <v>1281</v>
      </c>
      <c r="BT65" s="57" t="s">
        <v>1281</v>
      </c>
      <c r="BU65" s="57" t="s">
        <v>1281</v>
      </c>
      <c r="BV65" s="70">
        <f t="shared" si="254"/>
        <v>1</v>
      </c>
      <c r="BW65" s="71">
        <f t="shared" si="255"/>
        <v>35</v>
      </c>
      <c r="BX65" s="72">
        <f t="shared" si="256"/>
        <v>39</v>
      </c>
      <c r="BY65" s="71">
        <f t="shared" si="257"/>
        <v>70</v>
      </c>
      <c r="BZ65" s="72">
        <f t="shared" si="258"/>
        <v>73</v>
      </c>
      <c r="CA65" s="71">
        <f t="shared" si="259"/>
        <v>109</v>
      </c>
      <c r="CB65" s="72">
        <f t="shared" si="260"/>
        <v>117</v>
      </c>
      <c r="CC65" s="71">
        <f t="shared" si="261"/>
        <v>166</v>
      </c>
      <c r="CD65" s="72">
        <f t="shared" si="262"/>
        <v>173</v>
      </c>
      <c r="CE65" s="71">
        <f t="shared" si="263"/>
        <v>219</v>
      </c>
      <c r="CF65" s="72">
        <f t="shared" si="264"/>
        <v>266</v>
      </c>
      <c r="CG65" s="71">
        <f t="shared" si="265"/>
        <v>292</v>
      </c>
      <c r="CH65" s="70">
        <f t="shared" si="266"/>
        <v>34</v>
      </c>
      <c r="CI65" s="71">
        <f t="shared" si="267"/>
        <v>38</v>
      </c>
      <c r="CJ65" s="72">
        <f t="shared" si="268"/>
        <v>69</v>
      </c>
      <c r="CK65" s="72">
        <f t="shared" si="269"/>
        <v>72</v>
      </c>
      <c r="CL65" s="72">
        <f t="shared" si="270"/>
        <v>108</v>
      </c>
      <c r="CM65" s="72">
        <f t="shared" si="271"/>
        <v>116</v>
      </c>
      <c r="CN65" s="72">
        <f t="shared" si="272"/>
        <v>142</v>
      </c>
      <c r="CO65" s="72">
        <f t="shared" si="273"/>
        <v>168</v>
      </c>
      <c r="CP65" s="72">
        <f t="shared" si="274"/>
        <v>208</v>
      </c>
      <c r="CQ65" s="72">
        <f t="shared" si="275"/>
        <v>259</v>
      </c>
      <c r="CR65" s="72">
        <f t="shared" si="276"/>
        <v>291</v>
      </c>
      <c r="CS65" s="72">
        <f t="shared" si="277"/>
        <v>306</v>
      </c>
      <c r="CT65" s="23">
        <f t="shared" si="278"/>
        <v>1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</row>
    <row r="66" spans="1:1029" x14ac:dyDescent="0.2">
      <c r="A66" s="3" t="str">
        <f t="shared" si="251"/>
        <v>aa2ar_human_5WF5</v>
      </c>
      <c r="B66" s="3" t="s">
        <v>139</v>
      </c>
      <c r="C66" s="3" t="s">
        <v>1464</v>
      </c>
      <c r="D66" s="3" t="str">
        <f>IFERROR(MID(VLOOKUP($B66,Seqs!$A:$B,2,0),E66,1),"")</f>
        <v>M</v>
      </c>
      <c r="E66" s="3">
        <v>4</v>
      </c>
      <c r="F66" s="3" t="str">
        <f>IFERROR(MID(VLOOKUP($B66,Seqs!$A:$B,2,0),G66,1),"")</f>
        <v>N</v>
      </c>
      <c r="G66" s="3">
        <v>34</v>
      </c>
      <c r="H66" s="3" t="str">
        <f>IFERROR(MID(VLOOKUP($B66,Seqs!$A:$B,2,0),I66,1),"")</f>
        <v>S</v>
      </c>
      <c r="I66" s="23">
        <v>35</v>
      </c>
      <c r="J66" s="3" t="str">
        <f>IFERROR(MID(VLOOKUP($B66,Seqs!$A:$B,2,0),K66,1),"")</f>
        <v>Q</v>
      </c>
      <c r="K66" s="23">
        <v>38</v>
      </c>
      <c r="L66" s="3" t="str">
        <f>IFERROR(MID(VLOOKUP($B66,Seqs!$A:$B,2,0),M66,1),"")</f>
        <v>N</v>
      </c>
      <c r="M66" s="3">
        <v>39</v>
      </c>
      <c r="N66" s="3" t="str">
        <f>IFERROR(MID(VLOOKUP($B66,Seqs!$A:$B,2,0),O66,1),"")</f>
        <v>A</v>
      </c>
      <c r="O66" s="3">
        <v>63</v>
      </c>
      <c r="P66" s="3" t="str">
        <f>IFERROR(MID(VLOOKUP($B66,Seqs!$A:$B,2,0),Q66,1),"")</f>
        <v>F</v>
      </c>
      <c r="Q66" s="3">
        <v>70</v>
      </c>
      <c r="R66" s="3" t="str">
        <f>IFERROR(MID(VLOOKUP($B66,Seqs!$A:$B,2,0),S66,1),"")</f>
        <v>A</v>
      </c>
      <c r="S66" s="3">
        <v>72</v>
      </c>
      <c r="T66" s="3" t="str">
        <f>IFERROR(MID(VLOOKUP($B66,Seqs!$A:$B,2,0),U66,1),"")</f>
        <v>A</v>
      </c>
      <c r="U66" s="3">
        <v>73</v>
      </c>
      <c r="V66" s="3" t="str">
        <f>IFERROR(MID(VLOOKUP($B66,Seqs!$A:$B,2,0),W66,1),"")</f>
        <v>I</v>
      </c>
      <c r="W66" s="3">
        <v>108</v>
      </c>
      <c r="X66" s="3" t="str">
        <f>IFERROR(MID(VLOOKUP($B66,Seqs!$A:$B,2,0),Y66,1),"")</f>
        <v>P</v>
      </c>
      <c r="Y66" s="3">
        <v>109</v>
      </c>
      <c r="Z66" s="3" t="str">
        <f>IFERROR(MID(VLOOKUP($B66,Seqs!$A:$B,2,0),AA66,1),"")</f>
        <v>V</v>
      </c>
      <c r="AA66" s="3">
        <v>116</v>
      </c>
      <c r="AB66" s="3" t="str">
        <f>IFERROR(MID(VLOOKUP($B66,Seqs!$A:$B,2,0),AC66,1),"")</f>
        <v>T</v>
      </c>
      <c r="AC66" s="3">
        <v>117</v>
      </c>
      <c r="AD66" s="3" t="str">
        <f>IFERROR(MID(VLOOKUP($B66,Seqs!$A:$B,2,0),AE66,1),"")</f>
        <v>G</v>
      </c>
      <c r="AE66" s="3">
        <v>142</v>
      </c>
      <c r="AF66" s="3" t="str">
        <f>IFERROR(MID(VLOOKUP($B66,Seqs!$A:$B,2,0),AG66,1),"")</f>
        <v>C</v>
      </c>
      <c r="AG66" s="3">
        <v>166</v>
      </c>
      <c r="AH66" s="3" t="str">
        <f>IFERROR(MID(VLOOKUP($B66,Seqs!$A:$B,2,0),AI66,1),"")</f>
        <v>F</v>
      </c>
      <c r="AI66" s="3">
        <v>168</v>
      </c>
      <c r="AJ66" s="3" t="str">
        <f>IFERROR(MID(VLOOKUP($B66,Seqs!$A:$B,2,0),AK66,1),"")</f>
        <v>P</v>
      </c>
      <c r="AK66" s="3">
        <v>173</v>
      </c>
      <c r="AL66" s="3" t="str">
        <f>IFERROR(MID(VLOOKUP($B66,Seqs!$A:$B,2,0),AM66,1),"")</f>
        <v>R</v>
      </c>
      <c r="AM66" s="3">
        <v>205</v>
      </c>
      <c r="AN66" s="3" t="str">
        <f>IFERROR(MID(VLOOKUP($B66,Seqs!$A:$B,2,0),AO66,1),"")</f>
        <v>L</v>
      </c>
      <c r="AO66" s="3">
        <v>225</v>
      </c>
      <c r="AP66" s="3" t="str">
        <f>IFERROR(MID(VLOOKUP($B66,Seqs!$A:$B,2,0),AQ66,1),"")</f>
        <v>C</v>
      </c>
      <c r="AQ66" s="3">
        <v>259</v>
      </c>
      <c r="AR66" s="3" t="str">
        <f>IFERROR(MID(VLOOKUP($B66,Seqs!$A:$B,2,0),AS66,1),"")</f>
        <v>P</v>
      </c>
      <c r="AS66" s="3">
        <v>266</v>
      </c>
      <c r="AT66" s="3" t="str">
        <f>IFERROR(MID(VLOOKUP($B66,Seqs!$A:$B,2,0),AU66,1),"")</f>
        <v>R</v>
      </c>
      <c r="AU66" s="3">
        <v>291</v>
      </c>
      <c r="AV66" s="3" t="str">
        <f>IFERROR(MID(VLOOKUP($B66,Seqs!$A:$B,2,0),AW66,1),"")</f>
        <v>I</v>
      </c>
      <c r="AW66" s="3">
        <v>292</v>
      </c>
      <c r="AX66" s="3" t="str">
        <f>IFERROR(MID(VLOOKUP($B66,Seqs!$A:$B,2,0),AY66,1),"")</f>
        <v>V</v>
      </c>
      <c r="AY66" s="3">
        <v>307</v>
      </c>
      <c r="AZ66" s="77" t="str">
        <f>VLOOKUP(B66,Classification!A:D,2,0)</f>
        <v>A</v>
      </c>
      <c r="BA66" s="94" t="str">
        <f>VLOOKUP(B66,Classification!A:D,4,0)</f>
        <v>Adenosine</v>
      </c>
      <c r="BB66" s="27" t="b">
        <f t="shared" si="252"/>
        <v>1</v>
      </c>
      <c r="BC66" s="23">
        <f t="shared" si="253"/>
        <v>246</v>
      </c>
      <c r="BD66" s="5" t="s">
        <v>23</v>
      </c>
      <c r="BE66" s="3" t="s">
        <v>1465</v>
      </c>
      <c r="BF66" s="118">
        <v>2.6</v>
      </c>
      <c r="BG66" s="49" t="s">
        <v>1</v>
      </c>
      <c r="BH66" s="49" t="s">
        <v>1</v>
      </c>
      <c r="BI66" s="1"/>
      <c r="BJ66" s="70" t="s">
        <v>1281</v>
      </c>
      <c r="BK66" s="57" t="s">
        <v>1281</v>
      </c>
      <c r="BL66" s="57" t="s">
        <v>1281</v>
      </c>
      <c r="BM66" s="57" t="s">
        <v>1281</v>
      </c>
      <c r="BN66" s="57" t="s">
        <v>1281</v>
      </c>
      <c r="BO66" s="57" t="s">
        <v>1281</v>
      </c>
      <c r="BP66" s="57" t="s">
        <v>1281</v>
      </c>
      <c r="BQ66" s="57" t="s">
        <v>1281</v>
      </c>
      <c r="BR66" s="57" t="s">
        <v>1281</v>
      </c>
      <c r="BS66" s="57" t="s">
        <v>1281</v>
      </c>
      <c r="BT66" s="57" t="s">
        <v>1281</v>
      </c>
      <c r="BU66" s="57" t="s">
        <v>1281</v>
      </c>
      <c r="BV66" s="70">
        <f t="shared" si="254"/>
        <v>4</v>
      </c>
      <c r="BW66" s="71">
        <f t="shared" si="255"/>
        <v>35</v>
      </c>
      <c r="BX66" s="72">
        <f t="shared" si="256"/>
        <v>39</v>
      </c>
      <c r="BY66" s="71">
        <f t="shared" si="257"/>
        <v>70</v>
      </c>
      <c r="BZ66" s="72">
        <f t="shared" si="258"/>
        <v>73</v>
      </c>
      <c r="CA66" s="71">
        <f t="shared" si="259"/>
        <v>109</v>
      </c>
      <c r="CB66" s="72">
        <f t="shared" si="260"/>
        <v>117</v>
      </c>
      <c r="CC66" s="71">
        <f t="shared" si="261"/>
        <v>166</v>
      </c>
      <c r="CD66" s="72">
        <f t="shared" si="262"/>
        <v>173</v>
      </c>
      <c r="CE66" s="71">
        <f t="shared" si="263"/>
        <v>225</v>
      </c>
      <c r="CF66" s="72">
        <f t="shared" si="264"/>
        <v>266</v>
      </c>
      <c r="CG66" s="71">
        <f t="shared" si="265"/>
        <v>292</v>
      </c>
      <c r="CH66" s="70">
        <f t="shared" si="266"/>
        <v>34</v>
      </c>
      <c r="CI66" s="71">
        <f t="shared" si="267"/>
        <v>38</v>
      </c>
      <c r="CJ66" s="72">
        <f t="shared" si="268"/>
        <v>63</v>
      </c>
      <c r="CK66" s="72">
        <f t="shared" si="269"/>
        <v>72</v>
      </c>
      <c r="CL66" s="72">
        <f t="shared" si="270"/>
        <v>108</v>
      </c>
      <c r="CM66" s="72">
        <f t="shared" si="271"/>
        <v>116</v>
      </c>
      <c r="CN66" s="72">
        <f t="shared" si="272"/>
        <v>142</v>
      </c>
      <c r="CO66" s="72">
        <f t="shared" si="273"/>
        <v>168</v>
      </c>
      <c r="CP66" s="72">
        <f t="shared" si="274"/>
        <v>205</v>
      </c>
      <c r="CQ66" s="72">
        <f t="shared" si="275"/>
        <v>259</v>
      </c>
      <c r="CR66" s="72">
        <f t="shared" si="276"/>
        <v>291</v>
      </c>
      <c r="CS66" s="72">
        <f t="shared" si="277"/>
        <v>307</v>
      </c>
      <c r="CT66" s="23">
        <f t="shared" si="278"/>
        <v>1</v>
      </c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</row>
    <row r="67" spans="1:1029" x14ac:dyDescent="0.2">
      <c r="A67" s="3" t="str">
        <f t="shared" si="251"/>
        <v>aa2ar_human_5WF6</v>
      </c>
      <c r="B67" s="3" t="s">
        <v>139</v>
      </c>
      <c r="C67" s="3" t="s">
        <v>1466</v>
      </c>
      <c r="D67" s="3" t="str">
        <f>IFERROR(MID(VLOOKUP($B67,Seqs!$A:$B,2,0),E67,1),"")</f>
        <v>M</v>
      </c>
      <c r="E67" s="3">
        <v>4</v>
      </c>
      <c r="F67" s="3" t="str">
        <f>IFERROR(MID(VLOOKUP($B67,Seqs!$A:$B,2,0),G67,1),"")</f>
        <v>N</v>
      </c>
      <c r="G67" s="3">
        <v>34</v>
      </c>
      <c r="H67" s="3" t="str">
        <f>IFERROR(MID(VLOOKUP($B67,Seqs!$A:$B,2,0),I67,1),"")</f>
        <v>S</v>
      </c>
      <c r="I67" s="23">
        <v>35</v>
      </c>
      <c r="J67" s="3" t="str">
        <f>IFERROR(MID(VLOOKUP($B67,Seqs!$A:$B,2,0),K67,1),"")</f>
        <v>Q</v>
      </c>
      <c r="K67" s="23">
        <v>38</v>
      </c>
      <c r="L67" s="3" t="str">
        <f>IFERROR(MID(VLOOKUP($B67,Seqs!$A:$B,2,0),M67,1),"")</f>
        <v>N</v>
      </c>
      <c r="M67" s="3">
        <v>39</v>
      </c>
      <c r="N67" s="3" t="str">
        <f>IFERROR(MID(VLOOKUP($B67,Seqs!$A:$B,2,0),O67,1),"")</f>
        <v>A</v>
      </c>
      <c r="O67" s="3">
        <v>63</v>
      </c>
      <c r="P67" s="3" t="str">
        <f>IFERROR(MID(VLOOKUP($B67,Seqs!$A:$B,2,0),Q67,1),"")</f>
        <v>F</v>
      </c>
      <c r="Q67" s="3">
        <v>70</v>
      </c>
      <c r="R67" s="3" t="str">
        <f>IFERROR(MID(VLOOKUP($B67,Seqs!$A:$B,2,0),S67,1),"")</f>
        <v>A</v>
      </c>
      <c r="S67" s="3">
        <v>72</v>
      </c>
      <c r="T67" s="3" t="str">
        <f>IFERROR(MID(VLOOKUP($B67,Seqs!$A:$B,2,0),U67,1),"")</f>
        <v>A</v>
      </c>
      <c r="U67" s="3">
        <v>73</v>
      </c>
      <c r="V67" s="3" t="str">
        <f>IFERROR(MID(VLOOKUP($B67,Seqs!$A:$B,2,0),W67,1),"")</f>
        <v>I</v>
      </c>
      <c r="W67" s="3">
        <v>108</v>
      </c>
      <c r="X67" s="3" t="str">
        <f>IFERROR(MID(VLOOKUP($B67,Seqs!$A:$B,2,0),Y67,1),"")</f>
        <v>P</v>
      </c>
      <c r="Y67" s="3">
        <v>109</v>
      </c>
      <c r="Z67" s="3" t="str">
        <f>IFERROR(MID(VLOOKUP($B67,Seqs!$A:$B,2,0),AA67,1),"")</f>
        <v>V</v>
      </c>
      <c r="AA67" s="3">
        <v>116</v>
      </c>
      <c r="AB67" s="3" t="str">
        <f>IFERROR(MID(VLOOKUP($B67,Seqs!$A:$B,2,0),AC67,1),"")</f>
        <v>T</v>
      </c>
      <c r="AC67" s="3">
        <v>117</v>
      </c>
      <c r="AD67" s="3" t="str">
        <f>IFERROR(MID(VLOOKUP($B67,Seqs!$A:$B,2,0),AE67,1),"")</f>
        <v>G</v>
      </c>
      <c r="AE67" s="3">
        <v>142</v>
      </c>
      <c r="AF67" s="3" t="str">
        <f>IFERROR(MID(VLOOKUP($B67,Seqs!$A:$B,2,0),AG67,1),"")</f>
        <v>C</v>
      </c>
      <c r="AG67" s="3">
        <v>166</v>
      </c>
      <c r="AH67" s="3" t="str">
        <f>IFERROR(MID(VLOOKUP($B67,Seqs!$A:$B,2,0),AI67,1),"")</f>
        <v>F</v>
      </c>
      <c r="AI67" s="3">
        <v>168</v>
      </c>
      <c r="AJ67" s="3" t="str">
        <f>IFERROR(MID(VLOOKUP($B67,Seqs!$A:$B,2,0),AK67,1),"")</f>
        <v>P</v>
      </c>
      <c r="AK67" s="3">
        <v>173</v>
      </c>
      <c r="AL67" s="3" t="str">
        <f>IFERROR(MID(VLOOKUP($B67,Seqs!$A:$B,2,0),AM67,1),"")</f>
        <v>R</v>
      </c>
      <c r="AM67" s="3">
        <v>205</v>
      </c>
      <c r="AN67" s="3" t="str">
        <f>IFERROR(MID(VLOOKUP($B67,Seqs!$A:$B,2,0),AO67,1),"")</f>
        <v>L</v>
      </c>
      <c r="AO67" s="3">
        <v>225</v>
      </c>
      <c r="AP67" s="3" t="str">
        <f>IFERROR(MID(VLOOKUP($B67,Seqs!$A:$B,2,0),AQ67,1),"")</f>
        <v>C</v>
      </c>
      <c r="AQ67" s="3">
        <v>259</v>
      </c>
      <c r="AR67" s="3" t="str">
        <f>IFERROR(MID(VLOOKUP($B67,Seqs!$A:$B,2,0),AS67,1),"")</f>
        <v>P</v>
      </c>
      <c r="AS67" s="3">
        <v>266</v>
      </c>
      <c r="AT67" s="3" t="str">
        <f>IFERROR(MID(VLOOKUP($B67,Seqs!$A:$B,2,0),AU67,1),"")</f>
        <v>R</v>
      </c>
      <c r="AU67" s="3">
        <v>291</v>
      </c>
      <c r="AV67" s="3" t="str">
        <f>IFERROR(MID(VLOOKUP($B67,Seqs!$A:$B,2,0),AW67,1),"")</f>
        <v>I</v>
      </c>
      <c r="AW67" s="3">
        <v>292</v>
      </c>
      <c r="AX67" s="3" t="str">
        <f>IFERROR(MID(VLOOKUP($B67,Seqs!$A:$B,2,0),AY67,1),"")</f>
        <v>V</v>
      </c>
      <c r="AY67" s="3">
        <v>307</v>
      </c>
      <c r="AZ67" s="77" t="str">
        <f>VLOOKUP(B67,Classification!A:D,2,0)</f>
        <v>A</v>
      </c>
      <c r="BA67" s="94" t="str">
        <f>VLOOKUP(B67,Classification!A:D,4,0)</f>
        <v>Adenosine</v>
      </c>
      <c r="BB67" s="27" t="b">
        <f t="shared" si="252"/>
        <v>1</v>
      </c>
      <c r="BC67" s="23">
        <f t="shared" si="253"/>
        <v>246</v>
      </c>
      <c r="BD67" s="5" t="s">
        <v>23</v>
      </c>
      <c r="BE67" s="3" t="s">
        <v>1465</v>
      </c>
      <c r="BF67" s="118">
        <v>2.9</v>
      </c>
      <c r="BG67" s="49" t="s">
        <v>1</v>
      </c>
      <c r="BH67" s="49" t="s">
        <v>1</v>
      </c>
      <c r="BI67" s="1"/>
      <c r="BJ67" s="70" t="s">
        <v>1281</v>
      </c>
      <c r="BK67" s="57" t="s">
        <v>1281</v>
      </c>
      <c r="BL67" s="57" t="s">
        <v>1281</v>
      </c>
      <c r="BM67" s="57" t="s">
        <v>1281</v>
      </c>
      <c r="BN67" s="57" t="s">
        <v>1281</v>
      </c>
      <c r="BO67" s="57" t="s">
        <v>1281</v>
      </c>
      <c r="BP67" s="57" t="s">
        <v>1281</v>
      </c>
      <c r="BQ67" s="57" t="s">
        <v>1281</v>
      </c>
      <c r="BR67" s="57" t="s">
        <v>1281</v>
      </c>
      <c r="BS67" s="57" t="s">
        <v>1281</v>
      </c>
      <c r="BT67" s="57" t="s">
        <v>1281</v>
      </c>
      <c r="BU67" s="57" t="s">
        <v>1281</v>
      </c>
      <c r="BV67" s="70">
        <f t="shared" si="254"/>
        <v>4</v>
      </c>
      <c r="BW67" s="71">
        <f t="shared" si="255"/>
        <v>35</v>
      </c>
      <c r="BX67" s="72">
        <f t="shared" si="256"/>
        <v>39</v>
      </c>
      <c r="BY67" s="71">
        <f t="shared" si="257"/>
        <v>70</v>
      </c>
      <c r="BZ67" s="72">
        <f t="shared" si="258"/>
        <v>73</v>
      </c>
      <c r="CA67" s="71">
        <f t="shared" si="259"/>
        <v>109</v>
      </c>
      <c r="CB67" s="72">
        <f t="shared" si="260"/>
        <v>117</v>
      </c>
      <c r="CC67" s="71">
        <f t="shared" si="261"/>
        <v>166</v>
      </c>
      <c r="CD67" s="72">
        <f t="shared" si="262"/>
        <v>173</v>
      </c>
      <c r="CE67" s="71">
        <f t="shared" si="263"/>
        <v>225</v>
      </c>
      <c r="CF67" s="72">
        <f t="shared" si="264"/>
        <v>266</v>
      </c>
      <c r="CG67" s="71">
        <f t="shared" si="265"/>
        <v>292</v>
      </c>
      <c r="CH67" s="70">
        <f t="shared" si="266"/>
        <v>34</v>
      </c>
      <c r="CI67" s="71">
        <f t="shared" si="267"/>
        <v>38</v>
      </c>
      <c r="CJ67" s="72">
        <f t="shared" si="268"/>
        <v>63</v>
      </c>
      <c r="CK67" s="72">
        <f t="shared" si="269"/>
        <v>72</v>
      </c>
      <c r="CL67" s="72">
        <f t="shared" si="270"/>
        <v>108</v>
      </c>
      <c r="CM67" s="72">
        <f t="shared" si="271"/>
        <v>116</v>
      </c>
      <c r="CN67" s="72">
        <f t="shared" si="272"/>
        <v>142</v>
      </c>
      <c r="CO67" s="72">
        <f t="shared" si="273"/>
        <v>168</v>
      </c>
      <c r="CP67" s="72">
        <f t="shared" si="274"/>
        <v>205</v>
      </c>
      <c r="CQ67" s="72">
        <f t="shared" si="275"/>
        <v>259</v>
      </c>
      <c r="CR67" s="72">
        <f t="shared" si="276"/>
        <v>291</v>
      </c>
      <c r="CS67" s="72">
        <f t="shared" si="277"/>
        <v>307</v>
      </c>
      <c r="CT67" s="23">
        <f t="shared" si="278"/>
        <v>1</v>
      </c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</row>
    <row r="68" spans="1:1029" x14ac:dyDescent="0.2">
      <c r="A68" s="3" t="str">
        <f t="shared" si="251"/>
        <v>aa2ar_human_6GDG</v>
      </c>
      <c r="B68" s="3" t="s">
        <v>139</v>
      </c>
      <c r="C68" s="3" t="s">
        <v>1486</v>
      </c>
      <c r="D68" s="3" t="str">
        <f>IFERROR(MID(VLOOKUP($B68,Seqs!$A:$B,2,0),E68,1),"")</f>
        <v>V</v>
      </c>
      <c r="E68" s="3">
        <v>8</v>
      </c>
      <c r="F68" s="3" t="str">
        <f>IFERROR(MID(VLOOKUP($B68,Seqs!$A:$B,2,0),G68,1),"")</f>
        <v>N</v>
      </c>
      <c r="G68" s="3">
        <v>34</v>
      </c>
      <c r="H68" s="3" t="str">
        <f>IFERROR(MID(VLOOKUP($B68,Seqs!$A:$B,2,0),I68,1),"")</f>
        <v>S</v>
      </c>
      <c r="I68" s="23">
        <v>35</v>
      </c>
      <c r="J68" s="3" t="str">
        <f>IFERROR(MID(VLOOKUP($B68,Seqs!$A:$B,2,0),K68,1),"")</f>
        <v>Q</v>
      </c>
      <c r="K68" s="23">
        <v>38</v>
      </c>
      <c r="L68" s="3" t="str">
        <f>IFERROR(MID(VLOOKUP($B68,Seqs!$A:$B,2,0),M68,1),"")</f>
        <v>N</v>
      </c>
      <c r="M68" s="3">
        <v>39</v>
      </c>
      <c r="N68" s="3" t="str">
        <f>IFERROR(MID(VLOOKUP($B68,Seqs!$A:$B,2,0),O68,1),"")</f>
        <v>G</v>
      </c>
      <c r="O68" s="3">
        <v>69</v>
      </c>
      <c r="P68" s="3" t="str">
        <f>IFERROR(MID(VLOOKUP($B68,Seqs!$A:$B,2,0),Q68,1),"")</f>
        <v>F</v>
      </c>
      <c r="Q68" s="3">
        <v>70</v>
      </c>
      <c r="R68" s="3" t="str">
        <f>IFERROR(MID(VLOOKUP($B68,Seqs!$A:$B,2,0),S68,1),"")</f>
        <v>A</v>
      </c>
      <c r="S68" s="3">
        <v>72</v>
      </c>
      <c r="T68" s="3" t="str">
        <f>IFERROR(MID(VLOOKUP($B68,Seqs!$A:$B,2,0),U68,1),"")</f>
        <v>A</v>
      </c>
      <c r="U68" s="3">
        <v>73</v>
      </c>
      <c r="V68" s="3" t="str">
        <f>IFERROR(MID(VLOOKUP($B68,Seqs!$A:$B,2,0),W68,1),"")</f>
        <v>I</v>
      </c>
      <c r="W68" s="3">
        <v>108</v>
      </c>
      <c r="X68" s="3" t="str">
        <f>IFERROR(MID(VLOOKUP($B68,Seqs!$A:$B,2,0),Y68,1),"")</f>
        <v>P</v>
      </c>
      <c r="Y68" s="3">
        <v>109</v>
      </c>
      <c r="Z68" s="3" t="str">
        <f>IFERROR(MID(VLOOKUP($B68,Seqs!$A:$B,2,0),AA68,1),"")</f>
        <v>V</v>
      </c>
      <c r="AA68" s="3">
        <v>116</v>
      </c>
      <c r="AB68" s="3" t="str">
        <f>IFERROR(MID(VLOOKUP($B68,Seqs!$A:$B,2,0),AC68,1),"")</f>
        <v>T</v>
      </c>
      <c r="AC68" s="3">
        <v>117</v>
      </c>
      <c r="AD68" s="3" t="str">
        <f>IFERROR(MID(VLOOKUP($B68,Seqs!$A:$B,2,0),AE68,1),"")</f>
        <v>L</v>
      </c>
      <c r="AE68" s="3">
        <v>141</v>
      </c>
      <c r="AF68" s="3" t="str">
        <f>IFERROR(MID(VLOOKUP($B68,Seqs!$A:$B,2,0),AG68,1),"")</f>
        <v>C</v>
      </c>
      <c r="AG68" s="3">
        <v>166</v>
      </c>
      <c r="AH68" s="3" t="str">
        <f>IFERROR(MID(VLOOKUP($B68,Seqs!$A:$B,2,0),AI68,1),"")</f>
        <v>F</v>
      </c>
      <c r="AI68" s="3">
        <v>168</v>
      </c>
      <c r="AJ68" s="3" t="str">
        <f>IFERROR(MID(VLOOKUP($B68,Seqs!$A:$B,2,0),AK68,1),"")</f>
        <v>P</v>
      </c>
      <c r="AK68" s="3">
        <v>173</v>
      </c>
      <c r="AL68" s="3" t="str">
        <f>IFERROR(MID(VLOOKUP($B68,Seqs!$A:$B,2,0),AM68,1),"")</f>
        <v>L</v>
      </c>
      <c r="AM68" s="3">
        <v>208</v>
      </c>
      <c r="AN68" s="3" t="str">
        <f>IFERROR(MID(VLOOKUP($B68,Seqs!$A:$B,2,0),AO68,1),"")</f>
        <v>T</v>
      </c>
      <c r="AO68" s="3">
        <v>224</v>
      </c>
      <c r="AP68" s="3" t="str">
        <f>IFERROR(MID(VLOOKUP($B68,Seqs!$A:$B,2,0),AQ68,1),"")</f>
        <v>C</v>
      </c>
      <c r="AQ68" s="3">
        <v>259</v>
      </c>
      <c r="AR68" s="3" t="str">
        <f>IFERROR(MID(VLOOKUP($B68,Seqs!$A:$B,2,0),AS68,1),"")</f>
        <v>P</v>
      </c>
      <c r="AS68" s="3">
        <v>266</v>
      </c>
      <c r="AT68" s="3" t="str">
        <f>IFERROR(MID(VLOOKUP($B68,Seqs!$A:$B,2,0),AU68,1),"")</f>
        <v>R</v>
      </c>
      <c r="AU68" s="3">
        <v>291</v>
      </c>
      <c r="AV68" s="3" t="str">
        <f>IFERROR(MID(VLOOKUP($B68,Seqs!$A:$B,2,0),AW68,1),"")</f>
        <v>I</v>
      </c>
      <c r="AW68" s="3">
        <v>292</v>
      </c>
      <c r="AX68" s="3" t="str">
        <f>IFERROR(MID(VLOOKUP($B68,Seqs!$A:$B,2,0),AY68,1),"")</f>
        <v>F</v>
      </c>
      <c r="AY68" s="3">
        <v>299</v>
      </c>
      <c r="AZ68" s="77" t="str">
        <f>VLOOKUP(B68,Classification!A:D,2,0)</f>
        <v>A</v>
      </c>
      <c r="BA68" s="94" t="str">
        <f>VLOOKUP(B68,Classification!A:D,4,0)</f>
        <v>Adenosine</v>
      </c>
      <c r="BB68" s="27" t="b">
        <f t="shared" si="252"/>
        <v>1</v>
      </c>
      <c r="BC68" s="23">
        <f t="shared" si="253"/>
        <v>243</v>
      </c>
      <c r="BD68" s="5" t="s">
        <v>23</v>
      </c>
      <c r="BE68" s="3" t="s">
        <v>1285</v>
      </c>
      <c r="BF68" s="118">
        <v>4.1100000000000003</v>
      </c>
      <c r="BG68" s="49" t="s">
        <v>1</v>
      </c>
      <c r="BH68" s="49" t="s">
        <v>1</v>
      </c>
      <c r="BI68" s="1"/>
      <c r="BJ68" s="70" t="s">
        <v>1281</v>
      </c>
      <c r="BK68" s="57" t="s">
        <v>1281</v>
      </c>
      <c r="BL68" s="57" t="s">
        <v>1281</v>
      </c>
      <c r="BM68" s="57" t="s">
        <v>1281</v>
      </c>
      <c r="BN68" s="57" t="s">
        <v>1281</v>
      </c>
      <c r="BO68" s="57" t="s">
        <v>1281</v>
      </c>
      <c r="BP68" s="57" t="s">
        <v>1281</v>
      </c>
      <c r="BQ68" s="57" t="s">
        <v>1281</v>
      </c>
      <c r="BR68" s="57" t="s">
        <v>1281</v>
      </c>
      <c r="BS68" s="57" t="s">
        <v>1281</v>
      </c>
      <c r="BT68" s="57" t="s">
        <v>1281</v>
      </c>
      <c r="BU68" s="57" t="s">
        <v>1281</v>
      </c>
      <c r="BV68" s="70">
        <f t="shared" si="254"/>
        <v>8</v>
      </c>
      <c r="BW68" s="71">
        <f t="shared" si="255"/>
        <v>35</v>
      </c>
      <c r="BX68" s="72">
        <f t="shared" si="256"/>
        <v>39</v>
      </c>
      <c r="BY68" s="71">
        <f t="shared" si="257"/>
        <v>70</v>
      </c>
      <c r="BZ68" s="72">
        <f t="shared" si="258"/>
        <v>73</v>
      </c>
      <c r="CA68" s="71">
        <f t="shared" si="259"/>
        <v>109</v>
      </c>
      <c r="CB68" s="72">
        <f t="shared" si="260"/>
        <v>117</v>
      </c>
      <c r="CC68" s="71">
        <f t="shared" si="261"/>
        <v>166</v>
      </c>
      <c r="CD68" s="72">
        <f t="shared" si="262"/>
        <v>173</v>
      </c>
      <c r="CE68" s="71">
        <f t="shared" si="263"/>
        <v>224</v>
      </c>
      <c r="CF68" s="72">
        <f t="shared" si="264"/>
        <v>266</v>
      </c>
      <c r="CG68" s="71">
        <f t="shared" si="265"/>
        <v>292</v>
      </c>
      <c r="CH68" s="70">
        <f t="shared" si="266"/>
        <v>34</v>
      </c>
      <c r="CI68" s="71">
        <f t="shared" si="267"/>
        <v>38</v>
      </c>
      <c r="CJ68" s="72">
        <f t="shared" si="268"/>
        <v>69</v>
      </c>
      <c r="CK68" s="72">
        <f t="shared" si="269"/>
        <v>72</v>
      </c>
      <c r="CL68" s="72">
        <f t="shared" si="270"/>
        <v>108</v>
      </c>
      <c r="CM68" s="72">
        <f t="shared" si="271"/>
        <v>116</v>
      </c>
      <c r="CN68" s="72">
        <f t="shared" si="272"/>
        <v>141</v>
      </c>
      <c r="CO68" s="72">
        <f t="shared" si="273"/>
        <v>168</v>
      </c>
      <c r="CP68" s="72">
        <f t="shared" si="274"/>
        <v>208</v>
      </c>
      <c r="CQ68" s="72">
        <f t="shared" si="275"/>
        <v>259</v>
      </c>
      <c r="CR68" s="72">
        <f t="shared" si="276"/>
        <v>291</v>
      </c>
      <c r="CS68" s="72">
        <f t="shared" si="277"/>
        <v>299</v>
      </c>
      <c r="CT68" s="23">
        <f t="shared" si="278"/>
        <v>1</v>
      </c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</row>
    <row r="69" spans="1:1029" s="12" customFormat="1" x14ac:dyDescent="0.2">
      <c r="A69" s="9" t="str">
        <f t="shared" ref="A69" si="335">CONCATENATE(B69,"_",C69)</f>
        <v>aa2ar_human_6MH8</v>
      </c>
      <c r="B69" s="9" t="s">
        <v>139</v>
      </c>
      <c r="C69" s="9" t="s">
        <v>1566</v>
      </c>
      <c r="D69" s="9" t="str">
        <f>IFERROR(MID(VLOOKUP($B69,Seqs!$A:$B,2,0),E69,1),"")</f>
        <v>M</v>
      </c>
      <c r="E69" s="9">
        <v>1</v>
      </c>
      <c r="F69" s="9" t="str">
        <f>IFERROR(MID(VLOOKUP($B69,Seqs!$A:$B,2,0),G69,1),"")</f>
        <v>N</v>
      </c>
      <c r="G69" s="9">
        <v>34</v>
      </c>
      <c r="H69" s="9" t="str">
        <f>IFERROR(MID(VLOOKUP($B69,Seqs!$A:$B,2,0),I69,1),"")</f>
        <v>S</v>
      </c>
      <c r="I69" s="109">
        <v>35</v>
      </c>
      <c r="J69" s="9" t="str">
        <f>IFERROR(MID(VLOOKUP($B69,Seqs!$A:$B,2,0),K69,1),"")</f>
        <v>Q</v>
      </c>
      <c r="K69" s="109">
        <v>38</v>
      </c>
      <c r="L69" s="9" t="str">
        <f>IFERROR(MID(VLOOKUP($B69,Seqs!$A:$B,2,0),M69,1),"")</f>
        <v>N</v>
      </c>
      <c r="M69" s="9">
        <v>39</v>
      </c>
      <c r="N69" s="9" t="str">
        <f>IFERROR(MID(VLOOKUP($B69,Seqs!$A:$B,2,0),O69,1),"")</f>
        <v>G</v>
      </c>
      <c r="O69" s="9">
        <v>69</v>
      </c>
      <c r="P69" s="9" t="str">
        <f>IFERROR(MID(VLOOKUP($B69,Seqs!$A:$B,2,0),Q69,1),"")</f>
        <v>F</v>
      </c>
      <c r="Q69" s="9">
        <v>70</v>
      </c>
      <c r="R69" s="9" t="str">
        <f>IFERROR(MID(VLOOKUP($B69,Seqs!$A:$B,2,0),S69,1),"")</f>
        <v>A</v>
      </c>
      <c r="S69" s="9">
        <v>72</v>
      </c>
      <c r="T69" s="9" t="str">
        <f>IFERROR(MID(VLOOKUP($B69,Seqs!$A:$B,2,0),U69,1),"")</f>
        <v>A</v>
      </c>
      <c r="U69" s="9">
        <v>73</v>
      </c>
      <c r="V69" s="9" t="str">
        <f>IFERROR(MID(VLOOKUP($B69,Seqs!$A:$B,2,0),W69,1),"")</f>
        <v>I</v>
      </c>
      <c r="W69" s="9">
        <v>108</v>
      </c>
      <c r="X69" s="9" t="str">
        <f>IFERROR(MID(VLOOKUP($B69,Seqs!$A:$B,2,0),Y69,1),"")</f>
        <v>P</v>
      </c>
      <c r="Y69" s="9">
        <v>109</v>
      </c>
      <c r="Z69" s="9" t="str">
        <f>IFERROR(MID(VLOOKUP($B69,Seqs!$A:$B,2,0),AA69,1),"")</f>
        <v>V</v>
      </c>
      <c r="AA69" s="9">
        <v>116</v>
      </c>
      <c r="AB69" s="9" t="str">
        <f>IFERROR(MID(VLOOKUP($B69,Seqs!$A:$B,2,0),AC69,1),"")</f>
        <v>T</v>
      </c>
      <c r="AC69" s="9">
        <v>117</v>
      </c>
      <c r="AD69" s="9" t="str">
        <f>IFERROR(MID(VLOOKUP($B69,Seqs!$A:$B,2,0),AE69,1),"")</f>
        <v>G</v>
      </c>
      <c r="AE69" s="9">
        <v>142</v>
      </c>
      <c r="AF69" s="9" t="str">
        <f>IFERROR(MID(VLOOKUP($B69,Seqs!$A:$B,2,0),AG69,1),"")</f>
        <v>C</v>
      </c>
      <c r="AG69" s="9">
        <v>166</v>
      </c>
      <c r="AH69" s="9" t="str">
        <f>IFERROR(MID(VLOOKUP($B69,Seqs!$A:$B,2,0),AI69,1),"")</f>
        <v>F</v>
      </c>
      <c r="AI69" s="9">
        <v>168</v>
      </c>
      <c r="AJ69" s="9" t="str">
        <f>IFERROR(MID(VLOOKUP($B69,Seqs!$A:$B,2,0),AK69,1),"")</f>
        <v>P</v>
      </c>
      <c r="AK69" s="9">
        <v>173</v>
      </c>
      <c r="AL69" s="9" t="str">
        <f>IFERROR(MID(VLOOKUP($B69,Seqs!$A:$B,2,0),AM69,1),"")</f>
        <v>L</v>
      </c>
      <c r="AM69" s="9">
        <v>208</v>
      </c>
      <c r="AN69" s="9" t="str">
        <f>IFERROR(MID(VLOOKUP($B69,Seqs!$A:$B,2,0),AO69,1),"")</f>
        <v>E</v>
      </c>
      <c r="AO69" s="9">
        <v>219</v>
      </c>
      <c r="AP69" s="9" t="str">
        <f>IFERROR(MID(VLOOKUP($B69,Seqs!$A:$B,2,0),AQ69,1),"")</f>
        <v>C</v>
      </c>
      <c r="AQ69" s="9">
        <v>259</v>
      </c>
      <c r="AR69" s="9" t="str">
        <f>IFERROR(MID(VLOOKUP($B69,Seqs!$A:$B,2,0),AS69,1),"")</f>
        <v>P</v>
      </c>
      <c r="AS69" s="9">
        <v>266</v>
      </c>
      <c r="AT69" s="9" t="str">
        <f>IFERROR(MID(VLOOKUP($B69,Seqs!$A:$B,2,0),AU69,1),"")</f>
        <v>R</v>
      </c>
      <c r="AU69" s="9">
        <v>291</v>
      </c>
      <c r="AV69" s="9" t="str">
        <f>IFERROR(MID(VLOOKUP($B69,Seqs!$A:$B,2,0),AW69,1),"")</f>
        <v>I</v>
      </c>
      <c r="AW69" s="9">
        <v>292</v>
      </c>
      <c r="AX69" s="9" t="str">
        <f>IFERROR(MID(VLOOKUP($B69,Seqs!$A:$B,2,0),AY69,1),"")</f>
        <v>H</v>
      </c>
      <c r="AY69" s="9">
        <v>306</v>
      </c>
      <c r="AZ69" s="110" t="str">
        <f>VLOOKUP(B69,Classification!A:D,2,0)</f>
        <v>A</v>
      </c>
      <c r="BA69" s="98" t="str">
        <f>VLOOKUP(B69,Classification!A:D,4,0)</f>
        <v>Adenosine</v>
      </c>
      <c r="BB69" s="36" t="b">
        <f t="shared" ref="BB69" si="336">AND(E69&lt;G69,OR(G69&lt;I69,I69="-"),OR(I69&lt;K69,I69="-"),OR(K69&lt;M69,K69="-"),M69&lt;O69,OR(O69&lt;Q69,Q69="-"),OR(Q69&lt;S69,Q69="-"),OR(S69&lt;U69,S69="-"),U69&lt;W69,OR(W69&lt;Y69,Y69="-"),OR(Y69&lt;AA69,Y69="-"),OR(AA69&lt;AC69,AA69="-"),AC69&lt;AE69,OR(AE69&lt;AG69,AG69="-"),OR(AG69&lt;AI69,AG69="-"),OR(AI69&lt;AK69,AI69="-"),AK69&lt;AM69,AM69&lt;AO69,AO69&lt;AQ69,AQ69&lt;AS69,AS69&lt;AU69,OR(AU69&lt;AW69,AW69="-"),OR(AW69&lt;AY69,AW69="-"))</f>
        <v>1</v>
      </c>
      <c r="BC69" s="109">
        <f t="shared" ref="BC69" si="337">_xlfn.AGGREGATE(9,6,CH69:CS69)-_xlfn.AGGREGATE(9,6,BV69:CG69)+12</f>
        <v>263</v>
      </c>
      <c r="BD69" s="13" t="s">
        <v>23</v>
      </c>
      <c r="BE69" s="9" t="s">
        <v>1368</v>
      </c>
      <c r="BF69" s="119">
        <v>4.2</v>
      </c>
      <c r="BG69" s="51" t="s">
        <v>1</v>
      </c>
      <c r="BH69" s="51" t="s">
        <v>1</v>
      </c>
      <c r="BJ69" s="111" t="s">
        <v>1281</v>
      </c>
      <c r="BK69" s="112" t="s">
        <v>1281</v>
      </c>
      <c r="BL69" s="112" t="s">
        <v>1281</v>
      </c>
      <c r="BM69" s="112" t="s">
        <v>1281</v>
      </c>
      <c r="BN69" s="112" t="s">
        <v>1281</v>
      </c>
      <c r="BO69" s="112" t="s">
        <v>1281</v>
      </c>
      <c r="BP69" s="112" t="s">
        <v>1281</v>
      </c>
      <c r="BQ69" s="112" t="s">
        <v>1281</v>
      </c>
      <c r="BR69" s="112" t="s">
        <v>1281</v>
      </c>
      <c r="BS69" s="112" t="s">
        <v>1281</v>
      </c>
      <c r="BT69" s="112" t="s">
        <v>1281</v>
      </c>
      <c r="BU69" s="112" t="s">
        <v>1281</v>
      </c>
      <c r="BV69" s="111">
        <f t="shared" ref="BV69" si="338">E69</f>
        <v>1</v>
      </c>
      <c r="BW69" s="113">
        <f t="shared" ref="BW69" si="339">I69</f>
        <v>35</v>
      </c>
      <c r="BX69" s="114">
        <f t="shared" ref="BX69" si="340">M69</f>
        <v>39</v>
      </c>
      <c r="BY69" s="113">
        <f t="shared" ref="BY69" si="341">Q69</f>
        <v>70</v>
      </c>
      <c r="BZ69" s="114">
        <f t="shared" ref="BZ69" si="342">U69</f>
        <v>73</v>
      </c>
      <c r="CA69" s="113">
        <f t="shared" ref="CA69" si="343">Y69</f>
        <v>109</v>
      </c>
      <c r="CB69" s="114">
        <f t="shared" ref="CB69" si="344">AC69</f>
        <v>117</v>
      </c>
      <c r="CC69" s="113">
        <f t="shared" ref="CC69" si="345">AG69</f>
        <v>166</v>
      </c>
      <c r="CD69" s="114">
        <f t="shared" ref="CD69" si="346">AK69</f>
        <v>173</v>
      </c>
      <c r="CE69" s="113">
        <f t="shared" ref="CE69" si="347">AO69</f>
        <v>219</v>
      </c>
      <c r="CF69" s="114">
        <f t="shared" ref="CF69" si="348">AS69</f>
        <v>266</v>
      </c>
      <c r="CG69" s="113">
        <f t="shared" ref="CG69" si="349">AW69</f>
        <v>292</v>
      </c>
      <c r="CH69" s="111">
        <f t="shared" ref="CH69" si="350">G69</f>
        <v>34</v>
      </c>
      <c r="CI69" s="113">
        <f t="shared" ref="CI69" si="351">K69</f>
        <v>38</v>
      </c>
      <c r="CJ69" s="114">
        <f t="shared" ref="CJ69" si="352">O69</f>
        <v>69</v>
      </c>
      <c r="CK69" s="114">
        <f t="shared" ref="CK69" si="353">S69</f>
        <v>72</v>
      </c>
      <c r="CL69" s="114">
        <f t="shared" ref="CL69" si="354">W69</f>
        <v>108</v>
      </c>
      <c r="CM69" s="114">
        <f t="shared" ref="CM69" si="355">AA69</f>
        <v>116</v>
      </c>
      <c r="CN69" s="114">
        <f t="shared" ref="CN69" si="356">AE69</f>
        <v>142</v>
      </c>
      <c r="CO69" s="114">
        <f t="shared" ref="CO69" si="357">AI69</f>
        <v>168</v>
      </c>
      <c r="CP69" s="114">
        <f t="shared" ref="CP69" si="358">AM69</f>
        <v>208</v>
      </c>
      <c r="CQ69" s="114">
        <f t="shared" ref="CQ69" si="359">AQ69</f>
        <v>259</v>
      </c>
      <c r="CR69" s="114">
        <f t="shared" ref="CR69" si="360">AU69</f>
        <v>291</v>
      </c>
      <c r="CS69" s="114">
        <f t="shared" ref="CS69" si="361">AY69</f>
        <v>306</v>
      </c>
      <c r="CT69" s="109">
        <f t="shared" ref="CT69" si="362">M69-K69</f>
        <v>1</v>
      </c>
    </row>
    <row r="70" spans="1:1029" s="12" customFormat="1" x14ac:dyDescent="0.2">
      <c r="A70" s="9" t="str">
        <f t="shared" ref="A70" si="363">CONCATENATE(B70,"_",C70)</f>
        <v>aa2ar_human_6MH9</v>
      </c>
      <c r="B70" s="9" t="s">
        <v>139</v>
      </c>
      <c r="C70" s="9" t="s">
        <v>1576</v>
      </c>
      <c r="D70" s="9" t="str">
        <f>IFERROR(MID(VLOOKUP($B70,Seqs!$A:$B,2,0),E70,1),"")</f>
        <v>M</v>
      </c>
      <c r="E70" s="9">
        <v>1</v>
      </c>
      <c r="F70" s="9" t="str">
        <f>IFERROR(MID(VLOOKUP($B70,Seqs!$A:$B,2,0),G70,1),"")</f>
        <v>N</v>
      </c>
      <c r="G70" s="9">
        <v>34</v>
      </c>
      <c r="H70" s="9" t="str">
        <f>IFERROR(MID(VLOOKUP($B70,Seqs!$A:$B,2,0),I70,1),"")</f>
        <v>S</v>
      </c>
      <c r="I70" s="109">
        <v>35</v>
      </c>
      <c r="J70" s="9" t="str">
        <f>IFERROR(MID(VLOOKUP($B70,Seqs!$A:$B,2,0),K70,1),"")</f>
        <v>Q</v>
      </c>
      <c r="K70" s="109">
        <v>38</v>
      </c>
      <c r="L70" s="9" t="str">
        <f>IFERROR(MID(VLOOKUP($B70,Seqs!$A:$B,2,0),M70,1),"")</f>
        <v>N</v>
      </c>
      <c r="M70" s="9">
        <v>39</v>
      </c>
      <c r="N70" s="9" t="str">
        <f>IFERROR(MID(VLOOKUP($B70,Seqs!$A:$B,2,0),O70,1),"")</f>
        <v>G</v>
      </c>
      <c r="O70" s="9">
        <v>69</v>
      </c>
      <c r="P70" s="9" t="str">
        <f>IFERROR(MID(VLOOKUP($B70,Seqs!$A:$B,2,0),Q70,1),"")</f>
        <v>F</v>
      </c>
      <c r="Q70" s="9">
        <v>70</v>
      </c>
      <c r="R70" s="9" t="str">
        <f>IFERROR(MID(VLOOKUP($B70,Seqs!$A:$B,2,0),S70,1),"")</f>
        <v>A</v>
      </c>
      <c r="S70" s="9">
        <v>72</v>
      </c>
      <c r="T70" s="9" t="str">
        <f>IFERROR(MID(VLOOKUP($B70,Seqs!$A:$B,2,0),U70,1),"")</f>
        <v>A</v>
      </c>
      <c r="U70" s="9">
        <v>73</v>
      </c>
      <c r="V70" s="9" t="str">
        <f>IFERROR(MID(VLOOKUP($B70,Seqs!$A:$B,2,0),W70,1),"")</f>
        <v>I</v>
      </c>
      <c r="W70" s="9">
        <v>108</v>
      </c>
      <c r="X70" s="9" t="str">
        <f>IFERROR(MID(VLOOKUP($B70,Seqs!$A:$B,2,0),Y70,1),"")</f>
        <v>P</v>
      </c>
      <c r="Y70" s="9">
        <v>109</v>
      </c>
      <c r="Z70" s="9" t="str">
        <f>IFERROR(MID(VLOOKUP($B70,Seqs!$A:$B,2,0),AA70,1),"")</f>
        <v>V</v>
      </c>
      <c r="AA70" s="9">
        <v>116</v>
      </c>
      <c r="AB70" s="9" t="str">
        <f>IFERROR(MID(VLOOKUP($B70,Seqs!$A:$B,2,0),AC70,1),"")</f>
        <v>T</v>
      </c>
      <c r="AC70" s="9">
        <v>117</v>
      </c>
      <c r="AD70" s="9" t="str">
        <f>IFERROR(MID(VLOOKUP($B70,Seqs!$A:$B,2,0),AE70,1),"")</f>
        <v>G</v>
      </c>
      <c r="AE70" s="9">
        <v>142</v>
      </c>
      <c r="AF70" s="9" t="str">
        <f>IFERROR(MID(VLOOKUP($B70,Seqs!$A:$B,2,0),AG70,1),"")</f>
        <v>C</v>
      </c>
      <c r="AG70" s="9">
        <v>166</v>
      </c>
      <c r="AH70" s="9" t="str">
        <f>IFERROR(MID(VLOOKUP($B70,Seqs!$A:$B,2,0),AI70,1),"")</f>
        <v>F</v>
      </c>
      <c r="AI70" s="9">
        <v>168</v>
      </c>
      <c r="AJ70" s="9" t="str">
        <f>IFERROR(MID(VLOOKUP($B70,Seqs!$A:$B,2,0),AK70,1),"")</f>
        <v>P</v>
      </c>
      <c r="AK70" s="9">
        <v>173</v>
      </c>
      <c r="AL70" s="9" t="str">
        <f>IFERROR(MID(VLOOKUP($B70,Seqs!$A:$B,2,0),AM70,1),"")</f>
        <v>L</v>
      </c>
      <c r="AM70" s="9">
        <v>208</v>
      </c>
      <c r="AN70" s="9" t="str">
        <f>IFERROR(MID(VLOOKUP($B70,Seqs!$A:$B,2,0),AO70,1),"")</f>
        <v>E</v>
      </c>
      <c r="AO70" s="9">
        <v>219</v>
      </c>
      <c r="AP70" s="9" t="str">
        <f>IFERROR(MID(VLOOKUP($B70,Seqs!$A:$B,2,0),AQ70,1),"")</f>
        <v>C</v>
      </c>
      <c r="AQ70" s="9">
        <v>259</v>
      </c>
      <c r="AR70" s="9" t="str">
        <f>IFERROR(MID(VLOOKUP($B70,Seqs!$A:$B,2,0),AS70,1),"")</f>
        <v>P</v>
      </c>
      <c r="AS70" s="9">
        <v>266</v>
      </c>
      <c r="AT70" s="9" t="str">
        <f>IFERROR(MID(VLOOKUP($B70,Seqs!$A:$B,2,0),AU70,1),"")</f>
        <v>R</v>
      </c>
      <c r="AU70" s="9">
        <v>291</v>
      </c>
      <c r="AV70" s="9" t="str">
        <f>IFERROR(MID(VLOOKUP($B70,Seqs!$A:$B,2,0),AW70,1),"")</f>
        <v>I</v>
      </c>
      <c r="AW70" s="9">
        <v>292</v>
      </c>
      <c r="AX70" s="9" t="str">
        <f>IFERROR(MID(VLOOKUP($B70,Seqs!$A:$B,2,0),AY70,1),"")</f>
        <v>H</v>
      </c>
      <c r="AY70" s="9">
        <v>306</v>
      </c>
      <c r="AZ70" s="110" t="str">
        <f>VLOOKUP(B70,Classification!A:D,2,0)</f>
        <v>A</v>
      </c>
      <c r="BA70" s="98" t="str">
        <f>VLOOKUP(B70,Classification!A:D,4,0)</f>
        <v>Adenosine</v>
      </c>
      <c r="BB70" s="36" t="b">
        <f t="shared" ref="BB70" si="364">AND(E70&lt;G70,OR(G70&lt;I70,I70="-"),OR(I70&lt;K70,I70="-"),OR(K70&lt;M70,K70="-"),M70&lt;O70,OR(O70&lt;Q70,Q70="-"),OR(Q70&lt;S70,Q70="-"),OR(S70&lt;U70,S70="-"),U70&lt;W70,OR(W70&lt;Y70,Y70="-"),OR(Y70&lt;AA70,Y70="-"),OR(AA70&lt;AC70,AA70="-"),AC70&lt;AE70,OR(AE70&lt;AG70,AG70="-"),OR(AG70&lt;AI70,AG70="-"),OR(AI70&lt;AK70,AI70="-"),AK70&lt;AM70,AM70&lt;AO70,AO70&lt;AQ70,AQ70&lt;AS70,AS70&lt;AU70,OR(AU70&lt;AW70,AW70="-"),OR(AW70&lt;AY70,AW70="-"))</f>
        <v>1</v>
      </c>
      <c r="BC70" s="109">
        <f t="shared" ref="BC70" si="365">_xlfn.AGGREGATE(9,6,CH70:CS70)-_xlfn.AGGREGATE(9,6,BV70:CG70)+12</f>
        <v>263</v>
      </c>
      <c r="BD70" s="13" t="s">
        <v>23</v>
      </c>
      <c r="BE70" s="9" t="s">
        <v>1368</v>
      </c>
      <c r="BF70" s="119">
        <v>2</v>
      </c>
      <c r="BG70" s="51" t="s">
        <v>1</v>
      </c>
      <c r="BH70" s="51" t="s">
        <v>1</v>
      </c>
      <c r="BJ70" s="111" t="s">
        <v>1281</v>
      </c>
      <c r="BK70" s="112" t="s">
        <v>1281</v>
      </c>
      <c r="BL70" s="112" t="s">
        <v>1281</v>
      </c>
      <c r="BM70" s="112" t="s">
        <v>1281</v>
      </c>
      <c r="BN70" s="112" t="s">
        <v>1281</v>
      </c>
      <c r="BO70" s="112" t="s">
        <v>1281</v>
      </c>
      <c r="BP70" s="112" t="s">
        <v>1281</v>
      </c>
      <c r="BQ70" s="112" t="s">
        <v>1281</v>
      </c>
      <c r="BR70" s="112" t="s">
        <v>1281</v>
      </c>
      <c r="BS70" s="112" t="s">
        <v>1281</v>
      </c>
      <c r="BT70" s="112" t="s">
        <v>1281</v>
      </c>
      <c r="BU70" s="112" t="s">
        <v>1281</v>
      </c>
      <c r="BV70" s="111">
        <f t="shared" ref="BV70" si="366">E70</f>
        <v>1</v>
      </c>
      <c r="BW70" s="113">
        <f t="shared" ref="BW70" si="367">I70</f>
        <v>35</v>
      </c>
      <c r="BX70" s="114">
        <f t="shared" ref="BX70" si="368">M70</f>
        <v>39</v>
      </c>
      <c r="BY70" s="113">
        <f t="shared" ref="BY70" si="369">Q70</f>
        <v>70</v>
      </c>
      <c r="BZ70" s="114">
        <f t="shared" ref="BZ70" si="370">U70</f>
        <v>73</v>
      </c>
      <c r="CA70" s="113">
        <f t="shared" ref="CA70" si="371">Y70</f>
        <v>109</v>
      </c>
      <c r="CB70" s="114">
        <f t="shared" ref="CB70" si="372">AC70</f>
        <v>117</v>
      </c>
      <c r="CC70" s="113">
        <f t="shared" ref="CC70" si="373">AG70</f>
        <v>166</v>
      </c>
      <c r="CD70" s="114">
        <f t="shared" ref="CD70" si="374">AK70</f>
        <v>173</v>
      </c>
      <c r="CE70" s="113">
        <f t="shared" ref="CE70" si="375">AO70</f>
        <v>219</v>
      </c>
      <c r="CF70" s="114">
        <f t="shared" ref="CF70" si="376">AS70</f>
        <v>266</v>
      </c>
      <c r="CG70" s="113">
        <f t="shared" ref="CG70" si="377">AW70</f>
        <v>292</v>
      </c>
      <c r="CH70" s="111">
        <f t="shared" ref="CH70" si="378">G70</f>
        <v>34</v>
      </c>
      <c r="CI70" s="113">
        <f t="shared" ref="CI70" si="379">K70</f>
        <v>38</v>
      </c>
      <c r="CJ70" s="114">
        <f t="shared" ref="CJ70" si="380">O70</f>
        <v>69</v>
      </c>
      <c r="CK70" s="114">
        <f t="shared" ref="CK70" si="381">S70</f>
        <v>72</v>
      </c>
      <c r="CL70" s="114">
        <f t="shared" ref="CL70" si="382">W70</f>
        <v>108</v>
      </c>
      <c r="CM70" s="114">
        <f t="shared" ref="CM70" si="383">AA70</f>
        <v>116</v>
      </c>
      <c r="CN70" s="114">
        <f t="shared" ref="CN70" si="384">AE70</f>
        <v>142</v>
      </c>
      <c r="CO70" s="114">
        <f t="shared" ref="CO70" si="385">AI70</f>
        <v>168</v>
      </c>
      <c r="CP70" s="114">
        <f t="shared" ref="CP70" si="386">AM70</f>
        <v>208</v>
      </c>
      <c r="CQ70" s="114">
        <f t="shared" ref="CQ70" si="387">AQ70</f>
        <v>259</v>
      </c>
      <c r="CR70" s="114">
        <f t="shared" ref="CR70" si="388">AU70</f>
        <v>291</v>
      </c>
      <c r="CS70" s="114">
        <f t="shared" ref="CS70" si="389">AY70</f>
        <v>306</v>
      </c>
      <c r="CT70" s="109">
        <f t="shared" ref="CT70" si="390">M70-K70</f>
        <v>1</v>
      </c>
    </row>
    <row r="71" spans="1:1029" s="12" customFormat="1" x14ac:dyDescent="0.2">
      <c r="A71" s="9" t="str">
        <f t="shared" ref="A71" si="391">CONCATENATE(B71,"_",C71)</f>
        <v>aa2ar_human_6GT3</v>
      </c>
      <c r="B71" s="9" t="s">
        <v>139</v>
      </c>
      <c r="C71" s="9" t="s">
        <v>1583</v>
      </c>
      <c r="D71" s="9" t="str">
        <f>IFERROR(MID(VLOOKUP($B71,Seqs!$A:$B,2,0),E71,1),"")</f>
        <v>M</v>
      </c>
      <c r="E71" s="9">
        <v>1</v>
      </c>
      <c r="F71" s="9" t="str">
        <f>IFERROR(MID(VLOOKUP($B71,Seqs!$A:$B,2,0),G71,1),"")</f>
        <v>N</v>
      </c>
      <c r="G71" s="9">
        <v>34</v>
      </c>
      <c r="H71" s="9" t="str">
        <f>IFERROR(MID(VLOOKUP($B71,Seqs!$A:$B,2,0),I71,1),"")</f>
        <v>S</v>
      </c>
      <c r="I71" s="109">
        <v>35</v>
      </c>
      <c r="J71" s="9" t="str">
        <f>IFERROR(MID(VLOOKUP($B71,Seqs!$A:$B,2,0),K71,1),"")</f>
        <v>Q</v>
      </c>
      <c r="K71" s="109">
        <v>38</v>
      </c>
      <c r="L71" s="9" t="str">
        <f>IFERROR(MID(VLOOKUP($B71,Seqs!$A:$B,2,0),M71,1),"")</f>
        <v>N</v>
      </c>
      <c r="M71" s="9">
        <v>39</v>
      </c>
      <c r="N71" s="9" t="str">
        <f>IFERROR(MID(VLOOKUP($B71,Seqs!$A:$B,2,0),O71,1),"")</f>
        <v>G</v>
      </c>
      <c r="O71" s="9">
        <v>69</v>
      </c>
      <c r="P71" s="9" t="str">
        <f>IFERROR(MID(VLOOKUP($B71,Seqs!$A:$B,2,0),Q71,1),"")</f>
        <v>F</v>
      </c>
      <c r="Q71" s="9">
        <v>70</v>
      </c>
      <c r="R71" s="9" t="str">
        <f>IFERROR(MID(VLOOKUP($B71,Seqs!$A:$B,2,0),S71,1),"")</f>
        <v>A</v>
      </c>
      <c r="S71" s="9">
        <v>72</v>
      </c>
      <c r="T71" s="9" t="str">
        <f>IFERROR(MID(VLOOKUP($B71,Seqs!$A:$B,2,0),U71,1),"")</f>
        <v>A</v>
      </c>
      <c r="U71" s="9">
        <v>73</v>
      </c>
      <c r="V71" s="9" t="str">
        <f>IFERROR(MID(VLOOKUP($B71,Seqs!$A:$B,2,0),W71,1),"")</f>
        <v>I</v>
      </c>
      <c r="W71" s="9">
        <v>108</v>
      </c>
      <c r="X71" s="9" t="str">
        <f>IFERROR(MID(VLOOKUP($B71,Seqs!$A:$B,2,0),Y71,1),"")</f>
        <v>P</v>
      </c>
      <c r="Y71" s="9">
        <v>109</v>
      </c>
      <c r="Z71" s="9" t="str">
        <f>IFERROR(MID(VLOOKUP($B71,Seqs!$A:$B,2,0),AA71,1),"")</f>
        <v>V</v>
      </c>
      <c r="AA71" s="9">
        <v>116</v>
      </c>
      <c r="AB71" s="9" t="str">
        <f>IFERROR(MID(VLOOKUP($B71,Seqs!$A:$B,2,0),AC71,1),"")</f>
        <v>T</v>
      </c>
      <c r="AC71" s="9">
        <v>117</v>
      </c>
      <c r="AD71" s="9" t="str">
        <f>IFERROR(MID(VLOOKUP($B71,Seqs!$A:$B,2,0),AE71,1),"")</f>
        <v>G</v>
      </c>
      <c r="AE71" s="9">
        <v>142</v>
      </c>
      <c r="AF71" s="9" t="str">
        <f>IFERROR(MID(VLOOKUP($B71,Seqs!$A:$B,2,0),AG71,1),"")</f>
        <v>C</v>
      </c>
      <c r="AG71" s="9">
        <v>166</v>
      </c>
      <c r="AH71" s="9" t="str">
        <f>IFERROR(MID(VLOOKUP($B71,Seqs!$A:$B,2,0),AI71,1),"")</f>
        <v>F</v>
      </c>
      <c r="AI71" s="9">
        <v>168</v>
      </c>
      <c r="AJ71" s="9" t="str">
        <f>IFERROR(MID(VLOOKUP($B71,Seqs!$A:$B,2,0),AK71,1),"")</f>
        <v>P</v>
      </c>
      <c r="AK71" s="9">
        <v>173</v>
      </c>
      <c r="AL71" s="9" t="str">
        <f>IFERROR(MID(VLOOKUP($B71,Seqs!$A:$B,2,0),AM71,1),"")</f>
        <v>L</v>
      </c>
      <c r="AM71" s="9">
        <v>208</v>
      </c>
      <c r="AN71" s="9" t="str">
        <f>IFERROR(MID(VLOOKUP($B71,Seqs!$A:$B,2,0),AO71,1),"")</f>
        <v>E</v>
      </c>
      <c r="AO71" s="9">
        <v>219</v>
      </c>
      <c r="AP71" s="9" t="str">
        <f>IFERROR(MID(VLOOKUP($B71,Seqs!$A:$B,2,0),AQ71,1),"")</f>
        <v>C</v>
      </c>
      <c r="AQ71" s="9">
        <v>259</v>
      </c>
      <c r="AR71" s="9" t="str">
        <f>IFERROR(MID(VLOOKUP($B71,Seqs!$A:$B,2,0),AS71,1),"")</f>
        <v>P</v>
      </c>
      <c r="AS71" s="9">
        <v>266</v>
      </c>
      <c r="AT71" s="9" t="str">
        <f>IFERROR(MID(VLOOKUP($B71,Seqs!$A:$B,2,0),AU71,1),"")</f>
        <v>R</v>
      </c>
      <c r="AU71" s="9">
        <v>291</v>
      </c>
      <c r="AV71" s="9" t="str">
        <f>IFERROR(MID(VLOOKUP($B71,Seqs!$A:$B,2,0),AW71,1),"")</f>
        <v>I</v>
      </c>
      <c r="AW71" s="9">
        <v>292</v>
      </c>
      <c r="AX71" s="9" t="str">
        <f>IFERROR(MID(VLOOKUP($B71,Seqs!$A:$B,2,0),AY71,1),"")</f>
        <v>S</v>
      </c>
      <c r="AY71" s="9">
        <v>305</v>
      </c>
      <c r="AZ71" s="110" t="str">
        <f>VLOOKUP(B71,Classification!A:D,2,0)</f>
        <v>A</v>
      </c>
      <c r="BA71" s="98" t="str">
        <f>VLOOKUP(B71,Classification!A:D,4,0)</f>
        <v>Adenosine</v>
      </c>
      <c r="BB71" s="36" t="b">
        <f t="shared" ref="BB71" si="392">AND(E71&lt;G71,OR(G71&lt;I71,I71="-"),OR(I71&lt;K71,I71="-"),OR(K71&lt;M71,K71="-"),M71&lt;O71,OR(O71&lt;Q71,Q71="-"),OR(Q71&lt;S71,Q71="-"),OR(S71&lt;U71,S71="-"),U71&lt;W71,OR(W71&lt;Y71,Y71="-"),OR(Y71&lt;AA71,Y71="-"),OR(AA71&lt;AC71,AA71="-"),AC71&lt;AE71,OR(AE71&lt;AG71,AG71="-"),OR(AG71&lt;AI71,AG71="-"),OR(AI71&lt;AK71,AI71="-"),AK71&lt;AM71,AM71&lt;AO71,AO71&lt;AQ71,AQ71&lt;AS71,AS71&lt;AU71,OR(AU71&lt;AW71,AW71="-"),OR(AW71&lt;AY71,AW71="-"))</f>
        <v>1</v>
      </c>
      <c r="BC71" s="109">
        <f t="shared" ref="BC71" si="393">_xlfn.AGGREGATE(9,6,CH71:CS71)-_xlfn.AGGREGATE(9,6,BV71:CG71)+12</f>
        <v>262</v>
      </c>
      <c r="BD71" s="13" t="s">
        <v>23</v>
      </c>
      <c r="BE71" s="9" t="s">
        <v>1368</v>
      </c>
      <c r="BF71" s="119">
        <v>2</v>
      </c>
      <c r="BG71" s="51" t="s">
        <v>1</v>
      </c>
      <c r="BH71" s="51" t="s">
        <v>1</v>
      </c>
      <c r="BJ71" s="111" t="s">
        <v>1281</v>
      </c>
      <c r="BK71" s="112" t="s">
        <v>1281</v>
      </c>
      <c r="BL71" s="112" t="s">
        <v>1281</v>
      </c>
      <c r="BM71" s="112" t="s">
        <v>1281</v>
      </c>
      <c r="BN71" s="112" t="s">
        <v>1281</v>
      </c>
      <c r="BO71" s="112" t="s">
        <v>1281</v>
      </c>
      <c r="BP71" s="112" t="s">
        <v>1281</v>
      </c>
      <c r="BQ71" s="112" t="s">
        <v>1281</v>
      </c>
      <c r="BR71" s="112" t="s">
        <v>1281</v>
      </c>
      <c r="BS71" s="112" t="s">
        <v>1281</v>
      </c>
      <c r="BT71" s="112" t="s">
        <v>1281</v>
      </c>
      <c r="BU71" s="112" t="s">
        <v>1281</v>
      </c>
      <c r="BV71" s="111">
        <f t="shared" ref="BV71" si="394">E71</f>
        <v>1</v>
      </c>
      <c r="BW71" s="113">
        <f t="shared" ref="BW71" si="395">I71</f>
        <v>35</v>
      </c>
      <c r="BX71" s="114">
        <f t="shared" ref="BX71" si="396">M71</f>
        <v>39</v>
      </c>
      <c r="BY71" s="113">
        <f t="shared" ref="BY71" si="397">Q71</f>
        <v>70</v>
      </c>
      <c r="BZ71" s="114">
        <f t="shared" ref="BZ71" si="398">U71</f>
        <v>73</v>
      </c>
      <c r="CA71" s="113">
        <f t="shared" ref="CA71" si="399">Y71</f>
        <v>109</v>
      </c>
      <c r="CB71" s="114">
        <f t="shared" ref="CB71" si="400">AC71</f>
        <v>117</v>
      </c>
      <c r="CC71" s="113">
        <f t="shared" ref="CC71" si="401">AG71</f>
        <v>166</v>
      </c>
      <c r="CD71" s="114">
        <f t="shared" ref="CD71" si="402">AK71</f>
        <v>173</v>
      </c>
      <c r="CE71" s="113">
        <f t="shared" ref="CE71" si="403">AO71</f>
        <v>219</v>
      </c>
      <c r="CF71" s="114">
        <f t="shared" ref="CF71" si="404">AS71</f>
        <v>266</v>
      </c>
      <c r="CG71" s="113">
        <f t="shared" ref="CG71" si="405">AW71</f>
        <v>292</v>
      </c>
      <c r="CH71" s="111">
        <f t="shared" ref="CH71" si="406">G71</f>
        <v>34</v>
      </c>
      <c r="CI71" s="113">
        <f t="shared" ref="CI71" si="407">K71</f>
        <v>38</v>
      </c>
      <c r="CJ71" s="114">
        <f t="shared" ref="CJ71" si="408">O71</f>
        <v>69</v>
      </c>
      <c r="CK71" s="114">
        <f t="shared" ref="CK71" si="409">S71</f>
        <v>72</v>
      </c>
      <c r="CL71" s="114">
        <f t="shared" ref="CL71" si="410">W71</f>
        <v>108</v>
      </c>
      <c r="CM71" s="114">
        <f t="shared" ref="CM71" si="411">AA71</f>
        <v>116</v>
      </c>
      <c r="CN71" s="114">
        <f t="shared" ref="CN71" si="412">AE71</f>
        <v>142</v>
      </c>
      <c r="CO71" s="114">
        <f t="shared" ref="CO71" si="413">AI71</f>
        <v>168</v>
      </c>
      <c r="CP71" s="114">
        <f t="shared" ref="CP71" si="414">AM71</f>
        <v>208</v>
      </c>
      <c r="CQ71" s="114">
        <f t="shared" ref="CQ71" si="415">AQ71</f>
        <v>259</v>
      </c>
      <c r="CR71" s="114">
        <f t="shared" ref="CR71" si="416">AU71</f>
        <v>291</v>
      </c>
      <c r="CS71" s="114">
        <f t="shared" ref="CS71" si="417">AY71</f>
        <v>305</v>
      </c>
      <c r="CT71" s="109">
        <f t="shared" ref="CT71" si="418">M71-K71</f>
        <v>1</v>
      </c>
    </row>
    <row r="72" spans="1:1029" s="12" customFormat="1" x14ac:dyDescent="0.2">
      <c r="A72" s="9" t="str">
        <f t="shared" ref="A72" si="419">CONCATENATE(B72,"_",C72)</f>
        <v>aa2ar_human_6JZH</v>
      </c>
      <c r="B72" s="9" t="s">
        <v>139</v>
      </c>
      <c r="C72" s="9" t="s">
        <v>1597</v>
      </c>
      <c r="D72" s="9" t="str">
        <f>IFERROR(MID(VLOOKUP($B72,Seqs!$A:$B,2,0),E72,1),"")</f>
        <v>M</v>
      </c>
      <c r="E72" s="9">
        <v>1</v>
      </c>
      <c r="F72" s="9" t="str">
        <f>IFERROR(MID(VLOOKUP($B72,Seqs!$A:$B,2,0),G72,1),"")</f>
        <v>N</v>
      </c>
      <c r="G72" s="9">
        <v>34</v>
      </c>
      <c r="H72" s="9" t="str">
        <f>IFERROR(MID(VLOOKUP($B72,Seqs!$A:$B,2,0),I72,1),"")</f>
        <v>S</v>
      </c>
      <c r="I72" s="109">
        <v>35</v>
      </c>
      <c r="J72" s="9" t="str">
        <f>IFERROR(MID(VLOOKUP($B72,Seqs!$A:$B,2,0),K72,1),"")</f>
        <v>Q</v>
      </c>
      <c r="K72" s="109">
        <v>38</v>
      </c>
      <c r="L72" s="9" t="str">
        <f>IFERROR(MID(VLOOKUP($B72,Seqs!$A:$B,2,0),M72,1),"")</f>
        <v>N</v>
      </c>
      <c r="M72" s="9">
        <v>39</v>
      </c>
      <c r="N72" s="9" t="str">
        <f>IFERROR(MID(VLOOKUP($B72,Seqs!$A:$B,2,0),O72,1),"")</f>
        <v>G</v>
      </c>
      <c r="O72" s="9">
        <v>69</v>
      </c>
      <c r="P72" s="9" t="str">
        <f>IFERROR(MID(VLOOKUP($B72,Seqs!$A:$B,2,0),Q72,1),"")</f>
        <v>F</v>
      </c>
      <c r="Q72" s="9">
        <v>70</v>
      </c>
      <c r="R72" s="9" t="str">
        <f>IFERROR(MID(VLOOKUP($B72,Seqs!$A:$B,2,0),S72,1),"")</f>
        <v>A</v>
      </c>
      <c r="S72" s="9">
        <v>72</v>
      </c>
      <c r="T72" s="9" t="str">
        <f>IFERROR(MID(VLOOKUP($B72,Seqs!$A:$B,2,0),U72,1),"")</f>
        <v>A</v>
      </c>
      <c r="U72" s="9">
        <v>73</v>
      </c>
      <c r="V72" s="9" t="str">
        <f>IFERROR(MID(VLOOKUP($B72,Seqs!$A:$B,2,0),W72,1),"")</f>
        <v>I</v>
      </c>
      <c r="W72" s="9">
        <v>108</v>
      </c>
      <c r="X72" s="9" t="str">
        <f>IFERROR(MID(VLOOKUP($B72,Seqs!$A:$B,2,0),Y72,1),"")</f>
        <v>P</v>
      </c>
      <c r="Y72" s="9">
        <v>109</v>
      </c>
      <c r="Z72" s="9" t="str">
        <f>IFERROR(MID(VLOOKUP($B72,Seqs!$A:$B,2,0),AA72,1),"")</f>
        <v>V</v>
      </c>
      <c r="AA72" s="9">
        <v>116</v>
      </c>
      <c r="AB72" s="9" t="str">
        <f>IFERROR(MID(VLOOKUP($B72,Seqs!$A:$B,2,0),AC72,1),"")</f>
        <v>T</v>
      </c>
      <c r="AC72" s="9">
        <v>117</v>
      </c>
      <c r="AD72" s="9" t="str">
        <f>IFERROR(MID(VLOOKUP($B72,Seqs!$A:$B,2,0),AE72,1),"")</f>
        <v>G</v>
      </c>
      <c r="AE72" s="9">
        <v>142</v>
      </c>
      <c r="AF72" s="9" t="str">
        <f>IFERROR(MID(VLOOKUP($B72,Seqs!$A:$B,2,0),AG72,1),"")</f>
        <v>C</v>
      </c>
      <c r="AG72" s="9">
        <v>166</v>
      </c>
      <c r="AH72" s="9" t="str">
        <f>IFERROR(MID(VLOOKUP($B72,Seqs!$A:$B,2,0),AI72,1),"")</f>
        <v>F</v>
      </c>
      <c r="AI72" s="9">
        <v>168</v>
      </c>
      <c r="AJ72" s="9" t="str">
        <f>IFERROR(MID(VLOOKUP($B72,Seqs!$A:$B,2,0),AK72,1),"")</f>
        <v>P</v>
      </c>
      <c r="AK72" s="9">
        <v>173</v>
      </c>
      <c r="AL72" s="9" t="str">
        <f>IFERROR(MID(VLOOKUP($B72,Seqs!$A:$B,2,0),AM72,1),"")</f>
        <v>L</v>
      </c>
      <c r="AM72" s="9">
        <v>208</v>
      </c>
      <c r="AN72" s="9" t="str">
        <f>IFERROR(MID(VLOOKUP($B72,Seqs!$A:$B,2,0),AO72,1),"")</f>
        <v>E</v>
      </c>
      <c r="AO72" s="9">
        <v>219</v>
      </c>
      <c r="AP72" s="9" t="str">
        <f>IFERROR(MID(VLOOKUP($B72,Seqs!$A:$B,2,0),AQ72,1),"")</f>
        <v>C</v>
      </c>
      <c r="AQ72" s="9">
        <v>259</v>
      </c>
      <c r="AR72" s="9" t="str">
        <f>IFERROR(MID(VLOOKUP($B72,Seqs!$A:$B,2,0),AS72,1),"")</f>
        <v>P</v>
      </c>
      <c r="AS72" s="9">
        <v>266</v>
      </c>
      <c r="AT72" s="9" t="str">
        <f>IFERROR(MID(VLOOKUP($B72,Seqs!$A:$B,2,0),AU72,1),"")</f>
        <v>R</v>
      </c>
      <c r="AU72" s="9">
        <v>291</v>
      </c>
      <c r="AV72" s="9" t="str">
        <f>IFERROR(MID(VLOOKUP($B72,Seqs!$A:$B,2,0),AW72,1),"")</f>
        <v>I</v>
      </c>
      <c r="AW72" s="9">
        <v>292</v>
      </c>
      <c r="AX72" s="9" t="str">
        <f>IFERROR(MID(VLOOKUP($B72,Seqs!$A:$B,2,0),AY72,1),"")</f>
        <v>V</v>
      </c>
      <c r="AY72" s="9">
        <v>307</v>
      </c>
      <c r="AZ72" s="110" t="str">
        <f>VLOOKUP(B72,Classification!A:D,2,0)</f>
        <v>A</v>
      </c>
      <c r="BA72" s="98" t="str">
        <f>VLOOKUP(B72,Classification!A:D,4,0)</f>
        <v>Adenosine</v>
      </c>
      <c r="BB72" s="36" t="b">
        <f t="shared" ref="BB72" si="420">AND(E72&lt;G72,OR(G72&lt;I72,I72="-"),OR(I72&lt;K72,I72="-"),OR(K72&lt;M72,K72="-"),M72&lt;O72,OR(O72&lt;Q72,Q72="-"),OR(Q72&lt;S72,Q72="-"),OR(S72&lt;U72,S72="-"),U72&lt;W72,OR(W72&lt;Y72,Y72="-"),OR(Y72&lt;AA72,Y72="-"),OR(AA72&lt;AC72,AA72="-"),AC72&lt;AE72,OR(AE72&lt;AG72,AG72="-"),OR(AG72&lt;AI72,AG72="-"),OR(AI72&lt;AK72,AI72="-"),AK72&lt;AM72,AM72&lt;AO72,AO72&lt;AQ72,AQ72&lt;AS72,AS72&lt;AU72,OR(AU72&lt;AW72,AW72="-"),OR(AW72&lt;AY72,AW72="-"))</f>
        <v>1</v>
      </c>
      <c r="BC72" s="109">
        <f t="shared" ref="BC72" si="421">_xlfn.AGGREGATE(9,6,CH72:CS72)-_xlfn.AGGREGATE(9,6,BV72:CG72)+12</f>
        <v>264</v>
      </c>
      <c r="BD72" s="13" t="s">
        <v>23</v>
      </c>
      <c r="BE72" s="9" t="s">
        <v>1368</v>
      </c>
      <c r="BF72" s="119">
        <v>2.25</v>
      </c>
      <c r="BG72" s="51" t="s">
        <v>1</v>
      </c>
      <c r="BH72" s="51" t="s">
        <v>1</v>
      </c>
      <c r="BJ72" s="111" t="s">
        <v>1281</v>
      </c>
      <c r="BK72" s="112" t="s">
        <v>1281</v>
      </c>
      <c r="BL72" s="112" t="s">
        <v>1281</v>
      </c>
      <c r="BM72" s="112" t="s">
        <v>1281</v>
      </c>
      <c r="BN72" s="112" t="s">
        <v>1281</v>
      </c>
      <c r="BO72" s="112" t="s">
        <v>1281</v>
      </c>
      <c r="BP72" s="112" t="s">
        <v>1281</v>
      </c>
      <c r="BQ72" s="112" t="s">
        <v>1281</v>
      </c>
      <c r="BR72" s="112" t="s">
        <v>1281</v>
      </c>
      <c r="BS72" s="112" t="s">
        <v>1281</v>
      </c>
      <c r="BT72" s="112" t="s">
        <v>1281</v>
      </c>
      <c r="BU72" s="112" t="s">
        <v>1281</v>
      </c>
      <c r="BV72" s="111">
        <f t="shared" ref="BV72" si="422">E72</f>
        <v>1</v>
      </c>
      <c r="BW72" s="113">
        <f t="shared" ref="BW72" si="423">I72</f>
        <v>35</v>
      </c>
      <c r="BX72" s="114">
        <f t="shared" ref="BX72" si="424">M72</f>
        <v>39</v>
      </c>
      <c r="BY72" s="113">
        <f t="shared" ref="BY72" si="425">Q72</f>
        <v>70</v>
      </c>
      <c r="BZ72" s="114">
        <f t="shared" ref="BZ72" si="426">U72</f>
        <v>73</v>
      </c>
      <c r="CA72" s="113">
        <f t="shared" ref="CA72" si="427">Y72</f>
        <v>109</v>
      </c>
      <c r="CB72" s="114">
        <f t="shared" ref="CB72" si="428">AC72</f>
        <v>117</v>
      </c>
      <c r="CC72" s="113">
        <f t="shared" ref="CC72" si="429">AG72</f>
        <v>166</v>
      </c>
      <c r="CD72" s="114">
        <f t="shared" ref="CD72" si="430">AK72</f>
        <v>173</v>
      </c>
      <c r="CE72" s="113">
        <f t="shared" ref="CE72" si="431">AO72</f>
        <v>219</v>
      </c>
      <c r="CF72" s="114">
        <f t="shared" ref="CF72" si="432">AS72</f>
        <v>266</v>
      </c>
      <c r="CG72" s="113">
        <f t="shared" ref="CG72" si="433">AW72</f>
        <v>292</v>
      </c>
      <c r="CH72" s="111">
        <f t="shared" ref="CH72" si="434">G72</f>
        <v>34</v>
      </c>
      <c r="CI72" s="113">
        <f t="shared" ref="CI72" si="435">K72</f>
        <v>38</v>
      </c>
      <c r="CJ72" s="114">
        <f t="shared" ref="CJ72" si="436">O72</f>
        <v>69</v>
      </c>
      <c r="CK72" s="114">
        <f t="shared" ref="CK72" si="437">S72</f>
        <v>72</v>
      </c>
      <c r="CL72" s="114">
        <f t="shared" ref="CL72" si="438">W72</f>
        <v>108</v>
      </c>
      <c r="CM72" s="114">
        <f t="shared" ref="CM72" si="439">AA72</f>
        <v>116</v>
      </c>
      <c r="CN72" s="114">
        <f t="shared" ref="CN72" si="440">AE72</f>
        <v>142</v>
      </c>
      <c r="CO72" s="114">
        <f t="shared" ref="CO72" si="441">AI72</f>
        <v>168</v>
      </c>
      <c r="CP72" s="114">
        <f t="shared" ref="CP72" si="442">AM72</f>
        <v>208</v>
      </c>
      <c r="CQ72" s="114">
        <f t="shared" ref="CQ72" si="443">AQ72</f>
        <v>259</v>
      </c>
      <c r="CR72" s="114">
        <f t="shared" ref="CR72" si="444">AU72</f>
        <v>291</v>
      </c>
      <c r="CS72" s="114">
        <f t="shared" ref="CS72" si="445">AY72</f>
        <v>307</v>
      </c>
      <c r="CT72" s="109">
        <f t="shared" ref="CT72" si="446">M72-K72</f>
        <v>1</v>
      </c>
    </row>
    <row r="73" spans="1:1029" s="12" customFormat="1" x14ac:dyDescent="0.2">
      <c r="A73" s="9" t="str">
        <f t="shared" ref="A73" si="447">CONCATENATE(B73,"_",C73)</f>
        <v>aa2ar_human_6PS7</v>
      </c>
      <c r="B73" s="9" t="s">
        <v>139</v>
      </c>
      <c r="C73" s="9" t="s">
        <v>1609</v>
      </c>
      <c r="D73" s="9" t="str">
        <f>IFERROR(MID(VLOOKUP($B73,Seqs!$A:$B,2,0),E73,1),"")</f>
        <v>M</v>
      </c>
      <c r="E73" s="9">
        <v>1</v>
      </c>
      <c r="F73" s="9" t="str">
        <f>IFERROR(MID(VLOOKUP($B73,Seqs!$A:$B,2,0),G73,1),"")</f>
        <v>N</v>
      </c>
      <c r="G73" s="9">
        <v>34</v>
      </c>
      <c r="H73" s="9" t="str">
        <f>IFERROR(MID(VLOOKUP($B73,Seqs!$A:$B,2,0),I73,1),"")</f>
        <v>S</v>
      </c>
      <c r="I73" s="109">
        <v>35</v>
      </c>
      <c r="J73" s="9" t="str">
        <f>IFERROR(MID(VLOOKUP($B73,Seqs!$A:$B,2,0),K73,1),"")</f>
        <v>Q</v>
      </c>
      <c r="K73" s="109">
        <v>38</v>
      </c>
      <c r="L73" s="9" t="str">
        <f>IFERROR(MID(VLOOKUP($B73,Seqs!$A:$B,2,0),M73,1),"")</f>
        <v>N</v>
      </c>
      <c r="M73" s="9">
        <v>39</v>
      </c>
      <c r="N73" s="9" t="str">
        <f>IFERROR(MID(VLOOKUP($B73,Seqs!$A:$B,2,0),O73,1),"")</f>
        <v>G</v>
      </c>
      <c r="O73" s="9">
        <v>69</v>
      </c>
      <c r="P73" s="9" t="str">
        <f>IFERROR(MID(VLOOKUP($B73,Seqs!$A:$B,2,0),Q73,1),"")</f>
        <v>F</v>
      </c>
      <c r="Q73" s="9">
        <v>70</v>
      </c>
      <c r="R73" s="9" t="str">
        <f>IFERROR(MID(VLOOKUP($B73,Seqs!$A:$B,2,0),S73,1),"")</f>
        <v>A</v>
      </c>
      <c r="S73" s="9">
        <v>72</v>
      </c>
      <c r="T73" s="9" t="str">
        <f>IFERROR(MID(VLOOKUP($B73,Seqs!$A:$B,2,0),U73,1),"")</f>
        <v>A</v>
      </c>
      <c r="U73" s="9">
        <v>73</v>
      </c>
      <c r="V73" s="9" t="str">
        <f>IFERROR(MID(VLOOKUP($B73,Seqs!$A:$B,2,0),W73,1),"")</f>
        <v>I</v>
      </c>
      <c r="W73" s="9">
        <v>108</v>
      </c>
      <c r="X73" s="9" t="str">
        <f>IFERROR(MID(VLOOKUP($B73,Seqs!$A:$B,2,0),Y73,1),"")</f>
        <v>P</v>
      </c>
      <c r="Y73" s="9">
        <v>109</v>
      </c>
      <c r="Z73" s="9" t="str">
        <f>IFERROR(MID(VLOOKUP($B73,Seqs!$A:$B,2,0),AA73,1),"")</f>
        <v>V</v>
      </c>
      <c r="AA73" s="9">
        <v>116</v>
      </c>
      <c r="AB73" s="9" t="str">
        <f>IFERROR(MID(VLOOKUP($B73,Seqs!$A:$B,2,0),AC73,1),"")</f>
        <v>T</v>
      </c>
      <c r="AC73" s="9">
        <v>117</v>
      </c>
      <c r="AD73" s="9" t="str">
        <f>IFERROR(MID(VLOOKUP($B73,Seqs!$A:$B,2,0),AE73,1),"")</f>
        <v>G</v>
      </c>
      <c r="AE73" s="9">
        <v>142</v>
      </c>
      <c r="AF73" s="9" t="str">
        <f>IFERROR(MID(VLOOKUP($B73,Seqs!$A:$B,2,0),AG73,1),"")</f>
        <v>C</v>
      </c>
      <c r="AG73" s="9">
        <v>166</v>
      </c>
      <c r="AH73" s="9" t="str">
        <f>IFERROR(MID(VLOOKUP($B73,Seqs!$A:$B,2,0),AI73,1),"")</f>
        <v>F</v>
      </c>
      <c r="AI73" s="9">
        <v>168</v>
      </c>
      <c r="AJ73" s="9" t="str">
        <f>IFERROR(MID(VLOOKUP($B73,Seqs!$A:$B,2,0),AK73,1),"")</f>
        <v>P</v>
      </c>
      <c r="AK73" s="9">
        <v>173</v>
      </c>
      <c r="AL73" s="9" t="str">
        <f>IFERROR(MID(VLOOKUP($B73,Seqs!$A:$B,2,0),AM73,1),"")</f>
        <v>L</v>
      </c>
      <c r="AM73" s="9">
        <v>208</v>
      </c>
      <c r="AN73" s="9" t="str">
        <f>IFERROR(MID(VLOOKUP($B73,Seqs!$A:$B,2,0),AO73,1),"")</f>
        <v>E</v>
      </c>
      <c r="AO73" s="9">
        <v>219</v>
      </c>
      <c r="AP73" s="9" t="str">
        <f>IFERROR(MID(VLOOKUP($B73,Seqs!$A:$B,2,0),AQ73,1),"")</f>
        <v>C</v>
      </c>
      <c r="AQ73" s="9">
        <v>259</v>
      </c>
      <c r="AR73" s="9" t="str">
        <f>IFERROR(MID(VLOOKUP($B73,Seqs!$A:$B,2,0),AS73,1),"")</f>
        <v>P</v>
      </c>
      <c r="AS73" s="9">
        <v>266</v>
      </c>
      <c r="AT73" s="9" t="str">
        <f>IFERROR(MID(VLOOKUP($B73,Seqs!$A:$B,2,0),AU73,1),"")</f>
        <v>R</v>
      </c>
      <c r="AU73" s="9">
        <v>291</v>
      </c>
      <c r="AV73" s="9" t="str">
        <f>IFERROR(MID(VLOOKUP($B73,Seqs!$A:$B,2,0),AW73,1),"")</f>
        <v>I</v>
      </c>
      <c r="AW73" s="9">
        <v>292</v>
      </c>
      <c r="AX73" s="9" t="str">
        <f>IFERROR(MID(VLOOKUP($B73,Seqs!$A:$B,2,0),AY73,1),"")</f>
        <v>V</v>
      </c>
      <c r="AY73" s="9">
        <v>307</v>
      </c>
      <c r="AZ73" s="110" t="str">
        <f>VLOOKUP(B73,Classification!A:D,2,0)</f>
        <v>A</v>
      </c>
      <c r="BA73" s="98" t="str">
        <f>VLOOKUP(B73,Classification!A:D,4,0)</f>
        <v>Adenosine</v>
      </c>
      <c r="BB73" s="36" t="b">
        <f t="shared" ref="BB73" si="448">AND(E73&lt;G73,OR(G73&lt;I73,I73="-"),OR(I73&lt;K73,I73="-"),OR(K73&lt;M73,K73="-"),M73&lt;O73,OR(O73&lt;Q73,Q73="-"),OR(Q73&lt;S73,Q73="-"),OR(S73&lt;U73,S73="-"),U73&lt;W73,OR(W73&lt;Y73,Y73="-"),OR(Y73&lt;AA73,Y73="-"),OR(AA73&lt;AC73,AA73="-"),AC73&lt;AE73,OR(AE73&lt;AG73,AG73="-"),OR(AG73&lt;AI73,AG73="-"),OR(AI73&lt;AK73,AI73="-"),AK73&lt;AM73,AM73&lt;AO73,AO73&lt;AQ73,AQ73&lt;AS73,AS73&lt;AU73,OR(AU73&lt;AW73,AW73="-"),OR(AW73&lt;AY73,AW73="-"))</f>
        <v>1</v>
      </c>
      <c r="BC73" s="109">
        <f t="shared" ref="BC73" si="449">_xlfn.AGGREGATE(9,6,CH73:CS73)-_xlfn.AGGREGATE(9,6,BV73:CG73)+12</f>
        <v>264</v>
      </c>
      <c r="BD73" s="13" t="s">
        <v>23</v>
      </c>
      <c r="BE73" s="9" t="s">
        <v>1368</v>
      </c>
      <c r="BF73" s="119">
        <v>1.85</v>
      </c>
      <c r="BG73" s="51" t="s">
        <v>1</v>
      </c>
      <c r="BH73" s="51" t="s">
        <v>1</v>
      </c>
      <c r="BJ73" s="111" t="s">
        <v>1281</v>
      </c>
      <c r="BK73" s="112" t="s">
        <v>1281</v>
      </c>
      <c r="BL73" s="112" t="s">
        <v>1281</v>
      </c>
      <c r="BM73" s="112" t="s">
        <v>1281</v>
      </c>
      <c r="BN73" s="112" t="s">
        <v>1281</v>
      </c>
      <c r="BO73" s="112" t="s">
        <v>1281</v>
      </c>
      <c r="BP73" s="112" t="s">
        <v>1281</v>
      </c>
      <c r="BQ73" s="112" t="s">
        <v>1281</v>
      </c>
      <c r="BR73" s="112" t="s">
        <v>1281</v>
      </c>
      <c r="BS73" s="112" t="s">
        <v>1281</v>
      </c>
      <c r="BT73" s="112" t="s">
        <v>1281</v>
      </c>
      <c r="BU73" s="112" t="s">
        <v>1281</v>
      </c>
      <c r="BV73" s="111">
        <f t="shared" ref="BV73" si="450">E73</f>
        <v>1</v>
      </c>
      <c r="BW73" s="113">
        <f t="shared" ref="BW73" si="451">I73</f>
        <v>35</v>
      </c>
      <c r="BX73" s="114">
        <f t="shared" ref="BX73" si="452">M73</f>
        <v>39</v>
      </c>
      <c r="BY73" s="113">
        <f t="shared" ref="BY73" si="453">Q73</f>
        <v>70</v>
      </c>
      <c r="BZ73" s="114">
        <f t="shared" ref="BZ73" si="454">U73</f>
        <v>73</v>
      </c>
      <c r="CA73" s="113">
        <f t="shared" ref="CA73" si="455">Y73</f>
        <v>109</v>
      </c>
      <c r="CB73" s="114">
        <f t="shared" ref="CB73" si="456">AC73</f>
        <v>117</v>
      </c>
      <c r="CC73" s="113">
        <f t="shared" ref="CC73" si="457">AG73</f>
        <v>166</v>
      </c>
      <c r="CD73" s="114">
        <f t="shared" ref="CD73" si="458">AK73</f>
        <v>173</v>
      </c>
      <c r="CE73" s="113">
        <f t="shared" ref="CE73" si="459">AO73</f>
        <v>219</v>
      </c>
      <c r="CF73" s="114">
        <f t="shared" ref="CF73" si="460">AS73</f>
        <v>266</v>
      </c>
      <c r="CG73" s="113">
        <f t="shared" ref="CG73" si="461">AW73</f>
        <v>292</v>
      </c>
      <c r="CH73" s="111">
        <f t="shared" ref="CH73" si="462">G73</f>
        <v>34</v>
      </c>
      <c r="CI73" s="113">
        <f t="shared" ref="CI73" si="463">K73</f>
        <v>38</v>
      </c>
      <c r="CJ73" s="114">
        <f t="shared" ref="CJ73" si="464">O73</f>
        <v>69</v>
      </c>
      <c r="CK73" s="114">
        <f t="shared" ref="CK73" si="465">S73</f>
        <v>72</v>
      </c>
      <c r="CL73" s="114">
        <f t="shared" ref="CL73" si="466">W73</f>
        <v>108</v>
      </c>
      <c r="CM73" s="114">
        <f t="shared" ref="CM73" si="467">AA73</f>
        <v>116</v>
      </c>
      <c r="CN73" s="114">
        <f t="shared" ref="CN73" si="468">AE73</f>
        <v>142</v>
      </c>
      <c r="CO73" s="114">
        <f t="shared" ref="CO73" si="469">AI73</f>
        <v>168</v>
      </c>
      <c r="CP73" s="114">
        <f t="shared" ref="CP73" si="470">AM73</f>
        <v>208</v>
      </c>
      <c r="CQ73" s="114">
        <f t="shared" ref="CQ73" si="471">AQ73</f>
        <v>259</v>
      </c>
      <c r="CR73" s="114">
        <f t="shared" ref="CR73" si="472">AU73</f>
        <v>291</v>
      </c>
      <c r="CS73" s="114">
        <f t="shared" ref="CS73" si="473">AY73</f>
        <v>307</v>
      </c>
      <c r="CT73" s="109">
        <f t="shared" ref="CT73" si="474">M73-K73</f>
        <v>1</v>
      </c>
    </row>
    <row r="74" spans="1:1029" x14ac:dyDescent="0.2">
      <c r="A74" s="3" t="str">
        <f t="shared" si="0"/>
        <v>acm1_human__wt</v>
      </c>
      <c r="B74" s="3" t="s">
        <v>146</v>
      </c>
      <c r="C74" s="3" t="s">
        <v>100</v>
      </c>
      <c r="D74" s="3" t="str">
        <f>IFERROR(MID(VLOOKUP($B74,Seqs!$A:$B,2,0),E74,1),"")</f>
        <v>P</v>
      </c>
      <c r="E74" s="3">
        <v>22</v>
      </c>
      <c r="F74" s="3" t="str">
        <f>IFERROR(MID(VLOOKUP($B74,Seqs!$A:$B,2,0),G74,1),"")</f>
        <v>N</v>
      </c>
      <c r="G74" s="3">
        <v>53</v>
      </c>
      <c r="H74" s="3" t="str">
        <f>IFERROR(MID(VLOOKUP($B74,Seqs!$A:$B,2,0),I74,1),"")</f>
        <v>T</v>
      </c>
      <c r="I74" s="23">
        <v>54</v>
      </c>
      <c r="J74" s="3" t="str">
        <f>IFERROR(MID(VLOOKUP($B74,Seqs!$A:$B,2,0),K74,1),"")</f>
        <v>K</v>
      </c>
      <c r="K74" s="23">
        <v>57</v>
      </c>
      <c r="L74" s="3" t="str">
        <f>IFERROR(MID(VLOOKUP($B74,Seqs!$A:$B,2,0),M74,1),"")</f>
        <v>T</v>
      </c>
      <c r="M74" s="3">
        <v>58</v>
      </c>
      <c r="N74" s="3" t="str">
        <f>IFERROR(MID(VLOOKUP($B74,Seqs!$A:$B,2,0),O74,1),"")</f>
        <v>G</v>
      </c>
      <c r="O74" s="3">
        <v>89</v>
      </c>
      <c r="P74" s="3" t="str">
        <f>IFERROR(MID(VLOOKUP($B74,Seqs!$A:$B,2,0),Q74,1),"")</f>
        <v>H</v>
      </c>
      <c r="Q74" s="3">
        <v>90</v>
      </c>
      <c r="R74" s="3" t="str">
        <f>IFERROR(MID(VLOOKUP($B74,Seqs!$A:$B,2,0),S74,1),"")</f>
        <v>L</v>
      </c>
      <c r="S74" s="3">
        <v>93</v>
      </c>
      <c r="T74" s="3" t="str">
        <f>IFERROR(MID(VLOOKUP($B74,Seqs!$A:$B,2,0),U74,1),"")</f>
        <v>G</v>
      </c>
      <c r="U74" s="3">
        <v>94</v>
      </c>
      <c r="V74" s="3" t="str">
        <f>IFERROR(MID(VLOOKUP($B74,Seqs!$A:$B,2,0),W74,1),"")</f>
        <v>R</v>
      </c>
      <c r="W74" s="3">
        <v>129</v>
      </c>
      <c r="X74" s="3" t="str">
        <f>IFERROR(MID(VLOOKUP($B74,Seqs!$A:$B,2,0),Y74,1),"")</f>
        <v>P</v>
      </c>
      <c r="Y74" s="3">
        <v>130</v>
      </c>
      <c r="Z74" s="3" t="str">
        <f>IFERROR(MID(VLOOKUP($B74,Seqs!$A:$B,2,0),AA74,1),"")</f>
        <v>R</v>
      </c>
      <c r="AA74" s="3">
        <v>137</v>
      </c>
      <c r="AB74" s="3" t="str">
        <f>IFERROR(MID(VLOOKUP($B74,Seqs!$A:$B,2,0),AC74,1),"")</f>
        <v>T</v>
      </c>
      <c r="AC74" s="3">
        <v>138</v>
      </c>
      <c r="AD74" s="3" t="str">
        <f>IFERROR(MID(VLOOKUP($B74,Seqs!$A:$B,2,0),AE74,1),"")</f>
        <v>G</v>
      </c>
      <c r="AE74" s="3">
        <v>169</v>
      </c>
      <c r="AF74" s="3" t="str">
        <f>IFERROR(MID(VLOOKUP($B74,Seqs!$A:$B,2,0),AG74,1),"")</f>
        <v>C</v>
      </c>
      <c r="AG74" s="3">
        <v>178</v>
      </c>
      <c r="AH74" s="3" t="str">
        <f>IFERROR(MID(VLOOKUP($B74,Seqs!$A:$B,2,0),AI74,1),"")</f>
        <v>I</v>
      </c>
      <c r="AI74" s="3">
        <v>180</v>
      </c>
      <c r="AJ74" s="3" t="str">
        <f>IFERROR(MID(VLOOKUP($B74,Seqs!$A:$B,2,0),AK74,1),"")</f>
        <v>Q</v>
      </c>
      <c r="AK74" s="3">
        <v>185</v>
      </c>
      <c r="AL74" s="3" t="str">
        <f>IFERROR(MID(VLOOKUP($B74,Seqs!$A:$B,2,0),AM74,1),"")</f>
        <v>L</v>
      </c>
      <c r="AM74" s="3">
        <v>225</v>
      </c>
      <c r="AN74" s="3" t="str">
        <f>IFERROR(MID(VLOOKUP($B74,Seqs!$A:$B,2,0),AO74,1),"")</f>
        <v>T</v>
      </c>
      <c r="AO74" s="3">
        <v>354</v>
      </c>
      <c r="AP74" s="3" t="str">
        <f>IFERROR(MID(VLOOKUP($B74,Seqs!$A:$B,2,0),AQ74,1),"")</f>
        <v>C</v>
      </c>
      <c r="AQ74" s="3">
        <v>391</v>
      </c>
      <c r="AR74" s="3" t="str">
        <f>IFERROR(MID(VLOOKUP($B74,Seqs!$A:$B,2,0),AS74,1),"")</f>
        <v>P</v>
      </c>
      <c r="AS74" s="3">
        <v>396</v>
      </c>
      <c r="AT74" s="3" t="str">
        <f>IFERROR(MID(VLOOKUP($B74,Seqs!$A:$B,2,0),AU74,1),"")</f>
        <v>C</v>
      </c>
      <c r="AU74" s="3">
        <v>421</v>
      </c>
      <c r="AV74" s="3" t="str">
        <f>IFERROR(MID(VLOOKUP($B74,Seqs!$A:$B,2,0),AW74,1),"")</f>
        <v>N</v>
      </c>
      <c r="AW74" s="3">
        <v>422</v>
      </c>
      <c r="AX74" s="3" t="str">
        <f>IFERROR(MID(VLOOKUP($B74,Seqs!$A:$B,2,0),AY74,1),"")</f>
        <v>L</v>
      </c>
      <c r="AY74" s="3">
        <v>434</v>
      </c>
      <c r="AZ74" s="77" t="str">
        <f>VLOOKUP(B74,Classification!A:D,2,0)</f>
        <v>A</v>
      </c>
      <c r="BA74" s="94" t="str">
        <f>VLOOKUP(B74,Classification!A:D,4,0)</f>
        <v>Acetylcholine(muscarinic)</v>
      </c>
      <c r="BB74" s="27" t="b">
        <f t="shared" si="1"/>
        <v>1</v>
      </c>
      <c r="BC74" s="23">
        <f t="shared" si="225"/>
        <v>269</v>
      </c>
      <c r="BD74" s="56" t="s">
        <v>23</v>
      </c>
      <c r="BE74" s="3" t="s">
        <v>23</v>
      </c>
      <c r="BF74" s="118" t="s">
        <v>23</v>
      </c>
      <c r="BG74" s="49" t="s">
        <v>1366</v>
      </c>
      <c r="BH74" s="49" t="s">
        <v>1371</v>
      </c>
      <c r="BI74" s="1"/>
      <c r="BJ74" s="70" t="s">
        <v>1281</v>
      </c>
      <c r="BK74" s="57" t="s">
        <v>1281</v>
      </c>
      <c r="BL74" s="57" t="s">
        <v>1281</v>
      </c>
      <c r="BM74" s="57" t="s">
        <v>1281</v>
      </c>
      <c r="BN74" s="57" t="s">
        <v>1281</v>
      </c>
      <c r="BO74" s="57" t="s">
        <v>1281</v>
      </c>
      <c r="BP74" s="57" t="s">
        <v>1281</v>
      </c>
      <c r="BQ74" s="57" t="s">
        <v>1281</v>
      </c>
      <c r="BR74" s="57" t="s">
        <v>1281</v>
      </c>
      <c r="BS74" s="57" t="s">
        <v>1281</v>
      </c>
      <c r="BT74" s="57" t="s">
        <v>1281</v>
      </c>
      <c r="BU74" s="57" t="s">
        <v>1281</v>
      </c>
      <c r="BV74" s="70">
        <f t="shared" si="226"/>
        <v>22</v>
      </c>
      <c r="BW74" s="71">
        <f t="shared" si="227"/>
        <v>54</v>
      </c>
      <c r="BX74" s="72">
        <f t="shared" si="228"/>
        <v>58</v>
      </c>
      <c r="BY74" s="71">
        <f t="shared" si="229"/>
        <v>90</v>
      </c>
      <c r="BZ74" s="72">
        <f t="shared" si="230"/>
        <v>94</v>
      </c>
      <c r="CA74" s="71">
        <f t="shared" si="231"/>
        <v>130</v>
      </c>
      <c r="CB74" s="72">
        <f t="shared" si="232"/>
        <v>138</v>
      </c>
      <c r="CC74" s="71">
        <f t="shared" si="233"/>
        <v>178</v>
      </c>
      <c r="CD74" s="72">
        <f t="shared" si="234"/>
        <v>185</v>
      </c>
      <c r="CE74" s="71">
        <f t="shared" si="235"/>
        <v>354</v>
      </c>
      <c r="CF74" s="72">
        <f t="shared" si="236"/>
        <v>396</v>
      </c>
      <c r="CG74" s="71">
        <f t="shared" si="237"/>
        <v>422</v>
      </c>
      <c r="CH74" s="70">
        <f t="shared" si="238"/>
        <v>53</v>
      </c>
      <c r="CI74" s="71">
        <f t="shared" si="239"/>
        <v>57</v>
      </c>
      <c r="CJ74" s="72">
        <f t="shared" si="240"/>
        <v>89</v>
      </c>
      <c r="CK74" s="72">
        <f t="shared" si="241"/>
        <v>93</v>
      </c>
      <c r="CL74" s="72">
        <f t="shared" si="242"/>
        <v>129</v>
      </c>
      <c r="CM74" s="72">
        <f t="shared" si="243"/>
        <v>137</v>
      </c>
      <c r="CN74" s="72">
        <f t="shared" si="244"/>
        <v>169</v>
      </c>
      <c r="CO74" s="72">
        <f t="shared" si="245"/>
        <v>180</v>
      </c>
      <c r="CP74" s="72">
        <f t="shared" si="246"/>
        <v>225</v>
      </c>
      <c r="CQ74" s="72">
        <f t="shared" si="247"/>
        <v>391</v>
      </c>
      <c r="CR74" s="72">
        <f t="shared" si="248"/>
        <v>421</v>
      </c>
      <c r="CS74" s="72">
        <f t="shared" si="249"/>
        <v>434</v>
      </c>
      <c r="CT74" s="23">
        <f t="shared" si="250"/>
        <v>1</v>
      </c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  <c r="AMK74" s="1"/>
      <c r="AML74" s="1"/>
      <c r="AMM74" s="1"/>
      <c r="AMN74" s="1"/>
      <c r="AMO74" s="1"/>
    </row>
    <row r="75" spans="1:1029" x14ac:dyDescent="0.2">
      <c r="A75" s="3" t="str">
        <f t="shared" si="0"/>
        <v>acm1_human_5CXV</v>
      </c>
      <c r="B75" s="3" t="s">
        <v>146</v>
      </c>
      <c r="C75" s="3" t="s">
        <v>62</v>
      </c>
      <c r="D75" s="3" t="str">
        <f>IFERROR(MID(VLOOKUP($B75,Seqs!$A:$B,2,0),E75,1),"")</f>
        <v>P</v>
      </c>
      <c r="E75" s="3">
        <v>22</v>
      </c>
      <c r="F75" s="3" t="str">
        <f>IFERROR(MID(VLOOKUP($B75,Seqs!$A:$B,2,0),G75,1),"")</f>
        <v>N</v>
      </c>
      <c r="G75" s="3">
        <v>53</v>
      </c>
      <c r="H75" s="3" t="str">
        <f>IFERROR(MID(VLOOKUP($B75,Seqs!$A:$B,2,0),I75,1),"")</f>
        <v>T</v>
      </c>
      <c r="I75" s="23">
        <v>54</v>
      </c>
      <c r="J75" s="3" t="str">
        <f>IFERROR(MID(VLOOKUP($B75,Seqs!$A:$B,2,0),K75,1),"")</f>
        <v>K</v>
      </c>
      <c r="K75" s="23">
        <v>57</v>
      </c>
      <c r="L75" s="3" t="str">
        <f>IFERROR(MID(VLOOKUP($B75,Seqs!$A:$B,2,0),M75,1),"")</f>
        <v>T</v>
      </c>
      <c r="M75" s="3">
        <v>58</v>
      </c>
      <c r="N75" s="3" t="str">
        <f>IFERROR(MID(VLOOKUP($B75,Seqs!$A:$B,2,0),O75,1),"")</f>
        <v>G</v>
      </c>
      <c r="O75" s="3">
        <v>89</v>
      </c>
      <c r="P75" s="3" t="str">
        <f>IFERROR(MID(VLOOKUP($B75,Seqs!$A:$B,2,0),Q75,1),"")</f>
        <v>H</v>
      </c>
      <c r="Q75" s="3">
        <v>90</v>
      </c>
      <c r="R75" s="3" t="str">
        <f>IFERROR(MID(VLOOKUP($B75,Seqs!$A:$B,2,0),S75,1),"")</f>
        <v>L</v>
      </c>
      <c r="S75" s="3">
        <v>93</v>
      </c>
      <c r="T75" s="3" t="str">
        <f>IFERROR(MID(VLOOKUP($B75,Seqs!$A:$B,2,0),U75,1),"")</f>
        <v>G</v>
      </c>
      <c r="U75" s="3">
        <v>94</v>
      </c>
      <c r="V75" s="3" t="str">
        <f>IFERROR(MID(VLOOKUP($B75,Seqs!$A:$B,2,0),W75,1),"")</f>
        <v>R</v>
      </c>
      <c r="W75" s="3">
        <v>129</v>
      </c>
      <c r="X75" s="3" t="str">
        <f>IFERROR(MID(VLOOKUP($B75,Seqs!$A:$B,2,0),Y75,1),"")</f>
        <v>P</v>
      </c>
      <c r="Y75" s="3">
        <v>130</v>
      </c>
      <c r="Z75" s="3" t="str">
        <f>IFERROR(MID(VLOOKUP($B75,Seqs!$A:$B,2,0),AA75,1),"")</f>
        <v>R</v>
      </c>
      <c r="AA75" s="3">
        <v>137</v>
      </c>
      <c r="AB75" s="3" t="str">
        <f>IFERROR(MID(VLOOKUP($B75,Seqs!$A:$B,2,0),AC75,1),"")</f>
        <v>T</v>
      </c>
      <c r="AC75" s="9">
        <v>138</v>
      </c>
      <c r="AD75" s="3" t="str">
        <f>IFERROR(MID(VLOOKUP($B75,Seqs!$A:$B,2,0),AE75,1),"")</f>
        <v>G</v>
      </c>
      <c r="AE75" s="3">
        <v>169</v>
      </c>
      <c r="AF75" s="3" t="str">
        <f>IFERROR(MID(VLOOKUP($B75,Seqs!$A:$B,2,0),AG75,1),"")</f>
        <v>C</v>
      </c>
      <c r="AG75" s="3">
        <v>178</v>
      </c>
      <c r="AH75" s="3" t="str">
        <f>IFERROR(MID(VLOOKUP($B75,Seqs!$A:$B,2,0),AI75,1),"")</f>
        <v>I</v>
      </c>
      <c r="AI75" s="3">
        <v>180</v>
      </c>
      <c r="AJ75" s="3" t="str">
        <f>IFERROR(MID(VLOOKUP($B75,Seqs!$A:$B,2,0),AK75,1),"")</f>
        <v>Q</v>
      </c>
      <c r="AK75" s="3">
        <v>185</v>
      </c>
      <c r="AL75" s="3" t="str">
        <f>IFERROR(MID(VLOOKUP($B75,Seqs!$A:$B,2,0),AM75,1),"")</f>
        <v>R</v>
      </c>
      <c r="AM75" s="3">
        <v>213</v>
      </c>
      <c r="AN75" s="3" t="str">
        <f>IFERROR(MID(VLOOKUP($B75,Seqs!$A:$B,2,0),AO75,1),"")</f>
        <v>L</v>
      </c>
      <c r="AO75" s="3">
        <v>357</v>
      </c>
      <c r="AP75" s="3" t="str">
        <f>IFERROR(MID(VLOOKUP($B75,Seqs!$A:$B,2,0),AQ75,1),"")</f>
        <v>C</v>
      </c>
      <c r="AQ75" s="3">
        <v>391</v>
      </c>
      <c r="AR75" s="3" t="str">
        <f>IFERROR(MID(VLOOKUP($B75,Seqs!$A:$B,2,0),AS75,1),"")</f>
        <v>P</v>
      </c>
      <c r="AS75" s="3">
        <v>396</v>
      </c>
      <c r="AT75" s="3" t="str">
        <f>IFERROR(MID(VLOOKUP($B75,Seqs!$A:$B,2,0),AU75,1),"")</f>
        <v>C</v>
      </c>
      <c r="AU75" s="3">
        <v>421</v>
      </c>
      <c r="AV75" s="3" t="str">
        <f>IFERROR(MID(VLOOKUP($B75,Seqs!$A:$B,2,0),AW75,1),"")</f>
        <v>N</v>
      </c>
      <c r="AW75" s="3">
        <v>422</v>
      </c>
      <c r="AX75" s="3" t="str">
        <f>IFERROR(MID(VLOOKUP($B75,Seqs!$A:$B,2,0),AY75,1),"")</f>
        <v>L</v>
      </c>
      <c r="AY75" s="3">
        <v>434</v>
      </c>
      <c r="AZ75" s="77" t="str">
        <f>VLOOKUP(B75,Classification!A:D,2,0)</f>
        <v>A</v>
      </c>
      <c r="BA75" s="94" t="str">
        <f>VLOOKUP(B75,Classification!A:D,4,0)</f>
        <v>Acetylcholine(muscarinic)</v>
      </c>
      <c r="BB75" s="27" t="b">
        <f t="shared" si="1"/>
        <v>1</v>
      </c>
      <c r="BC75" s="23">
        <f t="shared" si="225"/>
        <v>254</v>
      </c>
      <c r="BD75" s="16" t="s">
        <v>1370</v>
      </c>
      <c r="BE75" s="3" t="s">
        <v>1368</v>
      </c>
      <c r="BF75" s="118">
        <v>2.7</v>
      </c>
      <c r="BG75" s="49" t="s">
        <v>1371</v>
      </c>
      <c r="BH75" s="49" t="s">
        <v>1371</v>
      </c>
      <c r="BI75" s="1"/>
      <c r="BJ75" s="70" t="s">
        <v>1281</v>
      </c>
      <c r="BK75" s="57" t="s">
        <v>1281</v>
      </c>
      <c r="BL75" s="57" t="s">
        <v>1281</v>
      </c>
      <c r="BM75" s="57" t="s">
        <v>1281</v>
      </c>
      <c r="BN75" s="57" t="s">
        <v>1281</v>
      </c>
      <c r="BO75" s="57" t="s">
        <v>1281</v>
      </c>
      <c r="BP75" s="57" t="s">
        <v>1281</v>
      </c>
      <c r="BQ75" s="57" t="s">
        <v>1281</v>
      </c>
      <c r="BR75" s="57" t="s">
        <v>1281</v>
      </c>
      <c r="BS75" s="57" t="s">
        <v>1281</v>
      </c>
      <c r="BT75" s="57" t="s">
        <v>1281</v>
      </c>
      <c r="BU75" s="57" t="s">
        <v>1281</v>
      </c>
      <c r="BV75" s="70">
        <f t="shared" si="226"/>
        <v>22</v>
      </c>
      <c r="BW75" s="71">
        <f t="shared" si="227"/>
        <v>54</v>
      </c>
      <c r="BX75" s="72">
        <f t="shared" si="228"/>
        <v>58</v>
      </c>
      <c r="BY75" s="71">
        <f t="shared" si="229"/>
        <v>90</v>
      </c>
      <c r="BZ75" s="72">
        <f t="shared" si="230"/>
        <v>94</v>
      </c>
      <c r="CA75" s="71">
        <f t="shared" si="231"/>
        <v>130</v>
      </c>
      <c r="CB75" s="72">
        <f t="shared" si="232"/>
        <v>138</v>
      </c>
      <c r="CC75" s="71">
        <f t="shared" si="233"/>
        <v>178</v>
      </c>
      <c r="CD75" s="72">
        <f t="shared" si="234"/>
        <v>185</v>
      </c>
      <c r="CE75" s="71">
        <f t="shared" si="235"/>
        <v>357</v>
      </c>
      <c r="CF75" s="72">
        <f t="shared" si="236"/>
        <v>396</v>
      </c>
      <c r="CG75" s="71">
        <f t="shared" si="237"/>
        <v>422</v>
      </c>
      <c r="CH75" s="70">
        <f t="shared" si="238"/>
        <v>53</v>
      </c>
      <c r="CI75" s="71">
        <f t="shared" si="239"/>
        <v>57</v>
      </c>
      <c r="CJ75" s="72">
        <f t="shared" si="240"/>
        <v>89</v>
      </c>
      <c r="CK75" s="72">
        <f t="shared" si="241"/>
        <v>93</v>
      </c>
      <c r="CL75" s="72">
        <f t="shared" si="242"/>
        <v>129</v>
      </c>
      <c r="CM75" s="72">
        <f t="shared" si="243"/>
        <v>137</v>
      </c>
      <c r="CN75" s="72">
        <f t="shared" si="244"/>
        <v>169</v>
      </c>
      <c r="CO75" s="72">
        <f t="shared" si="245"/>
        <v>180</v>
      </c>
      <c r="CP75" s="72">
        <f t="shared" si="246"/>
        <v>213</v>
      </c>
      <c r="CQ75" s="72">
        <f t="shared" si="247"/>
        <v>391</v>
      </c>
      <c r="CR75" s="72">
        <f t="shared" si="248"/>
        <v>421</v>
      </c>
      <c r="CS75" s="72">
        <f t="shared" si="249"/>
        <v>434</v>
      </c>
      <c r="CT75" s="23">
        <f t="shared" si="250"/>
        <v>1</v>
      </c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  <c r="AMK75" s="1"/>
      <c r="AML75" s="1"/>
      <c r="AMM75" s="1"/>
      <c r="AMN75" s="1"/>
      <c r="AMO75" s="1"/>
    </row>
    <row r="76" spans="1:1029" s="12" customFormat="1" x14ac:dyDescent="0.2">
      <c r="A76" s="9" t="str">
        <f t="shared" ref="A76" si="475">CONCATENATE(B76,"_",C76)</f>
        <v>acm1_human_6OIJ</v>
      </c>
      <c r="B76" s="9" t="s">
        <v>146</v>
      </c>
      <c r="C76" s="9" t="s">
        <v>1571</v>
      </c>
      <c r="D76" s="9" t="str">
        <f>IFERROR(MID(VLOOKUP($B76,Seqs!$A:$B,2,0),E76,1),"")</f>
        <v>W</v>
      </c>
      <c r="E76" s="9">
        <v>23</v>
      </c>
      <c r="F76" s="9" t="str">
        <f>IFERROR(MID(VLOOKUP($B76,Seqs!$A:$B,2,0),G76,1),"")</f>
        <v>N</v>
      </c>
      <c r="G76" s="9">
        <v>53</v>
      </c>
      <c r="H76" s="9" t="str">
        <f>IFERROR(MID(VLOOKUP($B76,Seqs!$A:$B,2,0),I76,1),"")</f>
        <v>T</v>
      </c>
      <c r="I76" s="109">
        <v>54</v>
      </c>
      <c r="J76" s="9" t="str">
        <f>IFERROR(MID(VLOOKUP($B76,Seqs!$A:$B,2,0),K76,1),"")</f>
        <v>K</v>
      </c>
      <c r="K76" s="109">
        <v>57</v>
      </c>
      <c r="L76" s="9" t="str">
        <f>IFERROR(MID(VLOOKUP($B76,Seqs!$A:$B,2,0),M76,1),"")</f>
        <v>N</v>
      </c>
      <c r="M76" s="9">
        <v>60</v>
      </c>
      <c r="N76" s="9" t="str">
        <f>IFERROR(MID(VLOOKUP($B76,Seqs!$A:$B,2,0),O76,1),"")</f>
        <v>G</v>
      </c>
      <c r="O76" s="9">
        <v>89</v>
      </c>
      <c r="P76" s="9" t="str">
        <f>IFERROR(MID(VLOOKUP($B76,Seqs!$A:$B,2,0),Q76,1),"")</f>
        <v>H</v>
      </c>
      <c r="Q76" s="9">
        <v>90</v>
      </c>
      <c r="R76" s="9" t="str">
        <f>IFERROR(MID(VLOOKUP($B76,Seqs!$A:$B,2,0),S76,1),"")</f>
        <v>L</v>
      </c>
      <c r="S76" s="9">
        <v>93</v>
      </c>
      <c r="T76" s="9" t="str">
        <f>IFERROR(MID(VLOOKUP($B76,Seqs!$A:$B,2,0),U76,1),"")</f>
        <v>G</v>
      </c>
      <c r="U76" s="9">
        <v>94</v>
      </c>
      <c r="V76" s="9" t="str">
        <f>IFERROR(MID(VLOOKUP($B76,Seqs!$A:$B,2,0),W76,1),"")</f>
        <v>R</v>
      </c>
      <c r="W76" s="9">
        <v>129</v>
      </c>
      <c r="X76" s="9" t="str">
        <f>IFERROR(MID(VLOOKUP($B76,Seqs!$A:$B,2,0),Y76,1),"")</f>
        <v>P</v>
      </c>
      <c r="Y76" s="9">
        <v>130</v>
      </c>
      <c r="Z76" s="9" t="str">
        <f>IFERROR(MID(VLOOKUP($B76,Seqs!$A:$B,2,0),AA76,1),"")</f>
        <v>R</v>
      </c>
      <c r="AA76" s="9">
        <v>137</v>
      </c>
      <c r="AB76" s="9" t="str">
        <f>IFERROR(MID(VLOOKUP($B76,Seqs!$A:$B,2,0),AC76,1),"")</f>
        <v>T</v>
      </c>
      <c r="AC76" s="9">
        <v>138</v>
      </c>
      <c r="AD76" s="9" t="str">
        <f>IFERROR(MID(VLOOKUP($B76,Seqs!$A:$B,2,0),AE76,1),"")</f>
        <v>G</v>
      </c>
      <c r="AE76" s="9">
        <v>169</v>
      </c>
      <c r="AF76" s="9" t="str">
        <f>IFERROR(MID(VLOOKUP($B76,Seqs!$A:$B,2,0),AG76,1),"")</f>
        <v>C</v>
      </c>
      <c r="AG76" s="9">
        <v>178</v>
      </c>
      <c r="AH76" s="9" t="str">
        <f>IFERROR(MID(VLOOKUP($B76,Seqs!$A:$B,2,0),AI76,1),"")</f>
        <v>I</v>
      </c>
      <c r="AI76" s="9">
        <v>180</v>
      </c>
      <c r="AJ76" s="9" t="str">
        <f>IFERROR(MID(VLOOKUP($B76,Seqs!$A:$B,2,0),AK76,1),"")</f>
        <v>Q</v>
      </c>
      <c r="AK76" s="9">
        <v>185</v>
      </c>
      <c r="AL76" s="9" t="str">
        <f>IFERROR(MID(VLOOKUP($B76,Seqs!$A:$B,2,0),AM76,1),"")</f>
        <v>L</v>
      </c>
      <c r="AM76" s="9">
        <v>225</v>
      </c>
      <c r="AN76" s="9" t="str">
        <f>IFERROR(MID(VLOOKUP($B76,Seqs!$A:$B,2,0),AO76,1),"")</f>
        <v>K</v>
      </c>
      <c r="AO76" s="9">
        <v>362</v>
      </c>
      <c r="AP76" s="9" t="str">
        <f>IFERROR(MID(VLOOKUP($B76,Seqs!$A:$B,2,0),AQ76,1),"")</f>
        <v>C</v>
      </c>
      <c r="AQ76" s="9">
        <v>391</v>
      </c>
      <c r="AR76" s="9" t="str">
        <f>IFERROR(MID(VLOOKUP($B76,Seqs!$A:$B,2,0),AS76,1),"")</f>
        <v>E</v>
      </c>
      <c r="AS76" s="9">
        <v>397</v>
      </c>
      <c r="AT76" s="9" t="str">
        <f>IFERROR(MID(VLOOKUP($B76,Seqs!$A:$B,2,0),AU76,1),"")</f>
        <v>C</v>
      </c>
      <c r="AU76" s="9">
        <v>421</v>
      </c>
      <c r="AV76" s="9" t="str">
        <f>IFERROR(MID(VLOOKUP($B76,Seqs!$A:$B,2,0),AW76,1),"")</f>
        <v>N</v>
      </c>
      <c r="AW76" s="9">
        <v>422</v>
      </c>
      <c r="AX76" s="9" t="str">
        <f>IFERROR(MID(VLOOKUP($B76,Seqs!$A:$B,2,0),AY76,1),"")</f>
        <v>L</v>
      </c>
      <c r="AY76" s="9">
        <v>433</v>
      </c>
      <c r="AZ76" s="110" t="str">
        <f>VLOOKUP(B76,Classification!A:D,2,0)</f>
        <v>A</v>
      </c>
      <c r="BA76" s="98" t="str">
        <f>VLOOKUP(B76,Classification!A:D,4,0)</f>
        <v>Acetylcholine(muscarinic)</v>
      </c>
      <c r="BB76" s="36" t="b">
        <f t="shared" ref="BB76" si="476">AND(E76&lt;G76,OR(G76&lt;I76,I76="-"),OR(I76&lt;K76,I76="-"),OR(K76&lt;M76,K76="-"),M76&lt;O76,OR(O76&lt;Q76,Q76="-"),OR(Q76&lt;S76,Q76="-"),OR(S76&lt;U76,S76="-"),U76&lt;W76,OR(W76&lt;Y76,Y76="-"),OR(Y76&lt;AA76,Y76="-"),OR(AA76&lt;AC76,AA76="-"),AC76&lt;AE76,OR(AE76&lt;AG76,AG76="-"),OR(AG76&lt;AI76,AG76="-"),OR(AI76&lt;AK76,AI76="-"),AK76&lt;AM76,AM76&lt;AO76,AO76&lt;AQ76,AQ76&lt;AS76,AS76&lt;AU76,OR(AU76&lt;AW76,AW76="-"),OR(AW76&lt;AY76,AW76="-"))</f>
        <v>1</v>
      </c>
      <c r="BC76" s="109">
        <f t="shared" ref="BC76" si="477">_xlfn.AGGREGATE(9,6,CH76:CS76)-_xlfn.AGGREGATE(9,6,BV76:CG76)+12</f>
        <v>256</v>
      </c>
      <c r="BD76" s="126" t="s">
        <v>1369</v>
      </c>
      <c r="BE76" s="9" t="s">
        <v>1285</v>
      </c>
      <c r="BF76" s="119">
        <v>3.3</v>
      </c>
      <c r="BG76" s="51" t="s">
        <v>1416</v>
      </c>
      <c r="BH76" s="51" t="s">
        <v>1416</v>
      </c>
      <c r="BJ76" s="111" t="s">
        <v>1281</v>
      </c>
      <c r="BK76" s="112" t="s">
        <v>1281</v>
      </c>
      <c r="BL76" s="112" t="s">
        <v>1281</v>
      </c>
      <c r="BM76" s="112" t="s">
        <v>1281</v>
      </c>
      <c r="BN76" s="112" t="s">
        <v>1281</v>
      </c>
      <c r="BO76" s="112" t="s">
        <v>1281</v>
      </c>
      <c r="BP76" s="112" t="s">
        <v>1281</v>
      </c>
      <c r="BQ76" s="112" t="s">
        <v>1281</v>
      </c>
      <c r="BR76" s="112" t="s">
        <v>1281</v>
      </c>
      <c r="BS76" s="112" t="s">
        <v>1281</v>
      </c>
      <c r="BT76" s="112" t="s">
        <v>1281</v>
      </c>
      <c r="BU76" s="112" t="s">
        <v>1281</v>
      </c>
      <c r="BV76" s="111">
        <f t="shared" ref="BV76" si="478">E76</f>
        <v>23</v>
      </c>
      <c r="BW76" s="113">
        <f t="shared" ref="BW76" si="479">I76</f>
        <v>54</v>
      </c>
      <c r="BX76" s="114">
        <f t="shared" ref="BX76" si="480">M76</f>
        <v>60</v>
      </c>
      <c r="BY76" s="113">
        <f t="shared" ref="BY76" si="481">Q76</f>
        <v>90</v>
      </c>
      <c r="BZ76" s="114">
        <f t="shared" ref="BZ76" si="482">U76</f>
        <v>94</v>
      </c>
      <c r="CA76" s="113">
        <f t="shared" ref="CA76" si="483">Y76</f>
        <v>130</v>
      </c>
      <c r="CB76" s="114">
        <f t="shared" ref="CB76" si="484">AC76</f>
        <v>138</v>
      </c>
      <c r="CC76" s="113">
        <f t="shared" ref="CC76" si="485">AG76</f>
        <v>178</v>
      </c>
      <c r="CD76" s="114">
        <f t="shared" ref="CD76" si="486">AK76</f>
        <v>185</v>
      </c>
      <c r="CE76" s="113">
        <f t="shared" ref="CE76" si="487">AO76</f>
        <v>362</v>
      </c>
      <c r="CF76" s="114">
        <f t="shared" ref="CF76" si="488">AS76</f>
        <v>397</v>
      </c>
      <c r="CG76" s="113">
        <f t="shared" ref="CG76" si="489">AW76</f>
        <v>422</v>
      </c>
      <c r="CH76" s="111">
        <f t="shared" ref="CH76" si="490">G76</f>
        <v>53</v>
      </c>
      <c r="CI76" s="113">
        <f t="shared" ref="CI76" si="491">K76</f>
        <v>57</v>
      </c>
      <c r="CJ76" s="114">
        <f t="shared" ref="CJ76" si="492">O76</f>
        <v>89</v>
      </c>
      <c r="CK76" s="114">
        <f t="shared" ref="CK76" si="493">S76</f>
        <v>93</v>
      </c>
      <c r="CL76" s="114">
        <f t="shared" ref="CL76" si="494">W76</f>
        <v>129</v>
      </c>
      <c r="CM76" s="114">
        <f t="shared" ref="CM76" si="495">AA76</f>
        <v>137</v>
      </c>
      <c r="CN76" s="114">
        <f t="shared" ref="CN76" si="496">AE76</f>
        <v>169</v>
      </c>
      <c r="CO76" s="114">
        <f t="shared" ref="CO76" si="497">AI76</f>
        <v>180</v>
      </c>
      <c r="CP76" s="114">
        <f t="shared" ref="CP76" si="498">AM76</f>
        <v>225</v>
      </c>
      <c r="CQ76" s="114">
        <f t="shared" ref="CQ76" si="499">AQ76</f>
        <v>391</v>
      </c>
      <c r="CR76" s="114">
        <f t="shared" ref="CR76" si="500">AU76</f>
        <v>421</v>
      </c>
      <c r="CS76" s="114">
        <f t="shared" ref="CS76" si="501">AY76</f>
        <v>433</v>
      </c>
      <c r="CT76" s="109">
        <f t="shared" ref="CT76" si="502">M76-K76</f>
        <v>3</v>
      </c>
    </row>
    <row r="77" spans="1:1029" x14ac:dyDescent="0.2">
      <c r="A77" s="3" t="str">
        <f t="shared" si="0"/>
        <v>acm2_human__wt</v>
      </c>
      <c r="B77" s="3" t="s">
        <v>147</v>
      </c>
      <c r="C77" s="3" t="s">
        <v>100</v>
      </c>
      <c r="D77" s="3" t="str">
        <f>IFERROR(MID(VLOOKUP($B77,Seqs!$A:$B,2,0),E77,1),"")</f>
        <v>K</v>
      </c>
      <c r="E77" s="3">
        <v>19</v>
      </c>
      <c r="F77" s="3" t="str">
        <f>IFERROR(MID(VLOOKUP($B77,Seqs!$A:$B,2,0),G77,1),"")</f>
        <v>N</v>
      </c>
      <c r="G77" s="3">
        <v>51</v>
      </c>
      <c r="H77" s="3" t="str">
        <f>IFERROR(MID(VLOOKUP($B77,Seqs!$A:$B,2,0),I77,1),"")</f>
        <v>R</v>
      </c>
      <c r="I77" s="23">
        <v>52</v>
      </c>
      <c r="J77" s="3" t="str">
        <f>IFERROR(MID(VLOOKUP($B77,Seqs!$A:$B,2,0),K77,1),"")</f>
        <v>Q</v>
      </c>
      <c r="K77" s="23">
        <v>55</v>
      </c>
      <c r="L77" s="3" t="str">
        <f>IFERROR(MID(VLOOKUP($B77,Seqs!$A:$B,2,0),M77,1),"")</f>
        <v>T</v>
      </c>
      <c r="M77" s="3">
        <v>56</v>
      </c>
      <c r="N77" s="3" t="str">
        <f>IFERROR(MID(VLOOKUP($B77,Seqs!$A:$B,2,0),O77,1),"")</f>
        <v>G</v>
      </c>
      <c r="O77" s="105">
        <v>87</v>
      </c>
      <c r="P77" s="3" t="str">
        <f>IFERROR(MID(VLOOKUP($B77,Seqs!$A:$B,2,0),Q77,1),"")</f>
        <v>Y</v>
      </c>
      <c r="Q77" s="3">
        <v>88</v>
      </c>
      <c r="R77" s="3" t="str">
        <f>IFERROR(MID(VLOOKUP($B77,Seqs!$A:$B,2,0),S77,1),"")</f>
        <v>L</v>
      </c>
      <c r="S77" s="3">
        <v>91</v>
      </c>
      <c r="T77" s="3" t="str">
        <f>IFERROR(MID(VLOOKUP($B77,Seqs!$A:$B,2,0),U77,1),"")</f>
        <v>G</v>
      </c>
      <c r="U77" s="3">
        <v>92</v>
      </c>
      <c r="V77" s="3" t="str">
        <f>IFERROR(MID(VLOOKUP($B77,Seqs!$A:$B,2,0),W77,1),"")</f>
        <v>K</v>
      </c>
      <c r="W77" s="3">
        <v>127</v>
      </c>
      <c r="X77" s="3" t="str">
        <f>IFERROR(MID(VLOOKUP($B77,Seqs!$A:$B,2,0),Y77,1),"")</f>
        <v>P</v>
      </c>
      <c r="Y77" s="3">
        <v>128</v>
      </c>
      <c r="Z77" s="3" t="str">
        <f>IFERROR(MID(VLOOKUP($B77,Seqs!$A:$B,2,0),AA77,1),"")</f>
        <v>R</v>
      </c>
      <c r="AA77" s="3">
        <v>135</v>
      </c>
      <c r="AB77" s="3" t="str">
        <f>IFERROR(MID(VLOOKUP($B77,Seqs!$A:$B,2,0),AC77,1),"")</f>
        <v>T</v>
      </c>
      <c r="AC77" s="9">
        <v>136</v>
      </c>
      <c r="AD77" s="3" t="str">
        <f>IFERROR(MID(VLOOKUP($B77,Seqs!$A:$B,2,0),AE77,1),"")</f>
        <v>G</v>
      </c>
      <c r="AE77" s="3">
        <v>167</v>
      </c>
      <c r="AF77" s="3" t="str">
        <f>IFERROR(MID(VLOOKUP($B77,Seqs!$A:$B,2,0),AG77,1),"")</f>
        <v>C</v>
      </c>
      <c r="AG77" s="3">
        <v>176</v>
      </c>
      <c r="AH77" s="3" t="str">
        <f>IFERROR(MID(VLOOKUP($B77,Seqs!$A:$B,2,0),AI77,1),"")</f>
        <v>I</v>
      </c>
      <c r="AI77" s="3">
        <v>178</v>
      </c>
      <c r="AJ77" s="3" t="str">
        <f>IFERROR(MID(VLOOKUP($B77,Seqs!$A:$B,2,0),AK77,1),"")</f>
        <v>N</v>
      </c>
      <c r="AK77" s="3">
        <v>183</v>
      </c>
      <c r="AL77" s="3" t="str">
        <f>IFERROR(MID(VLOOKUP($B77,Seqs!$A:$B,2,0),AM77,1),"")</f>
        <v>E</v>
      </c>
      <c r="AM77" s="3">
        <v>223</v>
      </c>
      <c r="AN77" s="3" t="str">
        <f>IFERROR(MID(VLOOKUP($B77,Seqs!$A:$B,2,0),AO77,1),"")</f>
        <v>K</v>
      </c>
      <c r="AO77" s="3">
        <v>376</v>
      </c>
      <c r="AP77" s="3" t="str">
        <f>IFERROR(MID(VLOOKUP($B77,Seqs!$A:$B,2,0),AQ77,1),"")</f>
        <v>C</v>
      </c>
      <c r="AQ77" s="3">
        <v>413</v>
      </c>
      <c r="AR77" s="3" t="str">
        <f>IFERROR(MID(VLOOKUP($B77,Seqs!$A:$B,2,0),AS77,1),"")</f>
        <v>P</v>
      </c>
      <c r="AS77" s="3">
        <v>418</v>
      </c>
      <c r="AT77" s="3" t="str">
        <f>IFERROR(MID(VLOOKUP($B77,Seqs!$A:$B,2,0),AU77,1),"")</f>
        <v>C</v>
      </c>
      <c r="AU77" s="3">
        <v>443</v>
      </c>
      <c r="AV77" s="3" t="str">
        <f>IFERROR(MID(VLOOKUP($B77,Seqs!$A:$B,2,0),AW77,1),"")</f>
        <v>N</v>
      </c>
      <c r="AW77" s="3">
        <v>444</v>
      </c>
      <c r="AX77" s="3" t="str">
        <f>IFERROR(MID(VLOOKUP($B77,Seqs!$A:$B,2,0),AY77,1),"")</f>
        <v>M</v>
      </c>
      <c r="AY77" s="3">
        <v>456</v>
      </c>
      <c r="AZ77" s="77" t="str">
        <f>VLOOKUP(B77,Classification!A:D,2,0)</f>
        <v>A</v>
      </c>
      <c r="BA77" s="94" t="str">
        <f>VLOOKUP(B77,Classification!A:D,4,0)</f>
        <v>Acetylcholine(muscarinic)</v>
      </c>
      <c r="BB77" s="27" t="b">
        <f t="shared" si="1"/>
        <v>1</v>
      </c>
      <c r="BC77" s="23">
        <f t="shared" si="225"/>
        <v>270</v>
      </c>
      <c r="BD77" s="56" t="s">
        <v>23</v>
      </c>
      <c r="BE77" s="3" t="s">
        <v>23</v>
      </c>
      <c r="BF77" s="118" t="s">
        <v>23</v>
      </c>
      <c r="BG77" s="49" t="s">
        <v>1366</v>
      </c>
      <c r="BH77" s="49" t="s">
        <v>1371</v>
      </c>
      <c r="BI77" s="1"/>
      <c r="BJ77" s="70" t="s">
        <v>1281</v>
      </c>
      <c r="BK77" s="57" t="s">
        <v>1281</v>
      </c>
      <c r="BL77" s="57" t="s">
        <v>1281</v>
      </c>
      <c r="BM77" s="57" t="s">
        <v>1281</v>
      </c>
      <c r="BN77" s="57" t="s">
        <v>1281</v>
      </c>
      <c r="BO77" s="57" t="s">
        <v>1281</v>
      </c>
      <c r="BP77" s="57" t="s">
        <v>1281</v>
      </c>
      <c r="BQ77" s="57" t="s">
        <v>1281</v>
      </c>
      <c r="BR77" s="57" t="s">
        <v>1281</v>
      </c>
      <c r="BS77" s="57" t="s">
        <v>1281</v>
      </c>
      <c r="BT77" s="57" t="s">
        <v>1281</v>
      </c>
      <c r="BU77" s="57" t="s">
        <v>1281</v>
      </c>
      <c r="BV77" s="70">
        <f t="shared" si="226"/>
        <v>19</v>
      </c>
      <c r="BW77" s="71">
        <f t="shared" si="227"/>
        <v>52</v>
      </c>
      <c r="BX77" s="72">
        <f t="shared" si="228"/>
        <v>56</v>
      </c>
      <c r="BY77" s="71">
        <f t="shared" si="229"/>
        <v>88</v>
      </c>
      <c r="BZ77" s="72">
        <f t="shared" si="230"/>
        <v>92</v>
      </c>
      <c r="CA77" s="71">
        <f t="shared" si="231"/>
        <v>128</v>
      </c>
      <c r="CB77" s="72">
        <f t="shared" si="232"/>
        <v>136</v>
      </c>
      <c r="CC77" s="71">
        <f t="shared" si="233"/>
        <v>176</v>
      </c>
      <c r="CD77" s="72">
        <f t="shared" si="234"/>
        <v>183</v>
      </c>
      <c r="CE77" s="71">
        <f t="shared" si="235"/>
        <v>376</v>
      </c>
      <c r="CF77" s="72">
        <f t="shared" si="236"/>
        <v>418</v>
      </c>
      <c r="CG77" s="71">
        <f t="shared" si="237"/>
        <v>444</v>
      </c>
      <c r="CH77" s="70">
        <f t="shared" si="238"/>
        <v>51</v>
      </c>
      <c r="CI77" s="71">
        <f t="shared" si="239"/>
        <v>55</v>
      </c>
      <c r="CJ77" s="72">
        <f t="shared" si="240"/>
        <v>87</v>
      </c>
      <c r="CK77" s="72">
        <f t="shared" si="241"/>
        <v>91</v>
      </c>
      <c r="CL77" s="72">
        <f t="shared" si="242"/>
        <v>127</v>
      </c>
      <c r="CM77" s="72">
        <f t="shared" si="243"/>
        <v>135</v>
      </c>
      <c r="CN77" s="72">
        <f t="shared" si="244"/>
        <v>167</v>
      </c>
      <c r="CO77" s="72">
        <f t="shared" si="245"/>
        <v>178</v>
      </c>
      <c r="CP77" s="72">
        <f t="shared" si="246"/>
        <v>223</v>
      </c>
      <c r="CQ77" s="72">
        <f t="shared" si="247"/>
        <v>413</v>
      </c>
      <c r="CR77" s="72">
        <f t="shared" si="248"/>
        <v>443</v>
      </c>
      <c r="CS77" s="72">
        <f t="shared" si="249"/>
        <v>456</v>
      </c>
      <c r="CT77" s="23">
        <f t="shared" si="250"/>
        <v>1</v>
      </c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  <c r="AMK77" s="1"/>
      <c r="AML77" s="1"/>
      <c r="AMM77" s="1"/>
      <c r="AMN77" s="1"/>
      <c r="AMO77" s="1"/>
    </row>
    <row r="78" spans="1:1029" x14ac:dyDescent="0.2">
      <c r="A78" s="3" t="str">
        <f t="shared" ref="A78:A126" si="503">CONCATENATE(B78,"_",C78)</f>
        <v>acm2_human_3UON</v>
      </c>
      <c r="B78" s="3" t="s">
        <v>147</v>
      </c>
      <c r="C78" s="3" t="s">
        <v>79</v>
      </c>
      <c r="D78" s="3" t="str">
        <f>IFERROR(MID(VLOOKUP($B78,Seqs!$A:$B,2,0),E78,1),"")</f>
        <v>V</v>
      </c>
      <c r="E78" s="3">
        <v>23</v>
      </c>
      <c r="F78" s="3" t="str">
        <f>IFERROR(MID(VLOOKUP($B78,Seqs!$A:$B,2,0),G78,1),"")</f>
        <v>N</v>
      </c>
      <c r="G78" s="3">
        <v>51</v>
      </c>
      <c r="H78" s="3" t="str">
        <f>IFERROR(MID(VLOOKUP($B78,Seqs!$A:$B,2,0),I78,1),"")</f>
        <v>R</v>
      </c>
      <c r="I78" s="23">
        <v>52</v>
      </c>
      <c r="J78" s="3" t="str">
        <f>IFERROR(MID(VLOOKUP($B78,Seqs!$A:$B,2,0),K78,1),"")</f>
        <v>Q</v>
      </c>
      <c r="K78" s="23">
        <v>55</v>
      </c>
      <c r="L78" s="3" t="str">
        <f>IFERROR(MID(VLOOKUP($B78,Seqs!$A:$B,2,0),M78,1),"")</f>
        <v>T</v>
      </c>
      <c r="M78" s="3">
        <v>56</v>
      </c>
      <c r="N78" s="3" t="str">
        <f>IFERROR(MID(VLOOKUP($B78,Seqs!$A:$B,2,0),O78,1),"")</f>
        <v>I</v>
      </c>
      <c r="O78" s="3">
        <v>86</v>
      </c>
      <c r="P78" s="3" t="str">
        <f>IFERROR(MID(VLOOKUP($B78,Seqs!$A:$B,2,0),Q78,1),"")</f>
        <v>Y</v>
      </c>
      <c r="Q78" s="3">
        <v>88</v>
      </c>
      <c r="R78" s="3" t="str">
        <f>IFERROR(MID(VLOOKUP($B78,Seqs!$A:$B,2,0),S78,1),"")</f>
        <v>L</v>
      </c>
      <c r="S78" s="3">
        <v>91</v>
      </c>
      <c r="T78" s="3" t="str">
        <f>IFERROR(MID(VLOOKUP($B78,Seqs!$A:$B,2,0),U78,1),"")</f>
        <v>G</v>
      </c>
      <c r="U78" s="3">
        <v>92</v>
      </c>
      <c r="V78" s="3" t="str">
        <f>IFERROR(MID(VLOOKUP($B78,Seqs!$A:$B,2,0),W78,1),"")</f>
        <v>K</v>
      </c>
      <c r="W78" s="3">
        <v>127</v>
      </c>
      <c r="X78" s="3" t="str">
        <f>IFERROR(MID(VLOOKUP($B78,Seqs!$A:$B,2,0),Y78,1),"")</f>
        <v>P</v>
      </c>
      <c r="Y78" s="3">
        <v>128</v>
      </c>
      <c r="Z78" s="3" t="str">
        <f>IFERROR(MID(VLOOKUP($B78,Seqs!$A:$B,2,0),AA78,1),"")</f>
        <v>R</v>
      </c>
      <c r="AA78" s="3">
        <v>135</v>
      </c>
      <c r="AB78" s="3" t="str">
        <f>IFERROR(MID(VLOOKUP($B78,Seqs!$A:$B,2,0),AC78,1),"")</f>
        <v>T</v>
      </c>
      <c r="AC78" s="9">
        <v>136</v>
      </c>
      <c r="AD78" s="3" t="str">
        <f>IFERROR(MID(VLOOKUP($B78,Seqs!$A:$B,2,0),AE78,1),"")</f>
        <v>G</v>
      </c>
      <c r="AE78" s="3">
        <v>167</v>
      </c>
      <c r="AF78" s="3" t="str">
        <f>IFERROR(MID(VLOOKUP($B78,Seqs!$A:$B,2,0),AG78,1),"")</f>
        <v>C</v>
      </c>
      <c r="AG78" s="3">
        <v>176</v>
      </c>
      <c r="AH78" s="3" t="str">
        <f>IFERROR(MID(VLOOKUP($B78,Seqs!$A:$B,2,0),AI78,1),"")</f>
        <v>I</v>
      </c>
      <c r="AI78" s="3">
        <v>178</v>
      </c>
      <c r="AJ78" s="3" t="str">
        <f>IFERROR(MID(VLOOKUP($B78,Seqs!$A:$B,2,0),AK78,1),"")</f>
        <v>N</v>
      </c>
      <c r="AK78" s="3">
        <v>183</v>
      </c>
      <c r="AL78" s="3" t="str">
        <f>IFERROR(MID(VLOOKUP($B78,Seqs!$A:$B,2,0),AM78,1),"")</f>
        <v>S</v>
      </c>
      <c r="AM78" s="3">
        <v>213</v>
      </c>
      <c r="AN78" s="3" t="str">
        <f>IFERROR(MID(VLOOKUP($B78,Seqs!$A:$B,2,0),AO78,1),"")</f>
        <v>K</v>
      </c>
      <c r="AO78" s="3">
        <v>384</v>
      </c>
      <c r="AP78" s="3" t="str">
        <f>IFERROR(MID(VLOOKUP($B78,Seqs!$A:$B,2,0),AQ78,1),"")</f>
        <v>C</v>
      </c>
      <c r="AQ78" s="3">
        <v>413</v>
      </c>
      <c r="AR78" s="3" t="str">
        <f>IFERROR(MID(VLOOKUP($B78,Seqs!$A:$B,2,0),AS78,1),"")</f>
        <v>P</v>
      </c>
      <c r="AS78" s="3">
        <v>418</v>
      </c>
      <c r="AT78" s="3" t="str">
        <f>IFERROR(MID(VLOOKUP($B78,Seqs!$A:$B,2,0),AU78,1),"")</f>
        <v>C</v>
      </c>
      <c r="AU78" s="3">
        <v>443</v>
      </c>
      <c r="AV78" s="3" t="str">
        <f>IFERROR(MID(VLOOKUP($B78,Seqs!$A:$B,2,0),AW78,1),"")</f>
        <v>N</v>
      </c>
      <c r="AW78" s="3">
        <v>444</v>
      </c>
      <c r="AX78" s="3" t="str">
        <f>IFERROR(MID(VLOOKUP($B78,Seqs!$A:$B,2,0),AY78,1),"")</f>
        <v>M</v>
      </c>
      <c r="AY78" s="3">
        <v>456</v>
      </c>
      <c r="AZ78" s="77" t="str">
        <f>VLOOKUP(B78,Classification!A:D,2,0)</f>
        <v>A</v>
      </c>
      <c r="BA78" s="94" t="str">
        <f>VLOOKUP(B78,Classification!A:D,4,0)</f>
        <v>Acetylcholine(muscarinic)</v>
      </c>
      <c r="BB78" s="27" t="b">
        <f t="shared" ref="BB78:BB126" si="504">AND(E78&lt;G78,OR(G78&lt;I78,I78="-"),OR(I78&lt;K78,I78="-"),OR(K78&lt;M78,K78="-"),M78&lt;O78,OR(O78&lt;Q78,Q78="-"),OR(Q78&lt;S78,Q78="-"),OR(S78&lt;U78,S78="-"),U78&lt;W78,OR(W78&lt;Y78,Y78="-"),OR(Y78&lt;AA78,Y78="-"),OR(AA78&lt;AC78,AA78="-"),AC78&lt;AE78,OR(AE78&lt;AG78,AG78="-"),OR(AG78&lt;AI78,AG78="-"),OR(AI78&lt;AK78,AI78="-"),AK78&lt;AM78,AM78&lt;AO78,AO78&lt;AQ78,AQ78&lt;AS78,AS78&lt;AU78,OR(AU78&lt;AW78,AW78="-"),OR(AW78&lt;AY78,AW78="-"))</f>
        <v>1</v>
      </c>
      <c r="BC78" s="23">
        <f t="shared" si="225"/>
        <v>247</v>
      </c>
      <c r="BD78" s="16" t="s">
        <v>23</v>
      </c>
      <c r="BE78" s="3" t="s">
        <v>1368</v>
      </c>
      <c r="BF78" s="118">
        <v>3</v>
      </c>
      <c r="BG78" s="49" t="s">
        <v>1371</v>
      </c>
      <c r="BH78" s="49" t="s">
        <v>1371</v>
      </c>
      <c r="BI78" s="1"/>
      <c r="BJ78" s="70" t="s">
        <v>1281</v>
      </c>
      <c r="BK78" s="57" t="s">
        <v>1281</v>
      </c>
      <c r="BL78" s="57" t="s">
        <v>1281</v>
      </c>
      <c r="BM78" s="57" t="s">
        <v>1281</v>
      </c>
      <c r="BN78" s="57" t="s">
        <v>1281</v>
      </c>
      <c r="BO78" s="57" t="s">
        <v>1281</v>
      </c>
      <c r="BP78" s="57" t="s">
        <v>1281</v>
      </c>
      <c r="BQ78" s="57" t="s">
        <v>1281</v>
      </c>
      <c r="BR78" s="57" t="s">
        <v>1281</v>
      </c>
      <c r="BS78" s="57" t="s">
        <v>1281</v>
      </c>
      <c r="BT78" s="57" t="s">
        <v>1281</v>
      </c>
      <c r="BU78" s="57" t="s">
        <v>1281</v>
      </c>
      <c r="BV78" s="70">
        <f t="shared" si="226"/>
        <v>23</v>
      </c>
      <c r="BW78" s="71">
        <f t="shared" si="227"/>
        <v>52</v>
      </c>
      <c r="BX78" s="72">
        <f t="shared" si="228"/>
        <v>56</v>
      </c>
      <c r="BY78" s="71">
        <f t="shared" si="229"/>
        <v>88</v>
      </c>
      <c r="BZ78" s="72">
        <f t="shared" si="230"/>
        <v>92</v>
      </c>
      <c r="CA78" s="71">
        <f t="shared" si="231"/>
        <v>128</v>
      </c>
      <c r="CB78" s="72">
        <f t="shared" si="232"/>
        <v>136</v>
      </c>
      <c r="CC78" s="71">
        <f t="shared" si="233"/>
        <v>176</v>
      </c>
      <c r="CD78" s="72">
        <f t="shared" si="234"/>
        <v>183</v>
      </c>
      <c r="CE78" s="71">
        <f t="shared" si="235"/>
        <v>384</v>
      </c>
      <c r="CF78" s="72">
        <f t="shared" si="236"/>
        <v>418</v>
      </c>
      <c r="CG78" s="71">
        <f t="shared" si="237"/>
        <v>444</v>
      </c>
      <c r="CH78" s="70">
        <f t="shared" si="238"/>
        <v>51</v>
      </c>
      <c r="CI78" s="71">
        <f t="shared" si="239"/>
        <v>55</v>
      </c>
      <c r="CJ78" s="72">
        <f t="shared" si="240"/>
        <v>86</v>
      </c>
      <c r="CK78" s="72">
        <f t="shared" si="241"/>
        <v>91</v>
      </c>
      <c r="CL78" s="72">
        <f t="shared" si="242"/>
        <v>127</v>
      </c>
      <c r="CM78" s="72">
        <f t="shared" si="243"/>
        <v>135</v>
      </c>
      <c r="CN78" s="72">
        <f t="shared" si="244"/>
        <v>167</v>
      </c>
      <c r="CO78" s="72">
        <f t="shared" si="245"/>
        <v>178</v>
      </c>
      <c r="CP78" s="72">
        <f t="shared" si="246"/>
        <v>213</v>
      </c>
      <c r="CQ78" s="72">
        <f t="shared" si="247"/>
        <v>413</v>
      </c>
      <c r="CR78" s="72">
        <f t="shared" si="248"/>
        <v>443</v>
      </c>
      <c r="CS78" s="72">
        <f t="shared" si="249"/>
        <v>456</v>
      </c>
      <c r="CT78" s="23">
        <f t="shared" si="250"/>
        <v>1</v>
      </c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  <c r="AMK78" s="1"/>
      <c r="AML78" s="1"/>
      <c r="AMM78" s="1"/>
      <c r="AMN78" s="1"/>
      <c r="AMO78" s="1"/>
    </row>
    <row r="79" spans="1:1029" x14ac:dyDescent="0.2">
      <c r="A79" s="3" t="str">
        <f t="shared" si="503"/>
        <v>acm2_human_4MQS</v>
      </c>
      <c r="B79" s="3" t="s">
        <v>147</v>
      </c>
      <c r="C79" s="3" t="s">
        <v>68</v>
      </c>
      <c r="D79" s="3" t="str">
        <f>IFERROR(MID(VLOOKUP($B79,Seqs!$A:$B,2,0),E79,1),"")</f>
        <v>K</v>
      </c>
      <c r="E79" s="3">
        <v>19</v>
      </c>
      <c r="F79" s="3" t="str">
        <f>IFERROR(MID(VLOOKUP($B79,Seqs!$A:$B,2,0),G79,1),"")</f>
        <v>N</v>
      </c>
      <c r="G79" s="3">
        <v>51</v>
      </c>
      <c r="H79" s="3" t="str">
        <f>IFERROR(MID(VLOOKUP($B79,Seqs!$A:$B,2,0),I79,1),"")</f>
        <v>R</v>
      </c>
      <c r="I79" s="23">
        <v>52</v>
      </c>
      <c r="J79" s="3" t="str">
        <f>IFERROR(MID(VLOOKUP($B79,Seqs!$A:$B,2,0),K79,1),"")</f>
        <v>Q</v>
      </c>
      <c r="K79" s="23">
        <v>55</v>
      </c>
      <c r="L79" s="3" t="str">
        <f>IFERROR(MID(VLOOKUP($B79,Seqs!$A:$B,2,0),M79,1),"")</f>
        <v>T</v>
      </c>
      <c r="M79" s="3">
        <v>56</v>
      </c>
      <c r="N79" s="3" t="str">
        <f>IFERROR(MID(VLOOKUP($B79,Seqs!$A:$B,2,0),O79,1),"")</f>
        <v>G</v>
      </c>
      <c r="O79" s="3">
        <v>87</v>
      </c>
      <c r="P79" s="3" t="str">
        <f>IFERROR(MID(VLOOKUP($B79,Seqs!$A:$B,2,0),Q79,1),"")</f>
        <v>Y</v>
      </c>
      <c r="Q79" s="3">
        <v>88</v>
      </c>
      <c r="R79" s="3" t="str">
        <f>IFERROR(MID(VLOOKUP($B79,Seqs!$A:$B,2,0),S79,1),"")</f>
        <v>L</v>
      </c>
      <c r="S79" s="3">
        <v>91</v>
      </c>
      <c r="T79" s="3" t="str">
        <f>IFERROR(MID(VLOOKUP($B79,Seqs!$A:$B,2,0),U79,1),"")</f>
        <v>G</v>
      </c>
      <c r="U79" s="3">
        <v>92</v>
      </c>
      <c r="V79" s="3" t="str">
        <f>IFERROR(MID(VLOOKUP($B79,Seqs!$A:$B,2,0),W79,1),"")</f>
        <v>K</v>
      </c>
      <c r="W79" s="3">
        <v>127</v>
      </c>
      <c r="X79" s="3" t="str">
        <f>IFERROR(MID(VLOOKUP($B79,Seqs!$A:$B,2,0),Y79,1),"")</f>
        <v>P</v>
      </c>
      <c r="Y79" s="3">
        <v>128</v>
      </c>
      <c r="Z79" s="3" t="str">
        <f>IFERROR(MID(VLOOKUP($B79,Seqs!$A:$B,2,0),AA79,1),"")</f>
        <v>R</v>
      </c>
      <c r="AA79" s="3">
        <v>135</v>
      </c>
      <c r="AB79" s="3" t="str">
        <f>IFERROR(MID(VLOOKUP($B79,Seqs!$A:$B,2,0),AC79,1),"")</f>
        <v>T</v>
      </c>
      <c r="AC79" s="9">
        <v>136</v>
      </c>
      <c r="AD79" s="3" t="str">
        <f>IFERROR(MID(VLOOKUP($B79,Seqs!$A:$B,2,0),AE79,1),"")</f>
        <v>G</v>
      </c>
      <c r="AE79" s="3">
        <v>167</v>
      </c>
      <c r="AF79" s="3" t="str">
        <f>IFERROR(MID(VLOOKUP($B79,Seqs!$A:$B,2,0),AG79,1),"")</f>
        <v>C</v>
      </c>
      <c r="AG79" s="3">
        <v>176</v>
      </c>
      <c r="AH79" s="3" t="str">
        <f>IFERROR(MID(VLOOKUP($B79,Seqs!$A:$B,2,0),AI79,1),"")</f>
        <v>I</v>
      </c>
      <c r="AI79" s="3">
        <v>178</v>
      </c>
      <c r="AJ79" s="3" t="str">
        <f>IFERROR(MID(VLOOKUP($B79,Seqs!$A:$B,2,0),AK79,1),"")</f>
        <v>N</v>
      </c>
      <c r="AK79" s="3">
        <v>183</v>
      </c>
      <c r="AL79" s="3" t="str">
        <f>IFERROR(MID(VLOOKUP($B79,Seqs!$A:$B,2,0),AM79,1),"")</f>
        <v>K</v>
      </c>
      <c r="AM79" s="3">
        <v>214</v>
      </c>
      <c r="AN79" s="3" t="str">
        <f>IFERROR(MID(VLOOKUP($B79,Seqs!$A:$B,2,0),AO79,1),"")</f>
        <v>S</v>
      </c>
      <c r="AO79" s="3">
        <v>380</v>
      </c>
      <c r="AP79" s="3" t="str">
        <f>IFERROR(MID(VLOOKUP($B79,Seqs!$A:$B,2,0),AQ79,1),"")</f>
        <v>C</v>
      </c>
      <c r="AQ79" s="3">
        <v>413</v>
      </c>
      <c r="AR79" s="3" t="str">
        <f>IFERROR(MID(VLOOKUP($B79,Seqs!$A:$B,2,0),AS79,1),"")</f>
        <v>P</v>
      </c>
      <c r="AS79" s="3">
        <v>418</v>
      </c>
      <c r="AT79" s="3" t="str">
        <f>IFERROR(MID(VLOOKUP($B79,Seqs!$A:$B,2,0),AU79,1),"")</f>
        <v>C</v>
      </c>
      <c r="AU79" s="3">
        <v>443</v>
      </c>
      <c r="AV79" s="3" t="str">
        <f>IFERROR(MID(VLOOKUP($B79,Seqs!$A:$B,2,0),AW79,1),"")</f>
        <v>N</v>
      </c>
      <c r="AW79" s="3">
        <v>444</v>
      </c>
      <c r="AX79" s="3" t="str">
        <f>IFERROR(MID(VLOOKUP($B79,Seqs!$A:$B,2,0),AY79,1),"")</f>
        <v>M</v>
      </c>
      <c r="AY79" s="3">
        <v>456</v>
      </c>
      <c r="AZ79" s="77" t="str">
        <f>VLOOKUP(B79,Classification!A:D,2,0)</f>
        <v>A</v>
      </c>
      <c r="BA79" s="94" t="str">
        <f>VLOOKUP(B79,Classification!A:D,4,0)</f>
        <v>Acetylcholine(muscarinic)</v>
      </c>
      <c r="BB79" s="27" t="b">
        <f t="shared" si="504"/>
        <v>1</v>
      </c>
      <c r="BC79" s="23">
        <f t="shared" si="225"/>
        <v>257</v>
      </c>
      <c r="BD79" s="4" t="s">
        <v>23</v>
      </c>
      <c r="BE79" s="3" t="s">
        <v>1285</v>
      </c>
      <c r="BF79" s="118">
        <v>3.5</v>
      </c>
      <c r="BG79" s="49" t="s">
        <v>1371</v>
      </c>
      <c r="BH79" s="49" t="s">
        <v>1371</v>
      </c>
      <c r="BI79" s="1"/>
      <c r="BJ79" s="70" t="s">
        <v>1281</v>
      </c>
      <c r="BK79" s="57" t="s">
        <v>1281</v>
      </c>
      <c r="BL79" s="57" t="s">
        <v>1281</v>
      </c>
      <c r="BM79" s="57" t="s">
        <v>1281</v>
      </c>
      <c r="BN79" s="57" t="s">
        <v>1281</v>
      </c>
      <c r="BO79" s="57" t="s">
        <v>1281</v>
      </c>
      <c r="BP79" s="57" t="s">
        <v>1281</v>
      </c>
      <c r="BQ79" s="57" t="s">
        <v>1281</v>
      </c>
      <c r="BR79" s="57" t="s">
        <v>1281</v>
      </c>
      <c r="BS79" s="57" t="s">
        <v>1281</v>
      </c>
      <c r="BT79" s="57" t="s">
        <v>1281</v>
      </c>
      <c r="BU79" s="57" t="s">
        <v>1281</v>
      </c>
      <c r="BV79" s="70">
        <f t="shared" si="226"/>
        <v>19</v>
      </c>
      <c r="BW79" s="71">
        <f t="shared" si="227"/>
        <v>52</v>
      </c>
      <c r="BX79" s="72">
        <f t="shared" si="228"/>
        <v>56</v>
      </c>
      <c r="BY79" s="71">
        <f t="shared" si="229"/>
        <v>88</v>
      </c>
      <c r="BZ79" s="72">
        <f t="shared" si="230"/>
        <v>92</v>
      </c>
      <c r="CA79" s="71">
        <f t="shared" si="231"/>
        <v>128</v>
      </c>
      <c r="CB79" s="72">
        <f t="shared" si="232"/>
        <v>136</v>
      </c>
      <c r="CC79" s="71">
        <f t="shared" si="233"/>
        <v>176</v>
      </c>
      <c r="CD79" s="72">
        <f t="shared" si="234"/>
        <v>183</v>
      </c>
      <c r="CE79" s="71">
        <f t="shared" si="235"/>
        <v>380</v>
      </c>
      <c r="CF79" s="72">
        <f t="shared" si="236"/>
        <v>418</v>
      </c>
      <c r="CG79" s="71">
        <f t="shared" si="237"/>
        <v>444</v>
      </c>
      <c r="CH79" s="70">
        <f t="shared" si="238"/>
        <v>51</v>
      </c>
      <c r="CI79" s="71">
        <f t="shared" si="239"/>
        <v>55</v>
      </c>
      <c r="CJ79" s="72">
        <f t="shared" si="240"/>
        <v>87</v>
      </c>
      <c r="CK79" s="72">
        <f t="shared" si="241"/>
        <v>91</v>
      </c>
      <c r="CL79" s="72">
        <f t="shared" si="242"/>
        <v>127</v>
      </c>
      <c r="CM79" s="72">
        <f t="shared" si="243"/>
        <v>135</v>
      </c>
      <c r="CN79" s="72">
        <f t="shared" si="244"/>
        <v>167</v>
      </c>
      <c r="CO79" s="72">
        <f t="shared" si="245"/>
        <v>178</v>
      </c>
      <c r="CP79" s="72">
        <f t="shared" si="246"/>
        <v>214</v>
      </c>
      <c r="CQ79" s="72">
        <f t="shared" si="247"/>
        <v>413</v>
      </c>
      <c r="CR79" s="72">
        <f t="shared" si="248"/>
        <v>443</v>
      </c>
      <c r="CS79" s="72">
        <f t="shared" si="249"/>
        <v>456</v>
      </c>
      <c r="CT79" s="23">
        <f t="shared" si="250"/>
        <v>1</v>
      </c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  <c r="AMM79" s="1"/>
      <c r="AMN79" s="1"/>
      <c r="AMO79" s="1"/>
    </row>
    <row r="80" spans="1:1029" x14ac:dyDescent="0.2">
      <c r="A80" s="3" t="str">
        <f t="shared" si="503"/>
        <v>acm2_human_4MQT</v>
      </c>
      <c r="B80" s="3" t="s">
        <v>147</v>
      </c>
      <c r="C80" s="3" t="s">
        <v>1040</v>
      </c>
      <c r="D80" s="3" t="str">
        <f>IFERROR(MID(VLOOKUP($B80,Seqs!$A:$B,2,0),E80,1),"")</f>
        <v>K</v>
      </c>
      <c r="E80" s="3">
        <v>19</v>
      </c>
      <c r="F80" s="3" t="str">
        <f>IFERROR(MID(VLOOKUP($B80,Seqs!$A:$B,2,0),G80,1),"")</f>
        <v>N</v>
      </c>
      <c r="G80" s="3">
        <v>51</v>
      </c>
      <c r="H80" s="3" t="str">
        <f>IFERROR(MID(VLOOKUP($B80,Seqs!$A:$B,2,0),I80,1),"")</f>
        <v>R</v>
      </c>
      <c r="I80" s="23">
        <v>52</v>
      </c>
      <c r="J80" s="3" t="str">
        <f>IFERROR(MID(VLOOKUP($B80,Seqs!$A:$B,2,0),K80,1),"")</f>
        <v>Q</v>
      </c>
      <c r="K80" s="23">
        <v>55</v>
      </c>
      <c r="L80" s="3" t="str">
        <f>IFERROR(MID(VLOOKUP($B80,Seqs!$A:$B,2,0),M80,1),"")</f>
        <v>T</v>
      </c>
      <c r="M80" s="3">
        <v>56</v>
      </c>
      <c r="N80" s="3" t="str">
        <f>IFERROR(MID(VLOOKUP($B80,Seqs!$A:$B,2,0),O80,1),"")</f>
        <v>G</v>
      </c>
      <c r="O80" s="3">
        <v>87</v>
      </c>
      <c r="P80" s="3" t="str">
        <f>IFERROR(MID(VLOOKUP($B80,Seqs!$A:$B,2,0),Q80,1),"")</f>
        <v>Y</v>
      </c>
      <c r="Q80" s="3">
        <v>88</v>
      </c>
      <c r="R80" s="3" t="str">
        <f>IFERROR(MID(VLOOKUP($B80,Seqs!$A:$B,2,0),S80,1),"")</f>
        <v>L</v>
      </c>
      <c r="S80" s="3">
        <v>91</v>
      </c>
      <c r="T80" s="3" t="str">
        <f>IFERROR(MID(VLOOKUP($B80,Seqs!$A:$B,2,0),U80,1),"")</f>
        <v>G</v>
      </c>
      <c r="U80" s="3">
        <v>92</v>
      </c>
      <c r="V80" s="3" t="str">
        <f>IFERROR(MID(VLOOKUP($B80,Seqs!$A:$B,2,0),W80,1),"")</f>
        <v>K</v>
      </c>
      <c r="W80" s="3">
        <v>127</v>
      </c>
      <c r="X80" s="3" t="str">
        <f>IFERROR(MID(VLOOKUP($B80,Seqs!$A:$B,2,0),Y80,1),"")</f>
        <v>P</v>
      </c>
      <c r="Y80" s="3">
        <v>128</v>
      </c>
      <c r="Z80" s="3" t="str">
        <f>IFERROR(MID(VLOOKUP($B80,Seqs!$A:$B,2,0),AA80,1),"")</f>
        <v>R</v>
      </c>
      <c r="AA80" s="3">
        <v>135</v>
      </c>
      <c r="AB80" s="3" t="str">
        <f>IFERROR(MID(VLOOKUP($B80,Seqs!$A:$B,2,0),AC80,1),"")</f>
        <v>T</v>
      </c>
      <c r="AC80" s="9">
        <v>136</v>
      </c>
      <c r="AD80" s="3" t="str">
        <f>IFERROR(MID(VLOOKUP($B80,Seqs!$A:$B,2,0),AE80,1),"")</f>
        <v>G</v>
      </c>
      <c r="AE80" s="3">
        <v>167</v>
      </c>
      <c r="AF80" s="3" t="str">
        <f>IFERROR(MID(VLOOKUP($B80,Seqs!$A:$B,2,0),AG80,1),"")</f>
        <v>C</v>
      </c>
      <c r="AG80" s="3">
        <v>176</v>
      </c>
      <c r="AH80" s="3" t="str">
        <f>IFERROR(MID(VLOOKUP($B80,Seqs!$A:$B,2,0),AI80,1),"")</f>
        <v>I</v>
      </c>
      <c r="AI80" s="3">
        <v>178</v>
      </c>
      <c r="AJ80" s="3" t="str">
        <f>IFERROR(MID(VLOOKUP($B80,Seqs!$A:$B,2,0),AK80,1),"")</f>
        <v>N</v>
      </c>
      <c r="AK80" s="3">
        <v>183</v>
      </c>
      <c r="AL80" s="3" t="str">
        <f>IFERROR(MID(VLOOKUP($B80,Seqs!$A:$B,2,0),AM80,1),"")</f>
        <v>S</v>
      </c>
      <c r="AM80" s="3">
        <v>215</v>
      </c>
      <c r="AN80" s="3" t="str">
        <f>IFERROR(MID(VLOOKUP($B80,Seqs!$A:$B,2,0),AO80,1),"")</f>
        <v>P</v>
      </c>
      <c r="AO80" s="3">
        <v>379</v>
      </c>
      <c r="AP80" s="3" t="str">
        <f>IFERROR(MID(VLOOKUP($B80,Seqs!$A:$B,2,0),AQ80,1),"")</f>
        <v>C</v>
      </c>
      <c r="AQ80" s="3">
        <v>413</v>
      </c>
      <c r="AR80" s="3" t="str">
        <f>IFERROR(MID(VLOOKUP($B80,Seqs!$A:$B,2,0),AS80,1),"")</f>
        <v>P</v>
      </c>
      <c r="AS80" s="3">
        <v>418</v>
      </c>
      <c r="AT80" s="3" t="str">
        <f>IFERROR(MID(VLOOKUP($B80,Seqs!$A:$B,2,0),AU80,1),"")</f>
        <v>C</v>
      </c>
      <c r="AU80" s="3">
        <v>443</v>
      </c>
      <c r="AV80" s="3" t="str">
        <f>IFERROR(MID(VLOOKUP($B80,Seqs!$A:$B,2,0),AW80,1),"")</f>
        <v>N</v>
      </c>
      <c r="AW80" s="3">
        <v>444</v>
      </c>
      <c r="AX80" s="3" t="str">
        <f>IFERROR(MID(VLOOKUP($B80,Seqs!$A:$B,2,0),AY80,1),"")</f>
        <v>C</v>
      </c>
      <c r="AY80" s="3">
        <v>457</v>
      </c>
      <c r="AZ80" s="77" t="str">
        <f>VLOOKUP(B80,Classification!A:D,2,0)</f>
        <v>A</v>
      </c>
      <c r="BA80" s="94" t="str">
        <f>VLOOKUP(B80,Classification!A:D,4,0)</f>
        <v>Acetylcholine(muscarinic)</v>
      </c>
      <c r="BB80" s="27" t="b">
        <f t="shared" si="504"/>
        <v>1</v>
      </c>
      <c r="BC80" s="23">
        <f t="shared" si="225"/>
        <v>260</v>
      </c>
      <c r="BD80" s="4" t="s">
        <v>1369</v>
      </c>
      <c r="BE80" s="3" t="s">
        <v>1285</v>
      </c>
      <c r="BF80" s="118">
        <v>3.7</v>
      </c>
      <c r="BG80" s="49" t="s">
        <v>1371</v>
      </c>
      <c r="BH80" s="49" t="s">
        <v>1371</v>
      </c>
      <c r="BI80" s="1"/>
      <c r="BJ80" s="70" t="s">
        <v>1281</v>
      </c>
      <c r="BK80" s="57" t="s">
        <v>1281</v>
      </c>
      <c r="BL80" s="57" t="s">
        <v>1281</v>
      </c>
      <c r="BM80" s="57" t="s">
        <v>1281</v>
      </c>
      <c r="BN80" s="57" t="s">
        <v>1281</v>
      </c>
      <c r="BO80" s="57" t="s">
        <v>1281</v>
      </c>
      <c r="BP80" s="57" t="s">
        <v>1281</v>
      </c>
      <c r="BQ80" s="57" t="s">
        <v>1281</v>
      </c>
      <c r="BR80" s="57" t="s">
        <v>1281</v>
      </c>
      <c r="BS80" s="57" t="s">
        <v>1281</v>
      </c>
      <c r="BT80" s="57" t="s">
        <v>1281</v>
      </c>
      <c r="BU80" s="57" t="s">
        <v>1281</v>
      </c>
      <c r="BV80" s="70">
        <f t="shared" si="226"/>
        <v>19</v>
      </c>
      <c r="BW80" s="71">
        <f t="shared" si="227"/>
        <v>52</v>
      </c>
      <c r="BX80" s="72">
        <f t="shared" si="228"/>
        <v>56</v>
      </c>
      <c r="BY80" s="71">
        <f t="shared" si="229"/>
        <v>88</v>
      </c>
      <c r="BZ80" s="72">
        <f t="shared" si="230"/>
        <v>92</v>
      </c>
      <c r="CA80" s="71">
        <f t="shared" si="231"/>
        <v>128</v>
      </c>
      <c r="CB80" s="72">
        <f t="shared" si="232"/>
        <v>136</v>
      </c>
      <c r="CC80" s="71">
        <f t="shared" si="233"/>
        <v>176</v>
      </c>
      <c r="CD80" s="72">
        <f t="shared" si="234"/>
        <v>183</v>
      </c>
      <c r="CE80" s="71">
        <f t="shared" si="235"/>
        <v>379</v>
      </c>
      <c r="CF80" s="72">
        <f t="shared" si="236"/>
        <v>418</v>
      </c>
      <c r="CG80" s="71">
        <f t="shared" si="237"/>
        <v>444</v>
      </c>
      <c r="CH80" s="70">
        <f t="shared" si="238"/>
        <v>51</v>
      </c>
      <c r="CI80" s="71">
        <f t="shared" si="239"/>
        <v>55</v>
      </c>
      <c r="CJ80" s="72">
        <f t="shared" si="240"/>
        <v>87</v>
      </c>
      <c r="CK80" s="72">
        <f t="shared" si="241"/>
        <v>91</v>
      </c>
      <c r="CL80" s="72">
        <f t="shared" si="242"/>
        <v>127</v>
      </c>
      <c r="CM80" s="72">
        <f t="shared" si="243"/>
        <v>135</v>
      </c>
      <c r="CN80" s="72">
        <f t="shared" si="244"/>
        <v>167</v>
      </c>
      <c r="CO80" s="72">
        <f t="shared" si="245"/>
        <v>178</v>
      </c>
      <c r="CP80" s="72">
        <f t="shared" si="246"/>
        <v>215</v>
      </c>
      <c r="CQ80" s="72">
        <f t="shared" si="247"/>
        <v>413</v>
      </c>
      <c r="CR80" s="72">
        <f t="shared" si="248"/>
        <v>443</v>
      </c>
      <c r="CS80" s="72">
        <f t="shared" si="249"/>
        <v>457</v>
      </c>
      <c r="CT80" s="23">
        <f t="shared" si="250"/>
        <v>1</v>
      </c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</row>
    <row r="81" spans="1:1029" x14ac:dyDescent="0.2">
      <c r="A81" s="3" t="str">
        <f t="shared" ref="A81" si="505">CONCATENATE(B81,"_",C81)</f>
        <v>acm2_human_5ZKC</v>
      </c>
      <c r="B81" s="3" t="s">
        <v>147</v>
      </c>
      <c r="C81" s="3" t="s">
        <v>1524</v>
      </c>
      <c r="D81" s="3" t="str">
        <f>IFERROR(MID(VLOOKUP($B81,Seqs!$A:$B,2,0),E81,1),"")</f>
        <v>P</v>
      </c>
      <c r="E81" s="3">
        <v>17</v>
      </c>
      <c r="F81" s="3" t="str">
        <f>IFERROR(MID(VLOOKUP($B81,Seqs!$A:$B,2,0),G81,1),"")</f>
        <v>N</v>
      </c>
      <c r="G81" s="3">
        <v>51</v>
      </c>
      <c r="H81" s="3" t="str">
        <f>IFERROR(MID(VLOOKUP($B81,Seqs!$A:$B,2,0),I81,1),"")</f>
        <v>R</v>
      </c>
      <c r="I81" s="23">
        <v>52</v>
      </c>
      <c r="J81" s="3" t="str">
        <f>IFERROR(MID(VLOOKUP($B81,Seqs!$A:$B,2,0),K81,1),"")</f>
        <v>Q</v>
      </c>
      <c r="K81" s="23">
        <v>55</v>
      </c>
      <c r="L81" s="3" t="str">
        <f>IFERROR(MID(VLOOKUP($B81,Seqs!$A:$B,2,0),M81,1),"")</f>
        <v>T</v>
      </c>
      <c r="M81" s="3">
        <v>56</v>
      </c>
      <c r="N81" s="3" t="str">
        <f>IFERROR(MID(VLOOKUP($B81,Seqs!$A:$B,2,0),O81,1),"")</f>
        <v>G</v>
      </c>
      <c r="O81" s="3">
        <v>87</v>
      </c>
      <c r="P81" s="3" t="str">
        <f>IFERROR(MID(VLOOKUP($B81,Seqs!$A:$B,2,0),Q81,1),"")</f>
        <v>Y</v>
      </c>
      <c r="Q81" s="3">
        <v>88</v>
      </c>
      <c r="R81" s="3" t="str">
        <f>IFERROR(MID(VLOOKUP($B81,Seqs!$A:$B,2,0),S81,1),"")</f>
        <v>L</v>
      </c>
      <c r="S81" s="3">
        <v>91</v>
      </c>
      <c r="T81" s="3" t="str">
        <f>IFERROR(MID(VLOOKUP($B81,Seqs!$A:$B,2,0),U81,1),"")</f>
        <v>G</v>
      </c>
      <c r="U81" s="3">
        <v>92</v>
      </c>
      <c r="V81" s="3" t="str">
        <f>IFERROR(MID(VLOOKUP($B81,Seqs!$A:$B,2,0),W81,1),"")</f>
        <v>K</v>
      </c>
      <c r="W81" s="3">
        <v>127</v>
      </c>
      <c r="X81" s="3" t="str">
        <f>IFERROR(MID(VLOOKUP($B81,Seqs!$A:$B,2,0),Y81,1),"")</f>
        <v>P</v>
      </c>
      <c r="Y81" s="3">
        <v>128</v>
      </c>
      <c r="Z81" s="3" t="str">
        <f>IFERROR(MID(VLOOKUP($B81,Seqs!$A:$B,2,0),AA81,1),"")</f>
        <v>R</v>
      </c>
      <c r="AA81" s="3">
        <v>135</v>
      </c>
      <c r="AB81" s="3" t="str">
        <f>IFERROR(MID(VLOOKUP($B81,Seqs!$A:$B,2,0),AC81,1),"")</f>
        <v>T</v>
      </c>
      <c r="AC81" s="3">
        <v>136</v>
      </c>
      <c r="AD81" s="3" t="str">
        <f>IFERROR(MID(VLOOKUP($B81,Seqs!$A:$B,2,0),AE81,1),"")</f>
        <v>V</v>
      </c>
      <c r="AE81" s="3">
        <v>166</v>
      </c>
      <c r="AF81" s="3" t="str">
        <f>IFERROR(MID(VLOOKUP($B81,Seqs!$A:$B,2,0),AG81,1),"")</f>
        <v>C</v>
      </c>
      <c r="AG81" s="3">
        <v>176</v>
      </c>
      <c r="AH81" s="3" t="str">
        <f>IFERROR(MID(VLOOKUP($B81,Seqs!$A:$B,2,0),AI81,1),"")</f>
        <v>I</v>
      </c>
      <c r="AI81" s="3">
        <v>178</v>
      </c>
      <c r="AJ81" s="3" t="str">
        <f>IFERROR(MID(VLOOKUP($B81,Seqs!$A:$B,2,0),AK81,1),"")</f>
        <v>N</v>
      </c>
      <c r="AK81" s="3">
        <v>183</v>
      </c>
      <c r="AL81" s="3" t="str">
        <f>IFERROR(MID(VLOOKUP($B81,Seqs!$A:$B,2,0),AM81,1),"")</f>
        <v>K</v>
      </c>
      <c r="AM81" s="3">
        <v>214</v>
      </c>
      <c r="AN81" s="3" t="str">
        <f>IFERROR(MID(VLOOKUP($B81,Seqs!$A:$B,2,0),AO81,1),"")</f>
        <v>R</v>
      </c>
      <c r="AO81" s="3">
        <v>381</v>
      </c>
      <c r="AP81" s="3" t="str">
        <f>IFERROR(MID(VLOOKUP($B81,Seqs!$A:$B,2,0),AQ81,1),"")</f>
        <v>C</v>
      </c>
      <c r="AQ81" s="3">
        <v>413</v>
      </c>
      <c r="AR81" s="3" t="str">
        <f>IFERROR(MID(VLOOKUP($B81,Seqs!$A:$B,2,0),AS81,1),"")</f>
        <v>P</v>
      </c>
      <c r="AS81" s="3">
        <v>418</v>
      </c>
      <c r="AT81" s="3" t="str">
        <f>IFERROR(MID(VLOOKUP($B81,Seqs!$A:$B,2,0),AU81,1),"")</f>
        <v>C</v>
      </c>
      <c r="AU81" s="105">
        <v>443</v>
      </c>
      <c r="AV81" s="3" t="str">
        <f>IFERROR(MID(VLOOKUP($B81,Seqs!$A:$B,2,0),AW81,1),"")</f>
        <v>N</v>
      </c>
      <c r="AW81" s="3">
        <v>444</v>
      </c>
      <c r="AX81" s="3" t="str">
        <f>IFERROR(MID(VLOOKUP($B81,Seqs!$A:$B,2,0),AY81,1),"")</f>
        <v>M</v>
      </c>
      <c r="AY81" s="3">
        <v>456</v>
      </c>
      <c r="AZ81" s="77" t="str">
        <f>VLOOKUP(B81,Classification!A:D,2,0)</f>
        <v>A</v>
      </c>
      <c r="BA81" s="94" t="str">
        <f>VLOOKUP(B81,Classification!A:D,4,0)</f>
        <v>Acetylcholine(muscarinic)</v>
      </c>
      <c r="BB81" s="27" t="b">
        <f t="shared" ref="BB81" si="506">AND(E81&lt;G81,OR(G81&lt;I81,I81="-"),OR(I81&lt;K81,I81="-"),OR(K81&lt;M81,K81="-"),M81&lt;O81,OR(O81&lt;Q81,Q81="-"),OR(Q81&lt;S81,Q81="-"),OR(S81&lt;U81,S81="-"),U81&lt;W81,OR(W81&lt;Y81,Y81="-"),OR(Y81&lt;AA81,Y81="-"),OR(AA81&lt;AC81,AA81="-"),AC81&lt;AE81,OR(AE81&lt;AG81,AG81="-"),OR(AG81&lt;AI81,AG81="-"),OR(AI81&lt;AK81,AI81="-"),AK81&lt;AM81,AM81&lt;AO81,AO81&lt;AQ81,AQ81&lt;AS81,AS81&lt;AU81,OR(AU81&lt;AW81,AW81="-"),OR(AW81&lt;AY81,AW81="-"))</f>
        <v>1</v>
      </c>
      <c r="BC81" s="23">
        <f t="shared" ref="BC81" si="507">_xlfn.AGGREGATE(9,6,CH81:CS81)-_xlfn.AGGREGATE(9,6,BV81:CG81)+12</f>
        <v>257</v>
      </c>
      <c r="BD81" s="4" t="s">
        <v>1370</v>
      </c>
      <c r="BE81" s="3" t="s">
        <v>1368</v>
      </c>
      <c r="BF81" s="118">
        <v>2.2999999999999998</v>
      </c>
      <c r="BG81" s="49" t="s">
        <v>1</v>
      </c>
      <c r="BH81" s="49" t="s">
        <v>1</v>
      </c>
      <c r="BI81" s="1"/>
      <c r="BJ81" s="70" t="s">
        <v>1281</v>
      </c>
      <c r="BK81" s="57" t="s">
        <v>1281</v>
      </c>
      <c r="BL81" s="57" t="s">
        <v>1281</v>
      </c>
      <c r="BM81" s="57" t="s">
        <v>1281</v>
      </c>
      <c r="BN81" s="57" t="s">
        <v>1281</v>
      </c>
      <c r="BO81" s="57" t="s">
        <v>1281</v>
      </c>
      <c r="BP81" s="57" t="s">
        <v>1281</v>
      </c>
      <c r="BQ81" s="57" t="s">
        <v>1281</v>
      </c>
      <c r="BR81" s="57" t="s">
        <v>1281</v>
      </c>
      <c r="BS81" s="57" t="s">
        <v>1281</v>
      </c>
      <c r="BT81" s="57" t="s">
        <v>1281</v>
      </c>
      <c r="BU81" s="57" t="s">
        <v>1281</v>
      </c>
      <c r="BV81" s="70">
        <f t="shared" ref="BV81" si="508">E81</f>
        <v>17</v>
      </c>
      <c r="BW81" s="71">
        <f t="shared" ref="BW81" si="509">I81</f>
        <v>52</v>
      </c>
      <c r="BX81" s="72">
        <f t="shared" ref="BX81" si="510">M81</f>
        <v>56</v>
      </c>
      <c r="BY81" s="71">
        <f t="shared" ref="BY81" si="511">Q81</f>
        <v>88</v>
      </c>
      <c r="BZ81" s="72">
        <f t="shared" ref="BZ81" si="512">U81</f>
        <v>92</v>
      </c>
      <c r="CA81" s="71">
        <f t="shared" ref="CA81" si="513">Y81</f>
        <v>128</v>
      </c>
      <c r="CB81" s="72">
        <f t="shared" ref="CB81" si="514">AC81</f>
        <v>136</v>
      </c>
      <c r="CC81" s="71">
        <f t="shared" ref="CC81" si="515">AG81</f>
        <v>176</v>
      </c>
      <c r="CD81" s="72">
        <f t="shared" ref="CD81" si="516">AK81</f>
        <v>183</v>
      </c>
      <c r="CE81" s="71">
        <f t="shared" ref="CE81" si="517">AO81</f>
        <v>381</v>
      </c>
      <c r="CF81" s="72">
        <f t="shared" ref="CF81" si="518">AS81</f>
        <v>418</v>
      </c>
      <c r="CG81" s="71">
        <f t="shared" ref="CG81" si="519">AW81</f>
        <v>444</v>
      </c>
      <c r="CH81" s="70">
        <f t="shared" ref="CH81" si="520">G81</f>
        <v>51</v>
      </c>
      <c r="CI81" s="71">
        <f t="shared" ref="CI81" si="521">K81</f>
        <v>55</v>
      </c>
      <c r="CJ81" s="72">
        <f t="shared" ref="CJ81" si="522">O81</f>
        <v>87</v>
      </c>
      <c r="CK81" s="72">
        <f t="shared" ref="CK81" si="523">S81</f>
        <v>91</v>
      </c>
      <c r="CL81" s="72">
        <f t="shared" ref="CL81" si="524">W81</f>
        <v>127</v>
      </c>
      <c r="CM81" s="72">
        <f t="shared" ref="CM81" si="525">AA81</f>
        <v>135</v>
      </c>
      <c r="CN81" s="72">
        <f t="shared" ref="CN81" si="526">AE81</f>
        <v>166</v>
      </c>
      <c r="CO81" s="72">
        <f t="shared" ref="CO81" si="527">AI81</f>
        <v>178</v>
      </c>
      <c r="CP81" s="72">
        <f t="shared" ref="CP81" si="528">AM81</f>
        <v>214</v>
      </c>
      <c r="CQ81" s="72">
        <f t="shared" ref="CQ81" si="529">AQ81</f>
        <v>413</v>
      </c>
      <c r="CR81" s="72">
        <f t="shared" ref="CR81" si="530">AU81</f>
        <v>443</v>
      </c>
      <c r="CS81" s="72">
        <f t="shared" ref="CS81" si="531">AY81</f>
        <v>456</v>
      </c>
      <c r="CT81" s="23">
        <f t="shared" ref="CT81" si="532">M81-K81</f>
        <v>1</v>
      </c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</row>
    <row r="82" spans="1:1029" x14ac:dyDescent="0.2">
      <c r="A82" s="3" t="str">
        <f t="shared" ref="A82" si="533">CONCATENATE(B82,"_",C82)</f>
        <v>acm2_human_5ZKB</v>
      </c>
      <c r="B82" s="3" t="s">
        <v>147</v>
      </c>
      <c r="C82" s="3" t="s">
        <v>1525</v>
      </c>
      <c r="D82" s="3" t="str">
        <f>IFERROR(MID(VLOOKUP($B82,Seqs!$A:$B,2,0),E82,1),"")</f>
        <v>Y</v>
      </c>
      <c r="E82" s="3">
        <v>18</v>
      </c>
      <c r="F82" s="3" t="str">
        <f>IFERROR(MID(VLOOKUP($B82,Seqs!$A:$B,2,0),G82,1),"")</f>
        <v>N</v>
      </c>
      <c r="G82" s="3">
        <v>51</v>
      </c>
      <c r="H82" s="3" t="str">
        <f>IFERROR(MID(VLOOKUP($B82,Seqs!$A:$B,2,0),I82,1),"")</f>
        <v>R</v>
      </c>
      <c r="I82" s="23">
        <v>52</v>
      </c>
      <c r="J82" s="3" t="str">
        <f>IFERROR(MID(VLOOKUP($B82,Seqs!$A:$B,2,0),K82,1),"")</f>
        <v>Q</v>
      </c>
      <c r="K82" s="23">
        <v>55</v>
      </c>
      <c r="L82" s="3" t="str">
        <f>IFERROR(MID(VLOOKUP($B82,Seqs!$A:$B,2,0),M82,1),"")</f>
        <v>T</v>
      </c>
      <c r="M82" s="3">
        <v>56</v>
      </c>
      <c r="N82" s="3" t="str">
        <f>IFERROR(MID(VLOOKUP($B82,Seqs!$A:$B,2,0),O82,1),"")</f>
        <v>G</v>
      </c>
      <c r="O82" s="3">
        <v>87</v>
      </c>
      <c r="P82" s="3" t="str">
        <f>IFERROR(MID(VLOOKUP($B82,Seqs!$A:$B,2,0),Q82,1),"")</f>
        <v>Y</v>
      </c>
      <c r="Q82" s="3">
        <v>88</v>
      </c>
      <c r="R82" s="3" t="str">
        <f>IFERROR(MID(VLOOKUP($B82,Seqs!$A:$B,2,0),S82,1),"")</f>
        <v>L</v>
      </c>
      <c r="S82" s="3">
        <v>91</v>
      </c>
      <c r="T82" s="3" t="str">
        <f>IFERROR(MID(VLOOKUP($B82,Seqs!$A:$B,2,0),U82,1),"")</f>
        <v>G</v>
      </c>
      <c r="U82" s="3">
        <v>92</v>
      </c>
      <c r="V82" s="3" t="str">
        <f>IFERROR(MID(VLOOKUP($B82,Seqs!$A:$B,2,0),W82,1),"")</f>
        <v>K</v>
      </c>
      <c r="W82" s="3">
        <v>127</v>
      </c>
      <c r="X82" s="3" t="str">
        <f>IFERROR(MID(VLOOKUP($B82,Seqs!$A:$B,2,0),Y82,1),"")</f>
        <v>P</v>
      </c>
      <c r="Y82" s="3">
        <v>128</v>
      </c>
      <c r="Z82" s="3" t="str">
        <f>IFERROR(MID(VLOOKUP($B82,Seqs!$A:$B,2,0),AA82,1),"")</f>
        <v>R</v>
      </c>
      <c r="AA82" s="3">
        <v>135</v>
      </c>
      <c r="AB82" s="3" t="str">
        <f>IFERROR(MID(VLOOKUP($B82,Seqs!$A:$B,2,0),AC82,1),"")</f>
        <v>T</v>
      </c>
      <c r="AC82" s="3">
        <v>136</v>
      </c>
      <c r="AD82" s="3" t="str">
        <f>IFERROR(MID(VLOOKUP($B82,Seqs!$A:$B,2,0),AE82,1),"")</f>
        <v>V</v>
      </c>
      <c r="AE82" s="3">
        <v>166</v>
      </c>
      <c r="AF82" s="3" t="str">
        <f>IFERROR(MID(VLOOKUP($B82,Seqs!$A:$B,2,0),AG82,1),"")</f>
        <v>C</v>
      </c>
      <c r="AG82" s="3">
        <v>176</v>
      </c>
      <c r="AH82" s="3" t="str">
        <f>IFERROR(MID(VLOOKUP($B82,Seqs!$A:$B,2,0),AI82,1),"")</f>
        <v>I</v>
      </c>
      <c r="AI82" s="3">
        <v>178</v>
      </c>
      <c r="AJ82" s="3" t="str">
        <f>IFERROR(MID(VLOOKUP($B82,Seqs!$A:$B,2,0),AK82,1),"")</f>
        <v>N</v>
      </c>
      <c r="AK82" s="3">
        <v>183</v>
      </c>
      <c r="AL82" s="3" t="str">
        <f>IFERROR(MID(VLOOKUP($B82,Seqs!$A:$B,2,0),AM82,1),"")</f>
        <v>K</v>
      </c>
      <c r="AM82" s="3">
        <v>214</v>
      </c>
      <c r="AN82" s="3" t="str">
        <f>IFERROR(MID(VLOOKUP($B82,Seqs!$A:$B,2,0),AO82,1),"")</f>
        <v>S</v>
      </c>
      <c r="AO82" s="3">
        <v>380</v>
      </c>
      <c r="AP82" s="3" t="str">
        <f>IFERROR(MID(VLOOKUP($B82,Seqs!$A:$B,2,0),AQ82,1),"")</f>
        <v>C</v>
      </c>
      <c r="AQ82" s="3">
        <v>413</v>
      </c>
      <c r="AR82" s="3" t="str">
        <f>IFERROR(MID(VLOOKUP($B82,Seqs!$A:$B,2,0),AS82,1),"")</f>
        <v>P</v>
      </c>
      <c r="AS82" s="3">
        <v>418</v>
      </c>
      <c r="AT82" s="3" t="str">
        <f>IFERROR(MID(VLOOKUP($B82,Seqs!$A:$B,2,0),AU82,1),"")</f>
        <v>C</v>
      </c>
      <c r="AU82" s="105">
        <v>443</v>
      </c>
      <c r="AV82" s="3" t="str">
        <f>IFERROR(MID(VLOOKUP($B82,Seqs!$A:$B,2,0),AW82,1),"")</f>
        <v>N</v>
      </c>
      <c r="AW82" s="3">
        <v>444</v>
      </c>
      <c r="AX82" s="3" t="str">
        <f>IFERROR(MID(VLOOKUP($B82,Seqs!$A:$B,2,0),AY82,1),"")</f>
        <v>M</v>
      </c>
      <c r="AY82" s="3">
        <v>456</v>
      </c>
      <c r="AZ82" s="77" t="str">
        <f>VLOOKUP(B82,Classification!A:D,2,0)</f>
        <v>A</v>
      </c>
      <c r="BA82" s="94" t="str">
        <f>VLOOKUP(B82,Classification!A:D,4,0)</f>
        <v>Acetylcholine(muscarinic)</v>
      </c>
      <c r="BB82" s="27" t="b">
        <f t="shared" ref="BB82" si="534">AND(E82&lt;G82,OR(G82&lt;I82,I82="-"),OR(I82&lt;K82,I82="-"),OR(K82&lt;M82,K82="-"),M82&lt;O82,OR(O82&lt;Q82,Q82="-"),OR(Q82&lt;S82,Q82="-"),OR(S82&lt;U82,S82="-"),U82&lt;W82,OR(W82&lt;Y82,Y82="-"),OR(Y82&lt;AA82,Y82="-"),OR(AA82&lt;AC82,AA82="-"),AC82&lt;AE82,OR(AE82&lt;AG82,AG82="-"),OR(AG82&lt;AI82,AG82="-"),OR(AI82&lt;AK82,AI82="-"),AK82&lt;AM82,AM82&lt;AO82,AO82&lt;AQ82,AQ82&lt;AS82,AS82&lt;AU82,OR(AU82&lt;AW82,AW82="-"),OR(AW82&lt;AY82,AW82="-"))</f>
        <v>1</v>
      </c>
      <c r="BC82" s="23">
        <f t="shared" ref="BC82" si="535">_xlfn.AGGREGATE(9,6,CH82:CS82)-_xlfn.AGGREGATE(9,6,BV82:CG82)+12</f>
        <v>257</v>
      </c>
      <c r="BD82" s="4" t="s">
        <v>23</v>
      </c>
      <c r="BE82" s="3" t="s">
        <v>1368</v>
      </c>
      <c r="BF82" s="118">
        <v>2.95</v>
      </c>
      <c r="BG82" s="49" t="s">
        <v>1</v>
      </c>
      <c r="BH82" s="49" t="s">
        <v>1</v>
      </c>
      <c r="BI82" s="1"/>
      <c r="BJ82" s="70" t="s">
        <v>1281</v>
      </c>
      <c r="BK82" s="57" t="s">
        <v>1281</v>
      </c>
      <c r="BL82" s="57" t="s">
        <v>1281</v>
      </c>
      <c r="BM82" s="57" t="s">
        <v>1281</v>
      </c>
      <c r="BN82" s="57" t="s">
        <v>1281</v>
      </c>
      <c r="BO82" s="57" t="s">
        <v>1281</v>
      </c>
      <c r="BP82" s="57" t="s">
        <v>1281</v>
      </c>
      <c r="BQ82" s="57" t="s">
        <v>1281</v>
      </c>
      <c r="BR82" s="57" t="s">
        <v>1281</v>
      </c>
      <c r="BS82" s="57" t="s">
        <v>1281</v>
      </c>
      <c r="BT82" s="57" t="s">
        <v>1281</v>
      </c>
      <c r="BU82" s="57" t="s">
        <v>1281</v>
      </c>
      <c r="BV82" s="70">
        <f t="shared" ref="BV82" si="536">E82</f>
        <v>18</v>
      </c>
      <c r="BW82" s="71">
        <f t="shared" ref="BW82" si="537">I82</f>
        <v>52</v>
      </c>
      <c r="BX82" s="72">
        <f t="shared" ref="BX82" si="538">M82</f>
        <v>56</v>
      </c>
      <c r="BY82" s="71">
        <f t="shared" ref="BY82" si="539">Q82</f>
        <v>88</v>
      </c>
      <c r="BZ82" s="72">
        <f t="shared" ref="BZ82" si="540">U82</f>
        <v>92</v>
      </c>
      <c r="CA82" s="71">
        <f t="shared" ref="CA82" si="541">Y82</f>
        <v>128</v>
      </c>
      <c r="CB82" s="72">
        <f t="shared" ref="CB82" si="542">AC82</f>
        <v>136</v>
      </c>
      <c r="CC82" s="71">
        <f t="shared" ref="CC82" si="543">AG82</f>
        <v>176</v>
      </c>
      <c r="CD82" s="72">
        <f t="shared" ref="CD82" si="544">AK82</f>
        <v>183</v>
      </c>
      <c r="CE82" s="71">
        <f t="shared" ref="CE82" si="545">AO82</f>
        <v>380</v>
      </c>
      <c r="CF82" s="72">
        <f t="shared" ref="CF82" si="546">AS82</f>
        <v>418</v>
      </c>
      <c r="CG82" s="71">
        <f t="shared" ref="CG82" si="547">AW82</f>
        <v>444</v>
      </c>
      <c r="CH82" s="70">
        <f t="shared" ref="CH82" si="548">G82</f>
        <v>51</v>
      </c>
      <c r="CI82" s="71">
        <f t="shared" ref="CI82" si="549">K82</f>
        <v>55</v>
      </c>
      <c r="CJ82" s="72">
        <f t="shared" ref="CJ82" si="550">O82</f>
        <v>87</v>
      </c>
      <c r="CK82" s="72">
        <f t="shared" ref="CK82" si="551">S82</f>
        <v>91</v>
      </c>
      <c r="CL82" s="72">
        <f t="shared" ref="CL82" si="552">W82</f>
        <v>127</v>
      </c>
      <c r="CM82" s="72">
        <f t="shared" ref="CM82" si="553">AA82</f>
        <v>135</v>
      </c>
      <c r="CN82" s="72">
        <f t="shared" ref="CN82" si="554">AE82</f>
        <v>166</v>
      </c>
      <c r="CO82" s="72">
        <f t="shared" ref="CO82" si="555">AI82</f>
        <v>178</v>
      </c>
      <c r="CP82" s="72">
        <f t="shared" ref="CP82" si="556">AM82</f>
        <v>214</v>
      </c>
      <c r="CQ82" s="72">
        <f t="shared" ref="CQ82" si="557">AQ82</f>
        <v>413</v>
      </c>
      <c r="CR82" s="72">
        <f t="shared" ref="CR82" si="558">AU82</f>
        <v>443</v>
      </c>
      <c r="CS82" s="72">
        <f t="shared" ref="CS82" si="559">AY82</f>
        <v>456</v>
      </c>
      <c r="CT82" s="23">
        <f t="shared" ref="CT82" si="560">M82-K82</f>
        <v>1</v>
      </c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</row>
    <row r="83" spans="1:1029" x14ac:dyDescent="0.2">
      <c r="A83" s="3" t="str">
        <f t="shared" ref="A83" si="561">CONCATENATE(B83,"_",C83)</f>
        <v>acm2_human_5ZK8</v>
      </c>
      <c r="B83" s="3" t="s">
        <v>147</v>
      </c>
      <c r="C83" s="3" t="s">
        <v>1526</v>
      </c>
      <c r="D83" s="3" t="str">
        <f>IFERROR(MID(VLOOKUP($B83,Seqs!$A:$B,2,0),E83,1),"")</f>
        <v>Y</v>
      </c>
      <c r="E83" s="3">
        <v>18</v>
      </c>
      <c r="F83" s="3" t="str">
        <f>IFERROR(MID(VLOOKUP($B83,Seqs!$A:$B,2,0),G83,1),"")</f>
        <v>N</v>
      </c>
      <c r="G83" s="3">
        <v>51</v>
      </c>
      <c r="H83" s="3" t="str">
        <f>IFERROR(MID(VLOOKUP($B83,Seqs!$A:$B,2,0),I83,1),"")</f>
        <v>R</v>
      </c>
      <c r="I83" s="23">
        <v>52</v>
      </c>
      <c r="J83" s="3" t="str">
        <f>IFERROR(MID(VLOOKUP($B83,Seqs!$A:$B,2,0),K83,1),"")</f>
        <v>Q</v>
      </c>
      <c r="K83" s="23">
        <v>55</v>
      </c>
      <c r="L83" s="3" t="str">
        <f>IFERROR(MID(VLOOKUP($B83,Seqs!$A:$B,2,0),M83,1),"")</f>
        <v>T</v>
      </c>
      <c r="M83" s="3">
        <v>56</v>
      </c>
      <c r="N83" s="3" t="str">
        <f>IFERROR(MID(VLOOKUP($B83,Seqs!$A:$B,2,0),O83,1),"")</f>
        <v>G</v>
      </c>
      <c r="O83" s="3">
        <v>87</v>
      </c>
      <c r="P83" s="3" t="str">
        <f>IFERROR(MID(VLOOKUP($B83,Seqs!$A:$B,2,0),Q83,1),"")</f>
        <v>Y</v>
      </c>
      <c r="Q83" s="3">
        <v>88</v>
      </c>
      <c r="R83" s="3" t="str">
        <f>IFERROR(MID(VLOOKUP($B83,Seqs!$A:$B,2,0),S83,1),"")</f>
        <v>L</v>
      </c>
      <c r="S83" s="3">
        <v>91</v>
      </c>
      <c r="T83" s="3" t="str">
        <f>IFERROR(MID(VLOOKUP($B83,Seqs!$A:$B,2,0),U83,1),"")</f>
        <v>G</v>
      </c>
      <c r="U83" s="3">
        <v>92</v>
      </c>
      <c r="V83" s="3" t="str">
        <f>IFERROR(MID(VLOOKUP($B83,Seqs!$A:$B,2,0),W83,1),"")</f>
        <v>K</v>
      </c>
      <c r="W83" s="3">
        <v>127</v>
      </c>
      <c r="X83" s="3" t="str">
        <f>IFERROR(MID(VLOOKUP($B83,Seqs!$A:$B,2,0),Y83,1),"")</f>
        <v>P</v>
      </c>
      <c r="Y83" s="3">
        <v>128</v>
      </c>
      <c r="Z83" s="3" t="str">
        <f>IFERROR(MID(VLOOKUP($B83,Seqs!$A:$B,2,0),AA83,1),"")</f>
        <v>R</v>
      </c>
      <c r="AA83" s="3">
        <v>135</v>
      </c>
      <c r="AB83" s="3" t="str">
        <f>IFERROR(MID(VLOOKUP($B83,Seqs!$A:$B,2,0),AC83,1),"")</f>
        <v>T</v>
      </c>
      <c r="AC83" s="3">
        <v>136</v>
      </c>
      <c r="AD83" s="3" t="str">
        <f>IFERROR(MID(VLOOKUP($B83,Seqs!$A:$B,2,0),AE83,1),"")</f>
        <v>G</v>
      </c>
      <c r="AE83" s="3">
        <v>167</v>
      </c>
      <c r="AF83" s="3" t="str">
        <f>IFERROR(MID(VLOOKUP($B83,Seqs!$A:$B,2,0),AG83,1),"")</f>
        <v>C</v>
      </c>
      <c r="AG83" s="3">
        <v>176</v>
      </c>
      <c r="AH83" s="3" t="str">
        <f>IFERROR(MID(VLOOKUP($B83,Seqs!$A:$B,2,0),AI83,1),"")</f>
        <v>I</v>
      </c>
      <c r="AI83" s="3">
        <v>178</v>
      </c>
      <c r="AJ83" s="3" t="str">
        <f>IFERROR(MID(VLOOKUP($B83,Seqs!$A:$B,2,0),AK83,1),"")</f>
        <v>N</v>
      </c>
      <c r="AK83" s="3">
        <v>183</v>
      </c>
      <c r="AL83" s="3" t="str">
        <f>IFERROR(MID(VLOOKUP($B83,Seqs!$A:$B,2,0),AM83,1),"")</f>
        <v>K</v>
      </c>
      <c r="AM83" s="3">
        <v>214</v>
      </c>
      <c r="AN83" s="3" t="str">
        <f>IFERROR(MID(VLOOKUP($B83,Seqs!$A:$B,2,0),AO83,1),"")</f>
        <v>K</v>
      </c>
      <c r="AO83" s="3">
        <v>383</v>
      </c>
      <c r="AP83" s="3" t="str">
        <f>IFERROR(MID(VLOOKUP($B83,Seqs!$A:$B,2,0),AQ83,1),"")</f>
        <v>C</v>
      </c>
      <c r="AQ83" s="3">
        <v>413</v>
      </c>
      <c r="AR83" s="3" t="str">
        <f>IFERROR(MID(VLOOKUP($B83,Seqs!$A:$B,2,0),AS83,1),"")</f>
        <v>P</v>
      </c>
      <c r="AS83" s="3">
        <v>418</v>
      </c>
      <c r="AT83" s="3" t="str">
        <f>IFERROR(MID(VLOOKUP($B83,Seqs!$A:$B,2,0),AU83,1),"")</f>
        <v>C</v>
      </c>
      <c r="AU83" s="105">
        <v>443</v>
      </c>
      <c r="AV83" s="3" t="str">
        <f>IFERROR(MID(VLOOKUP($B83,Seqs!$A:$B,2,0),AW83,1),"")</f>
        <v>N</v>
      </c>
      <c r="AW83" s="3">
        <v>444</v>
      </c>
      <c r="AX83" s="3" t="str">
        <f>IFERROR(MID(VLOOKUP($B83,Seqs!$A:$B,2,0),AY83,1),"")</f>
        <v>M</v>
      </c>
      <c r="AY83" s="3">
        <v>456</v>
      </c>
      <c r="AZ83" s="77" t="str">
        <f>VLOOKUP(B83,Classification!A:D,2,0)</f>
        <v>A</v>
      </c>
      <c r="BA83" s="94" t="str">
        <f>VLOOKUP(B83,Classification!A:D,4,0)</f>
        <v>Acetylcholine(muscarinic)</v>
      </c>
      <c r="BB83" s="27" t="b">
        <f t="shared" ref="BB83" si="562">AND(E83&lt;G83,OR(G83&lt;I83,I83="-"),OR(I83&lt;K83,I83="-"),OR(K83&lt;M83,K83="-"),M83&lt;O83,OR(O83&lt;Q83,Q83="-"),OR(Q83&lt;S83,Q83="-"),OR(S83&lt;U83,S83="-"),U83&lt;W83,OR(W83&lt;Y83,Y83="-"),OR(Y83&lt;AA83,Y83="-"),OR(AA83&lt;AC83,AA83="-"),AC83&lt;AE83,OR(AE83&lt;AG83,AG83="-"),OR(AG83&lt;AI83,AG83="-"),OR(AI83&lt;AK83,AI83="-"),AK83&lt;AM83,AM83&lt;AO83,AO83&lt;AQ83,AQ83&lt;AS83,AS83&lt;AU83,OR(AU83&lt;AW83,AW83="-"),OR(AW83&lt;AY83,AW83="-"))</f>
        <v>1</v>
      </c>
      <c r="BC83" s="23">
        <f t="shared" ref="BC83" si="563">_xlfn.AGGREGATE(9,6,CH83:CS83)-_xlfn.AGGREGATE(9,6,BV83:CG83)+12</f>
        <v>255</v>
      </c>
      <c r="BD83" s="4" t="s">
        <v>23</v>
      </c>
      <c r="BE83" s="3" t="s">
        <v>1368</v>
      </c>
      <c r="BF83" s="118">
        <v>3</v>
      </c>
      <c r="BG83" s="49" t="s">
        <v>1</v>
      </c>
      <c r="BH83" s="49" t="s">
        <v>1</v>
      </c>
      <c r="BI83" s="1"/>
      <c r="BJ83" s="70" t="s">
        <v>1281</v>
      </c>
      <c r="BK83" s="57" t="s">
        <v>1281</v>
      </c>
      <c r="BL83" s="57" t="s">
        <v>1281</v>
      </c>
      <c r="BM83" s="57" t="s">
        <v>1281</v>
      </c>
      <c r="BN83" s="57" t="s">
        <v>1281</v>
      </c>
      <c r="BO83" s="57" t="s">
        <v>1281</v>
      </c>
      <c r="BP83" s="57" t="s">
        <v>1281</v>
      </c>
      <c r="BQ83" s="57" t="s">
        <v>1281</v>
      </c>
      <c r="BR83" s="57" t="s">
        <v>1281</v>
      </c>
      <c r="BS83" s="57" t="s">
        <v>1281</v>
      </c>
      <c r="BT83" s="57" t="s">
        <v>1281</v>
      </c>
      <c r="BU83" s="57" t="s">
        <v>1281</v>
      </c>
      <c r="BV83" s="70">
        <f t="shared" ref="BV83" si="564">E83</f>
        <v>18</v>
      </c>
      <c r="BW83" s="71">
        <f t="shared" ref="BW83" si="565">I83</f>
        <v>52</v>
      </c>
      <c r="BX83" s="72">
        <f t="shared" ref="BX83" si="566">M83</f>
        <v>56</v>
      </c>
      <c r="BY83" s="71">
        <f t="shared" ref="BY83" si="567">Q83</f>
        <v>88</v>
      </c>
      <c r="BZ83" s="72">
        <f t="shared" ref="BZ83" si="568">U83</f>
        <v>92</v>
      </c>
      <c r="CA83" s="71">
        <f t="shared" ref="CA83" si="569">Y83</f>
        <v>128</v>
      </c>
      <c r="CB83" s="72">
        <f t="shared" ref="CB83" si="570">AC83</f>
        <v>136</v>
      </c>
      <c r="CC83" s="71">
        <f t="shared" ref="CC83" si="571">AG83</f>
        <v>176</v>
      </c>
      <c r="CD83" s="72">
        <f t="shared" ref="CD83" si="572">AK83</f>
        <v>183</v>
      </c>
      <c r="CE83" s="71">
        <f t="shared" ref="CE83" si="573">AO83</f>
        <v>383</v>
      </c>
      <c r="CF83" s="72">
        <f t="shared" ref="CF83" si="574">AS83</f>
        <v>418</v>
      </c>
      <c r="CG83" s="71">
        <f t="shared" ref="CG83" si="575">AW83</f>
        <v>444</v>
      </c>
      <c r="CH83" s="70">
        <f t="shared" ref="CH83" si="576">G83</f>
        <v>51</v>
      </c>
      <c r="CI83" s="71">
        <f t="shared" ref="CI83" si="577">K83</f>
        <v>55</v>
      </c>
      <c r="CJ83" s="72">
        <f t="shared" ref="CJ83" si="578">O83</f>
        <v>87</v>
      </c>
      <c r="CK83" s="72">
        <f t="shared" ref="CK83" si="579">S83</f>
        <v>91</v>
      </c>
      <c r="CL83" s="72">
        <f t="shared" ref="CL83" si="580">W83</f>
        <v>127</v>
      </c>
      <c r="CM83" s="72">
        <f t="shared" ref="CM83" si="581">AA83</f>
        <v>135</v>
      </c>
      <c r="CN83" s="72">
        <f t="shared" ref="CN83" si="582">AE83</f>
        <v>167</v>
      </c>
      <c r="CO83" s="72">
        <f t="shared" ref="CO83" si="583">AI83</f>
        <v>178</v>
      </c>
      <c r="CP83" s="72">
        <f t="shared" ref="CP83" si="584">AM83</f>
        <v>214</v>
      </c>
      <c r="CQ83" s="72">
        <f t="shared" ref="CQ83" si="585">AQ83</f>
        <v>413</v>
      </c>
      <c r="CR83" s="72">
        <f t="shared" ref="CR83" si="586">AU83</f>
        <v>443</v>
      </c>
      <c r="CS83" s="72">
        <f t="shared" ref="CS83" si="587">AY83</f>
        <v>456</v>
      </c>
      <c r="CT83" s="23">
        <f t="shared" ref="CT83" si="588">M83-K83</f>
        <v>1</v>
      </c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  <c r="AMO83" s="1"/>
    </row>
    <row r="84" spans="1:1029" x14ac:dyDescent="0.2">
      <c r="A84" s="3" t="str">
        <f t="shared" ref="A84" si="589">CONCATENATE(B84,"_",C84)</f>
        <v>acm2_human_5ZK3</v>
      </c>
      <c r="B84" s="3" t="s">
        <v>147</v>
      </c>
      <c r="C84" s="3" t="s">
        <v>1527</v>
      </c>
      <c r="D84" s="3" t="str">
        <f>IFERROR(MID(VLOOKUP($B84,Seqs!$A:$B,2,0),E84,1),"")</f>
        <v>Y</v>
      </c>
      <c r="E84" s="3">
        <v>18</v>
      </c>
      <c r="F84" s="3" t="str">
        <f>IFERROR(MID(VLOOKUP($B84,Seqs!$A:$B,2,0),G84,1),"")</f>
        <v>N</v>
      </c>
      <c r="G84" s="3">
        <v>51</v>
      </c>
      <c r="H84" s="3" t="str">
        <f>IFERROR(MID(VLOOKUP($B84,Seqs!$A:$B,2,0),I84,1),"")</f>
        <v>R</v>
      </c>
      <c r="I84" s="23">
        <v>52</v>
      </c>
      <c r="J84" s="3" t="str">
        <f>IFERROR(MID(VLOOKUP($B84,Seqs!$A:$B,2,0),K84,1),"")</f>
        <v>Q</v>
      </c>
      <c r="K84" s="23">
        <v>55</v>
      </c>
      <c r="L84" s="3" t="str">
        <f>IFERROR(MID(VLOOKUP($B84,Seqs!$A:$B,2,0),M84,1),"")</f>
        <v>T</v>
      </c>
      <c r="M84" s="3">
        <v>56</v>
      </c>
      <c r="N84" s="3" t="str">
        <f>IFERROR(MID(VLOOKUP($B84,Seqs!$A:$B,2,0),O84,1),"")</f>
        <v>G</v>
      </c>
      <c r="O84" s="3">
        <v>87</v>
      </c>
      <c r="P84" s="3" t="str">
        <f>IFERROR(MID(VLOOKUP($B84,Seqs!$A:$B,2,0),Q84,1),"")</f>
        <v>Y</v>
      </c>
      <c r="Q84" s="3">
        <v>88</v>
      </c>
      <c r="R84" s="3" t="str">
        <f>IFERROR(MID(VLOOKUP($B84,Seqs!$A:$B,2,0),S84,1),"")</f>
        <v>L</v>
      </c>
      <c r="S84" s="3">
        <v>91</v>
      </c>
      <c r="T84" s="3" t="str">
        <f>IFERROR(MID(VLOOKUP($B84,Seqs!$A:$B,2,0),U84,1),"")</f>
        <v>G</v>
      </c>
      <c r="U84" s="3">
        <v>92</v>
      </c>
      <c r="V84" s="3" t="str">
        <f>IFERROR(MID(VLOOKUP($B84,Seqs!$A:$B,2,0),W84,1),"")</f>
        <v>K</v>
      </c>
      <c r="W84" s="3">
        <v>127</v>
      </c>
      <c r="X84" s="3" t="str">
        <f>IFERROR(MID(VLOOKUP($B84,Seqs!$A:$B,2,0),Y84,1),"")</f>
        <v>P</v>
      </c>
      <c r="Y84" s="3">
        <v>128</v>
      </c>
      <c r="Z84" s="3" t="str">
        <f>IFERROR(MID(VLOOKUP($B84,Seqs!$A:$B,2,0),AA84,1),"")</f>
        <v>R</v>
      </c>
      <c r="AA84" s="3">
        <v>135</v>
      </c>
      <c r="AB84" s="3" t="str">
        <f>IFERROR(MID(VLOOKUP($B84,Seqs!$A:$B,2,0),AC84,1),"")</f>
        <v>T</v>
      </c>
      <c r="AC84" s="3">
        <v>136</v>
      </c>
      <c r="AD84" s="3" t="str">
        <f>IFERROR(MID(VLOOKUP($B84,Seqs!$A:$B,2,0),AE84,1),"")</f>
        <v>G</v>
      </c>
      <c r="AE84" s="3">
        <v>167</v>
      </c>
      <c r="AF84" s="3" t="str">
        <f>IFERROR(MID(VLOOKUP($B84,Seqs!$A:$B,2,0),AG84,1),"")</f>
        <v>C</v>
      </c>
      <c r="AG84" s="3">
        <v>176</v>
      </c>
      <c r="AH84" s="3" t="str">
        <f>IFERROR(MID(VLOOKUP($B84,Seqs!$A:$B,2,0),AI84,1),"")</f>
        <v>I</v>
      </c>
      <c r="AI84" s="3">
        <v>178</v>
      </c>
      <c r="AJ84" s="3" t="str">
        <f>IFERROR(MID(VLOOKUP($B84,Seqs!$A:$B,2,0),AK84,1),"")</f>
        <v>N</v>
      </c>
      <c r="AK84" s="3">
        <v>183</v>
      </c>
      <c r="AL84" s="3" t="str">
        <f>IFERROR(MID(VLOOKUP($B84,Seqs!$A:$B,2,0),AM84,1),"")</f>
        <v>K</v>
      </c>
      <c r="AM84" s="3">
        <v>214</v>
      </c>
      <c r="AN84" s="3" t="str">
        <f>IFERROR(MID(VLOOKUP($B84,Seqs!$A:$B,2,0),AO84,1),"")</f>
        <v>E</v>
      </c>
      <c r="AO84" s="3">
        <v>382</v>
      </c>
      <c r="AP84" s="3" t="str">
        <f>IFERROR(MID(VLOOKUP($B84,Seqs!$A:$B,2,0),AQ84,1),"")</f>
        <v>C</v>
      </c>
      <c r="AQ84" s="3">
        <v>413</v>
      </c>
      <c r="AR84" s="3" t="str">
        <f>IFERROR(MID(VLOOKUP($B84,Seqs!$A:$B,2,0),AS84,1),"")</f>
        <v>P</v>
      </c>
      <c r="AS84" s="3">
        <v>418</v>
      </c>
      <c r="AT84" s="3" t="str">
        <f>IFERROR(MID(VLOOKUP($B84,Seqs!$A:$B,2,0),AU84,1),"")</f>
        <v>C</v>
      </c>
      <c r="AU84" s="105">
        <v>443</v>
      </c>
      <c r="AV84" s="3" t="str">
        <f>IFERROR(MID(VLOOKUP($B84,Seqs!$A:$B,2,0),AW84,1),"")</f>
        <v>N</v>
      </c>
      <c r="AW84" s="3">
        <v>444</v>
      </c>
      <c r="AX84" s="3" t="str">
        <f>IFERROR(MID(VLOOKUP($B84,Seqs!$A:$B,2,0),AY84,1),"")</f>
        <v>M</v>
      </c>
      <c r="AY84" s="3">
        <v>456</v>
      </c>
      <c r="AZ84" s="77" t="str">
        <f>VLOOKUP(B84,Classification!A:D,2,0)</f>
        <v>A</v>
      </c>
      <c r="BA84" s="94" t="str">
        <f>VLOOKUP(B84,Classification!A:D,4,0)</f>
        <v>Acetylcholine(muscarinic)</v>
      </c>
      <c r="BB84" s="27" t="b">
        <f t="shared" ref="BB84" si="590">AND(E84&lt;G84,OR(G84&lt;I84,I84="-"),OR(I84&lt;K84,I84="-"),OR(K84&lt;M84,K84="-"),M84&lt;O84,OR(O84&lt;Q84,Q84="-"),OR(Q84&lt;S84,Q84="-"),OR(S84&lt;U84,S84="-"),U84&lt;W84,OR(W84&lt;Y84,Y84="-"),OR(Y84&lt;AA84,Y84="-"),OR(AA84&lt;AC84,AA84="-"),AC84&lt;AE84,OR(AE84&lt;AG84,AG84="-"),OR(AG84&lt;AI84,AG84="-"),OR(AI84&lt;AK84,AI84="-"),AK84&lt;AM84,AM84&lt;AO84,AO84&lt;AQ84,AQ84&lt;AS84,AS84&lt;AU84,OR(AU84&lt;AW84,AW84="-"),OR(AW84&lt;AY84,AW84="-"))</f>
        <v>1</v>
      </c>
      <c r="BC84" s="23">
        <f t="shared" ref="BC84" si="591">_xlfn.AGGREGATE(9,6,CH84:CS84)-_xlfn.AGGREGATE(9,6,BV84:CG84)+12</f>
        <v>256</v>
      </c>
      <c r="BD84" s="4" t="s">
        <v>23</v>
      </c>
      <c r="BE84" s="3" t="s">
        <v>1368</v>
      </c>
      <c r="BF84" s="118">
        <v>2.6</v>
      </c>
      <c r="BG84" s="49" t="s">
        <v>1</v>
      </c>
      <c r="BH84" s="49" t="s">
        <v>1</v>
      </c>
      <c r="BI84" s="1"/>
      <c r="BJ84" s="70" t="s">
        <v>1281</v>
      </c>
      <c r="BK84" s="57" t="s">
        <v>1281</v>
      </c>
      <c r="BL84" s="57" t="s">
        <v>1281</v>
      </c>
      <c r="BM84" s="57" t="s">
        <v>1281</v>
      </c>
      <c r="BN84" s="57" t="s">
        <v>1281</v>
      </c>
      <c r="BO84" s="57" t="s">
        <v>1281</v>
      </c>
      <c r="BP84" s="57" t="s">
        <v>1281</v>
      </c>
      <c r="BQ84" s="57" t="s">
        <v>1281</v>
      </c>
      <c r="BR84" s="57" t="s">
        <v>1281</v>
      </c>
      <c r="BS84" s="57" t="s">
        <v>1281</v>
      </c>
      <c r="BT84" s="57" t="s">
        <v>1281</v>
      </c>
      <c r="BU84" s="57" t="s">
        <v>1281</v>
      </c>
      <c r="BV84" s="70">
        <f t="shared" ref="BV84" si="592">E84</f>
        <v>18</v>
      </c>
      <c r="BW84" s="71">
        <f t="shared" ref="BW84" si="593">I84</f>
        <v>52</v>
      </c>
      <c r="BX84" s="72">
        <f t="shared" ref="BX84" si="594">M84</f>
        <v>56</v>
      </c>
      <c r="BY84" s="71">
        <f t="shared" ref="BY84" si="595">Q84</f>
        <v>88</v>
      </c>
      <c r="BZ84" s="72">
        <f t="shared" ref="BZ84" si="596">U84</f>
        <v>92</v>
      </c>
      <c r="CA84" s="71">
        <f t="shared" ref="CA84" si="597">Y84</f>
        <v>128</v>
      </c>
      <c r="CB84" s="72">
        <f t="shared" ref="CB84" si="598">AC84</f>
        <v>136</v>
      </c>
      <c r="CC84" s="71">
        <f t="shared" ref="CC84" si="599">AG84</f>
        <v>176</v>
      </c>
      <c r="CD84" s="72">
        <f t="shared" ref="CD84" si="600">AK84</f>
        <v>183</v>
      </c>
      <c r="CE84" s="71">
        <f t="shared" ref="CE84" si="601">AO84</f>
        <v>382</v>
      </c>
      <c r="CF84" s="72">
        <f t="shared" ref="CF84" si="602">AS84</f>
        <v>418</v>
      </c>
      <c r="CG84" s="71">
        <f t="shared" ref="CG84" si="603">AW84</f>
        <v>444</v>
      </c>
      <c r="CH84" s="70">
        <f t="shared" ref="CH84" si="604">G84</f>
        <v>51</v>
      </c>
      <c r="CI84" s="71">
        <f t="shared" ref="CI84" si="605">K84</f>
        <v>55</v>
      </c>
      <c r="CJ84" s="72">
        <f t="shared" ref="CJ84" si="606">O84</f>
        <v>87</v>
      </c>
      <c r="CK84" s="72">
        <f t="shared" ref="CK84" si="607">S84</f>
        <v>91</v>
      </c>
      <c r="CL84" s="72">
        <f t="shared" ref="CL84" si="608">W84</f>
        <v>127</v>
      </c>
      <c r="CM84" s="72">
        <f t="shared" ref="CM84" si="609">AA84</f>
        <v>135</v>
      </c>
      <c r="CN84" s="72">
        <f t="shared" ref="CN84" si="610">AE84</f>
        <v>167</v>
      </c>
      <c r="CO84" s="72">
        <f t="shared" ref="CO84" si="611">AI84</f>
        <v>178</v>
      </c>
      <c r="CP84" s="72">
        <f t="shared" ref="CP84" si="612">AM84</f>
        <v>214</v>
      </c>
      <c r="CQ84" s="72">
        <f t="shared" ref="CQ84" si="613">AQ84</f>
        <v>413</v>
      </c>
      <c r="CR84" s="72">
        <f t="shared" ref="CR84" si="614">AU84</f>
        <v>443</v>
      </c>
      <c r="CS84" s="72">
        <f t="shared" ref="CS84" si="615">AY84</f>
        <v>456</v>
      </c>
      <c r="CT84" s="23">
        <f t="shared" ref="CT84" si="616">M84-K84</f>
        <v>1</v>
      </c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  <c r="AMK84" s="1"/>
      <c r="AML84" s="1"/>
      <c r="AMM84" s="1"/>
      <c r="AMN84" s="1"/>
      <c r="AMO84" s="1"/>
    </row>
    <row r="85" spans="1:1029" x14ac:dyDescent="0.2">
      <c r="A85" s="3" t="str">
        <f t="shared" ref="A85" si="617">CONCATENATE(B85,"_",C85)</f>
        <v>acm2_human_5YC8</v>
      </c>
      <c r="B85" s="3" t="s">
        <v>147</v>
      </c>
      <c r="C85" s="3" t="s">
        <v>1528</v>
      </c>
      <c r="D85" s="3" t="str">
        <f>IFERROR(MID(VLOOKUP($B85,Seqs!$A:$B,2,0),E85,1),"")</f>
        <v>Y</v>
      </c>
      <c r="E85" s="3">
        <v>18</v>
      </c>
      <c r="F85" s="3" t="str">
        <f>IFERROR(MID(VLOOKUP($B85,Seqs!$A:$B,2,0),G85,1),"")</f>
        <v>N</v>
      </c>
      <c r="G85" s="3">
        <v>51</v>
      </c>
      <c r="H85" s="3" t="str">
        <f>IFERROR(MID(VLOOKUP($B85,Seqs!$A:$B,2,0),I85,1),"")</f>
        <v>R</v>
      </c>
      <c r="I85" s="23">
        <v>52</v>
      </c>
      <c r="J85" s="3" t="str">
        <f>IFERROR(MID(VLOOKUP($B85,Seqs!$A:$B,2,0),K85,1),"")</f>
        <v>Q</v>
      </c>
      <c r="K85" s="23">
        <v>55</v>
      </c>
      <c r="L85" s="3" t="str">
        <f>IFERROR(MID(VLOOKUP($B85,Seqs!$A:$B,2,0),M85,1),"")</f>
        <v>T</v>
      </c>
      <c r="M85" s="3">
        <v>56</v>
      </c>
      <c r="N85" s="3" t="str">
        <f>IFERROR(MID(VLOOKUP($B85,Seqs!$A:$B,2,0),O85,1),"")</f>
        <v>G</v>
      </c>
      <c r="O85" s="3">
        <v>87</v>
      </c>
      <c r="P85" s="3" t="str">
        <f>IFERROR(MID(VLOOKUP($B85,Seqs!$A:$B,2,0),Q85,1),"")</f>
        <v>Y</v>
      </c>
      <c r="Q85" s="3">
        <v>88</v>
      </c>
      <c r="R85" s="3" t="str">
        <f>IFERROR(MID(VLOOKUP($B85,Seqs!$A:$B,2,0),S85,1),"")</f>
        <v>L</v>
      </c>
      <c r="S85" s="3">
        <v>91</v>
      </c>
      <c r="T85" s="3" t="str">
        <f>IFERROR(MID(VLOOKUP($B85,Seqs!$A:$B,2,0),U85,1),"")</f>
        <v>G</v>
      </c>
      <c r="U85" s="3">
        <v>92</v>
      </c>
      <c r="V85" s="3" t="str">
        <f>IFERROR(MID(VLOOKUP($B85,Seqs!$A:$B,2,0),W85,1),"")</f>
        <v>K</v>
      </c>
      <c r="W85" s="3">
        <v>127</v>
      </c>
      <c r="X85" s="3" t="str">
        <f>IFERROR(MID(VLOOKUP($B85,Seqs!$A:$B,2,0),Y85,1),"")</f>
        <v>P</v>
      </c>
      <c r="Y85" s="3">
        <v>128</v>
      </c>
      <c r="Z85" s="3" t="str">
        <f>IFERROR(MID(VLOOKUP($B85,Seqs!$A:$B,2,0),AA85,1),"")</f>
        <v>R</v>
      </c>
      <c r="AA85" s="3">
        <v>135</v>
      </c>
      <c r="AB85" s="3" t="str">
        <f>IFERROR(MID(VLOOKUP($B85,Seqs!$A:$B,2,0),AC85,1),"")</f>
        <v>T</v>
      </c>
      <c r="AC85" s="3">
        <v>136</v>
      </c>
      <c r="AD85" s="3" t="str">
        <f>IFERROR(MID(VLOOKUP($B85,Seqs!$A:$B,2,0),AE85,1),"")</f>
        <v>G</v>
      </c>
      <c r="AE85" s="3">
        <v>167</v>
      </c>
      <c r="AF85" s="3" t="str">
        <f>IFERROR(MID(VLOOKUP($B85,Seqs!$A:$B,2,0),AG85,1),"")</f>
        <v>C</v>
      </c>
      <c r="AG85" s="3">
        <v>176</v>
      </c>
      <c r="AH85" s="3" t="str">
        <f>IFERROR(MID(VLOOKUP($B85,Seqs!$A:$B,2,0),AI85,1),"")</f>
        <v>I</v>
      </c>
      <c r="AI85" s="3">
        <v>178</v>
      </c>
      <c r="AJ85" s="3" t="str">
        <f>IFERROR(MID(VLOOKUP($B85,Seqs!$A:$B,2,0),AK85,1),"")</f>
        <v>N</v>
      </c>
      <c r="AK85" s="3">
        <v>183</v>
      </c>
      <c r="AL85" s="3" t="str">
        <f>IFERROR(MID(VLOOKUP($B85,Seqs!$A:$B,2,0),AM85,1),"")</f>
        <v>K</v>
      </c>
      <c r="AM85" s="3">
        <v>214</v>
      </c>
      <c r="AN85" s="3" t="str">
        <f>IFERROR(MID(VLOOKUP($B85,Seqs!$A:$B,2,0),AO85,1),"")</f>
        <v>R</v>
      </c>
      <c r="AO85" s="3">
        <v>381</v>
      </c>
      <c r="AP85" s="3" t="str">
        <f>IFERROR(MID(VLOOKUP($B85,Seqs!$A:$B,2,0),AQ85,1),"")</f>
        <v>C</v>
      </c>
      <c r="AQ85" s="3">
        <v>413</v>
      </c>
      <c r="AR85" s="3" t="str">
        <f>IFERROR(MID(VLOOKUP($B85,Seqs!$A:$B,2,0),AS85,1),"")</f>
        <v>P</v>
      </c>
      <c r="AS85" s="3">
        <v>418</v>
      </c>
      <c r="AT85" s="3" t="str">
        <f>IFERROR(MID(VLOOKUP($B85,Seqs!$A:$B,2,0),AU85,1),"")</f>
        <v>C</v>
      </c>
      <c r="AU85" s="105">
        <v>443</v>
      </c>
      <c r="AV85" s="3" t="str">
        <f>IFERROR(MID(VLOOKUP($B85,Seqs!$A:$B,2,0),AW85,1),"")</f>
        <v>N</v>
      </c>
      <c r="AW85" s="3">
        <v>444</v>
      </c>
      <c r="AX85" s="3" t="str">
        <f>IFERROR(MID(VLOOKUP($B85,Seqs!$A:$B,2,0),AY85,1),"")</f>
        <v>M</v>
      </c>
      <c r="AY85" s="3">
        <v>456</v>
      </c>
      <c r="AZ85" s="77" t="str">
        <f>VLOOKUP(B85,Classification!A:D,2,0)</f>
        <v>A</v>
      </c>
      <c r="BA85" s="94" t="str">
        <f>VLOOKUP(B85,Classification!A:D,4,0)</f>
        <v>Acetylcholine(muscarinic)</v>
      </c>
      <c r="BB85" s="27" t="b">
        <f t="shared" ref="BB85" si="618">AND(E85&lt;G85,OR(G85&lt;I85,I85="-"),OR(I85&lt;K85,I85="-"),OR(K85&lt;M85,K85="-"),M85&lt;O85,OR(O85&lt;Q85,Q85="-"),OR(Q85&lt;S85,Q85="-"),OR(S85&lt;U85,S85="-"),U85&lt;W85,OR(W85&lt;Y85,Y85="-"),OR(Y85&lt;AA85,Y85="-"),OR(AA85&lt;AC85,AA85="-"),AC85&lt;AE85,OR(AE85&lt;AG85,AG85="-"),OR(AG85&lt;AI85,AG85="-"),OR(AI85&lt;AK85,AI85="-"),AK85&lt;AM85,AM85&lt;AO85,AO85&lt;AQ85,AQ85&lt;AS85,AS85&lt;AU85,OR(AU85&lt;AW85,AW85="-"),OR(AW85&lt;AY85,AW85="-"))</f>
        <v>1</v>
      </c>
      <c r="BC85" s="23">
        <f t="shared" ref="BC85" si="619">_xlfn.AGGREGATE(9,6,CH85:CS85)-_xlfn.AGGREGATE(9,6,BV85:CG85)+12</f>
        <v>257</v>
      </c>
      <c r="BD85" s="4" t="s">
        <v>23</v>
      </c>
      <c r="BE85" s="3" t="s">
        <v>1368</v>
      </c>
      <c r="BF85" s="118">
        <v>2.5</v>
      </c>
      <c r="BG85" s="49" t="s">
        <v>1</v>
      </c>
      <c r="BH85" s="49" t="s">
        <v>1</v>
      </c>
      <c r="BI85" s="1"/>
      <c r="BJ85" s="70" t="s">
        <v>1281</v>
      </c>
      <c r="BK85" s="57" t="s">
        <v>1281</v>
      </c>
      <c r="BL85" s="57" t="s">
        <v>1281</v>
      </c>
      <c r="BM85" s="57" t="s">
        <v>1281</v>
      </c>
      <c r="BN85" s="57" t="s">
        <v>1281</v>
      </c>
      <c r="BO85" s="57" t="s">
        <v>1281</v>
      </c>
      <c r="BP85" s="57" t="s">
        <v>1281</v>
      </c>
      <c r="BQ85" s="57" t="s">
        <v>1281</v>
      </c>
      <c r="BR85" s="57" t="s">
        <v>1281</v>
      </c>
      <c r="BS85" s="57" t="s">
        <v>1281</v>
      </c>
      <c r="BT85" s="57" t="s">
        <v>1281</v>
      </c>
      <c r="BU85" s="57" t="s">
        <v>1281</v>
      </c>
      <c r="BV85" s="70">
        <f t="shared" ref="BV85" si="620">E85</f>
        <v>18</v>
      </c>
      <c r="BW85" s="71">
        <f t="shared" ref="BW85" si="621">I85</f>
        <v>52</v>
      </c>
      <c r="BX85" s="72">
        <f t="shared" ref="BX85" si="622">M85</f>
        <v>56</v>
      </c>
      <c r="BY85" s="71">
        <f t="shared" ref="BY85" si="623">Q85</f>
        <v>88</v>
      </c>
      <c r="BZ85" s="72">
        <f t="shared" ref="BZ85" si="624">U85</f>
        <v>92</v>
      </c>
      <c r="CA85" s="71">
        <f t="shared" ref="CA85" si="625">Y85</f>
        <v>128</v>
      </c>
      <c r="CB85" s="72">
        <f t="shared" ref="CB85" si="626">AC85</f>
        <v>136</v>
      </c>
      <c r="CC85" s="71">
        <f t="shared" ref="CC85" si="627">AG85</f>
        <v>176</v>
      </c>
      <c r="CD85" s="72">
        <f t="shared" ref="CD85" si="628">AK85</f>
        <v>183</v>
      </c>
      <c r="CE85" s="71">
        <f t="shared" ref="CE85" si="629">AO85</f>
        <v>381</v>
      </c>
      <c r="CF85" s="72">
        <f t="shared" ref="CF85" si="630">AS85</f>
        <v>418</v>
      </c>
      <c r="CG85" s="71">
        <f t="shared" ref="CG85" si="631">AW85</f>
        <v>444</v>
      </c>
      <c r="CH85" s="70">
        <f t="shared" ref="CH85" si="632">G85</f>
        <v>51</v>
      </c>
      <c r="CI85" s="71">
        <f t="shared" ref="CI85" si="633">K85</f>
        <v>55</v>
      </c>
      <c r="CJ85" s="72">
        <f t="shared" ref="CJ85" si="634">O85</f>
        <v>87</v>
      </c>
      <c r="CK85" s="72">
        <f t="shared" ref="CK85" si="635">S85</f>
        <v>91</v>
      </c>
      <c r="CL85" s="72">
        <f t="shared" ref="CL85" si="636">W85</f>
        <v>127</v>
      </c>
      <c r="CM85" s="72">
        <f t="shared" ref="CM85" si="637">AA85</f>
        <v>135</v>
      </c>
      <c r="CN85" s="72">
        <f t="shared" ref="CN85" si="638">AE85</f>
        <v>167</v>
      </c>
      <c r="CO85" s="72">
        <f t="shared" ref="CO85" si="639">AI85</f>
        <v>178</v>
      </c>
      <c r="CP85" s="72">
        <f t="shared" ref="CP85" si="640">AM85</f>
        <v>214</v>
      </c>
      <c r="CQ85" s="72">
        <f t="shared" ref="CQ85" si="641">AQ85</f>
        <v>413</v>
      </c>
      <c r="CR85" s="72">
        <f t="shared" ref="CR85" si="642">AU85</f>
        <v>443</v>
      </c>
      <c r="CS85" s="72">
        <f t="shared" ref="CS85" si="643">AY85</f>
        <v>456</v>
      </c>
      <c r="CT85" s="23">
        <f t="shared" ref="CT85" si="644">M85-K85</f>
        <v>1</v>
      </c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  <c r="AMM85" s="1"/>
      <c r="AMN85" s="1"/>
      <c r="AMO85" s="1"/>
    </row>
    <row r="86" spans="1:1029" x14ac:dyDescent="0.2">
      <c r="A86" s="3" t="str">
        <f t="shared" ref="A86" si="645">CONCATENATE(B86,"_",C86)</f>
        <v>acm2_human_6OIK</v>
      </c>
      <c r="B86" s="3" t="s">
        <v>147</v>
      </c>
      <c r="C86" s="3" t="s">
        <v>1572</v>
      </c>
      <c r="D86" s="3" t="str">
        <f>IFERROR(MID(VLOOKUP($B86,Seqs!$A:$B,2,0),E86,1),"")</f>
        <v>T</v>
      </c>
      <c r="E86" s="3">
        <v>20</v>
      </c>
      <c r="F86" s="3" t="str">
        <f>IFERROR(MID(VLOOKUP($B86,Seqs!$A:$B,2,0),G86,1),"")</f>
        <v>V</v>
      </c>
      <c r="G86" s="3">
        <v>50</v>
      </c>
      <c r="H86" s="3" t="str">
        <f>IFERROR(MID(VLOOKUP($B86,Seqs!$A:$B,2,0),I86,1),"")</f>
        <v/>
      </c>
      <c r="I86" s="23" t="s">
        <v>23</v>
      </c>
      <c r="J86" s="3" t="str">
        <f>IFERROR(MID(VLOOKUP($B86,Seqs!$A:$B,2,0),K86,1),"")</f>
        <v/>
      </c>
      <c r="K86" s="23" t="s">
        <v>23</v>
      </c>
      <c r="L86" s="3" t="str">
        <f>IFERROR(MID(VLOOKUP($B86,Seqs!$A:$B,2,0),M86,1),"")</f>
        <v>T</v>
      </c>
      <c r="M86" s="3">
        <v>56</v>
      </c>
      <c r="N86" s="3" t="str">
        <f>IFERROR(MID(VLOOKUP($B86,Seqs!$A:$B,2,0),O86,1),"")</f>
        <v>G</v>
      </c>
      <c r="O86" s="3">
        <v>87</v>
      </c>
      <c r="P86" s="3" t="str">
        <f>IFERROR(MID(VLOOKUP($B86,Seqs!$A:$B,2,0),Q86,1),"")</f>
        <v>Y</v>
      </c>
      <c r="Q86" s="3">
        <v>88</v>
      </c>
      <c r="R86" s="3" t="str">
        <f>IFERROR(MID(VLOOKUP($B86,Seqs!$A:$B,2,0),S86,1),"")</f>
        <v>L</v>
      </c>
      <c r="S86" s="3">
        <v>91</v>
      </c>
      <c r="T86" s="3" t="str">
        <f>IFERROR(MID(VLOOKUP($B86,Seqs!$A:$B,2,0),U86,1),"")</f>
        <v>G</v>
      </c>
      <c r="U86" s="3">
        <v>92</v>
      </c>
      <c r="V86" s="3" t="str">
        <f>IFERROR(MID(VLOOKUP($B86,Seqs!$A:$B,2,0),W86,1),"")</f>
        <v>K</v>
      </c>
      <c r="W86" s="3">
        <v>127</v>
      </c>
      <c r="X86" s="3" t="str">
        <f>IFERROR(MID(VLOOKUP($B86,Seqs!$A:$B,2,0),Y86,1),"")</f>
        <v>P</v>
      </c>
      <c r="Y86" s="3">
        <v>128</v>
      </c>
      <c r="Z86" s="3" t="str">
        <f>IFERROR(MID(VLOOKUP($B86,Seqs!$A:$B,2,0),AA86,1),"")</f>
        <v>R</v>
      </c>
      <c r="AA86" s="3">
        <v>135</v>
      </c>
      <c r="AB86" s="3" t="str">
        <f>IFERROR(MID(VLOOKUP($B86,Seqs!$A:$B,2,0),AC86,1),"")</f>
        <v>T</v>
      </c>
      <c r="AC86" s="3">
        <v>136</v>
      </c>
      <c r="AD86" s="3" t="str">
        <f>IFERROR(MID(VLOOKUP($B86,Seqs!$A:$B,2,0),AE86,1),"")</f>
        <v>G</v>
      </c>
      <c r="AE86" s="3">
        <v>167</v>
      </c>
      <c r="AF86" s="3" t="str">
        <f>IFERROR(MID(VLOOKUP($B86,Seqs!$A:$B,2,0),AG86,1),"")</f>
        <v>C</v>
      </c>
      <c r="AG86" s="3">
        <v>176</v>
      </c>
      <c r="AH86" s="3" t="str">
        <f>IFERROR(MID(VLOOKUP($B86,Seqs!$A:$B,2,0),AI86,1),"")</f>
        <v>I</v>
      </c>
      <c r="AI86" s="3">
        <v>178</v>
      </c>
      <c r="AJ86" s="3" t="str">
        <f>IFERROR(MID(VLOOKUP($B86,Seqs!$A:$B,2,0),AK86,1),"")</f>
        <v>A</v>
      </c>
      <c r="AK86" s="3">
        <v>184</v>
      </c>
      <c r="AL86" s="3" t="str">
        <f>IFERROR(MID(VLOOKUP($B86,Seqs!$A:$B,2,0),AM86,1),"")</f>
        <v>S</v>
      </c>
      <c r="AM86" s="3">
        <v>213</v>
      </c>
      <c r="AN86" s="3" t="str">
        <f>IFERROR(MID(VLOOKUP($B86,Seqs!$A:$B,2,0),AO86,1),"")</f>
        <v>E</v>
      </c>
      <c r="AO86" s="3">
        <v>382</v>
      </c>
      <c r="AP86" s="3" t="str">
        <f>IFERROR(MID(VLOOKUP($B86,Seqs!$A:$B,2,0),AQ86,1),"")</f>
        <v>C</v>
      </c>
      <c r="AQ86" s="3">
        <v>413</v>
      </c>
      <c r="AR86" s="3" t="str">
        <f>IFERROR(MID(VLOOKUP($B86,Seqs!$A:$B,2,0),AS86,1),"")</f>
        <v>N</v>
      </c>
      <c r="AS86" s="3">
        <v>419</v>
      </c>
      <c r="AT86" s="3" t="str">
        <f>IFERROR(MID(VLOOKUP($B86,Seqs!$A:$B,2,0),AU86,1),"")</f>
        <v>C</v>
      </c>
      <c r="AU86" s="3">
        <v>443</v>
      </c>
      <c r="AV86" s="3" t="str">
        <f>IFERROR(MID(VLOOKUP($B86,Seqs!$A:$B,2,0),AW86,1),"")</f>
        <v>N</v>
      </c>
      <c r="AW86" s="3">
        <v>444</v>
      </c>
      <c r="AX86" s="3" t="str">
        <f>IFERROR(MID(VLOOKUP($B86,Seqs!$A:$B,2,0),AY86,1),"")</f>
        <v>L</v>
      </c>
      <c r="AY86" s="3">
        <v>454</v>
      </c>
      <c r="AZ86" s="77" t="str">
        <f>VLOOKUP(B86,Classification!A:D,2,0)</f>
        <v>A</v>
      </c>
      <c r="BA86" s="94" t="str">
        <f>VLOOKUP(B86,Classification!A:D,4,0)</f>
        <v>Acetylcholine(muscarinic)</v>
      </c>
      <c r="BB86" s="27" t="b">
        <f t="shared" ref="BB86" si="646">AND(E86&lt;G86,OR(G86&lt;I86,I86="-"),OR(I86&lt;K86,I86="-"),OR(K86&lt;M86,K86="-"),M86&lt;O86,OR(O86&lt;Q86,Q86="-"),OR(Q86&lt;S86,Q86="-"),OR(S86&lt;U86,S86="-"),U86&lt;W86,OR(W86&lt;Y86,Y86="-"),OR(Y86&lt;AA86,Y86="-"),OR(AA86&lt;AC86,AA86="-"),AC86&lt;AE86,OR(AE86&lt;AG86,AG86="-"),OR(AG86&lt;AI86,AG86="-"),OR(AI86&lt;AK86,AI86="-"),AK86&lt;AM86,AM86&lt;AO86,AO86&lt;AQ86,AQ86&lt;AS86,AS86&lt;AU86,OR(AU86&lt;AW86,AW86="-"),OR(AW86&lt;AY86,AW86="-"))</f>
        <v>1</v>
      </c>
      <c r="BC86" s="23">
        <f t="shared" ref="BC86" si="647">_xlfn.AGGREGATE(9,6,CH86:CS86)-_xlfn.AGGREGATE(9,6,BV86:CG86)+12</f>
        <v>245</v>
      </c>
      <c r="BD86" s="4" t="s">
        <v>23</v>
      </c>
      <c r="BE86" s="3" t="s">
        <v>1285</v>
      </c>
      <c r="BF86" s="118">
        <v>3.6</v>
      </c>
      <c r="BG86" s="49" t="s">
        <v>1416</v>
      </c>
      <c r="BH86" s="49" t="s">
        <v>1416</v>
      </c>
      <c r="BI86" s="1"/>
      <c r="BJ86" s="70" t="s">
        <v>1281</v>
      </c>
      <c r="BK86" s="57" t="s">
        <v>1281</v>
      </c>
      <c r="BL86" s="57" t="s">
        <v>1281</v>
      </c>
      <c r="BM86" s="57" t="s">
        <v>1281</v>
      </c>
      <c r="BN86" s="57" t="s">
        <v>1281</v>
      </c>
      <c r="BO86" s="57" t="s">
        <v>1281</v>
      </c>
      <c r="BP86" s="57" t="s">
        <v>1281</v>
      </c>
      <c r="BQ86" s="57" t="s">
        <v>1281</v>
      </c>
      <c r="BR86" s="57" t="s">
        <v>1281</v>
      </c>
      <c r="BS86" s="57" t="s">
        <v>1281</v>
      </c>
      <c r="BT86" s="57" t="s">
        <v>1281</v>
      </c>
      <c r="BU86" s="57" t="s">
        <v>1281</v>
      </c>
      <c r="BV86" s="70">
        <f t="shared" ref="BV86" si="648">E86</f>
        <v>20</v>
      </c>
      <c r="BW86" s="71" t="str">
        <f t="shared" ref="BW86" si="649">I86</f>
        <v>-</v>
      </c>
      <c r="BX86" s="72">
        <f t="shared" ref="BX86" si="650">M86</f>
        <v>56</v>
      </c>
      <c r="BY86" s="71">
        <f t="shared" ref="BY86" si="651">Q86</f>
        <v>88</v>
      </c>
      <c r="BZ86" s="72">
        <f t="shared" ref="BZ86" si="652">U86</f>
        <v>92</v>
      </c>
      <c r="CA86" s="71">
        <f t="shared" ref="CA86" si="653">Y86</f>
        <v>128</v>
      </c>
      <c r="CB86" s="72">
        <f t="shared" ref="CB86" si="654">AC86</f>
        <v>136</v>
      </c>
      <c r="CC86" s="71">
        <f t="shared" ref="CC86" si="655">AG86</f>
        <v>176</v>
      </c>
      <c r="CD86" s="72">
        <f t="shared" ref="CD86" si="656">AK86</f>
        <v>184</v>
      </c>
      <c r="CE86" s="71">
        <f t="shared" ref="CE86" si="657">AO86</f>
        <v>382</v>
      </c>
      <c r="CF86" s="72">
        <f t="shared" ref="CF86" si="658">AS86</f>
        <v>419</v>
      </c>
      <c r="CG86" s="71">
        <f t="shared" ref="CG86" si="659">AW86</f>
        <v>444</v>
      </c>
      <c r="CH86" s="70">
        <f t="shared" ref="CH86" si="660">G86</f>
        <v>50</v>
      </c>
      <c r="CI86" s="71" t="str">
        <f t="shared" ref="CI86" si="661">K86</f>
        <v>-</v>
      </c>
      <c r="CJ86" s="72">
        <f t="shared" ref="CJ86" si="662">O86</f>
        <v>87</v>
      </c>
      <c r="CK86" s="72">
        <f t="shared" ref="CK86" si="663">S86</f>
        <v>91</v>
      </c>
      <c r="CL86" s="72">
        <f t="shared" ref="CL86" si="664">W86</f>
        <v>127</v>
      </c>
      <c r="CM86" s="72">
        <f t="shared" ref="CM86" si="665">AA86</f>
        <v>135</v>
      </c>
      <c r="CN86" s="72">
        <f t="shared" ref="CN86" si="666">AE86</f>
        <v>167</v>
      </c>
      <c r="CO86" s="72">
        <f t="shared" ref="CO86" si="667">AI86</f>
        <v>178</v>
      </c>
      <c r="CP86" s="72">
        <f t="shared" ref="CP86" si="668">AM86</f>
        <v>213</v>
      </c>
      <c r="CQ86" s="72">
        <f t="shared" ref="CQ86" si="669">AQ86</f>
        <v>413</v>
      </c>
      <c r="CR86" s="72">
        <f t="shared" ref="CR86" si="670">AU86</f>
        <v>443</v>
      </c>
      <c r="CS86" s="72">
        <f t="shared" ref="CS86" si="671">AY86</f>
        <v>454</v>
      </c>
      <c r="CT86" s="23" t="e">
        <f t="shared" ref="CT86" si="672">M86-K86</f>
        <v>#VALUE!</v>
      </c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  <c r="AMK86" s="1"/>
      <c r="AML86" s="1"/>
      <c r="AMM86" s="1"/>
      <c r="AMN86" s="1"/>
      <c r="AMO86" s="1"/>
    </row>
    <row r="87" spans="1:1029" s="12" customFormat="1" x14ac:dyDescent="0.2">
      <c r="A87" s="9" t="str">
        <f t="shared" ref="A87" si="673">CONCATENATE(B87,"_",C87)</f>
        <v>acm2_human_6U1N</v>
      </c>
      <c r="B87" s="9" t="s">
        <v>147</v>
      </c>
      <c r="C87" s="9" t="s">
        <v>1649</v>
      </c>
      <c r="D87" s="9" t="str">
        <f>IFERROR(MID(VLOOKUP($B87,Seqs!$A:$B,2,0),E87,1),"")</f>
        <v>T</v>
      </c>
      <c r="E87" s="9">
        <v>20</v>
      </c>
      <c r="F87" s="9" t="str">
        <f>IFERROR(MID(VLOOKUP($B87,Seqs!$A:$B,2,0),G87,1),"")</f>
        <v>K</v>
      </c>
      <c r="G87" s="9">
        <v>49</v>
      </c>
      <c r="H87" s="9" t="str">
        <f>IFERROR(MID(VLOOKUP($B87,Seqs!$A:$B,2,0),I87,1),"")</f>
        <v/>
      </c>
      <c r="I87" s="109" t="s">
        <v>23</v>
      </c>
      <c r="J87" s="9" t="str">
        <f>IFERROR(MID(VLOOKUP($B87,Seqs!$A:$B,2,0),K87,1),"")</f>
        <v/>
      </c>
      <c r="K87" s="109" t="s">
        <v>23</v>
      </c>
      <c r="L87" s="9" t="str">
        <f>IFERROR(MID(VLOOKUP($B87,Seqs!$A:$B,2,0),M87,1),"")</f>
        <v>V</v>
      </c>
      <c r="M87" s="9">
        <v>57</v>
      </c>
      <c r="N87" s="9" t="str">
        <f>IFERROR(MID(VLOOKUP($B87,Seqs!$A:$B,2,0),O87,1),"")</f>
        <v>I</v>
      </c>
      <c r="O87" s="9">
        <v>86</v>
      </c>
      <c r="P87" s="9" t="str">
        <f>IFERROR(MID(VLOOKUP($B87,Seqs!$A:$B,2,0),Q87,1),"")</f>
        <v>Y</v>
      </c>
      <c r="Q87" s="9">
        <v>88</v>
      </c>
      <c r="R87" s="9" t="str">
        <f>IFERROR(MID(VLOOKUP($B87,Seqs!$A:$B,2,0),S87,1),"")</f>
        <v>L</v>
      </c>
      <c r="S87" s="9">
        <v>91</v>
      </c>
      <c r="T87" s="9" t="str">
        <f>IFERROR(MID(VLOOKUP($B87,Seqs!$A:$B,2,0),U87,1),"")</f>
        <v>G</v>
      </c>
      <c r="U87" s="9">
        <v>92</v>
      </c>
      <c r="V87" s="9" t="str">
        <f>IFERROR(MID(VLOOKUP($B87,Seqs!$A:$B,2,0),W87,1),"")</f>
        <v>K</v>
      </c>
      <c r="W87" s="9">
        <v>127</v>
      </c>
      <c r="X87" s="9" t="str">
        <f>IFERROR(MID(VLOOKUP($B87,Seqs!$A:$B,2,0),Y87,1),"")</f>
        <v>P</v>
      </c>
      <c r="Y87" s="9">
        <v>128</v>
      </c>
      <c r="Z87" s="9" t="str">
        <f>IFERROR(MID(VLOOKUP($B87,Seqs!$A:$B,2,0),AA87,1),"")</f>
        <v>R</v>
      </c>
      <c r="AA87" s="9">
        <v>135</v>
      </c>
      <c r="AB87" s="9" t="str">
        <f>IFERROR(MID(VLOOKUP($B87,Seqs!$A:$B,2,0),AC87,1),"")</f>
        <v>T</v>
      </c>
      <c r="AC87" s="9">
        <v>136</v>
      </c>
      <c r="AD87" s="9" t="str">
        <f>IFERROR(MID(VLOOKUP($B87,Seqs!$A:$B,2,0),AE87,1),"")</f>
        <v>G</v>
      </c>
      <c r="AE87" s="9">
        <v>167</v>
      </c>
      <c r="AF87" s="9" t="str">
        <f>IFERROR(MID(VLOOKUP($B87,Seqs!$A:$B,2,0),AG87,1),"")</f>
        <v>C</v>
      </c>
      <c r="AG87" s="9">
        <v>176</v>
      </c>
      <c r="AH87" s="9" t="str">
        <f>IFERROR(MID(VLOOKUP($B87,Seqs!$A:$B,2,0),AI87,1),"")</f>
        <v>I</v>
      </c>
      <c r="AI87" s="9">
        <v>178</v>
      </c>
      <c r="AJ87" s="9" t="str">
        <f>IFERROR(MID(VLOOKUP($B87,Seqs!$A:$B,2,0),AK87,1),"")</f>
        <v>N</v>
      </c>
      <c r="AK87" s="9">
        <v>183</v>
      </c>
      <c r="AL87" s="9" t="str">
        <f>IFERROR(MID(VLOOKUP($B87,Seqs!$A:$B,2,0),AM87,1),"")</f>
        <v>S</v>
      </c>
      <c r="AM87" s="9">
        <v>213</v>
      </c>
      <c r="AN87" s="9" t="str">
        <f>IFERROR(MID(VLOOKUP($B87,Seqs!$A:$B,2,0),AO87,1),"")</f>
        <v>E</v>
      </c>
      <c r="AO87" s="9">
        <v>382</v>
      </c>
      <c r="AP87" s="9" t="str">
        <f>IFERROR(MID(VLOOKUP($B87,Seqs!$A:$B,2,0),AQ87,1),"")</f>
        <v>C</v>
      </c>
      <c r="AQ87" s="9">
        <v>413</v>
      </c>
      <c r="AR87" s="9" t="str">
        <f>IFERROR(MID(VLOOKUP($B87,Seqs!$A:$B,2,0),AS87,1),"")</f>
        <v>V</v>
      </c>
      <c r="AS87" s="9">
        <v>421</v>
      </c>
      <c r="AT87" s="9" t="str">
        <f>IFERROR(MID(VLOOKUP($B87,Seqs!$A:$B,2,0),AU87,1),"")</f>
        <v>C</v>
      </c>
      <c r="AU87" s="9">
        <v>443</v>
      </c>
      <c r="AV87" s="9" t="str">
        <f>IFERROR(MID(VLOOKUP($B87,Seqs!$A:$B,2,0),AW87,1),"")</f>
        <v>N</v>
      </c>
      <c r="AW87" s="9">
        <v>444</v>
      </c>
      <c r="AX87" s="9" t="str">
        <f>IFERROR(MID(VLOOKUP($B87,Seqs!$A:$B,2,0),AY87,1),"")</f>
        <v>K</v>
      </c>
      <c r="AY87" s="9">
        <v>452</v>
      </c>
      <c r="AZ87" s="110" t="str">
        <f>VLOOKUP(B87,Classification!A:D,2,0)</f>
        <v>A</v>
      </c>
      <c r="BA87" s="98" t="str">
        <f>VLOOKUP(B87,Classification!A:D,4,0)</f>
        <v>Acetylcholine(muscarinic)</v>
      </c>
      <c r="BB87" s="36" t="b">
        <f t="shared" ref="BB87" si="674">AND(E87&lt;G87,OR(G87&lt;I87,I87="-"),OR(I87&lt;K87,I87="-"),OR(K87&lt;M87,K87="-"),M87&lt;O87,OR(O87&lt;Q87,Q87="-"),OR(Q87&lt;S87,Q87="-"),OR(S87&lt;U87,S87="-"),U87&lt;W87,OR(W87&lt;Y87,Y87="-"),OR(Y87&lt;AA87,Y87="-"),OR(AA87&lt;AC87,AA87="-"),AC87&lt;AE87,OR(AE87&lt;AG87,AG87="-"),OR(AG87&lt;AI87,AG87="-"),OR(AI87&lt;AK87,AI87="-"),AK87&lt;AM87,AM87&lt;AO87,AO87&lt;AQ87,AQ87&lt;AS87,AS87&lt;AU87,OR(AU87&lt;AW87,AW87="-"),OR(AW87&lt;AY87,AW87="-"))</f>
        <v>1</v>
      </c>
      <c r="BC87" s="109">
        <f t="shared" ref="BC87" si="675">_xlfn.AGGREGATE(9,6,CH87:CS87)-_xlfn.AGGREGATE(9,6,BV87:CG87)+12</f>
        <v>239</v>
      </c>
      <c r="BD87" s="11" t="s">
        <v>1423</v>
      </c>
      <c r="BE87" s="9" t="s">
        <v>1422</v>
      </c>
      <c r="BF87" s="119">
        <v>4</v>
      </c>
      <c r="BG87" s="51" t="s">
        <v>1416</v>
      </c>
      <c r="BH87" s="51" t="s">
        <v>1416</v>
      </c>
      <c r="BJ87" s="111" t="s">
        <v>1281</v>
      </c>
      <c r="BK87" s="112" t="s">
        <v>1281</v>
      </c>
      <c r="BL87" s="112" t="s">
        <v>1281</v>
      </c>
      <c r="BM87" s="112" t="s">
        <v>1281</v>
      </c>
      <c r="BN87" s="112" t="s">
        <v>1281</v>
      </c>
      <c r="BO87" s="112" t="s">
        <v>1281</v>
      </c>
      <c r="BP87" s="112" t="s">
        <v>1281</v>
      </c>
      <c r="BQ87" s="112" t="s">
        <v>1281</v>
      </c>
      <c r="BR87" s="112" t="s">
        <v>1281</v>
      </c>
      <c r="BS87" s="112" t="s">
        <v>1281</v>
      </c>
      <c r="BT87" s="112" t="s">
        <v>1281</v>
      </c>
      <c r="BU87" s="112" t="s">
        <v>1281</v>
      </c>
      <c r="BV87" s="111">
        <f t="shared" ref="BV87" si="676">E87</f>
        <v>20</v>
      </c>
      <c r="BW87" s="113" t="str">
        <f t="shared" ref="BW87" si="677">I87</f>
        <v>-</v>
      </c>
      <c r="BX87" s="114">
        <f t="shared" ref="BX87" si="678">M87</f>
        <v>57</v>
      </c>
      <c r="BY87" s="113">
        <f t="shared" ref="BY87" si="679">Q87</f>
        <v>88</v>
      </c>
      <c r="BZ87" s="114">
        <f t="shared" ref="BZ87" si="680">U87</f>
        <v>92</v>
      </c>
      <c r="CA87" s="113">
        <f t="shared" ref="CA87" si="681">Y87</f>
        <v>128</v>
      </c>
      <c r="CB87" s="114">
        <f t="shared" ref="CB87" si="682">AC87</f>
        <v>136</v>
      </c>
      <c r="CC87" s="113">
        <f t="shared" ref="CC87" si="683">AG87</f>
        <v>176</v>
      </c>
      <c r="CD87" s="114">
        <f t="shared" ref="CD87" si="684">AK87</f>
        <v>183</v>
      </c>
      <c r="CE87" s="113">
        <f t="shared" ref="CE87" si="685">AO87</f>
        <v>382</v>
      </c>
      <c r="CF87" s="114">
        <f t="shared" ref="CF87" si="686">AS87</f>
        <v>421</v>
      </c>
      <c r="CG87" s="113">
        <f t="shared" ref="CG87" si="687">AW87</f>
        <v>444</v>
      </c>
      <c r="CH87" s="111">
        <f t="shared" ref="CH87" si="688">G87</f>
        <v>49</v>
      </c>
      <c r="CI87" s="113" t="str">
        <f t="shared" ref="CI87" si="689">K87</f>
        <v>-</v>
      </c>
      <c r="CJ87" s="114">
        <f t="shared" ref="CJ87" si="690">O87</f>
        <v>86</v>
      </c>
      <c r="CK87" s="114">
        <f t="shared" ref="CK87" si="691">S87</f>
        <v>91</v>
      </c>
      <c r="CL87" s="114">
        <f t="shared" ref="CL87" si="692">W87</f>
        <v>127</v>
      </c>
      <c r="CM87" s="114">
        <f t="shared" ref="CM87" si="693">AA87</f>
        <v>135</v>
      </c>
      <c r="CN87" s="114">
        <f t="shared" ref="CN87" si="694">AE87</f>
        <v>167</v>
      </c>
      <c r="CO87" s="114">
        <f t="shared" ref="CO87" si="695">AI87</f>
        <v>178</v>
      </c>
      <c r="CP87" s="114">
        <f t="shared" ref="CP87" si="696">AM87</f>
        <v>213</v>
      </c>
      <c r="CQ87" s="114">
        <f t="shared" ref="CQ87" si="697">AQ87</f>
        <v>413</v>
      </c>
      <c r="CR87" s="114">
        <f t="shared" ref="CR87" si="698">AU87</f>
        <v>443</v>
      </c>
      <c r="CS87" s="114">
        <f t="shared" ref="CS87" si="699">AY87</f>
        <v>452</v>
      </c>
      <c r="CT87" s="109" t="e">
        <f t="shared" ref="CT87" si="700">M87-K87</f>
        <v>#VALUE!</v>
      </c>
    </row>
    <row r="88" spans="1:1029" x14ac:dyDescent="0.2">
      <c r="A88" s="3" t="str">
        <f t="shared" si="503"/>
        <v>acm3_rat__wt</v>
      </c>
      <c r="B88" s="3" t="s">
        <v>903</v>
      </c>
      <c r="C88" s="3" t="s">
        <v>100</v>
      </c>
      <c r="D88" s="3" t="str">
        <f>IFERROR(MID(VLOOKUP($B88,Seqs!$A:$B,2,0),E88,1),"")</f>
        <v>T</v>
      </c>
      <c r="E88" s="105">
        <v>63</v>
      </c>
      <c r="F88" s="3" t="str">
        <f>IFERROR(MID(VLOOKUP($B88,Seqs!$A:$B,2,0),G88,1),"")</f>
        <v>N</v>
      </c>
      <c r="G88" s="3">
        <v>95</v>
      </c>
      <c r="H88" s="3" t="str">
        <f>IFERROR(MID(VLOOKUP($B88,Seqs!$A:$B,2,0),I88,1),"")</f>
        <v>K</v>
      </c>
      <c r="I88" s="23">
        <v>96</v>
      </c>
      <c r="J88" s="3" t="str">
        <f>IFERROR(MID(VLOOKUP($B88,Seqs!$A:$B,2,0),K88,1),"")</f>
        <v>K</v>
      </c>
      <c r="K88" s="23">
        <v>99</v>
      </c>
      <c r="L88" s="3" t="str">
        <f>IFERROR(MID(VLOOKUP($B88,Seqs!$A:$B,2,0),M88,1),"")</f>
        <v>T</v>
      </c>
      <c r="M88" s="3">
        <v>100</v>
      </c>
      <c r="N88" s="3" t="str">
        <f>IFERROR(MID(VLOOKUP($B88,Seqs!$A:$B,2,0),O88,1),"")</f>
        <v>M</v>
      </c>
      <c r="O88" s="3">
        <v>130</v>
      </c>
      <c r="P88" s="3" t="str">
        <f>IFERROR(MID(VLOOKUP($B88,Seqs!$A:$B,2,0),Q88,1),"")</f>
        <v>R</v>
      </c>
      <c r="Q88" s="3">
        <v>132</v>
      </c>
      <c r="R88" s="3" t="str">
        <f>IFERROR(MID(VLOOKUP($B88,Seqs!$A:$B,2,0),S88,1),"")</f>
        <v>L</v>
      </c>
      <c r="S88" s="3">
        <v>135</v>
      </c>
      <c r="T88" s="3" t="str">
        <f>IFERROR(MID(VLOOKUP($B88,Seqs!$A:$B,2,0),U88,1),"")</f>
        <v>G</v>
      </c>
      <c r="U88" s="3">
        <v>136</v>
      </c>
      <c r="V88" s="3" t="str">
        <f>IFERROR(MID(VLOOKUP($B88,Seqs!$A:$B,2,0),W88,1),"")</f>
        <v>R</v>
      </c>
      <c r="W88" s="3">
        <v>171</v>
      </c>
      <c r="X88" s="3" t="str">
        <f>IFERROR(MID(VLOOKUP($B88,Seqs!$A:$B,2,0),Y88,1),"")</f>
        <v>P</v>
      </c>
      <c r="Y88" s="3">
        <v>172</v>
      </c>
      <c r="Z88" s="3" t="str">
        <f>IFERROR(MID(VLOOKUP($B88,Seqs!$A:$B,2,0),AA88,1),"")</f>
        <v>R</v>
      </c>
      <c r="AA88" s="3">
        <v>179</v>
      </c>
      <c r="AB88" s="3" t="str">
        <f>IFERROR(MID(VLOOKUP($B88,Seqs!$A:$B,2,0),AC88,1),"")</f>
        <v>T</v>
      </c>
      <c r="AC88" s="3">
        <v>180</v>
      </c>
      <c r="AD88" s="3" t="str">
        <f>IFERROR(MID(VLOOKUP($B88,Seqs!$A:$B,2,0),AE88,1),"")</f>
        <v>G</v>
      </c>
      <c r="AE88" s="3">
        <v>211</v>
      </c>
      <c r="AF88" s="3" t="str">
        <f>IFERROR(MID(VLOOKUP($B88,Seqs!$A:$B,2,0),AG88,1),"")</f>
        <v>C</v>
      </c>
      <c r="AG88" s="3">
        <v>220</v>
      </c>
      <c r="AH88" s="3" t="str">
        <f>IFERROR(MID(VLOOKUP($B88,Seqs!$A:$B,2,0),AI88,1),"")</f>
        <v>I</v>
      </c>
      <c r="AI88" s="3">
        <v>222</v>
      </c>
      <c r="AJ88" s="3" t="str">
        <f>IFERROR(MID(VLOOKUP($B88,Seqs!$A:$B,2,0),AK88,1),"")</f>
        <v>E</v>
      </c>
      <c r="AK88" s="3">
        <v>227</v>
      </c>
      <c r="AL88" s="3" t="str">
        <f>IFERROR(MID(VLOOKUP($B88,Seqs!$A:$B,2,0),AM88,1),"")</f>
        <v>L</v>
      </c>
      <c r="AM88" s="3">
        <v>267</v>
      </c>
      <c r="AN88" s="3" t="str">
        <f>IFERROR(MID(VLOOKUP($B88,Seqs!$A:$B,2,0),AO88,1),"")</f>
        <v>R</v>
      </c>
      <c r="AO88" s="3">
        <v>479</v>
      </c>
      <c r="AP88" s="3" t="str">
        <f>IFERROR(MID(VLOOKUP($B88,Seqs!$A:$B,2,0),AQ88,1),"")</f>
        <v>C</v>
      </c>
      <c r="AQ88" s="3">
        <v>516</v>
      </c>
      <c r="AR88" s="3" t="str">
        <f>IFERROR(MID(VLOOKUP($B88,Seqs!$A:$B,2,0),AS88,1),"")</f>
        <v>P</v>
      </c>
      <c r="AS88" s="3">
        <v>521</v>
      </c>
      <c r="AT88" s="3" t="str">
        <f>IFERROR(MID(VLOOKUP($B88,Seqs!$A:$B,2,0),AU88,1),"")</f>
        <v>C</v>
      </c>
      <c r="AU88" s="3">
        <v>546</v>
      </c>
      <c r="AV88" s="3" t="str">
        <f>IFERROR(MID(VLOOKUP($B88,Seqs!$A:$B,2,0),AW88,1),"")</f>
        <v>N</v>
      </c>
      <c r="AW88" s="3">
        <v>547</v>
      </c>
      <c r="AX88" s="3" t="str">
        <f>IFERROR(MID(VLOOKUP($B88,Seqs!$A:$B,2,0),AY88,1),"")</f>
        <v>C</v>
      </c>
      <c r="AY88" s="3">
        <v>560</v>
      </c>
      <c r="AZ88" s="77" t="str">
        <f>VLOOKUP(B88,Classification!A:D,2,0)</f>
        <v>A</v>
      </c>
      <c r="BA88" s="94" t="str">
        <f>VLOOKUP(B88,Classification!A:D,4,0)</f>
        <v>Acetylcholine(muscarinic)</v>
      </c>
      <c r="BB88" s="27" t="b">
        <f t="shared" si="504"/>
        <v>1</v>
      </c>
      <c r="BC88" s="23">
        <f t="shared" si="225"/>
        <v>270</v>
      </c>
      <c r="BD88" s="56" t="s">
        <v>23</v>
      </c>
      <c r="BE88" s="3" t="s">
        <v>23</v>
      </c>
      <c r="BF88" s="118" t="s">
        <v>23</v>
      </c>
      <c r="BG88" s="49" t="s">
        <v>1366</v>
      </c>
      <c r="BH88" s="49" t="s">
        <v>1371</v>
      </c>
      <c r="BI88" s="1"/>
      <c r="BJ88" s="70" t="s">
        <v>1281</v>
      </c>
      <c r="BK88" s="57" t="s">
        <v>1281</v>
      </c>
      <c r="BL88" s="57" t="s">
        <v>1281</v>
      </c>
      <c r="BM88" s="57" t="s">
        <v>1281</v>
      </c>
      <c r="BN88" s="57" t="s">
        <v>1281</v>
      </c>
      <c r="BO88" s="57" t="s">
        <v>1281</v>
      </c>
      <c r="BP88" s="57" t="s">
        <v>1281</v>
      </c>
      <c r="BQ88" s="57" t="s">
        <v>1281</v>
      </c>
      <c r="BR88" s="57" t="s">
        <v>1281</v>
      </c>
      <c r="BS88" s="57" t="s">
        <v>1281</v>
      </c>
      <c r="BT88" s="57" t="s">
        <v>1281</v>
      </c>
      <c r="BU88" s="57" t="s">
        <v>1281</v>
      </c>
      <c r="BV88" s="70">
        <f t="shared" si="226"/>
        <v>63</v>
      </c>
      <c r="BW88" s="71">
        <f t="shared" si="227"/>
        <v>96</v>
      </c>
      <c r="BX88" s="72">
        <f t="shared" si="228"/>
        <v>100</v>
      </c>
      <c r="BY88" s="71">
        <f t="shared" si="229"/>
        <v>132</v>
      </c>
      <c r="BZ88" s="72">
        <f t="shared" si="230"/>
        <v>136</v>
      </c>
      <c r="CA88" s="71">
        <f t="shared" si="231"/>
        <v>172</v>
      </c>
      <c r="CB88" s="72">
        <f t="shared" si="232"/>
        <v>180</v>
      </c>
      <c r="CC88" s="71">
        <f t="shared" si="233"/>
        <v>220</v>
      </c>
      <c r="CD88" s="72">
        <f t="shared" si="234"/>
        <v>227</v>
      </c>
      <c r="CE88" s="71">
        <f t="shared" si="235"/>
        <v>479</v>
      </c>
      <c r="CF88" s="72">
        <f t="shared" si="236"/>
        <v>521</v>
      </c>
      <c r="CG88" s="71">
        <f t="shared" si="237"/>
        <v>547</v>
      </c>
      <c r="CH88" s="70">
        <f t="shared" si="238"/>
        <v>95</v>
      </c>
      <c r="CI88" s="71">
        <f t="shared" si="239"/>
        <v>99</v>
      </c>
      <c r="CJ88" s="72">
        <f t="shared" si="240"/>
        <v>130</v>
      </c>
      <c r="CK88" s="72">
        <f t="shared" si="241"/>
        <v>135</v>
      </c>
      <c r="CL88" s="72">
        <f t="shared" si="242"/>
        <v>171</v>
      </c>
      <c r="CM88" s="72">
        <f t="shared" si="243"/>
        <v>179</v>
      </c>
      <c r="CN88" s="72">
        <f t="shared" si="244"/>
        <v>211</v>
      </c>
      <c r="CO88" s="72">
        <f t="shared" si="245"/>
        <v>222</v>
      </c>
      <c r="CP88" s="72">
        <f t="shared" si="246"/>
        <v>267</v>
      </c>
      <c r="CQ88" s="72">
        <f t="shared" si="247"/>
        <v>516</v>
      </c>
      <c r="CR88" s="72">
        <f t="shared" si="248"/>
        <v>546</v>
      </c>
      <c r="CS88" s="72">
        <f t="shared" si="249"/>
        <v>560</v>
      </c>
      <c r="CT88" s="23">
        <f t="shared" si="250"/>
        <v>1</v>
      </c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  <c r="AMO88" s="1"/>
    </row>
    <row r="89" spans="1:1029" x14ac:dyDescent="0.2">
      <c r="A89" s="3" t="str">
        <f t="shared" si="503"/>
        <v>acm3_rat_4U15</v>
      </c>
      <c r="B89" s="3" t="s">
        <v>903</v>
      </c>
      <c r="C89" s="3" t="s">
        <v>71</v>
      </c>
      <c r="D89" s="3" t="str">
        <f>IFERROR(MID(VLOOKUP($B89,Seqs!$A:$B,2,0),E89,1),"")</f>
        <v>I</v>
      </c>
      <c r="E89" s="3">
        <v>64</v>
      </c>
      <c r="F89" s="3" t="str">
        <f>IFERROR(MID(VLOOKUP($B89,Seqs!$A:$B,2,0),G89,1),"")</f>
        <v>N</v>
      </c>
      <c r="G89" s="3">
        <v>95</v>
      </c>
      <c r="H89" s="3" t="str">
        <f>IFERROR(MID(VLOOKUP($B89,Seqs!$A:$B,2,0),I89,1),"")</f>
        <v>K</v>
      </c>
      <c r="I89" s="23">
        <v>96</v>
      </c>
      <c r="J89" s="3" t="str">
        <f>IFERROR(MID(VLOOKUP($B89,Seqs!$A:$B,2,0),K89,1),"")</f>
        <v>K</v>
      </c>
      <c r="K89" s="23">
        <v>99</v>
      </c>
      <c r="L89" s="3" t="str">
        <f>IFERROR(MID(VLOOKUP($B89,Seqs!$A:$B,2,0),M89,1),"")</f>
        <v>T</v>
      </c>
      <c r="M89" s="3">
        <v>100</v>
      </c>
      <c r="N89" s="3" t="str">
        <f>IFERROR(MID(VLOOKUP($B89,Seqs!$A:$B,2,0),O89,1),"")</f>
        <v>M</v>
      </c>
      <c r="O89" s="3">
        <v>130</v>
      </c>
      <c r="P89" s="3" t="str">
        <f>IFERROR(MID(VLOOKUP($B89,Seqs!$A:$B,2,0),Q89,1),"")</f>
        <v>R</v>
      </c>
      <c r="Q89" s="3">
        <v>132</v>
      </c>
      <c r="R89" s="3" t="str">
        <f>IFERROR(MID(VLOOKUP($B89,Seqs!$A:$B,2,0),S89,1),"")</f>
        <v>L</v>
      </c>
      <c r="S89" s="3">
        <v>135</v>
      </c>
      <c r="T89" s="3" t="str">
        <f>IFERROR(MID(VLOOKUP($B89,Seqs!$A:$B,2,0),U89,1),"")</f>
        <v>G</v>
      </c>
      <c r="U89" s="3">
        <v>136</v>
      </c>
      <c r="V89" s="3" t="str">
        <f>IFERROR(MID(VLOOKUP($B89,Seqs!$A:$B,2,0),W89,1),"")</f>
        <v>R</v>
      </c>
      <c r="W89" s="3">
        <v>171</v>
      </c>
      <c r="X89" s="3" t="str">
        <f>IFERROR(MID(VLOOKUP($B89,Seqs!$A:$B,2,0),Y89,1),"")</f>
        <v>P</v>
      </c>
      <c r="Y89" s="3">
        <v>172</v>
      </c>
      <c r="Z89" s="3" t="str">
        <f>IFERROR(MID(VLOOKUP($B89,Seqs!$A:$B,2,0),AA89,1),"")</f>
        <v>R</v>
      </c>
      <c r="AA89" s="3">
        <v>179</v>
      </c>
      <c r="AB89" s="3" t="str">
        <f>IFERROR(MID(VLOOKUP($B89,Seqs!$A:$B,2,0),AC89,1),"")</f>
        <v>T</v>
      </c>
      <c r="AC89" s="9">
        <v>180</v>
      </c>
      <c r="AD89" s="3" t="str">
        <f>IFERROR(MID(VLOOKUP($B89,Seqs!$A:$B,2,0),AE89,1),"")</f>
        <v>G</v>
      </c>
      <c r="AE89" s="3">
        <v>211</v>
      </c>
      <c r="AF89" s="3" t="str">
        <f>IFERROR(MID(VLOOKUP($B89,Seqs!$A:$B,2,0),AG89,1),"")</f>
        <v>C</v>
      </c>
      <c r="AG89" s="3">
        <v>220</v>
      </c>
      <c r="AH89" s="3" t="str">
        <f>IFERROR(MID(VLOOKUP($B89,Seqs!$A:$B,2,0),AI89,1),"")</f>
        <v>I</v>
      </c>
      <c r="AI89" s="3">
        <v>222</v>
      </c>
      <c r="AJ89" s="3" t="str">
        <f>IFERROR(MID(VLOOKUP($B89,Seqs!$A:$B,2,0),AK89,1),"")</f>
        <v>E</v>
      </c>
      <c r="AK89" s="3">
        <v>227</v>
      </c>
      <c r="AL89" s="3" t="str">
        <f>IFERROR(MID(VLOOKUP($B89,Seqs!$A:$B,2,0),AM89,1),"")</f>
        <v>K</v>
      </c>
      <c r="AM89" s="3">
        <v>259</v>
      </c>
      <c r="AN89" s="3" t="str">
        <f>IFERROR(MID(VLOOKUP($B89,Seqs!$A:$B,2,0),AO89,1),"")</f>
        <v>I</v>
      </c>
      <c r="AO89" s="3">
        <v>483</v>
      </c>
      <c r="AP89" s="3" t="str">
        <f>IFERROR(MID(VLOOKUP($B89,Seqs!$A:$B,2,0),AQ89,1),"")</f>
        <v>C</v>
      </c>
      <c r="AQ89" s="3">
        <v>516</v>
      </c>
      <c r="AR89" s="3" t="str">
        <f>IFERROR(MID(VLOOKUP($B89,Seqs!$A:$B,2,0),AS89,1),"")</f>
        <v>P</v>
      </c>
      <c r="AS89" s="3">
        <v>521</v>
      </c>
      <c r="AT89" s="3" t="str">
        <f>IFERROR(MID(VLOOKUP($B89,Seqs!$A:$B,2,0),AU89,1),"")</f>
        <v>C</v>
      </c>
      <c r="AU89" s="3">
        <v>546</v>
      </c>
      <c r="AV89" s="3" t="str">
        <f>IFERROR(MID(VLOOKUP($B89,Seqs!$A:$B,2,0),AW89,1),"")</f>
        <v>N</v>
      </c>
      <c r="AW89" s="3">
        <v>547</v>
      </c>
      <c r="AX89" s="3" t="str">
        <f>IFERROR(MID(VLOOKUP($B89,Seqs!$A:$B,2,0),AY89,1),"")</f>
        <v>L</v>
      </c>
      <c r="AY89" s="3">
        <v>558</v>
      </c>
      <c r="AZ89" s="77" t="str">
        <f>VLOOKUP(B89,Classification!A:D,2,0)</f>
        <v>A</v>
      </c>
      <c r="BA89" s="94" t="str">
        <f>VLOOKUP(B89,Classification!A:D,4,0)</f>
        <v>Acetylcholine(muscarinic)</v>
      </c>
      <c r="BB89" s="27" t="b">
        <f t="shared" si="504"/>
        <v>1</v>
      </c>
      <c r="BC89" s="23">
        <f t="shared" si="225"/>
        <v>255</v>
      </c>
      <c r="BD89" s="16" t="s">
        <v>23</v>
      </c>
      <c r="BE89" s="3" t="s">
        <v>1368</v>
      </c>
      <c r="BF89" s="118">
        <v>2.8</v>
      </c>
      <c r="BG89" s="49" t="s">
        <v>1371</v>
      </c>
      <c r="BH89" s="49" t="s">
        <v>1371</v>
      </c>
      <c r="BI89" s="1"/>
      <c r="BJ89" s="70" t="s">
        <v>1281</v>
      </c>
      <c r="BK89" s="57" t="s">
        <v>1281</v>
      </c>
      <c r="BL89" s="57" t="s">
        <v>1281</v>
      </c>
      <c r="BM89" s="57" t="s">
        <v>1281</v>
      </c>
      <c r="BN89" s="57" t="s">
        <v>1281</v>
      </c>
      <c r="BO89" s="57" t="s">
        <v>1281</v>
      </c>
      <c r="BP89" s="57" t="s">
        <v>1281</v>
      </c>
      <c r="BQ89" s="57" t="s">
        <v>1281</v>
      </c>
      <c r="BR89" s="57" t="s">
        <v>1281</v>
      </c>
      <c r="BS89" s="57" t="s">
        <v>1281</v>
      </c>
      <c r="BT89" s="57" t="s">
        <v>1281</v>
      </c>
      <c r="BU89" s="57" t="s">
        <v>1281</v>
      </c>
      <c r="BV89" s="70">
        <f t="shared" si="226"/>
        <v>64</v>
      </c>
      <c r="BW89" s="71">
        <f t="shared" si="227"/>
        <v>96</v>
      </c>
      <c r="BX89" s="72">
        <f t="shared" si="228"/>
        <v>100</v>
      </c>
      <c r="BY89" s="71">
        <f t="shared" si="229"/>
        <v>132</v>
      </c>
      <c r="BZ89" s="72">
        <f t="shared" si="230"/>
        <v>136</v>
      </c>
      <c r="CA89" s="71">
        <f t="shared" si="231"/>
        <v>172</v>
      </c>
      <c r="CB89" s="72">
        <f t="shared" si="232"/>
        <v>180</v>
      </c>
      <c r="CC89" s="71">
        <f t="shared" si="233"/>
        <v>220</v>
      </c>
      <c r="CD89" s="72">
        <f t="shared" si="234"/>
        <v>227</v>
      </c>
      <c r="CE89" s="71">
        <f t="shared" si="235"/>
        <v>483</v>
      </c>
      <c r="CF89" s="72">
        <f t="shared" si="236"/>
        <v>521</v>
      </c>
      <c r="CG89" s="71">
        <f t="shared" si="237"/>
        <v>547</v>
      </c>
      <c r="CH89" s="70">
        <f t="shared" si="238"/>
        <v>95</v>
      </c>
      <c r="CI89" s="71">
        <f t="shared" si="239"/>
        <v>99</v>
      </c>
      <c r="CJ89" s="72">
        <f t="shared" si="240"/>
        <v>130</v>
      </c>
      <c r="CK89" s="72">
        <f t="shared" si="241"/>
        <v>135</v>
      </c>
      <c r="CL89" s="72">
        <f t="shared" si="242"/>
        <v>171</v>
      </c>
      <c r="CM89" s="72">
        <f t="shared" si="243"/>
        <v>179</v>
      </c>
      <c r="CN89" s="72">
        <f t="shared" si="244"/>
        <v>211</v>
      </c>
      <c r="CO89" s="72">
        <f t="shared" si="245"/>
        <v>222</v>
      </c>
      <c r="CP89" s="72">
        <f t="shared" si="246"/>
        <v>259</v>
      </c>
      <c r="CQ89" s="72">
        <f t="shared" si="247"/>
        <v>516</v>
      </c>
      <c r="CR89" s="72">
        <f t="shared" si="248"/>
        <v>546</v>
      </c>
      <c r="CS89" s="72">
        <f t="shared" si="249"/>
        <v>558</v>
      </c>
      <c r="CT89" s="23">
        <f t="shared" si="250"/>
        <v>1</v>
      </c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  <c r="AMO89" s="1"/>
    </row>
    <row r="90" spans="1:1029" x14ac:dyDescent="0.2">
      <c r="A90" s="3" t="str">
        <f t="shared" si="503"/>
        <v>acm3_rat_4U16</v>
      </c>
      <c r="B90" s="3" t="s">
        <v>903</v>
      </c>
      <c r="C90" s="3" t="s">
        <v>1047</v>
      </c>
      <c r="D90" s="3" t="str">
        <f>IFERROR(MID(VLOOKUP($B90,Seqs!$A:$B,2,0),E90,1),"")</f>
        <v>I</v>
      </c>
      <c r="E90" s="3">
        <v>64</v>
      </c>
      <c r="F90" s="3" t="str">
        <f>IFERROR(MID(VLOOKUP($B90,Seqs!$A:$B,2,0),G90,1),"")</f>
        <v>N</v>
      </c>
      <c r="G90" s="3">
        <v>95</v>
      </c>
      <c r="H90" s="3" t="str">
        <f>IFERROR(MID(VLOOKUP($B90,Seqs!$A:$B,2,0),I90,1),"")</f>
        <v>K</v>
      </c>
      <c r="I90" s="23">
        <v>96</v>
      </c>
      <c r="J90" s="3" t="str">
        <f>IFERROR(MID(VLOOKUP($B90,Seqs!$A:$B,2,0),K90,1),"")</f>
        <v>K</v>
      </c>
      <c r="K90" s="23">
        <v>99</v>
      </c>
      <c r="L90" s="3" t="str">
        <f>IFERROR(MID(VLOOKUP($B90,Seqs!$A:$B,2,0),M90,1),"")</f>
        <v>T</v>
      </c>
      <c r="M90" s="3">
        <v>100</v>
      </c>
      <c r="N90" s="3" t="str">
        <f>IFERROR(MID(VLOOKUP($B90,Seqs!$A:$B,2,0),O90,1),"")</f>
        <v>M</v>
      </c>
      <c r="O90" s="3">
        <v>130</v>
      </c>
      <c r="P90" s="3" t="str">
        <f>IFERROR(MID(VLOOKUP($B90,Seqs!$A:$B,2,0),Q90,1),"")</f>
        <v>R</v>
      </c>
      <c r="Q90" s="3">
        <v>132</v>
      </c>
      <c r="R90" s="3" t="str">
        <f>IFERROR(MID(VLOOKUP($B90,Seqs!$A:$B,2,0),S90,1),"")</f>
        <v>L</v>
      </c>
      <c r="S90" s="3">
        <v>135</v>
      </c>
      <c r="T90" s="3" t="str">
        <f>IFERROR(MID(VLOOKUP($B90,Seqs!$A:$B,2,0),U90,1),"")</f>
        <v>G</v>
      </c>
      <c r="U90" s="3">
        <v>136</v>
      </c>
      <c r="V90" s="3" t="str">
        <f>IFERROR(MID(VLOOKUP($B90,Seqs!$A:$B,2,0),W90,1),"")</f>
        <v>R</v>
      </c>
      <c r="W90" s="3">
        <v>171</v>
      </c>
      <c r="X90" s="3" t="str">
        <f>IFERROR(MID(VLOOKUP($B90,Seqs!$A:$B,2,0),Y90,1),"")</f>
        <v>P</v>
      </c>
      <c r="Y90" s="3">
        <v>172</v>
      </c>
      <c r="Z90" s="3" t="str">
        <f>IFERROR(MID(VLOOKUP($B90,Seqs!$A:$B,2,0),AA90,1),"")</f>
        <v>R</v>
      </c>
      <c r="AA90" s="3">
        <v>179</v>
      </c>
      <c r="AB90" s="3" t="str">
        <f>IFERROR(MID(VLOOKUP($B90,Seqs!$A:$B,2,0),AC90,1),"")</f>
        <v>T</v>
      </c>
      <c r="AC90" s="9">
        <v>180</v>
      </c>
      <c r="AD90" s="3" t="str">
        <f>IFERROR(MID(VLOOKUP($B90,Seqs!$A:$B,2,0),AE90,1),"")</f>
        <v>G</v>
      </c>
      <c r="AE90" s="3">
        <v>211</v>
      </c>
      <c r="AF90" s="3" t="str">
        <f>IFERROR(MID(VLOOKUP($B90,Seqs!$A:$B,2,0),AG90,1),"")</f>
        <v>C</v>
      </c>
      <c r="AG90" s="3">
        <v>220</v>
      </c>
      <c r="AH90" s="3" t="str">
        <f>IFERROR(MID(VLOOKUP($B90,Seqs!$A:$B,2,0),AI90,1),"")</f>
        <v>I</v>
      </c>
      <c r="AI90" s="3">
        <v>222</v>
      </c>
      <c r="AJ90" s="3" t="str">
        <f>IFERROR(MID(VLOOKUP($B90,Seqs!$A:$B,2,0),AK90,1),"")</f>
        <v>E</v>
      </c>
      <c r="AK90" s="3">
        <v>227</v>
      </c>
      <c r="AL90" s="3" t="str">
        <f>IFERROR(MID(VLOOKUP($B90,Seqs!$A:$B,2,0),AM90,1),"")</f>
        <v>K</v>
      </c>
      <c r="AM90" s="3">
        <v>259</v>
      </c>
      <c r="AN90" s="3" t="str">
        <f>IFERROR(MID(VLOOKUP($B90,Seqs!$A:$B,2,0),AO90,1),"")</f>
        <v>I</v>
      </c>
      <c r="AO90" s="3">
        <v>483</v>
      </c>
      <c r="AP90" s="3" t="str">
        <f>IFERROR(MID(VLOOKUP($B90,Seqs!$A:$B,2,0),AQ90,1),"")</f>
        <v>C</v>
      </c>
      <c r="AQ90" s="3">
        <v>516</v>
      </c>
      <c r="AR90" s="3" t="str">
        <f>IFERROR(MID(VLOOKUP($B90,Seqs!$A:$B,2,0),AS90,1),"")</f>
        <v>P</v>
      </c>
      <c r="AS90" s="3">
        <v>521</v>
      </c>
      <c r="AT90" s="3" t="str">
        <f>IFERROR(MID(VLOOKUP($B90,Seqs!$A:$B,2,0),AU90,1),"")</f>
        <v>C</v>
      </c>
      <c r="AU90" s="3">
        <v>546</v>
      </c>
      <c r="AV90" s="3" t="str">
        <f>IFERROR(MID(VLOOKUP($B90,Seqs!$A:$B,2,0),AW90,1),"")</f>
        <v/>
      </c>
      <c r="AW90" s="3" t="s">
        <v>23</v>
      </c>
      <c r="AX90" s="3" t="str">
        <f>IFERROR(MID(VLOOKUP($B90,Seqs!$A:$B,2,0),AY90,1),"")</f>
        <v/>
      </c>
      <c r="AY90" s="3" t="s">
        <v>23</v>
      </c>
      <c r="AZ90" s="77" t="str">
        <f>VLOOKUP(B90,Classification!A:D,2,0)</f>
        <v>A</v>
      </c>
      <c r="BA90" s="94" t="str">
        <f>VLOOKUP(B90,Classification!A:D,4,0)</f>
        <v>Acetylcholine(muscarinic)</v>
      </c>
      <c r="BB90" s="27" t="b">
        <f t="shared" si="504"/>
        <v>1</v>
      </c>
      <c r="BC90" s="23">
        <f t="shared" si="225"/>
        <v>244</v>
      </c>
      <c r="BD90" s="4" t="s">
        <v>23</v>
      </c>
      <c r="BE90" s="3" t="s">
        <v>1368</v>
      </c>
      <c r="BF90" s="118">
        <v>3.7</v>
      </c>
      <c r="BG90" s="49" t="s">
        <v>1371</v>
      </c>
      <c r="BH90" s="49" t="s">
        <v>1371</v>
      </c>
      <c r="BI90" s="1"/>
      <c r="BJ90" s="70" t="s">
        <v>1281</v>
      </c>
      <c r="BK90" s="57" t="s">
        <v>1281</v>
      </c>
      <c r="BL90" s="57" t="s">
        <v>1281</v>
      </c>
      <c r="BM90" s="57" t="s">
        <v>1281</v>
      </c>
      <c r="BN90" s="57" t="s">
        <v>1281</v>
      </c>
      <c r="BO90" s="57" t="s">
        <v>1281</v>
      </c>
      <c r="BP90" s="57" t="s">
        <v>1281</v>
      </c>
      <c r="BQ90" s="57" t="s">
        <v>1281</v>
      </c>
      <c r="BR90" s="57" t="s">
        <v>1281</v>
      </c>
      <c r="BS90" s="57" t="s">
        <v>1281</v>
      </c>
      <c r="BT90" s="57" t="s">
        <v>1281</v>
      </c>
      <c r="BU90" s="57" t="s">
        <v>1281</v>
      </c>
      <c r="BV90" s="70">
        <f t="shared" si="226"/>
        <v>64</v>
      </c>
      <c r="BW90" s="71">
        <f t="shared" si="227"/>
        <v>96</v>
      </c>
      <c r="BX90" s="72">
        <f t="shared" si="228"/>
        <v>100</v>
      </c>
      <c r="BY90" s="71">
        <f t="shared" si="229"/>
        <v>132</v>
      </c>
      <c r="BZ90" s="72">
        <f t="shared" si="230"/>
        <v>136</v>
      </c>
      <c r="CA90" s="71">
        <f t="shared" si="231"/>
        <v>172</v>
      </c>
      <c r="CB90" s="72">
        <f t="shared" si="232"/>
        <v>180</v>
      </c>
      <c r="CC90" s="71">
        <f t="shared" si="233"/>
        <v>220</v>
      </c>
      <c r="CD90" s="72">
        <f t="shared" si="234"/>
        <v>227</v>
      </c>
      <c r="CE90" s="71">
        <f t="shared" si="235"/>
        <v>483</v>
      </c>
      <c r="CF90" s="72">
        <f t="shared" si="236"/>
        <v>521</v>
      </c>
      <c r="CG90" s="71" t="str">
        <f t="shared" si="237"/>
        <v>-</v>
      </c>
      <c r="CH90" s="70">
        <f t="shared" si="238"/>
        <v>95</v>
      </c>
      <c r="CI90" s="71">
        <f t="shared" si="239"/>
        <v>99</v>
      </c>
      <c r="CJ90" s="72">
        <f t="shared" si="240"/>
        <v>130</v>
      </c>
      <c r="CK90" s="72">
        <f t="shared" si="241"/>
        <v>135</v>
      </c>
      <c r="CL90" s="72">
        <f t="shared" si="242"/>
        <v>171</v>
      </c>
      <c r="CM90" s="72">
        <f t="shared" si="243"/>
        <v>179</v>
      </c>
      <c r="CN90" s="72">
        <f t="shared" si="244"/>
        <v>211</v>
      </c>
      <c r="CO90" s="72">
        <f t="shared" si="245"/>
        <v>222</v>
      </c>
      <c r="CP90" s="72">
        <f t="shared" si="246"/>
        <v>259</v>
      </c>
      <c r="CQ90" s="72">
        <f t="shared" si="247"/>
        <v>516</v>
      </c>
      <c r="CR90" s="72">
        <f t="shared" si="248"/>
        <v>546</v>
      </c>
      <c r="CS90" s="72" t="str">
        <f t="shared" si="249"/>
        <v>-</v>
      </c>
      <c r="CT90" s="23">
        <f t="shared" si="250"/>
        <v>1</v>
      </c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  <c r="AMK90" s="1"/>
      <c r="AML90" s="1"/>
      <c r="AMM90" s="1"/>
      <c r="AMN90" s="1"/>
      <c r="AMO90" s="1"/>
    </row>
    <row r="91" spans="1:1029" s="12" customFormat="1" x14ac:dyDescent="0.2">
      <c r="A91" s="9" t="str">
        <f t="shared" ref="A91" si="701">CONCATENATE(B91,"_",C91)</f>
        <v>acm3_rat_5ZHP</v>
      </c>
      <c r="B91" s="9" t="s">
        <v>903</v>
      </c>
      <c r="C91" s="9" t="s">
        <v>1570</v>
      </c>
      <c r="D91" s="9" t="str">
        <f>IFERROR(MID(VLOOKUP($B91,Seqs!$A:$B,2,0),E91,1),"")</f>
        <v>T</v>
      </c>
      <c r="E91" s="9">
        <v>63</v>
      </c>
      <c r="F91" s="9" t="str">
        <f>IFERROR(MID(VLOOKUP($B91,Seqs!$A:$B,2,0),G91,1),"")</f>
        <v>N</v>
      </c>
      <c r="G91" s="9">
        <v>95</v>
      </c>
      <c r="H91" s="9" t="str">
        <f>IFERROR(MID(VLOOKUP($B91,Seqs!$A:$B,2,0),I91,1),"")</f>
        <v>K</v>
      </c>
      <c r="I91" s="109">
        <v>96</v>
      </c>
      <c r="J91" s="9" t="str">
        <f>IFERROR(MID(VLOOKUP($B91,Seqs!$A:$B,2,0),K91,1),"")</f>
        <v>K</v>
      </c>
      <c r="K91" s="109">
        <v>99</v>
      </c>
      <c r="L91" s="9" t="str">
        <f>IFERROR(MID(VLOOKUP($B91,Seqs!$A:$B,2,0),M91,1),"")</f>
        <v>T</v>
      </c>
      <c r="M91" s="9">
        <v>100</v>
      </c>
      <c r="N91" s="9" t="str">
        <f>IFERROR(MID(VLOOKUP($B91,Seqs!$A:$B,2,0),O91,1),"")</f>
        <v>M</v>
      </c>
      <c r="O91" s="9">
        <v>130</v>
      </c>
      <c r="P91" s="9" t="str">
        <f>IFERROR(MID(VLOOKUP($B91,Seqs!$A:$B,2,0),Q91,1),"")</f>
        <v>R</v>
      </c>
      <c r="Q91" s="9">
        <v>132</v>
      </c>
      <c r="R91" s="9" t="str">
        <f>IFERROR(MID(VLOOKUP($B91,Seqs!$A:$B,2,0),S91,1),"")</f>
        <v>L</v>
      </c>
      <c r="S91" s="9">
        <v>135</v>
      </c>
      <c r="T91" s="9" t="str">
        <f>IFERROR(MID(VLOOKUP($B91,Seqs!$A:$B,2,0),U91,1),"")</f>
        <v>G</v>
      </c>
      <c r="U91" s="9">
        <v>136</v>
      </c>
      <c r="V91" s="9" t="str">
        <f>IFERROR(MID(VLOOKUP($B91,Seqs!$A:$B,2,0),W91,1),"")</f>
        <v>R</v>
      </c>
      <c r="W91" s="9">
        <v>171</v>
      </c>
      <c r="X91" s="9" t="str">
        <f>IFERROR(MID(VLOOKUP($B91,Seqs!$A:$B,2,0),Y91,1),"")</f>
        <v>P</v>
      </c>
      <c r="Y91" s="9">
        <v>172</v>
      </c>
      <c r="Z91" s="9" t="str">
        <f>IFERROR(MID(VLOOKUP($B91,Seqs!$A:$B,2,0),AA91,1),"")</f>
        <v>R</v>
      </c>
      <c r="AA91" s="9">
        <v>179</v>
      </c>
      <c r="AB91" s="9" t="str">
        <f>IFERROR(MID(VLOOKUP($B91,Seqs!$A:$B,2,0),AC91,1),"")</f>
        <v>T</v>
      </c>
      <c r="AC91" s="9">
        <v>180</v>
      </c>
      <c r="AD91" s="9" t="str">
        <f>IFERROR(MID(VLOOKUP($B91,Seqs!$A:$B,2,0),AE91,1),"")</f>
        <v>G</v>
      </c>
      <c r="AE91" s="9">
        <v>211</v>
      </c>
      <c r="AF91" s="9" t="str">
        <f>IFERROR(MID(VLOOKUP($B91,Seqs!$A:$B,2,0),AG91,1),"")</f>
        <v>C</v>
      </c>
      <c r="AG91" s="9">
        <v>220</v>
      </c>
      <c r="AH91" s="9" t="str">
        <f>IFERROR(MID(VLOOKUP($B91,Seqs!$A:$B,2,0),AI91,1),"")</f>
        <v>I</v>
      </c>
      <c r="AI91" s="9">
        <v>222</v>
      </c>
      <c r="AJ91" s="9" t="str">
        <f>IFERROR(MID(VLOOKUP($B91,Seqs!$A:$B,2,0),AK91,1),"")</f>
        <v>E</v>
      </c>
      <c r="AK91" s="9">
        <v>227</v>
      </c>
      <c r="AL91" s="9" t="str">
        <f>IFERROR(MID(VLOOKUP($B91,Seqs!$A:$B,2,0),AM91,1),"")</f>
        <v>K</v>
      </c>
      <c r="AM91" s="9">
        <v>259</v>
      </c>
      <c r="AN91" s="9" t="str">
        <f>IFERROR(MID(VLOOKUP($B91,Seqs!$A:$B,2,0),AO91,1),"")</f>
        <v>L</v>
      </c>
      <c r="AO91" s="9">
        <v>482</v>
      </c>
      <c r="AP91" s="9" t="str">
        <f>IFERROR(MID(VLOOKUP($B91,Seqs!$A:$B,2,0),AQ91,1),"")</f>
        <v>C</v>
      </c>
      <c r="AQ91" s="9">
        <v>516</v>
      </c>
      <c r="AR91" s="9" t="str">
        <f>IFERROR(MID(VLOOKUP($B91,Seqs!$A:$B,2,0),AS91,1),"")</f>
        <v>P</v>
      </c>
      <c r="AS91" s="9">
        <v>521</v>
      </c>
      <c r="AT91" s="9" t="str">
        <f>IFERROR(MID(VLOOKUP($B91,Seqs!$A:$B,2,0),AU91,1),"")</f>
        <v>C</v>
      </c>
      <c r="AU91" s="9">
        <v>546</v>
      </c>
      <c r="AV91" s="9" t="str">
        <f>IFERROR(MID(VLOOKUP($B91,Seqs!$A:$B,2,0),AW91,1),"")</f>
        <v>N</v>
      </c>
      <c r="AW91" s="9">
        <v>547</v>
      </c>
      <c r="AX91" s="9" t="str">
        <f>IFERROR(MID(VLOOKUP($B91,Seqs!$A:$B,2,0),AY91,1),"")</f>
        <v>C</v>
      </c>
      <c r="AY91" s="9">
        <v>560</v>
      </c>
      <c r="AZ91" s="110" t="str">
        <f>VLOOKUP(B91,Classification!A:D,2,0)</f>
        <v>A</v>
      </c>
      <c r="BA91" s="98" t="str">
        <f>VLOOKUP(B91,Classification!A:D,4,0)</f>
        <v>Acetylcholine(muscarinic)</v>
      </c>
      <c r="BB91" s="36" t="b">
        <f t="shared" ref="BB91" si="702">AND(E91&lt;G91,OR(G91&lt;I91,I91="-"),OR(I91&lt;K91,I91="-"),OR(K91&lt;M91,K91="-"),M91&lt;O91,OR(O91&lt;Q91,Q91="-"),OR(Q91&lt;S91,Q91="-"),OR(S91&lt;U91,S91="-"),U91&lt;W91,OR(W91&lt;Y91,Y91="-"),OR(Y91&lt;AA91,Y91="-"),OR(AA91&lt;AC91,AA91="-"),AC91&lt;AE91,OR(AE91&lt;AG91,AG91="-"),OR(AG91&lt;AI91,AG91="-"),OR(AI91&lt;AK91,AI91="-"),AK91&lt;AM91,AM91&lt;AO91,AO91&lt;AQ91,AQ91&lt;AS91,AS91&lt;AU91,OR(AU91&lt;AW91,AW91="-"),OR(AW91&lt;AY91,AW91="-"))</f>
        <v>1</v>
      </c>
      <c r="BC91" s="109">
        <f t="shared" ref="BC91" si="703">_xlfn.AGGREGATE(9,6,CH91:CS91)-_xlfn.AGGREGATE(9,6,BV91:CG91)+12</f>
        <v>259</v>
      </c>
      <c r="BD91" s="11" t="s">
        <v>1370</v>
      </c>
      <c r="BE91" s="9" t="s">
        <v>1368</v>
      </c>
      <c r="BF91" s="119">
        <v>3.1</v>
      </c>
      <c r="BG91" s="51" t="s">
        <v>1275</v>
      </c>
      <c r="BH91" s="51" t="s">
        <v>1275</v>
      </c>
      <c r="BJ91" s="111" t="s">
        <v>1281</v>
      </c>
      <c r="BK91" s="112" t="s">
        <v>1281</v>
      </c>
      <c r="BL91" s="112" t="s">
        <v>1281</v>
      </c>
      <c r="BM91" s="112" t="s">
        <v>1281</v>
      </c>
      <c r="BN91" s="112" t="s">
        <v>1281</v>
      </c>
      <c r="BO91" s="112" t="s">
        <v>1281</v>
      </c>
      <c r="BP91" s="112" t="s">
        <v>1281</v>
      </c>
      <c r="BQ91" s="112" t="s">
        <v>1281</v>
      </c>
      <c r="BR91" s="112" t="s">
        <v>1281</v>
      </c>
      <c r="BS91" s="112" t="s">
        <v>1281</v>
      </c>
      <c r="BT91" s="112" t="s">
        <v>1281</v>
      </c>
      <c r="BU91" s="112" t="s">
        <v>1281</v>
      </c>
      <c r="BV91" s="111">
        <f t="shared" ref="BV91" si="704">E91</f>
        <v>63</v>
      </c>
      <c r="BW91" s="113">
        <f t="shared" ref="BW91" si="705">I91</f>
        <v>96</v>
      </c>
      <c r="BX91" s="114">
        <f t="shared" ref="BX91" si="706">M91</f>
        <v>100</v>
      </c>
      <c r="BY91" s="113">
        <f t="shared" ref="BY91" si="707">Q91</f>
        <v>132</v>
      </c>
      <c r="BZ91" s="114">
        <f t="shared" ref="BZ91" si="708">U91</f>
        <v>136</v>
      </c>
      <c r="CA91" s="113">
        <f t="shared" ref="CA91" si="709">Y91</f>
        <v>172</v>
      </c>
      <c r="CB91" s="114">
        <f t="shared" ref="CB91" si="710">AC91</f>
        <v>180</v>
      </c>
      <c r="CC91" s="113">
        <f t="shared" ref="CC91" si="711">AG91</f>
        <v>220</v>
      </c>
      <c r="CD91" s="114">
        <f t="shared" ref="CD91" si="712">AK91</f>
        <v>227</v>
      </c>
      <c r="CE91" s="113">
        <f t="shared" ref="CE91" si="713">AO91</f>
        <v>482</v>
      </c>
      <c r="CF91" s="114">
        <f t="shared" ref="CF91" si="714">AS91</f>
        <v>521</v>
      </c>
      <c r="CG91" s="113">
        <f t="shared" ref="CG91" si="715">AW91</f>
        <v>547</v>
      </c>
      <c r="CH91" s="111">
        <f t="shared" ref="CH91" si="716">G91</f>
        <v>95</v>
      </c>
      <c r="CI91" s="113">
        <f t="shared" ref="CI91" si="717">K91</f>
        <v>99</v>
      </c>
      <c r="CJ91" s="114">
        <f t="shared" ref="CJ91" si="718">O91</f>
        <v>130</v>
      </c>
      <c r="CK91" s="114">
        <f t="shared" ref="CK91" si="719">S91</f>
        <v>135</v>
      </c>
      <c r="CL91" s="114">
        <f t="shared" ref="CL91" si="720">W91</f>
        <v>171</v>
      </c>
      <c r="CM91" s="114">
        <f t="shared" ref="CM91" si="721">AA91</f>
        <v>179</v>
      </c>
      <c r="CN91" s="114">
        <f t="shared" ref="CN91" si="722">AE91</f>
        <v>211</v>
      </c>
      <c r="CO91" s="114">
        <f t="shared" ref="CO91" si="723">AI91</f>
        <v>222</v>
      </c>
      <c r="CP91" s="114">
        <f t="shared" ref="CP91" si="724">AM91</f>
        <v>259</v>
      </c>
      <c r="CQ91" s="114">
        <f t="shared" ref="CQ91" si="725">AQ91</f>
        <v>516</v>
      </c>
      <c r="CR91" s="114">
        <f t="shared" ref="CR91" si="726">AU91</f>
        <v>546</v>
      </c>
      <c r="CS91" s="114">
        <f t="shared" ref="CS91" si="727">AY91</f>
        <v>560</v>
      </c>
      <c r="CT91" s="109">
        <f t="shared" ref="CT91" si="728">M91-K91</f>
        <v>1</v>
      </c>
    </row>
    <row r="92" spans="1:1029" x14ac:dyDescent="0.2">
      <c r="A92" s="3" t="str">
        <f t="shared" si="503"/>
        <v>acm4_human__wt</v>
      </c>
      <c r="B92" s="3" t="s">
        <v>149</v>
      </c>
      <c r="C92" s="3" t="s">
        <v>100</v>
      </c>
      <c r="D92" s="3" t="str">
        <f>IFERROR(MID(VLOOKUP($B92,Seqs!$A:$B,2,0),E92,1),"")</f>
        <v>R</v>
      </c>
      <c r="E92" s="3">
        <v>26</v>
      </c>
      <c r="F92" s="3" t="str">
        <f>IFERROR(MID(VLOOKUP($B92,Seqs!$A:$B,2,0),G92,1),"")</f>
        <v>N</v>
      </c>
      <c r="G92" s="3">
        <v>60</v>
      </c>
      <c r="H92" s="3" t="str">
        <f>IFERROR(MID(VLOOKUP($B92,Seqs!$A:$B,2,0),I92,1),"")</f>
        <v>R</v>
      </c>
      <c r="I92" s="23">
        <v>61</v>
      </c>
      <c r="J92" s="3" t="str">
        <f>IFERROR(MID(VLOOKUP($B92,Seqs!$A:$B,2,0),K92,1),"")</f>
        <v>Q</v>
      </c>
      <c r="K92" s="23">
        <v>64</v>
      </c>
      <c r="L92" s="3" t="str">
        <f>IFERROR(MID(VLOOKUP($B92,Seqs!$A:$B,2,0),M92,1),"")</f>
        <v>T</v>
      </c>
      <c r="M92" s="3">
        <v>65</v>
      </c>
      <c r="N92" s="3" t="str">
        <f>IFERROR(MID(VLOOKUP($B92,Seqs!$A:$B,2,0),O92,1),"")</f>
        <v>G</v>
      </c>
      <c r="O92" s="105">
        <v>96</v>
      </c>
      <c r="P92" s="3" t="str">
        <f>IFERROR(MID(VLOOKUP($B92,Seqs!$A:$B,2,0),Q92,1),"")</f>
        <v>Y</v>
      </c>
      <c r="Q92" s="3">
        <v>97</v>
      </c>
      <c r="R92" s="3" t="str">
        <f>IFERROR(MID(VLOOKUP($B92,Seqs!$A:$B,2,0),S92,1),"")</f>
        <v>L</v>
      </c>
      <c r="S92" s="3">
        <v>100</v>
      </c>
      <c r="T92" s="3" t="str">
        <f>IFERROR(MID(VLOOKUP($B92,Seqs!$A:$B,2,0),U92,1),"")</f>
        <v>G</v>
      </c>
      <c r="U92" s="3">
        <v>101</v>
      </c>
      <c r="V92" s="3" t="str">
        <f>IFERROR(MID(VLOOKUP($B92,Seqs!$A:$B,2,0),W92,1),"")</f>
        <v>K</v>
      </c>
      <c r="W92" s="3">
        <v>136</v>
      </c>
      <c r="X92" s="3" t="str">
        <f>IFERROR(MID(VLOOKUP($B92,Seqs!$A:$B,2,0),Y92,1),"")</f>
        <v>P</v>
      </c>
      <c r="Y92" s="3">
        <v>137</v>
      </c>
      <c r="Z92" s="3" t="str">
        <f>IFERROR(MID(VLOOKUP($B92,Seqs!$A:$B,2,0),AA92,1),"")</f>
        <v>R</v>
      </c>
      <c r="AA92" s="3">
        <v>144</v>
      </c>
      <c r="AB92" s="3" t="str">
        <f>IFERROR(MID(VLOOKUP($B92,Seqs!$A:$B,2,0),AC92,1),"")</f>
        <v>T</v>
      </c>
      <c r="AC92" s="9">
        <v>145</v>
      </c>
      <c r="AD92" s="3" t="str">
        <f>IFERROR(MID(VLOOKUP($B92,Seqs!$A:$B,2,0),AE92,1),"")</f>
        <v>G</v>
      </c>
      <c r="AE92" s="3">
        <v>176</v>
      </c>
      <c r="AF92" s="3" t="str">
        <f>IFERROR(MID(VLOOKUP($B92,Seqs!$A:$B,2,0),AG92,1),"")</f>
        <v>C</v>
      </c>
      <c r="AG92" s="3">
        <v>185</v>
      </c>
      <c r="AH92" s="3" t="str">
        <f>IFERROR(MID(VLOOKUP($B92,Seqs!$A:$B,2,0),AI92,1),"")</f>
        <v>I</v>
      </c>
      <c r="AI92" s="3">
        <v>187</v>
      </c>
      <c r="AJ92" s="3" t="str">
        <f>IFERROR(MID(VLOOKUP($B92,Seqs!$A:$B,2,0),AK92,1),"")</f>
        <v>N</v>
      </c>
      <c r="AK92" s="3">
        <v>192</v>
      </c>
      <c r="AL92" s="3" t="str">
        <f>IFERROR(MID(VLOOKUP($B92,Seqs!$A:$B,2,0),AM92,1),"")</f>
        <v>E</v>
      </c>
      <c r="AM92" s="3">
        <v>232</v>
      </c>
      <c r="AN92" s="3" t="str">
        <f>IFERROR(MID(VLOOKUP($B92,Seqs!$A:$B,2,0),AO92,1),"")</f>
        <v>R</v>
      </c>
      <c r="AO92" s="3">
        <v>389</v>
      </c>
      <c r="AP92" s="3" t="str">
        <f>IFERROR(MID(VLOOKUP($B92,Seqs!$A:$B,2,0),AQ92,1),"")</f>
        <v>C</v>
      </c>
      <c r="AQ92" s="3">
        <v>426</v>
      </c>
      <c r="AR92" s="3" t="str">
        <f>IFERROR(MID(VLOOKUP($B92,Seqs!$A:$B,2,0),AS92,1),"")</f>
        <v>P</v>
      </c>
      <c r="AS92" s="3">
        <v>431</v>
      </c>
      <c r="AT92" s="3" t="str">
        <f>IFERROR(MID(VLOOKUP($B92,Seqs!$A:$B,2,0),AU92,1),"")</f>
        <v>C</v>
      </c>
      <c r="AU92" s="3">
        <v>456</v>
      </c>
      <c r="AV92" s="3" t="str">
        <f>IFERROR(MID(VLOOKUP($B92,Seqs!$A:$B,2,0),AW92,1),"")</f>
        <v>N</v>
      </c>
      <c r="AW92" s="3">
        <v>457</v>
      </c>
      <c r="AX92" s="3" t="str">
        <f>IFERROR(MID(VLOOKUP($B92,Seqs!$A:$B,2,0),AY92,1),"")</f>
        <v>Q</v>
      </c>
      <c r="AY92" s="105">
        <v>471</v>
      </c>
      <c r="AZ92" s="77" t="str">
        <f>VLOOKUP(B92,Classification!A:D,2,0)</f>
        <v>A</v>
      </c>
      <c r="BA92" s="94" t="str">
        <f>VLOOKUP(B92,Classification!A:D,4,0)</f>
        <v>Acetylcholine(muscarinic)</v>
      </c>
      <c r="BB92" s="27" t="b">
        <f t="shared" si="504"/>
        <v>1</v>
      </c>
      <c r="BC92" s="23">
        <f t="shared" si="225"/>
        <v>274</v>
      </c>
      <c r="BD92" s="34" t="s">
        <v>23</v>
      </c>
      <c r="BE92" s="3" t="s">
        <v>23</v>
      </c>
      <c r="BF92" s="118" t="s">
        <v>23</v>
      </c>
      <c r="BG92" s="49" t="s">
        <v>1366</v>
      </c>
      <c r="BH92" s="49" t="s">
        <v>1371</v>
      </c>
      <c r="BI92" s="1"/>
      <c r="BJ92" s="70" t="s">
        <v>1281</v>
      </c>
      <c r="BK92" s="57" t="s">
        <v>1281</v>
      </c>
      <c r="BL92" s="57" t="s">
        <v>1281</v>
      </c>
      <c r="BM92" s="57" t="s">
        <v>1281</v>
      </c>
      <c r="BN92" s="57" t="s">
        <v>1281</v>
      </c>
      <c r="BO92" s="57" t="s">
        <v>1281</v>
      </c>
      <c r="BP92" s="57" t="s">
        <v>1281</v>
      </c>
      <c r="BQ92" s="57" t="s">
        <v>1281</v>
      </c>
      <c r="BR92" s="57" t="s">
        <v>1281</v>
      </c>
      <c r="BS92" s="57" t="s">
        <v>1281</v>
      </c>
      <c r="BT92" s="57" t="s">
        <v>1281</v>
      </c>
      <c r="BU92" s="57" t="s">
        <v>1281</v>
      </c>
      <c r="BV92" s="70">
        <f t="shared" si="226"/>
        <v>26</v>
      </c>
      <c r="BW92" s="71">
        <f t="shared" si="227"/>
        <v>61</v>
      </c>
      <c r="BX92" s="72">
        <f t="shared" si="228"/>
        <v>65</v>
      </c>
      <c r="BY92" s="71">
        <f t="shared" si="229"/>
        <v>97</v>
      </c>
      <c r="BZ92" s="72">
        <f t="shared" si="230"/>
        <v>101</v>
      </c>
      <c r="CA92" s="71">
        <f t="shared" si="231"/>
        <v>137</v>
      </c>
      <c r="CB92" s="72">
        <f t="shared" si="232"/>
        <v>145</v>
      </c>
      <c r="CC92" s="71">
        <f t="shared" si="233"/>
        <v>185</v>
      </c>
      <c r="CD92" s="72">
        <f t="shared" si="234"/>
        <v>192</v>
      </c>
      <c r="CE92" s="71">
        <f t="shared" si="235"/>
        <v>389</v>
      </c>
      <c r="CF92" s="72">
        <f t="shared" si="236"/>
        <v>431</v>
      </c>
      <c r="CG92" s="71">
        <f t="shared" si="237"/>
        <v>457</v>
      </c>
      <c r="CH92" s="70">
        <f t="shared" si="238"/>
        <v>60</v>
      </c>
      <c r="CI92" s="71">
        <f t="shared" si="239"/>
        <v>64</v>
      </c>
      <c r="CJ92" s="72">
        <f t="shared" si="240"/>
        <v>96</v>
      </c>
      <c r="CK92" s="72">
        <f t="shared" si="241"/>
        <v>100</v>
      </c>
      <c r="CL92" s="72">
        <f t="shared" si="242"/>
        <v>136</v>
      </c>
      <c r="CM92" s="72">
        <f t="shared" si="243"/>
        <v>144</v>
      </c>
      <c r="CN92" s="72">
        <f t="shared" si="244"/>
        <v>176</v>
      </c>
      <c r="CO92" s="72">
        <f t="shared" si="245"/>
        <v>187</v>
      </c>
      <c r="CP92" s="72">
        <f t="shared" si="246"/>
        <v>232</v>
      </c>
      <c r="CQ92" s="72">
        <f t="shared" si="247"/>
        <v>426</v>
      </c>
      <c r="CR92" s="72">
        <f t="shared" si="248"/>
        <v>456</v>
      </c>
      <c r="CS92" s="72">
        <f t="shared" si="249"/>
        <v>471</v>
      </c>
      <c r="CT92" s="23">
        <f t="shared" si="250"/>
        <v>1</v>
      </c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  <c r="AMM92" s="1"/>
      <c r="AMN92" s="1"/>
      <c r="AMO92" s="1"/>
    </row>
    <row r="93" spans="1:1029" x14ac:dyDescent="0.2">
      <c r="A93" s="3" t="str">
        <f t="shared" si="503"/>
        <v>acm4_human_5DSG</v>
      </c>
      <c r="B93" s="3" t="s">
        <v>149</v>
      </c>
      <c r="C93" s="3" t="s">
        <v>61</v>
      </c>
      <c r="D93" s="3" t="str">
        <f>IFERROR(MID(VLOOKUP($B93,Seqs!$A:$B,2,0),E93,1),"")</f>
        <v>R</v>
      </c>
      <c r="E93" s="3">
        <v>26</v>
      </c>
      <c r="F93" s="3" t="str">
        <f>IFERROR(MID(VLOOKUP($B93,Seqs!$A:$B,2,0),G93,1),"")</f>
        <v>N</v>
      </c>
      <c r="G93" s="3">
        <v>60</v>
      </c>
      <c r="H93" s="3" t="str">
        <f>IFERROR(MID(VLOOKUP($B93,Seqs!$A:$B,2,0),I93,1),"")</f>
        <v>R</v>
      </c>
      <c r="I93" s="23">
        <v>61</v>
      </c>
      <c r="J93" s="3" t="str">
        <f>IFERROR(MID(VLOOKUP($B93,Seqs!$A:$B,2,0),K93,1),"")</f>
        <v>Q</v>
      </c>
      <c r="K93" s="23">
        <v>64</v>
      </c>
      <c r="L93" s="3" t="str">
        <f>IFERROR(MID(VLOOKUP($B93,Seqs!$A:$B,2,0),M93,1),"")</f>
        <v>T</v>
      </c>
      <c r="M93" s="3">
        <v>65</v>
      </c>
      <c r="N93" s="3" t="str">
        <f>IFERROR(MID(VLOOKUP($B93,Seqs!$A:$B,2,0),O93,1),"")</f>
        <v>G</v>
      </c>
      <c r="O93" s="3">
        <v>96</v>
      </c>
      <c r="P93" s="3" t="str">
        <f>IFERROR(MID(VLOOKUP($B93,Seqs!$A:$B,2,0),Q93,1),"")</f>
        <v>Y</v>
      </c>
      <c r="Q93" s="3">
        <v>97</v>
      </c>
      <c r="R93" s="3" t="str">
        <f>IFERROR(MID(VLOOKUP($B93,Seqs!$A:$B,2,0),S93,1),"")</f>
        <v>L</v>
      </c>
      <c r="S93" s="3">
        <v>100</v>
      </c>
      <c r="T93" s="3" t="str">
        <f>IFERROR(MID(VLOOKUP($B93,Seqs!$A:$B,2,0),U93,1),"")</f>
        <v>G</v>
      </c>
      <c r="U93" s="3">
        <v>101</v>
      </c>
      <c r="V93" s="3" t="str">
        <f>IFERROR(MID(VLOOKUP($B93,Seqs!$A:$B,2,0),W93,1),"")</f>
        <v>K</v>
      </c>
      <c r="W93" s="3">
        <v>136</v>
      </c>
      <c r="X93" s="3" t="str">
        <f>IFERROR(MID(VLOOKUP($B93,Seqs!$A:$B,2,0),Y93,1),"")</f>
        <v>P</v>
      </c>
      <c r="Y93" s="3">
        <v>137</v>
      </c>
      <c r="Z93" s="3" t="str">
        <f>IFERROR(MID(VLOOKUP($B93,Seqs!$A:$B,2,0),AA93,1),"")</f>
        <v>R</v>
      </c>
      <c r="AA93" s="3">
        <v>144</v>
      </c>
      <c r="AB93" s="3" t="str">
        <f>IFERROR(MID(VLOOKUP($B93,Seqs!$A:$B,2,0),AC93,1),"")</f>
        <v>T</v>
      </c>
      <c r="AC93" s="9">
        <v>145</v>
      </c>
      <c r="AD93" s="3" t="str">
        <f>IFERROR(MID(VLOOKUP($B93,Seqs!$A:$B,2,0),AE93,1),"")</f>
        <v>G</v>
      </c>
      <c r="AE93" s="3">
        <v>176</v>
      </c>
      <c r="AF93" s="3" t="str">
        <f>IFERROR(MID(VLOOKUP($B93,Seqs!$A:$B,2,0),AG93,1),"")</f>
        <v>C</v>
      </c>
      <c r="AG93" s="3">
        <v>185</v>
      </c>
      <c r="AH93" s="3" t="str">
        <f>IFERROR(MID(VLOOKUP($B93,Seqs!$A:$B,2,0),AI93,1),"")</f>
        <v>I</v>
      </c>
      <c r="AI93" s="3">
        <v>187</v>
      </c>
      <c r="AJ93" s="3" t="str">
        <f>IFERROR(MID(VLOOKUP($B93,Seqs!$A:$B,2,0),AK93,1),"")</f>
        <v>N</v>
      </c>
      <c r="AK93" s="3">
        <v>192</v>
      </c>
      <c r="AL93" s="3" t="str">
        <f>IFERROR(MID(VLOOKUP($B93,Seqs!$A:$B,2,0),AM93,1),"")</f>
        <v>L</v>
      </c>
      <c r="AM93" s="3">
        <v>220</v>
      </c>
      <c r="AN93" s="3" t="str">
        <f>IFERROR(MID(VLOOKUP($B93,Seqs!$A:$B,2,0),AO93,1),"")</f>
        <v>R</v>
      </c>
      <c r="AO93" s="3">
        <v>396</v>
      </c>
      <c r="AP93" s="3" t="str">
        <f>IFERROR(MID(VLOOKUP($B93,Seqs!$A:$B,2,0),AQ93,1),"")</f>
        <v>C</v>
      </c>
      <c r="AQ93" s="3">
        <v>426</v>
      </c>
      <c r="AR93" s="3" t="str">
        <f>IFERROR(MID(VLOOKUP($B93,Seqs!$A:$B,2,0),AS93,1),"")</f>
        <v>P</v>
      </c>
      <c r="AS93" s="3">
        <v>431</v>
      </c>
      <c r="AT93" s="3" t="str">
        <f>IFERROR(MID(VLOOKUP($B93,Seqs!$A:$B,2,0),AU93,1),"")</f>
        <v>C</v>
      </c>
      <c r="AU93" s="3">
        <v>456</v>
      </c>
      <c r="AV93" s="3" t="str">
        <f>IFERROR(MID(VLOOKUP($B93,Seqs!$A:$B,2,0),AW93,1),"")</f>
        <v>N</v>
      </c>
      <c r="AW93" s="3">
        <v>457</v>
      </c>
      <c r="AX93" s="3" t="str">
        <f>IFERROR(MID(VLOOKUP($B93,Seqs!$A:$B,2,0),AY93,1),"")</f>
        <v>L</v>
      </c>
      <c r="AY93" s="3">
        <v>469</v>
      </c>
      <c r="AZ93" s="77" t="str">
        <f>VLOOKUP(B93,Classification!A:D,2,0)</f>
        <v>A</v>
      </c>
      <c r="BA93" s="94" t="str">
        <f>VLOOKUP(B93,Classification!A:D,4,0)</f>
        <v>Acetylcholine(muscarinic)</v>
      </c>
      <c r="BB93" s="27" t="b">
        <f t="shared" si="504"/>
        <v>1</v>
      </c>
      <c r="BC93" s="23">
        <f t="shared" si="225"/>
        <v>253</v>
      </c>
      <c r="BD93" s="2" t="s">
        <v>23</v>
      </c>
      <c r="BE93" s="3" t="s">
        <v>1368</v>
      </c>
      <c r="BF93" s="118">
        <v>2.6</v>
      </c>
      <c r="BG93" s="49" t="s">
        <v>1371</v>
      </c>
      <c r="BH93" s="49" t="s">
        <v>1371</v>
      </c>
      <c r="BI93" s="1"/>
      <c r="BJ93" s="70" t="s">
        <v>1281</v>
      </c>
      <c r="BK93" s="57" t="s">
        <v>1281</v>
      </c>
      <c r="BL93" s="57" t="s">
        <v>1281</v>
      </c>
      <c r="BM93" s="57" t="s">
        <v>1281</v>
      </c>
      <c r="BN93" s="57" t="s">
        <v>1281</v>
      </c>
      <c r="BO93" s="57" t="s">
        <v>1281</v>
      </c>
      <c r="BP93" s="57" t="s">
        <v>1281</v>
      </c>
      <c r="BQ93" s="57" t="s">
        <v>1281</v>
      </c>
      <c r="BR93" s="57" t="s">
        <v>1281</v>
      </c>
      <c r="BS93" s="57" t="s">
        <v>1281</v>
      </c>
      <c r="BT93" s="57" t="s">
        <v>1281</v>
      </c>
      <c r="BU93" s="57" t="s">
        <v>1281</v>
      </c>
      <c r="BV93" s="70">
        <f t="shared" si="226"/>
        <v>26</v>
      </c>
      <c r="BW93" s="71">
        <f t="shared" si="227"/>
        <v>61</v>
      </c>
      <c r="BX93" s="72">
        <f t="shared" si="228"/>
        <v>65</v>
      </c>
      <c r="BY93" s="71">
        <f t="shared" si="229"/>
        <v>97</v>
      </c>
      <c r="BZ93" s="72">
        <f t="shared" si="230"/>
        <v>101</v>
      </c>
      <c r="CA93" s="71">
        <f t="shared" si="231"/>
        <v>137</v>
      </c>
      <c r="CB93" s="72">
        <f t="shared" si="232"/>
        <v>145</v>
      </c>
      <c r="CC93" s="71">
        <f t="shared" si="233"/>
        <v>185</v>
      </c>
      <c r="CD93" s="72">
        <f t="shared" si="234"/>
        <v>192</v>
      </c>
      <c r="CE93" s="71">
        <f t="shared" si="235"/>
        <v>396</v>
      </c>
      <c r="CF93" s="72">
        <f t="shared" si="236"/>
        <v>431</v>
      </c>
      <c r="CG93" s="71">
        <f t="shared" si="237"/>
        <v>457</v>
      </c>
      <c r="CH93" s="70">
        <f t="shared" si="238"/>
        <v>60</v>
      </c>
      <c r="CI93" s="71">
        <f t="shared" si="239"/>
        <v>64</v>
      </c>
      <c r="CJ93" s="72">
        <f t="shared" si="240"/>
        <v>96</v>
      </c>
      <c r="CK93" s="72">
        <f t="shared" si="241"/>
        <v>100</v>
      </c>
      <c r="CL93" s="72">
        <f t="shared" si="242"/>
        <v>136</v>
      </c>
      <c r="CM93" s="72">
        <f t="shared" si="243"/>
        <v>144</v>
      </c>
      <c r="CN93" s="72">
        <f t="shared" si="244"/>
        <v>176</v>
      </c>
      <c r="CO93" s="72">
        <f t="shared" si="245"/>
        <v>187</v>
      </c>
      <c r="CP93" s="72">
        <f t="shared" si="246"/>
        <v>220</v>
      </c>
      <c r="CQ93" s="72">
        <f t="shared" si="247"/>
        <v>426</v>
      </c>
      <c r="CR93" s="72">
        <f t="shared" si="248"/>
        <v>456</v>
      </c>
      <c r="CS93" s="72">
        <f t="shared" si="249"/>
        <v>469</v>
      </c>
      <c r="CT93" s="23">
        <f t="shared" si="250"/>
        <v>1</v>
      </c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  <c r="AMO93" s="1"/>
    </row>
    <row r="94" spans="1:1029" s="12" customFormat="1" x14ac:dyDescent="0.2">
      <c r="A94" s="9" t="str">
        <f t="shared" ref="A94" si="729">CONCATENATE(B94,"_",C94)</f>
        <v>acm4_human_6KP6</v>
      </c>
      <c r="B94" s="9" t="s">
        <v>149</v>
      </c>
      <c r="C94" s="9" t="s">
        <v>1651</v>
      </c>
      <c r="D94" s="9" t="str">
        <f>IFERROR(MID(VLOOKUP($B94,Seqs!$A:$B,2,0),E94,1),"")</f>
        <v>T</v>
      </c>
      <c r="E94" s="9">
        <v>29</v>
      </c>
      <c r="F94" s="9" t="str">
        <f>IFERROR(MID(VLOOKUP($B94,Seqs!$A:$B,2,0),G94,1),"")</f>
        <v>N</v>
      </c>
      <c r="G94" s="9">
        <v>60</v>
      </c>
      <c r="H94" s="9" t="str">
        <f>IFERROR(MID(VLOOKUP($B94,Seqs!$A:$B,2,0),I94,1),"")</f>
        <v>R</v>
      </c>
      <c r="I94" s="109">
        <v>61</v>
      </c>
      <c r="J94" s="9" t="str">
        <f>IFERROR(MID(VLOOKUP($B94,Seqs!$A:$B,2,0),K94,1),"")</f>
        <v>Q</v>
      </c>
      <c r="K94" s="109">
        <v>64</v>
      </c>
      <c r="L94" s="9" t="str">
        <f>IFERROR(MID(VLOOKUP($B94,Seqs!$A:$B,2,0),M94,1),"")</f>
        <v>T</v>
      </c>
      <c r="M94" s="9">
        <v>65</v>
      </c>
      <c r="N94" s="9" t="str">
        <f>IFERROR(MID(VLOOKUP($B94,Seqs!$A:$B,2,0),O94,1),"")</f>
        <v>G</v>
      </c>
      <c r="O94" s="9">
        <v>96</v>
      </c>
      <c r="P94" s="9" t="str">
        <f>IFERROR(MID(VLOOKUP($B94,Seqs!$A:$B,2,0),Q94,1),"")</f>
        <v>Y</v>
      </c>
      <c r="Q94" s="9">
        <v>97</v>
      </c>
      <c r="R94" s="9" t="str">
        <f>IFERROR(MID(VLOOKUP($B94,Seqs!$A:$B,2,0),S94,1),"")</f>
        <v>L</v>
      </c>
      <c r="S94" s="9">
        <v>100</v>
      </c>
      <c r="T94" s="9" t="str">
        <f>IFERROR(MID(VLOOKUP($B94,Seqs!$A:$B,2,0),U94,1),"")</f>
        <v>G</v>
      </c>
      <c r="U94" s="9">
        <v>101</v>
      </c>
      <c r="V94" s="9" t="str">
        <f>IFERROR(MID(VLOOKUP($B94,Seqs!$A:$B,2,0),W94,1),"")</f>
        <v>K</v>
      </c>
      <c r="W94" s="9">
        <v>136</v>
      </c>
      <c r="X94" s="9" t="str">
        <f>IFERROR(MID(VLOOKUP($B94,Seqs!$A:$B,2,0),Y94,1),"")</f>
        <v>P</v>
      </c>
      <c r="Y94" s="9">
        <v>137</v>
      </c>
      <c r="Z94" s="9" t="str">
        <f>IFERROR(MID(VLOOKUP($B94,Seqs!$A:$B,2,0),AA94,1),"")</f>
        <v>R</v>
      </c>
      <c r="AA94" s="9">
        <v>144</v>
      </c>
      <c r="AB94" s="9" t="str">
        <f>IFERROR(MID(VLOOKUP($B94,Seqs!$A:$B,2,0),AC94,1),"")</f>
        <v>T</v>
      </c>
      <c r="AC94" s="9">
        <v>145</v>
      </c>
      <c r="AD94" s="9" t="str">
        <f>IFERROR(MID(VLOOKUP($B94,Seqs!$A:$B,2,0),AE94,1),"")</f>
        <v>G</v>
      </c>
      <c r="AE94" s="9">
        <v>176</v>
      </c>
      <c r="AF94" s="9" t="str">
        <f>IFERROR(MID(VLOOKUP($B94,Seqs!$A:$B,2,0),AG94,1),"")</f>
        <v>C</v>
      </c>
      <c r="AG94" s="9">
        <v>185</v>
      </c>
      <c r="AH94" s="9" t="str">
        <f>IFERROR(MID(VLOOKUP($B94,Seqs!$A:$B,2,0),AI94,1),"")</f>
        <v>I</v>
      </c>
      <c r="AI94" s="9">
        <v>187</v>
      </c>
      <c r="AJ94" s="9" t="str">
        <f>IFERROR(MID(VLOOKUP($B94,Seqs!$A:$B,2,0),AK94,1),"")</f>
        <v>N</v>
      </c>
      <c r="AK94" s="9">
        <v>192</v>
      </c>
      <c r="AL94" s="9" t="str">
        <f>IFERROR(MID(VLOOKUP($B94,Seqs!$A:$B,2,0),AM94,1),"")</f>
        <v>R</v>
      </c>
      <c r="AM94" s="9">
        <v>223</v>
      </c>
      <c r="AN94" s="9" t="str">
        <f>IFERROR(MID(VLOOKUP($B94,Seqs!$A:$B,2,0),AO94,1),"")</f>
        <v>Q</v>
      </c>
      <c r="AO94" s="9">
        <v>390</v>
      </c>
      <c r="AP94" s="9" t="str">
        <f>IFERROR(MID(VLOOKUP($B94,Seqs!$A:$B,2,0),AQ94,1),"")</f>
        <v>C</v>
      </c>
      <c r="AQ94" s="9">
        <v>426</v>
      </c>
      <c r="AR94" s="9" t="str">
        <f>IFERROR(MID(VLOOKUP($B94,Seqs!$A:$B,2,0),AS94,1),"")</f>
        <v>P</v>
      </c>
      <c r="AS94" s="9">
        <v>431</v>
      </c>
      <c r="AT94" s="9" t="str">
        <f>IFERROR(MID(VLOOKUP($B94,Seqs!$A:$B,2,0),AU94,1),"")</f>
        <v>C</v>
      </c>
      <c r="AU94" s="9">
        <v>456</v>
      </c>
      <c r="AV94" s="9" t="str">
        <f>IFERROR(MID(VLOOKUP($B94,Seqs!$A:$B,2,0),AW94,1),"")</f>
        <v>N</v>
      </c>
      <c r="AW94" s="9">
        <v>457</v>
      </c>
      <c r="AX94" s="9" t="str">
        <f>IFERROR(MID(VLOOKUP($B94,Seqs!$A:$B,2,0),AY94,1),"")</f>
        <v>Q</v>
      </c>
      <c r="AY94" s="9">
        <v>471</v>
      </c>
      <c r="AZ94" s="110" t="str">
        <f>VLOOKUP(B94,Classification!A:D,2,0)</f>
        <v>A</v>
      </c>
      <c r="BA94" s="98" t="str">
        <f>VLOOKUP(B94,Classification!A:D,4,0)</f>
        <v>Acetylcholine(muscarinic)</v>
      </c>
      <c r="BB94" s="36" t="b">
        <f t="shared" ref="BB94" si="730">AND(E94&lt;G94,OR(G94&lt;I94,I94="-"),OR(I94&lt;K94,I94="-"),OR(K94&lt;M94,K94="-"),M94&lt;O94,OR(O94&lt;Q94,Q94="-"),OR(Q94&lt;S94,Q94="-"),OR(S94&lt;U94,S94="-"),U94&lt;W94,OR(W94&lt;Y94,Y94="-"),OR(Y94&lt;AA94,Y94="-"),OR(AA94&lt;AC94,AA94="-"),AC94&lt;AE94,OR(AE94&lt;AG94,AG94="-"),OR(AG94&lt;AI94,AG94="-"),OR(AI94&lt;AK94,AI94="-"),AK94&lt;AM94,AM94&lt;AO94,AO94&lt;AQ94,AQ94&lt;AS94,AS94&lt;AU94,OR(AU94&lt;AW94,AW94="-"),OR(AW94&lt;AY94,AW94="-"))</f>
        <v>1</v>
      </c>
      <c r="BC94" s="109">
        <f t="shared" ref="BC94" si="731">_xlfn.AGGREGATE(9,6,CH94:CS94)-_xlfn.AGGREGATE(9,6,BV94:CG94)+12</f>
        <v>261</v>
      </c>
      <c r="BD94" s="40" t="s">
        <v>1370</v>
      </c>
      <c r="BE94" s="9" t="s">
        <v>1368</v>
      </c>
      <c r="BF94" s="119">
        <v>3</v>
      </c>
      <c r="BG94" s="51" t="s">
        <v>1</v>
      </c>
      <c r="BH94" s="51" t="s">
        <v>1</v>
      </c>
      <c r="BJ94" s="111" t="s">
        <v>1281</v>
      </c>
      <c r="BK94" s="112" t="s">
        <v>1281</v>
      </c>
      <c r="BL94" s="112" t="s">
        <v>1281</v>
      </c>
      <c r="BM94" s="112" t="s">
        <v>1281</v>
      </c>
      <c r="BN94" s="112" t="s">
        <v>1281</v>
      </c>
      <c r="BO94" s="112" t="s">
        <v>1281</v>
      </c>
      <c r="BP94" s="112" t="s">
        <v>1281</v>
      </c>
      <c r="BQ94" s="112" t="s">
        <v>1281</v>
      </c>
      <c r="BR94" s="112" t="s">
        <v>1281</v>
      </c>
      <c r="BS94" s="112" t="s">
        <v>1281</v>
      </c>
      <c r="BT94" s="112" t="s">
        <v>1281</v>
      </c>
      <c r="BU94" s="112" t="s">
        <v>1281</v>
      </c>
      <c r="BV94" s="111">
        <f t="shared" ref="BV94" si="732">E94</f>
        <v>29</v>
      </c>
      <c r="BW94" s="113">
        <f t="shared" ref="BW94" si="733">I94</f>
        <v>61</v>
      </c>
      <c r="BX94" s="114">
        <f t="shared" ref="BX94" si="734">M94</f>
        <v>65</v>
      </c>
      <c r="BY94" s="113">
        <f t="shared" ref="BY94" si="735">Q94</f>
        <v>97</v>
      </c>
      <c r="BZ94" s="114">
        <f t="shared" ref="BZ94" si="736">U94</f>
        <v>101</v>
      </c>
      <c r="CA94" s="113">
        <f t="shared" ref="CA94" si="737">Y94</f>
        <v>137</v>
      </c>
      <c r="CB94" s="114">
        <f t="shared" ref="CB94" si="738">AC94</f>
        <v>145</v>
      </c>
      <c r="CC94" s="113">
        <f t="shared" ref="CC94" si="739">AG94</f>
        <v>185</v>
      </c>
      <c r="CD94" s="114">
        <f t="shared" ref="CD94" si="740">AK94</f>
        <v>192</v>
      </c>
      <c r="CE94" s="113">
        <f t="shared" ref="CE94" si="741">AO94</f>
        <v>390</v>
      </c>
      <c r="CF94" s="114">
        <f t="shared" ref="CF94" si="742">AS94</f>
        <v>431</v>
      </c>
      <c r="CG94" s="113">
        <f t="shared" ref="CG94" si="743">AW94</f>
        <v>457</v>
      </c>
      <c r="CH94" s="111">
        <f t="shared" ref="CH94" si="744">G94</f>
        <v>60</v>
      </c>
      <c r="CI94" s="113">
        <f t="shared" ref="CI94" si="745">K94</f>
        <v>64</v>
      </c>
      <c r="CJ94" s="114">
        <f t="shared" ref="CJ94" si="746">O94</f>
        <v>96</v>
      </c>
      <c r="CK94" s="114">
        <f t="shared" ref="CK94" si="747">S94</f>
        <v>100</v>
      </c>
      <c r="CL94" s="114">
        <f t="shared" ref="CL94" si="748">W94</f>
        <v>136</v>
      </c>
      <c r="CM94" s="114">
        <f t="shared" ref="CM94" si="749">AA94</f>
        <v>144</v>
      </c>
      <c r="CN94" s="114">
        <f t="shared" ref="CN94" si="750">AE94</f>
        <v>176</v>
      </c>
      <c r="CO94" s="114">
        <f t="shared" ref="CO94" si="751">AI94</f>
        <v>187</v>
      </c>
      <c r="CP94" s="114">
        <f t="shared" ref="CP94" si="752">AM94</f>
        <v>223</v>
      </c>
      <c r="CQ94" s="114">
        <f t="shared" ref="CQ94" si="753">AQ94</f>
        <v>426</v>
      </c>
      <c r="CR94" s="114">
        <f t="shared" ref="CR94" si="754">AU94</f>
        <v>456</v>
      </c>
      <c r="CS94" s="114">
        <f t="shared" ref="CS94" si="755">AY94</f>
        <v>471</v>
      </c>
      <c r="CT94" s="109">
        <f t="shared" ref="CT94" si="756">M94-K94</f>
        <v>1</v>
      </c>
    </row>
    <row r="95" spans="1:1029" x14ac:dyDescent="0.2">
      <c r="A95" s="3" t="str">
        <f t="shared" ref="A95:A96" si="757">CONCATENATE(B95,"_",C95)</f>
        <v>acm5_human__wt</v>
      </c>
      <c r="B95" s="3" t="s">
        <v>150</v>
      </c>
      <c r="C95" s="3" t="s">
        <v>100</v>
      </c>
      <c r="D95" s="3" t="str">
        <f>IFERROR(MID(VLOOKUP($B95,Seqs!$A:$B,2,0),E95,1),"")</f>
        <v>R</v>
      </c>
      <c r="E95" s="3">
        <v>26</v>
      </c>
      <c r="F95" s="3" t="str">
        <f>IFERROR(MID(VLOOKUP($B95,Seqs!$A:$B,2,0),G95,1),"")</f>
        <v>N</v>
      </c>
      <c r="G95" s="3">
        <v>58</v>
      </c>
      <c r="H95" s="3" t="str">
        <f>IFERROR(MID(VLOOKUP($B95,Seqs!$A:$B,2,0),I95,1),"")</f>
        <v>S</v>
      </c>
      <c r="I95" s="23">
        <v>59</v>
      </c>
      <c r="J95" s="3" t="str">
        <f>IFERROR(MID(VLOOKUP($B95,Seqs!$A:$B,2,0),K95,1),"")</f>
        <v>K</v>
      </c>
      <c r="K95" s="23">
        <v>62</v>
      </c>
      <c r="L95" s="3" t="str">
        <f>IFERROR(MID(VLOOKUP($B95,Seqs!$A:$B,2,0),M95,1),"")</f>
        <v>T</v>
      </c>
      <c r="M95" s="3">
        <v>63</v>
      </c>
      <c r="N95" s="3" t="str">
        <f>IFERROR(MID(VLOOKUP($B95,Seqs!$A:$B,2,0),O95,1),"")</f>
        <v>G</v>
      </c>
      <c r="O95" s="3">
        <v>94</v>
      </c>
      <c r="P95" s="3" t="str">
        <f>IFERROR(MID(VLOOKUP($B95,Seqs!$A:$B,2,0),Q95,1),"")</f>
        <v>R</v>
      </c>
      <c r="Q95" s="3">
        <v>95</v>
      </c>
      <c r="R95" s="3" t="str">
        <f>IFERROR(MID(VLOOKUP($B95,Seqs!$A:$B,2,0),S95,1),"")</f>
        <v>L</v>
      </c>
      <c r="S95" s="3">
        <v>98</v>
      </c>
      <c r="T95" s="3" t="str">
        <f>IFERROR(MID(VLOOKUP($B95,Seqs!$A:$B,2,0),U95,1),"")</f>
        <v>G</v>
      </c>
      <c r="U95" s="3">
        <v>99</v>
      </c>
      <c r="V95" s="3" t="str">
        <f>IFERROR(MID(VLOOKUP($B95,Seqs!$A:$B,2,0),W95,1),"")</f>
        <v>R</v>
      </c>
      <c r="W95" s="3">
        <v>134</v>
      </c>
      <c r="X95" s="3" t="str">
        <f>IFERROR(MID(VLOOKUP($B95,Seqs!$A:$B,2,0),Y95,1),"")</f>
        <v>P</v>
      </c>
      <c r="Y95" s="3">
        <v>135</v>
      </c>
      <c r="Z95" s="3" t="str">
        <f>IFERROR(MID(VLOOKUP($B95,Seqs!$A:$B,2,0),AA95,1),"")</f>
        <v>R</v>
      </c>
      <c r="AA95" s="3">
        <v>142</v>
      </c>
      <c r="AB95" s="3" t="str">
        <f>IFERROR(MID(VLOOKUP($B95,Seqs!$A:$B,2,0),AC95,1),"")</f>
        <v>T</v>
      </c>
      <c r="AC95" s="3">
        <v>143</v>
      </c>
      <c r="AD95" s="3" t="str">
        <f>IFERROR(MID(VLOOKUP($B95,Seqs!$A:$B,2,0),AE95,1),"")</f>
        <v>G</v>
      </c>
      <c r="AE95" s="3">
        <v>174</v>
      </c>
      <c r="AF95" s="3" t="str">
        <f>IFERROR(MID(VLOOKUP($B95,Seqs!$A:$B,2,0),AG95,1),"")</f>
        <v>C</v>
      </c>
      <c r="AG95" s="3">
        <v>183</v>
      </c>
      <c r="AH95" s="3" t="str">
        <f>IFERROR(MID(VLOOKUP($B95,Seqs!$A:$B,2,0),AI95,1),"")</f>
        <v>I</v>
      </c>
      <c r="AI95" s="3">
        <v>185</v>
      </c>
      <c r="AJ95" s="3" t="str">
        <f>IFERROR(MID(VLOOKUP($B95,Seqs!$A:$B,2,0),AK95,1),"")</f>
        <v>E</v>
      </c>
      <c r="AK95" s="3">
        <v>190</v>
      </c>
      <c r="AL95" s="3" t="str">
        <f>IFERROR(MID(VLOOKUP($B95,Seqs!$A:$B,2,0),AM95,1),"")</f>
        <v>L</v>
      </c>
      <c r="AM95" s="3">
        <v>230</v>
      </c>
      <c r="AN95" s="3" t="str">
        <f>IFERROR(MID(VLOOKUP($B95,Seqs!$A:$B,2,0),AO95,1),"")</f>
        <v>R</v>
      </c>
      <c r="AO95" s="3">
        <v>431</v>
      </c>
      <c r="AP95" s="3" t="str">
        <f>IFERROR(MID(VLOOKUP($B95,Seqs!$A:$B,2,0),AQ95,1),"")</f>
        <v>C</v>
      </c>
      <c r="AQ95" s="3">
        <v>468</v>
      </c>
      <c r="AR95" s="3" t="str">
        <f>IFERROR(MID(VLOOKUP($B95,Seqs!$A:$B,2,0),AS95,1),"")</f>
        <v>P</v>
      </c>
      <c r="AS95" s="3">
        <v>473</v>
      </c>
      <c r="AT95" s="3" t="str">
        <f>IFERROR(MID(VLOOKUP($B95,Seqs!$A:$B,2,0),AU95,1),"")</f>
        <v>C</v>
      </c>
      <c r="AU95" s="3">
        <v>498</v>
      </c>
      <c r="AV95" s="3" t="str">
        <f>IFERROR(MID(VLOOKUP($B95,Seqs!$A:$B,2,0),AW95,1),"")</f>
        <v>N</v>
      </c>
      <c r="AW95" s="3">
        <v>499</v>
      </c>
      <c r="AX95" s="3" t="str">
        <f>IFERROR(MID(VLOOKUP($B95,Seqs!$A:$B,2,0),AY95,1),"")</f>
        <v>L</v>
      </c>
      <c r="AY95" s="3">
        <v>511</v>
      </c>
      <c r="AZ95" s="77" t="str">
        <f>VLOOKUP(B95,Classification!A:D,2,0)</f>
        <v>A</v>
      </c>
      <c r="BA95" s="94" t="str">
        <f>VLOOKUP(B95,Classification!A:D,4,0)</f>
        <v>Acetylcholine(muscarinic)</v>
      </c>
      <c r="BB95" s="27" t="b">
        <f t="shared" ref="BB95:BB96" si="758">AND(E95&lt;G95,OR(G95&lt;I95,I95="-"),OR(I95&lt;K95,I95="-"),OR(K95&lt;M95,K95="-"),M95&lt;O95,OR(O95&lt;Q95,Q95="-"),OR(Q95&lt;S95,Q95="-"),OR(S95&lt;U95,S95="-"),U95&lt;W95,OR(W95&lt;Y95,Y95="-"),OR(Y95&lt;AA95,Y95="-"),OR(AA95&lt;AC95,AA95="-"),AC95&lt;AE95,OR(AE95&lt;AG95,AG95="-"),OR(AG95&lt;AI95,AG95="-"),OR(AI95&lt;AK95,AI95="-"),AK95&lt;AM95,AM95&lt;AO95,AO95&lt;AQ95,AQ95&lt;AS95,AS95&lt;AU95,OR(AU95&lt;AW95,AW95="-"),OR(AW95&lt;AY95,AW95="-"))</f>
        <v>1</v>
      </c>
      <c r="BC95" s="23">
        <f t="shared" ref="BC95:BC96" si="759">_xlfn.AGGREGATE(9,6,CH95:CS95)-_xlfn.AGGREGATE(9,6,BV95:CG95)+12</f>
        <v>270</v>
      </c>
      <c r="BD95" s="2" t="s">
        <v>23</v>
      </c>
      <c r="BE95" s="3" t="s">
        <v>23</v>
      </c>
      <c r="BF95" s="118" t="s">
        <v>23</v>
      </c>
      <c r="BG95" s="49" t="s">
        <v>1371</v>
      </c>
      <c r="BH95" s="49" t="s">
        <v>1371</v>
      </c>
      <c r="BI95" s="1"/>
      <c r="BJ95" s="70" t="s">
        <v>1281</v>
      </c>
      <c r="BK95" s="57" t="s">
        <v>1281</v>
      </c>
      <c r="BL95" s="57" t="s">
        <v>1281</v>
      </c>
      <c r="BM95" s="57" t="s">
        <v>1281</v>
      </c>
      <c r="BN95" s="57" t="s">
        <v>1281</v>
      </c>
      <c r="BO95" s="57" t="s">
        <v>1281</v>
      </c>
      <c r="BP95" s="57" t="s">
        <v>1281</v>
      </c>
      <c r="BQ95" s="57" t="s">
        <v>1281</v>
      </c>
      <c r="BR95" s="57" t="s">
        <v>1281</v>
      </c>
      <c r="BS95" s="57" t="s">
        <v>1281</v>
      </c>
      <c r="BT95" s="57" t="s">
        <v>1281</v>
      </c>
      <c r="BU95" s="57" t="s">
        <v>1281</v>
      </c>
      <c r="BV95" s="70">
        <f t="shared" ref="BV95:BV96" si="760">E95</f>
        <v>26</v>
      </c>
      <c r="BW95" s="71">
        <f t="shared" ref="BW95:BW96" si="761">I95</f>
        <v>59</v>
      </c>
      <c r="BX95" s="72">
        <f t="shared" ref="BX95:BX96" si="762">M95</f>
        <v>63</v>
      </c>
      <c r="BY95" s="71">
        <f t="shared" ref="BY95:BY96" si="763">Q95</f>
        <v>95</v>
      </c>
      <c r="BZ95" s="72">
        <f t="shared" ref="BZ95:BZ96" si="764">U95</f>
        <v>99</v>
      </c>
      <c r="CA95" s="71">
        <f t="shared" ref="CA95:CA96" si="765">Y95</f>
        <v>135</v>
      </c>
      <c r="CB95" s="72">
        <f t="shared" ref="CB95:CB96" si="766">AC95</f>
        <v>143</v>
      </c>
      <c r="CC95" s="71">
        <f t="shared" ref="CC95:CC96" si="767">AG95</f>
        <v>183</v>
      </c>
      <c r="CD95" s="72">
        <f t="shared" ref="CD95:CD96" si="768">AK95</f>
        <v>190</v>
      </c>
      <c r="CE95" s="71">
        <f t="shared" ref="CE95:CE96" si="769">AO95</f>
        <v>431</v>
      </c>
      <c r="CF95" s="72">
        <f t="shared" ref="CF95:CF96" si="770">AS95</f>
        <v>473</v>
      </c>
      <c r="CG95" s="71">
        <f t="shared" ref="CG95:CG96" si="771">AW95</f>
        <v>499</v>
      </c>
      <c r="CH95" s="70">
        <f t="shared" ref="CH95:CH96" si="772">G95</f>
        <v>58</v>
      </c>
      <c r="CI95" s="71">
        <f t="shared" ref="CI95:CI96" si="773">K95</f>
        <v>62</v>
      </c>
      <c r="CJ95" s="72">
        <f t="shared" ref="CJ95:CJ96" si="774">O95</f>
        <v>94</v>
      </c>
      <c r="CK95" s="72">
        <f t="shared" ref="CK95:CK96" si="775">S95</f>
        <v>98</v>
      </c>
      <c r="CL95" s="72">
        <f t="shared" ref="CL95:CL96" si="776">W95</f>
        <v>134</v>
      </c>
      <c r="CM95" s="72">
        <f t="shared" ref="CM95:CM96" si="777">AA95</f>
        <v>142</v>
      </c>
      <c r="CN95" s="72">
        <f t="shared" ref="CN95:CN96" si="778">AE95</f>
        <v>174</v>
      </c>
      <c r="CO95" s="72">
        <f t="shared" ref="CO95:CO96" si="779">AI95</f>
        <v>185</v>
      </c>
      <c r="CP95" s="72">
        <f t="shared" ref="CP95:CP96" si="780">AM95</f>
        <v>230</v>
      </c>
      <c r="CQ95" s="72">
        <f t="shared" ref="CQ95:CQ96" si="781">AQ95</f>
        <v>468</v>
      </c>
      <c r="CR95" s="72">
        <f t="shared" ref="CR95:CR96" si="782">AU95</f>
        <v>498</v>
      </c>
      <c r="CS95" s="72">
        <f t="shared" ref="CS95:CS96" si="783">AY95</f>
        <v>511</v>
      </c>
      <c r="CT95" s="23">
        <f t="shared" ref="CT95:CT96" si="784">M95-K95</f>
        <v>1</v>
      </c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  <c r="AMK95" s="1"/>
      <c r="AML95" s="1"/>
      <c r="AMM95" s="1"/>
      <c r="AMN95" s="1"/>
      <c r="AMO95" s="1"/>
    </row>
    <row r="96" spans="1:1029" x14ac:dyDescent="0.2">
      <c r="A96" s="3" t="str">
        <f t="shared" si="757"/>
        <v>acm5_human_6OL9</v>
      </c>
      <c r="B96" s="3" t="s">
        <v>150</v>
      </c>
      <c r="C96" s="3" t="s">
        <v>1617</v>
      </c>
      <c r="D96" s="3" t="str">
        <f>IFERROR(MID(VLOOKUP($B96,Seqs!$A:$B,2,0),E96,1),"")</f>
        <v>R</v>
      </c>
      <c r="E96" s="3">
        <v>26</v>
      </c>
      <c r="F96" s="3" t="str">
        <f>IFERROR(MID(VLOOKUP($B96,Seqs!$A:$B,2,0),G96,1),"")</f>
        <v>N</v>
      </c>
      <c r="G96" s="3">
        <v>58</v>
      </c>
      <c r="H96" s="3" t="str">
        <f>IFERROR(MID(VLOOKUP($B96,Seqs!$A:$B,2,0),I96,1),"")</f>
        <v>S</v>
      </c>
      <c r="I96" s="23">
        <v>59</v>
      </c>
      <c r="J96" s="3" t="str">
        <f>IFERROR(MID(VLOOKUP($B96,Seqs!$A:$B,2,0),K96,1),"")</f>
        <v>K</v>
      </c>
      <c r="K96" s="23">
        <v>62</v>
      </c>
      <c r="L96" s="3" t="str">
        <f>IFERROR(MID(VLOOKUP($B96,Seqs!$A:$B,2,0),M96,1),"")</f>
        <v>T</v>
      </c>
      <c r="M96" s="3">
        <v>63</v>
      </c>
      <c r="N96" s="3" t="str">
        <f>IFERROR(MID(VLOOKUP($B96,Seqs!$A:$B,2,0),O96,1),"")</f>
        <v>G</v>
      </c>
      <c r="O96" s="3">
        <v>94</v>
      </c>
      <c r="P96" s="3" t="str">
        <f>IFERROR(MID(VLOOKUP($B96,Seqs!$A:$B,2,0),Q96,1),"")</f>
        <v>R</v>
      </c>
      <c r="Q96" s="3">
        <v>95</v>
      </c>
      <c r="R96" s="3" t="str">
        <f>IFERROR(MID(VLOOKUP($B96,Seqs!$A:$B,2,0),S96,1),"")</f>
        <v>L</v>
      </c>
      <c r="S96" s="3">
        <v>98</v>
      </c>
      <c r="T96" s="3" t="str">
        <f>IFERROR(MID(VLOOKUP($B96,Seqs!$A:$B,2,0),U96,1),"")</f>
        <v>G</v>
      </c>
      <c r="U96" s="3">
        <v>99</v>
      </c>
      <c r="V96" s="3" t="str">
        <f>IFERROR(MID(VLOOKUP($B96,Seqs!$A:$B,2,0),W96,1),"")</f>
        <v>R</v>
      </c>
      <c r="W96" s="3">
        <v>134</v>
      </c>
      <c r="X96" s="3" t="str">
        <f>IFERROR(MID(VLOOKUP($B96,Seqs!$A:$B,2,0),Y96,1),"")</f>
        <v>P</v>
      </c>
      <c r="Y96" s="3">
        <v>135</v>
      </c>
      <c r="Z96" s="3" t="str">
        <f>IFERROR(MID(VLOOKUP($B96,Seqs!$A:$B,2,0),AA96,1),"")</f>
        <v>R</v>
      </c>
      <c r="AA96" s="3">
        <v>142</v>
      </c>
      <c r="AB96" s="3" t="str">
        <f>IFERROR(MID(VLOOKUP($B96,Seqs!$A:$B,2,0),AC96,1),"")</f>
        <v>T</v>
      </c>
      <c r="AC96" s="3">
        <v>143</v>
      </c>
      <c r="AD96" s="3" t="str">
        <f>IFERROR(MID(VLOOKUP($B96,Seqs!$A:$B,2,0),AE96,1),"")</f>
        <v>G</v>
      </c>
      <c r="AE96" s="3">
        <v>174</v>
      </c>
      <c r="AF96" s="3" t="str">
        <f>IFERROR(MID(VLOOKUP($B96,Seqs!$A:$B,2,0),AG96,1),"")</f>
        <v>C</v>
      </c>
      <c r="AG96" s="3">
        <v>183</v>
      </c>
      <c r="AH96" s="3" t="str">
        <f>IFERROR(MID(VLOOKUP($B96,Seqs!$A:$B,2,0),AI96,1),"")</f>
        <v>I</v>
      </c>
      <c r="AI96" s="3">
        <v>185</v>
      </c>
      <c r="AJ96" s="3" t="str">
        <f>IFERROR(MID(VLOOKUP($B96,Seqs!$A:$B,2,0),AK96,1),"")</f>
        <v>E</v>
      </c>
      <c r="AK96" s="3">
        <v>190</v>
      </c>
      <c r="AL96" s="3" t="str">
        <f>IFERROR(MID(VLOOKUP($B96,Seqs!$A:$B,2,0),AM96,1),"")</f>
        <v>T</v>
      </c>
      <c r="AM96" s="3">
        <v>220</v>
      </c>
      <c r="AN96" s="3" t="str">
        <f>IFERROR(MID(VLOOKUP($B96,Seqs!$A:$B,2,0),AO96,1),"")</f>
        <v>R</v>
      </c>
      <c r="AO96" s="3">
        <v>431</v>
      </c>
      <c r="AP96" s="3" t="str">
        <f>IFERROR(MID(VLOOKUP($B96,Seqs!$A:$B,2,0),AQ96,1),"")</f>
        <v>C</v>
      </c>
      <c r="AQ96" s="3">
        <v>468</v>
      </c>
      <c r="AR96" s="3" t="str">
        <f>IFERROR(MID(VLOOKUP($B96,Seqs!$A:$B,2,0),AS96,1),"")</f>
        <v>P</v>
      </c>
      <c r="AS96" s="3">
        <v>473</v>
      </c>
      <c r="AT96" s="3" t="str">
        <f>IFERROR(MID(VLOOKUP($B96,Seqs!$A:$B,2,0),AU96,1),"")</f>
        <v>C</v>
      </c>
      <c r="AU96" s="3">
        <v>498</v>
      </c>
      <c r="AV96" s="3" t="str">
        <f>IFERROR(MID(VLOOKUP($B96,Seqs!$A:$B,2,0),AW96,1),"")</f>
        <v>N</v>
      </c>
      <c r="AW96" s="3">
        <v>499</v>
      </c>
      <c r="AX96" s="3" t="str">
        <f>IFERROR(MID(VLOOKUP($B96,Seqs!$A:$B,2,0),AY96,1),"")</f>
        <v>L</v>
      </c>
      <c r="AY96" s="3">
        <v>511</v>
      </c>
      <c r="AZ96" s="77" t="str">
        <f>VLOOKUP(B96,Classification!A:D,2,0)</f>
        <v>A</v>
      </c>
      <c r="BA96" s="94" t="str">
        <f>VLOOKUP(B96,Classification!A:D,4,0)</f>
        <v>Acetylcholine(muscarinic)</v>
      </c>
      <c r="BB96" s="27" t="b">
        <f t="shared" si="758"/>
        <v>1</v>
      </c>
      <c r="BC96" s="23">
        <f t="shared" si="759"/>
        <v>260</v>
      </c>
      <c r="BD96" s="2" t="s">
        <v>1370</v>
      </c>
      <c r="BE96" s="3" t="s">
        <v>1368</v>
      </c>
      <c r="BF96" s="118">
        <v>2.54</v>
      </c>
      <c r="BG96" s="49" t="s">
        <v>1</v>
      </c>
      <c r="BH96" s="49" t="s">
        <v>1</v>
      </c>
      <c r="BI96" s="1"/>
      <c r="BJ96" s="70" t="s">
        <v>1281</v>
      </c>
      <c r="BK96" s="57" t="s">
        <v>1281</v>
      </c>
      <c r="BL96" s="57" t="s">
        <v>1281</v>
      </c>
      <c r="BM96" s="57" t="s">
        <v>1281</v>
      </c>
      <c r="BN96" s="57" t="s">
        <v>1281</v>
      </c>
      <c r="BO96" s="57" t="s">
        <v>1281</v>
      </c>
      <c r="BP96" s="57" t="s">
        <v>1281</v>
      </c>
      <c r="BQ96" s="57" t="s">
        <v>1281</v>
      </c>
      <c r="BR96" s="57" t="s">
        <v>1281</v>
      </c>
      <c r="BS96" s="57" t="s">
        <v>1281</v>
      </c>
      <c r="BT96" s="57" t="s">
        <v>1281</v>
      </c>
      <c r="BU96" s="57" t="s">
        <v>1281</v>
      </c>
      <c r="BV96" s="70">
        <f t="shared" si="760"/>
        <v>26</v>
      </c>
      <c r="BW96" s="71">
        <f t="shared" si="761"/>
        <v>59</v>
      </c>
      <c r="BX96" s="72">
        <f t="shared" si="762"/>
        <v>63</v>
      </c>
      <c r="BY96" s="71">
        <f t="shared" si="763"/>
        <v>95</v>
      </c>
      <c r="BZ96" s="72">
        <f t="shared" si="764"/>
        <v>99</v>
      </c>
      <c r="CA96" s="71">
        <f t="shared" si="765"/>
        <v>135</v>
      </c>
      <c r="CB96" s="72">
        <f t="shared" si="766"/>
        <v>143</v>
      </c>
      <c r="CC96" s="71">
        <f t="shared" si="767"/>
        <v>183</v>
      </c>
      <c r="CD96" s="72">
        <f t="shared" si="768"/>
        <v>190</v>
      </c>
      <c r="CE96" s="71">
        <f t="shared" si="769"/>
        <v>431</v>
      </c>
      <c r="CF96" s="72">
        <f t="shared" si="770"/>
        <v>473</v>
      </c>
      <c r="CG96" s="71">
        <f t="shared" si="771"/>
        <v>499</v>
      </c>
      <c r="CH96" s="70">
        <f t="shared" si="772"/>
        <v>58</v>
      </c>
      <c r="CI96" s="71">
        <f t="shared" si="773"/>
        <v>62</v>
      </c>
      <c r="CJ96" s="72">
        <f t="shared" si="774"/>
        <v>94</v>
      </c>
      <c r="CK96" s="72">
        <f t="shared" si="775"/>
        <v>98</v>
      </c>
      <c r="CL96" s="72">
        <f t="shared" si="776"/>
        <v>134</v>
      </c>
      <c r="CM96" s="72">
        <f t="shared" si="777"/>
        <v>142</v>
      </c>
      <c r="CN96" s="72">
        <f t="shared" si="778"/>
        <v>174</v>
      </c>
      <c r="CO96" s="72">
        <f t="shared" si="779"/>
        <v>185</v>
      </c>
      <c r="CP96" s="72">
        <f t="shared" si="780"/>
        <v>220</v>
      </c>
      <c r="CQ96" s="72">
        <f t="shared" si="781"/>
        <v>468</v>
      </c>
      <c r="CR96" s="72">
        <f t="shared" si="782"/>
        <v>498</v>
      </c>
      <c r="CS96" s="72">
        <f t="shared" si="783"/>
        <v>511</v>
      </c>
      <c r="CT96" s="23">
        <f t="shared" si="784"/>
        <v>1</v>
      </c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  <c r="AMM96" s="1"/>
      <c r="AMN96" s="1"/>
      <c r="AMO96" s="1"/>
    </row>
    <row r="97" spans="1:1029" x14ac:dyDescent="0.2">
      <c r="A97" s="3" t="str">
        <f t="shared" si="503"/>
        <v>adrb1_melga__wt</v>
      </c>
      <c r="B97" s="3" t="s">
        <v>905</v>
      </c>
      <c r="C97" s="3" t="s">
        <v>100</v>
      </c>
      <c r="D97" s="3" t="str">
        <f>IFERROR(MID(VLOOKUP($B97,Seqs!$A:$B,2,0),E97,1),"")</f>
        <v>A</v>
      </c>
      <c r="E97" s="3">
        <v>33</v>
      </c>
      <c r="F97" s="3" t="str">
        <f>IFERROR(MID(VLOOKUP($B97,Seqs!$A:$B,2,0),G97,1),"")</f>
        <v>T</v>
      </c>
      <c r="G97" s="3">
        <v>69</v>
      </c>
      <c r="H97" s="3" t="str">
        <f>IFERROR(MID(VLOOKUP($B97,Seqs!$A:$B,2,0),I97,1),"")</f>
        <v>Q</v>
      </c>
      <c r="I97" s="23">
        <v>70</v>
      </c>
      <c r="J97" s="3" t="str">
        <f>IFERROR(MID(VLOOKUP($B97,Seqs!$A:$B,2,0),K97,1),"")</f>
        <v>Q</v>
      </c>
      <c r="K97" s="23">
        <v>73</v>
      </c>
      <c r="L97" s="3" t="str">
        <f>IFERROR(MID(VLOOKUP($B97,Seqs!$A:$B,2,0),M97,1),"")</f>
        <v>T</v>
      </c>
      <c r="M97" s="3">
        <v>74</v>
      </c>
      <c r="N97" s="3" t="str">
        <f>IFERROR(MID(VLOOKUP($B97,Seqs!$A:$B,2,0),O97,1),"")</f>
        <v>R</v>
      </c>
      <c r="O97" s="3">
        <v>104</v>
      </c>
      <c r="P97" s="3" t="str">
        <f>IFERROR(MID(VLOOKUP($B97,Seqs!$A:$B,2,0),Q97,1),"")</f>
        <v>T</v>
      </c>
      <c r="Q97" s="3">
        <v>106</v>
      </c>
      <c r="R97" s="3" t="str">
        <f>IFERROR(MID(VLOOKUP($B97,Seqs!$A:$B,2,0),S97,1),"")</f>
        <v>W</v>
      </c>
      <c r="S97" s="3">
        <v>109</v>
      </c>
      <c r="T97" s="3" t="str">
        <f>IFERROR(MID(VLOOKUP($B97,Seqs!$A:$B,2,0),U97,1),"")</f>
        <v>G</v>
      </c>
      <c r="U97" s="3">
        <v>110</v>
      </c>
      <c r="V97" s="3" t="str">
        <f>IFERROR(MID(VLOOKUP($B97,Seqs!$A:$B,2,0),W97,1),"")</f>
        <v>S</v>
      </c>
      <c r="W97" s="3">
        <v>145</v>
      </c>
      <c r="X97" s="3" t="str">
        <f>IFERROR(MID(VLOOKUP($B97,Seqs!$A:$B,2,0),Y97,1),"")</f>
        <v>P</v>
      </c>
      <c r="Y97" s="3">
        <v>146</v>
      </c>
      <c r="Z97" s="3" t="str">
        <f>IFERROR(MID(VLOOKUP($B97,Seqs!$A:$B,2,0),AA97,1),"")</f>
        <v>M</v>
      </c>
      <c r="AA97" s="3">
        <v>153</v>
      </c>
      <c r="AB97" s="3" t="str">
        <f>IFERROR(MID(VLOOKUP($B97,Seqs!$A:$B,2,0),AC97,1),"")</f>
        <v>T</v>
      </c>
      <c r="AC97" s="9">
        <v>154</v>
      </c>
      <c r="AD97" s="3" t="str">
        <f>IFERROR(MID(VLOOKUP($B97,Seqs!$A:$B,2,0),AE97,1),"")</f>
        <v>H</v>
      </c>
      <c r="AE97" s="3">
        <v>180</v>
      </c>
      <c r="AF97" s="3" t="str">
        <f>IFERROR(MID(VLOOKUP($B97,Seqs!$A:$B,2,0),AG97,1),"")</f>
        <v>C</v>
      </c>
      <c r="AG97" s="3">
        <v>199</v>
      </c>
      <c r="AH97" s="3" t="str">
        <f>IFERROR(MID(VLOOKUP($B97,Seqs!$A:$B,2,0),AI97,1),"")</f>
        <v>F</v>
      </c>
      <c r="AI97" s="3">
        <v>201</v>
      </c>
      <c r="AJ97" s="3" t="str">
        <f>IFERROR(MID(VLOOKUP($B97,Seqs!$A:$B,2,0),AK97,1),"")</f>
        <v>N</v>
      </c>
      <c r="AK97" s="3">
        <v>204</v>
      </c>
      <c r="AL97" s="3" t="str">
        <f>IFERROR(MID(VLOOKUP($B97,Seqs!$A:$B,2,0),AM97,1),"")</f>
        <v>E</v>
      </c>
      <c r="AM97" s="3">
        <v>245</v>
      </c>
      <c r="AN97" s="3" t="str">
        <f>IFERROR(MID(VLOOKUP($B97,Seqs!$A:$B,2,0),AO97,1),"")</f>
        <v>R</v>
      </c>
      <c r="AO97" s="3">
        <v>275</v>
      </c>
      <c r="AP97" s="3" t="str">
        <f>IFERROR(MID(VLOOKUP($B97,Seqs!$A:$B,2,0),AQ97,1),"")</f>
        <v>N</v>
      </c>
      <c r="AQ97" s="3">
        <v>316</v>
      </c>
      <c r="AR97" s="3" t="str">
        <f>IFERROR(MID(VLOOKUP($B97,Seqs!$A:$B,2,0),AS97,1),"")</f>
        <v>P</v>
      </c>
      <c r="AS97" s="3">
        <v>321</v>
      </c>
      <c r="AT97" s="3" t="str">
        <f>IFERROR(MID(VLOOKUP($B97,Seqs!$A:$B,2,0),AU97,1),"")</f>
        <v>R</v>
      </c>
      <c r="AU97" s="3">
        <v>345</v>
      </c>
      <c r="AV97" s="3" t="str">
        <f>IFERROR(MID(VLOOKUP($B97,Seqs!$A:$B,2,0),AW97,1),"")</f>
        <v>S</v>
      </c>
      <c r="AW97" s="3">
        <v>346</v>
      </c>
      <c r="AX97" s="3" t="str">
        <f>IFERROR(MID(VLOOKUP($B97,Seqs!$A:$B,2,0),AY97,1),"")</f>
        <v>C</v>
      </c>
      <c r="AY97" s="3">
        <v>358</v>
      </c>
      <c r="AZ97" s="77" t="str">
        <f>VLOOKUP(B97,Classification!A:D,2,0)</f>
        <v>A</v>
      </c>
      <c r="BA97" s="94" t="str">
        <f>VLOOKUP(B97,Classification!A:D,4,0)</f>
        <v>Adrenoceptors</v>
      </c>
      <c r="BB97" s="27" t="b">
        <f t="shared" si="504"/>
        <v>1</v>
      </c>
      <c r="BC97" s="23">
        <f t="shared" si="225"/>
        <v>272</v>
      </c>
      <c r="BD97" s="34" t="s">
        <v>23</v>
      </c>
      <c r="BE97" s="3" t="s">
        <v>23</v>
      </c>
      <c r="BF97" s="118" t="s">
        <v>23</v>
      </c>
      <c r="BG97" s="49" t="s">
        <v>1366</v>
      </c>
      <c r="BH97" s="49" t="s">
        <v>1371</v>
      </c>
      <c r="BI97" s="3" t="s">
        <v>1159</v>
      </c>
      <c r="BJ97" s="70" t="s">
        <v>1281</v>
      </c>
      <c r="BK97" s="57" t="s">
        <v>1281</v>
      </c>
      <c r="BL97" s="57" t="s">
        <v>1281</v>
      </c>
      <c r="BM97" s="57" t="s">
        <v>1281</v>
      </c>
      <c r="BN97" s="57" t="s">
        <v>1281</v>
      </c>
      <c r="BO97" s="57" t="s">
        <v>1281</v>
      </c>
      <c r="BP97" s="57" t="s">
        <v>1281</v>
      </c>
      <c r="BQ97" s="57" t="s">
        <v>1281</v>
      </c>
      <c r="BR97" s="57" t="s">
        <v>1281</v>
      </c>
      <c r="BS97" s="57" t="s">
        <v>1281</v>
      </c>
      <c r="BT97" s="57" t="s">
        <v>1281</v>
      </c>
      <c r="BU97" s="57" t="s">
        <v>1281</v>
      </c>
      <c r="BV97" s="70">
        <f t="shared" si="226"/>
        <v>33</v>
      </c>
      <c r="BW97" s="71">
        <f t="shared" si="227"/>
        <v>70</v>
      </c>
      <c r="BX97" s="72">
        <f t="shared" si="228"/>
        <v>74</v>
      </c>
      <c r="BY97" s="71">
        <f t="shared" si="229"/>
        <v>106</v>
      </c>
      <c r="BZ97" s="72">
        <f t="shared" si="230"/>
        <v>110</v>
      </c>
      <c r="CA97" s="71">
        <f t="shared" si="231"/>
        <v>146</v>
      </c>
      <c r="CB97" s="72">
        <f t="shared" si="232"/>
        <v>154</v>
      </c>
      <c r="CC97" s="71">
        <f t="shared" si="233"/>
        <v>199</v>
      </c>
      <c r="CD97" s="72">
        <f t="shared" si="234"/>
        <v>204</v>
      </c>
      <c r="CE97" s="71">
        <f t="shared" si="235"/>
        <v>275</v>
      </c>
      <c r="CF97" s="72">
        <f t="shared" si="236"/>
        <v>321</v>
      </c>
      <c r="CG97" s="71">
        <f t="shared" si="237"/>
        <v>346</v>
      </c>
      <c r="CH97" s="70">
        <f t="shared" si="238"/>
        <v>69</v>
      </c>
      <c r="CI97" s="71">
        <f t="shared" si="239"/>
        <v>73</v>
      </c>
      <c r="CJ97" s="72">
        <f t="shared" si="240"/>
        <v>104</v>
      </c>
      <c r="CK97" s="72">
        <f t="shared" si="241"/>
        <v>109</v>
      </c>
      <c r="CL97" s="72">
        <f t="shared" si="242"/>
        <v>145</v>
      </c>
      <c r="CM97" s="72">
        <f t="shared" si="243"/>
        <v>153</v>
      </c>
      <c r="CN97" s="72">
        <f t="shared" si="244"/>
        <v>180</v>
      </c>
      <c r="CO97" s="72">
        <f t="shared" si="245"/>
        <v>201</v>
      </c>
      <c r="CP97" s="72">
        <f t="shared" si="246"/>
        <v>245</v>
      </c>
      <c r="CQ97" s="72">
        <f t="shared" si="247"/>
        <v>316</v>
      </c>
      <c r="CR97" s="72">
        <f t="shared" si="248"/>
        <v>345</v>
      </c>
      <c r="CS97" s="72">
        <f t="shared" si="249"/>
        <v>358</v>
      </c>
      <c r="CT97" s="23">
        <f t="shared" si="250"/>
        <v>1</v>
      </c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  <c r="AMM97" s="1"/>
      <c r="AMN97" s="1"/>
      <c r="AMO97" s="1"/>
    </row>
    <row r="98" spans="1:1029" x14ac:dyDescent="0.2">
      <c r="A98" s="3" t="str">
        <f t="shared" si="503"/>
        <v>adrb1_melga_2Y00</v>
      </c>
      <c r="B98" s="3" t="s">
        <v>905</v>
      </c>
      <c r="C98" s="3" t="s">
        <v>1016</v>
      </c>
      <c r="D98" s="3" t="str">
        <f>IFERROR(MID(VLOOKUP($B98,Seqs!$A:$B,2,0),E98,1),"")</f>
        <v>A</v>
      </c>
      <c r="E98" s="3">
        <v>33</v>
      </c>
      <c r="F98" s="3" t="str">
        <f>IFERROR(MID(VLOOKUP($B98,Seqs!$A:$B,2,0),G98,1),"")</f>
        <v>T</v>
      </c>
      <c r="G98" s="3">
        <v>69</v>
      </c>
      <c r="H98" s="3" t="str">
        <f>IFERROR(MID(VLOOKUP($B98,Seqs!$A:$B,2,0),I98,1),"")</f>
        <v>Q</v>
      </c>
      <c r="I98" s="23">
        <v>70</v>
      </c>
      <c r="J98" s="3" t="str">
        <f>IFERROR(MID(VLOOKUP($B98,Seqs!$A:$B,2,0),K98,1),"")</f>
        <v>Q</v>
      </c>
      <c r="K98" s="23">
        <v>73</v>
      </c>
      <c r="L98" s="3" t="str">
        <f>IFERROR(MID(VLOOKUP($B98,Seqs!$A:$B,2,0),M98,1),"")</f>
        <v>T</v>
      </c>
      <c r="M98" s="3">
        <v>74</v>
      </c>
      <c r="N98" s="3" t="str">
        <f>IFERROR(MID(VLOOKUP($B98,Seqs!$A:$B,2,0),O98,1),"")</f>
        <v>R</v>
      </c>
      <c r="O98" s="3">
        <v>104</v>
      </c>
      <c r="P98" s="3" t="str">
        <f>IFERROR(MID(VLOOKUP($B98,Seqs!$A:$B,2,0),Q98,1),"")</f>
        <v>T</v>
      </c>
      <c r="Q98" s="3">
        <v>106</v>
      </c>
      <c r="R98" s="3" t="str">
        <f>IFERROR(MID(VLOOKUP($B98,Seqs!$A:$B,2,0),S98,1),"")</f>
        <v>W</v>
      </c>
      <c r="S98" s="3">
        <v>109</v>
      </c>
      <c r="T98" s="3" t="str">
        <f>IFERROR(MID(VLOOKUP($B98,Seqs!$A:$B,2,0),U98,1),"")</f>
        <v>G</v>
      </c>
      <c r="U98" s="3">
        <v>110</v>
      </c>
      <c r="V98" s="3" t="str">
        <f>IFERROR(MID(VLOOKUP($B98,Seqs!$A:$B,2,0),W98,1),"")</f>
        <v>S</v>
      </c>
      <c r="W98" s="3">
        <v>145</v>
      </c>
      <c r="X98" s="3" t="str">
        <f>IFERROR(MID(VLOOKUP($B98,Seqs!$A:$B,2,0),Y98,1),"")</f>
        <v>P</v>
      </c>
      <c r="Y98" s="3">
        <v>146</v>
      </c>
      <c r="Z98" s="3" t="str">
        <f>IFERROR(MID(VLOOKUP($B98,Seqs!$A:$B,2,0),AA98,1),"")</f>
        <v>M</v>
      </c>
      <c r="AA98" s="3">
        <v>153</v>
      </c>
      <c r="AB98" s="3" t="str">
        <f>IFERROR(MID(VLOOKUP($B98,Seqs!$A:$B,2,0),AC98,1),"")</f>
        <v>T</v>
      </c>
      <c r="AC98" s="9">
        <v>154</v>
      </c>
      <c r="AD98" s="3" t="str">
        <f>IFERROR(MID(VLOOKUP($B98,Seqs!$A:$B,2,0),AE98,1),"")</f>
        <v>H</v>
      </c>
      <c r="AE98" s="3">
        <v>180</v>
      </c>
      <c r="AF98" s="3" t="str">
        <f>IFERROR(MID(VLOOKUP($B98,Seqs!$A:$B,2,0),AG98,1),"")</f>
        <v>C</v>
      </c>
      <c r="AG98" s="3">
        <v>199</v>
      </c>
      <c r="AH98" s="3" t="str">
        <f>IFERROR(MID(VLOOKUP($B98,Seqs!$A:$B,2,0),AI98,1),"")</f>
        <v>F</v>
      </c>
      <c r="AI98" s="3">
        <v>201</v>
      </c>
      <c r="AJ98" s="3" t="str">
        <f>IFERROR(MID(VLOOKUP($B98,Seqs!$A:$B,2,0),AK98,1),"")</f>
        <v>N</v>
      </c>
      <c r="AK98" s="3">
        <v>204</v>
      </c>
      <c r="AL98" s="3" t="str">
        <f>IFERROR(MID(VLOOKUP($B98,Seqs!$A:$B,2,0),AM98,1),"")</f>
        <v>I</v>
      </c>
      <c r="AM98" s="3">
        <v>238</v>
      </c>
      <c r="AN98" s="3" t="str">
        <f>IFERROR(MID(VLOOKUP($B98,Seqs!$A:$B,2,0),AO98,1),"")</f>
        <v>R</v>
      </c>
      <c r="AO98" s="3">
        <v>275</v>
      </c>
      <c r="AP98" s="3" t="str">
        <f>IFERROR(MID(VLOOKUP($B98,Seqs!$A:$B,2,0),AQ98,1),"")</f>
        <v>N</v>
      </c>
      <c r="AQ98" s="3">
        <v>316</v>
      </c>
      <c r="AR98" s="3" t="str">
        <f>IFERROR(MID(VLOOKUP($B98,Seqs!$A:$B,2,0),AS98,1),"")</f>
        <v>P</v>
      </c>
      <c r="AS98" s="3">
        <v>321</v>
      </c>
      <c r="AT98" s="3" t="str">
        <f>IFERROR(MID(VLOOKUP($B98,Seqs!$A:$B,2,0),AU98,1),"")</f>
        <v>R</v>
      </c>
      <c r="AU98" s="3">
        <v>345</v>
      </c>
      <c r="AV98" s="3" t="str">
        <f>IFERROR(MID(VLOOKUP($B98,Seqs!$A:$B,2,0),AW98,1),"")</f>
        <v>S</v>
      </c>
      <c r="AW98" s="3">
        <v>346</v>
      </c>
      <c r="AX98" s="3" t="str">
        <f>IFERROR(MID(VLOOKUP($B98,Seqs!$A:$B,2,0),AY98,1),"")</f>
        <v>C</v>
      </c>
      <c r="AY98" s="3">
        <v>358</v>
      </c>
      <c r="AZ98" s="77" t="str">
        <f>VLOOKUP(B98,Classification!A:D,2,0)</f>
        <v>A</v>
      </c>
      <c r="BA98" s="94" t="str">
        <f>VLOOKUP(B98,Classification!A:D,4,0)</f>
        <v>Adrenoceptors</v>
      </c>
      <c r="BB98" s="27" t="b">
        <f t="shared" si="504"/>
        <v>1</v>
      </c>
      <c r="BC98" s="23">
        <f t="shared" si="225"/>
        <v>265</v>
      </c>
      <c r="BD98" s="4" t="s">
        <v>23</v>
      </c>
      <c r="BE98" s="3" t="s">
        <v>1368</v>
      </c>
      <c r="BF98" s="118">
        <v>2.5</v>
      </c>
      <c r="BG98" s="49" t="s">
        <v>1371</v>
      </c>
      <c r="BH98" s="49" t="s">
        <v>1371</v>
      </c>
      <c r="BI98" s="1"/>
      <c r="BJ98" s="70" t="s">
        <v>1281</v>
      </c>
      <c r="BK98" s="57" t="s">
        <v>1281</v>
      </c>
      <c r="BL98" s="57" t="s">
        <v>1281</v>
      </c>
      <c r="BM98" s="57" t="s">
        <v>1281</v>
      </c>
      <c r="BN98" s="57" t="s">
        <v>1281</v>
      </c>
      <c r="BO98" s="57" t="s">
        <v>1281</v>
      </c>
      <c r="BP98" s="57" t="s">
        <v>1281</v>
      </c>
      <c r="BQ98" s="57" t="s">
        <v>1281</v>
      </c>
      <c r="BR98" s="57" t="s">
        <v>1281</v>
      </c>
      <c r="BS98" s="57" t="s">
        <v>1281</v>
      </c>
      <c r="BT98" s="57" t="s">
        <v>1281</v>
      </c>
      <c r="BU98" s="57" t="s">
        <v>1281</v>
      </c>
      <c r="BV98" s="70">
        <f t="shared" si="226"/>
        <v>33</v>
      </c>
      <c r="BW98" s="71">
        <f t="shared" si="227"/>
        <v>70</v>
      </c>
      <c r="BX98" s="72">
        <f t="shared" si="228"/>
        <v>74</v>
      </c>
      <c r="BY98" s="71">
        <f t="shared" si="229"/>
        <v>106</v>
      </c>
      <c r="BZ98" s="72">
        <f t="shared" si="230"/>
        <v>110</v>
      </c>
      <c r="CA98" s="71">
        <f t="shared" si="231"/>
        <v>146</v>
      </c>
      <c r="CB98" s="72">
        <f t="shared" si="232"/>
        <v>154</v>
      </c>
      <c r="CC98" s="71">
        <f t="shared" si="233"/>
        <v>199</v>
      </c>
      <c r="CD98" s="72">
        <f t="shared" si="234"/>
        <v>204</v>
      </c>
      <c r="CE98" s="71">
        <f t="shared" si="235"/>
        <v>275</v>
      </c>
      <c r="CF98" s="72">
        <f t="shared" si="236"/>
        <v>321</v>
      </c>
      <c r="CG98" s="71">
        <f t="shared" si="237"/>
        <v>346</v>
      </c>
      <c r="CH98" s="70">
        <f t="shared" si="238"/>
        <v>69</v>
      </c>
      <c r="CI98" s="71">
        <f t="shared" si="239"/>
        <v>73</v>
      </c>
      <c r="CJ98" s="72">
        <f t="shared" si="240"/>
        <v>104</v>
      </c>
      <c r="CK98" s="72">
        <f t="shared" si="241"/>
        <v>109</v>
      </c>
      <c r="CL98" s="72">
        <f t="shared" si="242"/>
        <v>145</v>
      </c>
      <c r="CM98" s="72">
        <f t="shared" si="243"/>
        <v>153</v>
      </c>
      <c r="CN98" s="72">
        <f t="shared" si="244"/>
        <v>180</v>
      </c>
      <c r="CO98" s="72">
        <f t="shared" si="245"/>
        <v>201</v>
      </c>
      <c r="CP98" s="72">
        <f t="shared" si="246"/>
        <v>238</v>
      </c>
      <c r="CQ98" s="72">
        <f t="shared" si="247"/>
        <v>316</v>
      </c>
      <c r="CR98" s="72">
        <f t="shared" si="248"/>
        <v>345</v>
      </c>
      <c r="CS98" s="72">
        <f t="shared" si="249"/>
        <v>358</v>
      </c>
      <c r="CT98" s="23">
        <f t="shared" si="250"/>
        <v>1</v>
      </c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  <c r="AMK98" s="1"/>
      <c r="AML98" s="1"/>
      <c r="AMM98" s="1"/>
      <c r="AMN98" s="1"/>
      <c r="AMO98" s="1"/>
    </row>
    <row r="99" spans="1:1029" x14ac:dyDescent="0.2">
      <c r="A99" s="3" t="str">
        <f t="shared" si="503"/>
        <v>adrb1_melga_2Y02</v>
      </c>
      <c r="B99" s="3" t="s">
        <v>905</v>
      </c>
      <c r="C99" s="3" t="s">
        <v>1017</v>
      </c>
      <c r="D99" s="3" t="str">
        <f>IFERROR(MID(VLOOKUP($B99,Seqs!$A:$B,2,0),E99,1),"")</f>
        <v>A</v>
      </c>
      <c r="E99" s="3">
        <v>33</v>
      </c>
      <c r="F99" s="3" t="str">
        <f>IFERROR(MID(VLOOKUP($B99,Seqs!$A:$B,2,0),G99,1),"")</f>
        <v>T</v>
      </c>
      <c r="G99" s="3">
        <v>69</v>
      </c>
      <c r="H99" s="3" t="str">
        <f>IFERROR(MID(VLOOKUP($B99,Seqs!$A:$B,2,0),I99,1),"")</f>
        <v>Q</v>
      </c>
      <c r="I99" s="23">
        <v>70</v>
      </c>
      <c r="J99" s="3" t="str">
        <f>IFERROR(MID(VLOOKUP($B99,Seqs!$A:$B,2,0),K99,1),"")</f>
        <v>Q</v>
      </c>
      <c r="K99" s="23">
        <v>73</v>
      </c>
      <c r="L99" s="3" t="str">
        <f>IFERROR(MID(VLOOKUP($B99,Seqs!$A:$B,2,0),M99,1),"")</f>
        <v>T</v>
      </c>
      <c r="M99" s="3">
        <v>74</v>
      </c>
      <c r="N99" s="3" t="str">
        <f>IFERROR(MID(VLOOKUP($B99,Seqs!$A:$B,2,0),O99,1),"")</f>
        <v>R</v>
      </c>
      <c r="O99" s="3">
        <v>104</v>
      </c>
      <c r="P99" s="3" t="str">
        <f>IFERROR(MID(VLOOKUP($B99,Seqs!$A:$B,2,0),Q99,1),"")</f>
        <v>T</v>
      </c>
      <c r="Q99" s="3">
        <v>106</v>
      </c>
      <c r="R99" s="3" t="str">
        <f>IFERROR(MID(VLOOKUP($B99,Seqs!$A:$B,2,0),S99,1),"")</f>
        <v>W</v>
      </c>
      <c r="S99" s="3">
        <v>109</v>
      </c>
      <c r="T99" s="3" t="str">
        <f>IFERROR(MID(VLOOKUP($B99,Seqs!$A:$B,2,0),U99,1),"")</f>
        <v>G</v>
      </c>
      <c r="U99" s="3">
        <v>110</v>
      </c>
      <c r="V99" s="3" t="str">
        <f>IFERROR(MID(VLOOKUP($B99,Seqs!$A:$B,2,0),W99,1),"")</f>
        <v>S</v>
      </c>
      <c r="W99" s="3">
        <v>145</v>
      </c>
      <c r="X99" s="3" t="str">
        <f>IFERROR(MID(VLOOKUP($B99,Seqs!$A:$B,2,0),Y99,1),"")</f>
        <v>P</v>
      </c>
      <c r="Y99" s="3">
        <v>146</v>
      </c>
      <c r="Z99" s="3" t="str">
        <f>IFERROR(MID(VLOOKUP($B99,Seqs!$A:$B,2,0),AA99,1),"")</f>
        <v>M</v>
      </c>
      <c r="AA99" s="3">
        <v>153</v>
      </c>
      <c r="AB99" s="3" t="str">
        <f>IFERROR(MID(VLOOKUP($B99,Seqs!$A:$B,2,0),AC99,1),"")</f>
        <v>T</v>
      </c>
      <c r="AC99" s="9">
        <v>154</v>
      </c>
      <c r="AD99" s="3" t="str">
        <f>IFERROR(MID(VLOOKUP($B99,Seqs!$A:$B,2,0),AE99,1),"")</f>
        <v>H</v>
      </c>
      <c r="AE99" s="3">
        <v>180</v>
      </c>
      <c r="AF99" s="3" t="str">
        <f>IFERROR(MID(VLOOKUP($B99,Seqs!$A:$B,2,0),AG99,1),"")</f>
        <v>C</v>
      </c>
      <c r="AG99" s="3">
        <v>199</v>
      </c>
      <c r="AH99" s="3" t="str">
        <f>IFERROR(MID(VLOOKUP($B99,Seqs!$A:$B,2,0),AI99,1),"")</f>
        <v>F</v>
      </c>
      <c r="AI99" s="3">
        <v>201</v>
      </c>
      <c r="AJ99" s="3" t="str">
        <f>IFERROR(MID(VLOOKUP($B99,Seqs!$A:$B,2,0),AK99,1),"")</f>
        <v>N</v>
      </c>
      <c r="AK99" s="3">
        <v>204</v>
      </c>
      <c r="AL99" s="3" t="str">
        <f>IFERROR(MID(VLOOKUP($B99,Seqs!$A:$B,2,0),AM99,1),"")</f>
        <v>I</v>
      </c>
      <c r="AM99" s="3">
        <v>238</v>
      </c>
      <c r="AN99" s="3" t="str">
        <f>IFERROR(MID(VLOOKUP($B99,Seqs!$A:$B,2,0),AO99,1),"")</f>
        <v>R</v>
      </c>
      <c r="AO99" s="3">
        <v>275</v>
      </c>
      <c r="AP99" s="3" t="str">
        <f>IFERROR(MID(VLOOKUP($B99,Seqs!$A:$B,2,0),AQ99,1),"")</f>
        <v>N</v>
      </c>
      <c r="AQ99" s="3">
        <v>316</v>
      </c>
      <c r="AR99" s="3" t="str">
        <f>IFERROR(MID(VLOOKUP($B99,Seqs!$A:$B,2,0),AS99,1),"")</f>
        <v>P</v>
      </c>
      <c r="AS99" s="3">
        <v>321</v>
      </c>
      <c r="AT99" s="3" t="str">
        <f>IFERROR(MID(VLOOKUP($B99,Seqs!$A:$B,2,0),AU99,1),"")</f>
        <v>R</v>
      </c>
      <c r="AU99" s="3">
        <v>345</v>
      </c>
      <c r="AV99" s="3" t="str">
        <f>IFERROR(MID(VLOOKUP($B99,Seqs!$A:$B,2,0),AW99,1),"")</f>
        <v>S</v>
      </c>
      <c r="AW99" s="3">
        <v>346</v>
      </c>
      <c r="AX99" s="3" t="str">
        <f>IFERROR(MID(VLOOKUP($B99,Seqs!$A:$B,2,0),AY99,1),"")</f>
        <v>C</v>
      </c>
      <c r="AY99" s="3">
        <v>358</v>
      </c>
      <c r="AZ99" s="77" t="str">
        <f>VLOOKUP(B99,Classification!A:D,2,0)</f>
        <v>A</v>
      </c>
      <c r="BA99" s="94" t="str">
        <f>VLOOKUP(B99,Classification!A:D,4,0)</f>
        <v>Adrenoceptors</v>
      </c>
      <c r="BB99" s="27" t="b">
        <f t="shared" si="504"/>
        <v>1</v>
      </c>
      <c r="BC99" s="23">
        <f t="shared" si="225"/>
        <v>265</v>
      </c>
      <c r="BD99" s="4" t="s">
        <v>23</v>
      </c>
      <c r="BE99" s="3" t="s">
        <v>1368</v>
      </c>
      <c r="BF99" s="118">
        <v>2.6</v>
      </c>
      <c r="BG99" s="49" t="s">
        <v>1371</v>
      </c>
      <c r="BH99" s="49" t="s">
        <v>1371</v>
      </c>
      <c r="BI99" s="1"/>
      <c r="BJ99" s="70" t="s">
        <v>1281</v>
      </c>
      <c r="BK99" s="57" t="s">
        <v>1281</v>
      </c>
      <c r="BL99" s="57" t="s">
        <v>1281</v>
      </c>
      <c r="BM99" s="57" t="s">
        <v>1281</v>
      </c>
      <c r="BN99" s="57" t="s">
        <v>1281</v>
      </c>
      <c r="BO99" s="57" t="s">
        <v>1281</v>
      </c>
      <c r="BP99" s="57" t="s">
        <v>1281</v>
      </c>
      <c r="BQ99" s="57" t="s">
        <v>1281</v>
      </c>
      <c r="BR99" s="57" t="s">
        <v>1281</v>
      </c>
      <c r="BS99" s="57" t="s">
        <v>1281</v>
      </c>
      <c r="BT99" s="57" t="s">
        <v>1281</v>
      </c>
      <c r="BU99" s="57" t="s">
        <v>1281</v>
      </c>
      <c r="BV99" s="70">
        <f t="shared" si="226"/>
        <v>33</v>
      </c>
      <c r="BW99" s="71">
        <f t="shared" si="227"/>
        <v>70</v>
      </c>
      <c r="BX99" s="72">
        <f t="shared" si="228"/>
        <v>74</v>
      </c>
      <c r="BY99" s="71">
        <f t="shared" si="229"/>
        <v>106</v>
      </c>
      <c r="BZ99" s="72">
        <f t="shared" si="230"/>
        <v>110</v>
      </c>
      <c r="CA99" s="71">
        <f t="shared" si="231"/>
        <v>146</v>
      </c>
      <c r="CB99" s="72">
        <f t="shared" si="232"/>
        <v>154</v>
      </c>
      <c r="CC99" s="71">
        <f t="shared" si="233"/>
        <v>199</v>
      </c>
      <c r="CD99" s="72">
        <f t="shared" si="234"/>
        <v>204</v>
      </c>
      <c r="CE99" s="71">
        <f t="shared" si="235"/>
        <v>275</v>
      </c>
      <c r="CF99" s="72">
        <f t="shared" si="236"/>
        <v>321</v>
      </c>
      <c r="CG99" s="71">
        <f t="shared" si="237"/>
        <v>346</v>
      </c>
      <c r="CH99" s="70">
        <f t="shared" si="238"/>
        <v>69</v>
      </c>
      <c r="CI99" s="71">
        <f t="shared" si="239"/>
        <v>73</v>
      </c>
      <c r="CJ99" s="72">
        <f t="shared" si="240"/>
        <v>104</v>
      </c>
      <c r="CK99" s="72">
        <f t="shared" si="241"/>
        <v>109</v>
      </c>
      <c r="CL99" s="72">
        <f t="shared" si="242"/>
        <v>145</v>
      </c>
      <c r="CM99" s="72">
        <f t="shared" si="243"/>
        <v>153</v>
      </c>
      <c r="CN99" s="72">
        <f t="shared" si="244"/>
        <v>180</v>
      </c>
      <c r="CO99" s="72">
        <f t="shared" si="245"/>
        <v>201</v>
      </c>
      <c r="CP99" s="72">
        <f t="shared" si="246"/>
        <v>238</v>
      </c>
      <c r="CQ99" s="72">
        <f t="shared" si="247"/>
        <v>316</v>
      </c>
      <c r="CR99" s="72">
        <f t="shared" si="248"/>
        <v>345</v>
      </c>
      <c r="CS99" s="72">
        <f t="shared" si="249"/>
        <v>358</v>
      </c>
      <c r="CT99" s="23">
        <f t="shared" si="250"/>
        <v>1</v>
      </c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  <c r="AMK99" s="1"/>
      <c r="AML99" s="1"/>
      <c r="AMM99" s="1"/>
      <c r="AMN99" s="1"/>
      <c r="AMO99" s="1"/>
    </row>
    <row r="100" spans="1:1029" x14ac:dyDescent="0.2">
      <c r="A100" s="3" t="str">
        <f t="shared" si="503"/>
        <v>adrb1_melga_2Y03</v>
      </c>
      <c r="B100" s="3" t="s">
        <v>905</v>
      </c>
      <c r="C100" s="3" t="s">
        <v>1018</v>
      </c>
      <c r="D100" s="3" t="str">
        <f>IFERROR(MID(VLOOKUP($B100,Seqs!$A:$B,2,0),E100,1),"")</f>
        <v>A</v>
      </c>
      <c r="E100" s="3">
        <v>33</v>
      </c>
      <c r="F100" s="3" t="str">
        <f>IFERROR(MID(VLOOKUP($B100,Seqs!$A:$B,2,0),G100,1),"")</f>
        <v>T</v>
      </c>
      <c r="G100" s="3">
        <v>69</v>
      </c>
      <c r="H100" s="3" t="str">
        <f>IFERROR(MID(VLOOKUP($B100,Seqs!$A:$B,2,0),I100,1),"")</f>
        <v>Q</v>
      </c>
      <c r="I100" s="23">
        <v>70</v>
      </c>
      <c r="J100" s="3" t="str">
        <f>IFERROR(MID(VLOOKUP($B100,Seqs!$A:$B,2,0),K100,1),"")</f>
        <v>Q</v>
      </c>
      <c r="K100" s="23">
        <v>73</v>
      </c>
      <c r="L100" s="3" t="str">
        <f>IFERROR(MID(VLOOKUP($B100,Seqs!$A:$B,2,0),M100,1),"")</f>
        <v>T</v>
      </c>
      <c r="M100" s="3">
        <v>74</v>
      </c>
      <c r="N100" s="3" t="str">
        <f>IFERROR(MID(VLOOKUP($B100,Seqs!$A:$B,2,0),O100,1),"")</f>
        <v>R</v>
      </c>
      <c r="O100" s="3">
        <v>104</v>
      </c>
      <c r="P100" s="3" t="str">
        <f>IFERROR(MID(VLOOKUP($B100,Seqs!$A:$B,2,0),Q100,1),"")</f>
        <v>T</v>
      </c>
      <c r="Q100" s="3">
        <v>106</v>
      </c>
      <c r="R100" s="3" t="str">
        <f>IFERROR(MID(VLOOKUP($B100,Seqs!$A:$B,2,0),S100,1),"")</f>
        <v>W</v>
      </c>
      <c r="S100" s="3">
        <v>109</v>
      </c>
      <c r="T100" s="3" t="str">
        <f>IFERROR(MID(VLOOKUP($B100,Seqs!$A:$B,2,0),U100,1),"")</f>
        <v>G</v>
      </c>
      <c r="U100" s="3">
        <v>110</v>
      </c>
      <c r="V100" s="3" t="str">
        <f>IFERROR(MID(VLOOKUP($B100,Seqs!$A:$B,2,0),W100,1),"")</f>
        <v>S</v>
      </c>
      <c r="W100" s="3">
        <v>145</v>
      </c>
      <c r="X100" s="3" t="str">
        <f>IFERROR(MID(VLOOKUP($B100,Seqs!$A:$B,2,0),Y100,1),"")</f>
        <v>P</v>
      </c>
      <c r="Y100" s="3">
        <v>146</v>
      </c>
      <c r="Z100" s="3" t="str">
        <f>IFERROR(MID(VLOOKUP($B100,Seqs!$A:$B,2,0),AA100,1),"")</f>
        <v>M</v>
      </c>
      <c r="AA100" s="3">
        <v>153</v>
      </c>
      <c r="AB100" s="3" t="str">
        <f>IFERROR(MID(VLOOKUP($B100,Seqs!$A:$B,2,0),AC100,1),"")</f>
        <v>T</v>
      </c>
      <c r="AC100" s="9">
        <v>154</v>
      </c>
      <c r="AD100" s="3" t="str">
        <f>IFERROR(MID(VLOOKUP($B100,Seqs!$A:$B,2,0),AE100,1),"")</f>
        <v>H</v>
      </c>
      <c r="AE100" s="3">
        <v>180</v>
      </c>
      <c r="AF100" s="3" t="str">
        <f>IFERROR(MID(VLOOKUP($B100,Seqs!$A:$B,2,0),AG100,1),"")</f>
        <v>C</v>
      </c>
      <c r="AG100" s="3">
        <v>199</v>
      </c>
      <c r="AH100" s="3" t="str">
        <f>IFERROR(MID(VLOOKUP($B100,Seqs!$A:$B,2,0),AI100,1),"")</f>
        <v>F</v>
      </c>
      <c r="AI100" s="3">
        <v>201</v>
      </c>
      <c r="AJ100" s="3" t="str">
        <f>IFERROR(MID(VLOOKUP($B100,Seqs!$A:$B,2,0),AK100,1),"")</f>
        <v>N</v>
      </c>
      <c r="AK100" s="3">
        <v>204</v>
      </c>
      <c r="AL100" s="3" t="str">
        <f>IFERROR(MID(VLOOKUP($B100,Seqs!$A:$B,2,0),AM100,1),"")</f>
        <v>I</v>
      </c>
      <c r="AM100" s="3">
        <v>238</v>
      </c>
      <c r="AN100" s="3" t="str">
        <f>IFERROR(MID(VLOOKUP($B100,Seqs!$A:$B,2,0),AO100,1),"")</f>
        <v>R</v>
      </c>
      <c r="AO100" s="3">
        <v>275</v>
      </c>
      <c r="AP100" s="3" t="str">
        <f>IFERROR(MID(VLOOKUP($B100,Seqs!$A:$B,2,0),AQ100,1),"")</f>
        <v>N</v>
      </c>
      <c r="AQ100" s="3">
        <v>316</v>
      </c>
      <c r="AR100" s="3" t="str">
        <f>IFERROR(MID(VLOOKUP($B100,Seqs!$A:$B,2,0),AS100,1),"")</f>
        <v>P</v>
      </c>
      <c r="AS100" s="3">
        <v>321</v>
      </c>
      <c r="AT100" s="3" t="str">
        <f>IFERROR(MID(VLOOKUP($B100,Seqs!$A:$B,2,0),AU100,1),"")</f>
        <v>R</v>
      </c>
      <c r="AU100" s="3">
        <v>345</v>
      </c>
      <c r="AV100" s="3" t="str">
        <f>IFERROR(MID(VLOOKUP($B100,Seqs!$A:$B,2,0),AW100,1),"")</f>
        <v>S</v>
      </c>
      <c r="AW100" s="3">
        <v>346</v>
      </c>
      <c r="AX100" s="3" t="str">
        <f>IFERROR(MID(VLOOKUP($B100,Seqs!$A:$B,2,0),AY100,1),"")</f>
        <v>C</v>
      </c>
      <c r="AY100" s="3">
        <v>358</v>
      </c>
      <c r="AZ100" s="77" t="str">
        <f>VLOOKUP(B100,Classification!A:D,2,0)</f>
        <v>A</v>
      </c>
      <c r="BA100" s="94" t="str">
        <f>VLOOKUP(B100,Classification!A:D,4,0)</f>
        <v>Adrenoceptors</v>
      </c>
      <c r="BB100" s="27" t="b">
        <f t="shared" si="504"/>
        <v>1</v>
      </c>
      <c r="BC100" s="23">
        <f t="shared" si="225"/>
        <v>265</v>
      </c>
      <c r="BD100" s="4" t="s">
        <v>23</v>
      </c>
      <c r="BE100" s="3" t="s">
        <v>1368</v>
      </c>
      <c r="BF100" s="118">
        <v>2.85</v>
      </c>
      <c r="BG100" s="49" t="s">
        <v>1371</v>
      </c>
      <c r="BH100" s="49" t="s">
        <v>1371</v>
      </c>
      <c r="BI100" s="1"/>
      <c r="BJ100" s="70" t="s">
        <v>1281</v>
      </c>
      <c r="BK100" s="57" t="s">
        <v>1281</v>
      </c>
      <c r="BL100" s="57" t="s">
        <v>1281</v>
      </c>
      <c r="BM100" s="57" t="s">
        <v>1281</v>
      </c>
      <c r="BN100" s="57" t="s">
        <v>1281</v>
      </c>
      <c r="BO100" s="57" t="s">
        <v>1281</v>
      </c>
      <c r="BP100" s="57" t="s">
        <v>1281</v>
      </c>
      <c r="BQ100" s="57" t="s">
        <v>1281</v>
      </c>
      <c r="BR100" s="57" t="s">
        <v>1281</v>
      </c>
      <c r="BS100" s="57" t="s">
        <v>1281</v>
      </c>
      <c r="BT100" s="57" t="s">
        <v>1281</v>
      </c>
      <c r="BU100" s="57" t="s">
        <v>1281</v>
      </c>
      <c r="BV100" s="70">
        <f t="shared" si="226"/>
        <v>33</v>
      </c>
      <c r="BW100" s="71">
        <f t="shared" si="227"/>
        <v>70</v>
      </c>
      <c r="BX100" s="72">
        <f t="shared" si="228"/>
        <v>74</v>
      </c>
      <c r="BY100" s="71">
        <f t="shared" si="229"/>
        <v>106</v>
      </c>
      <c r="BZ100" s="72">
        <f t="shared" si="230"/>
        <v>110</v>
      </c>
      <c r="CA100" s="71">
        <f t="shared" si="231"/>
        <v>146</v>
      </c>
      <c r="CB100" s="72">
        <f t="shared" si="232"/>
        <v>154</v>
      </c>
      <c r="CC100" s="71">
        <f t="shared" si="233"/>
        <v>199</v>
      </c>
      <c r="CD100" s="72">
        <f t="shared" si="234"/>
        <v>204</v>
      </c>
      <c r="CE100" s="71">
        <f t="shared" si="235"/>
        <v>275</v>
      </c>
      <c r="CF100" s="72">
        <f t="shared" si="236"/>
        <v>321</v>
      </c>
      <c r="CG100" s="71">
        <f t="shared" si="237"/>
        <v>346</v>
      </c>
      <c r="CH100" s="70">
        <f t="shared" si="238"/>
        <v>69</v>
      </c>
      <c r="CI100" s="71">
        <f t="shared" si="239"/>
        <v>73</v>
      </c>
      <c r="CJ100" s="72">
        <f t="shared" si="240"/>
        <v>104</v>
      </c>
      <c r="CK100" s="72">
        <f t="shared" si="241"/>
        <v>109</v>
      </c>
      <c r="CL100" s="72">
        <f t="shared" si="242"/>
        <v>145</v>
      </c>
      <c r="CM100" s="72">
        <f t="shared" si="243"/>
        <v>153</v>
      </c>
      <c r="CN100" s="72">
        <f t="shared" si="244"/>
        <v>180</v>
      </c>
      <c r="CO100" s="72">
        <f t="shared" si="245"/>
        <v>201</v>
      </c>
      <c r="CP100" s="72">
        <f t="shared" si="246"/>
        <v>238</v>
      </c>
      <c r="CQ100" s="72">
        <f t="shared" si="247"/>
        <v>316</v>
      </c>
      <c r="CR100" s="72">
        <f t="shared" si="248"/>
        <v>345</v>
      </c>
      <c r="CS100" s="72">
        <f t="shared" si="249"/>
        <v>358</v>
      </c>
      <c r="CT100" s="23">
        <f t="shared" si="250"/>
        <v>1</v>
      </c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  <c r="AMK100" s="1"/>
      <c r="AML100" s="1"/>
      <c r="AMM100" s="1"/>
      <c r="AMN100" s="1"/>
      <c r="AMO100" s="1"/>
    </row>
    <row r="101" spans="1:1029" x14ac:dyDescent="0.2">
      <c r="A101" s="3" t="str">
        <f t="shared" si="503"/>
        <v>adrb1_melga_2Y04</v>
      </c>
      <c r="B101" s="3" t="s">
        <v>905</v>
      </c>
      <c r="C101" s="3" t="s">
        <v>1019</v>
      </c>
      <c r="D101" s="3" t="str">
        <f>IFERROR(MID(VLOOKUP($B101,Seqs!$A:$B,2,0),E101,1),"")</f>
        <v>A</v>
      </c>
      <c r="E101" s="3">
        <v>33</v>
      </c>
      <c r="F101" s="3" t="str">
        <f>IFERROR(MID(VLOOKUP($B101,Seqs!$A:$B,2,0),G101,1),"")</f>
        <v>T</v>
      </c>
      <c r="G101" s="3">
        <v>69</v>
      </c>
      <c r="H101" s="3" t="str">
        <f>IFERROR(MID(VLOOKUP($B101,Seqs!$A:$B,2,0),I101,1),"")</f>
        <v>Q</v>
      </c>
      <c r="I101" s="23">
        <v>70</v>
      </c>
      <c r="J101" s="3" t="str">
        <f>IFERROR(MID(VLOOKUP($B101,Seqs!$A:$B,2,0),K101,1),"")</f>
        <v>Q</v>
      </c>
      <c r="K101" s="23">
        <v>73</v>
      </c>
      <c r="L101" s="3" t="str">
        <f>IFERROR(MID(VLOOKUP($B101,Seqs!$A:$B,2,0),M101,1),"")</f>
        <v>T</v>
      </c>
      <c r="M101" s="3">
        <v>74</v>
      </c>
      <c r="N101" s="3" t="str">
        <f>IFERROR(MID(VLOOKUP($B101,Seqs!$A:$B,2,0),O101,1),"")</f>
        <v>R</v>
      </c>
      <c r="O101" s="3">
        <v>104</v>
      </c>
      <c r="P101" s="3" t="str">
        <f>IFERROR(MID(VLOOKUP($B101,Seqs!$A:$B,2,0),Q101,1),"")</f>
        <v>T</v>
      </c>
      <c r="Q101" s="3">
        <v>106</v>
      </c>
      <c r="R101" s="3" t="str">
        <f>IFERROR(MID(VLOOKUP($B101,Seqs!$A:$B,2,0),S101,1),"")</f>
        <v>W</v>
      </c>
      <c r="S101" s="3">
        <v>109</v>
      </c>
      <c r="T101" s="3" t="str">
        <f>IFERROR(MID(VLOOKUP($B101,Seqs!$A:$B,2,0),U101,1),"")</f>
        <v>G</v>
      </c>
      <c r="U101" s="3">
        <v>110</v>
      </c>
      <c r="V101" s="3" t="str">
        <f>IFERROR(MID(VLOOKUP($B101,Seqs!$A:$B,2,0),W101,1),"")</f>
        <v>S</v>
      </c>
      <c r="W101" s="3">
        <v>145</v>
      </c>
      <c r="X101" s="3" t="str">
        <f>IFERROR(MID(VLOOKUP($B101,Seqs!$A:$B,2,0),Y101,1),"")</f>
        <v>P</v>
      </c>
      <c r="Y101" s="3">
        <v>146</v>
      </c>
      <c r="Z101" s="3" t="str">
        <f>IFERROR(MID(VLOOKUP($B101,Seqs!$A:$B,2,0),AA101,1),"")</f>
        <v>M</v>
      </c>
      <c r="AA101" s="3">
        <v>153</v>
      </c>
      <c r="AB101" s="3" t="str">
        <f>IFERROR(MID(VLOOKUP($B101,Seqs!$A:$B,2,0),AC101,1),"")</f>
        <v>T</v>
      </c>
      <c r="AC101" s="9">
        <v>154</v>
      </c>
      <c r="AD101" s="3" t="str">
        <f>IFERROR(MID(VLOOKUP($B101,Seqs!$A:$B,2,0),AE101,1),"")</f>
        <v>H</v>
      </c>
      <c r="AE101" s="3">
        <v>180</v>
      </c>
      <c r="AF101" s="3" t="str">
        <f>IFERROR(MID(VLOOKUP($B101,Seqs!$A:$B,2,0),AG101,1),"")</f>
        <v>C</v>
      </c>
      <c r="AG101" s="3">
        <v>199</v>
      </c>
      <c r="AH101" s="3" t="str">
        <f>IFERROR(MID(VLOOKUP($B101,Seqs!$A:$B,2,0),AI101,1),"")</f>
        <v>F</v>
      </c>
      <c r="AI101" s="3">
        <v>201</v>
      </c>
      <c r="AJ101" s="3" t="str">
        <f>IFERROR(MID(VLOOKUP($B101,Seqs!$A:$B,2,0),AK101,1),"")</f>
        <v>N</v>
      </c>
      <c r="AK101" s="3">
        <v>204</v>
      </c>
      <c r="AL101" s="3" t="str">
        <f>IFERROR(MID(VLOOKUP($B101,Seqs!$A:$B,2,0),AM101,1),"")</f>
        <v>I</v>
      </c>
      <c r="AM101" s="3">
        <v>238</v>
      </c>
      <c r="AN101" s="3" t="str">
        <f>IFERROR(MID(VLOOKUP($B101,Seqs!$A:$B,2,0),AO101,1),"")</f>
        <v>R</v>
      </c>
      <c r="AO101" s="3">
        <v>275</v>
      </c>
      <c r="AP101" s="3" t="str">
        <f>IFERROR(MID(VLOOKUP($B101,Seqs!$A:$B,2,0),AQ101,1),"")</f>
        <v>N</v>
      </c>
      <c r="AQ101" s="3">
        <v>316</v>
      </c>
      <c r="AR101" s="3" t="str">
        <f>IFERROR(MID(VLOOKUP($B101,Seqs!$A:$B,2,0),AS101,1),"")</f>
        <v>P</v>
      </c>
      <c r="AS101" s="3">
        <v>321</v>
      </c>
      <c r="AT101" s="3" t="str">
        <f>IFERROR(MID(VLOOKUP($B101,Seqs!$A:$B,2,0),AU101,1),"")</f>
        <v>R</v>
      </c>
      <c r="AU101" s="3">
        <v>345</v>
      </c>
      <c r="AV101" s="3" t="str">
        <f>IFERROR(MID(VLOOKUP($B101,Seqs!$A:$B,2,0),AW101,1),"")</f>
        <v>S</v>
      </c>
      <c r="AW101" s="3">
        <v>346</v>
      </c>
      <c r="AX101" s="3" t="str">
        <f>IFERROR(MID(VLOOKUP($B101,Seqs!$A:$B,2,0),AY101,1),"")</f>
        <v>C</v>
      </c>
      <c r="AY101" s="3">
        <v>358</v>
      </c>
      <c r="AZ101" s="77" t="str">
        <f>VLOOKUP(B101,Classification!A:D,2,0)</f>
        <v>A</v>
      </c>
      <c r="BA101" s="94" t="str">
        <f>VLOOKUP(B101,Classification!A:D,4,0)</f>
        <v>Adrenoceptors</v>
      </c>
      <c r="BB101" s="27" t="b">
        <f t="shared" si="504"/>
        <v>1</v>
      </c>
      <c r="BC101" s="23">
        <f t="shared" si="225"/>
        <v>265</v>
      </c>
      <c r="BD101" s="4" t="s">
        <v>23</v>
      </c>
      <c r="BE101" s="3" t="s">
        <v>1368</v>
      </c>
      <c r="BF101" s="118">
        <v>3.05</v>
      </c>
      <c r="BG101" s="49" t="s">
        <v>1371</v>
      </c>
      <c r="BH101" s="49" t="s">
        <v>1371</v>
      </c>
      <c r="BI101" s="1"/>
      <c r="BJ101" s="70" t="s">
        <v>1281</v>
      </c>
      <c r="BK101" s="57" t="s">
        <v>1281</v>
      </c>
      <c r="BL101" s="57" t="s">
        <v>1281</v>
      </c>
      <c r="BM101" s="57" t="s">
        <v>1281</v>
      </c>
      <c r="BN101" s="57" t="s">
        <v>1281</v>
      </c>
      <c r="BO101" s="57" t="s">
        <v>1281</v>
      </c>
      <c r="BP101" s="57" t="s">
        <v>1281</v>
      </c>
      <c r="BQ101" s="57" t="s">
        <v>1281</v>
      </c>
      <c r="BR101" s="57" t="s">
        <v>1281</v>
      </c>
      <c r="BS101" s="57" t="s">
        <v>1281</v>
      </c>
      <c r="BT101" s="57" t="s">
        <v>1281</v>
      </c>
      <c r="BU101" s="57" t="s">
        <v>1281</v>
      </c>
      <c r="BV101" s="70">
        <f t="shared" si="226"/>
        <v>33</v>
      </c>
      <c r="BW101" s="71">
        <f t="shared" si="227"/>
        <v>70</v>
      </c>
      <c r="BX101" s="72">
        <f t="shared" si="228"/>
        <v>74</v>
      </c>
      <c r="BY101" s="71">
        <f t="shared" si="229"/>
        <v>106</v>
      </c>
      <c r="BZ101" s="72">
        <f t="shared" si="230"/>
        <v>110</v>
      </c>
      <c r="CA101" s="71">
        <f t="shared" si="231"/>
        <v>146</v>
      </c>
      <c r="CB101" s="72">
        <f t="shared" si="232"/>
        <v>154</v>
      </c>
      <c r="CC101" s="71">
        <f t="shared" si="233"/>
        <v>199</v>
      </c>
      <c r="CD101" s="72">
        <f t="shared" si="234"/>
        <v>204</v>
      </c>
      <c r="CE101" s="71">
        <f t="shared" si="235"/>
        <v>275</v>
      </c>
      <c r="CF101" s="72">
        <f t="shared" si="236"/>
        <v>321</v>
      </c>
      <c r="CG101" s="71">
        <f t="shared" si="237"/>
        <v>346</v>
      </c>
      <c r="CH101" s="70">
        <f t="shared" si="238"/>
        <v>69</v>
      </c>
      <c r="CI101" s="71">
        <f t="shared" si="239"/>
        <v>73</v>
      </c>
      <c r="CJ101" s="72">
        <f t="shared" si="240"/>
        <v>104</v>
      </c>
      <c r="CK101" s="72">
        <f t="shared" si="241"/>
        <v>109</v>
      </c>
      <c r="CL101" s="72">
        <f t="shared" si="242"/>
        <v>145</v>
      </c>
      <c r="CM101" s="72">
        <f t="shared" si="243"/>
        <v>153</v>
      </c>
      <c r="CN101" s="72">
        <f t="shared" si="244"/>
        <v>180</v>
      </c>
      <c r="CO101" s="72">
        <f t="shared" si="245"/>
        <v>201</v>
      </c>
      <c r="CP101" s="72">
        <f t="shared" si="246"/>
        <v>238</v>
      </c>
      <c r="CQ101" s="72">
        <f t="shared" si="247"/>
        <v>316</v>
      </c>
      <c r="CR101" s="72">
        <f t="shared" si="248"/>
        <v>345</v>
      </c>
      <c r="CS101" s="72">
        <f t="shared" si="249"/>
        <v>358</v>
      </c>
      <c r="CT101" s="23">
        <f t="shared" si="250"/>
        <v>1</v>
      </c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  <c r="AMK101" s="1"/>
      <c r="AML101" s="1"/>
      <c r="AMM101" s="1"/>
      <c r="AMN101" s="1"/>
      <c r="AMO101" s="1"/>
    </row>
    <row r="102" spans="1:1029" x14ac:dyDescent="0.2">
      <c r="A102" s="3" t="str">
        <f t="shared" si="503"/>
        <v>adrb1_melga_2YCW</v>
      </c>
      <c r="B102" s="3" t="s">
        <v>905</v>
      </c>
      <c r="C102" s="3" t="s">
        <v>1020</v>
      </c>
      <c r="D102" s="3" t="str">
        <f>IFERROR(MID(VLOOKUP($B102,Seqs!$A:$B,2,0),E102,1),"")</f>
        <v>S</v>
      </c>
      <c r="E102" s="3">
        <v>37</v>
      </c>
      <c r="F102" s="3" t="str">
        <f>IFERROR(MID(VLOOKUP($B102,Seqs!$A:$B,2,0),G102,1),"")</f>
        <v>T</v>
      </c>
      <c r="G102" s="3">
        <v>69</v>
      </c>
      <c r="H102" s="3" t="str">
        <f>IFERROR(MID(VLOOKUP($B102,Seqs!$A:$B,2,0),I102,1),"")</f>
        <v>Q</v>
      </c>
      <c r="I102" s="23">
        <v>70</v>
      </c>
      <c r="J102" s="3" t="str">
        <f>IFERROR(MID(VLOOKUP($B102,Seqs!$A:$B,2,0),K102,1),"")</f>
        <v>Q</v>
      </c>
      <c r="K102" s="23">
        <v>73</v>
      </c>
      <c r="L102" s="3" t="str">
        <f>IFERROR(MID(VLOOKUP($B102,Seqs!$A:$B,2,0),M102,1),"")</f>
        <v>T</v>
      </c>
      <c r="M102" s="3">
        <v>74</v>
      </c>
      <c r="N102" s="3" t="str">
        <f>IFERROR(MID(VLOOKUP($B102,Seqs!$A:$B,2,0),O102,1),"")</f>
        <v>R</v>
      </c>
      <c r="O102" s="3">
        <v>104</v>
      </c>
      <c r="P102" s="3" t="str">
        <f>IFERROR(MID(VLOOKUP($B102,Seqs!$A:$B,2,0),Q102,1),"")</f>
        <v>T</v>
      </c>
      <c r="Q102" s="3">
        <v>106</v>
      </c>
      <c r="R102" s="3" t="str">
        <f>IFERROR(MID(VLOOKUP($B102,Seqs!$A:$B,2,0),S102,1),"")</f>
        <v>W</v>
      </c>
      <c r="S102" s="3">
        <v>109</v>
      </c>
      <c r="T102" s="3" t="str">
        <f>IFERROR(MID(VLOOKUP($B102,Seqs!$A:$B,2,0),U102,1),"")</f>
        <v>G</v>
      </c>
      <c r="U102" s="3">
        <v>110</v>
      </c>
      <c r="V102" s="3" t="str">
        <f>IFERROR(MID(VLOOKUP($B102,Seqs!$A:$B,2,0),W102,1),"")</f>
        <v>S</v>
      </c>
      <c r="W102" s="3">
        <v>145</v>
      </c>
      <c r="X102" s="3" t="str">
        <f>IFERROR(MID(VLOOKUP($B102,Seqs!$A:$B,2,0),Y102,1),"")</f>
        <v>P</v>
      </c>
      <c r="Y102" s="3">
        <v>146</v>
      </c>
      <c r="Z102" s="3" t="str">
        <f>IFERROR(MID(VLOOKUP($B102,Seqs!$A:$B,2,0),AA102,1),"")</f>
        <v>M</v>
      </c>
      <c r="AA102" s="3">
        <v>153</v>
      </c>
      <c r="AB102" s="3" t="str">
        <f>IFERROR(MID(VLOOKUP($B102,Seqs!$A:$B,2,0),AC102,1),"")</f>
        <v>T</v>
      </c>
      <c r="AC102" s="9">
        <v>154</v>
      </c>
      <c r="AD102" s="3" t="str">
        <f>IFERROR(MID(VLOOKUP($B102,Seqs!$A:$B,2,0),AE102,1),"")</f>
        <v>H</v>
      </c>
      <c r="AE102" s="3">
        <v>180</v>
      </c>
      <c r="AF102" s="3" t="str">
        <f>IFERROR(MID(VLOOKUP($B102,Seqs!$A:$B,2,0),AG102,1),"")</f>
        <v>C</v>
      </c>
      <c r="AG102" s="3">
        <v>199</v>
      </c>
      <c r="AH102" s="3" t="str">
        <f>IFERROR(MID(VLOOKUP($B102,Seqs!$A:$B,2,0),AI102,1),"")</f>
        <v>F</v>
      </c>
      <c r="AI102" s="3">
        <v>201</v>
      </c>
      <c r="AJ102" s="3" t="str">
        <f>IFERROR(MID(VLOOKUP($B102,Seqs!$A:$B,2,0),AK102,1),"")</f>
        <v>N</v>
      </c>
      <c r="AK102" s="3">
        <v>204</v>
      </c>
      <c r="AL102" s="3" t="str">
        <f>IFERROR(MID(VLOOKUP($B102,Seqs!$A:$B,2,0),AM102,1),"")</f>
        <v>K</v>
      </c>
      <c r="AM102" s="3">
        <v>240</v>
      </c>
      <c r="AN102" s="3" t="str">
        <f>IFERROR(MID(VLOOKUP($B102,Seqs!$A:$B,2,0),AO102,1),"")</f>
        <v>L</v>
      </c>
      <c r="AO102" s="3">
        <v>289</v>
      </c>
      <c r="AP102" s="3" t="str">
        <f>IFERROR(MID(VLOOKUP($B102,Seqs!$A:$B,2,0),AQ102,1),"")</f>
        <v>N</v>
      </c>
      <c r="AQ102" s="3">
        <v>316</v>
      </c>
      <c r="AR102" s="3" t="str">
        <f>IFERROR(MID(VLOOKUP($B102,Seqs!$A:$B,2,0),AS102,1),"")</f>
        <v>P</v>
      </c>
      <c r="AS102" s="3">
        <v>321</v>
      </c>
      <c r="AT102" s="3" t="str">
        <f>IFERROR(MID(VLOOKUP($B102,Seqs!$A:$B,2,0),AU102,1),"")</f>
        <v>R</v>
      </c>
      <c r="AU102" s="3">
        <v>345</v>
      </c>
      <c r="AV102" s="3" t="str">
        <f>IFERROR(MID(VLOOKUP($B102,Seqs!$A:$B,2,0),AW102,1),"")</f>
        <v>S</v>
      </c>
      <c r="AW102" s="3">
        <v>346</v>
      </c>
      <c r="AX102" s="3" t="str">
        <f>IFERROR(MID(VLOOKUP($B102,Seqs!$A:$B,2,0),AY102,1),"")</f>
        <v>C</v>
      </c>
      <c r="AY102" s="3">
        <v>358</v>
      </c>
      <c r="AZ102" s="77" t="str">
        <f>VLOOKUP(B102,Classification!A:D,2,0)</f>
        <v>A</v>
      </c>
      <c r="BA102" s="94" t="str">
        <f>VLOOKUP(B102,Classification!A:D,4,0)</f>
        <v>Adrenoceptors</v>
      </c>
      <c r="BB102" s="27" t="b">
        <f t="shared" si="504"/>
        <v>1</v>
      </c>
      <c r="BC102" s="23">
        <f t="shared" si="225"/>
        <v>249</v>
      </c>
      <c r="BD102" s="4" t="s">
        <v>23</v>
      </c>
      <c r="BE102" s="3" t="s">
        <v>1368</v>
      </c>
      <c r="BF102" s="118">
        <v>3</v>
      </c>
      <c r="BG102" s="49" t="s">
        <v>1371</v>
      </c>
      <c r="BH102" s="49" t="s">
        <v>1371</v>
      </c>
      <c r="BI102" s="1"/>
      <c r="BJ102" s="70" t="s">
        <v>1281</v>
      </c>
      <c r="BK102" s="57" t="s">
        <v>1281</v>
      </c>
      <c r="BL102" s="57" t="s">
        <v>1281</v>
      </c>
      <c r="BM102" s="57" t="s">
        <v>1281</v>
      </c>
      <c r="BN102" s="57" t="s">
        <v>1281</v>
      </c>
      <c r="BO102" s="57" t="s">
        <v>1281</v>
      </c>
      <c r="BP102" s="57" t="s">
        <v>1281</v>
      </c>
      <c r="BQ102" s="57" t="s">
        <v>1281</v>
      </c>
      <c r="BR102" s="57" t="s">
        <v>1281</v>
      </c>
      <c r="BS102" s="57" t="s">
        <v>1281</v>
      </c>
      <c r="BT102" s="57" t="s">
        <v>1281</v>
      </c>
      <c r="BU102" s="57" t="s">
        <v>1281</v>
      </c>
      <c r="BV102" s="70">
        <f t="shared" si="226"/>
        <v>37</v>
      </c>
      <c r="BW102" s="71">
        <f t="shared" si="227"/>
        <v>70</v>
      </c>
      <c r="BX102" s="72">
        <f t="shared" si="228"/>
        <v>74</v>
      </c>
      <c r="BY102" s="71">
        <f t="shared" si="229"/>
        <v>106</v>
      </c>
      <c r="BZ102" s="72">
        <f t="shared" si="230"/>
        <v>110</v>
      </c>
      <c r="CA102" s="71">
        <f t="shared" si="231"/>
        <v>146</v>
      </c>
      <c r="CB102" s="72">
        <f t="shared" si="232"/>
        <v>154</v>
      </c>
      <c r="CC102" s="71">
        <f t="shared" si="233"/>
        <v>199</v>
      </c>
      <c r="CD102" s="72">
        <f t="shared" si="234"/>
        <v>204</v>
      </c>
      <c r="CE102" s="71">
        <f t="shared" si="235"/>
        <v>289</v>
      </c>
      <c r="CF102" s="72">
        <f t="shared" si="236"/>
        <v>321</v>
      </c>
      <c r="CG102" s="71">
        <f t="shared" si="237"/>
        <v>346</v>
      </c>
      <c r="CH102" s="70">
        <f t="shared" si="238"/>
        <v>69</v>
      </c>
      <c r="CI102" s="71">
        <f t="shared" si="239"/>
        <v>73</v>
      </c>
      <c r="CJ102" s="72">
        <f t="shared" si="240"/>
        <v>104</v>
      </c>
      <c r="CK102" s="72">
        <f t="shared" si="241"/>
        <v>109</v>
      </c>
      <c r="CL102" s="72">
        <f t="shared" si="242"/>
        <v>145</v>
      </c>
      <c r="CM102" s="72">
        <f t="shared" si="243"/>
        <v>153</v>
      </c>
      <c r="CN102" s="72">
        <f t="shared" si="244"/>
        <v>180</v>
      </c>
      <c r="CO102" s="72">
        <f t="shared" si="245"/>
        <v>201</v>
      </c>
      <c r="CP102" s="72">
        <f t="shared" si="246"/>
        <v>240</v>
      </c>
      <c r="CQ102" s="72">
        <f t="shared" si="247"/>
        <v>316</v>
      </c>
      <c r="CR102" s="72">
        <f t="shared" si="248"/>
        <v>345</v>
      </c>
      <c r="CS102" s="72">
        <f t="shared" si="249"/>
        <v>358</v>
      </c>
      <c r="CT102" s="23">
        <f t="shared" si="250"/>
        <v>1</v>
      </c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  <c r="AMK102" s="1"/>
      <c r="AML102" s="1"/>
      <c r="AMM102" s="1"/>
      <c r="AMN102" s="1"/>
      <c r="AMO102" s="1"/>
    </row>
    <row r="103" spans="1:1029" x14ac:dyDescent="0.2">
      <c r="A103" s="3" t="str">
        <f t="shared" si="503"/>
        <v>adrb1_melga_2YCZ</v>
      </c>
      <c r="B103" s="3" t="s">
        <v>905</v>
      </c>
      <c r="C103" s="3" t="s">
        <v>1021</v>
      </c>
      <c r="D103" s="3" t="str">
        <f>IFERROR(MID(VLOOKUP($B103,Seqs!$A:$B,2,0),E103,1),"")</f>
        <v>A</v>
      </c>
      <c r="E103" s="3">
        <v>33</v>
      </c>
      <c r="F103" s="3" t="str">
        <f>IFERROR(MID(VLOOKUP($B103,Seqs!$A:$B,2,0),G103,1),"")</f>
        <v>T</v>
      </c>
      <c r="G103" s="3">
        <v>69</v>
      </c>
      <c r="H103" s="3" t="str">
        <f>IFERROR(MID(VLOOKUP($B103,Seqs!$A:$B,2,0),I103,1),"")</f>
        <v>Q</v>
      </c>
      <c r="I103" s="23">
        <v>70</v>
      </c>
      <c r="J103" s="3" t="str">
        <f>IFERROR(MID(VLOOKUP($B103,Seqs!$A:$B,2,0),K103,1),"")</f>
        <v>Q</v>
      </c>
      <c r="K103" s="23">
        <v>73</v>
      </c>
      <c r="L103" s="3" t="str">
        <f>IFERROR(MID(VLOOKUP($B103,Seqs!$A:$B,2,0),M103,1),"")</f>
        <v>T</v>
      </c>
      <c r="M103" s="3">
        <v>74</v>
      </c>
      <c r="N103" s="3" t="str">
        <f>IFERROR(MID(VLOOKUP($B103,Seqs!$A:$B,2,0),O103,1),"")</f>
        <v>R</v>
      </c>
      <c r="O103" s="3">
        <v>104</v>
      </c>
      <c r="P103" s="3" t="str">
        <f>IFERROR(MID(VLOOKUP($B103,Seqs!$A:$B,2,0),Q103,1),"")</f>
        <v>T</v>
      </c>
      <c r="Q103" s="3">
        <v>106</v>
      </c>
      <c r="R103" s="3" t="str">
        <f>IFERROR(MID(VLOOKUP($B103,Seqs!$A:$B,2,0),S103,1),"")</f>
        <v>W</v>
      </c>
      <c r="S103" s="3">
        <v>109</v>
      </c>
      <c r="T103" s="3" t="str">
        <f>IFERROR(MID(VLOOKUP($B103,Seqs!$A:$B,2,0),U103,1),"")</f>
        <v>G</v>
      </c>
      <c r="U103" s="3">
        <v>110</v>
      </c>
      <c r="V103" s="3" t="str">
        <f>IFERROR(MID(VLOOKUP($B103,Seqs!$A:$B,2,0),W103,1),"")</f>
        <v>S</v>
      </c>
      <c r="W103" s="3">
        <v>145</v>
      </c>
      <c r="X103" s="3" t="str">
        <f>IFERROR(MID(VLOOKUP($B103,Seqs!$A:$B,2,0),Y103,1),"")</f>
        <v>P</v>
      </c>
      <c r="Y103" s="3">
        <v>146</v>
      </c>
      <c r="Z103" s="3" t="str">
        <f>IFERROR(MID(VLOOKUP($B103,Seqs!$A:$B,2,0),AA103,1),"")</f>
        <v>M</v>
      </c>
      <c r="AA103" s="3">
        <v>153</v>
      </c>
      <c r="AB103" s="3" t="str">
        <f>IFERROR(MID(VLOOKUP($B103,Seqs!$A:$B,2,0),AC103,1),"")</f>
        <v>T</v>
      </c>
      <c r="AC103" s="9">
        <v>154</v>
      </c>
      <c r="AD103" s="3" t="str">
        <f>IFERROR(MID(VLOOKUP($B103,Seqs!$A:$B,2,0),AE103,1),"")</f>
        <v>H</v>
      </c>
      <c r="AE103" s="3">
        <v>180</v>
      </c>
      <c r="AF103" s="3" t="str">
        <f>IFERROR(MID(VLOOKUP($B103,Seqs!$A:$B,2,0),AG103,1),"")</f>
        <v>C</v>
      </c>
      <c r="AG103" s="3">
        <v>199</v>
      </c>
      <c r="AH103" s="3" t="str">
        <f>IFERROR(MID(VLOOKUP($B103,Seqs!$A:$B,2,0),AI103,1),"")</f>
        <v>F</v>
      </c>
      <c r="AI103" s="3">
        <v>201</v>
      </c>
      <c r="AJ103" s="3" t="str">
        <f>IFERROR(MID(VLOOKUP($B103,Seqs!$A:$B,2,0),AK103,1),"")</f>
        <v>N</v>
      </c>
      <c r="AK103" s="3">
        <v>204</v>
      </c>
      <c r="AL103" s="3" t="str">
        <f>IFERROR(MID(VLOOKUP($B103,Seqs!$A:$B,2,0),AM103,1),"")</f>
        <v>K</v>
      </c>
      <c r="AM103" s="3">
        <v>240</v>
      </c>
      <c r="AN103" s="3" t="str">
        <f>IFERROR(MID(VLOOKUP($B103,Seqs!$A:$B,2,0),AO103,1),"")</f>
        <v>A</v>
      </c>
      <c r="AO103" s="3">
        <v>288</v>
      </c>
      <c r="AP103" s="3" t="str">
        <f>IFERROR(MID(VLOOKUP($B103,Seqs!$A:$B,2,0),AQ103,1),"")</f>
        <v>N</v>
      </c>
      <c r="AQ103" s="3">
        <v>316</v>
      </c>
      <c r="AR103" s="3" t="str">
        <f>IFERROR(MID(VLOOKUP($B103,Seqs!$A:$B,2,0),AS103,1),"")</f>
        <v>P</v>
      </c>
      <c r="AS103" s="3">
        <v>321</v>
      </c>
      <c r="AT103" s="3" t="str">
        <f>IFERROR(MID(VLOOKUP($B103,Seqs!$A:$B,2,0),AU103,1),"")</f>
        <v>R</v>
      </c>
      <c r="AU103" s="3">
        <v>345</v>
      </c>
      <c r="AV103" s="3" t="str">
        <f>IFERROR(MID(VLOOKUP($B103,Seqs!$A:$B,2,0),AW103,1),"")</f>
        <v>S</v>
      </c>
      <c r="AW103" s="3">
        <v>346</v>
      </c>
      <c r="AX103" s="3" t="str">
        <f>IFERROR(MID(VLOOKUP($B103,Seqs!$A:$B,2,0),AY103,1),"")</f>
        <v>C</v>
      </c>
      <c r="AY103" s="3">
        <v>358</v>
      </c>
      <c r="AZ103" s="77" t="str">
        <f>VLOOKUP(B103,Classification!A:D,2,0)</f>
        <v>A</v>
      </c>
      <c r="BA103" s="94" t="str">
        <f>VLOOKUP(B103,Classification!A:D,4,0)</f>
        <v>Adrenoceptors</v>
      </c>
      <c r="BB103" s="27" t="b">
        <f t="shared" si="504"/>
        <v>1</v>
      </c>
      <c r="BC103" s="23">
        <f t="shared" si="225"/>
        <v>254</v>
      </c>
      <c r="BD103" s="16" t="s">
        <v>23</v>
      </c>
      <c r="BE103" s="3" t="s">
        <v>1368</v>
      </c>
      <c r="BF103" s="118">
        <v>3.65</v>
      </c>
      <c r="BG103" s="49" t="s">
        <v>1371</v>
      </c>
      <c r="BH103" s="49" t="s">
        <v>1371</v>
      </c>
      <c r="BI103" s="1"/>
      <c r="BJ103" s="70" t="s">
        <v>1281</v>
      </c>
      <c r="BK103" s="57" t="s">
        <v>1281</v>
      </c>
      <c r="BL103" s="57" t="s">
        <v>1281</v>
      </c>
      <c r="BM103" s="57" t="s">
        <v>1281</v>
      </c>
      <c r="BN103" s="57" t="s">
        <v>1281</v>
      </c>
      <c r="BO103" s="57" t="s">
        <v>1281</v>
      </c>
      <c r="BP103" s="57" t="s">
        <v>1281</v>
      </c>
      <c r="BQ103" s="57" t="s">
        <v>1281</v>
      </c>
      <c r="BR103" s="57" t="s">
        <v>1281</v>
      </c>
      <c r="BS103" s="57" t="s">
        <v>1281</v>
      </c>
      <c r="BT103" s="57" t="s">
        <v>1281</v>
      </c>
      <c r="BU103" s="57" t="s">
        <v>1281</v>
      </c>
      <c r="BV103" s="70">
        <f t="shared" si="226"/>
        <v>33</v>
      </c>
      <c r="BW103" s="71">
        <f t="shared" si="227"/>
        <v>70</v>
      </c>
      <c r="BX103" s="72">
        <f t="shared" si="228"/>
        <v>74</v>
      </c>
      <c r="BY103" s="71">
        <f t="shared" si="229"/>
        <v>106</v>
      </c>
      <c r="BZ103" s="72">
        <f t="shared" si="230"/>
        <v>110</v>
      </c>
      <c r="CA103" s="71">
        <f t="shared" si="231"/>
        <v>146</v>
      </c>
      <c r="CB103" s="72">
        <f t="shared" si="232"/>
        <v>154</v>
      </c>
      <c r="CC103" s="71">
        <f t="shared" si="233"/>
        <v>199</v>
      </c>
      <c r="CD103" s="72">
        <f t="shared" si="234"/>
        <v>204</v>
      </c>
      <c r="CE103" s="71">
        <f t="shared" si="235"/>
        <v>288</v>
      </c>
      <c r="CF103" s="72">
        <f t="shared" si="236"/>
        <v>321</v>
      </c>
      <c r="CG103" s="71">
        <f t="shared" si="237"/>
        <v>346</v>
      </c>
      <c r="CH103" s="70">
        <f t="shared" si="238"/>
        <v>69</v>
      </c>
      <c r="CI103" s="71">
        <f t="shared" si="239"/>
        <v>73</v>
      </c>
      <c r="CJ103" s="72">
        <f t="shared" si="240"/>
        <v>104</v>
      </c>
      <c r="CK103" s="72">
        <f t="shared" si="241"/>
        <v>109</v>
      </c>
      <c r="CL103" s="72">
        <f t="shared" si="242"/>
        <v>145</v>
      </c>
      <c r="CM103" s="72">
        <f t="shared" si="243"/>
        <v>153</v>
      </c>
      <c r="CN103" s="72">
        <f t="shared" si="244"/>
        <v>180</v>
      </c>
      <c r="CO103" s="72">
        <f t="shared" si="245"/>
        <v>201</v>
      </c>
      <c r="CP103" s="72">
        <f t="shared" si="246"/>
        <v>240</v>
      </c>
      <c r="CQ103" s="72">
        <f t="shared" si="247"/>
        <v>316</v>
      </c>
      <c r="CR103" s="72">
        <f t="shared" si="248"/>
        <v>345</v>
      </c>
      <c r="CS103" s="72">
        <f t="shared" si="249"/>
        <v>358</v>
      </c>
      <c r="CT103" s="23">
        <f t="shared" si="250"/>
        <v>1</v>
      </c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  <c r="AMK103" s="1"/>
      <c r="AML103" s="1"/>
      <c r="AMM103" s="1"/>
      <c r="AMN103" s="1"/>
      <c r="AMO103" s="1"/>
    </row>
    <row r="104" spans="1:1029" x14ac:dyDescent="0.2">
      <c r="A104" s="3" t="str">
        <f t="shared" si="503"/>
        <v>adrb1_melga_3ZPQ</v>
      </c>
      <c r="B104" s="3" t="s">
        <v>905</v>
      </c>
      <c r="C104" s="3" t="s">
        <v>1031</v>
      </c>
      <c r="D104" s="3" t="str">
        <f>IFERROR(MID(VLOOKUP($B104,Seqs!$A:$B,2,0),E104,1),"")</f>
        <v>A</v>
      </c>
      <c r="E104" s="3">
        <v>33</v>
      </c>
      <c r="F104" s="3" t="str">
        <f>IFERROR(MID(VLOOKUP($B104,Seqs!$A:$B,2,0),G104,1),"")</f>
        <v>T</v>
      </c>
      <c r="G104" s="3">
        <v>69</v>
      </c>
      <c r="H104" s="3" t="str">
        <f>IFERROR(MID(VLOOKUP($B104,Seqs!$A:$B,2,0),I104,1),"")</f>
        <v>Q</v>
      </c>
      <c r="I104" s="23">
        <v>70</v>
      </c>
      <c r="J104" s="3" t="str">
        <f>IFERROR(MID(VLOOKUP($B104,Seqs!$A:$B,2,0),K104,1),"")</f>
        <v>Q</v>
      </c>
      <c r="K104" s="23">
        <v>73</v>
      </c>
      <c r="L104" s="3" t="str">
        <f>IFERROR(MID(VLOOKUP($B104,Seqs!$A:$B,2,0),M104,1),"")</f>
        <v>T</v>
      </c>
      <c r="M104" s="3">
        <v>74</v>
      </c>
      <c r="N104" s="3" t="str">
        <f>IFERROR(MID(VLOOKUP($B104,Seqs!$A:$B,2,0),O104,1),"")</f>
        <v>R</v>
      </c>
      <c r="O104" s="3">
        <v>104</v>
      </c>
      <c r="P104" s="3" t="str">
        <f>IFERROR(MID(VLOOKUP($B104,Seqs!$A:$B,2,0),Q104,1),"")</f>
        <v>T</v>
      </c>
      <c r="Q104" s="3">
        <v>106</v>
      </c>
      <c r="R104" s="3" t="str">
        <f>IFERROR(MID(VLOOKUP($B104,Seqs!$A:$B,2,0),S104,1),"")</f>
        <v>W</v>
      </c>
      <c r="S104" s="3">
        <v>109</v>
      </c>
      <c r="T104" s="3" t="str">
        <f>IFERROR(MID(VLOOKUP($B104,Seqs!$A:$B,2,0),U104,1),"")</f>
        <v>G</v>
      </c>
      <c r="U104" s="3">
        <v>110</v>
      </c>
      <c r="V104" s="3" t="str">
        <f>IFERROR(MID(VLOOKUP($B104,Seqs!$A:$B,2,0),W104,1),"")</f>
        <v>S</v>
      </c>
      <c r="W104" s="3">
        <v>145</v>
      </c>
      <c r="X104" s="3" t="str">
        <f>IFERROR(MID(VLOOKUP($B104,Seqs!$A:$B,2,0),Y104,1),"")</f>
        <v>P</v>
      </c>
      <c r="Y104" s="3">
        <v>146</v>
      </c>
      <c r="Z104" s="3" t="str">
        <f>IFERROR(MID(VLOOKUP($B104,Seqs!$A:$B,2,0),AA104,1),"")</f>
        <v>M</v>
      </c>
      <c r="AA104" s="3">
        <v>153</v>
      </c>
      <c r="AB104" s="3" t="str">
        <f>IFERROR(MID(VLOOKUP($B104,Seqs!$A:$B,2,0),AC104,1),"")</f>
        <v>T</v>
      </c>
      <c r="AC104" s="9">
        <v>154</v>
      </c>
      <c r="AD104" s="3" t="str">
        <f>IFERROR(MID(VLOOKUP($B104,Seqs!$A:$B,2,0),AE104,1),"")</f>
        <v>H</v>
      </c>
      <c r="AE104" s="3">
        <v>180</v>
      </c>
      <c r="AF104" s="3" t="str">
        <f>IFERROR(MID(VLOOKUP($B104,Seqs!$A:$B,2,0),AG104,1),"")</f>
        <v>C</v>
      </c>
      <c r="AG104" s="3">
        <v>199</v>
      </c>
      <c r="AH104" s="3" t="str">
        <f>IFERROR(MID(VLOOKUP($B104,Seqs!$A:$B,2,0),AI104,1),"")</f>
        <v>F</v>
      </c>
      <c r="AI104" s="3">
        <v>201</v>
      </c>
      <c r="AJ104" s="3" t="str">
        <f>IFERROR(MID(VLOOKUP($B104,Seqs!$A:$B,2,0),AK104,1),"")</f>
        <v>N</v>
      </c>
      <c r="AK104" s="3">
        <v>204</v>
      </c>
      <c r="AL104" s="3" t="str">
        <f>IFERROR(MID(VLOOKUP($B104,Seqs!$A:$B,2,0),AM104,1),"")</f>
        <v>I</v>
      </c>
      <c r="AM104" s="3">
        <v>238</v>
      </c>
      <c r="AN104" s="3" t="str">
        <f>IFERROR(MID(VLOOKUP($B104,Seqs!$A:$B,2,0),AO104,1),"")</f>
        <v>R</v>
      </c>
      <c r="AO104" s="3">
        <v>275</v>
      </c>
      <c r="AP104" s="3" t="str">
        <f>IFERROR(MID(VLOOKUP($B104,Seqs!$A:$B,2,0),AQ104,1),"")</f>
        <v>N</v>
      </c>
      <c r="AQ104" s="3">
        <v>316</v>
      </c>
      <c r="AR104" s="3" t="str">
        <f>IFERROR(MID(VLOOKUP($B104,Seqs!$A:$B,2,0),AS104,1),"")</f>
        <v>P</v>
      </c>
      <c r="AS104" s="3">
        <v>321</v>
      </c>
      <c r="AT104" s="3" t="str">
        <f>IFERROR(MID(VLOOKUP($B104,Seqs!$A:$B,2,0),AU104,1),"")</f>
        <v>R</v>
      </c>
      <c r="AU104" s="3">
        <v>345</v>
      </c>
      <c r="AV104" s="3" t="str">
        <f>IFERROR(MID(VLOOKUP($B104,Seqs!$A:$B,2,0),AW104,1),"")</f>
        <v>S</v>
      </c>
      <c r="AW104" s="3">
        <v>346</v>
      </c>
      <c r="AX104" s="3" t="str">
        <f>IFERROR(MID(VLOOKUP($B104,Seqs!$A:$B,2,0),AY104,1),"")</f>
        <v>C</v>
      </c>
      <c r="AY104" s="3">
        <v>358</v>
      </c>
      <c r="AZ104" s="77" t="str">
        <f>VLOOKUP(B104,Classification!A:D,2,0)</f>
        <v>A</v>
      </c>
      <c r="BA104" s="94" t="str">
        <f>VLOOKUP(B104,Classification!A:D,4,0)</f>
        <v>Adrenoceptors</v>
      </c>
      <c r="BB104" s="27" t="b">
        <f t="shared" si="504"/>
        <v>1</v>
      </c>
      <c r="BC104" s="23">
        <f t="shared" si="225"/>
        <v>265</v>
      </c>
      <c r="BD104" s="4" t="s">
        <v>23</v>
      </c>
      <c r="BE104" s="3" t="s">
        <v>1368</v>
      </c>
      <c r="BF104" s="118">
        <v>2.8</v>
      </c>
      <c r="BG104" s="49" t="s">
        <v>1371</v>
      </c>
      <c r="BH104" s="49" t="s">
        <v>1371</v>
      </c>
      <c r="BI104" s="1"/>
      <c r="BJ104" s="70" t="s">
        <v>1281</v>
      </c>
      <c r="BK104" s="57" t="s">
        <v>1281</v>
      </c>
      <c r="BL104" s="57" t="s">
        <v>1281</v>
      </c>
      <c r="BM104" s="57" t="s">
        <v>1281</v>
      </c>
      <c r="BN104" s="57" t="s">
        <v>1281</v>
      </c>
      <c r="BO104" s="57" t="s">
        <v>1281</v>
      </c>
      <c r="BP104" s="57" t="s">
        <v>1281</v>
      </c>
      <c r="BQ104" s="57" t="s">
        <v>1281</v>
      </c>
      <c r="BR104" s="57" t="s">
        <v>1281</v>
      </c>
      <c r="BS104" s="57" t="s">
        <v>1281</v>
      </c>
      <c r="BT104" s="57" t="s">
        <v>1281</v>
      </c>
      <c r="BU104" s="57" t="s">
        <v>1281</v>
      </c>
      <c r="BV104" s="70">
        <f t="shared" si="226"/>
        <v>33</v>
      </c>
      <c r="BW104" s="71">
        <f t="shared" si="227"/>
        <v>70</v>
      </c>
      <c r="BX104" s="72">
        <f t="shared" si="228"/>
        <v>74</v>
      </c>
      <c r="BY104" s="71">
        <f t="shared" si="229"/>
        <v>106</v>
      </c>
      <c r="BZ104" s="72">
        <f t="shared" si="230"/>
        <v>110</v>
      </c>
      <c r="CA104" s="71">
        <f t="shared" si="231"/>
        <v>146</v>
      </c>
      <c r="CB104" s="72">
        <f t="shared" si="232"/>
        <v>154</v>
      </c>
      <c r="CC104" s="71">
        <f t="shared" si="233"/>
        <v>199</v>
      </c>
      <c r="CD104" s="72">
        <f t="shared" si="234"/>
        <v>204</v>
      </c>
      <c r="CE104" s="71">
        <f t="shared" si="235"/>
        <v>275</v>
      </c>
      <c r="CF104" s="72">
        <f t="shared" si="236"/>
        <v>321</v>
      </c>
      <c r="CG104" s="71">
        <f t="shared" si="237"/>
        <v>346</v>
      </c>
      <c r="CH104" s="70">
        <f t="shared" si="238"/>
        <v>69</v>
      </c>
      <c r="CI104" s="71">
        <f t="shared" si="239"/>
        <v>73</v>
      </c>
      <c r="CJ104" s="72">
        <f t="shared" si="240"/>
        <v>104</v>
      </c>
      <c r="CK104" s="72">
        <f t="shared" si="241"/>
        <v>109</v>
      </c>
      <c r="CL104" s="72">
        <f t="shared" si="242"/>
        <v>145</v>
      </c>
      <c r="CM104" s="72">
        <f t="shared" si="243"/>
        <v>153</v>
      </c>
      <c r="CN104" s="72">
        <f t="shared" si="244"/>
        <v>180</v>
      </c>
      <c r="CO104" s="72">
        <f t="shared" si="245"/>
        <v>201</v>
      </c>
      <c r="CP104" s="72">
        <f t="shared" si="246"/>
        <v>238</v>
      </c>
      <c r="CQ104" s="72">
        <f t="shared" si="247"/>
        <v>316</v>
      </c>
      <c r="CR104" s="72">
        <f t="shared" si="248"/>
        <v>345</v>
      </c>
      <c r="CS104" s="72">
        <f t="shared" si="249"/>
        <v>358</v>
      </c>
      <c r="CT104" s="23">
        <f t="shared" si="250"/>
        <v>1</v>
      </c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  <c r="AMK104" s="1"/>
      <c r="AML104" s="1"/>
      <c r="AMM104" s="1"/>
      <c r="AMN104" s="1"/>
      <c r="AMO104" s="1"/>
    </row>
    <row r="105" spans="1:1029" x14ac:dyDescent="0.2">
      <c r="A105" s="3" t="str">
        <f t="shared" si="503"/>
        <v>adrb1_melga_3ZPR</v>
      </c>
      <c r="B105" s="3" t="s">
        <v>905</v>
      </c>
      <c r="C105" s="3" t="s">
        <v>1032</v>
      </c>
      <c r="D105" s="3" t="str">
        <f>IFERROR(MID(VLOOKUP($B105,Seqs!$A:$B,2,0),E105,1),"")</f>
        <v>A</v>
      </c>
      <c r="E105" s="3">
        <v>33</v>
      </c>
      <c r="F105" s="3" t="str">
        <f>IFERROR(MID(VLOOKUP($B105,Seqs!$A:$B,2,0),G105,1),"")</f>
        <v>T</v>
      </c>
      <c r="G105" s="3">
        <v>69</v>
      </c>
      <c r="H105" s="3" t="str">
        <f>IFERROR(MID(VLOOKUP($B105,Seqs!$A:$B,2,0),I105,1),"")</f>
        <v>Q</v>
      </c>
      <c r="I105" s="23">
        <v>70</v>
      </c>
      <c r="J105" s="3" t="str">
        <f>IFERROR(MID(VLOOKUP($B105,Seqs!$A:$B,2,0),K105,1),"")</f>
        <v>Q</v>
      </c>
      <c r="K105" s="23">
        <v>73</v>
      </c>
      <c r="L105" s="3" t="str">
        <f>IFERROR(MID(VLOOKUP($B105,Seqs!$A:$B,2,0),M105,1),"")</f>
        <v>T</v>
      </c>
      <c r="M105" s="3">
        <v>74</v>
      </c>
      <c r="N105" s="3" t="str">
        <f>IFERROR(MID(VLOOKUP($B105,Seqs!$A:$B,2,0),O105,1),"")</f>
        <v>R</v>
      </c>
      <c r="O105" s="3">
        <v>104</v>
      </c>
      <c r="P105" s="3" t="str">
        <f>IFERROR(MID(VLOOKUP($B105,Seqs!$A:$B,2,0),Q105,1),"")</f>
        <v>T</v>
      </c>
      <c r="Q105" s="3">
        <v>106</v>
      </c>
      <c r="R105" s="3" t="str">
        <f>IFERROR(MID(VLOOKUP($B105,Seqs!$A:$B,2,0),S105,1),"")</f>
        <v>W</v>
      </c>
      <c r="S105" s="3">
        <v>109</v>
      </c>
      <c r="T105" s="3" t="str">
        <f>IFERROR(MID(VLOOKUP($B105,Seqs!$A:$B,2,0),U105,1),"")</f>
        <v>G</v>
      </c>
      <c r="U105" s="3">
        <v>110</v>
      </c>
      <c r="V105" s="3" t="str">
        <f>IFERROR(MID(VLOOKUP($B105,Seqs!$A:$B,2,0),W105,1),"")</f>
        <v>S</v>
      </c>
      <c r="W105" s="3">
        <v>145</v>
      </c>
      <c r="X105" s="3" t="str">
        <f>IFERROR(MID(VLOOKUP($B105,Seqs!$A:$B,2,0),Y105,1),"")</f>
        <v>P</v>
      </c>
      <c r="Y105" s="3">
        <v>146</v>
      </c>
      <c r="Z105" s="3" t="str">
        <f>IFERROR(MID(VLOOKUP($B105,Seqs!$A:$B,2,0),AA105,1),"")</f>
        <v>M</v>
      </c>
      <c r="AA105" s="3">
        <v>153</v>
      </c>
      <c r="AB105" s="3" t="str">
        <f>IFERROR(MID(VLOOKUP($B105,Seqs!$A:$B,2,0),AC105,1),"")</f>
        <v>T</v>
      </c>
      <c r="AC105" s="9">
        <v>154</v>
      </c>
      <c r="AD105" s="3" t="str">
        <f>IFERROR(MID(VLOOKUP($B105,Seqs!$A:$B,2,0),AE105,1),"")</f>
        <v>H</v>
      </c>
      <c r="AE105" s="3">
        <v>180</v>
      </c>
      <c r="AF105" s="3" t="str">
        <f>IFERROR(MID(VLOOKUP($B105,Seqs!$A:$B,2,0),AG105,1),"")</f>
        <v>C</v>
      </c>
      <c r="AG105" s="3">
        <v>199</v>
      </c>
      <c r="AH105" s="3" t="str">
        <f>IFERROR(MID(VLOOKUP($B105,Seqs!$A:$B,2,0),AI105,1),"")</f>
        <v>F</v>
      </c>
      <c r="AI105" s="3">
        <v>201</v>
      </c>
      <c r="AJ105" s="3" t="str">
        <f>IFERROR(MID(VLOOKUP($B105,Seqs!$A:$B,2,0),AK105,1),"")</f>
        <v>N</v>
      </c>
      <c r="AK105" s="3">
        <v>204</v>
      </c>
      <c r="AL105" s="3" t="str">
        <f>IFERROR(MID(VLOOKUP($B105,Seqs!$A:$B,2,0),AM105,1),"")</f>
        <v>I</v>
      </c>
      <c r="AM105" s="3">
        <v>238</v>
      </c>
      <c r="AN105" s="3" t="str">
        <f>IFERROR(MID(VLOOKUP($B105,Seqs!$A:$B,2,0),AO105,1),"")</f>
        <v>R</v>
      </c>
      <c r="AO105" s="3">
        <v>275</v>
      </c>
      <c r="AP105" s="3" t="str">
        <f>IFERROR(MID(VLOOKUP($B105,Seqs!$A:$B,2,0),AQ105,1),"")</f>
        <v>N</v>
      </c>
      <c r="AQ105" s="3">
        <v>316</v>
      </c>
      <c r="AR105" s="3" t="str">
        <f>IFERROR(MID(VLOOKUP($B105,Seqs!$A:$B,2,0),AS105,1),"")</f>
        <v>P</v>
      </c>
      <c r="AS105" s="3">
        <v>321</v>
      </c>
      <c r="AT105" s="3" t="str">
        <f>IFERROR(MID(VLOOKUP($B105,Seqs!$A:$B,2,0),AU105,1),"")</f>
        <v>R</v>
      </c>
      <c r="AU105" s="3">
        <v>345</v>
      </c>
      <c r="AV105" s="3" t="str">
        <f>IFERROR(MID(VLOOKUP($B105,Seqs!$A:$B,2,0),AW105,1),"")</f>
        <v>S</v>
      </c>
      <c r="AW105" s="3">
        <v>346</v>
      </c>
      <c r="AX105" s="3" t="str">
        <f>IFERROR(MID(VLOOKUP($B105,Seqs!$A:$B,2,0),AY105,1),"")</f>
        <v>C</v>
      </c>
      <c r="AY105" s="3">
        <v>358</v>
      </c>
      <c r="AZ105" s="77" t="str">
        <f>VLOOKUP(B105,Classification!A:D,2,0)</f>
        <v>A</v>
      </c>
      <c r="BA105" s="94" t="str">
        <f>VLOOKUP(B105,Classification!A:D,4,0)</f>
        <v>Adrenoceptors</v>
      </c>
      <c r="BB105" s="27" t="b">
        <f t="shared" si="504"/>
        <v>1</v>
      </c>
      <c r="BC105" s="23">
        <f t="shared" si="225"/>
        <v>265</v>
      </c>
      <c r="BD105" s="4" t="s">
        <v>23</v>
      </c>
      <c r="BE105" s="3" t="s">
        <v>1368</v>
      </c>
      <c r="BF105" s="118">
        <v>2.7</v>
      </c>
      <c r="BG105" s="49" t="s">
        <v>1371</v>
      </c>
      <c r="BH105" s="49" t="s">
        <v>1371</v>
      </c>
      <c r="BI105" s="1"/>
      <c r="BJ105" s="70" t="s">
        <v>1281</v>
      </c>
      <c r="BK105" s="57" t="s">
        <v>1281</v>
      </c>
      <c r="BL105" s="57" t="s">
        <v>1281</v>
      </c>
      <c r="BM105" s="57" t="s">
        <v>1281</v>
      </c>
      <c r="BN105" s="57" t="s">
        <v>1281</v>
      </c>
      <c r="BO105" s="57" t="s">
        <v>1281</v>
      </c>
      <c r="BP105" s="57" t="s">
        <v>1281</v>
      </c>
      <c r="BQ105" s="57" t="s">
        <v>1281</v>
      </c>
      <c r="BR105" s="57" t="s">
        <v>1281</v>
      </c>
      <c r="BS105" s="57" t="s">
        <v>1281</v>
      </c>
      <c r="BT105" s="57" t="s">
        <v>1281</v>
      </c>
      <c r="BU105" s="57" t="s">
        <v>1281</v>
      </c>
      <c r="BV105" s="70">
        <f t="shared" si="226"/>
        <v>33</v>
      </c>
      <c r="BW105" s="71">
        <f t="shared" si="227"/>
        <v>70</v>
      </c>
      <c r="BX105" s="72">
        <f t="shared" si="228"/>
        <v>74</v>
      </c>
      <c r="BY105" s="71">
        <f t="shared" si="229"/>
        <v>106</v>
      </c>
      <c r="BZ105" s="72">
        <f t="shared" si="230"/>
        <v>110</v>
      </c>
      <c r="CA105" s="71">
        <f t="shared" si="231"/>
        <v>146</v>
      </c>
      <c r="CB105" s="72">
        <f t="shared" si="232"/>
        <v>154</v>
      </c>
      <c r="CC105" s="71">
        <f t="shared" si="233"/>
        <v>199</v>
      </c>
      <c r="CD105" s="72">
        <f t="shared" si="234"/>
        <v>204</v>
      </c>
      <c r="CE105" s="71">
        <f t="shared" si="235"/>
        <v>275</v>
      </c>
      <c r="CF105" s="72">
        <f t="shared" si="236"/>
        <v>321</v>
      </c>
      <c r="CG105" s="71">
        <f t="shared" si="237"/>
        <v>346</v>
      </c>
      <c r="CH105" s="70">
        <f t="shared" si="238"/>
        <v>69</v>
      </c>
      <c r="CI105" s="71">
        <f t="shared" si="239"/>
        <v>73</v>
      </c>
      <c r="CJ105" s="72">
        <f t="shared" si="240"/>
        <v>104</v>
      </c>
      <c r="CK105" s="72">
        <f t="shared" si="241"/>
        <v>109</v>
      </c>
      <c r="CL105" s="72">
        <f t="shared" si="242"/>
        <v>145</v>
      </c>
      <c r="CM105" s="72">
        <f t="shared" si="243"/>
        <v>153</v>
      </c>
      <c r="CN105" s="72">
        <f t="shared" si="244"/>
        <v>180</v>
      </c>
      <c r="CO105" s="72">
        <f t="shared" si="245"/>
        <v>201</v>
      </c>
      <c r="CP105" s="72">
        <f t="shared" si="246"/>
        <v>238</v>
      </c>
      <c r="CQ105" s="72">
        <f t="shared" si="247"/>
        <v>316</v>
      </c>
      <c r="CR105" s="72">
        <f t="shared" si="248"/>
        <v>345</v>
      </c>
      <c r="CS105" s="72">
        <f t="shared" si="249"/>
        <v>358</v>
      </c>
      <c r="CT105" s="23">
        <f t="shared" si="250"/>
        <v>1</v>
      </c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  <c r="AMK105" s="1"/>
      <c r="AML105" s="1"/>
      <c r="AMM105" s="1"/>
      <c r="AMN105" s="1"/>
      <c r="AMO105" s="1"/>
    </row>
    <row r="106" spans="1:1029" x14ac:dyDescent="0.2">
      <c r="A106" s="3" t="str">
        <f t="shared" si="503"/>
        <v>adrb1_melga_4AMI</v>
      </c>
      <c r="B106" s="3" t="s">
        <v>905</v>
      </c>
      <c r="C106" s="3" t="s">
        <v>1033</v>
      </c>
      <c r="D106" s="3" t="str">
        <f>IFERROR(MID(VLOOKUP($B106,Seqs!$A:$B,2,0),E106,1),"")</f>
        <v>A</v>
      </c>
      <c r="E106" s="3">
        <v>33</v>
      </c>
      <c r="F106" s="3" t="str">
        <f>IFERROR(MID(VLOOKUP($B106,Seqs!$A:$B,2,0),G106,1),"")</f>
        <v>T</v>
      </c>
      <c r="G106" s="3">
        <v>69</v>
      </c>
      <c r="H106" s="3" t="str">
        <f>IFERROR(MID(VLOOKUP($B106,Seqs!$A:$B,2,0),I106,1),"")</f>
        <v>Q</v>
      </c>
      <c r="I106" s="23">
        <v>70</v>
      </c>
      <c r="J106" s="3" t="str">
        <f>IFERROR(MID(VLOOKUP($B106,Seqs!$A:$B,2,0),K106,1),"")</f>
        <v>Q</v>
      </c>
      <c r="K106" s="23">
        <v>73</v>
      </c>
      <c r="L106" s="3" t="str">
        <f>IFERROR(MID(VLOOKUP($B106,Seqs!$A:$B,2,0),M106,1),"")</f>
        <v>T</v>
      </c>
      <c r="M106" s="3">
        <v>74</v>
      </c>
      <c r="N106" s="3" t="str">
        <f>IFERROR(MID(VLOOKUP($B106,Seqs!$A:$B,2,0),O106,1),"")</f>
        <v>R</v>
      </c>
      <c r="O106" s="3">
        <v>104</v>
      </c>
      <c r="P106" s="3" t="str">
        <f>IFERROR(MID(VLOOKUP($B106,Seqs!$A:$B,2,0),Q106,1),"")</f>
        <v>T</v>
      </c>
      <c r="Q106" s="3">
        <v>106</v>
      </c>
      <c r="R106" s="3" t="str">
        <f>IFERROR(MID(VLOOKUP($B106,Seqs!$A:$B,2,0),S106,1),"")</f>
        <v>W</v>
      </c>
      <c r="S106" s="3">
        <v>109</v>
      </c>
      <c r="T106" s="3" t="str">
        <f>IFERROR(MID(VLOOKUP($B106,Seqs!$A:$B,2,0),U106,1),"")</f>
        <v>G</v>
      </c>
      <c r="U106" s="3">
        <v>110</v>
      </c>
      <c r="V106" s="3" t="str">
        <f>IFERROR(MID(VLOOKUP($B106,Seqs!$A:$B,2,0),W106,1),"")</f>
        <v>S</v>
      </c>
      <c r="W106" s="3">
        <v>145</v>
      </c>
      <c r="X106" s="3" t="str">
        <f>IFERROR(MID(VLOOKUP($B106,Seqs!$A:$B,2,0),Y106,1),"")</f>
        <v>P</v>
      </c>
      <c r="Y106" s="3">
        <v>146</v>
      </c>
      <c r="Z106" s="3" t="str">
        <f>IFERROR(MID(VLOOKUP($B106,Seqs!$A:$B,2,0),AA106,1),"")</f>
        <v>M</v>
      </c>
      <c r="AA106" s="3">
        <v>153</v>
      </c>
      <c r="AB106" s="3" t="str">
        <f>IFERROR(MID(VLOOKUP($B106,Seqs!$A:$B,2,0),AC106,1),"")</f>
        <v>T</v>
      </c>
      <c r="AC106" s="9">
        <v>154</v>
      </c>
      <c r="AD106" s="3" t="str">
        <f>IFERROR(MID(VLOOKUP($B106,Seqs!$A:$B,2,0),AE106,1),"")</f>
        <v>H</v>
      </c>
      <c r="AE106" s="3">
        <v>180</v>
      </c>
      <c r="AF106" s="3" t="str">
        <f>IFERROR(MID(VLOOKUP($B106,Seqs!$A:$B,2,0),AG106,1),"")</f>
        <v>C</v>
      </c>
      <c r="AG106" s="3">
        <v>199</v>
      </c>
      <c r="AH106" s="3" t="str">
        <f>IFERROR(MID(VLOOKUP($B106,Seqs!$A:$B,2,0),AI106,1),"")</f>
        <v>F</v>
      </c>
      <c r="AI106" s="3">
        <v>201</v>
      </c>
      <c r="AJ106" s="3" t="str">
        <f>IFERROR(MID(VLOOKUP($B106,Seqs!$A:$B,2,0),AK106,1),"")</f>
        <v>N</v>
      </c>
      <c r="AK106" s="3">
        <v>204</v>
      </c>
      <c r="AL106" s="3" t="str">
        <f>IFERROR(MID(VLOOKUP($B106,Seqs!$A:$B,2,0),AM106,1),"")</f>
        <v>E</v>
      </c>
      <c r="AM106" s="3">
        <v>236</v>
      </c>
      <c r="AN106" s="3" t="str">
        <f>IFERROR(MID(VLOOKUP($B106,Seqs!$A:$B,2,0),AO106,1),"")</f>
        <v>A</v>
      </c>
      <c r="AO106" s="3">
        <v>288</v>
      </c>
      <c r="AP106" s="3" t="str">
        <f>IFERROR(MID(VLOOKUP($B106,Seqs!$A:$B,2,0),AQ106,1),"")</f>
        <v>N</v>
      </c>
      <c r="AQ106" s="3">
        <v>316</v>
      </c>
      <c r="AR106" s="3" t="str">
        <f>IFERROR(MID(VLOOKUP($B106,Seqs!$A:$B,2,0),AS106,1),"")</f>
        <v>P</v>
      </c>
      <c r="AS106" s="3">
        <v>321</v>
      </c>
      <c r="AT106" s="3" t="str">
        <f>IFERROR(MID(VLOOKUP($B106,Seqs!$A:$B,2,0),AU106,1),"")</f>
        <v>R</v>
      </c>
      <c r="AU106" s="3">
        <v>345</v>
      </c>
      <c r="AV106" s="3" t="str">
        <f>IFERROR(MID(VLOOKUP($B106,Seqs!$A:$B,2,0),AW106,1),"")</f>
        <v>S</v>
      </c>
      <c r="AW106" s="3">
        <v>346</v>
      </c>
      <c r="AX106" s="3" t="str">
        <f>IFERROR(MID(VLOOKUP($B106,Seqs!$A:$B,2,0),AY106,1),"")</f>
        <v>C</v>
      </c>
      <c r="AY106" s="3">
        <v>358</v>
      </c>
      <c r="AZ106" s="77" t="str">
        <f>VLOOKUP(B106,Classification!A:D,2,0)</f>
        <v>A</v>
      </c>
      <c r="BA106" s="94" t="str">
        <f>VLOOKUP(B106,Classification!A:D,4,0)</f>
        <v>Adrenoceptors</v>
      </c>
      <c r="BB106" s="27" t="b">
        <f t="shared" si="504"/>
        <v>1</v>
      </c>
      <c r="BC106" s="23">
        <f t="shared" si="225"/>
        <v>250</v>
      </c>
      <c r="BD106" s="4" t="s">
        <v>23</v>
      </c>
      <c r="BE106" s="3" t="s">
        <v>1368</v>
      </c>
      <c r="BF106" s="118">
        <v>3.2</v>
      </c>
      <c r="BG106" s="49" t="s">
        <v>1371</v>
      </c>
      <c r="BH106" s="49" t="s">
        <v>1371</v>
      </c>
      <c r="BI106" s="1"/>
      <c r="BJ106" s="70" t="s">
        <v>1281</v>
      </c>
      <c r="BK106" s="57" t="s">
        <v>1281</v>
      </c>
      <c r="BL106" s="57" t="s">
        <v>1281</v>
      </c>
      <c r="BM106" s="57" t="s">
        <v>1281</v>
      </c>
      <c r="BN106" s="57" t="s">
        <v>1281</v>
      </c>
      <c r="BO106" s="57" t="s">
        <v>1281</v>
      </c>
      <c r="BP106" s="57" t="s">
        <v>1281</v>
      </c>
      <c r="BQ106" s="57" t="s">
        <v>1281</v>
      </c>
      <c r="BR106" s="57" t="s">
        <v>1281</v>
      </c>
      <c r="BS106" s="57" t="s">
        <v>1281</v>
      </c>
      <c r="BT106" s="57" t="s">
        <v>1281</v>
      </c>
      <c r="BU106" s="57" t="s">
        <v>1281</v>
      </c>
      <c r="BV106" s="70">
        <f t="shared" si="226"/>
        <v>33</v>
      </c>
      <c r="BW106" s="71">
        <f t="shared" si="227"/>
        <v>70</v>
      </c>
      <c r="BX106" s="72">
        <f t="shared" si="228"/>
        <v>74</v>
      </c>
      <c r="BY106" s="71">
        <f t="shared" si="229"/>
        <v>106</v>
      </c>
      <c r="BZ106" s="72">
        <f t="shared" si="230"/>
        <v>110</v>
      </c>
      <c r="CA106" s="71">
        <f t="shared" si="231"/>
        <v>146</v>
      </c>
      <c r="CB106" s="72">
        <f t="shared" si="232"/>
        <v>154</v>
      </c>
      <c r="CC106" s="71">
        <f t="shared" si="233"/>
        <v>199</v>
      </c>
      <c r="CD106" s="72">
        <f t="shared" si="234"/>
        <v>204</v>
      </c>
      <c r="CE106" s="71">
        <f t="shared" si="235"/>
        <v>288</v>
      </c>
      <c r="CF106" s="72">
        <f t="shared" si="236"/>
        <v>321</v>
      </c>
      <c r="CG106" s="71">
        <f t="shared" si="237"/>
        <v>346</v>
      </c>
      <c r="CH106" s="70">
        <f t="shared" si="238"/>
        <v>69</v>
      </c>
      <c r="CI106" s="71">
        <f t="shared" si="239"/>
        <v>73</v>
      </c>
      <c r="CJ106" s="72">
        <f t="shared" si="240"/>
        <v>104</v>
      </c>
      <c r="CK106" s="72">
        <f t="shared" si="241"/>
        <v>109</v>
      </c>
      <c r="CL106" s="72">
        <f t="shared" si="242"/>
        <v>145</v>
      </c>
      <c r="CM106" s="72">
        <f t="shared" si="243"/>
        <v>153</v>
      </c>
      <c r="CN106" s="72">
        <f t="shared" si="244"/>
        <v>180</v>
      </c>
      <c r="CO106" s="72">
        <f t="shared" si="245"/>
        <v>201</v>
      </c>
      <c r="CP106" s="72">
        <f t="shared" si="246"/>
        <v>236</v>
      </c>
      <c r="CQ106" s="72">
        <f t="shared" si="247"/>
        <v>316</v>
      </c>
      <c r="CR106" s="72">
        <f t="shared" si="248"/>
        <v>345</v>
      </c>
      <c r="CS106" s="72">
        <f t="shared" si="249"/>
        <v>358</v>
      </c>
      <c r="CT106" s="23">
        <f t="shared" si="250"/>
        <v>1</v>
      </c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  <c r="AMK106" s="1"/>
      <c r="AML106" s="1"/>
      <c r="AMM106" s="1"/>
      <c r="AMN106" s="1"/>
      <c r="AMO106" s="1"/>
    </row>
    <row r="107" spans="1:1029" x14ac:dyDescent="0.2">
      <c r="A107" s="3" t="str">
        <f t="shared" si="503"/>
        <v>adrb1_melga_4AMJ</v>
      </c>
      <c r="B107" s="3" t="s">
        <v>905</v>
      </c>
      <c r="C107" s="3" t="s">
        <v>1034</v>
      </c>
      <c r="D107" s="3" t="str">
        <f>IFERROR(MID(VLOOKUP($B107,Seqs!$A:$B,2,0),E107,1),"")</f>
        <v>A</v>
      </c>
      <c r="E107" s="3">
        <v>33</v>
      </c>
      <c r="F107" s="3" t="str">
        <f>IFERROR(MID(VLOOKUP($B107,Seqs!$A:$B,2,0),G107,1),"")</f>
        <v>T</v>
      </c>
      <c r="G107" s="3">
        <v>69</v>
      </c>
      <c r="H107" s="3" t="str">
        <f>IFERROR(MID(VLOOKUP($B107,Seqs!$A:$B,2,0),I107,1),"")</f>
        <v>Q</v>
      </c>
      <c r="I107" s="23">
        <v>70</v>
      </c>
      <c r="J107" s="3" t="str">
        <f>IFERROR(MID(VLOOKUP($B107,Seqs!$A:$B,2,0),K107,1),"")</f>
        <v>Q</v>
      </c>
      <c r="K107" s="23">
        <v>73</v>
      </c>
      <c r="L107" s="3" t="str">
        <f>IFERROR(MID(VLOOKUP($B107,Seqs!$A:$B,2,0),M107,1),"")</f>
        <v>T</v>
      </c>
      <c r="M107" s="3">
        <v>74</v>
      </c>
      <c r="N107" s="3" t="str">
        <f>IFERROR(MID(VLOOKUP($B107,Seqs!$A:$B,2,0),O107,1),"")</f>
        <v>R</v>
      </c>
      <c r="O107" s="3">
        <v>104</v>
      </c>
      <c r="P107" s="3" t="str">
        <f>IFERROR(MID(VLOOKUP($B107,Seqs!$A:$B,2,0),Q107,1),"")</f>
        <v>T</v>
      </c>
      <c r="Q107" s="3">
        <v>106</v>
      </c>
      <c r="R107" s="3" t="str">
        <f>IFERROR(MID(VLOOKUP($B107,Seqs!$A:$B,2,0),S107,1),"")</f>
        <v>W</v>
      </c>
      <c r="S107" s="3">
        <v>109</v>
      </c>
      <c r="T107" s="3" t="str">
        <f>IFERROR(MID(VLOOKUP($B107,Seqs!$A:$B,2,0),U107,1),"")</f>
        <v>G</v>
      </c>
      <c r="U107" s="3">
        <v>110</v>
      </c>
      <c r="V107" s="3" t="str">
        <f>IFERROR(MID(VLOOKUP($B107,Seqs!$A:$B,2,0),W107,1),"")</f>
        <v>S</v>
      </c>
      <c r="W107" s="3">
        <v>145</v>
      </c>
      <c r="X107" s="3" t="str">
        <f>IFERROR(MID(VLOOKUP($B107,Seqs!$A:$B,2,0),Y107,1),"")</f>
        <v>P</v>
      </c>
      <c r="Y107" s="3">
        <v>146</v>
      </c>
      <c r="Z107" s="3" t="str">
        <f>IFERROR(MID(VLOOKUP($B107,Seqs!$A:$B,2,0),AA107,1),"")</f>
        <v>M</v>
      </c>
      <c r="AA107" s="3">
        <v>153</v>
      </c>
      <c r="AB107" s="3" t="str">
        <f>IFERROR(MID(VLOOKUP($B107,Seqs!$A:$B,2,0),AC107,1),"")</f>
        <v>T</v>
      </c>
      <c r="AC107" s="9">
        <v>154</v>
      </c>
      <c r="AD107" s="3" t="str">
        <f>IFERROR(MID(VLOOKUP($B107,Seqs!$A:$B,2,0),AE107,1),"")</f>
        <v>H</v>
      </c>
      <c r="AE107" s="3">
        <v>180</v>
      </c>
      <c r="AF107" s="3" t="str">
        <f>IFERROR(MID(VLOOKUP($B107,Seqs!$A:$B,2,0),AG107,1),"")</f>
        <v>C</v>
      </c>
      <c r="AG107" s="3">
        <v>199</v>
      </c>
      <c r="AH107" s="3" t="str">
        <f>IFERROR(MID(VLOOKUP($B107,Seqs!$A:$B,2,0),AI107,1),"")</f>
        <v>F</v>
      </c>
      <c r="AI107" s="3">
        <v>201</v>
      </c>
      <c r="AJ107" s="3" t="str">
        <f>IFERROR(MID(VLOOKUP($B107,Seqs!$A:$B,2,0),AK107,1),"")</f>
        <v>N</v>
      </c>
      <c r="AK107" s="3">
        <v>204</v>
      </c>
      <c r="AL107" s="3" t="str">
        <f>IFERROR(MID(VLOOKUP($B107,Seqs!$A:$B,2,0),AM107,1),"")</f>
        <v>I</v>
      </c>
      <c r="AM107" s="3">
        <v>238</v>
      </c>
      <c r="AN107" s="3" t="str">
        <f>IFERROR(MID(VLOOKUP($B107,Seqs!$A:$B,2,0),AO107,1),"")</f>
        <v>R</v>
      </c>
      <c r="AO107" s="3">
        <v>275</v>
      </c>
      <c r="AP107" s="3" t="str">
        <f>IFERROR(MID(VLOOKUP($B107,Seqs!$A:$B,2,0),AQ107,1),"")</f>
        <v>N</v>
      </c>
      <c r="AQ107" s="3">
        <v>316</v>
      </c>
      <c r="AR107" s="3" t="str">
        <f>IFERROR(MID(VLOOKUP($B107,Seqs!$A:$B,2,0),AS107,1),"")</f>
        <v>P</v>
      </c>
      <c r="AS107" s="3">
        <v>321</v>
      </c>
      <c r="AT107" s="3" t="str">
        <f>IFERROR(MID(VLOOKUP($B107,Seqs!$A:$B,2,0),AU107,1),"")</f>
        <v>R</v>
      </c>
      <c r="AU107" s="3">
        <v>345</v>
      </c>
      <c r="AV107" s="3" t="str">
        <f>IFERROR(MID(VLOOKUP($B107,Seqs!$A:$B,2,0),AW107,1),"")</f>
        <v>S</v>
      </c>
      <c r="AW107" s="3">
        <v>346</v>
      </c>
      <c r="AX107" s="3" t="str">
        <f>IFERROR(MID(VLOOKUP($B107,Seqs!$A:$B,2,0),AY107,1),"")</f>
        <v>C</v>
      </c>
      <c r="AY107" s="3">
        <v>358</v>
      </c>
      <c r="AZ107" s="77" t="str">
        <f>VLOOKUP(B107,Classification!A:D,2,0)</f>
        <v>A</v>
      </c>
      <c r="BA107" s="94" t="str">
        <f>VLOOKUP(B107,Classification!A:D,4,0)</f>
        <v>Adrenoceptors</v>
      </c>
      <c r="BB107" s="27" t="b">
        <f t="shared" si="504"/>
        <v>1</v>
      </c>
      <c r="BC107" s="23">
        <f t="shared" si="225"/>
        <v>265</v>
      </c>
      <c r="BD107" s="2" t="s">
        <v>1370</v>
      </c>
      <c r="BE107" s="3" t="s">
        <v>1368</v>
      </c>
      <c r="BF107" s="118">
        <v>2.2999999999999998</v>
      </c>
      <c r="BG107" s="49" t="s">
        <v>1371</v>
      </c>
      <c r="BH107" s="49" t="s">
        <v>1371</v>
      </c>
      <c r="BI107" s="1"/>
      <c r="BJ107" s="70" t="s">
        <v>1281</v>
      </c>
      <c r="BK107" s="57" t="s">
        <v>1281</v>
      </c>
      <c r="BL107" s="57" t="s">
        <v>1281</v>
      </c>
      <c r="BM107" s="57" t="s">
        <v>1281</v>
      </c>
      <c r="BN107" s="57" t="s">
        <v>1281</v>
      </c>
      <c r="BO107" s="57" t="s">
        <v>1281</v>
      </c>
      <c r="BP107" s="57" t="s">
        <v>1281</v>
      </c>
      <c r="BQ107" s="57" t="s">
        <v>1281</v>
      </c>
      <c r="BR107" s="57" t="s">
        <v>1281</v>
      </c>
      <c r="BS107" s="57" t="s">
        <v>1281</v>
      </c>
      <c r="BT107" s="57" t="s">
        <v>1281</v>
      </c>
      <c r="BU107" s="57" t="s">
        <v>1281</v>
      </c>
      <c r="BV107" s="70">
        <f t="shared" si="226"/>
        <v>33</v>
      </c>
      <c r="BW107" s="71">
        <f t="shared" si="227"/>
        <v>70</v>
      </c>
      <c r="BX107" s="72">
        <f t="shared" si="228"/>
        <v>74</v>
      </c>
      <c r="BY107" s="71">
        <f t="shared" si="229"/>
        <v>106</v>
      </c>
      <c r="BZ107" s="72">
        <f t="shared" si="230"/>
        <v>110</v>
      </c>
      <c r="CA107" s="71">
        <f t="shared" si="231"/>
        <v>146</v>
      </c>
      <c r="CB107" s="72">
        <f t="shared" si="232"/>
        <v>154</v>
      </c>
      <c r="CC107" s="71">
        <f t="shared" si="233"/>
        <v>199</v>
      </c>
      <c r="CD107" s="72">
        <f t="shared" si="234"/>
        <v>204</v>
      </c>
      <c r="CE107" s="71">
        <f t="shared" si="235"/>
        <v>275</v>
      </c>
      <c r="CF107" s="72">
        <f t="shared" si="236"/>
        <v>321</v>
      </c>
      <c r="CG107" s="71">
        <f t="shared" si="237"/>
        <v>346</v>
      </c>
      <c r="CH107" s="70">
        <f t="shared" si="238"/>
        <v>69</v>
      </c>
      <c r="CI107" s="71">
        <f t="shared" si="239"/>
        <v>73</v>
      </c>
      <c r="CJ107" s="72">
        <f t="shared" si="240"/>
        <v>104</v>
      </c>
      <c r="CK107" s="72">
        <f t="shared" si="241"/>
        <v>109</v>
      </c>
      <c r="CL107" s="72">
        <f t="shared" si="242"/>
        <v>145</v>
      </c>
      <c r="CM107" s="72">
        <f t="shared" si="243"/>
        <v>153</v>
      </c>
      <c r="CN107" s="72">
        <f t="shared" si="244"/>
        <v>180</v>
      </c>
      <c r="CO107" s="72">
        <f t="shared" si="245"/>
        <v>201</v>
      </c>
      <c r="CP107" s="72">
        <f t="shared" si="246"/>
        <v>238</v>
      </c>
      <c r="CQ107" s="72">
        <f t="shared" si="247"/>
        <v>316</v>
      </c>
      <c r="CR107" s="72">
        <f t="shared" si="248"/>
        <v>345</v>
      </c>
      <c r="CS107" s="72">
        <f t="shared" si="249"/>
        <v>358</v>
      </c>
      <c r="CT107" s="23">
        <f t="shared" si="250"/>
        <v>1</v>
      </c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  <c r="AMK107" s="1"/>
      <c r="AML107" s="1"/>
      <c r="AMM107" s="1"/>
      <c r="AMN107" s="1"/>
      <c r="AMO107" s="1"/>
    </row>
    <row r="108" spans="1:1029" x14ac:dyDescent="0.2">
      <c r="A108" s="3" t="str">
        <f t="shared" si="503"/>
        <v>adrb1_melga_4BVN</v>
      </c>
      <c r="B108" s="3" t="s">
        <v>905</v>
      </c>
      <c r="C108" s="3" t="s">
        <v>82</v>
      </c>
      <c r="D108" s="3" t="str">
        <f>IFERROR(MID(VLOOKUP($B108,Seqs!$A:$B,2,0),E108,1),"")</f>
        <v>S</v>
      </c>
      <c r="E108" s="3">
        <v>37</v>
      </c>
      <c r="F108" s="3" t="str">
        <f>IFERROR(MID(VLOOKUP($B108,Seqs!$A:$B,2,0),G108,1),"")</f>
        <v>T</v>
      </c>
      <c r="G108" s="3">
        <v>69</v>
      </c>
      <c r="H108" s="3" t="str">
        <f>IFERROR(MID(VLOOKUP($B108,Seqs!$A:$B,2,0),I108,1),"")</f>
        <v>Q</v>
      </c>
      <c r="I108" s="23">
        <v>70</v>
      </c>
      <c r="J108" s="3" t="str">
        <f>IFERROR(MID(VLOOKUP($B108,Seqs!$A:$B,2,0),K108,1),"")</f>
        <v>Q</v>
      </c>
      <c r="K108" s="23">
        <v>73</v>
      </c>
      <c r="L108" s="3" t="str">
        <f>IFERROR(MID(VLOOKUP($B108,Seqs!$A:$B,2,0),M108,1),"")</f>
        <v>T</v>
      </c>
      <c r="M108" s="3">
        <v>74</v>
      </c>
      <c r="N108" s="3" t="str">
        <f>IFERROR(MID(VLOOKUP($B108,Seqs!$A:$B,2,0),O108,1),"")</f>
        <v>R</v>
      </c>
      <c r="O108" s="3">
        <v>104</v>
      </c>
      <c r="P108" s="3" t="str">
        <f>IFERROR(MID(VLOOKUP($B108,Seqs!$A:$B,2,0),Q108,1),"")</f>
        <v>T</v>
      </c>
      <c r="Q108" s="3">
        <v>106</v>
      </c>
      <c r="R108" s="3" t="str">
        <f>IFERROR(MID(VLOOKUP($B108,Seqs!$A:$B,2,0),S108,1),"")</f>
        <v>W</v>
      </c>
      <c r="S108" s="3">
        <v>109</v>
      </c>
      <c r="T108" s="3" t="str">
        <f>IFERROR(MID(VLOOKUP($B108,Seqs!$A:$B,2,0),U108,1),"")</f>
        <v>G</v>
      </c>
      <c r="U108" s="3">
        <v>110</v>
      </c>
      <c r="V108" s="3" t="str">
        <f>IFERROR(MID(VLOOKUP($B108,Seqs!$A:$B,2,0),W108,1),"")</f>
        <v>S</v>
      </c>
      <c r="W108" s="3">
        <v>145</v>
      </c>
      <c r="X108" s="3" t="str">
        <f>IFERROR(MID(VLOOKUP($B108,Seqs!$A:$B,2,0),Y108,1),"")</f>
        <v>P</v>
      </c>
      <c r="Y108" s="3">
        <v>146</v>
      </c>
      <c r="Z108" s="3" t="str">
        <f>IFERROR(MID(VLOOKUP($B108,Seqs!$A:$B,2,0),AA108,1),"")</f>
        <v>M</v>
      </c>
      <c r="AA108" s="3">
        <v>153</v>
      </c>
      <c r="AB108" s="3" t="str">
        <f>IFERROR(MID(VLOOKUP($B108,Seqs!$A:$B,2,0),AC108,1),"")</f>
        <v>T</v>
      </c>
      <c r="AC108" s="9">
        <v>154</v>
      </c>
      <c r="AD108" s="3" t="str">
        <f>IFERROR(MID(VLOOKUP($B108,Seqs!$A:$B,2,0),AE108,1),"")</f>
        <v>H</v>
      </c>
      <c r="AE108" s="3">
        <v>180</v>
      </c>
      <c r="AF108" s="3" t="str">
        <f>IFERROR(MID(VLOOKUP($B108,Seqs!$A:$B,2,0),AG108,1),"")</f>
        <v>C</v>
      </c>
      <c r="AG108" s="3">
        <v>199</v>
      </c>
      <c r="AH108" s="3" t="str">
        <f>IFERROR(MID(VLOOKUP($B108,Seqs!$A:$B,2,0),AI108,1),"")</f>
        <v>F</v>
      </c>
      <c r="AI108" s="3">
        <v>201</v>
      </c>
      <c r="AJ108" s="3" t="str">
        <f>IFERROR(MID(VLOOKUP($B108,Seqs!$A:$B,2,0),AK108,1),"")</f>
        <v>N</v>
      </c>
      <c r="AK108" s="3">
        <v>204</v>
      </c>
      <c r="AL108" s="3" t="str">
        <f>IFERROR(MID(VLOOKUP($B108,Seqs!$A:$B,2,0),AM108,1),"")</f>
        <v>R</v>
      </c>
      <c r="AM108" s="3">
        <v>239</v>
      </c>
      <c r="AN108" s="3" t="str">
        <f>IFERROR(MID(VLOOKUP($B108,Seqs!$A:$B,2,0),AO108,1),"")</f>
        <v>R</v>
      </c>
      <c r="AO108" s="3">
        <v>279</v>
      </c>
      <c r="AP108" s="3" t="str">
        <f>IFERROR(MID(VLOOKUP($B108,Seqs!$A:$B,2,0),AQ108,1),"")</f>
        <v>N</v>
      </c>
      <c r="AQ108" s="3">
        <v>316</v>
      </c>
      <c r="AR108" s="3" t="str">
        <f>IFERROR(MID(VLOOKUP($B108,Seqs!$A:$B,2,0),AS108,1),"")</f>
        <v>P</v>
      </c>
      <c r="AS108" s="3">
        <v>321</v>
      </c>
      <c r="AT108" s="3" t="str">
        <f>IFERROR(MID(VLOOKUP($B108,Seqs!$A:$B,2,0),AU108,1),"")</f>
        <v>R</v>
      </c>
      <c r="AU108" s="3">
        <v>345</v>
      </c>
      <c r="AV108" s="3" t="str">
        <f>IFERROR(MID(VLOOKUP($B108,Seqs!$A:$B,2,0),AW108,1),"")</f>
        <v>S</v>
      </c>
      <c r="AW108" s="3">
        <v>346</v>
      </c>
      <c r="AX108" s="3" t="str">
        <f>IFERROR(MID(VLOOKUP($B108,Seqs!$A:$B,2,0),AY108,1),"")</f>
        <v>C</v>
      </c>
      <c r="AY108" s="3">
        <v>358</v>
      </c>
      <c r="AZ108" s="77" t="str">
        <f>VLOOKUP(B108,Classification!A:D,2,0)</f>
        <v>A</v>
      </c>
      <c r="BA108" s="94" t="str">
        <f>VLOOKUP(B108,Classification!A:D,4,0)</f>
        <v>Adrenoceptors</v>
      </c>
      <c r="BB108" s="27" t="b">
        <f t="shared" si="504"/>
        <v>1</v>
      </c>
      <c r="BC108" s="23">
        <f t="shared" ref="BC108:BC195" si="785">_xlfn.AGGREGATE(9,6,CH108:CS108)-_xlfn.AGGREGATE(9,6,BV108:CG108)+12</f>
        <v>258</v>
      </c>
      <c r="BD108" s="4" t="s">
        <v>23</v>
      </c>
      <c r="BE108" s="3" t="s">
        <v>1368</v>
      </c>
      <c r="BF108" s="118">
        <v>2.1</v>
      </c>
      <c r="BG108" s="49" t="s">
        <v>1371</v>
      </c>
      <c r="BH108" s="49" t="s">
        <v>1371</v>
      </c>
      <c r="BI108" s="1"/>
      <c r="BJ108" s="70" t="s">
        <v>1281</v>
      </c>
      <c r="BK108" s="57" t="s">
        <v>1281</v>
      </c>
      <c r="BL108" s="57" t="s">
        <v>1281</v>
      </c>
      <c r="BM108" s="57" t="s">
        <v>1281</v>
      </c>
      <c r="BN108" s="57" t="s">
        <v>1281</v>
      </c>
      <c r="BO108" s="57" t="s">
        <v>1281</v>
      </c>
      <c r="BP108" s="57" t="s">
        <v>1281</v>
      </c>
      <c r="BQ108" s="57" t="s">
        <v>1281</v>
      </c>
      <c r="BR108" s="57" t="s">
        <v>1281</v>
      </c>
      <c r="BS108" s="57" t="s">
        <v>1281</v>
      </c>
      <c r="BT108" s="57" t="s">
        <v>1281</v>
      </c>
      <c r="BU108" s="57" t="s">
        <v>1281</v>
      </c>
      <c r="BV108" s="70">
        <f t="shared" ref="BV108:BV126" si="786">E108</f>
        <v>37</v>
      </c>
      <c r="BW108" s="71">
        <f t="shared" ref="BW108:BW126" si="787">I108</f>
        <v>70</v>
      </c>
      <c r="BX108" s="72">
        <f t="shared" ref="BX108:BX126" si="788">M108</f>
        <v>74</v>
      </c>
      <c r="BY108" s="71">
        <f t="shared" ref="BY108:BY126" si="789">Q108</f>
        <v>106</v>
      </c>
      <c r="BZ108" s="72">
        <f t="shared" ref="BZ108:BZ126" si="790">U108</f>
        <v>110</v>
      </c>
      <c r="CA108" s="71">
        <f t="shared" ref="CA108:CA126" si="791">Y108</f>
        <v>146</v>
      </c>
      <c r="CB108" s="72">
        <f t="shared" ref="CB108:CB126" si="792">AC108</f>
        <v>154</v>
      </c>
      <c r="CC108" s="71">
        <f t="shared" ref="CC108:CC126" si="793">AG108</f>
        <v>199</v>
      </c>
      <c r="CD108" s="72">
        <f t="shared" ref="CD108:CD126" si="794">AK108</f>
        <v>204</v>
      </c>
      <c r="CE108" s="71">
        <f t="shared" ref="CE108:CE126" si="795">AO108</f>
        <v>279</v>
      </c>
      <c r="CF108" s="72">
        <f t="shared" ref="CF108:CF126" si="796">AS108</f>
        <v>321</v>
      </c>
      <c r="CG108" s="71">
        <f t="shared" ref="CG108:CG126" si="797">AW108</f>
        <v>346</v>
      </c>
      <c r="CH108" s="70">
        <f t="shared" ref="CH108:CH126" si="798">G108</f>
        <v>69</v>
      </c>
      <c r="CI108" s="71">
        <f t="shared" ref="CI108:CI126" si="799">K108</f>
        <v>73</v>
      </c>
      <c r="CJ108" s="72">
        <f t="shared" ref="CJ108:CJ126" si="800">O108</f>
        <v>104</v>
      </c>
      <c r="CK108" s="72">
        <f t="shared" ref="CK108:CK126" si="801">S108</f>
        <v>109</v>
      </c>
      <c r="CL108" s="72">
        <f t="shared" ref="CL108:CL126" si="802">W108</f>
        <v>145</v>
      </c>
      <c r="CM108" s="72">
        <f t="shared" ref="CM108:CM126" si="803">AA108</f>
        <v>153</v>
      </c>
      <c r="CN108" s="72">
        <f t="shared" ref="CN108:CN126" si="804">AE108</f>
        <v>180</v>
      </c>
      <c r="CO108" s="72">
        <f t="shared" ref="CO108:CO126" si="805">AI108</f>
        <v>201</v>
      </c>
      <c r="CP108" s="72">
        <f t="shared" ref="CP108:CP126" si="806">AM108</f>
        <v>239</v>
      </c>
      <c r="CQ108" s="72">
        <f t="shared" ref="CQ108:CQ126" si="807">AQ108</f>
        <v>316</v>
      </c>
      <c r="CR108" s="72">
        <f t="shared" ref="CR108:CR126" si="808">AU108</f>
        <v>345</v>
      </c>
      <c r="CS108" s="72">
        <f t="shared" ref="CS108:CS126" si="809">AY108</f>
        <v>358</v>
      </c>
      <c r="CT108" s="23">
        <f t="shared" ref="CT108:CT126" si="810">M108-K108</f>
        <v>1</v>
      </c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  <c r="AMM108" s="1"/>
      <c r="AMN108" s="1"/>
      <c r="AMO108" s="1"/>
    </row>
    <row r="109" spans="1:1029" x14ac:dyDescent="0.2">
      <c r="A109" s="3" t="str">
        <f t="shared" si="503"/>
        <v>adrb1_melga_4GPO</v>
      </c>
      <c r="B109" s="3" t="s">
        <v>905</v>
      </c>
      <c r="C109" s="3" t="s">
        <v>1035</v>
      </c>
      <c r="D109" s="3" t="str">
        <f>IFERROR(MID(VLOOKUP($B109,Seqs!$A:$B,2,0),E109,1),"")</f>
        <v>S</v>
      </c>
      <c r="E109" s="3">
        <v>37</v>
      </c>
      <c r="F109" s="3" t="str">
        <f>IFERROR(MID(VLOOKUP($B109,Seqs!$A:$B,2,0),G109,1),"")</f>
        <v>T</v>
      </c>
      <c r="G109" s="3">
        <v>69</v>
      </c>
      <c r="H109" s="3" t="str">
        <f>IFERROR(MID(VLOOKUP($B109,Seqs!$A:$B,2,0),I109,1),"")</f>
        <v>Q</v>
      </c>
      <c r="I109" s="23">
        <v>70</v>
      </c>
      <c r="J109" s="3" t="str">
        <f>IFERROR(MID(VLOOKUP($B109,Seqs!$A:$B,2,0),K109,1),"")</f>
        <v>Q</v>
      </c>
      <c r="K109" s="23">
        <v>73</v>
      </c>
      <c r="L109" s="3" t="str">
        <f>IFERROR(MID(VLOOKUP($B109,Seqs!$A:$B,2,0),M109,1),"")</f>
        <v>T</v>
      </c>
      <c r="M109" s="3">
        <v>74</v>
      </c>
      <c r="N109" s="3" t="str">
        <f>IFERROR(MID(VLOOKUP($B109,Seqs!$A:$B,2,0),O109,1),"")</f>
        <v>R</v>
      </c>
      <c r="O109" s="3">
        <v>104</v>
      </c>
      <c r="P109" s="3" t="str">
        <f>IFERROR(MID(VLOOKUP($B109,Seqs!$A:$B,2,0),Q109,1),"")</f>
        <v>T</v>
      </c>
      <c r="Q109" s="3">
        <v>106</v>
      </c>
      <c r="R109" s="3" t="str">
        <f>IFERROR(MID(VLOOKUP($B109,Seqs!$A:$B,2,0),S109,1),"")</f>
        <v>W</v>
      </c>
      <c r="S109" s="3">
        <v>109</v>
      </c>
      <c r="T109" s="3" t="str">
        <f>IFERROR(MID(VLOOKUP($B109,Seqs!$A:$B,2,0),U109,1),"")</f>
        <v>G</v>
      </c>
      <c r="U109" s="3">
        <v>110</v>
      </c>
      <c r="V109" s="3" t="str">
        <f>IFERROR(MID(VLOOKUP($B109,Seqs!$A:$B,2,0),W109,1),"")</f>
        <v>S</v>
      </c>
      <c r="W109" s="3">
        <v>145</v>
      </c>
      <c r="X109" s="3" t="str">
        <f>IFERROR(MID(VLOOKUP($B109,Seqs!$A:$B,2,0),Y109,1),"")</f>
        <v>P</v>
      </c>
      <c r="Y109" s="3">
        <v>146</v>
      </c>
      <c r="Z109" s="3" t="str">
        <f>IFERROR(MID(VLOOKUP($B109,Seqs!$A:$B,2,0),AA109,1),"")</f>
        <v>M</v>
      </c>
      <c r="AA109" s="3">
        <v>153</v>
      </c>
      <c r="AB109" s="3" t="str">
        <f>IFERROR(MID(VLOOKUP($B109,Seqs!$A:$B,2,0),AC109,1),"")</f>
        <v>T</v>
      </c>
      <c r="AC109" s="9">
        <v>154</v>
      </c>
      <c r="AD109" s="3" t="str">
        <f>IFERROR(MID(VLOOKUP($B109,Seqs!$A:$B,2,0),AE109,1),"")</f>
        <v>H</v>
      </c>
      <c r="AE109" s="3">
        <v>180</v>
      </c>
      <c r="AF109" s="3" t="str">
        <f>IFERROR(MID(VLOOKUP($B109,Seqs!$A:$B,2,0),AG109,1),"")</f>
        <v>C</v>
      </c>
      <c r="AG109" s="3">
        <v>199</v>
      </c>
      <c r="AH109" s="3" t="str">
        <f>IFERROR(MID(VLOOKUP($B109,Seqs!$A:$B,2,0),AI109,1),"")</f>
        <v>F</v>
      </c>
      <c r="AI109" s="3">
        <v>201</v>
      </c>
      <c r="AJ109" s="3" t="str">
        <f>IFERROR(MID(VLOOKUP($B109,Seqs!$A:$B,2,0),AK109,1),"")</f>
        <v>N</v>
      </c>
      <c r="AK109" s="3">
        <v>204</v>
      </c>
      <c r="AL109" s="3" t="str">
        <f>IFERROR(MID(VLOOKUP($B109,Seqs!$A:$B,2,0),AM109,1),"")</f>
        <v>E</v>
      </c>
      <c r="AM109" s="3">
        <v>233</v>
      </c>
      <c r="AN109" s="3" t="str">
        <f>IFERROR(MID(VLOOKUP($B109,Seqs!$A:$B,2,0),AO109,1),"")</f>
        <v>M</v>
      </c>
      <c r="AO109" s="3">
        <v>283</v>
      </c>
      <c r="AP109" s="3" t="str">
        <f>IFERROR(MID(VLOOKUP($B109,Seqs!$A:$B,2,0),AQ109,1),"")</f>
        <v>N</v>
      </c>
      <c r="AQ109" s="3">
        <v>316</v>
      </c>
      <c r="AR109" s="3" t="str">
        <f>IFERROR(MID(VLOOKUP($B109,Seqs!$A:$B,2,0),AS109,1),"")</f>
        <v>P</v>
      </c>
      <c r="AS109" s="3">
        <v>321</v>
      </c>
      <c r="AT109" s="3" t="str">
        <f>IFERROR(MID(VLOOKUP($B109,Seqs!$A:$B,2,0),AU109,1),"")</f>
        <v>R</v>
      </c>
      <c r="AU109" s="3">
        <v>345</v>
      </c>
      <c r="AV109" s="3" t="str">
        <f>IFERROR(MID(VLOOKUP($B109,Seqs!$A:$B,2,0),AW109,1),"")</f>
        <v>S</v>
      </c>
      <c r="AW109" s="3">
        <v>346</v>
      </c>
      <c r="AX109" s="3" t="str">
        <f>IFERROR(MID(VLOOKUP($B109,Seqs!$A:$B,2,0),AY109,1),"")</f>
        <v>L</v>
      </c>
      <c r="AY109" s="3">
        <v>356</v>
      </c>
      <c r="AZ109" s="77" t="str">
        <f>VLOOKUP(B109,Classification!A:D,2,0)</f>
        <v>A</v>
      </c>
      <c r="BA109" s="94" t="str">
        <f>VLOOKUP(B109,Classification!A:D,4,0)</f>
        <v>Adrenoceptors</v>
      </c>
      <c r="BB109" s="27" t="b">
        <f t="shared" si="504"/>
        <v>1</v>
      </c>
      <c r="BC109" s="23">
        <f t="shared" si="785"/>
        <v>246</v>
      </c>
      <c r="BD109" s="4" t="s">
        <v>23</v>
      </c>
      <c r="BE109" s="3" t="s">
        <v>1368</v>
      </c>
      <c r="BF109" s="118">
        <v>3.5</v>
      </c>
      <c r="BG109" s="49" t="s">
        <v>1371</v>
      </c>
      <c r="BH109" s="49" t="s">
        <v>1371</v>
      </c>
      <c r="BI109" s="1"/>
      <c r="BJ109" s="70" t="s">
        <v>1281</v>
      </c>
      <c r="BK109" s="57" t="s">
        <v>1281</v>
      </c>
      <c r="BL109" s="57" t="s">
        <v>1281</v>
      </c>
      <c r="BM109" s="57" t="s">
        <v>1281</v>
      </c>
      <c r="BN109" s="57" t="s">
        <v>1281</v>
      </c>
      <c r="BO109" s="57" t="s">
        <v>1281</v>
      </c>
      <c r="BP109" s="57" t="s">
        <v>1281</v>
      </c>
      <c r="BQ109" s="57" t="s">
        <v>1281</v>
      </c>
      <c r="BR109" s="57" t="s">
        <v>1281</v>
      </c>
      <c r="BS109" s="57" t="s">
        <v>1281</v>
      </c>
      <c r="BT109" s="57" t="s">
        <v>1281</v>
      </c>
      <c r="BU109" s="57" t="s">
        <v>1281</v>
      </c>
      <c r="BV109" s="70">
        <f t="shared" si="786"/>
        <v>37</v>
      </c>
      <c r="BW109" s="71">
        <f t="shared" si="787"/>
        <v>70</v>
      </c>
      <c r="BX109" s="72">
        <f t="shared" si="788"/>
        <v>74</v>
      </c>
      <c r="BY109" s="71">
        <f t="shared" si="789"/>
        <v>106</v>
      </c>
      <c r="BZ109" s="72">
        <f t="shared" si="790"/>
        <v>110</v>
      </c>
      <c r="CA109" s="71">
        <f t="shared" si="791"/>
        <v>146</v>
      </c>
      <c r="CB109" s="72">
        <f t="shared" si="792"/>
        <v>154</v>
      </c>
      <c r="CC109" s="71">
        <f t="shared" si="793"/>
        <v>199</v>
      </c>
      <c r="CD109" s="72">
        <f t="shared" si="794"/>
        <v>204</v>
      </c>
      <c r="CE109" s="71">
        <f t="shared" si="795"/>
        <v>283</v>
      </c>
      <c r="CF109" s="72">
        <f t="shared" si="796"/>
        <v>321</v>
      </c>
      <c r="CG109" s="71">
        <f t="shared" si="797"/>
        <v>346</v>
      </c>
      <c r="CH109" s="70">
        <f t="shared" si="798"/>
        <v>69</v>
      </c>
      <c r="CI109" s="71">
        <f t="shared" si="799"/>
        <v>73</v>
      </c>
      <c r="CJ109" s="72">
        <f t="shared" si="800"/>
        <v>104</v>
      </c>
      <c r="CK109" s="72">
        <f t="shared" si="801"/>
        <v>109</v>
      </c>
      <c r="CL109" s="72">
        <f t="shared" si="802"/>
        <v>145</v>
      </c>
      <c r="CM109" s="72">
        <f t="shared" si="803"/>
        <v>153</v>
      </c>
      <c r="CN109" s="72">
        <f t="shared" si="804"/>
        <v>180</v>
      </c>
      <c r="CO109" s="72">
        <f t="shared" si="805"/>
        <v>201</v>
      </c>
      <c r="CP109" s="72">
        <f t="shared" si="806"/>
        <v>233</v>
      </c>
      <c r="CQ109" s="72">
        <f t="shared" si="807"/>
        <v>316</v>
      </c>
      <c r="CR109" s="72">
        <f t="shared" si="808"/>
        <v>345</v>
      </c>
      <c r="CS109" s="72">
        <f t="shared" si="809"/>
        <v>356</v>
      </c>
      <c r="CT109" s="23">
        <f t="shared" si="810"/>
        <v>1</v>
      </c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</row>
    <row r="110" spans="1:1029" x14ac:dyDescent="0.2">
      <c r="A110" s="3" t="str">
        <f t="shared" si="503"/>
        <v>adrb1_melga_5A8E</v>
      </c>
      <c r="B110" s="3" t="s">
        <v>905</v>
      </c>
      <c r="C110" s="3" t="s">
        <v>1052</v>
      </c>
      <c r="D110" s="3" t="str">
        <f>IFERROR(MID(VLOOKUP($B110,Seqs!$A:$B,2,0),E110,1),"")</f>
        <v>S</v>
      </c>
      <c r="E110" s="3">
        <v>37</v>
      </c>
      <c r="F110" s="3" t="str">
        <f>IFERROR(MID(VLOOKUP($B110,Seqs!$A:$B,2,0),G110,1),"")</f>
        <v>T</v>
      </c>
      <c r="G110" s="3">
        <v>69</v>
      </c>
      <c r="H110" s="3" t="str">
        <f>IFERROR(MID(VLOOKUP($B110,Seqs!$A:$B,2,0),I110,1),"")</f>
        <v>Q</v>
      </c>
      <c r="I110" s="23">
        <v>70</v>
      </c>
      <c r="J110" s="3" t="str">
        <f>IFERROR(MID(VLOOKUP($B110,Seqs!$A:$B,2,0),K110,1),"")</f>
        <v>Q</v>
      </c>
      <c r="K110" s="23">
        <v>73</v>
      </c>
      <c r="L110" s="3" t="str">
        <f>IFERROR(MID(VLOOKUP($B110,Seqs!$A:$B,2,0),M110,1),"")</f>
        <v>T</v>
      </c>
      <c r="M110" s="3">
        <v>74</v>
      </c>
      <c r="N110" s="3" t="str">
        <f>IFERROR(MID(VLOOKUP($B110,Seqs!$A:$B,2,0),O110,1),"")</f>
        <v>R</v>
      </c>
      <c r="O110" s="3">
        <v>104</v>
      </c>
      <c r="P110" s="3" t="str">
        <f>IFERROR(MID(VLOOKUP($B110,Seqs!$A:$B,2,0),Q110,1),"")</f>
        <v>T</v>
      </c>
      <c r="Q110" s="3">
        <v>106</v>
      </c>
      <c r="R110" s="3" t="str">
        <f>IFERROR(MID(VLOOKUP($B110,Seqs!$A:$B,2,0),S110,1),"")</f>
        <v>W</v>
      </c>
      <c r="S110" s="3">
        <v>109</v>
      </c>
      <c r="T110" s="3" t="str">
        <f>IFERROR(MID(VLOOKUP($B110,Seqs!$A:$B,2,0),U110,1),"")</f>
        <v>G</v>
      </c>
      <c r="U110" s="3">
        <v>110</v>
      </c>
      <c r="V110" s="3" t="str">
        <f>IFERROR(MID(VLOOKUP($B110,Seqs!$A:$B,2,0),W110,1),"")</f>
        <v>S</v>
      </c>
      <c r="W110" s="3">
        <v>145</v>
      </c>
      <c r="X110" s="3" t="str">
        <f>IFERROR(MID(VLOOKUP($B110,Seqs!$A:$B,2,0),Y110,1),"")</f>
        <v>P</v>
      </c>
      <c r="Y110" s="3">
        <v>146</v>
      </c>
      <c r="Z110" s="3" t="str">
        <f>IFERROR(MID(VLOOKUP($B110,Seqs!$A:$B,2,0),AA110,1),"")</f>
        <v>M</v>
      </c>
      <c r="AA110" s="3">
        <v>153</v>
      </c>
      <c r="AB110" s="3" t="str">
        <f>IFERROR(MID(VLOOKUP($B110,Seqs!$A:$B,2,0),AC110,1),"")</f>
        <v>T</v>
      </c>
      <c r="AC110" s="9">
        <v>154</v>
      </c>
      <c r="AD110" s="3" t="str">
        <f>IFERROR(MID(VLOOKUP($B110,Seqs!$A:$B,2,0),AE110,1),"")</f>
        <v>H</v>
      </c>
      <c r="AE110" s="3">
        <v>180</v>
      </c>
      <c r="AF110" s="3" t="str">
        <f>IFERROR(MID(VLOOKUP($B110,Seqs!$A:$B,2,0),AG110,1),"")</f>
        <v>C</v>
      </c>
      <c r="AG110" s="3">
        <v>199</v>
      </c>
      <c r="AH110" s="3" t="str">
        <f>IFERROR(MID(VLOOKUP($B110,Seqs!$A:$B,2,0),AI110,1),"")</f>
        <v>F</v>
      </c>
      <c r="AI110" s="3">
        <v>201</v>
      </c>
      <c r="AJ110" s="3" t="str">
        <f>IFERROR(MID(VLOOKUP($B110,Seqs!$A:$B,2,0),AK110,1),"")</f>
        <v>N</v>
      </c>
      <c r="AK110" s="3">
        <v>204</v>
      </c>
      <c r="AL110" s="3" t="str">
        <f>IFERROR(MID(VLOOKUP($B110,Seqs!$A:$B,2,0),AM110,1),"")</f>
        <v>R</v>
      </c>
      <c r="AM110" s="3">
        <v>239</v>
      </c>
      <c r="AN110" s="3" t="str">
        <f>IFERROR(MID(VLOOKUP($B110,Seqs!$A:$B,2,0),AO110,1),"")</f>
        <v>R</v>
      </c>
      <c r="AO110" s="3">
        <v>279</v>
      </c>
      <c r="AP110" s="3" t="str">
        <f>IFERROR(MID(VLOOKUP($B110,Seqs!$A:$B,2,0),AQ110,1),"")</f>
        <v>N</v>
      </c>
      <c r="AQ110" s="3">
        <v>316</v>
      </c>
      <c r="AR110" s="3" t="str">
        <f>IFERROR(MID(VLOOKUP($B110,Seqs!$A:$B,2,0),AS110,1),"")</f>
        <v>P</v>
      </c>
      <c r="AS110" s="3">
        <v>321</v>
      </c>
      <c r="AT110" s="3" t="str">
        <f>IFERROR(MID(VLOOKUP($B110,Seqs!$A:$B,2,0),AU110,1),"")</f>
        <v>R</v>
      </c>
      <c r="AU110" s="3">
        <v>345</v>
      </c>
      <c r="AV110" s="3" t="str">
        <f>IFERROR(MID(VLOOKUP($B110,Seqs!$A:$B,2,0),AW110,1),"")</f>
        <v>S</v>
      </c>
      <c r="AW110" s="3">
        <v>346</v>
      </c>
      <c r="AX110" s="3" t="str">
        <f>IFERROR(MID(VLOOKUP($B110,Seqs!$A:$B,2,0),AY110,1),"")</f>
        <v>K</v>
      </c>
      <c r="AY110" s="3">
        <v>354</v>
      </c>
      <c r="AZ110" s="77" t="str">
        <f>VLOOKUP(B110,Classification!A:D,2,0)</f>
        <v>A</v>
      </c>
      <c r="BA110" s="94" t="str">
        <f>VLOOKUP(B110,Classification!A:D,4,0)</f>
        <v>Adrenoceptors</v>
      </c>
      <c r="BB110" s="27" t="b">
        <f t="shared" si="504"/>
        <v>1</v>
      </c>
      <c r="BC110" s="23">
        <f t="shared" si="785"/>
        <v>254</v>
      </c>
      <c r="BD110" s="4" t="s">
        <v>23</v>
      </c>
      <c r="BE110" s="3" t="s">
        <v>1368</v>
      </c>
      <c r="BF110" s="118">
        <v>2.42</v>
      </c>
      <c r="BG110" s="49" t="s">
        <v>1371</v>
      </c>
      <c r="BH110" s="49" t="s">
        <v>1371</v>
      </c>
      <c r="BI110" s="1"/>
      <c r="BJ110" s="70" t="s">
        <v>1281</v>
      </c>
      <c r="BK110" s="57" t="s">
        <v>1281</v>
      </c>
      <c r="BL110" s="57" t="s">
        <v>1281</v>
      </c>
      <c r="BM110" s="57" t="s">
        <v>1281</v>
      </c>
      <c r="BN110" s="57" t="s">
        <v>1281</v>
      </c>
      <c r="BO110" s="57" t="s">
        <v>1281</v>
      </c>
      <c r="BP110" s="57" t="s">
        <v>1281</v>
      </c>
      <c r="BQ110" s="57" t="s">
        <v>1281</v>
      </c>
      <c r="BR110" s="57" t="s">
        <v>1281</v>
      </c>
      <c r="BS110" s="57" t="s">
        <v>1281</v>
      </c>
      <c r="BT110" s="57" t="s">
        <v>1281</v>
      </c>
      <c r="BU110" s="57" t="s">
        <v>1281</v>
      </c>
      <c r="BV110" s="70">
        <f t="shared" si="786"/>
        <v>37</v>
      </c>
      <c r="BW110" s="71">
        <f t="shared" si="787"/>
        <v>70</v>
      </c>
      <c r="BX110" s="72">
        <f t="shared" si="788"/>
        <v>74</v>
      </c>
      <c r="BY110" s="71">
        <f t="shared" si="789"/>
        <v>106</v>
      </c>
      <c r="BZ110" s="72">
        <f t="shared" si="790"/>
        <v>110</v>
      </c>
      <c r="CA110" s="71">
        <f t="shared" si="791"/>
        <v>146</v>
      </c>
      <c r="CB110" s="72">
        <f t="shared" si="792"/>
        <v>154</v>
      </c>
      <c r="CC110" s="71">
        <f t="shared" si="793"/>
        <v>199</v>
      </c>
      <c r="CD110" s="72">
        <f t="shared" si="794"/>
        <v>204</v>
      </c>
      <c r="CE110" s="71">
        <f t="shared" si="795"/>
        <v>279</v>
      </c>
      <c r="CF110" s="72">
        <f t="shared" si="796"/>
        <v>321</v>
      </c>
      <c r="CG110" s="71">
        <f t="shared" si="797"/>
        <v>346</v>
      </c>
      <c r="CH110" s="70">
        <f t="shared" si="798"/>
        <v>69</v>
      </c>
      <c r="CI110" s="71">
        <f t="shared" si="799"/>
        <v>73</v>
      </c>
      <c r="CJ110" s="72">
        <f t="shared" si="800"/>
        <v>104</v>
      </c>
      <c r="CK110" s="72">
        <f t="shared" si="801"/>
        <v>109</v>
      </c>
      <c r="CL110" s="72">
        <f t="shared" si="802"/>
        <v>145</v>
      </c>
      <c r="CM110" s="72">
        <f t="shared" si="803"/>
        <v>153</v>
      </c>
      <c r="CN110" s="72">
        <f t="shared" si="804"/>
        <v>180</v>
      </c>
      <c r="CO110" s="72">
        <f t="shared" si="805"/>
        <v>201</v>
      </c>
      <c r="CP110" s="72">
        <f t="shared" si="806"/>
        <v>239</v>
      </c>
      <c r="CQ110" s="72">
        <f t="shared" si="807"/>
        <v>316</v>
      </c>
      <c r="CR110" s="72">
        <f t="shared" si="808"/>
        <v>345</v>
      </c>
      <c r="CS110" s="72">
        <f t="shared" si="809"/>
        <v>354</v>
      </c>
      <c r="CT110" s="23">
        <f t="shared" si="810"/>
        <v>1</v>
      </c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</row>
    <row r="111" spans="1:1029" x14ac:dyDescent="0.2">
      <c r="A111" s="3" t="str">
        <f t="shared" si="503"/>
        <v>adrb1_melga_5F8U</v>
      </c>
      <c r="B111" s="3" t="s">
        <v>905</v>
      </c>
      <c r="C111" s="3" t="s">
        <v>1348</v>
      </c>
      <c r="D111" s="3" t="str">
        <f>IFERROR(MID(VLOOKUP($B111,Seqs!$A:$B,2,0),E111,1),"")</f>
        <v>W</v>
      </c>
      <c r="E111" s="3">
        <v>40</v>
      </c>
      <c r="F111" s="3" t="str">
        <f>IFERROR(MID(VLOOKUP($B111,Seqs!$A:$B,2,0),G111,1),"")</f>
        <v>T</v>
      </c>
      <c r="G111" s="3">
        <v>69</v>
      </c>
      <c r="H111" s="3" t="str">
        <f>IFERROR(MID(VLOOKUP($B111,Seqs!$A:$B,2,0),I111,1),"")</f>
        <v>Q</v>
      </c>
      <c r="I111" s="23">
        <v>70</v>
      </c>
      <c r="J111" s="3" t="str">
        <f>IFERROR(MID(VLOOKUP($B111,Seqs!$A:$B,2,0),K111,1),"")</f>
        <v>Q</v>
      </c>
      <c r="K111" s="23">
        <v>73</v>
      </c>
      <c r="L111" s="3" t="str">
        <f>IFERROR(MID(VLOOKUP($B111,Seqs!$A:$B,2,0),M111,1),"")</f>
        <v>T</v>
      </c>
      <c r="M111" s="3">
        <v>74</v>
      </c>
      <c r="N111" s="3" t="str">
        <f>IFERROR(MID(VLOOKUP($B111,Seqs!$A:$B,2,0),O111,1),"")</f>
        <v>R</v>
      </c>
      <c r="O111" s="3">
        <v>104</v>
      </c>
      <c r="P111" s="3" t="str">
        <f>IFERROR(MID(VLOOKUP($B111,Seqs!$A:$B,2,0),Q111,1),"")</f>
        <v>T</v>
      </c>
      <c r="Q111" s="3">
        <v>106</v>
      </c>
      <c r="R111" s="3" t="str">
        <f>IFERROR(MID(VLOOKUP($B111,Seqs!$A:$B,2,0),S111,1),"")</f>
        <v>W</v>
      </c>
      <c r="S111" s="3">
        <v>109</v>
      </c>
      <c r="T111" s="3" t="str">
        <f>IFERROR(MID(VLOOKUP($B111,Seqs!$A:$B,2,0),U111,1),"")</f>
        <v>G</v>
      </c>
      <c r="U111" s="3">
        <v>110</v>
      </c>
      <c r="V111" s="3" t="str">
        <f>IFERROR(MID(VLOOKUP($B111,Seqs!$A:$B,2,0),W111,1),"")</f>
        <v>S</v>
      </c>
      <c r="W111" s="3">
        <v>145</v>
      </c>
      <c r="X111" s="3" t="str">
        <f>IFERROR(MID(VLOOKUP($B111,Seqs!$A:$B,2,0),Y111,1),"")</f>
        <v>P</v>
      </c>
      <c r="Y111" s="3">
        <v>146</v>
      </c>
      <c r="Z111" s="3" t="str">
        <f>IFERROR(MID(VLOOKUP($B111,Seqs!$A:$B,2,0),AA111,1),"")</f>
        <v>M</v>
      </c>
      <c r="AA111" s="3">
        <v>153</v>
      </c>
      <c r="AB111" s="3" t="str">
        <f>IFERROR(MID(VLOOKUP($B111,Seqs!$A:$B,2,0),AC111,1),"")</f>
        <v>T</v>
      </c>
      <c r="AC111" s="9">
        <v>154</v>
      </c>
      <c r="AD111" s="3" t="str">
        <f>IFERROR(MID(VLOOKUP($B111,Seqs!$A:$B,2,0),AE111,1),"")</f>
        <v>H</v>
      </c>
      <c r="AE111" s="3">
        <v>180</v>
      </c>
      <c r="AF111" s="3" t="str">
        <f>IFERROR(MID(VLOOKUP($B111,Seqs!$A:$B,2,0),AG111,1),"")</f>
        <v>C</v>
      </c>
      <c r="AG111" s="3">
        <v>199</v>
      </c>
      <c r="AH111" s="3" t="str">
        <f>IFERROR(MID(VLOOKUP($B111,Seqs!$A:$B,2,0),AI111,1),"")</f>
        <v>F</v>
      </c>
      <c r="AI111" s="3">
        <v>201</v>
      </c>
      <c r="AJ111" s="3" t="str">
        <f>IFERROR(MID(VLOOKUP($B111,Seqs!$A:$B,2,0),AK111,1),"")</f>
        <v>N</v>
      </c>
      <c r="AK111" s="3">
        <v>204</v>
      </c>
      <c r="AL111" s="3" t="str">
        <f>IFERROR(MID(VLOOKUP($B111,Seqs!$A:$B,2,0),AM111,1),"")</f>
        <v>Q</v>
      </c>
      <c r="AM111" s="3">
        <v>237</v>
      </c>
      <c r="AN111" s="3" t="str">
        <f>IFERROR(MID(VLOOKUP($B111,Seqs!$A:$B,2,0),AO111,1),"")</f>
        <v>R</v>
      </c>
      <c r="AO111" s="3">
        <v>284</v>
      </c>
      <c r="AP111" s="3" t="str">
        <f>IFERROR(MID(VLOOKUP($B111,Seqs!$A:$B,2,0),AQ111,1),"")</f>
        <v>N</v>
      </c>
      <c r="AQ111" s="3">
        <v>316</v>
      </c>
      <c r="AR111" s="3" t="str">
        <f>IFERROR(MID(VLOOKUP($B111,Seqs!$A:$B,2,0),AS111,1),"")</f>
        <v>P</v>
      </c>
      <c r="AS111" s="3">
        <v>321</v>
      </c>
      <c r="AT111" s="3" t="str">
        <f>IFERROR(MID(VLOOKUP($B111,Seqs!$A:$B,2,0),AU111,1),"")</f>
        <v>R</v>
      </c>
      <c r="AU111" s="3">
        <v>345</v>
      </c>
      <c r="AV111" s="3" t="str">
        <f>IFERROR(MID(VLOOKUP($B111,Seqs!$A:$B,2,0),AW111,1),"")</f>
        <v>S</v>
      </c>
      <c r="AW111" s="3">
        <v>346</v>
      </c>
      <c r="AX111" s="3" t="str">
        <f>IFERROR(MID(VLOOKUP($B111,Seqs!$A:$B,2,0),AY111,1),"")</f>
        <v>C</v>
      </c>
      <c r="AY111" s="3">
        <v>358</v>
      </c>
      <c r="AZ111" s="77" t="str">
        <f>VLOOKUP(B111,Classification!A:D,2,0)</f>
        <v>A</v>
      </c>
      <c r="BA111" s="94" t="str">
        <f>VLOOKUP(B111,Classification!A:D,4,0)</f>
        <v>Adrenoceptors</v>
      </c>
      <c r="BB111" s="27" t="b">
        <f t="shared" si="504"/>
        <v>1</v>
      </c>
      <c r="BC111" s="23">
        <f t="shared" si="785"/>
        <v>248</v>
      </c>
      <c r="BD111" s="5" t="s">
        <v>23</v>
      </c>
      <c r="BE111" s="3" t="s">
        <v>1368</v>
      </c>
      <c r="BF111" s="118">
        <v>3.35</v>
      </c>
      <c r="BG111" s="49" t="s">
        <v>1371</v>
      </c>
      <c r="BH111" s="49" t="s">
        <v>1371</v>
      </c>
      <c r="BI111" s="1"/>
      <c r="BJ111" s="70" t="s">
        <v>1281</v>
      </c>
      <c r="BK111" s="57" t="s">
        <v>1281</v>
      </c>
      <c r="BL111" s="57" t="s">
        <v>1281</v>
      </c>
      <c r="BM111" s="57" t="s">
        <v>1281</v>
      </c>
      <c r="BN111" s="57" t="s">
        <v>1281</v>
      </c>
      <c r="BO111" s="57" t="s">
        <v>1281</v>
      </c>
      <c r="BP111" s="57" t="s">
        <v>1281</v>
      </c>
      <c r="BQ111" s="57" t="s">
        <v>1281</v>
      </c>
      <c r="BR111" s="57" t="s">
        <v>1281</v>
      </c>
      <c r="BS111" s="57" t="s">
        <v>1281</v>
      </c>
      <c r="BT111" s="57" t="s">
        <v>1281</v>
      </c>
      <c r="BU111" s="57" t="s">
        <v>1281</v>
      </c>
      <c r="BV111" s="70">
        <f t="shared" si="786"/>
        <v>40</v>
      </c>
      <c r="BW111" s="71">
        <f t="shared" si="787"/>
        <v>70</v>
      </c>
      <c r="BX111" s="72">
        <f t="shared" si="788"/>
        <v>74</v>
      </c>
      <c r="BY111" s="71">
        <f t="shared" si="789"/>
        <v>106</v>
      </c>
      <c r="BZ111" s="72">
        <f t="shared" si="790"/>
        <v>110</v>
      </c>
      <c r="CA111" s="71">
        <f t="shared" si="791"/>
        <v>146</v>
      </c>
      <c r="CB111" s="72">
        <f t="shared" si="792"/>
        <v>154</v>
      </c>
      <c r="CC111" s="71">
        <f t="shared" si="793"/>
        <v>199</v>
      </c>
      <c r="CD111" s="72">
        <f t="shared" si="794"/>
        <v>204</v>
      </c>
      <c r="CE111" s="71">
        <f t="shared" si="795"/>
        <v>284</v>
      </c>
      <c r="CF111" s="72">
        <f t="shared" si="796"/>
        <v>321</v>
      </c>
      <c r="CG111" s="71">
        <f t="shared" si="797"/>
        <v>346</v>
      </c>
      <c r="CH111" s="70">
        <f t="shared" si="798"/>
        <v>69</v>
      </c>
      <c r="CI111" s="71">
        <f t="shared" si="799"/>
        <v>73</v>
      </c>
      <c r="CJ111" s="72">
        <f t="shared" si="800"/>
        <v>104</v>
      </c>
      <c r="CK111" s="72">
        <f t="shared" si="801"/>
        <v>109</v>
      </c>
      <c r="CL111" s="72">
        <f t="shared" si="802"/>
        <v>145</v>
      </c>
      <c r="CM111" s="72">
        <f t="shared" si="803"/>
        <v>153</v>
      </c>
      <c r="CN111" s="72">
        <f t="shared" si="804"/>
        <v>180</v>
      </c>
      <c r="CO111" s="72">
        <f t="shared" si="805"/>
        <v>201</v>
      </c>
      <c r="CP111" s="72">
        <f t="shared" si="806"/>
        <v>237</v>
      </c>
      <c r="CQ111" s="72">
        <f t="shared" si="807"/>
        <v>316</v>
      </c>
      <c r="CR111" s="72">
        <f t="shared" si="808"/>
        <v>345</v>
      </c>
      <c r="CS111" s="72">
        <f t="shared" si="809"/>
        <v>358</v>
      </c>
      <c r="CT111" s="23">
        <f t="shared" si="810"/>
        <v>1</v>
      </c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</row>
    <row r="112" spans="1:1029" x14ac:dyDescent="0.2">
      <c r="A112" s="3" t="str">
        <f t="shared" ref="A112" si="811">CONCATENATE(B112,"_",C112)</f>
        <v>adrb1_melga_6H7J</v>
      </c>
      <c r="B112" s="3" t="s">
        <v>905</v>
      </c>
      <c r="C112" s="3" t="s">
        <v>1513</v>
      </c>
      <c r="D112" s="3" t="str">
        <f>IFERROR(MID(VLOOKUP($B112,Seqs!$A:$B,2,0),E112,1),"")</f>
        <v>W</v>
      </c>
      <c r="E112" s="3">
        <v>40</v>
      </c>
      <c r="F112" s="3" t="str">
        <f>IFERROR(MID(VLOOKUP($B112,Seqs!$A:$B,2,0),G112,1),"")</f>
        <v>T</v>
      </c>
      <c r="G112" s="3">
        <v>69</v>
      </c>
      <c r="H112" s="3" t="str">
        <f>IFERROR(MID(VLOOKUP($B112,Seqs!$A:$B,2,0),I112,1),"")</f>
        <v>Q</v>
      </c>
      <c r="I112" s="23">
        <v>70</v>
      </c>
      <c r="J112" s="3" t="str">
        <f>IFERROR(MID(VLOOKUP($B112,Seqs!$A:$B,2,0),K112,1),"")</f>
        <v>Q</v>
      </c>
      <c r="K112" s="23">
        <v>73</v>
      </c>
      <c r="L112" s="3" t="str">
        <f>IFERROR(MID(VLOOKUP($B112,Seqs!$A:$B,2,0),M112,1),"")</f>
        <v>T</v>
      </c>
      <c r="M112" s="3">
        <v>74</v>
      </c>
      <c r="N112" s="3" t="str">
        <f>IFERROR(MID(VLOOKUP($B112,Seqs!$A:$B,2,0),O112,1),"")</f>
        <v>R</v>
      </c>
      <c r="O112" s="3">
        <v>104</v>
      </c>
      <c r="P112" s="3" t="str">
        <f>IFERROR(MID(VLOOKUP($B112,Seqs!$A:$B,2,0),Q112,1),"")</f>
        <v>T</v>
      </c>
      <c r="Q112" s="3">
        <v>106</v>
      </c>
      <c r="R112" s="3" t="str">
        <f>IFERROR(MID(VLOOKUP($B112,Seqs!$A:$B,2,0),S112,1),"")</f>
        <v>W</v>
      </c>
      <c r="S112" s="3">
        <v>109</v>
      </c>
      <c r="T112" s="3" t="str">
        <f>IFERROR(MID(VLOOKUP($B112,Seqs!$A:$B,2,0),U112,1),"")</f>
        <v>G</v>
      </c>
      <c r="U112" s="3">
        <v>110</v>
      </c>
      <c r="V112" s="3" t="str">
        <f>IFERROR(MID(VLOOKUP($B112,Seqs!$A:$B,2,0),W112,1),"")</f>
        <v>S</v>
      </c>
      <c r="W112" s="3">
        <v>145</v>
      </c>
      <c r="X112" s="3" t="str">
        <f>IFERROR(MID(VLOOKUP($B112,Seqs!$A:$B,2,0),Y112,1),"")</f>
        <v>P</v>
      </c>
      <c r="Y112" s="3">
        <v>146</v>
      </c>
      <c r="Z112" s="3" t="str">
        <f>IFERROR(MID(VLOOKUP($B112,Seqs!$A:$B,2,0),AA112,1),"")</f>
        <v>M</v>
      </c>
      <c r="AA112" s="3">
        <v>153</v>
      </c>
      <c r="AB112" s="3" t="str">
        <f>IFERROR(MID(VLOOKUP($B112,Seqs!$A:$B,2,0),AC112,1),"")</f>
        <v>T</v>
      </c>
      <c r="AC112" s="3">
        <v>154</v>
      </c>
      <c r="AD112" s="3" t="str">
        <f>IFERROR(MID(VLOOKUP($B112,Seqs!$A:$B,2,0),AE112,1),"")</f>
        <v>H</v>
      </c>
      <c r="AE112" s="3">
        <v>180</v>
      </c>
      <c r="AF112" s="3" t="str">
        <f>IFERROR(MID(VLOOKUP($B112,Seqs!$A:$B,2,0),AG112,1),"")</f>
        <v>C</v>
      </c>
      <c r="AG112" s="3">
        <v>199</v>
      </c>
      <c r="AH112" s="3" t="str">
        <f>IFERROR(MID(VLOOKUP($B112,Seqs!$A:$B,2,0),AI112,1),"")</f>
        <v>F</v>
      </c>
      <c r="AI112" s="3">
        <v>201</v>
      </c>
      <c r="AJ112" s="3" t="str">
        <f>IFERROR(MID(VLOOKUP($B112,Seqs!$A:$B,2,0),AK112,1),"")</f>
        <v>N</v>
      </c>
      <c r="AK112" s="3">
        <v>204</v>
      </c>
      <c r="AL112" s="3" t="str">
        <f>IFERROR(MID(VLOOKUP($B112,Seqs!$A:$B,2,0),AM112,1),"")</f>
        <v>S</v>
      </c>
      <c r="AM112" s="3">
        <v>273</v>
      </c>
      <c r="AN112" s="3" t="str">
        <f>IFERROR(MID(VLOOKUP($B112,Seqs!$A:$B,2,0),AO112,1),"")</f>
        <v>A</v>
      </c>
      <c r="AO112" s="3">
        <v>282</v>
      </c>
      <c r="AP112" s="3" t="str">
        <f>IFERROR(MID(VLOOKUP($B112,Seqs!$A:$B,2,0),AQ112,1),"")</f>
        <v>N</v>
      </c>
      <c r="AQ112" s="3">
        <v>316</v>
      </c>
      <c r="AR112" s="3" t="str">
        <f>IFERROR(MID(VLOOKUP($B112,Seqs!$A:$B,2,0),AS112,1),"")</f>
        <v>P</v>
      </c>
      <c r="AS112" s="3">
        <v>321</v>
      </c>
      <c r="AT112" s="3" t="str">
        <f>IFERROR(MID(VLOOKUP($B112,Seqs!$A:$B,2,0),AU112,1),"")</f>
        <v>R</v>
      </c>
      <c r="AU112" s="3">
        <v>345</v>
      </c>
      <c r="AV112" s="3" t="str">
        <f>IFERROR(MID(VLOOKUP($B112,Seqs!$A:$B,2,0),AW112,1),"")</f>
        <v>S</v>
      </c>
      <c r="AW112" s="3">
        <v>346</v>
      </c>
      <c r="AX112" s="3" t="str">
        <f>IFERROR(MID(VLOOKUP($B112,Seqs!$A:$B,2,0),AY112,1),"")</f>
        <v>L</v>
      </c>
      <c r="AY112" s="3">
        <v>357</v>
      </c>
      <c r="AZ112" s="77" t="str">
        <f>VLOOKUP(B112,Classification!A:D,2,0)</f>
        <v>A</v>
      </c>
      <c r="BA112" s="94" t="str">
        <f>VLOOKUP(B112,Classification!A:D,4,0)</f>
        <v>Adrenoceptors</v>
      </c>
      <c r="BB112" s="27" t="b">
        <f t="shared" ref="BB112" si="812">AND(E112&lt;G112,OR(G112&lt;I112,I112="-"),OR(I112&lt;K112,I112="-"),OR(K112&lt;M112,K112="-"),M112&lt;O112,OR(O112&lt;Q112,Q112="-"),OR(Q112&lt;S112,Q112="-"),OR(S112&lt;U112,S112="-"),U112&lt;W112,OR(W112&lt;Y112,Y112="-"),OR(Y112&lt;AA112,Y112="-"),OR(AA112&lt;AC112,AA112="-"),AC112&lt;AE112,OR(AE112&lt;AG112,AG112="-"),OR(AG112&lt;AI112,AG112="-"),OR(AI112&lt;AK112,AI112="-"),AK112&lt;AM112,AM112&lt;AO112,AO112&lt;AQ112,AQ112&lt;AS112,AS112&lt;AU112,OR(AU112&lt;AW112,AW112="-"),OR(AW112&lt;AY112,AW112="-"))</f>
        <v>1</v>
      </c>
      <c r="BC112" s="23">
        <f t="shared" ref="BC112" si="813">_xlfn.AGGREGATE(9,6,CH112:CS112)-_xlfn.AGGREGATE(9,6,BV112:CG112)+12</f>
        <v>285</v>
      </c>
      <c r="BD112" s="5" t="s">
        <v>23</v>
      </c>
      <c r="BE112" s="3" t="s">
        <v>1285</v>
      </c>
      <c r="BF112" s="118">
        <v>2.8</v>
      </c>
      <c r="BG112" s="49" t="s">
        <v>1</v>
      </c>
      <c r="BH112" s="49" t="s">
        <v>1</v>
      </c>
      <c r="BI112" s="1"/>
      <c r="BJ112" s="70" t="s">
        <v>1281</v>
      </c>
      <c r="BK112" s="57" t="s">
        <v>1281</v>
      </c>
      <c r="BL112" s="57" t="s">
        <v>1281</v>
      </c>
      <c r="BM112" s="57" t="s">
        <v>1281</v>
      </c>
      <c r="BN112" s="57" t="s">
        <v>1281</v>
      </c>
      <c r="BO112" s="57" t="s">
        <v>1281</v>
      </c>
      <c r="BP112" s="57" t="s">
        <v>1281</v>
      </c>
      <c r="BQ112" s="57" t="s">
        <v>1281</v>
      </c>
      <c r="BR112" s="57" t="s">
        <v>1281</v>
      </c>
      <c r="BS112" s="57" t="s">
        <v>1281</v>
      </c>
      <c r="BT112" s="57" t="s">
        <v>1281</v>
      </c>
      <c r="BU112" s="57" t="s">
        <v>1281</v>
      </c>
      <c r="BV112" s="70">
        <f t="shared" ref="BV112" si="814">E112</f>
        <v>40</v>
      </c>
      <c r="BW112" s="71">
        <f t="shared" ref="BW112" si="815">I112</f>
        <v>70</v>
      </c>
      <c r="BX112" s="72">
        <f t="shared" ref="BX112" si="816">M112</f>
        <v>74</v>
      </c>
      <c r="BY112" s="71">
        <f t="shared" ref="BY112" si="817">Q112</f>
        <v>106</v>
      </c>
      <c r="BZ112" s="72">
        <f t="shared" ref="BZ112" si="818">U112</f>
        <v>110</v>
      </c>
      <c r="CA112" s="71">
        <f t="shared" ref="CA112" si="819">Y112</f>
        <v>146</v>
      </c>
      <c r="CB112" s="72">
        <f t="shared" ref="CB112" si="820">AC112</f>
        <v>154</v>
      </c>
      <c r="CC112" s="71">
        <f t="shared" ref="CC112" si="821">AG112</f>
        <v>199</v>
      </c>
      <c r="CD112" s="72">
        <f t="shared" ref="CD112" si="822">AK112</f>
        <v>204</v>
      </c>
      <c r="CE112" s="71">
        <f t="shared" ref="CE112" si="823">AO112</f>
        <v>282</v>
      </c>
      <c r="CF112" s="72">
        <f t="shared" ref="CF112" si="824">AS112</f>
        <v>321</v>
      </c>
      <c r="CG112" s="71">
        <f t="shared" ref="CG112" si="825">AW112</f>
        <v>346</v>
      </c>
      <c r="CH112" s="70">
        <f t="shared" ref="CH112" si="826">G112</f>
        <v>69</v>
      </c>
      <c r="CI112" s="71">
        <f t="shared" ref="CI112" si="827">K112</f>
        <v>73</v>
      </c>
      <c r="CJ112" s="72">
        <f t="shared" ref="CJ112" si="828">O112</f>
        <v>104</v>
      </c>
      <c r="CK112" s="72">
        <f t="shared" ref="CK112" si="829">S112</f>
        <v>109</v>
      </c>
      <c r="CL112" s="72">
        <f t="shared" ref="CL112" si="830">W112</f>
        <v>145</v>
      </c>
      <c r="CM112" s="72">
        <f t="shared" ref="CM112" si="831">AA112</f>
        <v>153</v>
      </c>
      <c r="CN112" s="72">
        <f t="shared" ref="CN112" si="832">AE112</f>
        <v>180</v>
      </c>
      <c r="CO112" s="72">
        <f t="shared" ref="CO112" si="833">AI112</f>
        <v>201</v>
      </c>
      <c r="CP112" s="72">
        <f t="shared" ref="CP112" si="834">AM112</f>
        <v>273</v>
      </c>
      <c r="CQ112" s="72">
        <f t="shared" ref="CQ112" si="835">AQ112</f>
        <v>316</v>
      </c>
      <c r="CR112" s="72">
        <f t="shared" ref="CR112" si="836">AU112</f>
        <v>345</v>
      </c>
      <c r="CS112" s="72">
        <f t="shared" ref="CS112" si="837">AY112</f>
        <v>357</v>
      </c>
      <c r="CT112" s="23">
        <f t="shared" ref="CT112" si="838">M112-K112</f>
        <v>1</v>
      </c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</row>
    <row r="113" spans="1:1029" x14ac:dyDescent="0.2">
      <c r="A113" s="3" t="str">
        <f t="shared" ref="A113" si="839">CONCATENATE(B113,"_",C113)</f>
        <v>adrb1_melga_6H7L</v>
      </c>
      <c r="B113" s="3" t="s">
        <v>905</v>
      </c>
      <c r="C113" s="3" t="s">
        <v>1514</v>
      </c>
      <c r="D113" s="3" t="str">
        <f>IFERROR(MID(VLOOKUP($B113,Seqs!$A:$B,2,0),E113,1),"")</f>
        <v>W</v>
      </c>
      <c r="E113" s="3">
        <v>40</v>
      </c>
      <c r="F113" s="3" t="str">
        <f>IFERROR(MID(VLOOKUP($B113,Seqs!$A:$B,2,0),G113,1),"")</f>
        <v>T</v>
      </c>
      <c r="G113" s="3">
        <v>69</v>
      </c>
      <c r="H113" s="3" t="str">
        <f>IFERROR(MID(VLOOKUP($B113,Seqs!$A:$B,2,0),I113,1),"")</f>
        <v>Q</v>
      </c>
      <c r="I113" s="23">
        <v>70</v>
      </c>
      <c r="J113" s="3" t="str">
        <f>IFERROR(MID(VLOOKUP($B113,Seqs!$A:$B,2,0),K113,1),"")</f>
        <v>Q</v>
      </c>
      <c r="K113" s="23">
        <v>73</v>
      </c>
      <c r="L113" s="3" t="str">
        <f>IFERROR(MID(VLOOKUP($B113,Seqs!$A:$B,2,0),M113,1),"")</f>
        <v>T</v>
      </c>
      <c r="M113" s="3">
        <v>74</v>
      </c>
      <c r="N113" s="3" t="str">
        <f>IFERROR(MID(VLOOKUP($B113,Seqs!$A:$B,2,0),O113,1),"")</f>
        <v>R</v>
      </c>
      <c r="O113" s="3">
        <v>104</v>
      </c>
      <c r="P113" s="3" t="str">
        <f>IFERROR(MID(VLOOKUP($B113,Seqs!$A:$B,2,0),Q113,1),"")</f>
        <v>T</v>
      </c>
      <c r="Q113" s="3">
        <v>106</v>
      </c>
      <c r="R113" s="3" t="str">
        <f>IFERROR(MID(VLOOKUP($B113,Seqs!$A:$B,2,0),S113,1),"")</f>
        <v>W</v>
      </c>
      <c r="S113" s="3">
        <v>109</v>
      </c>
      <c r="T113" s="3" t="str">
        <f>IFERROR(MID(VLOOKUP($B113,Seqs!$A:$B,2,0),U113,1),"")</f>
        <v>G</v>
      </c>
      <c r="U113" s="3">
        <v>110</v>
      </c>
      <c r="V113" s="3" t="str">
        <f>IFERROR(MID(VLOOKUP($B113,Seqs!$A:$B,2,0),W113,1),"")</f>
        <v>S</v>
      </c>
      <c r="W113" s="3">
        <v>145</v>
      </c>
      <c r="X113" s="3" t="str">
        <f>IFERROR(MID(VLOOKUP($B113,Seqs!$A:$B,2,0),Y113,1),"")</f>
        <v>P</v>
      </c>
      <c r="Y113" s="3">
        <v>146</v>
      </c>
      <c r="Z113" s="3" t="str">
        <f>IFERROR(MID(VLOOKUP($B113,Seqs!$A:$B,2,0),AA113,1),"")</f>
        <v>M</v>
      </c>
      <c r="AA113" s="3">
        <v>153</v>
      </c>
      <c r="AB113" s="3" t="str">
        <f>IFERROR(MID(VLOOKUP($B113,Seqs!$A:$B,2,0),AC113,1),"")</f>
        <v>T</v>
      </c>
      <c r="AC113" s="3">
        <v>154</v>
      </c>
      <c r="AD113" s="3" t="str">
        <f>IFERROR(MID(VLOOKUP($B113,Seqs!$A:$B,2,0),AE113,1),"")</f>
        <v>H</v>
      </c>
      <c r="AE113" s="3">
        <v>180</v>
      </c>
      <c r="AF113" s="3" t="str">
        <f>IFERROR(MID(VLOOKUP($B113,Seqs!$A:$B,2,0),AG113,1),"")</f>
        <v>C</v>
      </c>
      <c r="AG113" s="3">
        <v>199</v>
      </c>
      <c r="AH113" s="3" t="str">
        <f>IFERROR(MID(VLOOKUP($B113,Seqs!$A:$B,2,0),AI113,1),"")</f>
        <v>F</v>
      </c>
      <c r="AI113" s="3">
        <v>201</v>
      </c>
      <c r="AJ113" s="3" t="str">
        <f>IFERROR(MID(VLOOKUP($B113,Seqs!$A:$B,2,0),AK113,1),"")</f>
        <v>N</v>
      </c>
      <c r="AK113" s="3">
        <v>204</v>
      </c>
      <c r="AL113" s="3" t="str">
        <f>IFERROR(MID(VLOOKUP($B113,Seqs!$A:$B,2,0),AM113,1),"")</f>
        <v>S</v>
      </c>
      <c r="AM113" s="3">
        <v>273</v>
      </c>
      <c r="AN113" s="3" t="str">
        <f>IFERROR(MID(VLOOKUP($B113,Seqs!$A:$B,2,0),AO113,1),"")</f>
        <v>A</v>
      </c>
      <c r="AO113" s="3">
        <v>282</v>
      </c>
      <c r="AP113" s="3" t="str">
        <f>IFERROR(MID(VLOOKUP($B113,Seqs!$A:$B,2,0),AQ113,1),"")</f>
        <v>N</v>
      </c>
      <c r="AQ113" s="3">
        <v>316</v>
      </c>
      <c r="AR113" s="3" t="str">
        <f>IFERROR(MID(VLOOKUP($B113,Seqs!$A:$B,2,0),AS113,1),"")</f>
        <v>P</v>
      </c>
      <c r="AS113" s="3">
        <v>321</v>
      </c>
      <c r="AT113" s="3" t="str">
        <f>IFERROR(MID(VLOOKUP($B113,Seqs!$A:$B,2,0),AU113,1),"")</f>
        <v>R</v>
      </c>
      <c r="AU113" s="3">
        <v>345</v>
      </c>
      <c r="AV113" s="3" t="str">
        <f>IFERROR(MID(VLOOKUP($B113,Seqs!$A:$B,2,0),AW113,1),"")</f>
        <v>S</v>
      </c>
      <c r="AW113" s="3">
        <v>346</v>
      </c>
      <c r="AX113" s="3" t="str">
        <f>IFERROR(MID(VLOOKUP($B113,Seqs!$A:$B,2,0),AY113,1),"")</f>
        <v>L</v>
      </c>
      <c r="AY113" s="3">
        <v>357</v>
      </c>
      <c r="AZ113" s="77" t="str">
        <f>VLOOKUP(B113,Classification!A:D,2,0)</f>
        <v>A</v>
      </c>
      <c r="BA113" s="94" t="str">
        <f>VLOOKUP(B113,Classification!A:D,4,0)</f>
        <v>Adrenoceptors</v>
      </c>
      <c r="BB113" s="27" t="b">
        <f t="shared" ref="BB113" si="840">AND(E113&lt;G113,OR(G113&lt;I113,I113="-"),OR(I113&lt;K113,I113="-"),OR(K113&lt;M113,K113="-"),M113&lt;O113,OR(O113&lt;Q113,Q113="-"),OR(Q113&lt;S113,Q113="-"),OR(S113&lt;U113,S113="-"),U113&lt;W113,OR(W113&lt;Y113,Y113="-"),OR(Y113&lt;AA113,Y113="-"),OR(AA113&lt;AC113,AA113="-"),AC113&lt;AE113,OR(AE113&lt;AG113,AG113="-"),OR(AG113&lt;AI113,AG113="-"),OR(AI113&lt;AK113,AI113="-"),AK113&lt;AM113,AM113&lt;AO113,AO113&lt;AQ113,AQ113&lt;AS113,AS113&lt;AU113,OR(AU113&lt;AW113,AW113="-"),OR(AW113&lt;AY113,AW113="-"))</f>
        <v>1</v>
      </c>
      <c r="BC113" s="23">
        <f t="shared" ref="BC113" si="841">_xlfn.AGGREGATE(9,6,CH113:CS113)-_xlfn.AGGREGATE(9,6,BV113:CG113)+12</f>
        <v>285</v>
      </c>
      <c r="BD113" s="5" t="s">
        <v>23</v>
      </c>
      <c r="BE113" s="3" t="s">
        <v>1285</v>
      </c>
      <c r="BF113" s="118">
        <v>2.7</v>
      </c>
      <c r="BG113" s="49" t="s">
        <v>1</v>
      </c>
      <c r="BH113" s="49" t="s">
        <v>1</v>
      </c>
      <c r="BI113" s="1"/>
      <c r="BJ113" s="70" t="s">
        <v>1281</v>
      </c>
      <c r="BK113" s="57" t="s">
        <v>1281</v>
      </c>
      <c r="BL113" s="57" t="s">
        <v>1281</v>
      </c>
      <c r="BM113" s="57" t="s">
        <v>1281</v>
      </c>
      <c r="BN113" s="57" t="s">
        <v>1281</v>
      </c>
      <c r="BO113" s="57" t="s">
        <v>1281</v>
      </c>
      <c r="BP113" s="57" t="s">
        <v>1281</v>
      </c>
      <c r="BQ113" s="57" t="s">
        <v>1281</v>
      </c>
      <c r="BR113" s="57" t="s">
        <v>1281</v>
      </c>
      <c r="BS113" s="57" t="s">
        <v>1281</v>
      </c>
      <c r="BT113" s="57" t="s">
        <v>1281</v>
      </c>
      <c r="BU113" s="57" t="s">
        <v>1281</v>
      </c>
      <c r="BV113" s="70">
        <f t="shared" ref="BV113" si="842">E113</f>
        <v>40</v>
      </c>
      <c r="BW113" s="71">
        <f t="shared" ref="BW113" si="843">I113</f>
        <v>70</v>
      </c>
      <c r="BX113" s="72">
        <f t="shared" ref="BX113" si="844">M113</f>
        <v>74</v>
      </c>
      <c r="BY113" s="71">
        <f t="shared" ref="BY113" si="845">Q113</f>
        <v>106</v>
      </c>
      <c r="BZ113" s="72">
        <f t="shared" ref="BZ113" si="846">U113</f>
        <v>110</v>
      </c>
      <c r="CA113" s="71">
        <f t="shared" ref="CA113" si="847">Y113</f>
        <v>146</v>
      </c>
      <c r="CB113" s="72">
        <f t="shared" ref="CB113" si="848">AC113</f>
        <v>154</v>
      </c>
      <c r="CC113" s="71">
        <f t="shared" ref="CC113" si="849">AG113</f>
        <v>199</v>
      </c>
      <c r="CD113" s="72">
        <f t="shared" ref="CD113" si="850">AK113</f>
        <v>204</v>
      </c>
      <c r="CE113" s="71">
        <f t="shared" ref="CE113" si="851">AO113</f>
        <v>282</v>
      </c>
      <c r="CF113" s="72">
        <f t="shared" ref="CF113" si="852">AS113</f>
        <v>321</v>
      </c>
      <c r="CG113" s="71">
        <f t="shared" ref="CG113" si="853">AW113</f>
        <v>346</v>
      </c>
      <c r="CH113" s="70">
        <f t="shared" ref="CH113" si="854">G113</f>
        <v>69</v>
      </c>
      <c r="CI113" s="71">
        <f t="shared" ref="CI113" si="855">K113</f>
        <v>73</v>
      </c>
      <c r="CJ113" s="72">
        <f t="shared" ref="CJ113" si="856">O113</f>
        <v>104</v>
      </c>
      <c r="CK113" s="72">
        <f t="shared" ref="CK113" si="857">S113</f>
        <v>109</v>
      </c>
      <c r="CL113" s="72">
        <f t="shared" ref="CL113" si="858">W113</f>
        <v>145</v>
      </c>
      <c r="CM113" s="72">
        <f t="shared" ref="CM113" si="859">AA113</f>
        <v>153</v>
      </c>
      <c r="CN113" s="72">
        <f t="shared" ref="CN113" si="860">AE113</f>
        <v>180</v>
      </c>
      <c r="CO113" s="72">
        <f t="shared" ref="CO113" si="861">AI113</f>
        <v>201</v>
      </c>
      <c r="CP113" s="72">
        <f t="shared" ref="CP113" si="862">AM113</f>
        <v>273</v>
      </c>
      <c r="CQ113" s="72">
        <f t="shared" ref="CQ113" si="863">AQ113</f>
        <v>316</v>
      </c>
      <c r="CR113" s="72">
        <f t="shared" ref="CR113" si="864">AU113</f>
        <v>345</v>
      </c>
      <c r="CS113" s="72">
        <f t="shared" ref="CS113" si="865">AY113</f>
        <v>357</v>
      </c>
      <c r="CT113" s="23">
        <f t="shared" ref="CT113" si="866">M113-K113</f>
        <v>1</v>
      </c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</row>
    <row r="114" spans="1:1029" x14ac:dyDescent="0.2">
      <c r="A114" s="3" t="str">
        <f t="shared" ref="A114" si="867">CONCATENATE(B114,"_",C114)</f>
        <v>adrb1_melga_6H7M</v>
      </c>
      <c r="B114" s="3" t="s">
        <v>905</v>
      </c>
      <c r="C114" s="3" t="s">
        <v>1515</v>
      </c>
      <c r="D114" s="3" t="str">
        <f>IFERROR(MID(VLOOKUP($B114,Seqs!$A:$B,2,0),E114,1),"")</f>
        <v>W</v>
      </c>
      <c r="E114" s="3">
        <v>40</v>
      </c>
      <c r="F114" s="3" t="str">
        <f>IFERROR(MID(VLOOKUP($B114,Seqs!$A:$B,2,0),G114,1),"")</f>
        <v>T</v>
      </c>
      <c r="G114" s="3">
        <v>69</v>
      </c>
      <c r="H114" s="3" t="str">
        <f>IFERROR(MID(VLOOKUP($B114,Seqs!$A:$B,2,0),I114,1),"")</f>
        <v>Q</v>
      </c>
      <c r="I114" s="23">
        <v>70</v>
      </c>
      <c r="J114" s="3" t="str">
        <f>IFERROR(MID(VLOOKUP($B114,Seqs!$A:$B,2,0),K114,1),"")</f>
        <v>Q</v>
      </c>
      <c r="K114" s="23">
        <v>73</v>
      </c>
      <c r="L114" s="3" t="str">
        <f>IFERROR(MID(VLOOKUP($B114,Seqs!$A:$B,2,0),M114,1),"")</f>
        <v>T</v>
      </c>
      <c r="M114" s="3">
        <v>74</v>
      </c>
      <c r="N114" s="3" t="str">
        <f>IFERROR(MID(VLOOKUP($B114,Seqs!$A:$B,2,0),O114,1),"")</f>
        <v>R</v>
      </c>
      <c r="O114" s="3">
        <v>104</v>
      </c>
      <c r="P114" s="3" t="str">
        <f>IFERROR(MID(VLOOKUP($B114,Seqs!$A:$B,2,0),Q114,1),"")</f>
        <v>T</v>
      </c>
      <c r="Q114" s="3">
        <v>106</v>
      </c>
      <c r="R114" s="3" t="str">
        <f>IFERROR(MID(VLOOKUP($B114,Seqs!$A:$B,2,0),S114,1),"")</f>
        <v>W</v>
      </c>
      <c r="S114" s="3">
        <v>109</v>
      </c>
      <c r="T114" s="3" t="str">
        <f>IFERROR(MID(VLOOKUP($B114,Seqs!$A:$B,2,0),U114,1),"")</f>
        <v>G</v>
      </c>
      <c r="U114" s="3">
        <v>110</v>
      </c>
      <c r="V114" s="3" t="str">
        <f>IFERROR(MID(VLOOKUP($B114,Seqs!$A:$B,2,0),W114,1),"")</f>
        <v>S</v>
      </c>
      <c r="W114" s="3">
        <v>145</v>
      </c>
      <c r="X114" s="3" t="str">
        <f>IFERROR(MID(VLOOKUP($B114,Seqs!$A:$B,2,0),Y114,1),"")</f>
        <v>P</v>
      </c>
      <c r="Y114" s="3">
        <v>146</v>
      </c>
      <c r="Z114" s="3" t="str">
        <f>IFERROR(MID(VLOOKUP($B114,Seqs!$A:$B,2,0),AA114,1),"")</f>
        <v>M</v>
      </c>
      <c r="AA114" s="3">
        <v>153</v>
      </c>
      <c r="AB114" s="3" t="str">
        <f>IFERROR(MID(VLOOKUP($B114,Seqs!$A:$B,2,0),AC114,1),"")</f>
        <v>T</v>
      </c>
      <c r="AC114" s="3">
        <v>154</v>
      </c>
      <c r="AD114" s="3" t="str">
        <f>IFERROR(MID(VLOOKUP($B114,Seqs!$A:$B,2,0),AE114,1),"")</f>
        <v>H</v>
      </c>
      <c r="AE114" s="3">
        <v>180</v>
      </c>
      <c r="AF114" s="3" t="str">
        <f>IFERROR(MID(VLOOKUP($B114,Seqs!$A:$B,2,0),AG114,1),"")</f>
        <v>C</v>
      </c>
      <c r="AG114" s="3">
        <v>199</v>
      </c>
      <c r="AH114" s="3" t="str">
        <f>IFERROR(MID(VLOOKUP($B114,Seqs!$A:$B,2,0),AI114,1),"")</f>
        <v>F</v>
      </c>
      <c r="AI114" s="3">
        <v>201</v>
      </c>
      <c r="AJ114" s="3" t="str">
        <f>IFERROR(MID(VLOOKUP($B114,Seqs!$A:$B,2,0),AK114,1),"")</f>
        <v>N</v>
      </c>
      <c r="AK114" s="3">
        <v>204</v>
      </c>
      <c r="AL114" s="3" t="str">
        <f>IFERROR(MID(VLOOKUP($B114,Seqs!$A:$B,2,0),AM114,1),"")</f>
        <v>S</v>
      </c>
      <c r="AM114" s="3">
        <v>273</v>
      </c>
      <c r="AN114" s="3" t="str">
        <f>IFERROR(MID(VLOOKUP($B114,Seqs!$A:$B,2,0),AO114,1),"")</f>
        <v>A</v>
      </c>
      <c r="AO114" s="3">
        <v>282</v>
      </c>
      <c r="AP114" s="3" t="str">
        <f>IFERROR(MID(VLOOKUP($B114,Seqs!$A:$B,2,0),AQ114,1),"")</f>
        <v>N</v>
      </c>
      <c r="AQ114" s="3">
        <v>316</v>
      </c>
      <c r="AR114" s="3" t="str">
        <f>IFERROR(MID(VLOOKUP($B114,Seqs!$A:$B,2,0),AS114,1),"")</f>
        <v>P</v>
      </c>
      <c r="AS114" s="3">
        <v>321</v>
      </c>
      <c r="AT114" s="3" t="str">
        <f>IFERROR(MID(VLOOKUP($B114,Seqs!$A:$B,2,0),AU114,1),"")</f>
        <v>R</v>
      </c>
      <c r="AU114" s="3">
        <v>345</v>
      </c>
      <c r="AV114" s="3" t="str">
        <f>IFERROR(MID(VLOOKUP($B114,Seqs!$A:$B,2,0),AW114,1),"")</f>
        <v>S</v>
      </c>
      <c r="AW114" s="3">
        <v>346</v>
      </c>
      <c r="AX114" s="3" t="str">
        <f>IFERROR(MID(VLOOKUP($B114,Seqs!$A:$B,2,0),AY114,1),"")</f>
        <v>L</v>
      </c>
      <c r="AY114" s="3">
        <v>357</v>
      </c>
      <c r="AZ114" s="77" t="str">
        <f>VLOOKUP(B114,Classification!A:D,2,0)</f>
        <v>A</v>
      </c>
      <c r="BA114" s="94" t="str">
        <f>VLOOKUP(B114,Classification!A:D,4,0)</f>
        <v>Adrenoceptors</v>
      </c>
      <c r="BB114" s="27" t="b">
        <f t="shared" ref="BB114" si="868">AND(E114&lt;G114,OR(G114&lt;I114,I114="-"),OR(I114&lt;K114,I114="-"),OR(K114&lt;M114,K114="-"),M114&lt;O114,OR(O114&lt;Q114,Q114="-"),OR(Q114&lt;S114,Q114="-"),OR(S114&lt;U114,S114="-"),U114&lt;W114,OR(W114&lt;Y114,Y114="-"),OR(Y114&lt;AA114,Y114="-"),OR(AA114&lt;AC114,AA114="-"),AC114&lt;AE114,OR(AE114&lt;AG114,AG114="-"),OR(AG114&lt;AI114,AG114="-"),OR(AI114&lt;AK114,AI114="-"),AK114&lt;AM114,AM114&lt;AO114,AO114&lt;AQ114,AQ114&lt;AS114,AS114&lt;AU114,OR(AU114&lt;AW114,AW114="-"),OR(AW114&lt;AY114,AW114="-"))</f>
        <v>1</v>
      </c>
      <c r="BC114" s="23">
        <f t="shared" ref="BC114" si="869">_xlfn.AGGREGATE(9,6,CH114:CS114)-_xlfn.AGGREGATE(9,6,BV114:CG114)+12</f>
        <v>285</v>
      </c>
      <c r="BD114" s="5" t="s">
        <v>23</v>
      </c>
      <c r="BE114" s="3" t="s">
        <v>1285</v>
      </c>
      <c r="BF114" s="118">
        <v>2.76</v>
      </c>
      <c r="BG114" s="49" t="s">
        <v>1</v>
      </c>
      <c r="BH114" s="49" t="s">
        <v>1</v>
      </c>
      <c r="BI114" s="1"/>
      <c r="BJ114" s="70" t="s">
        <v>1281</v>
      </c>
      <c r="BK114" s="57" t="s">
        <v>1281</v>
      </c>
      <c r="BL114" s="57" t="s">
        <v>1281</v>
      </c>
      <c r="BM114" s="57" t="s">
        <v>1281</v>
      </c>
      <c r="BN114" s="57" t="s">
        <v>1281</v>
      </c>
      <c r="BO114" s="57" t="s">
        <v>1281</v>
      </c>
      <c r="BP114" s="57" t="s">
        <v>1281</v>
      </c>
      <c r="BQ114" s="57" t="s">
        <v>1281</v>
      </c>
      <c r="BR114" s="57" t="s">
        <v>1281</v>
      </c>
      <c r="BS114" s="57" t="s">
        <v>1281</v>
      </c>
      <c r="BT114" s="57" t="s">
        <v>1281</v>
      </c>
      <c r="BU114" s="57" t="s">
        <v>1281</v>
      </c>
      <c r="BV114" s="70">
        <f t="shared" ref="BV114" si="870">E114</f>
        <v>40</v>
      </c>
      <c r="BW114" s="71">
        <f t="shared" ref="BW114" si="871">I114</f>
        <v>70</v>
      </c>
      <c r="BX114" s="72">
        <f t="shared" ref="BX114" si="872">M114</f>
        <v>74</v>
      </c>
      <c r="BY114" s="71">
        <f t="shared" ref="BY114" si="873">Q114</f>
        <v>106</v>
      </c>
      <c r="BZ114" s="72">
        <f t="shared" ref="BZ114" si="874">U114</f>
        <v>110</v>
      </c>
      <c r="CA114" s="71">
        <f t="shared" ref="CA114" si="875">Y114</f>
        <v>146</v>
      </c>
      <c r="CB114" s="72">
        <f t="shared" ref="CB114" si="876">AC114</f>
        <v>154</v>
      </c>
      <c r="CC114" s="71">
        <f t="shared" ref="CC114" si="877">AG114</f>
        <v>199</v>
      </c>
      <c r="CD114" s="72">
        <f t="shared" ref="CD114" si="878">AK114</f>
        <v>204</v>
      </c>
      <c r="CE114" s="71">
        <f t="shared" ref="CE114" si="879">AO114</f>
        <v>282</v>
      </c>
      <c r="CF114" s="72">
        <f t="shared" ref="CF114" si="880">AS114</f>
        <v>321</v>
      </c>
      <c r="CG114" s="71">
        <f t="shared" ref="CG114" si="881">AW114</f>
        <v>346</v>
      </c>
      <c r="CH114" s="70">
        <f t="shared" ref="CH114" si="882">G114</f>
        <v>69</v>
      </c>
      <c r="CI114" s="71">
        <f t="shared" ref="CI114" si="883">K114</f>
        <v>73</v>
      </c>
      <c r="CJ114" s="72">
        <f t="shared" ref="CJ114" si="884">O114</f>
        <v>104</v>
      </c>
      <c r="CK114" s="72">
        <f t="shared" ref="CK114" si="885">S114</f>
        <v>109</v>
      </c>
      <c r="CL114" s="72">
        <f t="shared" ref="CL114" si="886">W114</f>
        <v>145</v>
      </c>
      <c r="CM114" s="72">
        <f t="shared" ref="CM114" si="887">AA114</f>
        <v>153</v>
      </c>
      <c r="CN114" s="72">
        <f t="shared" ref="CN114" si="888">AE114</f>
        <v>180</v>
      </c>
      <c r="CO114" s="72">
        <f t="shared" ref="CO114" si="889">AI114</f>
        <v>201</v>
      </c>
      <c r="CP114" s="72">
        <f t="shared" ref="CP114" si="890">AM114</f>
        <v>273</v>
      </c>
      <c r="CQ114" s="72">
        <f t="shared" ref="CQ114" si="891">AQ114</f>
        <v>316</v>
      </c>
      <c r="CR114" s="72">
        <f t="shared" ref="CR114" si="892">AU114</f>
        <v>345</v>
      </c>
      <c r="CS114" s="72">
        <f t="shared" ref="CS114" si="893">AY114</f>
        <v>357</v>
      </c>
      <c r="CT114" s="23">
        <f t="shared" ref="CT114" si="894">M114-K114</f>
        <v>1</v>
      </c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</row>
    <row r="115" spans="1:1029" x14ac:dyDescent="0.2">
      <c r="A115" s="3" t="str">
        <f t="shared" ref="A115" si="895">CONCATENATE(B115,"_",C115)</f>
        <v>adrb1_melga_6H7N</v>
      </c>
      <c r="B115" s="3" t="s">
        <v>905</v>
      </c>
      <c r="C115" s="3" t="s">
        <v>1516</v>
      </c>
      <c r="D115" s="3" t="str">
        <f>IFERROR(MID(VLOOKUP($B115,Seqs!$A:$B,2,0),E115,1),"")</f>
        <v>W</v>
      </c>
      <c r="E115" s="3">
        <v>40</v>
      </c>
      <c r="F115" s="3" t="str">
        <f>IFERROR(MID(VLOOKUP($B115,Seqs!$A:$B,2,0),G115,1),"")</f>
        <v>T</v>
      </c>
      <c r="G115" s="3">
        <v>69</v>
      </c>
      <c r="H115" s="3" t="str">
        <f>IFERROR(MID(VLOOKUP($B115,Seqs!$A:$B,2,0),I115,1),"")</f>
        <v>Q</v>
      </c>
      <c r="I115" s="23">
        <v>70</v>
      </c>
      <c r="J115" s="3" t="str">
        <f>IFERROR(MID(VLOOKUP($B115,Seqs!$A:$B,2,0),K115,1),"")</f>
        <v>Q</v>
      </c>
      <c r="K115" s="23">
        <v>73</v>
      </c>
      <c r="L115" s="3" t="str">
        <f>IFERROR(MID(VLOOKUP($B115,Seqs!$A:$B,2,0),M115,1),"")</f>
        <v>T</v>
      </c>
      <c r="M115" s="3">
        <v>74</v>
      </c>
      <c r="N115" s="3" t="str">
        <f>IFERROR(MID(VLOOKUP($B115,Seqs!$A:$B,2,0),O115,1),"")</f>
        <v>R</v>
      </c>
      <c r="O115" s="3">
        <v>104</v>
      </c>
      <c r="P115" s="3" t="str">
        <f>IFERROR(MID(VLOOKUP($B115,Seqs!$A:$B,2,0),Q115,1),"")</f>
        <v>T</v>
      </c>
      <c r="Q115" s="3">
        <v>106</v>
      </c>
      <c r="R115" s="3" t="str">
        <f>IFERROR(MID(VLOOKUP($B115,Seqs!$A:$B,2,0),S115,1),"")</f>
        <v>W</v>
      </c>
      <c r="S115" s="3">
        <v>109</v>
      </c>
      <c r="T115" s="3" t="str">
        <f>IFERROR(MID(VLOOKUP($B115,Seqs!$A:$B,2,0),U115,1),"")</f>
        <v>G</v>
      </c>
      <c r="U115" s="3">
        <v>110</v>
      </c>
      <c r="V115" s="3" t="str">
        <f>IFERROR(MID(VLOOKUP($B115,Seqs!$A:$B,2,0),W115,1),"")</f>
        <v>S</v>
      </c>
      <c r="W115" s="3">
        <v>145</v>
      </c>
      <c r="X115" s="3" t="str">
        <f>IFERROR(MID(VLOOKUP($B115,Seqs!$A:$B,2,0),Y115,1),"")</f>
        <v>P</v>
      </c>
      <c r="Y115" s="3">
        <v>146</v>
      </c>
      <c r="Z115" s="3" t="str">
        <f>IFERROR(MID(VLOOKUP($B115,Seqs!$A:$B,2,0),AA115,1),"")</f>
        <v>M</v>
      </c>
      <c r="AA115" s="3">
        <v>153</v>
      </c>
      <c r="AB115" s="3" t="str">
        <f>IFERROR(MID(VLOOKUP($B115,Seqs!$A:$B,2,0),AC115,1),"")</f>
        <v>T</v>
      </c>
      <c r="AC115" s="3">
        <v>154</v>
      </c>
      <c r="AD115" s="3" t="str">
        <f>IFERROR(MID(VLOOKUP($B115,Seqs!$A:$B,2,0),AE115,1),"")</f>
        <v>H</v>
      </c>
      <c r="AE115" s="3">
        <v>180</v>
      </c>
      <c r="AF115" s="3" t="str">
        <f>IFERROR(MID(VLOOKUP($B115,Seqs!$A:$B,2,0),AG115,1),"")</f>
        <v>C</v>
      </c>
      <c r="AG115" s="3">
        <v>199</v>
      </c>
      <c r="AH115" s="3" t="str">
        <f>IFERROR(MID(VLOOKUP($B115,Seqs!$A:$B,2,0),AI115,1),"")</f>
        <v>F</v>
      </c>
      <c r="AI115" s="3">
        <v>201</v>
      </c>
      <c r="AJ115" s="3" t="str">
        <f>IFERROR(MID(VLOOKUP($B115,Seqs!$A:$B,2,0),AK115,1),"")</f>
        <v>N</v>
      </c>
      <c r="AK115" s="3">
        <v>204</v>
      </c>
      <c r="AL115" s="3" t="str">
        <f>IFERROR(MID(VLOOKUP($B115,Seqs!$A:$B,2,0),AM115,1),"")</f>
        <v>S</v>
      </c>
      <c r="AM115" s="3">
        <v>273</v>
      </c>
      <c r="AN115" s="3" t="str">
        <f>IFERROR(MID(VLOOKUP($B115,Seqs!$A:$B,2,0),AO115,1),"")</f>
        <v>A</v>
      </c>
      <c r="AO115" s="3">
        <v>282</v>
      </c>
      <c r="AP115" s="3" t="str">
        <f>IFERROR(MID(VLOOKUP($B115,Seqs!$A:$B,2,0),AQ115,1),"")</f>
        <v>N</v>
      </c>
      <c r="AQ115" s="3">
        <v>316</v>
      </c>
      <c r="AR115" s="3" t="str">
        <f>IFERROR(MID(VLOOKUP($B115,Seqs!$A:$B,2,0),AS115,1),"")</f>
        <v>P</v>
      </c>
      <c r="AS115" s="3">
        <v>321</v>
      </c>
      <c r="AT115" s="3" t="str">
        <f>IFERROR(MID(VLOOKUP($B115,Seqs!$A:$B,2,0),AU115,1),"")</f>
        <v>R</v>
      </c>
      <c r="AU115" s="3">
        <v>345</v>
      </c>
      <c r="AV115" s="3" t="str">
        <f>IFERROR(MID(VLOOKUP($B115,Seqs!$A:$B,2,0),AW115,1),"")</f>
        <v>S</v>
      </c>
      <c r="AW115" s="3">
        <v>346</v>
      </c>
      <c r="AX115" s="3" t="str">
        <f>IFERROR(MID(VLOOKUP($B115,Seqs!$A:$B,2,0),AY115,1),"")</f>
        <v>L</v>
      </c>
      <c r="AY115" s="3">
        <v>357</v>
      </c>
      <c r="AZ115" s="77" t="str">
        <f>VLOOKUP(B115,Classification!A:D,2,0)</f>
        <v>A</v>
      </c>
      <c r="BA115" s="94" t="str">
        <f>VLOOKUP(B115,Classification!A:D,4,0)</f>
        <v>Adrenoceptors</v>
      </c>
      <c r="BB115" s="27" t="b">
        <f t="shared" ref="BB115" si="896">AND(E115&lt;G115,OR(G115&lt;I115,I115="-"),OR(I115&lt;K115,I115="-"),OR(K115&lt;M115,K115="-"),M115&lt;O115,OR(O115&lt;Q115,Q115="-"),OR(Q115&lt;S115,Q115="-"),OR(S115&lt;U115,S115="-"),U115&lt;W115,OR(W115&lt;Y115,Y115="-"),OR(Y115&lt;AA115,Y115="-"),OR(AA115&lt;AC115,AA115="-"),AC115&lt;AE115,OR(AE115&lt;AG115,AG115="-"),OR(AG115&lt;AI115,AG115="-"),OR(AI115&lt;AK115,AI115="-"),AK115&lt;AM115,AM115&lt;AO115,AO115&lt;AQ115,AQ115&lt;AS115,AS115&lt;AU115,OR(AU115&lt;AW115,AW115="-"),OR(AW115&lt;AY115,AW115="-"))</f>
        <v>1</v>
      </c>
      <c r="BC115" s="23">
        <f t="shared" ref="BC115" si="897">_xlfn.AGGREGATE(9,6,CH115:CS115)-_xlfn.AGGREGATE(9,6,BV115:CG115)+12</f>
        <v>285</v>
      </c>
      <c r="BD115" s="5" t="s">
        <v>1369</v>
      </c>
      <c r="BE115" s="3" t="s">
        <v>1285</v>
      </c>
      <c r="BF115" s="118">
        <v>2.5</v>
      </c>
      <c r="BG115" s="49" t="s">
        <v>1</v>
      </c>
      <c r="BH115" s="49" t="s">
        <v>1</v>
      </c>
      <c r="BI115" s="1"/>
      <c r="BJ115" s="70" t="s">
        <v>1281</v>
      </c>
      <c r="BK115" s="57" t="s">
        <v>1281</v>
      </c>
      <c r="BL115" s="57" t="s">
        <v>1281</v>
      </c>
      <c r="BM115" s="57" t="s">
        <v>1281</v>
      </c>
      <c r="BN115" s="57" t="s">
        <v>1281</v>
      </c>
      <c r="BO115" s="57" t="s">
        <v>1281</v>
      </c>
      <c r="BP115" s="57" t="s">
        <v>1281</v>
      </c>
      <c r="BQ115" s="57" t="s">
        <v>1281</v>
      </c>
      <c r="BR115" s="57" t="s">
        <v>1281</v>
      </c>
      <c r="BS115" s="57" t="s">
        <v>1281</v>
      </c>
      <c r="BT115" s="57" t="s">
        <v>1281</v>
      </c>
      <c r="BU115" s="57" t="s">
        <v>1281</v>
      </c>
      <c r="BV115" s="70">
        <f t="shared" ref="BV115" si="898">E115</f>
        <v>40</v>
      </c>
      <c r="BW115" s="71">
        <f t="shared" ref="BW115" si="899">I115</f>
        <v>70</v>
      </c>
      <c r="BX115" s="72">
        <f t="shared" ref="BX115" si="900">M115</f>
        <v>74</v>
      </c>
      <c r="BY115" s="71">
        <f t="shared" ref="BY115" si="901">Q115</f>
        <v>106</v>
      </c>
      <c r="BZ115" s="72">
        <f t="shared" ref="BZ115" si="902">U115</f>
        <v>110</v>
      </c>
      <c r="CA115" s="71">
        <f t="shared" ref="CA115" si="903">Y115</f>
        <v>146</v>
      </c>
      <c r="CB115" s="72">
        <f t="shared" ref="CB115" si="904">AC115</f>
        <v>154</v>
      </c>
      <c r="CC115" s="71">
        <f t="shared" ref="CC115" si="905">AG115</f>
        <v>199</v>
      </c>
      <c r="CD115" s="72">
        <f t="shared" ref="CD115" si="906">AK115</f>
        <v>204</v>
      </c>
      <c r="CE115" s="71">
        <f t="shared" ref="CE115" si="907">AO115</f>
        <v>282</v>
      </c>
      <c r="CF115" s="72">
        <f t="shared" ref="CF115" si="908">AS115</f>
        <v>321</v>
      </c>
      <c r="CG115" s="71">
        <f t="shared" ref="CG115" si="909">AW115</f>
        <v>346</v>
      </c>
      <c r="CH115" s="70">
        <f t="shared" ref="CH115" si="910">G115</f>
        <v>69</v>
      </c>
      <c r="CI115" s="71">
        <f t="shared" ref="CI115" si="911">K115</f>
        <v>73</v>
      </c>
      <c r="CJ115" s="72">
        <f t="shared" ref="CJ115" si="912">O115</f>
        <v>104</v>
      </c>
      <c r="CK115" s="72">
        <f t="shared" ref="CK115" si="913">S115</f>
        <v>109</v>
      </c>
      <c r="CL115" s="72">
        <f t="shared" ref="CL115" si="914">W115</f>
        <v>145</v>
      </c>
      <c r="CM115" s="72">
        <f t="shared" ref="CM115" si="915">AA115</f>
        <v>153</v>
      </c>
      <c r="CN115" s="72">
        <f t="shared" ref="CN115" si="916">AE115</f>
        <v>180</v>
      </c>
      <c r="CO115" s="72">
        <f t="shared" ref="CO115" si="917">AI115</f>
        <v>201</v>
      </c>
      <c r="CP115" s="72">
        <f t="shared" ref="CP115" si="918">AM115</f>
        <v>273</v>
      </c>
      <c r="CQ115" s="72">
        <f t="shared" ref="CQ115" si="919">AQ115</f>
        <v>316</v>
      </c>
      <c r="CR115" s="72">
        <f t="shared" ref="CR115" si="920">AU115</f>
        <v>345</v>
      </c>
      <c r="CS115" s="72">
        <f t="shared" ref="CS115" si="921">AY115</f>
        <v>357</v>
      </c>
      <c r="CT115" s="23">
        <f t="shared" ref="CT115" si="922">M115-K115</f>
        <v>1</v>
      </c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</row>
    <row r="116" spans="1:1029" x14ac:dyDescent="0.2">
      <c r="A116" s="3" t="str">
        <f t="shared" ref="A116" si="923">CONCATENATE(B116,"_",C116)</f>
        <v>adrb1_melga_6H7O</v>
      </c>
      <c r="B116" s="3" t="s">
        <v>905</v>
      </c>
      <c r="C116" s="3" t="s">
        <v>1517</v>
      </c>
      <c r="D116" s="3" t="str">
        <f>IFERROR(MID(VLOOKUP($B116,Seqs!$A:$B,2,0),E116,1),"")</f>
        <v>W</v>
      </c>
      <c r="E116" s="3">
        <v>40</v>
      </c>
      <c r="F116" s="3" t="str">
        <f>IFERROR(MID(VLOOKUP($B116,Seqs!$A:$B,2,0),G116,1),"")</f>
        <v>T</v>
      </c>
      <c r="G116" s="3">
        <v>69</v>
      </c>
      <c r="H116" s="3" t="str">
        <f>IFERROR(MID(VLOOKUP($B116,Seqs!$A:$B,2,0),I116,1),"")</f>
        <v>Q</v>
      </c>
      <c r="I116" s="23">
        <v>70</v>
      </c>
      <c r="J116" s="3" t="str">
        <f>IFERROR(MID(VLOOKUP($B116,Seqs!$A:$B,2,0),K116,1),"")</f>
        <v>Q</v>
      </c>
      <c r="K116" s="23">
        <v>73</v>
      </c>
      <c r="L116" s="3" t="str">
        <f>IFERROR(MID(VLOOKUP($B116,Seqs!$A:$B,2,0),M116,1),"")</f>
        <v>T</v>
      </c>
      <c r="M116" s="3">
        <v>74</v>
      </c>
      <c r="N116" s="3" t="str">
        <f>IFERROR(MID(VLOOKUP($B116,Seqs!$A:$B,2,0),O116,1),"")</f>
        <v>R</v>
      </c>
      <c r="O116" s="3">
        <v>104</v>
      </c>
      <c r="P116" s="3" t="str">
        <f>IFERROR(MID(VLOOKUP($B116,Seqs!$A:$B,2,0),Q116,1),"")</f>
        <v>T</v>
      </c>
      <c r="Q116" s="3">
        <v>106</v>
      </c>
      <c r="R116" s="3" t="str">
        <f>IFERROR(MID(VLOOKUP($B116,Seqs!$A:$B,2,0),S116,1),"")</f>
        <v>W</v>
      </c>
      <c r="S116" s="3">
        <v>109</v>
      </c>
      <c r="T116" s="3" t="str">
        <f>IFERROR(MID(VLOOKUP($B116,Seqs!$A:$B,2,0),U116,1),"")</f>
        <v>G</v>
      </c>
      <c r="U116" s="3">
        <v>110</v>
      </c>
      <c r="V116" s="3" t="str">
        <f>IFERROR(MID(VLOOKUP($B116,Seqs!$A:$B,2,0),W116,1),"")</f>
        <v>S</v>
      </c>
      <c r="W116" s="3">
        <v>145</v>
      </c>
      <c r="X116" s="3" t="str">
        <f>IFERROR(MID(VLOOKUP($B116,Seqs!$A:$B,2,0),Y116,1),"")</f>
        <v>P</v>
      </c>
      <c r="Y116" s="3">
        <v>146</v>
      </c>
      <c r="Z116" s="3" t="str">
        <f>IFERROR(MID(VLOOKUP($B116,Seqs!$A:$B,2,0),AA116,1),"")</f>
        <v>M</v>
      </c>
      <c r="AA116" s="3">
        <v>153</v>
      </c>
      <c r="AB116" s="3" t="str">
        <f>IFERROR(MID(VLOOKUP($B116,Seqs!$A:$B,2,0),AC116,1),"")</f>
        <v>T</v>
      </c>
      <c r="AC116" s="3">
        <v>154</v>
      </c>
      <c r="AD116" s="3" t="str">
        <f>IFERROR(MID(VLOOKUP($B116,Seqs!$A:$B,2,0),AE116,1),"")</f>
        <v>H</v>
      </c>
      <c r="AE116" s="3">
        <v>180</v>
      </c>
      <c r="AF116" s="3" t="str">
        <f>IFERROR(MID(VLOOKUP($B116,Seqs!$A:$B,2,0),AG116,1),"")</f>
        <v>C</v>
      </c>
      <c r="AG116" s="3">
        <v>199</v>
      </c>
      <c r="AH116" s="3" t="str">
        <f>IFERROR(MID(VLOOKUP($B116,Seqs!$A:$B,2,0),AI116,1),"")</f>
        <v>F</v>
      </c>
      <c r="AI116" s="3">
        <v>201</v>
      </c>
      <c r="AJ116" s="3" t="str">
        <f>IFERROR(MID(VLOOKUP($B116,Seqs!$A:$B,2,0),AK116,1),"")</f>
        <v>N</v>
      </c>
      <c r="AK116" s="3">
        <v>204</v>
      </c>
      <c r="AL116" s="3" t="str">
        <f>IFERROR(MID(VLOOKUP($B116,Seqs!$A:$B,2,0),AM116,1),"")</f>
        <v>S</v>
      </c>
      <c r="AM116" s="3">
        <v>273</v>
      </c>
      <c r="AN116" s="3" t="str">
        <f>IFERROR(MID(VLOOKUP($B116,Seqs!$A:$B,2,0),AO116,1),"")</f>
        <v>A</v>
      </c>
      <c r="AO116" s="3">
        <v>282</v>
      </c>
      <c r="AP116" s="3" t="str">
        <f>IFERROR(MID(VLOOKUP($B116,Seqs!$A:$B,2,0),AQ116,1),"")</f>
        <v>N</v>
      </c>
      <c r="AQ116" s="3">
        <v>316</v>
      </c>
      <c r="AR116" s="3" t="str">
        <f>IFERROR(MID(VLOOKUP($B116,Seqs!$A:$B,2,0),AS116,1),"")</f>
        <v>P</v>
      </c>
      <c r="AS116" s="3">
        <v>321</v>
      </c>
      <c r="AT116" s="3" t="str">
        <f>IFERROR(MID(VLOOKUP($B116,Seqs!$A:$B,2,0),AU116,1),"")</f>
        <v>R</v>
      </c>
      <c r="AU116" s="3">
        <v>345</v>
      </c>
      <c r="AV116" s="3" t="str">
        <f>IFERROR(MID(VLOOKUP($B116,Seqs!$A:$B,2,0),AW116,1),"")</f>
        <v>S</v>
      </c>
      <c r="AW116" s="3">
        <v>346</v>
      </c>
      <c r="AX116" s="3" t="str">
        <f>IFERROR(MID(VLOOKUP($B116,Seqs!$A:$B,2,0),AY116,1),"")</f>
        <v>L</v>
      </c>
      <c r="AY116" s="3">
        <v>357</v>
      </c>
      <c r="AZ116" s="77" t="str">
        <f>VLOOKUP(B116,Classification!A:D,2,0)</f>
        <v>A</v>
      </c>
      <c r="BA116" s="94" t="str">
        <f>VLOOKUP(B116,Classification!A:D,4,0)</f>
        <v>Adrenoceptors</v>
      </c>
      <c r="BB116" s="27" t="b">
        <f t="shared" ref="BB116" si="924">AND(E116&lt;G116,OR(G116&lt;I116,I116="-"),OR(I116&lt;K116,I116="-"),OR(K116&lt;M116,K116="-"),M116&lt;O116,OR(O116&lt;Q116,Q116="-"),OR(Q116&lt;S116,Q116="-"),OR(S116&lt;U116,S116="-"),U116&lt;W116,OR(W116&lt;Y116,Y116="-"),OR(Y116&lt;AA116,Y116="-"),OR(AA116&lt;AC116,AA116="-"),AC116&lt;AE116,OR(AE116&lt;AG116,AG116="-"),OR(AG116&lt;AI116,AG116="-"),OR(AI116&lt;AK116,AI116="-"),AK116&lt;AM116,AM116&lt;AO116,AO116&lt;AQ116,AQ116&lt;AS116,AS116&lt;AU116,OR(AU116&lt;AW116,AW116="-"),OR(AW116&lt;AY116,AW116="-"))</f>
        <v>1</v>
      </c>
      <c r="BC116" s="23">
        <f t="shared" ref="BC116" si="925">_xlfn.AGGREGATE(9,6,CH116:CS116)-_xlfn.AGGREGATE(9,6,BV116:CG116)+12</f>
        <v>285</v>
      </c>
      <c r="BD116" s="5" t="s">
        <v>23</v>
      </c>
      <c r="BE116" s="3" t="s">
        <v>1285</v>
      </c>
      <c r="BF116" s="118">
        <v>2.8</v>
      </c>
      <c r="BG116" s="49" t="s">
        <v>1</v>
      </c>
      <c r="BH116" s="49" t="s">
        <v>1</v>
      </c>
      <c r="BI116" s="1"/>
      <c r="BJ116" s="70" t="s">
        <v>1281</v>
      </c>
      <c r="BK116" s="57" t="s">
        <v>1281</v>
      </c>
      <c r="BL116" s="57" t="s">
        <v>1281</v>
      </c>
      <c r="BM116" s="57" t="s">
        <v>1281</v>
      </c>
      <c r="BN116" s="57" t="s">
        <v>1281</v>
      </c>
      <c r="BO116" s="57" t="s">
        <v>1281</v>
      </c>
      <c r="BP116" s="57" t="s">
        <v>1281</v>
      </c>
      <c r="BQ116" s="57" t="s">
        <v>1281</v>
      </c>
      <c r="BR116" s="57" t="s">
        <v>1281</v>
      </c>
      <c r="BS116" s="57" t="s">
        <v>1281</v>
      </c>
      <c r="BT116" s="57" t="s">
        <v>1281</v>
      </c>
      <c r="BU116" s="57" t="s">
        <v>1281</v>
      </c>
      <c r="BV116" s="70">
        <f t="shared" ref="BV116" si="926">E116</f>
        <v>40</v>
      </c>
      <c r="BW116" s="71">
        <f t="shared" ref="BW116" si="927">I116</f>
        <v>70</v>
      </c>
      <c r="BX116" s="72">
        <f t="shared" ref="BX116" si="928">M116</f>
        <v>74</v>
      </c>
      <c r="BY116" s="71">
        <f t="shared" ref="BY116" si="929">Q116</f>
        <v>106</v>
      </c>
      <c r="BZ116" s="72">
        <f t="shared" ref="BZ116" si="930">U116</f>
        <v>110</v>
      </c>
      <c r="CA116" s="71">
        <f t="shared" ref="CA116" si="931">Y116</f>
        <v>146</v>
      </c>
      <c r="CB116" s="72">
        <f t="shared" ref="CB116" si="932">AC116</f>
        <v>154</v>
      </c>
      <c r="CC116" s="71">
        <f t="shared" ref="CC116" si="933">AG116</f>
        <v>199</v>
      </c>
      <c r="CD116" s="72">
        <f t="shared" ref="CD116" si="934">AK116</f>
        <v>204</v>
      </c>
      <c r="CE116" s="71">
        <f t="shared" ref="CE116" si="935">AO116</f>
        <v>282</v>
      </c>
      <c r="CF116" s="72">
        <f t="shared" ref="CF116" si="936">AS116</f>
        <v>321</v>
      </c>
      <c r="CG116" s="71">
        <f t="shared" ref="CG116" si="937">AW116</f>
        <v>346</v>
      </c>
      <c r="CH116" s="70">
        <f t="shared" ref="CH116" si="938">G116</f>
        <v>69</v>
      </c>
      <c r="CI116" s="71">
        <f t="shared" ref="CI116" si="939">K116</f>
        <v>73</v>
      </c>
      <c r="CJ116" s="72">
        <f t="shared" ref="CJ116" si="940">O116</f>
        <v>104</v>
      </c>
      <c r="CK116" s="72">
        <f t="shared" ref="CK116" si="941">S116</f>
        <v>109</v>
      </c>
      <c r="CL116" s="72">
        <f t="shared" ref="CL116" si="942">W116</f>
        <v>145</v>
      </c>
      <c r="CM116" s="72">
        <f t="shared" ref="CM116" si="943">AA116</f>
        <v>153</v>
      </c>
      <c r="CN116" s="72">
        <f t="shared" ref="CN116" si="944">AE116</f>
        <v>180</v>
      </c>
      <c r="CO116" s="72">
        <f t="shared" ref="CO116" si="945">AI116</f>
        <v>201</v>
      </c>
      <c r="CP116" s="72">
        <f t="shared" ref="CP116" si="946">AM116</f>
        <v>273</v>
      </c>
      <c r="CQ116" s="72">
        <f t="shared" ref="CQ116" si="947">AQ116</f>
        <v>316</v>
      </c>
      <c r="CR116" s="72">
        <f t="shared" ref="CR116" si="948">AU116</f>
        <v>345</v>
      </c>
      <c r="CS116" s="72">
        <f t="shared" ref="CS116" si="949">AY116</f>
        <v>357</v>
      </c>
      <c r="CT116" s="23">
        <f t="shared" ref="CT116" si="950">M116-K116</f>
        <v>1</v>
      </c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</row>
    <row r="117" spans="1:1029" x14ac:dyDescent="0.2">
      <c r="A117" s="3" t="str">
        <f t="shared" ref="A117" si="951">CONCATENATE(B117,"_",C117)</f>
        <v>adrb1_melga_6IBL</v>
      </c>
      <c r="B117" s="3" t="s">
        <v>905</v>
      </c>
      <c r="C117" s="3" t="s">
        <v>1544</v>
      </c>
      <c r="D117" s="3" t="str">
        <f>IFERROR(MID(VLOOKUP($B117,Seqs!$A:$B,2,0),E117,1),"")</f>
        <v>E</v>
      </c>
      <c r="E117" s="3">
        <v>41</v>
      </c>
      <c r="F117" s="3" t="str">
        <f>IFERROR(MID(VLOOKUP($B117,Seqs!$A:$B,2,0),G117,1),"")</f>
        <v>T</v>
      </c>
      <c r="G117" s="3">
        <v>69</v>
      </c>
      <c r="H117" s="3" t="str">
        <f>IFERROR(MID(VLOOKUP($B117,Seqs!$A:$B,2,0),I117,1),"")</f>
        <v>Q</v>
      </c>
      <c r="I117" s="23">
        <v>70</v>
      </c>
      <c r="J117" s="3" t="str">
        <f>IFERROR(MID(VLOOKUP($B117,Seqs!$A:$B,2,0),K117,1),"")</f>
        <v>Q</v>
      </c>
      <c r="K117" s="23">
        <v>73</v>
      </c>
      <c r="L117" s="3" t="str">
        <f>IFERROR(MID(VLOOKUP($B117,Seqs!$A:$B,2,0),M117,1),"")</f>
        <v>T</v>
      </c>
      <c r="M117" s="3">
        <v>74</v>
      </c>
      <c r="N117" s="3" t="str">
        <f>IFERROR(MID(VLOOKUP($B117,Seqs!$A:$B,2,0),O117,1),"")</f>
        <v>R</v>
      </c>
      <c r="O117" s="3">
        <v>104</v>
      </c>
      <c r="P117" s="3" t="str">
        <f>IFERROR(MID(VLOOKUP($B117,Seqs!$A:$B,2,0),Q117,1),"")</f>
        <v>T</v>
      </c>
      <c r="Q117" s="3">
        <v>106</v>
      </c>
      <c r="R117" s="3" t="str">
        <f>IFERROR(MID(VLOOKUP($B117,Seqs!$A:$B,2,0),S117,1),"")</f>
        <v>W</v>
      </c>
      <c r="S117" s="3">
        <v>109</v>
      </c>
      <c r="T117" s="3" t="str">
        <f>IFERROR(MID(VLOOKUP($B117,Seqs!$A:$B,2,0),U117,1),"")</f>
        <v>G</v>
      </c>
      <c r="U117" s="3">
        <v>110</v>
      </c>
      <c r="V117" s="3" t="str">
        <f>IFERROR(MID(VLOOKUP($B117,Seqs!$A:$B,2,0),W117,1),"")</f>
        <v>S</v>
      </c>
      <c r="W117" s="3">
        <v>145</v>
      </c>
      <c r="X117" s="3" t="str">
        <f>IFERROR(MID(VLOOKUP($B117,Seqs!$A:$B,2,0),Y117,1),"")</f>
        <v>P</v>
      </c>
      <c r="Y117" s="3">
        <v>146</v>
      </c>
      <c r="Z117" s="3" t="str">
        <f>IFERROR(MID(VLOOKUP($B117,Seqs!$A:$B,2,0),AA117,1),"")</f>
        <v>M</v>
      </c>
      <c r="AA117" s="3">
        <v>153</v>
      </c>
      <c r="AB117" s="3" t="str">
        <f>IFERROR(MID(VLOOKUP($B117,Seqs!$A:$B,2,0),AC117,1),"")</f>
        <v>T</v>
      </c>
      <c r="AC117" s="3">
        <v>154</v>
      </c>
      <c r="AD117" s="3" t="str">
        <f>IFERROR(MID(VLOOKUP($B117,Seqs!$A:$B,2,0),AE117,1),"")</f>
        <v>H</v>
      </c>
      <c r="AE117" s="3">
        <v>180</v>
      </c>
      <c r="AF117" s="3" t="str">
        <f>IFERROR(MID(VLOOKUP($B117,Seqs!$A:$B,2,0),AG117,1),"")</f>
        <v>C</v>
      </c>
      <c r="AG117" s="3">
        <v>199</v>
      </c>
      <c r="AH117" s="3" t="str">
        <f>IFERROR(MID(VLOOKUP($B117,Seqs!$A:$B,2,0),AI117,1),"")</f>
        <v>F</v>
      </c>
      <c r="AI117" s="3">
        <v>201</v>
      </c>
      <c r="AJ117" s="3" t="str">
        <f>IFERROR(MID(VLOOKUP($B117,Seqs!$A:$B,2,0),AK117,1),"")</f>
        <v>N</v>
      </c>
      <c r="AK117" s="3">
        <v>204</v>
      </c>
      <c r="AL117" s="3" t="str">
        <f>IFERROR(MID(VLOOKUP($B117,Seqs!$A:$B,2,0),AM117,1),"")</f>
        <v>S</v>
      </c>
      <c r="AM117" s="3">
        <v>273</v>
      </c>
      <c r="AN117" s="3" t="str">
        <f>IFERROR(MID(VLOOKUP($B117,Seqs!$A:$B,2,0),AO117,1),"")</f>
        <v>A</v>
      </c>
      <c r="AO117" s="3">
        <v>282</v>
      </c>
      <c r="AP117" s="3" t="str">
        <f>IFERROR(MID(VLOOKUP($B117,Seqs!$A:$B,2,0),AQ117,1),"")</f>
        <v>N</v>
      </c>
      <c r="AQ117" s="3">
        <v>316</v>
      </c>
      <c r="AR117" s="3" t="str">
        <f>IFERROR(MID(VLOOKUP($B117,Seqs!$A:$B,2,0),AS117,1),"")</f>
        <v>P</v>
      </c>
      <c r="AS117" s="3">
        <v>321</v>
      </c>
      <c r="AT117" s="3" t="str">
        <f>IFERROR(MID(VLOOKUP($B117,Seqs!$A:$B,2,0),AU117,1),"")</f>
        <v>C</v>
      </c>
      <c r="AU117" s="3">
        <v>344</v>
      </c>
      <c r="AV117" s="3" t="str">
        <f>IFERROR(MID(VLOOKUP($B117,Seqs!$A:$B,2,0),AW117,1),"")</f>
        <v>S</v>
      </c>
      <c r="AW117" s="3">
        <v>346</v>
      </c>
      <c r="AX117" s="3" t="str">
        <f>IFERROR(MID(VLOOKUP($B117,Seqs!$A:$B,2,0),AY117,1),"")</f>
        <v>L</v>
      </c>
      <c r="AY117" s="3">
        <v>357</v>
      </c>
      <c r="AZ117" s="77" t="str">
        <f>VLOOKUP(B117,Classification!A:D,2,0)</f>
        <v>A</v>
      </c>
      <c r="BA117" s="94" t="str">
        <f>VLOOKUP(B117,Classification!A:D,4,0)</f>
        <v>Adrenoceptors</v>
      </c>
      <c r="BB117" s="27" t="b">
        <f t="shared" ref="BB117" si="952">AND(E117&lt;G117,OR(G117&lt;I117,I117="-"),OR(I117&lt;K117,I117="-"),OR(K117&lt;M117,K117="-"),M117&lt;O117,OR(O117&lt;Q117,Q117="-"),OR(Q117&lt;S117,Q117="-"),OR(S117&lt;U117,S117="-"),U117&lt;W117,OR(W117&lt;Y117,Y117="-"),OR(Y117&lt;AA117,Y117="-"),OR(AA117&lt;AC117,AA117="-"),AC117&lt;AE117,OR(AE117&lt;AG117,AG117="-"),OR(AG117&lt;AI117,AG117="-"),OR(AI117&lt;AK117,AI117="-"),AK117&lt;AM117,AM117&lt;AO117,AO117&lt;AQ117,AQ117&lt;AS117,AS117&lt;AU117,OR(AU117&lt;AW117,AW117="-"),OR(AW117&lt;AY117,AW117="-"))</f>
        <v>1</v>
      </c>
      <c r="BC117" s="23">
        <f t="shared" ref="BC117" si="953">_xlfn.AGGREGATE(9,6,CH117:CS117)-_xlfn.AGGREGATE(9,6,BV117:CG117)+12</f>
        <v>283</v>
      </c>
      <c r="BD117" s="5" t="s">
        <v>23</v>
      </c>
      <c r="BE117" s="3" t="s">
        <v>1285</v>
      </c>
      <c r="BF117" s="118">
        <v>2.7</v>
      </c>
      <c r="BG117" s="49" t="s">
        <v>1</v>
      </c>
      <c r="BH117" s="49" t="s">
        <v>1</v>
      </c>
      <c r="BI117" s="1"/>
      <c r="BJ117" s="70" t="s">
        <v>1281</v>
      </c>
      <c r="BK117" s="57" t="s">
        <v>1281</v>
      </c>
      <c r="BL117" s="57" t="s">
        <v>1281</v>
      </c>
      <c r="BM117" s="57" t="s">
        <v>1281</v>
      </c>
      <c r="BN117" s="57" t="s">
        <v>1281</v>
      </c>
      <c r="BO117" s="57" t="s">
        <v>1281</v>
      </c>
      <c r="BP117" s="57" t="s">
        <v>1281</v>
      </c>
      <c r="BQ117" s="57" t="s">
        <v>1281</v>
      </c>
      <c r="BR117" s="57" t="s">
        <v>1281</v>
      </c>
      <c r="BS117" s="57" t="s">
        <v>1281</v>
      </c>
      <c r="BT117" s="57" t="s">
        <v>1281</v>
      </c>
      <c r="BU117" s="57" t="s">
        <v>1281</v>
      </c>
      <c r="BV117" s="70">
        <f t="shared" ref="BV117" si="954">E117</f>
        <v>41</v>
      </c>
      <c r="BW117" s="71">
        <f t="shared" ref="BW117" si="955">I117</f>
        <v>70</v>
      </c>
      <c r="BX117" s="72">
        <f t="shared" ref="BX117" si="956">M117</f>
        <v>74</v>
      </c>
      <c r="BY117" s="71">
        <f t="shared" ref="BY117" si="957">Q117</f>
        <v>106</v>
      </c>
      <c r="BZ117" s="72">
        <f t="shared" ref="BZ117" si="958">U117</f>
        <v>110</v>
      </c>
      <c r="CA117" s="71">
        <f t="shared" ref="CA117" si="959">Y117</f>
        <v>146</v>
      </c>
      <c r="CB117" s="72">
        <f t="shared" ref="CB117" si="960">AC117</f>
        <v>154</v>
      </c>
      <c r="CC117" s="71">
        <f t="shared" ref="CC117" si="961">AG117</f>
        <v>199</v>
      </c>
      <c r="CD117" s="72">
        <f t="shared" ref="CD117" si="962">AK117</f>
        <v>204</v>
      </c>
      <c r="CE117" s="71">
        <f t="shared" ref="CE117" si="963">AO117</f>
        <v>282</v>
      </c>
      <c r="CF117" s="72">
        <f t="shared" ref="CF117" si="964">AS117</f>
        <v>321</v>
      </c>
      <c r="CG117" s="71">
        <f t="shared" ref="CG117" si="965">AW117</f>
        <v>346</v>
      </c>
      <c r="CH117" s="70">
        <f t="shared" ref="CH117" si="966">G117</f>
        <v>69</v>
      </c>
      <c r="CI117" s="71">
        <f t="shared" ref="CI117" si="967">K117</f>
        <v>73</v>
      </c>
      <c r="CJ117" s="72">
        <f t="shared" ref="CJ117" si="968">O117</f>
        <v>104</v>
      </c>
      <c r="CK117" s="72">
        <f t="shared" ref="CK117" si="969">S117</f>
        <v>109</v>
      </c>
      <c r="CL117" s="72">
        <f t="shared" ref="CL117" si="970">W117</f>
        <v>145</v>
      </c>
      <c r="CM117" s="72">
        <f t="shared" ref="CM117" si="971">AA117</f>
        <v>153</v>
      </c>
      <c r="CN117" s="72">
        <f t="shared" ref="CN117" si="972">AE117</f>
        <v>180</v>
      </c>
      <c r="CO117" s="72">
        <f t="shared" ref="CO117" si="973">AI117</f>
        <v>201</v>
      </c>
      <c r="CP117" s="72">
        <f t="shared" ref="CP117" si="974">AM117</f>
        <v>273</v>
      </c>
      <c r="CQ117" s="72">
        <f t="shared" ref="CQ117" si="975">AQ117</f>
        <v>316</v>
      </c>
      <c r="CR117" s="72">
        <f t="shared" ref="CR117" si="976">AU117</f>
        <v>344</v>
      </c>
      <c r="CS117" s="72">
        <f t="shared" ref="CS117" si="977">AY117</f>
        <v>357</v>
      </c>
      <c r="CT117" s="23">
        <f t="shared" ref="CT117" si="978">M117-K117</f>
        <v>1</v>
      </c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</row>
    <row r="118" spans="1:1029" x14ac:dyDescent="0.2">
      <c r="A118" s="3" t="str">
        <f t="shared" si="503"/>
        <v>adrb2_human__wt</v>
      </c>
      <c r="B118" s="3" t="s">
        <v>126</v>
      </c>
      <c r="C118" s="3" t="s">
        <v>100</v>
      </c>
      <c r="D118" s="3" t="str">
        <f>IFERROR(MID(VLOOKUP($B118,Seqs!$A:$B,2,0),E118,1),"")</f>
        <v>Q</v>
      </c>
      <c r="E118" s="3">
        <v>26</v>
      </c>
      <c r="F118" s="3" t="str">
        <f>IFERROR(MID(VLOOKUP($B118,Seqs!$A:$B,2,0),G118,1),"")</f>
        <v>F</v>
      </c>
      <c r="G118" s="3">
        <v>61</v>
      </c>
      <c r="H118" s="3" t="str">
        <f>IFERROR(MID(VLOOKUP($B118,Seqs!$A:$B,2,0),I118,1),"")</f>
        <v>E</v>
      </c>
      <c r="I118" s="23">
        <v>62</v>
      </c>
      <c r="J118" s="3" t="str">
        <f>IFERROR(MID(VLOOKUP($B118,Seqs!$A:$B,2,0),K118,1),"")</f>
        <v>Q</v>
      </c>
      <c r="K118" s="23">
        <v>65</v>
      </c>
      <c r="L118" s="3" t="str">
        <f>IFERROR(MID(VLOOKUP($B118,Seqs!$A:$B,2,0),M118,1),"")</f>
        <v>T</v>
      </c>
      <c r="M118" s="3">
        <v>66</v>
      </c>
      <c r="N118" s="3" t="str">
        <f>IFERROR(MID(VLOOKUP($B118,Seqs!$A:$B,2,0),O118,1),"")</f>
        <v>M</v>
      </c>
      <c r="O118" s="3">
        <v>96</v>
      </c>
      <c r="P118" s="3" t="str">
        <f>IFERROR(MID(VLOOKUP($B118,Seqs!$A:$B,2,0),Q118,1),"")</f>
        <v>M</v>
      </c>
      <c r="Q118" s="3">
        <v>98</v>
      </c>
      <c r="R118" s="3" t="str">
        <f>IFERROR(MID(VLOOKUP($B118,Seqs!$A:$B,2,0),S118,1),"")</f>
        <v>F</v>
      </c>
      <c r="S118" s="3">
        <v>101</v>
      </c>
      <c r="T118" s="3" t="str">
        <f>IFERROR(MID(VLOOKUP($B118,Seqs!$A:$B,2,0),U118,1),"")</f>
        <v>G</v>
      </c>
      <c r="U118" s="3">
        <v>102</v>
      </c>
      <c r="V118" s="3" t="str">
        <f>IFERROR(MID(VLOOKUP($B118,Seqs!$A:$B,2,0),W118,1),"")</f>
        <v>S</v>
      </c>
      <c r="W118" s="3">
        <v>137</v>
      </c>
      <c r="X118" s="3" t="str">
        <f>IFERROR(MID(VLOOKUP($B118,Seqs!$A:$B,2,0),Y118,1),"")</f>
        <v>P</v>
      </c>
      <c r="Y118" s="3">
        <v>138</v>
      </c>
      <c r="Z118" s="3" t="str">
        <f>IFERROR(MID(VLOOKUP($B118,Seqs!$A:$B,2,0),AA118,1),"")</f>
        <v>L</v>
      </c>
      <c r="AA118" s="3">
        <v>145</v>
      </c>
      <c r="AB118" s="3" t="str">
        <f>IFERROR(MID(VLOOKUP($B118,Seqs!$A:$B,2,0),AC118,1),"")</f>
        <v>T</v>
      </c>
      <c r="AC118" s="9">
        <v>146</v>
      </c>
      <c r="AD118" s="3" t="str">
        <f>IFERROR(MID(VLOOKUP($B118,Seqs!$A:$B,2,0),AE118,1),"")</f>
        <v>H</v>
      </c>
      <c r="AE118" s="3">
        <v>172</v>
      </c>
      <c r="AF118" s="3" t="str">
        <f>IFERROR(MID(VLOOKUP($B118,Seqs!$A:$B,2,0),AG118,1),"")</f>
        <v>C</v>
      </c>
      <c r="AG118" s="3">
        <v>191</v>
      </c>
      <c r="AH118" s="3" t="str">
        <f>IFERROR(MID(VLOOKUP($B118,Seqs!$A:$B,2,0),AI118,1),"")</f>
        <v>F</v>
      </c>
      <c r="AI118" s="3">
        <v>193</v>
      </c>
      <c r="AJ118" s="3" t="str">
        <f>IFERROR(MID(VLOOKUP($B118,Seqs!$A:$B,2,0),AK118,1),"")</f>
        <v>N</v>
      </c>
      <c r="AK118" s="3">
        <v>196</v>
      </c>
      <c r="AL118" s="3" t="str">
        <f>IFERROR(MID(VLOOKUP($B118,Seqs!$A:$B,2,0),AM118,1),"")</f>
        <v>E</v>
      </c>
      <c r="AM118" s="3">
        <v>237</v>
      </c>
      <c r="AN118" s="3" t="str">
        <f>IFERROR(MID(VLOOKUP($B118,Seqs!$A:$B,2,0),AO118,1),"")</f>
        <v>S</v>
      </c>
      <c r="AO118" s="3">
        <v>262</v>
      </c>
      <c r="AP118" s="3" t="str">
        <f>IFERROR(MID(VLOOKUP($B118,Seqs!$A:$B,2,0),AQ118,1),"")</f>
        <v>Q</v>
      </c>
      <c r="AQ118" s="3">
        <v>299</v>
      </c>
      <c r="AR118" s="3" t="str">
        <f>IFERROR(MID(VLOOKUP($B118,Seqs!$A:$B,2,0),AS118,1),"")</f>
        <v>R</v>
      </c>
      <c r="AS118" s="3">
        <v>304</v>
      </c>
      <c r="AT118" s="3" t="str">
        <f>IFERROR(MID(VLOOKUP($B118,Seqs!$A:$B,2,0),AU118,1),"")</f>
        <v>R</v>
      </c>
      <c r="AU118" s="3">
        <v>328</v>
      </c>
      <c r="AV118" s="3" t="str">
        <f>IFERROR(MID(VLOOKUP($B118,Seqs!$A:$B,2,0),AW118,1),"")</f>
        <v>S</v>
      </c>
      <c r="AW118" s="3">
        <v>329</v>
      </c>
      <c r="AX118" s="3" t="str">
        <f>IFERROR(MID(VLOOKUP($B118,Seqs!$A:$B,2,0),AY118,1),"")</f>
        <v>C</v>
      </c>
      <c r="AY118" s="3">
        <v>341</v>
      </c>
      <c r="AZ118" s="77" t="str">
        <f>VLOOKUP(B118,Classification!A:D,2,0)</f>
        <v>A</v>
      </c>
      <c r="BA118" s="94" t="str">
        <f>VLOOKUP(B118,Classification!A:D,4,0)</f>
        <v>Adrenoceptors</v>
      </c>
      <c r="BB118" s="27" t="b">
        <f t="shared" si="504"/>
        <v>1</v>
      </c>
      <c r="BC118" s="23">
        <f t="shared" si="785"/>
        <v>267</v>
      </c>
      <c r="BD118" s="56" t="s">
        <v>23</v>
      </c>
      <c r="BE118" s="3" t="s">
        <v>23</v>
      </c>
      <c r="BF118" s="118" t="s">
        <v>23</v>
      </c>
      <c r="BG118" s="49" t="s">
        <v>1366</v>
      </c>
      <c r="BH118" s="49" t="s">
        <v>1371</v>
      </c>
      <c r="BI118" s="3" t="s">
        <v>1159</v>
      </c>
      <c r="BJ118" s="70" t="s">
        <v>1281</v>
      </c>
      <c r="BK118" s="57" t="s">
        <v>1281</v>
      </c>
      <c r="BL118" s="57" t="s">
        <v>1281</v>
      </c>
      <c r="BM118" s="57" t="s">
        <v>1281</v>
      </c>
      <c r="BN118" s="57" t="s">
        <v>1281</v>
      </c>
      <c r="BO118" s="57" t="s">
        <v>1281</v>
      </c>
      <c r="BP118" s="57" t="s">
        <v>1281</v>
      </c>
      <c r="BQ118" s="57" t="s">
        <v>1281</v>
      </c>
      <c r="BR118" s="57" t="s">
        <v>1281</v>
      </c>
      <c r="BS118" s="57" t="s">
        <v>1281</v>
      </c>
      <c r="BT118" s="57" t="s">
        <v>1281</v>
      </c>
      <c r="BU118" s="57" t="s">
        <v>1281</v>
      </c>
      <c r="BV118" s="70">
        <f t="shared" si="786"/>
        <v>26</v>
      </c>
      <c r="BW118" s="71">
        <f t="shared" si="787"/>
        <v>62</v>
      </c>
      <c r="BX118" s="72">
        <f t="shared" si="788"/>
        <v>66</v>
      </c>
      <c r="BY118" s="71">
        <f t="shared" si="789"/>
        <v>98</v>
      </c>
      <c r="BZ118" s="72">
        <f t="shared" si="790"/>
        <v>102</v>
      </c>
      <c r="CA118" s="71">
        <f t="shared" si="791"/>
        <v>138</v>
      </c>
      <c r="CB118" s="72">
        <f t="shared" si="792"/>
        <v>146</v>
      </c>
      <c r="CC118" s="71">
        <f t="shared" si="793"/>
        <v>191</v>
      </c>
      <c r="CD118" s="72">
        <f t="shared" si="794"/>
        <v>196</v>
      </c>
      <c r="CE118" s="71">
        <f t="shared" si="795"/>
        <v>262</v>
      </c>
      <c r="CF118" s="72">
        <f t="shared" si="796"/>
        <v>304</v>
      </c>
      <c r="CG118" s="71">
        <f t="shared" si="797"/>
        <v>329</v>
      </c>
      <c r="CH118" s="70">
        <f t="shared" si="798"/>
        <v>61</v>
      </c>
      <c r="CI118" s="71">
        <f t="shared" si="799"/>
        <v>65</v>
      </c>
      <c r="CJ118" s="72">
        <f t="shared" si="800"/>
        <v>96</v>
      </c>
      <c r="CK118" s="72">
        <f t="shared" si="801"/>
        <v>101</v>
      </c>
      <c r="CL118" s="72">
        <f t="shared" si="802"/>
        <v>137</v>
      </c>
      <c r="CM118" s="72">
        <f t="shared" si="803"/>
        <v>145</v>
      </c>
      <c r="CN118" s="72">
        <f t="shared" si="804"/>
        <v>172</v>
      </c>
      <c r="CO118" s="72">
        <f t="shared" si="805"/>
        <v>193</v>
      </c>
      <c r="CP118" s="72">
        <f t="shared" si="806"/>
        <v>237</v>
      </c>
      <c r="CQ118" s="72">
        <f t="shared" si="807"/>
        <v>299</v>
      </c>
      <c r="CR118" s="72">
        <f t="shared" si="808"/>
        <v>328</v>
      </c>
      <c r="CS118" s="72">
        <f t="shared" si="809"/>
        <v>341</v>
      </c>
      <c r="CT118" s="23">
        <f t="shared" si="810"/>
        <v>1</v>
      </c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</row>
    <row r="119" spans="1:1029" x14ac:dyDescent="0.2">
      <c r="A119" s="3" t="str">
        <f t="shared" si="503"/>
        <v>adrb2_human_2RH1</v>
      </c>
      <c r="B119" s="3" t="s">
        <v>126</v>
      </c>
      <c r="C119" s="3" t="s">
        <v>75</v>
      </c>
      <c r="D119" s="3" t="str">
        <f>IFERROR(MID(VLOOKUP($B119,Seqs!$A:$B,2,0),E119,1),"")</f>
        <v>D</v>
      </c>
      <c r="E119" s="3">
        <v>29</v>
      </c>
      <c r="F119" s="3" t="str">
        <f>IFERROR(MID(VLOOKUP($B119,Seqs!$A:$B,2,0),G119,1),"")</f>
        <v>F</v>
      </c>
      <c r="G119" s="3">
        <v>61</v>
      </c>
      <c r="H119" s="3" t="str">
        <f>IFERROR(MID(VLOOKUP($B119,Seqs!$A:$B,2,0),I119,1),"")</f>
        <v>E</v>
      </c>
      <c r="I119" s="23">
        <v>62</v>
      </c>
      <c r="J119" s="3" t="str">
        <f>IFERROR(MID(VLOOKUP($B119,Seqs!$A:$B,2,0),K119,1),"")</f>
        <v>Q</v>
      </c>
      <c r="K119" s="23">
        <v>65</v>
      </c>
      <c r="L119" s="3" t="str">
        <f>IFERROR(MID(VLOOKUP($B119,Seqs!$A:$B,2,0),M119,1),"")</f>
        <v>T</v>
      </c>
      <c r="M119" s="3">
        <v>66</v>
      </c>
      <c r="N119" s="3" t="str">
        <f>IFERROR(MID(VLOOKUP($B119,Seqs!$A:$B,2,0),O119,1),"")</f>
        <v>M</v>
      </c>
      <c r="O119" s="3">
        <v>96</v>
      </c>
      <c r="P119" s="3" t="str">
        <f>IFERROR(MID(VLOOKUP($B119,Seqs!$A:$B,2,0),Q119,1),"")</f>
        <v>M</v>
      </c>
      <c r="Q119" s="3">
        <v>98</v>
      </c>
      <c r="R119" s="3" t="str">
        <f>IFERROR(MID(VLOOKUP($B119,Seqs!$A:$B,2,0),S119,1),"")</f>
        <v>F</v>
      </c>
      <c r="S119" s="3">
        <v>101</v>
      </c>
      <c r="T119" s="3" t="str">
        <f>IFERROR(MID(VLOOKUP($B119,Seqs!$A:$B,2,0),U119,1),"")</f>
        <v>G</v>
      </c>
      <c r="U119" s="3">
        <v>102</v>
      </c>
      <c r="V119" s="3" t="str">
        <f>IFERROR(MID(VLOOKUP($B119,Seqs!$A:$B,2,0),W119,1),"")</f>
        <v>S</v>
      </c>
      <c r="W119" s="3">
        <v>137</v>
      </c>
      <c r="X119" s="3" t="str">
        <f>IFERROR(MID(VLOOKUP($B119,Seqs!$A:$B,2,0),Y119,1),"")</f>
        <v/>
      </c>
      <c r="Y119" s="3" t="s">
        <v>23</v>
      </c>
      <c r="Z119" s="3" t="str">
        <f>IFERROR(MID(VLOOKUP($B119,Seqs!$A:$B,2,0),AA119,1),"")</f>
        <v/>
      </c>
      <c r="AA119" s="3" t="s">
        <v>23</v>
      </c>
      <c r="AB119" s="3" t="str">
        <f>IFERROR(MID(VLOOKUP($B119,Seqs!$A:$B,2,0),AC119,1),"")</f>
        <v>T</v>
      </c>
      <c r="AC119" s="9">
        <v>146</v>
      </c>
      <c r="AD119" s="3" t="str">
        <f>IFERROR(MID(VLOOKUP($B119,Seqs!$A:$B,2,0),AE119,1),"")</f>
        <v>H</v>
      </c>
      <c r="AE119" s="3">
        <v>172</v>
      </c>
      <c r="AF119" s="3" t="str">
        <f>IFERROR(MID(VLOOKUP($B119,Seqs!$A:$B,2,0),AG119,1),"")</f>
        <v>C</v>
      </c>
      <c r="AG119" s="3">
        <v>191</v>
      </c>
      <c r="AH119" s="3" t="str">
        <f>IFERROR(MID(VLOOKUP($B119,Seqs!$A:$B,2,0),AI119,1),"")</f>
        <v>F</v>
      </c>
      <c r="AI119" s="3">
        <v>193</v>
      </c>
      <c r="AJ119" s="3" t="str">
        <f>IFERROR(MID(VLOOKUP($B119,Seqs!$A:$B,2,0),AK119,1),"")</f>
        <v>N</v>
      </c>
      <c r="AK119" s="3">
        <v>196</v>
      </c>
      <c r="AL119" s="3" t="str">
        <f>IFERROR(MID(VLOOKUP($B119,Seqs!$A:$B,2,0),AM119,1),"")</f>
        <v>Q</v>
      </c>
      <c r="AM119" s="3">
        <v>229</v>
      </c>
      <c r="AN119" s="3" t="str">
        <f>IFERROR(MID(VLOOKUP($B119,Seqs!$A:$B,2,0),AO119,1),"")</f>
        <v>K</v>
      </c>
      <c r="AO119" s="3">
        <v>267</v>
      </c>
      <c r="AP119" s="3" t="str">
        <f>IFERROR(MID(VLOOKUP($B119,Seqs!$A:$B,2,0),AQ119,1),"")</f>
        <v>Q</v>
      </c>
      <c r="AQ119" s="3">
        <v>299</v>
      </c>
      <c r="AR119" s="3" t="str">
        <f>IFERROR(MID(VLOOKUP($B119,Seqs!$A:$B,2,0),AS119,1),"")</f>
        <v>R</v>
      </c>
      <c r="AS119" s="3">
        <v>304</v>
      </c>
      <c r="AT119" s="3" t="str">
        <f>IFERROR(MID(VLOOKUP($B119,Seqs!$A:$B,2,0),AU119,1),"")</f>
        <v>R</v>
      </c>
      <c r="AU119" s="3">
        <v>328</v>
      </c>
      <c r="AV119" s="3" t="str">
        <f>IFERROR(MID(VLOOKUP($B119,Seqs!$A:$B,2,0),AW119,1),"")</f>
        <v>S</v>
      </c>
      <c r="AW119" s="3">
        <v>329</v>
      </c>
      <c r="AX119" s="3" t="str">
        <f>IFERROR(MID(VLOOKUP($B119,Seqs!$A:$B,2,0),AY119,1),"")</f>
        <v>C</v>
      </c>
      <c r="AY119" s="3">
        <v>341</v>
      </c>
      <c r="AZ119" s="77" t="str">
        <f>VLOOKUP(B119,Classification!A:D,2,0)</f>
        <v>A</v>
      </c>
      <c r="BA119" s="94" t="str">
        <f>VLOOKUP(B119,Classification!A:D,4,0)</f>
        <v>Adrenoceptors</v>
      </c>
      <c r="BB119" s="27" t="b">
        <f t="shared" si="504"/>
        <v>1</v>
      </c>
      <c r="BC119" s="23">
        <f t="shared" si="785"/>
        <v>244</v>
      </c>
      <c r="BD119" s="4" t="s">
        <v>23</v>
      </c>
      <c r="BE119" s="3" t="s">
        <v>1368</v>
      </c>
      <c r="BF119" s="118">
        <v>2.4</v>
      </c>
      <c r="BG119" s="49" t="s">
        <v>1371</v>
      </c>
      <c r="BH119" s="49" t="s">
        <v>1371</v>
      </c>
      <c r="BI119" s="1"/>
      <c r="BJ119" s="70" t="s">
        <v>1281</v>
      </c>
      <c r="BK119" s="57" t="s">
        <v>1281</v>
      </c>
      <c r="BL119" s="57" t="s">
        <v>1281</v>
      </c>
      <c r="BM119" s="57" t="s">
        <v>1281</v>
      </c>
      <c r="BN119" s="57" t="s">
        <v>1281</v>
      </c>
      <c r="BO119" s="57" t="s">
        <v>1281</v>
      </c>
      <c r="BP119" s="57" t="s">
        <v>1281</v>
      </c>
      <c r="BQ119" s="57" t="s">
        <v>1281</v>
      </c>
      <c r="BR119" s="57" t="s">
        <v>1281</v>
      </c>
      <c r="BS119" s="57" t="s">
        <v>1281</v>
      </c>
      <c r="BT119" s="57" t="s">
        <v>1281</v>
      </c>
      <c r="BU119" s="57" t="s">
        <v>1281</v>
      </c>
      <c r="BV119" s="70">
        <f t="shared" si="786"/>
        <v>29</v>
      </c>
      <c r="BW119" s="71">
        <f t="shared" si="787"/>
        <v>62</v>
      </c>
      <c r="BX119" s="72">
        <f t="shared" si="788"/>
        <v>66</v>
      </c>
      <c r="BY119" s="71">
        <f t="shared" si="789"/>
        <v>98</v>
      </c>
      <c r="BZ119" s="72">
        <f t="shared" si="790"/>
        <v>102</v>
      </c>
      <c r="CA119" s="71" t="str">
        <f t="shared" si="791"/>
        <v>-</v>
      </c>
      <c r="CB119" s="72">
        <f t="shared" si="792"/>
        <v>146</v>
      </c>
      <c r="CC119" s="71">
        <f t="shared" si="793"/>
        <v>191</v>
      </c>
      <c r="CD119" s="72">
        <f t="shared" si="794"/>
        <v>196</v>
      </c>
      <c r="CE119" s="71">
        <f t="shared" si="795"/>
        <v>267</v>
      </c>
      <c r="CF119" s="72">
        <f t="shared" si="796"/>
        <v>304</v>
      </c>
      <c r="CG119" s="71">
        <f t="shared" si="797"/>
        <v>329</v>
      </c>
      <c r="CH119" s="70">
        <f t="shared" si="798"/>
        <v>61</v>
      </c>
      <c r="CI119" s="71">
        <f t="shared" si="799"/>
        <v>65</v>
      </c>
      <c r="CJ119" s="72">
        <f t="shared" si="800"/>
        <v>96</v>
      </c>
      <c r="CK119" s="72">
        <f t="shared" si="801"/>
        <v>101</v>
      </c>
      <c r="CL119" s="72">
        <f t="shared" si="802"/>
        <v>137</v>
      </c>
      <c r="CM119" s="72" t="str">
        <f t="shared" si="803"/>
        <v>-</v>
      </c>
      <c r="CN119" s="72">
        <f t="shared" si="804"/>
        <v>172</v>
      </c>
      <c r="CO119" s="72">
        <f t="shared" si="805"/>
        <v>193</v>
      </c>
      <c r="CP119" s="72">
        <f t="shared" si="806"/>
        <v>229</v>
      </c>
      <c r="CQ119" s="72">
        <f t="shared" si="807"/>
        <v>299</v>
      </c>
      <c r="CR119" s="72">
        <f t="shared" si="808"/>
        <v>328</v>
      </c>
      <c r="CS119" s="72">
        <f t="shared" si="809"/>
        <v>341</v>
      </c>
      <c r="CT119" s="23">
        <f t="shared" si="810"/>
        <v>1</v>
      </c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</row>
    <row r="120" spans="1:1029" x14ac:dyDescent="0.2">
      <c r="A120" s="3" t="str">
        <f t="shared" si="503"/>
        <v>adrb2_human_3D4S</v>
      </c>
      <c r="B120" s="3" t="s">
        <v>126</v>
      </c>
      <c r="C120" s="3" t="s">
        <v>76</v>
      </c>
      <c r="D120" s="3" t="str">
        <f>IFERROR(MID(VLOOKUP($B120,Seqs!$A:$B,2,0),E120,1),"")</f>
        <v>W</v>
      </c>
      <c r="E120" s="3">
        <v>32</v>
      </c>
      <c r="F120" s="3" t="str">
        <f>IFERROR(MID(VLOOKUP($B120,Seqs!$A:$B,2,0),G120,1),"")</f>
        <v>F</v>
      </c>
      <c r="G120" s="3">
        <v>61</v>
      </c>
      <c r="H120" s="3" t="str">
        <f>IFERROR(MID(VLOOKUP($B120,Seqs!$A:$B,2,0),I120,1),"")</f>
        <v>E</v>
      </c>
      <c r="I120" s="23">
        <v>62</v>
      </c>
      <c r="J120" s="3" t="str">
        <f>IFERROR(MID(VLOOKUP($B120,Seqs!$A:$B,2,0),K120,1),"")</f>
        <v>Q</v>
      </c>
      <c r="K120" s="23">
        <v>65</v>
      </c>
      <c r="L120" s="3" t="str">
        <f>IFERROR(MID(VLOOKUP($B120,Seqs!$A:$B,2,0),M120,1),"")</f>
        <v>T</v>
      </c>
      <c r="M120" s="3">
        <v>66</v>
      </c>
      <c r="N120" s="3" t="str">
        <f>IFERROR(MID(VLOOKUP($B120,Seqs!$A:$B,2,0),O120,1),"")</f>
        <v>M</v>
      </c>
      <c r="O120" s="3">
        <v>96</v>
      </c>
      <c r="P120" s="3" t="str">
        <f>IFERROR(MID(VLOOKUP($B120,Seqs!$A:$B,2,0),Q120,1),"")</f>
        <v>M</v>
      </c>
      <c r="Q120" s="3">
        <v>98</v>
      </c>
      <c r="R120" s="3" t="str">
        <f>IFERROR(MID(VLOOKUP($B120,Seqs!$A:$B,2,0),S120,1),"")</f>
        <v>F</v>
      </c>
      <c r="S120" s="3">
        <v>101</v>
      </c>
      <c r="T120" s="3" t="str">
        <f>IFERROR(MID(VLOOKUP($B120,Seqs!$A:$B,2,0),U120,1),"")</f>
        <v>G</v>
      </c>
      <c r="U120" s="3">
        <v>102</v>
      </c>
      <c r="V120" s="3" t="str">
        <f>IFERROR(MID(VLOOKUP($B120,Seqs!$A:$B,2,0),W120,1),"")</f>
        <v>S</v>
      </c>
      <c r="W120" s="3">
        <v>137</v>
      </c>
      <c r="X120" s="3" t="str">
        <f>IFERROR(MID(VLOOKUP($B120,Seqs!$A:$B,2,0),Y120,1),"")</f>
        <v/>
      </c>
      <c r="Y120" s="3" t="s">
        <v>23</v>
      </c>
      <c r="Z120" s="3" t="str">
        <f>IFERROR(MID(VLOOKUP($B120,Seqs!$A:$B,2,0),AA120,1),"")</f>
        <v/>
      </c>
      <c r="AA120" s="3" t="s">
        <v>23</v>
      </c>
      <c r="AB120" s="3" t="str">
        <f>IFERROR(MID(VLOOKUP($B120,Seqs!$A:$B,2,0),AC120,1),"")</f>
        <v>T</v>
      </c>
      <c r="AC120" s="9">
        <v>146</v>
      </c>
      <c r="AD120" s="3" t="str">
        <f>IFERROR(MID(VLOOKUP($B120,Seqs!$A:$B,2,0),AE120,1),"")</f>
        <v>H</v>
      </c>
      <c r="AE120" s="3">
        <v>172</v>
      </c>
      <c r="AF120" s="3" t="str">
        <f>IFERROR(MID(VLOOKUP($B120,Seqs!$A:$B,2,0),AG120,1),"")</f>
        <v>C</v>
      </c>
      <c r="AG120" s="3">
        <v>191</v>
      </c>
      <c r="AH120" s="3" t="str">
        <f>IFERROR(MID(VLOOKUP($B120,Seqs!$A:$B,2,0),AI120,1),"")</f>
        <v>F</v>
      </c>
      <c r="AI120" s="3">
        <v>193</v>
      </c>
      <c r="AJ120" s="3" t="str">
        <f>IFERROR(MID(VLOOKUP($B120,Seqs!$A:$B,2,0),AK120,1),"")</f>
        <v>N</v>
      </c>
      <c r="AK120" s="3">
        <v>196</v>
      </c>
      <c r="AL120" s="3" t="str">
        <f>IFERROR(MID(VLOOKUP($B120,Seqs!$A:$B,2,0),AM120,1),"")</f>
        <v>Q</v>
      </c>
      <c r="AM120" s="3">
        <v>229</v>
      </c>
      <c r="AN120" s="3" t="str">
        <f>IFERROR(MID(VLOOKUP($B120,Seqs!$A:$B,2,0),AO120,1),"")</f>
        <v>K</v>
      </c>
      <c r="AO120" s="3">
        <v>267</v>
      </c>
      <c r="AP120" s="3" t="str">
        <f>IFERROR(MID(VLOOKUP($B120,Seqs!$A:$B,2,0),AQ120,1),"")</f>
        <v>Q</v>
      </c>
      <c r="AQ120" s="3">
        <v>299</v>
      </c>
      <c r="AR120" s="3" t="str">
        <f>IFERROR(MID(VLOOKUP($B120,Seqs!$A:$B,2,0),AS120,1),"")</f>
        <v>R</v>
      </c>
      <c r="AS120" s="3">
        <v>304</v>
      </c>
      <c r="AT120" s="3" t="str">
        <f>IFERROR(MID(VLOOKUP($B120,Seqs!$A:$B,2,0),AU120,1),"")</f>
        <v>R</v>
      </c>
      <c r="AU120" s="3">
        <v>328</v>
      </c>
      <c r="AV120" s="3" t="str">
        <f>IFERROR(MID(VLOOKUP($B120,Seqs!$A:$B,2,0),AW120,1),"")</f>
        <v>S</v>
      </c>
      <c r="AW120" s="3">
        <v>329</v>
      </c>
      <c r="AX120" s="3" t="str">
        <f>IFERROR(MID(VLOOKUP($B120,Seqs!$A:$B,2,0),AY120,1),"")</f>
        <v>C</v>
      </c>
      <c r="AY120" s="3">
        <v>341</v>
      </c>
      <c r="AZ120" s="77" t="str">
        <f>VLOOKUP(B120,Classification!A:D,2,0)</f>
        <v>A</v>
      </c>
      <c r="BA120" s="94" t="str">
        <f>VLOOKUP(B120,Classification!A:D,4,0)</f>
        <v>Adrenoceptors</v>
      </c>
      <c r="BB120" s="27" t="b">
        <f t="shared" si="504"/>
        <v>1</v>
      </c>
      <c r="BC120" s="23">
        <f t="shared" si="785"/>
        <v>241</v>
      </c>
      <c r="BD120" s="4" t="s">
        <v>23</v>
      </c>
      <c r="BE120" s="3" t="s">
        <v>1368</v>
      </c>
      <c r="BF120" s="118">
        <v>2.8</v>
      </c>
      <c r="BG120" s="49" t="s">
        <v>1371</v>
      </c>
      <c r="BH120" s="49" t="s">
        <v>1371</v>
      </c>
      <c r="BI120" s="1"/>
      <c r="BJ120" s="70" t="s">
        <v>1281</v>
      </c>
      <c r="BK120" s="57" t="s">
        <v>1281</v>
      </c>
      <c r="BL120" s="57" t="s">
        <v>1281</v>
      </c>
      <c r="BM120" s="57" t="s">
        <v>1281</v>
      </c>
      <c r="BN120" s="57" t="s">
        <v>1281</v>
      </c>
      <c r="BO120" s="57" t="s">
        <v>1281</v>
      </c>
      <c r="BP120" s="57" t="s">
        <v>1281</v>
      </c>
      <c r="BQ120" s="57" t="s">
        <v>1281</v>
      </c>
      <c r="BR120" s="57" t="s">
        <v>1281</v>
      </c>
      <c r="BS120" s="57" t="s">
        <v>1281</v>
      </c>
      <c r="BT120" s="57" t="s">
        <v>1281</v>
      </c>
      <c r="BU120" s="57" t="s">
        <v>1281</v>
      </c>
      <c r="BV120" s="70">
        <f t="shared" si="786"/>
        <v>32</v>
      </c>
      <c r="BW120" s="71">
        <f t="shared" si="787"/>
        <v>62</v>
      </c>
      <c r="BX120" s="72">
        <f t="shared" si="788"/>
        <v>66</v>
      </c>
      <c r="BY120" s="71">
        <f t="shared" si="789"/>
        <v>98</v>
      </c>
      <c r="BZ120" s="72">
        <f t="shared" si="790"/>
        <v>102</v>
      </c>
      <c r="CA120" s="71" t="str">
        <f t="shared" si="791"/>
        <v>-</v>
      </c>
      <c r="CB120" s="72">
        <f t="shared" si="792"/>
        <v>146</v>
      </c>
      <c r="CC120" s="71">
        <f t="shared" si="793"/>
        <v>191</v>
      </c>
      <c r="CD120" s="72">
        <f t="shared" si="794"/>
        <v>196</v>
      </c>
      <c r="CE120" s="71">
        <f t="shared" si="795"/>
        <v>267</v>
      </c>
      <c r="CF120" s="72">
        <f t="shared" si="796"/>
        <v>304</v>
      </c>
      <c r="CG120" s="71">
        <f t="shared" si="797"/>
        <v>329</v>
      </c>
      <c r="CH120" s="70">
        <f t="shared" si="798"/>
        <v>61</v>
      </c>
      <c r="CI120" s="71">
        <f t="shared" si="799"/>
        <v>65</v>
      </c>
      <c r="CJ120" s="72">
        <f t="shared" si="800"/>
        <v>96</v>
      </c>
      <c r="CK120" s="72">
        <f t="shared" si="801"/>
        <v>101</v>
      </c>
      <c r="CL120" s="72">
        <f t="shared" si="802"/>
        <v>137</v>
      </c>
      <c r="CM120" s="72" t="str">
        <f t="shared" si="803"/>
        <v>-</v>
      </c>
      <c r="CN120" s="72">
        <f t="shared" si="804"/>
        <v>172</v>
      </c>
      <c r="CO120" s="72">
        <f t="shared" si="805"/>
        <v>193</v>
      </c>
      <c r="CP120" s="72">
        <f t="shared" si="806"/>
        <v>229</v>
      </c>
      <c r="CQ120" s="72">
        <f t="shared" si="807"/>
        <v>299</v>
      </c>
      <c r="CR120" s="72">
        <f t="shared" si="808"/>
        <v>328</v>
      </c>
      <c r="CS120" s="72">
        <f t="shared" si="809"/>
        <v>341</v>
      </c>
      <c r="CT120" s="23">
        <f t="shared" si="810"/>
        <v>1</v>
      </c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</row>
    <row r="121" spans="1:1029" x14ac:dyDescent="0.2">
      <c r="A121" s="3" t="str">
        <f t="shared" si="503"/>
        <v>adrb2_human_3NY8</v>
      </c>
      <c r="B121" s="3" t="s">
        <v>126</v>
      </c>
      <c r="C121" s="3" t="s">
        <v>1327</v>
      </c>
      <c r="D121" s="3" t="str">
        <f>IFERROR(MID(VLOOKUP($B121,Seqs!$A:$B,2,0),E121,1),"")</f>
        <v>W</v>
      </c>
      <c r="E121" s="3">
        <v>32</v>
      </c>
      <c r="F121" s="3" t="str">
        <f>IFERROR(MID(VLOOKUP($B121,Seqs!$A:$B,2,0),G121,1),"")</f>
        <v>F</v>
      </c>
      <c r="G121" s="3">
        <v>61</v>
      </c>
      <c r="H121" s="3" t="str">
        <f>IFERROR(MID(VLOOKUP($B121,Seqs!$A:$B,2,0),I121,1),"")</f>
        <v>E</v>
      </c>
      <c r="I121" s="23">
        <v>62</v>
      </c>
      <c r="J121" s="3" t="str">
        <f>IFERROR(MID(VLOOKUP($B121,Seqs!$A:$B,2,0),K121,1),"")</f>
        <v>Q</v>
      </c>
      <c r="K121" s="23">
        <v>65</v>
      </c>
      <c r="L121" s="3" t="str">
        <f>IFERROR(MID(VLOOKUP($B121,Seqs!$A:$B,2,0),M121,1),"")</f>
        <v>T</v>
      </c>
      <c r="M121" s="3">
        <v>66</v>
      </c>
      <c r="N121" s="3" t="str">
        <f>IFERROR(MID(VLOOKUP($B121,Seqs!$A:$B,2,0),O121,1),"")</f>
        <v>M</v>
      </c>
      <c r="O121" s="3">
        <v>96</v>
      </c>
      <c r="P121" s="3" t="str">
        <f>IFERROR(MID(VLOOKUP($B121,Seqs!$A:$B,2,0),Q121,1),"")</f>
        <v>M</v>
      </c>
      <c r="Q121" s="3">
        <v>98</v>
      </c>
      <c r="R121" s="3" t="str">
        <f>IFERROR(MID(VLOOKUP($B121,Seqs!$A:$B,2,0),S121,1),"")</f>
        <v>F</v>
      </c>
      <c r="S121" s="3">
        <v>101</v>
      </c>
      <c r="T121" s="3" t="str">
        <f>IFERROR(MID(VLOOKUP($B121,Seqs!$A:$B,2,0),U121,1),"")</f>
        <v>G</v>
      </c>
      <c r="U121" s="3">
        <v>102</v>
      </c>
      <c r="V121" s="3" t="str">
        <f>IFERROR(MID(VLOOKUP($B121,Seqs!$A:$B,2,0),W121,1),"")</f>
        <v>S</v>
      </c>
      <c r="W121" s="3">
        <v>137</v>
      </c>
      <c r="X121" s="3" t="str">
        <f>IFERROR(MID(VLOOKUP($B121,Seqs!$A:$B,2,0),Y121,1),"")</f>
        <v/>
      </c>
      <c r="Y121" s="3" t="s">
        <v>23</v>
      </c>
      <c r="Z121" s="3" t="str">
        <f>IFERROR(MID(VLOOKUP($B121,Seqs!$A:$B,2,0),AA121,1),"")</f>
        <v/>
      </c>
      <c r="AA121" s="3" t="s">
        <v>23</v>
      </c>
      <c r="AB121" s="3" t="str">
        <f>IFERROR(MID(VLOOKUP($B121,Seqs!$A:$B,2,0),AC121,1),"")</f>
        <v>T</v>
      </c>
      <c r="AC121" s="9">
        <v>146</v>
      </c>
      <c r="AD121" s="3" t="str">
        <f>IFERROR(MID(VLOOKUP($B121,Seqs!$A:$B,2,0),AE121,1),"")</f>
        <v>H</v>
      </c>
      <c r="AE121" s="3">
        <v>172</v>
      </c>
      <c r="AF121" s="3" t="str">
        <f>IFERROR(MID(VLOOKUP($B121,Seqs!$A:$B,2,0),AG121,1),"")</f>
        <v>C</v>
      </c>
      <c r="AG121" s="3">
        <v>191</v>
      </c>
      <c r="AH121" s="3" t="str">
        <f>IFERROR(MID(VLOOKUP($B121,Seqs!$A:$B,2,0),AI121,1),"")</f>
        <v>F</v>
      </c>
      <c r="AI121" s="3">
        <v>193</v>
      </c>
      <c r="AJ121" s="3" t="str">
        <f>IFERROR(MID(VLOOKUP($B121,Seqs!$A:$B,2,0),AK121,1),"")</f>
        <v>N</v>
      </c>
      <c r="AK121" s="3">
        <v>196</v>
      </c>
      <c r="AL121" s="3" t="str">
        <f>IFERROR(MID(VLOOKUP($B121,Seqs!$A:$B,2,0),AM121,1),"")</f>
        <v>Q</v>
      </c>
      <c r="AM121" s="3">
        <v>229</v>
      </c>
      <c r="AN121" s="3" t="str">
        <f>IFERROR(MID(VLOOKUP($B121,Seqs!$A:$B,2,0),AO121,1),"")</f>
        <v>K</v>
      </c>
      <c r="AO121" s="3">
        <v>267</v>
      </c>
      <c r="AP121" s="3" t="str">
        <f>IFERROR(MID(VLOOKUP($B121,Seqs!$A:$B,2,0),AQ121,1),"")</f>
        <v>Q</v>
      </c>
      <c r="AQ121" s="3">
        <v>299</v>
      </c>
      <c r="AR121" s="3" t="str">
        <f>IFERROR(MID(VLOOKUP($B121,Seqs!$A:$B,2,0),AS121,1),"")</f>
        <v>R</v>
      </c>
      <c r="AS121" s="3">
        <v>304</v>
      </c>
      <c r="AT121" s="3" t="str">
        <f>IFERROR(MID(VLOOKUP($B121,Seqs!$A:$B,2,0),AU121,1),"")</f>
        <v>R</v>
      </c>
      <c r="AU121" s="3">
        <v>328</v>
      </c>
      <c r="AV121" s="3" t="str">
        <f>IFERROR(MID(VLOOKUP($B121,Seqs!$A:$B,2,0),AW121,1),"")</f>
        <v>S</v>
      </c>
      <c r="AW121" s="3">
        <v>329</v>
      </c>
      <c r="AX121" s="3" t="str">
        <f>IFERROR(MID(VLOOKUP($B121,Seqs!$A:$B,2,0),AY121,1),"")</f>
        <v>C</v>
      </c>
      <c r="AY121" s="3">
        <v>341</v>
      </c>
      <c r="AZ121" s="77" t="str">
        <f>VLOOKUP(B121,Classification!A:D,2,0)</f>
        <v>A</v>
      </c>
      <c r="BA121" s="94" t="str">
        <f>VLOOKUP(B121,Classification!A:D,4,0)</f>
        <v>Adrenoceptors</v>
      </c>
      <c r="BB121" s="27" t="b">
        <f t="shared" si="504"/>
        <v>1</v>
      </c>
      <c r="BC121" s="23">
        <f t="shared" si="785"/>
        <v>241</v>
      </c>
      <c r="BD121" s="4" t="s">
        <v>23</v>
      </c>
      <c r="BE121" s="3" t="s">
        <v>1368</v>
      </c>
      <c r="BF121" s="118">
        <v>2.84</v>
      </c>
      <c r="BG121" s="49" t="s">
        <v>1371</v>
      </c>
      <c r="BH121" s="49" t="s">
        <v>1371</v>
      </c>
      <c r="BI121" s="1"/>
      <c r="BJ121" s="70" t="s">
        <v>1281</v>
      </c>
      <c r="BK121" s="57" t="s">
        <v>1281</v>
      </c>
      <c r="BL121" s="57" t="s">
        <v>1281</v>
      </c>
      <c r="BM121" s="57" t="s">
        <v>1281</v>
      </c>
      <c r="BN121" s="57" t="s">
        <v>1281</v>
      </c>
      <c r="BO121" s="57" t="s">
        <v>1281</v>
      </c>
      <c r="BP121" s="57" t="s">
        <v>1281</v>
      </c>
      <c r="BQ121" s="57" t="s">
        <v>1281</v>
      </c>
      <c r="BR121" s="57" t="s">
        <v>1281</v>
      </c>
      <c r="BS121" s="57" t="s">
        <v>1281</v>
      </c>
      <c r="BT121" s="57" t="s">
        <v>1281</v>
      </c>
      <c r="BU121" s="57" t="s">
        <v>1281</v>
      </c>
      <c r="BV121" s="70">
        <f t="shared" si="786"/>
        <v>32</v>
      </c>
      <c r="BW121" s="71">
        <f t="shared" si="787"/>
        <v>62</v>
      </c>
      <c r="BX121" s="72">
        <f t="shared" si="788"/>
        <v>66</v>
      </c>
      <c r="BY121" s="71">
        <f t="shared" si="789"/>
        <v>98</v>
      </c>
      <c r="BZ121" s="72">
        <f t="shared" si="790"/>
        <v>102</v>
      </c>
      <c r="CA121" s="71" t="str">
        <f t="shared" si="791"/>
        <v>-</v>
      </c>
      <c r="CB121" s="72">
        <f t="shared" si="792"/>
        <v>146</v>
      </c>
      <c r="CC121" s="71">
        <f t="shared" si="793"/>
        <v>191</v>
      </c>
      <c r="CD121" s="72">
        <f t="shared" si="794"/>
        <v>196</v>
      </c>
      <c r="CE121" s="71">
        <f t="shared" si="795"/>
        <v>267</v>
      </c>
      <c r="CF121" s="72">
        <f t="shared" si="796"/>
        <v>304</v>
      </c>
      <c r="CG121" s="71">
        <f t="shared" si="797"/>
        <v>329</v>
      </c>
      <c r="CH121" s="70">
        <f t="shared" si="798"/>
        <v>61</v>
      </c>
      <c r="CI121" s="71">
        <f t="shared" si="799"/>
        <v>65</v>
      </c>
      <c r="CJ121" s="72">
        <f t="shared" si="800"/>
        <v>96</v>
      </c>
      <c r="CK121" s="72">
        <f t="shared" si="801"/>
        <v>101</v>
      </c>
      <c r="CL121" s="72">
        <f t="shared" si="802"/>
        <v>137</v>
      </c>
      <c r="CM121" s="72" t="str">
        <f t="shared" si="803"/>
        <v>-</v>
      </c>
      <c r="CN121" s="72">
        <f t="shared" si="804"/>
        <v>172</v>
      </c>
      <c r="CO121" s="72">
        <f t="shared" si="805"/>
        <v>193</v>
      </c>
      <c r="CP121" s="72">
        <f t="shared" si="806"/>
        <v>229</v>
      </c>
      <c r="CQ121" s="72">
        <f t="shared" si="807"/>
        <v>299</v>
      </c>
      <c r="CR121" s="72">
        <f t="shared" si="808"/>
        <v>328</v>
      </c>
      <c r="CS121" s="72">
        <f t="shared" si="809"/>
        <v>341</v>
      </c>
      <c r="CT121" s="23">
        <f t="shared" si="810"/>
        <v>1</v>
      </c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  <c r="AMO121" s="1"/>
    </row>
    <row r="122" spans="1:1029" x14ac:dyDescent="0.2">
      <c r="A122" s="3" t="str">
        <f t="shared" si="503"/>
        <v>adrb2_human_3NY9</v>
      </c>
      <c r="B122" s="3" t="s">
        <v>126</v>
      </c>
      <c r="C122" s="3" t="s">
        <v>1023</v>
      </c>
      <c r="D122" s="3" t="str">
        <f>IFERROR(MID(VLOOKUP($B122,Seqs!$A:$B,2,0),E122,1),"")</f>
        <v>W</v>
      </c>
      <c r="E122" s="3">
        <v>32</v>
      </c>
      <c r="F122" s="3" t="str">
        <f>IFERROR(MID(VLOOKUP($B122,Seqs!$A:$B,2,0),G122,1),"")</f>
        <v>F</v>
      </c>
      <c r="G122" s="3">
        <v>61</v>
      </c>
      <c r="H122" s="3" t="str">
        <f>IFERROR(MID(VLOOKUP($B122,Seqs!$A:$B,2,0),I122,1),"")</f>
        <v>E</v>
      </c>
      <c r="I122" s="23">
        <v>62</v>
      </c>
      <c r="J122" s="3" t="str">
        <f>IFERROR(MID(VLOOKUP($B122,Seqs!$A:$B,2,0),K122,1),"")</f>
        <v>Q</v>
      </c>
      <c r="K122" s="23">
        <v>65</v>
      </c>
      <c r="L122" s="3" t="str">
        <f>IFERROR(MID(VLOOKUP($B122,Seqs!$A:$B,2,0),M122,1),"")</f>
        <v>T</v>
      </c>
      <c r="M122" s="3">
        <v>66</v>
      </c>
      <c r="N122" s="3" t="str">
        <f>IFERROR(MID(VLOOKUP($B122,Seqs!$A:$B,2,0),O122,1),"")</f>
        <v>M</v>
      </c>
      <c r="O122" s="3">
        <v>96</v>
      </c>
      <c r="P122" s="3" t="str">
        <f>IFERROR(MID(VLOOKUP($B122,Seqs!$A:$B,2,0),Q122,1),"")</f>
        <v>M</v>
      </c>
      <c r="Q122" s="3">
        <v>98</v>
      </c>
      <c r="R122" s="3" t="str">
        <f>IFERROR(MID(VLOOKUP($B122,Seqs!$A:$B,2,0),S122,1),"")</f>
        <v>F</v>
      </c>
      <c r="S122" s="3">
        <v>101</v>
      </c>
      <c r="T122" s="3" t="str">
        <f>IFERROR(MID(VLOOKUP($B122,Seqs!$A:$B,2,0),U122,1),"")</f>
        <v>G</v>
      </c>
      <c r="U122" s="3">
        <v>102</v>
      </c>
      <c r="V122" s="3" t="str">
        <f>IFERROR(MID(VLOOKUP($B122,Seqs!$A:$B,2,0),W122,1),"")</f>
        <v>S</v>
      </c>
      <c r="W122" s="3">
        <v>137</v>
      </c>
      <c r="X122" s="3" t="str">
        <f>IFERROR(MID(VLOOKUP($B122,Seqs!$A:$B,2,0),Y122,1),"")</f>
        <v/>
      </c>
      <c r="Y122" s="3" t="s">
        <v>23</v>
      </c>
      <c r="Z122" s="3" t="str">
        <f>IFERROR(MID(VLOOKUP($B122,Seqs!$A:$B,2,0),AA122,1),"")</f>
        <v/>
      </c>
      <c r="AA122" s="3" t="s">
        <v>23</v>
      </c>
      <c r="AB122" s="3" t="str">
        <f>IFERROR(MID(VLOOKUP($B122,Seqs!$A:$B,2,0),AC122,1),"")</f>
        <v>T</v>
      </c>
      <c r="AC122" s="9">
        <v>146</v>
      </c>
      <c r="AD122" s="3" t="str">
        <f>IFERROR(MID(VLOOKUP($B122,Seqs!$A:$B,2,0),AE122,1),"")</f>
        <v>H</v>
      </c>
      <c r="AE122" s="3">
        <v>172</v>
      </c>
      <c r="AF122" s="3" t="str">
        <f>IFERROR(MID(VLOOKUP($B122,Seqs!$A:$B,2,0),AG122,1),"")</f>
        <v>C</v>
      </c>
      <c r="AG122" s="3">
        <v>191</v>
      </c>
      <c r="AH122" s="3" t="str">
        <f>IFERROR(MID(VLOOKUP($B122,Seqs!$A:$B,2,0),AI122,1),"")</f>
        <v>F</v>
      </c>
      <c r="AI122" s="3">
        <v>193</v>
      </c>
      <c r="AJ122" s="3" t="str">
        <f>IFERROR(MID(VLOOKUP($B122,Seqs!$A:$B,2,0),AK122,1),"")</f>
        <v>N</v>
      </c>
      <c r="AK122" s="3">
        <v>196</v>
      </c>
      <c r="AL122" s="3" t="str">
        <f>IFERROR(MID(VLOOKUP($B122,Seqs!$A:$B,2,0),AM122,1),"")</f>
        <v>Q</v>
      </c>
      <c r="AM122" s="3">
        <v>229</v>
      </c>
      <c r="AN122" s="3" t="str">
        <f>IFERROR(MID(VLOOKUP($B122,Seqs!$A:$B,2,0),AO122,1),"")</f>
        <v>K</v>
      </c>
      <c r="AO122" s="3">
        <v>267</v>
      </c>
      <c r="AP122" s="3" t="str">
        <f>IFERROR(MID(VLOOKUP($B122,Seqs!$A:$B,2,0),AQ122,1),"")</f>
        <v>Q</v>
      </c>
      <c r="AQ122" s="3">
        <v>299</v>
      </c>
      <c r="AR122" s="3" t="str">
        <f>IFERROR(MID(VLOOKUP($B122,Seqs!$A:$B,2,0),AS122,1),"")</f>
        <v>R</v>
      </c>
      <c r="AS122" s="3">
        <v>304</v>
      </c>
      <c r="AT122" s="3" t="str">
        <f>IFERROR(MID(VLOOKUP($B122,Seqs!$A:$B,2,0),AU122,1),"")</f>
        <v>R</v>
      </c>
      <c r="AU122" s="3">
        <v>328</v>
      </c>
      <c r="AV122" s="3" t="str">
        <f>IFERROR(MID(VLOOKUP($B122,Seqs!$A:$B,2,0),AW122,1),"")</f>
        <v>S</v>
      </c>
      <c r="AW122" s="3">
        <v>329</v>
      </c>
      <c r="AX122" s="3" t="str">
        <f>IFERROR(MID(VLOOKUP($B122,Seqs!$A:$B,2,0),AY122,1),"")</f>
        <v>C</v>
      </c>
      <c r="AY122" s="3">
        <v>341</v>
      </c>
      <c r="AZ122" s="77" t="str">
        <f>VLOOKUP(B122,Classification!A:D,2,0)</f>
        <v>A</v>
      </c>
      <c r="BA122" s="94" t="str">
        <f>VLOOKUP(B122,Classification!A:D,4,0)</f>
        <v>Adrenoceptors</v>
      </c>
      <c r="BB122" s="27" t="b">
        <f t="shared" si="504"/>
        <v>1</v>
      </c>
      <c r="BC122" s="23">
        <f t="shared" si="785"/>
        <v>241</v>
      </c>
      <c r="BD122" s="4" t="s">
        <v>23</v>
      </c>
      <c r="BE122" s="3" t="s">
        <v>1368</v>
      </c>
      <c r="BF122" s="118">
        <v>2.84</v>
      </c>
      <c r="BG122" s="49" t="s">
        <v>1371</v>
      </c>
      <c r="BH122" s="49" t="s">
        <v>1371</v>
      </c>
      <c r="BI122" s="1"/>
      <c r="BJ122" s="70" t="s">
        <v>1281</v>
      </c>
      <c r="BK122" s="57" t="s">
        <v>1281</v>
      </c>
      <c r="BL122" s="57" t="s">
        <v>1281</v>
      </c>
      <c r="BM122" s="57" t="s">
        <v>1281</v>
      </c>
      <c r="BN122" s="57" t="s">
        <v>1281</v>
      </c>
      <c r="BO122" s="57" t="s">
        <v>1281</v>
      </c>
      <c r="BP122" s="57" t="s">
        <v>1281</v>
      </c>
      <c r="BQ122" s="57" t="s">
        <v>1281</v>
      </c>
      <c r="BR122" s="57" t="s">
        <v>1281</v>
      </c>
      <c r="BS122" s="57" t="s">
        <v>1281</v>
      </c>
      <c r="BT122" s="57" t="s">
        <v>1281</v>
      </c>
      <c r="BU122" s="57" t="s">
        <v>1281</v>
      </c>
      <c r="BV122" s="70">
        <f t="shared" si="786"/>
        <v>32</v>
      </c>
      <c r="BW122" s="71">
        <f t="shared" si="787"/>
        <v>62</v>
      </c>
      <c r="BX122" s="72">
        <f t="shared" si="788"/>
        <v>66</v>
      </c>
      <c r="BY122" s="71">
        <f t="shared" si="789"/>
        <v>98</v>
      </c>
      <c r="BZ122" s="72">
        <f t="shared" si="790"/>
        <v>102</v>
      </c>
      <c r="CA122" s="71" t="str">
        <f t="shared" si="791"/>
        <v>-</v>
      </c>
      <c r="CB122" s="72">
        <f t="shared" si="792"/>
        <v>146</v>
      </c>
      <c r="CC122" s="71">
        <f t="shared" si="793"/>
        <v>191</v>
      </c>
      <c r="CD122" s="72">
        <f t="shared" si="794"/>
        <v>196</v>
      </c>
      <c r="CE122" s="71">
        <f t="shared" si="795"/>
        <v>267</v>
      </c>
      <c r="CF122" s="72">
        <f t="shared" si="796"/>
        <v>304</v>
      </c>
      <c r="CG122" s="71">
        <f t="shared" si="797"/>
        <v>329</v>
      </c>
      <c r="CH122" s="70">
        <f t="shared" si="798"/>
        <v>61</v>
      </c>
      <c r="CI122" s="71">
        <f t="shared" si="799"/>
        <v>65</v>
      </c>
      <c r="CJ122" s="72">
        <f t="shared" si="800"/>
        <v>96</v>
      </c>
      <c r="CK122" s="72">
        <f t="shared" si="801"/>
        <v>101</v>
      </c>
      <c r="CL122" s="72">
        <f t="shared" si="802"/>
        <v>137</v>
      </c>
      <c r="CM122" s="72" t="str">
        <f t="shared" si="803"/>
        <v>-</v>
      </c>
      <c r="CN122" s="72">
        <f t="shared" si="804"/>
        <v>172</v>
      </c>
      <c r="CO122" s="72">
        <f t="shared" si="805"/>
        <v>193</v>
      </c>
      <c r="CP122" s="72">
        <f t="shared" si="806"/>
        <v>229</v>
      </c>
      <c r="CQ122" s="72">
        <f t="shared" si="807"/>
        <v>299</v>
      </c>
      <c r="CR122" s="72">
        <f t="shared" si="808"/>
        <v>328</v>
      </c>
      <c r="CS122" s="72">
        <f t="shared" si="809"/>
        <v>341</v>
      </c>
      <c r="CT122" s="23">
        <f t="shared" si="810"/>
        <v>1</v>
      </c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  <c r="AMO122" s="1"/>
    </row>
    <row r="123" spans="1:1029" x14ac:dyDescent="0.2">
      <c r="A123" s="3" t="str">
        <f t="shared" si="503"/>
        <v>adrb2_human_3NYA</v>
      </c>
      <c r="B123" s="3" t="s">
        <v>126</v>
      </c>
      <c r="C123" s="3" t="s">
        <v>1328</v>
      </c>
      <c r="D123" s="3" t="str">
        <f>IFERROR(MID(VLOOKUP($B123,Seqs!$A:$B,2,0),E123,1),"")</f>
        <v>W</v>
      </c>
      <c r="E123" s="3">
        <v>32</v>
      </c>
      <c r="F123" s="3" t="str">
        <f>IFERROR(MID(VLOOKUP($B123,Seqs!$A:$B,2,0),G123,1),"")</f>
        <v>F</v>
      </c>
      <c r="G123" s="3">
        <v>61</v>
      </c>
      <c r="H123" s="3" t="str">
        <f>IFERROR(MID(VLOOKUP($B123,Seqs!$A:$B,2,0),I123,1),"")</f>
        <v>E</v>
      </c>
      <c r="I123" s="23">
        <v>62</v>
      </c>
      <c r="J123" s="3" t="str">
        <f>IFERROR(MID(VLOOKUP($B123,Seqs!$A:$B,2,0),K123,1),"")</f>
        <v>Q</v>
      </c>
      <c r="K123" s="23">
        <v>65</v>
      </c>
      <c r="L123" s="3" t="str">
        <f>IFERROR(MID(VLOOKUP($B123,Seqs!$A:$B,2,0),M123,1),"")</f>
        <v>T</v>
      </c>
      <c r="M123" s="3">
        <v>66</v>
      </c>
      <c r="N123" s="3" t="str">
        <f>IFERROR(MID(VLOOKUP($B123,Seqs!$A:$B,2,0),O123,1),"")</f>
        <v>M</v>
      </c>
      <c r="O123" s="3">
        <v>96</v>
      </c>
      <c r="P123" s="3" t="str">
        <f>IFERROR(MID(VLOOKUP($B123,Seqs!$A:$B,2,0),Q123,1),"")</f>
        <v>M</v>
      </c>
      <c r="Q123" s="3">
        <v>98</v>
      </c>
      <c r="R123" s="3" t="str">
        <f>IFERROR(MID(VLOOKUP($B123,Seqs!$A:$B,2,0),S123,1),"")</f>
        <v>F</v>
      </c>
      <c r="S123" s="3">
        <v>101</v>
      </c>
      <c r="T123" s="3" t="str">
        <f>IFERROR(MID(VLOOKUP($B123,Seqs!$A:$B,2,0),U123,1),"")</f>
        <v>G</v>
      </c>
      <c r="U123" s="3">
        <v>102</v>
      </c>
      <c r="V123" s="3" t="str">
        <f>IFERROR(MID(VLOOKUP($B123,Seqs!$A:$B,2,0),W123,1),"")</f>
        <v>S</v>
      </c>
      <c r="W123" s="3">
        <v>137</v>
      </c>
      <c r="X123" s="3" t="str">
        <f>IFERROR(MID(VLOOKUP($B123,Seqs!$A:$B,2,0),Y123,1),"")</f>
        <v/>
      </c>
      <c r="Y123" s="3" t="s">
        <v>23</v>
      </c>
      <c r="Z123" s="3" t="str">
        <f>IFERROR(MID(VLOOKUP($B123,Seqs!$A:$B,2,0),AA123,1),"")</f>
        <v/>
      </c>
      <c r="AA123" s="3" t="s">
        <v>23</v>
      </c>
      <c r="AB123" s="3" t="str">
        <f>IFERROR(MID(VLOOKUP($B123,Seqs!$A:$B,2,0),AC123,1),"")</f>
        <v>T</v>
      </c>
      <c r="AC123" s="9">
        <v>146</v>
      </c>
      <c r="AD123" s="3" t="str">
        <f>IFERROR(MID(VLOOKUP($B123,Seqs!$A:$B,2,0),AE123,1),"")</f>
        <v>H</v>
      </c>
      <c r="AE123" s="3">
        <v>172</v>
      </c>
      <c r="AF123" s="3" t="str">
        <f>IFERROR(MID(VLOOKUP($B123,Seqs!$A:$B,2,0),AG123,1),"")</f>
        <v>C</v>
      </c>
      <c r="AG123" s="3">
        <v>191</v>
      </c>
      <c r="AH123" s="3" t="str">
        <f>IFERROR(MID(VLOOKUP($B123,Seqs!$A:$B,2,0),AI123,1),"")</f>
        <v>F</v>
      </c>
      <c r="AI123" s="3">
        <v>193</v>
      </c>
      <c r="AJ123" s="3" t="str">
        <f>IFERROR(MID(VLOOKUP($B123,Seqs!$A:$B,2,0),AK123,1),"")</f>
        <v>N</v>
      </c>
      <c r="AK123" s="3">
        <v>196</v>
      </c>
      <c r="AL123" s="3" t="str">
        <f>IFERROR(MID(VLOOKUP($B123,Seqs!$A:$B,2,0),AM123,1),"")</f>
        <v>Q</v>
      </c>
      <c r="AM123" s="3">
        <v>229</v>
      </c>
      <c r="AN123" s="3" t="str">
        <f>IFERROR(MID(VLOOKUP($B123,Seqs!$A:$B,2,0),AO123,1),"")</f>
        <v>K</v>
      </c>
      <c r="AO123" s="3">
        <v>267</v>
      </c>
      <c r="AP123" s="3" t="str">
        <f>IFERROR(MID(VLOOKUP($B123,Seqs!$A:$B,2,0),AQ123,1),"")</f>
        <v>Q</v>
      </c>
      <c r="AQ123" s="3">
        <v>299</v>
      </c>
      <c r="AR123" s="3" t="str">
        <f>IFERROR(MID(VLOOKUP($B123,Seqs!$A:$B,2,0),AS123,1),"")</f>
        <v>R</v>
      </c>
      <c r="AS123" s="3">
        <v>304</v>
      </c>
      <c r="AT123" s="3" t="str">
        <f>IFERROR(MID(VLOOKUP($B123,Seqs!$A:$B,2,0),AU123,1),"")</f>
        <v>R</v>
      </c>
      <c r="AU123" s="3">
        <v>328</v>
      </c>
      <c r="AV123" s="3" t="str">
        <f>IFERROR(MID(VLOOKUP($B123,Seqs!$A:$B,2,0),AW123,1),"")</f>
        <v>S</v>
      </c>
      <c r="AW123" s="3">
        <v>329</v>
      </c>
      <c r="AX123" s="3" t="str">
        <f>IFERROR(MID(VLOOKUP($B123,Seqs!$A:$B,2,0),AY123,1),"")</f>
        <v>C</v>
      </c>
      <c r="AY123" s="3">
        <v>341</v>
      </c>
      <c r="AZ123" s="77" t="str">
        <f>VLOOKUP(B123,Classification!A:D,2,0)</f>
        <v>A</v>
      </c>
      <c r="BA123" s="94" t="str">
        <f>VLOOKUP(B123,Classification!A:D,4,0)</f>
        <v>Adrenoceptors</v>
      </c>
      <c r="BB123" s="27" t="b">
        <f t="shared" si="504"/>
        <v>1</v>
      </c>
      <c r="BC123" s="23">
        <f t="shared" si="785"/>
        <v>241</v>
      </c>
      <c r="BD123" s="4" t="s">
        <v>23</v>
      </c>
      <c r="BE123" s="3" t="s">
        <v>1368</v>
      </c>
      <c r="BF123" s="118">
        <v>3.16</v>
      </c>
      <c r="BG123" s="49" t="s">
        <v>1371</v>
      </c>
      <c r="BH123" s="49" t="s">
        <v>1371</v>
      </c>
      <c r="BI123" s="1"/>
      <c r="BJ123" s="70" t="s">
        <v>1281</v>
      </c>
      <c r="BK123" s="57" t="s">
        <v>1281</v>
      </c>
      <c r="BL123" s="57" t="s">
        <v>1281</v>
      </c>
      <c r="BM123" s="57" t="s">
        <v>1281</v>
      </c>
      <c r="BN123" s="57" t="s">
        <v>1281</v>
      </c>
      <c r="BO123" s="57" t="s">
        <v>1281</v>
      </c>
      <c r="BP123" s="57" t="s">
        <v>1281</v>
      </c>
      <c r="BQ123" s="57" t="s">
        <v>1281</v>
      </c>
      <c r="BR123" s="57" t="s">
        <v>1281</v>
      </c>
      <c r="BS123" s="57" t="s">
        <v>1281</v>
      </c>
      <c r="BT123" s="57" t="s">
        <v>1281</v>
      </c>
      <c r="BU123" s="57" t="s">
        <v>1281</v>
      </c>
      <c r="BV123" s="70">
        <f t="shared" si="786"/>
        <v>32</v>
      </c>
      <c r="BW123" s="71">
        <f t="shared" si="787"/>
        <v>62</v>
      </c>
      <c r="BX123" s="72">
        <f t="shared" si="788"/>
        <v>66</v>
      </c>
      <c r="BY123" s="71">
        <f t="shared" si="789"/>
        <v>98</v>
      </c>
      <c r="BZ123" s="72">
        <f t="shared" si="790"/>
        <v>102</v>
      </c>
      <c r="CA123" s="71" t="str">
        <f t="shared" si="791"/>
        <v>-</v>
      </c>
      <c r="CB123" s="72">
        <f t="shared" si="792"/>
        <v>146</v>
      </c>
      <c r="CC123" s="71">
        <f t="shared" si="793"/>
        <v>191</v>
      </c>
      <c r="CD123" s="72">
        <f t="shared" si="794"/>
        <v>196</v>
      </c>
      <c r="CE123" s="71">
        <f t="shared" si="795"/>
        <v>267</v>
      </c>
      <c r="CF123" s="72">
        <f t="shared" si="796"/>
        <v>304</v>
      </c>
      <c r="CG123" s="71">
        <f t="shared" si="797"/>
        <v>329</v>
      </c>
      <c r="CH123" s="70">
        <f t="shared" si="798"/>
        <v>61</v>
      </c>
      <c r="CI123" s="71">
        <f t="shared" si="799"/>
        <v>65</v>
      </c>
      <c r="CJ123" s="72">
        <f t="shared" si="800"/>
        <v>96</v>
      </c>
      <c r="CK123" s="72">
        <f t="shared" si="801"/>
        <v>101</v>
      </c>
      <c r="CL123" s="72">
        <f t="shared" si="802"/>
        <v>137</v>
      </c>
      <c r="CM123" s="72" t="str">
        <f t="shared" si="803"/>
        <v>-</v>
      </c>
      <c r="CN123" s="72">
        <f t="shared" si="804"/>
        <v>172</v>
      </c>
      <c r="CO123" s="72">
        <f t="shared" si="805"/>
        <v>193</v>
      </c>
      <c r="CP123" s="72">
        <f t="shared" si="806"/>
        <v>229</v>
      </c>
      <c r="CQ123" s="72">
        <f t="shared" si="807"/>
        <v>299</v>
      </c>
      <c r="CR123" s="72">
        <f t="shared" si="808"/>
        <v>328</v>
      </c>
      <c r="CS123" s="72">
        <f t="shared" si="809"/>
        <v>341</v>
      </c>
      <c r="CT123" s="23">
        <f t="shared" si="810"/>
        <v>1</v>
      </c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  <c r="AMM123" s="1"/>
      <c r="AMN123" s="1"/>
      <c r="AMO123" s="1"/>
    </row>
    <row r="124" spans="1:1029" x14ac:dyDescent="0.2">
      <c r="A124" s="3" t="str">
        <f t="shared" si="503"/>
        <v>adrb2_human_3P0G</v>
      </c>
      <c r="B124" s="3" t="s">
        <v>126</v>
      </c>
      <c r="C124" s="3" t="s">
        <v>66</v>
      </c>
      <c r="D124" s="3" t="str">
        <f>IFERROR(MID(VLOOKUP($B124,Seqs!$A:$B,2,0),E124,1),"")</f>
        <v>Q</v>
      </c>
      <c r="E124" s="3">
        <v>26</v>
      </c>
      <c r="F124" s="3" t="str">
        <f>IFERROR(MID(VLOOKUP($B124,Seqs!$A:$B,2,0),G124,1),"")</f>
        <v>F</v>
      </c>
      <c r="G124" s="3">
        <v>61</v>
      </c>
      <c r="H124" s="3" t="str">
        <f>IFERROR(MID(VLOOKUP($B124,Seqs!$A:$B,2,0),I124,1),"")</f>
        <v>E</v>
      </c>
      <c r="I124" s="23">
        <v>62</v>
      </c>
      <c r="J124" s="3" t="str">
        <f>IFERROR(MID(VLOOKUP($B124,Seqs!$A:$B,2,0),K124,1),"")</f>
        <v>Q</v>
      </c>
      <c r="K124" s="23">
        <v>65</v>
      </c>
      <c r="L124" s="3" t="str">
        <f>IFERROR(MID(VLOOKUP($B124,Seqs!$A:$B,2,0),M124,1),"")</f>
        <v>T</v>
      </c>
      <c r="M124" s="3">
        <v>66</v>
      </c>
      <c r="N124" s="3" t="str">
        <f>IFERROR(MID(VLOOKUP($B124,Seqs!$A:$B,2,0),O124,1),"")</f>
        <v>M</v>
      </c>
      <c r="O124" s="3">
        <v>96</v>
      </c>
      <c r="P124" s="3" t="str">
        <f>IFERROR(MID(VLOOKUP($B124,Seqs!$A:$B,2,0),Q124,1),"")</f>
        <v>M</v>
      </c>
      <c r="Q124" s="3">
        <v>98</v>
      </c>
      <c r="R124" s="3" t="str">
        <f>IFERROR(MID(VLOOKUP($B124,Seqs!$A:$B,2,0),S124,1),"")</f>
        <v>F</v>
      </c>
      <c r="S124" s="3">
        <v>101</v>
      </c>
      <c r="T124" s="3" t="str">
        <f>IFERROR(MID(VLOOKUP($B124,Seqs!$A:$B,2,0),U124,1),"")</f>
        <v>G</v>
      </c>
      <c r="U124" s="3">
        <v>102</v>
      </c>
      <c r="V124" s="3" t="str">
        <f>IFERROR(MID(VLOOKUP($B124,Seqs!$A:$B,2,0),W124,1),"")</f>
        <v>S</v>
      </c>
      <c r="W124" s="3">
        <v>137</v>
      </c>
      <c r="X124" s="3" t="str">
        <f>IFERROR(MID(VLOOKUP($B124,Seqs!$A:$B,2,0),Y124,1),"")</f>
        <v>P</v>
      </c>
      <c r="Y124" s="3">
        <v>138</v>
      </c>
      <c r="Z124" s="3" t="str">
        <f>IFERROR(MID(VLOOKUP($B124,Seqs!$A:$B,2,0),AA124,1),"")</f>
        <v>L</v>
      </c>
      <c r="AA124" s="3">
        <v>145</v>
      </c>
      <c r="AB124" s="3" t="str">
        <f>IFERROR(MID(VLOOKUP($B124,Seqs!$A:$B,2,0),AC124,1),"")</f>
        <v>T</v>
      </c>
      <c r="AC124" s="9">
        <v>146</v>
      </c>
      <c r="AD124" s="3" t="str">
        <f>IFERROR(MID(VLOOKUP($B124,Seqs!$A:$B,2,0),AE124,1),"")</f>
        <v>H</v>
      </c>
      <c r="AE124" s="3">
        <v>172</v>
      </c>
      <c r="AF124" s="3" t="str">
        <f>IFERROR(MID(VLOOKUP($B124,Seqs!$A:$B,2,0),AG124,1),"")</f>
        <v>C</v>
      </c>
      <c r="AG124" s="3">
        <v>191</v>
      </c>
      <c r="AH124" s="3" t="str">
        <f>IFERROR(MID(VLOOKUP($B124,Seqs!$A:$B,2,0),AI124,1),"")</f>
        <v>F</v>
      </c>
      <c r="AI124" s="3">
        <v>193</v>
      </c>
      <c r="AJ124" s="3" t="str">
        <f>IFERROR(MID(VLOOKUP($B124,Seqs!$A:$B,2,0),AK124,1),"")</f>
        <v>N</v>
      </c>
      <c r="AK124" s="3">
        <v>196</v>
      </c>
      <c r="AL124" s="3" t="str">
        <f>IFERROR(MID(VLOOKUP($B124,Seqs!$A:$B,2,0),AM124,1),"")</f>
        <v>A</v>
      </c>
      <c r="AM124" s="3">
        <v>226</v>
      </c>
      <c r="AN124" s="3" t="str">
        <f>IFERROR(MID(VLOOKUP($B124,Seqs!$A:$B,2,0),AO124,1),"")</f>
        <v>H</v>
      </c>
      <c r="AO124" s="3">
        <v>269</v>
      </c>
      <c r="AP124" s="3" t="str">
        <f>IFERROR(MID(VLOOKUP($B124,Seqs!$A:$B,2,0),AQ124,1),"")</f>
        <v>Q</v>
      </c>
      <c r="AQ124" s="3">
        <v>299</v>
      </c>
      <c r="AR124" s="3" t="str">
        <f>IFERROR(MID(VLOOKUP($B124,Seqs!$A:$B,2,0),AS124,1),"")</f>
        <v>R</v>
      </c>
      <c r="AS124" s="3">
        <v>304</v>
      </c>
      <c r="AT124" s="3" t="str">
        <f>IFERROR(MID(VLOOKUP($B124,Seqs!$A:$B,2,0),AU124,1),"")</f>
        <v>R</v>
      </c>
      <c r="AU124" s="3">
        <v>328</v>
      </c>
      <c r="AV124" s="3" t="str">
        <f>IFERROR(MID(VLOOKUP($B124,Seqs!$A:$B,2,0),AW124,1),"")</f>
        <v>S</v>
      </c>
      <c r="AW124" s="3">
        <v>329</v>
      </c>
      <c r="AX124" s="3" t="str">
        <f>IFERROR(MID(VLOOKUP($B124,Seqs!$A:$B,2,0),AY124,1),"")</f>
        <v>C</v>
      </c>
      <c r="AY124" s="3">
        <v>341</v>
      </c>
      <c r="AZ124" s="77" t="str">
        <f>VLOOKUP(B124,Classification!A:D,2,0)</f>
        <v>A</v>
      </c>
      <c r="BA124" s="94" t="str">
        <f>VLOOKUP(B124,Classification!A:D,4,0)</f>
        <v>Adrenoceptors</v>
      </c>
      <c r="BB124" s="27" t="b">
        <f t="shared" si="504"/>
        <v>1</v>
      </c>
      <c r="BC124" s="23">
        <f t="shared" si="785"/>
        <v>249</v>
      </c>
      <c r="BD124" s="16" t="s">
        <v>23</v>
      </c>
      <c r="BE124" s="3" t="s">
        <v>1285</v>
      </c>
      <c r="BF124" s="118">
        <v>3.5</v>
      </c>
      <c r="BG124" s="49" t="s">
        <v>1371</v>
      </c>
      <c r="BH124" s="49" t="s">
        <v>1371</v>
      </c>
      <c r="BI124" s="1"/>
      <c r="BJ124" s="70" t="s">
        <v>1281</v>
      </c>
      <c r="BK124" s="57" t="s">
        <v>1281</v>
      </c>
      <c r="BL124" s="57" t="s">
        <v>1281</v>
      </c>
      <c r="BM124" s="57" t="s">
        <v>1281</v>
      </c>
      <c r="BN124" s="57" t="s">
        <v>1281</v>
      </c>
      <c r="BO124" s="57" t="s">
        <v>1281</v>
      </c>
      <c r="BP124" s="57" t="s">
        <v>1281</v>
      </c>
      <c r="BQ124" s="57" t="s">
        <v>1281</v>
      </c>
      <c r="BR124" s="57" t="s">
        <v>1281</v>
      </c>
      <c r="BS124" s="57" t="s">
        <v>1281</v>
      </c>
      <c r="BT124" s="57" t="s">
        <v>1281</v>
      </c>
      <c r="BU124" s="57" t="s">
        <v>1281</v>
      </c>
      <c r="BV124" s="70">
        <f t="shared" si="786"/>
        <v>26</v>
      </c>
      <c r="BW124" s="71">
        <f t="shared" si="787"/>
        <v>62</v>
      </c>
      <c r="BX124" s="72">
        <f t="shared" si="788"/>
        <v>66</v>
      </c>
      <c r="BY124" s="71">
        <f t="shared" si="789"/>
        <v>98</v>
      </c>
      <c r="BZ124" s="72">
        <f t="shared" si="790"/>
        <v>102</v>
      </c>
      <c r="CA124" s="71">
        <f t="shared" si="791"/>
        <v>138</v>
      </c>
      <c r="CB124" s="72">
        <f t="shared" si="792"/>
        <v>146</v>
      </c>
      <c r="CC124" s="71">
        <f t="shared" si="793"/>
        <v>191</v>
      </c>
      <c r="CD124" s="72">
        <f t="shared" si="794"/>
        <v>196</v>
      </c>
      <c r="CE124" s="71">
        <f t="shared" si="795"/>
        <v>269</v>
      </c>
      <c r="CF124" s="72">
        <f t="shared" si="796"/>
        <v>304</v>
      </c>
      <c r="CG124" s="71">
        <f t="shared" si="797"/>
        <v>329</v>
      </c>
      <c r="CH124" s="70">
        <f t="shared" si="798"/>
        <v>61</v>
      </c>
      <c r="CI124" s="71">
        <f t="shared" si="799"/>
        <v>65</v>
      </c>
      <c r="CJ124" s="72">
        <f t="shared" si="800"/>
        <v>96</v>
      </c>
      <c r="CK124" s="72">
        <f t="shared" si="801"/>
        <v>101</v>
      </c>
      <c r="CL124" s="72">
        <f t="shared" si="802"/>
        <v>137</v>
      </c>
      <c r="CM124" s="72">
        <f t="shared" si="803"/>
        <v>145</v>
      </c>
      <c r="CN124" s="72">
        <f t="shared" si="804"/>
        <v>172</v>
      </c>
      <c r="CO124" s="72">
        <f t="shared" si="805"/>
        <v>193</v>
      </c>
      <c r="CP124" s="72">
        <f t="shared" si="806"/>
        <v>226</v>
      </c>
      <c r="CQ124" s="72">
        <f t="shared" si="807"/>
        <v>299</v>
      </c>
      <c r="CR124" s="72">
        <f t="shared" si="808"/>
        <v>328</v>
      </c>
      <c r="CS124" s="72">
        <f t="shared" si="809"/>
        <v>341</v>
      </c>
      <c r="CT124" s="23">
        <f t="shared" si="810"/>
        <v>1</v>
      </c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  <c r="AMO124" s="1"/>
    </row>
    <row r="125" spans="1:1029" x14ac:dyDescent="0.2">
      <c r="A125" s="3" t="str">
        <f t="shared" si="503"/>
        <v>adrb2_human_3PDS</v>
      </c>
      <c r="B125" s="3" t="s">
        <v>126</v>
      </c>
      <c r="C125" s="3" t="s">
        <v>1329</v>
      </c>
      <c r="D125" s="3" t="str">
        <f>IFERROR(MID(VLOOKUP($B125,Seqs!$A:$B,2,0),E125,1),"")</f>
        <v>D</v>
      </c>
      <c r="E125" s="3">
        <v>29</v>
      </c>
      <c r="F125" s="3" t="str">
        <f>IFERROR(MID(VLOOKUP($B125,Seqs!$A:$B,2,0),G125,1),"")</f>
        <v>F</v>
      </c>
      <c r="G125" s="3">
        <v>61</v>
      </c>
      <c r="H125" s="3" t="str">
        <f>IFERROR(MID(VLOOKUP($B125,Seqs!$A:$B,2,0),I125,1),"")</f>
        <v>E</v>
      </c>
      <c r="I125" s="23">
        <v>62</v>
      </c>
      <c r="J125" s="3" t="str">
        <f>IFERROR(MID(VLOOKUP($B125,Seqs!$A:$B,2,0),K125,1),"")</f>
        <v>Q</v>
      </c>
      <c r="K125" s="23">
        <v>65</v>
      </c>
      <c r="L125" s="3" t="str">
        <f>IFERROR(MID(VLOOKUP($B125,Seqs!$A:$B,2,0),M125,1),"")</f>
        <v>T</v>
      </c>
      <c r="M125" s="3">
        <v>66</v>
      </c>
      <c r="N125" s="3" t="str">
        <f>IFERROR(MID(VLOOKUP($B125,Seqs!$A:$B,2,0),O125,1),"")</f>
        <v>M</v>
      </c>
      <c r="O125" s="3">
        <v>96</v>
      </c>
      <c r="P125" s="3" t="str">
        <f>IFERROR(MID(VLOOKUP($B125,Seqs!$A:$B,2,0),Q125,1),"")</f>
        <v>M</v>
      </c>
      <c r="Q125" s="3">
        <v>98</v>
      </c>
      <c r="R125" s="3" t="str">
        <f>IFERROR(MID(VLOOKUP($B125,Seqs!$A:$B,2,0),S125,1),"")</f>
        <v>F</v>
      </c>
      <c r="S125" s="3">
        <v>101</v>
      </c>
      <c r="T125" s="3" t="str">
        <f>IFERROR(MID(VLOOKUP($B125,Seqs!$A:$B,2,0),U125,1),"")</f>
        <v>G</v>
      </c>
      <c r="U125" s="3">
        <v>102</v>
      </c>
      <c r="V125" s="3" t="str">
        <f>IFERROR(MID(VLOOKUP($B125,Seqs!$A:$B,2,0),W125,1),"")</f>
        <v>S</v>
      </c>
      <c r="W125" s="3">
        <v>137</v>
      </c>
      <c r="X125" s="3" t="str">
        <f>IFERROR(MID(VLOOKUP($B125,Seqs!$A:$B,2,0),Y125,1),"")</f>
        <v/>
      </c>
      <c r="Y125" s="3" t="s">
        <v>23</v>
      </c>
      <c r="Z125" s="3" t="str">
        <f>IFERROR(MID(VLOOKUP($B125,Seqs!$A:$B,2,0),AA125,1),"")</f>
        <v/>
      </c>
      <c r="AA125" s="3" t="s">
        <v>23</v>
      </c>
      <c r="AB125" s="3" t="str">
        <f>IFERROR(MID(VLOOKUP($B125,Seqs!$A:$B,2,0),AC125,1),"")</f>
        <v>T</v>
      </c>
      <c r="AC125" s="9">
        <v>146</v>
      </c>
      <c r="AD125" s="3" t="str">
        <f>IFERROR(MID(VLOOKUP($B125,Seqs!$A:$B,2,0),AE125,1),"")</f>
        <v>H</v>
      </c>
      <c r="AE125" s="3">
        <v>172</v>
      </c>
      <c r="AF125" s="3" t="str">
        <f>IFERROR(MID(VLOOKUP($B125,Seqs!$A:$B,2,0),AG125,1),"")</f>
        <v>C</v>
      </c>
      <c r="AG125" s="3">
        <v>191</v>
      </c>
      <c r="AH125" s="3" t="str">
        <f>IFERROR(MID(VLOOKUP($B125,Seqs!$A:$B,2,0),AI125,1),"")</f>
        <v>F</v>
      </c>
      <c r="AI125" s="3">
        <v>193</v>
      </c>
      <c r="AJ125" s="3" t="str">
        <f>IFERROR(MID(VLOOKUP($B125,Seqs!$A:$B,2,0),AK125,1),"")</f>
        <v>N</v>
      </c>
      <c r="AK125" s="3">
        <v>196</v>
      </c>
      <c r="AL125" s="3" t="str">
        <f>IFERROR(MID(VLOOKUP($B125,Seqs!$A:$B,2,0),AM125,1),"")</f>
        <v>Q</v>
      </c>
      <c r="AM125" s="3">
        <v>229</v>
      </c>
      <c r="AN125" s="3" t="str">
        <f>IFERROR(MID(VLOOKUP($B125,Seqs!$A:$B,2,0),AO125,1),"")</f>
        <v>L</v>
      </c>
      <c r="AO125" s="3">
        <v>266</v>
      </c>
      <c r="AP125" s="3" t="str">
        <f>IFERROR(MID(VLOOKUP($B125,Seqs!$A:$B,2,0),AQ125,1),"")</f>
        <v>Q</v>
      </c>
      <c r="AQ125" s="3">
        <v>299</v>
      </c>
      <c r="AR125" s="3" t="str">
        <f>IFERROR(MID(VLOOKUP($B125,Seqs!$A:$B,2,0),AS125,1),"")</f>
        <v>R</v>
      </c>
      <c r="AS125" s="3">
        <v>304</v>
      </c>
      <c r="AT125" s="3" t="str">
        <f>IFERROR(MID(VLOOKUP($B125,Seqs!$A:$B,2,0),AU125,1),"")</f>
        <v>R</v>
      </c>
      <c r="AU125" s="3">
        <v>328</v>
      </c>
      <c r="AV125" s="3" t="str">
        <f>IFERROR(MID(VLOOKUP($B125,Seqs!$A:$B,2,0),AW125,1),"")</f>
        <v>S</v>
      </c>
      <c r="AW125" s="3">
        <v>329</v>
      </c>
      <c r="AX125" s="3" t="str">
        <f>IFERROR(MID(VLOOKUP($B125,Seqs!$A:$B,2,0),AY125,1),"")</f>
        <v>C</v>
      </c>
      <c r="AY125" s="3">
        <v>341</v>
      </c>
      <c r="AZ125" s="77" t="str">
        <f>VLOOKUP(B125,Classification!A:D,2,0)</f>
        <v>A</v>
      </c>
      <c r="BA125" s="94" t="str">
        <f>VLOOKUP(B125,Classification!A:D,4,0)</f>
        <v>Adrenoceptors</v>
      </c>
      <c r="BB125" s="27" t="b">
        <f t="shared" si="504"/>
        <v>1</v>
      </c>
      <c r="BC125" s="23">
        <f t="shared" si="785"/>
        <v>245</v>
      </c>
      <c r="BD125" s="5" t="s">
        <v>23</v>
      </c>
      <c r="BE125" s="3" t="s">
        <v>1368</v>
      </c>
      <c r="BF125" s="118">
        <v>3.5</v>
      </c>
      <c r="BG125" s="49" t="s">
        <v>1371</v>
      </c>
      <c r="BH125" s="49" t="s">
        <v>1371</v>
      </c>
      <c r="BI125" s="1"/>
      <c r="BJ125" s="70" t="s">
        <v>1281</v>
      </c>
      <c r="BK125" s="57" t="s">
        <v>1281</v>
      </c>
      <c r="BL125" s="57" t="s">
        <v>1281</v>
      </c>
      <c r="BM125" s="57" t="s">
        <v>1281</v>
      </c>
      <c r="BN125" s="57" t="s">
        <v>1281</v>
      </c>
      <c r="BO125" s="57" t="s">
        <v>1281</v>
      </c>
      <c r="BP125" s="57" t="s">
        <v>1281</v>
      </c>
      <c r="BQ125" s="57" t="s">
        <v>1281</v>
      </c>
      <c r="BR125" s="57" t="s">
        <v>1281</v>
      </c>
      <c r="BS125" s="57" t="s">
        <v>1281</v>
      </c>
      <c r="BT125" s="57" t="s">
        <v>1281</v>
      </c>
      <c r="BU125" s="57" t="s">
        <v>1281</v>
      </c>
      <c r="BV125" s="70">
        <f t="shared" si="786"/>
        <v>29</v>
      </c>
      <c r="BW125" s="71">
        <f t="shared" si="787"/>
        <v>62</v>
      </c>
      <c r="BX125" s="72">
        <f t="shared" si="788"/>
        <v>66</v>
      </c>
      <c r="BY125" s="71">
        <f t="shared" si="789"/>
        <v>98</v>
      </c>
      <c r="BZ125" s="72">
        <f t="shared" si="790"/>
        <v>102</v>
      </c>
      <c r="CA125" s="71" t="str">
        <f t="shared" si="791"/>
        <v>-</v>
      </c>
      <c r="CB125" s="72">
        <f t="shared" si="792"/>
        <v>146</v>
      </c>
      <c r="CC125" s="71">
        <f t="shared" si="793"/>
        <v>191</v>
      </c>
      <c r="CD125" s="72">
        <f t="shared" si="794"/>
        <v>196</v>
      </c>
      <c r="CE125" s="71">
        <f t="shared" si="795"/>
        <v>266</v>
      </c>
      <c r="CF125" s="72">
        <f t="shared" si="796"/>
        <v>304</v>
      </c>
      <c r="CG125" s="71">
        <f t="shared" si="797"/>
        <v>329</v>
      </c>
      <c r="CH125" s="70">
        <f t="shared" si="798"/>
        <v>61</v>
      </c>
      <c r="CI125" s="71">
        <f t="shared" si="799"/>
        <v>65</v>
      </c>
      <c r="CJ125" s="72">
        <f t="shared" si="800"/>
        <v>96</v>
      </c>
      <c r="CK125" s="72">
        <f t="shared" si="801"/>
        <v>101</v>
      </c>
      <c r="CL125" s="72">
        <f t="shared" si="802"/>
        <v>137</v>
      </c>
      <c r="CM125" s="72" t="str">
        <f t="shared" si="803"/>
        <v>-</v>
      </c>
      <c r="CN125" s="72">
        <f t="shared" si="804"/>
        <v>172</v>
      </c>
      <c r="CO125" s="72">
        <f t="shared" si="805"/>
        <v>193</v>
      </c>
      <c r="CP125" s="72">
        <f t="shared" si="806"/>
        <v>229</v>
      </c>
      <c r="CQ125" s="72">
        <f t="shared" si="807"/>
        <v>299</v>
      </c>
      <c r="CR125" s="72">
        <f t="shared" si="808"/>
        <v>328</v>
      </c>
      <c r="CS125" s="72">
        <f t="shared" si="809"/>
        <v>341</v>
      </c>
      <c r="CT125" s="23">
        <f t="shared" si="810"/>
        <v>1</v>
      </c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  <c r="AMK125" s="1"/>
      <c r="AML125" s="1"/>
      <c r="AMM125" s="1"/>
      <c r="AMN125" s="1"/>
      <c r="AMO125" s="1"/>
    </row>
    <row r="126" spans="1:1029" ht="17" customHeight="1" x14ac:dyDescent="0.2">
      <c r="A126" s="3" t="str">
        <f t="shared" si="503"/>
        <v>adrb2_human_3SN6</v>
      </c>
      <c r="B126" s="3" t="s">
        <v>126</v>
      </c>
      <c r="C126" s="3" t="s">
        <v>85</v>
      </c>
      <c r="D126" s="3" t="str">
        <f>IFERROR(MID(VLOOKUP($B126,Seqs!$A:$B,2,0),E126,1),"")</f>
        <v>D</v>
      </c>
      <c r="E126" s="3">
        <v>29</v>
      </c>
      <c r="F126" s="3" t="str">
        <f>IFERROR(MID(VLOOKUP($B126,Seqs!$A:$B,2,0),G126,1),"")</f>
        <v>F</v>
      </c>
      <c r="G126" s="3">
        <v>61</v>
      </c>
      <c r="H126" s="3" t="str">
        <f>IFERROR(MID(VLOOKUP($B126,Seqs!$A:$B,2,0),I126,1),"")</f>
        <v>E</v>
      </c>
      <c r="I126" s="23">
        <v>62</v>
      </c>
      <c r="J126" s="3" t="str">
        <f>IFERROR(MID(VLOOKUP($B126,Seqs!$A:$B,2,0),K126,1),"")</f>
        <v>Q</v>
      </c>
      <c r="K126" s="23">
        <v>65</v>
      </c>
      <c r="L126" s="3" t="str">
        <f>IFERROR(MID(VLOOKUP($B126,Seqs!$A:$B,2,0),M126,1),"")</f>
        <v>T</v>
      </c>
      <c r="M126" s="3">
        <v>66</v>
      </c>
      <c r="N126" s="3" t="str">
        <f>IFERROR(MID(VLOOKUP($B126,Seqs!$A:$B,2,0),O126,1),"")</f>
        <v>M</v>
      </c>
      <c r="O126" s="3">
        <v>96</v>
      </c>
      <c r="P126" s="3" t="str">
        <f>IFERROR(MID(VLOOKUP($B126,Seqs!$A:$B,2,0),Q126,1),"")</f>
        <v>M</v>
      </c>
      <c r="Q126" s="3">
        <v>98</v>
      </c>
      <c r="R126" s="3" t="str">
        <f>IFERROR(MID(VLOOKUP($B126,Seqs!$A:$B,2,0),S126,1),"")</f>
        <v>F</v>
      </c>
      <c r="S126" s="3">
        <v>101</v>
      </c>
      <c r="T126" s="3" t="str">
        <f>IFERROR(MID(VLOOKUP($B126,Seqs!$A:$B,2,0),U126,1),"")</f>
        <v>G</v>
      </c>
      <c r="U126" s="3">
        <v>102</v>
      </c>
      <c r="V126" s="3" t="str">
        <f>IFERROR(MID(VLOOKUP($B126,Seqs!$A:$B,2,0),W126,1),"")</f>
        <v>S</v>
      </c>
      <c r="W126" s="3">
        <v>137</v>
      </c>
      <c r="X126" s="3" t="str">
        <f>IFERROR(MID(VLOOKUP($B126,Seqs!$A:$B,2,0),Y126,1),"")</f>
        <v>P</v>
      </c>
      <c r="Y126" s="3">
        <v>138</v>
      </c>
      <c r="Z126" s="3" t="str">
        <f>IFERROR(MID(VLOOKUP($B126,Seqs!$A:$B,2,0),AA126,1),"")</f>
        <v>L</v>
      </c>
      <c r="AA126" s="3">
        <v>145</v>
      </c>
      <c r="AB126" s="3" t="str">
        <f>IFERROR(MID(VLOOKUP($B126,Seqs!$A:$B,2,0),AC126,1),"")</f>
        <v>T</v>
      </c>
      <c r="AC126" s="9">
        <v>146</v>
      </c>
      <c r="AD126" s="3" t="str">
        <f>IFERROR(MID(VLOOKUP($B126,Seqs!$A:$B,2,0),AE126,1),"")</f>
        <v>H</v>
      </c>
      <c r="AE126" s="3">
        <v>172</v>
      </c>
      <c r="AF126" s="3" t="str">
        <f>IFERROR(MID(VLOOKUP($B126,Seqs!$A:$B,2,0),AG126,1),"")</f>
        <v>C</v>
      </c>
      <c r="AG126" s="3">
        <v>191</v>
      </c>
      <c r="AH126" s="3" t="str">
        <f>IFERROR(MID(VLOOKUP($B126,Seqs!$A:$B,2,0),AI126,1),"")</f>
        <v>F</v>
      </c>
      <c r="AI126" s="3">
        <v>193</v>
      </c>
      <c r="AJ126" s="3" t="str">
        <f>IFERROR(MID(VLOOKUP($B126,Seqs!$A:$B,2,0),AK126,1),"")</f>
        <v>N</v>
      </c>
      <c r="AK126" s="3">
        <v>196</v>
      </c>
      <c r="AL126" s="3" t="str">
        <f>IFERROR(MID(VLOOKUP($B126,Seqs!$A:$B,2,0),AM126,1),"")</f>
        <v>E</v>
      </c>
      <c r="AM126" s="3">
        <v>237</v>
      </c>
      <c r="AN126" s="3" t="str">
        <f>IFERROR(MID(VLOOKUP($B126,Seqs!$A:$B,2,0),AO126,1),"")</f>
        <v>C</v>
      </c>
      <c r="AO126" s="3">
        <v>265</v>
      </c>
      <c r="AP126" s="3" t="str">
        <f>IFERROR(MID(VLOOKUP($B126,Seqs!$A:$B,2,0),AQ126,1),"")</f>
        <v>Q</v>
      </c>
      <c r="AQ126" s="3">
        <v>299</v>
      </c>
      <c r="AR126" s="3" t="str">
        <f>IFERROR(MID(VLOOKUP($B126,Seqs!$A:$B,2,0),AS126,1),"")</f>
        <v>R</v>
      </c>
      <c r="AS126" s="3">
        <v>304</v>
      </c>
      <c r="AT126" s="3" t="str">
        <f>IFERROR(MID(VLOOKUP($B126,Seqs!$A:$B,2,0),AU126,1),"")</f>
        <v>R</v>
      </c>
      <c r="AU126" s="3">
        <v>328</v>
      </c>
      <c r="AV126" s="3" t="str">
        <f>IFERROR(MID(VLOOKUP($B126,Seqs!$A:$B,2,0),AW126,1),"")</f>
        <v>S</v>
      </c>
      <c r="AW126" s="3">
        <v>329</v>
      </c>
      <c r="AX126" s="3" t="str">
        <f>IFERROR(MID(VLOOKUP($B126,Seqs!$A:$B,2,0),AY126,1),"")</f>
        <v>C</v>
      </c>
      <c r="AY126" s="3">
        <v>341</v>
      </c>
      <c r="AZ126" s="77" t="str">
        <f>VLOOKUP(B126,Classification!A:D,2,0)</f>
        <v>A</v>
      </c>
      <c r="BA126" s="94" t="str">
        <f>VLOOKUP(B126,Classification!A:D,4,0)</f>
        <v>Adrenoceptors</v>
      </c>
      <c r="BB126" s="27" t="b">
        <f t="shared" si="504"/>
        <v>1</v>
      </c>
      <c r="BC126" s="23">
        <f t="shared" si="785"/>
        <v>261</v>
      </c>
      <c r="BD126" s="4" t="s">
        <v>1369</v>
      </c>
      <c r="BE126" s="3" t="s">
        <v>1285</v>
      </c>
      <c r="BF126" s="118">
        <v>3.2</v>
      </c>
      <c r="BG126" s="49" t="s">
        <v>1371</v>
      </c>
      <c r="BH126" s="49" t="s">
        <v>1371</v>
      </c>
      <c r="BI126" s="1"/>
      <c r="BJ126" s="70" t="s">
        <v>1281</v>
      </c>
      <c r="BK126" s="57" t="s">
        <v>1281</v>
      </c>
      <c r="BL126" s="57" t="s">
        <v>1281</v>
      </c>
      <c r="BM126" s="57" t="s">
        <v>1281</v>
      </c>
      <c r="BN126" s="57" t="s">
        <v>1281</v>
      </c>
      <c r="BO126" s="57" t="s">
        <v>1281</v>
      </c>
      <c r="BP126" s="57" t="s">
        <v>1281</v>
      </c>
      <c r="BQ126" s="57" t="s">
        <v>1281</v>
      </c>
      <c r="BR126" s="57" t="s">
        <v>1281</v>
      </c>
      <c r="BS126" s="57" t="s">
        <v>1281</v>
      </c>
      <c r="BT126" s="57" t="s">
        <v>1281</v>
      </c>
      <c r="BU126" s="57" t="s">
        <v>1281</v>
      </c>
      <c r="BV126" s="70">
        <f t="shared" si="786"/>
        <v>29</v>
      </c>
      <c r="BW126" s="71">
        <f t="shared" si="787"/>
        <v>62</v>
      </c>
      <c r="BX126" s="72">
        <f t="shared" si="788"/>
        <v>66</v>
      </c>
      <c r="BY126" s="71">
        <f t="shared" si="789"/>
        <v>98</v>
      </c>
      <c r="BZ126" s="72">
        <f t="shared" si="790"/>
        <v>102</v>
      </c>
      <c r="CA126" s="71">
        <f t="shared" si="791"/>
        <v>138</v>
      </c>
      <c r="CB126" s="72">
        <f t="shared" si="792"/>
        <v>146</v>
      </c>
      <c r="CC126" s="71">
        <f t="shared" si="793"/>
        <v>191</v>
      </c>
      <c r="CD126" s="72">
        <f t="shared" si="794"/>
        <v>196</v>
      </c>
      <c r="CE126" s="71">
        <f t="shared" si="795"/>
        <v>265</v>
      </c>
      <c r="CF126" s="72">
        <f t="shared" si="796"/>
        <v>304</v>
      </c>
      <c r="CG126" s="71">
        <f t="shared" si="797"/>
        <v>329</v>
      </c>
      <c r="CH126" s="70">
        <f t="shared" si="798"/>
        <v>61</v>
      </c>
      <c r="CI126" s="71">
        <f t="shared" si="799"/>
        <v>65</v>
      </c>
      <c r="CJ126" s="72">
        <f t="shared" si="800"/>
        <v>96</v>
      </c>
      <c r="CK126" s="72">
        <f t="shared" si="801"/>
        <v>101</v>
      </c>
      <c r="CL126" s="72">
        <f t="shared" si="802"/>
        <v>137</v>
      </c>
      <c r="CM126" s="72">
        <f t="shared" si="803"/>
        <v>145</v>
      </c>
      <c r="CN126" s="72">
        <f t="shared" si="804"/>
        <v>172</v>
      </c>
      <c r="CO126" s="72">
        <f t="shared" si="805"/>
        <v>193</v>
      </c>
      <c r="CP126" s="72">
        <f t="shared" si="806"/>
        <v>237</v>
      </c>
      <c r="CQ126" s="72">
        <f t="shared" si="807"/>
        <v>299</v>
      </c>
      <c r="CR126" s="72">
        <f t="shared" si="808"/>
        <v>328</v>
      </c>
      <c r="CS126" s="72">
        <f t="shared" si="809"/>
        <v>341</v>
      </c>
      <c r="CT126" s="23">
        <f t="shared" si="810"/>
        <v>1</v>
      </c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  <c r="AMK126" s="1"/>
      <c r="AML126" s="1"/>
      <c r="AMM126" s="1"/>
      <c r="AMN126" s="1"/>
      <c r="AMO126" s="1"/>
    </row>
    <row r="127" spans="1:1029" ht="17" customHeight="1" x14ac:dyDescent="0.2">
      <c r="A127" s="3" t="str">
        <f t="shared" ref="A127" si="979">CONCATENATE(B127,"_",C127)</f>
        <v>adrb2_human_4GBR</v>
      </c>
      <c r="B127" s="3" t="s">
        <v>126</v>
      </c>
      <c r="C127" s="3" t="s">
        <v>1100</v>
      </c>
      <c r="D127" s="3" t="str">
        <f>IFERROR(MID(VLOOKUP($B127,Seqs!$A:$B,2,0),E127,1),"")</f>
        <v>D</v>
      </c>
      <c r="E127" s="3">
        <v>29</v>
      </c>
      <c r="F127" s="3" t="str">
        <f>IFERROR(MID(VLOOKUP($B127,Seqs!$A:$B,2,0),G127,1),"")</f>
        <v>F</v>
      </c>
      <c r="G127" s="3">
        <v>61</v>
      </c>
      <c r="H127" s="3" t="str">
        <f>IFERROR(MID(VLOOKUP($B127,Seqs!$A:$B,2,0),I127,1),"")</f>
        <v>E</v>
      </c>
      <c r="I127" s="23">
        <v>62</v>
      </c>
      <c r="J127" s="3" t="str">
        <f>IFERROR(MID(VLOOKUP($B127,Seqs!$A:$B,2,0),K127,1),"")</f>
        <v>Q</v>
      </c>
      <c r="K127" s="23">
        <v>65</v>
      </c>
      <c r="L127" s="3" t="str">
        <f>IFERROR(MID(VLOOKUP($B127,Seqs!$A:$B,2,0),M127,1),"")</f>
        <v>T</v>
      </c>
      <c r="M127" s="3">
        <v>66</v>
      </c>
      <c r="N127" s="3" t="str">
        <f>IFERROR(MID(VLOOKUP($B127,Seqs!$A:$B,2,0),O127,1),"")</f>
        <v>M</v>
      </c>
      <c r="O127" s="3">
        <v>96</v>
      </c>
      <c r="P127" s="3" t="str">
        <f>IFERROR(MID(VLOOKUP($B127,Seqs!$A:$B,2,0),Q127,1),"")</f>
        <v>M</v>
      </c>
      <c r="Q127" s="3">
        <v>98</v>
      </c>
      <c r="R127" s="3" t="str">
        <f>IFERROR(MID(VLOOKUP($B127,Seqs!$A:$B,2,0),S127,1),"")</f>
        <v>F</v>
      </c>
      <c r="S127" s="3">
        <v>101</v>
      </c>
      <c r="T127" s="3" t="str">
        <f>IFERROR(MID(VLOOKUP($B127,Seqs!$A:$B,2,0),U127,1),"")</f>
        <v>G</v>
      </c>
      <c r="U127" s="3">
        <v>102</v>
      </c>
      <c r="V127" s="3" t="str">
        <f>IFERROR(MID(VLOOKUP($B127,Seqs!$A:$B,2,0),W127,1),"")</f>
        <v>T</v>
      </c>
      <c r="W127" s="3">
        <v>136</v>
      </c>
      <c r="X127" s="3" t="str">
        <f>IFERROR(MID(VLOOKUP($B127,Seqs!$A:$B,2,0),Y127,1),"")</f>
        <v/>
      </c>
      <c r="Y127" s="3" t="s">
        <v>23</v>
      </c>
      <c r="Z127" s="3" t="str">
        <f>IFERROR(MID(VLOOKUP($B127,Seqs!$A:$B,2,0),AA127,1),"")</f>
        <v/>
      </c>
      <c r="AA127" s="3" t="s">
        <v>23</v>
      </c>
      <c r="AB127" s="3" t="str">
        <f>IFERROR(MID(VLOOKUP($B127,Seqs!$A:$B,2,0),AC127,1),"")</f>
        <v>T</v>
      </c>
      <c r="AC127" s="3">
        <v>146</v>
      </c>
      <c r="AD127" s="3" t="str">
        <f>IFERROR(MID(VLOOKUP($B127,Seqs!$A:$B,2,0),AE127,1),"")</f>
        <v>H</v>
      </c>
      <c r="AE127" s="3">
        <v>172</v>
      </c>
      <c r="AF127" s="3" t="str">
        <f>IFERROR(MID(VLOOKUP($B127,Seqs!$A:$B,2,0),AG127,1),"")</f>
        <v>C</v>
      </c>
      <c r="AG127" s="3">
        <v>191</v>
      </c>
      <c r="AH127" s="3" t="str">
        <f>IFERROR(MID(VLOOKUP($B127,Seqs!$A:$B,2,0),AI127,1),"")</f>
        <v>F</v>
      </c>
      <c r="AI127" s="3">
        <v>193</v>
      </c>
      <c r="AJ127" s="3" t="str">
        <f>IFERROR(MID(VLOOKUP($B127,Seqs!$A:$B,2,0),AK127,1),"")</f>
        <v>N</v>
      </c>
      <c r="AK127" s="3">
        <v>196</v>
      </c>
      <c r="AL127" s="3" t="str">
        <f>IFERROR(MID(VLOOKUP($B127,Seqs!$A:$B,2,0),AM127,1),"")</f>
        <v>K</v>
      </c>
      <c r="AM127" s="3">
        <v>232</v>
      </c>
      <c r="AN127" s="3" t="str">
        <f>IFERROR(MID(VLOOKUP($B127,Seqs!$A:$B,2,0),AO127,1),"")</f>
        <v>E</v>
      </c>
      <c r="AO127" s="3">
        <v>237</v>
      </c>
      <c r="AP127" s="3" t="str">
        <f>IFERROR(MID(VLOOKUP($B127,Seqs!$A:$B,2,0),AQ127,1),"")</f>
        <v>A</v>
      </c>
      <c r="AQ127" s="3">
        <v>271</v>
      </c>
      <c r="AR127" s="3" t="str">
        <f>IFERROR(MID(VLOOKUP($B127,Seqs!$A:$B,2,0),AS127,1),"")</f>
        <v>G</v>
      </c>
      <c r="AS127" s="3">
        <v>276</v>
      </c>
      <c r="AT127" s="3" t="str">
        <f>IFERROR(MID(VLOOKUP($B127,Seqs!$A:$B,2,0),AU127,1),"")</f>
        <v>D</v>
      </c>
      <c r="AU127" s="3">
        <v>300</v>
      </c>
      <c r="AV127" s="3" t="str">
        <f>IFERROR(MID(VLOOKUP($B127,Seqs!$A:$B,2,0),AW127,1),"")</f>
        <v>N</v>
      </c>
      <c r="AW127" s="3">
        <v>301</v>
      </c>
      <c r="AX127" s="3" t="str">
        <f>IFERROR(MID(VLOOKUP($B127,Seqs!$A:$B,2,0),AY127,1),"")</f>
        <v>W</v>
      </c>
      <c r="AY127" s="3">
        <v>313</v>
      </c>
      <c r="AZ127" s="77" t="str">
        <f>VLOOKUP(B127,Classification!A:D,2,0)</f>
        <v>A</v>
      </c>
      <c r="BA127" s="94" t="str">
        <f>VLOOKUP(B127,Classification!A:D,4,0)</f>
        <v>Adrenoceptors</v>
      </c>
      <c r="BB127" s="27" t="b">
        <f t="shared" ref="BB127" si="980">AND(E127&lt;G127,OR(G127&lt;I127,I127="-"),OR(I127&lt;K127,I127="-"),OR(K127&lt;M127,K127="-"),M127&lt;O127,OR(O127&lt;Q127,Q127="-"),OR(Q127&lt;S127,Q127="-"),OR(S127&lt;U127,S127="-"),U127&lt;W127,OR(W127&lt;Y127,Y127="-"),OR(Y127&lt;AA127,Y127="-"),OR(AA127&lt;AC127,AA127="-"),AC127&lt;AE127,OR(AE127&lt;AG127,AG127="-"),OR(AG127&lt;AI127,AG127="-"),OR(AI127&lt;AK127,AI127="-"),AK127&lt;AM127,AM127&lt;AO127,AO127&lt;AQ127,AQ127&lt;AS127,AS127&lt;AU127,OR(AU127&lt;AW127,AW127="-"),OR(AW127&lt;AY127,AW127="-"))</f>
        <v>1</v>
      </c>
      <c r="BC127" s="23">
        <f t="shared" ref="BC127" si="981">_xlfn.AGGREGATE(9,6,CH127:CS127)-_xlfn.AGGREGATE(9,6,BV127:CG127)+12</f>
        <v>248</v>
      </c>
      <c r="BD127" s="4" t="s">
        <v>23</v>
      </c>
      <c r="BE127" s="3" t="s">
        <v>1368</v>
      </c>
      <c r="BF127" s="118">
        <v>3.99</v>
      </c>
      <c r="BG127" s="49" t="s">
        <v>1</v>
      </c>
      <c r="BH127" s="49" t="s">
        <v>1</v>
      </c>
      <c r="BI127" s="1"/>
      <c r="BJ127" s="70" t="s">
        <v>1281</v>
      </c>
      <c r="BK127" s="57" t="s">
        <v>1281</v>
      </c>
      <c r="BL127" s="57" t="s">
        <v>1281</v>
      </c>
      <c r="BM127" s="57" t="s">
        <v>1281</v>
      </c>
      <c r="BN127" s="57" t="s">
        <v>1281</v>
      </c>
      <c r="BO127" s="57" t="s">
        <v>1281</v>
      </c>
      <c r="BP127" s="57" t="s">
        <v>1281</v>
      </c>
      <c r="BQ127" s="57" t="s">
        <v>1281</v>
      </c>
      <c r="BR127" s="57" t="s">
        <v>1281</v>
      </c>
      <c r="BS127" s="57" t="s">
        <v>1281</v>
      </c>
      <c r="BT127" s="57" t="s">
        <v>1281</v>
      </c>
      <c r="BU127" s="57" t="s">
        <v>1281</v>
      </c>
      <c r="BV127" s="70">
        <f t="shared" ref="BV127" si="982">E127</f>
        <v>29</v>
      </c>
      <c r="BW127" s="71">
        <f t="shared" ref="BW127" si="983">I127</f>
        <v>62</v>
      </c>
      <c r="BX127" s="72">
        <f t="shared" ref="BX127" si="984">M127</f>
        <v>66</v>
      </c>
      <c r="BY127" s="71">
        <f t="shared" ref="BY127" si="985">Q127</f>
        <v>98</v>
      </c>
      <c r="BZ127" s="72">
        <f t="shared" ref="BZ127" si="986">U127</f>
        <v>102</v>
      </c>
      <c r="CA127" s="71" t="str">
        <f t="shared" ref="CA127" si="987">Y127</f>
        <v>-</v>
      </c>
      <c r="CB127" s="72">
        <f t="shared" ref="CB127" si="988">AC127</f>
        <v>146</v>
      </c>
      <c r="CC127" s="71">
        <f t="shared" ref="CC127" si="989">AG127</f>
        <v>191</v>
      </c>
      <c r="CD127" s="72">
        <f t="shared" ref="CD127" si="990">AK127</f>
        <v>196</v>
      </c>
      <c r="CE127" s="71">
        <f t="shared" ref="CE127" si="991">AO127</f>
        <v>237</v>
      </c>
      <c r="CF127" s="72">
        <f t="shared" ref="CF127" si="992">AS127</f>
        <v>276</v>
      </c>
      <c r="CG127" s="71">
        <f t="shared" ref="CG127" si="993">AW127</f>
        <v>301</v>
      </c>
      <c r="CH127" s="70">
        <f t="shared" ref="CH127" si="994">G127</f>
        <v>61</v>
      </c>
      <c r="CI127" s="71">
        <f t="shared" ref="CI127" si="995">K127</f>
        <v>65</v>
      </c>
      <c r="CJ127" s="72">
        <f t="shared" ref="CJ127" si="996">O127</f>
        <v>96</v>
      </c>
      <c r="CK127" s="72">
        <f t="shared" ref="CK127" si="997">S127</f>
        <v>101</v>
      </c>
      <c r="CL127" s="72">
        <f t="shared" ref="CL127" si="998">W127</f>
        <v>136</v>
      </c>
      <c r="CM127" s="72" t="str">
        <f t="shared" ref="CM127" si="999">AA127</f>
        <v>-</v>
      </c>
      <c r="CN127" s="72">
        <f t="shared" ref="CN127" si="1000">AE127</f>
        <v>172</v>
      </c>
      <c r="CO127" s="72">
        <f t="shared" ref="CO127" si="1001">AI127</f>
        <v>193</v>
      </c>
      <c r="CP127" s="72">
        <f t="shared" ref="CP127" si="1002">AM127</f>
        <v>232</v>
      </c>
      <c r="CQ127" s="72">
        <f t="shared" ref="CQ127" si="1003">AQ127</f>
        <v>271</v>
      </c>
      <c r="CR127" s="72">
        <f t="shared" ref="CR127" si="1004">AU127</f>
        <v>300</v>
      </c>
      <c r="CS127" s="72">
        <f t="shared" ref="CS127" si="1005">AY127</f>
        <v>313</v>
      </c>
      <c r="CT127" s="23">
        <f t="shared" ref="CT127" si="1006">M127-K127</f>
        <v>1</v>
      </c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  <c r="AMO127" s="1"/>
    </row>
    <row r="128" spans="1:1029" x14ac:dyDescent="0.2">
      <c r="A128" s="3" t="str">
        <f>CONCATENATE(B128,"_",C128)</f>
        <v>adrb2_human_4LDE</v>
      </c>
      <c r="B128" s="3" t="s">
        <v>126</v>
      </c>
      <c r="C128" s="3" t="s">
        <v>77</v>
      </c>
      <c r="D128" s="3" t="str">
        <f>IFERROR(MID(VLOOKUP($B128,Seqs!$A:$B,2,0),E128,1),"")</f>
        <v/>
      </c>
      <c r="E128" s="3">
        <v>1029</v>
      </c>
      <c r="F128" s="3" t="str">
        <f>IFERROR(MID(VLOOKUP($B128,Seqs!$A:$B,2,0),G128,1),"")</f>
        <v/>
      </c>
      <c r="G128" s="3">
        <v>1061</v>
      </c>
      <c r="H128" s="3" t="str">
        <f>IFERROR(MID(VLOOKUP($B128,Seqs!$A:$B,2,0),I128,1),"")</f>
        <v/>
      </c>
      <c r="I128" s="23">
        <v>1062</v>
      </c>
      <c r="J128" s="3" t="str">
        <f>IFERROR(MID(VLOOKUP($B128,Seqs!$A:$B,2,0),K128,1),"")</f>
        <v/>
      </c>
      <c r="K128" s="23">
        <v>1065</v>
      </c>
      <c r="L128" s="3" t="str">
        <f>IFERROR(MID(VLOOKUP($B128,Seqs!$A:$B,2,0),M128,1),"")</f>
        <v/>
      </c>
      <c r="M128" s="3">
        <v>1066</v>
      </c>
      <c r="N128" s="3" t="str">
        <f>IFERROR(MID(VLOOKUP($B128,Seqs!$A:$B,2,0),O128,1),"")</f>
        <v/>
      </c>
      <c r="O128" s="3">
        <v>1096</v>
      </c>
      <c r="P128" s="3" t="str">
        <f>IFERROR(MID(VLOOKUP($B128,Seqs!$A:$B,2,0),Q128,1),"")</f>
        <v/>
      </c>
      <c r="Q128" s="3">
        <v>1098</v>
      </c>
      <c r="R128" s="3" t="str">
        <f>IFERROR(MID(VLOOKUP($B128,Seqs!$A:$B,2,0),S128,1),"")</f>
        <v/>
      </c>
      <c r="S128" s="3">
        <v>1101</v>
      </c>
      <c r="T128" s="3" t="str">
        <f>IFERROR(MID(VLOOKUP($B128,Seqs!$A:$B,2,0),U128,1),"")</f>
        <v/>
      </c>
      <c r="U128" s="3">
        <v>1102</v>
      </c>
      <c r="V128" s="3" t="str">
        <f>IFERROR(MID(VLOOKUP($B128,Seqs!$A:$B,2,0),W128,1),"")</f>
        <v/>
      </c>
      <c r="W128" s="3">
        <v>1137</v>
      </c>
      <c r="X128" s="3" t="str">
        <f>IFERROR(MID(VLOOKUP($B128,Seqs!$A:$B,2,0),Y128,1),"")</f>
        <v/>
      </c>
      <c r="Y128" s="3">
        <v>1138</v>
      </c>
      <c r="Z128" s="3" t="str">
        <f>IFERROR(MID(VLOOKUP($B128,Seqs!$A:$B,2,0),AA128,1),"")</f>
        <v/>
      </c>
      <c r="AA128" s="3">
        <v>1145</v>
      </c>
      <c r="AB128" s="3" t="str">
        <f>IFERROR(MID(VLOOKUP($B128,Seqs!$A:$B,2,0),AC128,1),"")</f>
        <v/>
      </c>
      <c r="AC128" s="9">
        <v>1146</v>
      </c>
      <c r="AD128" s="3" t="str">
        <f>IFERROR(MID(VLOOKUP($B128,Seqs!$A:$B,2,0),AE128,1),"")</f>
        <v/>
      </c>
      <c r="AE128" s="3">
        <v>1172</v>
      </c>
      <c r="AF128" s="3" t="str">
        <f>IFERROR(MID(VLOOKUP($B128,Seqs!$A:$B,2,0),AG128,1),"")</f>
        <v/>
      </c>
      <c r="AG128" s="3">
        <v>1191</v>
      </c>
      <c r="AH128" s="3" t="str">
        <f>IFERROR(MID(VLOOKUP($B128,Seqs!$A:$B,2,0),AI128,1),"")</f>
        <v/>
      </c>
      <c r="AI128" s="3">
        <v>1193</v>
      </c>
      <c r="AJ128" s="3" t="str">
        <f>IFERROR(MID(VLOOKUP($B128,Seqs!$A:$B,2,0),AK128,1),"")</f>
        <v/>
      </c>
      <c r="AK128" s="3">
        <v>1196</v>
      </c>
      <c r="AL128" s="3" t="str">
        <f>IFERROR(MID(VLOOKUP($B128,Seqs!$A:$B,2,0),AM128,1),"")</f>
        <v/>
      </c>
      <c r="AM128" s="3">
        <v>1225</v>
      </c>
      <c r="AN128" s="3" t="str">
        <f>IFERROR(MID(VLOOKUP($B128,Seqs!$A:$B,2,0),AO128,1),"")</f>
        <v/>
      </c>
      <c r="AO128" s="3">
        <v>1266</v>
      </c>
      <c r="AP128" s="3" t="str">
        <f>IFERROR(MID(VLOOKUP($B128,Seqs!$A:$B,2,0),AQ128,1),"")</f>
        <v/>
      </c>
      <c r="AQ128" s="3">
        <v>1299</v>
      </c>
      <c r="AR128" s="3" t="str">
        <f>IFERROR(MID(VLOOKUP($B128,Seqs!$A:$B,2,0),AS128,1),"")</f>
        <v/>
      </c>
      <c r="AS128" s="3">
        <v>1304</v>
      </c>
      <c r="AT128" s="3" t="str">
        <f>IFERROR(MID(VLOOKUP($B128,Seqs!$A:$B,2,0),AU128,1),"")</f>
        <v/>
      </c>
      <c r="AU128" s="3">
        <v>1328</v>
      </c>
      <c r="AV128" s="3" t="str">
        <f>IFERROR(MID(VLOOKUP($B128,Seqs!$A:$B,2,0),AW128,1),"")</f>
        <v/>
      </c>
      <c r="AW128" s="3">
        <v>1329</v>
      </c>
      <c r="AX128" s="3" t="str">
        <f>IFERROR(MID(VLOOKUP($B128,Seqs!$A:$B,2,0),AY128,1),"")</f>
        <v/>
      </c>
      <c r="AY128" s="3">
        <v>1341</v>
      </c>
      <c r="AZ128" s="77" t="str">
        <f>VLOOKUP(B128,Classification!A:D,2,0)</f>
        <v>A</v>
      </c>
      <c r="BA128" s="94" t="str">
        <f>VLOOKUP(B128,Classification!A:D,4,0)</f>
        <v>Adrenoceptors</v>
      </c>
      <c r="BB128" s="27" t="b">
        <f>AND(E128&lt;G128,OR(G128&lt;I128,I128="-"),OR(I128&lt;K128,I128="-"),OR(K128&lt;M128,K128="-"),M128&lt;O128,OR(O128&lt;Q128,Q128="-"),OR(Q128&lt;S128,Q128="-"),OR(S128&lt;U128,S128="-"),U128&lt;W128,OR(W128&lt;Y128,Y128="-"),OR(Y128&lt;AA128,Y128="-"),OR(AA128&lt;AC128,AA128="-"),AC128&lt;AE128,OR(AE128&lt;AG128,AG128="-"),OR(AG128&lt;AI128,AG128="-"),OR(AI128&lt;AK128,AI128="-"),AK128&lt;AM128,AM128&lt;AO128,AO128&lt;AQ128,AQ128&lt;AS128,AS128&lt;AU128,OR(AU128&lt;AW128,AW128="-"),OR(AW128&lt;AY128,AW128="-"))</f>
        <v>1</v>
      </c>
      <c r="BC128" s="23">
        <f t="shared" si="785"/>
        <v>248</v>
      </c>
      <c r="BD128" s="4" t="s">
        <v>23</v>
      </c>
      <c r="BE128" s="3" t="s">
        <v>1285</v>
      </c>
      <c r="BF128" s="118">
        <v>2.79</v>
      </c>
      <c r="BG128" s="49" t="s">
        <v>1371</v>
      </c>
      <c r="BH128" s="49" t="s">
        <v>1371</v>
      </c>
      <c r="BI128" s="1"/>
      <c r="BJ128" s="70" t="s">
        <v>1281</v>
      </c>
      <c r="BK128" s="57" t="s">
        <v>1281</v>
      </c>
      <c r="BL128" s="57" t="s">
        <v>1281</v>
      </c>
      <c r="BM128" s="57" t="s">
        <v>1281</v>
      </c>
      <c r="BN128" s="57" t="s">
        <v>1281</v>
      </c>
      <c r="BO128" s="57" t="s">
        <v>1281</v>
      </c>
      <c r="BP128" s="57" t="s">
        <v>1281</v>
      </c>
      <c r="BQ128" s="57" t="s">
        <v>1281</v>
      </c>
      <c r="BR128" s="57" t="s">
        <v>1281</v>
      </c>
      <c r="BS128" s="57" t="s">
        <v>1281</v>
      </c>
      <c r="BT128" s="57" t="s">
        <v>1281</v>
      </c>
      <c r="BU128" s="57" t="s">
        <v>1281</v>
      </c>
      <c r="BV128" s="70">
        <f>E128</f>
        <v>1029</v>
      </c>
      <c r="BW128" s="71">
        <f>I128</f>
        <v>1062</v>
      </c>
      <c r="BX128" s="72">
        <f>M128</f>
        <v>1066</v>
      </c>
      <c r="BY128" s="71">
        <f>Q128</f>
        <v>1098</v>
      </c>
      <c r="BZ128" s="72">
        <f>U128</f>
        <v>1102</v>
      </c>
      <c r="CA128" s="71">
        <f>Y128</f>
        <v>1138</v>
      </c>
      <c r="CB128" s="72">
        <f>AC128</f>
        <v>1146</v>
      </c>
      <c r="CC128" s="71">
        <f>AG128</f>
        <v>1191</v>
      </c>
      <c r="CD128" s="72">
        <f>AK128</f>
        <v>1196</v>
      </c>
      <c r="CE128" s="71">
        <f>AO128</f>
        <v>1266</v>
      </c>
      <c r="CF128" s="72">
        <f>AS128</f>
        <v>1304</v>
      </c>
      <c r="CG128" s="71">
        <f>AW128</f>
        <v>1329</v>
      </c>
      <c r="CH128" s="70">
        <f>G128</f>
        <v>1061</v>
      </c>
      <c r="CI128" s="71">
        <f>K128</f>
        <v>1065</v>
      </c>
      <c r="CJ128" s="72">
        <f>O128</f>
        <v>1096</v>
      </c>
      <c r="CK128" s="72">
        <f>S128</f>
        <v>1101</v>
      </c>
      <c r="CL128" s="72">
        <f>W128</f>
        <v>1137</v>
      </c>
      <c r="CM128" s="72">
        <f>AA128</f>
        <v>1145</v>
      </c>
      <c r="CN128" s="72">
        <f>AE128</f>
        <v>1172</v>
      </c>
      <c r="CO128" s="72">
        <f>AI128</f>
        <v>1193</v>
      </c>
      <c r="CP128" s="72">
        <f>AM128</f>
        <v>1225</v>
      </c>
      <c r="CQ128" s="72">
        <f>AQ128</f>
        <v>1299</v>
      </c>
      <c r="CR128" s="72">
        <f>AU128</f>
        <v>1328</v>
      </c>
      <c r="CS128" s="72">
        <f>AY128</f>
        <v>1341</v>
      </c>
      <c r="CT128" s="23">
        <f>M128-K128</f>
        <v>1</v>
      </c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  <c r="AMK128" s="1"/>
      <c r="AML128" s="1"/>
      <c r="AMM128" s="1"/>
      <c r="AMN128" s="1"/>
      <c r="AMO128" s="1"/>
    </row>
    <row r="129" spans="1:1029" x14ac:dyDescent="0.2">
      <c r="A129" s="3" t="str">
        <f>CONCATENATE(B129,"_",C129)</f>
        <v>adrb2_human_4LDL</v>
      </c>
      <c r="B129" s="3" t="s">
        <v>126</v>
      </c>
      <c r="C129" s="3" t="s">
        <v>1038</v>
      </c>
      <c r="D129" s="3" t="str">
        <f>IFERROR(MID(VLOOKUP($B129,Seqs!$A:$B,2,0),E129,1),"")</f>
        <v/>
      </c>
      <c r="E129" s="3">
        <v>1029</v>
      </c>
      <c r="F129" s="3" t="str">
        <f>IFERROR(MID(VLOOKUP($B129,Seqs!$A:$B,2,0),G129,1),"")</f>
        <v/>
      </c>
      <c r="G129" s="3">
        <v>1061</v>
      </c>
      <c r="H129" s="3" t="str">
        <f>IFERROR(MID(VLOOKUP($B129,Seqs!$A:$B,2,0),I129,1),"")</f>
        <v/>
      </c>
      <c r="I129" s="23">
        <v>1062</v>
      </c>
      <c r="J129" s="3" t="str">
        <f>IFERROR(MID(VLOOKUP($B129,Seqs!$A:$B,2,0),K129,1),"")</f>
        <v/>
      </c>
      <c r="K129" s="23">
        <v>1065</v>
      </c>
      <c r="L129" s="3" t="str">
        <f>IFERROR(MID(VLOOKUP($B129,Seqs!$A:$B,2,0),M129,1),"")</f>
        <v/>
      </c>
      <c r="M129" s="3">
        <v>1066</v>
      </c>
      <c r="N129" s="3" t="str">
        <f>IFERROR(MID(VLOOKUP($B129,Seqs!$A:$B,2,0),O129,1),"")</f>
        <v/>
      </c>
      <c r="O129" s="3">
        <v>1096</v>
      </c>
      <c r="P129" s="3" t="str">
        <f>IFERROR(MID(VLOOKUP($B129,Seqs!$A:$B,2,0),Q129,1),"")</f>
        <v/>
      </c>
      <c r="Q129" s="3">
        <v>1098</v>
      </c>
      <c r="R129" s="3" t="str">
        <f>IFERROR(MID(VLOOKUP($B129,Seqs!$A:$B,2,0),S129,1),"")</f>
        <v/>
      </c>
      <c r="S129" s="3">
        <v>1101</v>
      </c>
      <c r="T129" s="3" t="str">
        <f>IFERROR(MID(VLOOKUP($B129,Seqs!$A:$B,2,0),U129,1),"")</f>
        <v/>
      </c>
      <c r="U129" s="3">
        <v>1102</v>
      </c>
      <c r="V129" s="3" t="str">
        <f>IFERROR(MID(VLOOKUP($B129,Seqs!$A:$B,2,0),W129,1),"")</f>
        <v/>
      </c>
      <c r="W129" s="3">
        <v>1137</v>
      </c>
      <c r="X129" s="3" t="str">
        <f>IFERROR(MID(VLOOKUP($B129,Seqs!$A:$B,2,0),Y129,1),"")</f>
        <v/>
      </c>
      <c r="Y129" s="3">
        <v>1138</v>
      </c>
      <c r="Z129" s="3" t="str">
        <f>IFERROR(MID(VLOOKUP($B129,Seqs!$A:$B,2,0),AA129,1),"")</f>
        <v/>
      </c>
      <c r="AA129" s="3">
        <v>1145</v>
      </c>
      <c r="AB129" s="3" t="str">
        <f>IFERROR(MID(VLOOKUP($B129,Seqs!$A:$B,2,0),AC129,1),"")</f>
        <v/>
      </c>
      <c r="AC129" s="9">
        <v>1146</v>
      </c>
      <c r="AD129" s="3" t="str">
        <f>IFERROR(MID(VLOOKUP($B129,Seqs!$A:$B,2,0),AE129,1),"")</f>
        <v/>
      </c>
      <c r="AE129" s="3">
        <v>1172</v>
      </c>
      <c r="AF129" s="3" t="str">
        <f>IFERROR(MID(VLOOKUP($B129,Seqs!$A:$B,2,0),AG129,1),"")</f>
        <v/>
      </c>
      <c r="AG129" s="3">
        <v>1191</v>
      </c>
      <c r="AH129" s="3" t="str">
        <f>IFERROR(MID(VLOOKUP($B129,Seqs!$A:$B,2,0),AI129,1),"")</f>
        <v/>
      </c>
      <c r="AI129" s="3">
        <v>1193</v>
      </c>
      <c r="AJ129" s="3" t="str">
        <f>IFERROR(MID(VLOOKUP($B129,Seqs!$A:$B,2,0),AK129,1),"")</f>
        <v/>
      </c>
      <c r="AK129" s="3">
        <v>1196</v>
      </c>
      <c r="AL129" s="3" t="str">
        <f>IFERROR(MID(VLOOKUP($B129,Seqs!$A:$B,2,0),AM129,1),"")</f>
        <v/>
      </c>
      <c r="AM129" s="3">
        <v>1225</v>
      </c>
      <c r="AN129" s="3" t="str">
        <f>IFERROR(MID(VLOOKUP($B129,Seqs!$A:$B,2,0),AO129,1),"")</f>
        <v/>
      </c>
      <c r="AO129" s="3">
        <v>1266</v>
      </c>
      <c r="AP129" s="3" t="str">
        <f>IFERROR(MID(VLOOKUP($B129,Seqs!$A:$B,2,0),AQ129,1),"")</f>
        <v/>
      </c>
      <c r="AQ129" s="3">
        <v>1299</v>
      </c>
      <c r="AR129" s="3" t="str">
        <f>IFERROR(MID(VLOOKUP($B129,Seqs!$A:$B,2,0),AS129,1),"")</f>
        <v/>
      </c>
      <c r="AS129" s="3">
        <v>1304</v>
      </c>
      <c r="AT129" s="3" t="str">
        <f>IFERROR(MID(VLOOKUP($B129,Seqs!$A:$B,2,0),AU129,1),"")</f>
        <v/>
      </c>
      <c r="AU129" s="3">
        <v>1328</v>
      </c>
      <c r="AV129" s="3" t="str">
        <f>IFERROR(MID(VLOOKUP($B129,Seqs!$A:$B,2,0),AW129,1),"")</f>
        <v/>
      </c>
      <c r="AW129" s="3">
        <v>1329</v>
      </c>
      <c r="AX129" s="3" t="str">
        <f>IFERROR(MID(VLOOKUP($B129,Seqs!$A:$B,2,0),AY129,1),"")</f>
        <v/>
      </c>
      <c r="AY129" s="3">
        <v>1341</v>
      </c>
      <c r="AZ129" s="77" t="str">
        <f>VLOOKUP(B129,Classification!A:D,2,0)</f>
        <v>A</v>
      </c>
      <c r="BA129" s="94" t="str">
        <f>VLOOKUP(B129,Classification!A:D,4,0)</f>
        <v>Adrenoceptors</v>
      </c>
      <c r="BB129" s="27" t="b">
        <f>AND(E129&lt;G129,OR(G129&lt;I129,I129="-"),OR(I129&lt;K129,I129="-"),OR(K129&lt;M129,K129="-"),M129&lt;O129,OR(O129&lt;Q129,Q129="-"),OR(Q129&lt;S129,Q129="-"),OR(S129&lt;U129,S129="-"),U129&lt;W129,OR(W129&lt;Y129,Y129="-"),OR(Y129&lt;AA129,Y129="-"),OR(AA129&lt;AC129,AA129="-"),AC129&lt;AE129,OR(AE129&lt;AG129,AG129="-"),OR(AG129&lt;AI129,AG129="-"),OR(AI129&lt;AK129,AI129="-"),AK129&lt;AM129,AM129&lt;AO129,AO129&lt;AQ129,AQ129&lt;AS129,AS129&lt;AU129,OR(AU129&lt;AW129,AW129="-"),OR(AW129&lt;AY129,AW129="-"))</f>
        <v>1</v>
      </c>
      <c r="BC129" s="23">
        <f t="shared" si="785"/>
        <v>248</v>
      </c>
      <c r="BD129" s="4" t="s">
        <v>23</v>
      </c>
      <c r="BE129" s="3" t="s">
        <v>1285</v>
      </c>
      <c r="BF129" s="118">
        <v>3.1</v>
      </c>
      <c r="BG129" s="49" t="s">
        <v>1371</v>
      </c>
      <c r="BH129" s="49" t="s">
        <v>1371</v>
      </c>
      <c r="BI129" s="1"/>
      <c r="BJ129" s="70" t="s">
        <v>1281</v>
      </c>
      <c r="BK129" s="57" t="s">
        <v>1281</v>
      </c>
      <c r="BL129" s="57" t="s">
        <v>1281</v>
      </c>
      <c r="BM129" s="57" t="s">
        <v>1281</v>
      </c>
      <c r="BN129" s="57" t="s">
        <v>1281</v>
      </c>
      <c r="BO129" s="57" t="s">
        <v>1281</v>
      </c>
      <c r="BP129" s="57" t="s">
        <v>1281</v>
      </c>
      <c r="BQ129" s="57" t="s">
        <v>1281</v>
      </c>
      <c r="BR129" s="57" t="s">
        <v>1281</v>
      </c>
      <c r="BS129" s="57" t="s">
        <v>1281</v>
      </c>
      <c r="BT129" s="57" t="s">
        <v>1281</v>
      </c>
      <c r="BU129" s="57" t="s">
        <v>1281</v>
      </c>
      <c r="BV129" s="70">
        <f>E129</f>
        <v>1029</v>
      </c>
      <c r="BW129" s="71">
        <f>I129</f>
        <v>1062</v>
      </c>
      <c r="BX129" s="72">
        <f>M129</f>
        <v>1066</v>
      </c>
      <c r="BY129" s="71">
        <f>Q129</f>
        <v>1098</v>
      </c>
      <c r="BZ129" s="72">
        <f>U129</f>
        <v>1102</v>
      </c>
      <c r="CA129" s="71">
        <f>Y129</f>
        <v>1138</v>
      </c>
      <c r="CB129" s="72">
        <f>AC129</f>
        <v>1146</v>
      </c>
      <c r="CC129" s="71">
        <f>AG129</f>
        <v>1191</v>
      </c>
      <c r="CD129" s="72">
        <f>AK129</f>
        <v>1196</v>
      </c>
      <c r="CE129" s="71">
        <f>AO129</f>
        <v>1266</v>
      </c>
      <c r="CF129" s="72">
        <f>AS129</f>
        <v>1304</v>
      </c>
      <c r="CG129" s="71">
        <f>AW129</f>
        <v>1329</v>
      </c>
      <c r="CH129" s="70">
        <f>G129</f>
        <v>1061</v>
      </c>
      <c r="CI129" s="71">
        <f>K129</f>
        <v>1065</v>
      </c>
      <c r="CJ129" s="72">
        <f>O129</f>
        <v>1096</v>
      </c>
      <c r="CK129" s="72">
        <f>S129</f>
        <v>1101</v>
      </c>
      <c r="CL129" s="72">
        <f>W129</f>
        <v>1137</v>
      </c>
      <c r="CM129" s="72">
        <f>AA129</f>
        <v>1145</v>
      </c>
      <c r="CN129" s="72">
        <f>AE129</f>
        <v>1172</v>
      </c>
      <c r="CO129" s="72">
        <f>AI129</f>
        <v>1193</v>
      </c>
      <c r="CP129" s="72">
        <f>AM129</f>
        <v>1225</v>
      </c>
      <c r="CQ129" s="72">
        <f>AQ129</f>
        <v>1299</v>
      </c>
      <c r="CR129" s="72">
        <f>AU129</f>
        <v>1328</v>
      </c>
      <c r="CS129" s="72">
        <f>AY129</f>
        <v>1341</v>
      </c>
      <c r="CT129" s="23">
        <f>M129-K129</f>
        <v>1</v>
      </c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  <c r="AMK129" s="1"/>
      <c r="AML129" s="1"/>
      <c r="AMM129" s="1"/>
      <c r="AMN129" s="1"/>
      <c r="AMO129" s="1"/>
    </row>
    <row r="130" spans="1:1029" ht="17" customHeight="1" x14ac:dyDescent="0.2">
      <c r="A130" s="3" t="str">
        <f>CONCATENATE(B130,"_",C130)</f>
        <v>adrb2_human_4LDO</v>
      </c>
      <c r="B130" s="3" t="s">
        <v>126</v>
      </c>
      <c r="C130" s="3" t="s">
        <v>1039</v>
      </c>
      <c r="D130" s="3" t="str">
        <f>IFERROR(MID(VLOOKUP($B130,Seqs!$A:$B,2,0),E130,1),"")</f>
        <v/>
      </c>
      <c r="E130" s="3">
        <v>1029</v>
      </c>
      <c r="F130" s="3" t="str">
        <f>IFERROR(MID(VLOOKUP($B130,Seqs!$A:$B,2,0),G130,1),"")</f>
        <v/>
      </c>
      <c r="G130" s="3">
        <v>1061</v>
      </c>
      <c r="H130" s="3" t="str">
        <f>IFERROR(MID(VLOOKUP($B130,Seqs!$A:$B,2,0),I130,1),"")</f>
        <v/>
      </c>
      <c r="I130" s="23">
        <v>1062</v>
      </c>
      <c r="J130" s="3" t="str">
        <f>IFERROR(MID(VLOOKUP($B130,Seqs!$A:$B,2,0),K130,1),"")</f>
        <v/>
      </c>
      <c r="K130" s="23">
        <v>1065</v>
      </c>
      <c r="L130" s="3" t="str">
        <f>IFERROR(MID(VLOOKUP($B130,Seqs!$A:$B,2,0),M130,1),"")</f>
        <v/>
      </c>
      <c r="M130" s="3">
        <v>1066</v>
      </c>
      <c r="N130" s="3" t="str">
        <f>IFERROR(MID(VLOOKUP($B130,Seqs!$A:$B,2,0),O130,1),"")</f>
        <v/>
      </c>
      <c r="O130" s="3">
        <v>1096</v>
      </c>
      <c r="P130" s="3" t="str">
        <f>IFERROR(MID(VLOOKUP($B130,Seqs!$A:$B,2,0),Q130,1),"")</f>
        <v/>
      </c>
      <c r="Q130" s="3">
        <v>1098</v>
      </c>
      <c r="R130" s="3" t="str">
        <f>IFERROR(MID(VLOOKUP($B130,Seqs!$A:$B,2,0),S130,1),"")</f>
        <v/>
      </c>
      <c r="S130" s="3">
        <v>1101</v>
      </c>
      <c r="T130" s="3" t="str">
        <f>IFERROR(MID(VLOOKUP($B130,Seqs!$A:$B,2,0),U130,1),"")</f>
        <v/>
      </c>
      <c r="U130" s="3">
        <v>1102</v>
      </c>
      <c r="V130" s="3" t="str">
        <f>IFERROR(MID(VLOOKUP($B130,Seqs!$A:$B,2,0),W130,1),"")</f>
        <v/>
      </c>
      <c r="W130" s="3">
        <v>1137</v>
      </c>
      <c r="X130" s="3" t="str">
        <f>IFERROR(MID(VLOOKUP($B130,Seqs!$A:$B,2,0),Y130,1),"")</f>
        <v/>
      </c>
      <c r="Y130" s="3">
        <v>1138</v>
      </c>
      <c r="Z130" s="3" t="str">
        <f>IFERROR(MID(VLOOKUP($B130,Seqs!$A:$B,2,0),AA130,1),"")</f>
        <v/>
      </c>
      <c r="AA130" s="3">
        <v>1145</v>
      </c>
      <c r="AB130" s="3" t="str">
        <f>IFERROR(MID(VLOOKUP($B130,Seqs!$A:$B,2,0),AC130,1),"")</f>
        <v/>
      </c>
      <c r="AC130" s="9">
        <v>1146</v>
      </c>
      <c r="AD130" s="3" t="str">
        <f>IFERROR(MID(VLOOKUP($B130,Seqs!$A:$B,2,0),AE130,1),"")</f>
        <v/>
      </c>
      <c r="AE130" s="3">
        <v>1172</v>
      </c>
      <c r="AF130" s="3" t="str">
        <f>IFERROR(MID(VLOOKUP($B130,Seqs!$A:$B,2,0),AG130,1),"")</f>
        <v/>
      </c>
      <c r="AG130" s="3">
        <v>1191</v>
      </c>
      <c r="AH130" s="3" t="str">
        <f>IFERROR(MID(VLOOKUP($B130,Seqs!$A:$B,2,0),AI130,1),"")</f>
        <v/>
      </c>
      <c r="AI130" s="3">
        <v>1193</v>
      </c>
      <c r="AJ130" s="3" t="str">
        <f>IFERROR(MID(VLOOKUP($B130,Seqs!$A:$B,2,0),AK130,1),"")</f>
        <v/>
      </c>
      <c r="AK130" s="3">
        <v>1196</v>
      </c>
      <c r="AL130" s="3" t="str">
        <f>IFERROR(MID(VLOOKUP($B130,Seqs!$A:$B,2,0),AM130,1),"")</f>
        <v/>
      </c>
      <c r="AM130" s="3">
        <v>1225</v>
      </c>
      <c r="AN130" s="3" t="str">
        <f>IFERROR(MID(VLOOKUP($B130,Seqs!$A:$B,2,0),AO130,1),"")</f>
        <v/>
      </c>
      <c r="AO130" s="3">
        <v>1266</v>
      </c>
      <c r="AP130" s="3" t="str">
        <f>IFERROR(MID(VLOOKUP($B130,Seqs!$A:$B,2,0),AQ130,1),"")</f>
        <v/>
      </c>
      <c r="AQ130" s="3">
        <v>1299</v>
      </c>
      <c r="AR130" s="3" t="str">
        <f>IFERROR(MID(VLOOKUP($B130,Seqs!$A:$B,2,0),AS130,1),"")</f>
        <v/>
      </c>
      <c r="AS130" s="3">
        <v>1304</v>
      </c>
      <c r="AT130" s="3" t="str">
        <f>IFERROR(MID(VLOOKUP($B130,Seqs!$A:$B,2,0),AU130,1),"")</f>
        <v/>
      </c>
      <c r="AU130" s="3">
        <v>1328</v>
      </c>
      <c r="AV130" s="3" t="str">
        <f>IFERROR(MID(VLOOKUP($B130,Seqs!$A:$B,2,0),AW130,1),"")</f>
        <v/>
      </c>
      <c r="AW130" s="3">
        <v>1329</v>
      </c>
      <c r="AX130" s="3" t="str">
        <f>IFERROR(MID(VLOOKUP($B130,Seqs!$A:$B,2,0),AY130,1),"")</f>
        <v/>
      </c>
      <c r="AY130" s="3">
        <v>1341</v>
      </c>
      <c r="AZ130" s="77" t="str">
        <f>VLOOKUP(B130,Classification!A:D,2,0)</f>
        <v>A</v>
      </c>
      <c r="BA130" s="94" t="str">
        <f>VLOOKUP(B130,Classification!A:D,4,0)</f>
        <v>Adrenoceptors</v>
      </c>
      <c r="BB130" s="27" t="b">
        <f>AND(E130&lt;G130,OR(G130&lt;I130,I130="-"),OR(I130&lt;K130,I130="-"),OR(K130&lt;M130,K130="-"),M130&lt;O130,OR(O130&lt;Q130,Q130="-"),OR(Q130&lt;S130,Q130="-"),OR(S130&lt;U130,S130="-"),U130&lt;W130,OR(W130&lt;Y130,Y130="-"),OR(Y130&lt;AA130,Y130="-"),OR(AA130&lt;AC130,AA130="-"),AC130&lt;AE130,OR(AE130&lt;AG130,AG130="-"),OR(AG130&lt;AI130,AG130="-"),OR(AI130&lt;AK130,AI130="-"),AK130&lt;AM130,AM130&lt;AO130,AO130&lt;AQ130,AQ130&lt;AS130,AS130&lt;AU130,OR(AU130&lt;AW130,AW130="-"),OR(AW130&lt;AY130,AW130="-"))</f>
        <v>1</v>
      </c>
      <c r="BC130" s="23">
        <f t="shared" si="785"/>
        <v>248</v>
      </c>
      <c r="BD130" s="4" t="s">
        <v>23</v>
      </c>
      <c r="BE130" s="3" t="s">
        <v>1285</v>
      </c>
      <c r="BF130" s="118">
        <v>3.2</v>
      </c>
      <c r="BG130" s="49" t="s">
        <v>1371</v>
      </c>
      <c r="BH130" s="49" t="s">
        <v>1371</v>
      </c>
      <c r="BI130" s="1"/>
      <c r="BJ130" s="70" t="s">
        <v>1281</v>
      </c>
      <c r="BK130" s="57" t="s">
        <v>1281</v>
      </c>
      <c r="BL130" s="57" t="s">
        <v>1281</v>
      </c>
      <c r="BM130" s="57" t="s">
        <v>1281</v>
      </c>
      <c r="BN130" s="57" t="s">
        <v>1281</v>
      </c>
      <c r="BO130" s="57" t="s">
        <v>1281</v>
      </c>
      <c r="BP130" s="57" t="s">
        <v>1281</v>
      </c>
      <c r="BQ130" s="57" t="s">
        <v>1281</v>
      </c>
      <c r="BR130" s="57" t="s">
        <v>1281</v>
      </c>
      <c r="BS130" s="57" t="s">
        <v>1281</v>
      </c>
      <c r="BT130" s="57" t="s">
        <v>1281</v>
      </c>
      <c r="BU130" s="57" t="s">
        <v>1281</v>
      </c>
      <c r="BV130" s="70">
        <f>E130</f>
        <v>1029</v>
      </c>
      <c r="BW130" s="71">
        <f>I130</f>
        <v>1062</v>
      </c>
      <c r="BX130" s="72">
        <f>M130</f>
        <v>1066</v>
      </c>
      <c r="BY130" s="71">
        <f>Q130</f>
        <v>1098</v>
      </c>
      <c r="BZ130" s="72">
        <f>U130</f>
        <v>1102</v>
      </c>
      <c r="CA130" s="71">
        <f>Y130</f>
        <v>1138</v>
      </c>
      <c r="CB130" s="72">
        <f>AC130</f>
        <v>1146</v>
      </c>
      <c r="CC130" s="71">
        <f>AG130</f>
        <v>1191</v>
      </c>
      <c r="CD130" s="72">
        <f>AK130</f>
        <v>1196</v>
      </c>
      <c r="CE130" s="71">
        <f>AO130</f>
        <v>1266</v>
      </c>
      <c r="CF130" s="72">
        <f>AS130</f>
        <v>1304</v>
      </c>
      <c r="CG130" s="71">
        <f>AW130</f>
        <v>1329</v>
      </c>
      <c r="CH130" s="70">
        <f>G130</f>
        <v>1061</v>
      </c>
      <c r="CI130" s="71">
        <f>K130</f>
        <v>1065</v>
      </c>
      <c r="CJ130" s="72">
        <f>O130</f>
        <v>1096</v>
      </c>
      <c r="CK130" s="72">
        <f>S130</f>
        <v>1101</v>
      </c>
      <c r="CL130" s="72">
        <f>W130</f>
        <v>1137</v>
      </c>
      <c r="CM130" s="72">
        <f>AA130</f>
        <v>1145</v>
      </c>
      <c r="CN130" s="72">
        <f>AE130</f>
        <v>1172</v>
      </c>
      <c r="CO130" s="72">
        <f>AI130</f>
        <v>1193</v>
      </c>
      <c r="CP130" s="72">
        <f>AM130</f>
        <v>1225</v>
      </c>
      <c r="CQ130" s="72">
        <f>AQ130</f>
        <v>1299</v>
      </c>
      <c r="CR130" s="72">
        <f>AU130</f>
        <v>1328</v>
      </c>
      <c r="CS130" s="72">
        <f>AY130</f>
        <v>1341</v>
      </c>
      <c r="CT130" s="23">
        <f>M130-K130</f>
        <v>1</v>
      </c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  <c r="AML130" s="1"/>
      <c r="AMM130" s="1"/>
      <c r="AMN130" s="1"/>
      <c r="AMO130" s="1"/>
    </row>
    <row r="131" spans="1:1029" x14ac:dyDescent="0.2">
      <c r="A131" s="3" t="str">
        <f>CONCATENATE(B131,"_",C131)</f>
        <v>adrb2_human_4QKX</v>
      </c>
      <c r="B131" s="3" t="s">
        <v>126</v>
      </c>
      <c r="C131" s="3" t="s">
        <v>78</v>
      </c>
      <c r="D131" s="3" t="str">
        <f>IFERROR(MID(VLOOKUP($B131,Seqs!$A:$B,2,0),E131,1),"")</f>
        <v/>
      </c>
      <c r="E131" s="3">
        <v>1029</v>
      </c>
      <c r="F131" s="3" t="str">
        <f>IFERROR(MID(VLOOKUP($B131,Seqs!$A:$B,2,0),G131,1),"")</f>
        <v/>
      </c>
      <c r="G131" s="3">
        <v>1061</v>
      </c>
      <c r="H131" s="3" t="str">
        <f>IFERROR(MID(VLOOKUP($B131,Seqs!$A:$B,2,0),I131,1),"")</f>
        <v/>
      </c>
      <c r="I131" s="23">
        <v>1062</v>
      </c>
      <c r="J131" s="3" t="str">
        <f>IFERROR(MID(VLOOKUP($B131,Seqs!$A:$B,2,0),K131,1),"")</f>
        <v/>
      </c>
      <c r="K131" s="23">
        <v>1065</v>
      </c>
      <c r="L131" s="3" t="str">
        <f>IFERROR(MID(VLOOKUP($B131,Seqs!$A:$B,2,0),M131,1),"")</f>
        <v/>
      </c>
      <c r="M131" s="3">
        <v>1066</v>
      </c>
      <c r="N131" s="3" t="str">
        <f>IFERROR(MID(VLOOKUP($B131,Seqs!$A:$B,2,0),O131,1),"")</f>
        <v/>
      </c>
      <c r="O131" s="3">
        <v>1096</v>
      </c>
      <c r="P131" s="3" t="str">
        <f>IFERROR(MID(VLOOKUP($B131,Seqs!$A:$B,2,0),Q131,1),"")</f>
        <v/>
      </c>
      <c r="Q131" s="3">
        <v>1098</v>
      </c>
      <c r="R131" s="3" t="str">
        <f>IFERROR(MID(VLOOKUP($B131,Seqs!$A:$B,2,0),S131,1),"")</f>
        <v/>
      </c>
      <c r="S131" s="3">
        <v>1101</v>
      </c>
      <c r="T131" s="3" t="str">
        <f>IFERROR(MID(VLOOKUP($B131,Seqs!$A:$B,2,0),U131,1),"")</f>
        <v/>
      </c>
      <c r="U131" s="3">
        <v>1102</v>
      </c>
      <c r="V131" s="3" t="str">
        <f>IFERROR(MID(VLOOKUP($B131,Seqs!$A:$B,2,0),W131,1),"")</f>
        <v/>
      </c>
      <c r="W131" s="3">
        <v>1137</v>
      </c>
      <c r="X131" s="3" t="str">
        <f>IFERROR(MID(VLOOKUP($B131,Seqs!$A:$B,2,0),Y131,1),"")</f>
        <v/>
      </c>
      <c r="Y131" s="3">
        <v>1138</v>
      </c>
      <c r="Z131" s="3" t="str">
        <f>IFERROR(MID(VLOOKUP($B131,Seqs!$A:$B,2,0),AA131,1),"")</f>
        <v/>
      </c>
      <c r="AA131" s="3">
        <v>1145</v>
      </c>
      <c r="AB131" s="3" t="str">
        <f>IFERROR(MID(VLOOKUP($B131,Seqs!$A:$B,2,0),AC131,1),"")</f>
        <v/>
      </c>
      <c r="AC131" s="9">
        <v>1146</v>
      </c>
      <c r="AD131" s="3" t="str">
        <f>IFERROR(MID(VLOOKUP($B131,Seqs!$A:$B,2,0),AE131,1),"")</f>
        <v/>
      </c>
      <c r="AE131" s="3">
        <v>1172</v>
      </c>
      <c r="AF131" s="3" t="str">
        <f>IFERROR(MID(VLOOKUP($B131,Seqs!$A:$B,2,0),AG131,1),"")</f>
        <v/>
      </c>
      <c r="AG131" s="3">
        <v>1191</v>
      </c>
      <c r="AH131" s="3" t="str">
        <f>IFERROR(MID(VLOOKUP($B131,Seqs!$A:$B,2,0),AI131,1),"")</f>
        <v/>
      </c>
      <c r="AI131" s="3">
        <v>1193</v>
      </c>
      <c r="AJ131" s="3" t="str">
        <f>IFERROR(MID(VLOOKUP($B131,Seqs!$A:$B,2,0),AK131,1),"")</f>
        <v/>
      </c>
      <c r="AK131" s="3">
        <v>1196</v>
      </c>
      <c r="AL131" s="3" t="str">
        <f>IFERROR(MID(VLOOKUP($B131,Seqs!$A:$B,2,0),AM131,1),"")</f>
        <v/>
      </c>
      <c r="AM131" s="3">
        <v>1225</v>
      </c>
      <c r="AN131" s="3" t="str">
        <f>IFERROR(MID(VLOOKUP($B131,Seqs!$A:$B,2,0),AO131,1),"")</f>
        <v/>
      </c>
      <c r="AO131" s="3">
        <v>1266</v>
      </c>
      <c r="AP131" s="3" t="str">
        <f>IFERROR(MID(VLOOKUP($B131,Seqs!$A:$B,2,0),AQ131,1),"")</f>
        <v/>
      </c>
      <c r="AQ131" s="3">
        <v>1299</v>
      </c>
      <c r="AR131" s="3" t="str">
        <f>IFERROR(MID(VLOOKUP($B131,Seqs!$A:$B,2,0),AS131,1),"")</f>
        <v/>
      </c>
      <c r="AS131" s="3">
        <v>1304</v>
      </c>
      <c r="AT131" s="3" t="str">
        <f>IFERROR(MID(VLOOKUP($B131,Seqs!$A:$B,2,0),AU131,1),"")</f>
        <v/>
      </c>
      <c r="AU131" s="3">
        <v>1328</v>
      </c>
      <c r="AV131" s="3" t="str">
        <f>IFERROR(MID(VLOOKUP($B131,Seqs!$A:$B,2,0),AW131,1),"")</f>
        <v/>
      </c>
      <c r="AW131" s="3">
        <v>1329</v>
      </c>
      <c r="AX131" s="3" t="str">
        <f>IFERROR(MID(VLOOKUP($B131,Seqs!$A:$B,2,0),AY131,1),"")</f>
        <v/>
      </c>
      <c r="AY131" s="3">
        <v>1341</v>
      </c>
      <c r="AZ131" s="77" t="str">
        <f>VLOOKUP(B131,Classification!A:D,2,0)</f>
        <v>A</v>
      </c>
      <c r="BA131" s="94" t="str">
        <f>VLOOKUP(B131,Classification!A:D,4,0)</f>
        <v>Adrenoceptors</v>
      </c>
      <c r="BB131" s="27" t="b">
        <f>AND(E131&lt;G131,OR(G131&lt;I131,I131="-"),OR(I131&lt;K131,I131="-"),OR(K131&lt;M131,K131="-"),M131&lt;O131,OR(O131&lt;Q131,Q131="-"),OR(Q131&lt;S131,Q131="-"),OR(S131&lt;U131,S131="-"),U131&lt;W131,OR(W131&lt;Y131,Y131="-"),OR(Y131&lt;AA131,Y131="-"),OR(AA131&lt;AC131,AA131="-"),AC131&lt;AE131,OR(AE131&lt;AG131,AG131="-"),OR(AG131&lt;AI131,AG131="-"),OR(AI131&lt;AK131,AI131="-"),AK131&lt;AM131,AM131&lt;AO131,AO131&lt;AQ131,AQ131&lt;AS131,AS131&lt;AU131,OR(AU131&lt;AW131,AW131="-"),OR(AW131&lt;AY131,AW131="-"))</f>
        <v>1</v>
      </c>
      <c r="BC131" s="23">
        <f t="shared" si="785"/>
        <v>248</v>
      </c>
      <c r="BD131" s="4" t="s">
        <v>23</v>
      </c>
      <c r="BE131" s="3" t="s">
        <v>1285</v>
      </c>
      <c r="BF131" s="118">
        <v>3.3</v>
      </c>
      <c r="BG131" s="49" t="s">
        <v>1371</v>
      </c>
      <c r="BH131" s="49" t="s">
        <v>1371</v>
      </c>
      <c r="BI131" s="1"/>
      <c r="BJ131" s="70" t="s">
        <v>1281</v>
      </c>
      <c r="BK131" s="57" t="s">
        <v>1281</v>
      </c>
      <c r="BL131" s="57" t="s">
        <v>1281</v>
      </c>
      <c r="BM131" s="57" t="s">
        <v>1281</v>
      </c>
      <c r="BN131" s="57" t="s">
        <v>1281</v>
      </c>
      <c r="BO131" s="57" t="s">
        <v>1281</v>
      </c>
      <c r="BP131" s="57" t="s">
        <v>1281</v>
      </c>
      <c r="BQ131" s="57" t="s">
        <v>1281</v>
      </c>
      <c r="BR131" s="57" t="s">
        <v>1281</v>
      </c>
      <c r="BS131" s="57" t="s">
        <v>1281</v>
      </c>
      <c r="BT131" s="57" t="s">
        <v>1281</v>
      </c>
      <c r="BU131" s="57" t="s">
        <v>1281</v>
      </c>
      <c r="BV131" s="70">
        <f>E131</f>
        <v>1029</v>
      </c>
      <c r="BW131" s="71">
        <f>I131</f>
        <v>1062</v>
      </c>
      <c r="BX131" s="72">
        <f>M131</f>
        <v>1066</v>
      </c>
      <c r="BY131" s="71">
        <f>Q131</f>
        <v>1098</v>
      </c>
      <c r="BZ131" s="72">
        <f>U131</f>
        <v>1102</v>
      </c>
      <c r="CA131" s="71">
        <f>Y131</f>
        <v>1138</v>
      </c>
      <c r="CB131" s="72">
        <f>AC131</f>
        <v>1146</v>
      </c>
      <c r="CC131" s="71">
        <f>AG131</f>
        <v>1191</v>
      </c>
      <c r="CD131" s="72">
        <f>AK131</f>
        <v>1196</v>
      </c>
      <c r="CE131" s="71">
        <f>AO131</f>
        <v>1266</v>
      </c>
      <c r="CF131" s="72">
        <f>AS131</f>
        <v>1304</v>
      </c>
      <c r="CG131" s="71">
        <f>AW131</f>
        <v>1329</v>
      </c>
      <c r="CH131" s="70">
        <f>G131</f>
        <v>1061</v>
      </c>
      <c r="CI131" s="71">
        <f>K131</f>
        <v>1065</v>
      </c>
      <c r="CJ131" s="72">
        <f>O131</f>
        <v>1096</v>
      </c>
      <c r="CK131" s="72">
        <f>S131</f>
        <v>1101</v>
      </c>
      <c r="CL131" s="72">
        <f>W131</f>
        <v>1137</v>
      </c>
      <c r="CM131" s="72">
        <f>AA131</f>
        <v>1145</v>
      </c>
      <c r="CN131" s="72">
        <f>AE131</f>
        <v>1172</v>
      </c>
      <c r="CO131" s="72">
        <f>AI131</f>
        <v>1193</v>
      </c>
      <c r="CP131" s="72">
        <f>AM131</f>
        <v>1225</v>
      </c>
      <c r="CQ131" s="72">
        <f>AQ131</f>
        <v>1299</v>
      </c>
      <c r="CR131" s="72">
        <f>AU131</f>
        <v>1328</v>
      </c>
      <c r="CS131" s="72">
        <f>AY131</f>
        <v>1341</v>
      </c>
      <c r="CT131" s="23">
        <f>M131-K131</f>
        <v>1</v>
      </c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  <c r="AMM131" s="1"/>
      <c r="AMN131" s="1"/>
      <c r="AMO131" s="1"/>
    </row>
    <row r="132" spans="1:1029" x14ac:dyDescent="0.2">
      <c r="A132" s="3" t="str">
        <f>CONCATENATE(B132,"_",C132)</f>
        <v>adrb2_human_5D6L</v>
      </c>
      <c r="B132" s="3" t="s">
        <v>126</v>
      </c>
      <c r="C132" s="3" t="s">
        <v>1337</v>
      </c>
      <c r="D132" s="3" t="str">
        <f>IFERROR(MID(VLOOKUP($B132,Seqs!$A:$B,2,0),E132,1),"")</f>
        <v>D</v>
      </c>
      <c r="E132" s="3">
        <v>29</v>
      </c>
      <c r="F132" s="3" t="str">
        <f>IFERROR(MID(VLOOKUP($B132,Seqs!$A:$B,2,0),G132,1),"")</f>
        <v>F</v>
      </c>
      <c r="G132" s="3">
        <v>61</v>
      </c>
      <c r="H132" s="3" t="str">
        <f>IFERROR(MID(VLOOKUP($B132,Seqs!$A:$B,2,0),I132,1),"")</f>
        <v>E</v>
      </c>
      <c r="I132" s="23">
        <v>62</v>
      </c>
      <c r="J132" s="3" t="str">
        <f>IFERROR(MID(VLOOKUP($B132,Seqs!$A:$B,2,0),K132,1),"")</f>
        <v>Q</v>
      </c>
      <c r="K132" s="23">
        <v>65</v>
      </c>
      <c r="L132" s="3" t="str">
        <f>IFERROR(MID(VLOOKUP($B132,Seqs!$A:$B,2,0),M132,1),"")</f>
        <v>T</v>
      </c>
      <c r="M132" s="3">
        <v>66</v>
      </c>
      <c r="N132" s="3" t="str">
        <f>IFERROR(MID(VLOOKUP($B132,Seqs!$A:$B,2,0),O132,1),"")</f>
        <v>M</v>
      </c>
      <c r="O132" s="3">
        <v>96</v>
      </c>
      <c r="P132" s="3" t="str">
        <f>IFERROR(MID(VLOOKUP($B132,Seqs!$A:$B,2,0),Q132,1),"")</f>
        <v>M</v>
      </c>
      <c r="Q132" s="3">
        <v>98</v>
      </c>
      <c r="R132" s="3" t="str">
        <f>IFERROR(MID(VLOOKUP($B132,Seqs!$A:$B,2,0),S132,1),"")</f>
        <v>F</v>
      </c>
      <c r="S132" s="3">
        <v>101</v>
      </c>
      <c r="T132" s="3" t="str">
        <f>IFERROR(MID(VLOOKUP($B132,Seqs!$A:$B,2,0),U132,1),"")</f>
        <v>G</v>
      </c>
      <c r="U132" s="3">
        <v>102</v>
      </c>
      <c r="V132" s="3" t="str">
        <f>IFERROR(MID(VLOOKUP($B132,Seqs!$A:$B,2,0),W132,1),"")</f>
        <v>S</v>
      </c>
      <c r="W132" s="3">
        <v>137</v>
      </c>
      <c r="X132" s="3" t="str">
        <f>IFERROR(MID(VLOOKUP($B132,Seqs!$A:$B,2,0),Y132,1),"")</f>
        <v/>
      </c>
      <c r="Y132" s="3" t="s">
        <v>23</v>
      </c>
      <c r="Z132" s="3" t="str">
        <f>IFERROR(MID(VLOOKUP($B132,Seqs!$A:$B,2,0),AA132,1),"")</f>
        <v/>
      </c>
      <c r="AA132" s="3" t="s">
        <v>23</v>
      </c>
      <c r="AB132" s="3" t="str">
        <f>IFERROR(MID(VLOOKUP($B132,Seqs!$A:$B,2,0),AC132,1),"")</f>
        <v>T</v>
      </c>
      <c r="AC132" s="9">
        <v>146</v>
      </c>
      <c r="AD132" s="3" t="str">
        <f>IFERROR(MID(VLOOKUP($B132,Seqs!$A:$B,2,0),AE132,1),"")</f>
        <v>H</v>
      </c>
      <c r="AE132" s="3">
        <v>172</v>
      </c>
      <c r="AF132" s="3" t="str">
        <f>IFERROR(MID(VLOOKUP($B132,Seqs!$A:$B,2,0),AG132,1),"")</f>
        <v>C</v>
      </c>
      <c r="AG132" s="3">
        <v>191</v>
      </c>
      <c r="AH132" s="3" t="str">
        <f>IFERROR(MID(VLOOKUP($B132,Seqs!$A:$B,2,0),AI132,1),"")</f>
        <v>F</v>
      </c>
      <c r="AI132" s="3">
        <v>193</v>
      </c>
      <c r="AJ132" s="3" t="str">
        <f>IFERROR(MID(VLOOKUP($B132,Seqs!$A:$B,2,0),AK132,1),"")</f>
        <v>N</v>
      </c>
      <c r="AK132" s="3">
        <v>196</v>
      </c>
      <c r="AL132" s="3" t="str">
        <f>IFERROR(MID(VLOOKUP($B132,Seqs!$A:$B,2,0),AM132,1),"")</f>
        <v>Q</v>
      </c>
      <c r="AM132" s="3">
        <v>229</v>
      </c>
      <c r="AN132" s="3" t="str">
        <f>IFERROR(MID(VLOOKUP($B132,Seqs!$A:$B,2,0),AO132,1),"")</f>
        <v>K</v>
      </c>
      <c r="AO132" s="3">
        <v>267</v>
      </c>
      <c r="AP132" s="3" t="str">
        <f>IFERROR(MID(VLOOKUP($B132,Seqs!$A:$B,2,0),AQ132,1),"")</f>
        <v>Q</v>
      </c>
      <c r="AQ132" s="3">
        <v>299</v>
      </c>
      <c r="AR132" s="3" t="str">
        <f>IFERROR(MID(VLOOKUP($B132,Seqs!$A:$B,2,0),AS132,1),"")</f>
        <v>R</v>
      </c>
      <c r="AS132" s="3">
        <v>304</v>
      </c>
      <c r="AT132" s="3" t="str">
        <f>IFERROR(MID(VLOOKUP($B132,Seqs!$A:$B,2,0),AU132,1),"")</f>
        <v>R</v>
      </c>
      <c r="AU132" s="3">
        <v>328</v>
      </c>
      <c r="AV132" s="3" t="str">
        <f>IFERROR(MID(VLOOKUP($B132,Seqs!$A:$B,2,0),AW132,1),"")</f>
        <v>S</v>
      </c>
      <c r="AW132" s="3">
        <v>329</v>
      </c>
      <c r="AX132" s="3" t="str">
        <f>IFERROR(MID(VLOOKUP($B132,Seqs!$A:$B,2,0),AY132,1),"")</f>
        <v>C</v>
      </c>
      <c r="AY132" s="3">
        <v>341</v>
      </c>
      <c r="AZ132" s="77" t="str">
        <f>VLOOKUP(B132,Classification!A:D,2,0)</f>
        <v>A</v>
      </c>
      <c r="BA132" s="94" t="str">
        <f>VLOOKUP(B132,Classification!A:D,4,0)</f>
        <v>Adrenoceptors</v>
      </c>
      <c r="BB132" s="27" t="b">
        <f t="shared" ref="BB132:BB241" si="1007">AND(E132&lt;G132,OR(G132&lt;I132,I132="-"),OR(I132&lt;K132,I132="-"),OR(K132&lt;M132,K132="-"),M132&lt;O132,OR(O132&lt;Q132,Q132="-"),OR(Q132&lt;S132,Q132="-"),OR(S132&lt;U132,S132="-"),U132&lt;W132,OR(W132&lt;Y132,Y132="-"),OR(Y132&lt;AA132,Y132="-"),OR(AA132&lt;AC132,AA132="-"),AC132&lt;AE132,OR(AE132&lt;AG132,AG132="-"),OR(AG132&lt;AI132,AG132="-"),OR(AI132&lt;AK132,AI132="-"),AK132&lt;AM132,AM132&lt;AO132,AO132&lt;AQ132,AQ132&lt;AS132,AS132&lt;AU132,OR(AU132&lt;AW132,AW132="-"),OR(AW132&lt;AY132,AW132="-"))</f>
        <v>1</v>
      </c>
      <c r="BC132" s="23">
        <f t="shared" si="785"/>
        <v>244</v>
      </c>
      <c r="BD132" s="4" t="s">
        <v>23</v>
      </c>
      <c r="BE132" s="3" t="s">
        <v>1368</v>
      </c>
      <c r="BF132" s="118">
        <v>3.2</v>
      </c>
      <c r="BG132" s="49" t="s">
        <v>1</v>
      </c>
      <c r="BH132" s="49" t="s">
        <v>1371</v>
      </c>
      <c r="BI132" s="1"/>
      <c r="BJ132" s="70" t="s">
        <v>1281</v>
      </c>
      <c r="BK132" s="57" t="s">
        <v>1281</v>
      </c>
      <c r="BL132" s="57" t="s">
        <v>1281</v>
      </c>
      <c r="BM132" s="57" t="s">
        <v>1281</v>
      </c>
      <c r="BN132" s="57" t="s">
        <v>1281</v>
      </c>
      <c r="BO132" s="57" t="s">
        <v>1281</v>
      </c>
      <c r="BP132" s="57" t="s">
        <v>1281</v>
      </c>
      <c r="BQ132" s="57" t="s">
        <v>1281</v>
      </c>
      <c r="BR132" s="57" t="s">
        <v>1281</v>
      </c>
      <c r="BS132" s="57" t="s">
        <v>1281</v>
      </c>
      <c r="BT132" s="57" t="s">
        <v>1281</v>
      </c>
      <c r="BU132" s="57" t="s">
        <v>1281</v>
      </c>
      <c r="BV132" s="70">
        <f>E132</f>
        <v>29</v>
      </c>
      <c r="BW132" s="71">
        <f>I132</f>
        <v>62</v>
      </c>
      <c r="BX132" s="72">
        <f>M132</f>
        <v>66</v>
      </c>
      <c r="BY132" s="71">
        <f>Q132</f>
        <v>98</v>
      </c>
      <c r="BZ132" s="72">
        <f>U132</f>
        <v>102</v>
      </c>
      <c r="CA132" s="71" t="str">
        <f>Y132</f>
        <v>-</v>
      </c>
      <c r="CB132" s="72">
        <f>AC132</f>
        <v>146</v>
      </c>
      <c r="CC132" s="71">
        <f>AG132</f>
        <v>191</v>
      </c>
      <c r="CD132" s="72">
        <f>AK132</f>
        <v>196</v>
      </c>
      <c r="CE132" s="71">
        <f>AO132</f>
        <v>267</v>
      </c>
      <c r="CF132" s="72">
        <f>AS132</f>
        <v>304</v>
      </c>
      <c r="CG132" s="71">
        <f>AW132</f>
        <v>329</v>
      </c>
      <c r="CH132" s="70">
        <f>G132</f>
        <v>61</v>
      </c>
      <c r="CI132" s="71">
        <f>K132</f>
        <v>65</v>
      </c>
      <c r="CJ132" s="72">
        <f>O132</f>
        <v>96</v>
      </c>
      <c r="CK132" s="72">
        <f>S132</f>
        <v>101</v>
      </c>
      <c r="CL132" s="72">
        <f>W132</f>
        <v>137</v>
      </c>
      <c r="CM132" s="72" t="str">
        <f>AA132</f>
        <v>-</v>
      </c>
      <c r="CN132" s="72">
        <f>AE132</f>
        <v>172</v>
      </c>
      <c r="CO132" s="72">
        <f>AI132</f>
        <v>193</v>
      </c>
      <c r="CP132" s="72">
        <f>AM132</f>
        <v>229</v>
      </c>
      <c r="CQ132" s="72">
        <f>AQ132</f>
        <v>299</v>
      </c>
      <c r="CR132" s="72">
        <f>AU132</f>
        <v>328</v>
      </c>
      <c r="CS132" s="72">
        <f>AY132</f>
        <v>341</v>
      </c>
      <c r="CT132" s="23">
        <f>M132-K132</f>
        <v>1</v>
      </c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  <c r="AMK132" s="1"/>
      <c r="AML132" s="1"/>
      <c r="AMM132" s="1"/>
      <c r="AMN132" s="1"/>
      <c r="AMO132" s="1"/>
    </row>
    <row r="133" spans="1:1029" x14ac:dyDescent="0.2">
      <c r="A133" s="3" t="str">
        <f>CONCATENATE(B133,"_",C133)</f>
        <v>adrb2_human_5JQH</v>
      </c>
      <c r="B133" s="3" t="s">
        <v>126</v>
      </c>
      <c r="C133" s="3" t="s">
        <v>1338</v>
      </c>
      <c r="D133" s="3" t="str">
        <f>IFERROR(MID(VLOOKUP($B133,Seqs!$A:$B,2,0),E133,1),"")</f>
        <v/>
      </c>
      <c r="E133" s="3">
        <v>1023</v>
      </c>
      <c r="F133" s="3" t="str">
        <f>IFERROR(MID(VLOOKUP($B133,Seqs!$A:$B,2,0),G133,1),"")</f>
        <v/>
      </c>
      <c r="G133" s="3">
        <v>1061</v>
      </c>
      <c r="H133" s="3" t="str">
        <f>IFERROR(MID(VLOOKUP($B133,Seqs!$A:$B,2,0),I133,1),"")</f>
        <v/>
      </c>
      <c r="I133" s="23">
        <v>1062</v>
      </c>
      <c r="J133" s="3" t="str">
        <f>IFERROR(MID(VLOOKUP($B133,Seqs!$A:$B,2,0),K133,1),"")</f>
        <v/>
      </c>
      <c r="K133" s="23">
        <v>1065</v>
      </c>
      <c r="L133" s="3" t="str">
        <f>IFERROR(MID(VLOOKUP($B133,Seqs!$A:$B,2,0),M133,1),"")</f>
        <v/>
      </c>
      <c r="M133" s="3">
        <v>1066</v>
      </c>
      <c r="N133" s="3" t="str">
        <f>IFERROR(MID(VLOOKUP($B133,Seqs!$A:$B,2,0),O133,1),"")</f>
        <v/>
      </c>
      <c r="O133" s="3">
        <v>1096</v>
      </c>
      <c r="P133" s="3" t="str">
        <f>IFERROR(MID(VLOOKUP($B133,Seqs!$A:$B,2,0),Q133,1),"")</f>
        <v/>
      </c>
      <c r="Q133" s="3">
        <v>1098</v>
      </c>
      <c r="R133" s="3" t="str">
        <f>IFERROR(MID(VLOOKUP($B133,Seqs!$A:$B,2,0),S133,1),"")</f>
        <v/>
      </c>
      <c r="S133" s="3">
        <v>1101</v>
      </c>
      <c r="T133" s="3" t="str">
        <f>IFERROR(MID(VLOOKUP($B133,Seqs!$A:$B,2,0),U133,1),"")</f>
        <v/>
      </c>
      <c r="U133" s="3">
        <v>1102</v>
      </c>
      <c r="V133" s="3" t="str">
        <f>IFERROR(MID(VLOOKUP($B133,Seqs!$A:$B,2,0),W133,1),"")</f>
        <v/>
      </c>
      <c r="W133" s="3">
        <v>1137</v>
      </c>
      <c r="X133" s="3" t="str">
        <f>IFERROR(MID(VLOOKUP($B133,Seqs!$A:$B,2,0),Y133,1),"")</f>
        <v/>
      </c>
      <c r="Y133" s="3" t="s">
        <v>23</v>
      </c>
      <c r="Z133" s="3" t="str">
        <f>IFERROR(MID(VLOOKUP($B133,Seqs!$A:$B,2,0),AA133,1),"")</f>
        <v/>
      </c>
      <c r="AA133" s="3" t="s">
        <v>23</v>
      </c>
      <c r="AB133" s="3" t="str">
        <f>IFERROR(MID(VLOOKUP($B133,Seqs!$A:$B,2,0),AC133,1),"")</f>
        <v/>
      </c>
      <c r="AC133" s="9">
        <v>1146</v>
      </c>
      <c r="AD133" s="3" t="str">
        <f>IFERROR(MID(VLOOKUP($B133,Seqs!$A:$B,2,0),AE133,1),"")</f>
        <v/>
      </c>
      <c r="AE133" s="3">
        <v>1172</v>
      </c>
      <c r="AF133" s="3" t="str">
        <f>IFERROR(MID(VLOOKUP($B133,Seqs!$A:$B,2,0),AG133,1),"")</f>
        <v/>
      </c>
      <c r="AG133" s="3">
        <v>1191</v>
      </c>
      <c r="AH133" s="3" t="str">
        <f>IFERROR(MID(VLOOKUP($B133,Seqs!$A:$B,2,0),AI133,1),"")</f>
        <v/>
      </c>
      <c r="AI133" s="3">
        <v>1193</v>
      </c>
      <c r="AJ133" s="3" t="str">
        <f>IFERROR(MID(VLOOKUP($B133,Seqs!$A:$B,2,0),AK133,1),"")</f>
        <v/>
      </c>
      <c r="AK133" s="3">
        <v>1196</v>
      </c>
      <c r="AL133" s="3" t="str">
        <f>IFERROR(MID(VLOOKUP($B133,Seqs!$A:$B,2,0),AM133,1),"")</f>
        <v/>
      </c>
      <c r="AM133" s="3">
        <v>1230</v>
      </c>
      <c r="AN133" s="3" t="str">
        <f>IFERROR(MID(VLOOKUP($B133,Seqs!$A:$B,2,0),AO133,1),"")</f>
        <v/>
      </c>
      <c r="AO133" s="3">
        <v>1271</v>
      </c>
      <c r="AP133" s="3" t="str">
        <f>IFERROR(MID(VLOOKUP($B133,Seqs!$A:$B,2,0),AQ133,1),"")</f>
        <v/>
      </c>
      <c r="AQ133" s="3">
        <v>1299</v>
      </c>
      <c r="AR133" s="3" t="str">
        <f>IFERROR(MID(VLOOKUP($B133,Seqs!$A:$B,2,0),AS133,1),"")</f>
        <v/>
      </c>
      <c r="AS133" s="3">
        <v>1304</v>
      </c>
      <c r="AT133" s="3" t="str">
        <f>IFERROR(MID(VLOOKUP($B133,Seqs!$A:$B,2,0),AU133,1),"")</f>
        <v/>
      </c>
      <c r="AU133" s="3">
        <v>1328</v>
      </c>
      <c r="AV133" s="3" t="str">
        <f>IFERROR(MID(VLOOKUP($B133,Seqs!$A:$B,2,0),AW133,1),"")</f>
        <v/>
      </c>
      <c r="AW133" s="3">
        <v>1329</v>
      </c>
      <c r="AX133" s="3" t="str">
        <f>IFERROR(MID(VLOOKUP($B133,Seqs!$A:$B,2,0),AY133,1),"")</f>
        <v/>
      </c>
      <c r="AY133" s="3">
        <v>1341</v>
      </c>
      <c r="AZ133" s="77" t="str">
        <f>VLOOKUP(B133,Classification!A:D,2,0)</f>
        <v>A</v>
      </c>
      <c r="BA133" s="94" t="str">
        <f>VLOOKUP(B133,Classification!A:D,4,0)</f>
        <v>Adrenoceptors</v>
      </c>
      <c r="BB133" s="27" t="b">
        <f t="shared" si="1007"/>
        <v>1</v>
      </c>
      <c r="BC133" s="23">
        <f t="shared" si="785"/>
        <v>247</v>
      </c>
      <c r="BD133" s="74" t="s">
        <v>1370</v>
      </c>
      <c r="BE133" s="3" t="s">
        <v>1368</v>
      </c>
      <c r="BF133" s="118">
        <v>3.2</v>
      </c>
      <c r="BG133" s="49" t="s">
        <v>1275</v>
      </c>
      <c r="BH133" s="49" t="s">
        <v>1371</v>
      </c>
      <c r="BI133" s="1"/>
      <c r="BJ133" s="70" t="s">
        <v>1281</v>
      </c>
      <c r="BK133" s="57" t="s">
        <v>1281</v>
      </c>
      <c r="BL133" s="57" t="s">
        <v>1281</v>
      </c>
      <c r="BM133" s="57" t="s">
        <v>1281</v>
      </c>
      <c r="BN133" s="57" t="s">
        <v>1281</v>
      </c>
      <c r="BO133" s="57" t="s">
        <v>1281</v>
      </c>
      <c r="BP133" s="57" t="s">
        <v>1281</v>
      </c>
      <c r="BQ133" s="57" t="s">
        <v>1281</v>
      </c>
      <c r="BR133" s="57" t="s">
        <v>1281</v>
      </c>
      <c r="BS133" s="57" t="s">
        <v>1281</v>
      </c>
      <c r="BT133" s="57" t="s">
        <v>1281</v>
      </c>
      <c r="BU133" s="57" t="s">
        <v>1281</v>
      </c>
      <c r="BV133" s="70">
        <f>E133</f>
        <v>1023</v>
      </c>
      <c r="BW133" s="71">
        <f>I133</f>
        <v>1062</v>
      </c>
      <c r="BX133" s="72">
        <f>M133</f>
        <v>1066</v>
      </c>
      <c r="BY133" s="71">
        <f>Q133</f>
        <v>1098</v>
      </c>
      <c r="BZ133" s="72">
        <f>U133</f>
        <v>1102</v>
      </c>
      <c r="CA133" s="71" t="str">
        <f>Y133</f>
        <v>-</v>
      </c>
      <c r="CB133" s="72">
        <f>AC133</f>
        <v>1146</v>
      </c>
      <c r="CC133" s="71">
        <f>AG133</f>
        <v>1191</v>
      </c>
      <c r="CD133" s="72">
        <f>AK133</f>
        <v>1196</v>
      </c>
      <c r="CE133" s="71">
        <f>AO133</f>
        <v>1271</v>
      </c>
      <c r="CF133" s="72">
        <f>AS133</f>
        <v>1304</v>
      </c>
      <c r="CG133" s="71">
        <f>AW133</f>
        <v>1329</v>
      </c>
      <c r="CH133" s="70">
        <f>G133</f>
        <v>1061</v>
      </c>
      <c r="CI133" s="71">
        <f>K133</f>
        <v>1065</v>
      </c>
      <c r="CJ133" s="72">
        <f>O133</f>
        <v>1096</v>
      </c>
      <c r="CK133" s="72">
        <f>S133</f>
        <v>1101</v>
      </c>
      <c r="CL133" s="72">
        <f>W133</f>
        <v>1137</v>
      </c>
      <c r="CM133" s="72" t="str">
        <f>AA133</f>
        <v>-</v>
      </c>
      <c r="CN133" s="72">
        <f>AE133</f>
        <v>1172</v>
      </c>
      <c r="CO133" s="72">
        <f>AI133</f>
        <v>1193</v>
      </c>
      <c r="CP133" s="72">
        <f>AM133</f>
        <v>1230</v>
      </c>
      <c r="CQ133" s="72">
        <f>AQ133</f>
        <v>1299</v>
      </c>
      <c r="CR133" s="72">
        <f>AU133</f>
        <v>1328</v>
      </c>
      <c r="CS133" s="72">
        <f>AY133</f>
        <v>1341</v>
      </c>
      <c r="CT133" s="23">
        <f>M133-K133</f>
        <v>1</v>
      </c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  <c r="AMK133" s="1"/>
      <c r="AML133" s="1"/>
      <c r="AMM133" s="1"/>
      <c r="AMN133" s="1"/>
      <c r="AMO133" s="1"/>
    </row>
    <row r="134" spans="1:1029" x14ac:dyDescent="0.2">
      <c r="A134" s="3" t="str">
        <f>CONCATENATE(B134,"_",C134)</f>
        <v>adrb2_human_5X7D</v>
      </c>
      <c r="B134" s="3" t="s">
        <v>126</v>
      </c>
      <c r="C134" s="3" t="s">
        <v>1431</v>
      </c>
      <c r="D134" s="3" t="str">
        <f>IFERROR(MID(VLOOKUP($B134,Seqs!$A:$B,2,0),E134,1),"")</f>
        <v>V</v>
      </c>
      <c r="E134" s="3">
        <v>33</v>
      </c>
      <c r="F134" s="3" t="str">
        <f>IFERROR(MID(VLOOKUP($B134,Seqs!$A:$B,2,0),G134,1),"")</f>
        <v>F</v>
      </c>
      <c r="G134" s="3">
        <v>61</v>
      </c>
      <c r="H134" s="3" t="str">
        <f>IFERROR(MID(VLOOKUP($B134,Seqs!$A:$B,2,0),I134,1),"")</f>
        <v>E</v>
      </c>
      <c r="I134" s="23">
        <v>62</v>
      </c>
      <c r="J134" s="3" t="str">
        <f>IFERROR(MID(VLOOKUP($B134,Seqs!$A:$B,2,0),K134,1),"")</f>
        <v>Q</v>
      </c>
      <c r="K134" s="23">
        <v>65</v>
      </c>
      <c r="L134" s="3" t="str">
        <f>IFERROR(MID(VLOOKUP($B134,Seqs!$A:$B,2,0),M134,1),"")</f>
        <v>T</v>
      </c>
      <c r="M134" s="3">
        <v>66</v>
      </c>
      <c r="N134" s="3" t="str">
        <f>IFERROR(MID(VLOOKUP($B134,Seqs!$A:$B,2,0),O134,1),"")</f>
        <v>M</v>
      </c>
      <c r="O134" s="3">
        <v>96</v>
      </c>
      <c r="P134" s="3" t="str">
        <f>IFERROR(MID(VLOOKUP($B134,Seqs!$A:$B,2,0),Q134,1),"")</f>
        <v>M</v>
      </c>
      <c r="Q134" s="3">
        <v>98</v>
      </c>
      <c r="R134" s="3" t="str">
        <f>IFERROR(MID(VLOOKUP($B134,Seqs!$A:$B,2,0),S134,1),"")</f>
        <v>F</v>
      </c>
      <c r="S134" s="3">
        <v>101</v>
      </c>
      <c r="T134" s="3" t="str">
        <f>IFERROR(MID(VLOOKUP($B134,Seqs!$A:$B,2,0),U134,1),"")</f>
        <v>G</v>
      </c>
      <c r="U134" s="3">
        <v>102</v>
      </c>
      <c r="V134" s="3" t="str">
        <f>IFERROR(MID(VLOOKUP($B134,Seqs!$A:$B,2,0),W134,1),"")</f>
        <v>T</v>
      </c>
      <c r="W134" s="3">
        <v>136</v>
      </c>
      <c r="X134" s="3" t="str">
        <f>IFERROR(MID(VLOOKUP($B134,Seqs!$A:$B,2,0),Y134,1),"")</f>
        <v/>
      </c>
      <c r="Y134" s="3" t="s">
        <v>23</v>
      </c>
      <c r="Z134" s="3" t="str">
        <f>IFERROR(MID(VLOOKUP($B134,Seqs!$A:$B,2,0),AA134,1),"")</f>
        <v/>
      </c>
      <c r="AA134" s="3" t="s">
        <v>23</v>
      </c>
      <c r="AB134" s="3" t="str">
        <f>IFERROR(MID(VLOOKUP($B134,Seqs!$A:$B,2,0),AC134,1),"")</f>
        <v>T</v>
      </c>
      <c r="AC134" s="3">
        <v>146</v>
      </c>
      <c r="AD134" s="3" t="str">
        <f>IFERROR(MID(VLOOKUP($B134,Seqs!$A:$B,2,0),AE134,1),"")</f>
        <v>H</v>
      </c>
      <c r="AE134" s="3">
        <v>172</v>
      </c>
      <c r="AF134" s="3" t="str">
        <f>IFERROR(MID(VLOOKUP($B134,Seqs!$A:$B,2,0),AG134,1),"")</f>
        <v>C</v>
      </c>
      <c r="AG134" s="3">
        <v>191</v>
      </c>
      <c r="AH134" s="3" t="str">
        <f>IFERROR(MID(VLOOKUP($B134,Seqs!$A:$B,2,0),AI134,1),"")</f>
        <v>F</v>
      </c>
      <c r="AI134" s="3">
        <v>193</v>
      </c>
      <c r="AJ134" s="3" t="str">
        <f>IFERROR(MID(VLOOKUP($B134,Seqs!$A:$B,2,0),AK134,1),"")</f>
        <v>N</v>
      </c>
      <c r="AK134" s="3">
        <v>196</v>
      </c>
      <c r="AL134" s="3" t="str">
        <f>IFERROR(MID(VLOOKUP($B134,Seqs!$A:$B,2,0),AM134,1),"")</f>
        <v>L</v>
      </c>
      <c r="AM134" s="3">
        <v>230</v>
      </c>
      <c r="AN134" s="3" t="str">
        <f>IFERROR(MID(VLOOKUP($B134,Seqs!$A:$B,2,0),AO134,1),"")</f>
        <v>A</v>
      </c>
      <c r="AO134" s="3">
        <v>271</v>
      </c>
      <c r="AP134" s="3" t="str">
        <f>IFERROR(MID(VLOOKUP($B134,Seqs!$A:$B,2,0),AQ134,1),"")</f>
        <v>Q</v>
      </c>
      <c r="AQ134" s="3">
        <v>299</v>
      </c>
      <c r="AR134" s="3" t="str">
        <f>IFERROR(MID(VLOOKUP($B134,Seqs!$A:$B,2,0),AS134,1),"")</f>
        <v>R</v>
      </c>
      <c r="AS134" s="3">
        <v>304</v>
      </c>
      <c r="AT134" s="3" t="str">
        <f>IFERROR(MID(VLOOKUP($B134,Seqs!$A:$B,2,0),AU134,1),"")</f>
        <v>R</v>
      </c>
      <c r="AU134" s="3">
        <v>328</v>
      </c>
      <c r="AV134" s="3" t="str">
        <f>IFERROR(MID(VLOOKUP($B134,Seqs!$A:$B,2,0),AW134,1),"")</f>
        <v>S</v>
      </c>
      <c r="AW134" s="3">
        <v>329</v>
      </c>
      <c r="AX134" s="3" t="str">
        <f>IFERROR(MID(VLOOKUP($B134,Seqs!$A:$B,2,0),AY134,1),"")</f>
        <v>C</v>
      </c>
      <c r="AY134" s="3">
        <v>341</v>
      </c>
      <c r="AZ134" s="77" t="str">
        <f>VLOOKUP(B134,Classification!A:D,2,0)</f>
        <v>A</v>
      </c>
      <c r="BA134" s="94" t="str">
        <f>VLOOKUP(B134,Classification!A:D,4,0)</f>
        <v>Adrenoceptors</v>
      </c>
      <c r="BB134" s="27" t="b">
        <f t="shared" ref="BB134:BB146" si="1008">AND(E134&lt;G134,OR(G134&lt;I134,I134="-"),OR(I134&lt;K134,I134="-"),OR(K134&lt;M134,K134="-"),M134&lt;O134,OR(O134&lt;Q134,Q134="-"),OR(Q134&lt;S134,Q134="-"),OR(S134&lt;U134,S134="-"),U134&lt;W134,OR(W134&lt;Y134,Y134="-"),OR(Y134&lt;AA134,Y134="-"),OR(AA134&lt;AC134,AA134="-"),AC134&lt;AE134,OR(AE134&lt;AG134,AG134="-"),OR(AG134&lt;AI134,AG134="-"),OR(AI134&lt;AK134,AI134="-"),AK134&lt;AM134,AM134&lt;AO134,AO134&lt;AQ134,AQ134&lt;AS134,AS134&lt;AU134,OR(AU134&lt;AW134,AW134="-"),OR(AW134&lt;AY134,AW134="-"))</f>
        <v>1</v>
      </c>
      <c r="BC134" s="23">
        <f t="shared" ref="BC134:BC146" si="1009">_xlfn.AGGREGATE(9,6,CH134:CS134)-_xlfn.AGGREGATE(9,6,BV134:CG134)+12</f>
        <v>236</v>
      </c>
      <c r="BD134" s="74" t="s">
        <v>23</v>
      </c>
      <c r="BE134" s="3" t="s">
        <v>1368</v>
      </c>
      <c r="BF134" s="118">
        <v>4.2</v>
      </c>
      <c r="BG134" s="49" t="s">
        <v>1275</v>
      </c>
      <c r="BH134" s="49" t="s">
        <v>1371</v>
      </c>
      <c r="BI134" s="1"/>
      <c r="BJ134" s="70" t="s">
        <v>1281</v>
      </c>
      <c r="BK134" s="57" t="s">
        <v>1281</v>
      </c>
      <c r="BL134" s="57" t="s">
        <v>1281</v>
      </c>
      <c r="BM134" s="57" t="s">
        <v>1281</v>
      </c>
      <c r="BN134" s="57" t="s">
        <v>1281</v>
      </c>
      <c r="BO134" s="57" t="s">
        <v>1281</v>
      </c>
      <c r="BP134" s="57" t="s">
        <v>1281</v>
      </c>
      <c r="BQ134" s="57" t="s">
        <v>1281</v>
      </c>
      <c r="BR134" s="57" t="s">
        <v>1281</v>
      </c>
      <c r="BS134" s="57" t="s">
        <v>1281</v>
      </c>
      <c r="BT134" s="57" t="s">
        <v>1281</v>
      </c>
      <c r="BU134" s="57" t="s">
        <v>1281</v>
      </c>
      <c r="BV134" s="70">
        <f>E134</f>
        <v>33</v>
      </c>
      <c r="BW134" s="71">
        <f>I134</f>
        <v>62</v>
      </c>
      <c r="BX134" s="72">
        <f>M134</f>
        <v>66</v>
      </c>
      <c r="BY134" s="71">
        <f>Q134</f>
        <v>98</v>
      </c>
      <c r="BZ134" s="72">
        <f>U134</f>
        <v>102</v>
      </c>
      <c r="CA134" s="71" t="str">
        <f>Y134</f>
        <v>-</v>
      </c>
      <c r="CB134" s="72">
        <f>AC134</f>
        <v>146</v>
      </c>
      <c r="CC134" s="71">
        <f>AG134</f>
        <v>191</v>
      </c>
      <c r="CD134" s="72">
        <f>AK134</f>
        <v>196</v>
      </c>
      <c r="CE134" s="71">
        <f>AO134</f>
        <v>271</v>
      </c>
      <c r="CF134" s="72">
        <f>AS134</f>
        <v>304</v>
      </c>
      <c r="CG134" s="71">
        <f>AW134</f>
        <v>329</v>
      </c>
      <c r="CH134" s="70">
        <f>G134</f>
        <v>61</v>
      </c>
      <c r="CI134" s="71">
        <f>K134</f>
        <v>65</v>
      </c>
      <c r="CJ134" s="72">
        <f>O134</f>
        <v>96</v>
      </c>
      <c r="CK134" s="72">
        <f>S134</f>
        <v>101</v>
      </c>
      <c r="CL134" s="72">
        <f>W134</f>
        <v>136</v>
      </c>
      <c r="CM134" s="72" t="str">
        <f>AA134</f>
        <v>-</v>
      </c>
      <c r="CN134" s="72">
        <f>AE134</f>
        <v>172</v>
      </c>
      <c r="CO134" s="72">
        <f>AI134</f>
        <v>193</v>
      </c>
      <c r="CP134" s="72">
        <f>AM134</f>
        <v>230</v>
      </c>
      <c r="CQ134" s="72">
        <f>AQ134</f>
        <v>299</v>
      </c>
      <c r="CR134" s="72">
        <f>AU134</f>
        <v>328</v>
      </c>
      <c r="CS134" s="72">
        <f>AY134</f>
        <v>341</v>
      </c>
      <c r="CT134" s="23">
        <f>M134-K134</f>
        <v>1</v>
      </c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  <c r="AMK134" s="1"/>
      <c r="AML134" s="1"/>
      <c r="AMM134" s="1"/>
      <c r="AMN134" s="1"/>
      <c r="AMO134" s="1"/>
    </row>
    <row r="135" spans="1:1029" x14ac:dyDescent="0.2">
      <c r="A135" s="9" t="str">
        <f>CONCATENATE(B135,"_",C135)</f>
        <v>adrb2_human_6E67</v>
      </c>
      <c r="B135" s="9" t="s">
        <v>126</v>
      </c>
      <c r="C135" s="130" t="s">
        <v>1573</v>
      </c>
      <c r="D135" s="9" t="str">
        <f>IFERROR(MID(VLOOKUP($B135,Seqs!$A:$B,2,0),E135,1),"")</f>
        <v>D</v>
      </c>
      <c r="E135" s="9">
        <v>29</v>
      </c>
      <c r="F135" s="9" t="str">
        <f>IFERROR(MID(VLOOKUP($B135,Seqs!$A:$B,2,0),G135,1),"")</f>
        <v>K</v>
      </c>
      <c r="G135" s="9">
        <v>60</v>
      </c>
      <c r="H135" s="9" t="str">
        <f>IFERROR(MID(VLOOKUP($B135,Seqs!$A:$B,2,0),I135,1),"")</f>
        <v>E</v>
      </c>
      <c r="I135" s="109">
        <v>62</v>
      </c>
      <c r="J135" s="9" t="str">
        <f>IFERROR(MID(VLOOKUP($B135,Seqs!$A:$B,2,0),K135,1),"")</f>
        <v>Q</v>
      </c>
      <c r="K135" s="109">
        <v>65</v>
      </c>
      <c r="L135" s="9" t="str">
        <f>IFERROR(MID(VLOOKUP($B135,Seqs!$A:$B,2,0),M135,1),"")</f>
        <v>T</v>
      </c>
      <c r="M135" s="9">
        <v>66</v>
      </c>
      <c r="N135" s="9" t="str">
        <f>IFERROR(MID(VLOOKUP($B135,Seqs!$A:$B,2,0),O135,1),"")</f>
        <v>K</v>
      </c>
      <c r="O135" s="9">
        <v>97</v>
      </c>
      <c r="P135" s="9" t="str">
        <f>IFERROR(MID(VLOOKUP($B135,Seqs!$A:$B,2,0),Q135,1),"")</f>
        <v>M</v>
      </c>
      <c r="Q135" s="9">
        <v>98</v>
      </c>
      <c r="R135" s="9" t="str">
        <f>IFERROR(MID(VLOOKUP($B135,Seqs!$A:$B,2,0),S135,1),"")</f>
        <v>F</v>
      </c>
      <c r="S135" s="9">
        <v>101</v>
      </c>
      <c r="T135" s="9" t="str">
        <f>IFERROR(MID(VLOOKUP($B135,Seqs!$A:$B,2,0),U135,1),"")</f>
        <v>G</v>
      </c>
      <c r="U135" s="9">
        <v>102</v>
      </c>
      <c r="V135" s="9" t="str">
        <f>IFERROR(MID(VLOOKUP($B135,Seqs!$A:$B,2,0),W135,1),"")</f>
        <v>S</v>
      </c>
      <c r="W135" s="9">
        <v>137</v>
      </c>
      <c r="X135" s="9" t="str">
        <f>IFERROR(MID(VLOOKUP($B135,Seqs!$A:$B,2,0),Y135,1),"")</f>
        <v>P</v>
      </c>
      <c r="Y135" s="9">
        <v>138</v>
      </c>
      <c r="Z135" s="9" t="str">
        <f>IFERROR(MID(VLOOKUP($B135,Seqs!$A:$B,2,0),AA135,1),"")</f>
        <v>L</v>
      </c>
      <c r="AA135" s="9">
        <v>145</v>
      </c>
      <c r="AB135" s="9" t="str">
        <f>IFERROR(MID(VLOOKUP($B135,Seqs!$A:$B,2,0),AC135,1),"")</f>
        <v>T</v>
      </c>
      <c r="AC135" s="9">
        <v>146</v>
      </c>
      <c r="AD135" s="9" t="str">
        <f>IFERROR(MID(VLOOKUP($B135,Seqs!$A:$B,2,0),AE135,1),"")</f>
        <v>H</v>
      </c>
      <c r="AE135" s="9">
        <v>172</v>
      </c>
      <c r="AF135" s="9" t="str">
        <f>IFERROR(MID(VLOOKUP($B135,Seqs!$A:$B,2,0),AG135,1),"")</f>
        <v>C</v>
      </c>
      <c r="AG135" s="9">
        <v>191</v>
      </c>
      <c r="AH135" s="9" t="str">
        <f>IFERROR(MID(VLOOKUP($B135,Seqs!$A:$B,2,0),AI135,1),"")</f>
        <v>F</v>
      </c>
      <c r="AI135" s="9">
        <v>193</v>
      </c>
      <c r="AJ135" s="9" t="str">
        <f>IFERROR(MID(VLOOKUP($B135,Seqs!$A:$B,2,0),AK135,1),"")</f>
        <v>N</v>
      </c>
      <c r="AK135" s="9">
        <v>196</v>
      </c>
      <c r="AL135" s="9" t="str">
        <f>IFERROR(MID(VLOOKUP($B135,Seqs!$A:$B,2,0),AM135,1),"")</f>
        <v>A</v>
      </c>
      <c r="AM135" s="9">
        <v>226</v>
      </c>
      <c r="AN135" s="9" t="str">
        <f>IFERROR(MID(VLOOKUP($B135,Seqs!$A:$B,2,0),AO135,1),"")</f>
        <v>E</v>
      </c>
      <c r="AO135" s="9">
        <v>268</v>
      </c>
      <c r="AP135" s="9" t="str">
        <f>IFERROR(MID(VLOOKUP($B135,Seqs!$A:$B,2,0),AQ135,1),"")</f>
        <v>Q</v>
      </c>
      <c r="AQ135" s="9">
        <v>299</v>
      </c>
      <c r="AR135" s="9" t="str">
        <f>IFERROR(MID(VLOOKUP($B135,Seqs!$A:$B,2,0),AS135,1),"")</f>
        <v>R</v>
      </c>
      <c r="AS135" s="9">
        <v>304</v>
      </c>
      <c r="AT135" s="9" t="str">
        <f>IFERROR(MID(VLOOKUP($B135,Seqs!$A:$B,2,0),AU135,1),"")</f>
        <v>P</v>
      </c>
      <c r="AU135" s="9">
        <v>323</v>
      </c>
      <c r="AV135" s="9" t="str">
        <f>IFERROR(MID(VLOOKUP($B135,Seqs!$A:$B,2,0),AW135,1),"")</f>
        <v>S</v>
      </c>
      <c r="AW135" s="9">
        <v>329</v>
      </c>
      <c r="AX135" s="9" t="str">
        <f>IFERROR(MID(VLOOKUP($B135,Seqs!$A:$B,2,0),AY135,1),"")</f>
        <v>L</v>
      </c>
      <c r="AY135" s="9">
        <v>340</v>
      </c>
      <c r="AZ135" s="110" t="str">
        <f>VLOOKUP(B135,Classification!A:D,2,0)</f>
        <v>A</v>
      </c>
      <c r="BA135" s="98" t="str">
        <f>VLOOKUP(B135,Classification!A:D,4,0)</f>
        <v>Adrenoceptors</v>
      </c>
      <c r="BB135" s="36" t="b">
        <f t="shared" si="1008"/>
        <v>1</v>
      </c>
      <c r="BC135" s="109">
        <f t="shared" si="1009"/>
        <v>241</v>
      </c>
      <c r="BD135" s="123" t="s">
        <v>23</v>
      </c>
      <c r="BE135" s="9" t="s">
        <v>1285</v>
      </c>
      <c r="BF135" s="119">
        <v>3.7</v>
      </c>
      <c r="BG135" s="51" t="s">
        <v>1275</v>
      </c>
      <c r="BH135" s="51" t="s">
        <v>1275</v>
      </c>
      <c r="BI135" s="12"/>
      <c r="BJ135" s="111" t="s">
        <v>1281</v>
      </c>
      <c r="BK135" s="112" t="s">
        <v>1281</v>
      </c>
      <c r="BL135" s="112" t="s">
        <v>1281</v>
      </c>
      <c r="BM135" s="112" t="s">
        <v>1281</v>
      </c>
      <c r="BN135" s="112" t="s">
        <v>1281</v>
      </c>
      <c r="BO135" s="112" t="s">
        <v>1281</v>
      </c>
      <c r="BP135" s="112" t="s">
        <v>1281</v>
      </c>
      <c r="BQ135" s="112" t="s">
        <v>1281</v>
      </c>
      <c r="BR135" s="112" t="s">
        <v>1281</v>
      </c>
      <c r="BS135" s="112" t="s">
        <v>1281</v>
      </c>
      <c r="BT135" s="112" t="s">
        <v>1281</v>
      </c>
      <c r="BU135" s="112" t="s">
        <v>1281</v>
      </c>
      <c r="BV135" s="111">
        <f>E135</f>
        <v>29</v>
      </c>
      <c r="BW135" s="113">
        <f>I135</f>
        <v>62</v>
      </c>
      <c r="BX135" s="114">
        <f>M135</f>
        <v>66</v>
      </c>
      <c r="BY135" s="113">
        <f>Q135</f>
        <v>98</v>
      </c>
      <c r="BZ135" s="114">
        <f>U135</f>
        <v>102</v>
      </c>
      <c r="CA135" s="113">
        <f>Y135</f>
        <v>138</v>
      </c>
      <c r="CB135" s="114">
        <f>AC135</f>
        <v>146</v>
      </c>
      <c r="CC135" s="113">
        <f>AG135</f>
        <v>191</v>
      </c>
      <c r="CD135" s="114">
        <f>AK135</f>
        <v>196</v>
      </c>
      <c r="CE135" s="113">
        <f>AO135</f>
        <v>268</v>
      </c>
      <c r="CF135" s="114">
        <f>AS135</f>
        <v>304</v>
      </c>
      <c r="CG135" s="113">
        <f>AW135</f>
        <v>329</v>
      </c>
      <c r="CH135" s="111">
        <f>G135</f>
        <v>60</v>
      </c>
      <c r="CI135" s="113">
        <f>K135</f>
        <v>65</v>
      </c>
      <c r="CJ135" s="114">
        <f>O135</f>
        <v>97</v>
      </c>
      <c r="CK135" s="114">
        <f>S135</f>
        <v>101</v>
      </c>
      <c r="CL135" s="114">
        <f>W135</f>
        <v>137</v>
      </c>
      <c r="CM135" s="114">
        <f>AA135</f>
        <v>145</v>
      </c>
      <c r="CN135" s="114">
        <f>AE135</f>
        <v>172</v>
      </c>
      <c r="CO135" s="114">
        <f>AI135</f>
        <v>193</v>
      </c>
      <c r="CP135" s="114">
        <f>AM135</f>
        <v>226</v>
      </c>
      <c r="CQ135" s="114">
        <f>AQ135</f>
        <v>299</v>
      </c>
      <c r="CR135" s="114">
        <f>AU135</f>
        <v>323</v>
      </c>
      <c r="CS135" s="114">
        <f>AY135</f>
        <v>340</v>
      </c>
      <c r="CT135" s="109">
        <f>M135-K135</f>
        <v>1</v>
      </c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  <c r="AMM135" s="1"/>
      <c r="AMN135" s="1"/>
      <c r="AMO135" s="1"/>
    </row>
    <row r="136" spans="1:1029" s="12" customFormat="1" x14ac:dyDescent="0.2">
      <c r="A136" s="9" t="str">
        <f>CONCATENATE(B136,"_",C136)</f>
        <v>adrb2_human_6MXT</v>
      </c>
      <c r="B136" s="9" t="s">
        <v>126</v>
      </c>
      <c r="C136" s="9" t="s">
        <v>1520</v>
      </c>
      <c r="D136" s="9" t="str">
        <f>IFERROR(MID(VLOOKUP($B136,Seqs!$A:$B,2,0),E136,1),"")</f>
        <v/>
      </c>
      <c r="E136" s="9">
        <v>1029</v>
      </c>
      <c r="F136" s="9" t="str">
        <f>IFERROR(MID(VLOOKUP($B136,Seqs!$A:$B,2,0),G136,1),"")</f>
        <v/>
      </c>
      <c r="G136" s="9">
        <v>1061</v>
      </c>
      <c r="H136" s="9" t="str">
        <f>IFERROR(MID(VLOOKUP($B136,Seqs!$A:$B,2,0),I136,1),"")</f>
        <v/>
      </c>
      <c r="I136" s="109">
        <v>1062</v>
      </c>
      <c r="J136" s="9" t="str">
        <f>IFERROR(MID(VLOOKUP($B136,Seqs!$A:$B,2,0),K136,1),"")</f>
        <v/>
      </c>
      <c r="K136" s="109">
        <v>1065</v>
      </c>
      <c r="L136" s="9" t="str">
        <f>IFERROR(MID(VLOOKUP($B136,Seqs!$A:$B,2,0),M136,1),"")</f>
        <v/>
      </c>
      <c r="M136" s="9">
        <v>1066</v>
      </c>
      <c r="N136" s="9" t="str">
        <f>IFERROR(MID(VLOOKUP($B136,Seqs!$A:$B,2,0),O136,1),"")</f>
        <v/>
      </c>
      <c r="O136" s="9">
        <v>1096</v>
      </c>
      <c r="P136" s="9" t="str">
        <f>IFERROR(MID(VLOOKUP($B136,Seqs!$A:$B,2,0),Q136,1),"")</f>
        <v/>
      </c>
      <c r="Q136" s="9">
        <v>1098</v>
      </c>
      <c r="R136" s="9" t="str">
        <f>IFERROR(MID(VLOOKUP($B136,Seqs!$A:$B,2,0),S136,1),"")</f>
        <v/>
      </c>
      <c r="S136" s="9">
        <v>1101</v>
      </c>
      <c r="T136" s="9" t="str">
        <f>IFERROR(MID(VLOOKUP($B136,Seqs!$A:$B,2,0),U136,1),"")</f>
        <v/>
      </c>
      <c r="U136" s="9">
        <v>1102</v>
      </c>
      <c r="V136" s="9" t="str">
        <f>IFERROR(MID(VLOOKUP($B136,Seqs!$A:$B,2,0),W136,1),"")</f>
        <v/>
      </c>
      <c r="W136" s="9">
        <v>1137</v>
      </c>
      <c r="X136" s="9" t="str">
        <f>IFERROR(MID(VLOOKUP($B136,Seqs!$A:$B,2,0),Y136,1),"")</f>
        <v/>
      </c>
      <c r="Y136" s="9">
        <v>1138</v>
      </c>
      <c r="Z136" s="9" t="str">
        <f>IFERROR(MID(VLOOKUP($B136,Seqs!$A:$B,2,0),AA136,1),"")</f>
        <v/>
      </c>
      <c r="AA136" s="9">
        <v>1145</v>
      </c>
      <c r="AB136" s="9" t="str">
        <f>IFERROR(MID(VLOOKUP($B136,Seqs!$A:$B,2,0),AC136,1),"")</f>
        <v/>
      </c>
      <c r="AC136" s="9">
        <v>1146</v>
      </c>
      <c r="AD136" s="9" t="str">
        <f>IFERROR(MID(VLOOKUP($B136,Seqs!$A:$B,2,0),AE136,1),"")</f>
        <v/>
      </c>
      <c r="AE136" s="9">
        <v>1172</v>
      </c>
      <c r="AF136" s="9" t="str">
        <f>IFERROR(MID(VLOOKUP($B136,Seqs!$A:$B,2,0),AG136,1),"")</f>
        <v/>
      </c>
      <c r="AG136" s="9">
        <v>1191</v>
      </c>
      <c r="AH136" s="9" t="str">
        <f>IFERROR(MID(VLOOKUP($B136,Seqs!$A:$B,2,0),AI136,1),"")</f>
        <v/>
      </c>
      <c r="AI136" s="9">
        <v>1193</v>
      </c>
      <c r="AJ136" s="9" t="str">
        <f>IFERROR(MID(VLOOKUP($B136,Seqs!$A:$B,2,0),AK136,1),"")</f>
        <v/>
      </c>
      <c r="AK136" s="9">
        <v>1196</v>
      </c>
      <c r="AL136" s="9" t="str">
        <f>IFERROR(MID(VLOOKUP($B136,Seqs!$A:$B,2,0),AM136,1),"")</f>
        <v/>
      </c>
      <c r="AM136" s="9">
        <v>1232</v>
      </c>
      <c r="AN136" s="9" t="str">
        <f>IFERROR(MID(VLOOKUP($B136,Seqs!$A:$B,2,0),AO136,1),"")</f>
        <v/>
      </c>
      <c r="AO136" s="9">
        <v>1265</v>
      </c>
      <c r="AP136" s="9" t="str">
        <f>IFERROR(MID(VLOOKUP($B136,Seqs!$A:$B,2,0),AQ136,1),"")</f>
        <v/>
      </c>
      <c r="AQ136" s="9">
        <v>1299</v>
      </c>
      <c r="AR136" s="9" t="str">
        <f>IFERROR(MID(VLOOKUP($B136,Seqs!$A:$B,2,0),AS136,1),"")</f>
        <v/>
      </c>
      <c r="AS136" s="9">
        <v>1304</v>
      </c>
      <c r="AT136" s="9" t="str">
        <f>IFERROR(MID(VLOOKUP($B136,Seqs!$A:$B,2,0),AU136,1),"")</f>
        <v/>
      </c>
      <c r="AU136" s="9">
        <v>1323</v>
      </c>
      <c r="AV136" s="9" t="str">
        <f>IFERROR(MID(VLOOKUP($B136,Seqs!$A:$B,2,0),AW136,1),"")</f>
        <v/>
      </c>
      <c r="AW136" s="9">
        <v>1329</v>
      </c>
      <c r="AX136" s="9" t="str">
        <f>IFERROR(MID(VLOOKUP($B136,Seqs!$A:$B,2,0),AY136,1),"")</f>
        <v/>
      </c>
      <c r="AY136" s="9">
        <v>1342</v>
      </c>
      <c r="AZ136" s="110" t="str">
        <f>VLOOKUP(B136,Classification!A:D,2,0)</f>
        <v>A</v>
      </c>
      <c r="BA136" s="98" t="str">
        <f>VLOOKUP(B136,Classification!A:D,4,0)</f>
        <v>Adrenoceptors</v>
      </c>
      <c r="BB136" s="36" t="b">
        <f t="shared" si="1008"/>
        <v>1</v>
      </c>
      <c r="BC136" s="109">
        <f t="shared" si="1009"/>
        <v>252</v>
      </c>
      <c r="BD136" s="123" t="s">
        <v>23</v>
      </c>
      <c r="BE136" s="9" t="s">
        <v>1285</v>
      </c>
      <c r="BF136" s="119">
        <v>2.96</v>
      </c>
      <c r="BG136" s="51" t="s">
        <v>1</v>
      </c>
      <c r="BH136" s="51" t="s">
        <v>1</v>
      </c>
      <c r="BJ136" s="111" t="s">
        <v>1281</v>
      </c>
      <c r="BK136" s="112" t="s">
        <v>1281</v>
      </c>
      <c r="BL136" s="112" t="s">
        <v>1281</v>
      </c>
      <c r="BM136" s="112" t="s">
        <v>1281</v>
      </c>
      <c r="BN136" s="112" t="s">
        <v>1281</v>
      </c>
      <c r="BO136" s="112" t="s">
        <v>1281</v>
      </c>
      <c r="BP136" s="112" t="s">
        <v>1281</v>
      </c>
      <c r="BQ136" s="112" t="s">
        <v>1281</v>
      </c>
      <c r="BR136" s="112" t="s">
        <v>1281</v>
      </c>
      <c r="BS136" s="112" t="s">
        <v>1281</v>
      </c>
      <c r="BT136" s="112" t="s">
        <v>1281</v>
      </c>
      <c r="BU136" s="112" t="s">
        <v>1281</v>
      </c>
      <c r="BV136" s="111">
        <f>E136</f>
        <v>1029</v>
      </c>
      <c r="BW136" s="113">
        <f>I136</f>
        <v>1062</v>
      </c>
      <c r="BX136" s="114">
        <f>M136</f>
        <v>1066</v>
      </c>
      <c r="BY136" s="113">
        <f>Q136</f>
        <v>1098</v>
      </c>
      <c r="BZ136" s="114">
        <f>U136</f>
        <v>1102</v>
      </c>
      <c r="CA136" s="113">
        <f>Y136</f>
        <v>1138</v>
      </c>
      <c r="CB136" s="114">
        <f>AC136</f>
        <v>1146</v>
      </c>
      <c r="CC136" s="113">
        <f>AG136</f>
        <v>1191</v>
      </c>
      <c r="CD136" s="114">
        <f>AK136</f>
        <v>1196</v>
      </c>
      <c r="CE136" s="113">
        <f>AO136</f>
        <v>1265</v>
      </c>
      <c r="CF136" s="114">
        <f>AS136</f>
        <v>1304</v>
      </c>
      <c r="CG136" s="113">
        <f>AW136</f>
        <v>1329</v>
      </c>
      <c r="CH136" s="111">
        <f>G136</f>
        <v>1061</v>
      </c>
      <c r="CI136" s="113">
        <f>K136</f>
        <v>1065</v>
      </c>
      <c r="CJ136" s="114">
        <f>O136</f>
        <v>1096</v>
      </c>
      <c r="CK136" s="114">
        <f>S136</f>
        <v>1101</v>
      </c>
      <c r="CL136" s="114">
        <f>W136</f>
        <v>1137</v>
      </c>
      <c r="CM136" s="114">
        <f>AA136</f>
        <v>1145</v>
      </c>
      <c r="CN136" s="114">
        <f>AE136</f>
        <v>1172</v>
      </c>
      <c r="CO136" s="114">
        <f>AI136</f>
        <v>1193</v>
      </c>
      <c r="CP136" s="114">
        <f>AM136</f>
        <v>1232</v>
      </c>
      <c r="CQ136" s="114">
        <f>AQ136</f>
        <v>1299</v>
      </c>
      <c r="CR136" s="114">
        <f>AU136</f>
        <v>1323</v>
      </c>
      <c r="CS136" s="114">
        <f>AY136</f>
        <v>1342</v>
      </c>
      <c r="CT136" s="109">
        <f>M136-K136</f>
        <v>1</v>
      </c>
    </row>
    <row r="137" spans="1:1029" s="12" customFormat="1" x14ac:dyDescent="0.2">
      <c r="A137" s="9" t="str">
        <f>CONCATENATE(B137,"_",C137)</f>
        <v>adrb2_human_6N48</v>
      </c>
      <c r="B137" s="9" t="s">
        <v>126</v>
      </c>
      <c r="C137" s="9" t="s">
        <v>1575</v>
      </c>
      <c r="D137" s="9" t="str">
        <f>IFERROR(MID(VLOOKUP($B137,Seqs!$A:$B,2,0),E137,1),"")</f>
        <v/>
      </c>
      <c r="E137" s="9">
        <v>1026</v>
      </c>
      <c r="F137" s="9" t="str">
        <f>IFERROR(MID(VLOOKUP($B137,Seqs!$A:$B,2,0),G137,1),"")</f>
        <v/>
      </c>
      <c r="G137" s="9">
        <v>1061</v>
      </c>
      <c r="H137" s="9" t="str">
        <f>IFERROR(MID(VLOOKUP($B137,Seqs!$A:$B,2,0),I137,1),"")</f>
        <v/>
      </c>
      <c r="I137" s="109">
        <v>1062</v>
      </c>
      <c r="J137" s="9" t="str">
        <f>IFERROR(MID(VLOOKUP($B137,Seqs!$A:$B,2,0),K137,1),"")</f>
        <v/>
      </c>
      <c r="K137" s="109">
        <v>1065</v>
      </c>
      <c r="L137" s="9" t="str">
        <f>IFERROR(MID(VLOOKUP($B137,Seqs!$A:$B,2,0),M137,1),"")</f>
        <v/>
      </c>
      <c r="M137" s="9">
        <v>1066</v>
      </c>
      <c r="N137" s="9" t="str">
        <f>IFERROR(MID(VLOOKUP($B137,Seqs!$A:$B,2,0),O137,1),"")</f>
        <v/>
      </c>
      <c r="O137" s="9">
        <v>1097</v>
      </c>
      <c r="P137" s="9" t="str">
        <f>IFERROR(MID(VLOOKUP($B137,Seqs!$A:$B,2,0),Q137,1),"")</f>
        <v/>
      </c>
      <c r="Q137" s="9">
        <v>1098</v>
      </c>
      <c r="R137" s="9" t="str">
        <f>IFERROR(MID(VLOOKUP($B137,Seqs!$A:$B,2,0),S137,1),"")</f>
        <v/>
      </c>
      <c r="S137" s="9">
        <v>1101</v>
      </c>
      <c r="T137" s="9" t="str">
        <f>IFERROR(MID(VLOOKUP($B137,Seqs!$A:$B,2,0),U137,1),"")</f>
        <v/>
      </c>
      <c r="U137" s="9">
        <v>1102</v>
      </c>
      <c r="V137" s="9" t="str">
        <f>IFERROR(MID(VLOOKUP($B137,Seqs!$A:$B,2,0),W137,1),"")</f>
        <v/>
      </c>
      <c r="W137" s="9">
        <v>1137</v>
      </c>
      <c r="X137" s="9" t="str">
        <f>IFERROR(MID(VLOOKUP($B137,Seqs!$A:$B,2,0),Y137,1),"")</f>
        <v/>
      </c>
      <c r="Y137" s="9">
        <v>1138</v>
      </c>
      <c r="Z137" s="9" t="str">
        <f>IFERROR(MID(VLOOKUP($B137,Seqs!$A:$B,2,0),AA137,1),"")</f>
        <v/>
      </c>
      <c r="AA137" s="9">
        <v>1145</v>
      </c>
      <c r="AB137" s="9" t="str">
        <f>IFERROR(MID(VLOOKUP($B137,Seqs!$A:$B,2,0),AC137,1),"")</f>
        <v/>
      </c>
      <c r="AC137" s="9">
        <v>1146</v>
      </c>
      <c r="AD137" s="9" t="str">
        <f>IFERROR(MID(VLOOKUP($B137,Seqs!$A:$B,2,0),AE137,1),"")</f>
        <v/>
      </c>
      <c r="AE137" s="9">
        <v>1172</v>
      </c>
      <c r="AF137" s="9" t="str">
        <f>IFERROR(MID(VLOOKUP($B137,Seqs!$A:$B,2,0),AG137,1),"")</f>
        <v/>
      </c>
      <c r="AG137" s="9">
        <v>1191</v>
      </c>
      <c r="AH137" s="9" t="str">
        <f>IFERROR(MID(VLOOKUP($B137,Seqs!$A:$B,2,0),AI137,1),"")</f>
        <v/>
      </c>
      <c r="AI137" s="9">
        <v>1193</v>
      </c>
      <c r="AJ137" s="9" t="str">
        <f>IFERROR(MID(VLOOKUP($B137,Seqs!$A:$B,2,0),AK137,1),"")</f>
        <v/>
      </c>
      <c r="AK137" s="9">
        <v>1196</v>
      </c>
      <c r="AL137" s="9" t="str">
        <f>IFERROR(MID(VLOOKUP($B137,Seqs!$A:$B,2,0),AM137,1),"")</f>
        <v/>
      </c>
      <c r="AM137" s="9">
        <v>1226</v>
      </c>
      <c r="AN137" s="9" t="str">
        <f>IFERROR(MID(VLOOKUP($B137,Seqs!$A:$B,2,0),AO137,1),"")</f>
        <v/>
      </c>
      <c r="AO137" s="9">
        <v>1265</v>
      </c>
      <c r="AP137" s="9" t="str">
        <f>IFERROR(MID(VLOOKUP($B137,Seqs!$A:$B,2,0),AQ137,1),"")</f>
        <v/>
      </c>
      <c r="AQ137" s="9">
        <v>1299</v>
      </c>
      <c r="AR137" s="9" t="str">
        <f>IFERROR(MID(VLOOKUP($B137,Seqs!$A:$B,2,0),AS137,1),"")</f>
        <v/>
      </c>
      <c r="AS137" s="9">
        <v>1304</v>
      </c>
      <c r="AT137" s="9" t="str">
        <f>IFERROR(MID(VLOOKUP($B137,Seqs!$A:$B,2,0),AU137,1),"")</f>
        <v/>
      </c>
      <c r="AU137" s="9">
        <v>1322</v>
      </c>
      <c r="AV137" s="9" t="str">
        <f>IFERROR(MID(VLOOKUP($B137,Seqs!$A:$B,2,0),AW137,1),"")</f>
        <v/>
      </c>
      <c r="AW137" s="9">
        <v>1329</v>
      </c>
      <c r="AX137" s="9" t="str">
        <f>IFERROR(MID(VLOOKUP($B137,Seqs!$A:$B,2,0),AY137,1),"")</f>
        <v/>
      </c>
      <c r="AY137" s="9">
        <v>1340</v>
      </c>
      <c r="AZ137" s="110" t="str">
        <f>VLOOKUP(B137,Classification!A:D,2,0)</f>
        <v>A</v>
      </c>
      <c r="BA137" s="98" t="str">
        <f>VLOOKUP(B137,Classification!A:D,4,0)</f>
        <v>Adrenoceptors</v>
      </c>
      <c r="BB137" s="36" t="b">
        <f t="shared" si="1008"/>
        <v>1</v>
      </c>
      <c r="BC137" s="109">
        <f t="shared" si="1009"/>
        <v>247</v>
      </c>
      <c r="BD137" s="123" t="s">
        <v>23</v>
      </c>
      <c r="BE137" s="9" t="s">
        <v>1285</v>
      </c>
      <c r="BF137" s="119">
        <v>3.2</v>
      </c>
      <c r="BG137" s="51" t="s">
        <v>1</v>
      </c>
      <c r="BH137" s="51" t="s">
        <v>1</v>
      </c>
      <c r="BJ137" s="111" t="s">
        <v>1281</v>
      </c>
      <c r="BK137" s="112" t="s">
        <v>1281</v>
      </c>
      <c r="BL137" s="112" t="s">
        <v>1281</v>
      </c>
      <c r="BM137" s="112" t="s">
        <v>1281</v>
      </c>
      <c r="BN137" s="112" t="s">
        <v>1281</v>
      </c>
      <c r="BO137" s="112" t="s">
        <v>1281</v>
      </c>
      <c r="BP137" s="112" t="s">
        <v>1281</v>
      </c>
      <c r="BQ137" s="112" t="s">
        <v>1281</v>
      </c>
      <c r="BR137" s="112" t="s">
        <v>1281</v>
      </c>
      <c r="BS137" s="112" t="s">
        <v>1281</v>
      </c>
      <c r="BT137" s="112" t="s">
        <v>1281</v>
      </c>
      <c r="BU137" s="112" t="s">
        <v>1281</v>
      </c>
      <c r="BV137" s="111">
        <f>E137</f>
        <v>1026</v>
      </c>
      <c r="BW137" s="113">
        <f>I137</f>
        <v>1062</v>
      </c>
      <c r="BX137" s="114">
        <f>M137</f>
        <v>1066</v>
      </c>
      <c r="BY137" s="113">
        <f>Q137</f>
        <v>1098</v>
      </c>
      <c r="BZ137" s="114">
        <f>U137</f>
        <v>1102</v>
      </c>
      <c r="CA137" s="113">
        <f>Y137</f>
        <v>1138</v>
      </c>
      <c r="CB137" s="114">
        <f>AC137</f>
        <v>1146</v>
      </c>
      <c r="CC137" s="113">
        <f>AG137</f>
        <v>1191</v>
      </c>
      <c r="CD137" s="114">
        <f>AK137</f>
        <v>1196</v>
      </c>
      <c r="CE137" s="113">
        <f>AO137</f>
        <v>1265</v>
      </c>
      <c r="CF137" s="114">
        <f>AS137</f>
        <v>1304</v>
      </c>
      <c r="CG137" s="113">
        <f>AW137</f>
        <v>1329</v>
      </c>
      <c r="CH137" s="111">
        <f>G137</f>
        <v>1061</v>
      </c>
      <c r="CI137" s="113">
        <f>K137</f>
        <v>1065</v>
      </c>
      <c r="CJ137" s="114">
        <f>O137</f>
        <v>1097</v>
      </c>
      <c r="CK137" s="114">
        <f>S137</f>
        <v>1101</v>
      </c>
      <c r="CL137" s="114">
        <f>W137</f>
        <v>1137</v>
      </c>
      <c r="CM137" s="114">
        <f>AA137</f>
        <v>1145</v>
      </c>
      <c r="CN137" s="114">
        <f>AE137</f>
        <v>1172</v>
      </c>
      <c r="CO137" s="114">
        <f>AI137</f>
        <v>1193</v>
      </c>
      <c r="CP137" s="114">
        <f>AM137</f>
        <v>1226</v>
      </c>
      <c r="CQ137" s="114">
        <f>AQ137</f>
        <v>1299</v>
      </c>
      <c r="CR137" s="114">
        <f>AU137</f>
        <v>1322</v>
      </c>
      <c r="CS137" s="114">
        <f>AY137</f>
        <v>1340</v>
      </c>
      <c r="CT137" s="109">
        <f>M137-K137</f>
        <v>1</v>
      </c>
    </row>
    <row r="138" spans="1:1029" s="12" customFormat="1" x14ac:dyDescent="0.2">
      <c r="A138" s="9" t="str">
        <f>CONCATENATE(B138,"_",C138)</f>
        <v>adrb2_human_6PRZ</v>
      </c>
      <c r="B138" s="9" t="s">
        <v>126</v>
      </c>
      <c r="C138" s="9" t="s">
        <v>1601</v>
      </c>
      <c r="D138" s="9" t="str">
        <f>IFERROR(MID(VLOOKUP($B138,Seqs!$A:$B,2,0),E138,1),"")</f>
        <v>V</v>
      </c>
      <c r="E138" s="9">
        <v>31</v>
      </c>
      <c r="F138" s="9" t="str">
        <f>IFERROR(MID(VLOOKUP($B138,Seqs!$A:$B,2,0),G138,1),"")</f>
        <v>F</v>
      </c>
      <c r="G138" s="9">
        <v>61</v>
      </c>
      <c r="H138" s="9" t="str">
        <f>IFERROR(MID(VLOOKUP($B138,Seqs!$A:$B,2,0),I138,1),"")</f>
        <v>E</v>
      </c>
      <c r="I138" s="109">
        <v>62</v>
      </c>
      <c r="J138" s="9" t="str">
        <f>IFERROR(MID(VLOOKUP($B138,Seqs!$A:$B,2,0),K138,1),"")</f>
        <v>Q</v>
      </c>
      <c r="K138" s="109">
        <v>65</v>
      </c>
      <c r="L138" s="9" t="str">
        <f>IFERROR(MID(VLOOKUP($B138,Seqs!$A:$B,2,0),M138,1),"")</f>
        <v>T</v>
      </c>
      <c r="M138" s="9">
        <v>66</v>
      </c>
      <c r="N138" s="9" t="str">
        <f>IFERROR(MID(VLOOKUP($B138,Seqs!$A:$B,2,0),O138,1),"")</f>
        <v>M</v>
      </c>
      <c r="O138" s="9">
        <v>96</v>
      </c>
      <c r="P138" s="9" t="str">
        <f>IFERROR(MID(VLOOKUP($B138,Seqs!$A:$B,2,0),Q138,1),"")</f>
        <v>M</v>
      </c>
      <c r="Q138" s="9">
        <v>98</v>
      </c>
      <c r="R138" s="9" t="str">
        <f>IFERROR(MID(VLOOKUP($B138,Seqs!$A:$B,2,0),S138,1),"")</f>
        <v>F</v>
      </c>
      <c r="S138" s="9">
        <v>101</v>
      </c>
      <c r="T138" s="9" t="str">
        <f>IFERROR(MID(VLOOKUP($B138,Seqs!$A:$B,2,0),U138,1),"")</f>
        <v>G</v>
      </c>
      <c r="U138" s="9">
        <v>102</v>
      </c>
      <c r="V138" s="9" t="str">
        <f>IFERROR(MID(VLOOKUP($B138,Seqs!$A:$B,2,0),W138,1),"")</f>
        <v>S</v>
      </c>
      <c r="W138" s="9">
        <v>137</v>
      </c>
      <c r="X138" s="9" t="str">
        <f>IFERROR(MID(VLOOKUP($B138,Seqs!$A:$B,2,0),Y138,1),"")</f>
        <v/>
      </c>
      <c r="Y138" s="9" t="s">
        <v>23</v>
      </c>
      <c r="Z138" s="9" t="str">
        <f>IFERROR(MID(VLOOKUP($B138,Seqs!$A:$B,2,0),AA138,1),"")</f>
        <v/>
      </c>
      <c r="AA138" s="9" t="s">
        <v>23</v>
      </c>
      <c r="AB138" s="9" t="str">
        <f>IFERROR(MID(VLOOKUP($B138,Seqs!$A:$B,2,0),AC138,1),"")</f>
        <v>T</v>
      </c>
      <c r="AC138" s="9">
        <v>146</v>
      </c>
      <c r="AD138" s="9" t="str">
        <f>IFERROR(MID(VLOOKUP($B138,Seqs!$A:$B,2,0),AE138,1),"")</f>
        <v>H</v>
      </c>
      <c r="AE138" s="9">
        <v>172</v>
      </c>
      <c r="AF138" s="9" t="str">
        <f>IFERROR(MID(VLOOKUP($B138,Seqs!$A:$B,2,0),AG138,1),"")</f>
        <v>C</v>
      </c>
      <c r="AG138" s="9">
        <v>191</v>
      </c>
      <c r="AH138" s="9" t="str">
        <f>IFERROR(MID(VLOOKUP($B138,Seqs!$A:$B,2,0),AI138,1),"")</f>
        <v>F</v>
      </c>
      <c r="AI138" s="9">
        <v>193</v>
      </c>
      <c r="AJ138" s="9" t="str">
        <f>IFERROR(MID(VLOOKUP($B138,Seqs!$A:$B,2,0),AK138,1),"")</f>
        <v>N</v>
      </c>
      <c r="AK138" s="9">
        <v>196</v>
      </c>
      <c r="AL138" s="9" t="str">
        <f>IFERROR(MID(VLOOKUP($B138,Seqs!$A:$B,2,0),AM138,1),"")</f>
        <v>L</v>
      </c>
      <c r="AM138" s="9">
        <v>230</v>
      </c>
      <c r="AN138" s="9" t="str">
        <f>IFERROR(MID(VLOOKUP($B138,Seqs!$A:$B,2,0),AO138,1),"")</f>
        <v>L</v>
      </c>
      <c r="AO138" s="9">
        <v>266</v>
      </c>
      <c r="AP138" s="9" t="str">
        <f>IFERROR(MID(VLOOKUP($B138,Seqs!$A:$B,2,0),AQ138,1),"")</f>
        <v>Q</v>
      </c>
      <c r="AQ138" s="9">
        <v>299</v>
      </c>
      <c r="AR138" s="9" t="str">
        <f>IFERROR(MID(VLOOKUP($B138,Seqs!$A:$B,2,0),AS138,1),"")</f>
        <v>K</v>
      </c>
      <c r="AS138" s="9">
        <v>305</v>
      </c>
      <c r="AT138" s="9" t="str">
        <f>IFERROR(MID(VLOOKUP($B138,Seqs!$A:$B,2,0),AU138,1),"")</f>
        <v>R</v>
      </c>
      <c r="AU138" s="9">
        <v>328</v>
      </c>
      <c r="AV138" s="9" t="str">
        <f>IFERROR(MID(VLOOKUP($B138,Seqs!$A:$B,2,0),AW138,1),"")</f>
        <v>S</v>
      </c>
      <c r="AW138" s="9">
        <v>329</v>
      </c>
      <c r="AX138" s="9" t="str">
        <f>IFERROR(MID(VLOOKUP($B138,Seqs!$A:$B,2,0),AY138,1),"")</f>
        <v>C</v>
      </c>
      <c r="AY138" s="9">
        <v>341</v>
      </c>
      <c r="AZ138" s="110" t="str">
        <f>VLOOKUP(B138,Classification!A:D,2,0)</f>
        <v>A</v>
      </c>
      <c r="BA138" s="98" t="str">
        <f>VLOOKUP(B138,Classification!A:D,4,0)</f>
        <v>Adrenoceptors</v>
      </c>
      <c r="BB138" s="36" t="b">
        <f t="shared" si="1008"/>
        <v>1</v>
      </c>
      <c r="BC138" s="109">
        <f t="shared" si="1009"/>
        <v>243</v>
      </c>
      <c r="BD138" s="123" t="s">
        <v>23</v>
      </c>
      <c r="BE138" s="9" t="s">
        <v>1368</v>
      </c>
      <c r="BF138" s="119">
        <v>2.8</v>
      </c>
      <c r="BG138" s="51" t="s">
        <v>1</v>
      </c>
      <c r="BH138" s="51" t="s">
        <v>1</v>
      </c>
      <c r="BJ138" s="111" t="s">
        <v>1281</v>
      </c>
      <c r="BK138" s="112" t="s">
        <v>1281</v>
      </c>
      <c r="BL138" s="112" t="s">
        <v>1281</v>
      </c>
      <c r="BM138" s="112" t="s">
        <v>1281</v>
      </c>
      <c r="BN138" s="112" t="s">
        <v>1281</v>
      </c>
      <c r="BO138" s="112" t="s">
        <v>1281</v>
      </c>
      <c r="BP138" s="112" t="s">
        <v>1281</v>
      </c>
      <c r="BQ138" s="112" t="s">
        <v>1281</v>
      </c>
      <c r="BR138" s="112" t="s">
        <v>1281</v>
      </c>
      <c r="BS138" s="112" t="s">
        <v>1281</v>
      </c>
      <c r="BT138" s="112" t="s">
        <v>1281</v>
      </c>
      <c r="BU138" s="112" t="s">
        <v>1281</v>
      </c>
      <c r="BV138" s="111">
        <f>E138</f>
        <v>31</v>
      </c>
      <c r="BW138" s="113">
        <f>I138</f>
        <v>62</v>
      </c>
      <c r="BX138" s="114">
        <f>M138</f>
        <v>66</v>
      </c>
      <c r="BY138" s="113">
        <f>Q138</f>
        <v>98</v>
      </c>
      <c r="BZ138" s="114">
        <f>U138</f>
        <v>102</v>
      </c>
      <c r="CA138" s="113" t="str">
        <f>Y138</f>
        <v>-</v>
      </c>
      <c r="CB138" s="114">
        <f>AC138</f>
        <v>146</v>
      </c>
      <c r="CC138" s="113">
        <f>AG138</f>
        <v>191</v>
      </c>
      <c r="CD138" s="114">
        <f>AK138</f>
        <v>196</v>
      </c>
      <c r="CE138" s="113">
        <f>AO138</f>
        <v>266</v>
      </c>
      <c r="CF138" s="114">
        <f>AS138</f>
        <v>305</v>
      </c>
      <c r="CG138" s="113">
        <f>AW138</f>
        <v>329</v>
      </c>
      <c r="CH138" s="111">
        <f>G138</f>
        <v>61</v>
      </c>
      <c r="CI138" s="113">
        <f>K138</f>
        <v>65</v>
      </c>
      <c r="CJ138" s="114">
        <f>O138</f>
        <v>96</v>
      </c>
      <c r="CK138" s="114">
        <f>S138</f>
        <v>101</v>
      </c>
      <c r="CL138" s="114">
        <f>W138</f>
        <v>137</v>
      </c>
      <c r="CM138" s="114" t="str">
        <f>AA138</f>
        <v>-</v>
      </c>
      <c r="CN138" s="114">
        <f>AE138</f>
        <v>172</v>
      </c>
      <c r="CO138" s="114">
        <f>AI138</f>
        <v>193</v>
      </c>
      <c r="CP138" s="114">
        <f>AM138</f>
        <v>230</v>
      </c>
      <c r="CQ138" s="114">
        <f>AQ138</f>
        <v>299</v>
      </c>
      <c r="CR138" s="114">
        <f>AU138</f>
        <v>328</v>
      </c>
      <c r="CS138" s="114">
        <f>AY138</f>
        <v>341</v>
      </c>
      <c r="CT138" s="109">
        <f>M138-K138</f>
        <v>1</v>
      </c>
    </row>
    <row r="139" spans="1:1029" s="12" customFormat="1" x14ac:dyDescent="0.2">
      <c r="A139" s="9" t="str">
        <f>CONCATENATE(B139,"_",C139)</f>
        <v>adrb2_human_6PS0</v>
      </c>
      <c r="B139" s="9" t="s">
        <v>126</v>
      </c>
      <c r="C139" s="9" t="s">
        <v>1602</v>
      </c>
      <c r="D139" s="9" t="str">
        <f>IFERROR(MID(VLOOKUP($B139,Seqs!$A:$B,2,0),E139,1),"")</f>
        <v>V</v>
      </c>
      <c r="E139" s="9">
        <v>31</v>
      </c>
      <c r="F139" s="9" t="str">
        <f>IFERROR(MID(VLOOKUP($B139,Seqs!$A:$B,2,0),G139,1),"")</f>
        <v>F</v>
      </c>
      <c r="G139" s="9">
        <v>61</v>
      </c>
      <c r="H139" s="9" t="str">
        <f>IFERROR(MID(VLOOKUP($B139,Seqs!$A:$B,2,0),I139,1),"")</f>
        <v>E</v>
      </c>
      <c r="I139" s="109">
        <v>62</v>
      </c>
      <c r="J139" s="9" t="str">
        <f>IFERROR(MID(VLOOKUP($B139,Seqs!$A:$B,2,0),K139,1),"")</f>
        <v>Q</v>
      </c>
      <c r="K139" s="109">
        <v>65</v>
      </c>
      <c r="L139" s="9" t="str">
        <f>IFERROR(MID(VLOOKUP($B139,Seqs!$A:$B,2,0),M139,1),"")</f>
        <v>T</v>
      </c>
      <c r="M139" s="9">
        <v>66</v>
      </c>
      <c r="N139" s="9" t="str">
        <f>IFERROR(MID(VLOOKUP($B139,Seqs!$A:$B,2,0),O139,1),"")</f>
        <v>M</v>
      </c>
      <c r="O139" s="9">
        <v>96</v>
      </c>
      <c r="P139" s="9" t="str">
        <f>IFERROR(MID(VLOOKUP($B139,Seqs!$A:$B,2,0),Q139,1),"")</f>
        <v>M</v>
      </c>
      <c r="Q139" s="9">
        <v>98</v>
      </c>
      <c r="R139" s="9" t="str">
        <f>IFERROR(MID(VLOOKUP($B139,Seqs!$A:$B,2,0),S139,1),"")</f>
        <v>F</v>
      </c>
      <c r="S139" s="9">
        <v>101</v>
      </c>
      <c r="T139" s="9" t="str">
        <f>IFERROR(MID(VLOOKUP($B139,Seqs!$A:$B,2,0),U139,1),"")</f>
        <v>G</v>
      </c>
      <c r="U139" s="9">
        <v>102</v>
      </c>
      <c r="V139" s="9" t="str">
        <f>IFERROR(MID(VLOOKUP($B139,Seqs!$A:$B,2,0),W139,1),"")</f>
        <v>S</v>
      </c>
      <c r="W139" s="9">
        <v>137</v>
      </c>
      <c r="X139" s="9" t="str">
        <f>IFERROR(MID(VLOOKUP($B139,Seqs!$A:$B,2,0),Y139,1),"")</f>
        <v/>
      </c>
      <c r="Y139" s="9" t="s">
        <v>23</v>
      </c>
      <c r="Z139" s="9" t="str">
        <f>IFERROR(MID(VLOOKUP($B139,Seqs!$A:$B,2,0),AA139,1),"")</f>
        <v/>
      </c>
      <c r="AA139" s="9" t="s">
        <v>23</v>
      </c>
      <c r="AB139" s="9" t="str">
        <f>IFERROR(MID(VLOOKUP($B139,Seqs!$A:$B,2,0),AC139,1),"")</f>
        <v>T</v>
      </c>
      <c r="AC139" s="9">
        <v>146</v>
      </c>
      <c r="AD139" s="9" t="str">
        <f>IFERROR(MID(VLOOKUP($B139,Seqs!$A:$B,2,0),AE139,1),"")</f>
        <v>H</v>
      </c>
      <c r="AE139" s="9">
        <v>172</v>
      </c>
      <c r="AF139" s="9" t="str">
        <f>IFERROR(MID(VLOOKUP($B139,Seqs!$A:$B,2,0),AG139,1),"")</f>
        <v>C</v>
      </c>
      <c r="AG139" s="9">
        <v>191</v>
      </c>
      <c r="AH139" s="9" t="str">
        <f>IFERROR(MID(VLOOKUP($B139,Seqs!$A:$B,2,0),AI139,1),"")</f>
        <v>F</v>
      </c>
      <c r="AI139" s="9">
        <v>193</v>
      </c>
      <c r="AJ139" s="9" t="str">
        <f>IFERROR(MID(VLOOKUP($B139,Seqs!$A:$B,2,0),AK139,1),"")</f>
        <v>N</v>
      </c>
      <c r="AK139" s="9">
        <v>196</v>
      </c>
      <c r="AL139" s="9" t="str">
        <f>IFERROR(MID(VLOOKUP($B139,Seqs!$A:$B,2,0),AM139,1),"")</f>
        <v>L</v>
      </c>
      <c r="AM139" s="9">
        <v>230</v>
      </c>
      <c r="AN139" s="9" t="str">
        <f>IFERROR(MID(VLOOKUP($B139,Seqs!$A:$B,2,0),AO139,1),"")</f>
        <v>L</v>
      </c>
      <c r="AO139" s="9">
        <v>266</v>
      </c>
      <c r="AP139" s="9" t="str">
        <f>IFERROR(MID(VLOOKUP($B139,Seqs!$A:$B,2,0),AQ139,1),"")</f>
        <v>Q</v>
      </c>
      <c r="AQ139" s="9">
        <v>299</v>
      </c>
      <c r="AR139" s="9" t="str">
        <f>IFERROR(MID(VLOOKUP($B139,Seqs!$A:$B,2,0),AS139,1),"")</f>
        <v>K</v>
      </c>
      <c r="AS139" s="9">
        <v>305</v>
      </c>
      <c r="AT139" s="9" t="str">
        <f>IFERROR(MID(VLOOKUP($B139,Seqs!$A:$B,2,0),AU139,1),"")</f>
        <v>R</v>
      </c>
      <c r="AU139" s="9">
        <v>328</v>
      </c>
      <c r="AV139" s="9" t="str">
        <f>IFERROR(MID(VLOOKUP($B139,Seqs!$A:$B,2,0),AW139,1),"")</f>
        <v>S</v>
      </c>
      <c r="AW139" s="9">
        <v>329</v>
      </c>
      <c r="AX139" s="9" t="str">
        <f>IFERROR(MID(VLOOKUP($B139,Seqs!$A:$B,2,0),AY139,1),"")</f>
        <v>C</v>
      </c>
      <c r="AY139" s="9">
        <v>341</v>
      </c>
      <c r="AZ139" s="110" t="str">
        <f>VLOOKUP(B139,Classification!A:D,2,0)</f>
        <v>A</v>
      </c>
      <c r="BA139" s="98" t="str">
        <f>VLOOKUP(B139,Classification!A:D,4,0)</f>
        <v>Adrenoceptors</v>
      </c>
      <c r="BB139" s="36" t="b">
        <f t="shared" si="1008"/>
        <v>1</v>
      </c>
      <c r="BC139" s="109">
        <f t="shared" si="1009"/>
        <v>243</v>
      </c>
      <c r="BD139" s="123" t="s">
        <v>23</v>
      </c>
      <c r="BE139" s="9" t="s">
        <v>1368</v>
      </c>
      <c r="BF139" s="119">
        <v>3.4</v>
      </c>
      <c r="BG139" s="51" t="s">
        <v>1</v>
      </c>
      <c r="BH139" s="51" t="s">
        <v>1</v>
      </c>
      <c r="BJ139" s="111" t="s">
        <v>1281</v>
      </c>
      <c r="BK139" s="112" t="s">
        <v>1281</v>
      </c>
      <c r="BL139" s="112" t="s">
        <v>1281</v>
      </c>
      <c r="BM139" s="112" t="s">
        <v>1281</v>
      </c>
      <c r="BN139" s="112" t="s">
        <v>1281</v>
      </c>
      <c r="BO139" s="112" t="s">
        <v>1281</v>
      </c>
      <c r="BP139" s="112" t="s">
        <v>1281</v>
      </c>
      <c r="BQ139" s="112" t="s">
        <v>1281</v>
      </c>
      <c r="BR139" s="112" t="s">
        <v>1281</v>
      </c>
      <c r="BS139" s="112" t="s">
        <v>1281</v>
      </c>
      <c r="BT139" s="112" t="s">
        <v>1281</v>
      </c>
      <c r="BU139" s="112" t="s">
        <v>1281</v>
      </c>
      <c r="BV139" s="111">
        <f>E139</f>
        <v>31</v>
      </c>
      <c r="BW139" s="113">
        <f>I139</f>
        <v>62</v>
      </c>
      <c r="BX139" s="114">
        <f>M139</f>
        <v>66</v>
      </c>
      <c r="BY139" s="113">
        <f>Q139</f>
        <v>98</v>
      </c>
      <c r="BZ139" s="114">
        <f>U139</f>
        <v>102</v>
      </c>
      <c r="CA139" s="113" t="str">
        <f>Y139</f>
        <v>-</v>
      </c>
      <c r="CB139" s="114">
        <f>AC139</f>
        <v>146</v>
      </c>
      <c r="CC139" s="113">
        <f>AG139</f>
        <v>191</v>
      </c>
      <c r="CD139" s="114">
        <f>AK139</f>
        <v>196</v>
      </c>
      <c r="CE139" s="113">
        <f>AO139</f>
        <v>266</v>
      </c>
      <c r="CF139" s="114">
        <f>AS139</f>
        <v>305</v>
      </c>
      <c r="CG139" s="113">
        <f>AW139</f>
        <v>329</v>
      </c>
      <c r="CH139" s="111">
        <f>G139</f>
        <v>61</v>
      </c>
      <c r="CI139" s="113">
        <f>K139</f>
        <v>65</v>
      </c>
      <c r="CJ139" s="114">
        <f>O139</f>
        <v>96</v>
      </c>
      <c r="CK139" s="114">
        <f>S139</f>
        <v>101</v>
      </c>
      <c r="CL139" s="114">
        <f>W139</f>
        <v>137</v>
      </c>
      <c r="CM139" s="114" t="str">
        <f>AA139</f>
        <v>-</v>
      </c>
      <c r="CN139" s="114">
        <f>AE139</f>
        <v>172</v>
      </c>
      <c r="CO139" s="114">
        <f>AI139</f>
        <v>193</v>
      </c>
      <c r="CP139" s="114">
        <f>AM139</f>
        <v>230</v>
      </c>
      <c r="CQ139" s="114">
        <f>AQ139</f>
        <v>299</v>
      </c>
      <c r="CR139" s="114">
        <f>AU139</f>
        <v>328</v>
      </c>
      <c r="CS139" s="114">
        <f>AY139</f>
        <v>341</v>
      </c>
      <c r="CT139" s="109">
        <f>M139-K139</f>
        <v>1</v>
      </c>
    </row>
    <row r="140" spans="1:1029" s="12" customFormat="1" x14ac:dyDescent="0.2">
      <c r="A140" s="9" t="str">
        <f>CONCATENATE(B140,"_",C140)</f>
        <v>adrb2_human_6PS1</v>
      </c>
      <c r="B140" s="9" t="s">
        <v>126</v>
      </c>
      <c r="C140" s="9" t="s">
        <v>1603</v>
      </c>
      <c r="D140" s="9" t="str">
        <f>IFERROR(MID(VLOOKUP($B140,Seqs!$A:$B,2,0),E140,1),"")</f>
        <v>D</v>
      </c>
      <c r="E140" s="9">
        <v>29</v>
      </c>
      <c r="F140" s="9" t="str">
        <f>IFERROR(MID(VLOOKUP($B140,Seqs!$A:$B,2,0),G140,1),"")</f>
        <v>F</v>
      </c>
      <c r="G140" s="9">
        <v>61</v>
      </c>
      <c r="H140" s="9" t="str">
        <f>IFERROR(MID(VLOOKUP($B140,Seqs!$A:$B,2,0),I140,1),"")</f>
        <v>E</v>
      </c>
      <c r="I140" s="109">
        <v>62</v>
      </c>
      <c r="J140" s="9" t="str">
        <f>IFERROR(MID(VLOOKUP($B140,Seqs!$A:$B,2,0),K140,1),"")</f>
        <v>Q</v>
      </c>
      <c r="K140" s="109">
        <v>65</v>
      </c>
      <c r="L140" s="9" t="str">
        <f>IFERROR(MID(VLOOKUP($B140,Seqs!$A:$B,2,0),M140,1),"")</f>
        <v>T</v>
      </c>
      <c r="M140" s="9">
        <v>66</v>
      </c>
      <c r="N140" s="9" t="str">
        <f>IFERROR(MID(VLOOKUP($B140,Seqs!$A:$B,2,0),O140,1),"")</f>
        <v>M</v>
      </c>
      <c r="O140" s="9">
        <v>96</v>
      </c>
      <c r="P140" s="9" t="str">
        <f>IFERROR(MID(VLOOKUP($B140,Seqs!$A:$B,2,0),Q140,1),"")</f>
        <v>M</v>
      </c>
      <c r="Q140" s="9">
        <v>98</v>
      </c>
      <c r="R140" s="9" t="str">
        <f>IFERROR(MID(VLOOKUP($B140,Seqs!$A:$B,2,0),S140,1),"")</f>
        <v>F</v>
      </c>
      <c r="S140" s="9">
        <v>101</v>
      </c>
      <c r="T140" s="9" t="str">
        <f>IFERROR(MID(VLOOKUP($B140,Seqs!$A:$B,2,0),U140,1),"")</f>
        <v>G</v>
      </c>
      <c r="U140" s="9">
        <v>102</v>
      </c>
      <c r="V140" s="9" t="str">
        <f>IFERROR(MID(VLOOKUP($B140,Seqs!$A:$B,2,0),W140,1),"")</f>
        <v>S</v>
      </c>
      <c r="W140" s="9">
        <v>137</v>
      </c>
      <c r="X140" s="9" t="str">
        <f>IFERROR(MID(VLOOKUP($B140,Seqs!$A:$B,2,0),Y140,1),"")</f>
        <v/>
      </c>
      <c r="Y140" s="9" t="s">
        <v>23</v>
      </c>
      <c r="Z140" s="9" t="str">
        <f>IFERROR(MID(VLOOKUP($B140,Seqs!$A:$B,2,0),AA140,1),"")</f>
        <v/>
      </c>
      <c r="AA140" s="9" t="s">
        <v>23</v>
      </c>
      <c r="AB140" s="9" t="str">
        <f>IFERROR(MID(VLOOKUP($B140,Seqs!$A:$B,2,0),AC140,1),"")</f>
        <v>T</v>
      </c>
      <c r="AC140" s="9">
        <v>146</v>
      </c>
      <c r="AD140" s="9" t="str">
        <f>IFERROR(MID(VLOOKUP($B140,Seqs!$A:$B,2,0),AE140,1),"")</f>
        <v>H</v>
      </c>
      <c r="AE140" s="9">
        <v>172</v>
      </c>
      <c r="AF140" s="9" t="str">
        <f>IFERROR(MID(VLOOKUP($B140,Seqs!$A:$B,2,0),AG140,1),"")</f>
        <v>C</v>
      </c>
      <c r="AG140" s="9">
        <v>191</v>
      </c>
      <c r="AH140" s="9" t="str">
        <f>IFERROR(MID(VLOOKUP($B140,Seqs!$A:$B,2,0),AI140,1),"")</f>
        <v>F</v>
      </c>
      <c r="AI140" s="9">
        <v>193</v>
      </c>
      <c r="AJ140" s="9" t="str">
        <f>IFERROR(MID(VLOOKUP($B140,Seqs!$A:$B,2,0),AK140,1),"")</f>
        <v>N</v>
      </c>
      <c r="AK140" s="9">
        <v>196</v>
      </c>
      <c r="AL140" s="9" t="str">
        <f>IFERROR(MID(VLOOKUP($B140,Seqs!$A:$B,2,0),AM140,1),"")</f>
        <v>L</v>
      </c>
      <c r="AM140" s="9">
        <v>230</v>
      </c>
      <c r="AN140" s="9" t="str">
        <f>IFERROR(MID(VLOOKUP($B140,Seqs!$A:$B,2,0),AO140,1),"")</f>
        <v>L</v>
      </c>
      <c r="AO140" s="9">
        <v>266</v>
      </c>
      <c r="AP140" s="9" t="str">
        <f>IFERROR(MID(VLOOKUP($B140,Seqs!$A:$B,2,0),AQ140,1),"")</f>
        <v>Q</v>
      </c>
      <c r="AQ140" s="9">
        <v>299</v>
      </c>
      <c r="AR140" s="9" t="str">
        <f>IFERROR(MID(VLOOKUP($B140,Seqs!$A:$B,2,0),AS140,1),"")</f>
        <v>K</v>
      </c>
      <c r="AS140" s="9">
        <v>305</v>
      </c>
      <c r="AT140" s="9" t="str">
        <f>IFERROR(MID(VLOOKUP($B140,Seqs!$A:$B,2,0),AU140,1),"")</f>
        <v>R</v>
      </c>
      <c r="AU140" s="9">
        <v>328</v>
      </c>
      <c r="AV140" s="9" t="str">
        <f>IFERROR(MID(VLOOKUP($B140,Seqs!$A:$B,2,0),AW140,1),"")</f>
        <v>S</v>
      </c>
      <c r="AW140" s="9">
        <v>329</v>
      </c>
      <c r="AX140" s="9" t="str">
        <f>IFERROR(MID(VLOOKUP($B140,Seqs!$A:$B,2,0),AY140,1),"")</f>
        <v>C</v>
      </c>
      <c r="AY140" s="9">
        <v>341</v>
      </c>
      <c r="AZ140" s="110" t="str">
        <f>VLOOKUP(B140,Classification!A:D,2,0)</f>
        <v>A</v>
      </c>
      <c r="BA140" s="98" t="str">
        <f>VLOOKUP(B140,Classification!A:D,4,0)</f>
        <v>Adrenoceptors</v>
      </c>
      <c r="BB140" s="36" t="b">
        <f t="shared" si="1008"/>
        <v>1</v>
      </c>
      <c r="BC140" s="109">
        <f t="shared" si="1009"/>
        <v>245</v>
      </c>
      <c r="BD140" s="123" t="s">
        <v>23</v>
      </c>
      <c r="BE140" s="9" t="s">
        <v>1368</v>
      </c>
      <c r="BF140" s="119">
        <v>3.2</v>
      </c>
      <c r="BG140" s="51" t="s">
        <v>1</v>
      </c>
      <c r="BH140" s="51" t="s">
        <v>1</v>
      </c>
      <c r="BJ140" s="111" t="s">
        <v>1281</v>
      </c>
      <c r="BK140" s="112" t="s">
        <v>1281</v>
      </c>
      <c r="BL140" s="112" t="s">
        <v>1281</v>
      </c>
      <c r="BM140" s="112" t="s">
        <v>1281</v>
      </c>
      <c r="BN140" s="112" t="s">
        <v>1281</v>
      </c>
      <c r="BO140" s="112" t="s">
        <v>1281</v>
      </c>
      <c r="BP140" s="112" t="s">
        <v>1281</v>
      </c>
      <c r="BQ140" s="112" t="s">
        <v>1281</v>
      </c>
      <c r="BR140" s="112" t="s">
        <v>1281</v>
      </c>
      <c r="BS140" s="112" t="s">
        <v>1281</v>
      </c>
      <c r="BT140" s="112" t="s">
        <v>1281</v>
      </c>
      <c r="BU140" s="112" t="s">
        <v>1281</v>
      </c>
      <c r="BV140" s="111">
        <f>E140</f>
        <v>29</v>
      </c>
      <c r="BW140" s="113">
        <f>I140</f>
        <v>62</v>
      </c>
      <c r="BX140" s="114">
        <f>M140</f>
        <v>66</v>
      </c>
      <c r="BY140" s="113">
        <f>Q140</f>
        <v>98</v>
      </c>
      <c r="BZ140" s="114">
        <f>U140</f>
        <v>102</v>
      </c>
      <c r="CA140" s="113" t="str">
        <f>Y140</f>
        <v>-</v>
      </c>
      <c r="CB140" s="114">
        <f>AC140</f>
        <v>146</v>
      </c>
      <c r="CC140" s="113">
        <f>AG140</f>
        <v>191</v>
      </c>
      <c r="CD140" s="114">
        <f>AK140</f>
        <v>196</v>
      </c>
      <c r="CE140" s="113">
        <f>AO140</f>
        <v>266</v>
      </c>
      <c r="CF140" s="114">
        <f>AS140</f>
        <v>305</v>
      </c>
      <c r="CG140" s="113">
        <f>AW140</f>
        <v>329</v>
      </c>
      <c r="CH140" s="111">
        <f>G140</f>
        <v>61</v>
      </c>
      <c r="CI140" s="113">
        <f>K140</f>
        <v>65</v>
      </c>
      <c r="CJ140" s="114">
        <f>O140</f>
        <v>96</v>
      </c>
      <c r="CK140" s="114">
        <f>S140</f>
        <v>101</v>
      </c>
      <c r="CL140" s="114">
        <f>W140</f>
        <v>137</v>
      </c>
      <c r="CM140" s="114" t="str">
        <f>AA140</f>
        <v>-</v>
      </c>
      <c r="CN140" s="114">
        <f>AE140</f>
        <v>172</v>
      </c>
      <c r="CO140" s="114">
        <f>AI140</f>
        <v>193</v>
      </c>
      <c r="CP140" s="114">
        <f>AM140</f>
        <v>230</v>
      </c>
      <c r="CQ140" s="114">
        <f>AQ140</f>
        <v>299</v>
      </c>
      <c r="CR140" s="114">
        <f>AU140</f>
        <v>328</v>
      </c>
      <c r="CS140" s="114">
        <f>AY140</f>
        <v>341</v>
      </c>
      <c r="CT140" s="109">
        <f>M140-K140</f>
        <v>1</v>
      </c>
    </row>
    <row r="141" spans="1:1029" s="12" customFormat="1" x14ac:dyDescent="0.2">
      <c r="A141" s="9" t="str">
        <f>CONCATENATE(B141,"_",C141)</f>
        <v>adrb2_human_6PS2</v>
      </c>
      <c r="B141" s="9" t="s">
        <v>126</v>
      </c>
      <c r="C141" s="9" t="s">
        <v>1604</v>
      </c>
      <c r="D141" s="9" t="str">
        <f>IFERROR(MID(VLOOKUP($B141,Seqs!$A:$B,2,0),E141,1),"")</f>
        <v>D</v>
      </c>
      <c r="E141" s="9">
        <v>29</v>
      </c>
      <c r="F141" s="9" t="str">
        <f>IFERROR(MID(VLOOKUP($B141,Seqs!$A:$B,2,0),G141,1),"")</f>
        <v>F</v>
      </c>
      <c r="G141" s="9">
        <v>61</v>
      </c>
      <c r="H141" s="9" t="str">
        <f>IFERROR(MID(VLOOKUP($B141,Seqs!$A:$B,2,0),I141,1),"")</f>
        <v>E</v>
      </c>
      <c r="I141" s="109">
        <v>62</v>
      </c>
      <c r="J141" s="9" t="str">
        <f>IFERROR(MID(VLOOKUP($B141,Seqs!$A:$B,2,0),K141,1),"")</f>
        <v>Q</v>
      </c>
      <c r="K141" s="109">
        <v>65</v>
      </c>
      <c r="L141" s="9" t="str">
        <f>IFERROR(MID(VLOOKUP($B141,Seqs!$A:$B,2,0),M141,1),"")</f>
        <v>T</v>
      </c>
      <c r="M141" s="9">
        <v>66</v>
      </c>
      <c r="N141" s="9" t="str">
        <f>IFERROR(MID(VLOOKUP($B141,Seqs!$A:$B,2,0),O141,1),"")</f>
        <v>M</v>
      </c>
      <c r="O141" s="9">
        <v>96</v>
      </c>
      <c r="P141" s="9" t="str">
        <f>IFERROR(MID(VLOOKUP($B141,Seqs!$A:$B,2,0),Q141,1),"")</f>
        <v>M</v>
      </c>
      <c r="Q141" s="9">
        <v>98</v>
      </c>
      <c r="R141" s="9" t="str">
        <f>IFERROR(MID(VLOOKUP($B141,Seqs!$A:$B,2,0),S141,1),"")</f>
        <v>F</v>
      </c>
      <c r="S141" s="9">
        <v>101</v>
      </c>
      <c r="T141" s="9" t="str">
        <f>IFERROR(MID(VLOOKUP($B141,Seqs!$A:$B,2,0),U141,1),"")</f>
        <v>G</v>
      </c>
      <c r="U141" s="9">
        <v>102</v>
      </c>
      <c r="V141" s="9" t="str">
        <f>IFERROR(MID(VLOOKUP($B141,Seqs!$A:$B,2,0),W141,1),"")</f>
        <v>S</v>
      </c>
      <c r="W141" s="9">
        <v>137</v>
      </c>
      <c r="X141" s="9" t="str">
        <f>IFERROR(MID(VLOOKUP($B141,Seqs!$A:$B,2,0),Y141,1),"")</f>
        <v/>
      </c>
      <c r="Y141" s="9" t="s">
        <v>23</v>
      </c>
      <c r="Z141" s="9" t="str">
        <f>IFERROR(MID(VLOOKUP($B141,Seqs!$A:$B,2,0),AA141,1),"")</f>
        <v/>
      </c>
      <c r="AA141" s="9" t="s">
        <v>23</v>
      </c>
      <c r="AB141" s="9" t="str">
        <f>IFERROR(MID(VLOOKUP($B141,Seqs!$A:$B,2,0),AC141,1),"")</f>
        <v>T</v>
      </c>
      <c r="AC141" s="9">
        <v>146</v>
      </c>
      <c r="AD141" s="9" t="str">
        <f>IFERROR(MID(VLOOKUP($B141,Seqs!$A:$B,2,0),AE141,1),"")</f>
        <v>H</v>
      </c>
      <c r="AE141" s="9">
        <v>172</v>
      </c>
      <c r="AF141" s="9" t="str">
        <f>IFERROR(MID(VLOOKUP($B141,Seqs!$A:$B,2,0),AG141,1),"")</f>
        <v>C</v>
      </c>
      <c r="AG141" s="9">
        <v>191</v>
      </c>
      <c r="AH141" s="9" t="str">
        <f>IFERROR(MID(VLOOKUP($B141,Seqs!$A:$B,2,0),AI141,1),"")</f>
        <v>F</v>
      </c>
      <c r="AI141" s="9">
        <v>193</v>
      </c>
      <c r="AJ141" s="9" t="str">
        <f>IFERROR(MID(VLOOKUP($B141,Seqs!$A:$B,2,0),AK141,1),"")</f>
        <v>N</v>
      </c>
      <c r="AK141" s="9">
        <v>196</v>
      </c>
      <c r="AL141" s="9" t="str">
        <f>IFERROR(MID(VLOOKUP($B141,Seqs!$A:$B,2,0),AM141,1),"")</f>
        <v>L</v>
      </c>
      <c r="AM141" s="9">
        <v>230</v>
      </c>
      <c r="AN141" s="9" t="str">
        <f>IFERROR(MID(VLOOKUP($B141,Seqs!$A:$B,2,0),AO141,1),"")</f>
        <v>L</v>
      </c>
      <c r="AO141" s="9">
        <v>266</v>
      </c>
      <c r="AP141" s="9" t="str">
        <f>IFERROR(MID(VLOOKUP($B141,Seqs!$A:$B,2,0),AQ141,1),"")</f>
        <v>D</v>
      </c>
      <c r="AQ141" s="9">
        <v>300</v>
      </c>
      <c r="AR141" s="9" t="str">
        <f>IFERROR(MID(VLOOKUP($B141,Seqs!$A:$B,2,0),AS141,1),"")</f>
        <v>K</v>
      </c>
      <c r="AS141" s="9">
        <v>305</v>
      </c>
      <c r="AT141" s="9" t="str">
        <f>IFERROR(MID(VLOOKUP($B141,Seqs!$A:$B,2,0),AU141,1),"")</f>
        <v>R</v>
      </c>
      <c r="AU141" s="9">
        <v>328</v>
      </c>
      <c r="AV141" s="9" t="str">
        <f>IFERROR(MID(VLOOKUP($B141,Seqs!$A:$B,2,0),AW141,1),"")</f>
        <v>S</v>
      </c>
      <c r="AW141" s="9">
        <v>329</v>
      </c>
      <c r="AX141" s="9" t="str">
        <f>IFERROR(MID(VLOOKUP($B141,Seqs!$A:$B,2,0),AY141,1),"")</f>
        <v>C</v>
      </c>
      <c r="AY141" s="9">
        <v>341</v>
      </c>
      <c r="AZ141" s="110" t="str">
        <f>VLOOKUP(B141,Classification!A:D,2,0)</f>
        <v>A</v>
      </c>
      <c r="BA141" s="98" t="str">
        <f>VLOOKUP(B141,Classification!A:D,4,0)</f>
        <v>Adrenoceptors</v>
      </c>
      <c r="BB141" s="36" t="b">
        <f t="shared" si="1008"/>
        <v>1</v>
      </c>
      <c r="BC141" s="109">
        <f t="shared" si="1009"/>
        <v>246</v>
      </c>
      <c r="BD141" s="123" t="s">
        <v>23</v>
      </c>
      <c r="BE141" s="9" t="s">
        <v>1368</v>
      </c>
      <c r="BF141" s="119">
        <v>2.4</v>
      </c>
      <c r="BG141" s="51" t="s">
        <v>1</v>
      </c>
      <c r="BH141" s="51" t="s">
        <v>1</v>
      </c>
      <c r="BJ141" s="111" t="s">
        <v>1281</v>
      </c>
      <c r="BK141" s="112" t="s">
        <v>1281</v>
      </c>
      <c r="BL141" s="112" t="s">
        <v>1281</v>
      </c>
      <c r="BM141" s="112" t="s">
        <v>1281</v>
      </c>
      <c r="BN141" s="112" t="s">
        <v>1281</v>
      </c>
      <c r="BO141" s="112" t="s">
        <v>1281</v>
      </c>
      <c r="BP141" s="112" t="s">
        <v>1281</v>
      </c>
      <c r="BQ141" s="112" t="s">
        <v>1281</v>
      </c>
      <c r="BR141" s="112" t="s">
        <v>1281</v>
      </c>
      <c r="BS141" s="112" t="s">
        <v>1281</v>
      </c>
      <c r="BT141" s="112" t="s">
        <v>1281</v>
      </c>
      <c r="BU141" s="112" t="s">
        <v>1281</v>
      </c>
      <c r="BV141" s="111">
        <f>E141</f>
        <v>29</v>
      </c>
      <c r="BW141" s="113">
        <f>I141</f>
        <v>62</v>
      </c>
      <c r="BX141" s="114">
        <f>M141</f>
        <v>66</v>
      </c>
      <c r="BY141" s="113">
        <f>Q141</f>
        <v>98</v>
      </c>
      <c r="BZ141" s="114">
        <f>U141</f>
        <v>102</v>
      </c>
      <c r="CA141" s="113" t="str">
        <f>Y141</f>
        <v>-</v>
      </c>
      <c r="CB141" s="114">
        <f>AC141</f>
        <v>146</v>
      </c>
      <c r="CC141" s="113">
        <f>AG141</f>
        <v>191</v>
      </c>
      <c r="CD141" s="114">
        <f>AK141</f>
        <v>196</v>
      </c>
      <c r="CE141" s="113">
        <f>AO141</f>
        <v>266</v>
      </c>
      <c r="CF141" s="114">
        <f>AS141</f>
        <v>305</v>
      </c>
      <c r="CG141" s="113">
        <f>AW141</f>
        <v>329</v>
      </c>
      <c r="CH141" s="111">
        <f>G141</f>
        <v>61</v>
      </c>
      <c r="CI141" s="113">
        <f>K141</f>
        <v>65</v>
      </c>
      <c r="CJ141" s="114">
        <f>O141</f>
        <v>96</v>
      </c>
      <c r="CK141" s="114">
        <f>S141</f>
        <v>101</v>
      </c>
      <c r="CL141" s="114">
        <f>W141</f>
        <v>137</v>
      </c>
      <c r="CM141" s="114" t="str">
        <f>AA141</f>
        <v>-</v>
      </c>
      <c r="CN141" s="114">
        <f>AE141</f>
        <v>172</v>
      </c>
      <c r="CO141" s="114">
        <f>AI141</f>
        <v>193</v>
      </c>
      <c r="CP141" s="114">
        <f>AM141</f>
        <v>230</v>
      </c>
      <c r="CQ141" s="114">
        <f>AQ141</f>
        <v>300</v>
      </c>
      <c r="CR141" s="114">
        <f>AU141</f>
        <v>328</v>
      </c>
      <c r="CS141" s="114">
        <f>AY141</f>
        <v>341</v>
      </c>
      <c r="CT141" s="109">
        <f>M141-K141</f>
        <v>1</v>
      </c>
    </row>
    <row r="142" spans="1:1029" s="12" customFormat="1" x14ac:dyDescent="0.2">
      <c r="A142" s="9" t="str">
        <f>CONCATENATE(B142,"_",C142)</f>
        <v>adrb2_human_6PS3</v>
      </c>
      <c r="B142" s="9" t="s">
        <v>126</v>
      </c>
      <c r="C142" s="9" t="s">
        <v>1605</v>
      </c>
      <c r="D142" s="9" t="str">
        <f>IFERROR(MID(VLOOKUP($B142,Seqs!$A:$B,2,0),E142,1),"")</f>
        <v>D</v>
      </c>
      <c r="E142" s="9">
        <v>29</v>
      </c>
      <c r="F142" s="9" t="str">
        <f>IFERROR(MID(VLOOKUP($B142,Seqs!$A:$B,2,0),G142,1),"")</f>
        <v>F</v>
      </c>
      <c r="G142" s="9">
        <v>61</v>
      </c>
      <c r="H142" s="9" t="str">
        <f>IFERROR(MID(VLOOKUP($B142,Seqs!$A:$B,2,0),I142,1),"")</f>
        <v>E</v>
      </c>
      <c r="I142" s="109">
        <v>62</v>
      </c>
      <c r="J142" s="9" t="str">
        <f>IFERROR(MID(VLOOKUP($B142,Seqs!$A:$B,2,0),K142,1),"")</f>
        <v>Q</v>
      </c>
      <c r="K142" s="109">
        <v>65</v>
      </c>
      <c r="L142" s="9" t="str">
        <f>IFERROR(MID(VLOOKUP($B142,Seqs!$A:$B,2,0),M142,1),"")</f>
        <v>T</v>
      </c>
      <c r="M142" s="9">
        <v>66</v>
      </c>
      <c r="N142" s="9" t="str">
        <f>IFERROR(MID(VLOOKUP($B142,Seqs!$A:$B,2,0),O142,1),"")</f>
        <v>M</v>
      </c>
      <c r="O142" s="9">
        <v>96</v>
      </c>
      <c r="P142" s="9" t="str">
        <f>IFERROR(MID(VLOOKUP($B142,Seqs!$A:$B,2,0),Q142,1),"")</f>
        <v>M</v>
      </c>
      <c r="Q142" s="9">
        <v>98</v>
      </c>
      <c r="R142" s="9" t="str">
        <f>IFERROR(MID(VLOOKUP($B142,Seqs!$A:$B,2,0),S142,1),"")</f>
        <v>F</v>
      </c>
      <c r="S142" s="9">
        <v>101</v>
      </c>
      <c r="T142" s="9" t="str">
        <f>IFERROR(MID(VLOOKUP($B142,Seqs!$A:$B,2,0),U142,1),"")</f>
        <v>G</v>
      </c>
      <c r="U142" s="9">
        <v>102</v>
      </c>
      <c r="V142" s="9" t="str">
        <f>IFERROR(MID(VLOOKUP($B142,Seqs!$A:$B,2,0),W142,1),"")</f>
        <v>S</v>
      </c>
      <c r="W142" s="9">
        <v>137</v>
      </c>
      <c r="X142" s="9" t="str">
        <f>IFERROR(MID(VLOOKUP($B142,Seqs!$A:$B,2,0),Y142,1),"")</f>
        <v/>
      </c>
      <c r="Y142" s="9" t="s">
        <v>23</v>
      </c>
      <c r="Z142" s="9" t="str">
        <f>IFERROR(MID(VLOOKUP($B142,Seqs!$A:$B,2,0),AA142,1),"")</f>
        <v/>
      </c>
      <c r="AA142" s="9" t="s">
        <v>23</v>
      </c>
      <c r="AB142" s="9" t="str">
        <f>IFERROR(MID(VLOOKUP($B142,Seqs!$A:$B,2,0),AC142,1),"")</f>
        <v>T</v>
      </c>
      <c r="AC142" s="9">
        <v>146</v>
      </c>
      <c r="AD142" s="9" t="str">
        <f>IFERROR(MID(VLOOKUP($B142,Seqs!$A:$B,2,0),AE142,1),"")</f>
        <v>H</v>
      </c>
      <c r="AE142" s="9">
        <v>172</v>
      </c>
      <c r="AF142" s="9" t="str">
        <f>IFERROR(MID(VLOOKUP($B142,Seqs!$A:$B,2,0),AG142,1),"")</f>
        <v>C</v>
      </c>
      <c r="AG142" s="9">
        <v>191</v>
      </c>
      <c r="AH142" s="9" t="str">
        <f>IFERROR(MID(VLOOKUP($B142,Seqs!$A:$B,2,0),AI142,1),"")</f>
        <v>F</v>
      </c>
      <c r="AI142" s="9">
        <v>193</v>
      </c>
      <c r="AJ142" s="9" t="str">
        <f>IFERROR(MID(VLOOKUP($B142,Seqs!$A:$B,2,0),AK142,1),"")</f>
        <v>N</v>
      </c>
      <c r="AK142" s="9">
        <v>196</v>
      </c>
      <c r="AL142" s="9" t="str">
        <f>IFERROR(MID(VLOOKUP($B142,Seqs!$A:$B,2,0),AM142,1),"")</f>
        <v>L</v>
      </c>
      <c r="AM142" s="9">
        <v>230</v>
      </c>
      <c r="AN142" s="9" t="str">
        <f>IFERROR(MID(VLOOKUP($B142,Seqs!$A:$B,2,0),AO142,1),"")</f>
        <v>L</v>
      </c>
      <c r="AO142" s="9">
        <v>266</v>
      </c>
      <c r="AP142" s="9" t="str">
        <f>IFERROR(MID(VLOOKUP($B142,Seqs!$A:$B,2,0),AQ142,1),"")</f>
        <v>D</v>
      </c>
      <c r="AQ142" s="9">
        <v>300</v>
      </c>
      <c r="AR142" s="9" t="str">
        <f>IFERROR(MID(VLOOKUP($B142,Seqs!$A:$B,2,0),AS142,1),"")</f>
        <v>K</v>
      </c>
      <c r="AS142" s="9">
        <v>305</v>
      </c>
      <c r="AT142" s="9" t="str">
        <f>IFERROR(MID(VLOOKUP($B142,Seqs!$A:$B,2,0),AU142,1),"")</f>
        <v>R</v>
      </c>
      <c r="AU142" s="9">
        <v>328</v>
      </c>
      <c r="AV142" s="9" t="str">
        <f>IFERROR(MID(VLOOKUP($B142,Seqs!$A:$B,2,0),AW142,1),"")</f>
        <v>S</v>
      </c>
      <c r="AW142" s="9">
        <v>329</v>
      </c>
      <c r="AX142" s="9" t="str">
        <f>IFERROR(MID(VLOOKUP($B142,Seqs!$A:$B,2,0),AY142,1),"")</f>
        <v>C</v>
      </c>
      <c r="AY142" s="9">
        <v>341</v>
      </c>
      <c r="AZ142" s="110" t="str">
        <f>VLOOKUP(B142,Classification!A:D,2,0)</f>
        <v>A</v>
      </c>
      <c r="BA142" s="98" t="str">
        <f>VLOOKUP(B142,Classification!A:D,4,0)</f>
        <v>Adrenoceptors</v>
      </c>
      <c r="BB142" s="36" t="b">
        <f t="shared" si="1008"/>
        <v>1</v>
      </c>
      <c r="BC142" s="109">
        <f t="shared" si="1009"/>
        <v>246</v>
      </c>
      <c r="BD142" s="123" t="s">
        <v>23</v>
      </c>
      <c r="BE142" s="9" t="s">
        <v>1368</v>
      </c>
      <c r="BF142" s="119">
        <v>2.5</v>
      </c>
      <c r="BG142" s="51" t="s">
        <v>1</v>
      </c>
      <c r="BH142" s="51" t="s">
        <v>1</v>
      </c>
      <c r="BJ142" s="111" t="s">
        <v>1281</v>
      </c>
      <c r="BK142" s="112" t="s">
        <v>1281</v>
      </c>
      <c r="BL142" s="112" t="s">
        <v>1281</v>
      </c>
      <c r="BM142" s="112" t="s">
        <v>1281</v>
      </c>
      <c r="BN142" s="112" t="s">
        <v>1281</v>
      </c>
      <c r="BO142" s="112" t="s">
        <v>1281</v>
      </c>
      <c r="BP142" s="112" t="s">
        <v>1281</v>
      </c>
      <c r="BQ142" s="112" t="s">
        <v>1281</v>
      </c>
      <c r="BR142" s="112" t="s">
        <v>1281</v>
      </c>
      <c r="BS142" s="112" t="s">
        <v>1281</v>
      </c>
      <c r="BT142" s="112" t="s">
        <v>1281</v>
      </c>
      <c r="BU142" s="112" t="s">
        <v>1281</v>
      </c>
      <c r="BV142" s="111">
        <f>E142</f>
        <v>29</v>
      </c>
      <c r="BW142" s="113">
        <f>I142</f>
        <v>62</v>
      </c>
      <c r="BX142" s="114">
        <f>M142</f>
        <v>66</v>
      </c>
      <c r="BY142" s="113">
        <f>Q142</f>
        <v>98</v>
      </c>
      <c r="BZ142" s="114">
        <f>U142</f>
        <v>102</v>
      </c>
      <c r="CA142" s="113" t="str">
        <f>Y142</f>
        <v>-</v>
      </c>
      <c r="CB142" s="114">
        <f>AC142</f>
        <v>146</v>
      </c>
      <c r="CC142" s="113">
        <f>AG142</f>
        <v>191</v>
      </c>
      <c r="CD142" s="114">
        <f>AK142</f>
        <v>196</v>
      </c>
      <c r="CE142" s="113">
        <f>AO142</f>
        <v>266</v>
      </c>
      <c r="CF142" s="114">
        <f>AS142</f>
        <v>305</v>
      </c>
      <c r="CG142" s="113">
        <f>AW142</f>
        <v>329</v>
      </c>
      <c r="CH142" s="111">
        <f>G142</f>
        <v>61</v>
      </c>
      <c r="CI142" s="113">
        <f>K142</f>
        <v>65</v>
      </c>
      <c r="CJ142" s="114">
        <f>O142</f>
        <v>96</v>
      </c>
      <c r="CK142" s="114">
        <f>S142</f>
        <v>101</v>
      </c>
      <c r="CL142" s="114">
        <f>W142</f>
        <v>137</v>
      </c>
      <c r="CM142" s="114" t="str">
        <f>AA142</f>
        <v>-</v>
      </c>
      <c r="CN142" s="114">
        <f>AE142</f>
        <v>172</v>
      </c>
      <c r="CO142" s="114">
        <f>AI142</f>
        <v>193</v>
      </c>
      <c r="CP142" s="114">
        <f>AM142</f>
        <v>230</v>
      </c>
      <c r="CQ142" s="114">
        <f>AQ142</f>
        <v>300</v>
      </c>
      <c r="CR142" s="114">
        <f>AU142</f>
        <v>328</v>
      </c>
      <c r="CS142" s="114">
        <f>AY142</f>
        <v>341</v>
      </c>
      <c r="CT142" s="109">
        <f>M142-K142</f>
        <v>1</v>
      </c>
    </row>
    <row r="143" spans="1:1029" s="12" customFormat="1" x14ac:dyDescent="0.2">
      <c r="A143" s="9" t="str">
        <f>CONCATENATE(B143,"_",C143)</f>
        <v>adrb2_human_6PS4</v>
      </c>
      <c r="B143" s="9" t="s">
        <v>126</v>
      </c>
      <c r="C143" s="9" t="s">
        <v>1606</v>
      </c>
      <c r="D143" s="9" t="str">
        <f>IFERROR(MID(VLOOKUP($B143,Seqs!$A:$B,2,0),E143,1),"")</f>
        <v>D</v>
      </c>
      <c r="E143" s="9">
        <v>29</v>
      </c>
      <c r="F143" s="9" t="str">
        <f>IFERROR(MID(VLOOKUP($B143,Seqs!$A:$B,2,0),G143,1),"")</f>
        <v>F</v>
      </c>
      <c r="G143" s="9">
        <v>61</v>
      </c>
      <c r="H143" s="9" t="str">
        <f>IFERROR(MID(VLOOKUP($B143,Seqs!$A:$B,2,0),I143,1),"")</f>
        <v>E</v>
      </c>
      <c r="I143" s="109">
        <v>62</v>
      </c>
      <c r="J143" s="9" t="str">
        <f>IFERROR(MID(VLOOKUP($B143,Seqs!$A:$B,2,0),K143,1),"")</f>
        <v>Q</v>
      </c>
      <c r="K143" s="109">
        <v>65</v>
      </c>
      <c r="L143" s="9" t="str">
        <f>IFERROR(MID(VLOOKUP($B143,Seqs!$A:$B,2,0),M143,1),"")</f>
        <v>T</v>
      </c>
      <c r="M143" s="9">
        <v>66</v>
      </c>
      <c r="N143" s="9" t="str">
        <f>IFERROR(MID(VLOOKUP($B143,Seqs!$A:$B,2,0),O143,1),"")</f>
        <v>M</v>
      </c>
      <c r="O143" s="9">
        <v>96</v>
      </c>
      <c r="P143" s="9" t="str">
        <f>IFERROR(MID(VLOOKUP($B143,Seqs!$A:$B,2,0),Q143,1),"")</f>
        <v>M</v>
      </c>
      <c r="Q143" s="9">
        <v>98</v>
      </c>
      <c r="R143" s="9" t="str">
        <f>IFERROR(MID(VLOOKUP($B143,Seqs!$A:$B,2,0),S143,1),"")</f>
        <v>F</v>
      </c>
      <c r="S143" s="9">
        <v>101</v>
      </c>
      <c r="T143" s="9" t="str">
        <f>IFERROR(MID(VLOOKUP($B143,Seqs!$A:$B,2,0),U143,1),"")</f>
        <v>G</v>
      </c>
      <c r="U143" s="9">
        <v>102</v>
      </c>
      <c r="V143" s="9" t="str">
        <f>IFERROR(MID(VLOOKUP($B143,Seqs!$A:$B,2,0),W143,1),"")</f>
        <v>S</v>
      </c>
      <c r="W143" s="9">
        <v>137</v>
      </c>
      <c r="X143" s="9" t="str">
        <f>IFERROR(MID(VLOOKUP($B143,Seqs!$A:$B,2,0),Y143,1),"")</f>
        <v/>
      </c>
      <c r="Y143" s="9" t="s">
        <v>23</v>
      </c>
      <c r="Z143" s="9" t="str">
        <f>IFERROR(MID(VLOOKUP($B143,Seqs!$A:$B,2,0),AA143,1),"")</f>
        <v/>
      </c>
      <c r="AA143" s="9" t="s">
        <v>23</v>
      </c>
      <c r="AB143" s="9" t="str">
        <f>IFERROR(MID(VLOOKUP($B143,Seqs!$A:$B,2,0),AC143,1),"")</f>
        <v>T</v>
      </c>
      <c r="AC143" s="9">
        <v>146</v>
      </c>
      <c r="AD143" s="9" t="str">
        <f>IFERROR(MID(VLOOKUP($B143,Seqs!$A:$B,2,0),AE143,1),"")</f>
        <v>H</v>
      </c>
      <c r="AE143" s="9">
        <v>172</v>
      </c>
      <c r="AF143" s="9" t="str">
        <f>IFERROR(MID(VLOOKUP($B143,Seqs!$A:$B,2,0),AG143,1),"")</f>
        <v>C</v>
      </c>
      <c r="AG143" s="9">
        <v>191</v>
      </c>
      <c r="AH143" s="9" t="str">
        <f>IFERROR(MID(VLOOKUP($B143,Seqs!$A:$B,2,0),AI143,1),"")</f>
        <v>F</v>
      </c>
      <c r="AI143" s="9">
        <v>193</v>
      </c>
      <c r="AJ143" s="9" t="str">
        <f>IFERROR(MID(VLOOKUP($B143,Seqs!$A:$B,2,0),AK143,1),"")</f>
        <v>N</v>
      </c>
      <c r="AK143" s="9">
        <v>196</v>
      </c>
      <c r="AL143" s="9" t="str">
        <f>IFERROR(MID(VLOOKUP($B143,Seqs!$A:$B,2,0),AM143,1),"")</f>
        <v>L</v>
      </c>
      <c r="AM143" s="9">
        <v>230</v>
      </c>
      <c r="AN143" s="9" t="str">
        <f>IFERROR(MID(VLOOKUP($B143,Seqs!$A:$B,2,0),AO143,1),"")</f>
        <v>L</v>
      </c>
      <c r="AO143" s="9">
        <v>266</v>
      </c>
      <c r="AP143" s="9" t="str">
        <f>IFERROR(MID(VLOOKUP($B143,Seqs!$A:$B,2,0),AQ143,1),"")</f>
        <v>D</v>
      </c>
      <c r="AQ143" s="9">
        <v>300</v>
      </c>
      <c r="AR143" s="9" t="str">
        <f>IFERROR(MID(VLOOKUP($B143,Seqs!$A:$B,2,0),AS143,1),"")</f>
        <v>K</v>
      </c>
      <c r="AS143" s="9">
        <v>305</v>
      </c>
      <c r="AT143" s="9" t="str">
        <f>IFERROR(MID(VLOOKUP($B143,Seqs!$A:$B,2,0),AU143,1),"")</f>
        <v>R</v>
      </c>
      <c r="AU143" s="9">
        <v>328</v>
      </c>
      <c r="AV143" s="9" t="str">
        <f>IFERROR(MID(VLOOKUP($B143,Seqs!$A:$B,2,0),AW143,1),"")</f>
        <v>S</v>
      </c>
      <c r="AW143" s="9">
        <v>329</v>
      </c>
      <c r="AX143" s="9" t="str">
        <f>IFERROR(MID(VLOOKUP($B143,Seqs!$A:$B,2,0),AY143,1),"")</f>
        <v>C</v>
      </c>
      <c r="AY143" s="9">
        <v>341</v>
      </c>
      <c r="AZ143" s="110" t="str">
        <f>VLOOKUP(B143,Classification!A:D,2,0)</f>
        <v>A</v>
      </c>
      <c r="BA143" s="98" t="str">
        <f>VLOOKUP(B143,Classification!A:D,4,0)</f>
        <v>Adrenoceptors</v>
      </c>
      <c r="BB143" s="36" t="b">
        <f t="shared" si="1008"/>
        <v>1</v>
      </c>
      <c r="BC143" s="109">
        <f t="shared" si="1009"/>
        <v>246</v>
      </c>
      <c r="BD143" s="123" t="s">
        <v>23</v>
      </c>
      <c r="BE143" s="9" t="s">
        <v>1368</v>
      </c>
      <c r="BF143" s="119">
        <v>2.6</v>
      </c>
      <c r="BG143" s="51" t="s">
        <v>1</v>
      </c>
      <c r="BH143" s="51" t="s">
        <v>1</v>
      </c>
      <c r="BJ143" s="111" t="s">
        <v>1281</v>
      </c>
      <c r="BK143" s="112" t="s">
        <v>1281</v>
      </c>
      <c r="BL143" s="112" t="s">
        <v>1281</v>
      </c>
      <c r="BM143" s="112" t="s">
        <v>1281</v>
      </c>
      <c r="BN143" s="112" t="s">
        <v>1281</v>
      </c>
      <c r="BO143" s="112" t="s">
        <v>1281</v>
      </c>
      <c r="BP143" s="112" t="s">
        <v>1281</v>
      </c>
      <c r="BQ143" s="112" t="s">
        <v>1281</v>
      </c>
      <c r="BR143" s="112" t="s">
        <v>1281</v>
      </c>
      <c r="BS143" s="112" t="s">
        <v>1281</v>
      </c>
      <c r="BT143" s="112" t="s">
        <v>1281</v>
      </c>
      <c r="BU143" s="112" t="s">
        <v>1281</v>
      </c>
      <c r="BV143" s="111">
        <f>E143</f>
        <v>29</v>
      </c>
      <c r="BW143" s="113">
        <f>I143</f>
        <v>62</v>
      </c>
      <c r="BX143" s="114">
        <f>M143</f>
        <v>66</v>
      </c>
      <c r="BY143" s="113">
        <f>Q143</f>
        <v>98</v>
      </c>
      <c r="BZ143" s="114">
        <f>U143</f>
        <v>102</v>
      </c>
      <c r="CA143" s="113" t="str">
        <f>Y143</f>
        <v>-</v>
      </c>
      <c r="CB143" s="114">
        <f>AC143</f>
        <v>146</v>
      </c>
      <c r="CC143" s="113">
        <f>AG143</f>
        <v>191</v>
      </c>
      <c r="CD143" s="114">
        <f>AK143</f>
        <v>196</v>
      </c>
      <c r="CE143" s="113">
        <f>AO143</f>
        <v>266</v>
      </c>
      <c r="CF143" s="114">
        <f>AS143</f>
        <v>305</v>
      </c>
      <c r="CG143" s="113">
        <f>AW143</f>
        <v>329</v>
      </c>
      <c r="CH143" s="111">
        <f>G143</f>
        <v>61</v>
      </c>
      <c r="CI143" s="113">
        <f>K143</f>
        <v>65</v>
      </c>
      <c r="CJ143" s="114">
        <f>O143</f>
        <v>96</v>
      </c>
      <c r="CK143" s="114">
        <f>S143</f>
        <v>101</v>
      </c>
      <c r="CL143" s="114">
        <f>W143</f>
        <v>137</v>
      </c>
      <c r="CM143" s="114" t="str">
        <f>AA143</f>
        <v>-</v>
      </c>
      <c r="CN143" s="114">
        <f>AE143</f>
        <v>172</v>
      </c>
      <c r="CO143" s="114">
        <f>AI143</f>
        <v>193</v>
      </c>
      <c r="CP143" s="114">
        <f>AM143</f>
        <v>230</v>
      </c>
      <c r="CQ143" s="114">
        <f>AQ143</f>
        <v>300</v>
      </c>
      <c r="CR143" s="114">
        <f>AU143</f>
        <v>328</v>
      </c>
      <c r="CS143" s="114">
        <f>AY143</f>
        <v>341</v>
      </c>
      <c r="CT143" s="109">
        <f>M143-K143</f>
        <v>1</v>
      </c>
    </row>
    <row r="144" spans="1:1029" s="12" customFormat="1" x14ac:dyDescent="0.2">
      <c r="A144" s="9" t="str">
        <f>CONCATENATE(B144,"_",C144)</f>
        <v>adrb2_human_6PS5</v>
      </c>
      <c r="B144" s="9" t="s">
        <v>126</v>
      </c>
      <c r="C144" s="9" t="s">
        <v>1607</v>
      </c>
      <c r="D144" s="9" t="str">
        <f>IFERROR(MID(VLOOKUP($B144,Seqs!$A:$B,2,0),E144,1),"")</f>
        <v>D</v>
      </c>
      <c r="E144" s="9">
        <v>29</v>
      </c>
      <c r="F144" s="9" t="str">
        <f>IFERROR(MID(VLOOKUP($B144,Seqs!$A:$B,2,0),G144,1),"")</f>
        <v>F</v>
      </c>
      <c r="G144" s="9">
        <v>61</v>
      </c>
      <c r="H144" s="9" t="str">
        <f>IFERROR(MID(VLOOKUP($B144,Seqs!$A:$B,2,0),I144,1),"")</f>
        <v>E</v>
      </c>
      <c r="I144" s="109">
        <v>62</v>
      </c>
      <c r="J144" s="9" t="str">
        <f>IFERROR(MID(VLOOKUP($B144,Seqs!$A:$B,2,0),K144,1),"")</f>
        <v>Q</v>
      </c>
      <c r="K144" s="109">
        <v>65</v>
      </c>
      <c r="L144" s="9" t="str">
        <f>IFERROR(MID(VLOOKUP($B144,Seqs!$A:$B,2,0),M144,1),"")</f>
        <v>T</v>
      </c>
      <c r="M144" s="9">
        <v>66</v>
      </c>
      <c r="N144" s="9" t="str">
        <f>IFERROR(MID(VLOOKUP($B144,Seqs!$A:$B,2,0),O144,1),"")</f>
        <v>M</v>
      </c>
      <c r="O144" s="9">
        <v>96</v>
      </c>
      <c r="P144" s="9" t="str">
        <f>IFERROR(MID(VLOOKUP($B144,Seqs!$A:$B,2,0),Q144,1),"")</f>
        <v>M</v>
      </c>
      <c r="Q144" s="9">
        <v>98</v>
      </c>
      <c r="R144" s="9" t="str">
        <f>IFERROR(MID(VLOOKUP($B144,Seqs!$A:$B,2,0),S144,1),"")</f>
        <v>F</v>
      </c>
      <c r="S144" s="9">
        <v>101</v>
      </c>
      <c r="T144" s="9" t="str">
        <f>IFERROR(MID(VLOOKUP($B144,Seqs!$A:$B,2,0),U144,1),"")</f>
        <v>G</v>
      </c>
      <c r="U144" s="9">
        <v>102</v>
      </c>
      <c r="V144" s="9" t="str">
        <f>IFERROR(MID(VLOOKUP($B144,Seqs!$A:$B,2,0),W144,1),"")</f>
        <v>S</v>
      </c>
      <c r="W144" s="9">
        <v>137</v>
      </c>
      <c r="X144" s="9" t="str">
        <f>IFERROR(MID(VLOOKUP($B144,Seqs!$A:$B,2,0),Y144,1),"")</f>
        <v/>
      </c>
      <c r="Y144" s="9" t="s">
        <v>23</v>
      </c>
      <c r="Z144" s="9" t="str">
        <f>IFERROR(MID(VLOOKUP($B144,Seqs!$A:$B,2,0),AA144,1),"")</f>
        <v/>
      </c>
      <c r="AA144" s="9" t="s">
        <v>23</v>
      </c>
      <c r="AB144" s="9" t="str">
        <f>IFERROR(MID(VLOOKUP($B144,Seqs!$A:$B,2,0),AC144,1),"")</f>
        <v>T</v>
      </c>
      <c r="AC144" s="9">
        <v>146</v>
      </c>
      <c r="AD144" s="9" t="str">
        <f>IFERROR(MID(VLOOKUP($B144,Seqs!$A:$B,2,0),AE144,1),"")</f>
        <v>H</v>
      </c>
      <c r="AE144" s="9">
        <v>172</v>
      </c>
      <c r="AF144" s="9" t="str">
        <f>IFERROR(MID(VLOOKUP($B144,Seqs!$A:$B,2,0),AG144,1),"")</f>
        <v>C</v>
      </c>
      <c r="AG144" s="9">
        <v>191</v>
      </c>
      <c r="AH144" s="9" t="str">
        <f>IFERROR(MID(VLOOKUP($B144,Seqs!$A:$B,2,0),AI144,1),"")</f>
        <v>F</v>
      </c>
      <c r="AI144" s="9">
        <v>193</v>
      </c>
      <c r="AJ144" s="9" t="str">
        <f>IFERROR(MID(VLOOKUP($B144,Seqs!$A:$B,2,0),AK144,1),"")</f>
        <v>N</v>
      </c>
      <c r="AK144" s="9">
        <v>196</v>
      </c>
      <c r="AL144" s="9" t="str">
        <f>IFERROR(MID(VLOOKUP($B144,Seqs!$A:$B,2,0),AM144,1),"")</f>
        <v>L</v>
      </c>
      <c r="AM144" s="9">
        <v>230</v>
      </c>
      <c r="AN144" s="9" t="str">
        <f>IFERROR(MID(VLOOKUP($B144,Seqs!$A:$B,2,0),AO144,1),"")</f>
        <v>L</v>
      </c>
      <c r="AO144" s="9">
        <v>266</v>
      </c>
      <c r="AP144" s="9" t="str">
        <f>IFERROR(MID(VLOOKUP($B144,Seqs!$A:$B,2,0),AQ144,1),"")</f>
        <v>D</v>
      </c>
      <c r="AQ144" s="9">
        <v>300</v>
      </c>
      <c r="AR144" s="9" t="str">
        <f>IFERROR(MID(VLOOKUP($B144,Seqs!$A:$B,2,0),AS144,1),"")</f>
        <v>K</v>
      </c>
      <c r="AS144" s="9">
        <v>305</v>
      </c>
      <c r="AT144" s="9" t="str">
        <f>IFERROR(MID(VLOOKUP($B144,Seqs!$A:$B,2,0),AU144,1),"")</f>
        <v>R</v>
      </c>
      <c r="AU144" s="9">
        <v>328</v>
      </c>
      <c r="AV144" s="9" t="str">
        <f>IFERROR(MID(VLOOKUP($B144,Seqs!$A:$B,2,0),AW144,1),"")</f>
        <v>S</v>
      </c>
      <c r="AW144" s="9">
        <v>329</v>
      </c>
      <c r="AX144" s="9" t="str">
        <f>IFERROR(MID(VLOOKUP($B144,Seqs!$A:$B,2,0),AY144,1),"")</f>
        <v>C</v>
      </c>
      <c r="AY144" s="9">
        <v>341</v>
      </c>
      <c r="AZ144" s="110" t="str">
        <f>VLOOKUP(B144,Classification!A:D,2,0)</f>
        <v>A</v>
      </c>
      <c r="BA144" s="98" t="str">
        <f>VLOOKUP(B144,Classification!A:D,4,0)</f>
        <v>Adrenoceptors</v>
      </c>
      <c r="BB144" s="36" t="b">
        <f t="shared" si="1008"/>
        <v>1</v>
      </c>
      <c r="BC144" s="109">
        <f t="shared" si="1009"/>
        <v>246</v>
      </c>
      <c r="BD144" s="123" t="s">
        <v>23</v>
      </c>
      <c r="BE144" s="9" t="s">
        <v>1368</v>
      </c>
      <c r="BF144" s="119">
        <v>2.9</v>
      </c>
      <c r="BG144" s="51" t="s">
        <v>1</v>
      </c>
      <c r="BH144" s="51" t="s">
        <v>1</v>
      </c>
      <c r="BJ144" s="111" t="s">
        <v>1281</v>
      </c>
      <c r="BK144" s="112" t="s">
        <v>1281</v>
      </c>
      <c r="BL144" s="112" t="s">
        <v>1281</v>
      </c>
      <c r="BM144" s="112" t="s">
        <v>1281</v>
      </c>
      <c r="BN144" s="112" t="s">
        <v>1281</v>
      </c>
      <c r="BO144" s="112" t="s">
        <v>1281</v>
      </c>
      <c r="BP144" s="112" t="s">
        <v>1281</v>
      </c>
      <c r="BQ144" s="112" t="s">
        <v>1281</v>
      </c>
      <c r="BR144" s="112" t="s">
        <v>1281</v>
      </c>
      <c r="BS144" s="112" t="s">
        <v>1281</v>
      </c>
      <c r="BT144" s="112" t="s">
        <v>1281</v>
      </c>
      <c r="BU144" s="112" t="s">
        <v>1281</v>
      </c>
      <c r="BV144" s="111">
        <f>E144</f>
        <v>29</v>
      </c>
      <c r="BW144" s="113">
        <f>I144</f>
        <v>62</v>
      </c>
      <c r="BX144" s="114">
        <f>M144</f>
        <v>66</v>
      </c>
      <c r="BY144" s="113">
        <f>Q144</f>
        <v>98</v>
      </c>
      <c r="BZ144" s="114">
        <f>U144</f>
        <v>102</v>
      </c>
      <c r="CA144" s="113" t="str">
        <f>Y144</f>
        <v>-</v>
      </c>
      <c r="CB144" s="114">
        <f>AC144</f>
        <v>146</v>
      </c>
      <c r="CC144" s="113">
        <f>AG144</f>
        <v>191</v>
      </c>
      <c r="CD144" s="114">
        <f>AK144</f>
        <v>196</v>
      </c>
      <c r="CE144" s="113">
        <f>AO144</f>
        <v>266</v>
      </c>
      <c r="CF144" s="114">
        <f>AS144</f>
        <v>305</v>
      </c>
      <c r="CG144" s="113">
        <f>AW144</f>
        <v>329</v>
      </c>
      <c r="CH144" s="111">
        <f>G144</f>
        <v>61</v>
      </c>
      <c r="CI144" s="113">
        <f>K144</f>
        <v>65</v>
      </c>
      <c r="CJ144" s="114">
        <f>O144</f>
        <v>96</v>
      </c>
      <c r="CK144" s="114">
        <f>S144</f>
        <v>101</v>
      </c>
      <c r="CL144" s="114">
        <f>W144</f>
        <v>137</v>
      </c>
      <c r="CM144" s="114" t="str">
        <f>AA144</f>
        <v>-</v>
      </c>
      <c r="CN144" s="114">
        <f>AE144</f>
        <v>172</v>
      </c>
      <c r="CO144" s="114">
        <f>AI144</f>
        <v>193</v>
      </c>
      <c r="CP144" s="114">
        <f>AM144</f>
        <v>230</v>
      </c>
      <c r="CQ144" s="114">
        <f>AQ144</f>
        <v>300</v>
      </c>
      <c r="CR144" s="114">
        <f>AU144</f>
        <v>328</v>
      </c>
      <c r="CS144" s="114">
        <f>AY144</f>
        <v>341</v>
      </c>
      <c r="CT144" s="109">
        <f>M144-K144</f>
        <v>1</v>
      </c>
    </row>
    <row r="145" spans="1:1029" s="12" customFormat="1" x14ac:dyDescent="0.2">
      <c r="A145" s="9" t="str">
        <f>CONCATENATE(B145,"_",C145)</f>
        <v>adrb2_human_6PS6</v>
      </c>
      <c r="B145" s="9" t="s">
        <v>126</v>
      </c>
      <c r="C145" s="9" t="s">
        <v>1608</v>
      </c>
      <c r="D145" s="9" t="str">
        <f>IFERROR(MID(VLOOKUP($B145,Seqs!$A:$B,2,0),E145,1),"")</f>
        <v>D</v>
      </c>
      <c r="E145" s="9">
        <v>29</v>
      </c>
      <c r="F145" s="9" t="str">
        <f>IFERROR(MID(VLOOKUP($B145,Seqs!$A:$B,2,0),G145,1),"")</f>
        <v>F</v>
      </c>
      <c r="G145" s="9">
        <v>61</v>
      </c>
      <c r="H145" s="9" t="str">
        <f>IFERROR(MID(VLOOKUP($B145,Seqs!$A:$B,2,0),I145,1),"")</f>
        <v>E</v>
      </c>
      <c r="I145" s="109">
        <v>62</v>
      </c>
      <c r="J145" s="9" t="str">
        <f>IFERROR(MID(VLOOKUP($B145,Seqs!$A:$B,2,0),K145,1),"")</f>
        <v>Q</v>
      </c>
      <c r="K145" s="109">
        <v>65</v>
      </c>
      <c r="L145" s="9" t="str">
        <f>IFERROR(MID(VLOOKUP($B145,Seqs!$A:$B,2,0),M145,1),"")</f>
        <v>T</v>
      </c>
      <c r="M145" s="9">
        <v>66</v>
      </c>
      <c r="N145" s="9" t="str">
        <f>IFERROR(MID(VLOOKUP($B145,Seqs!$A:$B,2,0),O145,1),"")</f>
        <v>M</v>
      </c>
      <c r="O145" s="9">
        <v>96</v>
      </c>
      <c r="P145" s="9" t="str">
        <f>IFERROR(MID(VLOOKUP($B145,Seqs!$A:$B,2,0),Q145,1),"")</f>
        <v>M</v>
      </c>
      <c r="Q145" s="9">
        <v>98</v>
      </c>
      <c r="R145" s="9" t="str">
        <f>IFERROR(MID(VLOOKUP($B145,Seqs!$A:$B,2,0),S145,1),"")</f>
        <v>F</v>
      </c>
      <c r="S145" s="9">
        <v>101</v>
      </c>
      <c r="T145" s="9" t="str">
        <f>IFERROR(MID(VLOOKUP($B145,Seqs!$A:$B,2,0),U145,1),"")</f>
        <v>G</v>
      </c>
      <c r="U145" s="9">
        <v>102</v>
      </c>
      <c r="V145" s="9" t="str">
        <f>IFERROR(MID(VLOOKUP($B145,Seqs!$A:$B,2,0),W145,1),"")</f>
        <v>S</v>
      </c>
      <c r="W145" s="9">
        <v>137</v>
      </c>
      <c r="X145" s="9" t="str">
        <f>IFERROR(MID(VLOOKUP($B145,Seqs!$A:$B,2,0),Y145,1),"")</f>
        <v/>
      </c>
      <c r="Y145" s="9" t="s">
        <v>23</v>
      </c>
      <c r="Z145" s="9" t="str">
        <f>IFERROR(MID(VLOOKUP($B145,Seqs!$A:$B,2,0),AA145,1),"")</f>
        <v/>
      </c>
      <c r="AA145" s="9" t="s">
        <v>23</v>
      </c>
      <c r="AB145" s="9" t="str">
        <f>IFERROR(MID(VLOOKUP($B145,Seqs!$A:$B,2,0),AC145,1),"")</f>
        <v>T</v>
      </c>
      <c r="AC145" s="9">
        <v>146</v>
      </c>
      <c r="AD145" s="9" t="str">
        <f>IFERROR(MID(VLOOKUP($B145,Seqs!$A:$B,2,0),AE145,1),"")</f>
        <v>H</v>
      </c>
      <c r="AE145" s="9">
        <v>172</v>
      </c>
      <c r="AF145" s="9" t="str">
        <f>IFERROR(MID(VLOOKUP($B145,Seqs!$A:$B,2,0),AG145,1),"")</f>
        <v>C</v>
      </c>
      <c r="AG145" s="9">
        <v>191</v>
      </c>
      <c r="AH145" s="9" t="str">
        <f>IFERROR(MID(VLOOKUP($B145,Seqs!$A:$B,2,0),AI145,1),"")</f>
        <v>F</v>
      </c>
      <c r="AI145" s="9">
        <v>193</v>
      </c>
      <c r="AJ145" s="9" t="str">
        <f>IFERROR(MID(VLOOKUP($B145,Seqs!$A:$B,2,0),AK145,1),"")</f>
        <v>N</v>
      </c>
      <c r="AK145" s="9">
        <v>196</v>
      </c>
      <c r="AL145" s="9" t="str">
        <f>IFERROR(MID(VLOOKUP($B145,Seqs!$A:$B,2,0),AM145,1),"")</f>
        <v>L</v>
      </c>
      <c r="AM145" s="9">
        <v>230</v>
      </c>
      <c r="AN145" s="9" t="str">
        <f>IFERROR(MID(VLOOKUP($B145,Seqs!$A:$B,2,0),AO145,1),"")</f>
        <v>L</v>
      </c>
      <c r="AO145" s="9">
        <v>266</v>
      </c>
      <c r="AP145" s="9" t="str">
        <f>IFERROR(MID(VLOOKUP($B145,Seqs!$A:$B,2,0),AQ145,1),"")</f>
        <v>D</v>
      </c>
      <c r="AQ145" s="9">
        <v>300</v>
      </c>
      <c r="AR145" s="9" t="str">
        <f>IFERROR(MID(VLOOKUP($B145,Seqs!$A:$B,2,0),AS145,1),"")</f>
        <v>K</v>
      </c>
      <c r="AS145" s="9">
        <v>305</v>
      </c>
      <c r="AT145" s="9" t="str">
        <f>IFERROR(MID(VLOOKUP($B145,Seqs!$A:$B,2,0),AU145,1),"")</f>
        <v>R</v>
      </c>
      <c r="AU145" s="9">
        <v>328</v>
      </c>
      <c r="AV145" s="9" t="str">
        <f>IFERROR(MID(VLOOKUP($B145,Seqs!$A:$B,2,0),AW145,1),"")</f>
        <v>S</v>
      </c>
      <c r="AW145" s="9">
        <v>329</v>
      </c>
      <c r="AX145" s="9" t="str">
        <f>IFERROR(MID(VLOOKUP($B145,Seqs!$A:$B,2,0),AY145,1),"")</f>
        <v>C</v>
      </c>
      <c r="AY145" s="9">
        <v>341</v>
      </c>
      <c r="AZ145" s="110" t="str">
        <f>VLOOKUP(B145,Classification!A:D,2,0)</f>
        <v>A</v>
      </c>
      <c r="BA145" s="98" t="str">
        <f>VLOOKUP(B145,Classification!A:D,4,0)</f>
        <v>Adrenoceptors</v>
      </c>
      <c r="BB145" s="36" t="b">
        <f t="shared" si="1008"/>
        <v>1</v>
      </c>
      <c r="BC145" s="109">
        <f t="shared" si="1009"/>
        <v>246</v>
      </c>
      <c r="BD145" s="123" t="s">
        <v>23</v>
      </c>
      <c r="BE145" s="9" t="s">
        <v>1368</v>
      </c>
      <c r="BF145" s="119">
        <v>2.7</v>
      </c>
      <c r="BG145" s="51" t="s">
        <v>1</v>
      </c>
      <c r="BH145" s="51" t="s">
        <v>1</v>
      </c>
      <c r="BJ145" s="111" t="s">
        <v>1281</v>
      </c>
      <c r="BK145" s="112" t="s">
        <v>1281</v>
      </c>
      <c r="BL145" s="112" t="s">
        <v>1281</v>
      </c>
      <c r="BM145" s="112" t="s">
        <v>1281</v>
      </c>
      <c r="BN145" s="112" t="s">
        <v>1281</v>
      </c>
      <c r="BO145" s="112" t="s">
        <v>1281</v>
      </c>
      <c r="BP145" s="112" t="s">
        <v>1281</v>
      </c>
      <c r="BQ145" s="112" t="s">
        <v>1281</v>
      </c>
      <c r="BR145" s="112" t="s">
        <v>1281</v>
      </c>
      <c r="BS145" s="112" t="s">
        <v>1281</v>
      </c>
      <c r="BT145" s="112" t="s">
        <v>1281</v>
      </c>
      <c r="BU145" s="112" t="s">
        <v>1281</v>
      </c>
      <c r="BV145" s="111">
        <f>E145</f>
        <v>29</v>
      </c>
      <c r="BW145" s="113">
        <f>I145</f>
        <v>62</v>
      </c>
      <c r="BX145" s="114">
        <f>M145</f>
        <v>66</v>
      </c>
      <c r="BY145" s="113">
        <f>Q145</f>
        <v>98</v>
      </c>
      <c r="BZ145" s="114">
        <f>U145</f>
        <v>102</v>
      </c>
      <c r="CA145" s="113" t="str">
        <f>Y145</f>
        <v>-</v>
      </c>
      <c r="CB145" s="114">
        <f>AC145</f>
        <v>146</v>
      </c>
      <c r="CC145" s="113">
        <f>AG145</f>
        <v>191</v>
      </c>
      <c r="CD145" s="114">
        <f>AK145</f>
        <v>196</v>
      </c>
      <c r="CE145" s="113">
        <f>AO145</f>
        <v>266</v>
      </c>
      <c r="CF145" s="114">
        <f>AS145</f>
        <v>305</v>
      </c>
      <c r="CG145" s="113">
        <f>AW145</f>
        <v>329</v>
      </c>
      <c r="CH145" s="111">
        <f>G145</f>
        <v>61</v>
      </c>
      <c r="CI145" s="113">
        <f>K145</f>
        <v>65</v>
      </c>
      <c r="CJ145" s="114">
        <f>O145</f>
        <v>96</v>
      </c>
      <c r="CK145" s="114">
        <f>S145</f>
        <v>101</v>
      </c>
      <c r="CL145" s="114">
        <f>W145</f>
        <v>137</v>
      </c>
      <c r="CM145" s="114" t="str">
        <f>AA145</f>
        <v>-</v>
      </c>
      <c r="CN145" s="114">
        <f>AE145</f>
        <v>172</v>
      </c>
      <c r="CO145" s="114">
        <f>AI145</f>
        <v>193</v>
      </c>
      <c r="CP145" s="114">
        <f>AM145</f>
        <v>230</v>
      </c>
      <c r="CQ145" s="114">
        <f>AQ145</f>
        <v>300</v>
      </c>
      <c r="CR145" s="114">
        <f>AU145</f>
        <v>328</v>
      </c>
      <c r="CS145" s="114">
        <f>AY145</f>
        <v>341</v>
      </c>
      <c r="CT145" s="109">
        <f>M145-K145</f>
        <v>1</v>
      </c>
    </row>
    <row r="146" spans="1:1029" s="12" customFormat="1" x14ac:dyDescent="0.2">
      <c r="A146" s="9" t="str">
        <f>CONCATENATE(B146,"_",C146)</f>
        <v>adrb2_human_6NI3</v>
      </c>
      <c r="B146" s="9" t="s">
        <v>126</v>
      </c>
      <c r="C146" s="9" t="s">
        <v>1611</v>
      </c>
      <c r="D146" s="9" t="str">
        <f>IFERROR(MID(VLOOKUP($B146,Seqs!$A:$B,2,0),E146,1),"")</f>
        <v>V</v>
      </c>
      <c r="E146" s="9">
        <v>31</v>
      </c>
      <c r="F146" s="9" t="str">
        <f>IFERROR(MID(VLOOKUP($B146,Seqs!$A:$B,2,0),G146,1),"")</f>
        <v>K</v>
      </c>
      <c r="G146" s="9">
        <v>60</v>
      </c>
      <c r="H146" s="9" t="str">
        <f>IFERROR(MID(VLOOKUP($B146,Seqs!$A:$B,2,0),I146,1),"")</f>
        <v/>
      </c>
      <c r="I146" s="109" t="s">
        <v>23</v>
      </c>
      <c r="J146" s="9" t="str">
        <f>IFERROR(MID(VLOOKUP($B146,Seqs!$A:$B,2,0),K146,1),"")</f>
        <v/>
      </c>
      <c r="K146" s="109" t="s">
        <v>23</v>
      </c>
      <c r="L146" s="9" t="str">
        <f>IFERROR(MID(VLOOKUP($B146,Seqs!$A:$B,2,0),M146,1),"")</f>
        <v>T</v>
      </c>
      <c r="M146" s="9">
        <v>66</v>
      </c>
      <c r="N146" s="9" t="str">
        <f>IFERROR(MID(VLOOKUP($B146,Seqs!$A:$B,2,0),O146,1),"")</f>
        <v>K</v>
      </c>
      <c r="O146" s="9">
        <v>97</v>
      </c>
      <c r="P146" s="9" t="str">
        <f>IFERROR(MID(VLOOKUP($B146,Seqs!$A:$B,2,0),Q146,1),"")</f>
        <v>M</v>
      </c>
      <c r="Q146" s="9">
        <v>98</v>
      </c>
      <c r="R146" s="9" t="str">
        <f>IFERROR(MID(VLOOKUP($B146,Seqs!$A:$B,2,0),S146,1),"")</f>
        <v>F</v>
      </c>
      <c r="S146" s="9">
        <v>101</v>
      </c>
      <c r="T146" s="9" t="str">
        <f>IFERROR(MID(VLOOKUP($B146,Seqs!$A:$B,2,0),U146,1),"")</f>
        <v>G</v>
      </c>
      <c r="U146" s="9">
        <v>102</v>
      </c>
      <c r="V146" s="9" t="str">
        <f>IFERROR(MID(VLOOKUP($B146,Seqs!$A:$B,2,0),W146,1),"")</f>
        <v>S</v>
      </c>
      <c r="W146" s="9">
        <v>137</v>
      </c>
      <c r="X146" s="9" t="str">
        <f>IFERROR(MID(VLOOKUP($B146,Seqs!$A:$B,2,0),Y146,1),"")</f>
        <v>P</v>
      </c>
      <c r="Y146" s="9">
        <v>138</v>
      </c>
      <c r="Z146" s="9" t="str">
        <f>IFERROR(MID(VLOOKUP($B146,Seqs!$A:$B,2,0),AA146,1),"")</f>
        <v>L</v>
      </c>
      <c r="AA146" s="9">
        <v>145</v>
      </c>
      <c r="AB146" s="9" t="str">
        <f>IFERROR(MID(VLOOKUP($B146,Seqs!$A:$B,2,0),AC146,1),"")</f>
        <v>T</v>
      </c>
      <c r="AC146" s="9">
        <v>146</v>
      </c>
      <c r="AD146" s="9" t="str">
        <f>IFERROR(MID(VLOOKUP($B146,Seqs!$A:$B,2,0),AE146,1),"")</f>
        <v>H</v>
      </c>
      <c r="AE146" s="9">
        <v>172</v>
      </c>
      <c r="AF146" s="9" t="str">
        <f>IFERROR(MID(VLOOKUP($B146,Seqs!$A:$B,2,0),AG146,1),"")</f>
        <v/>
      </c>
      <c r="AG146" s="9" t="s">
        <v>23</v>
      </c>
      <c r="AH146" s="9" t="str">
        <f>IFERROR(MID(VLOOKUP($B146,Seqs!$A:$B,2,0),AI146,1),"")</f>
        <v/>
      </c>
      <c r="AI146" s="9" t="s">
        <v>23</v>
      </c>
      <c r="AJ146" s="9" t="str">
        <f>IFERROR(MID(VLOOKUP($B146,Seqs!$A:$B,2,0),AK146,1),"")</f>
        <v>N</v>
      </c>
      <c r="AK146" s="9">
        <v>196</v>
      </c>
      <c r="AL146" s="9" t="str">
        <f>IFERROR(MID(VLOOKUP($B146,Seqs!$A:$B,2,0),AM146,1),"")</f>
        <v>S</v>
      </c>
      <c r="AM146" s="9">
        <v>236</v>
      </c>
      <c r="AN146" s="9" t="str">
        <f>IFERROR(MID(VLOOKUP($B146,Seqs!$A:$B,2,0),AO146,1),"")</f>
        <v>C</v>
      </c>
      <c r="AO146" s="9">
        <v>265</v>
      </c>
      <c r="AP146" s="9" t="str">
        <f>IFERROR(MID(VLOOKUP($B146,Seqs!$A:$B,2,0),AQ146,1),"")</f>
        <v>Q</v>
      </c>
      <c r="AQ146" s="9">
        <v>299</v>
      </c>
      <c r="AR146" s="9" t="str">
        <f>IFERROR(MID(VLOOKUP($B146,Seqs!$A:$B,2,0),AS146,1),"")</f>
        <v>R</v>
      </c>
      <c r="AS146" s="9">
        <v>304</v>
      </c>
      <c r="AT146" s="9" t="str">
        <f>IFERROR(MID(VLOOKUP($B146,Seqs!$A:$B,2,0),AU146,1),"")</f>
        <v>C</v>
      </c>
      <c r="AU146" s="9">
        <v>327</v>
      </c>
      <c r="AV146" s="9" t="str">
        <f>IFERROR(MID(VLOOKUP($B146,Seqs!$A:$B,2,0),AW146,1),"")</f>
        <v>S</v>
      </c>
      <c r="AW146" s="9">
        <v>329</v>
      </c>
      <c r="AX146" s="9" t="str">
        <f>IFERROR(MID(VLOOKUP($B146,Seqs!$A:$B,2,0),AY146,1),"")</f>
        <v>L</v>
      </c>
      <c r="AY146" s="9">
        <v>340</v>
      </c>
      <c r="AZ146" s="110" t="str">
        <f>VLOOKUP(B146,Classification!A:D,2,0)</f>
        <v>A</v>
      </c>
      <c r="BA146" s="98" t="str">
        <f>VLOOKUP(B146,Classification!A:D,4,0)</f>
        <v>Adrenoceptors</v>
      </c>
      <c r="BB146" s="36" t="b">
        <f t="shared" si="1008"/>
        <v>1</v>
      </c>
      <c r="BC146" s="109">
        <f t="shared" si="1009"/>
        <v>251</v>
      </c>
      <c r="BD146" s="123" t="s">
        <v>23</v>
      </c>
      <c r="BE146" s="9" t="s">
        <v>1368</v>
      </c>
      <c r="BF146" s="119">
        <v>3.8</v>
      </c>
      <c r="BG146" s="51" t="s">
        <v>1416</v>
      </c>
      <c r="BH146" s="51" t="s">
        <v>1416</v>
      </c>
      <c r="BJ146" s="111" t="s">
        <v>1281</v>
      </c>
      <c r="BK146" s="112" t="s">
        <v>1281</v>
      </c>
      <c r="BL146" s="112" t="s">
        <v>1281</v>
      </c>
      <c r="BM146" s="112" t="s">
        <v>1281</v>
      </c>
      <c r="BN146" s="112" t="s">
        <v>1281</v>
      </c>
      <c r="BO146" s="112" t="s">
        <v>1281</v>
      </c>
      <c r="BP146" s="112" t="s">
        <v>1281</v>
      </c>
      <c r="BQ146" s="112" t="s">
        <v>1281</v>
      </c>
      <c r="BR146" s="112" t="s">
        <v>1281</v>
      </c>
      <c r="BS146" s="112" t="s">
        <v>1281</v>
      </c>
      <c r="BT146" s="112" t="s">
        <v>1281</v>
      </c>
      <c r="BU146" s="112" t="s">
        <v>1281</v>
      </c>
      <c r="BV146" s="111">
        <f>E146</f>
        <v>31</v>
      </c>
      <c r="BW146" s="113" t="str">
        <f>I146</f>
        <v>-</v>
      </c>
      <c r="BX146" s="114">
        <f>M146</f>
        <v>66</v>
      </c>
      <c r="BY146" s="113">
        <f>Q146</f>
        <v>98</v>
      </c>
      <c r="BZ146" s="114">
        <f>U146</f>
        <v>102</v>
      </c>
      <c r="CA146" s="113">
        <f>Y146</f>
        <v>138</v>
      </c>
      <c r="CB146" s="114">
        <f>AC146</f>
        <v>146</v>
      </c>
      <c r="CC146" s="113" t="str">
        <f>AG146</f>
        <v>-</v>
      </c>
      <c r="CD146" s="114">
        <f>AK146</f>
        <v>196</v>
      </c>
      <c r="CE146" s="113">
        <f>AO146</f>
        <v>265</v>
      </c>
      <c r="CF146" s="114">
        <f>AS146</f>
        <v>304</v>
      </c>
      <c r="CG146" s="113">
        <f>AW146</f>
        <v>329</v>
      </c>
      <c r="CH146" s="111">
        <f>G146</f>
        <v>60</v>
      </c>
      <c r="CI146" s="113" t="str">
        <f>K146</f>
        <v>-</v>
      </c>
      <c r="CJ146" s="114">
        <f>O146</f>
        <v>97</v>
      </c>
      <c r="CK146" s="114">
        <f>S146</f>
        <v>101</v>
      </c>
      <c r="CL146" s="114">
        <f>W146</f>
        <v>137</v>
      </c>
      <c r="CM146" s="114">
        <f>AA146</f>
        <v>145</v>
      </c>
      <c r="CN146" s="114">
        <f>AE146</f>
        <v>172</v>
      </c>
      <c r="CO146" s="114" t="str">
        <f>AI146</f>
        <v>-</v>
      </c>
      <c r="CP146" s="114">
        <f>AM146</f>
        <v>236</v>
      </c>
      <c r="CQ146" s="114">
        <f>AQ146</f>
        <v>299</v>
      </c>
      <c r="CR146" s="114">
        <f>AU146</f>
        <v>327</v>
      </c>
      <c r="CS146" s="114">
        <f>AY146</f>
        <v>340</v>
      </c>
      <c r="CT146" s="109" t="e">
        <f>M146-K146</f>
        <v>#VALUE!</v>
      </c>
    </row>
    <row r="147" spans="1:1029" s="12" customFormat="1" x14ac:dyDescent="0.2">
      <c r="A147" s="9" t="str">
        <f>CONCATENATE(B147,"_",C147)</f>
        <v>adrb2_human_6OBA</v>
      </c>
      <c r="B147" s="9" t="s">
        <v>126</v>
      </c>
      <c r="C147" s="9" t="s">
        <v>1652</v>
      </c>
      <c r="D147" s="9" t="str">
        <f>IFERROR(MID(VLOOKUP($B147,Seqs!$A:$B,2,0),E147,1),"")</f>
        <v>W</v>
      </c>
      <c r="E147" s="9">
        <v>32</v>
      </c>
      <c r="F147" s="9" t="str">
        <f>IFERROR(MID(VLOOKUP($B147,Seqs!$A:$B,2,0),G147,1),"")</f>
        <v>F</v>
      </c>
      <c r="G147" s="9">
        <v>61</v>
      </c>
      <c r="H147" s="9" t="str">
        <f>IFERROR(MID(VLOOKUP($B147,Seqs!$A:$B,2,0),I147,1),"")</f>
        <v>E</v>
      </c>
      <c r="I147" s="109">
        <v>62</v>
      </c>
      <c r="J147" s="9" t="str">
        <f>IFERROR(MID(VLOOKUP($B147,Seqs!$A:$B,2,0),K147,1),"")</f>
        <v>Q</v>
      </c>
      <c r="K147" s="109">
        <v>65</v>
      </c>
      <c r="L147" s="9" t="str">
        <f>IFERROR(MID(VLOOKUP($B147,Seqs!$A:$B,2,0),M147,1),"")</f>
        <v>T</v>
      </c>
      <c r="M147" s="9">
        <v>66</v>
      </c>
      <c r="N147" s="9" t="str">
        <f>IFERROR(MID(VLOOKUP($B147,Seqs!$A:$B,2,0),O147,1),"")</f>
        <v>K</v>
      </c>
      <c r="O147" s="9">
        <v>97</v>
      </c>
      <c r="P147" s="9" t="str">
        <f>IFERROR(MID(VLOOKUP($B147,Seqs!$A:$B,2,0),Q147,1),"")</f>
        <v>M</v>
      </c>
      <c r="Q147" s="9">
        <v>98</v>
      </c>
      <c r="R147" s="9" t="str">
        <f>IFERROR(MID(VLOOKUP($B147,Seqs!$A:$B,2,0),S147,1),"")</f>
        <v>F</v>
      </c>
      <c r="S147" s="9">
        <v>101</v>
      </c>
      <c r="T147" s="9" t="str">
        <f>IFERROR(MID(VLOOKUP($B147,Seqs!$A:$B,2,0),U147,1),"")</f>
        <v>G</v>
      </c>
      <c r="U147" s="9">
        <v>102</v>
      </c>
      <c r="V147" s="9" t="str">
        <f>IFERROR(MID(VLOOKUP($B147,Seqs!$A:$B,2,0),W147,1),"")</f>
        <v>S</v>
      </c>
      <c r="W147" s="9">
        <v>137</v>
      </c>
      <c r="X147" s="9" t="str">
        <f>IFERROR(MID(VLOOKUP($B147,Seqs!$A:$B,2,0),Y147,1),"")</f>
        <v/>
      </c>
      <c r="Y147" s="9" t="s">
        <v>23</v>
      </c>
      <c r="Z147" s="9" t="str">
        <f>IFERROR(MID(VLOOKUP($B147,Seqs!$A:$B,2,0),AA147,1),"")</f>
        <v/>
      </c>
      <c r="AA147" s="9" t="s">
        <v>23</v>
      </c>
      <c r="AB147" s="9" t="str">
        <f>IFERROR(MID(VLOOKUP($B147,Seqs!$A:$B,2,0),AC147,1),"")</f>
        <v>T</v>
      </c>
      <c r="AC147" s="9">
        <v>146</v>
      </c>
      <c r="AD147" s="9" t="str">
        <f>IFERROR(MID(VLOOKUP($B147,Seqs!$A:$B,2,0),AE147,1),"")</f>
        <v>H</v>
      </c>
      <c r="AE147" s="9">
        <v>172</v>
      </c>
      <c r="AF147" s="9" t="str">
        <f>IFERROR(MID(VLOOKUP($B147,Seqs!$A:$B,2,0),AG147,1),"")</f>
        <v>C</v>
      </c>
      <c r="AG147" s="9">
        <v>191</v>
      </c>
      <c r="AH147" s="9" t="str">
        <f>IFERROR(MID(VLOOKUP($B147,Seqs!$A:$B,2,0),AI147,1),"")</f>
        <v>F</v>
      </c>
      <c r="AI147" s="9">
        <v>193</v>
      </c>
      <c r="AJ147" s="9" t="str">
        <f>IFERROR(MID(VLOOKUP($B147,Seqs!$A:$B,2,0),AK147,1),"")</f>
        <v>N</v>
      </c>
      <c r="AK147" s="9">
        <v>196</v>
      </c>
      <c r="AL147" s="9" t="str">
        <f>IFERROR(MID(VLOOKUP($B147,Seqs!$A:$B,2,0),AM147,1),"")</f>
        <v>Q</v>
      </c>
      <c r="AM147" s="9">
        <v>229</v>
      </c>
      <c r="AN147" s="9" t="str">
        <f>IFERROR(MID(VLOOKUP($B147,Seqs!$A:$B,2,0),AO147,1),"")</f>
        <v>L</v>
      </c>
      <c r="AO147" s="9">
        <v>266</v>
      </c>
      <c r="AP147" s="9" t="str">
        <f>IFERROR(MID(VLOOKUP($B147,Seqs!$A:$B,2,0),AQ147,1),"")</f>
        <v>D</v>
      </c>
      <c r="AQ147" s="9">
        <v>300</v>
      </c>
      <c r="AR147" s="9" t="str">
        <f>IFERROR(MID(VLOOKUP($B147,Seqs!$A:$B,2,0),AS147,1),"")</f>
        <v>R</v>
      </c>
      <c r="AS147" s="9">
        <v>304</v>
      </c>
      <c r="AT147" s="9" t="str">
        <f>IFERROR(MID(VLOOKUP($B147,Seqs!$A:$B,2,0),AU147,1),"")</f>
        <v>R</v>
      </c>
      <c r="AU147" s="9">
        <v>328</v>
      </c>
      <c r="AV147" s="9" t="str">
        <f>IFERROR(MID(VLOOKUP($B147,Seqs!$A:$B,2,0),AW147,1),"")</f>
        <v>S</v>
      </c>
      <c r="AW147" s="9">
        <v>329</v>
      </c>
      <c r="AX147" s="9" t="str">
        <f>IFERROR(MID(VLOOKUP($B147,Seqs!$A:$B,2,0),AY147,1),"")</f>
        <v>C</v>
      </c>
      <c r="AY147" s="9">
        <v>341</v>
      </c>
      <c r="AZ147" s="110" t="str">
        <f>VLOOKUP(B147,Classification!A:D,2,0)</f>
        <v>A</v>
      </c>
      <c r="BA147" s="98" t="str">
        <f>VLOOKUP(B147,Classification!A:D,4,0)</f>
        <v>Adrenoceptors</v>
      </c>
      <c r="BB147" s="36" t="b">
        <f t="shared" ref="BB147" si="1010">AND(E147&lt;G147,OR(G147&lt;I147,I147="-"),OR(I147&lt;K147,I147="-"),OR(K147&lt;M147,K147="-"),M147&lt;O147,OR(O147&lt;Q147,Q147="-"),OR(Q147&lt;S147,Q147="-"),OR(S147&lt;U147,S147="-"),U147&lt;W147,OR(W147&lt;Y147,Y147="-"),OR(Y147&lt;AA147,Y147="-"),OR(AA147&lt;AC147,AA147="-"),AC147&lt;AE147,OR(AE147&lt;AG147,AG147="-"),OR(AG147&lt;AI147,AG147="-"),OR(AI147&lt;AK147,AI147="-"),AK147&lt;AM147,AM147&lt;AO147,AO147&lt;AQ147,AQ147&lt;AS147,AS147&lt;AU147,OR(AU147&lt;AW147,AW147="-"),OR(AW147&lt;AY147,AW147="-"))</f>
        <v>1</v>
      </c>
      <c r="BC147" s="109">
        <f t="shared" ref="BC147" si="1011">_xlfn.AGGREGATE(9,6,CH147:CS147)-_xlfn.AGGREGATE(9,6,BV147:CG147)+12</f>
        <v>244</v>
      </c>
      <c r="BD147" s="123" t="s">
        <v>23</v>
      </c>
      <c r="BE147" s="9" t="s">
        <v>1368</v>
      </c>
      <c r="BF147" s="119">
        <v>3.1</v>
      </c>
      <c r="BG147" s="51" t="s">
        <v>1</v>
      </c>
      <c r="BH147" s="51" t="s">
        <v>1</v>
      </c>
      <c r="BJ147" s="111" t="s">
        <v>1281</v>
      </c>
      <c r="BK147" s="112" t="s">
        <v>1281</v>
      </c>
      <c r="BL147" s="112" t="s">
        <v>1281</v>
      </c>
      <c r="BM147" s="112" t="s">
        <v>1281</v>
      </c>
      <c r="BN147" s="112" t="s">
        <v>1281</v>
      </c>
      <c r="BO147" s="112" t="s">
        <v>1281</v>
      </c>
      <c r="BP147" s="112" t="s">
        <v>1281</v>
      </c>
      <c r="BQ147" s="112" t="s">
        <v>1281</v>
      </c>
      <c r="BR147" s="112" t="s">
        <v>1281</v>
      </c>
      <c r="BS147" s="112" t="s">
        <v>1281</v>
      </c>
      <c r="BT147" s="112" t="s">
        <v>1281</v>
      </c>
      <c r="BU147" s="112" t="s">
        <v>1281</v>
      </c>
      <c r="BV147" s="111">
        <f>E147</f>
        <v>32</v>
      </c>
      <c r="BW147" s="113">
        <f>I147</f>
        <v>62</v>
      </c>
      <c r="BX147" s="114">
        <f>M147</f>
        <v>66</v>
      </c>
      <c r="BY147" s="113">
        <f>Q147</f>
        <v>98</v>
      </c>
      <c r="BZ147" s="114">
        <f>U147</f>
        <v>102</v>
      </c>
      <c r="CA147" s="113" t="str">
        <f>Y147</f>
        <v>-</v>
      </c>
      <c r="CB147" s="114">
        <f>AC147</f>
        <v>146</v>
      </c>
      <c r="CC147" s="113">
        <f>AG147</f>
        <v>191</v>
      </c>
      <c r="CD147" s="114">
        <f>AK147</f>
        <v>196</v>
      </c>
      <c r="CE147" s="113">
        <f>AO147</f>
        <v>266</v>
      </c>
      <c r="CF147" s="114">
        <f>AS147</f>
        <v>304</v>
      </c>
      <c r="CG147" s="113">
        <f>AW147</f>
        <v>329</v>
      </c>
      <c r="CH147" s="111">
        <f>G147</f>
        <v>61</v>
      </c>
      <c r="CI147" s="113">
        <f>K147</f>
        <v>65</v>
      </c>
      <c r="CJ147" s="114">
        <f>O147</f>
        <v>97</v>
      </c>
      <c r="CK147" s="114">
        <f>S147</f>
        <v>101</v>
      </c>
      <c r="CL147" s="114">
        <f>W147</f>
        <v>137</v>
      </c>
      <c r="CM147" s="114" t="str">
        <f>AA147</f>
        <v>-</v>
      </c>
      <c r="CN147" s="114">
        <f>AE147</f>
        <v>172</v>
      </c>
      <c r="CO147" s="114">
        <f>AI147</f>
        <v>193</v>
      </c>
      <c r="CP147" s="114">
        <f>AM147</f>
        <v>229</v>
      </c>
      <c r="CQ147" s="114">
        <f>AQ147</f>
        <v>300</v>
      </c>
      <c r="CR147" s="114">
        <f>AU147</f>
        <v>328</v>
      </c>
      <c r="CS147" s="114">
        <f>AY147</f>
        <v>341</v>
      </c>
      <c r="CT147" s="109">
        <f>M147-K147</f>
        <v>1</v>
      </c>
    </row>
    <row r="148" spans="1:1029" x14ac:dyDescent="0.2">
      <c r="A148" s="3" t="str">
        <f>CONCATENATE(B148,"_",C148)</f>
        <v>agtr1_human__wt</v>
      </c>
      <c r="B148" s="3" t="s">
        <v>158</v>
      </c>
      <c r="C148" s="3" t="s">
        <v>100</v>
      </c>
      <c r="D148" s="3" t="str">
        <f>IFERROR(MID(VLOOKUP($B148,Seqs!$A:$B,2,0),E148,1),"")</f>
        <v>H</v>
      </c>
      <c r="E148" s="105">
        <v>24</v>
      </c>
      <c r="F148" s="3" t="str">
        <f>IFERROR(MID(VLOOKUP($B148,Seqs!$A:$B,2,0),G148,1),"")</f>
        <v>Y</v>
      </c>
      <c r="G148" s="3">
        <v>56</v>
      </c>
      <c r="H148" s="3" t="str">
        <f>IFERROR(MID(VLOOKUP($B148,Seqs!$A:$B,2,0),I148,1),"")</f>
        <v>M</v>
      </c>
      <c r="I148" s="23">
        <v>57</v>
      </c>
      <c r="J148" s="3" t="str">
        <f>IFERROR(MID(VLOOKUP($B148,Seqs!$A:$B,2,0),K148,1),"")</f>
        <v>K</v>
      </c>
      <c r="K148" s="23">
        <v>60</v>
      </c>
      <c r="L148" s="3" t="str">
        <f>IFERROR(MID(VLOOKUP($B148,Seqs!$A:$B,2,0),M148,1),"")</f>
        <v>T</v>
      </c>
      <c r="M148" s="3">
        <v>61</v>
      </c>
      <c r="N148" s="3" t="str">
        <f>IFERROR(MID(VLOOKUP($B148,Seqs!$A:$B,2,0),O148,1),"")</f>
        <v>E</v>
      </c>
      <c r="O148" s="105">
        <v>91</v>
      </c>
      <c r="P148" s="3" t="str">
        <f>IFERROR(MID(VLOOKUP($B148,Seqs!$A:$B,2,0),Q148,1),"")</f>
        <v>R</v>
      </c>
      <c r="Q148" s="3">
        <v>93</v>
      </c>
      <c r="R148" s="3" t="str">
        <f>IFERROR(MID(VLOOKUP($B148,Seqs!$A:$B,2,0),S148,1),"")</f>
        <v>F</v>
      </c>
      <c r="S148" s="3">
        <v>96</v>
      </c>
      <c r="T148" s="3" t="str">
        <f>IFERROR(MID(VLOOKUP($B148,Seqs!$A:$B,2,0),U148,1),"")</f>
        <v>G</v>
      </c>
      <c r="U148" s="3">
        <v>97</v>
      </c>
      <c r="V148" s="3" t="str">
        <f>IFERROR(MID(VLOOKUP($B148,Seqs!$A:$B,2,0),W148,1),"")</f>
        <v>H</v>
      </c>
      <c r="W148" s="3">
        <v>132</v>
      </c>
      <c r="X148" s="3" t="str">
        <f>IFERROR(MID(VLOOKUP($B148,Seqs!$A:$B,2,0),Y148,1),"")</f>
        <v>P</v>
      </c>
      <c r="Y148" s="3">
        <v>133</v>
      </c>
      <c r="Z148" s="3" t="str">
        <f>IFERROR(MID(VLOOKUP($B148,Seqs!$A:$B,2,0),AA148,1),"")</f>
        <v>R</v>
      </c>
      <c r="AA148" s="3">
        <v>140</v>
      </c>
      <c r="AB148" s="3" t="str">
        <f>IFERROR(MID(VLOOKUP($B148,Seqs!$A:$B,2,0),AC148,1),"")</f>
        <v>T</v>
      </c>
      <c r="AC148" s="9">
        <v>141</v>
      </c>
      <c r="AD148" s="3" t="str">
        <f>IFERROR(MID(VLOOKUP($B148,Seqs!$A:$B,2,0),AE148,1),"")</f>
        <v>R</v>
      </c>
      <c r="AE148" s="3">
        <v>167</v>
      </c>
      <c r="AF148" s="3" t="str">
        <f>IFERROR(MID(VLOOKUP($B148,Seqs!$A:$B,2,0),AG148,1),"")</f>
        <v>C</v>
      </c>
      <c r="AG148" s="3">
        <v>180</v>
      </c>
      <c r="AH148" s="3" t="str">
        <f>IFERROR(MID(VLOOKUP($B148,Seqs!$A:$B,2,0),AI148,1),"")</f>
        <v>F</v>
      </c>
      <c r="AI148" s="3">
        <v>182</v>
      </c>
      <c r="AJ148" s="3" t="str">
        <f>IFERROR(MID(VLOOKUP($B148,Seqs!$A:$B,2,0),AK148,1),"")</f>
        <v>L</v>
      </c>
      <c r="AK148" s="3">
        <v>191</v>
      </c>
      <c r="AL148" s="3" t="str">
        <f>IFERROR(MID(VLOOKUP($B148,Seqs!$A:$B,2,0),AM148,1),"")</f>
        <v>A</v>
      </c>
      <c r="AM148" s="3">
        <v>225</v>
      </c>
      <c r="AN148" s="3" t="str">
        <f>IFERROR(MID(VLOOKUP($B148,Seqs!$A:$B,2,0),AO148,1),"")</f>
        <v>P</v>
      </c>
      <c r="AO148" s="3">
        <v>233</v>
      </c>
      <c r="AP148" s="3" t="str">
        <f>IFERROR(MID(VLOOKUP($B148,Seqs!$A:$B,2,0),AQ148,1),"")</f>
        <v>G</v>
      </c>
      <c r="AQ148" s="3">
        <v>269</v>
      </c>
      <c r="AR148" s="3" t="str">
        <f>IFERROR(MID(VLOOKUP($B148,Seqs!$A:$B,2,0),AS148,1),"")</f>
        <v>D</v>
      </c>
      <c r="AS148" s="3">
        <v>273</v>
      </c>
      <c r="AT148" s="3" t="str">
        <f>IFERROR(MID(VLOOKUP($B148,Seqs!$A:$B,2,0),AU148,1),"")</f>
        <v>L</v>
      </c>
      <c r="AU148" s="3">
        <v>305</v>
      </c>
      <c r="AV148" s="3" t="str">
        <f>IFERROR(MID(VLOOKUP($B148,Seqs!$A:$B,2,0),AW148,1),"")</f>
        <v>G</v>
      </c>
      <c r="AW148" s="3">
        <v>306</v>
      </c>
      <c r="AX148" s="3" t="str">
        <f>IFERROR(MID(VLOOKUP($B148,Seqs!$A:$B,2,0),AY148,1),"")</f>
        <v>I</v>
      </c>
      <c r="AY148" s="3">
        <v>320</v>
      </c>
      <c r="AZ148" s="77" t="str">
        <f>VLOOKUP(B148,Classification!A:D,2,0)</f>
        <v>A</v>
      </c>
      <c r="BA148" s="94" t="str">
        <f>VLOOKUP(B148,Classification!A:D,4,0)</f>
        <v>Angiotensin</v>
      </c>
      <c r="BB148" s="27" t="b">
        <f t="shared" si="1007"/>
        <v>1</v>
      </c>
      <c r="BC148" s="23">
        <f t="shared" si="785"/>
        <v>266</v>
      </c>
      <c r="BD148" s="56" t="s">
        <v>23</v>
      </c>
      <c r="BE148" s="3" t="s">
        <v>23</v>
      </c>
      <c r="BF148" s="118" t="s">
        <v>23</v>
      </c>
      <c r="BG148" s="49" t="s">
        <v>1366</v>
      </c>
      <c r="BH148" s="49" t="s">
        <v>1371</v>
      </c>
      <c r="BI148" s="1"/>
      <c r="BJ148" s="70" t="s">
        <v>1281</v>
      </c>
      <c r="BK148" s="57" t="s">
        <v>1281</v>
      </c>
      <c r="BL148" s="57" t="s">
        <v>1281</v>
      </c>
      <c r="BM148" s="57" t="s">
        <v>1281</v>
      </c>
      <c r="BN148" s="57" t="s">
        <v>1281</v>
      </c>
      <c r="BO148" s="57" t="s">
        <v>1281</v>
      </c>
      <c r="BP148" s="57" t="s">
        <v>1281</v>
      </c>
      <c r="BQ148" s="57" t="s">
        <v>1281</v>
      </c>
      <c r="BR148" s="57" t="s">
        <v>1281</v>
      </c>
      <c r="BS148" s="57" t="s">
        <v>1281</v>
      </c>
      <c r="BT148" s="57" t="s">
        <v>1281</v>
      </c>
      <c r="BU148" s="57" t="s">
        <v>1281</v>
      </c>
      <c r="BV148" s="70">
        <f>E148</f>
        <v>24</v>
      </c>
      <c r="BW148" s="71">
        <f>I148</f>
        <v>57</v>
      </c>
      <c r="BX148" s="72">
        <f>M148</f>
        <v>61</v>
      </c>
      <c r="BY148" s="71">
        <f>Q148</f>
        <v>93</v>
      </c>
      <c r="BZ148" s="72">
        <f>U148</f>
        <v>97</v>
      </c>
      <c r="CA148" s="71">
        <f>Y148</f>
        <v>133</v>
      </c>
      <c r="CB148" s="72">
        <f>AC148</f>
        <v>141</v>
      </c>
      <c r="CC148" s="71">
        <f>AG148</f>
        <v>180</v>
      </c>
      <c r="CD148" s="72">
        <f>AK148</f>
        <v>191</v>
      </c>
      <c r="CE148" s="71">
        <f>AO148</f>
        <v>233</v>
      </c>
      <c r="CF148" s="72">
        <f>AS148</f>
        <v>273</v>
      </c>
      <c r="CG148" s="71">
        <f>AW148</f>
        <v>306</v>
      </c>
      <c r="CH148" s="70">
        <f>G148</f>
        <v>56</v>
      </c>
      <c r="CI148" s="71">
        <f>K148</f>
        <v>60</v>
      </c>
      <c r="CJ148" s="72">
        <f>O148</f>
        <v>91</v>
      </c>
      <c r="CK148" s="72">
        <f>S148</f>
        <v>96</v>
      </c>
      <c r="CL148" s="72">
        <f>W148</f>
        <v>132</v>
      </c>
      <c r="CM148" s="72">
        <f>AA148</f>
        <v>140</v>
      </c>
      <c r="CN148" s="72">
        <f>AE148</f>
        <v>167</v>
      </c>
      <c r="CO148" s="72">
        <f>AI148</f>
        <v>182</v>
      </c>
      <c r="CP148" s="72">
        <f>AM148</f>
        <v>225</v>
      </c>
      <c r="CQ148" s="72">
        <f>AQ148</f>
        <v>269</v>
      </c>
      <c r="CR148" s="72">
        <f>AU148</f>
        <v>305</v>
      </c>
      <c r="CS148" s="72">
        <f>AY148</f>
        <v>320</v>
      </c>
      <c r="CT148" s="23">
        <f>M148-K148</f>
        <v>1</v>
      </c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  <c r="JA148" s="2"/>
      <c r="JB148" s="2"/>
      <c r="JC148" s="2"/>
      <c r="JD148" s="2"/>
      <c r="JE148" s="2"/>
      <c r="JF148" s="2"/>
      <c r="JG148" s="2"/>
      <c r="JH148" s="2"/>
      <c r="JI148" s="2"/>
      <c r="JJ148" s="2"/>
      <c r="JK148" s="2"/>
      <c r="JL148" s="2"/>
      <c r="JM148" s="2"/>
      <c r="JN148" s="2"/>
      <c r="JO148" s="2"/>
      <c r="JP148" s="2"/>
      <c r="JQ148" s="2"/>
      <c r="JR148" s="2"/>
      <c r="JS148" s="2"/>
      <c r="JT148" s="2"/>
      <c r="JU148" s="2"/>
      <c r="JV148" s="2"/>
      <c r="JW148" s="2"/>
      <c r="JX148" s="2"/>
      <c r="JY148" s="2"/>
      <c r="JZ148" s="2"/>
      <c r="KA148" s="2"/>
      <c r="KB148" s="2"/>
      <c r="KC148" s="2"/>
      <c r="KD148" s="2"/>
      <c r="KE148" s="2"/>
      <c r="KF148" s="2"/>
      <c r="KG148" s="2"/>
      <c r="KH148" s="2"/>
      <c r="KI148" s="2"/>
      <c r="KJ148" s="2"/>
      <c r="KK148" s="2"/>
      <c r="KL148" s="2"/>
      <c r="KM148" s="2"/>
      <c r="KN148" s="2"/>
      <c r="KO148" s="2"/>
      <c r="KP148" s="2"/>
      <c r="KQ148" s="2"/>
      <c r="KR148" s="2"/>
      <c r="KS148" s="2"/>
      <c r="KT148" s="2"/>
      <c r="KU148" s="2"/>
      <c r="KV148" s="2"/>
      <c r="KW148" s="2"/>
      <c r="KX148" s="2"/>
      <c r="KY148" s="2"/>
      <c r="KZ148" s="2"/>
      <c r="LA148" s="2"/>
      <c r="LB148" s="2"/>
      <c r="LC148" s="2"/>
      <c r="LD148" s="2"/>
      <c r="LE148" s="2"/>
      <c r="LF148" s="2"/>
      <c r="LG148" s="2"/>
      <c r="LH148" s="2"/>
      <c r="LI148" s="2"/>
      <c r="LJ148" s="2"/>
      <c r="LK148" s="2"/>
      <c r="LL148" s="2"/>
      <c r="LM148" s="2"/>
      <c r="LN148" s="2"/>
      <c r="LO148" s="2"/>
      <c r="LP148" s="2"/>
      <c r="LQ148" s="2"/>
      <c r="LR148" s="2"/>
      <c r="LS148" s="2"/>
      <c r="LT148" s="2"/>
      <c r="LU148" s="2"/>
      <c r="LV148" s="2"/>
      <c r="LW148" s="2"/>
      <c r="LX148" s="2"/>
      <c r="LY148" s="2"/>
      <c r="LZ148" s="2"/>
      <c r="MA148" s="2"/>
      <c r="MB148" s="2"/>
      <c r="MC148" s="2"/>
      <c r="MD148" s="2"/>
      <c r="ME148" s="2"/>
      <c r="MF148" s="2"/>
      <c r="MG148" s="2"/>
      <c r="MH148" s="2"/>
      <c r="MI148" s="2"/>
      <c r="MJ148" s="2"/>
      <c r="MK148" s="2"/>
      <c r="ML148" s="2"/>
      <c r="MM148" s="2"/>
      <c r="MN148" s="2"/>
      <c r="MO148" s="2"/>
      <c r="MP148" s="2"/>
      <c r="MQ148" s="2"/>
      <c r="MR148" s="2"/>
      <c r="MS148" s="2"/>
      <c r="MT148" s="2"/>
      <c r="MU148" s="2"/>
      <c r="MV148" s="2"/>
      <c r="MW148" s="2"/>
      <c r="MX148" s="2"/>
      <c r="MY148" s="2"/>
      <c r="MZ148" s="2"/>
      <c r="NA148" s="2"/>
      <c r="NB148" s="2"/>
      <c r="NC148" s="2"/>
      <c r="ND148" s="2"/>
      <c r="NE148" s="2"/>
      <c r="NF148" s="2"/>
      <c r="NG148" s="2"/>
      <c r="NH148" s="2"/>
      <c r="NI148" s="2"/>
      <c r="NJ148" s="2"/>
      <c r="NK148" s="2"/>
      <c r="NL148" s="2"/>
      <c r="NM148" s="2"/>
      <c r="NN148" s="2"/>
      <c r="NO148" s="2"/>
      <c r="NP148" s="2"/>
      <c r="NQ148" s="2"/>
      <c r="NR148" s="2"/>
      <c r="NS148" s="2"/>
      <c r="NT148" s="2"/>
      <c r="NU148" s="2"/>
      <c r="NV148" s="2"/>
      <c r="NW148" s="2"/>
      <c r="NX148" s="2"/>
      <c r="NY148" s="2"/>
      <c r="NZ148" s="2"/>
      <c r="OA148" s="2"/>
      <c r="OB148" s="2"/>
      <c r="OC148" s="2"/>
      <c r="OD148" s="2"/>
      <c r="OE148" s="2"/>
      <c r="OF148" s="2"/>
      <c r="OG148" s="2"/>
      <c r="OH148" s="2"/>
      <c r="OI148" s="2"/>
      <c r="OJ148" s="2"/>
      <c r="OK148" s="2"/>
      <c r="OL148" s="2"/>
      <c r="OM148" s="2"/>
      <c r="ON148" s="2"/>
      <c r="OO148" s="2"/>
      <c r="OP148" s="2"/>
      <c r="OQ148" s="2"/>
      <c r="OR148" s="2"/>
      <c r="OS148" s="2"/>
      <c r="OT148" s="2"/>
      <c r="OU148" s="2"/>
      <c r="OV148" s="2"/>
      <c r="OW148" s="2"/>
      <c r="OX148" s="2"/>
      <c r="OY148" s="2"/>
      <c r="OZ148" s="2"/>
      <c r="PA148" s="2"/>
      <c r="PB148" s="2"/>
      <c r="PC148" s="2"/>
      <c r="PD148" s="2"/>
      <c r="PE148" s="2"/>
      <c r="PF148" s="2"/>
      <c r="PG148" s="2"/>
      <c r="PH148" s="2"/>
      <c r="PI148" s="2"/>
      <c r="PJ148" s="2"/>
      <c r="PK148" s="2"/>
      <c r="PL148" s="2"/>
      <c r="PM148" s="2"/>
      <c r="PN148" s="2"/>
      <c r="PO148" s="2"/>
      <c r="PP148" s="2"/>
      <c r="PQ148" s="2"/>
      <c r="PR148" s="2"/>
      <c r="PS148" s="2"/>
      <c r="PT148" s="2"/>
      <c r="PU148" s="2"/>
      <c r="PV148" s="2"/>
      <c r="PW148" s="2"/>
      <c r="PX148" s="2"/>
      <c r="PY148" s="2"/>
      <c r="PZ148" s="2"/>
      <c r="QA148" s="2"/>
      <c r="QB148" s="2"/>
      <c r="QC148" s="2"/>
      <c r="QD148" s="2"/>
      <c r="QE148" s="2"/>
      <c r="QF148" s="2"/>
      <c r="QG148" s="2"/>
      <c r="QH148" s="2"/>
      <c r="QI148" s="2"/>
      <c r="QJ148" s="2"/>
      <c r="QK148" s="2"/>
      <c r="QL148" s="2"/>
      <c r="QM148" s="2"/>
      <c r="QN148" s="2"/>
      <c r="QO148" s="2"/>
      <c r="QP148" s="2"/>
      <c r="QQ148" s="2"/>
      <c r="QR148" s="2"/>
      <c r="QS148" s="2"/>
      <c r="QT148" s="2"/>
      <c r="QU148" s="2"/>
      <c r="QV148" s="2"/>
      <c r="QW148" s="2"/>
      <c r="QX148" s="2"/>
      <c r="QY148" s="2"/>
      <c r="QZ148" s="2"/>
      <c r="RA148" s="2"/>
      <c r="RB148" s="2"/>
      <c r="RC148" s="2"/>
      <c r="RD148" s="2"/>
      <c r="RE148" s="2"/>
      <c r="RF148" s="2"/>
      <c r="RG148" s="2"/>
      <c r="RH148" s="2"/>
      <c r="RI148" s="2"/>
      <c r="RJ148" s="2"/>
      <c r="RK148" s="2"/>
      <c r="RL148" s="2"/>
      <c r="RM148" s="2"/>
      <c r="RN148" s="2"/>
      <c r="RO148" s="2"/>
      <c r="RP148" s="2"/>
      <c r="RQ148" s="2"/>
      <c r="RR148" s="2"/>
      <c r="RS148" s="2"/>
      <c r="RT148" s="2"/>
      <c r="RU148" s="2"/>
      <c r="RV148" s="2"/>
      <c r="RW148" s="2"/>
      <c r="RX148" s="2"/>
      <c r="RY148" s="2"/>
      <c r="RZ148" s="2"/>
      <c r="SA148" s="2"/>
      <c r="SB148" s="2"/>
      <c r="SC148" s="2"/>
      <c r="SD148" s="2"/>
      <c r="SE148" s="2"/>
      <c r="SF148" s="2"/>
      <c r="SG148" s="2"/>
      <c r="SH148" s="2"/>
      <c r="SI148" s="2"/>
      <c r="SJ148" s="2"/>
      <c r="SK148" s="2"/>
      <c r="SL148" s="2"/>
      <c r="SM148" s="2"/>
      <c r="SN148" s="2"/>
      <c r="SO148" s="2"/>
      <c r="SP148" s="2"/>
      <c r="SQ148" s="2"/>
      <c r="SR148" s="2"/>
      <c r="SS148" s="2"/>
      <c r="ST148" s="2"/>
      <c r="SU148" s="2"/>
      <c r="SV148" s="2"/>
      <c r="SW148" s="2"/>
      <c r="SX148" s="2"/>
      <c r="SY148" s="2"/>
      <c r="SZ148" s="2"/>
      <c r="TA148" s="2"/>
      <c r="TB148" s="2"/>
      <c r="TC148" s="2"/>
      <c r="TD148" s="2"/>
      <c r="TE148" s="2"/>
      <c r="TF148" s="2"/>
      <c r="TG148" s="2"/>
      <c r="TH148" s="2"/>
      <c r="TI148" s="2"/>
      <c r="TJ148" s="2"/>
      <c r="TK148" s="2"/>
      <c r="TL148" s="2"/>
      <c r="TM148" s="2"/>
      <c r="TN148" s="2"/>
      <c r="TO148" s="2"/>
      <c r="TP148" s="2"/>
      <c r="TQ148" s="2"/>
      <c r="TR148" s="2"/>
      <c r="TS148" s="2"/>
      <c r="TT148" s="2"/>
      <c r="TU148" s="2"/>
      <c r="TV148" s="2"/>
      <c r="TW148" s="2"/>
      <c r="TX148" s="2"/>
      <c r="TY148" s="2"/>
      <c r="TZ148" s="2"/>
      <c r="UA148" s="2"/>
      <c r="UB148" s="2"/>
      <c r="UC148" s="2"/>
      <c r="UD148" s="2"/>
      <c r="UE148" s="2"/>
      <c r="UF148" s="2"/>
      <c r="UG148" s="2"/>
      <c r="UH148" s="2"/>
      <c r="UI148" s="2"/>
      <c r="UJ148" s="2"/>
      <c r="UK148" s="2"/>
      <c r="UL148" s="2"/>
      <c r="UM148" s="2"/>
      <c r="UN148" s="2"/>
      <c r="UO148" s="2"/>
      <c r="UP148" s="2"/>
      <c r="UQ148" s="2"/>
      <c r="UR148" s="2"/>
      <c r="US148" s="2"/>
      <c r="UT148" s="2"/>
      <c r="UU148" s="2"/>
      <c r="UV148" s="2"/>
      <c r="UW148" s="2"/>
      <c r="UX148" s="2"/>
      <c r="UY148" s="2"/>
      <c r="UZ148" s="2"/>
      <c r="VA148" s="2"/>
      <c r="VB148" s="2"/>
      <c r="VC148" s="2"/>
      <c r="VD148" s="2"/>
      <c r="VE148" s="2"/>
      <c r="VF148" s="2"/>
      <c r="VG148" s="2"/>
      <c r="VH148" s="2"/>
      <c r="VI148" s="2"/>
      <c r="VJ148" s="2"/>
      <c r="VK148" s="2"/>
      <c r="VL148" s="2"/>
      <c r="VM148" s="2"/>
      <c r="VN148" s="2"/>
      <c r="VO148" s="2"/>
      <c r="VP148" s="2"/>
      <c r="VQ148" s="2"/>
      <c r="VR148" s="2"/>
      <c r="VS148" s="2"/>
      <c r="VT148" s="2"/>
      <c r="VU148" s="2"/>
      <c r="VV148" s="2"/>
      <c r="VW148" s="2"/>
      <c r="VX148" s="2"/>
      <c r="VY148" s="2"/>
      <c r="VZ148" s="2"/>
      <c r="WA148" s="2"/>
      <c r="WB148" s="2"/>
      <c r="WC148" s="2"/>
      <c r="WD148" s="2"/>
      <c r="WE148" s="2"/>
      <c r="WF148" s="2"/>
      <c r="WG148" s="2"/>
      <c r="WH148" s="2"/>
      <c r="WI148" s="2"/>
      <c r="WJ148" s="2"/>
      <c r="WK148" s="2"/>
      <c r="WL148" s="2"/>
      <c r="WM148" s="2"/>
      <c r="WN148" s="2"/>
      <c r="WO148" s="2"/>
      <c r="WP148" s="2"/>
      <c r="WQ148" s="2"/>
      <c r="WR148" s="2"/>
      <c r="WS148" s="2"/>
      <c r="WT148" s="2"/>
      <c r="WU148" s="2"/>
      <c r="WV148" s="2"/>
      <c r="WW148" s="2"/>
      <c r="WX148" s="2"/>
      <c r="WY148" s="2"/>
      <c r="WZ148" s="2"/>
      <c r="XA148" s="2"/>
      <c r="XB148" s="2"/>
      <c r="XC148" s="2"/>
      <c r="XD148" s="2"/>
      <c r="XE148" s="2"/>
      <c r="XF148" s="2"/>
      <c r="XG148" s="2"/>
      <c r="XH148" s="2"/>
      <c r="XI148" s="2"/>
      <c r="XJ148" s="2"/>
      <c r="XK148" s="2"/>
      <c r="XL148" s="2"/>
      <c r="XM148" s="2"/>
      <c r="XN148" s="2"/>
      <c r="XO148" s="2"/>
      <c r="XP148" s="2"/>
      <c r="XQ148" s="2"/>
      <c r="XR148" s="2"/>
      <c r="XS148" s="2"/>
      <c r="XT148" s="2"/>
      <c r="XU148" s="2"/>
      <c r="XV148" s="2"/>
      <c r="XW148" s="2"/>
      <c r="XX148" s="2"/>
      <c r="XY148" s="2"/>
      <c r="XZ148" s="2"/>
      <c r="YA148" s="2"/>
      <c r="YB148" s="2"/>
      <c r="YC148" s="2"/>
      <c r="YD148" s="2"/>
      <c r="YE148" s="2"/>
      <c r="YF148" s="2"/>
      <c r="YG148" s="2"/>
      <c r="YH148" s="2"/>
      <c r="YI148" s="2"/>
      <c r="YJ148" s="2"/>
      <c r="YK148" s="2"/>
      <c r="YL148" s="2"/>
      <c r="YM148" s="2"/>
      <c r="YN148" s="2"/>
      <c r="YO148" s="2"/>
      <c r="YP148" s="2"/>
      <c r="YQ148" s="2"/>
      <c r="YR148" s="2"/>
      <c r="YS148" s="2"/>
      <c r="YT148" s="2"/>
      <c r="YU148" s="2"/>
      <c r="YV148" s="2"/>
      <c r="YW148" s="2"/>
      <c r="YX148" s="2"/>
      <c r="YY148" s="2"/>
      <c r="YZ148" s="2"/>
      <c r="ZA148" s="2"/>
      <c r="ZB148" s="2"/>
      <c r="ZC148" s="2"/>
      <c r="ZD148" s="2"/>
      <c r="ZE148" s="2"/>
      <c r="ZF148" s="2"/>
      <c r="ZG148" s="2"/>
      <c r="ZH148" s="2"/>
      <c r="ZI148" s="2"/>
      <c r="ZJ148" s="2"/>
      <c r="ZK148" s="2"/>
      <c r="ZL148" s="2"/>
      <c r="ZM148" s="2"/>
      <c r="ZN148" s="2"/>
      <c r="ZO148" s="2"/>
      <c r="ZP148" s="2"/>
      <c r="ZQ148" s="2"/>
      <c r="ZR148" s="2"/>
      <c r="ZS148" s="2"/>
      <c r="ZT148" s="2"/>
      <c r="ZU148" s="2"/>
      <c r="ZV148" s="2"/>
      <c r="ZW148" s="2"/>
      <c r="ZX148" s="2"/>
      <c r="ZY148" s="2"/>
      <c r="ZZ148" s="2"/>
      <c r="AAA148" s="2"/>
      <c r="AAB148" s="2"/>
      <c r="AAC148" s="2"/>
      <c r="AAD148" s="2"/>
      <c r="AAE148" s="2"/>
      <c r="AAF148" s="2"/>
      <c r="AAG148" s="2"/>
      <c r="AAH148" s="2"/>
      <c r="AAI148" s="2"/>
      <c r="AAJ148" s="2"/>
      <c r="AAK148" s="2"/>
      <c r="AAL148" s="2"/>
      <c r="AAM148" s="2"/>
      <c r="AAN148" s="2"/>
      <c r="AAO148" s="2"/>
      <c r="AAP148" s="2"/>
      <c r="AAQ148" s="2"/>
      <c r="AAR148" s="2"/>
      <c r="AAS148" s="2"/>
      <c r="AAT148" s="2"/>
      <c r="AAU148" s="2"/>
      <c r="AAV148" s="2"/>
      <c r="AAW148" s="2"/>
      <c r="AAX148" s="2"/>
      <c r="AAY148" s="2"/>
      <c r="AAZ148" s="2"/>
      <c r="ABA148" s="2"/>
      <c r="ABB148" s="2"/>
      <c r="ABC148" s="2"/>
      <c r="ABD148" s="2"/>
      <c r="ABE148" s="2"/>
      <c r="ABF148" s="2"/>
      <c r="ABG148" s="2"/>
      <c r="ABH148" s="2"/>
      <c r="ABI148" s="2"/>
      <c r="ABJ148" s="2"/>
      <c r="ABK148" s="2"/>
      <c r="ABL148" s="2"/>
      <c r="ABM148" s="2"/>
      <c r="ABN148" s="2"/>
      <c r="ABO148" s="2"/>
      <c r="ABP148" s="2"/>
      <c r="ABQ148" s="2"/>
      <c r="ABR148" s="2"/>
      <c r="ABS148" s="2"/>
      <c r="ABT148" s="2"/>
      <c r="ABU148" s="2"/>
      <c r="ABV148" s="2"/>
      <c r="ABW148" s="2"/>
      <c r="ABX148" s="2"/>
      <c r="ABY148" s="2"/>
      <c r="ABZ148" s="2"/>
      <c r="ACA148" s="2"/>
      <c r="ACB148" s="2"/>
      <c r="ACC148" s="2"/>
      <c r="ACD148" s="2"/>
      <c r="ACE148" s="2"/>
      <c r="ACF148" s="2"/>
      <c r="ACG148" s="2"/>
      <c r="ACH148" s="2"/>
      <c r="ACI148" s="2"/>
      <c r="ACJ148" s="2"/>
      <c r="ACK148" s="2"/>
      <c r="ACL148" s="2"/>
      <c r="ACM148" s="2"/>
      <c r="ACN148" s="2"/>
      <c r="ACO148" s="2"/>
      <c r="ACP148" s="2"/>
      <c r="ACQ148" s="2"/>
      <c r="ACR148" s="2"/>
      <c r="ACS148" s="2"/>
      <c r="ACT148" s="2"/>
      <c r="ACU148" s="2"/>
      <c r="ACV148" s="2"/>
      <c r="ACW148" s="2"/>
      <c r="ACX148" s="2"/>
      <c r="ACY148" s="2"/>
      <c r="ACZ148" s="2"/>
      <c r="ADA148" s="2"/>
      <c r="ADB148" s="2"/>
      <c r="ADC148" s="2"/>
      <c r="ADD148" s="2"/>
      <c r="ADE148" s="2"/>
      <c r="ADF148" s="2"/>
      <c r="ADG148" s="2"/>
      <c r="ADH148" s="2"/>
      <c r="ADI148" s="2"/>
      <c r="ADJ148" s="2"/>
      <c r="ADK148" s="2"/>
      <c r="ADL148" s="2"/>
      <c r="ADM148" s="2"/>
      <c r="ADN148" s="2"/>
      <c r="ADO148" s="2"/>
      <c r="ADP148" s="2"/>
      <c r="ADQ148" s="2"/>
      <c r="ADR148" s="2"/>
      <c r="ADS148" s="2"/>
      <c r="ADT148" s="2"/>
      <c r="ADU148" s="2"/>
      <c r="ADV148" s="2"/>
      <c r="ADW148" s="2"/>
      <c r="ADX148" s="2"/>
      <c r="ADY148" s="2"/>
      <c r="ADZ148" s="2"/>
      <c r="AEA148" s="2"/>
      <c r="AEB148" s="2"/>
      <c r="AEC148" s="2"/>
      <c r="AED148" s="2"/>
      <c r="AEE148" s="2"/>
      <c r="AEF148" s="2"/>
      <c r="AEG148" s="2"/>
      <c r="AEH148" s="2"/>
      <c r="AEI148" s="2"/>
      <c r="AEJ148" s="2"/>
      <c r="AEK148" s="2"/>
      <c r="AEL148" s="2"/>
      <c r="AEM148" s="2"/>
      <c r="AEN148" s="2"/>
      <c r="AEO148" s="2"/>
      <c r="AEP148" s="2"/>
      <c r="AEQ148" s="2"/>
      <c r="AER148" s="2"/>
      <c r="AES148" s="2"/>
      <c r="AET148" s="2"/>
      <c r="AEU148" s="2"/>
      <c r="AEV148" s="2"/>
      <c r="AEW148" s="2"/>
      <c r="AEX148" s="2"/>
      <c r="AEY148" s="2"/>
      <c r="AEZ148" s="2"/>
      <c r="AFA148" s="2"/>
      <c r="AFB148" s="2"/>
      <c r="AFC148" s="2"/>
      <c r="AFD148" s="2"/>
      <c r="AFE148" s="2"/>
      <c r="AFF148" s="2"/>
      <c r="AFG148" s="2"/>
      <c r="AFH148" s="2"/>
      <c r="AFI148" s="2"/>
      <c r="AFJ148" s="2"/>
      <c r="AFK148" s="2"/>
      <c r="AFL148" s="2"/>
      <c r="AFM148" s="2"/>
      <c r="AFN148" s="2"/>
      <c r="AFO148" s="2"/>
      <c r="AFP148" s="2"/>
      <c r="AFQ148" s="2"/>
      <c r="AFR148" s="2"/>
      <c r="AFS148" s="2"/>
      <c r="AFT148" s="2"/>
      <c r="AFU148" s="2"/>
      <c r="AFV148" s="2"/>
      <c r="AFW148" s="2"/>
      <c r="AFX148" s="2"/>
      <c r="AFY148" s="2"/>
      <c r="AFZ148" s="2"/>
      <c r="AGA148" s="2"/>
      <c r="AGB148" s="2"/>
      <c r="AGC148" s="2"/>
      <c r="AGD148" s="2"/>
      <c r="AGE148" s="2"/>
      <c r="AGF148" s="2"/>
      <c r="AGG148" s="2"/>
      <c r="AGH148" s="2"/>
      <c r="AGI148" s="2"/>
      <c r="AGJ148" s="2"/>
      <c r="AGK148" s="2"/>
      <c r="AGL148" s="2"/>
      <c r="AGM148" s="2"/>
      <c r="AGN148" s="2"/>
      <c r="AGO148" s="2"/>
      <c r="AGP148" s="2"/>
      <c r="AGQ148" s="2"/>
      <c r="AGR148" s="2"/>
      <c r="AGS148" s="2"/>
      <c r="AGT148" s="2"/>
      <c r="AGU148" s="2"/>
      <c r="AGV148" s="2"/>
      <c r="AGW148" s="2"/>
      <c r="AGX148" s="2"/>
      <c r="AGY148" s="2"/>
      <c r="AGZ148" s="2"/>
      <c r="AHA148" s="2"/>
      <c r="AHB148" s="2"/>
      <c r="AHC148" s="2"/>
      <c r="AHD148" s="2"/>
      <c r="AHE148" s="2"/>
      <c r="AHF148" s="2"/>
      <c r="AHG148" s="2"/>
      <c r="AHH148" s="2"/>
      <c r="AHI148" s="2"/>
      <c r="AHJ148" s="2"/>
      <c r="AHK148" s="2"/>
      <c r="AHL148" s="2"/>
      <c r="AHM148" s="2"/>
      <c r="AHN148" s="2"/>
      <c r="AHO148" s="2"/>
      <c r="AHP148" s="2"/>
      <c r="AHQ148" s="2"/>
      <c r="AHR148" s="2"/>
      <c r="AHS148" s="2"/>
      <c r="AHT148" s="2"/>
      <c r="AHU148" s="2"/>
      <c r="AHV148" s="2"/>
      <c r="AHW148" s="2"/>
      <c r="AHX148" s="2"/>
      <c r="AHY148" s="2"/>
      <c r="AHZ148" s="2"/>
      <c r="AIA148" s="2"/>
      <c r="AIB148" s="2"/>
      <c r="AIC148" s="2"/>
      <c r="AID148" s="2"/>
      <c r="AIE148" s="2"/>
      <c r="AIF148" s="2"/>
      <c r="AIG148" s="2"/>
      <c r="AIH148" s="2"/>
      <c r="AII148" s="2"/>
      <c r="AIJ148" s="2"/>
      <c r="AIK148" s="2"/>
      <c r="AIL148" s="2"/>
      <c r="AIM148" s="2"/>
      <c r="AIN148" s="2"/>
      <c r="AIO148" s="2"/>
      <c r="AIP148" s="2"/>
      <c r="AIQ148" s="2"/>
      <c r="AIR148" s="2"/>
      <c r="AIS148" s="2"/>
      <c r="AIT148" s="2"/>
      <c r="AIU148" s="2"/>
      <c r="AIV148" s="2"/>
      <c r="AIW148" s="2"/>
      <c r="AIX148" s="2"/>
      <c r="AIY148" s="2"/>
      <c r="AIZ148" s="2"/>
      <c r="AJA148" s="2"/>
      <c r="AJB148" s="2"/>
      <c r="AJC148" s="2"/>
      <c r="AJD148" s="2"/>
      <c r="AJE148" s="2"/>
      <c r="AJF148" s="2"/>
      <c r="AJG148" s="2"/>
      <c r="AJH148" s="2"/>
      <c r="AJI148" s="2"/>
      <c r="AJJ148" s="2"/>
      <c r="AJK148" s="2"/>
      <c r="AJL148" s="2"/>
      <c r="AJM148" s="2"/>
      <c r="AJN148" s="2"/>
      <c r="AJO148" s="2"/>
      <c r="AJP148" s="2"/>
      <c r="AJQ148" s="2"/>
      <c r="AJR148" s="2"/>
      <c r="AJS148" s="2"/>
      <c r="AJT148" s="2"/>
      <c r="AJU148" s="2"/>
      <c r="AJV148" s="2"/>
      <c r="AJW148" s="2"/>
      <c r="AJX148" s="2"/>
      <c r="AJY148" s="2"/>
      <c r="AJZ148" s="2"/>
      <c r="AKA148" s="2"/>
      <c r="AKB148" s="2"/>
      <c r="AKC148" s="2"/>
      <c r="AKD148" s="2"/>
      <c r="AKE148" s="2"/>
      <c r="AKF148" s="2"/>
      <c r="AKG148" s="2"/>
      <c r="AKH148" s="2"/>
      <c r="AKI148" s="2"/>
      <c r="AKJ148" s="2"/>
      <c r="AKK148" s="2"/>
      <c r="AKL148" s="2"/>
      <c r="AKM148" s="2"/>
      <c r="AKN148" s="2"/>
      <c r="AKO148" s="2"/>
      <c r="AKP148" s="2"/>
      <c r="AKQ148" s="2"/>
      <c r="AKR148" s="2"/>
      <c r="AKS148" s="2"/>
      <c r="AKT148" s="2"/>
      <c r="AKU148" s="2"/>
      <c r="AKV148" s="2"/>
      <c r="AKW148" s="2"/>
      <c r="AKX148" s="2"/>
      <c r="AKY148" s="2"/>
      <c r="AKZ148" s="2"/>
      <c r="ALA148" s="2"/>
      <c r="ALB148" s="2"/>
      <c r="ALC148" s="2"/>
      <c r="ALD148" s="2"/>
      <c r="ALE148" s="2"/>
      <c r="ALF148" s="2"/>
      <c r="ALG148" s="2"/>
      <c r="ALH148" s="2"/>
      <c r="ALI148" s="2"/>
      <c r="ALJ148" s="2"/>
      <c r="ALK148" s="2"/>
      <c r="ALL148" s="2"/>
      <c r="ALM148" s="2"/>
      <c r="ALN148" s="2"/>
      <c r="ALO148" s="2"/>
      <c r="ALP148" s="2"/>
      <c r="ALQ148" s="2"/>
      <c r="ALR148" s="2"/>
      <c r="ALS148" s="2"/>
      <c r="ALT148" s="2"/>
      <c r="ALU148" s="2"/>
      <c r="ALV148" s="2"/>
      <c r="ALW148" s="2"/>
      <c r="ALX148" s="2"/>
      <c r="ALY148" s="2"/>
      <c r="ALZ148" s="2"/>
      <c r="AMA148" s="2"/>
      <c r="AMB148" s="2"/>
      <c r="AMC148" s="2"/>
      <c r="AMD148" s="2"/>
      <c r="AME148" s="2"/>
      <c r="AMF148" s="2"/>
      <c r="AMG148" s="2"/>
      <c r="AMH148" s="2"/>
      <c r="AMI148" s="2"/>
      <c r="AMJ148" s="2"/>
      <c r="AMK148" s="2"/>
      <c r="AML148" s="2"/>
      <c r="AMM148" s="2"/>
      <c r="AMN148" s="2"/>
      <c r="AMO148" s="2"/>
    </row>
    <row r="149" spans="1:1029" x14ac:dyDescent="0.2">
      <c r="A149" s="3" t="str">
        <f>CONCATENATE(B149,"_",C149)</f>
        <v>agtr1_human_4YAY</v>
      </c>
      <c r="B149" s="3" t="s">
        <v>158</v>
      </c>
      <c r="C149" s="3" t="s">
        <v>69</v>
      </c>
      <c r="D149" s="3" t="str">
        <f>IFERROR(MID(VLOOKUP($B149,Seqs!$A:$B,2,0),E149,1),"")</f>
        <v>Y</v>
      </c>
      <c r="E149" s="3">
        <v>26</v>
      </c>
      <c r="F149" s="3" t="str">
        <f>IFERROR(MID(VLOOKUP($B149,Seqs!$A:$B,2,0),G149,1),"")</f>
        <v>Y</v>
      </c>
      <c r="G149" s="3">
        <v>56</v>
      </c>
      <c r="H149" s="3" t="str">
        <f>IFERROR(MID(VLOOKUP($B149,Seqs!$A:$B,2,0),I149,1),"")</f>
        <v>M</v>
      </c>
      <c r="I149" s="23">
        <v>57</v>
      </c>
      <c r="J149" s="3" t="str">
        <f>IFERROR(MID(VLOOKUP($B149,Seqs!$A:$B,2,0),K149,1),"")</f>
        <v>K</v>
      </c>
      <c r="K149" s="23">
        <v>60</v>
      </c>
      <c r="L149" s="3" t="str">
        <f>IFERROR(MID(VLOOKUP($B149,Seqs!$A:$B,2,0),M149,1),"")</f>
        <v>T</v>
      </c>
      <c r="M149" s="3">
        <v>61</v>
      </c>
      <c r="N149" s="3" t="str">
        <f>IFERROR(MID(VLOOKUP($B149,Seqs!$A:$B,2,0),O149,1),"")</f>
        <v>E</v>
      </c>
      <c r="O149" s="3">
        <v>91</v>
      </c>
      <c r="P149" s="3" t="str">
        <f>IFERROR(MID(VLOOKUP($B149,Seqs!$A:$B,2,0),Q149,1),"")</f>
        <v>R</v>
      </c>
      <c r="Q149" s="3">
        <v>93</v>
      </c>
      <c r="R149" s="3" t="str">
        <f>IFERROR(MID(VLOOKUP($B149,Seqs!$A:$B,2,0),S149,1),"")</f>
        <v>F</v>
      </c>
      <c r="S149" s="3">
        <v>96</v>
      </c>
      <c r="T149" s="3" t="str">
        <f>IFERROR(MID(VLOOKUP($B149,Seqs!$A:$B,2,0),U149,1),"")</f>
        <v>G</v>
      </c>
      <c r="U149" s="3">
        <v>97</v>
      </c>
      <c r="V149" s="3" t="str">
        <f>IFERROR(MID(VLOOKUP($B149,Seqs!$A:$B,2,0),W149,1),"")</f>
        <v>H</v>
      </c>
      <c r="W149" s="3">
        <v>132</v>
      </c>
      <c r="X149" s="3" t="str">
        <f>IFERROR(MID(VLOOKUP($B149,Seqs!$A:$B,2,0),Y149,1),"")</f>
        <v/>
      </c>
      <c r="Y149" s="3" t="s">
        <v>23</v>
      </c>
      <c r="Z149" s="3" t="str">
        <f>IFERROR(MID(VLOOKUP($B149,Seqs!$A:$B,2,0),AA149,1),"")</f>
        <v/>
      </c>
      <c r="AA149" s="3" t="s">
        <v>23</v>
      </c>
      <c r="AB149" s="3" t="str">
        <f>IFERROR(MID(VLOOKUP($B149,Seqs!$A:$B,2,0),AC149,1),"")</f>
        <v>R</v>
      </c>
      <c r="AC149" s="9">
        <v>137</v>
      </c>
      <c r="AD149" s="3" t="str">
        <f>IFERROR(MID(VLOOKUP($B149,Seqs!$A:$B,2,0),AE149,1),"")</f>
        <v>R</v>
      </c>
      <c r="AE149" s="3">
        <v>167</v>
      </c>
      <c r="AF149" s="3" t="str">
        <f>IFERROR(MID(VLOOKUP($B149,Seqs!$A:$B,2,0),AG149,1),"")</f>
        <v>C</v>
      </c>
      <c r="AG149" s="3">
        <v>180</v>
      </c>
      <c r="AH149" s="3" t="str">
        <f>IFERROR(MID(VLOOKUP($B149,Seqs!$A:$B,2,0),AI149,1),"")</f>
        <v>F</v>
      </c>
      <c r="AI149" s="3">
        <v>182</v>
      </c>
      <c r="AJ149" s="3" t="str">
        <f>IFERROR(MID(VLOOKUP($B149,Seqs!$A:$B,2,0),AK149,1),"")</f>
        <v>L</v>
      </c>
      <c r="AK149" s="3">
        <v>191</v>
      </c>
      <c r="AL149" s="3" t="str">
        <f>IFERROR(MID(VLOOKUP($B149,Seqs!$A:$B,2,0),AM149,1),"")</f>
        <v>L</v>
      </c>
      <c r="AM149" s="3">
        <v>222</v>
      </c>
      <c r="AN149" s="3" t="str">
        <f>IFERROR(MID(VLOOKUP($B149,Seqs!$A:$B,2,0),AO149,1),"")</f>
        <v>N</v>
      </c>
      <c r="AO149" s="3">
        <v>235</v>
      </c>
      <c r="AP149" s="3" t="str">
        <f>IFERROR(MID(VLOOKUP($B149,Seqs!$A:$B,2,0),AQ149,1),"")</f>
        <v>G</v>
      </c>
      <c r="AQ149" s="3">
        <v>269</v>
      </c>
      <c r="AR149" s="3" t="str">
        <f>IFERROR(MID(VLOOKUP($B149,Seqs!$A:$B,2,0),AS149,1),"")</f>
        <v>D</v>
      </c>
      <c r="AS149" s="3">
        <v>273</v>
      </c>
      <c r="AT149" s="3" t="str">
        <f>IFERROR(MID(VLOOKUP($B149,Seqs!$A:$B,2,0),AU149,1),"")</f>
        <v>N</v>
      </c>
      <c r="AU149" s="3">
        <v>298</v>
      </c>
      <c r="AV149" s="3" t="str">
        <f>IFERROR(MID(VLOOKUP($B149,Seqs!$A:$B,2,0),AW149,1),"")</f>
        <v/>
      </c>
      <c r="AW149" s="3" t="s">
        <v>23</v>
      </c>
      <c r="AX149" s="3" t="str">
        <f>IFERROR(MID(VLOOKUP($B149,Seqs!$A:$B,2,0),AY149,1),"")</f>
        <v/>
      </c>
      <c r="AY149" s="3" t="s">
        <v>23</v>
      </c>
      <c r="AZ149" s="77" t="str">
        <f>VLOOKUP(B149,Classification!A:D,2,0)</f>
        <v>A</v>
      </c>
      <c r="BA149" s="94" t="str">
        <f>VLOOKUP(B149,Classification!A:D,4,0)</f>
        <v>Angiotensin</v>
      </c>
      <c r="BB149" s="27" t="b">
        <f t="shared" si="1007"/>
        <v>1</v>
      </c>
      <c r="BC149" s="23">
        <f t="shared" si="785"/>
        <v>235</v>
      </c>
      <c r="BD149" s="4" t="s">
        <v>23</v>
      </c>
      <c r="BE149" s="3" t="s">
        <v>1368</v>
      </c>
      <c r="BF149" s="118">
        <v>2.9</v>
      </c>
      <c r="BG149" s="49" t="s">
        <v>1371</v>
      </c>
      <c r="BH149" s="49" t="s">
        <v>1371</v>
      </c>
      <c r="BI149" s="1"/>
      <c r="BJ149" s="70" t="s">
        <v>1281</v>
      </c>
      <c r="BK149" s="57" t="s">
        <v>1281</v>
      </c>
      <c r="BL149" s="57" t="s">
        <v>1281</v>
      </c>
      <c r="BM149" s="57" t="s">
        <v>1281</v>
      </c>
      <c r="BN149" s="57" t="s">
        <v>1281</v>
      </c>
      <c r="BO149" s="57" t="s">
        <v>1281</v>
      </c>
      <c r="BP149" s="57" t="s">
        <v>1281</v>
      </c>
      <c r="BQ149" s="57" t="s">
        <v>1281</v>
      </c>
      <c r="BR149" s="57" t="s">
        <v>1281</v>
      </c>
      <c r="BS149" s="57" t="s">
        <v>1281</v>
      </c>
      <c r="BT149" s="57" t="s">
        <v>1281</v>
      </c>
      <c r="BU149" s="57" t="s">
        <v>1281</v>
      </c>
      <c r="BV149" s="70">
        <f>E149</f>
        <v>26</v>
      </c>
      <c r="BW149" s="71">
        <f>I149</f>
        <v>57</v>
      </c>
      <c r="BX149" s="72">
        <f>M149</f>
        <v>61</v>
      </c>
      <c r="BY149" s="71">
        <f>Q149</f>
        <v>93</v>
      </c>
      <c r="BZ149" s="72">
        <f>U149</f>
        <v>97</v>
      </c>
      <c r="CA149" s="71" t="str">
        <f>Y149</f>
        <v>-</v>
      </c>
      <c r="CB149" s="72">
        <f>AC149</f>
        <v>137</v>
      </c>
      <c r="CC149" s="71">
        <f>AG149</f>
        <v>180</v>
      </c>
      <c r="CD149" s="72">
        <f>AK149</f>
        <v>191</v>
      </c>
      <c r="CE149" s="71">
        <f>AO149</f>
        <v>235</v>
      </c>
      <c r="CF149" s="72">
        <f>AS149</f>
        <v>273</v>
      </c>
      <c r="CG149" s="71" t="str">
        <f>AW149</f>
        <v>-</v>
      </c>
      <c r="CH149" s="70">
        <f>G149</f>
        <v>56</v>
      </c>
      <c r="CI149" s="71">
        <f>K149</f>
        <v>60</v>
      </c>
      <c r="CJ149" s="72">
        <f>O149</f>
        <v>91</v>
      </c>
      <c r="CK149" s="72">
        <f>S149</f>
        <v>96</v>
      </c>
      <c r="CL149" s="72">
        <f>W149</f>
        <v>132</v>
      </c>
      <c r="CM149" s="72" t="str">
        <f>AA149</f>
        <v>-</v>
      </c>
      <c r="CN149" s="72">
        <f>AE149</f>
        <v>167</v>
      </c>
      <c r="CO149" s="72">
        <f>AI149</f>
        <v>182</v>
      </c>
      <c r="CP149" s="72">
        <f>AM149</f>
        <v>222</v>
      </c>
      <c r="CQ149" s="72">
        <f>AQ149</f>
        <v>269</v>
      </c>
      <c r="CR149" s="72">
        <f>AU149</f>
        <v>298</v>
      </c>
      <c r="CS149" s="72" t="str">
        <f>AY149</f>
        <v>-</v>
      </c>
      <c r="CT149" s="23">
        <f>M149-K149</f>
        <v>1</v>
      </c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  <c r="JA149" s="2"/>
      <c r="JB149" s="2"/>
      <c r="JC149" s="2"/>
      <c r="JD149" s="2"/>
      <c r="JE149" s="2"/>
      <c r="JF149" s="2"/>
      <c r="JG149" s="2"/>
      <c r="JH149" s="2"/>
      <c r="JI149" s="2"/>
      <c r="JJ149" s="2"/>
      <c r="JK149" s="2"/>
      <c r="JL149" s="2"/>
      <c r="JM149" s="2"/>
      <c r="JN149" s="2"/>
      <c r="JO149" s="2"/>
      <c r="JP149" s="2"/>
      <c r="JQ149" s="2"/>
      <c r="JR149" s="2"/>
      <c r="JS149" s="2"/>
      <c r="JT149" s="2"/>
      <c r="JU149" s="2"/>
      <c r="JV149" s="2"/>
      <c r="JW149" s="2"/>
      <c r="JX149" s="2"/>
      <c r="JY149" s="2"/>
      <c r="JZ149" s="2"/>
      <c r="KA149" s="2"/>
      <c r="KB149" s="2"/>
      <c r="KC149" s="2"/>
      <c r="KD149" s="2"/>
      <c r="KE149" s="2"/>
      <c r="KF149" s="2"/>
      <c r="KG149" s="2"/>
      <c r="KH149" s="2"/>
      <c r="KI149" s="2"/>
      <c r="KJ149" s="2"/>
      <c r="KK149" s="2"/>
      <c r="KL149" s="2"/>
      <c r="KM149" s="2"/>
      <c r="KN149" s="2"/>
      <c r="KO149" s="2"/>
      <c r="KP149" s="2"/>
      <c r="KQ149" s="2"/>
      <c r="KR149" s="2"/>
      <c r="KS149" s="2"/>
      <c r="KT149" s="2"/>
      <c r="KU149" s="2"/>
      <c r="KV149" s="2"/>
      <c r="KW149" s="2"/>
      <c r="KX149" s="2"/>
      <c r="KY149" s="2"/>
      <c r="KZ149" s="2"/>
      <c r="LA149" s="2"/>
      <c r="LB149" s="2"/>
      <c r="LC149" s="2"/>
      <c r="LD149" s="2"/>
      <c r="LE149" s="2"/>
      <c r="LF149" s="2"/>
      <c r="LG149" s="2"/>
      <c r="LH149" s="2"/>
      <c r="LI149" s="2"/>
      <c r="LJ149" s="2"/>
      <c r="LK149" s="2"/>
      <c r="LL149" s="2"/>
      <c r="LM149" s="2"/>
      <c r="LN149" s="2"/>
      <c r="LO149" s="2"/>
      <c r="LP149" s="2"/>
      <c r="LQ149" s="2"/>
      <c r="LR149" s="2"/>
      <c r="LS149" s="2"/>
      <c r="LT149" s="2"/>
      <c r="LU149" s="2"/>
      <c r="LV149" s="2"/>
      <c r="LW149" s="2"/>
      <c r="LX149" s="2"/>
      <c r="LY149" s="2"/>
      <c r="LZ149" s="2"/>
      <c r="MA149" s="2"/>
      <c r="MB149" s="2"/>
      <c r="MC149" s="2"/>
      <c r="MD149" s="2"/>
      <c r="ME149" s="2"/>
      <c r="MF149" s="2"/>
      <c r="MG149" s="2"/>
      <c r="MH149" s="2"/>
      <c r="MI149" s="2"/>
      <c r="MJ149" s="2"/>
      <c r="MK149" s="2"/>
      <c r="ML149" s="2"/>
      <c r="MM149" s="2"/>
      <c r="MN149" s="2"/>
      <c r="MO149" s="2"/>
      <c r="MP149" s="2"/>
      <c r="MQ149" s="2"/>
      <c r="MR149" s="2"/>
      <c r="MS149" s="2"/>
      <c r="MT149" s="2"/>
      <c r="MU149" s="2"/>
      <c r="MV149" s="2"/>
      <c r="MW149" s="2"/>
      <c r="MX149" s="2"/>
      <c r="MY149" s="2"/>
      <c r="MZ149" s="2"/>
      <c r="NA149" s="2"/>
      <c r="NB149" s="2"/>
      <c r="NC149" s="2"/>
      <c r="ND149" s="2"/>
      <c r="NE149" s="2"/>
      <c r="NF149" s="2"/>
      <c r="NG149" s="2"/>
      <c r="NH149" s="2"/>
      <c r="NI149" s="2"/>
      <c r="NJ149" s="2"/>
      <c r="NK149" s="2"/>
      <c r="NL149" s="2"/>
      <c r="NM149" s="2"/>
      <c r="NN149" s="2"/>
      <c r="NO149" s="2"/>
      <c r="NP149" s="2"/>
      <c r="NQ149" s="2"/>
      <c r="NR149" s="2"/>
      <c r="NS149" s="2"/>
      <c r="NT149" s="2"/>
      <c r="NU149" s="2"/>
      <c r="NV149" s="2"/>
      <c r="NW149" s="2"/>
      <c r="NX149" s="2"/>
      <c r="NY149" s="2"/>
      <c r="NZ149" s="2"/>
      <c r="OA149" s="2"/>
      <c r="OB149" s="2"/>
      <c r="OC149" s="2"/>
      <c r="OD149" s="2"/>
      <c r="OE149" s="2"/>
      <c r="OF149" s="2"/>
      <c r="OG149" s="2"/>
      <c r="OH149" s="2"/>
      <c r="OI149" s="2"/>
      <c r="OJ149" s="2"/>
      <c r="OK149" s="2"/>
      <c r="OL149" s="2"/>
      <c r="OM149" s="2"/>
      <c r="ON149" s="2"/>
      <c r="OO149" s="2"/>
      <c r="OP149" s="2"/>
      <c r="OQ149" s="2"/>
      <c r="OR149" s="2"/>
      <c r="OS149" s="2"/>
      <c r="OT149" s="2"/>
      <c r="OU149" s="2"/>
      <c r="OV149" s="2"/>
      <c r="OW149" s="2"/>
      <c r="OX149" s="2"/>
      <c r="OY149" s="2"/>
      <c r="OZ149" s="2"/>
      <c r="PA149" s="2"/>
      <c r="PB149" s="2"/>
      <c r="PC149" s="2"/>
      <c r="PD149" s="2"/>
      <c r="PE149" s="2"/>
      <c r="PF149" s="2"/>
      <c r="PG149" s="2"/>
      <c r="PH149" s="2"/>
      <c r="PI149" s="2"/>
      <c r="PJ149" s="2"/>
      <c r="PK149" s="2"/>
      <c r="PL149" s="2"/>
      <c r="PM149" s="2"/>
      <c r="PN149" s="2"/>
      <c r="PO149" s="2"/>
      <c r="PP149" s="2"/>
      <c r="PQ149" s="2"/>
      <c r="PR149" s="2"/>
      <c r="PS149" s="2"/>
      <c r="PT149" s="2"/>
      <c r="PU149" s="2"/>
      <c r="PV149" s="2"/>
      <c r="PW149" s="2"/>
      <c r="PX149" s="2"/>
      <c r="PY149" s="2"/>
      <c r="PZ149" s="2"/>
      <c r="QA149" s="2"/>
      <c r="QB149" s="2"/>
      <c r="QC149" s="2"/>
      <c r="QD149" s="2"/>
      <c r="QE149" s="2"/>
      <c r="QF149" s="2"/>
      <c r="QG149" s="2"/>
      <c r="QH149" s="2"/>
      <c r="QI149" s="2"/>
      <c r="QJ149" s="2"/>
      <c r="QK149" s="2"/>
      <c r="QL149" s="2"/>
      <c r="QM149" s="2"/>
      <c r="QN149" s="2"/>
      <c r="QO149" s="2"/>
      <c r="QP149" s="2"/>
      <c r="QQ149" s="2"/>
      <c r="QR149" s="2"/>
      <c r="QS149" s="2"/>
      <c r="QT149" s="2"/>
      <c r="QU149" s="2"/>
      <c r="QV149" s="2"/>
      <c r="QW149" s="2"/>
      <c r="QX149" s="2"/>
      <c r="QY149" s="2"/>
      <c r="QZ149" s="2"/>
      <c r="RA149" s="2"/>
      <c r="RB149" s="2"/>
      <c r="RC149" s="2"/>
      <c r="RD149" s="2"/>
      <c r="RE149" s="2"/>
      <c r="RF149" s="2"/>
      <c r="RG149" s="2"/>
      <c r="RH149" s="2"/>
      <c r="RI149" s="2"/>
      <c r="RJ149" s="2"/>
      <c r="RK149" s="2"/>
      <c r="RL149" s="2"/>
      <c r="RM149" s="2"/>
      <c r="RN149" s="2"/>
      <c r="RO149" s="2"/>
      <c r="RP149" s="2"/>
      <c r="RQ149" s="2"/>
      <c r="RR149" s="2"/>
      <c r="RS149" s="2"/>
      <c r="RT149" s="2"/>
      <c r="RU149" s="2"/>
      <c r="RV149" s="2"/>
      <c r="RW149" s="2"/>
      <c r="RX149" s="2"/>
      <c r="RY149" s="2"/>
      <c r="RZ149" s="2"/>
      <c r="SA149" s="2"/>
      <c r="SB149" s="2"/>
      <c r="SC149" s="2"/>
      <c r="SD149" s="2"/>
      <c r="SE149" s="2"/>
      <c r="SF149" s="2"/>
      <c r="SG149" s="2"/>
      <c r="SH149" s="2"/>
      <c r="SI149" s="2"/>
      <c r="SJ149" s="2"/>
      <c r="SK149" s="2"/>
      <c r="SL149" s="2"/>
      <c r="SM149" s="2"/>
      <c r="SN149" s="2"/>
      <c r="SO149" s="2"/>
      <c r="SP149" s="2"/>
      <c r="SQ149" s="2"/>
      <c r="SR149" s="2"/>
      <c r="SS149" s="2"/>
      <c r="ST149" s="2"/>
      <c r="SU149" s="2"/>
      <c r="SV149" s="2"/>
      <c r="SW149" s="2"/>
      <c r="SX149" s="2"/>
      <c r="SY149" s="2"/>
      <c r="SZ149" s="2"/>
      <c r="TA149" s="2"/>
      <c r="TB149" s="2"/>
      <c r="TC149" s="2"/>
      <c r="TD149" s="2"/>
      <c r="TE149" s="2"/>
      <c r="TF149" s="2"/>
      <c r="TG149" s="2"/>
      <c r="TH149" s="2"/>
      <c r="TI149" s="2"/>
      <c r="TJ149" s="2"/>
      <c r="TK149" s="2"/>
      <c r="TL149" s="2"/>
      <c r="TM149" s="2"/>
      <c r="TN149" s="2"/>
      <c r="TO149" s="2"/>
      <c r="TP149" s="2"/>
      <c r="TQ149" s="2"/>
      <c r="TR149" s="2"/>
      <c r="TS149" s="2"/>
      <c r="TT149" s="2"/>
      <c r="TU149" s="2"/>
      <c r="TV149" s="2"/>
      <c r="TW149" s="2"/>
      <c r="TX149" s="2"/>
      <c r="TY149" s="2"/>
      <c r="TZ149" s="2"/>
      <c r="UA149" s="2"/>
      <c r="UB149" s="2"/>
      <c r="UC149" s="2"/>
      <c r="UD149" s="2"/>
      <c r="UE149" s="2"/>
      <c r="UF149" s="2"/>
      <c r="UG149" s="2"/>
      <c r="UH149" s="2"/>
      <c r="UI149" s="2"/>
      <c r="UJ149" s="2"/>
      <c r="UK149" s="2"/>
      <c r="UL149" s="2"/>
      <c r="UM149" s="2"/>
      <c r="UN149" s="2"/>
      <c r="UO149" s="2"/>
      <c r="UP149" s="2"/>
      <c r="UQ149" s="2"/>
      <c r="UR149" s="2"/>
      <c r="US149" s="2"/>
      <c r="UT149" s="2"/>
      <c r="UU149" s="2"/>
      <c r="UV149" s="2"/>
      <c r="UW149" s="2"/>
      <c r="UX149" s="2"/>
      <c r="UY149" s="2"/>
      <c r="UZ149" s="2"/>
      <c r="VA149" s="2"/>
      <c r="VB149" s="2"/>
      <c r="VC149" s="2"/>
      <c r="VD149" s="2"/>
      <c r="VE149" s="2"/>
      <c r="VF149" s="2"/>
      <c r="VG149" s="2"/>
      <c r="VH149" s="2"/>
      <c r="VI149" s="2"/>
      <c r="VJ149" s="2"/>
      <c r="VK149" s="2"/>
      <c r="VL149" s="2"/>
      <c r="VM149" s="2"/>
      <c r="VN149" s="2"/>
      <c r="VO149" s="2"/>
      <c r="VP149" s="2"/>
      <c r="VQ149" s="2"/>
      <c r="VR149" s="2"/>
      <c r="VS149" s="2"/>
      <c r="VT149" s="2"/>
      <c r="VU149" s="2"/>
      <c r="VV149" s="2"/>
      <c r="VW149" s="2"/>
      <c r="VX149" s="2"/>
      <c r="VY149" s="2"/>
      <c r="VZ149" s="2"/>
      <c r="WA149" s="2"/>
      <c r="WB149" s="2"/>
      <c r="WC149" s="2"/>
      <c r="WD149" s="2"/>
      <c r="WE149" s="2"/>
      <c r="WF149" s="2"/>
      <c r="WG149" s="2"/>
      <c r="WH149" s="2"/>
      <c r="WI149" s="2"/>
      <c r="WJ149" s="2"/>
      <c r="WK149" s="2"/>
      <c r="WL149" s="2"/>
      <c r="WM149" s="2"/>
      <c r="WN149" s="2"/>
      <c r="WO149" s="2"/>
      <c r="WP149" s="2"/>
      <c r="WQ149" s="2"/>
      <c r="WR149" s="2"/>
      <c r="WS149" s="2"/>
      <c r="WT149" s="2"/>
      <c r="WU149" s="2"/>
      <c r="WV149" s="2"/>
      <c r="WW149" s="2"/>
      <c r="WX149" s="2"/>
      <c r="WY149" s="2"/>
      <c r="WZ149" s="2"/>
      <c r="XA149" s="2"/>
      <c r="XB149" s="2"/>
      <c r="XC149" s="2"/>
      <c r="XD149" s="2"/>
      <c r="XE149" s="2"/>
      <c r="XF149" s="2"/>
      <c r="XG149" s="2"/>
      <c r="XH149" s="2"/>
      <c r="XI149" s="2"/>
      <c r="XJ149" s="2"/>
      <c r="XK149" s="2"/>
      <c r="XL149" s="2"/>
      <c r="XM149" s="2"/>
      <c r="XN149" s="2"/>
      <c r="XO149" s="2"/>
      <c r="XP149" s="2"/>
      <c r="XQ149" s="2"/>
      <c r="XR149" s="2"/>
      <c r="XS149" s="2"/>
      <c r="XT149" s="2"/>
      <c r="XU149" s="2"/>
      <c r="XV149" s="2"/>
      <c r="XW149" s="2"/>
      <c r="XX149" s="2"/>
      <c r="XY149" s="2"/>
      <c r="XZ149" s="2"/>
      <c r="YA149" s="2"/>
      <c r="YB149" s="2"/>
      <c r="YC149" s="2"/>
      <c r="YD149" s="2"/>
      <c r="YE149" s="2"/>
      <c r="YF149" s="2"/>
      <c r="YG149" s="2"/>
      <c r="YH149" s="2"/>
      <c r="YI149" s="2"/>
      <c r="YJ149" s="2"/>
      <c r="YK149" s="2"/>
      <c r="YL149" s="2"/>
      <c r="YM149" s="2"/>
      <c r="YN149" s="2"/>
      <c r="YO149" s="2"/>
      <c r="YP149" s="2"/>
      <c r="YQ149" s="2"/>
      <c r="YR149" s="2"/>
      <c r="YS149" s="2"/>
      <c r="YT149" s="2"/>
      <c r="YU149" s="2"/>
      <c r="YV149" s="2"/>
      <c r="YW149" s="2"/>
      <c r="YX149" s="2"/>
      <c r="YY149" s="2"/>
      <c r="YZ149" s="2"/>
      <c r="ZA149" s="2"/>
      <c r="ZB149" s="2"/>
      <c r="ZC149" s="2"/>
      <c r="ZD149" s="2"/>
      <c r="ZE149" s="2"/>
      <c r="ZF149" s="2"/>
      <c r="ZG149" s="2"/>
      <c r="ZH149" s="2"/>
      <c r="ZI149" s="2"/>
      <c r="ZJ149" s="2"/>
      <c r="ZK149" s="2"/>
      <c r="ZL149" s="2"/>
      <c r="ZM149" s="2"/>
      <c r="ZN149" s="2"/>
      <c r="ZO149" s="2"/>
      <c r="ZP149" s="2"/>
      <c r="ZQ149" s="2"/>
      <c r="ZR149" s="2"/>
      <c r="ZS149" s="2"/>
      <c r="ZT149" s="2"/>
      <c r="ZU149" s="2"/>
      <c r="ZV149" s="2"/>
      <c r="ZW149" s="2"/>
      <c r="ZX149" s="2"/>
      <c r="ZY149" s="2"/>
      <c r="ZZ149" s="2"/>
      <c r="AAA149" s="2"/>
      <c r="AAB149" s="2"/>
      <c r="AAC149" s="2"/>
      <c r="AAD149" s="2"/>
      <c r="AAE149" s="2"/>
      <c r="AAF149" s="2"/>
      <c r="AAG149" s="2"/>
      <c r="AAH149" s="2"/>
      <c r="AAI149" s="2"/>
      <c r="AAJ149" s="2"/>
      <c r="AAK149" s="2"/>
      <c r="AAL149" s="2"/>
      <c r="AAM149" s="2"/>
      <c r="AAN149" s="2"/>
      <c r="AAO149" s="2"/>
      <c r="AAP149" s="2"/>
      <c r="AAQ149" s="2"/>
      <c r="AAR149" s="2"/>
      <c r="AAS149" s="2"/>
      <c r="AAT149" s="2"/>
      <c r="AAU149" s="2"/>
      <c r="AAV149" s="2"/>
      <c r="AAW149" s="2"/>
      <c r="AAX149" s="2"/>
      <c r="AAY149" s="2"/>
      <c r="AAZ149" s="2"/>
      <c r="ABA149" s="2"/>
      <c r="ABB149" s="2"/>
      <c r="ABC149" s="2"/>
      <c r="ABD149" s="2"/>
      <c r="ABE149" s="2"/>
      <c r="ABF149" s="2"/>
      <c r="ABG149" s="2"/>
      <c r="ABH149" s="2"/>
      <c r="ABI149" s="2"/>
      <c r="ABJ149" s="2"/>
      <c r="ABK149" s="2"/>
      <c r="ABL149" s="2"/>
      <c r="ABM149" s="2"/>
      <c r="ABN149" s="2"/>
      <c r="ABO149" s="2"/>
      <c r="ABP149" s="2"/>
      <c r="ABQ149" s="2"/>
      <c r="ABR149" s="2"/>
      <c r="ABS149" s="2"/>
      <c r="ABT149" s="2"/>
      <c r="ABU149" s="2"/>
      <c r="ABV149" s="2"/>
      <c r="ABW149" s="2"/>
      <c r="ABX149" s="2"/>
      <c r="ABY149" s="2"/>
      <c r="ABZ149" s="2"/>
      <c r="ACA149" s="2"/>
      <c r="ACB149" s="2"/>
      <c r="ACC149" s="2"/>
      <c r="ACD149" s="2"/>
      <c r="ACE149" s="2"/>
      <c r="ACF149" s="2"/>
      <c r="ACG149" s="2"/>
      <c r="ACH149" s="2"/>
      <c r="ACI149" s="2"/>
      <c r="ACJ149" s="2"/>
      <c r="ACK149" s="2"/>
      <c r="ACL149" s="2"/>
      <c r="ACM149" s="2"/>
      <c r="ACN149" s="2"/>
      <c r="ACO149" s="2"/>
      <c r="ACP149" s="2"/>
      <c r="ACQ149" s="2"/>
      <c r="ACR149" s="2"/>
      <c r="ACS149" s="2"/>
      <c r="ACT149" s="2"/>
      <c r="ACU149" s="2"/>
      <c r="ACV149" s="2"/>
      <c r="ACW149" s="2"/>
      <c r="ACX149" s="2"/>
      <c r="ACY149" s="2"/>
      <c r="ACZ149" s="2"/>
      <c r="ADA149" s="2"/>
      <c r="ADB149" s="2"/>
      <c r="ADC149" s="2"/>
      <c r="ADD149" s="2"/>
      <c r="ADE149" s="2"/>
      <c r="ADF149" s="2"/>
      <c r="ADG149" s="2"/>
      <c r="ADH149" s="2"/>
      <c r="ADI149" s="2"/>
      <c r="ADJ149" s="2"/>
      <c r="ADK149" s="2"/>
      <c r="ADL149" s="2"/>
      <c r="ADM149" s="2"/>
      <c r="ADN149" s="2"/>
      <c r="ADO149" s="2"/>
      <c r="ADP149" s="2"/>
      <c r="ADQ149" s="2"/>
      <c r="ADR149" s="2"/>
      <c r="ADS149" s="2"/>
      <c r="ADT149" s="2"/>
      <c r="ADU149" s="2"/>
      <c r="ADV149" s="2"/>
      <c r="ADW149" s="2"/>
      <c r="ADX149" s="2"/>
      <c r="ADY149" s="2"/>
      <c r="ADZ149" s="2"/>
      <c r="AEA149" s="2"/>
      <c r="AEB149" s="2"/>
      <c r="AEC149" s="2"/>
      <c r="AED149" s="2"/>
      <c r="AEE149" s="2"/>
      <c r="AEF149" s="2"/>
      <c r="AEG149" s="2"/>
      <c r="AEH149" s="2"/>
      <c r="AEI149" s="2"/>
      <c r="AEJ149" s="2"/>
      <c r="AEK149" s="2"/>
      <c r="AEL149" s="2"/>
      <c r="AEM149" s="2"/>
      <c r="AEN149" s="2"/>
      <c r="AEO149" s="2"/>
      <c r="AEP149" s="2"/>
      <c r="AEQ149" s="2"/>
      <c r="AER149" s="2"/>
      <c r="AES149" s="2"/>
      <c r="AET149" s="2"/>
      <c r="AEU149" s="2"/>
      <c r="AEV149" s="2"/>
      <c r="AEW149" s="2"/>
      <c r="AEX149" s="2"/>
      <c r="AEY149" s="2"/>
      <c r="AEZ149" s="2"/>
      <c r="AFA149" s="2"/>
      <c r="AFB149" s="2"/>
      <c r="AFC149" s="2"/>
      <c r="AFD149" s="2"/>
      <c r="AFE149" s="2"/>
      <c r="AFF149" s="2"/>
      <c r="AFG149" s="2"/>
      <c r="AFH149" s="2"/>
      <c r="AFI149" s="2"/>
      <c r="AFJ149" s="2"/>
      <c r="AFK149" s="2"/>
      <c r="AFL149" s="2"/>
      <c r="AFM149" s="2"/>
      <c r="AFN149" s="2"/>
      <c r="AFO149" s="2"/>
      <c r="AFP149" s="2"/>
      <c r="AFQ149" s="2"/>
      <c r="AFR149" s="2"/>
      <c r="AFS149" s="2"/>
      <c r="AFT149" s="2"/>
      <c r="AFU149" s="2"/>
      <c r="AFV149" s="2"/>
      <c r="AFW149" s="2"/>
      <c r="AFX149" s="2"/>
      <c r="AFY149" s="2"/>
      <c r="AFZ149" s="2"/>
      <c r="AGA149" s="2"/>
      <c r="AGB149" s="2"/>
      <c r="AGC149" s="2"/>
      <c r="AGD149" s="2"/>
      <c r="AGE149" s="2"/>
      <c r="AGF149" s="2"/>
      <c r="AGG149" s="2"/>
      <c r="AGH149" s="2"/>
      <c r="AGI149" s="2"/>
      <c r="AGJ149" s="2"/>
      <c r="AGK149" s="2"/>
      <c r="AGL149" s="2"/>
      <c r="AGM149" s="2"/>
      <c r="AGN149" s="2"/>
      <c r="AGO149" s="2"/>
      <c r="AGP149" s="2"/>
      <c r="AGQ149" s="2"/>
      <c r="AGR149" s="2"/>
      <c r="AGS149" s="2"/>
      <c r="AGT149" s="2"/>
      <c r="AGU149" s="2"/>
      <c r="AGV149" s="2"/>
      <c r="AGW149" s="2"/>
      <c r="AGX149" s="2"/>
      <c r="AGY149" s="2"/>
      <c r="AGZ149" s="2"/>
      <c r="AHA149" s="2"/>
      <c r="AHB149" s="2"/>
      <c r="AHC149" s="2"/>
      <c r="AHD149" s="2"/>
      <c r="AHE149" s="2"/>
      <c r="AHF149" s="2"/>
      <c r="AHG149" s="2"/>
      <c r="AHH149" s="2"/>
      <c r="AHI149" s="2"/>
      <c r="AHJ149" s="2"/>
      <c r="AHK149" s="2"/>
      <c r="AHL149" s="2"/>
      <c r="AHM149" s="2"/>
      <c r="AHN149" s="2"/>
      <c r="AHO149" s="2"/>
      <c r="AHP149" s="2"/>
      <c r="AHQ149" s="2"/>
      <c r="AHR149" s="2"/>
      <c r="AHS149" s="2"/>
      <c r="AHT149" s="2"/>
      <c r="AHU149" s="2"/>
      <c r="AHV149" s="2"/>
      <c r="AHW149" s="2"/>
      <c r="AHX149" s="2"/>
      <c r="AHY149" s="2"/>
      <c r="AHZ149" s="2"/>
      <c r="AIA149" s="2"/>
      <c r="AIB149" s="2"/>
      <c r="AIC149" s="2"/>
      <c r="AID149" s="2"/>
      <c r="AIE149" s="2"/>
      <c r="AIF149" s="2"/>
      <c r="AIG149" s="2"/>
      <c r="AIH149" s="2"/>
      <c r="AII149" s="2"/>
      <c r="AIJ149" s="2"/>
      <c r="AIK149" s="2"/>
      <c r="AIL149" s="2"/>
      <c r="AIM149" s="2"/>
      <c r="AIN149" s="2"/>
      <c r="AIO149" s="2"/>
      <c r="AIP149" s="2"/>
      <c r="AIQ149" s="2"/>
      <c r="AIR149" s="2"/>
      <c r="AIS149" s="2"/>
      <c r="AIT149" s="2"/>
      <c r="AIU149" s="2"/>
      <c r="AIV149" s="2"/>
      <c r="AIW149" s="2"/>
      <c r="AIX149" s="2"/>
      <c r="AIY149" s="2"/>
      <c r="AIZ149" s="2"/>
      <c r="AJA149" s="2"/>
      <c r="AJB149" s="2"/>
      <c r="AJC149" s="2"/>
      <c r="AJD149" s="2"/>
      <c r="AJE149" s="2"/>
      <c r="AJF149" s="2"/>
      <c r="AJG149" s="2"/>
      <c r="AJH149" s="2"/>
      <c r="AJI149" s="2"/>
      <c r="AJJ149" s="2"/>
      <c r="AJK149" s="2"/>
      <c r="AJL149" s="2"/>
      <c r="AJM149" s="2"/>
      <c r="AJN149" s="2"/>
      <c r="AJO149" s="2"/>
      <c r="AJP149" s="2"/>
      <c r="AJQ149" s="2"/>
      <c r="AJR149" s="2"/>
      <c r="AJS149" s="2"/>
      <c r="AJT149" s="2"/>
      <c r="AJU149" s="2"/>
      <c r="AJV149" s="2"/>
      <c r="AJW149" s="2"/>
      <c r="AJX149" s="2"/>
      <c r="AJY149" s="2"/>
      <c r="AJZ149" s="2"/>
      <c r="AKA149" s="2"/>
      <c r="AKB149" s="2"/>
      <c r="AKC149" s="2"/>
      <c r="AKD149" s="2"/>
      <c r="AKE149" s="2"/>
      <c r="AKF149" s="2"/>
      <c r="AKG149" s="2"/>
      <c r="AKH149" s="2"/>
      <c r="AKI149" s="2"/>
      <c r="AKJ149" s="2"/>
      <c r="AKK149" s="2"/>
      <c r="AKL149" s="2"/>
      <c r="AKM149" s="2"/>
      <c r="AKN149" s="2"/>
      <c r="AKO149" s="2"/>
      <c r="AKP149" s="2"/>
      <c r="AKQ149" s="2"/>
      <c r="AKR149" s="2"/>
      <c r="AKS149" s="2"/>
      <c r="AKT149" s="2"/>
      <c r="AKU149" s="2"/>
      <c r="AKV149" s="2"/>
      <c r="AKW149" s="2"/>
      <c r="AKX149" s="2"/>
      <c r="AKY149" s="2"/>
      <c r="AKZ149" s="2"/>
      <c r="ALA149" s="2"/>
      <c r="ALB149" s="2"/>
      <c r="ALC149" s="2"/>
      <c r="ALD149" s="2"/>
      <c r="ALE149" s="2"/>
      <c r="ALF149" s="2"/>
      <c r="ALG149" s="2"/>
      <c r="ALH149" s="2"/>
      <c r="ALI149" s="2"/>
      <c r="ALJ149" s="2"/>
      <c r="ALK149" s="2"/>
      <c r="ALL149" s="2"/>
      <c r="ALM149" s="2"/>
      <c r="ALN149" s="2"/>
      <c r="ALO149" s="2"/>
      <c r="ALP149" s="2"/>
      <c r="ALQ149" s="2"/>
      <c r="ALR149" s="2"/>
      <c r="ALS149" s="2"/>
      <c r="ALT149" s="2"/>
      <c r="ALU149" s="2"/>
      <c r="ALV149" s="2"/>
      <c r="ALW149" s="2"/>
      <c r="ALX149" s="2"/>
      <c r="ALY149" s="2"/>
      <c r="ALZ149" s="2"/>
      <c r="AMA149" s="2"/>
      <c r="AMB149" s="2"/>
      <c r="AMC149" s="2"/>
      <c r="AMD149" s="2"/>
      <c r="AME149" s="2"/>
      <c r="AMF149" s="2"/>
      <c r="AMG149" s="2"/>
      <c r="AMH149" s="2"/>
      <c r="AMI149" s="2"/>
      <c r="AMJ149" s="2"/>
      <c r="AMK149" s="2"/>
      <c r="AML149" s="2"/>
      <c r="AMM149" s="2"/>
      <c r="AMN149" s="2"/>
      <c r="AMO149" s="2"/>
    </row>
    <row r="150" spans="1:1029" x14ac:dyDescent="0.2">
      <c r="A150" s="3" t="str">
        <f>CONCATENATE(B150,"_",C150)</f>
        <v>agtr1_human_4YAY_dist</v>
      </c>
      <c r="B150" s="3" t="s">
        <v>158</v>
      </c>
      <c r="C150" s="3" t="s">
        <v>1153</v>
      </c>
      <c r="D150" s="3" t="str">
        <f>IFERROR(MID(VLOOKUP($B150,Seqs!$A:$B,2,0),E150,1),"")</f>
        <v>Y</v>
      </c>
      <c r="E150" s="3">
        <v>26</v>
      </c>
      <c r="F150" s="3" t="str">
        <f>IFERROR(MID(VLOOKUP($B150,Seqs!$A:$B,2,0),G150,1),"")</f>
        <v>Y</v>
      </c>
      <c r="G150" s="3">
        <v>56</v>
      </c>
      <c r="H150" s="3" t="str">
        <f>IFERROR(MID(VLOOKUP($B150,Seqs!$A:$B,2,0),I150,1),"")</f>
        <v>M</v>
      </c>
      <c r="I150" s="23">
        <v>57</v>
      </c>
      <c r="J150" s="3" t="str">
        <f>IFERROR(MID(VLOOKUP($B150,Seqs!$A:$B,2,0),K150,1),"")</f>
        <v>K</v>
      </c>
      <c r="K150" s="23">
        <v>60</v>
      </c>
      <c r="L150" s="3" t="str">
        <f>IFERROR(MID(VLOOKUP($B150,Seqs!$A:$B,2,0),M150,1),"")</f>
        <v>T</v>
      </c>
      <c r="M150" s="3">
        <v>61</v>
      </c>
      <c r="N150" s="3" t="str">
        <f>IFERROR(MID(VLOOKUP($B150,Seqs!$A:$B,2,0),O150,1),"")</f>
        <v>E</v>
      </c>
      <c r="O150" s="3">
        <v>91</v>
      </c>
      <c r="P150" s="3" t="str">
        <f>IFERROR(MID(VLOOKUP($B150,Seqs!$A:$B,2,0),Q150,1),"")</f>
        <v>R</v>
      </c>
      <c r="Q150" s="3">
        <v>93</v>
      </c>
      <c r="R150" s="3" t="str">
        <f>IFERROR(MID(VLOOKUP($B150,Seqs!$A:$B,2,0),S150,1),"")</f>
        <v>F</v>
      </c>
      <c r="S150" s="3">
        <v>96</v>
      </c>
      <c r="T150" s="3" t="str">
        <f>IFERROR(MID(VLOOKUP($B150,Seqs!$A:$B,2,0),U150,1),"")</f>
        <v>G</v>
      </c>
      <c r="U150" s="3">
        <v>97</v>
      </c>
      <c r="V150" s="3" t="str">
        <f>IFERROR(MID(VLOOKUP($B150,Seqs!$A:$B,2,0),W150,1),"")</f>
        <v>H</v>
      </c>
      <c r="W150" s="3">
        <v>132</v>
      </c>
      <c r="X150" s="3" t="str">
        <f>IFERROR(MID(VLOOKUP($B150,Seqs!$A:$B,2,0),Y150,1),"")</f>
        <v/>
      </c>
      <c r="Y150" s="3" t="s">
        <v>23</v>
      </c>
      <c r="Z150" s="3" t="str">
        <f>IFERROR(MID(VLOOKUP($B150,Seqs!$A:$B,2,0),AA150,1),"")</f>
        <v/>
      </c>
      <c r="AA150" s="3" t="s">
        <v>23</v>
      </c>
      <c r="AB150" s="3" t="str">
        <f>IFERROR(MID(VLOOKUP($B150,Seqs!$A:$B,2,0),AC150,1),"")</f>
        <v>R</v>
      </c>
      <c r="AC150" s="9">
        <v>137</v>
      </c>
      <c r="AD150" s="3" t="str">
        <f>IFERROR(MID(VLOOKUP($B150,Seqs!$A:$B,2,0),AE150,1),"")</f>
        <v>R</v>
      </c>
      <c r="AE150" s="3">
        <v>167</v>
      </c>
      <c r="AF150" s="3" t="str">
        <f>IFERROR(MID(VLOOKUP($B150,Seqs!$A:$B,2,0),AG150,1),"")</f>
        <v>C</v>
      </c>
      <c r="AG150" s="3">
        <v>180</v>
      </c>
      <c r="AH150" s="3" t="str">
        <f>IFERROR(MID(VLOOKUP($B150,Seqs!$A:$B,2,0),AI150,1),"")</f>
        <v>F</v>
      </c>
      <c r="AI150" s="3">
        <v>182</v>
      </c>
      <c r="AJ150" s="3" t="str">
        <f>IFERROR(MID(VLOOKUP($B150,Seqs!$A:$B,2,0),AK150,1),"")</f>
        <v>L</v>
      </c>
      <c r="AK150" s="3">
        <v>191</v>
      </c>
      <c r="AL150" s="3" t="str">
        <f>IFERROR(MID(VLOOKUP($B150,Seqs!$A:$B,2,0),AM150,1),"")</f>
        <v>L</v>
      </c>
      <c r="AM150" s="3">
        <v>222</v>
      </c>
      <c r="AN150" s="3" t="str">
        <f>IFERROR(MID(VLOOKUP($B150,Seqs!$A:$B,2,0),AO150,1),"")</f>
        <v>N</v>
      </c>
      <c r="AO150" s="3">
        <v>235</v>
      </c>
      <c r="AP150" s="3" t="str">
        <f>IFERROR(MID(VLOOKUP($B150,Seqs!$A:$B,2,0),AQ150,1),"")</f>
        <v>G</v>
      </c>
      <c r="AQ150" s="3">
        <v>269</v>
      </c>
      <c r="AR150" s="3" t="str">
        <f>IFERROR(MID(VLOOKUP($B150,Seqs!$A:$B,2,0),AS150,1),"")</f>
        <v>D</v>
      </c>
      <c r="AS150" s="3">
        <v>273</v>
      </c>
      <c r="AT150" s="3" t="str">
        <f>IFERROR(MID(VLOOKUP($B150,Seqs!$A:$B,2,0),AU150,1),"")</f>
        <v>F</v>
      </c>
      <c r="AU150" s="3">
        <v>304</v>
      </c>
      <c r="AV150" s="3" t="str">
        <f>IFERROR(MID(VLOOKUP($B150,Seqs!$A:$B,2,0),AW150,1),"")</f>
        <v>G</v>
      </c>
      <c r="AW150" s="3">
        <v>306</v>
      </c>
      <c r="AX150" s="3" t="str">
        <f>IFERROR(MID(VLOOKUP($B150,Seqs!$A:$B,2,0),AY150,1),"")</f>
        <v>L</v>
      </c>
      <c r="AY150" s="3">
        <v>317</v>
      </c>
      <c r="AZ150" s="77" t="str">
        <f>VLOOKUP(B150,Classification!A:D,2,0)</f>
        <v>A</v>
      </c>
      <c r="BA150" s="94" t="str">
        <f>VLOOKUP(B150,Classification!A:D,4,0)</f>
        <v>Angiotensin</v>
      </c>
      <c r="BB150" s="27" t="b">
        <f t="shared" si="1007"/>
        <v>1</v>
      </c>
      <c r="BC150" s="23">
        <f t="shared" si="785"/>
        <v>252</v>
      </c>
      <c r="BD150" s="5"/>
      <c r="BE150" s="3" t="s">
        <v>1368</v>
      </c>
      <c r="BF150" s="118">
        <v>2.9</v>
      </c>
      <c r="BG150" s="49" t="s">
        <v>1371</v>
      </c>
      <c r="BH150" s="49" t="s">
        <v>1371</v>
      </c>
      <c r="BI150" s="1"/>
      <c r="BJ150" s="70" t="s">
        <v>1281</v>
      </c>
      <c r="BK150" s="57" t="s">
        <v>1281</v>
      </c>
      <c r="BL150" s="57" t="s">
        <v>1281</v>
      </c>
      <c r="BM150" s="57" t="s">
        <v>1281</v>
      </c>
      <c r="BN150" s="57" t="s">
        <v>1281</v>
      </c>
      <c r="BO150" s="57" t="s">
        <v>1281</v>
      </c>
      <c r="BP150" s="57" t="s">
        <v>1281</v>
      </c>
      <c r="BQ150" s="57" t="s">
        <v>1281</v>
      </c>
      <c r="BR150" s="57" t="s">
        <v>1281</v>
      </c>
      <c r="BS150" s="57" t="s">
        <v>1281</v>
      </c>
      <c r="BT150" s="57" t="s">
        <v>1281</v>
      </c>
      <c r="BU150" s="57" t="s">
        <v>1281</v>
      </c>
      <c r="BV150" s="70">
        <f>E150</f>
        <v>26</v>
      </c>
      <c r="BW150" s="71">
        <f>I150</f>
        <v>57</v>
      </c>
      <c r="BX150" s="72">
        <f>M150</f>
        <v>61</v>
      </c>
      <c r="BY150" s="71">
        <f>Q150</f>
        <v>93</v>
      </c>
      <c r="BZ150" s="72">
        <f>U150</f>
        <v>97</v>
      </c>
      <c r="CA150" s="71" t="str">
        <f>Y150</f>
        <v>-</v>
      </c>
      <c r="CB150" s="72">
        <f>AC150</f>
        <v>137</v>
      </c>
      <c r="CC150" s="71">
        <f>AG150</f>
        <v>180</v>
      </c>
      <c r="CD150" s="72">
        <f>AK150</f>
        <v>191</v>
      </c>
      <c r="CE150" s="71">
        <f>AO150</f>
        <v>235</v>
      </c>
      <c r="CF150" s="72">
        <f>AS150</f>
        <v>273</v>
      </c>
      <c r="CG150" s="71">
        <f>AW150</f>
        <v>306</v>
      </c>
      <c r="CH150" s="70">
        <f>G150</f>
        <v>56</v>
      </c>
      <c r="CI150" s="71">
        <f>K150</f>
        <v>60</v>
      </c>
      <c r="CJ150" s="72">
        <f>O150</f>
        <v>91</v>
      </c>
      <c r="CK150" s="72">
        <f>S150</f>
        <v>96</v>
      </c>
      <c r="CL150" s="72">
        <f>W150</f>
        <v>132</v>
      </c>
      <c r="CM150" s="72" t="str">
        <f>AA150</f>
        <v>-</v>
      </c>
      <c r="CN150" s="72">
        <f>AE150</f>
        <v>167</v>
      </c>
      <c r="CO150" s="72">
        <f>AI150</f>
        <v>182</v>
      </c>
      <c r="CP150" s="72">
        <f>AM150</f>
        <v>222</v>
      </c>
      <c r="CQ150" s="72">
        <f>AQ150</f>
        <v>269</v>
      </c>
      <c r="CR150" s="72">
        <f>AU150</f>
        <v>304</v>
      </c>
      <c r="CS150" s="72">
        <f>AY150</f>
        <v>317</v>
      </c>
      <c r="CT150" s="23">
        <f>M150-K150</f>
        <v>1</v>
      </c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  <c r="JA150" s="2"/>
      <c r="JB150" s="2"/>
      <c r="JC150" s="2"/>
      <c r="JD150" s="2"/>
      <c r="JE150" s="2"/>
      <c r="JF150" s="2"/>
      <c r="JG150" s="2"/>
      <c r="JH150" s="2"/>
      <c r="JI150" s="2"/>
      <c r="JJ150" s="2"/>
      <c r="JK150" s="2"/>
      <c r="JL150" s="2"/>
      <c r="JM150" s="2"/>
      <c r="JN150" s="2"/>
      <c r="JO150" s="2"/>
      <c r="JP150" s="2"/>
      <c r="JQ150" s="2"/>
      <c r="JR150" s="2"/>
      <c r="JS150" s="2"/>
      <c r="JT150" s="2"/>
      <c r="JU150" s="2"/>
      <c r="JV150" s="2"/>
      <c r="JW150" s="2"/>
      <c r="JX150" s="2"/>
      <c r="JY150" s="2"/>
      <c r="JZ150" s="2"/>
      <c r="KA150" s="2"/>
      <c r="KB150" s="2"/>
      <c r="KC150" s="2"/>
      <c r="KD150" s="2"/>
      <c r="KE150" s="2"/>
      <c r="KF150" s="2"/>
      <c r="KG150" s="2"/>
      <c r="KH150" s="2"/>
      <c r="KI150" s="2"/>
      <c r="KJ150" s="2"/>
      <c r="KK150" s="2"/>
      <c r="KL150" s="2"/>
      <c r="KM150" s="2"/>
      <c r="KN150" s="2"/>
      <c r="KO150" s="2"/>
      <c r="KP150" s="2"/>
      <c r="KQ150" s="2"/>
      <c r="KR150" s="2"/>
      <c r="KS150" s="2"/>
      <c r="KT150" s="2"/>
      <c r="KU150" s="2"/>
      <c r="KV150" s="2"/>
      <c r="KW150" s="2"/>
      <c r="KX150" s="2"/>
      <c r="KY150" s="2"/>
      <c r="KZ150" s="2"/>
      <c r="LA150" s="2"/>
      <c r="LB150" s="2"/>
      <c r="LC150" s="2"/>
      <c r="LD150" s="2"/>
      <c r="LE150" s="2"/>
      <c r="LF150" s="2"/>
      <c r="LG150" s="2"/>
      <c r="LH150" s="2"/>
      <c r="LI150" s="2"/>
      <c r="LJ150" s="2"/>
      <c r="LK150" s="2"/>
      <c r="LL150" s="2"/>
      <c r="LM150" s="2"/>
      <c r="LN150" s="2"/>
      <c r="LO150" s="2"/>
      <c r="LP150" s="2"/>
      <c r="LQ150" s="2"/>
      <c r="LR150" s="2"/>
      <c r="LS150" s="2"/>
      <c r="LT150" s="2"/>
      <c r="LU150" s="2"/>
      <c r="LV150" s="2"/>
      <c r="LW150" s="2"/>
      <c r="LX150" s="2"/>
      <c r="LY150" s="2"/>
      <c r="LZ150" s="2"/>
      <c r="MA150" s="2"/>
      <c r="MB150" s="2"/>
      <c r="MC150" s="2"/>
      <c r="MD150" s="2"/>
      <c r="ME150" s="2"/>
      <c r="MF150" s="2"/>
      <c r="MG150" s="2"/>
      <c r="MH150" s="2"/>
      <c r="MI150" s="2"/>
      <c r="MJ150" s="2"/>
      <c r="MK150" s="2"/>
      <c r="ML150" s="2"/>
      <c r="MM150" s="2"/>
      <c r="MN150" s="2"/>
      <c r="MO150" s="2"/>
      <c r="MP150" s="2"/>
      <c r="MQ150" s="2"/>
      <c r="MR150" s="2"/>
      <c r="MS150" s="2"/>
      <c r="MT150" s="2"/>
      <c r="MU150" s="2"/>
      <c r="MV150" s="2"/>
      <c r="MW150" s="2"/>
      <c r="MX150" s="2"/>
      <c r="MY150" s="2"/>
      <c r="MZ150" s="2"/>
      <c r="NA150" s="2"/>
      <c r="NB150" s="2"/>
      <c r="NC150" s="2"/>
      <c r="ND150" s="2"/>
      <c r="NE150" s="2"/>
      <c r="NF150" s="2"/>
      <c r="NG150" s="2"/>
      <c r="NH150" s="2"/>
      <c r="NI150" s="2"/>
      <c r="NJ150" s="2"/>
      <c r="NK150" s="2"/>
      <c r="NL150" s="2"/>
      <c r="NM150" s="2"/>
      <c r="NN150" s="2"/>
      <c r="NO150" s="2"/>
      <c r="NP150" s="2"/>
      <c r="NQ150" s="2"/>
      <c r="NR150" s="2"/>
      <c r="NS150" s="2"/>
      <c r="NT150" s="2"/>
      <c r="NU150" s="2"/>
      <c r="NV150" s="2"/>
      <c r="NW150" s="2"/>
      <c r="NX150" s="2"/>
      <c r="NY150" s="2"/>
      <c r="NZ150" s="2"/>
      <c r="OA150" s="2"/>
      <c r="OB150" s="2"/>
      <c r="OC150" s="2"/>
      <c r="OD150" s="2"/>
      <c r="OE150" s="2"/>
      <c r="OF150" s="2"/>
      <c r="OG150" s="2"/>
      <c r="OH150" s="2"/>
      <c r="OI150" s="2"/>
      <c r="OJ150" s="2"/>
      <c r="OK150" s="2"/>
      <c r="OL150" s="2"/>
      <c r="OM150" s="2"/>
      <c r="ON150" s="2"/>
      <c r="OO150" s="2"/>
      <c r="OP150" s="2"/>
      <c r="OQ150" s="2"/>
      <c r="OR150" s="2"/>
      <c r="OS150" s="2"/>
      <c r="OT150" s="2"/>
      <c r="OU150" s="2"/>
      <c r="OV150" s="2"/>
      <c r="OW150" s="2"/>
      <c r="OX150" s="2"/>
      <c r="OY150" s="2"/>
      <c r="OZ150" s="2"/>
      <c r="PA150" s="2"/>
      <c r="PB150" s="2"/>
      <c r="PC150" s="2"/>
      <c r="PD150" s="2"/>
      <c r="PE150" s="2"/>
      <c r="PF150" s="2"/>
      <c r="PG150" s="2"/>
      <c r="PH150" s="2"/>
      <c r="PI150" s="2"/>
      <c r="PJ150" s="2"/>
      <c r="PK150" s="2"/>
      <c r="PL150" s="2"/>
      <c r="PM150" s="2"/>
      <c r="PN150" s="2"/>
      <c r="PO150" s="2"/>
      <c r="PP150" s="2"/>
      <c r="PQ150" s="2"/>
      <c r="PR150" s="2"/>
      <c r="PS150" s="2"/>
      <c r="PT150" s="2"/>
      <c r="PU150" s="2"/>
      <c r="PV150" s="2"/>
      <c r="PW150" s="2"/>
      <c r="PX150" s="2"/>
      <c r="PY150" s="2"/>
      <c r="PZ150" s="2"/>
      <c r="QA150" s="2"/>
      <c r="QB150" s="2"/>
      <c r="QC150" s="2"/>
      <c r="QD150" s="2"/>
      <c r="QE150" s="2"/>
      <c r="QF150" s="2"/>
      <c r="QG150" s="2"/>
      <c r="QH150" s="2"/>
      <c r="QI150" s="2"/>
      <c r="QJ150" s="2"/>
      <c r="QK150" s="2"/>
      <c r="QL150" s="2"/>
      <c r="QM150" s="2"/>
      <c r="QN150" s="2"/>
      <c r="QO150" s="2"/>
      <c r="QP150" s="2"/>
      <c r="QQ150" s="2"/>
      <c r="QR150" s="2"/>
      <c r="QS150" s="2"/>
      <c r="QT150" s="2"/>
      <c r="QU150" s="2"/>
      <c r="QV150" s="2"/>
      <c r="QW150" s="2"/>
      <c r="QX150" s="2"/>
      <c r="QY150" s="2"/>
      <c r="QZ150" s="2"/>
      <c r="RA150" s="2"/>
      <c r="RB150" s="2"/>
      <c r="RC150" s="2"/>
      <c r="RD150" s="2"/>
      <c r="RE150" s="2"/>
      <c r="RF150" s="2"/>
      <c r="RG150" s="2"/>
      <c r="RH150" s="2"/>
      <c r="RI150" s="2"/>
      <c r="RJ150" s="2"/>
      <c r="RK150" s="2"/>
      <c r="RL150" s="2"/>
      <c r="RM150" s="2"/>
      <c r="RN150" s="2"/>
      <c r="RO150" s="2"/>
      <c r="RP150" s="2"/>
      <c r="RQ150" s="2"/>
      <c r="RR150" s="2"/>
      <c r="RS150" s="2"/>
      <c r="RT150" s="2"/>
      <c r="RU150" s="2"/>
      <c r="RV150" s="2"/>
      <c r="RW150" s="2"/>
      <c r="RX150" s="2"/>
      <c r="RY150" s="2"/>
      <c r="RZ150" s="2"/>
      <c r="SA150" s="2"/>
      <c r="SB150" s="2"/>
      <c r="SC150" s="2"/>
      <c r="SD150" s="2"/>
      <c r="SE150" s="2"/>
      <c r="SF150" s="2"/>
      <c r="SG150" s="2"/>
      <c r="SH150" s="2"/>
      <c r="SI150" s="2"/>
      <c r="SJ150" s="2"/>
      <c r="SK150" s="2"/>
      <c r="SL150" s="2"/>
      <c r="SM150" s="2"/>
      <c r="SN150" s="2"/>
      <c r="SO150" s="2"/>
      <c r="SP150" s="2"/>
      <c r="SQ150" s="2"/>
      <c r="SR150" s="2"/>
      <c r="SS150" s="2"/>
      <c r="ST150" s="2"/>
      <c r="SU150" s="2"/>
      <c r="SV150" s="2"/>
      <c r="SW150" s="2"/>
      <c r="SX150" s="2"/>
      <c r="SY150" s="2"/>
      <c r="SZ150" s="2"/>
      <c r="TA150" s="2"/>
      <c r="TB150" s="2"/>
      <c r="TC150" s="2"/>
      <c r="TD150" s="2"/>
      <c r="TE150" s="2"/>
      <c r="TF150" s="2"/>
      <c r="TG150" s="2"/>
      <c r="TH150" s="2"/>
      <c r="TI150" s="2"/>
      <c r="TJ150" s="2"/>
      <c r="TK150" s="2"/>
      <c r="TL150" s="2"/>
      <c r="TM150" s="2"/>
      <c r="TN150" s="2"/>
      <c r="TO150" s="2"/>
      <c r="TP150" s="2"/>
      <c r="TQ150" s="2"/>
      <c r="TR150" s="2"/>
      <c r="TS150" s="2"/>
      <c r="TT150" s="2"/>
      <c r="TU150" s="2"/>
      <c r="TV150" s="2"/>
      <c r="TW150" s="2"/>
      <c r="TX150" s="2"/>
      <c r="TY150" s="2"/>
      <c r="TZ150" s="2"/>
      <c r="UA150" s="2"/>
      <c r="UB150" s="2"/>
      <c r="UC150" s="2"/>
      <c r="UD150" s="2"/>
      <c r="UE150" s="2"/>
      <c r="UF150" s="2"/>
      <c r="UG150" s="2"/>
      <c r="UH150" s="2"/>
      <c r="UI150" s="2"/>
      <c r="UJ150" s="2"/>
      <c r="UK150" s="2"/>
      <c r="UL150" s="2"/>
      <c r="UM150" s="2"/>
      <c r="UN150" s="2"/>
      <c r="UO150" s="2"/>
      <c r="UP150" s="2"/>
      <c r="UQ150" s="2"/>
      <c r="UR150" s="2"/>
      <c r="US150" s="2"/>
      <c r="UT150" s="2"/>
      <c r="UU150" s="2"/>
      <c r="UV150" s="2"/>
      <c r="UW150" s="2"/>
      <c r="UX150" s="2"/>
      <c r="UY150" s="2"/>
      <c r="UZ150" s="2"/>
      <c r="VA150" s="2"/>
      <c r="VB150" s="2"/>
      <c r="VC150" s="2"/>
      <c r="VD150" s="2"/>
      <c r="VE150" s="2"/>
      <c r="VF150" s="2"/>
      <c r="VG150" s="2"/>
      <c r="VH150" s="2"/>
      <c r="VI150" s="2"/>
      <c r="VJ150" s="2"/>
      <c r="VK150" s="2"/>
      <c r="VL150" s="2"/>
      <c r="VM150" s="2"/>
      <c r="VN150" s="2"/>
      <c r="VO150" s="2"/>
      <c r="VP150" s="2"/>
      <c r="VQ150" s="2"/>
      <c r="VR150" s="2"/>
      <c r="VS150" s="2"/>
      <c r="VT150" s="2"/>
      <c r="VU150" s="2"/>
      <c r="VV150" s="2"/>
      <c r="VW150" s="2"/>
      <c r="VX150" s="2"/>
      <c r="VY150" s="2"/>
      <c r="VZ150" s="2"/>
      <c r="WA150" s="2"/>
      <c r="WB150" s="2"/>
      <c r="WC150" s="2"/>
      <c r="WD150" s="2"/>
      <c r="WE150" s="2"/>
      <c r="WF150" s="2"/>
      <c r="WG150" s="2"/>
      <c r="WH150" s="2"/>
      <c r="WI150" s="2"/>
      <c r="WJ150" s="2"/>
      <c r="WK150" s="2"/>
      <c r="WL150" s="2"/>
      <c r="WM150" s="2"/>
      <c r="WN150" s="2"/>
      <c r="WO150" s="2"/>
      <c r="WP150" s="2"/>
      <c r="WQ150" s="2"/>
      <c r="WR150" s="2"/>
      <c r="WS150" s="2"/>
      <c r="WT150" s="2"/>
      <c r="WU150" s="2"/>
      <c r="WV150" s="2"/>
      <c r="WW150" s="2"/>
      <c r="WX150" s="2"/>
      <c r="WY150" s="2"/>
      <c r="WZ150" s="2"/>
      <c r="XA150" s="2"/>
      <c r="XB150" s="2"/>
      <c r="XC150" s="2"/>
      <c r="XD150" s="2"/>
      <c r="XE150" s="2"/>
      <c r="XF150" s="2"/>
      <c r="XG150" s="2"/>
      <c r="XH150" s="2"/>
      <c r="XI150" s="2"/>
      <c r="XJ150" s="2"/>
      <c r="XK150" s="2"/>
      <c r="XL150" s="2"/>
      <c r="XM150" s="2"/>
      <c r="XN150" s="2"/>
      <c r="XO150" s="2"/>
      <c r="XP150" s="2"/>
      <c r="XQ150" s="2"/>
      <c r="XR150" s="2"/>
      <c r="XS150" s="2"/>
      <c r="XT150" s="2"/>
      <c r="XU150" s="2"/>
      <c r="XV150" s="2"/>
      <c r="XW150" s="2"/>
      <c r="XX150" s="2"/>
      <c r="XY150" s="2"/>
      <c r="XZ150" s="2"/>
      <c r="YA150" s="2"/>
      <c r="YB150" s="2"/>
      <c r="YC150" s="2"/>
      <c r="YD150" s="2"/>
      <c r="YE150" s="2"/>
      <c r="YF150" s="2"/>
      <c r="YG150" s="2"/>
      <c r="YH150" s="2"/>
      <c r="YI150" s="2"/>
      <c r="YJ150" s="2"/>
      <c r="YK150" s="2"/>
      <c r="YL150" s="2"/>
      <c r="YM150" s="2"/>
      <c r="YN150" s="2"/>
      <c r="YO150" s="2"/>
      <c r="YP150" s="2"/>
      <c r="YQ150" s="2"/>
      <c r="YR150" s="2"/>
      <c r="YS150" s="2"/>
      <c r="YT150" s="2"/>
      <c r="YU150" s="2"/>
      <c r="YV150" s="2"/>
      <c r="YW150" s="2"/>
      <c r="YX150" s="2"/>
      <c r="YY150" s="2"/>
      <c r="YZ150" s="2"/>
      <c r="ZA150" s="2"/>
      <c r="ZB150" s="2"/>
      <c r="ZC150" s="2"/>
      <c r="ZD150" s="2"/>
      <c r="ZE150" s="2"/>
      <c r="ZF150" s="2"/>
      <c r="ZG150" s="2"/>
      <c r="ZH150" s="2"/>
      <c r="ZI150" s="2"/>
      <c r="ZJ150" s="2"/>
      <c r="ZK150" s="2"/>
      <c r="ZL150" s="2"/>
      <c r="ZM150" s="2"/>
      <c r="ZN150" s="2"/>
      <c r="ZO150" s="2"/>
      <c r="ZP150" s="2"/>
      <c r="ZQ150" s="2"/>
      <c r="ZR150" s="2"/>
      <c r="ZS150" s="2"/>
      <c r="ZT150" s="2"/>
      <c r="ZU150" s="2"/>
      <c r="ZV150" s="2"/>
      <c r="ZW150" s="2"/>
      <c r="ZX150" s="2"/>
      <c r="ZY150" s="2"/>
      <c r="ZZ150" s="2"/>
      <c r="AAA150" s="2"/>
      <c r="AAB150" s="2"/>
      <c r="AAC150" s="2"/>
      <c r="AAD150" s="2"/>
      <c r="AAE150" s="2"/>
      <c r="AAF150" s="2"/>
      <c r="AAG150" s="2"/>
      <c r="AAH150" s="2"/>
      <c r="AAI150" s="2"/>
      <c r="AAJ150" s="2"/>
      <c r="AAK150" s="2"/>
      <c r="AAL150" s="2"/>
      <c r="AAM150" s="2"/>
      <c r="AAN150" s="2"/>
      <c r="AAO150" s="2"/>
      <c r="AAP150" s="2"/>
      <c r="AAQ150" s="2"/>
      <c r="AAR150" s="2"/>
      <c r="AAS150" s="2"/>
      <c r="AAT150" s="2"/>
      <c r="AAU150" s="2"/>
      <c r="AAV150" s="2"/>
      <c r="AAW150" s="2"/>
      <c r="AAX150" s="2"/>
      <c r="AAY150" s="2"/>
      <c r="AAZ150" s="2"/>
      <c r="ABA150" s="2"/>
      <c r="ABB150" s="2"/>
      <c r="ABC150" s="2"/>
      <c r="ABD150" s="2"/>
      <c r="ABE150" s="2"/>
      <c r="ABF150" s="2"/>
      <c r="ABG150" s="2"/>
      <c r="ABH150" s="2"/>
      <c r="ABI150" s="2"/>
      <c r="ABJ150" s="2"/>
      <c r="ABK150" s="2"/>
      <c r="ABL150" s="2"/>
      <c r="ABM150" s="2"/>
      <c r="ABN150" s="2"/>
      <c r="ABO150" s="2"/>
      <c r="ABP150" s="2"/>
      <c r="ABQ150" s="2"/>
      <c r="ABR150" s="2"/>
      <c r="ABS150" s="2"/>
      <c r="ABT150" s="2"/>
      <c r="ABU150" s="2"/>
      <c r="ABV150" s="2"/>
      <c r="ABW150" s="2"/>
      <c r="ABX150" s="2"/>
      <c r="ABY150" s="2"/>
      <c r="ABZ150" s="2"/>
      <c r="ACA150" s="2"/>
      <c r="ACB150" s="2"/>
      <c r="ACC150" s="2"/>
      <c r="ACD150" s="2"/>
      <c r="ACE150" s="2"/>
      <c r="ACF150" s="2"/>
      <c r="ACG150" s="2"/>
      <c r="ACH150" s="2"/>
      <c r="ACI150" s="2"/>
      <c r="ACJ150" s="2"/>
      <c r="ACK150" s="2"/>
      <c r="ACL150" s="2"/>
      <c r="ACM150" s="2"/>
      <c r="ACN150" s="2"/>
      <c r="ACO150" s="2"/>
      <c r="ACP150" s="2"/>
      <c r="ACQ150" s="2"/>
      <c r="ACR150" s="2"/>
      <c r="ACS150" s="2"/>
      <c r="ACT150" s="2"/>
      <c r="ACU150" s="2"/>
      <c r="ACV150" s="2"/>
      <c r="ACW150" s="2"/>
      <c r="ACX150" s="2"/>
      <c r="ACY150" s="2"/>
      <c r="ACZ150" s="2"/>
      <c r="ADA150" s="2"/>
      <c r="ADB150" s="2"/>
      <c r="ADC150" s="2"/>
      <c r="ADD150" s="2"/>
      <c r="ADE150" s="2"/>
      <c r="ADF150" s="2"/>
      <c r="ADG150" s="2"/>
      <c r="ADH150" s="2"/>
      <c r="ADI150" s="2"/>
      <c r="ADJ150" s="2"/>
      <c r="ADK150" s="2"/>
      <c r="ADL150" s="2"/>
      <c r="ADM150" s="2"/>
      <c r="ADN150" s="2"/>
      <c r="ADO150" s="2"/>
      <c r="ADP150" s="2"/>
      <c r="ADQ150" s="2"/>
      <c r="ADR150" s="2"/>
      <c r="ADS150" s="2"/>
      <c r="ADT150" s="2"/>
      <c r="ADU150" s="2"/>
      <c r="ADV150" s="2"/>
      <c r="ADW150" s="2"/>
      <c r="ADX150" s="2"/>
      <c r="ADY150" s="2"/>
      <c r="ADZ150" s="2"/>
      <c r="AEA150" s="2"/>
      <c r="AEB150" s="2"/>
      <c r="AEC150" s="2"/>
      <c r="AED150" s="2"/>
      <c r="AEE150" s="2"/>
      <c r="AEF150" s="2"/>
      <c r="AEG150" s="2"/>
      <c r="AEH150" s="2"/>
      <c r="AEI150" s="2"/>
      <c r="AEJ150" s="2"/>
      <c r="AEK150" s="2"/>
      <c r="AEL150" s="2"/>
      <c r="AEM150" s="2"/>
      <c r="AEN150" s="2"/>
      <c r="AEO150" s="2"/>
      <c r="AEP150" s="2"/>
      <c r="AEQ150" s="2"/>
      <c r="AER150" s="2"/>
      <c r="AES150" s="2"/>
      <c r="AET150" s="2"/>
      <c r="AEU150" s="2"/>
      <c r="AEV150" s="2"/>
      <c r="AEW150" s="2"/>
      <c r="AEX150" s="2"/>
      <c r="AEY150" s="2"/>
      <c r="AEZ150" s="2"/>
      <c r="AFA150" s="2"/>
      <c r="AFB150" s="2"/>
      <c r="AFC150" s="2"/>
      <c r="AFD150" s="2"/>
      <c r="AFE150" s="2"/>
      <c r="AFF150" s="2"/>
      <c r="AFG150" s="2"/>
      <c r="AFH150" s="2"/>
      <c r="AFI150" s="2"/>
      <c r="AFJ150" s="2"/>
      <c r="AFK150" s="2"/>
      <c r="AFL150" s="2"/>
      <c r="AFM150" s="2"/>
      <c r="AFN150" s="2"/>
      <c r="AFO150" s="2"/>
      <c r="AFP150" s="2"/>
      <c r="AFQ150" s="2"/>
      <c r="AFR150" s="2"/>
      <c r="AFS150" s="2"/>
      <c r="AFT150" s="2"/>
      <c r="AFU150" s="2"/>
      <c r="AFV150" s="2"/>
      <c r="AFW150" s="2"/>
      <c r="AFX150" s="2"/>
      <c r="AFY150" s="2"/>
      <c r="AFZ150" s="2"/>
      <c r="AGA150" s="2"/>
      <c r="AGB150" s="2"/>
      <c r="AGC150" s="2"/>
      <c r="AGD150" s="2"/>
      <c r="AGE150" s="2"/>
      <c r="AGF150" s="2"/>
      <c r="AGG150" s="2"/>
      <c r="AGH150" s="2"/>
      <c r="AGI150" s="2"/>
      <c r="AGJ150" s="2"/>
      <c r="AGK150" s="2"/>
      <c r="AGL150" s="2"/>
      <c r="AGM150" s="2"/>
      <c r="AGN150" s="2"/>
      <c r="AGO150" s="2"/>
      <c r="AGP150" s="2"/>
      <c r="AGQ150" s="2"/>
      <c r="AGR150" s="2"/>
      <c r="AGS150" s="2"/>
      <c r="AGT150" s="2"/>
      <c r="AGU150" s="2"/>
      <c r="AGV150" s="2"/>
      <c r="AGW150" s="2"/>
      <c r="AGX150" s="2"/>
      <c r="AGY150" s="2"/>
      <c r="AGZ150" s="2"/>
      <c r="AHA150" s="2"/>
      <c r="AHB150" s="2"/>
      <c r="AHC150" s="2"/>
      <c r="AHD150" s="2"/>
      <c r="AHE150" s="2"/>
      <c r="AHF150" s="2"/>
      <c r="AHG150" s="2"/>
      <c r="AHH150" s="2"/>
      <c r="AHI150" s="2"/>
      <c r="AHJ150" s="2"/>
      <c r="AHK150" s="2"/>
      <c r="AHL150" s="2"/>
      <c r="AHM150" s="2"/>
      <c r="AHN150" s="2"/>
      <c r="AHO150" s="2"/>
      <c r="AHP150" s="2"/>
      <c r="AHQ150" s="2"/>
      <c r="AHR150" s="2"/>
      <c r="AHS150" s="2"/>
      <c r="AHT150" s="2"/>
      <c r="AHU150" s="2"/>
      <c r="AHV150" s="2"/>
      <c r="AHW150" s="2"/>
      <c r="AHX150" s="2"/>
      <c r="AHY150" s="2"/>
      <c r="AHZ150" s="2"/>
      <c r="AIA150" s="2"/>
      <c r="AIB150" s="2"/>
      <c r="AIC150" s="2"/>
      <c r="AID150" s="2"/>
      <c r="AIE150" s="2"/>
      <c r="AIF150" s="2"/>
      <c r="AIG150" s="2"/>
      <c r="AIH150" s="2"/>
      <c r="AII150" s="2"/>
      <c r="AIJ150" s="2"/>
      <c r="AIK150" s="2"/>
      <c r="AIL150" s="2"/>
      <c r="AIM150" s="2"/>
      <c r="AIN150" s="2"/>
      <c r="AIO150" s="2"/>
      <c r="AIP150" s="2"/>
      <c r="AIQ150" s="2"/>
      <c r="AIR150" s="2"/>
      <c r="AIS150" s="2"/>
      <c r="AIT150" s="2"/>
      <c r="AIU150" s="2"/>
      <c r="AIV150" s="2"/>
      <c r="AIW150" s="2"/>
      <c r="AIX150" s="2"/>
      <c r="AIY150" s="2"/>
      <c r="AIZ150" s="2"/>
      <c r="AJA150" s="2"/>
      <c r="AJB150" s="2"/>
      <c r="AJC150" s="2"/>
      <c r="AJD150" s="2"/>
      <c r="AJE150" s="2"/>
      <c r="AJF150" s="2"/>
      <c r="AJG150" s="2"/>
      <c r="AJH150" s="2"/>
      <c r="AJI150" s="2"/>
      <c r="AJJ150" s="2"/>
      <c r="AJK150" s="2"/>
      <c r="AJL150" s="2"/>
      <c r="AJM150" s="2"/>
      <c r="AJN150" s="2"/>
      <c r="AJO150" s="2"/>
      <c r="AJP150" s="2"/>
      <c r="AJQ150" s="2"/>
      <c r="AJR150" s="2"/>
      <c r="AJS150" s="2"/>
      <c r="AJT150" s="2"/>
      <c r="AJU150" s="2"/>
      <c r="AJV150" s="2"/>
      <c r="AJW150" s="2"/>
      <c r="AJX150" s="2"/>
      <c r="AJY150" s="2"/>
      <c r="AJZ150" s="2"/>
      <c r="AKA150" s="2"/>
      <c r="AKB150" s="2"/>
      <c r="AKC150" s="2"/>
      <c r="AKD150" s="2"/>
      <c r="AKE150" s="2"/>
      <c r="AKF150" s="2"/>
      <c r="AKG150" s="2"/>
      <c r="AKH150" s="2"/>
      <c r="AKI150" s="2"/>
      <c r="AKJ150" s="2"/>
      <c r="AKK150" s="2"/>
      <c r="AKL150" s="2"/>
      <c r="AKM150" s="2"/>
      <c r="AKN150" s="2"/>
      <c r="AKO150" s="2"/>
      <c r="AKP150" s="2"/>
      <c r="AKQ150" s="2"/>
      <c r="AKR150" s="2"/>
      <c r="AKS150" s="2"/>
      <c r="AKT150" s="2"/>
      <c r="AKU150" s="2"/>
      <c r="AKV150" s="2"/>
      <c r="AKW150" s="2"/>
      <c r="AKX150" s="2"/>
      <c r="AKY150" s="2"/>
      <c r="AKZ150" s="2"/>
      <c r="ALA150" s="2"/>
      <c r="ALB150" s="2"/>
      <c r="ALC150" s="2"/>
      <c r="ALD150" s="2"/>
      <c r="ALE150" s="2"/>
      <c r="ALF150" s="2"/>
      <c r="ALG150" s="2"/>
      <c r="ALH150" s="2"/>
      <c r="ALI150" s="2"/>
      <c r="ALJ150" s="2"/>
      <c r="ALK150" s="2"/>
      <c r="ALL150" s="2"/>
      <c r="ALM150" s="2"/>
      <c r="ALN150" s="2"/>
      <c r="ALO150" s="2"/>
      <c r="ALP150" s="2"/>
      <c r="ALQ150" s="2"/>
      <c r="ALR150" s="2"/>
      <c r="ALS150" s="2"/>
      <c r="ALT150" s="2"/>
      <c r="ALU150" s="2"/>
      <c r="ALV150" s="2"/>
      <c r="ALW150" s="2"/>
      <c r="ALX150" s="2"/>
      <c r="ALY150" s="2"/>
      <c r="ALZ150" s="2"/>
      <c r="AMA150" s="2"/>
      <c r="AMB150" s="2"/>
      <c r="AMC150" s="2"/>
      <c r="AMD150" s="2"/>
      <c r="AME150" s="2"/>
      <c r="AMF150" s="2"/>
      <c r="AMG150" s="2"/>
      <c r="AMH150" s="2"/>
      <c r="AMI150" s="2"/>
      <c r="AMJ150" s="2"/>
      <c r="AMK150" s="2"/>
      <c r="AML150" s="2"/>
      <c r="AMM150" s="2"/>
      <c r="AMN150" s="2"/>
      <c r="AMO150" s="2"/>
    </row>
    <row r="151" spans="1:1029" x14ac:dyDescent="0.2">
      <c r="A151" s="3" t="str">
        <f>CONCATENATE(B151,"_",C151)</f>
        <v>agtr1_human_4ZUD</v>
      </c>
      <c r="B151" s="3" t="s">
        <v>158</v>
      </c>
      <c r="C151" s="3" t="s">
        <v>1330</v>
      </c>
      <c r="D151" s="3" t="str">
        <f>IFERROR(MID(VLOOKUP($B151,Seqs!$A:$B,2,0),E151,1),"")</f>
        <v>H</v>
      </c>
      <c r="E151" s="3">
        <v>24</v>
      </c>
      <c r="F151" s="3" t="str">
        <f>IFERROR(MID(VLOOKUP($B151,Seqs!$A:$B,2,0),G151,1),"")</f>
        <v>Y</v>
      </c>
      <c r="G151" s="3">
        <v>56</v>
      </c>
      <c r="H151" s="3" t="str">
        <f>IFERROR(MID(VLOOKUP($B151,Seqs!$A:$B,2,0),I151,1),"")</f>
        <v>M</v>
      </c>
      <c r="I151" s="23">
        <v>57</v>
      </c>
      <c r="J151" s="3" t="str">
        <f>IFERROR(MID(VLOOKUP($B151,Seqs!$A:$B,2,0),K151,1),"")</f>
        <v>K</v>
      </c>
      <c r="K151" s="23">
        <v>60</v>
      </c>
      <c r="L151" s="3" t="str">
        <f>IFERROR(MID(VLOOKUP($B151,Seqs!$A:$B,2,0),M151,1),"")</f>
        <v>T</v>
      </c>
      <c r="M151" s="3">
        <v>61</v>
      </c>
      <c r="N151" s="3" t="str">
        <f>IFERROR(MID(VLOOKUP($B151,Seqs!$A:$B,2,0),O151,1),"")</f>
        <v>E</v>
      </c>
      <c r="O151" s="3">
        <v>91</v>
      </c>
      <c r="P151" s="3" t="str">
        <f>IFERROR(MID(VLOOKUP($B151,Seqs!$A:$B,2,0),Q151,1),"")</f>
        <v>R</v>
      </c>
      <c r="Q151" s="3">
        <v>93</v>
      </c>
      <c r="R151" s="3" t="str">
        <f>IFERROR(MID(VLOOKUP($B151,Seqs!$A:$B,2,0),S151,1),"")</f>
        <v>F</v>
      </c>
      <c r="S151" s="3">
        <v>96</v>
      </c>
      <c r="T151" s="3" t="str">
        <f>IFERROR(MID(VLOOKUP($B151,Seqs!$A:$B,2,0),U151,1),"")</f>
        <v>G</v>
      </c>
      <c r="U151" s="3">
        <v>97</v>
      </c>
      <c r="V151" s="3" t="str">
        <f>IFERROR(MID(VLOOKUP($B151,Seqs!$A:$B,2,0),W151,1),"")</f>
        <v>H</v>
      </c>
      <c r="W151" s="3">
        <v>132</v>
      </c>
      <c r="X151" s="3" t="str">
        <f>IFERROR(MID(VLOOKUP($B151,Seqs!$A:$B,2,0),Y151,1),"")</f>
        <v/>
      </c>
      <c r="Y151" s="3" t="s">
        <v>23</v>
      </c>
      <c r="Z151" s="3" t="str">
        <f>IFERROR(MID(VLOOKUP($B151,Seqs!$A:$B,2,0),AA151,1),"")</f>
        <v/>
      </c>
      <c r="AA151" s="3" t="s">
        <v>23</v>
      </c>
      <c r="AB151" s="3" t="str">
        <f>IFERROR(MID(VLOOKUP($B151,Seqs!$A:$B,2,0),AC151,1),"")</f>
        <v>M</v>
      </c>
      <c r="AC151" s="9">
        <v>142</v>
      </c>
      <c r="AD151" s="3" t="str">
        <f>IFERROR(MID(VLOOKUP($B151,Seqs!$A:$B,2,0),AE151,1),"")</f>
        <v>R</v>
      </c>
      <c r="AE151" s="3">
        <v>167</v>
      </c>
      <c r="AF151" s="3" t="str">
        <f>IFERROR(MID(VLOOKUP($B151,Seqs!$A:$B,2,0),AG151,1),"")</f>
        <v>C</v>
      </c>
      <c r="AG151" s="3">
        <v>180</v>
      </c>
      <c r="AH151" s="3" t="str">
        <f>IFERROR(MID(VLOOKUP($B151,Seqs!$A:$B,2,0),AI151,1),"")</f>
        <v>F</v>
      </c>
      <c r="AI151" s="3">
        <v>182</v>
      </c>
      <c r="AJ151" s="3" t="str">
        <f>IFERROR(MID(VLOOKUP($B151,Seqs!$A:$B,2,0),AK151,1),"")</f>
        <v>L</v>
      </c>
      <c r="AK151" s="3">
        <v>191</v>
      </c>
      <c r="AL151" s="3" t="str">
        <f>IFERROR(MID(VLOOKUP($B151,Seqs!$A:$B,2,0),AM151,1),"")</f>
        <v>L</v>
      </c>
      <c r="AM151" s="3">
        <v>222</v>
      </c>
      <c r="AN151" s="3" t="str">
        <f>IFERROR(MID(VLOOKUP($B151,Seqs!$A:$B,2,0),AO151,1),"")</f>
        <v>D</v>
      </c>
      <c r="AO151" s="3">
        <v>236</v>
      </c>
      <c r="AP151" s="3" t="str">
        <f>IFERROR(MID(VLOOKUP($B151,Seqs!$A:$B,2,0),AQ151,1),"")</f>
        <v>G</v>
      </c>
      <c r="AQ151" s="3">
        <v>269</v>
      </c>
      <c r="AR151" s="3" t="str">
        <f>IFERROR(MID(VLOOKUP($B151,Seqs!$A:$B,2,0),AS151,1),"")</f>
        <v>D</v>
      </c>
      <c r="AS151" s="3">
        <v>273</v>
      </c>
      <c r="AT151" s="3" t="str">
        <f>IFERROR(MID(VLOOKUP($B151,Seqs!$A:$B,2,0),AU151,1),"")</f>
        <v>F</v>
      </c>
      <c r="AU151" s="3">
        <v>304</v>
      </c>
      <c r="AV151" s="3" t="str">
        <f>IFERROR(MID(VLOOKUP($B151,Seqs!$A:$B,2,0),AW151,1),"")</f>
        <v/>
      </c>
      <c r="AW151" s="3" t="s">
        <v>23</v>
      </c>
      <c r="AX151" s="3" t="str">
        <f>IFERROR(MID(VLOOKUP($B151,Seqs!$A:$B,2,0),AY151,1),"")</f>
        <v/>
      </c>
      <c r="AY151" s="3" t="s">
        <v>23</v>
      </c>
      <c r="AZ151" s="77" t="str">
        <f>VLOOKUP(B151,Classification!A:D,2,0)</f>
        <v>A</v>
      </c>
      <c r="BA151" s="94" t="str">
        <f>VLOOKUP(B151,Classification!A:D,4,0)</f>
        <v>Angiotensin</v>
      </c>
      <c r="BB151" s="27" t="b">
        <f t="shared" si="1007"/>
        <v>1</v>
      </c>
      <c r="BC151" s="23">
        <f t="shared" si="785"/>
        <v>237</v>
      </c>
      <c r="BD151" s="2" t="s">
        <v>1370</v>
      </c>
      <c r="BE151" s="3" t="s">
        <v>1368</v>
      </c>
      <c r="BF151" s="118">
        <v>2.8</v>
      </c>
      <c r="BG151" s="49" t="s">
        <v>1371</v>
      </c>
      <c r="BH151" s="49" t="s">
        <v>1371</v>
      </c>
      <c r="BI151" s="1"/>
      <c r="BJ151" s="70" t="s">
        <v>1281</v>
      </c>
      <c r="BK151" s="57" t="s">
        <v>1281</v>
      </c>
      <c r="BL151" s="57" t="s">
        <v>1281</v>
      </c>
      <c r="BM151" s="57" t="s">
        <v>1281</v>
      </c>
      <c r="BN151" s="57" t="s">
        <v>1281</v>
      </c>
      <c r="BO151" s="57" t="s">
        <v>1281</v>
      </c>
      <c r="BP151" s="57" t="s">
        <v>1281</v>
      </c>
      <c r="BQ151" s="57" t="s">
        <v>1281</v>
      </c>
      <c r="BR151" s="57" t="s">
        <v>1281</v>
      </c>
      <c r="BS151" s="57" t="s">
        <v>1281</v>
      </c>
      <c r="BT151" s="57" t="s">
        <v>1281</v>
      </c>
      <c r="BU151" s="57" t="s">
        <v>1281</v>
      </c>
      <c r="BV151" s="70">
        <f>E151</f>
        <v>24</v>
      </c>
      <c r="BW151" s="71">
        <f>I151</f>
        <v>57</v>
      </c>
      <c r="BX151" s="72">
        <f>M151</f>
        <v>61</v>
      </c>
      <c r="BY151" s="71">
        <f>Q151</f>
        <v>93</v>
      </c>
      <c r="BZ151" s="72">
        <f>U151</f>
        <v>97</v>
      </c>
      <c r="CA151" s="71" t="str">
        <f>Y151</f>
        <v>-</v>
      </c>
      <c r="CB151" s="72">
        <f>AC151</f>
        <v>142</v>
      </c>
      <c r="CC151" s="71">
        <f>AG151</f>
        <v>180</v>
      </c>
      <c r="CD151" s="72">
        <f>AK151</f>
        <v>191</v>
      </c>
      <c r="CE151" s="71">
        <f>AO151</f>
        <v>236</v>
      </c>
      <c r="CF151" s="72">
        <f>AS151</f>
        <v>273</v>
      </c>
      <c r="CG151" s="71" t="str">
        <f>AW151</f>
        <v>-</v>
      </c>
      <c r="CH151" s="70">
        <f>G151</f>
        <v>56</v>
      </c>
      <c r="CI151" s="71">
        <f>K151</f>
        <v>60</v>
      </c>
      <c r="CJ151" s="72">
        <f>O151</f>
        <v>91</v>
      </c>
      <c r="CK151" s="72">
        <f>S151</f>
        <v>96</v>
      </c>
      <c r="CL151" s="72">
        <f>W151</f>
        <v>132</v>
      </c>
      <c r="CM151" s="72" t="str">
        <f>AA151</f>
        <v>-</v>
      </c>
      <c r="CN151" s="72">
        <f>AE151</f>
        <v>167</v>
      </c>
      <c r="CO151" s="72">
        <f>AI151</f>
        <v>182</v>
      </c>
      <c r="CP151" s="72">
        <f>AM151</f>
        <v>222</v>
      </c>
      <c r="CQ151" s="72">
        <f>AQ151</f>
        <v>269</v>
      </c>
      <c r="CR151" s="72">
        <f>AU151</f>
        <v>304</v>
      </c>
      <c r="CS151" s="72" t="str">
        <f>AY151</f>
        <v>-</v>
      </c>
      <c r="CT151" s="23">
        <f>M151-K151</f>
        <v>1</v>
      </c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  <c r="AMK151" s="1"/>
      <c r="AML151" s="1"/>
      <c r="AMM151" s="1"/>
      <c r="AMN151" s="1"/>
      <c r="AMO151" s="1"/>
    </row>
    <row r="152" spans="1:1029" s="12" customFormat="1" x14ac:dyDescent="0.2">
      <c r="A152" s="9" t="str">
        <f>CONCATENATE(B152,"_",C152)</f>
        <v>agtr1_human_6DO1</v>
      </c>
      <c r="B152" s="9" t="s">
        <v>158</v>
      </c>
      <c r="C152" s="9" t="s">
        <v>1549</v>
      </c>
      <c r="D152" s="9" t="str">
        <f>IFERROR(MID(VLOOKUP($B152,Seqs!$A:$B,2,0),E152,1),"")</f>
        <v>H</v>
      </c>
      <c r="E152" s="9">
        <v>24</v>
      </c>
      <c r="F152" s="9" t="str">
        <f>IFERROR(MID(VLOOKUP($B152,Seqs!$A:$B,2,0),G152,1),"")</f>
        <v>Y</v>
      </c>
      <c r="G152" s="9">
        <v>56</v>
      </c>
      <c r="H152" s="9" t="str">
        <f>IFERROR(MID(VLOOKUP($B152,Seqs!$A:$B,2,0),I152,1),"")</f>
        <v/>
      </c>
      <c r="I152" s="109" t="s">
        <v>23</v>
      </c>
      <c r="J152" s="9" t="str">
        <f>IFERROR(MID(VLOOKUP($B152,Seqs!$A:$B,2,0),K152,1),"")</f>
        <v/>
      </c>
      <c r="K152" s="109" t="s">
        <v>23</v>
      </c>
      <c r="L152" s="9" t="str">
        <f>IFERROR(MID(VLOOKUP($B152,Seqs!$A:$B,2,0),M152,1),"")</f>
        <v>T</v>
      </c>
      <c r="M152" s="9">
        <v>61</v>
      </c>
      <c r="N152" s="9" t="str">
        <f>IFERROR(MID(VLOOKUP($B152,Seqs!$A:$B,2,0),O152,1),"")</f>
        <v>E</v>
      </c>
      <c r="O152" s="9">
        <v>91</v>
      </c>
      <c r="P152" s="9" t="str">
        <f>IFERROR(MID(VLOOKUP($B152,Seqs!$A:$B,2,0),Q152,1),"")</f>
        <v>R</v>
      </c>
      <c r="Q152" s="9">
        <v>93</v>
      </c>
      <c r="R152" s="9" t="str">
        <f>IFERROR(MID(VLOOKUP($B152,Seqs!$A:$B,2,0),S152,1),"")</f>
        <v>F</v>
      </c>
      <c r="S152" s="9">
        <v>96</v>
      </c>
      <c r="T152" s="9" t="str">
        <f>IFERROR(MID(VLOOKUP($B152,Seqs!$A:$B,2,0),U152,1),"")</f>
        <v>G</v>
      </c>
      <c r="U152" s="9">
        <v>97</v>
      </c>
      <c r="V152" s="9" t="str">
        <f>IFERROR(MID(VLOOKUP($B152,Seqs!$A:$B,2,0),W152,1),"")</f>
        <v>H</v>
      </c>
      <c r="W152" s="9">
        <v>132</v>
      </c>
      <c r="X152" s="9" t="str">
        <f>IFERROR(MID(VLOOKUP($B152,Seqs!$A:$B,2,0),Y152,1),"")</f>
        <v>P</v>
      </c>
      <c r="Y152" s="9">
        <v>133</v>
      </c>
      <c r="Z152" s="9" t="str">
        <f>IFERROR(MID(VLOOKUP($B152,Seqs!$A:$B,2,0),AA152,1),"")</f>
        <v>R</v>
      </c>
      <c r="AA152" s="9">
        <v>140</v>
      </c>
      <c r="AB152" s="9" t="str">
        <f>IFERROR(MID(VLOOKUP($B152,Seqs!$A:$B,2,0),AC152,1),"")</f>
        <v>T</v>
      </c>
      <c r="AC152" s="9">
        <v>141</v>
      </c>
      <c r="AD152" s="9" t="str">
        <f>IFERROR(MID(VLOOKUP($B152,Seqs!$A:$B,2,0),AE152,1),"")</f>
        <v>R</v>
      </c>
      <c r="AE152" s="9">
        <v>167</v>
      </c>
      <c r="AF152" s="9" t="str">
        <f>IFERROR(MID(VLOOKUP($B152,Seqs!$A:$B,2,0),AG152,1),"")</f>
        <v>C</v>
      </c>
      <c r="AG152" s="9">
        <v>180</v>
      </c>
      <c r="AH152" s="9" t="str">
        <f>IFERROR(MID(VLOOKUP($B152,Seqs!$A:$B,2,0),AI152,1),"")</f>
        <v>F</v>
      </c>
      <c r="AI152" s="9">
        <v>182</v>
      </c>
      <c r="AJ152" s="9" t="str">
        <f>IFERROR(MID(VLOOKUP($B152,Seqs!$A:$B,2,0),AK152,1),"")</f>
        <v>P</v>
      </c>
      <c r="AK152" s="9">
        <v>192</v>
      </c>
      <c r="AL152" s="9" t="str">
        <f>IFERROR(MID(VLOOKUP($B152,Seqs!$A:$B,2,0),AM152,1),"")</f>
        <v>N</v>
      </c>
      <c r="AM152" s="9">
        <v>231</v>
      </c>
      <c r="AN152" s="9" t="str">
        <f>IFERROR(MID(VLOOKUP($B152,Seqs!$A:$B,2,0),AO152,1),"")</f>
        <v>T</v>
      </c>
      <c r="AO152" s="9">
        <v>336</v>
      </c>
      <c r="AP152" s="9" t="str">
        <f>IFERROR(MID(VLOOKUP($B152,Seqs!$A:$B,2,0),AQ152,1),"")</f>
        <v/>
      </c>
      <c r="AQ152" s="9">
        <v>368</v>
      </c>
      <c r="AR152" s="9" t="str">
        <f>IFERROR(MID(VLOOKUP($B152,Seqs!$A:$B,2,0),AS152,1),"")</f>
        <v/>
      </c>
      <c r="AS152" s="9">
        <v>372</v>
      </c>
      <c r="AT152" s="9" t="str">
        <f>IFERROR(MID(VLOOKUP($B152,Seqs!$A:$B,2,0),AU152,1),"")</f>
        <v/>
      </c>
      <c r="AU152" s="9">
        <v>404</v>
      </c>
      <c r="AV152" s="9" t="str">
        <f>IFERROR(MID(VLOOKUP($B152,Seqs!$A:$B,2,0),AW152,1),"")</f>
        <v/>
      </c>
      <c r="AW152" s="9">
        <v>405</v>
      </c>
      <c r="AX152" s="9" t="str">
        <f>IFERROR(MID(VLOOKUP($B152,Seqs!$A:$B,2,0),AY152,1),"")</f>
        <v/>
      </c>
      <c r="AY152" s="9">
        <v>416</v>
      </c>
      <c r="AZ152" s="110" t="str">
        <f>VLOOKUP(B152,Classification!A:D,2,0)</f>
        <v>A</v>
      </c>
      <c r="BA152" s="98" t="str">
        <f>VLOOKUP(B152,Classification!A:D,4,0)</f>
        <v>Angiotensin</v>
      </c>
      <c r="BB152" s="36" t="b">
        <f t="shared" ref="BB152" si="1012">AND(E152&lt;G152,OR(G152&lt;I152,I152="-"),OR(I152&lt;K152,I152="-"),OR(K152&lt;M152,K152="-"),M152&lt;O152,OR(O152&lt;Q152,Q152="-"),OR(Q152&lt;S152,Q152="-"),OR(S152&lt;U152,S152="-"),U152&lt;W152,OR(W152&lt;Y152,Y152="-"),OR(Y152&lt;AA152,Y152="-"),OR(AA152&lt;AC152,AA152="-"),AC152&lt;AE152,OR(AE152&lt;AG152,AG152="-"),OR(AG152&lt;AI152,AG152="-"),OR(AI152&lt;AK152,AI152="-"),AK152&lt;AM152,AM152&lt;AO152,AO152&lt;AQ152,AQ152&lt;AS152,AS152&lt;AU152,OR(AU152&lt;AW152,AW152="-"),OR(AW152&lt;AY152,AW152="-"))</f>
        <v>1</v>
      </c>
      <c r="BC152" s="109">
        <f t="shared" ref="BC152" si="1013">_xlfn.AGGREGATE(9,6,CH152:CS152)-_xlfn.AGGREGATE(9,6,BV152:CG152)+12</f>
        <v>261</v>
      </c>
      <c r="BD152" s="40" t="s">
        <v>1369</v>
      </c>
      <c r="BE152" s="9" t="s">
        <v>1285</v>
      </c>
      <c r="BF152" s="119">
        <v>2.9</v>
      </c>
      <c r="BG152" s="51" t="s">
        <v>1</v>
      </c>
      <c r="BH152" s="51" t="s">
        <v>1</v>
      </c>
      <c r="BJ152" s="111" t="s">
        <v>1281</v>
      </c>
      <c r="BK152" s="112" t="s">
        <v>1281</v>
      </c>
      <c r="BL152" s="112" t="s">
        <v>1281</v>
      </c>
      <c r="BM152" s="112" t="s">
        <v>1281</v>
      </c>
      <c r="BN152" s="112" t="s">
        <v>1281</v>
      </c>
      <c r="BO152" s="112" t="s">
        <v>1281</v>
      </c>
      <c r="BP152" s="112" t="s">
        <v>1281</v>
      </c>
      <c r="BQ152" s="112" t="s">
        <v>1281</v>
      </c>
      <c r="BR152" s="112" t="s">
        <v>1281</v>
      </c>
      <c r="BS152" s="112" t="s">
        <v>1281</v>
      </c>
      <c r="BT152" s="112" t="s">
        <v>1281</v>
      </c>
      <c r="BU152" s="112" t="s">
        <v>1281</v>
      </c>
      <c r="BV152" s="111">
        <f>E152</f>
        <v>24</v>
      </c>
      <c r="BW152" s="113" t="str">
        <f>I152</f>
        <v>-</v>
      </c>
      <c r="BX152" s="114">
        <f>M152</f>
        <v>61</v>
      </c>
      <c r="BY152" s="113">
        <f>Q152</f>
        <v>93</v>
      </c>
      <c r="BZ152" s="114">
        <f>U152</f>
        <v>97</v>
      </c>
      <c r="CA152" s="113">
        <f>Y152</f>
        <v>133</v>
      </c>
      <c r="CB152" s="114">
        <f>AC152</f>
        <v>141</v>
      </c>
      <c r="CC152" s="113">
        <f>AG152</f>
        <v>180</v>
      </c>
      <c r="CD152" s="114">
        <f>AK152</f>
        <v>192</v>
      </c>
      <c r="CE152" s="113">
        <f>AO152</f>
        <v>336</v>
      </c>
      <c r="CF152" s="114">
        <f>AS152</f>
        <v>372</v>
      </c>
      <c r="CG152" s="113">
        <f>AW152</f>
        <v>405</v>
      </c>
      <c r="CH152" s="111">
        <f>G152</f>
        <v>56</v>
      </c>
      <c r="CI152" s="113" t="str">
        <f>K152</f>
        <v>-</v>
      </c>
      <c r="CJ152" s="114">
        <f>O152</f>
        <v>91</v>
      </c>
      <c r="CK152" s="114">
        <f>S152</f>
        <v>96</v>
      </c>
      <c r="CL152" s="114">
        <f>W152</f>
        <v>132</v>
      </c>
      <c r="CM152" s="114">
        <f>AA152</f>
        <v>140</v>
      </c>
      <c r="CN152" s="114">
        <f>AE152</f>
        <v>167</v>
      </c>
      <c r="CO152" s="114">
        <f>AI152</f>
        <v>182</v>
      </c>
      <c r="CP152" s="114">
        <f>AM152</f>
        <v>231</v>
      </c>
      <c r="CQ152" s="114">
        <f>AQ152</f>
        <v>368</v>
      </c>
      <c r="CR152" s="114">
        <f>AU152</f>
        <v>404</v>
      </c>
      <c r="CS152" s="114">
        <f>AY152</f>
        <v>416</v>
      </c>
      <c r="CT152" s="109" t="e">
        <f>M152-K152</f>
        <v>#VALUE!</v>
      </c>
    </row>
    <row r="153" spans="1:1029" s="12" customFormat="1" x14ac:dyDescent="0.2">
      <c r="A153" s="9" t="str">
        <f>CONCATENATE(B153,"_",C153)</f>
        <v>agtr1_human_6OS0</v>
      </c>
      <c r="B153" s="9" t="s">
        <v>158</v>
      </c>
      <c r="C153" s="9" t="s">
        <v>1653</v>
      </c>
      <c r="D153" s="9" t="str">
        <f>IFERROR(MID(VLOOKUP($B153,Seqs!$A:$B,2,0),E153,1),"")</f>
        <v>H</v>
      </c>
      <c r="E153" s="9">
        <v>24</v>
      </c>
      <c r="F153" s="9" t="str">
        <f>IFERROR(MID(VLOOKUP($B153,Seqs!$A:$B,2,0),G153,1),"")</f>
        <v>Y</v>
      </c>
      <c r="G153" s="9">
        <v>56</v>
      </c>
      <c r="H153" s="9" t="str">
        <f>IFERROR(MID(VLOOKUP($B153,Seqs!$A:$B,2,0),I153,1),"")</f>
        <v/>
      </c>
      <c r="I153" s="109" t="s">
        <v>23</v>
      </c>
      <c r="J153" s="9" t="str">
        <f>IFERROR(MID(VLOOKUP($B153,Seqs!$A:$B,2,0),K153,1),"")</f>
        <v/>
      </c>
      <c r="K153" s="109" t="s">
        <v>23</v>
      </c>
      <c r="L153" s="9" t="str">
        <f>IFERROR(MID(VLOOKUP($B153,Seqs!$A:$B,2,0),M153,1),"")</f>
        <v>T</v>
      </c>
      <c r="M153" s="9">
        <v>61</v>
      </c>
      <c r="N153" s="9" t="str">
        <f>IFERROR(MID(VLOOKUP($B153,Seqs!$A:$B,2,0),O153,1),"")</f>
        <v>E</v>
      </c>
      <c r="O153" s="9">
        <v>91</v>
      </c>
      <c r="P153" s="9" t="str">
        <f>IFERROR(MID(VLOOKUP($B153,Seqs!$A:$B,2,0),Q153,1),"")</f>
        <v>R</v>
      </c>
      <c r="Q153" s="9">
        <v>93</v>
      </c>
      <c r="R153" s="9" t="str">
        <f>IFERROR(MID(VLOOKUP($B153,Seqs!$A:$B,2,0),S153,1),"")</f>
        <v>F</v>
      </c>
      <c r="S153" s="9">
        <v>96</v>
      </c>
      <c r="T153" s="9" t="str">
        <f>IFERROR(MID(VLOOKUP($B153,Seqs!$A:$B,2,0),U153,1),"")</f>
        <v>G</v>
      </c>
      <c r="U153" s="9">
        <v>97</v>
      </c>
      <c r="V153" s="9" t="str">
        <f>IFERROR(MID(VLOOKUP($B153,Seqs!$A:$B,2,0),W153,1),"")</f>
        <v>H</v>
      </c>
      <c r="W153" s="9">
        <v>132</v>
      </c>
      <c r="X153" s="9" t="str">
        <f>IFERROR(MID(VLOOKUP($B153,Seqs!$A:$B,2,0),Y153,1),"")</f>
        <v>P</v>
      </c>
      <c r="Y153" s="9">
        <v>133</v>
      </c>
      <c r="Z153" s="9" t="str">
        <f>IFERROR(MID(VLOOKUP($B153,Seqs!$A:$B,2,0),AA153,1),"")</f>
        <v>R</v>
      </c>
      <c r="AA153" s="9">
        <v>140</v>
      </c>
      <c r="AB153" s="9" t="str">
        <f>IFERROR(MID(VLOOKUP($B153,Seqs!$A:$B,2,0),AC153,1),"")</f>
        <v>T</v>
      </c>
      <c r="AC153" s="9">
        <v>141</v>
      </c>
      <c r="AD153" s="9" t="str">
        <f>IFERROR(MID(VLOOKUP($B153,Seqs!$A:$B,2,0),AE153,1),"")</f>
        <v>H</v>
      </c>
      <c r="AE153" s="9">
        <v>166</v>
      </c>
      <c r="AF153" s="9" t="str">
        <f>IFERROR(MID(VLOOKUP($B153,Seqs!$A:$B,2,0),AG153,1),"")</f>
        <v>C</v>
      </c>
      <c r="AG153" s="9">
        <v>180</v>
      </c>
      <c r="AH153" s="9" t="str">
        <f>IFERROR(MID(VLOOKUP($B153,Seqs!$A:$B,2,0),AI153,1),"")</f>
        <v>F</v>
      </c>
      <c r="AI153" s="9">
        <v>182</v>
      </c>
      <c r="AJ153" s="9" t="str">
        <f>IFERROR(MID(VLOOKUP($B153,Seqs!$A:$B,2,0),AK153,1),"")</f>
        <v>I</v>
      </c>
      <c r="AK153" s="9">
        <v>193</v>
      </c>
      <c r="AL153" s="9" t="str">
        <f>IFERROR(MID(VLOOKUP($B153,Seqs!$A:$B,2,0),AM153,1),"")</f>
        <v>Y</v>
      </c>
      <c r="AM153" s="9">
        <v>226</v>
      </c>
      <c r="AN153" s="9" t="str">
        <f>IFERROR(MID(VLOOKUP($B153,Seqs!$A:$B,2,0),AO153,1),"")</f>
        <v/>
      </c>
      <c r="AO153" s="9">
        <v>1237</v>
      </c>
      <c r="AP153" s="9" t="str">
        <f>IFERROR(MID(VLOOKUP($B153,Seqs!$A:$B,2,0),AQ153,1),"")</f>
        <v/>
      </c>
      <c r="AQ153" s="9">
        <v>1268</v>
      </c>
      <c r="AR153" s="9" t="str">
        <f>IFERROR(MID(VLOOKUP($B153,Seqs!$A:$B,2,0),AS153,1),"")</f>
        <v/>
      </c>
      <c r="AS153" s="9">
        <v>1273</v>
      </c>
      <c r="AT153" s="9" t="str">
        <f>IFERROR(MID(VLOOKUP($B153,Seqs!$A:$B,2,0),AU153,1),"")</f>
        <v/>
      </c>
      <c r="AU153" s="9">
        <v>1305</v>
      </c>
      <c r="AV153" s="9" t="str">
        <f>IFERROR(MID(VLOOKUP($B153,Seqs!$A:$B,2,0),AW153,1),"")</f>
        <v/>
      </c>
      <c r="AW153" s="9">
        <v>1306</v>
      </c>
      <c r="AX153" s="9" t="str">
        <f>IFERROR(MID(VLOOKUP($B153,Seqs!$A:$B,2,0),AY153,1),"")</f>
        <v/>
      </c>
      <c r="AY153" s="9">
        <v>1316</v>
      </c>
      <c r="AZ153" s="110" t="str">
        <f>VLOOKUP(B153,Classification!A:D,2,0)</f>
        <v>A</v>
      </c>
      <c r="BA153" s="98" t="str">
        <f>VLOOKUP(B153,Classification!A:D,4,0)</f>
        <v>Angiotensin</v>
      </c>
      <c r="BB153" s="36" t="b">
        <f t="shared" ref="BB153" si="1014">AND(E153&lt;G153,OR(G153&lt;I153,I153="-"),OR(I153&lt;K153,I153="-"),OR(K153&lt;M153,K153="-"),M153&lt;O153,OR(O153&lt;Q153,Q153="-"),OR(Q153&lt;S153,Q153="-"),OR(S153&lt;U153,S153="-"),U153&lt;W153,OR(W153&lt;Y153,Y153="-"),OR(Y153&lt;AA153,Y153="-"),OR(AA153&lt;AC153,AA153="-"),AC153&lt;AE153,OR(AE153&lt;AG153,AG153="-"),OR(AG153&lt;AI153,AG153="-"),OR(AI153&lt;AK153,AI153="-"),AK153&lt;AM153,AM153&lt;AO153,AO153&lt;AQ153,AQ153&lt;AS153,AS153&lt;AU153,OR(AU153&lt;AW153,AW153="-"),OR(AW153&lt;AY153,AW153="-"))</f>
        <v>1</v>
      </c>
      <c r="BC153" s="109">
        <f t="shared" ref="BC153" si="1015">_xlfn.AGGREGATE(9,6,CH153:CS153)-_xlfn.AGGREGATE(9,6,BV153:CG153)+12</f>
        <v>252</v>
      </c>
      <c r="BD153" s="40" t="s">
        <v>23</v>
      </c>
      <c r="BE153" s="9" t="s">
        <v>1285</v>
      </c>
      <c r="BF153" s="119">
        <v>2.9</v>
      </c>
      <c r="BG153" s="51" t="s">
        <v>1</v>
      </c>
      <c r="BH153" s="51" t="s">
        <v>1</v>
      </c>
      <c r="BJ153" s="111" t="s">
        <v>1281</v>
      </c>
      <c r="BK153" s="112" t="s">
        <v>1281</v>
      </c>
      <c r="BL153" s="112" t="s">
        <v>1281</v>
      </c>
      <c r="BM153" s="112" t="s">
        <v>1281</v>
      </c>
      <c r="BN153" s="112" t="s">
        <v>1281</v>
      </c>
      <c r="BO153" s="112" t="s">
        <v>1281</v>
      </c>
      <c r="BP153" s="112" t="s">
        <v>1281</v>
      </c>
      <c r="BQ153" s="112" t="s">
        <v>1281</v>
      </c>
      <c r="BR153" s="112" t="s">
        <v>1281</v>
      </c>
      <c r="BS153" s="112" t="s">
        <v>1281</v>
      </c>
      <c r="BT153" s="112" t="s">
        <v>1281</v>
      </c>
      <c r="BU153" s="112" t="s">
        <v>1281</v>
      </c>
      <c r="BV153" s="111">
        <f>E153</f>
        <v>24</v>
      </c>
      <c r="BW153" s="113" t="str">
        <f>I153</f>
        <v>-</v>
      </c>
      <c r="BX153" s="114">
        <f>M153</f>
        <v>61</v>
      </c>
      <c r="BY153" s="113">
        <f>Q153</f>
        <v>93</v>
      </c>
      <c r="BZ153" s="114">
        <f>U153</f>
        <v>97</v>
      </c>
      <c r="CA153" s="113">
        <f>Y153</f>
        <v>133</v>
      </c>
      <c r="CB153" s="114">
        <f>AC153</f>
        <v>141</v>
      </c>
      <c r="CC153" s="113">
        <f>AG153</f>
        <v>180</v>
      </c>
      <c r="CD153" s="114">
        <f>AK153</f>
        <v>193</v>
      </c>
      <c r="CE153" s="113">
        <f>AO153</f>
        <v>1237</v>
      </c>
      <c r="CF153" s="114">
        <f>AS153</f>
        <v>1273</v>
      </c>
      <c r="CG153" s="113">
        <f>AW153</f>
        <v>1306</v>
      </c>
      <c r="CH153" s="111">
        <f>G153</f>
        <v>56</v>
      </c>
      <c r="CI153" s="113" t="str">
        <f>K153</f>
        <v>-</v>
      </c>
      <c r="CJ153" s="114">
        <f>O153</f>
        <v>91</v>
      </c>
      <c r="CK153" s="114">
        <f>S153</f>
        <v>96</v>
      </c>
      <c r="CL153" s="114">
        <f>W153</f>
        <v>132</v>
      </c>
      <c r="CM153" s="114">
        <f>AA153</f>
        <v>140</v>
      </c>
      <c r="CN153" s="114">
        <f>AE153</f>
        <v>166</v>
      </c>
      <c r="CO153" s="114">
        <f>AI153</f>
        <v>182</v>
      </c>
      <c r="CP153" s="114">
        <f>AM153</f>
        <v>226</v>
      </c>
      <c r="CQ153" s="114">
        <f>AQ153</f>
        <v>1268</v>
      </c>
      <c r="CR153" s="114">
        <f>AU153</f>
        <v>1305</v>
      </c>
      <c r="CS153" s="114">
        <f>AY153</f>
        <v>1316</v>
      </c>
      <c r="CT153" s="109" t="e">
        <f>M153-K153</f>
        <v>#VALUE!</v>
      </c>
    </row>
    <row r="154" spans="1:1029" s="12" customFormat="1" ht="18" x14ac:dyDescent="0.2">
      <c r="A154" s="9" t="str">
        <f>CONCATENATE(B154,"_",C154)</f>
        <v>agtr1_human_6OS1</v>
      </c>
      <c r="B154" s="9" t="s">
        <v>158</v>
      </c>
      <c r="C154" s="9" t="s">
        <v>1654</v>
      </c>
      <c r="D154" s="9" t="str">
        <f>IFERROR(MID(VLOOKUP($B154,Seqs!$A:$B,2,0),E154,1),"")</f>
        <v>H</v>
      </c>
      <c r="E154" s="9">
        <v>24</v>
      </c>
      <c r="F154" s="9" t="str">
        <f>IFERROR(MID(VLOOKUP($B154,Seqs!$A:$B,2,0),G154,1),"")</f>
        <v>Y</v>
      </c>
      <c r="G154" s="9">
        <v>56</v>
      </c>
      <c r="H154" s="9" t="str">
        <f>IFERROR(MID(VLOOKUP($B154,Seqs!$A:$B,2,0),I154,1),"")</f>
        <v/>
      </c>
      <c r="I154" s="109" t="s">
        <v>23</v>
      </c>
      <c r="J154" s="9" t="str">
        <f>IFERROR(MID(VLOOKUP($B154,Seqs!$A:$B,2,0),K154,1),"")</f>
        <v/>
      </c>
      <c r="K154" s="109" t="s">
        <v>23</v>
      </c>
      <c r="L154" s="9" t="str">
        <f>IFERROR(MID(VLOOKUP($B154,Seqs!$A:$B,2,0),M154,1),"")</f>
        <v>T</v>
      </c>
      <c r="M154" s="9">
        <v>61</v>
      </c>
      <c r="N154" s="9" t="str">
        <f>IFERROR(MID(VLOOKUP($B154,Seqs!$A:$B,2,0),O154,1),"")</f>
        <v>E</v>
      </c>
      <c r="O154" s="9">
        <v>91</v>
      </c>
      <c r="P154" s="9" t="str">
        <f>IFERROR(MID(VLOOKUP($B154,Seqs!$A:$B,2,0),Q154,1),"")</f>
        <v>R</v>
      </c>
      <c r="Q154" s="9">
        <v>93</v>
      </c>
      <c r="R154" s="9" t="str">
        <f>IFERROR(MID(VLOOKUP($B154,Seqs!$A:$B,2,0),S154,1),"")</f>
        <v>F</v>
      </c>
      <c r="S154" s="9">
        <v>96</v>
      </c>
      <c r="T154" s="9" t="str">
        <f>IFERROR(MID(VLOOKUP($B154,Seqs!$A:$B,2,0),U154,1),"")</f>
        <v>G</v>
      </c>
      <c r="U154" s="9">
        <v>97</v>
      </c>
      <c r="V154" s="9" t="str">
        <f>IFERROR(MID(VLOOKUP($B154,Seqs!$A:$B,2,0),W154,1),"")</f>
        <v>H</v>
      </c>
      <c r="W154" s="9">
        <v>132</v>
      </c>
      <c r="X154" s="9" t="str">
        <f>IFERROR(MID(VLOOKUP($B154,Seqs!$A:$B,2,0),Y154,1),"")</f>
        <v>P</v>
      </c>
      <c r="Y154" s="9">
        <v>133</v>
      </c>
      <c r="Z154" s="9" t="str">
        <f>IFERROR(MID(VLOOKUP($B154,Seqs!$A:$B,2,0),AA154,1),"")</f>
        <v>R</v>
      </c>
      <c r="AA154" s="9">
        <v>140</v>
      </c>
      <c r="AB154" s="9" t="str">
        <f>IFERROR(MID(VLOOKUP($B154,Seqs!$A:$B,2,0),AC154,1),"")</f>
        <v>T</v>
      </c>
      <c r="AC154" s="9">
        <v>141</v>
      </c>
      <c r="AD154" s="9" t="str">
        <f>IFERROR(MID(VLOOKUP($B154,Seqs!$A:$B,2,0),AE154,1),"")</f>
        <v>H</v>
      </c>
      <c r="AE154" s="9">
        <v>166</v>
      </c>
      <c r="AF154" s="9" t="str">
        <f>IFERROR(MID(VLOOKUP($B154,Seqs!$A:$B,2,0),AG154,1),"")</f>
        <v>C</v>
      </c>
      <c r="AG154" s="9">
        <v>180</v>
      </c>
      <c r="AH154" s="9" t="str">
        <f>IFERROR(MID(VLOOKUP($B154,Seqs!$A:$B,2,0),AI154,1),"")</f>
        <v>F</v>
      </c>
      <c r="AI154" s="9">
        <v>182</v>
      </c>
      <c r="AJ154" s="9" t="str">
        <f>IFERROR(MID(VLOOKUP($B154,Seqs!$A:$B,2,0),AK154,1),"")</f>
        <v>L</v>
      </c>
      <c r="AK154" s="9">
        <v>195</v>
      </c>
      <c r="AL154" s="9" t="str">
        <f>IFERROR(MID(VLOOKUP($B154,Seqs!$A:$B,2,0),AM154,1),"")</f>
        <v>Y</v>
      </c>
      <c r="AM154" s="9">
        <v>226</v>
      </c>
      <c r="AN154" s="9" t="str">
        <f>IFERROR(MID(VLOOKUP($B154,Seqs!$A:$B,2,0),AO154,1),"")</f>
        <v/>
      </c>
      <c r="AO154" s="9">
        <v>1237</v>
      </c>
      <c r="AP154" s="9" t="str">
        <f>IFERROR(MID(VLOOKUP($B154,Seqs!$A:$B,2,0),AQ154,1),"")</f>
        <v/>
      </c>
      <c r="AQ154" s="9">
        <v>1269</v>
      </c>
      <c r="AR154" s="9" t="str">
        <f>IFERROR(MID(VLOOKUP($B154,Seqs!$A:$B,2,0),AS154,1),"")</f>
        <v/>
      </c>
      <c r="AS154" s="9">
        <v>1273</v>
      </c>
      <c r="AT154" s="9" t="str">
        <f>IFERROR(MID(VLOOKUP($B154,Seqs!$A:$B,2,0),AU154,1),"")</f>
        <v/>
      </c>
      <c r="AU154" s="9">
        <v>1305</v>
      </c>
      <c r="AV154" s="9" t="str">
        <f>IFERROR(MID(VLOOKUP($B154,Seqs!$A:$B,2,0),AW154,1),"")</f>
        <v/>
      </c>
      <c r="AW154" s="9">
        <v>1306</v>
      </c>
      <c r="AX154" s="9" t="str">
        <f>IFERROR(MID(VLOOKUP($B154,Seqs!$A:$B,2,0),AY154,1),"")</f>
        <v/>
      </c>
      <c r="AY154" s="9">
        <v>1318</v>
      </c>
      <c r="AZ154" s="110" t="str">
        <f>VLOOKUP(B154,Classification!A:D,2,0)</f>
        <v>A</v>
      </c>
      <c r="BA154" s="98" t="str">
        <f>VLOOKUP(B154,Classification!A:D,4,0)</f>
        <v>Angiotensin</v>
      </c>
      <c r="BB154" s="36" t="b">
        <f t="shared" ref="BB154" si="1016">AND(E154&lt;G154,OR(G154&lt;I154,I154="-"),OR(I154&lt;K154,I154="-"),OR(K154&lt;M154,K154="-"),M154&lt;O154,OR(O154&lt;Q154,Q154="-"),OR(Q154&lt;S154,Q154="-"),OR(S154&lt;U154,S154="-"),U154&lt;W154,OR(W154&lt;Y154,Y154="-"),OR(Y154&lt;AA154,Y154="-"),OR(AA154&lt;AC154,AA154="-"),AC154&lt;AE154,OR(AE154&lt;AG154,AG154="-"),OR(AG154&lt;AI154,AG154="-"),OR(AI154&lt;AK154,AI154="-"),AK154&lt;AM154,AM154&lt;AO154,AO154&lt;AQ154,AQ154&lt;AS154,AS154&lt;AU154,OR(AU154&lt;AW154,AW154="-"),OR(AW154&lt;AY154,AW154="-"))</f>
        <v>1</v>
      </c>
      <c r="BC154" s="109">
        <f t="shared" ref="BC154" si="1017">_xlfn.AGGREGATE(9,6,CH154:CS154)-_xlfn.AGGREGATE(9,6,BV154:CG154)+12</f>
        <v>253</v>
      </c>
      <c r="BD154" s="40" t="s">
        <v>23</v>
      </c>
      <c r="BE154" s="9" t="s">
        <v>1285</v>
      </c>
      <c r="BF154" s="119">
        <v>2.79</v>
      </c>
      <c r="BG154" s="51" t="s">
        <v>1</v>
      </c>
      <c r="BH154" s="51" t="s">
        <v>1</v>
      </c>
      <c r="BI154" s="137"/>
      <c r="BJ154" s="111" t="s">
        <v>1281</v>
      </c>
      <c r="BK154" s="112" t="s">
        <v>1281</v>
      </c>
      <c r="BL154" s="112" t="s">
        <v>1281</v>
      </c>
      <c r="BM154" s="112" t="s">
        <v>1281</v>
      </c>
      <c r="BN154" s="112" t="s">
        <v>1281</v>
      </c>
      <c r="BO154" s="112" t="s">
        <v>1281</v>
      </c>
      <c r="BP154" s="112" t="s">
        <v>1281</v>
      </c>
      <c r="BQ154" s="112" t="s">
        <v>1281</v>
      </c>
      <c r="BR154" s="112" t="s">
        <v>1281</v>
      </c>
      <c r="BS154" s="112" t="s">
        <v>1281</v>
      </c>
      <c r="BT154" s="112" t="s">
        <v>1281</v>
      </c>
      <c r="BU154" s="112" t="s">
        <v>1281</v>
      </c>
      <c r="BV154" s="111">
        <f>E154</f>
        <v>24</v>
      </c>
      <c r="BW154" s="113" t="str">
        <f>I154</f>
        <v>-</v>
      </c>
      <c r="BX154" s="114">
        <f>M154</f>
        <v>61</v>
      </c>
      <c r="BY154" s="113">
        <f>Q154</f>
        <v>93</v>
      </c>
      <c r="BZ154" s="114">
        <f>U154</f>
        <v>97</v>
      </c>
      <c r="CA154" s="113">
        <f>Y154</f>
        <v>133</v>
      </c>
      <c r="CB154" s="114">
        <f>AC154</f>
        <v>141</v>
      </c>
      <c r="CC154" s="113">
        <f>AG154</f>
        <v>180</v>
      </c>
      <c r="CD154" s="114">
        <f>AK154</f>
        <v>195</v>
      </c>
      <c r="CE154" s="113">
        <f>AO154</f>
        <v>1237</v>
      </c>
      <c r="CF154" s="114">
        <f>AS154</f>
        <v>1273</v>
      </c>
      <c r="CG154" s="113">
        <f>AW154</f>
        <v>1306</v>
      </c>
      <c r="CH154" s="111">
        <f>G154</f>
        <v>56</v>
      </c>
      <c r="CI154" s="113" t="str">
        <f>K154</f>
        <v>-</v>
      </c>
      <c r="CJ154" s="114">
        <f>O154</f>
        <v>91</v>
      </c>
      <c r="CK154" s="114">
        <f>S154</f>
        <v>96</v>
      </c>
      <c r="CL154" s="114">
        <f>W154</f>
        <v>132</v>
      </c>
      <c r="CM154" s="114">
        <f>AA154</f>
        <v>140</v>
      </c>
      <c r="CN154" s="114">
        <f>AE154</f>
        <v>166</v>
      </c>
      <c r="CO154" s="114">
        <f>AI154</f>
        <v>182</v>
      </c>
      <c r="CP154" s="114">
        <f>AM154</f>
        <v>226</v>
      </c>
      <c r="CQ154" s="114">
        <f>AQ154</f>
        <v>1269</v>
      </c>
      <c r="CR154" s="114">
        <f>AU154</f>
        <v>1305</v>
      </c>
      <c r="CS154" s="114">
        <f>AY154</f>
        <v>1318</v>
      </c>
      <c r="CT154" s="109" t="e">
        <f>M154-K154</f>
        <v>#VALUE!</v>
      </c>
    </row>
    <row r="155" spans="1:1029" s="12" customFormat="1" ht="18" x14ac:dyDescent="0.2">
      <c r="A155" s="9" t="str">
        <f>CONCATENATE(B155,"_",C155)</f>
        <v>agtr1_human_6OS2</v>
      </c>
      <c r="B155" s="9" t="s">
        <v>158</v>
      </c>
      <c r="C155" s="9" t="s">
        <v>1655</v>
      </c>
      <c r="D155" s="9" t="str">
        <f>IFERROR(MID(VLOOKUP($B155,Seqs!$A:$B,2,0),E155,1),"")</f>
        <v>N</v>
      </c>
      <c r="E155" s="9">
        <v>25</v>
      </c>
      <c r="F155" s="9" t="str">
        <f>IFERROR(MID(VLOOKUP($B155,Seqs!$A:$B,2,0),G155,1),"")</f>
        <v>M</v>
      </c>
      <c r="G155" s="9">
        <v>57</v>
      </c>
      <c r="H155" s="9" t="str">
        <f>IFERROR(MID(VLOOKUP($B155,Seqs!$A:$B,2,0),I155,1),"")</f>
        <v/>
      </c>
      <c r="I155" s="109" t="s">
        <v>23</v>
      </c>
      <c r="J155" s="9" t="str">
        <f>IFERROR(MID(VLOOKUP($B155,Seqs!$A:$B,2,0),K155,1),"")</f>
        <v/>
      </c>
      <c r="K155" s="109" t="s">
        <v>23</v>
      </c>
      <c r="L155" s="9" t="str">
        <f>IFERROR(MID(VLOOKUP($B155,Seqs!$A:$B,2,0),M155,1),"")</f>
        <v>V</v>
      </c>
      <c r="M155" s="9">
        <v>62</v>
      </c>
      <c r="N155" s="9" t="str">
        <f>IFERROR(MID(VLOOKUP($B155,Seqs!$A:$B,2,0),O155,1),"")</f>
        <v>Y</v>
      </c>
      <c r="O155" s="9">
        <v>92</v>
      </c>
      <c r="P155" s="9" t="str">
        <f>IFERROR(MID(VLOOKUP($B155,Seqs!$A:$B,2,0),Q155,1),"")</f>
        <v>W</v>
      </c>
      <c r="Q155" s="9">
        <v>94</v>
      </c>
      <c r="R155" s="9" t="str">
        <f>IFERROR(MID(VLOOKUP($B155,Seqs!$A:$B,2,0),S155,1),"")</f>
        <v>F</v>
      </c>
      <c r="S155" s="9">
        <v>96</v>
      </c>
      <c r="T155" s="9" t="str">
        <f>IFERROR(MID(VLOOKUP($B155,Seqs!$A:$B,2,0),U155,1),"")</f>
        <v>G</v>
      </c>
      <c r="U155" s="9">
        <v>97</v>
      </c>
      <c r="V155" s="9" t="str">
        <f>IFERROR(MID(VLOOKUP($B155,Seqs!$A:$B,2,0),W155,1),"")</f>
        <v>H</v>
      </c>
      <c r="W155" s="9">
        <v>132</v>
      </c>
      <c r="X155" s="9" t="str">
        <f>IFERROR(MID(VLOOKUP($B155,Seqs!$A:$B,2,0),Y155,1),"")</f>
        <v>P</v>
      </c>
      <c r="Y155" s="9">
        <v>133</v>
      </c>
      <c r="Z155" s="9" t="str">
        <f>IFERROR(MID(VLOOKUP($B155,Seqs!$A:$B,2,0),AA155,1),"")</f>
        <v>R</v>
      </c>
      <c r="AA155" s="9">
        <v>140</v>
      </c>
      <c r="AB155" s="9" t="str">
        <f>IFERROR(MID(VLOOKUP($B155,Seqs!$A:$B,2,0),AC155,1),"")</f>
        <v>T</v>
      </c>
      <c r="AC155" s="9">
        <v>141</v>
      </c>
      <c r="AD155" s="9" t="str">
        <f>IFERROR(MID(VLOOKUP($B155,Seqs!$A:$B,2,0),AE155,1),"")</f>
        <v>H</v>
      </c>
      <c r="AE155" s="9">
        <v>166</v>
      </c>
      <c r="AF155" s="9" t="str">
        <f>IFERROR(MID(VLOOKUP($B155,Seqs!$A:$B,2,0),AG155,1),"")</f>
        <v>C</v>
      </c>
      <c r="AG155" s="9">
        <v>180</v>
      </c>
      <c r="AH155" s="9" t="str">
        <f>IFERROR(MID(VLOOKUP($B155,Seqs!$A:$B,2,0),AI155,1),"")</f>
        <v>F</v>
      </c>
      <c r="AI155" s="9">
        <v>182</v>
      </c>
      <c r="AJ155" s="9" t="str">
        <f>IFERROR(MID(VLOOKUP($B155,Seqs!$A:$B,2,0),AK155,1),"")</f>
        <v>L</v>
      </c>
      <c r="AK155" s="9">
        <v>195</v>
      </c>
      <c r="AL155" s="9" t="str">
        <f>IFERROR(MID(VLOOKUP($B155,Seqs!$A:$B,2,0),AM155,1),"")</f>
        <v>Y</v>
      </c>
      <c r="AM155" s="9">
        <v>226</v>
      </c>
      <c r="AN155" s="9" t="str">
        <f>IFERROR(MID(VLOOKUP($B155,Seqs!$A:$B,2,0),AO155,1),"")</f>
        <v/>
      </c>
      <c r="AO155" s="9">
        <v>1237</v>
      </c>
      <c r="AP155" s="9" t="str">
        <f>IFERROR(MID(VLOOKUP($B155,Seqs!$A:$B,2,0),AQ155,1),"")</f>
        <v/>
      </c>
      <c r="AQ155" s="9">
        <v>1269</v>
      </c>
      <c r="AR155" s="9" t="str">
        <f>IFERROR(MID(VLOOKUP($B155,Seqs!$A:$B,2,0),AS155,1),"")</f>
        <v/>
      </c>
      <c r="AS155" s="9">
        <v>1273</v>
      </c>
      <c r="AT155" s="9" t="str">
        <f>IFERROR(MID(VLOOKUP($B155,Seqs!$A:$B,2,0),AU155,1),"")</f>
        <v/>
      </c>
      <c r="AU155" s="9">
        <v>1305</v>
      </c>
      <c r="AV155" s="9" t="str">
        <f>IFERROR(MID(VLOOKUP($B155,Seqs!$A:$B,2,0),AW155,1),"")</f>
        <v/>
      </c>
      <c r="AW155" s="9">
        <v>1306</v>
      </c>
      <c r="AX155" s="9" t="str">
        <f>IFERROR(MID(VLOOKUP($B155,Seqs!$A:$B,2,0),AY155,1),"")</f>
        <v/>
      </c>
      <c r="AY155" s="9">
        <v>1318</v>
      </c>
      <c r="AZ155" s="110" t="str">
        <f>VLOOKUP(B155,Classification!A:D,2,0)</f>
        <v>A</v>
      </c>
      <c r="BA155" s="98" t="str">
        <f>VLOOKUP(B155,Classification!A:D,4,0)</f>
        <v>Angiotensin</v>
      </c>
      <c r="BB155" s="36" t="b">
        <f t="shared" ref="BB155" si="1018">AND(E155&lt;G155,OR(G155&lt;I155,I155="-"),OR(I155&lt;K155,I155="-"),OR(K155&lt;M155,K155="-"),M155&lt;O155,OR(O155&lt;Q155,Q155="-"),OR(Q155&lt;S155,Q155="-"),OR(S155&lt;U155,S155="-"),U155&lt;W155,OR(W155&lt;Y155,Y155="-"),OR(Y155&lt;AA155,Y155="-"),OR(AA155&lt;AC155,AA155="-"),AC155&lt;AE155,OR(AE155&lt;AG155,AG155="-"),OR(AG155&lt;AI155,AG155="-"),OR(AI155&lt;AK155,AI155="-"),AK155&lt;AM155,AM155&lt;AO155,AO155&lt;AQ155,AQ155&lt;AS155,AS155&lt;AU155,OR(AU155&lt;AW155,AW155="-"),OR(AW155&lt;AY155,AW155="-"))</f>
        <v>1</v>
      </c>
      <c r="BC155" s="109">
        <f t="shared" ref="BC155" si="1019">_xlfn.AGGREGATE(9,6,CH155:CS155)-_xlfn.AGGREGATE(9,6,BV155:CG155)+12</f>
        <v>252</v>
      </c>
      <c r="BD155" s="40" t="s">
        <v>23</v>
      </c>
      <c r="BE155" s="9" t="s">
        <v>1285</v>
      </c>
      <c r="BF155" s="119">
        <v>2.7</v>
      </c>
      <c r="BG155" s="51" t="s">
        <v>1</v>
      </c>
      <c r="BH155" s="51" t="s">
        <v>1</v>
      </c>
      <c r="BI155" s="137"/>
      <c r="BJ155" s="111" t="s">
        <v>1281</v>
      </c>
      <c r="BK155" s="112" t="s">
        <v>1281</v>
      </c>
      <c r="BL155" s="112" t="s">
        <v>1281</v>
      </c>
      <c r="BM155" s="112" t="s">
        <v>1281</v>
      </c>
      <c r="BN155" s="112" t="s">
        <v>1281</v>
      </c>
      <c r="BO155" s="112" t="s">
        <v>1281</v>
      </c>
      <c r="BP155" s="112" t="s">
        <v>1281</v>
      </c>
      <c r="BQ155" s="112" t="s">
        <v>1281</v>
      </c>
      <c r="BR155" s="112" t="s">
        <v>1281</v>
      </c>
      <c r="BS155" s="112" t="s">
        <v>1281</v>
      </c>
      <c r="BT155" s="112" t="s">
        <v>1281</v>
      </c>
      <c r="BU155" s="112" t="s">
        <v>1281</v>
      </c>
      <c r="BV155" s="111">
        <f>E155</f>
        <v>25</v>
      </c>
      <c r="BW155" s="113" t="str">
        <f>I155</f>
        <v>-</v>
      </c>
      <c r="BX155" s="114">
        <f>M155</f>
        <v>62</v>
      </c>
      <c r="BY155" s="113">
        <f>Q155</f>
        <v>94</v>
      </c>
      <c r="BZ155" s="114">
        <f>U155</f>
        <v>97</v>
      </c>
      <c r="CA155" s="113">
        <f>Y155</f>
        <v>133</v>
      </c>
      <c r="CB155" s="114">
        <f>AC155</f>
        <v>141</v>
      </c>
      <c r="CC155" s="113">
        <f>AG155</f>
        <v>180</v>
      </c>
      <c r="CD155" s="114">
        <f>AK155</f>
        <v>195</v>
      </c>
      <c r="CE155" s="113">
        <f>AO155</f>
        <v>1237</v>
      </c>
      <c r="CF155" s="114">
        <f>AS155</f>
        <v>1273</v>
      </c>
      <c r="CG155" s="113">
        <f>AW155</f>
        <v>1306</v>
      </c>
      <c r="CH155" s="111">
        <f>G155</f>
        <v>57</v>
      </c>
      <c r="CI155" s="113" t="str">
        <f>K155</f>
        <v>-</v>
      </c>
      <c r="CJ155" s="114">
        <f>O155</f>
        <v>92</v>
      </c>
      <c r="CK155" s="114">
        <f>S155</f>
        <v>96</v>
      </c>
      <c r="CL155" s="114">
        <f>W155</f>
        <v>132</v>
      </c>
      <c r="CM155" s="114">
        <f>AA155</f>
        <v>140</v>
      </c>
      <c r="CN155" s="114">
        <f>AE155</f>
        <v>166</v>
      </c>
      <c r="CO155" s="114">
        <f>AI155</f>
        <v>182</v>
      </c>
      <c r="CP155" s="114">
        <f>AM155</f>
        <v>226</v>
      </c>
      <c r="CQ155" s="114">
        <f>AQ155</f>
        <v>1269</v>
      </c>
      <c r="CR155" s="114">
        <f>AU155</f>
        <v>1305</v>
      </c>
      <c r="CS155" s="114">
        <f>AY155</f>
        <v>1318</v>
      </c>
      <c r="CT155" s="109" t="e">
        <f>M155-K155</f>
        <v>#VALUE!</v>
      </c>
    </row>
    <row r="156" spans="1:1029" x14ac:dyDescent="0.2">
      <c r="A156" s="3" t="str">
        <f>CONCATENATE(B156,"_",C156)</f>
        <v>agtr2_human__wt</v>
      </c>
      <c r="B156" s="3" t="s">
        <v>159</v>
      </c>
      <c r="C156" s="3" t="s">
        <v>100</v>
      </c>
      <c r="D156" s="3" t="str">
        <f>IFERROR(MID(VLOOKUP($B156,Seqs!$A:$B,2,0),E156,1),"")</f>
        <v>D</v>
      </c>
      <c r="E156" s="3">
        <v>45</v>
      </c>
      <c r="F156" s="3" t="str">
        <f>IFERROR(MID(VLOOKUP($B156,Seqs!$A:$B,2,0),G156,1),"")</f>
        <v>Q</v>
      </c>
      <c r="G156" s="3">
        <v>72</v>
      </c>
      <c r="H156" s="3" t="str">
        <f>IFERROR(MID(VLOOKUP($B156,Seqs!$A:$B,2,0),I156,1),"")</f>
        <v/>
      </c>
      <c r="I156" s="23" t="s">
        <v>23</v>
      </c>
      <c r="J156" s="3" t="str">
        <f>IFERROR(MID(VLOOKUP($B156,Seqs!$A:$B,2,0),K156,1),"")</f>
        <v/>
      </c>
      <c r="K156" s="23" t="s">
        <v>23</v>
      </c>
      <c r="L156" s="3" t="str">
        <f>IFERROR(MID(VLOOKUP($B156,Seqs!$A:$B,2,0),M156,1),"")</f>
        <v>V</v>
      </c>
      <c r="M156" s="3">
        <v>78</v>
      </c>
      <c r="N156" s="3" t="str">
        <f>IFERROR(MID(VLOOKUP($B156,Seqs!$A:$B,2,0),O156,1),"")</f>
        <v>Y</v>
      </c>
      <c r="O156" s="3">
        <v>106</v>
      </c>
      <c r="P156" s="3" t="str">
        <f>IFERROR(MID(VLOOKUP($B156,Seqs!$A:$B,2,0),Q156,1),"")</f>
        <v>R</v>
      </c>
      <c r="Q156" s="3">
        <v>107</v>
      </c>
      <c r="R156" s="3" t="str">
        <f>IFERROR(MID(VLOOKUP($B156,Seqs!$A:$B,2,0),S156,1),"")</f>
        <v>F</v>
      </c>
      <c r="S156" s="3">
        <v>112</v>
      </c>
      <c r="T156" s="3" t="str">
        <f>IFERROR(MID(VLOOKUP($B156,Seqs!$A:$B,2,0),U156,1),"")</f>
        <v>G</v>
      </c>
      <c r="U156" s="3">
        <v>113</v>
      </c>
      <c r="V156" s="3" t="str">
        <f>IFERROR(MID(VLOOKUP($B156,Seqs!$A:$B,2,0),W156,1),"")</f>
        <v>Y</v>
      </c>
      <c r="W156" s="3">
        <v>148</v>
      </c>
      <c r="X156" s="3" t="str">
        <f>IFERROR(MID(VLOOKUP($B156,Seqs!$A:$B,2,0),Y156,1),"")</f>
        <v>P</v>
      </c>
      <c r="Y156" s="3">
        <v>149</v>
      </c>
      <c r="Z156" s="3" t="str">
        <f>IFERROR(MID(VLOOKUP($B156,Seqs!$A:$B,2,0),AA156,1),"")</f>
        <v>R</v>
      </c>
      <c r="AA156" s="3">
        <v>155</v>
      </c>
      <c r="AB156" s="3" t="str">
        <f>IFERROR(MID(VLOOKUP($B156,Seqs!$A:$B,2,0),AC156,1),"")</f>
        <v>N</v>
      </c>
      <c r="AC156" s="3">
        <v>156</v>
      </c>
      <c r="AD156" s="3" t="str">
        <f>IFERROR(MID(VLOOKUP($B156,Seqs!$A:$B,2,0),AE156,1),"")</f>
        <v>R</v>
      </c>
      <c r="AE156" s="3">
        <v>182</v>
      </c>
      <c r="AF156" s="3" t="str">
        <f>IFERROR(MID(VLOOKUP($B156,Seqs!$A:$B,2,0),AG156,1),"")</f>
        <v>C</v>
      </c>
      <c r="AG156" s="3">
        <v>195</v>
      </c>
      <c r="AH156" s="3" t="str">
        <f>IFERROR(MID(VLOOKUP($B156,Seqs!$A:$B,2,0),AI156,1),"")</f>
        <v>M</v>
      </c>
      <c r="AI156" s="3">
        <v>197</v>
      </c>
      <c r="AJ156" s="3" t="str">
        <f>IFERROR(MID(VLOOKUP($B156,Seqs!$A:$B,2,0),AK156,1),"")</f>
        <v>K</v>
      </c>
      <c r="AK156" s="3">
        <v>203</v>
      </c>
      <c r="AL156" s="3" t="str">
        <f>IFERROR(MID(VLOOKUP($B156,Seqs!$A:$B,2,0),AM156,1),"")</f>
        <v>T</v>
      </c>
      <c r="AM156" s="3">
        <v>241</v>
      </c>
      <c r="AN156" s="3" t="str">
        <f>IFERROR(MID(VLOOKUP($B156,Seqs!$A:$B,2,0),AO156,1),"")</f>
        <v>G</v>
      </c>
      <c r="AO156" s="3">
        <v>245</v>
      </c>
      <c r="AP156" s="3" t="str">
        <f>IFERROR(MID(VLOOKUP($B156,Seqs!$A:$B,2,0),AQ156,1),"")</f>
        <v>G</v>
      </c>
      <c r="AQ156" s="3">
        <v>285</v>
      </c>
      <c r="AR156" s="3" t="str">
        <f>IFERROR(MID(VLOOKUP($B156,Seqs!$A:$B,2,0),AS156,1),"")</f>
        <v>S</v>
      </c>
      <c r="AS156" s="3">
        <v>289</v>
      </c>
      <c r="AT156" s="3" t="str">
        <f>IFERROR(MID(VLOOKUP($B156,Seqs!$A:$B,2,0),AU156,1),"")</f>
        <v>V</v>
      </c>
      <c r="AU156" s="3">
        <v>321</v>
      </c>
      <c r="AV156" s="3" t="str">
        <f>IFERROR(MID(VLOOKUP($B156,Seqs!$A:$B,2,0),AW156,1),"")</f>
        <v>G</v>
      </c>
      <c r="AW156" s="3">
        <v>322</v>
      </c>
      <c r="AX156" s="3" t="str">
        <f>IFERROR(MID(VLOOKUP($B156,Seqs!$A:$B,2,0),AY156,1),"")</f>
        <v>P</v>
      </c>
      <c r="AY156" s="3">
        <v>336</v>
      </c>
      <c r="AZ156" s="77" t="str">
        <f>VLOOKUP(B156,Classification!A:D,2,0)</f>
        <v>A</v>
      </c>
      <c r="BA156" s="94" t="str">
        <f>VLOOKUP(B156,Classification!A:D,4,0)</f>
        <v>Angiotensin</v>
      </c>
      <c r="BB156" s="27" t="b">
        <f t="shared" ref="BB156:BB168" si="1020">AND(E156&lt;G156,OR(G156&lt;I156,I156="-"),OR(I156&lt;K156,I156="-"),OR(K156&lt;M156,K156="-"),M156&lt;O156,OR(O156&lt;Q156,Q156="-"),OR(Q156&lt;S156,Q156="-"),OR(S156&lt;U156,S156="-"),U156&lt;W156,OR(W156&lt;Y156,Y156="-"),OR(Y156&lt;AA156,Y156="-"),OR(AA156&lt;AC156,AA156="-"),AC156&lt;AE156,OR(AE156&lt;AG156,AG156="-"),OR(AG156&lt;AI156,AG156="-"),OR(AI156&lt;AK156,AI156="-"),AK156&lt;AM156,AM156&lt;AO156,AO156&lt;AQ156,AQ156&lt;AS156,AS156&lt;AU156,OR(AU156&lt;AW156,AW156="-"),OR(AW156&lt;AY156,AW156="-"))</f>
        <v>1</v>
      </c>
      <c r="BC156" s="23">
        <f t="shared" ref="BC156:BC168" si="1021">_xlfn.AGGREGATE(9,6,CH156:CS156)-_xlfn.AGGREGATE(9,6,BV156:CG156)+12</f>
        <v>265</v>
      </c>
      <c r="BD156" s="2" t="s">
        <v>23</v>
      </c>
      <c r="BE156" s="3" t="s">
        <v>23</v>
      </c>
      <c r="BF156" s="118" t="s">
        <v>23</v>
      </c>
      <c r="BG156" s="49" t="s">
        <v>1371</v>
      </c>
      <c r="BH156" s="49" t="s">
        <v>1371</v>
      </c>
      <c r="BI156" s="1"/>
      <c r="BJ156" s="70" t="s">
        <v>1281</v>
      </c>
      <c r="BK156" s="57" t="s">
        <v>1281</v>
      </c>
      <c r="BL156" s="57" t="s">
        <v>1281</v>
      </c>
      <c r="BM156" s="57" t="s">
        <v>1281</v>
      </c>
      <c r="BN156" s="57" t="s">
        <v>1281</v>
      </c>
      <c r="BO156" s="57" t="s">
        <v>1281</v>
      </c>
      <c r="BP156" s="57" t="s">
        <v>1281</v>
      </c>
      <c r="BQ156" s="57" t="s">
        <v>1281</v>
      </c>
      <c r="BR156" s="57" t="s">
        <v>1281</v>
      </c>
      <c r="BS156" s="57" t="s">
        <v>1281</v>
      </c>
      <c r="BT156" s="57" t="s">
        <v>1281</v>
      </c>
      <c r="BU156" s="57" t="s">
        <v>1281</v>
      </c>
      <c r="BV156" s="70">
        <f>E156</f>
        <v>45</v>
      </c>
      <c r="BW156" s="71" t="str">
        <f>I156</f>
        <v>-</v>
      </c>
      <c r="BX156" s="72">
        <f>M156</f>
        <v>78</v>
      </c>
      <c r="BY156" s="71">
        <f>Q156</f>
        <v>107</v>
      </c>
      <c r="BZ156" s="72">
        <f>U156</f>
        <v>113</v>
      </c>
      <c r="CA156" s="71">
        <f>Y156</f>
        <v>149</v>
      </c>
      <c r="CB156" s="72">
        <f>AC156</f>
        <v>156</v>
      </c>
      <c r="CC156" s="71">
        <f>AG156</f>
        <v>195</v>
      </c>
      <c r="CD156" s="72">
        <f>AK156</f>
        <v>203</v>
      </c>
      <c r="CE156" s="71">
        <f>AO156</f>
        <v>245</v>
      </c>
      <c r="CF156" s="72">
        <f>AS156</f>
        <v>289</v>
      </c>
      <c r="CG156" s="71">
        <f>AW156</f>
        <v>322</v>
      </c>
      <c r="CH156" s="70">
        <f>G156</f>
        <v>72</v>
      </c>
      <c r="CI156" s="71" t="str">
        <f>K156</f>
        <v>-</v>
      </c>
      <c r="CJ156" s="72">
        <f>O156</f>
        <v>106</v>
      </c>
      <c r="CK156" s="72">
        <f>S156</f>
        <v>112</v>
      </c>
      <c r="CL156" s="72">
        <f>W156</f>
        <v>148</v>
      </c>
      <c r="CM156" s="72">
        <f>AA156</f>
        <v>155</v>
      </c>
      <c r="CN156" s="72">
        <f>AE156</f>
        <v>182</v>
      </c>
      <c r="CO156" s="72">
        <f>AI156</f>
        <v>197</v>
      </c>
      <c r="CP156" s="72">
        <f>AM156</f>
        <v>241</v>
      </c>
      <c r="CQ156" s="72">
        <f>AQ156</f>
        <v>285</v>
      </c>
      <c r="CR156" s="72">
        <f>AU156</f>
        <v>321</v>
      </c>
      <c r="CS156" s="72">
        <f>AY156</f>
        <v>336</v>
      </c>
      <c r="CT156" s="23" t="e">
        <f>M156-K156</f>
        <v>#VALUE!</v>
      </c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  <c r="AMK156" s="1"/>
      <c r="AML156" s="1"/>
      <c r="AMM156" s="1"/>
      <c r="AMN156" s="1"/>
      <c r="AMO156" s="1"/>
    </row>
    <row r="157" spans="1:1029" x14ac:dyDescent="0.2">
      <c r="A157" s="3" t="str">
        <f>CONCATENATE(B157,"_",C157)</f>
        <v>agtr2_human_5UNF</v>
      </c>
      <c r="B157" s="3" t="s">
        <v>159</v>
      </c>
      <c r="C157" s="3" t="s">
        <v>1386</v>
      </c>
      <c r="D157" s="3" t="str">
        <f>IFERROR(MID(VLOOKUP($B157,Seqs!$A:$B,2,0),E157,1),"")</f>
        <v>A</v>
      </c>
      <c r="E157" s="3">
        <v>46</v>
      </c>
      <c r="F157" s="3" t="str">
        <f>IFERROR(MID(VLOOKUP($B157,Seqs!$A:$B,2,0),G157,1),"")</f>
        <v>Q</v>
      </c>
      <c r="G157" s="3">
        <v>72</v>
      </c>
      <c r="H157" s="3" t="str">
        <f>IFERROR(MID(VLOOKUP($B157,Seqs!$A:$B,2,0),I157,1),"")</f>
        <v/>
      </c>
      <c r="I157" s="23" t="s">
        <v>23</v>
      </c>
      <c r="J157" s="3" t="str">
        <f>IFERROR(MID(VLOOKUP($B157,Seqs!$A:$B,2,0),K157,1),"")</f>
        <v/>
      </c>
      <c r="K157" s="23" t="s">
        <v>23</v>
      </c>
      <c r="L157" s="3" t="str">
        <f>IFERROR(MID(VLOOKUP($B157,Seqs!$A:$B,2,0),M157,1),"")</f>
        <v>V</v>
      </c>
      <c r="M157" s="3">
        <v>78</v>
      </c>
      <c r="N157" s="3" t="str">
        <f>IFERROR(MID(VLOOKUP($B157,Seqs!$A:$B,2,0),O157,1),"")</f>
        <v>Y</v>
      </c>
      <c r="O157" s="3">
        <v>106</v>
      </c>
      <c r="P157" s="3" t="str">
        <f>IFERROR(MID(VLOOKUP($B157,Seqs!$A:$B,2,0),Q157,1),"")</f>
        <v>R</v>
      </c>
      <c r="Q157" s="3">
        <v>107</v>
      </c>
      <c r="R157" s="3" t="str">
        <f>IFERROR(MID(VLOOKUP($B157,Seqs!$A:$B,2,0),S157,1),"")</f>
        <v>F</v>
      </c>
      <c r="S157" s="3">
        <v>112</v>
      </c>
      <c r="T157" s="3" t="str">
        <f>IFERROR(MID(VLOOKUP($B157,Seqs!$A:$B,2,0),U157,1),"")</f>
        <v>G</v>
      </c>
      <c r="U157" s="3">
        <v>113</v>
      </c>
      <c r="V157" s="3" t="str">
        <f>IFERROR(MID(VLOOKUP($B157,Seqs!$A:$B,2,0),W157,1),"")</f>
        <v>Y</v>
      </c>
      <c r="W157" s="3">
        <v>148</v>
      </c>
      <c r="X157" s="3" t="str">
        <f>IFERROR(MID(VLOOKUP($B157,Seqs!$A:$B,2,0),Y157,1),"")</f>
        <v/>
      </c>
      <c r="Y157" s="3" t="s">
        <v>23</v>
      </c>
      <c r="Z157" s="3" t="str">
        <f>IFERROR(MID(VLOOKUP($B157,Seqs!$A:$B,2,0),AA157,1),"")</f>
        <v/>
      </c>
      <c r="AA157" s="3" t="s">
        <v>23</v>
      </c>
      <c r="AB157" s="3" t="str">
        <f>IFERROR(MID(VLOOKUP($B157,Seqs!$A:$B,2,0),AC157,1),"")</f>
        <v>W</v>
      </c>
      <c r="AC157" s="3">
        <v>158</v>
      </c>
      <c r="AD157" s="3" t="str">
        <f>IFERROR(MID(VLOOKUP($B157,Seqs!$A:$B,2,0),AE157,1),"")</f>
        <v>R</v>
      </c>
      <c r="AE157" s="3">
        <v>182</v>
      </c>
      <c r="AF157" s="3" t="str">
        <f>IFERROR(MID(VLOOKUP($B157,Seqs!$A:$B,2,0),AG157,1),"")</f>
        <v>C</v>
      </c>
      <c r="AG157" s="3">
        <v>195</v>
      </c>
      <c r="AH157" s="3" t="str">
        <f>IFERROR(MID(VLOOKUP($B157,Seqs!$A:$B,2,0),AI157,1),"")</f>
        <v>M</v>
      </c>
      <c r="AI157" s="3">
        <v>197</v>
      </c>
      <c r="AJ157" s="3" t="str">
        <f>IFERROR(MID(VLOOKUP($B157,Seqs!$A:$B,2,0),AK157,1),"")</f>
        <v>Y</v>
      </c>
      <c r="AK157" s="3">
        <v>204</v>
      </c>
      <c r="AL157" s="3" t="str">
        <f>IFERROR(MID(VLOOKUP($B157,Seqs!$A:$B,2,0),AM157,1),"")</f>
        <v>T</v>
      </c>
      <c r="AM157" s="3">
        <v>241</v>
      </c>
      <c r="AN157" s="3" t="str">
        <f>IFERROR(MID(VLOOKUP($B157,Seqs!$A:$B,2,0),AO157,1),"")</f>
        <v>G</v>
      </c>
      <c r="AO157" s="3">
        <v>245</v>
      </c>
      <c r="AP157" s="3" t="str">
        <f>IFERROR(MID(VLOOKUP($B157,Seqs!$A:$B,2,0),AQ157,1),"")</f>
        <v>G</v>
      </c>
      <c r="AQ157" s="3">
        <v>285</v>
      </c>
      <c r="AR157" s="3" t="str">
        <f>IFERROR(MID(VLOOKUP($B157,Seqs!$A:$B,2,0),AS157,1),"")</f>
        <v>C</v>
      </c>
      <c r="AS157" s="3">
        <v>290</v>
      </c>
      <c r="AT157" s="3" t="str">
        <f>IFERROR(MID(VLOOKUP($B157,Seqs!$A:$B,2,0),AU157,1),"")</f>
        <v>V</v>
      </c>
      <c r="AU157" s="3">
        <v>321</v>
      </c>
      <c r="AV157" s="3" t="str">
        <f>IFERROR(MID(VLOOKUP($B157,Seqs!$A:$B,2,0),AW157,1),"")</f>
        <v>G</v>
      </c>
      <c r="AW157" s="3">
        <v>322</v>
      </c>
      <c r="AX157" s="3" t="str">
        <f>IFERROR(MID(VLOOKUP($B157,Seqs!$A:$B,2,0),AY157,1),"")</f>
        <v>R</v>
      </c>
      <c r="AY157" s="3">
        <v>334</v>
      </c>
      <c r="AZ157" s="77"/>
      <c r="BA157" s="94" t="str">
        <f>VLOOKUP(B157,Classification!A:D,4,0)</f>
        <v>Angiotensin</v>
      </c>
      <c r="BB157" s="27" t="b">
        <f t="shared" si="1020"/>
        <v>1</v>
      </c>
      <c r="BC157" s="23">
        <f t="shared" si="1021"/>
        <v>252</v>
      </c>
      <c r="BD157" s="2" t="s">
        <v>23</v>
      </c>
      <c r="BE157" s="3" t="s">
        <v>1285</v>
      </c>
      <c r="BF157" s="118">
        <v>2.8</v>
      </c>
      <c r="BG157" s="49" t="s">
        <v>1371</v>
      </c>
      <c r="BH157" s="49" t="s">
        <v>1</v>
      </c>
      <c r="BI157" s="1"/>
      <c r="BJ157" s="70" t="s">
        <v>1281</v>
      </c>
      <c r="BK157" s="57" t="s">
        <v>1281</v>
      </c>
      <c r="BL157" s="57" t="s">
        <v>1281</v>
      </c>
      <c r="BM157" s="57" t="s">
        <v>1281</v>
      </c>
      <c r="BN157" s="57" t="s">
        <v>1281</v>
      </c>
      <c r="BO157" s="57" t="s">
        <v>1281</v>
      </c>
      <c r="BP157" s="57" t="s">
        <v>1281</v>
      </c>
      <c r="BQ157" s="57" t="s">
        <v>1281</v>
      </c>
      <c r="BR157" s="57" t="s">
        <v>1281</v>
      </c>
      <c r="BS157" s="57" t="s">
        <v>1281</v>
      </c>
      <c r="BT157" s="57" t="s">
        <v>1281</v>
      </c>
      <c r="BU157" s="57" t="s">
        <v>1281</v>
      </c>
      <c r="BV157" s="70">
        <f>E157</f>
        <v>46</v>
      </c>
      <c r="BW157" s="71" t="str">
        <f>I157</f>
        <v>-</v>
      </c>
      <c r="BX157" s="72">
        <f>M157</f>
        <v>78</v>
      </c>
      <c r="BY157" s="71">
        <f>Q157</f>
        <v>107</v>
      </c>
      <c r="BZ157" s="72">
        <f>U157</f>
        <v>113</v>
      </c>
      <c r="CA157" s="71" t="str">
        <f>Y157</f>
        <v>-</v>
      </c>
      <c r="CB157" s="72">
        <f>AC157</f>
        <v>158</v>
      </c>
      <c r="CC157" s="71">
        <f>AG157</f>
        <v>195</v>
      </c>
      <c r="CD157" s="72">
        <f>AK157</f>
        <v>204</v>
      </c>
      <c r="CE157" s="71">
        <f>AO157</f>
        <v>245</v>
      </c>
      <c r="CF157" s="72">
        <f>AS157</f>
        <v>290</v>
      </c>
      <c r="CG157" s="71">
        <f>AW157</f>
        <v>322</v>
      </c>
      <c r="CH157" s="70">
        <f>G157</f>
        <v>72</v>
      </c>
      <c r="CI157" s="71" t="str">
        <f>K157</f>
        <v>-</v>
      </c>
      <c r="CJ157" s="72">
        <f>O157</f>
        <v>106</v>
      </c>
      <c r="CK157" s="72">
        <f>S157</f>
        <v>112</v>
      </c>
      <c r="CL157" s="72">
        <f>W157</f>
        <v>148</v>
      </c>
      <c r="CM157" s="72" t="str">
        <f>AA157</f>
        <v>-</v>
      </c>
      <c r="CN157" s="72">
        <f>AE157</f>
        <v>182</v>
      </c>
      <c r="CO157" s="72">
        <f>AI157</f>
        <v>197</v>
      </c>
      <c r="CP157" s="72">
        <f>AM157</f>
        <v>241</v>
      </c>
      <c r="CQ157" s="72">
        <f>AQ157</f>
        <v>285</v>
      </c>
      <c r="CR157" s="72">
        <f>AU157</f>
        <v>321</v>
      </c>
      <c r="CS157" s="72">
        <f>AY157</f>
        <v>334</v>
      </c>
      <c r="CT157" s="23" t="e">
        <f>M157-K157</f>
        <v>#VALUE!</v>
      </c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  <c r="AMK157" s="1"/>
      <c r="AML157" s="1"/>
      <c r="AMM157" s="1"/>
      <c r="AMN157" s="1"/>
      <c r="AMO157" s="1"/>
    </row>
    <row r="158" spans="1:1029" x14ac:dyDescent="0.2">
      <c r="A158" s="3" t="str">
        <f>CONCATENATE(B158,"_",C158)</f>
        <v>agtr2_human_5UNG</v>
      </c>
      <c r="B158" s="3" t="s">
        <v>159</v>
      </c>
      <c r="C158" s="3" t="s">
        <v>1388</v>
      </c>
      <c r="D158" s="3" t="str">
        <f>IFERROR(MID(VLOOKUP($B158,Seqs!$A:$B,2,0),E158,1),"")</f>
        <v>D</v>
      </c>
      <c r="E158" s="3">
        <v>45</v>
      </c>
      <c r="F158" s="3" t="str">
        <f>IFERROR(MID(VLOOKUP($B158,Seqs!$A:$B,2,0),G158,1),"")</f>
        <v>C</v>
      </c>
      <c r="G158" s="3">
        <v>71</v>
      </c>
      <c r="H158" s="3" t="str">
        <f>IFERROR(MID(VLOOKUP($B158,Seqs!$A:$B,2,0),I158,1),"")</f>
        <v/>
      </c>
      <c r="I158" s="23" t="s">
        <v>23</v>
      </c>
      <c r="J158" s="3" t="str">
        <f>IFERROR(MID(VLOOKUP($B158,Seqs!$A:$B,2,0),K158,1),"")</f>
        <v/>
      </c>
      <c r="K158" s="23" t="s">
        <v>23</v>
      </c>
      <c r="L158" s="3" t="str">
        <f>IFERROR(MID(VLOOKUP($B158,Seqs!$A:$B,2,0),M158,1),"")</f>
        <v>V</v>
      </c>
      <c r="M158" s="3">
        <v>78</v>
      </c>
      <c r="N158" s="3" t="str">
        <f>IFERROR(MID(VLOOKUP($B158,Seqs!$A:$B,2,0),O158,1),"")</f>
        <v>Y</v>
      </c>
      <c r="O158" s="3">
        <v>106</v>
      </c>
      <c r="P158" s="3" t="str">
        <f>IFERROR(MID(VLOOKUP($B158,Seqs!$A:$B,2,0),Q158,1),"")</f>
        <v>R</v>
      </c>
      <c r="Q158" s="3">
        <v>107</v>
      </c>
      <c r="R158" s="3" t="str">
        <f>IFERROR(MID(VLOOKUP($B158,Seqs!$A:$B,2,0),S158,1),"")</f>
        <v>F</v>
      </c>
      <c r="S158" s="3">
        <v>112</v>
      </c>
      <c r="T158" s="3" t="str">
        <f>IFERROR(MID(VLOOKUP($B158,Seqs!$A:$B,2,0),U158,1),"")</f>
        <v>G</v>
      </c>
      <c r="U158" s="3">
        <v>113</v>
      </c>
      <c r="V158" s="3" t="str">
        <f>IFERROR(MID(VLOOKUP($B158,Seqs!$A:$B,2,0),W158,1),"")</f>
        <v>Y</v>
      </c>
      <c r="W158" s="3">
        <v>148</v>
      </c>
      <c r="X158" s="3" t="str">
        <f>IFERROR(MID(VLOOKUP($B158,Seqs!$A:$B,2,0),Y158,1),"")</f>
        <v/>
      </c>
      <c r="Y158" s="3" t="s">
        <v>23</v>
      </c>
      <c r="Z158" s="3" t="str">
        <f>IFERROR(MID(VLOOKUP($B158,Seqs!$A:$B,2,0),AA158,1),"")</f>
        <v/>
      </c>
      <c r="AA158" s="3" t="s">
        <v>23</v>
      </c>
      <c r="AB158" s="3" t="str">
        <f>IFERROR(MID(VLOOKUP($B158,Seqs!$A:$B,2,0),AC158,1),"")</f>
        <v>Q</v>
      </c>
      <c r="AC158" s="3">
        <v>159</v>
      </c>
      <c r="AD158" s="3" t="str">
        <f>IFERROR(MID(VLOOKUP($B158,Seqs!$A:$B,2,0),AE158,1),"")</f>
        <v>R</v>
      </c>
      <c r="AE158" s="3">
        <v>182</v>
      </c>
      <c r="AF158" s="3" t="str">
        <f>IFERROR(MID(VLOOKUP($B158,Seqs!$A:$B,2,0),AG158,1),"")</f>
        <v>C</v>
      </c>
      <c r="AG158" s="3">
        <v>195</v>
      </c>
      <c r="AH158" s="3" t="str">
        <f>IFERROR(MID(VLOOKUP($B158,Seqs!$A:$B,2,0),AI158,1),"")</f>
        <v>M</v>
      </c>
      <c r="AI158" s="3">
        <v>197</v>
      </c>
      <c r="AJ158" s="3" t="str">
        <f>IFERROR(MID(VLOOKUP($B158,Seqs!$A:$B,2,0),AK158,1),"")</f>
        <v>K</v>
      </c>
      <c r="AK158" s="3">
        <v>203</v>
      </c>
      <c r="AL158" s="3" t="str">
        <f>IFERROR(MID(VLOOKUP($B158,Seqs!$A:$B,2,0),AM158,1),"")</f>
        <v>T</v>
      </c>
      <c r="AM158" s="3">
        <v>241</v>
      </c>
      <c r="AN158" s="3" t="str">
        <f>IFERROR(MID(VLOOKUP($B158,Seqs!$A:$B,2,0),AO158,1),"")</f>
        <v>G</v>
      </c>
      <c r="AO158" s="3">
        <v>245</v>
      </c>
      <c r="AP158" s="3" t="str">
        <f>IFERROR(MID(VLOOKUP($B158,Seqs!$A:$B,2,0),AQ158,1),"")</f>
        <v>G</v>
      </c>
      <c r="AQ158" s="3">
        <v>285</v>
      </c>
      <c r="AR158" s="3" t="str">
        <f>IFERROR(MID(VLOOKUP($B158,Seqs!$A:$B,2,0),AS158,1),"")</f>
        <v>S</v>
      </c>
      <c r="AS158" s="3">
        <v>289</v>
      </c>
      <c r="AT158" s="3" t="str">
        <f>IFERROR(MID(VLOOKUP($B158,Seqs!$A:$B,2,0),AU158,1),"")</f>
        <v>V</v>
      </c>
      <c r="AU158" s="3">
        <v>321</v>
      </c>
      <c r="AV158" s="3" t="str">
        <f>IFERROR(MID(VLOOKUP($B158,Seqs!$A:$B,2,0),AW158,1),"")</f>
        <v>G</v>
      </c>
      <c r="AW158" s="3">
        <v>322</v>
      </c>
      <c r="AX158" s="3" t="str">
        <f>IFERROR(MID(VLOOKUP($B158,Seqs!$A:$B,2,0),AY158,1),"")</f>
        <v>R</v>
      </c>
      <c r="AY158" s="3">
        <v>334</v>
      </c>
      <c r="AZ158" s="77" t="str">
        <f>VLOOKUP(B158,Classification!A:D,2,0)</f>
        <v>A</v>
      </c>
      <c r="BA158" s="94" t="str">
        <f>VLOOKUP(B158,Classification!A:D,4,0)</f>
        <v>Angiotensin</v>
      </c>
      <c r="BB158" s="27" t="b">
        <f t="shared" si="1020"/>
        <v>1</v>
      </c>
      <c r="BC158" s="23">
        <f t="shared" si="1021"/>
        <v>253</v>
      </c>
      <c r="BD158" s="2" t="s">
        <v>23</v>
      </c>
      <c r="BE158" s="3" t="s">
        <v>1285</v>
      </c>
      <c r="BF158" s="118">
        <v>2.8</v>
      </c>
      <c r="BG158" s="49" t="s">
        <v>1371</v>
      </c>
      <c r="BH158" s="49" t="s">
        <v>1275</v>
      </c>
      <c r="BI158" s="1"/>
      <c r="BJ158" s="70" t="s">
        <v>1281</v>
      </c>
      <c r="BK158" s="57" t="s">
        <v>1281</v>
      </c>
      <c r="BL158" s="57" t="s">
        <v>1281</v>
      </c>
      <c r="BM158" s="57" t="s">
        <v>1281</v>
      </c>
      <c r="BN158" s="57" t="s">
        <v>1281</v>
      </c>
      <c r="BO158" s="57" t="s">
        <v>1281</v>
      </c>
      <c r="BP158" s="57" t="s">
        <v>1281</v>
      </c>
      <c r="BQ158" s="57" t="s">
        <v>1281</v>
      </c>
      <c r="BR158" s="57" t="s">
        <v>1281</v>
      </c>
      <c r="BS158" s="57" t="s">
        <v>1281</v>
      </c>
      <c r="BT158" s="57" t="s">
        <v>1281</v>
      </c>
      <c r="BU158" s="57" t="s">
        <v>1281</v>
      </c>
      <c r="BV158" s="70">
        <f>E158</f>
        <v>45</v>
      </c>
      <c r="BW158" s="71" t="str">
        <f>I158</f>
        <v>-</v>
      </c>
      <c r="BX158" s="72">
        <f>M158</f>
        <v>78</v>
      </c>
      <c r="BY158" s="71">
        <f>Q158</f>
        <v>107</v>
      </c>
      <c r="BZ158" s="72">
        <f>U158</f>
        <v>113</v>
      </c>
      <c r="CA158" s="71" t="str">
        <f>Y158</f>
        <v>-</v>
      </c>
      <c r="CB158" s="72">
        <f>AC158</f>
        <v>159</v>
      </c>
      <c r="CC158" s="71">
        <f>AG158</f>
        <v>195</v>
      </c>
      <c r="CD158" s="72">
        <f>AK158</f>
        <v>203</v>
      </c>
      <c r="CE158" s="71">
        <f>AO158</f>
        <v>245</v>
      </c>
      <c r="CF158" s="72">
        <f>AS158</f>
        <v>289</v>
      </c>
      <c r="CG158" s="71">
        <f>AW158</f>
        <v>322</v>
      </c>
      <c r="CH158" s="70">
        <f>G158</f>
        <v>71</v>
      </c>
      <c r="CI158" s="71" t="str">
        <f>K158</f>
        <v>-</v>
      </c>
      <c r="CJ158" s="72">
        <f>O158</f>
        <v>106</v>
      </c>
      <c r="CK158" s="72">
        <f>S158</f>
        <v>112</v>
      </c>
      <c r="CL158" s="72">
        <f>W158</f>
        <v>148</v>
      </c>
      <c r="CM158" s="72" t="str">
        <f>AA158</f>
        <v>-</v>
      </c>
      <c r="CN158" s="72">
        <f>AE158</f>
        <v>182</v>
      </c>
      <c r="CO158" s="72">
        <f>AI158</f>
        <v>197</v>
      </c>
      <c r="CP158" s="72">
        <f>AM158</f>
        <v>241</v>
      </c>
      <c r="CQ158" s="72">
        <f>AQ158</f>
        <v>285</v>
      </c>
      <c r="CR158" s="72">
        <f>AU158</f>
        <v>321</v>
      </c>
      <c r="CS158" s="72">
        <f>AY158</f>
        <v>334</v>
      </c>
      <c r="CT158" s="23" t="e">
        <f>M158-K158</f>
        <v>#VALUE!</v>
      </c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  <c r="AMK158" s="1"/>
      <c r="AML158" s="1"/>
      <c r="AMM158" s="1"/>
      <c r="AMN158" s="1"/>
      <c r="AMO158" s="1"/>
    </row>
    <row r="159" spans="1:1029" x14ac:dyDescent="0.2">
      <c r="A159" s="3" t="str">
        <f>CONCATENATE(B159,"_",C159)</f>
        <v>agtr2_human_5UNH</v>
      </c>
      <c r="B159" s="3" t="s">
        <v>159</v>
      </c>
      <c r="C159" s="3" t="s">
        <v>1389</v>
      </c>
      <c r="D159" s="3" t="str">
        <f>IFERROR(MID(VLOOKUP($B159,Seqs!$A:$B,2,0),E159,1),"")</f>
        <v>D</v>
      </c>
      <c r="E159" s="3">
        <v>45</v>
      </c>
      <c r="F159" s="3" t="str">
        <f>IFERROR(MID(VLOOKUP($B159,Seqs!$A:$B,2,0),G159,1),"")</f>
        <v>C</v>
      </c>
      <c r="G159" s="3">
        <v>70</v>
      </c>
      <c r="H159" s="3" t="str">
        <f>IFERROR(MID(VLOOKUP($B159,Seqs!$A:$B,2,0),I159,1),"")</f>
        <v/>
      </c>
      <c r="I159" s="23" t="s">
        <v>23</v>
      </c>
      <c r="J159" s="3" t="str">
        <f>IFERROR(MID(VLOOKUP($B159,Seqs!$A:$B,2,0),K159,1),"")</f>
        <v/>
      </c>
      <c r="K159" s="23" t="s">
        <v>23</v>
      </c>
      <c r="L159" s="3" t="str">
        <f>IFERROR(MID(VLOOKUP($B159,Seqs!$A:$B,2,0),M159,1),"")</f>
        <v>K</v>
      </c>
      <c r="M159" s="3">
        <v>77</v>
      </c>
      <c r="N159" s="3" t="str">
        <f>IFERROR(MID(VLOOKUP($B159,Seqs!$A:$B,2,0),O159,1),"")</f>
        <v>Y</v>
      </c>
      <c r="O159" s="3">
        <v>106</v>
      </c>
      <c r="P159" s="3" t="str">
        <f>IFERROR(MID(VLOOKUP($B159,Seqs!$A:$B,2,0),Q159,1),"")</f>
        <v>R</v>
      </c>
      <c r="Q159" s="3">
        <v>107</v>
      </c>
      <c r="R159" s="3" t="str">
        <f>IFERROR(MID(VLOOKUP($B159,Seqs!$A:$B,2,0),S159,1),"")</f>
        <v>F</v>
      </c>
      <c r="S159" s="3">
        <v>112</v>
      </c>
      <c r="T159" s="3" t="str">
        <f>IFERROR(MID(VLOOKUP($B159,Seqs!$A:$B,2,0),U159,1),"")</f>
        <v>G</v>
      </c>
      <c r="U159" s="3">
        <v>113</v>
      </c>
      <c r="V159" s="3" t="str">
        <f>IFERROR(MID(VLOOKUP($B159,Seqs!$A:$B,2,0),W159,1),"")</f>
        <v>Y</v>
      </c>
      <c r="W159" s="3">
        <v>148</v>
      </c>
      <c r="X159" s="3" t="str">
        <f>IFERROR(MID(VLOOKUP($B159,Seqs!$A:$B,2,0),Y159,1),"")</f>
        <v/>
      </c>
      <c r="Y159" s="3" t="s">
        <v>23</v>
      </c>
      <c r="Z159" s="3" t="str">
        <f>IFERROR(MID(VLOOKUP($B159,Seqs!$A:$B,2,0),AA159,1),"")</f>
        <v/>
      </c>
      <c r="AA159" s="3" t="s">
        <v>23</v>
      </c>
      <c r="AB159" s="3" t="str">
        <f>IFERROR(MID(VLOOKUP($B159,Seqs!$A:$B,2,0),AC159,1),"")</f>
        <v>Y</v>
      </c>
      <c r="AC159" s="3">
        <v>162</v>
      </c>
      <c r="AD159" s="3" t="str">
        <f>IFERROR(MID(VLOOKUP($B159,Seqs!$A:$B,2,0),AE159,1),"")</f>
        <v>R</v>
      </c>
      <c r="AE159" s="3">
        <v>182</v>
      </c>
      <c r="AF159" s="3" t="str">
        <f>IFERROR(MID(VLOOKUP($B159,Seqs!$A:$B,2,0),AG159,1),"")</f>
        <v>C</v>
      </c>
      <c r="AG159" s="3">
        <v>195</v>
      </c>
      <c r="AH159" s="3" t="str">
        <f>IFERROR(MID(VLOOKUP($B159,Seqs!$A:$B,2,0),AI159,1),"")</f>
        <v>M</v>
      </c>
      <c r="AI159" s="3">
        <v>197</v>
      </c>
      <c r="AJ159" s="3" t="str">
        <f>IFERROR(MID(VLOOKUP($B159,Seqs!$A:$B,2,0),AK159,1),"")</f>
        <v>Y</v>
      </c>
      <c r="AK159" s="3">
        <v>204</v>
      </c>
      <c r="AL159" s="3" t="str">
        <f>IFERROR(MID(VLOOKUP($B159,Seqs!$A:$B,2,0),AM159,1),"")</f>
        <v>T</v>
      </c>
      <c r="AM159" s="3">
        <v>241</v>
      </c>
      <c r="AN159" s="3" t="str">
        <f>IFERROR(MID(VLOOKUP($B159,Seqs!$A:$B,2,0),AO159,1),"")</f>
        <v>G</v>
      </c>
      <c r="AO159" s="3">
        <v>245</v>
      </c>
      <c r="AP159" s="3" t="str">
        <f>IFERROR(MID(VLOOKUP($B159,Seqs!$A:$B,2,0),AQ159,1),"")</f>
        <v>G</v>
      </c>
      <c r="AQ159" s="3">
        <v>285</v>
      </c>
      <c r="AR159" s="3" t="str">
        <f>IFERROR(MID(VLOOKUP($B159,Seqs!$A:$B,2,0),AS159,1),"")</f>
        <v>S</v>
      </c>
      <c r="AS159" s="3">
        <v>289</v>
      </c>
      <c r="AT159" s="3" t="str">
        <f>IFERROR(MID(VLOOKUP($B159,Seqs!$A:$B,2,0),AU159,1),"")</f>
        <v>V</v>
      </c>
      <c r="AU159" s="3">
        <v>321</v>
      </c>
      <c r="AV159" s="3" t="str">
        <f>IFERROR(MID(VLOOKUP($B159,Seqs!$A:$B,2,0),AW159,1),"")</f>
        <v>G</v>
      </c>
      <c r="AW159" s="3">
        <v>322</v>
      </c>
      <c r="AX159" s="3" t="str">
        <f>IFERROR(MID(VLOOKUP($B159,Seqs!$A:$B,2,0),AY159,1),"")</f>
        <v>V</v>
      </c>
      <c r="AY159" s="3">
        <v>332</v>
      </c>
      <c r="AZ159" s="77" t="str">
        <f>VLOOKUP(B159,Classification!A:D,2,0)</f>
        <v>A</v>
      </c>
      <c r="BA159" s="94" t="str">
        <f>VLOOKUP(B159,Classification!A:D,4,0)</f>
        <v>Angiotensin</v>
      </c>
      <c r="BB159" s="27" t="b">
        <f t="shared" si="1020"/>
        <v>1</v>
      </c>
      <c r="BC159" s="23">
        <f t="shared" si="1021"/>
        <v>247</v>
      </c>
      <c r="BD159" s="2" t="s">
        <v>23</v>
      </c>
      <c r="BE159" s="3" t="s">
        <v>1285</v>
      </c>
      <c r="BF159" s="118">
        <v>2.9</v>
      </c>
      <c r="BG159" s="49" t="s">
        <v>1371</v>
      </c>
      <c r="BH159" s="49" t="s">
        <v>1275</v>
      </c>
      <c r="BI159" s="1"/>
      <c r="BJ159" s="70" t="s">
        <v>1281</v>
      </c>
      <c r="BK159" s="57" t="s">
        <v>1281</v>
      </c>
      <c r="BL159" s="57" t="s">
        <v>1281</v>
      </c>
      <c r="BM159" s="57" t="s">
        <v>1281</v>
      </c>
      <c r="BN159" s="57" t="s">
        <v>1281</v>
      </c>
      <c r="BO159" s="57" t="s">
        <v>1281</v>
      </c>
      <c r="BP159" s="57" t="s">
        <v>1281</v>
      </c>
      <c r="BQ159" s="57" t="s">
        <v>1281</v>
      </c>
      <c r="BR159" s="57" t="s">
        <v>1281</v>
      </c>
      <c r="BS159" s="57" t="s">
        <v>1281</v>
      </c>
      <c r="BT159" s="57" t="s">
        <v>1281</v>
      </c>
      <c r="BU159" s="57" t="s">
        <v>1281</v>
      </c>
      <c r="BV159" s="70">
        <f>E159</f>
        <v>45</v>
      </c>
      <c r="BW159" s="71" t="str">
        <f>I159</f>
        <v>-</v>
      </c>
      <c r="BX159" s="72">
        <f>M159</f>
        <v>77</v>
      </c>
      <c r="BY159" s="71">
        <f>Q159</f>
        <v>107</v>
      </c>
      <c r="BZ159" s="72">
        <f>U159</f>
        <v>113</v>
      </c>
      <c r="CA159" s="71" t="str">
        <f>Y159</f>
        <v>-</v>
      </c>
      <c r="CB159" s="72">
        <f>AC159</f>
        <v>162</v>
      </c>
      <c r="CC159" s="71">
        <f>AG159</f>
        <v>195</v>
      </c>
      <c r="CD159" s="72">
        <f>AK159</f>
        <v>204</v>
      </c>
      <c r="CE159" s="71">
        <f>AO159</f>
        <v>245</v>
      </c>
      <c r="CF159" s="72">
        <f>AS159</f>
        <v>289</v>
      </c>
      <c r="CG159" s="71">
        <f>AW159</f>
        <v>322</v>
      </c>
      <c r="CH159" s="70">
        <f>G159</f>
        <v>70</v>
      </c>
      <c r="CI159" s="71" t="str">
        <f>K159</f>
        <v>-</v>
      </c>
      <c r="CJ159" s="72">
        <f>O159</f>
        <v>106</v>
      </c>
      <c r="CK159" s="72">
        <f>S159</f>
        <v>112</v>
      </c>
      <c r="CL159" s="72">
        <f>W159</f>
        <v>148</v>
      </c>
      <c r="CM159" s="72" t="str">
        <f>AA159</f>
        <v>-</v>
      </c>
      <c r="CN159" s="72">
        <f>AE159</f>
        <v>182</v>
      </c>
      <c r="CO159" s="72">
        <f>AI159</f>
        <v>197</v>
      </c>
      <c r="CP159" s="72">
        <f>AM159</f>
        <v>241</v>
      </c>
      <c r="CQ159" s="72">
        <f>AQ159</f>
        <v>285</v>
      </c>
      <c r="CR159" s="72">
        <f>AU159</f>
        <v>321</v>
      </c>
      <c r="CS159" s="72">
        <f>AY159</f>
        <v>332</v>
      </c>
      <c r="CT159" s="23" t="e">
        <f>M159-K159</f>
        <v>#VALUE!</v>
      </c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  <c r="AMK159" s="1"/>
      <c r="AML159" s="1"/>
      <c r="AMM159" s="1"/>
      <c r="AMN159" s="1"/>
      <c r="AMO159" s="1"/>
    </row>
    <row r="160" spans="1:1029" x14ac:dyDescent="0.2">
      <c r="A160" s="3" t="str">
        <f>CONCATENATE(B160,"_",C160)</f>
        <v>agtr2_human_5XJM</v>
      </c>
      <c r="B160" s="3" t="s">
        <v>159</v>
      </c>
      <c r="C160" s="3" t="s">
        <v>1505</v>
      </c>
      <c r="D160" s="3" t="str">
        <f>IFERROR(MID(VLOOKUP($B160,Seqs!$A:$B,2,0),E160,1),"")</f>
        <v>A</v>
      </c>
      <c r="E160" s="3">
        <v>46</v>
      </c>
      <c r="F160" s="3" t="str">
        <f>IFERROR(MID(VLOOKUP($B160,Seqs!$A:$B,2,0),G160,1),"")</f>
        <v>K</v>
      </c>
      <c r="G160" s="3">
        <v>73</v>
      </c>
      <c r="H160" s="3" t="str">
        <f>IFERROR(MID(VLOOKUP($B160,Seqs!$A:$B,2,0),I160,1),"")</f>
        <v/>
      </c>
      <c r="I160" s="23" t="s">
        <v>23</v>
      </c>
      <c r="J160" s="3" t="str">
        <f>IFERROR(MID(VLOOKUP($B160,Seqs!$A:$B,2,0),K160,1),"")</f>
        <v/>
      </c>
      <c r="K160" s="23" t="s">
        <v>23</v>
      </c>
      <c r="L160" s="3" t="str">
        <f>IFERROR(MID(VLOOKUP($B160,Seqs!$A:$B,2,0),M160,1),"")</f>
        <v>V</v>
      </c>
      <c r="M160" s="3">
        <v>78</v>
      </c>
      <c r="N160" s="3" t="str">
        <f>IFERROR(MID(VLOOKUP($B160,Seqs!$A:$B,2,0),O160,1),"")</f>
        <v>Y</v>
      </c>
      <c r="O160" s="3">
        <v>106</v>
      </c>
      <c r="P160" s="3" t="str">
        <f>IFERROR(MID(VLOOKUP($B160,Seqs!$A:$B,2,0),Q160,1),"")</f>
        <v>R</v>
      </c>
      <c r="Q160" s="3">
        <v>107</v>
      </c>
      <c r="R160" s="3" t="str">
        <f>IFERROR(MID(VLOOKUP($B160,Seqs!$A:$B,2,0),S160,1),"")</f>
        <v>F</v>
      </c>
      <c r="S160" s="3">
        <v>112</v>
      </c>
      <c r="T160" s="3" t="str">
        <f>IFERROR(MID(VLOOKUP($B160,Seqs!$A:$B,2,0),U160,1),"")</f>
        <v>G</v>
      </c>
      <c r="U160" s="3">
        <v>113</v>
      </c>
      <c r="V160" s="3" t="str">
        <f>IFERROR(MID(VLOOKUP($B160,Seqs!$A:$B,2,0),W160,1),"")</f>
        <v>Y</v>
      </c>
      <c r="W160" s="3">
        <v>148</v>
      </c>
      <c r="X160" s="3" t="str">
        <f>IFERROR(MID(VLOOKUP($B160,Seqs!$A:$B,2,0),Y160,1),"")</f>
        <v/>
      </c>
      <c r="Y160" s="3" t="s">
        <v>23</v>
      </c>
      <c r="Z160" s="3" t="str">
        <f>IFERROR(MID(VLOOKUP($B160,Seqs!$A:$B,2,0),AA160,1),"")</f>
        <v/>
      </c>
      <c r="AA160" s="3" t="s">
        <v>23</v>
      </c>
      <c r="AB160" s="3" t="str">
        <f>IFERROR(MID(VLOOKUP($B160,Seqs!$A:$B,2,0),AC160,1),"")</f>
        <v>R</v>
      </c>
      <c r="AC160" s="3">
        <v>155</v>
      </c>
      <c r="AD160" s="3" t="str">
        <f>IFERROR(MID(VLOOKUP($B160,Seqs!$A:$B,2,0),AE160,1),"")</f>
        <v>F</v>
      </c>
      <c r="AE160" s="3">
        <v>181</v>
      </c>
      <c r="AF160" s="3" t="str">
        <f>IFERROR(MID(VLOOKUP($B160,Seqs!$A:$B,2,0),AG160,1),"")</f>
        <v>C</v>
      </c>
      <c r="AG160" s="3">
        <v>195</v>
      </c>
      <c r="AH160" s="3" t="str">
        <f>IFERROR(MID(VLOOKUP($B160,Seqs!$A:$B,2,0),AI160,1),"")</f>
        <v>M</v>
      </c>
      <c r="AI160" s="3">
        <v>197</v>
      </c>
      <c r="AJ160" s="3" t="str">
        <f>IFERROR(MID(VLOOKUP($B160,Seqs!$A:$B,2,0),AK160,1),"")</f>
        <v>K</v>
      </c>
      <c r="AK160" s="3">
        <v>203</v>
      </c>
      <c r="AL160" s="3" t="str">
        <f>IFERROR(MID(VLOOKUP($B160,Seqs!$A:$B,2,0),AM160,1),"")</f>
        <v>N</v>
      </c>
      <c r="AM160" s="3">
        <v>242</v>
      </c>
      <c r="AN160" s="3" t="str">
        <f>IFERROR(MID(VLOOKUP($B160,Seqs!$A:$B,2,0),AO160,1),"")</f>
        <v>N</v>
      </c>
      <c r="AO160" s="3">
        <v>247</v>
      </c>
      <c r="AP160" s="3" t="str">
        <f>IFERROR(MID(VLOOKUP($B160,Seqs!$A:$B,2,0),AQ160,1),"")</f>
        <v>G</v>
      </c>
      <c r="AQ160" s="3">
        <v>285</v>
      </c>
      <c r="AR160" s="3" t="str">
        <f>IFERROR(MID(VLOOKUP($B160,Seqs!$A:$B,2,0),AS160,1),"")</f>
        <v>S</v>
      </c>
      <c r="AS160" s="3">
        <v>289</v>
      </c>
      <c r="AT160" s="3" t="str">
        <f>IFERROR(MID(VLOOKUP($B160,Seqs!$A:$B,2,0),AU160,1),"")</f>
        <v>F</v>
      </c>
      <c r="AU160" s="3">
        <v>320</v>
      </c>
      <c r="AV160" s="3" t="str">
        <f>IFERROR(MID(VLOOKUP($B160,Seqs!$A:$B,2,0),AW160,1),"")</f>
        <v/>
      </c>
      <c r="AW160" s="3" t="s">
        <v>23</v>
      </c>
      <c r="AX160" s="3" t="str">
        <f>IFERROR(MID(VLOOKUP($B160,Seqs!$A:$B,2,0),AY160,1),"")</f>
        <v/>
      </c>
      <c r="AY160" s="3" t="s">
        <v>23</v>
      </c>
      <c r="AZ160" s="77" t="str">
        <f>VLOOKUP(B160,Classification!A:D,2,0)</f>
        <v>A</v>
      </c>
      <c r="BA160" s="94" t="str">
        <f>VLOOKUP(B160,Classification!A:D,4,0)</f>
        <v>Angiotensin</v>
      </c>
      <c r="BB160" s="27" t="b">
        <f t="shared" ref="BB160" si="1022">AND(E160&lt;G160,OR(G160&lt;I160,I160="-"),OR(I160&lt;K160,I160="-"),OR(K160&lt;M160,K160="-"),M160&lt;O160,OR(O160&lt;Q160,Q160="-"),OR(Q160&lt;S160,Q160="-"),OR(S160&lt;U160,S160="-"),U160&lt;W160,OR(W160&lt;Y160,Y160="-"),OR(Y160&lt;AA160,Y160="-"),OR(AA160&lt;AC160,AA160="-"),AC160&lt;AE160,OR(AE160&lt;AG160,AG160="-"),OR(AG160&lt;AI160,AG160="-"),OR(AI160&lt;AK160,AI160="-"),AK160&lt;AM160,AM160&lt;AO160,AO160&lt;AQ160,AQ160&lt;AS160,AS160&lt;AU160,OR(AU160&lt;AW160,AW160="-"),OR(AW160&lt;AY160,AW160="-"))</f>
        <v>1</v>
      </c>
      <c r="BC160" s="23">
        <f t="shared" ref="BC160" si="1023">_xlfn.AGGREGATE(9,6,CH160:CS160)-_xlfn.AGGREGATE(9,6,BV160:CG160)+12</f>
        <v>243</v>
      </c>
      <c r="BD160" s="2" t="s">
        <v>23</v>
      </c>
      <c r="BE160" s="3" t="s">
        <v>1285</v>
      </c>
      <c r="BF160" s="118">
        <v>3.2</v>
      </c>
      <c r="BG160" s="49" t="s">
        <v>1</v>
      </c>
      <c r="BH160" s="49" t="s">
        <v>1</v>
      </c>
      <c r="BI160" s="1"/>
      <c r="BJ160" s="70" t="s">
        <v>1281</v>
      </c>
      <c r="BK160" s="57" t="s">
        <v>1281</v>
      </c>
      <c r="BL160" s="57" t="s">
        <v>1281</v>
      </c>
      <c r="BM160" s="57" t="s">
        <v>1281</v>
      </c>
      <c r="BN160" s="57" t="s">
        <v>1281</v>
      </c>
      <c r="BO160" s="57" t="s">
        <v>1281</v>
      </c>
      <c r="BP160" s="57" t="s">
        <v>1281</v>
      </c>
      <c r="BQ160" s="57" t="s">
        <v>1281</v>
      </c>
      <c r="BR160" s="57" t="s">
        <v>1281</v>
      </c>
      <c r="BS160" s="57" t="s">
        <v>1281</v>
      </c>
      <c r="BT160" s="57" t="s">
        <v>1281</v>
      </c>
      <c r="BU160" s="57" t="s">
        <v>1281</v>
      </c>
      <c r="BV160" s="70">
        <f>E160</f>
        <v>46</v>
      </c>
      <c r="BW160" s="71" t="str">
        <f>I160</f>
        <v>-</v>
      </c>
      <c r="BX160" s="72">
        <f>M160</f>
        <v>78</v>
      </c>
      <c r="BY160" s="71">
        <f>Q160</f>
        <v>107</v>
      </c>
      <c r="BZ160" s="72">
        <f>U160</f>
        <v>113</v>
      </c>
      <c r="CA160" s="71" t="str">
        <f>Y160</f>
        <v>-</v>
      </c>
      <c r="CB160" s="72">
        <f>AC160</f>
        <v>155</v>
      </c>
      <c r="CC160" s="71">
        <f>AG160</f>
        <v>195</v>
      </c>
      <c r="CD160" s="72">
        <f>AK160</f>
        <v>203</v>
      </c>
      <c r="CE160" s="71">
        <f>AO160</f>
        <v>247</v>
      </c>
      <c r="CF160" s="72">
        <f>AS160</f>
        <v>289</v>
      </c>
      <c r="CG160" s="71" t="str">
        <f>AW160</f>
        <v>-</v>
      </c>
      <c r="CH160" s="70">
        <f>G160</f>
        <v>73</v>
      </c>
      <c r="CI160" s="71" t="str">
        <f>K160</f>
        <v>-</v>
      </c>
      <c r="CJ160" s="72">
        <f>O160</f>
        <v>106</v>
      </c>
      <c r="CK160" s="72">
        <f>S160</f>
        <v>112</v>
      </c>
      <c r="CL160" s="72">
        <f>W160</f>
        <v>148</v>
      </c>
      <c r="CM160" s="72" t="str">
        <f>AA160</f>
        <v>-</v>
      </c>
      <c r="CN160" s="72">
        <f>AE160</f>
        <v>181</v>
      </c>
      <c r="CO160" s="72">
        <f>AI160</f>
        <v>197</v>
      </c>
      <c r="CP160" s="72">
        <f>AM160</f>
        <v>242</v>
      </c>
      <c r="CQ160" s="72">
        <f>AQ160</f>
        <v>285</v>
      </c>
      <c r="CR160" s="72">
        <f>AU160</f>
        <v>320</v>
      </c>
      <c r="CS160" s="72" t="str">
        <f>AY160</f>
        <v>-</v>
      </c>
      <c r="CT160" s="23" t="e">
        <f>M160-K160</f>
        <v>#VALUE!</v>
      </c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  <c r="AMJ160" s="1"/>
      <c r="AMK160" s="1"/>
      <c r="AML160" s="1"/>
      <c r="AMM160" s="1"/>
      <c r="AMN160" s="1"/>
      <c r="AMO160" s="1"/>
    </row>
    <row r="161" spans="1:1030" s="12" customFormat="1" x14ac:dyDescent="0.2">
      <c r="A161" s="9" t="str">
        <f>CONCATENATE(B161,"_",C161)</f>
        <v>agtr2_human_6JOD</v>
      </c>
      <c r="B161" s="9" t="s">
        <v>159</v>
      </c>
      <c r="C161" s="9" t="s">
        <v>1628</v>
      </c>
      <c r="D161" s="9" t="str">
        <f>IFERROR(MID(VLOOKUP($B161,Seqs!$A:$B,2,0),E161,1),"")</f>
        <v>A</v>
      </c>
      <c r="E161" s="9">
        <v>46</v>
      </c>
      <c r="F161" s="9" t="str">
        <f>IFERROR(MID(VLOOKUP($B161,Seqs!$A:$B,2,0),G161,1),"")</f>
        <v>C</v>
      </c>
      <c r="G161" s="9">
        <v>70</v>
      </c>
      <c r="H161" s="9" t="str">
        <f>IFERROR(MID(VLOOKUP($B161,Seqs!$A:$B,2,0),I161,1),"")</f>
        <v/>
      </c>
      <c r="I161" s="109" t="s">
        <v>23</v>
      </c>
      <c r="J161" s="9" t="str">
        <f>IFERROR(MID(VLOOKUP($B161,Seqs!$A:$B,2,0),K161,1),"")</f>
        <v/>
      </c>
      <c r="K161" s="109" t="s">
        <v>23</v>
      </c>
      <c r="L161" s="9" t="str">
        <f>IFERROR(MID(VLOOKUP($B161,Seqs!$A:$B,2,0),M161,1),"")</f>
        <v>K</v>
      </c>
      <c r="M161" s="9">
        <v>77</v>
      </c>
      <c r="N161" s="9" t="str">
        <f>IFERROR(MID(VLOOKUP($B161,Seqs!$A:$B,2,0),O161,1),"")</f>
        <v>Y</v>
      </c>
      <c r="O161" s="9">
        <v>106</v>
      </c>
      <c r="P161" s="9" t="str">
        <f>IFERROR(MID(VLOOKUP($B161,Seqs!$A:$B,2,0),Q161,1),"")</f>
        <v>R</v>
      </c>
      <c r="Q161" s="9">
        <v>107</v>
      </c>
      <c r="R161" s="9" t="str">
        <f>IFERROR(MID(VLOOKUP($B161,Seqs!$A:$B,2,0),S161,1),"")</f>
        <v>F</v>
      </c>
      <c r="S161" s="9">
        <v>112</v>
      </c>
      <c r="T161" s="9" t="str">
        <f>IFERROR(MID(VLOOKUP($B161,Seqs!$A:$B,2,0),U161,1),"")</f>
        <v>G</v>
      </c>
      <c r="U161" s="9">
        <v>113</v>
      </c>
      <c r="V161" s="9" t="str">
        <f>IFERROR(MID(VLOOKUP($B161,Seqs!$A:$B,2,0),W161,1),"")</f>
        <v>Y</v>
      </c>
      <c r="W161" s="9">
        <v>148</v>
      </c>
      <c r="X161" s="9" t="str">
        <f>IFERROR(MID(VLOOKUP($B161,Seqs!$A:$B,2,0),Y161,1),"")</f>
        <v/>
      </c>
      <c r="Y161" s="9" t="s">
        <v>23</v>
      </c>
      <c r="Z161" s="9" t="str">
        <f>IFERROR(MID(VLOOKUP($B161,Seqs!$A:$B,2,0),AA161,1),"")</f>
        <v/>
      </c>
      <c r="AA161" s="9" t="s">
        <v>23</v>
      </c>
      <c r="AB161" s="9" t="str">
        <f>IFERROR(MID(VLOOKUP($B161,Seqs!$A:$B,2,0),AC161,1),"")</f>
        <v>N</v>
      </c>
      <c r="AC161" s="9">
        <v>156</v>
      </c>
      <c r="AD161" s="9" t="str">
        <f>IFERROR(MID(VLOOKUP($B161,Seqs!$A:$B,2,0),AE161,1),"")</f>
        <v>R</v>
      </c>
      <c r="AE161" s="9">
        <v>182</v>
      </c>
      <c r="AF161" s="9" t="str">
        <f>IFERROR(MID(VLOOKUP($B161,Seqs!$A:$B,2,0),AG161,1),"")</f>
        <v>C</v>
      </c>
      <c r="AG161" s="9">
        <v>195</v>
      </c>
      <c r="AH161" s="9" t="str">
        <f>IFERROR(MID(VLOOKUP($B161,Seqs!$A:$B,2,0),AI161,1),"")</f>
        <v>M</v>
      </c>
      <c r="AI161" s="9">
        <v>197</v>
      </c>
      <c r="AJ161" s="9" t="str">
        <f>IFERROR(MID(VLOOKUP($B161,Seqs!$A:$B,2,0),AK161,1),"")</f>
        <v>K</v>
      </c>
      <c r="AK161" s="9">
        <v>203</v>
      </c>
      <c r="AL161" s="9" t="str">
        <f>IFERROR(MID(VLOOKUP($B161,Seqs!$A:$B,2,0),AM161,1),"")</f>
        <v>N</v>
      </c>
      <c r="AM161" s="9">
        <v>242</v>
      </c>
      <c r="AN161" s="9" t="str">
        <f>IFERROR(MID(VLOOKUP($B161,Seqs!$A:$B,2,0),AO161,1),"")</f>
        <v>G</v>
      </c>
      <c r="AO161" s="9">
        <v>245</v>
      </c>
      <c r="AP161" s="9" t="str">
        <f>IFERROR(MID(VLOOKUP($B161,Seqs!$A:$B,2,0),AQ161,1),"")</f>
        <v>G</v>
      </c>
      <c r="AQ161" s="9">
        <v>285</v>
      </c>
      <c r="AR161" s="9" t="str">
        <f>IFERROR(MID(VLOOKUP($B161,Seqs!$A:$B,2,0),AS161,1),"")</f>
        <v>S</v>
      </c>
      <c r="AS161" s="9">
        <v>289</v>
      </c>
      <c r="AT161" s="9" t="str">
        <f>IFERROR(MID(VLOOKUP($B161,Seqs!$A:$B,2,0),AU161,1),"")</f>
        <v>V</v>
      </c>
      <c r="AU161" s="9">
        <v>321</v>
      </c>
      <c r="AV161" s="9" t="str">
        <f>IFERROR(MID(VLOOKUP($B161,Seqs!$A:$B,2,0),AW161,1),"")</f>
        <v>G</v>
      </c>
      <c r="AW161" s="9">
        <v>322</v>
      </c>
      <c r="AX161" s="9" t="str">
        <f>IFERROR(MID(VLOOKUP($B161,Seqs!$A:$B,2,0),AY161,1),"")</f>
        <v>R</v>
      </c>
      <c r="AY161" s="9">
        <v>334</v>
      </c>
      <c r="AZ161" s="110" t="str">
        <f>VLOOKUP(B161,Classification!A:D,2,0)</f>
        <v>A</v>
      </c>
      <c r="BA161" s="98" t="str">
        <f>VLOOKUP(B161,Classification!A:D,4,0)</f>
        <v>Angiotensin</v>
      </c>
      <c r="BB161" s="36" t="b">
        <f t="shared" ref="BB161" si="1024">AND(E161&lt;G161,OR(G161&lt;I161,I161="-"),OR(I161&lt;K161,I161="-"),OR(K161&lt;M161,K161="-"),M161&lt;O161,OR(O161&lt;Q161,Q161="-"),OR(Q161&lt;S161,Q161="-"),OR(S161&lt;U161,S161="-"),U161&lt;W161,OR(W161&lt;Y161,Y161="-"),OR(Y161&lt;AA161,Y161="-"),OR(AA161&lt;AC161,AA161="-"),AC161&lt;AE161,OR(AE161&lt;AG161,AG161="-"),OR(AG161&lt;AI161,AG161="-"),OR(AI161&lt;AK161,AI161="-"),AK161&lt;AM161,AM161&lt;AO161,AO161&lt;AQ161,AQ161&lt;AS161,AS161&lt;AU161,OR(AU161&lt;AW161,AW161="-"),OR(AW161&lt;AY161,AW161="-"))</f>
        <v>1</v>
      </c>
      <c r="BC161" s="109">
        <f t="shared" ref="BC161" si="1025">_xlfn.AGGREGATE(9,6,CH161:CS161)-_xlfn.AGGREGATE(9,6,BV161:CG161)+12</f>
        <v>256</v>
      </c>
      <c r="BD161" s="40" t="s">
        <v>1369</v>
      </c>
      <c r="BE161" s="9" t="s">
        <v>1285</v>
      </c>
      <c r="BF161" s="119">
        <v>3.2</v>
      </c>
      <c r="BG161" s="51" t="s">
        <v>1</v>
      </c>
      <c r="BH161" s="51" t="s">
        <v>1</v>
      </c>
      <c r="BJ161" s="111" t="s">
        <v>1281</v>
      </c>
      <c r="BK161" s="112" t="s">
        <v>1281</v>
      </c>
      <c r="BL161" s="112" t="s">
        <v>1281</v>
      </c>
      <c r="BM161" s="112" t="s">
        <v>1281</v>
      </c>
      <c r="BN161" s="112" t="s">
        <v>1281</v>
      </c>
      <c r="BO161" s="112" t="s">
        <v>1281</v>
      </c>
      <c r="BP161" s="112" t="s">
        <v>1281</v>
      </c>
      <c r="BQ161" s="112" t="s">
        <v>1281</v>
      </c>
      <c r="BR161" s="112" t="s">
        <v>1281</v>
      </c>
      <c r="BS161" s="112" t="s">
        <v>1281</v>
      </c>
      <c r="BT161" s="112" t="s">
        <v>1281</v>
      </c>
      <c r="BU161" s="112" t="s">
        <v>1281</v>
      </c>
      <c r="BV161" s="111">
        <f>E161</f>
        <v>46</v>
      </c>
      <c r="BW161" s="113" t="str">
        <f>I161</f>
        <v>-</v>
      </c>
      <c r="BX161" s="114">
        <f>M161</f>
        <v>77</v>
      </c>
      <c r="BY161" s="113">
        <f>Q161</f>
        <v>107</v>
      </c>
      <c r="BZ161" s="114">
        <f>U161</f>
        <v>113</v>
      </c>
      <c r="CA161" s="113" t="str">
        <f>Y161</f>
        <v>-</v>
      </c>
      <c r="CB161" s="114">
        <f>AC161</f>
        <v>156</v>
      </c>
      <c r="CC161" s="113">
        <f>AG161</f>
        <v>195</v>
      </c>
      <c r="CD161" s="114">
        <f>AK161</f>
        <v>203</v>
      </c>
      <c r="CE161" s="113">
        <f>AO161</f>
        <v>245</v>
      </c>
      <c r="CF161" s="114">
        <f>AS161</f>
        <v>289</v>
      </c>
      <c r="CG161" s="113">
        <f>AW161</f>
        <v>322</v>
      </c>
      <c r="CH161" s="111">
        <f>G161</f>
        <v>70</v>
      </c>
      <c r="CI161" s="113" t="str">
        <f>K161</f>
        <v>-</v>
      </c>
      <c r="CJ161" s="114">
        <f>O161</f>
        <v>106</v>
      </c>
      <c r="CK161" s="114">
        <f>S161</f>
        <v>112</v>
      </c>
      <c r="CL161" s="114">
        <f>W161</f>
        <v>148</v>
      </c>
      <c r="CM161" s="114" t="str">
        <f>AA161</f>
        <v>-</v>
      </c>
      <c r="CN161" s="114">
        <f>AE161</f>
        <v>182</v>
      </c>
      <c r="CO161" s="114">
        <f>AI161</f>
        <v>197</v>
      </c>
      <c r="CP161" s="114">
        <f>AM161</f>
        <v>242</v>
      </c>
      <c r="CQ161" s="114">
        <f>AQ161</f>
        <v>285</v>
      </c>
      <c r="CR161" s="114">
        <f>AU161</f>
        <v>321</v>
      </c>
      <c r="CS161" s="114">
        <f>AY161</f>
        <v>334</v>
      </c>
      <c r="CT161" s="109" t="e">
        <f>M161-K161</f>
        <v>#VALUE!</v>
      </c>
    </row>
    <row r="162" spans="1:1030" x14ac:dyDescent="0.2">
      <c r="A162" s="3" t="str">
        <f>CONCATENATE(B162,"_",C162)</f>
        <v>apj_human__wt</v>
      </c>
      <c r="B162" s="3" t="s">
        <v>160</v>
      </c>
      <c r="C162" s="3" t="s">
        <v>100</v>
      </c>
      <c r="D162" s="3" t="str">
        <f>IFERROR(MID(VLOOKUP($B162,Seqs!$A:$B,2,0),E162,1),"")</f>
        <v>A</v>
      </c>
      <c r="E162" s="3">
        <v>29</v>
      </c>
      <c r="F162" s="3" t="str">
        <f>IFERROR(MID(VLOOKUP($B162,Seqs!$A:$B,2,0),G162,1),"")</f>
        <v>S</v>
      </c>
      <c r="G162" s="3">
        <v>56</v>
      </c>
      <c r="H162" s="3" t="str">
        <f>IFERROR(MID(VLOOKUP($B162,Seqs!$A:$B,2,0),I162,1),"")</f>
        <v>S</v>
      </c>
      <c r="I162" s="23">
        <v>57</v>
      </c>
      <c r="J162" s="3" t="str">
        <f>IFERROR(MID(VLOOKUP($B162,Seqs!$A:$B,2,0),K162,1),"")</f>
        <v>R</v>
      </c>
      <c r="K162" s="23">
        <v>61</v>
      </c>
      <c r="L162" s="3" t="str">
        <f>IFERROR(MID(VLOOKUP($B162,Seqs!$A:$B,2,0),M162,1),"")</f>
        <v>R</v>
      </c>
      <c r="M162" s="3">
        <v>62</v>
      </c>
      <c r="N162" s="3" t="str">
        <f>IFERROR(MID(VLOOKUP($B162,Seqs!$A:$B,2,0),O162,1),"")</f>
        <v>D</v>
      </c>
      <c r="O162" s="3">
        <v>92</v>
      </c>
      <c r="P162" s="3" t="str">
        <f>IFERROR(MID(VLOOKUP($B162,Seqs!$A:$B,2,0),Q162,1),"")</f>
        <v>D</v>
      </c>
      <c r="Q162" s="3">
        <v>94</v>
      </c>
      <c r="R162" s="3" t="str">
        <f>IFERROR(MID(VLOOKUP($B162,Seqs!$A:$B,2,0),S162,1),"")</f>
        <v>F</v>
      </c>
      <c r="S162" s="3">
        <v>97</v>
      </c>
      <c r="T162" s="3" t="str">
        <f>IFERROR(MID(VLOOKUP($B162,Seqs!$A:$B,2,0),U162,1),"")</f>
        <v>G</v>
      </c>
      <c r="U162" s="3">
        <v>98</v>
      </c>
      <c r="V162" s="3" t="str">
        <f>IFERROR(MID(VLOOKUP($B162,Seqs!$A:$B,2,0),W162,1),"")</f>
        <v>R</v>
      </c>
      <c r="W162" s="3">
        <v>133</v>
      </c>
      <c r="X162" s="3" t="str">
        <f>IFERROR(MID(VLOOKUP($B162,Seqs!$A:$B,2,0),Y162,1),"")</f>
        <v>P</v>
      </c>
      <c r="Y162" s="3">
        <v>134</v>
      </c>
      <c r="Z162" s="3" t="str">
        <f>IFERROR(MID(VLOOKUP($B162,Seqs!$A:$B,2,0),AA162,1),"")</f>
        <v>R</v>
      </c>
      <c r="AA162" s="3">
        <v>141</v>
      </c>
      <c r="AB162" s="3" t="str">
        <f>IFERROR(MID(VLOOKUP($B162,Seqs!$A:$B,2,0),AC162,1),"")</f>
        <v>L</v>
      </c>
      <c r="AC162" s="3">
        <v>142</v>
      </c>
      <c r="AD162" s="3" t="str">
        <f>IFERROR(MID(VLOOKUP($B162,Seqs!$A:$B,2,0),AE162,1),"")</f>
        <v>R</v>
      </c>
      <c r="AE162" s="3">
        <v>168</v>
      </c>
      <c r="AF162" s="3" t="str">
        <f>IFERROR(MID(VLOOKUP($B162,Seqs!$A:$B,2,0),AG162,1),"")</f>
        <v>C</v>
      </c>
      <c r="AG162" s="3">
        <v>181</v>
      </c>
      <c r="AH162" s="3" t="str">
        <f>IFERROR(MID(VLOOKUP($B162,Seqs!$A:$B,2,0),AI162,1),"")</f>
        <v>M</v>
      </c>
      <c r="AI162" s="3">
        <v>183</v>
      </c>
      <c r="AJ162" s="3" t="str">
        <f>IFERROR(MID(VLOOKUP($B162,Seqs!$A:$B,2,0),AK162,1),"")</f>
        <v>S</v>
      </c>
      <c r="AK162" s="3">
        <v>193</v>
      </c>
      <c r="AL162" s="3" t="str">
        <f>IFERROR(MID(VLOOKUP($B162,Seqs!$A:$B,2,0),AM162,1),"")</f>
        <v>E</v>
      </c>
      <c r="AM162" s="3">
        <v>235</v>
      </c>
      <c r="AN162" s="3" t="str">
        <f>IFERROR(MID(VLOOKUP($B162,Seqs!$A:$B,2,0),AO162,1),"")</f>
        <v>K</v>
      </c>
      <c r="AO162" s="3">
        <v>242</v>
      </c>
      <c r="AP162" s="3" t="str">
        <f>IFERROR(MID(VLOOKUP($B162,Seqs!$A:$B,2,0),AQ162,1),"")</f>
        <v>L</v>
      </c>
      <c r="AQ162" s="3">
        <v>276</v>
      </c>
      <c r="AR162" s="3" t="str">
        <f>IFERROR(MID(VLOOKUP($B162,Seqs!$A:$B,2,0),AS162,1),"")</f>
        <v>P</v>
      </c>
      <c r="AS162" s="3">
        <v>280</v>
      </c>
      <c r="AT162" s="3" t="str">
        <f>IFERROR(MID(VLOOKUP($B162,Seqs!$A:$B,2,0),AU162,1),"")</f>
        <v>F</v>
      </c>
      <c r="AU162" s="3">
        <v>312</v>
      </c>
      <c r="AV162" s="3" t="str">
        <f>IFERROR(MID(VLOOKUP($B162,Seqs!$A:$B,2,0),AW162,1),"")</f>
        <v>D</v>
      </c>
      <c r="AW162" s="3">
        <v>313</v>
      </c>
      <c r="AX162" s="3" t="str">
        <f>IFERROR(MID(VLOOKUP($B162,Seqs!$A:$B,2,0),AY162,1),"")</f>
        <v>G</v>
      </c>
      <c r="AY162" s="3">
        <v>327</v>
      </c>
      <c r="AZ162" s="77" t="str">
        <f>VLOOKUP(B162,Classification!A:D,2,0)</f>
        <v>A</v>
      </c>
      <c r="BA162" s="94" t="str">
        <f>VLOOKUP(B162,Classification!A:D,4,0)</f>
        <v>Apelin</v>
      </c>
      <c r="BB162" s="27" t="b">
        <f t="shared" si="1020"/>
        <v>1</v>
      </c>
      <c r="BC162" s="23">
        <f t="shared" si="1021"/>
        <v>268</v>
      </c>
      <c r="BD162" s="2"/>
      <c r="BE162" s="3" t="s">
        <v>23</v>
      </c>
      <c r="BF162" s="118" t="s">
        <v>23</v>
      </c>
      <c r="BG162" s="49" t="s">
        <v>1275</v>
      </c>
      <c r="BH162" s="49" t="s">
        <v>1275</v>
      </c>
      <c r="BI162" s="1"/>
      <c r="BJ162" s="70" t="s">
        <v>1281</v>
      </c>
      <c r="BK162" s="57" t="s">
        <v>1281</v>
      </c>
      <c r="BL162" s="57" t="s">
        <v>1281</v>
      </c>
      <c r="BM162" s="57" t="s">
        <v>1281</v>
      </c>
      <c r="BN162" s="57" t="s">
        <v>1281</v>
      </c>
      <c r="BO162" s="57" t="s">
        <v>1281</v>
      </c>
      <c r="BP162" s="57" t="s">
        <v>1281</v>
      </c>
      <c r="BQ162" s="57" t="s">
        <v>1281</v>
      </c>
      <c r="BR162" s="57" t="s">
        <v>1281</v>
      </c>
      <c r="BS162" s="57" t="s">
        <v>1281</v>
      </c>
      <c r="BT162" s="57" t="s">
        <v>1281</v>
      </c>
      <c r="BU162" s="57" t="s">
        <v>1281</v>
      </c>
      <c r="BV162" s="70">
        <f>E162</f>
        <v>29</v>
      </c>
      <c r="BW162" s="71">
        <f>I162</f>
        <v>57</v>
      </c>
      <c r="BX162" s="72">
        <f>M162</f>
        <v>62</v>
      </c>
      <c r="BY162" s="71">
        <f>Q162</f>
        <v>94</v>
      </c>
      <c r="BZ162" s="72">
        <f>U162</f>
        <v>98</v>
      </c>
      <c r="CA162" s="71">
        <f>Y162</f>
        <v>134</v>
      </c>
      <c r="CB162" s="72">
        <f>AC162</f>
        <v>142</v>
      </c>
      <c r="CC162" s="71">
        <f>AG162</f>
        <v>181</v>
      </c>
      <c r="CD162" s="72">
        <f>AK162</f>
        <v>193</v>
      </c>
      <c r="CE162" s="71">
        <f>AO162</f>
        <v>242</v>
      </c>
      <c r="CF162" s="72">
        <f>AS162</f>
        <v>280</v>
      </c>
      <c r="CG162" s="71">
        <f>AW162</f>
        <v>313</v>
      </c>
      <c r="CH162" s="70">
        <f>G162</f>
        <v>56</v>
      </c>
      <c r="CI162" s="71">
        <f>K162</f>
        <v>61</v>
      </c>
      <c r="CJ162" s="72">
        <f>O162</f>
        <v>92</v>
      </c>
      <c r="CK162" s="72">
        <f>S162</f>
        <v>97</v>
      </c>
      <c r="CL162" s="72">
        <f>W162</f>
        <v>133</v>
      </c>
      <c r="CM162" s="72">
        <f>AA162</f>
        <v>141</v>
      </c>
      <c r="CN162" s="72">
        <f>AE162</f>
        <v>168</v>
      </c>
      <c r="CO162" s="72">
        <f>AI162</f>
        <v>183</v>
      </c>
      <c r="CP162" s="72">
        <f>AM162</f>
        <v>235</v>
      </c>
      <c r="CQ162" s="72">
        <f>AQ162</f>
        <v>276</v>
      </c>
      <c r="CR162" s="72">
        <f>AU162</f>
        <v>312</v>
      </c>
      <c r="CS162" s="72">
        <f>AY162</f>
        <v>327</v>
      </c>
      <c r="CT162" s="23">
        <f>M162-K162</f>
        <v>1</v>
      </c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  <c r="AMK162" s="1"/>
      <c r="AML162" s="1"/>
      <c r="AMM162" s="1"/>
      <c r="AMN162" s="1"/>
      <c r="AMO162" s="1"/>
    </row>
    <row r="163" spans="1:1030" x14ac:dyDescent="0.2">
      <c r="A163" s="3" t="str">
        <f>CONCATENATE(B163,"_",C163)</f>
        <v>apj_human_5VBL</v>
      </c>
      <c r="B163" s="3" t="s">
        <v>160</v>
      </c>
      <c r="C163" s="3" t="s">
        <v>1408</v>
      </c>
      <c r="D163" s="3" t="str">
        <f>IFERROR(MID(VLOOKUP($B163,Seqs!$A:$B,2,0),E163,1),"")</f>
        <v>A</v>
      </c>
      <c r="E163" s="3">
        <v>29</v>
      </c>
      <c r="F163" s="3" t="str">
        <f>IFERROR(MID(VLOOKUP($B163,Seqs!$A:$B,2,0),G163,1),"")</f>
        <v>S</v>
      </c>
      <c r="G163" s="3">
        <v>56</v>
      </c>
      <c r="H163" s="3" t="str">
        <f>IFERROR(MID(VLOOKUP($B163,Seqs!$A:$B,2,0),I163,1),"")</f>
        <v>S</v>
      </c>
      <c r="I163" s="23">
        <v>57</v>
      </c>
      <c r="J163" s="3" t="str">
        <f>IFERROR(MID(VLOOKUP($B163,Seqs!$A:$B,2,0),K163,1),"")</f>
        <v>R</v>
      </c>
      <c r="K163" s="23">
        <v>61</v>
      </c>
      <c r="L163" s="3" t="str">
        <f>IFERROR(MID(VLOOKUP($B163,Seqs!$A:$B,2,0),M163,1),"")</f>
        <v>R</v>
      </c>
      <c r="M163" s="3">
        <v>62</v>
      </c>
      <c r="N163" s="3" t="str">
        <f>IFERROR(MID(VLOOKUP($B163,Seqs!$A:$B,2,0),O163,1),"")</f>
        <v>D</v>
      </c>
      <c r="O163" s="3">
        <v>92</v>
      </c>
      <c r="P163" s="3" t="str">
        <f>IFERROR(MID(VLOOKUP($B163,Seqs!$A:$B,2,0),Q163,1),"")</f>
        <v>D</v>
      </c>
      <c r="Q163" s="3">
        <v>94</v>
      </c>
      <c r="R163" s="3" t="str">
        <f>IFERROR(MID(VLOOKUP($B163,Seqs!$A:$B,2,0),S163,1),"")</f>
        <v>F</v>
      </c>
      <c r="S163" s="3">
        <v>97</v>
      </c>
      <c r="T163" s="3" t="str">
        <f>IFERROR(MID(VLOOKUP($B163,Seqs!$A:$B,2,0),U163,1),"")</f>
        <v>G</v>
      </c>
      <c r="U163" s="3">
        <v>98</v>
      </c>
      <c r="V163" s="3" t="str">
        <f>IFERROR(MID(VLOOKUP($B163,Seqs!$A:$B,2,0),W163,1),"")</f>
        <v>R</v>
      </c>
      <c r="W163" s="3">
        <v>133</v>
      </c>
      <c r="X163" s="3" t="str">
        <f>IFERROR(MID(VLOOKUP($B163,Seqs!$A:$B,2,0),Y163,1),"")</f>
        <v/>
      </c>
      <c r="Y163" s="3" t="s">
        <v>23</v>
      </c>
      <c r="Z163" s="3" t="str">
        <f>IFERROR(MID(VLOOKUP($B163,Seqs!$A:$B,2,0),AA163,1),"")</f>
        <v/>
      </c>
      <c r="AA163" s="3" t="s">
        <v>23</v>
      </c>
      <c r="AB163" s="3" t="str">
        <f>IFERROR(MID(VLOOKUP($B163,Seqs!$A:$B,2,0),AC163,1),"")</f>
        <v>R</v>
      </c>
      <c r="AC163" s="3">
        <v>141</v>
      </c>
      <c r="AD163" s="3" t="str">
        <f>IFERROR(MID(VLOOKUP($B163,Seqs!$A:$B,2,0),AE163,1),"")</f>
        <v>R</v>
      </c>
      <c r="AE163" s="3">
        <v>168</v>
      </c>
      <c r="AF163" s="3" t="str">
        <f>IFERROR(MID(VLOOKUP($B163,Seqs!$A:$B,2,0),AG163,1),"")</f>
        <v>C</v>
      </c>
      <c r="AG163" s="3">
        <v>181</v>
      </c>
      <c r="AH163" s="3" t="str">
        <f>IFERROR(MID(VLOOKUP($B163,Seqs!$A:$B,2,0),AI163,1),"")</f>
        <v>M</v>
      </c>
      <c r="AI163" s="3">
        <v>183</v>
      </c>
      <c r="AJ163" s="3" t="str">
        <f>IFERROR(MID(VLOOKUP($B163,Seqs!$A:$B,2,0),AK163,1),"")</f>
        <v>S</v>
      </c>
      <c r="AK163" s="3">
        <v>193</v>
      </c>
      <c r="AL163" s="3" t="str">
        <f>IFERROR(MID(VLOOKUP($B163,Seqs!$A:$B,2,0),AM163,1),"")</f>
        <v>A</v>
      </c>
      <c r="AM163" s="3">
        <v>229</v>
      </c>
      <c r="AN163" s="3" t="str">
        <f>IFERROR(MID(VLOOKUP($B163,Seqs!$A:$B,2,0),AO163,1),"")</f>
        <v>R</v>
      </c>
      <c r="AO163" s="3">
        <v>244</v>
      </c>
      <c r="AP163" s="3" t="str">
        <f>IFERROR(MID(VLOOKUP($B163,Seqs!$A:$B,2,0),AQ163,1),"")</f>
        <v>L</v>
      </c>
      <c r="AQ163" s="3">
        <v>276</v>
      </c>
      <c r="AR163" s="3" t="str">
        <f>IFERROR(MID(VLOOKUP($B163,Seqs!$A:$B,2,0),AS163,1),"")</f>
        <v>P</v>
      </c>
      <c r="AS163" s="3">
        <v>280</v>
      </c>
      <c r="AT163" s="3" t="str">
        <f>IFERROR(MID(VLOOKUP($B163,Seqs!$A:$B,2,0),AU163,1),"")</f>
        <v>F</v>
      </c>
      <c r="AU163" s="3">
        <v>312</v>
      </c>
      <c r="AV163" s="3" t="str">
        <f>IFERROR(MID(VLOOKUP($B163,Seqs!$A:$B,2,0),AW163,1),"")</f>
        <v>D</v>
      </c>
      <c r="AW163" s="3">
        <v>313</v>
      </c>
      <c r="AX163" s="3" t="str">
        <f>IFERROR(MID(VLOOKUP($B163,Seqs!$A:$B,2,0),AY163,1),"")</f>
        <v>G</v>
      </c>
      <c r="AY163" s="3">
        <v>327</v>
      </c>
      <c r="AZ163" s="77" t="str">
        <f>VLOOKUP(B163,Classification!A:D,2,0)</f>
        <v>A</v>
      </c>
      <c r="BA163" s="94" t="str">
        <f>VLOOKUP(B163,Classification!A:D,4,0)</f>
        <v>Apelin</v>
      </c>
      <c r="BB163" s="27" t="b">
        <f t="shared" si="1020"/>
        <v>1</v>
      </c>
      <c r="BC163" s="23">
        <f t="shared" si="1021"/>
        <v>254</v>
      </c>
      <c r="BD163" s="2" t="s">
        <v>1370</v>
      </c>
      <c r="BE163" s="3" t="s">
        <v>1368</v>
      </c>
      <c r="BF163" s="118">
        <v>2.6</v>
      </c>
      <c r="BG163" s="49" t="s">
        <v>1275</v>
      </c>
      <c r="BH163" s="49" t="s">
        <v>1275</v>
      </c>
      <c r="BI163" s="1"/>
      <c r="BJ163" s="70" t="s">
        <v>1281</v>
      </c>
      <c r="BK163" s="57" t="s">
        <v>1281</v>
      </c>
      <c r="BL163" s="57" t="s">
        <v>1281</v>
      </c>
      <c r="BM163" s="57" t="s">
        <v>1281</v>
      </c>
      <c r="BN163" s="57" t="s">
        <v>1281</v>
      </c>
      <c r="BO163" s="57" t="s">
        <v>1281</v>
      </c>
      <c r="BP163" s="57" t="s">
        <v>1281</v>
      </c>
      <c r="BQ163" s="57" t="s">
        <v>1281</v>
      </c>
      <c r="BR163" s="57" t="s">
        <v>1281</v>
      </c>
      <c r="BS163" s="57" t="s">
        <v>1281</v>
      </c>
      <c r="BT163" s="57" t="s">
        <v>1281</v>
      </c>
      <c r="BU163" s="57" t="s">
        <v>1281</v>
      </c>
      <c r="BV163" s="70">
        <f>E163</f>
        <v>29</v>
      </c>
      <c r="BW163" s="71">
        <f>I163</f>
        <v>57</v>
      </c>
      <c r="BX163" s="72">
        <f>M163</f>
        <v>62</v>
      </c>
      <c r="BY163" s="71">
        <f>Q163</f>
        <v>94</v>
      </c>
      <c r="BZ163" s="72">
        <f>U163</f>
        <v>98</v>
      </c>
      <c r="CA163" s="71" t="str">
        <f>Y163</f>
        <v>-</v>
      </c>
      <c r="CB163" s="72">
        <f>AC163</f>
        <v>141</v>
      </c>
      <c r="CC163" s="71">
        <f>AG163</f>
        <v>181</v>
      </c>
      <c r="CD163" s="72">
        <f>AK163</f>
        <v>193</v>
      </c>
      <c r="CE163" s="71">
        <f>AO163</f>
        <v>244</v>
      </c>
      <c r="CF163" s="72">
        <f>AS163</f>
        <v>280</v>
      </c>
      <c r="CG163" s="71">
        <f>AW163</f>
        <v>313</v>
      </c>
      <c r="CH163" s="70">
        <f>G163</f>
        <v>56</v>
      </c>
      <c r="CI163" s="71">
        <f>K163</f>
        <v>61</v>
      </c>
      <c r="CJ163" s="72">
        <f>O163</f>
        <v>92</v>
      </c>
      <c r="CK163" s="72">
        <f>S163</f>
        <v>97</v>
      </c>
      <c r="CL163" s="72">
        <f>W163</f>
        <v>133</v>
      </c>
      <c r="CM163" s="72" t="str">
        <f>AA163</f>
        <v>-</v>
      </c>
      <c r="CN163" s="72">
        <f>AE163</f>
        <v>168</v>
      </c>
      <c r="CO163" s="72">
        <f>AI163</f>
        <v>183</v>
      </c>
      <c r="CP163" s="72">
        <f>AM163</f>
        <v>229</v>
      </c>
      <c r="CQ163" s="72">
        <f>AQ163</f>
        <v>276</v>
      </c>
      <c r="CR163" s="72">
        <f>AU163</f>
        <v>312</v>
      </c>
      <c r="CS163" s="72">
        <f>AY163</f>
        <v>327</v>
      </c>
      <c r="CT163" s="23">
        <f>M163-K163</f>
        <v>1</v>
      </c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  <c r="ADW163" s="1"/>
      <c r="ADX163" s="1"/>
      <c r="ADY163" s="1"/>
      <c r="ADZ163" s="1"/>
      <c r="AEA163" s="1"/>
      <c r="AEB163" s="1"/>
      <c r="AEC163" s="1"/>
      <c r="AED163" s="1"/>
      <c r="AEE163" s="1"/>
      <c r="AEF163" s="1"/>
      <c r="AEG163" s="1"/>
      <c r="AEH163" s="1"/>
      <c r="AEI163" s="1"/>
      <c r="AEJ163" s="1"/>
      <c r="AEK163" s="1"/>
      <c r="AEL163" s="1"/>
      <c r="AEM163" s="1"/>
      <c r="AEN163" s="1"/>
      <c r="AEO163" s="1"/>
      <c r="AEP163" s="1"/>
      <c r="AEQ163" s="1"/>
      <c r="AER163" s="1"/>
      <c r="AES163" s="1"/>
      <c r="AET163" s="1"/>
      <c r="AEU163" s="1"/>
      <c r="AEV163" s="1"/>
      <c r="AEW163" s="1"/>
      <c r="AEX163" s="1"/>
      <c r="AEY163" s="1"/>
      <c r="AEZ163" s="1"/>
      <c r="AFA163" s="1"/>
      <c r="AFB163" s="1"/>
      <c r="AFC163" s="1"/>
      <c r="AFD163" s="1"/>
      <c r="AFE163" s="1"/>
      <c r="AFF163" s="1"/>
      <c r="AFG163" s="1"/>
      <c r="AFH163" s="1"/>
      <c r="AFI163" s="1"/>
      <c r="AFJ163" s="1"/>
      <c r="AFK163" s="1"/>
      <c r="AFL163" s="1"/>
      <c r="AFM163" s="1"/>
      <c r="AFN163" s="1"/>
      <c r="AFO163" s="1"/>
      <c r="AFP163" s="1"/>
      <c r="AFQ163" s="1"/>
      <c r="AFR163" s="1"/>
      <c r="AFS163" s="1"/>
      <c r="AFT163" s="1"/>
      <c r="AFU163" s="1"/>
      <c r="AFV163" s="1"/>
      <c r="AFW163" s="1"/>
      <c r="AFX163" s="1"/>
      <c r="AFY163" s="1"/>
      <c r="AFZ163" s="1"/>
      <c r="AGA163" s="1"/>
      <c r="AGB163" s="1"/>
      <c r="AGC163" s="1"/>
      <c r="AGD163" s="1"/>
      <c r="AGE163" s="1"/>
      <c r="AGF163" s="1"/>
      <c r="AGG163" s="1"/>
      <c r="AGH163" s="1"/>
      <c r="AGI163" s="1"/>
      <c r="AGJ163" s="1"/>
      <c r="AGK163" s="1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  <c r="ALO163" s="1"/>
      <c r="ALP163" s="1"/>
      <c r="ALQ163" s="1"/>
      <c r="ALR163" s="1"/>
      <c r="ALS163" s="1"/>
      <c r="ALT163" s="1"/>
      <c r="ALU163" s="1"/>
      <c r="ALV163" s="1"/>
      <c r="ALW163" s="1"/>
      <c r="ALX163" s="1"/>
      <c r="ALY163" s="1"/>
      <c r="ALZ163" s="1"/>
      <c r="AMA163" s="1"/>
      <c r="AMB163" s="1"/>
      <c r="AMC163" s="1"/>
      <c r="AMD163" s="1"/>
      <c r="AME163" s="1"/>
      <c r="AMF163" s="1"/>
      <c r="AMG163" s="1"/>
      <c r="AMH163" s="1"/>
      <c r="AMI163" s="1"/>
      <c r="AMJ163" s="1"/>
      <c r="AMK163" s="1"/>
      <c r="AML163" s="1"/>
      <c r="AMM163" s="1"/>
      <c r="AMN163" s="1"/>
      <c r="AMO163" s="1"/>
    </row>
    <row r="164" spans="1:1030" s="12" customFormat="1" x14ac:dyDescent="0.2">
      <c r="A164" s="9" t="str">
        <f>CONCATENATE(B164,"_",C164)</f>
        <v>apj_human_6KNM</v>
      </c>
      <c r="B164" s="9" t="s">
        <v>160</v>
      </c>
      <c r="C164" s="9" t="s">
        <v>1638</v>
      </c>
      <c r="D164" s="9" t="str">
        <f>IFERROR(MID(VLOOKUP($B164,Seqs!$A:$B,2,0),E164,1),"")</f>
        <v>A</v>
      </c>
      <c r="E164" s="9">
        <v>29</v>
      </c>
      <c r="F164" s="9" t="str">
        <f>IFERROR(MID(VLOOKUP($B164,Seqs!$A:$B,2,0),G164,1),"")</f>
        <v>R</v>
      </c>
      <c r="G164" s="9">
        <v>55</v>
      </c>
      <c r="H164" s="9" t="str">
        <f>IFERROR(MID(VLOOKUP($B164,Seqs!$A:$B,2,0),I164,1),"")</f>
        <v/>
      </c>
      <c r="I164" s="109" t="s">
        <v>23</v>
      </c>
      <c r="J164" s="9" t="str">
        <f>IFERROR(MID(VLOOKUP($B164,Seqs!$A:$B,2,0),K164,1),"")</f>
        <v/>
      </c>
      <c r="K164" s="109" t="s">
        <v>23</v>
      </c>
      <c r="L164" s="9" t="str">
        <f>IFERROR(MID(VLOOKUP($B164,Seqs!$A:$B,2,0),M164,1),"")</f>
        <v>D</v>
      </c>
      <c r="M164" s="9">
        <v>65</v>
      </c>
      <c r="N164" s="9" t="str">
        <f>IFERROR(MID(VLOOKUP($B164,Seqs!$A:$B,2,0),O164,1),"")</f>
        <v>D</v>
      </c>
      <c r="O164" s="9">
        <v>92</v>
      </c>
      <c r="P164" s="9" t="str">
        <f>IFERROR(MID(VLOOKUP($B164,Seqs!$A:$B,2,0),Q164,1),"")</f>
        <v>D</v>
      </c>
      <c r="Q164" s="9">
        <v>94</v>
      </c>
      <c r="R164" s="9" t="str">
        <f>IFERROR(MID(VLOOKUP($B164,Seqs!$A:$B,2,0),S164,1),"")</f>
        <v>F</v>
      </c>
      <c r="S164" s="9">
        <v>97</v>
      </c>
      <c r="T164" s="9" t="str">
        <f>IFERROR(MID(VLOOKUP($B164,Seqs!$A:$B,2,0),U164,1),"")</f>
        <v>G</v>
      </c>
      <c r="U164" s="9">
        <v>98</v>
      </c>
      <c r="V164" s="9" t="str">
        <f>IFERROR(MID(VLOOKUP($B164,Seqs!$A:$B,2,0),W164,1),"")</f>
        <v>R</v>
      </c>
      <c r="W164" s="9">
        <v>133</v>
      </c>
      <c r="X164" s="9" t="str">
        <f>IFERROR(MID(VLOOKUP($B164,Seqs!$A:$B,2,0),Y164,1),"")</f>
        <v/>
      </c>
      <c r="Y164" s="9" t="s">
        <v>23</v>
      </c>
      <c r="Z164" s="9" t="str">
        <f>IFERROR(MID(VLOOKUP($B164,Seqs!$A:$B,2,0),AA164,1),"")</f>
        <v/>
      </c>
      <c r="AA164" s="9" t="s">
        <v>23</v>
      </c>
      <c r="AB164" s="9" t="str">
        <f>IFERROR(MID(VLOOKUP($B164,Seqs!$A:$B,2,0),AC164,1),"")</f>
        <v>R</v>
      </c>
      <c r="AC164" s="9">
        <v>141</v>
      </c>
      <c r="AD164" s="9" t="str">
        <f>IFERROR(MID(VLOOKUP($B164,Seqs!$A:$B,2,0),AE164,1),"")</f>
        <v>R</v>
      </c>
      <c r="AE164" s="9">
        <v>168</v>
      </c>
      <c r="AF164" s="9" t="str">
        <f>IFERROR(MID(VLOOKUP($B164,Seqs!$A:$B,2,0),AG164,1),"")</f>
        <v>C</v>
      </c>
      <c r="AG164" s="9">
        <v>181</v>
      </c>
      <c r="AH164" s="9" t="str">
        <f>IFERROR(MID(VLOOKUP($B164,Seqs!$A:$B,2,0),AI164,1),"")</f>
        <v>M</v>
      </c>
      <c r="AI164" s="9">
        <v>183</v>
      </c>
      <c r="AJ164" s="9" t="str">
        <f>IFERROR(MID(VLOOKUP($B164,Seqs!$A:$B,2,0),AK164,1),"")</f>
        <v>S</v>
      </c>
      <c r="AK164" s="9">
        <v>193</v>
      </c>
      <c r="AL164" s="9" t="str">
        <f>IFERROR(MID(VLOOKUP($B164,Seqs!$A:$B,2,0),AM164,1),"")</f>
        <v>I</v>
      </c>
      <c r="AM164" s="9">
        <v>228</v>
      </c>
      <c r="AN164" s="9" t="str">
        <f>IFERROR(MID(VLOOKUP($B164,Seqs!$A:$B,2,0),AO164,1),"")</f>
        <v>R</v>
      </c>
      <c r="AO164" s="9">
        <v>245</v>
      </c>
      <c r="AP164" s="9" t="str">
        <f>IFERROR(MID(VLOOKUP($B164,Seqs!$A:$B,2,0),AQ164,1),"")</f>
        <v>L</v>
      </c>
      <c r="AQ164" s="9">
        <v>276</v>
      </c>
      <c r="AR164" s="9" t="str">
        <f>IFERROR(MID(VLOOKUP($B164,Seqs!$A:$B,2,0),AS164,1),"")</f>
        <v>P</v>
      </c>
      <c r="AS164" s="9">
        <v>280</v>
      </c>
      <c r="AT164" s="9" t="str">
        <f>IFERROR(MID(VLOOKUP($B164,Seqs!$A:$B,2,0),AU164,1),"")</f>
        <v>F</v>
      </c>
      <c r="AU164" s="9">
        <v>312</v>
      </c>
      <c r="AV164" s="9" t="str">
        <f>IFERROR(MID(VLOOKUP($B164,Seqs!$A:$B,2,0),AW164,1),"")</f>
        <v>D</v>
      </c>
      <c r="AW164" s="9">
        <v>313</v>
      </c>
      <c r="AX164" s="9" t="str">
        <f>IFERROR(MID(VLOOKUP($B164,Seqs!$A:$B,2,0),AY164,1),"")</f>
        <v>C</v>
      </c>
      <c r="AY164" s="9">
        <v>326</v>
      </c>
      <c r="AZ164" s="110" t="str">
        <f>VLOOKUP(B164,Classification!A:D,2,0)</f>
        <v>A</v>
      </c>
      <c r="BA164" s="98" t="str">
        <f>VLOOKUP(B164,Classification!A:D,4,0)</f>
        <v>Apelin</v>
      </c>
      <c r="BB164" s="36" t="b">
        <f t="shared" ref="BB164" si="1026">AND(E164&lt;G164,OR(G164&lt;I164,I164="-"),OR(I164&lt;K164,I164="-"),OR(K164&lt;M164,K164="-"),M164&lt;O164,OR(O164&lt;Q164,Q164="-"),OR(Q164&lt;S164,Q164="-"),OR(S164&lt;U164,S164="-"),U164&lt;W164,OR(W164&lt;Y164,Y164="-"),OR(Y164&lt;AA164,Y164="-"),OR(AA164&lt;AC164,AA164="-"),AC164&lt;AE164,OR(AE164&lt;AG164,AG164="-"),OR(AG164&lt;AI164,AG164="-"),OR(AI164&lt;AK164,AI164="-"),AK164&lt;AM164,AM164&lt;AO164,AO164&lt;AQ164,AQ164&lt;AS164,AS164&lt;AU164,OR(AU164&lt;AW164,AW164="-"),OR(AW164&lt;AY164,AW164="-"))</f>
        <v>1</v>
      </c>
      <c r="BC164" s="109">
        <f t="shared" ref="BC164" si="1027">_xlfn.AGGREGATE(9,6,CH164:CS164)-_xlfn.AGGREGATE(9,6,BV164:CG164)+12</f>
        <v>243</v>
      </c>
      <c r="BD164" s="40" t="s">
        <v>23</v>
      </c>
      <c r="BE164" s="9" t="s">
        <v>1368</v>
      </c>
      <c r="BF164" s="119">
        <v>3.2</v>
      </c>
      <c r="BG164" s="51" t="s">
        <v>1275</v>
      </c>
      <c r="BH164" s="51" t="s">
        <v>1275</v>
      </c>
      <c r="BJ164" s="111" t="s">
        <v>1281</v>
      </c>
      <c r="BK164" s="112" t="s">
        <v>1281</v>
      </c>
      <c r="BL164" s="112" t="s">
        <v>1281</v>
      </c>
      <c r="BM164" s="112" t="s">
        <v>1281</v>
      </c>
      <c r="BN164" s="112" t="s">
        <v>1281</v>
      </c>
      <c r="BO164" s="112" t="s">
        <v>1281</v>
      </c>
      <c r="BP164" s="112" t="s">
        <v>1281</v>
      </c>
      <c r="BQ164" s="112" t="s">
        <v>1281</v>
      </c>
      <c r="BR164" s="112" t="s">
        <v>1281</v>
      </c>
      <c r="BS164" s="112" t="s">
        <v>1281</v>
      </c>
      <c r="BT164" s="112" t="s">
        <v>1281</v>
      </c>
      <c r="BU164" s="112" t="s">
        <v>1281</v>
      </c>
      <c r="BV164" s="111">
        <f>E164</f>
        <v>29</v>
      </c>
      <c r="BW164" s="113" t="str">
        <f>I164</f>
        <v>-</v>
      </c>
      <c r="BX164" s="114">
        <f>M164</f>
        <v>65</v>
      </c>
      <c r="BY164" s="113">
        <f>Q164</f>
        <v>94</v>
      </c>
      <c r="BZ164" s="114">
        <f>U164</f>
        <v>98</v>
      </c>
      <c r="CA164" s="113" t="str">
        <f>Y164</f>
        <v>-</v>
      </c>
      <c r="CB164" s="114">
        <f>AC164</f>
        <v>141</v>
      </c>
      <c r="CC164" s="113">
        <f>AG164</f>
        <v>181</v>
      </c>
      <c r="CD164" s="114">
        <f>AK164</f>
        <v>193</v>
      </c>
      <c r="CE164" s="113">
        <f>AO164</f>
        <v>245</v>
      </c>
      <c r="CF164" s="114">
        <f>AS164</f>
        <v>280</v>
      </c>
      <c r="CG164" s="113">
        <f>AW164</f>
        <v>313</v>
      </c>
      <c r="CH164" s="111">
        <f>G164</f>
        <v>55</v>
      </c>
      <c r="CI164" s="113" t="str">
        <f>K164</f>
        <v>-</v>
      </c>
      <c r="CJ164" s="114">
        <f>O164</f>
        <v>92</v>
      </c>
      <c r="CK164" s="114">
        <f>S164</f>
        <v>97</v>
      </c>
      <c r="CL164" s="114">
        <f>W164</f>
        <v>133</v>
      </c>
      <c r="CM164" s="114" t="str">
        <f>AA164</f>
        <v>-</v>
      </c>
      <c r="CN164" s="114">
        <f>AE164</f>
        <v>168</v>
      </c>
      <c r="CO164" s="114">
        <f>AI164</f>
        <v>183</v>
      </c>
      <c r="CP164" s="114">
        <f>AM164</f>
        <v>228</v>
      </c>
      <c r="CQ164" s="114">
        <f>AQ164</f>
        <v>276</v>
      </c>
      <c r="CR164" s="114">
        <f>AU164</f>
        <v>312</v>
      </c>
      <c r="CS164" s="114">
        <f>AY164</f>
        <v>326</v>
      </c>
      <c r="CT164" s="109" t="e">
        <f>M164-K164</f>
        <v>#VALUE!</v>
      </c>
    </row>
    <row r="165" spans="1:1030" x14ac:dyDescent="0.2">
      <c r="A165" s="3" t="str">
        <f>CONCATENATE(B165,"_",C165)</f>
        <v>c5ar1_human__wt</v>
      </c>
      <c r="B165" s="3" t="s">
        <v>165</v>
      </c>
      <c r="C165" s="3" t="s">
        <v>100</v>
      </c>
      <c r="D165" s="3" t="str">
        <f>IFERROR(MID(VLOOKUP($B165,Seqs!$A:$B,2,0),E165,1),"")</f>
        <v>R</v>
      </c>
      <c r="E165" s="3">
        <v>34</v>
      </c>
      <c r="F165" s="3" t="str">
        <f>IFERROR(MID(VLOOKUP($B165,Seqs!$A:$B,2,0),G165,1),"")</f>
        <v>E</v>
      </c>
      <c r="G165" s="3">
        <v>65</v>
      </c>
      <c r="H165" s="3" t="str">
        <f>IFERROR(MID(VLOOKUP($B165,Seqs!$A:$B,2,0),I165,1),"")</f>
        <v/>
      </c>
      <c r="I165" s="23" t="s">
        <v>23</v>
      </c>
      <c r="J165" s="3" t="str">
        <f>IFERROR(MID(VLOOKUP($B165,Seqs!$A:$B,2,0),K165,1),"")</f>
        <v/>
      </c>
      <c r="K165" s="23" t="s">
        <v>23</v>
      </c>
      <c r="L165" s="3" t="str">
        <f>IFERROR(MID(VLOOKUP($B165,Seqs!$A:$B,2,0),M165,1),"")</f>
        <v>T</v>
      </c>
      <c r="M165" s="3">
        <v>69</v>
      </c>
      <c r="N165" s="3" t="str">
        <f>IFERROR(MID(VLOOKUP($B165,Seqs!$A:$B,2,0),O165,1),"")</f>
        <v>H</v>
      </c>
      <c r="O165" s="3">
        <v>99</v>
      </c>
      <c r="P165" s="3" t="str">
        <f>IFERROR(MID(VLOOKUP($B165,Seqs!$A:$B,2,0),Q165,1),"")</f>
        <v>H</v>
      </c>
      <c r="Q165" s="3">
        <v>101</v>
      </c>
      <c r="R165" s="3" t="str">
        <f>IFERROR(MID(VLOOKUP($B165,Seqs!$A:$B,2,0),S165,1),"")</f>
        <v>F</v>
      </c>
      <c r="S165" s="3">
        <v>104</v>
      </c>
      <c r="T165" s="3" t="str">
        <f>IFERROR(MID(VLOOKUP($B165,Seqs!$A:$B,2,0),U165,1),"")</f>
        <v>G</v>
      </c>
      <c r="U165" s="3">
        <v>105</v>
      </c>
      <c r="V165" s="3" t="str">
        <f>IFERROR(MID(VLOOKUP($B165,Seqs!$A:$B,2,0),W165,1),"")</f>
        <v>K</v>
      </c>
      <c r="W165" s="3">
        <v>140</v>
      </c>
      <c r="X165" s="3" t="str">
        <f>IFERROR(MID(VLOOKUP($B165,Seqs!$A:$B,2,0),Y165,1),"")</f>
        <v>P</v>
      </c>
      <c r="Y165" s="3">
        <v>141</v>
      </c>
      <c r="Z165" s="3" t="str">
        <f>IFERROR(MID(VLOOKUP($B165,Seqs!$A:$B,2,0),AA165,1),"")</f>
        <v>R</v>
      </c>
      <c r="AA165" s="3">
        <v>148</v>
      </c>
      <c r="AB165" s="3" t="str">
        <f>IFERROR(MID(VLOOKUP($B165,Seqs!$A:$B,2,0),AC165,1),"")</f>
        <v>G</v>
      </c>
      <c r="AC165" s="3">
        <v>149</v>
      </c>
      <c r="AD165" s="3" t="str">
        <f>IFERROR(MID(VLOOKUP($B165,Seqs!$A:$B,2,0),AE165,1),"")</f>
        <v>R</v>
      </c>
      <c r="AE165" s="3">
        <v>175</v>
      </c>
      <c r="AF165" s="3" t="str">
        <f>IFERROR(MID(VLOOKUP($B165,Seqs!$A:$B,2,0),AG165,1),"")</f>
        <v>C</v>
      </c>
      <c r="AG165" s="3">
        <v>188</v>
      </c>
      <c r="AH165" s="3" t="str">
        <f>IFERROR(MID(VLOOKUP($B165,Seqs!$A:$B,2,0),AI165,1),"")</f>
        <v>V</v>
      </c>
      <c r="AI165" s="3">
        <v>190</v>
      </c>
      <c r="AJ165" s="3" t="str">
        <f>IFERROR(MID(VLOOKUP($B165,Seqs!$A:$B,2,0),AK165,1),"")</f>
        <v>D</v>
      </c>
      <c r="AK165" s="3">
        <v>195</v>
      </c>
      <c r="AL165" s="3" t="str">
        <f>IFERROR(MID(VLOOKUP($B165,Seqs!$A:$B,2,0),AM165,1),"")</f>
        <v>R</v>
      </c>
      <c r="AM165" s="3">
        <v>232</v>
      </c>
      <c r="AN165" s="3" t="str">
        <f>IFERROR(MID(VLOOKUP($B165,Seqs!$A:$B,2,0),AO165,1),"")</f>
        <v>T</v>
      </c>
      <c r="AO165" s="3">
        <v>238</v>
      </c>
      <c r="AP165" s="3" t="str">
        <f>IFERROR(MID(VLOOKUP($B165,Seqs!$A:$B,2,0),AQ165,1),"")</f>
        <v>L</v>
      </c>
      <c r="AQ165" s="3">
        <v>268</v>
      </c>
      <c r="AR165" s="3" t="str">
        <f>IFERROR(MID(VLOOKUP($B165,Seqs!$A:$B,2,0),AS165,1),"")</f>
        <v>S</v>
      </c>
      <c r="AS165" s="3">
        <v>272</v>
      </c>
      <c r="AT165" s="3" t="str">
        <f>IFERROR(MID(VLOOKUP($B165,Seqs!$A:$B,2,0),AU165,1),"")</f>
        <v>A</v>
      </c>
      <c r="AU165" s="3">
        <v>303</v>
      </c>
      <c r="AV165" s="3" t="str">
        <f>IFERROR(MID(VLOOKUP($B165,Seqs!$A:$B,2,0),AW165,1),"")</f>
        <v>G</v>
      </c>
      <c r="AW165" s="3">
        <v>304</v>
      </c>
      <c r="AX165" s="3" t="str">
        <f>IFERROR(MID(VLOOKUP($B165,Seqs!$A:$B,2,0),AY165,1),"")</f>
        <v>K</v>
      </c>
      <c r="AY165" s="3">
        <v>313</v>
      </c>
      <c r="AZ165" s="77" t="str">
        <f>VLOOKUP(B165,Classification!A:D,2,0)</f>
        <v>A</v>
      </c>
      <c r="BA165" s="94" t="str">
        <f>VLOOKUP(B165,Classification!A:D,4,0)</f>
        <v>Complementpeptide</v>
      </c>
      <c r="BB165" s="27" t="b">
        <f t="shared" si="1020"/>
        <v>1</v>
      </c>
      <c r="BC165" s="23">
        <f t="shared" si="1021"/>
        <v>253</v>
      </c>
      <c r="BD165" s="2" t="s">
        <v>23</v>
      </c>
      <c r="BE165" s="3" t="s">
        <v>1368</v>
      </c>
      <c r="BF165" s="118" t="s">
        <v>23</v>
      </c>
      <c r="BI165" s="1"/>
      <c r="BJ165" s="70" t="s">
        <v>1281</v>
      </c>
      <c r="BK165" s="57" t="s">
        <v>1281</v>
      </c>
      <c r="BL165" s="57" t="s">
        <v>1281</v>
      </c>
      <c r="BM165" s="57" t="s">
        <v>1281</v>
      </c>
      <c r="BN165" s="57" t="s">
        <v>1281</v>
      </c>
      <c r="BO165" s="57" t="s">
        <v>1281</v>
      </c>
      <c r="BP165" s="57" t="s">
        <v>1281</v>
      </c>
      <c r="BQ165" s="57" t="s">
        <v>1281</v>
      </c>
      <c r="BR165" s="57" t="s">
        <v>1281</v>
      </c>
      <c r="BS165" s="57" t="s">
        <v>1281</v>
      </c>
      <c r="BT165" s="57" t="s">
        <v>1281</v>
      </c>
      <c r="BU165" s="57" t="s">
        <v>1281</v>
      </c>
      <c r="BV165" s="70">
        <f>E165</f>
        <v>34</v>
      </c>
      <c r="BW165" s="71" t="str">
        <f>I165</f>
        <v>-</v>
      </c>
      <c r="BX165" s="72">
        <f>M165</f>
        <v>69</v>
      </c>
      <c r="BY165" s="71">
        <f>Q165</f>
        <v>101</v>
      </c>
      <c r="BZ165" s="72">
        <f>U165</f>
        <v>105</v>
      </c>
      <c r="CA165" s="71">
        <f>Y165</f>
        <v>141</v>
      </c>
      <c r="CB165" s="72">
        <f>AC165</f>
        <v>149</v>
      </c>
      <c r="CC165" s="71">
        <f>AG165</f>
        <v>188</v>
      </c>
      <c r="CD165" s="72">
        <f>AK165</f>
        <v>195</v>
      </c>
      <c r="CE165" s="71">
        <f>AO165</f>
        <v>238</v>
      </c>
      <c r="CF165" s="72">
        <f>AS165</f>
        <v>272</v>
      </c>
      <c r="CG165" s="71">
        <f>AW165</f>
        <v>304</v>
      </c>
      <c r="CH165" s="70">
        <f>G165</f>
        <v>65</v>
      </c>
      <c r="CI165" s="71" t="str">
        <f>K165</f>
        <v>-</v>
      </c>
      <c r="CJ165" s="72">
        <f>O165</f>
        <v>99</v>
      </c>
      <c r="CK165" s="72">
        <f>S165</f>
        <v>104</v>
      </c>
      <c r="CL165" s="72">
        <f>W165</f>
        <v>140</v>
      </c>
      <c r="CM165" s="72">
        <f>AA165</f>
        <v>148</v>
      </c>
      <c r="CN165" s="72">
        <f>AE165</f>
        <v>175</v>
      </c>
      <c r="CO165" s="72">
        <f>AI165</f>
        <v>190</v>
      </c>
      <c r="CP165" s="72">
        <f>AM165</f>
        <v>232</v>
      </c>
      <c r="CQ165" s="72">
        <f>AQ165</f>
        <v>268</v>
      </c>
      <c r="CR165" s="72">
        <f>AU165</f>
        <v>303</v>
      </c>
      <c r="CS165" s="72">
        <f>AY165</f>
        <v>313</v>
      </c>
      <c r="CT165" s="23" t="e">
        <f>M165-K165</f>
        <v>#VALUE!</v>
      </c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  <c r="AMK165" s="1"/>
      <c r="AML165" s="1"/>
      <c r="AMM165" s="1"/>
      <c r="AMN165" s="1"/>
      <c r="AMO165" s="1"/>
    </row>
    <row r="166" spans="1:1030" x14ac:dyDescent="0.2">
      <c r="A166" s="3" t="str">
        <f>CONCATENATE(B166,"_",C166)</f>
        <v>c5ar1_human_5O9H</v>
      </c>
      <c r="B166" s="3" t="s">
        <v>165</v>
      </c>
      <c r="C166" s="3" t="s">
        <v>1473</v>
      </c>
      <c r="D166" s="3" t="str">
        <f>IFERROR(MID(VLOOKUP($B166,Seqs!$A:$B,2,0),E166,1),"")</f>
        <v>R</v>
      </c>
      <c r="E166" s="3">
        <v>34</v>
      </c>
      <c r="F166" s="3" t="str">
        <f>IFERROR(MID(VLOOKUP($B166,Seqs!$A:$B,2,0),G166,1),"")</f>
        <v>E</v>
      </c>
      <c r="G166" s="3">
        <v>65</v>
      </c>
      <c r="H166" s="3" t="str">
        <f>IFERROR(MID(VLOOKUP($B166,Seqs!$A:$B,2,0),I166,1),"")</f>
        <v/>
      </c>
      <c r="I166" s="23" t="s">
        <v>23</v>
      </c>
      <c r="J166" s="3" t="str">
        <f>IFERROR(MID(VLOOKUP($B166,Seqs!$A:$B,2,0),K166,1),"")</f>
        <v/>
      </c>
      <c r="K166" s="23" t="s">
        <v>23</v>
      </c>
      <c r="L166" s="3" t="str">
        <f>IFERROR(MID(VLOOKUP($B166,Seqs!$A:$B,2,0),M166,1),"")</f>
        <v>T</v>
      </c>
      <c r="M166" s="3">
        <v>69</v>
      </c>
      <c r="N166" s="3" t="str">
        <f>IFERROR(MID(VLOOKUP($B166,Seqs!$A:$B,2,0),O166,1),"")</f>
        <v>H</v>
      </c>
      <c r="O166" s="3">
        <v>99</v>
      </c>
      <c r="P166" s="3" t="str">
        <f>IFERROR(MID(VLOOKUP($B166,Seqs!$A:$B,2,0),Q166,1),"")</f>
        <v>H</v>
      </c>
      <c r="Q166" s="3">
        <v>101</v>
      </c>
      <c r="R166" s="3" t="str">
        <f>IFERROR(MID(VLOOKUP($B166,Seqs!$A:$B,2,0),S166,1),"")</f>
        <v>F</v>
      </c>
      <c r="S166" s="3">
        <v>104</v>
      </c>
      <c r="T166" s="3" t="str">
        <f>IFERROR(MID(VLOOKUP($B166,Seqs!$A:$B,2,0),U166,1),"")</f>
        <v>G</v>
      </c>
      <c r="U166" s="3">
        <v>105</v>
      </c>
      <c r="V166" s="3" t="str">
        <f>IFERROR(MID(VLOOKUP($B166,Seqs!$A:$B,2,0),W166,1),"")</f>
        <v>K</v>
      </c>
      <c r="W166" s="3">
        <v>140</v>
      </c>
      <c r="X166" s="3" t="str">
        <f>IFERROR(MID(VLOOKUP($B166,Seqs!$A:$B,2,0),Y166,1),"")</f>
        <v>P</v>
      </c>
      <c r="Y166" s="3">
        <v>141</v>
      </c>
      <c r="Z166" s="3" t="str">
        <f>IFERROR(MID(VLOOKUP($B166,Seqs!$A:$B,2,0),AA166,1),"")</f>
        <v>R</v>
      </c>
      <c r="AA166" s="3">
        <v>148</v>
      </c>
      <c r="AB166" s="3" t="str">
        <f>IFERROR(MID(VLOOKUP($B166,Seqs!$A:$B,2,0),AC166,1),"")</f>
        <v>G</v>
      </c>
      <c r="AC166" s="3">
        <v>149</v>
      </c>
      <c r="AD166" s="3" t="str">
        <f>IFERROR(MID(VLOOKUP($B166,Seqs!$A:$B,2,0),AE166,1),"")</f>
        <v>R</v>
      </c>
      <c r="AE166" s="3">
        <v>175</v>
      </c>
      <c r="AF166" s="3" t="str">
        <f>IFERROR(MID(VLOOKUP($B166,Seqs!$A:$B,2,0),AG166,1),"")</f>
        <v>C</v>
      </c>
      <c r="AG166" s="3">
        <v>188</v>
      </c>
      <c r="AH166" s="3" t="str">
        <f>IFERROR(MID(VLOOKUP($B166,Seqs!$A:$B,2,0),AI166,1),"")</f>
        <v>V</v>
      </c>
      <c r="AI166" s="3">
        <v>190</v>
      </c>
      <c r="AJ166" s="3" t="str">
        <f>IFERROR(MID(VLOOKUP($B166,Seqs!$A:$B,2,0),AK166,1),"")</f>
        <v>D</v>
      </c>
      <c r="AK166" s="3">
        <v>195</v>
      </c>
      <c r="AL166" s="3" t="str">
        <f>IFERROR(MID(VLOOKUP($B166,Seqs!$A:$B,2,0),AM166,1),"")</f>
        <v>R</v>
      </c>
      <c r="AM166" s="3">
        <v>232</v>
      </c>
      <c r="AN166" s="3" t="str">
        <f>IFERROR(MID(VLOOKUP($B166,Seqs!$A:$B,2,0),AO166,1),"")</f>
        <v>T</v>
      </c>
      <c r="AO166" s="3">
        <v>238</v>
      </c>
      <c r="AP166" s="3" t="str">
        <f>IFERROR(MID(VLOOKUP($B166,Seqs!$A:$B,2,0),AQ166,1),"")</f>
        <v>L</v>
      </c>
      <c r="AQ166" s="3">
        <v>268</v>
      </c>
      <c r="AR166" s="3" t="str">
        <f>IFERROR(MID(VLOOKUP($B166,Seqs!$A:$B,2,0),AS166,1),"")</f>
        <v>S</v>
      </c>
      <c r="AS166" s="3">
        <v>272</v>
      </c>
      <c r="AT166" s="3" t="str">
        <f>IFERROR(MID(VLOOKUP($B166,Seqs!$A:$B,2,0),AU166,1),"")</f>
        <v>F</v>
      </c>
      <c r="AU166" s="3">
        <v>307</v>
      </c>
      <c r="AV166" s="3" t="str">
        <f>IFERROR(MID(VLOOKUP($B166,Seqs!$A:$B,2,0),AW166,1),"")</f>
        <v/>
      </c>
      <c r="AW166" s="3" t="s">
        <v>23</v>
      </c>
      <c r="AX166" s="3" t="str">
        <f>IFERROR(MID(VLOOKUP($B166,Seqs!$A:$B,2,0),AY166,1),"")</f>
        <v/>
      </c>
      <c r="AY166" s="3" t="s">
        <v>23</v>
      </c>
      <c r="AZ166" s="77" t="str">
        <f>VLOOKUP(B166,Classification!A:D,2,0)</f>
        <v>A</v>
      </c>
      <c r="BA166" s="94" t="str">
        <f>VLOOKUP(B166,Classification!A:D,4,0)</f>
        <v>Complementpeptide</v>
      </c>
      <c r="BB166" s="27" t="b">
        <f t="shared" si="1020"/>
        <v>1</v>
      </c>
      <c r="BC166" s="23">
        <f t="shared" si="1021"/>
        <v>248</v>
      </c>
      <c r="BD166" s="2" t="s">
        <v>1370</v>
      </c>
      <c r="BE166" s="3" t="s">
        <v>1368</v>
      </c>
      <c r="BF166" s="118">
        <v>2.7</v>
      </c>
      <c r="BG166" s="49" t="s">
        <v>1</v>
      </c>
      <c r="BH166" s="49" t="s">
        <v>1</v>
      </c>
      <c r="BI166" s="1"/>
      <c r="BJ166" s="70" t="s">
        <v>1281</v>
      </c>
      <c r="BK166" s="57" t="s">
        <v>1281</v>
      </c>
      <c r="BL166" s="57" t="s">
        <v>1281</v>
      </c>
      <c r="BM166" s="57" t="s">
        <v>1281</v>
      </c>
      <c r="BN166" s="57" t="s">
        <v>1281</v>
      </c>
      <c r="BO166" s="57" t="s">
        <v>1281</v>
      </c>
      <c r="BP166" s="57" t="s">
        <v>1281</v>
      </c>
      <c r="BQ166" s="57" t="s">
        <v>1281</v>
      </c>
      <c r="BR166" s="57" t="s">
        <v>1281</v>
      </c>
      <c r="BS166" s="57" t="s">
        <v>1281</v>
      </c>
      <c r="BT166" s="57" t="s">
        <v>1281</v>
      </c>
      <c r="BU166" s="57" t="s">
        <v>1281</v>
      </c>
      <c r="BV166" s="70">
        <f>E166</f>
        <v>34</v>
      </c>
      <c r="BW166" s="71" t="str">
        <f>I166</f>
        <v>-</v>
      </c>
      <c r="BX166" s="72">
        <f>M166</f>
        <v>69</v>
      </c>
      <c r="BY166" s="71">
        <f>Q166</f>
        <v>101</v>
      </c>
      <c r="BZ166" s="72">
        <f>U166</f>
        <v>105</v>
      </c>
      <c r="CA166" s="71">
        <f>Y166</f>
        <v>141</v>
      </c>
      <c r="CB166" s="72">
        <f>AC166</f>
        <v>149</v>
      </c>
      <c r="CC166" s="71">
        <f>AG166</f>
        <v>188</v>
      </c>
      <c r="CD166" s="72">
        <f>AK166</f>
        <v>195</v>
      </c>
      <c r="CE166" s="71">
        <f>AO166</f>
        <v>238</v>
      </c>
      <c r="CF166" s="72">
        <f>AS166</f>
        <v>272</v>
      </c>
      <c r="CG166" s="71" t="str">
        <f>AW166</f>
        <v>-</v>
      </c>
      <c r="CH166" s="70">
        <f>G166</f>
        <v>65</v>
      </c>
      <c r="CI166" s="71" t="str">
        <f>K166</f>
        <v>-</v>
      </c>
      <c r="CJ166" s="72">
        <f>O166</f>
        <v>99</v>
      </c>
      <c r="CK166" s="72">
        <f>S166</f>
        <v>104</v>
      </c>
      <c r="CL166" s="72">
        <f>W166</f>
        <v>140</v>
      </c>
      <c r="CM166" s="72">
        <f>AA166</f>
        <v>148</v>
      </c>
      <c r="CN166" s="72">
        <f>AE166</f>
        <v>175</v>
      </c>
      <c r="CO166" s="72">
        <f>AI166</f>
        <v>190</v>
      </c>
      <c r="CP166" s="72">
        <f>AM166</f>
        <v>232</v>
      </c>
      <c r="CQ166" s="72">
        <f>AQ166</f>
        <v>268</v>
      </c>
      <c r="CR166" s="72">
        <f>AU166</f>
        <v>307</v>
      </c>
      <c r="CS166" s="72" t="str">
        <f>AY166</f>
        <v>-</v>
      </c>
      <c r="CT166" s="23" t="e">
        <f>M166-K166</f>
        <v>#VALUE!</v>
      </c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1"/>
      <c r="AFJ166" s="1"/>
      <c r="AFK166" s="1"/>
      <c r="AFL166" s="1"/>
      <c r="AFM166" s="1"/>
      <c r="AFN166" s="1"/>
      <c r="AFO166" s="1"/>
      <c r="AFP166" s="1"/>
      <c r="AFQ166" s="1"/>
      <c r="AFR166" s="1"/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  <c r="AMJ166" s="1"/>
      <c r="AMK166" s="1"/>
      <c r="AML166" s="1"/>
      <c r="AMM166" s="1"/>
      <c r="AMN166" s="1"/>
      <c r="AMO166" s="1"/>
    </row>
    <row r="167" spans="1:1030" x14ac:dyDescent="0.2">
      <c r="A167" s="3" t="str">
        <f>CONCATENATE(B167,"_",C167)</f>
        <v>c5ar1_human_6C1Q</v>
      </c>
      <c r="B167" s="3" t="s">
        <v>165</v>
      </c>
      <c r="C167" s="3" t="s">
        <v>1492</v>
      </c>
      <c r="D167" s="3" t="str">
        <f>IFERROR(MID(VLOOKUP($B167,Seqs!$A:$B,2,0),E167,1),"")</f>
        <v>M</v>
      </c>
      <c r="E167" s="3">
        <v>120</v>
      </c>
      <c r="F167" s="3" t="str">
        <f>IFERROR(MID(VLOOKUP($B167,Seqs!$A:$B,2,0),G167,1),"")</f>
        <v>G</v>
      </c>
      <c r="G167" s="3">
        <v>151</v>
      </c>
      <c r="H167" s="3" t="str">
        <f>IFERROR(MID(VLOOKUP($B167,Seqs!$A:$B,2,0),I167,1),"")</f>
        <v/>
      </c>
      <c r="I167" s="23" t="s">
        <v>23</v>
      </c>
      <c r="J167" s="3" t="str">
        <f>IFERROR(MID(VLOOKUP($B167,Seqs!$A:$B,2,0),K167,1),"")</f>
        <v/>
      </c>
      <c r="K167" s="23" t="s">
        <v>23</v>
      </c>
      <c r="L167" s="3" t="str">
        <f>IFERROR(MID(VLOOKUP($B167,Seqs!$A:$B,2,0),M167,1),"")</f>
        <v>I</v>
      </c>
      <c r="M167" s="3">
        <v>155</v>
      </c>
      <c r="N167" s="3" t="str">
        <f>IFERROR(MID(VLOOKUP($B167,Seqs!$A:$B,2,0),O167,1),"")</f>
        <v>K</v>
      </c>
      <c r="O167" s="3">
        <v>185</v>
      </c>
      <c r="P167" s="3" t="str">
        <f>IFERROR(MID(VLOOKUP($B167,Seqs!$A:$B,2,0),Q167,1),"")</f>
        <v>L</v>
      </c>
      <c r="Q167" s="3">
        <v>187</v>
      </c>
      <c r="R167" s="3" t="str">
        <f>IFERROR(MID(VLOOKUP($B167,Seqs!$A:$B,2,0),S167,1),"")</f>
        <v>V</v>
      </c>
      <c r="S167" s="3">
        <v>190</v>
      </c>
      <c r="T167" s="3" t="str">
        <f>IFERROR(MID(VLOOKUP($B167,Seqs!$A:$B,2,0),U167,1),"")</f>
        <v>D</v>
      </c>
      <c r="U167" s="3">
        <v>191</v>
      </c>
      <c r="V167" s="3" t="str">
        <f>IFERROR(MID(VLOOKUP($B167,Seqs!$A:$B,2,0),W167,1),"")</f>
        <v>L</v>
      </c>
      <c r="W167" s="3">
        <v>226</v>
      </c>
      <c r="X167" s="3" t="str">
        <f>IFERROR(MID(VLOOKUP($B167,Seqs!$A:$B,2,0),Y167,1),"")</f>
        <v>L</v>
      </c>
      <c r="Y167" s="3">
        <v>227</v>
      </c>
      <c r="Z167" s="3" t="str">
        <f>IFERROR(MID(VLOOKUP($B167,Seqs!$A:$B,2,0),AA167,1),"")</f>
        <v>A</v>
      </c>
      <c r="AA167" s="3">
        <v>234</v>
      </c>
      <c r="AB167" s="3" t="str">
        <f>IFERROR(MID(VLOOKUP($B167,Seqs!$A:$B,2,0),AC167,1),"")</f>
        <v>T</v>
      </c>
      <c r="AC167" s="3">
        <v>235</v>
      </c>
      <c r="AD167" s="3" t="str">
        <f>IFERROR(MID(VLOOKUP($B167,Seqs!$A:$B,2,0),AE167,1),"")</f>
        <v>T</v>
      </c>
      <c r="AE167" s="3">
        <v>261</v>
      </c>
      <c r="AF167" s="3" t="str">
        <f>IFERROR(MID(VLOOKUP($B167,Seqs!$A:$B,2,0),AG167,1),"")</f>
        <v>T</v>
      </c>
      <c r="AG167" s="3">
        <v>274</v>
      </c>
      <c r="AH167" s="3" t="str">
        <f>IFERROR(MID(VLOOKUP($B167,Seqs!$A:$B,2,0),AI167,1),"")</f>
        <v>L</v>
      </c>
      <c r="AI167" s="3">
        <v>276</v>
      </c>
      <c r="AJ167" s="3" t="str">
        <f>IFERROR(MID(VLOOKUP($B167,Seqs!$A:$B,2,0),AK167,1),"")</f>
        <v>L</v>
      </c>
      <c r="AK167" s="3">
        <v>281</v>
      </c>
      <c r="AL167" s="3" t="str">
        <f>IFERROR(MID(VLOOKUP($B167,Seqs!$A:$B,2,0),AM167,1),"")</f>
        <v>L</v>
      </c>
      <c r="AM167" s="3">
        <v>318</v>
      </c>
      <c r="AN167" s="3" t="str">
        <f>IFERROR(MID(VLOOKUP($B167,Seqs!$A:$B,2,0),AO167,1),"")</f>
        <v>L</v>
      </c>
      <c r="AO167" s="3">
        <v>323</v>
      </c>
      <c r="AP167" s="3" t="str">
        <f>IFERROR(MID(VLOOKUP($B167,Seqs!$A:$B,2,0),AQ167,1),"")</f>
        <v/>
      </c>
      <c r="AQ167" s="3">
        <v>354</v>
      </c>
      <c r="AR167" s="3" t="str">
        <f>IFERROR(MID(VLOOKUP($B167,Seqs!$A:$B,2,0),AS167,1),"")</f>
        <v/>
      </c>
      <c r="AS167" s="3">
        <v>358</v>
      </c>
      <c r="AT167" s="3" t="str">
        <f>IFERROR(MID(VLOOKUP($B167,Seqs!$A:$B,2,0),AU167,1),"")</f>
        <v/>
      </c>
      <c r="AU167" s="3">
        <v>394</v>
      </c>
      <c r="AV167" s="3" t="str">
        <f>IFERROR(MID(VLOOKUP($B167,Seqs!$A:$B,2,0),AW167,1),"")</f>
        <v/>
      </c>
      <c r="AW167" s="3" t="s">
        <v>23</v>
      </c>
      <c r="AX167" s="3" t="str">
        <f>IFERROR(MID(VLOOKUP($B167,Seqs!$A:$B,2,0),AY167,1),"")</f>
        <v/>
      </c>
      <c r="AY167" s="3" t="s">
        <v>23</v>
      </c>
      <c r="AZ167" s="77" t="str">
        <f>VLOOKUP(B167,Classification!A:D,2,0)</f>
        <v>A</v>
      </c>
      <c r="BA167" s="94" t="str">
        <f>VLOOKUP(B167,Classification!A:D,4,0)</f>
        <v>Complementpeptide</v>
      </c>
      <c r="BB167" s="27" t="b">
        <f t="shared" si="1020"/>
        <v>1</v>
      </c>
      <c r="BC167" s="23">
        <f t="shared" si="1021"/>
        <v>250</v>
      </c>
      <c r="BD167" s="2" t="s">
        <v>23</v>
      </c>
      <c r="BE167" s="3" t="s">
        <v>1368</v>
      </c>
      <c r="BF167" s="118">
        <v>2.9</v>
      </c>
      <c r="BG167" s="49" t="s">
        <v>1275</v>
      </c>
      <c r="BH167" s="49" t="s">
        <v>1275</v>
      </c>
      <c r="BI167" s="1"/>
      <c r="BJ167" s="70" t="s">
        <v>1281</v>
      </c>
      <c r="BK167" s="57" t="s">
        <v>1281</v>
      </c>
      <c r="BL167" s="57" t="s">
        <v>1281</v>
      </c>
      <c r="BM167" s="57" t="s">
        <v>1281</v>
      </c>
      <c r="BN167" s="57" t="s">
        <v>1281</v>
      </c>
      <c r="BO167" s="57" t="s">
        <v>1281</v>
      </c>
      <c r="BP167" s="57" t="s">
        <v>1281</v>
      </c>
      <c r="BQ167" s="57" t="s">
        <v>1281</v>
      </c>
      <c r="BR167" s="57" t="s">
        <v>1281</v>
      </c>
      <c r="BS167" s="57" t="s">
        <v>1281</v>
      </c>
      <c r="BT167" s="57" t="s">
        <v>1281</v>
      </c>
      <c r="BU167" s="57" t="s">
        <v>1281</v>
      </c>
      <c r="BV167" s="70">
        <f>E167</f>
        <v>120</v>
      </c>
      <c r="BW167" s="71" t="str">
        <f>I167</f>
        <v>-</v>
      </c>
      <c r="BX167" s="72">
        <f>M167</f>
        <v>155</v>
      </c>
      <c r="BY167" s="71">
        <f>Q167</f>
        <v>187</v>
      </c>
      <c r="BZ167" s="72">
        <f>U167</f>
        <v>191</v>
      </c>
      <c r="CA167" s="71">
        <f>Y167</f>
        <v>227</v>
      </c>
      <c r="CB167" s="72">
        <f>AC167</f>
        <v>235</v>
      </c>
      <c r="CC167" s="71">
        <f>AG167</f>
        <v>274</v>
      </c>
      <c r="CD167" s="72">
        <f>AK167</f>
        <v>281</v>
      </c>
      <c r="CE167" s="71">
        <f>AO167</f>
        <v>323</v>
      </c>
      <c r="CF167" s="72">
        <f>AS167</f>
        <v>358</v>
      </c>
      <c r="CG167" s="71" t="str">
        <f>AW167</f>
        <v>-</v>
      </c>
      <c r="CH167" s="70">
        <f>G167</f>
        <v>151</v>
      </c>
      <c r="CI167" s="71" t="str">
        <f>K167</f>
        <v>-</v>
      </c>
      <c r="CJ167" s="72">
        <f>O167</f>
        <v>185</v>
      </c>
      <c r="CK167" s="72">
        <f>S167</f>
        <v>190</v>
      </c>
      <c r="CL167" s="72">
        <f>W167</f>
        <v>226</v>
      </c>
      <c r="CM167" s="72">
        <f>AA167</f>
        <v>234</v>
      </c>
      <c r="CN167" s="72">
        <f>AE167</f>
        <v>261</v>
      </c>
      <c r="CO167" s="72">
        <f>AI167</f>
        <v>276</v>
      </c>
      <c r="CP167" s="72">
        <f>AM167</f>
        <v>318</v>
      </c>
      <c r="CQ167" s="72">
        <f>AQ167</f>
        <v>354</v>
      </c>
      <c r="CR167" s="72">
        <f>AU167</f>
        <v>394</v>
      </c>
      <c r="CS167" s="72" t="str">
        <f>AY167</f>
        <v>-</v>
      </c>
      <c r="CT167" s="23" t="e">
        <f>M167-K167</f>
        <v>#VALUE!</v>
      </c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  <c r="AMK167" s="1"/>
      <c r="AML167" s="1"/>
      <c r="AMM167" s="1"/>
      <c r="AMN167" s="1"/>
      <c r="AMO167" s="1"/>
    </row>
    <row r="168" spans="1:1030" x14ac:dyDescent="0.2">
      <c r="A168" s="3" t="str">
        <f>CONCATENATE(B168,"_",C168)</f>
        <v>c5ar1_human_6C1R</v>
      </c>
      <c r="B168" s="3" t="s">
        <v>165</v>
      </c>
      <c r="C168" s="3" t="s">
        <v>1493</v>
      </c>
      <c r="D168" s="3" t="str">
        <f>IFERROR(MID(VLOOKUP($B168,Seqs!$A:$B,2,0),E168,1),"")</f>
        <v>M</v>
      </c>
      <c r="E168" s="3">
        <v>120</v>
      </c>
      <c r="F168" s="3" t="str">
        <f>IFERROR(MID(VLOOKUP($B168,Seqs!$A:$B,2,0),G168,1),"")</f>
        <v>G</v>
      </c>
      <c r="G168" s="3">
        <v>151</v>
      </c>
      <c r="H168" s="3" t="str">
        <f>IFERROR(MID(VLOOKUP($B168,Seqs!$A:$B,2,0),I168,1),"")</f>
        <v/>
      </c>
      <c r="I168" s="23" t="s">
        <v>23</v>
      </c>
      <c r="J168" s="3" t="str">
        <f>IFERROR(MID(VLOOKUP($B168,Seqs!$A:$B,2,0),K168,1),"")</f>
        <v/>
      </c>
      <c r="K168" s="23" t="s">
        <v>23</v>
      </c>
      <c r="L168" s="3" t="str">
        <f>IFERROR(MID(VLOOKUP($B168,Seqs!$A:$B,2,0),M168,1),"")</f>
        <v>I</v>
      </c>
      <c r="M168" s="3">
        <v>155</v>
      </c>
      <c r="N168" s="3" t="str">
        <f>IFERROR(MID(VLOOKUP($B168,Seqs!$A:$B,2,0),O168,1),"")</f>
        <v>K</v>
      </c>
      <c r="O168" s="3">
        <v>185</v>
      </c>
      <c r="P168" s="3" t="str">
        <f>IFERROR(MID(VLOOKUP($B168,Seqs!$A:$B,2,0),Q168,1),"")</f>
        <v>L</v>
      </c>
      <c r="Q168" s="3">
        <v>187</v>
      </c>
      <c r="R168" s="3" t="str">
        <f>IFERROR(MID(VLOOKUP($B168,Seqs!$A:$B,2,0),S168,1),"")</f>
        <v>V</v>
      </c>
      <c r="S168" s="3">
        <v>190</v>
      </c>
      <c r="T168" s="3" t="str">
        <f>IFERROR(MID(VLOOKUP($B168,Seqs!$A:$B,2,0),U168,1),"")</f>
        <v>D</v>
      </c>
      <c r="U168" s="3">
        <v>191</v>
      </c>
      <c r="V168" s="3" t="str">
        <f>IFERROR(MID(VLOOKUP($B168,Seqs!$A:$B,2,0),W168,1),"")</f>
        <v>L</v>
      </c>
      <c r="W168" s="3">
        <v>226</v>
      </c>
      <c r="X168" s="3" t="str">
        <f>IFERROR(MID(VLOOKUP($B168,Seqs!$A:$B,2,0),Y168,1),"")</f>
        <v>L</v>
      </c>
      <c r="Y168" s="3">
        <v>227</v>
      </c>
      <c r="Z168" s="3" t="str">
        <f>IFERROR(MID(VLOOKUP($B168,Seqs!$A:$B,2,0),AA168,1),"")</f>
        <v>A</v>
      </c>
      <c r="AA168" s="3">
        <v>234</v>
      </c>
      <c r="AB168" s="3" t="str">
        <f>IFERROR(MID(VLOOKUP($B168,Seqs!$A:$B,2,0),AC168,1),"")</f>
        <v>T</v>
      </c>
      <c r="AC168" s="3">
        <v>235</v>
      </c>
      <c r="AD168" s="3" t="str">
        <f>IFERROR(MID(VLOOKUP($B168,Seqs!$A:$B,2,0),AE168,1),"")</f>
        <v>T</v>
      </c>
      <c r="AE168" s="3">
        <v>261</v>
      </c>
      <c r="AF168" s="3" t="str">
        <f>IFERROR(MID(VLOOKUP($B168,Seqs!$A:$B,2,0),AG168,1),"")</f>
        <v>T</v>
      </c>
      <c r="AG168" s="3">
        <v>274</v>
      </c>
      <c r="AH168" s="3" t="str">
        <f>IFERROR(MID(VLOOKUP($B168,Seqs!$A:$B,2,0),AI168,1),"")</f>
        <v>L</v>
      </c>
      <c r="AI168" s="3">
        <v>276</v>
      </c>
      <c r="AJ168" s="3" t="str">
        <f>IFERROR(MID(VLOOKUP($B168,Seqs!$A:$B,2,0),AK168,1),"")</f>
        <v>L</v>
      </c>
      <c r="AK168" s="3">
        <v>281</v>
      </c>
      <c r="AL168" s="3" t="str">
        <f>IFERROR(MID(VLOOKUP($B168,Seqs!$A:$B,2,0),AM168,1),"")</f>
        <v>L</v>
      </c>
      <c r="AM168" s="3">
        <v>318</v>
      </c>
      <c r="AN168" s="3" t="str">
        <f>IFERROR(MID(VLOOKUP($B168,Seqs!$A:$B,2,0),AO168,1),"")</f>
        <v>L</v>
      </c>
      <c r="AO168" s="3">
        <v>323</v>
      </c>
      <c r="AP168" s="3" t="str">
        <f>IFERROR(MID(VLOOKUP($B168,Seqs!$A:$B,2,0),AQ168,1),"")</f>
        <v/>
      </c>
      <c r="AQ168" s="3">
        <v>354</v>
      </c>
      <c r="AR168" s="3" t="str">
        <f>IFERROR(MID(VLOOKUP($B168,Seqs!$A:$B,2,0),AS168,1),"")</f>
        <v/>
      </c>
      <c r="AS168" s="3">
        <v>358</v>
      </c>
      <c r="AT168" s="3" t="str">
        <f>IFERROR(MID(VLOOKUP($B168,Seqs!$A:$B,2,0),AU168,1),"")</f>
        <v/>
      </c>
      <c r="AU168" s="3">
        <v>394</v>
      </c>
      <c r="AV168" s="3" t="str">
        <f>IFERROR(MID(VLOOKUP($B168,Seqs!$A:$B,2,0),AW168,1),"")</f>
        <v/>
      </c>
      <c r="AW168" s="3" t="s">
        <v>23</v>
      </c>
      <c r="AX168" s="3" t="str">
        <f>IFERROR(MID(VLOOKUP($B168,Seqs!$A:$B,2,0),AY168,1),"")</f>
        <v/>
      </c>
      <c r="AY168" s="3" t="s">
        <v>23</v>
      </c>
      <c r="AZ168" s="77" t="str">
        <f>VLOOKUP(B168,Classification!A:D,2,0)</f>
        <v>A</v>
      </c>
      <c r="BA168" s="94" t="str">
        <f>VLOOKUP(B168,Classification!A:D,4,0)</f>
        <v>Complementpeptide</v>
      </c>
      <c r="BB168" s="27" t="b">
        <f t="shared" si="1020"/>
        <v>1</v>
      </c>
      <c r="BC168" s="23">
        <f t="shared" si="1021"/>
        <v>250</v>
      </c>
      <c r="BD168" s="2" t="s">
        <v>23</v>
      </c>
      <c r="BE168" s="3" t="s">
        <v>1368</v>
      </c>
      <c r="BF168" s="118">
        <v>2.2000000000000002</v>
      </c>
      <c r="BG168" s="49" t="s">
        <v>1275</v>
      </c>
      <c r="BH168" s="49" t="s">
        <v>1275</v>
      </c>
      <c r="BI168" s="1"/>
      <c r="BJ168" s="70" t="s">
        <v>1281</v>
      </c>
      <c r="BK168" s="57" t="s">
        <v>1281</v>
      </c>
      <c r="BL168" s="57" t="s">
        <v>1281</v>
      </c>
      <c r="BM168" s="57" t="s">
        <v>1281</v>
      </c>
      <c r="BN168" s="57" t="s">
        <v>1281</v>
      </c>
      <c r="BO168" s="57" t="s">
        <v>1281</v>
      </c>
      <c r="BP168" s="57" t="s">
        <v>1281</v>
      </c>
      <c r="BQ168" s="57" t="s">
        <v>1281</v>
      </c>
      <c r="BR168" s="57" t="s">
        <v>1281</v>
      </c>
      <c r="BS168" s="57" t="s">
        <v>1281</v>
      </c>
      <c r="BT168" s="57" t="s">
        <v>1281</v>
      </c>
      <c r="BU168" s="57" t="s">
        <v>1281</v>
      </c>
      <c r="BV168" s="70">
        <f>E168</f>
        <v>120</v>
      </c>
      <c r="BW168" s="71" t="str">
        <f>I168</f>
        <v>-</v>
      </c>
      <c r="BX168" s="72">
        <f>M168</f>
        <v>155</v>
      </c>
      <c r="BY168" s="71">
        <f>Q168</f>
        <v>187</v>
      </c>
      <c r="BZ168" s="72">
        <f>U168</f>
        <v>191</v>
      </c>
      <c r="CA168" s="71">
        <f>Y168</f>
        <v>227</v>
      </c>
      <c r="CB168" s="72">
        <f>AC168</f>
        <v>235</v>
      </c>
      <c r="CC168" s="71">
        <f>AG168</f>
        <v>274</v>
      </c>
      <c r="CD168" s="72">
        <f>AK168</f>
        <v>281</v>
      </c>
      <c r="CE168" s="71">
        <f>AO168</f>
        <v>323</v>
      </c>
      <c r="CF168" s="72">
        <f>AS168</f>
        <v>358</v>
      </c>
      <c r="CG168" s="71" t="str">
        <f>AW168</f>
        <v>-</v>
      </c>
      <c r="CH168" s="70">
        <f>G168</f>
        <v>151</v>
      </c>
      <c r="CI168" s="71" t="str">
        <f>K168</f>
        <v>-</v>
      </c>
      <c r="CJ168" s="72">
        <f>O168</f>
        <v>185</v>
      </c>
      <c r="CK168" s="72">
        <f>S168</f>
        <v>190</v>
      </c>
      <c r="CL168" s="72">
        <f>W168</f>
        <v>226</v>
      </c>
      <c r="CM168" s="72">
        <f>AA168</f>
        <v>234</v>
      </c>
      <c r="CN168" s="72">
        <f>AE168</f>
        <v>261</v>
      </c>
      <c r="CO168" s="72">
        <f>AI168</f>
        <v>276</v>
      </c>
      <c r="CP168" s="72">
        <f>AM168</f>
        <v>318</v>
      </c>
      <c r="CQ168" s="72">
        <f>AQ168</f>
        <v>354</v>
      </c>
      <c r="CR168" s="72">
        <f>AU168</f>
        <v>394</v>
      </c>
      <c r="CS168" s="72" t="str">
        <f>AY168</f>
        <v>-</v>
      </c>
      <c r="CT168" s="23" t="e">
        <f>M168-K168</f>
        <v>#VALUE!</v>
      </c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  <c r="AEN168" s="1"/>
      <c r="AEO168" s="1"/>
      <c r="AEP168" s="1"/>
      <c r="AEQ168" s="1"/>
      <c r="AER168" s="1"/>
      <c r="AES168" s="1"/>
      <c r="AET168" s="1"/>
      <c r="AEU168" s="1"/>
      <c r="AEV168" s="1"/>
      <c r="AEW168" s="1"/>
      <c r="AEX168" s="1"/>
      <c r="AEY168" s="1"/>
      <c r="AEZ168" s="1"/>
      <c r="AFA168" s="1"/>
      <c r="AFB168" s="1"/>
      <c r="AFC168" s="1"/>
      <c r="AFD168" s="1"/>
      <c r="AFE168" s="1"/>
      <c r="AFF168" s="1"/>
      <c r="AFG168" s="1"/>
      <c r="AFH168" s="1"/>
      <c r="AFI168" s="1"/>
      <c r="AFJ168" s="1"/>
      <c r="AFK168" s="1"/>
      <c r="AFL168" s="1"/>
      <c r="AFM168" s="1"/>
      <c r="AFN168" s="1"/>
      <c r="AFO168" s="1"/>
      <c r="AFP168" s="1"/>
      <c r="AFQ168" s="1"/>
      <c r="AFR168" s="1"/>
      <c r="AFS168" s="1"/>
      <c r="AFT168" s="1"/>
      <c r="AFU168" s="1"/>
      <c r="AFV168" s="1"/>
      <c r="AFW168" s="1"/>
      <c r="AFX168" s="1"/>
      <c r="AFY168" s="1"/>
      <c r="AFZ168" s="1"/>
      <c r="AGA168" s="1"/>
      <c r="AGB168" s="1"/>
      <c r="AGC168" s="1"/>
      <c r="AGD168" s="1"/>
      <c r="AGE168" s="1"/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  <c r="AMJ168" s="1"/>
      <c r="AMK168" s="1"/>
      <c r="AML168" s="1"/>
      <c r="AMM168" s="1"/>
      <c r="AMN168" s="1"/>
      <c r="AMO168" s="1"/>
    </row>
    <row r="169" spans="1:1030" x14ac:dyDescent="0.2">
      <c r="A169" s="3" t="str">
        <f>CONCATENATE(B169,"_",C169)</f>
        <v>ccr2_human__wt</v>
      </c>
      <c r="B169" s="3" t="s">
        <v>170</v>
      </c>
      <c r="C169" s="3" t="s">
        <v>100</v>
      </c>
      <c r="D169" s="3" t="str">
        <f>IFERROR(MID(VLOOKUP($B169,Seqs!$A:$B,2,0),E169,1),"")</f>
        <v>V</v>
      </c>
      <c r="E169" s="3">
        <v>37</v>
      </c>
      <c r="F169" s="3" t="str">
        <f>IFERROR(MID(VLOOKUP($B169,Seqs!$A:$B,2,0),G169,1),"")</f>
        <v>C</v>
      </c>
      <c r="G169" s="3">
        <v>70</v>
      </c>
      <c r="H169" s="3" t="str">
        <f>IFERROR(MID(VLOOKUP($B169,Seqs!$A:$B,2,0),I169,1),"")</f>
        <v>K</v>
      </c>
      <c r="I169" s="23">
        <v>71</v>
      </c>
      <c r="J169" s="3" t="str">
        <f>IFERROR(MID(VLOOKUP($B169,Seqs!$A:$B,2,0),K169,1),"")</f>
        <v>K</v>
      </c>
      <c r="K169" s="23">
        <v>74</v>
      </c>
      <c r="L169" s="3" t="str">
        <f>IFERROR(MID(VLOOKUP($B169,Seqs!$A:$B,2,0),M169,1),"")</f>
        <v>C</v>
      </c>
      <c r="M169" s="3">
        <v>75</v>
      </c>
      <c r="N169" s="3" t="str">
        <f>IFERROR(MID(VLOOKUP($B169,Seqs!$A:$B,2,0),O169,1),"")</f>
        <v>N</v>
      </c>
      <c r="O169" s="3">
        <v>104</v>
      </c>
      <c r="P169" s="3" t="str">
        <f>IFERROR(MID(VLOOKUP($B169,Seqs!$A:$B,2,0),Q169,1),"")</f>
        <v>E</v>
      </c>
      <c r="Q169" s="3">
        <v>105</v>
      </c>
      <c r="R169" s="3" t="str">
        <f>IFERROR(MID(VLOOKUP($B169,Seqs!$A:$B,2,0),S169,1),"")</f>
        <v>F</v>
      </c>
      <c r="S169" s="3">
        <v>108</v>
      </c>
      <c r="T169" s="3" t="str">
        <f>IFERROR(MID(VLOOKUP($B169,Seqs!$A:$B,2,0),U169,1),"")</f>
        <v>G</v>
      </c>
      <c r="U169" s="3">
        <v>109</v>
      </c>
      <c r="V169" s="3" t="str">
        <f>IFERROR(MID(VLOOKUP($B169,Seqs!$A:$B,2,0),W169,1),"")</f>
        <v>H</v>
      </c>
      <c r="W169" s="3">
        <v>144</v>
      </c>
      <c r="X169" s="3" t="str">
        <f>IFERROR(MID(VLOOKUP($B169,Seqs!$A:$B,2,0),Y169,1),"")</f>
        <v>A</v>
      </c>
      <c r="Y169" s="3">
        <v>145</v>
      </c>
      <c r="Z169" s="3" t="str">
        <f>IFERROR(MID(VLOOKUP($B169,Seqs!$A:$B,2,0),AA169,1),"")</f>
        <v>R</v>
      </c>
      <c r="AA169" s="3">
        <v>152</v>
      </c>
      <c r="AB169" s="3" t="str">
        <f>IFERROR(MID(VLOOKUP($B169,Seqs!$A:$B,2,0),AC169,1),"")</f>
        <v>T</v>
      </c>
      <c r="AC169" s="9">
        <v>153</v>
      </c>
      <c r="AD169" s="3" t="str">
        <f>IFERROR(MID(VLOOKUP($B169,Seqs!$A:$B,2,0),AE169,1),"")</f>
        <v>T</v>
      </c>
      <c r="AE169" s="3">
        <v>179</v>
      </c>
      <c r="AF169" s="3" t="str">
        <f>IFERROR(MID(VLOOKUP($B169,Seqs!$A:$B,2,0),AG169,1),"")</f>
        <v>C</v>
      </c>
      <c r="AG169" s="3">
        <v>190</v>
      </c>
      <c r="AH169" s="3" t="str">
        <f>IFERROR(MID(VLOOKUP($B169,Seqs!$A:$B,2,0),AI169,1),"")</f>
        <v>P</v>
      </c>
      <c r="AI169" s="3">
        <v>192</v>
      </c>
      <c r="AJ169" s="3" t="str">
        <f>IFERROR(MID(VLOOKUP($B169,Seqs!$A:$B,2,0),AK169,1),"")</f>
        <v>P</v>
      </c>
      <c r="AK169" s="3">
        <v>195</v>
      </c>
      <c r="AL169" s="3" t="str">
        <f>IFERROR(MID(VLOOKUP($B169,Seqs!$A:$B,2,0),AM169,1),"")</f>
        <v>C</v>
      </c>
      <c r="AM169" s="3">
        <v>232</v>
      </c>
      <c r="AN169" s="3" t="str">
        <f>IFERROR(MID(VLOOKUP($B169,Seqs!$A:$B,2,0),AO169,1),"")</f>
        <v>K</v>
      </c>
      <c r="AO169" s="3">
        <v>236</v>
      </c>
      <c r="AP169" s="3" t="str">
        <f>IFERROR(MID(VLOOKUP($B169,Seqs!$A:$B,2,0),AQ169,1),"")</f>
        <v>G</v>
      </c>
      <c r="AQ169" s="3">
        <v>273</v>
      </c>
      <c r="AR169" s="3" t="str">
        <f>IFERROR(MID(VLOOKUP($B169,Seqs!$A:$B,2,0),AS169,1),"")</f>
        <v>E</v>
      </c>
      <c r="AS169" s="3">
        <v>278</v>
      </c>
      <c r="AT169" s="3" t="str">
        <f>IFERROR(MID(VLOOKUP($B169,Seqs!$A:$B,2,0),AU169,1),"")</f>
        <v>V</v>
      </c>
      <c r="AU169" s="3">
        <v>308</v>
      </c>
      <c r="AV169" s="3" t="str">
        <f>IFERROR(MID(VLOOKUP($B169,Seqs!$A:$B,2,0),AW169,1),"")</f>
        <v>G</v>
      </c>
      <c r="AW169" s="3">
        <v>309</v>
      </c>
      <c r="AX169" s="3" t="str">
        <f>IFERROR(MID(VLOOKUP($B169,Seqs!$A:$B,2,0),AY169,1),"")</f>
        <v>L</v>
      </c>
      <c r="AY169" s="3">
        <v>320</v>
      </c>
      <c r="AZ169" s="77" t="str">
        <f>VLOOKUP(B169,Classification!A:D,2,0)</f>
        <v>A</v>
      </c>
      <c r="BA169" s="94" t="str">
        <f>VLOOKUP(B169,Classification!A:D,4,0)</f>
        <v>Chemokine</v>
      </c>
      <c r="BB169" s="27" t="b">
        <f t="shared" si="1007"/>
        <v>1</v>
      </c>
      <c r="BC169" s="23">
        <f t="shared" si="785"/>
        <v>265</v>
      </c>
      <c r="BD169" s="2" t="s">
        <v>23</v>
      </c>
      <c r="BE169" s="3" t="s">
        <v>23</v>
      </c>
      <c r="BF169" s="118" t="s">
        <v>23</v>
      </c>
      <c r="BG169" s="49" t="s">
        <v>1366</v>
      </c>
      <c r="BH169" s="49" t="s">
        <v>1371</v>
      </c>
      <c r="BI169" s="1"/>
      <c r="BJ169" s="70" t="s">
        <v>1281</v>
      </c>
      <c r="BK169" s="57" t="s">
        <v>1281</v>
      </c>
      <c r="BL169" s="57" t="s">
        <v>1281</v>
      </c>
      <c r="BM169" s="57" t="s">
        <v>1281</v>
      </c>
      <c r="BN169" s="57" t="s">
        <v>1281</v>
      </c>
      <c r="BO169" s="57" t="s">
        <v>1281</v>
      </c>
      <c r="BP169" s="57" t="s">
        <v>1281</v>
      </c>
      <c r="BQ169" s="57" t="s">
        <v>1281</v>
      </c>
      <c r="BR169" s="57" t="s">
        <v>1281</v>
      </c>
      <c r="BS169" s="57" t="s">
        <v>1281</v>
      </c>
      <c r="BT169" s="57" t="s">
        <v>1281</v>
      </c>
      <c r="BU169" s="57" t="s">
        <v>1281</v>
      </c>
      <c r="BV169" s="70">
        <f>E169</f>
        <v>37</v>
      </c>
      <c r="BW169" s="71">
        <f>I169</f>
        <v>71</v>
      </c>
      <c r="BX169" s="72">
        <f>M169</f>
        <v>75</v>
      </c>
      <c r="BY169" s="71">
        <f>Q169</f>
        <v>105</v>
      </c>
      <c r="BZ169" s="72">
        <f>U169</f>
        <v>109</v>
      </c>
      <c r="CA169" s="71">
        <f>Y169</f>
        <v>145</v>
      </c>
      <c r="CB169" s="72">
        <f>AC169</f>
        <v>153</v>
      </c>
      <c r="CC169" s="71">
        <f>AG169</f>
        <v>190</v>
      </c>
      <c r="CD169" s="72">
        <f>AK169</f>
        <v>195</v>
      </c>
      <c r="CE169" s="71">
        <f>AO169</f>
        <v>236</v>
      </c>
      <c r="CF169" s="72">
        <f>AS169</f>
        <v>278</v>
      </c>
      <c r="CG169" s="71">
        <f>AW169</f>
        <v>309</v>
      </c>
      <c r="CH169" s="70">
        <f>G169</f>
        <v>70</v>
      </c>
      <c r="CI169" s="71">
        <f>K169</f>
        <v>74</v>
      </c>
      <c r="CJ169" s="72">
        <f>O169</f>
        <v>104</v>
      </c>
      <c r="CK169" s="72">
        <f>S169</f>
        <v>108</v>
      </c>
      <c r="CL169" s="72">
        <f>W169</f>
        <v>144</v>
      </c>
      <c r="CM169" s="72">
        <f>AA169</f>
        <v>152</v>
      </c>
      <c r="CN169" s="72">
        <f>AE169</f>
        <v>179</v>
      </c>
      <c r="CO169" s="72">
        <f>AI169</f>
        <v>192</v>
      </c>
      <c r="CP169" s="72">
        <f>AM169</f>
        <v>232</v>
      </c>
      <c r="CQ169" s="72">
        <f>AQ169</f>
        <v>273</v>
      </c>
      <c r="CR169" s="72">
        <f>AU169</f>
        <v>308</v>
      </c>
      <c r="CS169" s="72">
        <f>AY169</f>
        <v>320</v>
      </c>
      <c r="CT169" s="23">
        <f>M169-K169</f>
        <v>1</v>
      </c>
      <c r="CU169" s="6"/>
      <c r="CV169" s="6"/>
      <c r="CW169" s="6"/>
      <c r="CX169" s="6"/>
      <c r="CY169" s="6"/>
      <c r="CZ169" s="6"/>
      <c r="DA169" s="6"/>
      <c r="DB169" s="6"/>
      <c r="DC169" s="6"/>
      <c r="DD169" s="6"/>
      <c r="DE169" s="6"/>
      <c r="DF169" s="6"/>
      <c r="DG169" s="6"/>
      <c r="DH169" s="6"/>
      <c r="DI169" s="6"/>
      <c r="DJ169" s="6"/>
      <c r="DK169" s="6"/>
      <c r="DL169" s="6"/>
      <c r="DM169" s="6"/>
      <c r="DN169" s="6"/>
      <c r="DO169" s="6"/>
      <c r="DP169" s="6"/>
      <c r="DQ169" s="6"/>
      <c r="DR169" s="6"/>
      <c r="DS169" s="6"/>
      <c r="DT169" s="6"/>
      <c r="DU169" s="6"/>
      <c r="DV169" s="6"/>
      <c r="DW169" s="6"/>
      <c r="DX169" s="6"/>
      <c r="DY169" s="6"/>
      <c r="DZ169" s="6"/>
      <c r="EA169" s="6"/>
      <c r="EB169" s="6"/>
      <c r="EC169" s="6"/>
      <c r="ED169" s="6"/>
      <c r="EE169" s="6"/>
      <c r="EF169" s="6"/>
      <c r="EG169" s="6"/>
      <c r="EH169" s="6"/>
      <c r="EI169" s="6"/>
      <c r="EJ169" s="6"/>
      <c r="EK169" s="6"/>
      <c r="EL169" s="6"/>
      <c r="EM169" s="6"/>
      <c r="EN169" s="6"/>
      <c r="EO169" s="6"/>
      <c r="EP169" s="6"/>
      <c r="EQ169" s="6"/>
      <c r="ER169" s="6"/>
      <c r="ES169" s="6"/>
      <c r="ET169" s="6"/>
      <c r="EU169" s="6"/>
      <c r="EV169" s="6"/>
      <c r="EW169" s="6"/>
      <c r="EX169" s="6"/>
      <c r="EY169" s="6"/>
      <c r="EZ169" s="6"/>
      <c r="FA169" s="6"/>
      <c r="FB169" s="6"/>
      <c r="FC169" s="6"/>
      <c r="FD169" s="6"/>
      <c r="FE169" s="6"/>
      <c r="FF169" s="6"/>
      <c r="FG169" s="6"/>
      <c r="FH169" s="6"/>
      <c r="FI169" s="6"/>
      <c r="FJ169" s="6"/>
      <c r="FK169" s="6"/>
      <c r="FL169" s="6"/>
      <c r="FM169" s="6"/>
      <c r="FN169" s="6"/>
      <c r="FO169" s="6"/>
      <c r="FP169" s="6"/>
      <c r="FQ169" s="6"/>
      <c r="FR169" s="6"/>
      <c r="FS169" s="6"/>
      <c r="FT169" s="6"/>
      <c r="FU169" s="6"/>
      <c r="FV169" s="6"/>
      <c r="FW169" s="6"/>
      <c r="FX169" s="6"/>
      <c r="FY169" s="6"/>
      <c r="FZ169" s="6"/>
      <c r="GA169" s="6"/>
      <c r="GB169" s="6"/>
      <c r="GC169" s="6"/>
      <c r="GD169" s="6"/>
      <c r="GE169" s="6"/>
      <c r="GF169" s="6"/>
      <c r="GG169" s="6"/>
      <c r="GH169" s="6"/>
      <c r="GI169" s="6"/>
      <c r="GJ169" s="6"/>
      <c r="GK169" s="6"/>
      <c r="GL169" s="6"/>
      <c r="GM169" s="6"/>
      <c r="GN169" s="6"/>
      <c r="GO169" s="6"/>
      <c r="GP169" s="6"/>
      <c r="GQ169" s="6"/>
      <c r="GR169" s="6"/>
      <c r="GS169" s="6"/>
      <c r="GT169" s="6"/>
      <c r="GU169" s="6"/>
      <c r="GV169" s="6"/>
      <c r="GW169" s="6"/>
      <c r="GX169" s="6"/>
      <c r="GY169" s="6"/>
      <c r="GZ169" s="6"/>
      <c r="HA169" s="6"/>
      <c r="HB169" s="6"/>
      <c r="HC169" s="6"/>
      <c r="HD169" s="6"/>
      <c r="HE169" s="6"/>
      <c r="HF169" s="6"/>
      <c r="HG169" s="6"/>
      <c r="HH169" s="6"/>
      <c r="HI169" s="6"/>
      <c r="HJ169" s="6"/>
      <c r="HK169" s="6"/>
      <c r="HL169" s="6"/>
      <c r="HM169" s="6"/>
      <c r="HN169" s="6"/>
      <c r="HO169" s="6"/>
      <c r="HP169" s="6"/>
      <c r="HQ169" s="6"/>
      <c r="HR169" s="6"/>
      <c r="HS169" s="6"/>
      <c r="HT169" s="6"/>
      <c r="HU169" s="6"/>
      <c r="HV169" s="6"/>
      <c r="HW169" s="6"/>
      <c r="HX169" s="6"/>
      <c r="HY169" s="6"/>
      <c r="HZ169" s="6"/>
      <c r="IA169" s="6"/>
      <c r="IB169" s="6"/>
      <c r="IC169" s="6"/>
      <c r="ID169" s="6"/>
      <c r="IE169" s="6"/>
      <c r="IF169" s="6"/>
      <c r="IG169" s="6"/>
      <c r="IH169" s="6"/>
      <c r="II169" s="6"/>
      <c r="IJ169" s="6"/>
      <c r="IK169" s="6"/>
      <c r="IL169" s="6"/>
      <c r="IM169" s="6"/>
      <c r="IN169" s="6"/>
      <c r="IO169" s="6"/>
      <c r="IP169" s="6"/>
      <c r="IQ169" s="6"/>
      <c r="IR169" s="6"/>
      <c r="IS169" s="6"/>
      <c r="IT169" s="6"/>
      <c r="IU169" s="6"/>
      <c r="IV169" s="6"/>
      <c r="IW169" s="6"/>
      <c r="IX169" s="6"/>
      <c r="IY169" s="6"/>
      <c r="IZ169" s="6"/>
      <c r="JA169" s="6"/>
      <c r="JB169" s="6"/>
      <c r="JC169" s="6"/>
      <c r="JD169" s="6"/>
      <c r="JE169" s="6"/>
      <c r="JF169" s="6"/>
      <c r="JG169" s="6"/>
      <c r="JH169" s="6"/>
      <c r="JI169" s="6"/>
      <c r="JJ169" s="6"/>
      <c r="JK169" s="6"/>
      <c r="JL169" s="6"/>
      <c r="JM169" s="6"/>
      <c r="JN169" s="6"/>
      <c r="JO169" s="6"/>
      <c r="JP169" s="6"/>
      <c r="JQ169" s="6"/>
      <c r="JR169" s="6"/>
      <c r="JS169" s="6"/>
      <c r="JT169" s="6"/>
      <c r="JU169" s="6"/>
      <c r="JV169" s="6"/>
      <c r="JW169" s="6"/>
      <c r="JX169" s="6"/>
      <c r="JY169" s="6"/>
      <c r="JZ169" s="6"/>
      <c r="KA169" s="6"/>
      <c r="KB169" s="6"/>
      <c r="KC169" s="6"/>
      <c r="KD169" s="6"/>
      <c r="KE169" s="6"/>
      <c r="KF169" s="6"/>
      <c r="KG169" s="6"/>
      <c r="KH169" s="6"/>
      <c r="KI169" s="6"/>
      <c r="KJ169" s="6"/>
      <c r="KK169" s="6"/>
      <c r="KL169" s="6"/>
      <c r="KM169" s="6"/>
      <c r="KN169" s="6"/>
      <c r="KO169" s="6"/>
      <c r="KP169" s="6"/>
      <c r="KQ169" s="6"/>
      <c r="KR169" s="6"/>
      <c r="KS169" s="6"/>
      <c r="KT169" s="6"/>
      <c r="KU169" s="6"/>
      <c r="KV169" s="6"/>
      <c r="KW169" s="6"/>
      <c r="KX169" s="6"/>
      <c r="KY169" s="6"/>
      <c r="KZ169" s="6"/>
      <c r="LA169" s="6"/>
      <c r="LB169" s="6"/>
      <c r="LC169" s="6"/>
      <c r="LD169" s="6"/>
      <c r="LE169" s="6"/>
      <c r="LF169" s="6"/>
      <c r="LG169" s="6"/>
      <c r="LH169" s="6"/>
      <c r="LI169" s="6"/>
      <c r="LJ169" s="6"/>
      <c r="LK169" s="6"/>
      <c r="LL169" s="6"/>
      <c r="LM169" s="6"/>
      <c r="LN169" s="6"/>
      <c r="LO169" s="6"/>
      <c r="LP169" s="6"/>
      <c r="LQ169" s="6"/>
      <c r="LR169" s="6"/>
      <c r="LS169" s="6"/>
      <c r="LT169" s="6"/>
      <c r="LU169" s="6"/>
      <c r="LV169" s="6"/>
      <c r="LW169" s="6"/>
      <c r="LX169" s="6"/>
      <c r="LY169" s="6"/>
      <c r="LZ169" s="6"/>
      <c r="MA169" s="6"/>
      <c r="MB169" s="6"/>
      <c r="MC169" s="6"/>
      <c r="MD169" s="6"/>
      <c r="ME169" s="6"/>
      <c r="MF169" s="6"/>
      <c r="MG169" s="6"/>
      <c r="MH169" s="6"/>
      <c r="MI169" s="6"/>
      <c r="MJ169" s="6"/>
      <c r="MK169" s="6"/>
      <c r="ML169" s="6"/>
      <c r="MM169" s="6"/>
      <c r="MN169" s="6"/>
      <c r="MO169" s="6"/>
      <c r="MP169" s="6"/>
      <c r="MQ169" s="6"/>
      <c r="MR169" s="6"/>
      <c r="MS169" s="6"/>
      <c r="MT169" s="6"/>
      <c r="MU169" s="6"/>
      <c r="MV169" s="6"/>
      <c r="MW169" s="6"/>
      <c r="MX169" s="6"/>
      <c r="MY169" s="6"/>
      <c r="MZ169" s="6"/>
      <c r="NA169" s="6"/>
      <c r="NB169" s="6"/>
      <c r="NC169" s="6"/>
      <c r="ND169" s="6"/>
      <c r="NE169" s="6"/>
      <c r="NF169" s="6"/>
      <c r="NG169" s="6"/>
      <c r="NH169" s="6"/>
      <c r="NI169" s="6"/>
      <c r="NJ169" s="6"/>
      <c r="NK169" s="6"/>
      <c r="NL169" s="6"/>
      <c r="NM169" s="6"/>
      <c r="NN169" s="6"/>
      <c r="NO169" s="6"/>
      <c r="NP169" s="6"/>
      <c r="NQ169" s="6"/>
      <c r="NR169" s="6"/>
      <c r="NS169" s="6"/>
      <c r="NT169" s="6"/>
      <c r="NU169" s="6"/>
      <c r="NV169" s="6"/>
      <c r="NW169" s="6"/>
      <c r="NX169" s="6"/>
      <c r="NY169" s="6"/>
      <c r="NZ169" s="6"/>
      <c r="OA169" s="6"/>
      <c r="OB169" s="6"/>
      <c r="OC169" s="6"/>
      <c r="OD169" s="6"/>
      <c r="OE169" s="6"/>
      <c r="OF169" s="6"/>
      <c r="OG169" s="6"/>
      <c r="OH169" s="6"/>
      <c r="OI169" s="6"/>
      <c r="OJ169" s="6"/>
      <c r="OK169" s="6"/>
      <c r="OL169" s="6"/>
      <c r="OM169" s="6"/>
      <c r="ON169" s="6"/>
      <c r="OO169" s="6"/>
      <c r="OP169" s="6"/>
      <c r="OQ169" s="6"/>
      <c r="OR169" s="6"/>
      <c r="OS169" s="6"/>
      <c r="OT169" s="6"/>
      <c r="OU169" s="6"/>
      <c r="OV169" s="6"/>
      <c r="OW169" s="6"/>
      <c r="OX169" s="6"/>
      <c r="OY169" s="6"/>
      <c r="OZ169" s="6"/>
      <c r="PA169" s="6"/>
      <c r="PB169" s="6"/>
      <c r="PC169" s="6"/>
      <c r="PD169" s="6"/>
      <c r="PE169" s="6"/>
      <c r="PF169" s="6"/>
      <c r="PG169" s="6"/>
      <c r="PH169" s="6"/>
      <c r="PI169" s="6"/>
      <c r="PJ169" s="6"/>
      <c r="PK169" s="6"/>
      <c r="PL169" s="6"/>
      <c r="PM169" s="6"/>
      <c r="PN169" s="6"/>
      <c r="PO169" s="6"/>
      <c r="PP169" s="6"/>
      <c r="PQ169" s="6"/>
      <c r="PR169" s="6"/>
      <c r="PS169" s="6"/>
      <c r="PT169" s="6"/>
      <c r="PU169" s="6"/>
      <c r="PV169" s="6"/>
      <c r="PW169" s="6"/>
      <c r="PX169" s="6"/>
      <c r="PY169" s="6"/>
      <c r="PZ169" s="6"/>
      <c r="QA169" s="6"/>
      <c r="QB169" s="6"/>
      <c r="QC169" s="6"/>
      <c r="QD169" s="6"/>
      <c r="QE169" s="6"/>
      <c r="QF169" s="6"/>
      <c r="QG169" s="6"/>
      <c r="QH169" s="6"/>
      <c r="QI169" s="6"/>
      <c r="QJ169" s="6"/>
      <c r="QK169" s="6"/>
      <c r="QL169" s="6"/>
      <c r="QM169" s="6"/>
      <c r="QN169" s="6"/>
      <c r="QO169" s="6"/>
      <c r="QP169" s="6"/>
      <c r="QQ169" s="6"/>
      <c r="QR169" s="6"/>
      <c r="QS169" s="6"/>
      <c r="QT169" s="6"/>
      <c r="QU169" s="6"/>
      <c r="QV169" s="6"/>
      <c r="QW169" s="6"/>
      <c r="QX169" s="6"/>
      <c r="QY169" s="6"/>
      <c r="QZ169" s="6"/>
      <c r="RA169" s="6"/>
      <c r="RB169" s="6"/>
      <c r="RC169" s="6"/>
      <c r="RD169" s="6"/>
      <c r="RE169" s="6"/>
      <c r="RF169" s="6"/>
      <c r="RG169" s="6"/>
      <c r="RH169" s="6"/>
      <c r="RI169" s="6"/>
      <c r="RJ169" s="6"/>
      <c r="RK169" s="6"/>
      <c r="RL169" s="6"/>
      <c r="RM169" s="6"/>
      <c r="RN169" s="6"/>
      <c r="RO169" s="6"/>
      <c r="RP169" s="6"/>
      <c r="RQ169" s="6"/>
      <c r="RR169" s="6"/>
      <c r="RS169" s="6"/>
      <c r="RT169" s="6"/>
      <c r="RU169" s="6"/>
      <c r="RV169" s="6"/>
      <c r="RW169" s="6"/>
      <c r="RX169" s="6"/>
      <c r="RY169" s="6"/>
      <c r="RZ169" s="6"/>
      <c r="SA169" s="6"/>
      <c r="SB169" s="6"/>
      <c r="SC169" s="6"/>
      <c r="SD169" s="6"/>
      <c r="SE169" s="6"/>
      <c r="SF169" s="6"/>
      <c r="SG169" s="6"/>
      <c r="SH169" s="6"/>
      <c r="SI169" s="6"/>
      <c r="SJ169" s="6"/>
      <c r="SK169" s="6"/>
      <c r="SL169" s="6"/>
      <c r="SM169" s="6"/>
      <c r="SN169" s="6"/>
      <c r="SO169" s="6"/>
      <c r="SP169" s="6"/>
      <c r="SQ169" s="6"/>
      <c r="SR169" s="6"/>
      <c r="SS169" s="6"/>
      <c r="ST169" s="6"/>
      <c r="SU169" s="6"/>
      <c r="SV169" s="6"/>
      <c r="SW169" s="6"/>
      <c r="SX169" s="6"/>
      <c r="SY169" s="6"/>
      <c r="SZ169" s="6"/>
      <c r="TA169" s="6"/>
      <c r="TB169" s="6"/>
      <c r="TC169" s="6"/>
      <c r="TD169" s="6"/>
      <c r="TE169" s="6"/>
      <c r="TF169" s="6"/>
      <c r="TG169" s="6"/>
      <c r="TH169" s="6"/>
      <c r="TI169" s="6"/>
      <c r="TJ169" s="6"/>
      <c r="TK169" s="6"/>
      <c r="TL169" s="6"/>
      <c r="TM169" s="6"/>
      <c r="TN169" s="6"/>
      <c r="TO169" s="6"/>
      <c r="TP169" s="6"/>
      <c r="TQ169" s="6"/>
      <c r="TR169" s="6"/>
      <c r="TS169" s="6"/>
      <c r="TT169" s="6"/>
      <c r="TU169" s="6"/>
      <c r="TV169" s="6"/>
      <c r="TW169" s="6"/>
      <c r="TX169" s="6"/>
      <c r="TY169" s="6"/>
      <c r="TZ169" s="6"/>
      <c r="UA169" s="6"/>
      <c r="UB169" s="6"/>
      <c r="UC169" s="6"/>
      <c r="UD169" s="6"/>
      <c r="UE169" s="6"/>
      <c r="UF169" s="6"/>
      <c r="UG169" s="6"/>
      <c r="UH169" s="6"/>
      <c r="UI169" s="6"/>
      <c r="UJ169" s="6"/>
      <c r="UK169" s="6"/>
      <c r="UL169" s="6"/>
      <c r="UM169" s="6"/>
      <c r="UN169" s="6"/>
      <c r="UO169" s="6"/>
      <c r="UP169" s="6"/>
      <c r="UQ169" s="6"/>
      <c r="UR169" s="6"/>
      <c r="US169" s="6"/>
      <c r="UT169" s="6"/>
      <c r="UU169" s="6"/>
      <c r="UV169" s="6"/>
      <c r="UW169" s="6"/>
      <c r="UX169" s="6"/>
      <c r="UY169" s="6"/>
      <c r="UZ169" s="6"/>
      <c r="VA169" s="6"/>
      <c r="VB169" s="6"/>
      <c r="VC169" s="6"/>
      <c r="VD169" s="6"/>
      <c r="VE169" s="6"/>
      <c r="VF169" s="6"/>
      <c r="VG169" s="6"/>
      <c r="VH169" s="6"/>
      <c r="VI169" s="6"/>
      <c r="VJ169" s="6"/>
      <c r="VK169" s="6"/>
      <c r="VL169" s="6"/>
      <c r="VM169" s="6"/>
      <c r="VN169" s="6"/>
      <c r="VO169" s="6"/>
      <c r="VP169" s="6"/>
      <c r="VQ169" s="6"/>
      <c r="VR169" s="6"/>
      <c r="VS169" s="6"/>
      <c r="VT169" s="6"/>
      <c r="VU169" s="6"/>
      <c r="VV169" s="6"/>
      <c r="VW169" s="6"/>
      <c r="VX169" s="6"/>
      <c r="VY169" s="6"/>
      <c r="VZ169" s="6"/>
      <c r="WA169" s="6"/>
      <c r="WB169" s="6"/>
      <c r="WC169" s="6"/>
      <c r="WD169" s="6"/>
      <c r="WE169" s="6"/>
      <c r="WF169" s="6"/>
      <c r="WG169" s="6"/>
      <c r="WH169" s="6"/>
      <c r="WI169" s="6"/>
      <c r="WJ169" s="6"/>
      <c r="WK169" s="6"/>
      <c r="WL169" s="6"/>
      <c r="WM169" s="6"/>
      <c r="WN169" s="6"/>
      <c r="WO169" s="6"/>
      <c r="WP169" s="6"/>
      <c r="WQ169" s="6"/>
      <c r="WR169" s="6"/>
      <c r="WS169" s="6"/>
      <c r="WT169" s="6"/>
      <c r="WU169" s="6"/>
      <c r="WV169" s="6"/>
      <c r="WW169" s="6"/>
      <c r="WX169" s="6"/>
      <c r="WY169" s="6"/>
      <c r="WZ169" s="6"/>
      <c r="XA169" s="6"/>
      <c r="XB169" s="6"/>
      <c r="XC169" s="6"/>
      <c r="XD169" s="6"/>
      <c r="XE169" s="6"/>
      <c r="XF169" s="6"/>
      <c r="XG169" s="6"/>
      <c r="XH169" s="6"/>
      <c r="XI169" s="6"/>
      <c r="XJ169" s="6"/>
      <c r="XK169" s="6"/>
      <c r="XL169" s="6"/>
      <c r="XM169" s="6"/>
      <c r="XN169" s="6"/>
      <c r="XO169" s="6"/>
      <c r="XP169" s="6"/>
      <c r="XQ169" s="6"/>
      <c r="XR169" s="6"/>
      <c r="XS169" s="6"/>
      <c r="XT169" s="6"/>
      <c r="XU169" s="6"/>
      <c r="XV169" s="6"/>
      <c r="XW169" s="6"/>
      <c r="XX169" s="6"/>
      <c r="XY169" s="6"/>
      <c r="XZ169" s="6"/>
      <c r="YA169" s="6"/>
      <c r="YB169" s="6"/>
      <c r="YC169" s="6"/>
      <c r="YD169" s="6"/>
      <c r="YE169" s="6"/>
      <c r="YF169" s="6"/>
      <c r="YG169" s="6"/>
      <c r="YH169" s="6"/>
      <c r="YI169" s="6"/>
      <c r="YJ169" s="6"/>
      <c r="YK169" s="6"/>
      <c r="YL169" s="6"/>
      <c r="YM169" s="6"/>
      <c r="YN169" s="6"/>
      <c r="YO169" s="6"/>
      <c r="YP169" s="6"/>
      <c r="YQ169" s="6"/>
      <c r="YR169" s="6"/>
      <c r="YS169" s="6"/>
      <c r="YT169" s="6"/>
      <c r="YU169" s="6"/>
      <c r="YV169" s="6"/>
      <c r="YW169" s="6"/>
      <c r="YX169" s="6"/>
      <c r="YY169" s="6"/>
      <c r="YZ169" s="6"/>
      <c r="ZA169" s="6"/>
      <c r="ZB169" s="6"/>
      <c r="ZC169" s="6"/>
      <c r="ZD169" s="6"/>
      <c r="ZE169" s="6"/>
      <c r="ZF169" s="6"/>
      <c r="ZG169" s="6"/>
      <c r="ZH169" s="6"/>
      <c r="ZI169" s="6"/>
      <c r="ZJ169" s="6"/>
      <c r="ZK169" s="6"/>
      <c r="ZL169" s="6"/>
      <c r="ZM169" s="6"/>
      <c r="ZN169" s="6"/>
      <c r="ZO169" s="6"/>
      <c r="ZP169" s="6"/>
      <c r="ZQ169" s="6"/>
      <c r="ZR169" s="6"/>
      <c r="ZS169" s="6"/>
      <c r="ZT169" s="6"/>
      <c r="ZU169" s="6"/>
      <c r="ZV169" s="6"/>
      <c r="ZW169" s="6"/>
      <c r="ZX169" s="6"/>
      <c r="ZY169" s="6"/>
      <c r="ZZ169" s="6"/>
      <c r="AAA169" s="6"/>
      <c r="AAB169" s="6"/>
      <c r="AAC169" s="6"/>
      <c r="AAD169" s="6"/>
      <c r="AAE169" s="6"/>
      <c r="AAF169" s="6"/>
      <c r="AAG169" s="6"/>
      <c r="AAH169" s="6"/>
      <c r="AAI169" s="6"/>
      <c r="AAJ169" s="6"/>
      <c r="AAK169" s="6"/>
      <c r="AAL169" s="6"/>
      <c r="AAM169" s="6"/>
      <c r="AAN169" s="6"/>
      <c r="AAO169" s="6"/>
      <c r="AAP169" s="6"/>
      <c r="AAQ169" s="6"/>
      <c r="AAR169" s="6"/>
      <c r="AAS169" s="6"/>
      <c r="AAT169" s="6"/>
      <c r="AAU169" s="6"/>
      <c r="AAV169" s="6"/>
      <c r="AAW169" s="6"/>
      <c r="AAX169" s="6"/>
      <c r="AAY169" s="6"/>
      <c r="AAZ169" s="6"/>
      <c r="ABA169" s="6"/>
      <c r="ABB169" s="6"/>
      <c r="ABC169" s="6"/>
      <c r="ABD169" s="6"/>
      <c r="ABE169" s="6"/>
      <c r="ABF169" s="6"/>
      <c r="ABG169" s="6"/>
      <c r="ABH169" s="6"/>
      <c r="ABI169" s="6"/>
      <c r="ABJ169" s="6"/>
      <c r="ABK169" s="6"/>
      <c r="ABL169" s="6"/>
      <c r="ABM169" s="6"/>
      <c r="ABN169" s="6"/>
      <c r="ABO169" s="6"/>
      <c r="ABP169" s="6"/>
      <c r="ABQ169" s="6"/>
      <c r="ABR169" s="6"/>
      <c r="ABS169" s="6"/>
      <c r="ABT169" s="6"/>
      <c r="ABU169" s="6"/>
      <c r="ABV169" s="6"/>
      <c r="ABW169" s="6"/>
      <c r="ABX169" s="6"/>
      <c r="ABY169" s="6"/>
      <c r="ABZ169" s="6"/>
      <c r="ACA169" s="6"/>
      <c r="ACB169" s="6"/>
      <c r="ACC169" s="6"/>
      <c r="ACD169" s="6"/>
      <c r="ACE169" s="6"/>
      <c r="ACF169" s="6"/>
      <c r="ACG169" s="6"/>
      <c r="ACH169" s="6"/>
      <c r="ACI169" s="6"/>
      <c r="ACJ169" s="6"/>
      <c r="ACK169" s="6"/>
      <c r="ACL169" s="6"/>
      <c r="ACM169" s="6"/>
      <c r="ACN169" s="6"/>
      <c r="ACO169" s="6"/>
      <c r="ACP169" s="6"/>
      <c r="ACQ169" s="6"/>
      <c r="ACR169" s="6"/>
      <c r="ACS169" s="6"/>
      <c r="ACT169" s="6"/>
      <c r="ACU169" s="6"/>
      <c r="ACV169" s="6"/>
      <c r="ACW169" s="6"/>
      <c r="ACX169" s="6"/>
      <c r="ACY169" s="6"/>
      <c r="ACZ169" s="6"/>
      <c r="ADA169" s="6"/>
      <c r="ADB169" s="6"/>
      <c r="ADC169" s="6"/>
      <c r="ADD169" s="6"/>
      <c r="ADE169" s="6"/>
      <c r="ADF169" s="6"/>
      <c r="ADG169" s="6"/>
      <c r="ADH169" s="6"/>
      <c r="ADI169" s="6"/>
      <c r="ADJ169" s="6"/>
      <c r="ADK169" s="6"/>
      <c r="ADL169" s="6"/>
      <c r="ADM169" s="6"/>
      <c r="ADN169" s="6"/>
      <c r="ADO169" s="6"/>
      <c r="ADP169" s="6"/>
      <c r="ADQ169" s="6"/>
      <c r="ADR169" s="6"/>
      <c r="ADS169" s="6"/>
      <c r="ADT169" s="6"/>
      <c r="ADU169" s="6"/>
      <c r="ADV169" s="6"/>
      <c r="ADW169" s="6"/>
      <c r="ADX169" s="6"/>
      <c r="ADY169" s="6"/>
      <c r="ADZ169" s="6"/>
      <c r="AEA169" s="6"/>
      <c r="AEB169" s="6"/>
      <c r="AEC169" s="6"/>
      <c r="AED169" s="6"/>
      <c r="AEE169" s="6"/>
      <c r="AEF169" s="6"/>
      <c r="AEG169" s="6"/>
      <c r="AEH169" s="6"/>
      <c r="AEI169" s="6"/>
      <c r="AEJ169" s="6"/>
      <c r="AEK169" s="6"/>
      <c r="AEL169" s="6"/>
      <c r="AEM169" s="6"/>
      <c r="AEN169" s="6"/>
      <c r="AEO169" s="6"/>
      <c r="AEP169" s="6"/>
      <c r="AEQ169" s="6"/>
      <c r="AER169" s="6"/>
      <c r="AES169" s="6"/>
      <c r="AET169" s="6"/>
      <c r="AEU169" s="6"/>
      <c r="AEV169" s="6"/>
      <c r="AEW169" s="6"/>
      <c r="AEX169" s="6"/>
      <c r="AEY169" s="6"/>
      <c r="AEZ169" s="6"/>
      <c r="AFA169" s="6"/>
      <c r="AFB169" s="6"/>
      <c r="AFC169" s="6"/>
      <c r="AFD169" s="6"/>
      <c r="AFE169" s="6"/>
      <c r="AFF169" s="6"/>
      <c r="AFG169" s="6"/>
      <c r="AFH169" s="6"/>
      <c r="AFI169" s="6"/>
      <c r="AFJ169" s="6"/>
      <c r="AFK169" s="6"/>
      <c r="AFL169" s="6"/>
      <c r="AFM169" s="6"/>
      <c r="AFN169" s="6"/>
      <c r="AFO169" s="6"/>
      <c r="AFP169" s="6"/>
      <c r="AFQ169" s="6"/>
      <c r="AFR169" s="6"/>
      <c r="AFS169" s="6"/>
      <c r="AFT169" s="6"/>
      <c r="AFU169" s="6"/>
      <c r="AFV169" s="6"/>
      <c r="AFW169" s="6"/>
      <c r="AFX169" s="6"/>
      <c r="AFY169" s="6"/>
      <c r="AFZ169" s="6"/>
      <c r="AGA169" s="6"/>
      <c r="AGB169" s="6"/>
      <c r="AGC169" s="6"/>
      <c r="AGD169" s="6"/>
      <c r="AGE169" s="6"/>
      <c r="AGF169" s="6"/>
      <c r="AGG169" s="6"/>
      <c r="AGH169" s="6"/>
      <c r="AGI169" s="6"/>
      <c r="AGJ169" s="6"/>
      <c r="AGK169" s="6"/>
      <c r="AGL169" s="6"/>
      <c r="AGM169" s="6"/>
      <c r="AGN169" s="6"/>
      <c r="AGO169" s="6"/>
      <c r="AGP169" s="6"/>
      <c r="AGQ169" s="6"/>
      <c r="AGR169" s="6"/>
      <c r="AGS169" s="6"/>
      <c r="AGT169" s="6"/>
      <c r="AGU169" s="6"/>
      <c r="AGV169" s="6"/>
      <c r="AGW169" s="6"/>
      <c r="AGX169" s="6"/>
      <c r="AGY169" s="6"/>
      <c r="AGZ169" s="6"/>
      <c r="AHA169" s="6"/>
      <c r="AHB169" s="6"/>
      <c r="AHC169" s="6"/>
      <c r="AHD169" s="6"/>
      <c r="AHE169" s="6"/>
      <c r="AHF169" s="6"/>
      <c r="AHG169" s="6"/>
      <c r="AHH169" s="6"/>
      <c r="AHI169" s="6"/>
      <c r="AHJ169" s="6"/>
      <c r="AHK169" s="6"/>
      <c r="AHL169" s="6"/>
      <c r="AHM169" s="6"/>
      <c r="AHN169" s="6"/>
      <c r="AHO169" s="6"/>
      <c r="AHP169" s="6"/>
      <c r="AHQ169" s="6"/>
      <c r="AHR169" s="6"/>
      <c r="AHS169" s="6"/>
      <c r="AHT169" s="6"/>
      <c r="AHU169" s="6"/>
      <c r="AHV169" s="6"/>
      <c r="AHW169" s="6"/>
      <c r="AHX169" s="6"/>
      <c r="AHY169" s="6"/>
      <c r="AHZ169" s="6"/>
      <c r="AIA169" s="6"/>
      <c r="AIB169" s="6"/>
      <c r="AIC169" s="6"/>
      <c r="AID169" s="6"/>
      <c r="AIE169" s="6"/>
      <c r="AIF169" s="6"/>
      <c r="AIG169" s="6"/>
      <c r="AIH169" s="6"/>
      <c r="AII169" s="6"/>
      <c r="AIJ169" s="6"/>
      <c r="AIK169" s="6"/>
      <c r="AIL169" s="6"/>
      <c r="AIM169" s="6"/>
      <c r="AIN169" s="6"/>
      <c r="AIO169" s="6"/>
      <c r="AIP169" s="6"/>
      <c r="AIQ169" s="6"/>
      <c r="AIR169" s="6"/>
      <c r="AIS169" s="6"/>
      <c r="AIT169" s="6"/>
      <c r="AIU169" s="6"/>
      <c r="AIV169" s="6"/>
      <c r="AIW169" s="6"/>
      <c r="AIX169" s="6"/>
      <c r="AIY169" s="6"/>
      <c r="AIZ169" s="6"/>
      <c r="AJA169" s="6"/>
      <c r="AJB169" s="6"/>
      <c r="AJC169" s="6"/>
      <c r="AJD169" s="6"/>
      <c r="AJE169" s="6"/>
      <c r="AJF169" s="6"/>
      <c r="AJG169" s="6"/>
      <c r="AJH169" s="6"/>
      <c r="AJI169" s="6"/>
      <c r="AJJ169" s="6"/>
      <c r="AJK169" s="6"/>
      <c r="AJL169" s="6"/>
      <c r="AJM169" s="6"/>
      <c r="AJN169" s="6"/>
      <c r="AJO169" s="6"/>
      <c r="AJP169" s="6"/>
      <c r="AJQ169" s="6"/>
      <c r="AJR169" s="6"/>
      <c r="AJS169" s="6"/>
      <c r="AJT169" s="6"/>
      <c r="AJU169" s="6"/>
      <c r="AJV169" s="6"/>
      <c r="AJW169" s="6"/>
      <c r="AJX169" s="6"/>
      <c r="AJY169" s="6"/>
      <c r="AJZ169" s="6"/>
      <c r="AKA169" s="6"/>
      <c r="AKB169" s="6"/>
      <c r="AKC169" s="6"/>
      <c r="AKD169" s="6"/>
      <c r="AKE169" s="6"/>
      <c r="AKF169" s="6"/>
      <c r="AKG169" s="6"/>
      <c r="AKH169" s="6"/>
      <c r="AKI169" s="6"/>
      <c r="AKJ169" s="6"/>
      <c r="AKK169" s="6"/>
      <c r="AKL169" s="6"/>
      <c r="AKM169" s="6"/>
      <c r="AKN169" s="6"/>
      <c r="AKO169" s="6"/>
      <c r="AKP169" s="6"/>
      <c r="AKQ169" s="6"/>
      <c r="AKR169" s="6"/>
      <c r="AKS169" s="6"/>
      <c r="AKT169" s="6"/>
      <c r="AKU169" s="6"/>
      <c r="AKV169" s="6"/>
      <c r="AKW169" s="6"/>
      <c r="AKX169" s="6"/>
      <c r="AKY169" s="6"/>
      <c r="AKZ169" s="6"/>
      <c r="ALA169" s="6"/>
      <c r="ALB169" s="6"/>
      <c r="ALC169" s="6"/>
      <c r="ALD169" s="6"/>
      <c r="ALE169" s="6"/>
      <c r="ALF169" s="6"/>
      <c r="ALG169" s="6"/>
      <c r="ALH169" s="6"/>
      <c r="ALI169" s="6"/>
      <c r="ALJ169" s="6"/>
      <c r="ALK169" s="6"/>
      <c r="ALL169" s="6"/>
      <c r="ALM169" s="6"/>
      <c r="ALN169" s="6"/>
      <c r="ALO169" s="6"/>
      <c r="ALP169" s="6"/>
      <c r="ALQ169" s="6"/>
      <c r="ALR169" s="6"/>
      <c r="ALS169" s="6"/>
      <c r="ALT169" s="6"/>
      <c r="ALU169" s="6"/>
      <c r="ALV169" s="6"/>
      <c r="ALW169" s="6"/>
      <c r="ALX169" s="6"/>
      <c r="ALY169" s="6"/>
      <c r="ALZ169" s="6"/>
      <c r="AMA169" s="6"/>
      <c r="AMB169" s="6"/>
      <c r="AMC169" s="6"/>
      <c r="AMD169" s="6"/>
      <c r="AME169" s="6"/>
      <c r="AMF169" s="6"/>
      <c r="AMG169" s="6"/>
      <c r="AMH169" s="6"/>
      <c r="AMI169" s="6"/>
      <c r="AMJ169" s="6"/>
      <c r="AMK169" s="6"/>
      <c r="AML169" s="6"/>
      <c r="AMM169" s="6"/>
      <c r="AMN169" s="6"/>
      <c r="AMO169" s="6"/>
      <c r="AMP169" s="6"/>
    </row>
    <row r="170" spans="1:1030" x14ac:dyDescent="0.2">
      <c r="A170" s="3" t="str">
        <f>CONCATENATE(B170,"_",C170)</f>
        <v>ccr2_human_5T1A</v>
      </c>
      <c r="B170" s="3" t="s">
        <v>170</v>
      </c>
      <c r="C170" s="3" t="s">
        <v>1372</v>
      </c>
      <c r="D170" s="3" t="str">
        <f>IFERROR(MID(VLOOKUP($B170,Seqs!$A:$B,2,0),E170,1),"")</f>
        <v>V</v>
      </c>
      <c r="E170" s="3">
        <v>37</v>
      </c>
      <c r="F170" s="3" t="str">
        <f>IFERROR(MID(VLOOKUP($B170,Seqs!$A:$B,2,0),G170,1),"")</f>
        <v>C</v>
      </c>
      <c r="G170" s="3">
        <v>70</v>
      </c>
      <c r="H170" s="3" t="str">
        <f>IFERROR(MID(VLOOKUP($B170,Seqs!$A:$B,2,0),I170,1),"")</f>
        <v/>
      </c>
      <c r="I170" s="23" t="s">
        <v>23</v>
      </c>
      <c r="J170" s="3" t="str">
        <f>IFERROR(MID(VLOOKUP($B170,Seqs!$A:$B,2,0),K170,1),"")</f>
        <v/>
      </c>
      <c r="K170" s="23" t="s">
        <v>23</v>
      </c>
      <c r="L170" s="3" t="str">
        <f>IFERROR(MID(VLOOKUP($B170,Seqs!$A:$B,2,0),M170,1),"")</f>
        <v>C</v>
      </c>
      <c r="M170" s="3">
        <v>75</v>
      </c>
      <c r="N170" s="3" t="str">
        <f>IFERROR(MID(VLOOKUP($B170,Seqs!$A:$B,2,0),O170,1),"")</f>
        <v>N</v>
      </c>
      <c r="O170" s="3">
        <v>104</v>
      </c>
      <c r="P170" s="3" t="str">
        <f>IFERROR(MID(VLOOKUP($B170,Seqs!$A:$B,2,0),Q170,1),"")</f>
        <v>E</v>
      </c>
      <c r="Q170" s="3">
        <v>105</v>
      </c>
      <c r="R170" s="3" t="str">
        <f>IFERROR(MID(VLOOKUP($B170,Seqs!$A:$B,2,0),S170,1),"")</f>
        <v>F</v>
      </c>
      <c r="S170" s="3">
        <v>108</v>
      </c>
      <c r="T170" s="3" t="str">
        <f>IFERROR(MID(VLOOKUP($B170,Seqs!$A:$B,2,0),U170,1),"")</f>
        <v>G</v>
      </c>
      <c r="U170" s="3">
        <v>109</v>
      </c>
      <c r="V170" s="3" t="str">
        <f>IFERROR(MID(VLOOKUP($B170,Seqs!$A:$B,2,0),W170,1),"")</f>
        <v>H</v>
      </c>
      <c r="W170" s="3">
        <v>144</v>
      </c>
      <c r="X170" s="3" t="str">
        <f>IFERROR(MID(VLOOKUP($B170,Seqs!$A:$B,2,0),Y170,1),"")</f>
        <v>A</v>
      </c>
      <c r="Y170" s="3">
        <v>145</v>
      </c>
      <c r="Z170" s="3" t="str">
        <f>IFERROR(MID(VLOOKUP($B170,Seqs!$A:$B,2,0),AA170,1),"")</f>
        <v>R</v>
      </c>
      <c r="AA170" s="3">
        <v>152</v>
      </c>
      <c r="AB170" s="3" t="str">
        <f>IFERROR(MID(VLOOKUP($B170,Seqs!$A:$B,2,0),AC170,1),"")</f>
        <v>T</v>
      </c>
      <c r="AC170" s="9">
        <v>153</v>
      </c>
      <c r="AD170" s="3" t="str">
        <f>IFERROR(MID(VLOOKUP($B170,Seqs!$A:$B,2,0),AE170,1),"")</f>
        <v>T</v>
      </c>
      <c r="AE170" s="3">
        <v>179</v>
      </c>
      <c r="AF170" s="3" t="str">
        <f>IFERROR(MID(VLOOKUP($B170,Seqs!$A:$B,2,0),AG170,1),"")</f>
        <v>C</v>
      </c>
      <c r="AG170" s="3">
        <v>190</v>
      </c>
      <c r="AH170" s="3" t="str">
        <f>IFERROR(MID(VLOOKUP($B170,Seqs!$A:$B,2,0),AI170,1),"")</f>
        <v>P</v>
      </c>
      <c r="AI170" s="3">
        <v>192</v>
      </c>
      <c r="AJ170" s="3" t="str">
        <f>IFERROR(MID(VLOOKUP($B170,Seqs!$A:$B,2,0),AK170,1),"")</f>
        <v>P</v>
      </c>
      <c r="AK170" s="3">
        <v>195</v>
      </c>
      <c r="AL170" s="3" t="str">
        <f>IFERROR(MID(VLOOKUP($B170,Seqs!$A:$B,2,0),AM170,1),"")</f>
        <v>T</v>
      </c>
      <c r="AM170" s="3">
        <v>228</v>
      </c>
      <c r="AN170" s="3" t="str">
        <f>IFERROR(MID(VLOOKUP($B170,Seqs!$A:$B,2,0),AO170,1),"")</f>
        <v>K</v>
      </c>
      <c r="AO170" s="3">
        <v>236</v>
      </c>
      <c r="AP170" s="3" t="str">
        <f>IFERROR(MID(VLOOKUP($B170,Seqs!$A:$B,2,0),AQ170,1),"")</f>
        <v>G</v>
      </c>
      <c r="AQ170" s="3">
        <v>273</v>
      </c>
      <c r="AR170" s="3" t="str">
        <f>IFERROR(MID(VLOOKUP($B170,Seqs!$A:$B,2,0),AS170,1),"")</f>
        <v>E</v>
      </c>
      <c r="AS170" s="3">
        <v>278</v>
      </c>
      <c r="AT170" s="3" t="str">
        <f>IFERROR(MID(VLOOKUP($B170,Seqs!$A:$B,2,0),AU170,1),"")</f>
        <v>V</v>
      </c>
      <c r="AU170" s="3">
        <v>308</v>
      </c>
      <c r="AV170" s="3" t="str">
        <f>IFERROR(MID(VLOOKUP($B170,Seqs!$A:$B,2,0),AW170,1),"")</f>
        <v>G</v>
      </c>
      <c r="AW170" s="3">
        <v>309</v>
      </c>
      <c r="AX170" s="3" t="str">
        <f>IFERROR(MID(VLOOKUP($B170,Seqs!$A:$B,2,0),AY170,1),"")</f>
        <v>L</v>
      </c>
      <c r="AY170" s="3">
        <v>320</v>
      </c>
      <c r="AZ170" s="77" t="str">
        <f>VLOOKUP(B170,Classification!A:D,2,0)</f>
        <v>A</v>
      </c>
      <c r="BA170" s="94" t="str">
        <f>VLOOKUP(B170,Classification!A:D,4,0)</f>
        <v>Chemokine</v>
      </c>
      <c r="BB170" s="27" t="b">
        <f t="shared" si="1007"/>
        <v>1</v>
      </c>
      <c r="BC170" s="23">
        <f t="shared" si="785"/>
        <v>258</v>
      </c>
      <c r="BD170" s="16" t="s">
        <v>1370</v>
      </c>
      <c r="BE170" s="3" t="s">
        <v>1368</v>
      </c>
      <c r="BF170" s="118">
        <v>2.81</v>
      </c>
      <c r="BG170" s="49" t="s">
        <v>1</v>
      </c>
      <c r="BH170" s="49" t="s">
        <v>1371</v>
      </c>
      <c r="BI170" s="1"/>
      <c r="BJ170" s="70" t="s">
        <v>1281</v>
      </c>
      <c r="BK170" s="57" t="s">
        <v>1281</v>
      </c>
      <c r="BL170" s="57" t="s">
        <v>1281</v>
      </c>
      <c r="BM170" s="57" t="s">
        <v>1281</v>
      </c>
      <c r="BN170" s="57" t="s">
        <v>1281</v>
      </c>
      <c r="BO170" s="57" t="s">
        <v>1281</v>
      </c>
      <c r="BP170" s="57" t="s">
        <v>1281</v>
      </c>
      <c r="BQ170" s="57" t="s">
        <v>1281</v>
      </c>
      <c r="BR170" s="57" t="s">
        <v>1281</v>
      </c>
      <c r="BS170" s="57" t="s">
        <v>1281</v>
      </c>
      <c r="BT170" s="57" t="s">
        <v>1281</v>
      </c>
      <c r="BU170" s="57" t="s">
        <v>1281</v>
      </c>
      <c r="BV170" s="70">
        <f>E170</f>
        <v>37</v>
      </c>
      <c r="BW170" s="71" t="str">
        <f>I170</f>
        <v>-</v>
      </c>
      <c r="BX170" s="72">
        <f>M170</f>
        <v>75</v>
      </c>
      <c r="BY170" s="71">
        <f>Q170</f>
        <v>105</v>
      </c>
      <c r="BZ170" s="72">
        <f>U170</f>
        <v>109</v>
      </c>
      <c r="CA170" s="71">
        <f>Y170</f>
        <v>145</v>
      </c>
      <c r="CB170" s="72">
        <f>AC170</f>
        <v>153</v>
      </c>
      <c r="CC170" s="71">
        <f>AG170</f>
        <v>190</v>
      </c>
      <c r="CD170" s="72">
        <f>AK170</f>
        <v>195</v>
      </c>
      <c r="CE170" s="71">
        <f>AO170</f>
        <v>236</v>
      </c>
      <c r="CF170" s="72">
        <f>AS170</f>
        <v>278</v>
      </c>
      <c r="CG170" s="71">
        <f>AW170</f>
        <v>309</v>
      </c>
      <c r="CH170" s="70">
        <f>G170</f>
        <v>70</v>
      </c>
      <c r="CI170" s="71" t="str">
        <f>K170</f>
        <v>-</v>
      </c>
      <c r="CJ170" s="72">
        <f>O170</f>
        <v>104</v>
      </c>
      <c r="CK170" s="72">
        <f>S170</f>
        <v>108</v>
      </c>
      <c r="CL170" s="72">
        <f>W170</f>
        <v>144</v>
      </c>
      <c r="CM170" s="72">
        <f>AA170</f>
        <v>152</v>
      </c>
      <c r="CN170" s="72">
        <f>AE170</f>
        <v>179</v>
      </c>
      <c r="CO170" s="72">
        <f>AI170</f>
        <v>192</v>
      </c>
      <c r="CP170" s="72">
        <f>AM170</f>
        <v>228</v>
      </c>
      <c r="CQ170" s="72">
        <f>AQ170</f>
        <v>273</v>
      </c>
      <c r="CR170" s="72">
        <f>AU170</f>
        <v>308</v>
      </c>
      <c r="CS170" s="72">
        <f>AY170</f>
        <v>320</v>
      </c>
      <c r="CT170" s="23" t="e">
        <f>M170-K170</f>
        <v>#VALUE!</v>
      </c>
      <c r="CU170" s="6"/>
      <c r="CV170" s="6"/>
      <c r="CW170" s="6"/>
      <c r="CX170" s="6"/>
      <c r="CY170" s="6"/>
      <c r="CZ170" s="6"/>
      <c r="DA170" s="6"/>
      <c r="DB170" s="6"/>
      <c r="DC170" s="6"/>
      <c r="DD170" s="6"/>
      <c r="DE170" s="6"/>
      <c r="DF170" s="6"/>
      <c r="DG170" s="6"/>
      <c r="DH170" s="6"/>
      <c r="DI170" s="6"/>
      <c r="DJ170" s="6"/>
      <c r="DK170" s="6"/>
      <c r="DL170" s="6"/>
      <c r="DM170" s="6"/>
      <c r="DN170" s="6"/>
      <c r="DO170" s="6"/>
      <c r="DP170" s="6"/>
      <c r="DQ170" s="6"/>
      <c r="DR170" s="6"/>
      <c r="DS170" s="6"/>
      <c r="DT170" s="6"/>
      <c r="DU170" s="6"/>
      <c r="DV170" s="6"/>
      <c r="DW170" s="6"/>
      <c r="DX170" s="6"/>
      <c r="DY170" s="6"/>
      <c r="DZ170" s="6"/>
      <c r="EA170" s="6"/>
      <c r="EB170" s="6"/>
      <c r="EC170" s="6"/>
      <c r="ED170" s="6"/>
      <c r="EE170" s="6"/>
      <c r="EF170" s="6"/>
      <c r="EG170" s="6"/>
      <c r="EH170" s="6"/>
      <c r="EI170" s="6"/>
      <c r="EJ170" s="6"/>
      <c r="EK170" s="6"/>
      <c r="EL170" s="6"/>
      <c r="EM170" s="6"/>
      <c r="EN170" s="6"/>
      <c r="EO170" s="6"/>
      <c r="EP170" s="6"/>
      <c r="EQ170" s="6"/>
      <c r="ER170" s="6"/>
      <c r="ES170" s="6"/>
      <c r="ET170" s="6"/>
      <c r="EU170" s="6"/>
      <c r="EV170" s="6"/>
      <c r="EW170" s="6"/>
      <c r="EX170" s="6"/>
      <c r="EY170" s="6"/>
      <c r="EZ170" s="6"/>
      <c r="FA170" s="6"/>
      <c r="FB170" s="6"/>
      <c r="FC170" s="6"/>
      <c r="FD170" s="6"/>
      <c r="FE170" s="6"/>
      <c r="FF170" s="6"/>
      <c r="FG170" s="6"/>
      <c r="FH170" s="6"/>
      <c r="FI170" s="6"/>
      <c r="FJ170" s="6"/>
      <c r="FK170" s="6"/>
      <c r="FL170" s="6"/>
      <c r="FM170" s="6"/>
      <c r="FN170" s="6"/>
      <c r="FO170" s="6"/>
      <c r="FP170" s="6"/>
      <c r="FQ170" s="6"/>
      <c r="FR170" s="6"/>
      <c r="FS170" s="6"/>
      <c r="FT170" s="6"/>
      <c r="FU170" s="6"/>
      <c r="FV170" s="6"/>
      <c r="FW170" s="6"/>
      <c r="FX170" s="6"/>
      <c r="FY170" s="6"/>
      <c r="FZ170" s="6"/>
      <c r="GA170" s="6"/>
      <c r="GB170" s="6"/>
      <c r="GC170" s="6"/>
      <c r="GD170" s="6"/>
      <c r="GE170" s="6"/>
      <c r="GF170" s="6"/>
      <c r="GG170" s="6"/>
      <c r="GH170" s="6"/>
      <c r="GI170" s="6"/>
      <c r="GJ170" s="6"/>
      <c r="GK170" s="6"/>
      <c r="GL170" s="6"/>
      <c r="GM170" s="6"/>
      <c r="GN170" s="6"/>
      <c r="GO170" s="6"/>
      <c r="GP170" s="6"/>
      <c r="GQ170" s="6"/>
      <c r="GR170" s="6"/>
      <c r="GS170" s="6"/>
      <c r="GT170" s="6"/>
      <c r="GU170" s="6"/>
      <c r="GV170" s="6"/>
      <c r="GW170" s="6"/>
      <c r="GX170" s="6"/>
      <c r="GY170" s="6"/>
      <c r="GZ170" s="6"/>
      <c r="HA170" s="6"/>
      <c r="HB170" s="6"/>
      <c r="HC170" s="6"/>
      <c r="HD170" s="6"/>
      <c r="HE170" s="6"/>
      <c r="HF170" s="6"/>
      <c r="HG170" s="6"/>
      <c r="HH170" s="6"/>
      <c r="HI170" s="6"/>
      <c r="HJ170" s="6"/>
      <c r="HK170" s="6"/>
      <c r="HL170" s="6"/>
      <c r="HM170" s="6"/>
      <c r="HN170" s="6"/>
      <c r="HO170" s="6"/>
      <c r="HP170" s="6"/>
      <c r="HQ170" s="6"/>
      <c r="HR170" s="6"/>
      <c r="HS170" s="6"/>
      <c r="HT170" s="6"/>
      <c r="HU170" s="6"/>
      <c r="HV170" s="6"/>
      <c r="HW170" s="6"/>
      <c r="HX170" s="6"/>
      <c r="HY170" s="6"/>
      <c r="HZ170" s="6"/>
      <c r="IA170" s="6"/>
      <c r="IB170" s="6"/>
      <c r="IC170" s="6"/>
      <c r="ID170" s="6"/>
      <c r="IE170" s="6"/>
      <c r="IF170" s="6"/>
      <c r="IG170" s="6"/>
      <c r="IH170" s="6"/>
      <c r="II170" s="6"/>
      <c r="IJ170" s="6"/>
      <c r="IK170" s="6"/>
      <c r="IL170" s="6"/>
      <c r="IM170" s="6"/>
      <c r="IN170" s="6"/>
      <c r="IO170" s="6"/>
      <c r="IP170" s="6"/>
      <c r="IQ170" s="6"/>
      <c r="IR170" s="6"/>
      <c r="IS170" s="6"/>
      <c r="IT170" s="6"/>
      <c r="IU170" s="6"/>
      <c r="IV170" s="6"/>
      <c r="IW170" s="6"/>
      <c r="IX170" s="6"/>
      <c r="IY170" s="6"/>
      <c r="IZ170" s="6"/>
      <c r="JA170" s="6"/>
      <c r="JB170" s="6"/>
      <c r="JC170" s="6"/>
      <c r="JD170" s="6"/>
      <c r="JE170" s="6"/>
      <c r="JF170" s="6"/>
      <c r="JG170" s="6"/>
      <c r="JH170" s="6"/>
      <c r="JI170" s="6"/>
      <c r="JJ170" s="6"/>
      <c r="JK170" s="6"/>
      <c r="JL170" s="6"/>
      <c r="JM170" s="6"/>
      <c r="JN170" s="6"/>
      <c r="JO170" s="6"/>
      <c r="JP170" s="6"/>
      <c r="JQ170" s="6"/>
      <c r="JR170" s="6"/>
      <c r="JS170" s="6"/>
      <c r="JT170" s="6"/>
      <c r="JU170" s="6"/>
      <c r="JV170" s="6"/>
      <c r="JW170" s="6"/>
      <c r="JX170" s="6"/>
      <c r="JY170" s="6"/>
      <c r="JZ170" s="6"/>
      <c r="KA170" s="6"/>
      <c r="KB170" s="6"/>
      <c r="KC170" s="6"/>
      <c r="KD170" s="6"/>
      <c r="KE170" s="6"/>
      <c r="KF170" s="6"/>
      <c r="KG170" s="6"/>
      <c r="KH170" s="6"/>
      <c r="KI170" s="6"/>
      <c r="KJ170" s="6"/>
      <c r="KK170" s="6"/>
      <c r="KL170" s="6"/>
      <c r="KM170" s="6"/>
      <c r="KN170" s="6"/>
      <c r="KO170" s="6"/>
      <c r="KP170" s="6"/>
      <c r="KQ170" s="6"/>
      <c r="KR170" s="6"/>
      <c r="KS170" s="6"/>
      <c r="KT170" s="6"/>
      <c r="KU170" s="6"/>
      <c r="KV170" s="6"/>
      <c r="KW170" s="6"/>
      <c r="KX170" s="6"/>
      <c r="KY170" s="6"/>
      <c r="KZ170" s="6"/>
      <c r="LA170" s="6"/>
      <c r="LB170" s="6"/>
      <c r="LC170" s="6"/>
      <c r="LD170" s="6"/>
      <c r="LE170" s="6"/>
      <c r="LF170" s="6"/>
      <c r="LG170" s="6"/>
      <c r="LH170" s="6"/>
      <c r="LI170" s="6"/>
      <c r="LJ170" s="6"/>
      <c r="LK170" s="6"/>
      <c r="LL170" s="6"/>
      <c r="LM170" s="6"/>
      <c r="LN170" s="6"/>
      <c r="LO170" s="6"/>
      <c r="LP170" s="6"/>
      <c r="LQ170" s="6"/>
      <c r="LR170" s="6"/>
      <c r="LS170" s="6"/>
      <c r="LT170" s="6"/>
      <c r="LU170" s="6"/>
      <c r="LV170" s="6"/>
      <c r="LW170" s="6"/>
      <c r="LX170" s="6"/>
      <c r="LY170" s="6"/>
      <c r="LZ170" s="6"/>
      <c r="MA170" s="6"/>
      <c r="MB170" s="6"/>
      <c r="MC170" s="6"/>
      <c r="MD170" s="6"/>
      <c r="ME170" s="6"/>
      <c r="MF170" s="6"/>
      <c r="MG170" s="6"/>
      <c r="MH170" s="6"/>
      <c r="MI170" s="6"/>
      <c r="MJ170" s="6"/>
      <c r="MK170" s="6"/>
      <c r="ML170" s="6"/>
      <c r="MM170" s="6"/>
      <c r="MN170" s="6"/>
      <c r="MO170" s="6"/>
      <c r="MP170" s="6"/>
      <c r="MQ170" s="6"/>
      <c r="MR170" s="6"/>
      <c r="MS170" s="6"/>
      <c r="MT170" s="6"/>
      <c r="MU170" s="6"/>
      <c r="MV170" s="6"/>
      <c r="MW170" s="6"/>
      <c r="MX170" s="6"/>
      <c r="MY170" s="6"/>
      <c r="MZ170" s="6"/>
      <c r="NA170" s="6"/>
      <c r="NB170" s="6"/>
      <c r="NC170" s="6"/>
      <c r="ND170" s="6"/>
      <c r="NE170" s="6"/>
      <c r="NF170" s="6"/>
      <c r="NG170" s="6"/>
      <c r="NH170" s="6"/>
      <c r="NI170" s="6"/>
      <c r="NJ170" s="6"/>
      <c r="NK170" s="6"/>
      <c r="NL170" s="6"/>
      <c r="NM170" s="6"/>
      <c r="NN170" s="6"/>
      <c r="NO170" s="6"/>
      <c r="NP170" s="6"/>
      <c r="NQ170" s="6"/>
      <c r="NR170" s="6"/>
      <c r="NS170" s="6"/>
      <c r="NT170" s="6"/>
      <c r="NU170" s="6"/>
      <c r="NV170" s="6"/>
      <c r="NW170" s="6"/>
      <c r="NX170" s="6"/>
      <c r="NY170" s="6"/>
      <c r="NZ170" s="6"/>
      <c r="OA170" s="6"/>
      <c r="OB170" s="6"/>
      <c r="OC170" s="6"/>
      <c r="OD170" s="6"/>
      <c r="OE170" s="6"/>
      <c r="OF170" s="6"/>
      <c r="OG170" s="6"/>
      <c r="OH170" s="6"/>
      <c r="OI170" s="6"/>
      <c r="OJ170" s="6"/>
      <c r="OK170" s="6"/>
      <c r="OL170" s="6"/>
      <c r="OM170" s="6"/>
      <c r="ON170" s="6"/>
      <c r="OO170" s="6"/>
      <c r="OP170" s="6"/>
      <c r="OQ170" s="6"/>
      <c r="OR170" s="6"/>
      <c r="OS170" s="6"/>
      <c r="OT170" s="6"/>
      <c r="OU170" s="6"/>
      <c r="OV170" s="6"/>
      <c r="OW170" s="6"/>
      <c r="OX170" s="6"/>
      <c r="OY170" s="6"/>
      <c r="OZ170" s="6"/>
      <c r="PA170" s="6"/>
      <c r="PB170" s="6"/>
      <c r="PC170" s="6"/>
      <c r="PD170" s="6"/>
      <c r="PE170" s="6"/>
      <c r="PF170" s="6"/>
      <c r="PG170" s="6"/>
      <c r="PH170" s="6"/>
      <c r="PI170" s="6"/>
      <c r="PJ170" s="6"/>
      <c r="PK170" s="6"/>
      <c r="PL170" s="6"/>
      <c r="PM170" s="6"/>
      <c r="PN170" s="6"/>
      <c r="PO170" s="6"/>
      <c r="PP170" s="6"/>
      <c r="PQ170" s="6"/>
      <c r="PR170" s="6"/>
      <c r="PS170" s="6"/>
      <c r="PT170" s="6"/>
      <c r="PU170" s="6"/>
      <c r="PV170" s="6"/>
      <c r="PW170" s="6"/>
      <c r="PX170" s="6"/>
      <c r="PY170" s="6"/>
      <c r="PZ170" s="6"/>
      <c r="QA170" s="6"/>
      <c r="QB170" s="6"/>
      <c r="QC170" s="6"/>
      <c r="QD170" s="6"/>
      <c r="QE170" s="6"/>
      <c r="QF170" s="6"/>
      <c r="QG170" s="6"/>
      <c r="QH170" s="6"/>
      <c r="QI170" s="6"/>
      <c r="QJ170" s="6"/>
      <c r="QK170" s="6"/>
      <c r="QL170" s="6"/>
      <c r="QM170" s="6"/>
      <c r="QN170" s="6"/>
      <c r="QO170" s="6"/>
      <c r="QP170" s="6"/>
      <c r="QQ170" s="6"/>
      <c r="QR170" s="6"/>
      <c r="QS170" s="6"/>
      <c r="QT170" s="6"/>
      <c r="QU170" s="6"/>
      <c r="QV170" s="6"/>
      <c r="QW170" s="6"/>
      <c r="QX170" s="6"/>
      <c r="QY170" s="6"/>
      <c r="QZ170" s="6"/>
      <c r="RA170" s="6"/>
      <c r="RB170" s="6"/>
      <c r="RC170" s="6"/>
      <c r="RD170" s="6"/>
      <c r="RE170" s="6"/>
      <c r="RF170" s="6"/>
      <c r="RG170" s="6"/>
      <c r="RH170" s="6"/>
      <c r="RI170" s="6"/>
      <c r="RJ170" s="6"/>
      <c r="RK170" s="6"/>
      <c r="RL170" s="6"/>
      <c r="RM170" s="6"/>
      <c r="RN170" s="6"/>
      <c r="RO170" s="6"/>
      <c r="RP170" s="6"/>
      <c r="RQ170" s="6"/>
      <c r="RR170" s="6"/>
      <c r="RS170" s="6"/>
      <c r="RT170" s="6"/>
      <c r="RU170" s="6"/>
      <c r="RV170" s="6"/>
      <c r="RW170" s="6"/>
      <c r="RX170" s="6"/>
      <c r="RY170" s="6"/>
      <c r="RZ170" s="6"/>
      <c r="SA170" s="6"/>
      <c r="SB170" s="6"/>
      <c r="SC170" s="6"/>
      <c r="SD170" s="6"/>
      <c r="SE170" s="6"/>
      <c r="SF170" s="6"/>
      <c r="SG170" s="6"/>
      <c r="SH170" s="6"/>
      <c r="SI170" s="6"/>
      <c r="SJ170" s="6"/>
      <c r="SK170" s="6"/>
      <c r="SL170" s="6"/>
      <c r="SM170" s="6"/>
      <c r="SN170" s="6"/>
      <c r="SO170" s="6"/>
      <c r="SP170" s="6"/>
      <c r="SQ170" s="6"/>
      <c r="SR170" s="6"/>
      <c r="SS170" s="6"/>
      <c r="ST170" s="6"/>
      <c r="SU170" s="6"/>
      <c r="SV170" s="6"/>
      <c r="SW170" s="6"/>
      <c r="SX170" s="6"/>
      <c r="SY170" s="6"/>
      <c r="SZ170" s="6"/>
      <c r="TA170" s="6"/>
      <c r="TB170" s="6"/>
      <c r="TC170" s="6"/>
      <c r="TD170" s="6"/>
      <c r="TE170" s="6"/>
      <c r="TF170" s="6"/>
      <c r="TG170" s="6"/>
      <c r="TH170" s="6"/>
      <c r="TI170" s="6"/>
      <c r="TJ170" s="6"/>
      <c r="TK170" s="6"/>
      <c r="TL170" s="6"/>
      <c r="TM170" s="6"/>
      <c r="TN170" s="6"/>
      <c r="TO170" s="6"/>
      <c r="TP170" s="6"/>
      <c r="TQ170" s="6"/>
      <c r="TR170" s="6"/>
      <c r="TS170" s="6"/>
      <c r="TT170" s="6"/>
      <c r="TU170" s="6"/>
      <c r="TV170" s="6"/>
      <c r="TW170" s="6"/>
      <c r="TX170" s="6"/>
      <c r="TY170" s="6"/>
      <c r="TZ170" s="6"/>
      <c r="UA170" s="6"/>
      <c r="UB170" s="6"/>
      <c r="UC170" s="6"/>
      <c r="UD170" s="6"/>
      <c r="UE170" s="6"/>
      <c r="UF170" s="6"/>
      <c r="UG170" s="6"/>
      <c r="UH170" s="6"/>
      <c r="UI170" s="6"/>
      <c r="UJ170" s="6"/>
      <c r="UK170" s="6"/>
      <c r="UL170" s="6"/>
      <c r="UM170" s="6"/>
      <c r="UN170" s="6"/>
      <c r="UO170" s="6"/>
      <c r="UP170" s="6"/>
      <c r="UQ170" s="6"/>
      <c r="UR170" s="6"/>
      <c r="US170" s="6"/>
      <c r="UT170" s="6"/>
      <c r="UU170" s="6"/>
      <c r="UV170" s="6"/>
      <c r="UW170" s="6"/>
      <c r="UX170" s="6"/>
      <c r="UY170" s="6"/>
      <c r="UZ170" s="6"/>
      <c r="VA170" s="6"/>
      <c r="VB170" s="6"/>
      <c r="VC170" s="6"/>
      <c r="VD170" s="6"/>
      <c r="VE170" s="6"/>
      <c r="VF170" s="6"/>
      <c r="VG170" s="6"/>
      <c r="VH170" s="6"/>
      <c r="VI170" s="6"/>
      <c r="VJ170" s="6"/>
      <c r="VK170" s="6"/>
      <c r="VL170" s="6"/>
      <c r="VM170" s="6"/>
      <c r="VN170" s="6"/>
      <c r="VO170" s="6"/>
      <c r="VP170" s="6"/>
      <c r="VQ170" s="6"/>
      <c r="VR170" s="6"/>
      <c r="VS170" s="6"/>
      <c r="VT170" s="6"/>
      <c r="VU170" s="6"/>
      <c r="VV170" s="6"/>
      <c r="VW170" s="6"/>
      <c r="VX170" s="6"/>
      <c r="VY170" s="6"/>
      <c r="VZ170" s="6"/>
      <c r="WA170" s="6"/>
      <c r="WB170" s="6"/>
      <c r="WC170" s="6"/>
      <c r="WD170" s="6"/>
      <c r="WE170" s="6"/>
      <c r="WF170" s="6"/>
      <c r="WG170" s="6"/>
      <c r="WH170" s="6"/>
      <c r="WI170" s="6"/>
      <c r="WJ170" s="6"/>
      <c r="WK170" s="6"/>
      <c r="WL170" s="6"/>
      <c r="WM170" s="6"/>
      <c r="WN170" s="6"/>
      <c r="WO170" s="6"/>
      <c r="WP170" s="6"/>
      <c r="WQ170" s="6"/>
      <c r="WR170" s="6"/>
      <c r="WS170" s="6"/>
      <c r="WT170" s="6"/>
      <c r="WU170" s="6"/>
      <c r="WV170" s="6"/>
      <c r="WW170" s="6"/>
      <c r="WX170" s="6"/>
      <c r="WY170" s="6"/>
      <c r="WZ170" s="6"/>
      <c r="XA170" s="6"/>
      <c r="XB170" s="6"/>
      <c r="XC170" s="6"/>
      <c r="XD170" s="6"/>
      <c r="XE170" s="6"/>
      <c r="XF170" s="6"/>
      <c r="XG170" s="6"/>
      <c r="XH170" s="6"/>
      <c r="XI170" s="6"/>
      <c r="XJ170" s="6"/>
      <c r="XK170" s="6"/>
      <c r="XL170" s="6"/>
      <c r="XM170" s="6"/>
      <c r="XN170" s="6"/>
      <c r="XO170" s="6"/>
      <c r="XP170" s="6"/>
      <c r="XQ170" s="6"/>
      <c r="XR170" s="6"/>
      <c r="XS170" s="6"/>
      <c r="XT170" s="6"/>
      <c r="XU170" s="6"/>
      <c r="XV170" s="6"/>
      <c r="XW170" s="6"/>
      <c r="XX170" s="6"/>
      <c r="XY170" s="6"/>
      <c r="XZ170" s="6"/>
      <c r="YA170" s="6"/>
      <c r="YB170" s="6"/>
      <c r="YC170" s="6"/>
      <c r="YD170" s="6"/>
      <c r="YE170" s="6"/>
      <c r="YF170" s="6"/>
      <c r="YG170" s="6"/>
      <c r="YH170" s="6"/>
      <c r="YI170" s="6"/>
      <c r="YJ170" s="6"/>
      <c r="YK170" s="6"/>
      <c r="YL170" s="6"/>
      <c r="YM170" s="6"/>
      <c r="YN170" s="6"/>
      <c r="YO170" s="6"/>
      <c r="YP170" s="6"/>
      <c r="YQ170" s="6"/>
      <c r="YR170" s="6"/>
      <c r="YS170" s="6"/>
      <c r="YT170" s="6"/>
      <c r="YU170" s="6"/>
      <c r="YV170" s="6"/>
      <c r="YW170" s="6"/>
      <c r="YX170" s="6"/>
      <c r="YY170" s="6"/>
      <c r="YZ170" s="6"/>
      <c r="ZA170" s="6"/>
      <c r="ZB170" s="6"/>
      <c r="ZC170" s="6"/>
      <c r="ZD170" s="6"/>
      <c r="ZE170" s="6"/>
      <c r="ZF170" s="6"/>
      <c r="ZG170" s="6"/>
      <c r="ZH170" s="6"/>
      <c r="ZI170" s="6"/>
      <c r="ZJ170" s="6"/>
      <c r="ZK170" s="6"/>
      <c r="ZL170" s="6"/>
      <c r="ZM170" s="6"/>
      <c r="ZN170" s="6"/>
      <c r="ZO170" s="6"/>
      <c r="ZP170" s="6"/>
      <c r="ZQ170" s="6"/>
      <c r="ZR170" s="6"/>
      <c r="ZS170" s="6"/>
      <c r="ZT170" s="6"/>
      <c r="ZU170" s="6"/>
      <c r="ZV170" s="6"/>
      <c r="ZW170" s="6"/>
      <c r="ZX170" s="6"/>
      <c r="ZY170" s="6"/>
      <c r="ZZ170" s="6"/>
      <c r="AAA170" s="6"/>
      <c r="AAB170" s="6"/>
      <c r="AAC170" s="6"/>
      <c r="AAD170" s="6"/>
      <c r="AAE170" s="6"/>
      <c r="AAF170" s="6"/>
      <c r="AAG170" s="6"/>
      <c r="AAH170" s="6"/>
      <c r="AAI170" s="6"/>
      <c r="AAJ170" s="6"/>
      <c r="AAK170" s="6"/>
      <c r="AAL170" s="6"/>
      <c r="AAM170" s="6"/>
      <c r="AAN170" s="6"/>
      <c r="AAO170" s="6"/>
      <c r="AAP170" s="6"/>
      <c r="AAQ170" s="6"/>
      <c r="AAR170" s="6"/>
      <c r="AAS170" s="6"/>
      <c r="AAT170" s="6"/>
      <c r="AAU170" s="6"/>
      <c r="AAV170" s="6"/>
      <c r="AAW170" s="6"/>
      <c r="AAX170" s="6"/>
      <c r="AAY170" s="6"/>
      <c r="AAZ170" s="6"/>
      <c r="ABA170" s="6"/>
      <c r="ABB170" s="6"/>
      <c r="ABC170" s="6"/>
      <c r="ABD170" s="6"/>
      <c r="ABE170" s="6"/>
      <c r="ABF170" s="6"/>
      <c r="ABG170" s="6"/>
      <c r="ABH170" s="6"/>
      <c r="ABI170" s="6"/>
      <c r="ABJ170" s="6"/>
      <c r="ABK170" s="6"/>
      <c r="ABL170" s="6"/>
      <c r="ABM170" s="6"/>
      <c r="ABN170" s="6"/>
      <c r="ABO170" s="6"/>
      <c r="ABP170" s="6"/>
      <c r="ABQ170" s="6"/>
      <c r="ABR170" s="6"/>
      <c r="ABS170" s="6"/>
      <c r="ABT170" s="6"/>
      <c r="ABU170" s="6"/>
      <c r="ABV170" s="6"/>
      <c r="ABW170" s="6"/>
      <c r="ABX170" s="6"/>
      <c r="ABY170" s="6"/>
      <c r="ABZ170" s="6"/>
      <c r="ACA170" s="6"/>
      <c r="ACB170" s="6"/>
      <c r="ACC170" s="6"/>
      <c r="ACD170" s="6"/>
      <c r="ACE170" s="6"/>
      <c r="ACF170" s="6"/>
      <c r="ACG170" s="6"/>
      <c r="ACH170" s="6"/>
      <c r="ACI170" s="6"/>
      <c r="ACJ170" s="6"/>
      <c r="ACK170" s="6"/>
      <c r="ACL170" s="6"/>
      <c r="ACM170" s="6"/>
      <c r="ACN170" s="6"/>
      <c r="ACO170" s="6"/>
      <c r="ACP170" s="6"/>
      <c r="ACQ170" s="6"/>
      <c r="ACR170" s="6"/>
      <c r="ACS170" s="6"/>
      <c r="ACT170" s="6"/>
      <c r="ACU170" s="6"/>
      <c r="ACV170" s="6"/>
      <c r="ACW170" s="6"/>
      <c r="ACX170" s="6"/>
      <c r="ACY170" s="6"/>
      <c r="ACZ170" s="6"/>
      <c r="ADA170" s="6"/>
      <c r="ADB170" s="6"/>
      <c r="ADC170" s="6"/>
      <c r="ADD170" s="6"/>
      <c r="ADE170" s="6"/>
      <c r="ADF170" s="6"/>
      <c r="ADG170" s="6"/>
      <c r="ADH170" s="6"/>
      <c r="ADI170" s="6"/>
      <c r="ADJ170" s="6"/>
      <c r="ADK170" s="6"/>
      <c r="ADL170" s="6"/>
      <c r="ADM170" s="6"/>
      <c r="ADN170" s="6"/>
      <c r="ADO170" s="6"/>
      <c r="ADP170" s="6"/>
      <c r="ADQ170" s="6"/>
      <c r="ADR170" s="6"/>
      <c r="ADS170" s="6"/>
      <c r="ADT170" s="6"/>
      <c r="ADU170" s="6"/>
      <c r="ADV170" s="6"/>
      <c r="ADW170" s="6"/>
      <c r="ADX170" s="6"/>
      <c r="ADY170" s="6"/>
      <c r="ADZ170" s="6"/>
      <c r="AEA170" s="6"/>
      <c r="AEB170" s="6"/>
      <c r="AEC170" s="6"/>
      <c r="AED170" s="6"/>
      <c r="AEE170" s="6"/>
      <c r="AEF170" s="6"/>
      <c r="AEG170" s="6"/>
      <c r="AEH170" s="6"/>
      <c r="AEI170" s="6"/>
      <c r="AEJ170" s="6"/>
      <c r="AEK170" s="6"/>
      <c r="AEL170" s="6"/>
      <c r="AEM170" s="6"/>
      <c r="AEN170" s="6"/>
      <c r="AEO170" s="6"/>
      <c r="AEP170" s="6"/>
      <c r="AEQ170" s="6"/>
      <c r="AER170" s="6"/>
      <c r="AES170" s="6"/>
      <c r="AET170" s="6"/>
      <c r="AEU170" s="6"/>
      <c r="AEV170" s="6"/>
      <c r="AEW170" s="6"/>
      <c r="AEX170" s="6"/>
      <c r="AEY170" s="6"/>
      <c r="AEZ170" s="6"/>
      <c r="AFA170" s="6"/>
      <c r="AFB170" s="6"/>
      <c r="AFC170" s="6"/>
      <c r="AFD170" s="6"/>
      <c r="AFE170" s="6"/>
      <c r="AFF170" s="6"/>
      <c r="AFG170" s="6"/>
      <c r="AFH170" s="6"/>
      <c r="AFI170" s="6"/>
      <c r="AFJ170" s="6"/>
      <c r="AFK170" s="6"/>
      <c r="AFL170" s="6"/>
      <c r="AFM170" s="6"/>
      <c r="AFN170" s="6"/>
      <c r="AFO170" s="6"/>
      <c r="AFP170" s="6"/>
      <c r="AFQ170" s="6"/>
      <c r="AFR170" s="6"/>
      <c r="AFS170" s="6"/>
      <c r="AFT170" s="6"/>
      <c r="AFU170" s="6"/>
      <c r="AFV170" s="6"/>
      <c r="AFW170" s="6"/>
      <c r="AFX170" s="6"/>
      <c r="AFY170" s="6"/>
      <c r="AFZ170" s="6"/>
      <c r="AGA170" s="6"/>
      <c r="AGB170" s="6"/>
      <c r="AGC170" s="6"/>
      <c r="AGD170" s="6"/>
      <c r="AGE170" s="6"/>
      <c r="AGF170" s="6"/>
      <c r="AGG170" s="6"/>
      <c r="AGH170" s="6"/>
      <c r="AGI170" s="6"/>
      <c r="AGJ170" s="6"/>
      <c r="AGK170" s="6"/>
      <c r="AGL170" s="6"/>
      <c r="AGM170" s="6"/>
      <c r="AGN170" s="6"/>
      <c r="AGO170" s="6"/>
      <c r="AGP170" s="6"/>
      <c r="AGQ170" s="6"/>
      <c r="AGR170" s="6"/>
      <c r="AGS170" s="6"/>
      <c r="AGT170" s="6"/>
      <c r="AGU170" s="6"/>
      <c r="AGV170" s="6"/>
      <c r="AGW170" s="6"/>
      <c r="AGX170" s="6"/>
      <c r="AGY170" s="6"/>
      <c r="AGZ170" s="6"/>
      <c r="AHA170" s="6"/>
      <c r="AHB170" s="6"/>
      <c r="AHC170" s="6"/>
      <c r="AHD170" s="6"/>
      <c r="AHE170" s="6"/>
      <c r="AHF170" s="6"/>
      <c r="AHG170" s="6"/>
      <c r="AHH170" s="6"/>
      <c r="AHI170" s="6"/>
      <c r="AHJ170" s="6"/>
      <c r="AHK170" s="6"/>
      <c r="AHL170" s="6"/>
      <c r="AHM170" s="6"/>
      <c r="AHN170" s="6"/>
      <c r="AHO170" s="6"/>
      <c r="AHP170" s="6"/>
      <c r="AHQ170" s="6"/>
      <c r="AHR170" s="6"/>
      <c r="AHS170" s="6"/>
      <c r="AHT170" s="6"/>
      <c r="AHU170" s="6"/>
      <c r="AHV170" s="6"/>
      <c r="AHW170" s="6"/>
      <c r="AHX170" s="6"/>
      <c r="AHY170" s="6"/>
      <c r="AHZ170" s="6"/>
      <c r="AIA170" s="6"/>
      <c r="AIB170" s="6"/>
      <c r="AIC170" s="6"/>
      <c r="AID170" s="6"/>
      <c r="AIE170" s="6"/>
      <c r="AIF170" s="6"/>
      <c r="AIG170" s="6"/>
      <c r="AIH170" s="6"/>
      <c r="AII170" s="6"/>
      <c r="AIJ170" s="6"/>
      <c r="AIK170" s="6"/>
      <c r="AIL170" s="6"/>
      <c r="AIM170" s="6"/>
      <c r="AIN170" s="6"/>
      <c r="AIO170" s="6"/>
      <c r="AIP170" s="6"/>
      <c r="AIQ170" s="6"/>
      <c r="AIR170" s="6"/>
      <c r="AIS170" s="6"/>
      <c r="AIT170" s="6"/>
      <c r="AIU170" s="6"/>
      <c r="AIV170" s="6"/>
      <c r="AIW170" s="6"/>
      <c r="AIX170" s="6"/>
      <c r="AIY170" s="6"/>
      <c r="AIZ170" s="6"/>
      <c r="AJA170" s="6"/>
      <c r="AJB170" s="6"/>
      <c r="AJC170" s="6"/>
      <c r="AJD170" s="6"/>
      <c r="AJE170" s="6"/>
      <c r="AJF170" s="6"/>
      <c r="AJG170" s="6"/>
      <c r="AJH170" s="6"/>
      <c r="AJI170" s="6"/>
      <c r="AJJ170" s="6"/>
      <c r="AJK170" s="6"/>
      <c r="AJL170" s="6"/>
      <c r="AJM170" s="6"/>
      <c r="AJN170" s="6"/>
      <c r="AJO170" s="6"/>
      <c r="AJP170" s="6"/>
      <c r="AJQ170" s="6"/>
      <c r="AJR170" s="6"/>
      <c r="AJS170" s="6"/>
      <c r="AJT170" s="6"/>
      <c r="AJU170" s="6"/>
      <c r="AJV170" s="6"/>
      <c r="AJW170" s="6"/>
      <c r="AJX170" s="6"/>
      <c r="AJY170" s="6"/>
      <c r="AJZ170" s="6"/>
      <c r="AKA170" s="6"/>
      <c r="AKB170" s="6"/>
      <c r="AKC170" s="6"/>
      <c r="AKD170" s="6"/>
      <c r="AKE170" s="6"/>
      <c r="AKF170" s="6"/>
      <c r="AKG170" s="6"/>
      <c r="AKH170" s="6"/>
      <c r="AKI170" s="6"/>
      <c r="AKJ170" s="6"/>
      <c r="AKK170" s="6"/>
      <c r="AKL170" s="6"/>
      <c r="AKM170" s="6"/>
      <c r="AKN170" s="6"/>
      <c r="AKO170" s="6"/>
      <c r="AKP170" s="6"/>
      <c r="AKQ170" s="6"/>
      <c r="AKR170" s="6"/>
      <c r="AKS170" s="6"/>
      <c r="AKT170" s="6"/>
      <c r="AKU170" s="6"/>
      <c r="AKV170" s="6"/>
      <c r="AKW170" s="6"/>
      <c r="AKX170" s="6"/>
      <c r="AKY170" s="6"/>
      <c r="AKZ170" s="6"/>
      <c r="ALA170" s="6"/>
      <c r="ALB170" s="6"/>
      <c r="ALC170" s="6"/>
      <c r="ALD170" s="6"/>
      <c r="ALE170" s="6"/>
      <c r="ALF170" s="6"/>
      <c r="ALG170" s="6"/>
      <c r="ALH170" s="6"/>
      <c r="ALI170" s="6"/>
      <c r="ALJ170" s="6"/>
      <c r="ALK170" s="6"/>
      <c r="ALL170" s="6"/>
      <c r="ALM170" s="6"/>
      <c r="ALN170" s="6"/>
      <c r="ALO170" s="6"/>
      <c r="ALP170" s="6"/>
      <c r="ALQ170" s="6"/>
      <c r="ALR170" s="6"/>
      <c r="ALS170" s="6"/>
      <c r="ALT170" s="6"/>
      <c r="ALU170" s="6"/>
      <c r="ALV170" s="6"/>
      <c r="ALW170" s="6"/>
      <c r="ALX170" s="6"/>
      <c r="ALY170" s="6"/>
      <c r="ALZ170" s="6"/>
      <c r="AMA170" s="6"/>
      <c r="AMB170" s="6"/>
      <c r="AMC170" s="6"/>
      <c r="AMD170" s="6"/>
      <c r="AME170" s="6"/>
      <c r="AMF170" s="6"/>
      <c r="AMG170" s="6"/>
      <c r="AMH170" s="6"/>
      <c r="AMI170" s="6"/>
      <c r="AMJ170" s="6"/>
      <c r="AMK170" s="6"/>
      <c r="AML170" s="6"/>
      <c r="AMM170" s="6"/>
      <c r="AMN170" s="6"/>
      <c r="AMO170" s="6"/>
      <c r="AMP170" s="6"/>
    </row>
    <row r="171" spans="1:1030" x14ac:dyDescent="0.2">
      <c r="A171" s="3" t="str">
        <f>CONCATENATE(B171,"_",C171)</f>
        <v>ccr2_human_6GPS</v>
      </c>
      <c r="B171" s="3" t="s">
        <v>170</v>
      </c>
      <c r="C171" s="3" t="s">
        <v>1540</v>
      </c>
      <c r="D171" s="3" t="str">
        <f>IFERROR(MID(VLOOKUP($B171,Seqs!$A:$B,2,0),E171,1),"")</f>
        <v>V</v>
      </c>
      <c r="E171" s="3">
        <v>37</v>
      </c>
      <c r="F171" s="3" t="str">
        <f>IFERROR(MID(VLOOKUP($B171,Seqs!$A:$B,2,0),G171,1),"")</f>
        <v>K</v>
      </c>
      <c r="G171" s="3">
        <v>71</v>
      </c>
      <c r="H171" s="3" t="str">
        <f>IFERROR(MID(VLOOKUP($B171,Seqs!$A:$B,2,0),I171,1),"")</f>
        <v/>
      </c>
      <c r="I171" s="23" t="s">
        <v>23</v>
      </c>
      <c r="J171" s="3" t="str">
        <f>IFERROR(MID(VLOOKUP($B171,Seqs!$A:$B,2,0),K171,1),"")</f>
        <v/>
      </c>
      <c r="K171" s="23" t="s">
        <v>23</v>
      </c>
      <c r="L171" s="3" t="str">
        <f>IFERROR(MID(VLOOKUP($B171,Seqs!$A:$B,2,0),M171,1),"")</f>
        <v>L</v>
      </c>
      <c r="M171" s="3">
        <v>76</v>
      </c>
      <c r="N171" s="3" t="str">
        <f>IFERROR(MID(VLOOKUP($B171,Seqs!$A:$B,2,0),O171,1),"")</f>
        <v>A</v>
      </c>
      <c r="O171" s="3">
        <v>102</v>
      </c>
      <c r="P171" s="3" t="str">
        <f>IFERROR(MID(VLOOKUP($B171,Seqs!$A:$B,2,0),Q171,1),"")</f>
        <v>E</v>
      </c>
      <c r="Q171" s="3">
        <v>105</v>
      </c>
      <c r="R171" s="3" t="str">
        <f>IFERROR(MID(VLOOKUP($B171,Seqs!$A:$B,2,0),S171,1),"")</f>
        <v>F</v>
      </c>
      <c r="S171" s="3">
        <v>108</v>
      </c>
      <c r="T171" s="3" t="str">
        <f>IFERROR(MID(VLOOKUP($B171,Seqs!$A:$B,2,0),U171,1),"")</f>
        <v>G</v>
      </c>
      <c r="U171" s="3">
        <v>109</v>
      </c>
      <c r="V171" s="3" t="str">
        <f>IFERROR(MID(VLOOKUP($B171,Seqs!$A:$B,2,0),W171,1),"")</f>
        <v>H</v>
      </c>
      <c r="W171" s="3">
        <v>144</v>
      </c>
      <c r="X171" s="3" t="str">
        <f>IFERROR(MID(VLOOKUP($B171,Seqs!$A:$B,2,0),Y171,1),"")</f>
        <v/>
      </c>
      <c r="Y171" s="3" t="s">
        <v>23</v>
      </c>
      <c r="Z171" s="3" t="str">
        <f>IFERROR(MID(VLOOKUP($B171,Seqs!$A:$B,2,0),AA171,1),"")</f>
        <v/>
      </c>
      <c r="AA171" s="3" t="s">
        <v>23</v>
      </c>
      <c r="AB171" s="3" t="str">
        <f>IFERROR(MID(VLOOKUP($B171,Seqs!$A:$B,2,0),AC171,1),"")</f>
        <v>R</v>
      </c>
      <c r="AC171" s="3">
        <v>152</v>
      </c>
      <c r="AD171" s="3" t="str">
        <f>IFERROR(MID(VLOOKUP($B171,Seqs!$A:$B,2,0),AE171,1),"")</f>
        <v>T</v>
      </c>
      <c r="AE171" s="3">
        <v>179</v>
      </c>
      <c r="AF171" s="3" t="str">
        <f>IFERROR(MID(VLOOKUP($B171,Seqs!$A:$B,2,0),AG171,1),"")</f>
        <v>C</v>
      </c>
      <c r="AG171" s="3">
        <v>190</v>
      </c>
      <c r="AH171" s="3" t="str">
        <f>IFERROR(MID(VLOOKUP($B171,Seqs!$A:$B,2,0),AI171,1),"")</f>
        <v>P</v>
      </c>
      <c r="AI171" s="3">
        <v>192</v>
      </c>
      <c r="AJ171" s="3" t="str">
        <f>IFERROR(MID(VLOOKUP($B171,Seqs!$A:$B,2,0),AK171,1),"")</f>
        <v>P</v>
      </c>
      <c r="AK171" s="3">
        <v>195</v>
      </c>
      <c r="AL171" s="3" t="str">
        <f>IFERROR(MID(VLOOKUP($B171,Seqs!$A:$B,2,0),AM171,1),"")</f>
        <v>R</v>
      </c>
      <c r="AM171" s="3">
        <v>231</v>
      </c>
      <c r="AN171" s="3" t="str">
        <f>IFERROR(MID(VLOOKUP($B171,Seqs!$A:$B,2,0),AO171,1),"")</f>
        <v>A</v>
      </c>
      <c r="AO171" s="3">
        <v>241</v>
      </c>
      <c r="AP171" s="3" t="str">
        <f>IFERROR(MID(VLOOKUP($B171,Seqs!$A:$B,2,0),AQ171,1),"")</f>
        <v>F</v>
      </c>
      <c r="AQ171" s="3">
        <v>268</v>
      </c>
      <c r="AR171" s="3" t="str">
        <f>IFERROR(MID(VLOOKUP($B171,Seqs!$A:$B,2,0),AS171,1),"")</f>
        <v>S</v>
      </c>
      <c r="AS171" s="3">
        <v>279</v>
      </c>
      <c r="AT171" s="3" t="str">
        <f>IFERROR(MID(VLOOKUP($B171,Seqs!$A:$B,2,0),AU171,1),"")</f>
        <v>G</v>
      </c>
      <c r="AU171" s="3">
        <v>309</v>
      </c>
      <c r="AV171" s="3" t="str">
        <f>IFERROR(MID(VLOOKUP($B171,Seqs!$A:$B,2,0),AW171,1),"")</f>
        <v>E</v>
      </c>
      <c r="AW171" s="3">
        <v>310</v>
      </c>
      <c r="AX171" s="3" t="str">
        <f>IFERROR(MID(VLOOKUP($B171,Seqs!$A:$B,2,0),AY171,1),"")</f>
        <v>G</v>
      </c>
      <c r="AY171" s="3">
        <v>321</v>
      </c>
      <c r="AZ171" s="77" t="str">
        <f>VLOOKUP(B171,Classification!A:D,2,0)</f>
        <v>A</v>
      </c>
      <c r="BA171" s="94" t="str">
        <f>VLOOKUP(B171,Classification!A:D,4,0)</f>
        <v>Chemokine</v>
      </c>
      <c r="BB171" s="27" t="b">
        <f t="shared" ref="BB171" si="1028">AND(E171&lt;G171,OR(G171&lt;I171,I171="-"),OR(I171&lt;K171,I171="-"),OR(K171&lt;M171,K171="-"),M171&lt;O171,OR(O171&lt;Q171,Q171="-"),OR(Q171&lt;S171,Q171="-"),OR(S171&lt;U171,S171="-"),U171&lt;W171,OR(W171&lt;Y171,Y171="-"),OR(Y171&lt;AA171,Y171="-"),OR(AA171&lt;AC171,AA171="-"),AC171&lt;AE171,OR(AE171&lt;AG171,AG171="-"),OR(AG171&lt;AI171,AG171="-"),OR(AI171&lt;AK171,AI171="-"),AK171&lt;AM171,AM171&lt;AO171,AO171&lt;AQ171,AQ171&lt;AS171,AS171&lt;AU171,OR(AU171&lt;AW171,AW171="-"),OR(AW171&lt;AY171,AW171="-"))</f>
        <v>1</v>
      </c>
      <c r="BC171" s="23">
        <f t="shared" ref="BC171" si="1029">_xlfn.AGGREGATE(9,6,CH171:CS171)-_xlfn.AGGREGATE(9,6,BV171:CG171)+12</f>
        <v>243</v>
      </c>
      <c r="BD171" s="16" t="s">
        <v>23</v>
      </c>
      <c r="BE171" s="3" t="s">
        <v>1368</v>
      </c>
      <c r="BF171" s="118">
        <v>3.3</v>
      </c>
      <c r="BG171" s="49" t="s">
        <v>1</v>
      </c>
      <c r="BH171" s="49" t="s">
        <v>1</v>
      </c>
      <c r="BI171" s="1"/>
      <c r="BJ171" s="70" t="s">
        <v>1281</v>
      </c>
      <c r="BK171" s="57" t="s">
        <v>1281</v>
      </c>
      <c r="BL171" s="57" t="s">
        <v>1281</v>
      </c>
      <c r="BM171" s="57" t="s">
        <v>1281</v>
      </c>
      <c r="BN171" s="57" t="s">
        <v>1281</v>
      </c>
      <c r="BO171" s="57" t="s">
        <v>1281</v>
      </c>
      <c r="BP171" s="57" t="s">
        <v>1281</v>
      </c>
      <c r="BQ171" s="57" t="s">
        <v>1281</v>
      </c>
      <c r="BR171" s="57" t="s">
        <v>1281</v>
      </c>
      <c r="BS171" s="57" t="s">
        <v>1281</v>
      </c>
      <c r="BT171" s="57" t="s">
        <v>1281</v>
      </c>
      <c r="BU171" s="57" t="s">
        <v>1281</v>
      </c>
      <c r="BV171" s="70">
        <f>E171</f>
        <v>37</v>
      </c>
      <c r="BW171" s="71" t="str">
        <f>I171</f>
        <v>-</v>
      </c>
      <c r="BX171" s="72">
        <f>M171</f>
        <v>76</v>
      </c>
      <c r="BY171" s="71">
        <f>Q171</f>
        <v>105</v>
      </c>
      <c r="BZ171" s="72">
        <f>U171</f>
        <v>109</v>
      </c>
      <c r="CA171" s="71" t="str">
        <f>Y171</f>
        <v>-</v>
      </c>
      <c r="CB171" s="72">
        <f>AC171</f>
        <v>152</v>
      </c>
      <c r="CC171" s="71">
        <f>AG171</f>
        <v>190</v>
      </c>
      <c r="CD171" s="72">
        <f>AK171</f>
        <v>195</v>
      </c>
      <c r="CE171" s="71">
        <f>AO171</f>
        <v>241</v>
      </c>
      <c r="CF171" s="72">
        <f>AS171</f>
        <v>279</v>
      </c>
      <c r="CG171" s="71">
        <f>AW171</f>
        <v>310</v>
      </c>
      <c r="CH171" s="70">
        <f>G171</f>
        <v>71</v>
      </c>
      <c r="CI171" s="71" t="str">
        <f>K171</f>
        <v>-</v>
      </c>
      <c r="CJ171" s="72">
        <f>O171</f>
        <v>102</v>
      </c>
      <c r="CK171" s="72">
        <f>S171</f>
        <v>108</v>
      </c>
      <c r="CL171" s="72">
        <f>W171</f>
        <v>144</v>
      </c>
      <c r="CM171" s="72" t="str">
        <f>AA171</f>
        <v>-</v>
      </c>
      <c r="CN171" s="72">
        <f>AE171</f>
        <v>179</v>
      </c>
      <c r="CO171" s="72">
        <f>AI171</f>
        <v>192</v>
      </c>
      <c r="CP171" s="72">
        <f>AM171</f>
        <v>231</v>
      </c>
      <c r="CQ171" s="72">
        <f>AQ171</f>
        <v>268</v>
      </c>
      <c r="CR171" s="72">
        <f>AU171</f>
        <v>309</v>
      </c>
      <c r="CS171" s="72">
        <f>AY171</f>
        <v>321</v>
      </c>
      <c r="CT171" s="23" t="e">
        <f>M171-K171</f>
        <v>#VALUE!</v>
      </c>
      <c r="CU171" s="6"/>
      <c r="CV171" s="6"/>
      <c r="CW171" s="6"/>
      <c r="CX171" s="6"/>
      <c r="CY171" s="6"/>
      <c r="CZ171" s="6"/>
      <c r="DA171" s="6"/>
      <c r="DB171" s="6"/>
      <c r="DC171" s="6"/>
      <c r="DD171" s="6"/>
      <c r="DE171" s="6"/>
      <c r="DF171" s="6"/>
      <c r="DG171" s="6"/>
      <c r="DH171" s="6"/>
      <c r="DI171" s="6"/>
      <c r="DJ171" s="6"/>
      <c r="DK171" s="6"/>
      <c r="DL171" s="6"/>
      <c r="DM171" s="6"/>
      <c r="DN171" s="6"/>
      <c r="DO171" s="6"/>
      <c r="DP171" s="6"/>
      <c r="DQ171" s="6"/>
      <c r="DR171" s="6"/>
      <c r="DS171" s="6"/>
      <c r="DT171" s="6"/>
      <c r="DU171" s="6"/>
      <c r="DV171" s="6"/>
      <c r="DW171" s="6"/>
      <c r="DX171" s="6"/>
      <c r="DY171" s="6"/>
      <c r="DZ171" s="6"/>
      <c r="EA171" s="6"/>
      <c r="EB171" s="6"/>
      <c r="EC171" s="6"/>
      <c r="ED171" s="6"/>
      <c r="EE171" s="6"/>
      <c r="EF171" s="6"/>
      <c r="EG171" s="6"/>
      <c r="EH171" s="6"/>
      <c r="EI171" s="6"/>
      <c r="EJ171" s="6"/>
      <c r="EK171" s="6"/>
      <c r="EL171" s="6"/>
      <c r="EM171" s="6"/>
      <c r="EN171" s="6"/>
      <c r="EO171" s="6"/>
      <c r="EP171" s="6"/>
      <c r="EQ171" s="6"/>
      <c r="ER171" s="6"/>
      <c r="ES171" s="6"/>
      <c r="ET171" s="6"/>
      <c r="EU171" s="6"/>
      <c r="EV171" s="6"/>
      <c r="EW171" s="6"/>
      <c r="EX171" s="6"/>
      <c r="EY171" s="6"/>
      <c r="EZ171" s="6"/>
      <c r="FA171" s="6"/>
      <c r="FB171" s="6"/>
      <c r="FC171" s="6"/>
      <c r="FD171" s="6"/>
      <c r="FE171" s="6"/>
      <c r="FF171" s="6"/>
      <c r="FG171" s="6"/>
      <c r="FH171" s="6"/>
      <c r="FI171" s="6"/>
      <c r="FJ171" s="6"/>
      <c r="FK171" s="6"/>
      <c r="FL171" s="6"/>
      <c r="FM171" s="6"/>
      <c r="FN171" s="6"/>
      <c r="FO171" s="6"/>
      <c r="FP171" s="6"/>
      <c r="FQ171" s="6"/>
      <c r="FR171" s="6"/>
      <c r="FS171" s="6"/>
      <c r="FT171" s="6"/>
      <c r="FU171" s="6"/>
      <c r="FV171" s="6"/>
      <c r="FW171" s="6"/>
      <c r="FX171" s="6"/>
      <c r="FY171" s="6"/>
      <c r="FZ171" s="6"/>
      <c r="GA171" s="6"/>
      <c r="GB171" s="6"/>
      <c r="GC171" s="6"/>
      <c r="GD171" s="6"/>
      <c r="GE171" s="6"/>
      <c r="GF171" s="6"/>
      <c r="GG171" s="6"/>
      <c r="GH171" s="6"/>
      <c r="GI171" s="6"/>
      <c r="GJ171" s="6"/>
      <c r="GK171" s="6"/>
      <c r="GL171" s="6"/>
      <c r="GM171" s="6"/>
      <c r="GN171" s="6"/>
      <c r="GO171" s="6"/>
      <c r="GP171" s="6"/>
      <c r="GQ171" s="6"/>
      <c r="GR171" s="6"/>
      <c r="GS171" s="6"/>
      <c r="GT171" s="6"/>
      <c r="GU171" s="6"/>
      <c r="GV171" s="6"/>
      <c r="GW171" s="6"/>
      <c r="GX171" s="6"/>
      <c r="GY171" s="6"/>
      <c r="GZ171" s="6"/>
      <c r="HA171" s="6"/>
      <c r="HB171" s="6"/>
      <c r="HC171" s="6"/>
      <c r="HD171" s="6"/>
      <c r="HE171" s="6"/>
      <c r="HF171" s="6"/>
      <c r="HG171" s="6"/>
      <c r="HH171" s="6"/>
      <c r="HI171" s="6"/>
      <c r="HJ171" s="6"/>
      <c r="HK171" s="6"/>
      <c r="HL171" s="6"/>
      <c r="HM171" s="6"/>
      <c r="HN171" s="6"/>
      <c r="HO171" s="6"/>
      <c r="HP171" s="6"/>
      <c r="HQ171" s="6"/>
      <c r="HR171" s="6"/>
      <c r="HS171" s="6"/>
      <c r="HT171" s="6"/>
      <c r="HU171" s="6"/>
      <c r="HV171" s="6"/>
      <c r="HW171" s="6"/>
      <c r="HX171" s="6"/>
      <c r="HY171" s="6"/>
      <c r="HZ171" s="6"/>
      <c r="IA171" s="6"/>
      <c r="IB171" s="6"/>
      <c r="IC171" s="6"/>
      <c r="ID171" s="6"/>
      <c r="IE171" s="6"/>
      <c r="IF171" s="6"/>
      <c r="IG171" s="6"/>
      <c r="IH171" s="6"/>
      <c r="II171" s="6"/>
      <c r="IJ171" s="6"/>
      <c r="IK171" s="6"/>
      <c r="IL171" s="6"/>
      <c r="IM171" s="6"/>
      <c r="IN171" s="6"/>
      <c r="IO171" s="6"/>
      <c r="IP171" s="6"/>
      <c r="IQ171" s="6"/>
      <c r="IR171" s="6"/>
      <c r="IS171" s="6"/>
      <c r="IT171" s="6"/>
      <c r="IU171" s="6"/>
      <c r="IV171" s="6"/>
      <c r="IW171" s="6"/>
      <c r="IX171" s="6"/>
      <c r="IY171" s="6"/>
      <c r="IZ171" s="6"/>
      <c r="JA171" s="6"/>
      <c r="JB171" s="6"/>
      <c r="JC171" s="6"/>
      <c r="JD171" s="6"/>
      <c r="JE171" s="6"/>
      <c r="JF171" s="6"/>
      <c r="JG171" s="6"/>
      <c r="JH171" s="6"/>
      <c r="JI171" s="6"/>
      <c r="JJ171" s="6"/>
      <c r="JK171" s="6"/>
      <c r="JL171" s="6"/>
      <c r="JM171" s="6"/>
      <c r="JN171" s="6"/>
      <c r="JO171" s="6"/>
      <c r="JP171" s="6"/>
      <c r="JQ171" s="6"/>
      <c r="JR171" s="6"/>
      <c r="JS171" s="6"/>
      <c r="JT171" s="6"/>
      <c r="JU171" s="6"/>
      <c r="JV171" s="6"/>
      <c r="JW171" s="6"/>
      <c r="JX171" s="6"/>
      <c r="JY171" s="6"/>
      <c r="JZ171" s="6"/>
      <c r="KA171" s="6"/>
      <c r="KB171" s="6"/>
      <c r="KC171" s="6"/>
      <c r="KD171" s="6"/>
      <c r="KE171" s="6"/>
      <c r="KF171" s="6"/>
      <c r="KG171" s="6"/>
      <c r="KH171" s="6"/>
      <c r="KI171" s="6"/>
      <c r="KJ171" s="6"/>
      <c r="KK171" s="6"/>
      <c r="KL171" s="6"/>
      <c r="KM171" s="6"/>
      <c r="KN171" s="6"/>
      <c r="KO171" s="6"/>
      <c r="KP171" s="6"/>
      <c r="KQ171" s="6"/>
      <c r="KR171" s="6"/>
      <c r="KS171" s="6"/>
      <c r="KT171" s="6"/>
      <c r="KU171" s="6"/>
      <c r="KV171" s="6"/>
      <c r="KW171" s="6"/>
      <c r="KX171" s="6"/>
      <c r="KY171" s="6"/>
      <c r="KZ171" s="6"/>
      <c r="LA171" s="6"/>
      <c r="LB171" s="6"/>
      <c r="LC171" s="6"/>
      <c r="LD171" s="6"/>
      <c r="LE171" s="6"/>
      <c r="LF171" s="6"/>
      <c r="LG171" s="6"/>
      <c r="LH171" s="6"/>
      <c r="LI171" s="6"/>
      <c r="LJ171" s="6"/>
      <c r="LK171" s="6"/>
      <c r="LL171" s="6"/>
      <c r="LM171" s="6"/>
      <c r="LN171" s="6"/>
      <c r="LO171" s="6"/>
      <c r="LP171" s="6"/>
      <c r="LQ171" s="6"/>
      <c r="LR171" s="6"/>
      <c r="LS171" s="6"/>
      <c r="LT171" s="6"/>
      <c r="LU171" s="6"/>
      <c r="LV171" s="6"/>
      <c r="LW171" s="6"/>
      <c r="LX171" s="6"/>
      <c r="LY171" s="6"/>
      <c r="LZ171" s="6"/>
      <c r="MA171" s="6"/>
      <c r="MB171" s="6"/>
      <c r="MC171" s="6"/>
      <c r="MD171" s="6"/>
      <c r="ME171" s="6"/>
      <c r="MF171" s="6"/>
      <c r="MG171" s="6"/>
      <c r="MH171" s="6"/>
      <c r="MI171" s="6"/>
      <c r="MJ171" s="6"/>
      <c r="MK171" s="6"/>
      <c r="ML171" s="6"/>
      <c r="MM171" s="6"/>
      <c r="MN171" s="6"/>
      <c r="MO171" s="6"/>
      <c r="MP171" s="6"/>
      <c r="MQ171" s="6"/>
      <c r="MR171" s="6"/>
      <c r="MS171" s="6"/>
      <c r="MT171" s="6"/>
      <c r="MU171" s="6"/>
      <c r="MV171" s="6"/>
      <c r="MW171" s="6"/>
      <c r="MX171" s="6"/>
      <c r="MY171" s="6"/>
      <c r="MZ171" s="6"/>
      <c r="NA171" s="6"/>
      <c r="NB171" s="6"/>
      <c r="NC171" s="6"/>
      <c r="ND171" s="6"/>
      <c r="NE171" s="6"/>
      <c r="NF171" s="6"/>
      <c r="NG171" s="6"/>
      <c r="NH171" s="6"/>
      <c r="NI171" s="6"/>
      <c r="NJ171" s="6"/>
      <c r="NK171" s="6"/>
      <c r="NL171" s="6"/>
      <c r="NM171" s="6"/>
      <c r="NN171" s="6"/>
      <c r="NO171" s="6"/>
      <c r="NP171" s="6"/>
      <c r="NQ171" s="6"/>
      <c r="NR171" s="6"/>
      <c r="NS171" s="6"/>
      <c r="NT171" s="6"/>
      <c r="NU171" s="6"/>
      <c r="NV171" s="6"/>
      <c r="NW171" s="6"/>
      <c r="NX171" s="6"/>
      <c r="NY171" s="6"/>
      <c r="NZ171" s="6"/>
      <c r="OA171" s="6"/>
      <c r="OB171" s="6"/>
      <c r="OC171" s="6"/>
      <c r="OD171" s="6"/>
      <c r="OE171" s="6"/>
      <c r="OF171" s="6"/>
      <c r="OG171" s="6"/>
      <c r="OH171" s="6"/>
      <c r="OI171" s="6"/>
      <c r="OJ171" s="6"/>
      <c r="OK171" s="6"/>
      <c r="OL171" s="6"/>
      <c r="OM171" s="6"/>
      <c r="ON171" s="6"/>
      <c r="OO171" s="6"/>
      <c r="OP171" s="6"/>
      <c r="OQ171" s="6"/>
      <c r="OR171" s="6"/>
      <c r="OS171" s="6"/>
      <c r="OT171" s="6"/>
      <c r="OU171" s="6"/>
      <c r="OV171" s="6"/>
      <c r="OW171" s="6"/>
      <c r="OX171" s="6"/>
      <c r="OY171" s="6"/>
      <c r="OZ171" s="6"/>
      <c r="PA171" s="6"/>
      <c r="PB171" s="6"/>
      <c r="PC171" s="6"/>
      <c r="PD171" s="6"/>
      <c r="PE171" s="6"/>
      <c r="PF171" s="6"/>
      <c r="PG171" s="6"/>
      <c r="PH171" s="6"/>
      <c r="PI171" s="6"/>
      <c r="PJ171" s="6"/>
      <c r="PK171" s="6"/>
      <c r="PL171" s="6"/>
      <c r="PM171" s="6"/>
      <c r="PN171" s="6"/>
      <c r="PO171" s="6"/>
      <c r="PP171" s="6"/>
      <c r="PQ171" s="6"/>
      <c r="PR171" s="6"/>
      <c r="PS171" s="6"/>
      <c r="PT171" s="6"/>
      <c r="PU171" s="6"/>
      <c r="PV171" s="6"/>
      <c r="PW171" s="6"/>
      <c r="PX171" s="6"/>
      <c r="PY171" s="6"/>
      <c r="PZ171" s="6"/>
      <c r="QA171" s="6"/>
      <c r="QB171" s="6"/>
      <c r="QC171" s="6"/>
      <c r="QD171" s="6"/>
      <c r="QE171" s="6"/>
      <c r="QF171" s="6"/>
      <c r="QG171" s="6"/>
      <c r="QH171" s="6"/>
      <c r="QI171" s="6"/>
      <c r="QJ171" s="6"/>
      <c r="QK171" s="6"/>
      <c r="QL171" s="6"/>
      <c r="QM171" s="6"/>
      <c r="QN171" s="6"/>
      <c r="QO171" s="6"/>
      <c r="QP171" s="6"/>
      <c r="QQ171" s="6"/>
      <c r="QR171" s="6"/>
      <c r="QS171" s="6"/>
      <c r="QT171" s="6"/>
      <c r="QU171" s="6"/>
      <c r="QV171" s="6"/>
      <c r="QW171" s="6"/>
      <c r="QX171" s="6"/>
      <c r="QY171" s="6"/>
      <c r="QZ171" s="6"/>
      <c r="RA171" s="6"/>
      <c r="RB171" s="6"/>
      <c r="RC171" s="6"/>
      <c r="RD171" s="6"/>
      <c r="RE171" s="6"/>
      <c r="RF171" s="6"/>
      <c r="RG171" s="6"/>
      <c r="RH171" s="6"/>
      <c r="RI171" s="6"/>
      <c r="RJ171" s="6"/>
      <c r="RK171" s="6"/>
      <c r="RL171" s="6"/>
      <c r="RM171" s="6"/>
      <c r="RN171" s="6"/>
      <c r="RO171" s="6"/>
      <c r="RP171" s="6"/>
      <c r="RQ171" s="6"/>
      <c r="RR171" s="6"/>
      <c r="RS171" s="6"/>
      <c r="RT171" s="6"/>
      <c r="RU171" s="6"/>
      <c r="RV171" s="6"/>
      <c r="RW171" s="6"/>
      <c r="RX171" s="6"/>
      <c r="RY171" s="6"/>
      <c r="RZ171" s="6"/>
      <c r="SA171" s="6"/>
      <c r="SB171" s="6"/>
      <c r="SC171" s="6"/>
      <c r="SD171" s="6"/>
      <c r="SE171" s="6"/>
      <c r="SF171" s="6"/>
      <c r="SG171" s="6"/>
      <c r="SH171" s="6"/>
      <c r="SI171" s="6"/>
      <c r="SJ171" s="6"/>
      <c r="SK171" s="6"/>
      <c r="SL171" s="6"/>
      <c r="SM171" s="6"/>
      <c r="SN171" s="6"/>
      <c r="SO171" s="6"/>
      <c r="SP171" s="6"/>
      <c r="SQ171" s="6"/>
      <c r="SR171" s="6"/>
      <c r="SS171" s="6"/>
      <c r="ST171" s="6"/>
      <c r="SU171" s="6"/>
      <c r="SV171" s="6"/>
      <c r="SW171" s="6"/>
      <c r="SX171" s="6"/>
      <c r="SY171" s="6"/>
      <c r="SZ171" s="6"/>
      <c r="TA171" s="6"/>
      <c r="TB171" s="6"/>
      <c r="TC171" s="6"/>
      <c r="TD171" s="6"/>
      <c r="TE171" s="6"/>
      <c r="TF171" s="6"/>
      <c r="TG171" s="6"/>
      <c r="TH171" s="6"/>
      <c r="TI171" s="6"/>
      <c r="TJ171" s="6"/>
      <c r="TK171" s="6"/>
      <c r="TL171" s="6"/>
      <c r="TM171" s="6"/>
      <c r="TN171" s="6"/>
      <c r="TO171" s="6"/>
      <c r="TP171" s="6"/>
      <c r="TQ171" s="6"/>
      <c r="TR171" s="6"/>
      <c r="TS171" s="6"/>
      <c r="TT171" s="6"/>
      <c r="TU171" s="6"/>
      <c r="TV171" s="6"/>
      <c r="TW171" s="6"/>
      <c r="TX171" s="6"/>
      <c r="TY171" s="6"/>
      <c r="TZ171" s="6"/>
      <c r="UA171" s="6"/>
      <c r="UB171" s="6"/>
      <c r="UC171" s="6"/>
      <c r="UD171" s="6"/>
      <c r="UE171" s="6"/>
      <c r="UF171" s="6"/>
      <c r="UG171" s="6"/>
      <c r="UH171" s="6"/>
      <c r="UI171" s="6"/>
      <c r="UJ171" s="6"/>
      <c r="UK171" s="6"/>
      <c r="UL171" s="6"/>
      <c r="UM171" s="6"/>
      <c r="UN171" s="6"/>
      <c r="UO171" s="6"/>
      <c r="UP171" s="6"/>
      <c r="UQ171" s="6"/>
      <c r="UR171" s="6"/>
      <c r="US171" s="6"/>
      <c r="UT171" s="6"/>
      <c r="UU171" s="6"/>
      <c r="UV171" s="6"/>
      <c r="UW171" s="6"/>
      <c r="UX171" s="6"/>
      <c r="UY171" s="6"/>
      <c r="UZ171" s="6"/>
      <c r="VA171" s="6"/>
      <c r="VB171" s="6"/>
      <c r="VC171" s="6"/>
      <c r="VD171" s="6"/>
      <c r="VE171" s="6"/>
      <c r="VF171" s="6"/>
      <c r="VG171" s="6"/>
      <c r="VH171" s="6"/>
      <c r="VI171" s="6"/>
      <c r="VJ171" s="6"/>
      <c r="VK171" s="6"/>
      <c r="VL171" s="6"/>
      <c r="VM171" s="6"/>
      <c r="VN171" s="6"/>
      <c r="VO171" s="6"/>
      <c r="VP171" s="6"/>
      <c r="VQ171" s="6"/>
      <c r="VR171" s="6"/>
      <c r="VS171" s="6"/>
      <c r="VT171" s="6"/>
      <c r="VU171" s="6"/>
      <c r="VV171" s="6"/>
      <c r="VW171" s="6"/>
      <c r="VX171" s="6"/>
      <c r="VY171" s="6"/>
      <c r="VZ171" s="6"/>
      <c r="WA171" s="6"/>
      <c r="WB171" s="6"/>
      <c r="WC171" s="6"/>
      <c r="WD171" s="6"/>
      <c r="WE171" s="6"/>
      <c r="WF171" s="6"/>
      <c r="WG171" s="6"/>
      <c r="WH171" s="6"/>
      <c r="WI171" s="6"/>
      <c r="WJ171" s="6"/>
      <c r="WK171" s="6"/>
      <c r="WL171" s="6"/>
      <c r="WM171" s="6"/>
      <c r="WN171" s="6"/>
      <c r="WO171" s="6"/>
      <c r="WP171" s="6"/>
      <c r="WQ171" s="6"/>
      <c r="WR171" s="6"/>
      <c r="WS171" s="6"/>
      <c r="WT171" s="6"/>
      <c r="WU171" s="6"/>
      <c r="WV171" s="6"/>
      <c r="WW171" s="6"/>
      <c r="WX171" s="6"/>
      <c r="WY171" s="6"/>
      <c r="WZ171" s="6"/>
      <c r="XA171" s="6"/>
      <c r="XB171" s="6"/>
      <c r="XC171" s="6"/>
      <c r="XD171" s="6"/>
      <c r="XE171" s="6"/>
      <c r="XF171" s="6"/>
      <c r="XG171" s="6"/>
      <c r="XH171" s="6"/>
      <c r="XI171" s="6"/>
      <c r="XJ171" s="6"/>
      <c r="XK171" s="6"/>
      <c r="XL171" s="6"/>
      <c r="XM171" s="6"/>
      <c r="XN171" s="6"/>
      <c r="XO171" s="6"/>
      <c r="XP171" s="6"/>
      <c r="XQ171" s="6"/>
      <c r="XR171" s="6"/>
      <c r="XS171" s="6"/>
      <c r="XT171" s="6"/>
      <c r="XU171" s="6"/>
      <c r="XV171" s="6"/>
      <c r="XW171" s="6"/>
      <c r="XX171" s="6"/>
      <c r="XY171" s="6"/>
      <c r="XZ171" s="6"/>
      <c r="YA171" s="6"/>
      <c r="YB171" s="6"/>
      <c r="YC171" s="6"/>
      <c r="YD171" s="6"/>
      <c r="YE171" s="6"/>
      <c r="YF171" s="6"/>
      <c r="YG171" s="6"/>
      <c r="YH171" s="6"/>
      <c r="YI171" s="6"/>
      <c r="YJ171" s="6"/>
      <c r="YK171" s="6"/>
      <c r="YL171" s="6"/>
      <c r="YM171" s="6"/>
      <c r="YN171" s="6"/>
      <c r="YO171" s="6"/>
      <c r="YP171" s="6"/>
      <c r="YQ171" s="6"/>
      <c r="YR171" s="6"/>
      <c r="YS171" s="6"/>
      <c r="YT171" s="6"/>
      <c r="YU171" s="6"/>
      <c r="YV171" s="6"/>
      <c r="YW171" s="6"/>
      <c r="YX171" s="6"/>
      <c r="YY171" s="6"/>
      <c r="YZ171" s="6"/>
      <c r="ZA171" s="6"/>
      <c r="ZB171" s="6"/>
      <c r="ZC171" s="6"/>
      <c r="ZD171" s="6"/>
      <c r="ZE171" s="6"/>
      <c r="ZF171" s="6"/>
      <c r="ZG171" s="6"/>
      <c r="ZH171" s="6"/>
      <c r="ZI171" s="6"/>
      <c r="ZJ171" s="6"/>
      <c r="ZK171" s="6"/>
      <c r="ZL171" s="6"/>
      <c r="ZM171" s="6"/>
      <c r="ZN171" s="6"/>
      <c r="ZO171" s="6"/>
      <c r="ZP171" s="6"/>
      <c r="ZQ171" s="6"/>
      <c r="ZR171" s="6"/>
      <c r="ZS171" s="6"/>
      <c r="ZT171" s="6"/>
      <c r="ZU171" s="6"/>
      <c r="ZV171" s="6"/>
      <c r="ZW171" s="6"/>
      <c r="ZX171" s="6"/>
      <c r="ZY171" s="6"/>
      <c r="ZZ171" s="6"/>
      <c r="AAA171" s="6"/>
      <c r="AAB171" s="6"/>
      <c r="AAC171" s="6"/>
      <c r="AAD171" s="6"/>
      <c r="AAE171" s="6"/>
      <c r="AAF171" s="6"/>
      <c r="AAG171" s="6"/>
      <c r="AAH171" s="6"/>
      <c r="AAI171" s="6"/>
      <c r="AAJ171" s="6"/>
      <c r="AAK171" s="6"/>
      <c r="AAL171" s="6"/>
      <c r="AAM171" s="6"/>
      <c r="AAN171" s="6"/>
      <c r="AAO171" s="6"/>
      <c r="AAP171" s="6"/>
      <c r="AAQ171" s="6"/>
      <c r="AAR171" s="6"/>
      <c r="AAS171" s="6"/>
      <c r="AAT171" s="6"/>
      <c r="AAU171" s="6"/>
      <c r="AAV171" s="6"/>
      <c r="AAW171" s="6"/>
      <c r="AAX171" s="6"/>
      <c r="AAY171" s="6"/>
      <c r="AAZ171" s="6"/>
      <c r="ABA171" s="6"/>
      <c r="ABB171" s="6"/>
      <c r="ABC171" s="6"/>
      <c r="ABD171" s="6"/>
      <c r="ABE171" s="6"/>
      <c r="ABF171" s="6"/>
      <c r="ABG171" s="6"/>
      <c r="ABH171" s="6"/>
      <c r="ABI171" s="6"/>
      <c r="ABJ171" s="6"/>
      <c r="ABK171" s="6"/>
      <c r="ABL171" s="6"/>
      <c r="ABM171" s="6"/>
      <c r="ABN171" s="6"/>
      <c r="ABO171" s="6"/>
      <c r="ABP171" s="6"/>
      <c r="ABQ171" s="6"/>
      <c r="ABR171" s="6"/>
      <c r="ABS171" s="6"/>
      <c r="ABT171" s="6"/>
      <c r="ABU171" s="6"/>
      <c r="ABV171" s="6"/>
      <c r="ABW171" s="6"/>
      <c r="ABX171" s="6"/>
      <c r="ABY171" s="6"/>
      <c r="ABZ171" s="6"/>
      <c r="ACA171" s="6"/>
      <c r="ACB171" s="6"/>
      <c r="ACC171" s="6"/>
      <c r="ACD171" s="6"/>
      <c r="ACE171" s="6"/>
      <c r="ACF171" s="6"/>
      <c r="ACG171" s="6"/>
      <c r="ACH171" s="6"/>
      <c r="ACI171" s="6"/>
      <c r="ACJ171" s="6"/>
      <c r="ACK171" s="6"/>
      <c r="ACL171" s="6"/>
      <c r="ACM171" s="6"/>
      <c r="ACN171" s="6"/>
      <c r="ACO171" s="6"/>
      <c r="ACP171" s="6"/>
      <c r="ACQ171" s="6"/>
      <c r="ACR171" s="6"/>
      <c r="ACS171" s="6"/>
      <c r="ACT171" s="6"/>
      <c r="ACU171" s="6"/>
      <c r="ACV171" s="6"/>
      <c r="ACW171" s="6"/>
      <c r="ACX171" s="6"/>
      <c r="ACY171" s="6"/>
      <c r="ACZ171" s="6"/>
      <c r="ADA171" s="6"/>
      <c r="ADB171" s="6"/>
      <c r="ADC171" s="6"/>
      <c r="ADD171" s="6"/>
      <c r="ADE171" s="6"/>
      <c r="ADF171" s="6"/>
      <c r="ADG171" s="6"/>
      <c r="ADH171" s="6"/>
      <c r="ADI171" s="6"/>
      <c r="ADJ171" s="6"/>
      <c r="ADK171" s="6"/>
      <c r="ADL171" s="6"/>
      <c r="ADM171" s="6"/>
      <c r="ADN171" s="6"/>
      <c r="ADO171" s="6"/>
      <c r="ADP171" s="6"/>
      <c r="ADQ171" s="6"/>
      <c r="ADR171" s="6"/>
      <c r="ADS171" s="6"/>
      <c r="ADT171" s="6"/>
      <c r="ADU171" s="6"/>
      <c r="ADV171" s="6"/>
      <c r="ADW171" s="6"/>
      <c r="ADX171" s="6"/>
      <c r="ADY171" s="6"/>
      <c r="ADZ171" s="6"/>
      <c r="AEA171" s="6"/>
      <c r="AEB171" s="6"/>
      <c r="AEC171" s="6"/>
      <c r="AED171" s="6"/>
      <c r="AEE171" s="6"/>
      <c r="AEF171" s="6"/>
      <c r="AEG171" s="6"/>
      <c r="AEH171" s="6"/>
      <c r="AEI171" s="6"/>
      <c r="AEJ171" s="6"/>
      <c r="AEK171" s="6"/>
      <c r="AEL171" s="6"/>
      <c r="AEM171" s="6"/>
      <c r="AEN171" s="6"/>
      <c r="AEO171" s="6"/>
      <c r="AEP171" s="6"/>
      <c r="AEQ171" s="6"/>
      <c r="AER171" s="6"/>
      <c r="AES171" s="6"/>
      <c r="AET171" s="6"/>
      <c r="AEU171" s="6"/>
      <c r="AEV171" s="6"/>
      <c r="AEW171" s="6"/>
      <c r="AEX171" s="6"/>
      <c r="AEY171" s="6"/>
      <c r="AEZ171" s="6"/>
      <c r="AFA171" s="6"/>
      <c r="AFB171" s="6"/>
      <c r="AFC171" s="6"/>
      <c r="AFD171" s="6"/>
      <c r="AFE171" s="6"/>
      <c r="AFF171" s="6"/>
      <c r="AFG171" s="6"/>
      <c r="AFH171" s="6"/>
      <c r="AFI171" s="6"/>
      <c r="AFJ171" s="6"/>
      <c r="AFK171" s="6"/>
      <c r="AFL171" s="6"/>
      <c r="AFM171" s="6"/>
      <c r="AFN171" s="6"/>
      <c r="AFO171" s="6"/>
      <c r="AFP171" s="6"/>
      <c r="AFQ171" s="6"/>
      <c r="AFR171" s="6"/>
      <c r="AFS171" s="6"/>
      <c r="AFT171" s="6"/>
      <c r="AFU171" s="6"/>
      <c r="AFV171" s="6"/>
      <c r="AFW171" s="6"/>
      <c r="AFX171" s="6"/>
      <c r="AFY171" s="6"/>
      <c r="AFZ171" s="6"/>
      <c r="AGA171" s="6"/>
      <c r="AGB171" s="6"/>
      <c r="AGC171" s="6"/>
      <c r="AGD171" s="6"/>
      <c r="AGE171" s="6"/>
      <c r="AGF171" s="6"/>
      <c r="AGG171" s="6"/>
      <c r="AGH171" s="6"/>
      <c r="AGI171" s="6"/>
      <c r="AGJ171" s="6"/>
      <c r="AGK171" s="6"/>
      <c r="AGL171" s="6"/>
      <c r="AGM171" s="6"/>
      <c r="AGN171" s="6"/>
      <c r="AGO171" s="6"/>
      <c r="AGP171" s="6"/>
      <c r="AGQ171" s="6"/>
      <c r="AGR171" s="6"/>
      <c r="AGS171" s="6"/>
      <c r="AGT171" s="6"/>
      <c r="AGU171" s="6"/>
      <c r="AGV171" s="6"/>
      <c r="AGW171" s="6"/>
      <c r="AGX171" s="6"/>
      <c r="AGY171" s="6"/>
      <c r="AGZ171" s="6"/>
      <c r="AHA171" s="6"/>
      <c r="AHB171" s="6"/>
      <c r="AHC171" s="6"/>
      <c r="AHD171" s="6"/>
      <c r="AHE171" s="6"/>
      <c r="AHF171" s="6"/>
      <c r="AHG171" s="6"/>
      <c r="AHH171" s="6"/>
      <c r="AHI171" s="6"/>
      <c r="AHJ171" s="6"/>
      <c r="AHK171" s="6"/>
      <c r="AHL171" s="6"/>
      <c r="AHM171" s="6"/>
      <c r="AHN171" s="6"/>
      <c r="AHO171" s="6"/>
      <c r="AHP171" s="6"/>
      <c r="AHQ171" s="6"/>
      <c r="AHR171" s="6"/>
      <c r="AHS171" s="6"/>
      <c r="AHT171" s="6"/>
      <c r="AHU171" s="6"/>
      <c r="AHV171" s="6"/>
      <c r="AHW171" s="6"/>
      <c r="AHX171" s="6"/>
      <c r="AHY171" s="6"/>
      <c r="AHZ171" s="6"/>
      <c r="AIA171" s="6"/>
      <c r="AIB171" s="6"/>
      <c r="AIC171" s="6"/>
      <c r="AID171" s="6"/>
      <c r="AIE171" s="6"/>
      <c r="AIF171" s="6"/>
      <c r="AIG171" s="6"/>
      <c r="AIH171" s="6"/>
      <c r="AII171" s="6"/>
      <c r="AIJ171" s="6"/>
      <c r="AIK171" s="6"/>
      <c r="AIL171" s="6"/>
      <c r="AIM171" s="6"/>
      <c r="AIN171" s="6"/>
      <c r="AIO171" s="6"/>
      <c r="AIP171" s="6"/>
      <c r="AIQ171" s="6"/>
      <c r="AIR171" s="6"/>
      <c r="AIS171" s="6"/>
      <c r="AIT171" s="6"/>
      <c r="AIU171" s="6"/>
      <c r="AIV171" s="6"/>
      <c r="AIW171" s="6"/>
      <c r="AIX171" s="6"/>
      <c r="AIY171" s="6"/>
      <c r="AIZ171" s="6"/>
      <c r="AJA171" s="6"/>
      <c r="AJB171" s="6"/>
      <c r="AJC171" s="6"/>
      <c r="AJD171" s="6"/>
      <c r="AJE171" s="6"/>
      <c r="AJF171" s="6"/>
      <c r="AJG171" s="6"/>
      <c r="AJH171" s="6"/>
      <c r="AJI171" s="6"/>
      <c r="AJJ171" s="6"/>
      <c r="AJK171" s="6"/>
      <c r="AJL171" s="6"/>
      <c r="AJM171" s="6"/>
      <c r="AJN171" s="6"/>
      <c r="AJO171" s="6"/>
      <c r="AJP171" s="6"/>
      <c r="AJQ171" s="6"/>
      <c r="AJR171" s="6"/>
      <c r="AJS171" s="6"/>
      <c r="AJT171" s="6"/>
      <c r="AJU171" s="6"/>
      <c r="AJV171" s="6"/>
      <c r="AJW171" s="6"/>
      <c r="AJX171" s="6"/>
      <c r="AJY171" s="6"/>
      <c r="AJZ171" s="6"/>
      <c r="AKA171" s="6"/>
      <c r="AKB171" s="6"/>
      <c r="AKC171" s="6"/>
      <c r="AKD171" s="6"/>
      <c r="AKE171" s="6"/>
      <c r="AKF171" s="6"/>
      <c r="AKG171" s="6"/>
      <c r="AKH171" s="6"/>
      <c r="AKI171" s="6"/>
      <c r="AKJ171" s="6"/>
      <c r="AKK171" s="6"/>
      <c r="AKL171" s="6"/>
      <c r="AKM171" s="6"/>
      <c r="AKN171" s="6"/>
      <c r="AKO171" s="6"/>
      <c r="AKP171" s="6"/>
      <c r="AKQ171" s="6"/>
      <c r="AKR171" s="6"/>
      <c r="AKS171" s="6"/>
      <c r="AKT171" s="6"/>
      <c r="AKU171" s="6"/>
      <c r="AKV171" s="6"/>
      <c r="AKW171" s="6"/>
      <c r="AKX171" s="6"/>
      <c r="AKY171" s="6"/>
      <c r="AKZ171" s="6"/>
      <c r="ALA171" s="6"/>
      <c r="ALB171" s="6"/>
      <c r="ALC171" s="6"/>
      <c r="ALD171" s="6"/>
      <c r="ALE171" s="6"/>
      <c r="ALF171" s="6"/>
      <c r="ALG171" s="6"/>
      <c r="ALH171" s="6"/>
      <c r="ALI171" s="6"/>
      <c r="ALJ171" s="6"/>
      <c r="ALK171" s="6"/>
      <c r="ALL171" s="6"/>
      <c r="ALM171" s="6"/>
      <c r="ALN171" s="6"/>
      <c r="ALO171" s="6"/>
      <c r="ALP171" s="6"/>
      <c r="ALQ171" s="6"/>
      <c r="ALR171" s="6"/>
      <c r="ALS171" s="6"/>
      <c r="ALT171" s="6"/>
      <c r="ALU171" s="6"/>
      <c r="ALV171" s="6"/>
      <c r="ALW171" s="6"/>
      <c r="ALX171" s="6"/>
      <c r="ALY171" s="6"/>
      <c r="ALZ171" s="6"/>
      <c r="AMA171" s="6"/>
      <c r="AMB171" s="6"/>
      <c r="AMC171" s="6"/>
      <c r="AMD171" s="6"/>
      <c r="AME171" s="6"/>
      <c r="AMF171" s="6"/>
      <c r="AMG171" s="6"/>
      <c r="AMH171" s="6"/>
      <c r="AMI171" s="6"/>
      <c r="AMJ171" s="6"/>
      <c r="AMK171" s="6"/>
      <c r="AML171" s="6"/>
      <c r="AMM171" s="6"/>
      <c r="AMN171" s="6"/>
      <c r="AMO171" s="6"/>
      <c r="AMP171" s="6"/>
    </row>
    <row r="172" spans="1:1030" x14ac:dyDescent="0.2">
      <c r="A172" s="3" t="str">
        <f>CONCATENATE(B172,"_",C172)</f>
        <v>ccr2_human_6GPX</v>
      </c>
      <c r="B172" s="3" t="s">
        <v>170</v>
      </c>
      <c r="C172" s="3" t="s">
        <v>1541</v>
      </c>
      <c r="D172" s="3" t="str">
        <f>IFERROR(MID(VLOOKUP($B172,Seqs!$A:$B,2,0),E172,1),"")</f>
        <v>F</v>
      </c>
      <c r="E172" s="3">
        <v>35</v>
      </c>
      <c r="F172" s="3" t="str">
        <f>IFERROR(MID(VLOOKUP($B172,Seqs!$A:$B,2,0),G172,1),"")</f>
        <v>K</v>
      </c>
      <c r="G172" s="3">
        <v>71</v>
      </c>
      <c r="H172" s="3" t="str">
        <f>IFERROR(MID(VLOOKUP($B172,Seqs!$A:$B,2,0),I172,1),"")</f>
        <v/>
      </c>
      <c r="I172" s="23" t="s">
        <v>23</v>
      </c>
      <c r="J172" s="3" t="str">
        <f>IFERROR(MID(VLOOKUP($B172,Seqs!$A:$B,2,0),K172,1),"")</f>
        <v/>
      </c>
      <c r="K172" s="23" t="s">
        <v>23</v>
      </c>
      <c r="L172" s="3" t="str">
        <f>IFERROR(MID(VLOOKUP($B172,Seqs!$A:$B,2,0),M172,1),"")</f>
        <v>C</v>
      </c>
      <c r="M172" s="3">
        <v>75</v>
      </c>
      <c r="N172" s="3" t="str">
        <f>IFERROR(MID(VLOOKUP($B172,Seqs!$A:$B,2,0),O172,1),"")</f>
        <v>A</v>
      </c>
      <c r="O172" s="3">
        <v>102</v>
      </c>
      <c r="P172" s="3" t="str">
        <f>IFERROR(MID(VLOOKUP($B172,Seqs!$A:$B,2,0),Q172,1),"")</f>
        <v>E</v>
      </c>
      <c r="Q172" s="3">
        <v>105</v>
      </c>
      <c r="R172" s="3" t="str">
        <f>IFERROR(MID(VLOOKUP($B172,Seqs!$A:$B,2,0),S172,1),"")</f>
        <v>F</v>
      </c>
      <c r="S172" s="3">
        <v>108</v>
      </c>
      <c r="T172" s="3" t="str">
        <f>IFERROR(MID(VLOOKUP($B172,Seqs!$A:$B,2,0),U172,1),"")</f>
        <v>G</v>
      </c>
      <c r="U172" s="3">
        <v>109</v>
      </c>
      <c r="V172" s="3" t="str">
        <f>IFERROR(MID(VLOOKUP($B172,Seqs!$A:$B,2,0),W172,1),"")</f>
        <v>H</v>
      </c>
      <c r="W172" s="3">
        <v>144</v>
      </c>
      <c r="X172" s="3" t="str">
        <f>IFERROR(MID(VLOOKUP($B172,Seqs!$A:$B,2,0),Y172,1),"")</f>
        <v/>
      </c>
      <c r="Y172" s="3" t="s">
        <v>23</v>
      </c>
      <c r="Z172" s="3" t="str">
        <f>IFERROR(MID(VLOOKUP($B172,Seqs!$A:$B,2,0),AA172,1),"")</f>
        <v/>
      </c>
      <c r="AA172" s="3" t="s">
        <v>23</v>
      </c>
      <c r="AB172" s="3" t="str">
        <f>IFERROR(MID(VLOOKUP($B172,Seqs!$A:$B,2,0),AC172,1),"")</f>
        <v>R</v>
      </c>
      <c r="AC172" s="3">
        <v>152</v>
      </c>
      <c r="AD172" s="3" t="str">
        <f>IFERROR(MID(VLOOKUP($B172,Seqs!$A:$B,2,0),AE172,1),"")</f>
        <v>T</v>
      </c>
      <c r="AE172" s="3">
        <v>179</v>
      </c>
      <c r="AF172" s="3" t="str">
        <f>IFERROR(MID(VLOOKUP($B172,Seqs!$A:$B,2,0),AG172,1),"")</f>
        <v>C</v>
      </c>
      <c r="AG172" s="3">
        <v>190</v>
      </c>
      <c r="AH172" s="3" t="str">
        <f>IFERROR(MID(VLOOKUP($B172,Seqs!$A:$B,2,0),AI172,1),"")</f>
        <v>P</v>
      </c>
      <c r="AI172" s="3">
        <v>192</v>
      </c>
      <c r="AJ172" s="3" t="str">
        <f>IFERROR(MID(VLOOKUP($B172,Seqs!$A:$B,2,0),AK172,1),"")</f>
        <v>P</v>
      </c>
      <c r="AK172" s="3">
        <v>195</v>
      </c>
      <c r="AL172" s="3" t="str">
        <f>IFERROR(MID(VLOOKUP($B172,Seqs!$A:$B,2,0),AM172,1),"")</f>
        <v>L</v>
      </c>
      <c r="AM172" s="3">
        <v>229</v>
      </c>
      <c r="AN172" s="3" t="str">
        <f>IFERROR(MID(VLOOKUP($B172,Seqs!$A:$B,2,0),AO172,1),"")</f>
        <v>A</v>
      </c>
      <c r="AO172" s="3">
        <v>241</v>
      </c>
      <c r="AP172" s="3" t="str">
        <f>IFERROR(MID(VLOOKUP($B172,Seqs!$A:$B,2,0),AQ172,1),"")</f>
        <v>F</v>
      </c>
      <c r="AQ172" s="3">
        <v>268</v>
      </c>
      <c r="AR172" s="3" t="str">
        <f>IFERROR(MID(VLOOKUP($B172,Seqs!$A:$B,2,0),AS172,1),"")</f>
        <v>N</v>
      </c>
      <c r="AS172" s="3">
        <v>276</v>
      </c>
      <c r="AT172" s="3" t="str">
        <f>IFERROR(MID(VLOOKUP($B172,Seqs!$A:$B,2,0),AU172,1),"")</f>
        <v>V</v>
      </c>
      <c r="AU172" s="3">
        <v>308</v>
      </c>
      <c r="AV172" s="3" t="str">
        <f>IFERROR(MID(VLOOKUP($B172,Seqs!$A:$B,2,0),AW172,1),"")</f>
        <v/>
      </c>
      <c r="AW172" s="3" t="s">
        <v>23</v>
      </c>
      <c r="AX172" s="3" t="str">
        <f>IFERROR(MID(VLOOKUP($B172,Seqs!$A:$B,2,0),AY172,1),"")</f>
        <v/>
      </c>
      <c r="AY172" s="3" t="s">
        <v>23</v>
      </c>
      <c r="AZ172" s="77" t="str">
        <f>VLOOKUP(B172,Classification!A:D,2,0)</f>
        <v>A</v>
      </c>
      <c r="BA172" s="94" t="str">
        <f>VLOOKUP(B172,Classification!A:D,4,0)</f>
        <v>Chemokine</v>
      </c>
      <c r="BB172" s="27" t="b">
        <f t="shared" ref="BB172" si="1030">AND(E172&lt;G172,OR(G172&lt;I172,I172="-"),OR(I172&lt;K172,I172="-"),OR(K172&lt;M172,K172="-"),M172&lt;O172,OR(O172&lt;Q172,Q172="-"),OR(Q172&lt;S172,Q172="-"),OR(S172&lt;U172,S172="-"),U172&lt;W172,OR(W172&lt;Y172,Y172="-"),OR(Y172&lt;AA172,Y172="-"),OR(AA172&lt;AC172,AA172="-"),AC172&lt;AE172,OR(AE172&lt;AG172,AG172="-"),OR(AG172&lt;AI172,AG172="-"),OR(AI172&lt;AK172,AI172="-"),AK172&lt;AM172,AM172&lt;AO172,AO172&lt;AQ172,AQ172&lt;AS172,AS172&lt;AU172,OR(AU172&lt;AW172,AW172="-"),OR(AW172&lt;AY172,AW172="-"))</f>
        <v>1</v>
      </c>
      <c r="BC172" s="23">
        <f t="shared" ref="BC172" si="1031">_xlfn.AGGREGATE(9,6,CH172:CS172)-_xlfn.AGGREGATE(9,6,BV172:CG172)+12</f>
        <v>235</v>
      </c>
      <c r="BD172" s="16" t="s">
        <v>23</v>
      </c>
      <c r="BE172" s="3" t="s">
        <v>1368</v>
      </c>
      <c r="BF172" s="118">
        <v>2.7</v>
      </c>
      <c r="BG172" s="49" t="s">
        <v>1</v>
      </c>
      <c r="BH172" s="49" t="s">
        <v>1</v>
      </c>
      <c r="BI172" s="1"/>
      <c r="BJ172" s="70" t="s">
        <v>1281</v>
      </c>
      <c r="BK172" s="57" t="s">
        <v>1281</v>
      </c>
      <c r="BL172" s="57" t="s">
        <v>1281</v>
      </c>
      <c r="BM172" s="57" t="s">
        <v>1281</v>
      </c>
      <c r="BN172" s="57" t="s">
        <v>1281</v>
      </c>
      <c r="BO172" s="57" t="s">
        <v>1281</v>
      </c>
      <c r="BP172" s="57" t="s">
        <v>1281</v>
      </c>
      <c r="BQ172" s="57" t="s">
        <v>1281</v>
      </c>
      <c r="BR172" s="57" t="s">
        <v>1281</v>
      </c>
      <c r="BS172" s="57" t="s">
        <v>1281</v>
      </c>
      <c r="BT172" s="57" t="s">
        <v>1281</v>
      </c>
      <c r="BU172" s="57" t="s">
        <v>1281</v>
      </c>
      <c r="BV172" s="70">
        <f>E172</f>
        <v>35</v>
      </c>
      <c r="BW172" s="71" t="str">
        <f>I172</f>
        <v>-</v>
      </c>
      <c r="BX172" s="72">
        <f>M172</f>
        <v>75</v>
      </c>
      <c r="BY172" s="71">
        <f>Q172</f>
        <v>105</v>
      </c>
      <c r="BZ172" s="72">
        <f>U172</f>
        <v>109</v>
      </c>
      <c r="CA172" s="71" t="str">
        <f>Y172</f>
        <v>-</v>
      </c>
      <c r="CB172" s="72">
        <f>AC172</f>
        <v>152</v>
      </c>
      <c r="CC172" s="71">
        <f>AG172</f>
        <v>190</v>
      </c>
      <c r="CD172" s="72">
        <f>AK172</f>
        <v>195</v>
      </c>
      <c r="CE172" s="71">
        <f>AO172</f>
        <v>241</v>
      </c>
      <c r="CF172" s="72">
        <f>AS172</f>
        <v>276</v>
      </c>
      <c r="CG172" s="71" t="str">
        <f>AW172</f>
        <v>-</v>
      </c>
      <c r="CH172" s="70">
        <f>G172</f>
        <v>71</v>
      </c>
      <c r="CI172" s="71" t="str">
        <f>K172</f>
        <v>-</v>
      </c>
      <c r="CJ172" s="72">
        <f>O172</f>
        <v>102</v>
      </c>
      <c r="CK172" s="72">
        <f>S172</f>
        <v>108</v>
      </c>
      <c r="CL172" s="72">
        <f>W172</f>
        <v>144</v>
      </c>
      <c r="CM172" s="72" t="str">
        <f>AA172</f>
        <v>-</v>
      </c>
      <c r="CN172" s="72">
        <f>AE172</f>
        <v>179</v>
      </c>
      <c r="CO172" s="72">
        <f>AI172</f>
        <v>192</v>
      </c>
      <c r="CP172" s="72">
        <f>AM172</f>
        <v>229</v>
      </c>
      <c r="CQ172" s="72">
        <f>AQ172</f>
        <v>268</v>
      </c>
      <c r="CR172" s="72">
        <f>AU172</f>
        <v>308</v>
      </c>
      <c r="CS172" s="72" t="str">
        <f>AY172</f>
        <v>-</v>
      </c>
      <c r="CT172" s="23" t="e">
        <f>M172-K172</f>
        <v>#VALUE!</v>
      </c>
      <c r="CU172" s="6"/>
      <c r="CV172" s="6"/>
      <c r="CW172" s="6"/>
      <c r="CX172" s="6"/>
      <c r="CY172" s="6"/>
      <c r="CZ172" s="6"/>
      <c r="DA172" s="6"/>
      <c r="DB172" s="6"/>
      <c r="DC172" s="6"/>
      <c r="DD172" s="6"/>
      <c r="DE172" s="6"/>
      <c r="DF172" s="6"/>
      <c r="DG172" s="6"/>
      <c r="DH172" s="6"/>
      <c r="DI172" s="6"/>
      <c r="DJ172" s="6"/>
      <c r="DK172" s="6"/>
      <c r="DL172" s="6"/>
      <c r="DM172" s="6"/>
      <c r="DN172" s="6"/>
      <c r="DO172" s="6"/>
      <c r="DP172" s="6"/>
      <c r="DQ172" s="6"/>
      <c r="DR172" s="6"/>
      <c r="DS172" s="6"/>
      <c r="DT172" s="6"/>
      <c r="DU172" s="6"/>
      <c r="DV172" s="6"/>
      <c r="DW172" s="6"/>
      <c r="DX172" s="6"/>
      <c r="DY172" s="6"/>
      <c r="DZ172" s="6"/>
      <c r="EA172" s="6"/>
      <c r="EB172" s="6"/>
      <c r="EC172" s="6"/>
      <c r="ED172" s="6"/>
      <c r="EE172" s="6"/>
      <c r="EF172" s="6"/>
      <c r="EG172" s="6"/>
      <c r="EH172" s="6"/>
      <c r="EI172" s="6"/>
      <c r="EJ172" s="6"/>
      <c r="EK172" s="6"/>
      <c r="EL172" s="6"/>
      <c r="EM172" s="6"/>
      <c r="EN172" s="6"/>
      <c r="EO172" s="6"/>
      <c r="EP172" s="6"/>
      <c r="EQ172" s="6"/>
      <c r="ER172" s="6"/>
      <c r="ES172" s="6"/>
      <c r="ET172" s="6"/>
      <c r="EU172" s="6"/>
      <c r="EV172" s="6"/>
      <c r="EW172" s="6"/>
      <c r="EX172" s="6"/>
      <c r="EY172" s="6"/>
      <c r="EZ172" s="6"/>
      <c r="FA172" s="6"/>
      <c r="FB172" s="6"/>
      <c r="FC172" s="6"/>
      <c r="FD172" s="6"/>
      <c r="FE172" s="6"/>
      <c r="FF172" s="6"/>
      <c r="FG172" s="6"/>
      <c r="FH172" s="6"/>
      <c r="FI172" s="6"/>
      <c r="FJ172" s="6"/>
      <c r="FK172" s="6"/>
      <c r="FL172" s="6"/>
      <c r="FM172" s="6"/>
      <c r="FN172" s="6"/>
      <c r="FO172" s="6"/>
      <c r="FP172" s="6"/>
      <c r="FQ172" s="6"/>
      <c r="FR172" s="6"/>
      <c r="FS172" s="6"/>
      <c r="FT172" s="6"/>
      <c r="FU172" s="6"/>
      <c r="FV172" s="6"/>
      <c r="FW172" s="6"/>
      <c r="FX172" s="6"/>
      <c r="FY172" s="6"/>
      <c r="FZ172" s="6"/>
      <c r="GA172" s="6"/>
      <c r="GB172" s="6"/>
      <c r="GC172" s="6"/>
      <c r="GD172" s="6"/>
      <c r="GE172" s="6"/>
      <c r="GF172" s="6"/>
      <c r="GG172" s="6"/>
      <c r="GH172" s="6"/>
      <c r="GI172" s="6"/>
      <c r="GJ172" s="6"/>
      <c r="GK172" s="6"/>
      <c r="GL172" s="6"/>
      <c r="GM172" s="6"/>
      <c r="GN172" s="6"/>
      <c r="GO172" s="6"/>
      <c r="GP172" s="6"/>
      <c r="GQ172" s="6"/>
      <c r="GR172" s="6"/>
      <c r="GS172" s="6"/>
      <c r="GT172" s="6"/>
      <c r="GU172" s="6"/>
      <c r="GV172" s="6"/>
      <c r="GW172" s="6"/>
      <c r="GX172" s="6"/>
      <c r="GY172" s="6"/>
      <c r="GZ172" s="6"/>
      <c r="HA172" s="6"/>
      <c r="HB172" s="6"/>
      <c r="HC172" s="6"/>
      <c r="HD172" s="6"/>
      <c r="HE172" s="6"/>
      <c r="HF172" s="6"/>
      <c r="HG172" s="6"/>
      <c r="HH172" s="6"/>
      <c r="HI172" s="6"/>
      <c r="HJ172" s="6"/>
      <c r="HK172" s="6"/>
      <c r="HL172" s="6"/>
      <c r="HM172" s="6"/>
      <c r="HN172" s="6"/>
      <c r="HO172" s="6"/>
      <c r="HP172" s="6"/>
      <c r="HQ172" s="6"/>
      <c r="HR172" s="6"/>
      <c r="HS172" s="6"/>
      <c r="HT172" s="6"/>
      <c r="HU172" s="6"/>
      <c r="HV172" s="6"/>
      <c r="HW172" s="6"/>
      <c r="HX172" s="6"/>
      <c r="HY172" s="6"/>
      <c r="HZ172" s="6"/>
      <c r="IA172" s="6"/>
      <c r="IB172" s="6"/>
      <c r="IC172" s="6"/>
      <c r="ID172" s="6"/>
      <c r="IE172" s="6"/>
      <c r="IF172" s="6"/>
      <c r="IG172" s="6"/>
      <c r="IH172" s="6"/>
      <c r="II172" s="6"/>
      <c r="IJ172" s="6"/>
      <c r="IK172" s="6"/>
      <c r="IL172" s="6"/>
      <c r="IM172" s="6"/>
      <c r="IN172" s="6"/>
      <c r="IO172" s="6"/>
      <c r="IP172" s="6"/>
      <c r="IQ172" s="6"/>
      <c r="IR172" s="6"/>
      <c r="IS172" s="6"/>
      <c r="IT172" s="6"/>
      <c r="IU172" s="6"/>
      <c r="IV172" s="6"/>
      <c r="IW172" s="6"/>
      <c r="IX172" s="6"/>
      <c r="IY172" s="6"/>
      <c r="IZ172" s="6"/>
      <c r="JA172" s="6"/>
      <c r="JB172" s="6"/>
      <c r="JC172" s="6"/>
      <c r="JD172" s="6"/>
      <c r="JE172" s="6"/>
      <c r="JF172" s="6"/>
      <c r="JG172" s="6"/>
      <c r="JH172" s="6"/>
      <c r="JI172" s="6"/>
      <c r="JJ172" s="6"/>
      <c r="JK172" s="6"/>
      <c r="JL172" s="6"/>
      <c r="JM172" s="6"/>
      <c r="JN172" s="6"/>
      <c r="JO172" s="6"/>
      <c r="JP172" s="6"/>
      <c r="JQ172" s="6"/>
      <c r="JR172" s="6"/>
      <c r="JS172" s="6"/>
      <c r="JT172" s="6"/>
      <c r="JU172" s="6"/>
      <c r="JV172" s="6"/>
      <c r="JW172" s="6"/>
      <c r="JX172" s="6"/>
      <c r="JY172" s="6"/>
      <c r="JZ172" s="6"/>
      <c r="KA172" s="6"/>
      <c r="KB172" s="6"/>
      <c r="KC172" s="6"/>
      <c r="KD172" s="6"/>
      <c r="KE172" s="6"/>
      <c r="KF172" s="6"/>
      <c r="KG172" s="6"/>
      <c r="KH172" s="6"/>
      <c r="KI172" s="6"/>
      <c r="KJ172" s="6"/>
      <c r="KK172" s="6"/>
      <c r="KL172" s="6"/>
      <c r="KM172" s="6"/>
      <c r="KN172" s="6"/>
      <c r="KO172" s="6"/>
      <c r="KP172" s="6"/>
      <c r="KQ172" s="6"/>
      <c r="KR172" s="6"/>
      <c r="KS172" s="6"/>
      <c r="KT172" s="6"/>
      <c r="KU172" s="6"/>
      <c r="KV172" s="6"/>
      <c r="KW172" s="6"/>
      <c r="KX172" s="6"/>
      <c r="KY172" s="6"/>
      <c r="KZ172" s="6"/>
      <c r="LA172" s="6"/>
      <c r="LB172" s="6"/>
      <c r="LC172" s="6"/>
      <c r="LD172" s="6"/>
      <c r="LE172" s="6"/>
      <c r="LF172" s="6"/>
      <c r="LG172" s="6"/>
      <c r="LH172" s="6"/>
      <c r="LI172" s="6"/>
      <c r="LJ172" s="6"/>
      <c r="LK172" s="6"/>
      <c r="LL172" s="6"/>
      <c r="LM172" s="6"/>
      <c r="LN172" s="6"/>
      <c r="LO172" s="6"/>
      <c r="LP172" s="6"/>
      <c r="LQ172" s="6"/>
      <c r="LR172" s="6"/>
      <c r="LS172" s="6"/>
      <c r="LT172" s="6"/>
      <c r="LU172" s="6"/>
      <c r="LV172" s="6"/>
      <c r="LW172" s="6"/>
      <c r="LX172" s="6"/>
      <c r="LY172" s="6"/>
      <c r="LZ172" s="6"/>
      <c r="MA172" s="6"/>
      <c r="MB172" s="6"/>
      <c r="MC172" s="6"/>
      <c r="MD172" s="6"/>
      <c r="ME172" s="6"/>
      <c r="MF172" s="6"/>
      <c r="MG172" s="6"/>
      <c r="MH172" s="6"/>
      <c r="MI172" s="6"/>
      <c r="MJ172" s="6"/>
      <c r="MK172" s="6"/>
      <c r="ML172" s="6"/>
      <c r="MM172" s="6"/>
      <c r="MN172" s="6"/>
      <c r="MO172" s="6"/>
      <c r="MP172" s="6"/>
      <c r="MQ172" s="6"/>
      <c r="MR172" s="6"/>
      <c r="MS172" s="6"/>
      <c r="MT172" s="6"/>
      <c r="MU172" s="6"/>
      <c r="MV172" s="6"/>
      <c r="MW172" s="6"/>
      <c r="MX172" s="6"/>
      <c r="MY172" s="6"/>
      <c r="MZ172" s="6"/>
      <c r="NA172" s="6"/>
      <c r="NB172" s="6"/>
      <c r="NC172" s="6"/>
      <c r="ND172" s="6"/>
      <c r="NE172" s="6"/>
      <c r="NF172" s="6"/>
      <c r="NG172" s="6"/>
      <c r="NH172" s="6"/>
      <c r="NI172" s="6"/>
      <c r="NJ172" s="6"/>
      <c r="NK172" s="6"/>
      <c r="NL172" s="6"/>
      <c r="NM172" s="6"/>
      <c r="NN172" s="6"/>
      <c r="NO172" s="6"/>
      <c r="NP172" s="6"/>
      <c r="NQ172" s="6"/>
      <c r="NR172" s="6"/>
      <c r="NS172" s="6"/>
      <c r="NT172" s="6"/>
      <c r="NU172" s="6"/>
      <c r="NV172" s="6"/>
      <c r="NW172" s="6"/>
      <c r="NX172" s="6"/>
      <c r="NY172" s="6"/>
      <c r="NZ172" s="6"/>
      <c r="OA172" s="6"/>
      <c r="OB172" s="6"/>
      <c r="OC172" s="6"/>
      <c r="OD172" s="6"/>
      <c r="OE172" s="6"/>
      <c r="OF172" s="6"/>
      <c r="OG172" s="6"/>
      <c r="OH172" s="6"/>
      <c r="OI172" s="6"/>
      <c r="OJ172" s="6"/>
      <c r="OK172" s="6"/>
      <c r="OL172" s="6"/>
      <c r="OM172" s="6"/>
      <c r="ON172" s="6"/>
      <c r="OO172" s="6"/>
      <c r="OP172" s="6"/>
      <c r="OQ172" s="6"/>
      <c r="OR172" s="6"/>
      <c r="OS172" s="6"/>
      <c r="OT172" s="6"/>
      <c r="OU172" s="6"/>
      <c r="OV172" s="6"/>
      <c r="OW172" s="6"/>
      <c r="OX172" s="6"/>
      <c r="OY172" s="6"/>
      <c r="OZ172" s="6"/>
      <c r="PA172" s="6"/>
      <c r="PB172" s="6"/>
      <c r="PC172" s="6"/>
      <c r="PD172" s="6"/>
      <c r="PE172" s="6"/>
      <c r="PF172" s="6"/>
      <c r="PG172" s="6"/>
      <c r="PH172" s="6"/>
      <c r="PI172" s="6"/>
      <c r="PJ172" s="6"/>
      <c r="PK172" s="6"/>
      <c r="PL172" s="6"/>
      <c r="PM172" s="6"/>
      <c r="PN172" s="6"/>
      <c r="PO172" s="6"/>
      <c r="PP172" s="6"/>
      <c r="PQ172" s="6"/>
      <c r="PR172" s="6"/>
      <c r="PS172" s="6"/>
      <c r="PT172" s="6"/>
      <c r="PU172" s="6"/>
      <c r="PV172" s="6"/>
      <c r="PW172" s="6"/>
      <c r="PX172" s="6"/>
      <c r="PY172" s="6"/>
      <c r="PZ172" s="6"/>
      <c r="QA172" s="6"/>
      <c r="QB172" s="6"/>
      <c r="QC172" s="6"/>
      <c r="QD172" s="6"/>
      <c r="QE172" s="6"/>
      <c r="QF172" s="6"/>
      <c r="QG172" s="6"/>
      <c r="QH172" s="6"/>
      <c r="QI172" s="6"/>
      <c r="QJ172" s="6"/>
      <c r="QK172" s="6"/>
      <c r="QL172" s="6"/>
      <c r="QM172" s="6"/>
      <c r="QN172" s="6"/>
      <c r="QO172" s="6"/>
      <c r="QP172" s="6"/>
      <c r="QQ172" s="6"/>
      <c r="QR172" s="6"/>
      <c r="QS172" s="6"/>
      <c r="QT172" s="6"/>
      <c r="QU172" s="6"/>
      <c r="QV172" s="6"/>
      <c r="QW172" s="6"/>
      <c r="QX172" s="6"/>
      <c r="QY172" s="6"/>
      <c r="QZ172" s="6"/>
      <c r="RA172" s="6"/>
      <c r="RB172" s="6"/>
      <c r="RC172" s="6"/>
      <c r="RD172" s="6"/>
      <c r="RE172" s="6"/>
      <c r="RF172" s="6"/>
      <c r="RG172" s="6"/>
      <c r="RH172" s="6"/>
      <c r="RI172" s="6"/>
      <c r="RJ172" s="6"/>
      <c r="RK172" s="6"/>
      <c r="RL172" s="6"/>
      <c r="RM172" s="6"/>
      <c r="RN172" s="6"/>
      <c r="RO172" s="6"/>
      <c r="RP172" s="6"/>
      <c r="RQ172" s="6"/>
      <c r="RR172" s="6"/>
      <c r="RS172" s="6"/>
      <c r="RT172" s="6"/>
      <c r="RU172" s="6"/>
      <c r="RV172" s="6"/>
      <c r="RW172" s="6"/>
      <c r="RX172" s="6"/>
      <c r="RY172" s="6"/>
      <c r="RZ172" s="6"/>
      <c r="SA172" s="6"/>
      <c r="SB172" s="6"/>
      <c r="SC172" s="6"/>
      <c r="SD172" s="6"/>
      <c r="SE172" s="6"/>
      <c r="SF172" s="6"/>
      <c r="SG172" s="6"/>
      <c r="SH172" s="6"/>
      <c r="SI172" s="6"/>
      <c r="SJ172" s="6"/>
      <c r="SK172" s="6"/>
      <c r="SL172" s="6"/>
      <c r="SM172" s="6"/>
      <c r="SN172" s="6"/>
      <c r="SO172" s="6"/>
      <c r="SP172" s="6"/>
      <c r="SQ172" s="6"/>
      <c r="SR172" s="6"/>
      <c r="SS172" s="6"/>
      <c r="ST172" s="6"/>
      <c r="SU172" s="6"/>
      <c r="SV172" s="6"/>
      <c r="SW172" s="6"/>
      <c r="SX172" s="6"/>
      <c r="SY172" s="6"/>
      <c r="SZ172" s="6"/>
      <c r="TA172" s="6"/>
      <c r="TB172" s="6"/>
      <c r="TC172" s="6"/>
      <c r="TD172" s="6"/>
      <c r="TE172" s="6"/>
      <c r="TF172" s="6"/>
      <c r="TG172" s="6"/>
      <c r="TH172" s="6"/>
      <c r="TI172" s="6"/>
      <c r="TJ172" s="6"/>
      <c r="TK172" s="6"/>
      <c r="TL172" s="6"/>
      <c r="TM172" s="6"/>
      <c r="TN172" s="6"/>
      <c r="TO172" s="6"/>
      <c r="TP172" s="6"/>
      <c r="TQ172" s="6"/>
      <c r="TR172" s="6"/>
      <c r="TS172" s="6"/>
      <c r="TT172" s="6"/>
      <c r="TU172" s="6"/>
      <c r="TV172" s="6"/>
      <c r="TW172" s="6"/>
      <c r="TX172" s="6"/>
      <c r="TY172" s="6"/>
      <c r="TZ172" s="6"/>
      <c r="UA172" s="6"/>
      <c r="UB172" s="6"/>
      <c r="UC172" s="6"/>
      <c r="UD172" s="6"/>
      <c r="UE172" s="6"/>
      <c r="UF172" s="6"/>
      <c r="UG172" s="6"/>
      <c r="UH172" s="6"/>
      <c r="UI172" s="6"/>
      <c r="UJ172" s="6"/>
      <c r="UK172" s="6"/>
      <c r="UL172" s="6"/>
      <c r="UM172" s="6"/>
      <c r="UN172" s="6"/>
      <c r="UO172" s="6"/>
      <c r="UP172" s="6"/>
      <c r="UQ172" s="6"/>
      <c r="UR172" s="6"/>
      <c r="US172" s="6"/>
      <c r="UT172" s="6"/>
      <c r="UU172" s="6"/>
      <c r="UV172" s="6"/>
      <c r="UW172" s="6"/>
      <c r="UX172" s="6"/>
      <c r="UY172" s="6"/>
      <c r="UZ172" s="6"/>
      <c r="VA172" s="6"/>
      <c r="VB172" s="6"/>
      <c r="VC172" s="6"/>
      <c r="VD172" s="6"/>
      <c r="VE172" s="6"/>
      <c r="VF172" s="6"/>
      <c r="VG172" s="6"/>
      <c r="VH172" s="6"/>
      <c r="VI172" s="6"/>
      <c r="VJ172" s="6"/>
      <c r="VK172" s="6"/>
      <c r="VL172" s="6"/>
      <c r="VM172" s="6"/>
      <c r="VN172" s="6"/>
      <c r="VO172" s="6"/>
      <c r="VP172" s="6"/>
      <c r="VQ172" s="6"/>
      <c r="VR172" s="6"/>
      <c r="VS172" s="6"/>
      <c r="VT172" s="6"/>
      <c r="VU172" s="6"/>
      <c r="VV172" s="6"/>
      <c r="VW172" s="6"/>
      <c r="VX172" s="6"/>
      <c r="VY172" s="6"/>
      <c r="VZ172" s="6"/>
      <c r="WA172" s="6"/>
      <c r="WB172" s="6"/>
      <c r="WC172" s="6"/>
      <c r="WD172" s="6"/>
      <c r="WE172" s="6"/>
      <c r="WF172" s="6"/>
      <c r="WG172" s="6"/>
      <c r="WH172" s="6"/>
      <c r="WI172" s="6"/>
      <c r="WJ172" s="6"/>
      <c r="WK172" s="6"/>
      <c r="WL172" s="6"/>
      <c r="WM172" s="6"/>
      <c r="WN172" s="6"/>
      <c r="WO172" s="6"/>
      <c r="WP172" s="6"/>
      <c r="WQ172" s="6"/>
      <c r="WR172" s="6"/>
      <c r="WS172" s="6"/>
      <c r="WT172" s="6"/>
      <c r="WU172" s="6"/>
      <c r="WV172" s="6"/>
      <c r="WW172" s="6"/>
      <c r="WX172" s="6"/>
      <c r="WY172" s="6"/>
      <c r="WZ172" s="6"/>
      <c r="XA172" s="6"/>
      <c r="XB172" s="6"/>
      <c r="XC172" s="6"/>
      <c r="XD172" s="6"/>
      <c r="XE172" s="6"/>
      <c r="XF172" s="6"/>
      <c r="XG172" s="6"/>
      <c r="XH172" s="6"/>
      <c r="XI172" s="6"/>
      <c r="XJ172" s="6"/>
      <c r="XK172" s="6"/>
      <c r="XL172" s="6"/>
      <c r="XM172" s="6"/>
      <c r="XN172" s="6"/>
      <c r="XO172" s="6"/>
      <c r="XP172" s="6"/>
      <c r="XQ172" s="6"/>
      <c r="XR172" s="6"/>
      <c r="XS172" s="6"/>
      <c r="XT172" s="6"/>
      <c r="XU172" s="6"/>
      <c r="XV172" s="6"/>
      <c r="XW172" s="6"/>
      <c r="XX172" s="6"/>
      <c r="XY172" s="6"/>
      <c r="XZ172" s="6"/>
      <c r="YA172" s="6"/>
      <c r="YB172" s="6"/>
      <c r="YC172" s="6"/>
      <c r="YD172" s="6"/>
      <c r="YE172" s="6"/>
      <c r="YF172" s="6"/>
      <c r="YG172" s="6"/>
      <c r="YH172" s="6"/>
      <c r="YI172" s="6"/>
      <c r="YJ172" s="6"/>
      <c r="YK172" s="6"/>
      <c r="YL172" s="6"/>
      <c r="YM172" s="6"/>
      <c r="YN172" s="6"/>
      <c r="YO172" s="6"/>
      <c r="YP172" s="6"/>
      <c r="YQ172" s="6"/>
      <c r="YR172" s="6"/>
      <c r="YS172" s="6"/>
      <c r="YT172" s="6"/>
      <c r="YU172" s="6"/>
      <c r="YV172" s="6"/>
      <c r="YW172" s="6"/>
      <c r="YX172" s="6"/>
      <c r="YY172" s="6"/>
      <c r="YZ172" s="6"/>
      <c r="ZA172" s="6"/>
      <c r="ZB172" s="6"/>
      <c r="ZC172" s="6"/>
      <c r="ZD172" s="6"/>
      <c r="ZE172" s="6"/>
      <c r="ZF172" s="6"/>
      <c r="ZG172" s="6"/>
      <c r="ZH172" s="6"/>
      <c r="ZI172" s="6"/>
      <c r="ZJ172" s="6"/>
      <c r="ZK172" s="6"/>
      <c r="ZL172" s="6"/>
      <c r="ZM172" s="6"/>
      <c r="ZN172" s="6"/>
      <c r="ZO172" s="6"/>
      <c r="ZP172" s="6"/>
      <c r="ZQ172" s="6"/>
      <c r="ZR172" s="6"/>
      <c r="ZS172" s="6"/>
      <c r="ZT172" s="6"/>
      <c r="ZU172" s="6"/>
      <c r="ZV172" s="6"/>
      <c r="ZW172" s="6"/>
      <c r="ZX172" s="6"/>
      <c r="ZY172" s="6"/>
      <c r="ZZ172" s="6"/>
      <c r="AAA172" s="6"/>
      <c r="AAB172" s="6"/>
      <c r="AAC172" s="6"/>
      <c r="AAD172" s="6"/>
      <c r="AAE172" s="6"/>
      <c r="AAF172" s="6"/>
      <c r="AAG172" s="6"/>
      <c r="AAH172" s="6"/>
      <c r="AAI172" s="6"/>
      <c r="AAJ172" s="6"/>
      <c r="AAK172" s="6"/>
      <c r="AAL172" s="6"/>
      <c r="AAM172" s="6"/>
      <c r="AAN172" s="6"/>
      <c r="AAO172" s="6"/>
      <c r="AAP172" s="6"/>
      <c r="AAQ172" s="6"/>
      <c r="AAR172" s="6"/>
      <c r="AAS172" s="6"/>
      <c r="AAT172" s="6"/>
      <c r="AAU172" s="6"/>
      <c r="AAV172" s="6"/>
      <c r="AAW172" s="6"/>
      <c r="AAX172" s="6"/>
      <c r="AAY172" s="6"/>
      <c r="AAZ172" s="6"/>
      <c r="ABA172" s="6"/>
      <c r="ABB172" s="6"/>
      <c r="ABC172" s="6"/>
      <c r="ABD172" s="6"/>
      <c r="ABE172" s="6"/>
      <c r="ABF172" s="6"/>
      <c r="ABG172" s="6"/>
      <c r="ABH172" s="6"/>
      <c r="ABI172" s="6"/>
      <c r="ABJ172" s="6"/>
      <c r="ABK172" s="6"/>
      <c r="ABL172" s="6"/>
      <c r="ABM172" s="6"/>
      <c r="ABN172" s="6"/>
      <c r="ABO172" s="6"/>
      <c r="ABP172" s="6"/>
      <c r="ABQ172" s="6"/>
      <c r="ABR172" s="6"/>
      <c r="ABS172" s="6"/>
      <c r="ABT172" s="6"/>
      <c r="ABU172" s="6"/>
      <c r="ABV172" s="6"/>
      <c r="ABW172" s="6"/>
      <c r="ABX172" s="6"/>
      <c r="ABY172" s="6"/>
      <c r="ABZ172" s="6"/>
      <c r="ACA172" s="6"/>
      <c r="ACB172" s="6"/>
      <c r="ACC172" s="6"/>
      <c r="ACD172" s="6"/>
      <c r="ACE172" s="6"/>
      <c r="ACF172" s="6"/>
      <c r="ACG172" s="6"/>
      <c r="ACH172" s="6"/>
      <c r="ACI172" s="6"/>
      <c r="ACJ172" s="6"/>
      <c r="ACK172" s="6"/>
      <c r="ACL172" s="6"/>
      <c r="ACM172" s="6"/>
      <c r="ACN172" s="6"/>
      <c r="ACO172" s="6"/>
      <c r="ACP172" s="6"/>
      <c r="ACQ172" s="6"/>
      <c r="ACR172" s="6"/>
      <c r="ACS172" s="6"/>
      <c r="ACT172" s="6"/>
      <c r="ACU172" s="6"/>
      <c r="ACV172" s="6"/>
      <c r="ACW172" s="6"/>
      <c r="ACX172" s="6"/>
      <c r="ACY172" s="6"/>
      <c r="ACZ172" s="6"/>
      <c r="ADA172" s="6"/>
      <c r="ADB172" s="6"/>
      <c r="ADC172" s="6"/>
      <c r="ADD172" s="6"/>
      <c r="ADE172" s="6"/>
      <c r="ADF172" s="6"/>
      <c r="ADG172" s="6"/>
      <c r="ADH172" s="6"/>
      <c r="ADI172" s="6"/>
      <c r="ADJ172" s="6"/>
      <c r="ADK172" s="6"/>
      <c r="ADL172" s="6"/>
      <c r="ADM172" s="6"/>
      <c r="ADN172" s="6"/>
      <c r="ADO172" s="6"/>
      <c r="ADP172" s="6"/>
      <c r="ADQ172" s="6"/>
      <c r="ADR172" s="6"/>
      <c r="ADS172" s="6"/>
      <c r="ADT172" s="6"/>
      <c r="ADU172" s="6"/>
      <c r="ADV172" s="6"/>
      <c r="ADW172" s="6"/>
      <c r="ADX172" s="6"/>
      <c r="ADY172" s="6"/>
      <c r="ADZ172" s="6"/>
      <c r="AEA172" s="6"/>
      <c r="AEB172" s="6"/>
      <c r="AEC172" s="6"/>
      <c r="AED172" s="6"/>
      <c r="AEE172" s="6"/>
      <c r="AEF172" s="6"/>
      <c r="AEG172" s="6"/>
      <c r="AEH172" s="6"/>
      <c r="AEI172" s="6"/>
      <c r="AEJ172" s="6"/>
      <c r="AEK172" s="6"/>
      <c r="AEL172" s="6"/>
      <c r="AEM172" s="6"/>
      <c r="AEN172" s="6"/>
      <c r="AEO172" s="6"/>
      <c r="AEP172" s="6"/>
      <c r="AEQ172" s="6"/>
      <c r="AER172" s="6"/>
      <c r="AES172" s="6"/>
      <c r="AET172" s="6"/>
      <c r="AEU172" s="6"/>
      <c r="AEV172" s="6"/>
      <c r="AEW172" s="6"/>
      <c r="AEX172" s="6"/>
      <c r="AEY172" s="6"/>
      <c r="AEZ172" s="6"/>
      <c r="AFA172" s="6"/>
      <c r="AFB172" s="6"/>
      <c r="AFC172" s="6"/>
      <c r="AFD172" s="6"/>
      <c r="AFE172" s="6"/>
      <c r="AFF172" s="6"/>
      <c r="AFG172" s="6"/>
      <c r="AFH172" s="6"/>
      <c r="AFI172" s="6"/>
      <c r="AFJ172" s="6"/>
      <c r="AFK172" s="6"/>
      <c r="AFL172" s="6"/>
      <c r="AFM172" s="6"/>
      <c r="AFN172" s="6"/>
      <c r="AFO172" s="6"/>
      <c r="AFP172" s="6"/>
      <c r="AFQ172" s="6"/>
      <c r="AFR172" s="6"/>
      <c r="AFS172" s="6"/>
      <c r="AFT172" s="6"/>
      <c r="AFU172" s="6"/>
      <c r="AFV172" s="6"/>
      <c r="AFW172" s="6"/>
      <c r="AFX172" s="6"/>
      <c r="AFY172" s="6"/>
      <c r="AFZ172" s="6"/>
      <c r="AGA172" s="6"/>
      <c r="AGB172" s="6"/>
      <c r="AGC172" s="6"/>
      <c r="AGD172" s="6"/>
      <c r="AGE172" s="6"/>
      <c r="AGF172" s="6"/>
      <c r="AGG172" s="6"/>
      <c r="AGH172" s="6"/>
      <c r="AGI172" s="6"/>
      <c r="AGJ172" s="6"/>
      <c r="AGK172" s="6"/>
      <c r="AGL172" s="6"/>
      <c r="AGM172" s="6"/>
      <c r="AGN172" s="6"/>
      <c r="AGO172" s="6"/>
      <c r="AGP172" s="6"/>
      <c r="AGQ172" s="6"/>
      <c r="AGR172" s="6"/>
      <c r="AGS172" s="6"/>
      <c r="AGT172" s="6"/>
      <c r="AGU172" s="6"/>
      <c r="AGV172" s="6"/>
      <c r="AGW172" s="6"/>
      <c r="AGX172" s="6"/>
      <c r="AGY172" s="6"/>
      <c r="AGZ172" s="6"/>
      <c r="AHA172" s="6"/>
      <c r="AHB172" s="6"/>
      <c r="AHC172" s="6"/>
      <c r="AHD172" s="6"/>
      <c r="AHE172" s="6"/>
      <c r="AHF172" s="6"/>
      <c r="AHG172" s="6"/>
      <c r="AHH172" s="6"/>
      <c r="AHI172" s="6"/>
      <c r="AHJ172" s="6"/>
      <c r="AHK172" s="6"/>
      <c r="AHL172" s="6"/>
      <c r="AHM172" s="6"/>
      <c r="AHN172" s="6"/>
      <c r="AHO172" s="6"/>
      <c r="AHP172" s="6"/>
      <c r="AHQ172" s="6"/>
      <c r="AHR172" s="6"/>
      <c r="AHS172" s="6"/>
      <c r="AHT172" s="6"/>
      <c r="AHU172" s="6"/>
      <c r="AHV172" s="6"/>
      <c r="AHW172" s="6"/>
      <c r="AHX172" s="6"/>
      <c r="AHY172" s="6"/>
      <c r="AHZ172" s="6"/>
      <c r="AIA172" s="6"/>
      <c r="AIB172" s="6"/>
      <c r="AIC172" s="6"/>
      <c r="AID172" s="6"/>
      <c r="AIE172" s="6"/>
      <c r="AIF172" s="6"/>
      <c r="AIG172" s="6"/>
      <c r="AIH172" s="6"/>
      <c r="AII172" s="6"/>
      <c r="AIJ172" s="6"/>
      <c r="AIK172" s="6"/>
      <c r="AIL172" s="6"/>
      <c r="AIM172" s="6"/>
      <c r="AIN172" s="6"/>
      <c r="AIO172" s="6"/>
      <c r="AIP172" s="6"/>
      <c r="AIQ172" s="6"/>
      <c r="AIR172" s="6"/>
      <c r="AIS172" s="6"/>
      <c r="AIT172" s="6"/>
      <c r="AIU172" s="6"/>
      <c r="AIV172" s="6"/>
      <c r="AIW172" s="6"/>
      <c r="AIX172" s="6"/>
      <c r="AIY172" s="6"/>
      <c r="AIZ172" s="6"/>
      <c r="AJA172" s="6"/>
      <c r="AJB172" s="6"/>
      <c r="AJC172" s="6"/>
      <c r="AJD172" s="6"/>
      <c r="AJE172" s="6"/>
      <c r="AJF172" s="6"/>
      <c r="AJG172" s="6"/>
      <c r="AJH172" s="6"/>
      <c r="AJI172" s="6"/>
      <c r="AJJ172" s="6"/>
      <c r="AJK172" s="6"/>
      <c r="AJL172" s="6"/>
      <c r="AJM172" s="6"/>
      <c r="AJN172" s="6"/>
      <c r="AJO172" s="6"/>
      <c r="AJP172" s="6"/>
      <c r="AJQ172" s="6"/>
      <c r="AJR172" s="6"/>
      <c r="AJS172" s="6"/>
      <c r="AJT172" s="6"/>
      <c r="AJU172" s="6"/>
      <c r="AJV172" s="6"/>
      <c r="AJW172" s="6"/>
      <c r="AJX172" s="6"/>
      <c r="AJY172" s="6"/>
      <c r="AJZ172" s="6"/>
      <c r="AKA172" s="6"/>
      <c r="AKB172" s="6"/>
      <c r="AKC172" s="6"/>
      <c r="AKD172" s="6"/>
      <c r="AKE172" s="6"/>
      <c r="AKF172" s="6"/>
      <c r="AKG172" s="6"/>
      <c r="AKH172" s="6"/>
      <c r="AKI172" s="6"/>
      <c r="AKJ172" s="6"/>
      <c r="AKK172" s="6"/>
      <c r="AKL172" s="6"/>
      <c r="AKM172" s="6"/>
      <c r="AKN172" s="6"/>
      <c r="AKO172" s="6"/>
      <c r="AKP172" s="6"/>
      <c r="AKQ172" s="6"/>
      <c r="AKR172" s="6"/>
      <c r="AKS172" s="6"/>
      <c r="AKT172" s="6"/>
      <c r="AKU172" s="6"/>
      <c r="AKV172" s="6"/>
      <c r="AKW172" s="6"/>
      <c r="AKX172" s="6"/>
      <c r="AKY172" s="6"/>
      <c r="AKZ172" s="6"/>
      <c r="ALA172" s="6"/>
      <c r="ALB172" s="6"/>
      <c r="ALC172" s="6"/>
      <c r="ALD172" s="6"/>
      <c r="ALE172" s="6"/>
      <c r="ALF172" s="6"/>
      <c r="ALG172" s="6"/>
      <c r="ALH172" s="6"/>
      <c r="ALI172" s="6"/>
      <c r="ALJ172" s="6"/>
      <c r="ALK172" s="6"/>
      <c r="ALL172" s="6"/>
      <c r="ALM172" s="6"/>
      <c r="ALN172" s="6"/>
      <c r="ALO172" s="6"/>
      <c r="ALP172" s="6"/>
      <c r="ALQ172" s="6"/>
      <c r="ALR172" s="6"/>
      <c r="ALS172" s="6"/>
      <c r="ALT172" s="6"/>
      <c r="ALU172" s="6"/>
      <c r="ALV172" s="6"/>
      <c r="ALW172" s="6"/>
      <c r="ALX172" s="6"/>
      <c r="ALY172" s="6"/>
      <c r="ALZ172" s="6"/>
      <c r="AMA172" s="6"/>
      <c r="AMB172" s="6"/>
      <c r="AMC172" s="6"/>
      <c r="AMD172" s="6"/>
      <c r="AME172" s="6"/>
      <c r="AMF172" s="6"/>
      <c r="AMG172" s="6"/>
      <c r="AMH172" s="6"/>
      <c r="AMI172" s="6"/>
      <c r="AMJ172" s="6"/>
      <c r="AMK172" s="6"/>
      <c r="AML172" s="6"/>
      <c r="AMM172" s="6"/>
      <c r="AMN172" s="6"/>
      <c r="AMO172" s="6"/>
      <c r="AMP172" s="6"/>
    </row>
    <row r="173" spans="1:1030" x14ac:dyDescent="0.2">
      <c r="A173" s="3" t="str">
        <f>CONCATENATE(B173,"_",C173)</f>
        <v>ccr5_human__wt</v>
      </c>
      <c r="B173" s="3" t="s">
        <v>173</v>
      </c>
      <c r="C173" s="3" t="s">
        <v>100</v>
      </c>
      <c r="D173" s="3" t="str">
        <f>IFERROR(MID(VLOOKUP($B173,Seqs!$A:$B,2,0),E173,1),"")</f>
        <v>K</v>
      </c>
      <c r="E173" s="3">
        <v>22</v>
      </c>
      <c r="F173" s="3" t="str">
        <f>IFERROR(MID(VLOOKUP($B173,Seqs!$A:$B,2,0),G173,1),"")</f>
        <v>C</v>
      </c>
      <c r="G173" s="3">
        <v>58</v>
      </c>
      <c r="H173" s="3" t="str">
        <f>IFERROR(MID(VLOOKUP($B173,Seqs!$A:$B,2,0),I173,1),"")</f>
        <v>K</v>
      </c>
      <c r="I173" s="23">
        <v>59</v>
      </c>
      <c r="J173" s="3" t="str">
        <f>IFERROR(MID(VLOOKUP($B173,Seqs!$A:$B,2,0),K173,1),"")</f>
        <v>K</v>
      </c>
      <c r="K173" s="23">
        <v>62</v>
      </c>
      <c r="L173" s="3" t="str">
        <f>IFERROR(MID(VLOOKUP($B173,Seqs!$A:$B,2,0),M173,1),"")</f>
        <v>S</v>
      </c>
      <c r="M173" s="3">
        <v>63</v>
      </c>
      <c r="N173" s="3" t="str">
        <f>IFERROR(MID(VLOOKUP($B173,Seqs!$A:$B,2,0),O173,1),"")</f>
        <v>A</v>
      </c>
      <c r="O173" s="3">
        <v>92</v>
      </c>
      <c r="P173" s="3" t="str">
        <f>IFERROR(MID(VLOOKUP($B173,Seqs!$A:$B,2,0),Q173,1),"")</f>
        <v>Q</v>
      </c>
      <c r="Q173" s="3">
        <v>93</v>
      </c>
      <c r="R173" s="3" t="str">
        <f>IFERROR(MID(VLOOKUP($B173,Seqs!$A:$B,2,0),S173,1),"")</f>
        <v>F</v>
      </c>
      <c r="S173" s="3">
        <v>96</v>
      </c>
      <c r="T173" s="3" t="str">
        <f>IFERROR(MID(VLOOKUP($B173,Seqs!$A:$B,2,0),U173,1),"")</f>
        <v>G</v>
      </c>
      <c r="U173" s="3">
        <v>97</v>
      </c>
      <c r="V173" s="3" t="str">
        <f>IFERROR(MID(VLOOKUP($B173,Seqs!$A:$B,2,0),W173,1),"")</f>
        <v>H</v>
      </c>
      <c r="W173" s="3">
        <v>132</v>
      </c>
      <c r="X173" s="3" t="str">
        <f>IFERROR(MID(VLOOKUP($B173,Seqs!$A:$B,2,0),Y173,1),"")</f>
        <v>A</v>
      </c>
      <c r="Y173" s="3">
        <v>133</v>
      </c>
      <c r="Z173" s="3" t="str">
        <f>IFERROR(MID(VLOOKUP($B173,Seqs!$A:$B,2,0),AA173,1),"")</f>
        <v>R</v>
      </c>
      <c r="AA173" s="3">
        <v>140</v>
      </c>
      <c r="AB173" s="3" t="str">
        <f>IFERROR(MID(VLOOKUP($B173,Seqs!$A:$B,2,0),AC173,1),"")</f>
        <v>T</v>
      </c>
      <c r="AC173" s="9">
        <v>141</v>
      </c>
      <c r="AD173" s="3" t="str">
        <f>IFERROR(MID(VLOOKUP($B173,Seqs!$A:$B,2,0),AE173,1),"")</f>
        <v>T</v>
      </c>
      <c r="AE173" s="3">
        <v>167</v>
      </c>
      <c r="AF173" s="3" t="str">
        <f>IFERROR(MID(VLOOKUP($B173,Seqs!$A:$B,2,0),AG173,1),"")</f>
        <v>C</v>
      </c>
      <c r="AG173" s="3">
        <v>178</v>
      </c>
      <c r="AH173" s="3" t="str">
        <f>IFERROR(MID(VLOOKUP($B173,Seqs!$A:$B,2,0),AI173,1),"")</f>
        <v>S</v>
      </c>
      <c r="AI173" s="3">
        <v>180</v>
      </c>
      <c r="AJ173" s="3" t="str">
        <f>IFERROR(MID(VLOOKUP($B173,Seqs!$A:$B,2,0),AK173,1),"")</f>
        <v>Q</v>
      </c>
      <c r="AK173" s="3">
        <v>186</v>
      </c>
      <c r="AL173" s="3" t="str">
        <f>IFERROR(MID(VLOOKUP($B173,Seqs!$A:$B,2,0),AM173,1),"")</f>
        <v>C</v>
      </c>
      <c r="AM173" s="3">
        <v>224</v>
      </c>
      <c r="AN173" s="3" t="str">
        <f>IFERROR(MID(VLOOKUP($B173,Seqs!$A:$B,2,0),AO173,1),"")</f>
        <v>K</v>
      </c>
      <c r="AO173" s="3">
        <v>228</v>
      </c>
      <c r="AP173" s="3" t="str">
        <f>IFERROR(MID(VLOOKUP($B173,Seqs!$A:$B,2,0),AQ173,1),"")</f>
        <v>G</v>
      </c>
      <c r="AQ173" s="3">
        <v>265</v>
      </c>
      <c r="AR173" s="3" t="str">
        <f>IFERROR(MID(VLOOKUP($B173,Seqs!$A:$B,2,0),AS173,1),"")</f>
        <v>N</v>
      </c>
      <c r="AS173" s="3">
        <v>268</v>
      </c>
      <c r="AT173" s="3" t="str">
        <f>IFERROR(MID(VLOOKUP($B173,Seqs!$A:$B,2,0),AU173,1),"")</f>
        <v>V</v>
      </c>
      <c r="AU173" s="3">
        <v>300</v>
      </c>
      <c r="AV173" s="3" t="str">
        <f>IFERROR(MID(VLOOKUP($B173,Seqs!$A:$B,2,0),AW173,1),"")</f>
        <v>G</v>
      </c>
      <c r="AW173" s="3">
        <v>301</v>
      </c>
      <c r="AX173" s="3" t="str">
        <f>IFERROR(MID(VLOOKUP($B173,Seqs!$A:$B,2,0),AY173,1),"")</f>
        <v>Q</v>
      </c>
      <c r="AY173" s="3">
        <v>313</v>
      </c>
      <c r="AZ173" s="77" t="str">
        <f>VLOOKUP(B173,Classification!A:D,2,0)</f>
        <v>A</v>
      </c>
      <c r="BA173" s="94" t="str">
        <f>VLOOKUP(B173,Classification!A:D,4,0)</f>
        <v>Chemokine</v>
      </c>
      <c r="BB173" s="27" t="b">
        <f t="shared" si="1007"/>
        <v>1</v>
      </c>
      <c r="BC173" s="23">
        <f t="shared" si="785"/>
        <v>272</v>
      </c>
      <c r="BD173" s="34" t="s">
        <v>23</v>
      </c>
      <c r="BE173" s="3" t="s">
        <v>23</v>
      </c>
      <c r="BF173" s="118" t="s">
        <v>23</v>
      </c>
      <c r="BG173" s="49" t="s">
        <v>1366</v>
      </c>
      <c r="BH173" s="49" t="s">
        <v>1371</v>
      </c>
      <c r="BI173" s="1"/>
      <c r="BJ173" s="70" t="s">
        <v>1281</v>
      </c>
      <c r="BK173" s="57" t="s">
        <v>1281</v>
      </c>
      <c r="BL173" s="57" t="s">
        <v>1281</v>
      </c>
      <c r="BM173" s="57" t="s">
        <v>1281</v>
      </c>
      <c r="BN173" s="57" t="s">
        <v>1281</v>
      </c>
      <c r="BO173" s="57" t="s">
        <v>1281</v>
      </c>
      <c r="BP173" s="57" t="s">
        <v>1281</v>
      </c>
      <c r="BQ173" s="57" t="s">
        <v>1281</v>
      </c>
      <c r="BR173" s="57" t="s">
        <v>1281</v>
      </c>
      <c r="BS173" s="57" t="s">
        <v>1281</v>
      </c>
      <c r="BT173" s="57" t="s">
        <v>1281</v>
      </c>
      <c r="BU173" s="57" t="s">
        <v>1281</v>
      </c>
      <c r="BV173" s="70">
        <f>E173</f>
        <v>22</v>
      </c>
      <c r="BW173" s="71">
        <f>I173</f>
        <v>59</v>
      </c>
      <c r="BX173" s="72">
        <f>M173</f>
        <v>63</v>
      </c>
      <c r="BY173" s="71">
        <f>Q173</f>
        <v>93</v>
      </c>
      <c r="BZ173" s="72">
        <f>U173</f>
        <v>97</v>
      </c>
      <c r="CA173" s="71">
        <f>Y173</f>
        <v>133</v>
      </c>
      <c r="CB173" s="72">
        <f>AC173</f>
        <v>141</v>
      </c>
      <c r="CC173" s="71">
        <f>AG173</f>
        <v>178</v>
      </c>
      <c r="CD173" s="72">
        <f>AK173</f>
        <v>186</v>
      </c>
      <c r="CE173" s="71">
        <f>AO173</f>
        <v>228</v>
      </c>
      <c r="CF173" s="72">
        <f>AS173</f>
        <v>268</v>
      </c>
      <c r="CG173" s="71">
        <f>AW173</f>
        <v>301</v>
      </c>
      <c r="CH173" s="70">
        <f>G173</f>
        <v>58</v>
      </c>
      <c r="CI173" s="71">
        <f>K173</f>
        <v>62</v>
      </c>
      <c r="CJ173" s="72">
        <f>O173</f>
        <v>92</v>
      </c>
      <c r="CK173" s="72">
        <f>S173</f>
        <v>96</v>
      </c>
      <c r="CL173" s="72">
        <f>W173</f>
        <v>132</v>
      </c>
      <c r="CM173" s="72">
        <f>AA173</f>
        <v>140</v>
      </c>
      <c r="CN173" s="72">
        <f>AE173</f>
        <v>167</v>
      </c>
      <c r="CO173" s="72">
        <f>AI173</f>
        <v>180</v>
      </c>
      <c r="CP173" s="72">
        <f>AM173</f>
        <v>224</v>
      </c>
      <c r="CQ173" s="72">
        <f>AQ173</f>
        <v>265</v>
      </c>
      <c r="CR173" s="72">
        <f>AU173</f>
        <v>300</v>
      </c>
      <c r="CS173" s="72">
        <f>AY173</f>
        <v>313</v>
      </c>
      <c r="CT173" s="23">
        <f>M173-K173</f>
        <v>1</v>
      </c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  <c r="AMK173" s="1"/>
      <c r="AML173" s="1"/>
      <c r="AMM173" s="1"/>
      <c r="AMN173" s="1"/>
      <c r="AMO173" s="1"/>
    </row>
    <row r="174" spans="1:1030" x14ac:dyDescent="0.2">
      <c r="A174" s="3" t="str">
        <f>CONCATENATE(B174,"_",C174)</f>
        <v>ccr5_human_4MBS</v>
      </c>
      <c r="B174" s="3" t="s">
        <v>173</v>
      </c>
      <c r="C174" s="3" t="s">
        <v>74</v>
      </c>
      <c r="D174" s="3" t="str">
        <f>IFERROR(MID(VLOOKUP($B174,Seqs!$A:$B,2,0),E174,1),"")</f>
        <v>V</v>
      </c>
      <c r="E174" s="3">
        <v>25</v>
      </c>
      <c r="F174" s="3" t="str">
        <f>IFERROR(MID(VLOOKUP($B174,Seqs!$A:$B,2,0),G174,1),"")</f>
        <v>C</v>
      </c>
      <c r="G174" s="3">
        <v>58</v>
      </c>
      <c r="H174" s="3" t="str">
        <f>IFERROR(MID(VLOOKUP($B174,Seqs!$A:$B,2,0),I174,1),"")</f>
        <v/>
      </c>
      <c r="I174" s="23" t="s">
        <v>23</v>
      </c>
      <c r="J174" s="3" t="str">
        <f>IFERROR(MID(VLOOKUP($B174,Seqs!$A:$B,2,0),K174,1),"")</f>
        <v/>
      </c>
      <c r="K174" s="23" t="s">
        <v>23</v>
      </c>
      <c r="L174" s="3" t="str">
        <f>IFERROR(MID(VLOOKUP($B174,Seqs!$A:$B,2,0),M174,1),"")</f>
        <v>S</v>
      </c>
      <c r="M174" s="3">
        <v>63</v>
      </c>
      <c r="N174" s="3" t="str">
        <f>IFERROR(MID(VLOOKUP($B174,Seqs!$A:$B,2,0),O174,1),"")</f>
        <v>A</v>
      </c>
      <c r="O174" s="3">
        <v>92</v>
      </c>
      <c r="P174" s="3" t="str">
        <f>IFERROR(MID(VLOOKUP($B174,Seqs!$A:$B,2,0),Q174,1),"")</f>
        <v>Q</v>
      </c>
      <c r="Q174" s="3">
        <v>93</v>
      </c>
      <c r="R174" s="3" t="str">
        <f>IFERROR(MID(VLOOKUP($B174,Seqs!$A:$B,2,0),S174,1),"")</f>
        <v>F</v>
      </c>
      <c r="S174" s="3">
        <v>96</v>
      </c>
      <c r="T174" s="3" t="str">
        <f>IFERROR(MID(VLOOKUP($B174,Seqs!$A:$B,2,0),U174,1),"")</f>
        <v>G</v>
      </c>
      <c r="U174" s="3">
        <v>97</v>
      </c>
      <c r="V174" s="3" t="str">
        <f>IFERROR(MID(VLOOKUP($B174,Seqs!$A:$B,2,0),W174,1),"")</f>
        <v>H</v>
      </c>
      <c r="W174" s="3">
        <v>132</v>
      </c>
      <c r="X174" s="3" t="str">
        <f>IFERROR(MID(VLOOKUP($B174,Seqs!$A:$B,2,0),Y174,1),"")</f>
        <v>A</v>
      </c>
      <c r="Y174" s="3">
        <v>133</v>
      </c>
      <c r="Z174" s="3" t="str">
        <f>IFERROR(MID(VLOOKUP($B174,Seqs!$A:$B,2,0),AA174,1),"")</f>
        <v>R</v>
      </c>
      <c r="AA174" s="3">
        <v>140</v>
      </c>
      <c r="AB174" s="3" t="str">
        <f>IFERROR(MID(VLOOKUP($B174,Seqs!$A:$B,2,0),AC174,1),"")</f>
        <v>T</v>
      </c>
      <c r="AC174" s="9">
        <v>141</v>
      </c>
      <c r="AD174" s="3" t="str">
        <f>IFERROR(MID(VLOOKUP($B174,Seqs!$A:$B,2,0),AE174,1),"")</f>
        <v>T</v>
      </c>
      <c r="AE174" s="3">
        <v>167</v>
      </c>
      <c r="AF174" s="3" t="str">
        <f>IFERROR(MID(VLOOKUP($B174,Seqs!$A:$B,2,0),AG174,1),"")</f>
        <v>C</v>
      </c>
      <c r="AG174" s="3">
        <v>178</v>
      </c>
      <c r="AH174" s="3" t="str">
        <f>IFERROR(MID(VLOOKUP($B174,Seqs!$A:$B,2,0),AI174,1),"")</f>
        <v>S</v>
      </c>
      <c r="AI174" s="3">
        <v>180</v>
      </c>
      <c r="AJ174" s="3" t="str">
        <f>IFERROR(MID(VLOOKUP($B174,Seqs!$A:$B,2,0),AK174,1),"")</f>
        <v>Q</v>
      </c>
      <c r="AK174" s="3">
        <v>186</v>
      </c>
      <c r="AL174" s="3" t="str">
        <f>IFERROR(MID(VLOOKUP($B174,Seqs!$A:$B,2,0),AM174,1),"")</f>
        <v>R</v>
      </c>
      <c r="AM174" s="3">
        <v>223</v>
      </c>
      <c r="AN174" s="3" t="str">
        <f>IFERROR(MID(VLOOKUP($B174,Seqs!$A:$B,2,0),AO174,1),"")</f>
        <v>K</v>
      </c>
      <c r="AO174" s="3">
        <v>228</v>
      </c>
      <c r="AP174" s="3" t="str">
        <f>IFERROR(MID(VLOOKUP($B174,Seqs!$A:$B,2,0),AQ174,1),"")</f>
        <v>G</v>
      </c>
      <c r="AQ174" s="3">
        <v>265</v>
      </c>
      <c r="AR174" s="3" t="str">
        <f>IFERROR(MID(VLOOKUP($B174,Seqs!$A:$B,2,0),AS174,1),"")</f>
        <v>N</v>
      </c>
      <c r="AS174" s="3">
        <v>268</v>
      </c>
      <c r="AT174" s="3" t="str">
        <f>IFERROR(MID(VLOOKUP($B174,Seqs!$A:$B,2,0),AU174,1),"")</f>
        <v>V</v>
      </c>
      <c r="AU174" s="3">
        <v>300</v>
      </c>
      <c r="AV174" s="3" t="str">
        <f>IFERROR(MID(VLOOKUP($B174,Seqs!$A:$B,2,0),AW174,1),"")</f>
        <v>G</v>
      </c>
      <c r="AW174" s="3">
        <v>301</v>
      </c>
      <c r="AX174" s="3" t="str">
        <f>IFERROR(MID(VLOOKUP($B174,Seqs!$A:$B,2,0),AY174,1),"")</f>
        <v>Q</v>
      </c>
      <c r="AY174" s="3">
        <v>313</v>
      </c>
      <c r="AZ174" s="77" t="str">
        <f>VLOOKUP(B174,Classification!A:D,2,0)</f>
        <v>A</v>
      </c>
      <c r="BA174" s="94" t="str">
        <f>VLOOKUP(B174,Classification!A:D,4,0)</f>
        <v>Chemokine</v>
      </c>
      <c r="BB174" s="27" t="b">
        <f t="shared" si="1007"/>
        <v>1</v>
      </c>
      <c r="BC174" s="23">
        <f t="shared" si="785"/>
        <v>265</v>
      </c>
      <c r="BD174" s="2" t="s">
        <v>23</v>
      </c>
      <c r="BE174" s="3" t="s">
        <v>1368</v>
      </c>
      <c r="BF174" s="118">
        <v>2.71</v>
      </c>
      <c r="BG174" s="49" t="s">
        <v>1371</v>
      </c>
      <c r="BH174" s="49" t="s">
        <v>1371</v>
      </c>
      <c r="BI174" s="1"/>
      <c r="BJ174" s="70" t="s">
        <v>1281</v>
      </c>
      <c r="BK174" s="57" t="s">
        <v>1281</v>
      </c>
      <c r="BL174" s="57" t="s">
        <v>1281</v>
      </c>
      <c r="BM174" s="57" t="s">
        <v>1281</v>
      </c>
      <c r="BN174" s="57" t="s">
        <v>1281</v>
      </c>
      <c r="BO174" s="57" t="s">
        <v>1281</v>
      </c>
      <c r="BP174" s="57" t="s">
        <v>1281</v>
      </c>
      <c r="BQ174" s="57" t="s">
        <v>1281</v>
      </c>
      <c r="BR174" s="57" t="s">
        <v>1281</v>
      </c>
      <c r="BS174" s="57" t="s">
        <v>1281</v>
      </c>
      <c r="BT174" s="57" t="s">
        <v>1281</v>
      </c>
      <c r="BU174" s="57" t="s">
        <v>1281</v>
      </c>
      <c r="BV174" s="70">
        <f>E174</f>
        <v>25</v>
      </c>
      <c r="BW174" s="71" t="str">
        <f>I174</f>
        <v>-</v>
      </c>
      <c r="BX174" s="72">
        <f>M174</f>
        <v>63</v>
      </c>
      <c r="BY174" s="71">
        <f>Q174</f>
        <v>93</v>
      </c>
      <c r="BZ174" s="72">
        <f>U174</f>
        <v>97</v>
      </c>
      <c r="CA174" s="71">
        <f>Y174</f>
        <v>133</v>
      </c>
      <c r="CB174" s="72">
        <f>AC174</f>
        <v>141</v>
      </c>
      <c r="CC174" s="71">
        <f>AG174</f>
        <v>178</v>
      </c>
      <c r="CD174" s="72">
        <f>AK174</f>
        <v>186</v>
      </c>
      <c r="CE174" s="71">
        <f>AO174</f>
        <v>228</v>
      </c>
      <c r="CF174" s="72">
        <f>AS174</f>
        <v>268</v>
      </c>
      <c r="CG174" s="71">
        <f>AW174</f>
        <v>301</v>
      </c>
      <c r="CH174" s="70">
        <f>G174</f>
        <v>58</v>
      </c>
      <c r="CI174" s="71" t="str">
        <f>K174</f>
        <v>-</v>
      </c>
      <c r="CJ174" s="72">
        <f>O174</f>
        <v>92</v>
      </c>
      <c r="CK174" s="72">
        <f>S174</f>
        <v>96</v>
      </c>
      <c r="CL174" s="72">
        <f>W174</f>
        <v>132</v>
      </c>
      <c r="CM174" s="72">
        <f>AA174</f>
        <v>140</v>
      </c>
      <c r="CN174" s="72">
        <f>AE174</f>
        <v>167</v>
      </c>
      <c r="CO174" s="72">
        <f>AI174</f>
        <v>180</v>
      </c>
      <c r="CP174" s="72">
        <f>AM174</f>
        <v>223</v>
      </c>
      <c r="CQ174" s="72">
        <f>AQ174</f>
        <v>265</v>
      </c>
      <c r="CR174" s="72">
        <f>AU174</f>
        <v>300</v>
      </c>
      <c r="CS174" s="72">
        <f>AY174</f>
        <v>313</v>
      </c>
      <c r="CT174" s="23" t="e">
        <f>M174-K174</f>
        <v>#VALUE!</v>
      </c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/>
      <c r="AFJ174" s="1"/>
      <c r="AFK174" s="1"/>
      <c r="AFL174" s="1"/>
      <c r="AFM174" s="1"/>
      <c r="AFN174" s="1"/>
      <c r="AFO174" s="1"/>
      <c r="AFP174" s="1"/>
      <c r="AFQ174" s="1"/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/>
      <c r="AHF174" s="1"/>
      <c r="AHG174" s="1"/>
      <c r="AHH174" s="1"/>
      <c r="AHI174" s="1"/>
      <c r="AHJ174" s="1"/>
      <c r="AHK174" s="1"/>
      <c r="AHL174" s="1"/>
      <c r="AHM174" s="1"/>
      <c r="AHN174" s="1"/>
      <c r="AHO174" s="1"/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1"/>
      <c r="AIB174" s="1"/>
      <c r="AIC174" s="1"/>
      <c r="AID174" s="1"/>
      <c r="AIE174" s="1"/>
      <c r="AIF174" s="1"/>
      <c r="AIG174" s="1"/>
      <c r="AIH174" s="1"/>
      <c r="AII174" s="1"/>
      <c r="AIJ174" s="1"/>
      <c r="AIK174" s="1"/>
      <c r="AIL174" s="1"/>
      <c r="AIM174" s="1"/>
      <c r="AIN174" s="1"/>
      <c r="AIO174" s="1"/>
      <c r="AIP174" s="1"/>
      <c r="AIQ174" s="1"/>
      <c r="AIR174" s="1"/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"/>
      <c r="AJE174" s="1"/>
      <c r="AJF174" s="1"/>
      <c r="AJG174" s="1"/>
      <c r="AJH174" s="1"/>
      <c r="AJI174" s="1"/>
      <c r="AJJ174" s="1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/>
      <c r="AKH174" s="1"/>
      <c r="AKI174" s="1"/>
      <c r="AKJ174" s="1"/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/>
      <c r="ALL174" s="1"/>
      <c r="ALM174" s="1"/>
      <c r="ALN174" s="1"/>
      <c r="ALO174" s="1"/>
      <c r="ALP174" s="1"/>
      <c r="ALQ174" s="1"/>
      <c r="ALR174" s="1"/>
      <c r="ALS174" s="1"/>
      <c r="ALT174" s="1"/>
      <c r="ALU174" s="1"/>
      <c r="ALV174" s="1"/>
      <c r="ALW174" s="1"/>
      <c r="ALX174" s="1"/>
      <c r="ALY174" s="1"/>
      <c r="ALZ174" s="1"/>
      <c r="AMA174" s="1"/>
      <c r="AMB174" s="1"/>
      <c r="AMC174" s="1"/>
      <c r="AMD174" s="1"/>
      <c r="AME174" s="1"/>
      <c r="AMF174" s="1"/>
      <c r="AMG174" s="1"/>
      <c r="AMH174" s="1"/>
      <c r="AMI174" s="1"/>
      <c r="AMJ174" s="1"/>
      <c r="AMK174" s="1"/>
      <c r="AML174" s="1"/>
      <c r="AMM174" s="1"/>
      <c r="AMN174" s="1"/>
      <c r="AMO174" s="1"/>
    </row>
    <row r="175" spans="1:1030" x14ac:dyDescent="0.2">
      <c r="A175" s="3" t="str">
        <f>CONCATENATE(B175,"_",C175)</f>
        <v>ccr5_human_5UIW</v>
      </c>
      <c r="B175" s="3" t="s">
        <v>173</v>
      </c>
      <c r="C175" s="3" t="s">
        <v>1417</v>
      </c>
      <c r="D175" s="3" t="str">
        <f>IFERROR(MID(VLOOKUP($B175,Seqs!$A:$B,2,0),E175,1),"")</f>
        <v>K</v>
      </c>
      <c r="E175" s="3">
        <v>22</v>
      </c>
      <c r="F175" s="3" t="str">
        <f>IFERROR(MID(VLOOKUP($B175,Seqs!$A:$B,2,0),G175,1),"")</f>
        <v>C</v>
      </c>
      <c r="G175" s="3">
        <v>58</v>
      </c>
      <c r="H175" s="3" t="str">
        <f>IFERROR(MID(VLOOKUP($B175,Seqs!$A:$B,2,0),I175,1),"")</f>
        <v/>
      </c>
      <c r="I175" s="23" t="s">
        <v>23</v>
      </c>
      <c r="J175" s="3" t="str">
        <f>IFERROR(MID(VLOOKUP($B175,Seqs!$A:$B,2,0),K175,1),"")</f>
        <v/>
      </c>
      <c r="K175" s="23" t="s">
        <v>23</v>
      </c>
      <c r="L175" s="3" t="str">
        <f>IFERROR(MID(VLOOKUP($B175,Seqs!$A:$B,2,0),M175,1),"")</f>
        <v>S</v>
      </c>
      <c r="M175" s="3">
        <v>63</v>
      </c>
      <c r="N175" s="3" t="str">
        <f>IFERROR(MID(VLOOKUP($B175,Seqs!$A:$B,2,0),O175,1),"")</f>
        <v>A</v>
      </c>
      <c r="O175" s="3">
        <v>92</v>
      </c>
      <c r="P175" s="3" t="str">
        <f>IFERROR(MID(VLOOKUP($B175,Seqs!$A:$B,2,0),Q175,1),"")</f>
        <v>Q</v>
      </c>
      <c r="Q175" s="3">
        <v>93</v>
      </c>
      <c r="R175" s="3" t="str">
        <f>IFERROR(MID(VLOOKUP($B175,Seqs!$A:$B,2,0),S175,1),"")</f>
        <v>F</v>
      </c>
      <c r="S175" s="3">
        <v>96</v>
      </c>
      <c r="T175" s="3" t="str">
        <f>IFERROR(MID(VLOOKUP($B175,Seqs!$A:$B,2,0),U175,1),"")</f>
        <v>G</v>
      </c>
      <c r="U175" s="3">
        <v>97</v>
      </c>
      <c r="V175" s="3" t="str">
        <f>IFERROR(MID(VLOOKUP($B175,Seqs!$A:$B,2,0),W175,1),"")</f>
        <v>H</v>
      </c>
      <c r="W175" s="3">
        <v>132</v>
      </c>
      <c r="X175" s="3" t="str">
        <f>IFERROR(MID(VLOOKUP($B175,Seqs!$A:$B,2,0),Y175,1),"")</f>
        <v>A</v>
      </c>
      <c r="Y175" s="3">
        <v>133</v>
      </c>
      <c r="Z175" s="3" t="str">
        <f>IFERROR(MID(VLOOKUP($B175,Seqs!$A:$B,2,0),AA175,1),"")</f>
        <v>R</v>
      </c>
      <c r="AA175" s="3">
        <v>140</v>
      </c>
      <c r="AB175" s="3" t="str">
        <f>IFERROR(MID(VLOOKUP($B175,Seqs!$A:$B,2,0),AC175,1),"")</f>
        <v>T</v>
      </c>
      <c r="AC175" s="3">
        <v>141</v>
      </c>
      <c r="AD175" s="3" t="str">
        <f>IFERROR(MID(VLOOKUP($B175,Seqs!$A:$B,2,0),AE175,1),"")</f>
        <v>T</v>
      </c>
      <c r="AE175" s="3">
        <v>167</v>
      </c>
      <c r="AF175" s="3" t="str">
        <f>IFERROR(MID(VLOOKUP($B175,Seqs!$A:$B,2,0),AG175,1),"")</f>
        <v>C</v>
      </c>
      <c r="AG175" s="3">
        <v>178</v>
      </c>
      <c r="AH175" s="3" t="str">
        <f>IFERROR(MID(VLOOKUP($B175,Seqs!$A:$B,2,0),AI175,1),"")</f>
        <v>S</v>
      </c>
      <c r="AI175" s="3">
        <v>180</v>
      </c>
      <c r="AJ175" s="3" t="str">
        <f>IFERROR(MID(VLOOKUP($B175,Seqs!$A:$B,2,0),AK175,1),"")</f>
        <v>Q</v>
      </c>
      <c r="AK175" s="3">
        <v>186</v>
      </c>
      <c r="AL175" s="3" t="str">
        <f>IFERROR(MID(VLOOKUP($B175,Seqs!$A:$B,2,0),AM175,1),"")</f>
        <v>R</v>
      </c>
      <c r="AM175" s="3">
        <v>223</v>
      </c>
      <c r="AN175" s="3" t="str">
        <f>IFERROR(MID(VLOOKUP($B175,Seqs!$A:$B,2,0),AO175,1),"")</f>
        <v>E</v>
      </c>
      <c r="AO175" s="3">
        <v>227</v>
      </c>
      <c r="AP175" s="3" t="str">
        <f>IFERROR(MID(VLOOKUP($B175,Seqs!$A:$B,2,0),AQ175,1),"")</f>
        <v>Q</v>
      </c>
      <c r="AQ175" s="3">
        <v>261</v>
      </c>
      <c r="AR175" s="3" t="str">
        <f>IFERROR(MID(VLOOKUP($B175,Seqs!$A:$B,2,0),AS175,1),"")</f>
        <v>N</v>
      </c>
      <c r="AS175" s="3">
        <v>268</v>
      </c>
      <c r="AT175" s="3" t="str">
        <f>IFERROR(MID(VLOOKUP($B175,Seqs!$A:$B,2,0),AU175,1),"")</f>
        <v>V</v>
      </c>
      <c r="AU175" s="3">
        <v>300</v>
      </c>
      <c r="AV175" s="3" t="str">
        <f>IFERROR(MID(VLOOKUP($B175,Seqs!$A:$B,2,0),AW175,1),"")</f>
        <v>G</v>
      </c>
      <c r="AW175" s="3">
        <v>301</v>
      </c>
      <c r="AX175" s="3" t="str">
        <f>IFERROR(MID(VLOOKUP($B175,Seqs!$A:$B,2,0),AY175,1),"")</f>
        <v>I</v>
      </c>
      <c r="AY175" s="3">
        <v>316</v>
      </c>
      <c r="AZ175" s="77" t="str">
        <f>VLOOKUP(B175,Classification!A:D,2,0)</f>
        <v>A</v>
      </c>
      <c r="BA175" s="94" t="str">
        <f>VLOOKUP(B175,Classification!A:D,4,0)</f>
        <v>Chemokine</v>
      </c>
      <c r="BB175" s="27" t="b">
        <f>AND(E175&lt;G175,OR(G175&lt;I175,I175="-"),OR(I175&lt;K175,I175="-"),OR(K175&lt;M175,K175="-"),M175&lt;O175,OR(O175&lt;Q175,Q175="-"),OR(Q175&lt;S175,Q175="-"),OR(S175&lt;U175,S175="-"),U175&lt;W175,OR(W175&lt;Y175,Y175="-"),OR(Y175&lt;AA175,Y175="-"),OR(AA175&lt;AC175,AA175="-"),AC175&lt;AE175,OR(AE175&lt;AG175,AG175="-"),OR(AG175&lt;AI175,AG175="-"),OR(AI175&lt;AK175,AI175="-"),AK175&lt;AM175,AM175&lt;AO175,AO175&lt;AQ175,AQ175&lt;AS175,AS175&lt;AU175,OR(AU175&lt;AW175,AW175="-"),OR(AW175&lt;AY175,AW175="-"))</f>
        <v>1</v>
      </c>
      <c r="BC175" s="23">
        <f>_xlfn.AGGREGATE(9,6,CH175:CS175)-_xlfn.AGGREGATE(9,6,BV175:CG175)+12</f>
        <v>268</v>
      </c>
      <c r="BD175" s="2" t="s">
        <v>1370</v>
      </c>
      <c r="BE175" s="3" t="s">
        <v>1368</v>
      </c>
      <c r="BF175" s="118">
        <v>2.2000000000000002</v>
      </c>
      <c r="BG175" s="49" t="s">
        <v>1371</v>
      </c>
      <c r="BH175" s="49" t="s">
        <v>1371</v>
      </c>
      <c r="BI175" s="1"/>
      <c r="BJ175" s="70" t="s">
        <v>1281</v>
      </c>
      <c r="BK175" s="57" t="s">
        <v>1281</v>
      </c>
      <c r="BL175" s="57" t="s">
        <v>1281</v>
      </c>
      <c r="BM175" s="57" t="s">
        <v>1281</v>
      </c>
      <c r="BN175" s="57" t="s">
        <v>1281</v>
      </c>
      <c r="BO175" s="57" t="s">
        <v>1281</v>
      </c>
      <c r="BP175" s="57" t="s">
        <v>1281</v>
      </c>
      <c r="BQ175" s="57" t="s">
        <v>1281</v>
      </c>
      <c r="BR175" s="57" t="s">
        <v>1281</v>
      </c>
      <c r="BS175" s="57" t="s">
        <v>1281</v>
      </c>
      <c r="BT175" s="57" t="s">
        <v>1281</v>
      </c>
      <c r="BU175" s="57" t="s">
        <v>1281</v>
      </c>
      <c r="BV175" s="70">
        <f>E175</f>
        <v>22</v>
      </c>
      <c r="BW175" s="71" t="str">
        <f>I175</f>
        <v>-</v>
      </c>
      <c r="BX175" s="72">
        <f>M175</f>
        <v>63</v>
      </c>
      <c r="BY175" s="71">
        <f>Q175</f>
        <v>93</v>
      </c>
      <c r="BZ175" s="72">
        <f>U175</f>
        <v>97</v>
      </c>
      <c r="CA175" s="71">
        <f>Y175</f>
        <v>133</v>
      </c>
      <c r="CB175" s="72">
        <f>AC175</f>
        <v>141</v>
      </c>
      <c r="CC175" s="71">
        <f>AG175</f>
        <v>178</v>
      </c>
      <c r="CD175" s="72">
        <f>AK175</f>
        <v>186</v>
      </c>
      <c r="CE175" s="71">
        <f>AO175</f>
        <v>227</v>
      </c>
      <c r="CF175" s="72">
        <f>AS175</f>
        <v>268</v>
      </c>
      <c r="CG175" s="71">
        <f>AW175</f>
        <v>301</v>
      </c>
      <c r="CH175" s="70">
        <f>G175</f>
        <v>58</v>
      </c>
      <c r="CI175" s="71" t="str">
        <f>K175</f>
        <v>-</v>
      </c>
      <c r="CJ175" s="72">
        <f>O175</f>
        <v>92</v>
      </c>
      <c r="CK175" s="72">
        <f>S175</f>
        <v>96</v>
      </c>
      <c r="CL175" s="72">
        <f>W175</f>
        <v>132</v>
      </c>
      <c r="CM175" s="72">
        <f>AA175</f>
        <v>140</v>
      </c>
      <c r="CN175" s="72">
        <f>AE175</f>
        <v>167</v>
      </c>
      <c r="CO175" s="72">
        <f>AI175</f>
        <v>180</v>
      </c>
      <c r="CP175" s="72">
        <f>AM175</f>
        <v>223</v>
      </c>
      <c r="CQ175" s="72">
        <f>AQ175</f>
        <v>261</v>
      </c>
      <c r="CR175" s="72">
        <f>AU175</f>
        <v>300</v>
      </c>
      <c r="CS175" s="72">
        <f>AY175</f>
        <v>316</v>
      </c>
      <c r="CT175" s="23" t="e">
        <f>M175-K175</f>
        <v>#VALUE!</v>
      </c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  <c r="AMJ175" s="1"/>
      <c r="AMK175" s="1"/>
      <c r="AML175" s="1"/>
      <c r="AMM175" s="1"/>
      <c r="AMN175" s="1"/>
      <c r="AMO175" s="1"/>
    </row>
    <row r="176" spans="1:1030" x14ac:dyDescent="0.2">
      <c r="A176" s="3" t="str">
        <f>CONCATENATE(B176,"_",C176)</f>
        <v>ccr5_human_6AKX</v>
      </c>
      <c r="B176" s="3" t="s">
        <v>173</v>
      </c>
      <c r="C176" s="3" t="s">
        <v>1518</v>
      </c>
      <c r="D176" s="3" t="str">
        <f>IFERROR(MID(VLOOKUP($B176,Seqs!$A:$B,2,0),E176,1),"")</f>
        <v>V</v>
      </c>
      <c r="E176" s="3">
        <v>25</v>
      </c>
      <c r="F176" s="3" t="str">
        <f>IFERROR(MID(VLOOKUP($B176,Seqs!$A:$B,2,0),G176,1),"")</f>
        <v>C</v>
      </c>
      <c r="G176" s="3">
        <v>58</v>
      </c>
      <c r="H176" s="3" t="str">
        <f>IFERROR(MID(VLOOKUP($B176,Seqs!$A:$B,2,0),I176,1),"")</f>
        <v/>
      </c>
      <c r="I176" s="23" t="s">
        <v>23</v>
      </c>
      <c r="J176" s="3" t="str">
        <f>IFERROR(MID(VLOOKUP($B176,Seqs!$A:$B,2,0),K176,1),"")</f>
        <v/>
      </c>
      <c r="K176" s="23" t="s">
        <v>23</v>
      </c>
      <c r="L176" s="3" t="str">
        <f>IFERROR(MID(VLOOKUP($B176,Seqs!$A:$B,2,0),M176,1),"")</f>
        <v>S</v>
      </c>
      <c r="M176" s="3">
        <v>63</v>
      </c>
      <c r="N176" s="3" t="str">
        <f>IFERROR(MID(VLOOKUP($B176,Seqs!$A:$B,2,0),O176,1),"")</f>
        <v>A</v>
      </c>
      <c r="O176" s="3">
        <v>92</v>
      </c>
      <c r="P176" s="3" t="str">
        <f>IFERROR(MID(VLOOKUP($B176,Seqs!$A:$B,2,0),Q176,1),"")</f>
        <v>Q</v>
      </c>
      <c r="Q176" s="3">
        <v>93</v>
      </c>
      <c r="R176" s="3" t="str">
        <f>IFERROR(MID(VLOOKUP($B176,Seqs!$A:$B,2,0),S176,1),"")</f>
        <v>F</v>
      </c>
      <c r="S176" s="3">
        <v>96</v>
      </c>
      <c r="T176" s="3" t="str">
        <f>IFERROR(MID(VLOOKUP($B176,Seqs!$A:$B,2,0),U176,1),"")</f>
        <v>G</v>
      </c>
      <c r="U176" s="3">
        <v>97</v>
      </c>
      <c r="V176" s="3" t="str">
        <f>IFERROR(MID(VLOOKUP($B176,Seqs!$A:$B,2,0),W176,1),"")</f>
        <v>H</v>
      </c>
      <c r="W176" s="3">
        <v>132</v>
      </c>
      <c r="X176" s="3" t="str">
        <f>IFERROR(MID(VLOOKUP($B176,Seqs!$A:$B,2,0),Y176,1),"")</f>
        <v>A</v>
      </c>
      <c r="Y176" s="3">
        <v>133</v>
      </c>
      <c r="Z176" s="3" t="str">
        <f>IFERROR(MID(VLOOKUP($B176,Seqs!$A:$B,2,0),AA176,1),"")</f>
        <v>R</v>
      </c>
      <c r="AA176" s="3">
        <v>140</v>
      </c>
      <c r="AB176" s="3" t="str">
        <f>IFERROR(MID(VLOOKUP($B176,Seqs!$A:$B,2,0),AC176,1),"")</f>
        <v>T</v>
      </c>
      <c r="AC176" s="3">
        <v>141</v>
      </c>
      <c r="AD176" s="3" t="str">
        <f>IFERROR(MID(VLOOKUP($B176,Seqs!$A:$B,2,0),AE176,1),"")</f>
        <v>T</v>
      </c>
      <c r="AE176" s="3">
        <v>167</v>
      </c>
      <c r="AF176" s="3" t="str">
        <f>IFERROR(MID(VLOOKUP($B176,Seqs!$A:$B,2,0),AG176,1),"")</f>
        <v>C</v>
      </c>
      <c r="AG176" s="3">
        <v>178</v>
      </c>
      <c r="AH176" s="3" t="str">
        <f>IFERROR(MID(VLOOKUP($B176,Seqs!$A:$B,2,0),AI176,1),"")</f>
        <v>S</v>
      </c>
      <c r="AI176" s="3">
        <v>180</v>
      </c>
      <c r="AJ176" s="3" t="str">
        <f>IFERROR(MID(VLOOKUP($B176,Seqs!$A:$B,2,0),AK176,1),"")</f>
        <v>Q</v>
      </c>
      <c r="AK176" s="3">
        <v>186</v>
      </c>
      <c r="AL176" s="3" t="str">
        <f>IFERROR(MID(VLOOKUP($B176,Seqs!$A:$B,2,0),AM176,1),"")</f>
        <v>R</v>
      </c>
      <c r="AM176" s="3">
        <v>223</v>
      </c>
      <c r="AN176" s="3" t="str">
        <f>IFERROR(MID(VLOOKUP($B176,Seqs!$A:$B,2,0),AO176,1),"")</f>
        <v>K</v>
      </c>
      <c r="AO176" s="3">
        <v>228</v>
      </c>
      <c r="AP176" s="3" t="str">
        <f>IFERROR(MID(VLOOKUP($B176,Seqs!$A:$B,2,0),AQ176,1),"")</f>
        <v>G</v>
      </c>
      <c r="AQ176" s="3">
        <v>265</v>
      </c>
      <c r="AR176" s="3" t="str">
        <f>IFERROR(MID(VLOOKUP($B176,Seqs!$A:$B,2,0),AS176,1),"")</f>
        <v>N</v>
      </c>
      <c r="AS176" s="3">
        <v>268</v>
      </c>
      <c r="AT176" s="3" t="str">
        <f>IFERROR(MID(VLOOKUP($B176,Seqs!$A:$B,2,0),AU176,1),"")</f>
        <v>V</v>
      </c>
      <c r="AU176" s="3">
        <v>300</v>
      </c>
      <c r="AV176" s="3" t="str">
        <f>IFERROR(MID(VLOOKUP($B176,Seqs!$A:$B,2,0),AW176,1),"")</f>
        <v>G</v>
      </c>
      <c r="AW176" s="3">
        <v>301</v>
      </c>
      <c r="AX176" s="3" t="str">
        <f>IFERROR(MID(VLOOKUP($B176,Seqs!$A:$B,2,0),AY176,1),"")</f>
        <v>Q</v>
      </c>
      <c r="AY176" s="3">
        <v>313</v>
      </c>
      <c r="AZ176" s="77" t="str">
        <f>VLOOKUP(B176,Classification!A:D,2,0)</f>
        <v>A</v>
      </c>
      <c r="BA176" s="94" t="str">
        <f>VLOOKUP(B176,Classification!A:D,4,0)</f>
        <v>Chemokine</v>
      </c>
      <c r="BB176" s="27" t="b">
        <f>AND(E176&lt;G176,OR(G176&lt;I176,I176="-"),OR(I176&lt;K176,I176="-"),OR(K176&lt;M176,K176="-"),M176&lt;O176,OR(O176&lt;Q176,Q176="-"),OR(Q176&lt;S176,Q176="-"),OR(S176&lt;U176,S176="-"),U176&lt;W176,OR(W176&lt;Y176,Y176="-"),OR(Y176&lt;AA176,Y176="-"),OR(AA176&lt;AC176,AA176="-"),AC176&lt;AE176,OR(AE176&lt;AG176,AG176="-"),OR(AG176&lt;AI176,AG176="-"),OR(AI176&lt;AK176,AI176="-"),AK176&lt;AM176,AM176&lt;AO176,AO176&lt;AQ176,AQ176&lt;AS176,AS176&lt;AU176,OR(AU176&lt;AW176,AW176="-"),OR(AW176&lt;AY176,AW176="-"))</f>
        <v>1</v>
      </c>
      <c r="BC176" s="23">
        <f>_xlfn.AGGREGATE(9,6,CH176:CS176)-_xlfn.AGGREGATE(9,6,BV176:CG176)+12</f>
        <v>265</v>
      </c>
      <c r="BD176" s="2" t="s">
        <v>23</v>
      </c>
      <c r="BE176" s="3" t="s">
        <v>1368</v>
      </c>
      <c r="BF176" s="118">
        <v>2.8</v>
      </c>
      <c r="BG176" s="49" t="s">
        <v>1275</v>
      </c>
      <c r="BH176" s="49" t="s">
        <v>1275</v>
      </c>
      <c r="BI176" s="1"/>
      <c r="BJ176" s="70" t="s">
        <v>1281</v>
      </c>
      <c r="BK176" s="57" t="s">
        <v>1281</v>
      </c>
      <c r="BL176" s="57" t="s">
        <v>1281</v>
      </c>
      <c r="BM176" s="57" t="s">
        <v>1281</v>
      </c>
      <c r="BN176" s="57" t="s">
        <v>1281</v>
      </c>
      <c r="BO176" s="57" t="s">
        <v>1281</v>
      </c>
      <c r="BP176" s="57" t="s">
        <v>1281</v>
      </c>
      <c r="BQ176" s="57" t="s">
        <v>1281</v>
      </c>
      <c r="BR176" s="57" t="s">
        <v>1281</v>
      </c>
      <c r="BS176" s="57" t="s">
        <v>1281</v>
      </c>
      <c r="BT176" s="57" t="s">
        <v>1281</v>
      </c>
      <c r="BU176" s="57" t="s">
        <v>1281</v>
      </c>
      <c r="BV176" s="70">
        <f>E176</f>
        <v>25</v>
      </c>
      <c r="BW176" s="71" t="str">
        <f>I176</f>
        <v>-</v>
      </c>
      <c r="BX176" s="72">
        <f>M176</f>
        <v>63</v>
      </c>
      <c r="BY176" s="71">
        <f>Q176</f>
        <v>93</v>
      </c>
      <c r="BZ176" s="72">
        <f>U176</f>
        <v>97</v>
      </c>
      <c r="CA176" s="71">
        <f>Y176</f>
        <v>133</v>
      </c>
      <c r="CB176" s="72">
        <f>AC176</f>
        <v>141</v>
      </c>
      <c r="CC176" s="71">
        <f>AG176</f>
        <v>178</v>
      </c>
      <c r="CD176" s="72">
        <f>AK176</f>
        <v>186</v>
      </c>
      <c r="CE176" s="71">
        <f>AO176</f>
        <v>228</v>
      </c>
      <c r="CF176" s="72">
        <f>AS176</f>
        <v>268</v>
      </c>
      <c r="CG176" s="71">
        <f>AW176</f>
        <v>301</v>
      </c>
      <c r="CH176" s="70">
        <f>G176</f>
        <v>58</v>
      </c>
      <c r="CI176" s="71" t="str">
        <f>K176</f>
        <v>-</v>
      </c>
      <c r="CJ176" s="72">
        <f>O176</f>
        <v>92</v>
      </c>
      <c r="CK176" s="72">
        <f>S176</f>
        <v>96</v>
      </c>
      <c r="CL176" s="72">
        <f>W176</f>
        <v>132</v>
      </c>
      <c r="CM176" s="72">
        <f>AA176</f>
        <v>140</v>
      </c>
      <c r="CN176" s="72">
        <f>AE176</f>
        <v>167</v>
      </c>
      <c r="CO176" s="72">
        <f>AI176</f>
        <v>180</v>
      </c>
      <c r="CP176" s="72">
        <f>AM176</f>
        <v>223</v>
      </c>
      <c r="CQ176" s="72">
        <f>AQ176</f>
        <v>265</v>
      </c>
      <c r="CR176" s="72">
        <f>AU176</f>
        <v>300</v>
      </c>
      <c r="CS176" s="72">
        <f>AY176</f>
        <v>313</v>
      </c>
      <c r="CT176" s="23" t="e">
        <f>M176-K176</f>
        <v>#VALUE!</v>
      </c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  <c r="AMJ176" s="1"/>
      <c r="AMK176" s="1"/>
      <c r="AML176" s="1"/>
      <c r="AMM176" s="1"/>
      <c r="AMN176" s="1"/>
      <c r="AMO176" s="1"/>
    </row>
    <row r="177" spans="1:1029" x14ac:dyDescent="0.2">
      <c r="A177" s="3" t="str">
        <f>CONCATENATE(B177,"_",C177)</f>
        <v>ccr5_human_6AKY</v>
      </c>
      <c r="B177" s="3" t="s">
        <v>173</v>
      </c>
      <c r="C177" s="3" t="s">
        <v>1519</v>
      </c>
      <c r="D177" s="3" t="str">
        <f>IFERROR(MID(VLOOKUP($B177,Seqs!$A:$B,2,0),E177,1),"")</f>
        <v>V</v>
      </c>
      <c r="E177" s="3">
        <v>25</v>
      </c>
      <c r="F177" s="3" t="str">
        <f>IFERROR(MID(VLOOKUP($B177,Seqs!$A:$B,2,0),G177,1),"")</f>
        <v>C</v>
      </c>
      <c r="G177" s="3">
        <v>58</v>
      </c>
      <c r="H177" s="3" t="str">
        <f>IFERROR(MID(VLOOKUP($B177,Seqs!$A:$B,2,0),I177,1),"")</f>
        <v/>
      </c>
      <c r="I177" s="23" t="s">
        <v>23</v>
      </c>
      <c r="J177" s="3" t="str">
        <f>IFERROR(MID(VLOOKUP($B177,Seqs!$A:$B,2,0),K177,1),"")</f>
        <v/>
      </c>
      <c r="K177" s="23" t="s">
        <v>23</v>
      </c>
      <c r="L177" s="3" t="str">
        <f>IFERROR(MID(VLOOKUP($B177,Seqs!$A:$B,2,0),M177,1),"")</f>
        <v>S</v>
      </c>
      <c r="M177" s="3">
        <v>63</v>
      </c>
      <c r="N177" s="3" t="str">
        <f>IFERROR(MID(VLOOKUP($B177,Seqs!$A:$B,2,0),O177,1),"")</f>
        <v>A</v>
      </c>
      <c r="O177" s="3">
        <v>92</v>
      </c>
      <c r="P177" s="3" t="str">
        <f>IFERROR(MID(VLOOKUP($B177,Seqs!$A:$B,2,0),Q177,1),"")</f>
        <v>Q</v>
      </c>
      <c r="Q177" s="3">
        <v>93</v>
      </c>
      <c r="R177" s="3" t="str">
        <f>IFERROR(MID(VLOOKUP($B177,Seqs!$A:$B,2,0),S177,1),"")</f>
        <v>F</v>
      </c>
      <c r="S177" s="3">
        <v>96</v>
      </c>
      <c r="T177" s="3" t="str">
        <f>IFERROR(MID(VLOOKUP($B177,Seqs!$A:$B,2,0),U177,1),"")</f>
        <v>G</v>
      </c>
      <c r="U177" s="3">
        <v>97</v>
      </c>
      <c r="V177" s="3" t="str">
        <f>IFERROR(MID(VLOOKUP($B177,Seqs!$A:$B,2,0),W177,1),"")</f>
        <v>H</v>
      </c>
      <c r="W177" s="3">
        <v>132</v>
      </c>
      <c r="X177" s="3" t="str">
        <f>IFERROR(MID(VLOOKUP($B177,Seqs!$A:$B,2,0),Y177,1),"")</f>
        <v>A</v>
      </c>
      <c r="Y177" s="3">
        <v>133</v>
      </c>
      <c r="Z177" s="3" t="str">
        <f>IFERROR(MID(VLOOKUP($B177,Seqs!$A:$B,2,0),AA177,1),"")</f>
        <v>R</v>
      </c>
      <c r="AA177" s="3">
        <v>140</v>
      </c>
      <c r="AB177" s="3" t="str">
        <f>IFERROR(MID(VLOOKUP($B177,Seqs!$A:$B,2,0),AC177,1),"")</f>
        <v>T</v>
      </c>
      <c r="AC177" s="3">
        <v>141</v>
      </c>
      <c r="AD177" s="3" t="str">
        <f>IFERROR(MID(VLOOKUP($B177,Seqs!$A:$B,2,0),AE177,1),"")</f>
        <v>T</v>
      </c>
      <c r="AE177" s="3">
        <v>167</v>
      </c>
      <c r="AF177" s="3" t="str">
        <f>IFERROR(MID(VLOOKUP($B177,Seqs!$A:$B,2,0),AG177,1),"")</f>
        <v>C</v>
      </c>
      <c r="AG177" s="3">
        <v>178</v>
      </c>
      <c r="AH177" s="3" t="str">
        <f>IFERROR(MID(VLOOKUP($B177,Seqs!$A:$B,2,0),AI177,1),"")</f>
        <v>S</v>
      </c>
      <c r="AI177" s="3">
        <v>180</v>
      </c>
      <c r="AJ177" s="3" t="str">
        <f>IFERROR(MID(VLOOKUP($B177,Seqs!$A:$B,2,0),AK177,1),"")</f>
        <v>Q</v>
      </c>
      <c r="AK177" s="3">
        <v>186</v>
      </c>
      <c r="AL177" s="3" t="str">
        <f>IFERROR(MID(VLOOKUP($B177,Seqs!$A:$B,2,0),AM177,1),"")</f>
        <v>R</v>
      </c>
      <c r="AM177" s="3">
        <v>223</v>
      </c>
      <c r="AN177" s="3" t="str">
        <f>IFERROR(MID(VLOOKUP($B177,Seqs!$A:$B,2,0),AO177,1),"")</f>
        <v>H</v>
      </c>
      <c r="AO177" s="3">
        <v>231</v>
      </c>
      <c r="AP177" s="3" t="str">
        <f>IFERROR(MID(VLOOKUP($B177,Seqs!$A:$B,2,0),AQ177,1),"")</f>
        <v>F</v>
      </c>
      <c r="AQ177" s="3">
        <v>260</v>
      </c>
      <c r="AR177" s="3" t="str">
        <f>IFERROR(MID(VLOOKUP($B177,Seqs!$A:$B,2,0),AS177,1),"")</f>
        <v>N</v>
      </c>
      <c r="AS177" s="3">
        <v>268</v>
      </c>
      <c r="AT177" s="3" t="str">
        <f>IFERROR(MID(VLOOKUP($B177,Seqs!$A:$B,2,0),AU177,1),"")</f>
        <v>V</v>
      </c>
      <c r="AU177" s="3">
        <v>300</v>
      </c>
      <c r="AV177" s="3" t="str">
        <f>IFERROR(MID(VLOOKUP($B177,Seqs!$A:$B,2,0),AW177,1),"")</f>
        <v>G</v>
      </c>
      <c r="AW177" s="3">
        <v>301</v>
      </c>
      <c r="AX177" s="3" t="str">
        <f>IFERROR(MID(VLOOKUP($B177,Seqs!$A:$B,2,0),AY177,1),"")</f>
        <v>L</v>
      </c>
      <c r="AY177" s="3">
        <v>308</v>
      </c>
      <c r="AZ177" s="77" t="str">
        <f>VLOOKUP(B177,Classification!A:D,2,0)</f>
        <v>A</v>
      </c>
      <c r="BA177" s="94" t="str">
        <f>VLOOKUP(B177,Classification!A:D,4,0)</f>
        <v>Chemokine</v>
      </c>
      <c r="BB177" s="27" t="b">
        <f>AND(E177&lt;G177,OR(G177&lt;I177,I177="-"),OR(I177&lt;K177,I177="-"),OR(K177&lt;M177,K177="-"),M177&lt;O177,OR(O177&lt;Q177,Q177="-"),OR(Q177&lt;S177,Q177="-"),OR(S177&lt;U177,S177="-"),U177&lt;W177,OR(W177&lt;Y177,Y177="-"),OR(Y177&lt;AA177,Y177="-"),OR(AA177&lt;AC177,AA177="-"),AC177&lt;AE177,OR(AE177&lt;AG177,AG177="-"),OR(AG177&lt;AI177,AG177="-"),OR(AI177&lt;AK177,AI177="-"),AK177&lt;AM177,AM177&lt;AO177,AO177&lt;AQ177,AQ177&lt;AS177,AS177&lt;AU177,OR(AU177&lt;AW177,AW177="-"),OR(AW177&lt;AY177,AW177="-"))</f>
        <v>1</v>
      </c>
      <c r="BC177" s="23">
        <f>_xlfn.AGGREGATE(9,6,CH177:CS177)-_xlfn.AGGREGATE(9,6,BV177:CG177)+12</f>
        <v>252</v>
      </c>
      <c r="BD177" s="2" t="s">
        <v>23</v>
      </c>
      <c r="BE177" s="3" t="s">
        <v>1368</v>
      </c>
      <c r="BF177" s="118">
        <v>2.8</v>
      </c>
      <c r="BG177" s="49" t="s">
        <v>1275</v>
      </c>
      <c r="BH177" s="49" t="s">
        <v>1275</v>
      </c>
      <c r="BI177" s="1"/>
      <c r="BJ177" s="70" t="s">
        <v>1281</v>
      </c>
      <c r="BK177" s="57" t="s">
        <v>1281</v>
      </c>
      <c r="BL177" s="57" t="s">
        <v>1281</v>
      </c>
      <c r="BM177" s="57" t="s">
        <v>1281</v>
      </c>
      <c r="BN177" s="57" t="s">
        <v>1281</v>
      </c>
      <c r="BO177" s="57" t="s">
        <v>1281</v>
      </c>
      <c r="BP177" s="57" t="s">
        <v>1281</v>
      </c>
      <c r="BQ177" s="57" t="s">
        <v>1281</v>
      </c>
      <c r="BR177" s="57" t="s">
        <v>1281</v>
      </c>
      <c r="BS177" s="57" t="s">
        <v>1281</v>
      </c>
      <c r="BT177" s="57" t="s">
        <v>1281</v>
      </c>
      <c r="BU177" s="57" t="s">
        <v>1281</v>
      </c>
      <c r="BV177" s="70">
        <f>E177</f>
        <v>25</v>
      </c>
      <c r="BW177" s="71" t="str">
        <f>I177</f>
        <v>-</v>
      </c>
      <c r="BX177" s="72">
        <f>M177</f>
        <v>63</v>
      </c>
      <c r="BY177" s="71">
        <f>Q177</f>
        <v>93</v>
      </c>
      <c r="BZ177" s="72">
        <f>U177</f>
        <v>97</v>
      </c>
      <c r="CA177" s="71">
        <f>Y177</f>
        <v>133</v>
      </c>
      <c r="CB177" s="72">
        <f>AC177</f>
        <v>141</v>
      </c>
      <c r="CC177" s="71">
        <f>AG177</f>
        <v>178</v>
      </c>
      <c r="CD177" s="72">
        <f>AK177</f>
        <v>186</v>
      </c>
      <c r="CE177" s="71">
        <f>AO177</f>
        <v>231</v>
      </c>
      <c r="CF177" s="72">
        <f>AS177</f>
        <v>268</v>
      </c>
      <c r="CG177" s="71">
        <f>AW177</f>
        <v>301</v>
      </c>
      <c r="CH177" s="70">
        <f>G177</f>
        <v>58</v>
      </c>
      <c r="CI177" s="71" t="str">
        <f>K177</f>
        <v>-</v>
      </c>
      <c r="CJ177" s="72">
        <f>O177</f>
        <v>92</v>
      </c>
      <c r="CK177" s="72">
        <f>S177</f>
        <v>96</v>
      </c>
      <c r="CL177" s="72">
        <f>W177</f>
        <v>132</v>
      </c>
      <c r="CM177" s="72">
        <f>AA177</f>
        <v>140</v>
      </c>
      <c r="CN177" s="72">
        <f>AE177</f>
        <v>167</v>
      </c>
      <c r="CO177" s="72">
        <f>AI177</f>
        <v>180</v>
      </c>
      <c r="CP177" s="72">
        <f>AM177</f>
        <v>223</v>
      </c>
      <c r="CQ177" s="72">
        <f>AQ177</f>
        <v>260</v>
      </c>
      <c r="CR177" s="72">
        <f>AU177</f>
        <v>300</v>
      </c>
      <c r="CS177" s="72">
        <f>AY177</f>
        <v>308</v>
      </c>
      <c r="CT177" s="23" t="e">
        <f>M177-K177</f>
        <v>#VALUE!</v>
      </c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  <c r="AEN177" s="1"/>
      <c r="AEO177" s="1"/>
      <c r="AEP177" s="1"/>
      <c r="AEQ177" s="1"/>
      <c r="AER177" s="1"/>
      <c r="AES177" s="1"/>
      <c r="AET177" s="1"/>
      <c r="AEU177" s="1"/>
      <c r="AEV177" s="1"/>
      <c r="AEW177" s="1"/>
      <c r="AEX177" s="1"/>
      <c r="AEY177" s="1"/>
      <c r="AEZ177" s="1"/>
      <c r="AFA177" s="1"/>
      <c r="AFB177" s="1"/>
      <c r="AFC177" s="1"/>
      <c r="AFD177" s="1"/>
      <c r="AFE177" s="1"/>
      <c r="AFF177" s="1"/>
      <c r="AFG177" s="1"/>
      <c r="AFH177" s="1"/>
      <c r="AFI177" s="1"/>
      <c r="AFJ177" s="1"/>
      <c r="AFK177" s="1"/>
      <c r="AFL177" s="1"/>
      <c r="AFM177" s="1"/>
      <c r="AFN177" s="1"/>
      <c r="AFO177" s="1"/>
      <c r="AFP177" s="1"/>
      <c r="AFQ177" s="1"/>
      <c r="AFR177" s="1"/>
      <c r="AFS177" s="1"/>
      <c r="AFT177" s="1"/>
      <c r="AFU177" s="1"/>
      <c r="AFV177" s="1"/>
      <c r="AFW177" s="1"/>
      <c r="AFX177" s="1"/>
      <c r="AFY177" s="1"/>
      <c r="AFZ177" s="1"/>
      <c r="AGA177" s="1"/>
      <c r="AGB177" s="1"/>
      <c r="AGC177" s="1"/>
      <c r="AGD177" s="1"/>
      <c r="AGE177" s="1"/>
      <c r="AGF177" s="1"/>
      <c r="AGG177" s="1"/>
      <c r="AGH177" s="1"/>
      <c r="AGI177" s="1"/>
      <c r="AGJ177" s="1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  <c r="ALN177" s="1"/>
      <c r="ALO177" s="1"/>
      <c r="ALP177" s="1"/>
      <c r="ALQ177" s="1"/>
      <c r="ALR177" s="1"/>
      <c r="ALS177" s="1"/>
      <c r="ALT177" s="1"/>
      <c r="ALU177" s="1"/>
      <c r="ALV177" s="1"/>
      <c r="ALW177" s="1"/>
      <c r="ALX177" s="1"/>
      <c r="ALY177" s="1"/>
      <c r="ALZ177" s="1"/>
      <c r="AMA177" s="1"/>
      <c r="AMB177" s="1"/>
      <c r="AMC177" s="1"/>
      <c r="AMD177" s="1"/>
      <c r="AME177" s="1"/>
      <c r="AMF177" s="1"/>
      <c r="AMG177" s="1"/>
      <c r="AMH177" s="1"/>
      <c r="AMI177" s="1"/>
      <c r="AMJ177" s="1"/>
      <c r="AMK177" s="1"/>
      <c r="AML177" s="1"/>
      <c r="AMM177" s="1"/>
      <c r="AMN177" s="1"/>
      <c r="AMO177" s="1"/>
    </row>
    <row r="178" spans="1:1029" x14ac:dyDescent="0.2">
      <c r="A178" s="3" t="str">
        <f>CONCATENATE(B178,"_",C178)</f>
        <v>ccr5_human_6MEO</v>
      </c>
      <c r="B178" s="3" t="s">
        <v>173</v>
      </c>
      <c r="C178" s="3" t="s">
        <v>1535</v>
      </c>
      <c r="D178" s="3" t="str">
        <f>IFERROR(MID(VLOOKUP($B178,Seqs!$A:$B,2,0),E178,1),"")</f>
        <v>K</v>
      </c>
      <c r="E178" s="3">
        <v>26</v>
      </c>
      <c r="F178" s="3" t="str">
        <f>IFERROR(MID(VLOOKUP($B178,Seqs!$A:$B,2,0),G178,1),"")</f>
        <v>R</v>
      </c>
      <c r="G178" s="3">
        <v>60</v>
      </c>
      <c r="H178" s="3" t="str">
        <f>IFERROR(MID(VLOOKUP($B178,Seqs!$A:$B,2,0),I178,1),"")</f>
        <v/>
      </c>
      <c r="I178" s="23" t="s">
        <v>23</v>
      </c>
      <c r="J178" s="3" t="str">
        <f>IFERROR(MID(VLOOKUP($B178,Seqs!$A:$B,2,0),K178,1),"")</f>
        <v/>
      </c>
      <c r="K178" s="23" t="s">
        <v>23</v>
      </c>
      <c r="L178" s="3" t="str">
        <f>IFERROR(MID(VLOOKUP($B178,Seqs!$A:$B,2,0),M178,1),"")</f>
        <v>S</v>
      </c>
      <c r="M178" s="3">
        <v>63</v>
      </c>
      <c r="N178" s="3" t="str">
        <f>IFERROR(MID(VLOOKUP($B178,Seqs!$A:$B,2,0),O178,1),"")</f>
        <v>A</v>
      </c>
      <c r="O178" s="3">
        <v>90</v>
      </c>
      <c r="P178" s="3" t="str">
        <f>IFERROR(MID(VLOOKUP($B178,Seqs!$A:$B,2,0),Q178,1),"")</f>
        <v>Q</v>
      </c>
      <c r="Q178" s="3">
        <v>93</v>
      </c>
      <c r="R178" s="3" t="str">
        <f>IFERROR(MID(VLOOKUP($B178,Seqs!$A:$B,2,0),S178,1),"")</f>
        <v>F</v>
      </c>
      <c r="S178" s="3">
        <v>96</v>
      </c>
      <c r="T178" s="3" t="str">
        <f>IFERROR(MID(VLOOKUP($B178,Seqs!$A:$B,2,0),U178,1),"")</f>
        <v>M</v>
      </c>
      <c r="U178" s="3">
        <v>100</v>
      </c>
      <c r="V178" s="3" t="str">
        <f>IFERROR(MID(VLOOKUP($B178,Seqs!$A:$B,2,0),W178,1),"")</f>
        <v>H</v>
      </c>
      <c r="W178" s="3">
        <v>132</v>
      </c>
      <c r="X178" s="3" t="str">
        <f>IFERROR(MID(VLOOKUP($B178,Seqs!$A:$B,2,0),Y178,1),"")</f>
        <v>A</v>
      </c>
      <c r="Y178" s="3">
        <v>133</v>
      </c>
      <c r="Z178" s="3" t="str">
        <f>IFERROR(MID(VLOOKUP($B178,Seqs!$A:$B,2,0),AA178,1),"")</f>
        <v>R</v>
      </c>
      <c r="AA178" s="3">
        <v>140</v>
      </c>
      <c r="AB178" s="3" t="str">
        <f>IFERROR(MID(VLOOKUP($B178,Seqs!$A:$B,2,0),AC178,1),"")</f>
        <v>T</v>
      </c>
      <c r="AC178" s="3">
        <v>141</v>
      </c>
      <c r="AD178" s="3" t="str">
        <f>IFERROR(MID(VLOOKUP($B178,Seqs!$A:$B,2,0),AE178,1),"")</f>
        <v>I</v>
      </c>
      <c r="AE178" s="3">
        <v>165</v>
      </c>
      <c r="AF178" s="3" t="str">
        <f>IFERROR(MID(VLOOKUP($B178,Seqs!$A:$B,2,0),AG178,1),"")</f>
        <v>C</v>
      </c>
      <c r="AG178" s="3">
        <v>178</v>
      </c>
      <c r="AH178" s="3" t="str">
        <f>IFERROR(MID(VLOOKUP($B178,Seqs!$A:$B,2,0),AI178,1),"")</f>
        <v>S</v>
      </c>
      <c r="AI178" s="3">
        <v>180</v>
      </c>
      <c r="AJ178" s="3" t="str">
        <f>IFERROR(MID(VLOOKUP($B178,Seqs!$A:$B,2,0),AK178,1),"")</f>
        <v>Q</v>
      </c>
      <c r="AK178" s="3">
        <v>186</v>
      </c>
      <c r="AL178" s="3" t="str">
        <f>IFERROR(MID(VLOOKUP($B178,Seqs!$A:$B,2,0),AM178,1),"")</f>
        <v>C</v>
      </c>
      <c r="AM178" s="3">
        <v>224</v>
      </c>
      <c r="AN178" s="3" t="str">
        <f>IFERROR(MID(VLOOKUP($B178,Seqs!$A:$B,2,0),AO178,1),"")</f>
        <v>K</v>
      </c>
      <c r="AO178" s="3">
        <v>228</v>
      </c>
      <c r="AP178" s="3" t="str">
        <f>IFERROR(MID(VLOOKUP($B178,Seqs!$A:$B,2,0),AQ178,1),"")</f>
        <v>F</v>
      </c>
      <c r="AQ178" s="3">
        <v>260</v>
      </c>
      <c r="AR178" s="3" t="str">
        <f>IFERROR(MID(VLOOKUP($B178,Seqs!$A:$B,2,0),AS178,1),"")</f>
        <v>N</v>
      </c>
      <c r="AS178" s="3">
        <v>268</v>
      </c>
      <c r="AT178" s="3" t="str">
        <f>IFERROR(MID(VLOOKUP($B178,Seqs!$A:$B,2,0),AU178,1),"")</f>
        <v>V</v>
      </c>
      <c r="AU178" s="3">
        <v>300</v>
      </c>
      <c r="AV178" s="3" t="str">
        <f>IFERROR(MID(VLOOKUP($B178,Seqs!$A:$B,2,0),AW178,1),"")</f>
        <v/>
      </c>
      <c r="AW178" s="3" t="s">
        <v>23</v>
      </c>
      <c r="AX178" s="3" t="str">
        <f>IFERROR(MID(VLOOKUP($B178,Seqs!$A:$B,2,0),AY178,1),"")</f>
        <v/>
      </c>
      <c r="AY178" s="3" t="s">
        <v>23</v>
      </c>
      <c r="AZ178" s="77" t="str">
        <f>VLOOKUP(B178,Classification!A:D,2,0)</f>
        <v>A</v>
      </c>
      <c r="BA178" s="94" t="str">
        <f>VLOOKUP(B178,Classification!A:D,4,0)</f>
        <v>Chemokine</v>
      </c>
      <c r="BB178" s="27" t="b">
        <f>AND(E178&lt;G178,OR(G178&lt;I178,I178="-"),OR(I178&lt;K178,I178="-"),OR(K178&lt;M178,K178="-"),M178&lt;O178,OR(O178&lt;Q178,Q178="-"),OR(Q178&lt;S178,Q178="-"),OR(S178&lt;U178,S178="-"),U178&lt;W178,OR(W178&lt;Y178,Y178="-"),OR(Y178&lt;AA178,Y178="-"),OR(AA178&lt;AC178,AA178="-"),AC178&lt;AE178,OR(AE178&lt;AG178,AG178="-"),OR(AG178&lt;AI178,AG178="-"),OR(AI178&lt;AK178,AI178="-"),AK178&lt;AM178,AM178&lt;AO178,AO178&lt;AQ178,AQ178&lt;AS178,AS178&lt;AU178,OR(AU178&lt;AW178,AW178="-"),OR(AW178&lt;AY178,AW178="-"))</f>
        <v>1</v>
      </c>
      <c r="BC178" s="23">
        <f>_xlfn.AGGREGATE(9,6,CH178:CS178)-_xlfn.AGGREGATE(9,6,BV178:CG178)+12</f>
        <v>243</v>
      </c>
      <c r="BD178" s="2" t="s">
        <v>23</v>
      </c>
      <c r="BE178" s="3" t="s">
        <v>1368</v>
      </c>
      <c r="BF178" s="118">
        <v>3.9</v>
      </c>
      <c r="BG178" s="49" t="s">
        <v>1275</v>
      </c>
      <c r="BH178" s="49" t="s">
        <v>1275</v>
      </c>
      <c r="BI178" s="1"/>
      <c r="BJ178" s="70" t="s">
        <v>1281</v>
      </c>
      <c r="BK178" s="57" t="s">
        <v>1281</v>
      </c>
      <c r="BL178" s="57" t="s">
        <v>1281</v>
      </c>
      <c r="BM178" s="57" t="s">
        <v>1281</v>
      </c>
      <c r="BN178" s="57" t="s">
        <v>1281</v>
      </c>
      <c r="BO178" s="57" t="s">
        <v>1281</v>
      </c>
      <c r="BP178" s="57" t="s">
        <v>1281</v>
      </c>
      <c r="BQ178" s="57" t="s">
        <v>1281</v>
      </c>
      <c r="BR178" s="57" t="s">
        <v>1281</v>
      </c>
      <c r="BS178" s="57" t="s">
        <v>1281</v>
      </c>
      <c r="BT178" s="57" t="s">
        <v>1281</v>
      </c>
      <c r="BU178" s="57" t="s">
        <v>1281</v>
      </c>
      <c r="BV178" s="70">
        <f>E178</f>
        <v>26</v>
      </c>
      <c r="BW178" s="71" t="str">
        <f>I178</f>
        <v>-</v>
      </c>
      <c r="BX178" s="72">
        <f>M178</f>
        <v>63</v>
      </c>
      <c r="BY178" s="71">
        <f>Q178</f>
        <v>93</v>
      </c>
      <c r="BZ178" s="72">
        <f>U178</f>
        <v>100</v>
      </c>
      <c r="CA178" s="71">
        <f>Y178</f>
        <v>133</v>
      </c>
      <c r="CB178" s="72">
        <f>AC178</f>
        <v>141</v>
      </c>
      <c r="CC178" s="71">
        <f>AG178</f>
        <v>178</v>
      </c>
      <c r="CD178" s="72">
        <f>AK178</f>
        <v>186</v>
      </c>
      <c r="CE178" s="71">
        <f>AO178</f>
        <v>228</v>
      </c>
      <c r="CF178" s="72">
        <f>AS178</f>
        <v>268</v>
      </c>
      <c r="CG178" s="71" t="str">
        <f>AW178</f>
        <v>-</v>
      </c>
      <c r="CH178" s="70">
        <f>G178</f>
        <v>60</v>
      </c>
      <c r="CI178" s="71" t="str">
        <f>K178</f>
        <v>-</v>
      </c>
      <c r="CJ178" s="72">
        <f>O178</f>
        <v>90</v>
      </c>
      <c r="CK178" s="72">
        <f>S178</f>
        <v>96</v>
      </c>
      <c r="CL178" s="72">
        <f>W178</f>
        <v>132</v>
      </c>
      <c r="CM178" s="72">
        <f>AA178</f>
        <v>140</v>
      </c>
      <c r="CN178" s="72">
        <f>AE178</f>
        <v>165</v>
      </c>
      <c r="CO178" s="72">
        <f>AI178</f>
        <v>180</v>
      </c>
      <c r="CP178" s="72">
        <f>AM178</f>
        <v>224</v>
      </c>
      <c r="CQ178" s="72">
        <f>AQ178</f>
        <v>260</v>
      </c>
      <c r="CR178" s="72">
        <f>AU178</f>
        <v>300</v>
      </c>
      <c r="CS178" s="72" t="str">
        <f>AY178</f>
        <v>-</v>
      </c>
      <c r="CT178" s="23" t="e">
        <f>M178-K178</f>
        <v>#VALUE!</v>
      </c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  <c r="AMK178" s="1"/>
      <c r="AML178" s="1"/>
      <c r="AMM178" s="1"/>
      <c r="AMN178" s="1"/>
      <c r="AMO178" s="1"/>
    </row>
    <row r="179" spans="1:1029" x14ac:dyDescent="0.2">
      <c r="A179" s="3" t="str">
        <f>CONCATENATE(B179,"_",C179)</f>
        <v>ccr5_human_6MET</v>
      </c>
      <c r="B179" s="3" t="s">
        <v>173</v>
      </c>
      <c r="C179" s="3" t="s">
        <v>1534</v>
      </c>
      <c r="D179" s="3" t="str">
        <f>IFERROR(MID(VLOOKUP($B179,Seqs!$A:$B,2,0),E179,1),"")</f>
        <v>K</v>
      </c>
      <c r="E179" s="3">
        <v>26</v>
      </c>
      <c r="F179" s="3" t="str">
        <f>IFERROR(MID(VLOOKUP($B179,Seqs!$A:$B,2,0),G179,1),"")</f>
        <v>R</v>
      </c>
      <c r="G179" s="3">
        <v>60</v>
      </c>
      <c r="H179" s="3" t="str">
        <f>IFERROR(MID(VLOOKUP($B179,Seqs!$A:$B,2,0),I179,1),"")</f>
        <v/>
      </c>
      <c r="I179" s="23" t="s">
        <v>23</v>
      </c>
      <c r="J179" s="3" t="str">
        <f>IFERROR(MID(VLOOKUP($B179,Seqs!$A:$B,2,0),K179,1),"")</f>
        <v/>
      </c>
      <c r="K179" s="23" t="s">
        <v>23</v>
      </c>
      <c r="L179" s="3" t="str">
        <f>IFERROR(MID(VLOOKUP($B179,Seqs!$A:$B,2,0),M179,1),"")</f>
        <v>S</v>
      </c>
      <c r="M179" s="3">
        <v>63</v>
      </c>
      <c r="N179" s="3" t="str">
        <f>IFERROR(MID(VLOOKUP($B179,Seqs!$A:$B,2,0),O179,1),"")</f>
        <v>A</v>
      </c>
      <c r="O179" s="3">
        <v>90</v>
      </c>
      <c r="P179" s="3" t="str">
        <f>IFERROR(MID(VLOOKUP($B179,Seqs!$A:$B,2,0),Q179,1),"")</f>
        <v>Q</v>
      </c>
      <c r="Q179" s="3">
        <v>93</v>
      </c>
      <c r="R179" s="3" t="str">
        <f>IFERROR(MID(VLOOKUP($B179,Seqs!$A:$B,2,0),S179,1),"")</f>
        <v>F</v>
      </c>
      <c r="S179" s="3">
        <v>96</v>
      </c>
      <c r="T179" s="3" t="str">
        <f>IFERROR(MID(VLOOKUP($B179,Seqs!$A:$B,2,0),U179,1),"")</f>
        <v>M</v>
      </c>
      <c r="U179" s="3">
        <v>100</v>
      </c>
      <c r="V179" s="3" t="str">
        <f>IFERROR(MID(VLOOKUP($B179,Seqs!$A:$B,2,0),W179,1),"")</f>
        <v>H</v>
      </c>
      <c r="W179" s="3">
        <v>132</v>
      </c>
      <c r="X179" s="3" t="str">
        <f>IFERROR(MID(VLOOKUP($B179,Seqs!$A:$B,2,0),Y179,1),"")</f>
        <v>A</v>
      </c>
      <c r="Y179" s="3">
        <v>133</v>
      </c>
      <c r="Z179" s="3" t="str">
        <f>IFERROR(MID(VLOOKUP($B179,Seqs!$A:$B,2,0),AA179,1),"")</f>
        <v>R</v>
      </c>
      <c r="AA179" s="3">
        <v>140</v>
      </c>
      <c r="AB179" s="3" t="str">
        <f>IFERROR(MID(VLOOKUP($B179,Seqs!$A:$B,2,0),AC179,1),"")</f>
        <v>T</v>
      </c>
      <c r="AC179" s="3">
        <v>141</v>
      </c>
      <c r="AD179" s="3" t="str">
        <f>IFERROR(MID(VLOOKUP($B179,Seqs!$A:$B,2,0),AE179,1),"")</f>
        <v>I</v>
      </c>
      <c r="AE179" s="3">
        <v>165</v>
      </c>
      <c r="AF179" s="3" t="str">
        <f>IFERROR(MID(VLOOKUP($B179,Seqs!$A:$B,2,0),AG179,1),"")</f>
        <v>C</v>
      </c>
      <c r="AG179" s="3">
        <v>178</v>
      </c>
      <c r="AH179" s="3" t="str">
        <f>IFERROR(MID(VLOOKUP($B179,Seqs!$A:$B,2,0),AI179,1),"")</f>
        <v>S</v>
      </c>
      <c r="AI179" s="3">
        <v>180</v>
      </c>
      <c r="AJ179" s="3" t="str">
        <f>IFERROR(MID(VLOOKUP($B179,Seqs!$A:$B,2,0),AK179,1),"")</f>
        <v>Q</v>
      </c>
      <c r="AK179" s="3">
        <v>186</v>
      </c>
      <c r="AL179" s="3" t="str">
        <f>IFERROR(MID(VLOOKUP($B179,Seqs!$A:$B,2,0),AM179,1),"")</f>
        <v>C</v>
      </c>
      <c r="AM179" s="3">
        <v>224</v>
      </c>
      <c r="AN179" s="3" t="str">
        <f>IFERROR(MID(VLOOKUP($B179,Seqs!$A:$B,2,0),AO179,1),"")</f>
        <v>K</v>
      </c>
      <c r="AO179" s="3">
        <v>228</v>
      </c>
      <c r="AP179" s="3" t="str">
        <f>IFERROR(MID(VLOOKUP($B179,Seqs!$A:$B,2,0),AQ179,1),"")</f>
        <v>F</v>
      </c>
      <c r="AQ179" s="3">
        <v>260</v>
      </c>
      <c r="AR179" s="3" t="str">
        <f>IFERROR(MID(VLOOKUP($B179,Seqs!$A:$B,2,0),AS179,1),"")</f>
        <v>N</v>
      </c>
      <c r="AS179" s="3">
        <v>268</v>
      </c>
      <c r="AT179" s="3" t="str">
        <f>IFERROR(MID(VLOOKUP($B179,Seqs!$A:$B,2,0),AU179,1),"")</f>
        <v>V</v>
      </c>
      <c r="AU179" s="3">
        <v>300</v>
      </c>
      <c r="AV179" s="3" t="str">
        <f>IFERROR(MID(VLOOKUP($B179,Seqs!$A:$B,2,0),AW179,1),"")</f>
        <v/>
      </c>
      <c r="AW179" s="3" t="s">
        <v>23</v>
      </c>
      <c r="AX179" s="3" t="str">
        <f>IFERROR(MID(VLOOKUP($B179,Seqs!$A:$B,2,0),AY179,1),"")</f>
        <v/>
      </c>
      <c r="AY179" s="3" t="s">
        <v>23</v>
      </c>
      <c r="AZ179" s="77" t="str">
        <f>VLOOKUP(B179,Classification!A:D,2,0)</f>
        <v>A</v>
      </c>
      <c r="BA179" s="94" t="str">
        <f>VLOOKUP(B179,Classification!A:D,4,0)</f>
        <v>Chemokine</v>
      </c>
      <c r="BB179" s="27" t="b">
        <f>AND(E179&lt;G179,OR(G179&lt;I179,I179="-"),OR(I179&lt;K179,I179="-"),OR(K179&lt;M179,K179="-"),M179&lt;O179,OR(O179&lt;Q179,Q179="-"),OR(Q179&lt;S179,Q179="-"),OR(S179&lt;U179,S179="-"),U179&lt;W179,OR(W179&lt;Y179,Y179="-"),OR(Y179&lt;AA179,Y179="-"),OR(AA179&lt;AC179,AA179="-"),AC179&lt;AE179,OR(AE179&lt;AG179,AG179="-"),OR(AG179&lt;AI179,AG179="-"),OR(AI179&lt;AK179,AI179="-"),AK179&lt;AM179,AM179&lt;AO179,AO179&lt;AQ179,AQ179&lt;AS179,AS179&lt;AU179,OR(AU179&lt;AW179,AW179="-"),OR(AW179&lt;AY179,AW179="-"))</f>
        <v>1</v>
      </c>
      <c r="BC179" s="23">
        <f>_xlfn.AGGREGATE(9,6,CH179:CS179)-_xlfn.AGGREGATE(9,6,BV179:CG179)+12</f>
        <v>243</v>
      </c>
      <c r="BD179" s="2" t="s">
        <v>23</v>
      </c>
      <c r="BE179" s="3" t="s">
        <v>1368</v>
      </c>
      <c r="BF179" s="118">
        <v>4.5</v>
      </c>
      <c r="BG179" s="49" t="s">
        <v>1275</v>
      </c>
      <c r="BH179" s="49" t="s">
        <v>1275</v>
      </c>
      <c r="BI179" s="1"/>
      <c r="BJ179" s="70" t="s">
        <v>1281</v>
      </c>
      <c r="BK179" s="57" t="s">
        <v>1281</v>
      </c>
      <c r="BL179" s="57" t="s">
        <v>1281</v>
      </c>
      <c r="BM179" s="57" t="s">
        <v>1281</v>
      </c>
      <c r="BN179" s="57" t="s">
        <v>1281</v>
      </c>
      <c r="BO179" s="57" t="s">
        <v>1281</v>
      </c>
      <c r="BP179" s="57" t="s">
        <v>1281</v>
      </c>
      <c r="BQ179" s="57" t="s">
        <v>1281</v>
      </c>
      <c r="BR179" s="57" t="s">
        <v>1281</v>
      </c>
      <c r="BS179" s="57" t="s">
        <v>1281</v>
      </c>
      <c r="BT179" s="57" t="s">
        <v>1281</v>
      </c>
      <c r="BU179" s="57" t="s">
        <v>1281</v>
      </c>
      <c r="BV179" s="70">
        <f>E179</f>
        <v>26</v>
      </c>
      <c r="BW179" s="71" t="str">
        <f>I179</f>
        <v>-</v>
      </c>
      <c r="BX179" s="72">
        <f>M179</f>
        <v>63</v>
      </c>
      <c r="BY179" s="71">
        <f>Q179</f>
        <v>93</v>
      </c>
      <c r="BZ179" s="72">
        <f>U179</f>
        <v>100</v>
      </c>
      <c r="CA179" s="71">
        <f>Y179</f>
        <v>133</v>
      </c>
      <c r="CB179" s="72">
        <f>AC179</f>
        <v>141</v>
      </c>
      <c r="CC179" s="71">
        <f>AG179</f>
        <v>178</v>
      </c>
      <c r="CD179" s="72">
        <f>AK179</f>
        <v>186</v>
      </c>
      <c r="CE179" s="71">
        <f>AO179</f>
        <v>228</v>
      </c>
      <c r="CF179" s="72">
        <f>AS179</f>
        <v>268</v>
      </c>
      <c r="CG179" s="71" t="str">
        <f>AW179</f>
        <v>-</v>
      </c>
      <c r="CH179" s="70">
        <f>G179</f>
        <v>60</v>
      </c>
      <c r="CI179" s="71" t="str">
        <f>K179</f>
        <v>-</v>
      </c>
      <c r="CJ179" s="72">
        <f>O179</f>
        <v>90</v>
      </c>
      <c r="CK179" s="72">
        <f>S179</f>
        <v>96</v>
      </c>
      <c r="CL179" s="72">
        <f>W179</f>
        <v>132</v>
      </c>
      <c r="CM179" s="72">
        <f>AA179</f>
        <v>140</v>
      </c>
      <c r="CN179" s="72">
        <f>AE179</f>
        <v>165</v>
      </c>
      <c r="CO179" s="72">
        <f>AI179</f>
        <v>180</v>
      </c>
      <c r="CP179" s="72">
        <f>AM179</f>
        <v>224</v>
      </c>
      <c r="CQ179" s="72">
        <f>AQ179</f>
        <v>260</v>
      </c>
      <c r="CR179" s="72">
        <f>AU179</f>
        <v>300</v>
      </c>
      <c r="CS179" s="72" t="str">
        <f>AY179</f>
        <v>-</v>
      </c>
      <c r="CT179" s="23" t="e">
        <f>M179-K179</f>
        <v>#VALUE!</v>
      </c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1"/>
      <c r="AFJ179" s="1"/>
      <c r="AFK179" s="1"/>
      <c r="AFL179" s="1"/>
      <c r="AFM179" s="1"/>
      <c r="AFN179" s="1"/>
      <c r="AFO179" s="1"/>
      <c r="AFP179" s="1"/>
      <c r="AFQ179" s="1"/>
      <c r="AFR179" s="1"/>
      <c r="AFS179" s="1"/>
      <c r="AFT179" s="1"/>
      <c r="AFU179" s="1"/>
      <c r="AFV179" s="1"/>
      <c r="AFW179" s="1"/>
      <c r="AFX179" s="1"/>
      <c r="AFY179" s="1"/>
      <c r="AFZ179" s="1"/>
      <c r="AGA179" s="1"/>
      <c r="AGB179" s="1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  <c r="ALN179" s="1"/>
      <c r="ALO179" s="1"/>
      <c r="ALP179" s="1"/>
      <c r="ALQ179" s="1"/>
      <c r="ALR179" s="1"/>
      <c r="ALS179" s="1"/>
      <c r="ALT179" s="1"/>
      <c r="ALU179" s="1"/>
      <c r="ALV179" s="1"/>
      <c r="ALW179" s="1"/>
      <c r="ALX179" s="1"/>
      <c r="ALY179" s="1"/>
      <c r="ALZ179" s="1"/>
      <c r="AMA179" s="1"/>
      <c r="AMB179" s="1"/>
      <c r="AMC179" s="1"/>
      <c r="AMD179" s="1"/>
      <c r="AME179" s="1"/>
      <c r="AMF179" s="1"/>
      <c r="AMG179" s="1"/>
      <c r="AMH179" s="1"/>
      <c r="AMI179" s="1"/>
      <c r="AMJ179" s="1"/>
      <c r="AMK179" s="1"/>
      <c r="AML179" s="1"/>
      <c r="AMM179" s="1"/>
      <c r="AMN179" s="1"/>
      <c r="AMO179" s="1"/>
    </row>
    <row r="180" spans="1:1029" s="12" customFormat="1" x14ac:dyDescent="0.2">
      <c r="A180" s="9" t="str">
        <f>CONCATENATE(B180,"_",C180)</f>
        <v>ccr7_human__wt</v>
      </c>
      <c r="B180" s="9" t="s">
        <v>175</v>
      </c>
      <c r="C180" s="9" t="s">
        <v>100</v>
      </c>
      <c r="D180" s="9" t="str">
        <f>IFERROR(MID(VLOOKUP($B180,Seqs!$A:$B,2,0),E180,1),"")</f>
        <v>N</v>
      </c>
      <c r="E180" s="9">
        <v>55</v>
      </c>
      <c r="F180" s="9" t="str">
        <f>IFERROR(MID(VLOOKUP($B180,Seqs!$A:$B,2,0),G180,1),"")</f>
        <v>F</v>
      </c>
      <c r="G180" s="9">
        <v>86</v>
      </c>
      <c r="H180" s="9" t="str">
        <f>IFERROR(MID(VLOOKUP($B180,Seqs!$A:$B,2,0),I180,1),"")</f>
        <v>K</v>
      </c>
      <c r="I180" s="109">
        <v>87</v>
      </c>
      <c r="J180" s="9" t="str">
        <f>IFERROR(MID(VLOOKUP($B180,Seqs!$A:$B,2,0),K180,1),"")</f>
        <v>K</v>
      </c>
      <c r="K180" s="109">
        <v>90</v>
      </c>
      <c r="L180" s="9" t="str">
        <f>IFERROR(MID(VLOOKUP($B180,Seqs!$A:$B,2,0),M180,1),"")</f>
        <v>T</v>
      </c>
      <c r="M180" s="9">
        <v>91</v>
      </c>
      <c r="N180" s="9" t="str">
        <f>IFERROR(MID(VLOOKUP($B180,Seqs!$A:$B,2,0),O180,1),"")</f>
        <v>K</v>
      </c>
      <c r="O180" s="9">
        <v>120</v>
      </c>
      <c r="P180" s="9" t="str">
        <f>IFERROR(MID(VLOOKUP($B180,Seqs!$A:$B,2,0),Q180,1),"")</f>
        <v>S</v>
      </c>
      <c r="Q180" s="9">
        <v>121</v>
      </c>
      <c r="R180" s="9" t="str">
        <f>IFERROR(MID(VLOOKUP($B180,Seqs!$A:$B,2,0),S180,1),"")</f>
        <v>F</v>
      </c>
      <c r="S180" s="9">
        <v>124</v>
      </c>
      <c r="T180" s="9" t="str">
        <f>IFERROR(MID(VLOOKUP($B180,Seqs!$A:$B,2,0),U180,1),"")</f>
        <v>G</v>
      </c>
      <c r="U180" s="9">
        <v>125</v>
      </c>
      <c r="V180" s="9" t="str">
        <f>IFERROR(MID(VLOOKUP($B180,Seqs!$A:$B,2,0),W180,1),"")</f>
        <v>Q</v>
      </c>
      <c r="W180" s="9">
        <v>160</v>
      </c>
      <c r="X180" s="9" t="str">
        <f>IFERROR(MID(VLOOKUP($B180,Seqs!$A:$B,2,0),Y180,1),"")</f>
        <v>A</v>
      </c>
      <c r="Y180" s="9">
        <v>161</v>
      </c>
      <c r="Z180" s="9" t="str">
        <f>IFERROR(MID(VLOOKUP($B180,Seqs!$A:$B,2,0),AA180,1),"")</f>
        <v>A</v>
      </c>
      <c r="AA180" s="9">
        <v>169</v>
      </c>
      <c r="AB180" s="9" t="str">
        <f>IFERROR(MID(VLOOKUP($B180,Seqs!$A:$B,2,0),AC180,1),"")</f>
        <v>V</v>
      </c>
      <c r="AC180" s="9">
        <v>171</v>
      </c>
      <c r="AD180" s="9" t="str">
        <f>IFERROR(MID(VLOOKUP($B180,Seqs!$A:$B,2,0),AE180,1),"")</f>
        <v>S</v>
      </c>
      <c r="AE180" s="9">
        <v>197</v>
      </c>
      <c r="AF180" s="9" t="str">
        <f>IFERROR(MID(VLOOKUP($B180,Seqs!$A:$B,2,0),AG180,1),"")</f>
        <v>C</v>
      </c>
      <c r="AG180" s="9">
        <v>210</v>
      </c>
      <c r="AH180" s="9" t="str">
        <f>IFERROR(MID(VLOOKUP($B180,Seqs!$A:$B,2,0),AI180,1),"")</f>
        <v>L</v>
      </c>
      <c r="AI180" s="9">
        <v>212</v>
      </c>
      <c r="AJ180" s="9" t="str">
        <f>IFERROR(MID(VLOOKUP($B180,Seqs!$A:$B,2,0),AK180,1),"")</f>
        <v>E</v>
      </c>
      <c r="AK180" s="9">
        <v>218</v>
      </c>
      <c r="AL180" s="9" t="str">
        <f>IFERROR(MID(VLOOKUP($B180,Seqs!$A:$B,2,0),AM180,1),"")</f>
        <v>A</v>
      </c>
      <c r="AM180" s="9">
        <v>253</v>
      </c>
      <c r="AN180" s="9" t="str">
        <f>IFERROR(MID(VLOOKUP($B180,Seqs!$A:$B,2,0),AO180,1),"")</f>
        <v>R</v>
      </c>
      <c r="AO180" s="9">
        <v>258</v>
      </c>
      <c r="AP180" s="9" t="str">
        <f>IFERROR(MID(VLOOKUP($B180,Seqs!$A:$B,2,0),AQ180,1),"")</f>
        <v>I</v>
      </c>
      <c r="AQ180" s="9">
        <v>293</v>
      </c>
      <c r="AR180" s="9" t="str">
        <f>IFERROR(MID(VLOOKUP($B180,Seqs!$A:$B,2,0),AS180,1),"")</f>
        <v>T</v>
      </c>
      <c r="AS180" s="9">
        <v>297</v>
      </c>
      <c r="AT180" s="9" t="str">
        <f>IFERROR(MID(VLOOKUP($B180,Seqs!$A:$B,2,0),AU180,1),"")</f>
        <v>I</v>
      </c>
      <c r="AU180" s="9">
        <v>329</v>
      </c>
      <c r="AV180" s="9" t="str">
        <f>IFERROR(MID(VLOOKUP($B180,Seqs!$A:$B,2,0),AW180,1),"")</f>
        <v>G</v>
      </c>
      <c r="AW180" s="9">
        <v>330</v>
      </c>
      <c r="AX180" s="9" t="str">
        <f>IFERROR(MID(VLOOKUP($B180,Seqs!$A:$B,2,0),AY180,1),"")</f>
        <v>K</v>
      </c>
      <c r="AY180" s="9">
        <v>342</v>
      </c>
      <c r="AZ180" s="110" t="str">
        <f>VLOOKUP(B180,Classification!A:D,2,0)</f>
        <v>A</v>
      </c>
      <c r="BA180" s="98" t="str">
        <f>VLOOKUP(B180,Classification!A:D,4,0)</f>
        <v>Chemokine</v>
      </c>
      <c r="BB180" s="36" t="b">
        <f t="shared" ref="BB180:BB181" si="1032">AND(E180&lt;G180,OR(G180&lt;I180,I180="-"),OR(I180&lt;K180,I180="-"),OR(K180&lt;M180,K180="-"),M180&lt;O180,OR(O180&lt;Q180,Q180="-"),OR(Q180&lt;S180,Q180="-"),OR(S180&lt;U180,S180="-"),U180&lt;W180,OR(W180&lt;Y180,Y180="-"),OR(Y180&lt;AA180,Y180="-"),OR(AA180&lt;AC180,AA180="-"),AC180&lt;AE180,OR(AE180&lt;AG180,AG180="-"),OR(AG180&lt;AI180,AG180="-"),OR(AI180&lt;AK180,AI180="-"),AK180&lt;AM180,AM180&lt;AO180,AO180&lt;AQ180,AQ180&lt;AS180,AS180&lt;AU180,OR(AU180&lt;AW180,AW180="-"),OR(AW180&lt;AY180,AW180="-"))</f>
        <v>1</v>
      </c>
      <c r="BC180" s="109">
        <f t="shared" ref="BC180:BC181" si="1033">_xlfn.AGGREGATE(9,6,CH180:CS180)-_xlfn.AGGREGATE(9,6,BV180:CG180)+12</f>
        <v>263</v>
      </c>
      <c r="BD180" s="40" t="s">
        <v>23</v>
      </c>
      <c r="BE180" s="9" t="s">
        <v>1368</v>
      </c>
      <c r="BF180" s="119">
        <v>5.5</v>
      </c>
      <c r="BG180" s="51" t="s">
        <v>1275</v>
      </c>
      <c r="BH180" s="51" t="s">
        <v>1275</v>
      </c>
      <c r="BJ180" s="111" t="s">
        <v>1281</v>
      </c>
      <c r="BK180" s="112" t="s">
        <v>1281</v>
      </c>
      <c r="BL180" s="112" t="s">
        <v>1281</v>
      </c>
      <c r="BM180" s="112" t="s">
        <v>1281</v>
      </c>
      <c r="BN180" s="112" t="s">
        <v>1281</v>
      </c>
      <c r="BO180" s="112" t="s">
        <v>1281</v>
      </c>
      <c r="BP180" s="112" t="s">
        <v>1281</v>
      </c>
      <c r="BQ180" s="112" t="s">
        <v>1281</v>
      </c>
      <c r="BR180" s="112" t="s">
        <v>1281</v>
      </c>
      <c r="BS180" s="112" t="s">
        <v>1281</v>
      </c>
      <c r="BT180" s="112" t="s">
        <v>1281</v>
      </c>
      <c r="BU180" s="112" t="s">
        <v>1281</v>
      </c>
      <c r="BV180" s="111">
        <f>E180</f>
        <v>55</v>
      </c>
      <c r="BW180" s="113">
        <f>I180</f>
        <v>87</v>
      </c>
      <c r="BX180" s="114">
        <f>M180</f>
        <v>91</v>
      </c>
      <c r="BY180" s="113">
        <f>Q180</f>
        <v>121</v>
      </c>
      <c r="BZ180" s="114">
        <f>U180</f>
        <v>125</v>
      </c>
      <c r="CA180" s="113">
        <f>Y180</f>
        <v>161</v>
      </c>
      <c r="CB180" s="114">
        <f>AC180</f>
        <v>171</v>
      </c>
      <c r="CC180" s="113">
        <f>AG180</f>
        <v>210</v>
      </c>
      <c r="CD180" s="114">
        <f>AK180</f>
        <v>218</v>
      </c>
      <c r="CE180" s="113">
        <f>AO180</f>
        <v>258</v>
      </c>
      <c r="CF180" s="114">
        <f>AS180</f>
        <v>297</v>
      </c>
      <c r="CG180" s="113">
        <f>AW180</f>
        <v>330</v>
      </c>
      <c r="CH180" s="111">
        <f>G180</f>
        <v>86</v>
      </c>
      <c r="CI180" s="113">
        <f>K180</f>
        <v>90</v>
      </c>
      <c r="CJ180" s="114">
        <f>O180</f>
        <v>120</v>
      </c>
      <c r="CK180" s="114">
        <f>S180</f>
        <v>124</v>
      </c>
      <c r="CL180" s="114">
        <f>W180</f>
        <v>160</v>
      </c>
      <c r="CM180" s="114">
        <f>AA180</f>
        <v>169</v>
      </c>
      <c r="CN180" s="114">
        <f>AE180</f>
        <v>197</v>
      </c>
      <c r="CO180" s="114">
        <f>AI180</f>
        <v>212</v>
      </c>
      <c r="CP180" s="114">
        <f>AM180</f>
        <v>253</v>
      </c>
      <c r="CQ180" s="114">
        <f>AQ180</f>
        <v>293</v>
      </c>
      <c r="CR180" s="114">
        <f>AU180</f>
        <v>329</v>
      </c>
      <c r="CS180" s="114">
        <f>AY180</f>
        <v>342</v>
      </c>
      <c r="CT180" s="109">
        <f>M180-K180</f>
        <v>1</v>
      </c>
    </row>
    <row r="181" spans="1:1029" s="12" customFormat="1" x14ac:dyDescent="0.2">
      <c r="A181" s="9" t="str">
        <f>CONCATENATE(B181,"_",C181)</f>
        <v>ccr7_human_6QZH</v>
      </c>
      <c r="B181" s="9" t="s">
        <v>175</v>
      </c>
      <c r="C181" s="9" t="s">
        <v>1586</v>
      </c>
      <c r="D181" s="9" t="str">
        <f>IFERROR(MID(VLOOKUP($B181,Seqs!$A:$B,2,0),E181,1),"")</f>
        <v>F</v>
      </c>
      <c r="E181" s="9">
        <v>56</v>
      </c>
      <c r="F181" s="9" t="str">
        <f>IFERROR(MID(VLOOKUP($B181,Seqs!$A:$B,2,0),G181,1),"")</f>
        <v>Y</v>
      </c>
      <c r="G181" s="9">
        <v>85</v>
      </c>
      <c r="H181" s="9" t="str">
        <f>IFERROR(MID(VLOOKUP($B181,Seqs!$A:$B,2,0),I181,1),"")</f>
        <v>K</v>
      </c>
      <c r="I181" s="109">
        <v>87</v>
      </c>
      <c r="J181" s="9" t="str">
        <f>IFERROR(MID(VLOOKUP($B181,Seqs!$A:$B,2,0),K181,1),"")</f>
        <v>K</v>
      </c>
      <c r="K181" s="109">
        <v>90</v>
      </c>
      <c r="L181" s="9" t="str">
        <f>IFERROR(MID(VLOOKUP($B181,Seqs!$A:$B,2,0),M181,1),"")</f>
        <v>T</v>
      </c>
      <c r="M181" s="9">
        <v>91</v>
      </c>
      <c r="N181" s="9" t="str">
        <f>IFERROR(MID(VLOOKUP($B181,Seqs!$A:$B,2,0),O181,1),"")</f>
        <v>K</v>
      </c>
      <c r="O181" s="9">
        <v>120</v>
      </c>
      <c r="P181" s="9" t="str">
        <f>IFERROR(MID(VLOOKUP($B181,Seqs!$A:$B,2,0),Q181,1),"")</f>
        <v>S</v>
      </c>
      <c r="Q181" s="9">
        <v>121</v>
      </c>
      <c r="R181" s="9" t="str">
        <f>IFERROR(MID(VLOOKUP($B181,Seqs!$A:$B,2,0),S181,1),"")</f>
        <v>F</v>
      </c>
      <c r="S181" s="9">
        <v>124</v>
      </c>
      <c r="T181" s="9" t="str">
        <f>IFERROR(MID(VLOOKUP($B181,Seqs!$A:$B,2,0),U181,1),"")</f>
        <v>G</v>
      </c>
      <c r="U181" s="9">
        <v>125</v>
      </c>
      <c r="V181" s="9" t="str">
        <f>IFERROR(MID(VLOOKUP($B181,Seqs!$A:$B,2,0),W181,1),"")</f>
        <v>V</v>
      </c>
      <c r="W181" s="9">
        <v>159</v>
      </c>
      <c r="X181" s="9" t="str">
        <f>IFERROR(MID(VLOOKUP($B181,Seqs!$A:$B,2,0),Y181,1),"")</f>
        <v/>
      </c>
      <c r="Y181" s="9" t="s">
        <v>23</v>
      </c>
      <c r="Z181" s="9" t="str">
        <f>IFERROR(MID(VLOOKUP($B181,Seqs!$A:$B,2,0),AA181,1),"")</f>
        <v/>
      </c>
      <c r="AA181" s="9" t="s">
        <v>23</v>
      </c>
      <c r="AB181" s="9" t="str">
        <f>IFERROR(MID(VLOOKUP($B181,Seqs!$A:$B,2,0),AC181,1),"")</f>
        <v>H</v>
      </c>
      <c r="AC181" s="9">
        <v>167</v>
      </c>
      <c r="AD181" s="9" t="str">
        <f>IFERROR(MID(VLOOKUP($B181,Seqs!$A:$B,2,0),AE181,1),"")</f>
        <v>Y</v>
      </c>
      <c r="AE181" s="9">
        <v>196</v>
      </c>
      <c r="AF181" s="9" t="str">
        <f>IFERROR(MID(VLOOKUP($B181,Seqs!$A:$B,2,0),AG181,1),"")</f>
        <v>C</v>
      </c>
      <c r="AG181" s="9">
        <v>210</v>
      </c>
      <c r="AH181" s="9" t="str">
        <f>IFERROR(MID(VLOOKUP($B181,Seqs!$A:$B,2,0),AI181,1),"")</f>
        <v>L</v>
      </c>
      <c r="AI181" s="9">
        <v>212</v>
      </c>
      <c r="AJ181" s="9" t="str">
        <f>IFERROR(MID(VLOOKUP($B181,Seqs!$A:$B,2,0),AK181,1),"")</f>
        <v>F</v>
      </c>
      <c r="AK181" s="9">
        <v>220</v>
      </c>
      <c r="AL181" s="9" t="str">
        <f>IFERROR(MID(VLOOKUP($B181,Seqs!$A:$B,2,0),AM181,1),"")</f>
        <v>L</v>
      </c>
      <c r="AM181" s="9">
        <v>251</v>
      </c>
      <c r="AN181" s="9" t="str">
        <f>IFERROR(MID(VLOOKUP($B181,Seqs!$A:$B,2,0),AO181,1),"")</f>
        <v>K</v>
      </c>
      <c r="AO181" s="9">
        <v>263</v>
      </c>
      <c r="AP181" s="9" t="str">
        <f>IFERROR(MID(VLOOKUP($B181,Seqs!$A:$B,2,0),AQ181,1),"")</f>
        <v>Q</v>
      </c>
      <c r="AQ181" s="9">
        <v>286</v>
      </c>
      <c r="AR181" s="9" t="str">
        <f>IFERROR(MID(VLOOKUP($B181,Seqs!$A:$B,2,0),AS181,1),"")</f>
        <v>C</v>
      </c>
      <c r="AS181" s="9">
        <v>298</v>
      </c>
      <c r="AT181" s="9" t="str">
        <f>IFERROR(MID(VLOOKUP($B181,Seqs!$A:$B,2,0),AU181,1),"")</f>
        <v>F</v>
      </c>
      <c r="AU181" s="9">
        <v>328</v>
      </c>
      <c r="AV181" s="9" t="str">
        <f>IFERROR(MID(VLOOKUP($B181,Seqs!$A:$B,2,0),AW181,1),"")</f>
        <v>K</v>
      </c>
      <c r="AW181" s="9">
        <v>332</v>
      </c>
      <c r="AX181" s="9" t="str">
        <f>IFERROR(MID(VLOOKUP($B181,Seqs!$A:$B,2,0),AY181,1),"")</f>
        <v>F</v>
      </c>
      <c r="AY181" s="9">
        <v>341</v>
      </c>
      <c r="AZ181" s="110" t="str">
        <f>VLOOKUP(B181,Classification!A:D,2,0)</f>
        <v>A</v>
      </c>
      <c r="BA181" s="98" t="str">
        <f>VLOOKUP(B181,Classification!A:D,4,0)</f>
        <v>Chemokine</v>
      </c>
      <c r="BB181" s="36" t="b">
        <f t="shared" si="1032"/>
        <v>1</v>
      </c>
      <c r="BC181" s="109">
        <f t="shared" si="1033"/>
        <v>234</v>
      </c>
      <c r="BD181" s="40" t="s">
        <v>1370</v>
      </c>
      <c r="BE181" s="9" t="s">
        <v>1368</v>
      </c>
      <c r="BF181" s="119">
        <v>2.1</v>
      </c>
      <c r="BG181" s="51" t="s">
        <v>1</v>
      </c>
      <c r="BH181" s="51" t="s">
        <v>1</v>
      </c>
      <c r="BJ181" s="111" t="s">
        <v>1281</v>
      </c>
      <c r="BK181" s="112" t="s">
        <v>1281</v>
      </c>
      <c r="BL181" s="112" t="s">
        <v>1281</v>
      </c>
      <c r="BM181" s="112" t="s">
        <v>1281</v>
      </c>
      <c r="BN181" s="112" t="s">
        <v>1281</v>
      </c>
      <c r="BO181" s="112" t="s">
        <v>1281</v>
      </c>
      <c r="BP181" s="112" t="s">
        <v>1281</v>
      </c>
      <c r="BQ181" s="112" t="s">
        <v>1281</v>
      </c>
      <c r="BR181" s="112" t="s">
        <v>1281</v>
      </c>
      <c r="BS181" s="112" t="s">
        <v>1281</v>
      </c>
      <c r="BT181" s="112" t="s">
        <v>1281</v>
      </c>
      <c r="BU181" s="112" t="s">
        <v>1281</v>
      </c>
      <c r="BV181" s="111">
        <f>E181</f>
        <v>56</v>
      </c>
      <c r="BW181" s="113">
        <f>I181</f>
        <v>87</v>
      </c>
      <c r="BX181" s="114">
        <f>M181</f>
        <v>91</v>
      </c>
      <c r="BY181" s="113">
        <f>Q181</f>
        <v>121</v>
      </c>
      <c r="BZ181" s="114">
        <f>U181</f>
        <v>125</v>
      </c>
      <c r="CA181" s="113" t="str">
        <f>Y181</f>
        <v>-</v>
      </c>
      <c r="CB181" s="114">
        <f>AC181</f>
        <v>167</v>
      </c>
      <c r="CC181" s="113">
        <f>AG181</f>
        <v>210</v>
      </c>
      <c r="CD181" s="114">
        <f>AK181</f>
        <v>220</v>
      </c>
      <c r="CE181" s="113">
        <f>AO181</f>
        <v>263</v>
      </c>
      <c r="CF181" s="114">
        <f>AS181</f>
        <v>298</v>
      </c>
      <c r="CG181" s="113">
        <f>AW181</f>
        <v>332</v>
      </c>
      <c r="CH181" s="111">
        <f>G181</f>
        <v>85</v>
      </c>
      <c r="CI181" s="113">
        <f>K181</f>
        <v>90</v>
      </c>
      <c r="CJ181" s="114">
        <f>O181</f>
        <v>120</v>
      </c>
      <c r="CK181" s="114">
        <f>S181</f>
        <v>124</v>
      </c>
      <c r="CL181" s="114">
        <f>W181</f>
        <v>159</v>
      </c>
      <c r="CM181" s="114" t="str">
        <f>AA181</f>
        <v>-</v>
      </c>
      <c r="CN181" s="114">
        <f>AE181</f>
        <v>196</v>
      </c>
      <c r="CO181" s="114">
        <f>AI181</f>
        <v>212</v>
      </c>
      <c r="CP181" s="114">
        <f>AM181</f>
        <v>251</v>
      </c>
      <c r="CQ181" s="114">
        <f>AQ181</f>
        <v>286</v>
      </c>
      <c r="CR181" s="114">
        <f>AU181</f>
        <v>328</v>
      </c>
      <c r="CS181" s="114">
        <f>AY181</f>
        <v>341</v>
      </c>
      <c r="CT181" s="109">
        <f>M181-K181</f>
        <v>1</v>
      </c>
    </row>
    <row r="182" spans="1:1029" x14ac:dyDescent="0.2">
      <c r="A182" s="3" t="str">
        <f>CONCATENATE(B182,"_",C182)</f>
        <v>ccr9_human__wt</v>
      </c>
      <c r="B182" s="3" t="s">
        <v>177</v>
      </c>
      <c r="C182" s="3" t="s">
        <v>100</v>
      </c>
      <c r="D182" s="3" t="str">
        <f>IFERROR(MID(VLOOKUP($B182,Seqs!$A:$B,2,0),E182,1),"")</f>
        <v>V</v>
      </c>
      <c r="E182" s="3">
        <v>43</v>
      </c>
      <c r="F182" s="3" t="str">
        <f>IFERROR(MID(VLOOKUP($B182,Seqs!$A:$B,2,0),G182,1),"")</f>
        <v>C</v>
      </c>
      <c r="G182" s="3">
        <v>76</v>
      </c>
      <c r="H182" s="3" t="str">
        <f>IFERROR(MID(VLOOKUP($B182,Seqs!$A:$B,2,0),I182,1),"")</f>
        <v>T</v>
      </c>
      <c r="I182" s="23">
        <v>77</v>
      </c>
      <c r="J182" s="3" t="str">
        <f>IFERROR(MID(VLOOKUP($B182,Seqs!$A:$B,2,0),K182,1),"")</f>
        <v>K</v>
      </c>
      <c r="K182" s="23">
        <v>80</v>
      </c>
      <c r="L182" s="3" t="str">
        <f>IFERROR(MID(VLOOKUP($B182,Seqs!$A:$B,2,0),M182,1),"")</f>
        <v>T</v>
      </c>
      <c r="M182" s="3">
        <v>81</v>
      </c>
      <c r="N182" s="3" t="str">
        <f>IFERROR(MID(VLOOKUP($B182,Seqs!$A:$B,2,0),O182,1),"")</f>
        <v>D</v>
      </c>
      <c r="O182" s="3">
        <v>110</v>
      </c>
      <c r="P182" s="3" t="str">
        <f>IFERROR(MID(VLOOKUP($B182,Seqs!$A:$B,2,0),Q182,1),"")</f>
        <v>Q</v>
      </c>
      <c r="Q182" s="3">
        <v>111</v>
      </c>
      <c r="R182" s="3" t="str">
        <f>IFERROR(MID(VLOOKUP($B182,Seqs!$A:$B,2,0),S182,1),"")</f>
        <v>F</v>
      </c>
      <c r="S182" s="3">
        <v>114</v>
      </c>
      <c r="T182" s="3" t="str">
        <f>IFERROR(MID(VLOOKUP($B182,Seqs!$A:$B,2,0),U182,1),"")</f>
        <v>Q</v>
      </c>
      <c r="U182" s="3">
        <v>115</v>
      </c>
      <c r="V182" s="3" t="str">
        <f>IFERROR(MID(VLOOKUP($B182,Seqs!$A:$B,2,0),W182,1),"")</f>
        <v>Q</v>
      </c>
      <c r="W182" s="3">
        <v>150</v>
      </c>
      <c r="X182" s="3" t="str">
        <f>IFERROR(MID(VLOOKUP($B182,Seqs!$A:$B,2,0),Y182,1),"")</f>
        <v>A</v>
      </c>
      <c r="Y182" s="3">
        <v>151</v>
      </c>
      <c r="Z182" s="3" t="str">
        <f>IFERROR(MID(VLOOKUP($B182,Seqs!$A:$B,2,0),AA182,1),"")</f>
        <v>W</v>
      </c>
      <c r="AA182" s="3">
        <v>157</v>
      </c>
      <c r="AB182" s="3" t="str">
        <f>IFERROR(MID(VLOOKUP($B182,Seqs!$A:$B,2,0),AC182,1),"")</f>
        <v>R</v>
      </c>
      <c r="AC182" s="9">
        <v>158</v>
      </c>
      <c r="AD182" s="3" t="str">
        <f>IFERROR(MID(VLOOKUP($B182,Seqs!$A:$B,2,0),AE182,1),"")</f>
        <v>S</v>
      </c>
      <c r="AE182" s="3">
        <v>187</v>
      </c>
      <c r="AF182" s="3" t="str">
        <f>IFERROR(MID(VLOOKUP($B182,Seqs!$A:$B,2,0),AG182,1),"")</f>
        <v>C</v>
      </c>
      <c r="AG182" s="3">
        <v>198</v>
      </c>
      <c r="AH182" s="3" t="str">
        <f>IFERROR(MID(VLOOKUP($B182,Seqs!$A:$B,2,0),AI182,1),"")</f>
        <v>M</v>
      </c>
      <c r="AI182" s="3">
        <v>200</v>
      </c>
      <c r="AJ182" s="3" t="str">
        <f>IFERROR(MID(VLOOKUP($B182,Seqs!$A:$B,2,0),AK182,1),"")</f>
        <v>K</v>
      </c>
      <c r="AK182" s="3">
        <v>209</v>
      </c>
      <c r="AL182" s="3" t="str">
        <f>IFERROR(MID(VLOOKUP($B182,Seqs!$A:$B,2,0),AM182,1),"")</f>
        <v>A</v>
      </c>
      <c r="AM182" s="3">
        <v>244</v>
      </c>
      <c r="AN182" s="3" t="str">
        <f>IFERROR(MID(VLOOKUP($B182,Seqs!$A:$B,2,0),AO182,1),"")</f>
        <v>S</v>
      </c>
      <c r="AO182" s="3">
        <v>247</v>
      </c>
      <c r="AP182" s="3" t="str">
        <f>IFERROR(MID(VLOOKUP($B182,Seqs!$A:$B,2,0),AQ182,1),"")</f>
        <v>M</v>
      </c>
      <c r="AQ182" s="3">
        <v>284</v>
      </c>
      <c r="AR182" s="3" t="str">
        <f>IFERROR(MID(VLOOKUP($B182,Seqs!$A:$B,2,0),AS182,1),"")</f>
        <v>N</v>
      </c>
      <c r="AS182" s="3">
        <v>288</v>
      </c>
      <c r="AT182" s="3" t="str">
        <f>IFERROR(MID(VLOOKUP($B182,Seqs!$A:$B,2,0),AU182,1),"")</f>
        <v>V</v>
      </c>
      <c r="AU182" s="3">
        <v>320</v>
      </c>
      <c r="AV182" s="3" t="str">
        <f>IFERROR(MID(VLOOKUP($B182,Seqs!$A:$B,2,0),AW182,1),"")</f>
        <v>G</v>
      </c>
      <c r="AW182" s="3">
        <v>321</v>
      </c>
      <c r="AX182" s="3" t="str">
        <f>IFERROR(MID(VLOOKUP($B182,Seqs!$A:$B,2,0),AY182,1),"")</f>
        <v>A</v>
      </c>
      <c r="AY182" s="3">
        <v>341</v>
      </c>
      <c r="AZ182" s="77" t="str">
        <f>VLOOKUP(B182,Classification!A:D,2,0)</f>
        <v>A</v>
      </c>
      <c r="BA182" s="94" t="str">
        <f>VLOOKUP(B182,Classification!A:D,4,0)</f>
        <v>Chemokine</v>
      </c>
      <c r="BB182" s="27" t="b">
        <f t="shared" si="1007"/>
        <v>1</v>
      </c>
      <c r="BC182" s="23">
        <f t="shared" si="785"/>
        <v>276</v>
      </c>
      <c r="BD182" s="56" t="s">
        <v>23</v>
      </c>
      <c r="BE182" s="3" t="s">
        <v>23</v>
      </c>
      <c r="BF182" s="118" t="s">
        <v>23</v>
      </c>
      <c r="BG182" s="49" t="s">
        <v>1366</v>
      </c>
      <c r="BH182" s="49" t="s">
        <v>1371</v>
      </c>
      <c r="BI182" s="1"/>
      <c r="BJ182" s="70" t="s">
        <v>1281</v>
      </c>
      <c r="BK182" s="57" t="s">
        <v>1281</v>
      </c>
      <c r="BL182" s="57" t="s">
        <v>1281</v>
      </c>
      <c r="BM182" s="57" t="s">
        <v>1281</v>
      </c>
      <c r="BN182" s="57" t="s">
        <v>1281</v>
      </c>
      <c r="BO182" s="57" t="s">
        <v>1281</v>
      </c>
      <c r="BP182" s="57" t="s">
        <v>1281</v>
      </c>
      <c r="BQ182" s="57" t="s">
        <v>1281</v>
      </c>
      <c r="BR182" s="57" t="s">
        <v>1281</v>
      </c>
      <c r="BS182" s="57" t="s">
        <v>1281</v>
      </c>
      <c r="BT182" s="57" t="s">
        <v>1281</v>
      </c>
      <c r="BU182" s="57" t="s">
        <v>1281</v>
      </c>
      <c r="BV182" s="70">
        <f>E182</f>
        <v>43</v>
      </c>
      <c r="BW182" s="71">
        <f>I182</f>
        <v>77</v>
      </c>
      <c r="BX182" s="72">
        <f>M182</f>
        <v>81</v>
      </c>
      <c r="BY182" s="71">
        <f>Q182</f>
        <v>111</v>
      </c>
      <c r="BZ182" s="72">
        <f>U182</f>
        <v>115</v>
      </c>
      <c r="CA182" s="71">
        <f>Y182</f>
        <v>151</v>
      </c>
      <c r="CB182" s="72">
        <f>AC182</f>
        <v>158</v>
      </c>
      <c r="CC182" s="71">
        <f>AG182</f>
        <v>198</v>
      </c>
      <c r="CD182" s="72">
        <f>AK182</f>
        <v>209</v>
      </c>
      <c r="CE182" s="71">
        <f>AO182</f>
        <v>247</v>
      </c>
      <c r="CF182" s="72">
        <f>AS182</f>
        <v>288</v>
      </c>
      <c r="CG182" s="71">
        <f>AW182</f>
        <v>321</v>
      </c>
      <c r="CH182" s="70">
        <f>G182</f>
        <v>76</v>
      </c>
      <c r="CI182" s="71">
        <f>K182</f>
        <v>80</v>
      </c>
      <c r="CJ182" s="72">
        <f>O182</f>
        <v>110</v>
      </c>
      <c r="CK182" s="72">
        <f>S182</f>
        <v>114</v>
      </c>
      <c r="CL182" s="72">
        <f>W182</f>
        <v>150</v>
      </c>
      <c r="CM182" s="72">
        <f>AA182</f>
        <v>157</v>
      </c>
      <c r="CN182" s="72">
        <f>AE182</f>
        <v>187</v>
      </c>
      <c r="CO182" s="72">
        <f>AI182</f>
        <v>200</v>
      </c>
      <c r="CP182" s="72">
        <f>AM182</f>
        <v>244</v>
      </c>
      <c r="CQ182" s="72">
        <f>AQ182</f>
        <v>284</v>
      </c>
      <c r="CR182" s="72">
        <f>AU182</f>
        <v>320</v>
      </c>
      <c r="CS182" s="72">
        <f>AY182</f>
        <v>341</v>
      </c>
      <c r="CT182" s="23">
        <f>M182-K182</f>
        <v>1</v>
      </c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/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/>
      <c r="ADO182" s="1"/>
      <c r="ADP182" s="1"/>
      <c r="ADQ182" s="1"/>
      <c r="ADR182" s="1"/>
      <c r="ADS182" s="1"/>
      <c r="ADT182" s="1"/>
      <c r="ADU182" s="1"/>
      <c r="ADV182" s="1"/>
      <c r="ADW182" s="1"/>
      <c r="ADX182" s="1"/>
      <c r="ADY182" s="1"/>
      <c r="ADZ182" s="1"/>
      <c r="AEA182" s="1"/>
      <c r="AEB182" s="1"/>
      <c r="AEC182" s="1"/>
      <c r="AED182" s="1"/>
      <c r="AEE182" s="1"/>
      <c r="AEF182" s="1"/>
      <c r="AEG182" s="1"/>
      <c r="AEH182" s="1"/>
      <c r="AEI182" s="1"/>
      <c r="AEJ182" s="1"/>
      <c r="AEK182" s="1"/>
      <c r="AEL182" s="1"/>
      <c r="AEM182" s="1"/>
      <c r="AEN182" s="1"/>
      <c r="AEO182" s="1"/>
      <c r="AEP182" s="1"/>
      <c r="AEQ182" s="1"/>
      <c r="AER182" s="1"/>
      <c r="AES182" s="1"/>
      <c r="AET182" s="1"/>
      <c r="AEU182" s="1"/>
      <c r="AEV182" s="1"/>
      <c r="AEW182" s="1"/>
      <c r="AEX182" s="1"/>
      <c r="AEY182" s="1"/>
      <c r="AEZ182" s="1"/>
      <c r="AFA182" s="1"/>
      <c r="AFB182" s="1"/>
      <c r="AFC182" s="1"/>
      <c r="AFD182" s="1"/>
      <c r="AFE182" s="1"/>
      <c r="AFF182" s="1"/>
      <c r="AFG182" s="1"/>
      <c r="AFH182" s="1"/>
      <c r="AFI182" s="1"/>
      <c r="AFJ182" s="1"/>
      <c r="AFK182" s="1"/>
      <c r="AFL182" s="1"/>
      <c r="AFM182" s="1"/>
      <c r="AFN182" s="1"/>
      <c r="AFO182" s="1"/>
      <c r="AFP182" s="1"/>
      <c r="AFQ182" s="1"/>
      <c r="AFR182" s="1"/>
      <c r="AFS182" s="1"/>
      <c r="AFT182" s="1"/>
      <c r="AFU182" s="1"/>
      <c r="AFV182" s="1"/>
      <c r="AFW182" s="1"/>
      <c r="AFX182" s="1"/>
      <c r="AFY182" s="1"/>
      <c r="AFZ182" s="1"/>
      <c r="AGA182" s="1"/>
      <c r="AGB182" s="1"/>
      <c r="AGC182" s="1"/>
      <c r="AGD182" s="1"/>
      <c r="AGE182" s="1"/>
      <c r="AGF182" s="1"/>
      <c r="AGG182" s="1"/>
      <c r="AGH182" s="1"/>
      <c r="AGI182" s="1"/>
      <c r="AGJ182" s="1"/>
      <c r="AGK182" s="1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  <c r="ALO182" s="1"/>
      <c r="ALP182" s="1"/>
      <c r="ALQ182" s="1"/>
      <c r="ALR182" s="1"/>
      <c r="ALS182" s="1"/>
      <c r="ALT182" s="1"/>
      <c r="ALU182" s="1"/>
      <c r="ALV182" s="1"/>
      <c r="ALW182" s="1"/>
      <c r="ALX182" s="1"/>
      <c r="ALY182" s="1"/>
      <c r="ALZ182" s="1"/>
      <c r="AMA182" s="1"/>
      <c r="AMB182" s="1"/>
      <c r="AMC182" s="1"/>
      <c r="AMD182" s="1"/>
      <c r="AME182" s="1"/>
      <c r="AMF182" s="1"/>
      <c r="AMG182" s="1"/>
      <c r="AMH182" s="1"/>
      <c r="AMI182" s="1"/>
      <c r="AMJ182" s="1"/>
      <c r="AMK182" s="1"/>
      <c r="AML182" s="1"/>
      <c r="AMM182" s="1"/>
      <c r="AMN182" s="1"/>
      <c r="AMO182" s="1"/>
    </row>
    <row r="183" spans="1:1029" x14ac:dyDescent="0.2">
      <c r="A183" s="3" t="str">
        <f>CONCATENATE(B183,"_",C183)</f>
        <v>ccr9_human_5LWE</v>
      </c>
      <c r="B183" s="3" t="s">
        <v>177</v>
      </c>
      <c r="C183" s="3" t="s">
        <v>1359</v>
      </c>
      <c r="D183" s="3" t="str">
        <f>IFERROR(MID(VLOOKUP($B183,Seqs!$A:$B,2,0),E183,1),"")</f>
        <v>V</v>
      </c>
      <c r="E183" s="3">
        <v>43</v>
      </c>
      <c r="F183" s="3" t="str">
        <f>IFERROR(MID(VLOOKUP($B183,Seqs!$A:$B,2,0),G183,1),"")</f>
        <v>C</v>
      </c>
      <c r="G183" s="3">
        <v>76</v>
      </c>
      <c r="H183" s="3" t="str">
        <f>IFERROR(MID(VLOOKUP($B183,Seqs!$A:$B,2,0),I183,1),"")</f>
        <v/>
      </c>
      <c r="I183" s="23" t="s">
        <v>23</v>
      </c>
      <c r="J183" s="3" t="str">
        <f>IFERROR(MID(VLOOKUP($B183,Seqs!$A:$B,2,0),K183,1),"")</f>
        <v/>
      </c>
      <c r="K183" s="23" t="s">
        <v>23</v>
      </c>
      <c r="L183" s="3" t="str">
        <f>IFERROR(MID(VLOOKUP($B183,Seqs!$A:$B,2,0),M183,1),"")</f>
        <v>T</v>
      </c>
      <c r="M183" s="3">
        <v>81</v>
      </c>
      <c r="N183" s="3" t="str">
        <f>IFERROR(MID(VLOOKUP($B183,Seqs!$A:$B,2,0),O183,1),"")</f>
        <v>A</v>
      </c>
      <c r="O183" s="3">
        <v>108</v>
      </c>
      <c r="P183" s="3" t="str">
        <f>IFERROR(MID(VLOOKUP($B183,Seqs!$A:$B,2,0),Q183,1),"")</f>
        <v/>
      </c>
      <c r="Q183" s="3" t="s">
        <v>23</v>
      </c>
      <c r="R183" s="3" t="str">
        <f>IFERROR(MID(VLOOKUP($B183,Seqs!$A:$B,2,0),S183,1),"")</f>
        <v/>
      </c>
      <c r="S183" s="3" t="s">
        <v>23</v>
      </c>
      <c r="T183" s="3" t="str">
        <f>IFERROR(MID(VLOOKUP($B183,Seqs!$A:$B,2,0),U183,1),"")</f>
        <v>C</v>
      </c>
      <c r="U183" s="3">
        <v>119</v>
      </c>
      <c r="V183" s="3" t="str">
        <f>IFERROR(MID(VLOOKUP($B183,Seqs!$A:$B,2,0),W183,1),"")</f>
        <v>Q</v>
      </c>
      <c r="W183" s="3">
        <v>150</v>
      </c>
      <c r="X183" s="3" t="str">
        <f>IFERROR(MID(VLOOKUP($B183,Seqs!$A:$B,2,0),Y183,1),"")</f>
        <v>A</v>
      </c>
      <c r="Y183" s="3">
        <v>151</v>
      </c>
      <c r="Z183" s="3" t="str">
        <f>IFERROR(MID(VLOOKUP($B183,Seqs!$A:$B,2,0),AA183,1),"")</f>
        <v>W</v>
      </c>
      <c r="AA183" s="3">
        <v>157</v>
      </c>
      <c r="AB183" s="3" t="str">
        <f>IFERROR(MID(VLOOKUP($B183,Seqs!$A:$B,2,0),AC183,1),"")</f>
        <v>R</v>
      </c>
      <c r="AC183" s="9">
        <v>158</v>
      </c>
      <c r="AD183" s="3" t="str">
        <f>IFERROR(MID(VLOOKUP($B183,Seqs!$A:$B,2,0),AE183,1),"")</f>
        <v>I</v>
      </c>
      <c r="AE183" s="3">
        <v>184</v>
      </c>
      <c r="AF183" s="3" t="str">
        <f>IFERROR(MID(VLOOKUP($B183,Seqs!$A:$B,2,0),AG183,1),"")</f>
        <v/>
      </c>
      <c r="AG183" s="3" t="s">
        <v>23</v>
      </c>
      <c r="AH183" s="3" t="str">
        <f>IFERROR(MID(VLOOKUP($B183,Seqs!$A:$B,2,0),AI183,1),"")</f>
        <v/>
      </c>
      <c r="AI183" s="3" t="s">
        <v>23</v>
      </c>
      <c r="AJ183" s="3" t="str">
        <f>IFERROR(MID(VLOOKUP($B183,Seqs!$A:$B,2,0),AK183,1),"")</f>
        <v/>
      </c>
      <c r="AK183" s="3" t="s">
        <v>23</v>
      </c>
      <c r="AL183" s="3" t="str">
        <f>IFERROR(MID(VLOOKUP($B183,Seqs!$A:$B,2,0),AM183,1),"")</f>
        <v/>
      </c>
      <c r="AM183" s="3" t="s">
        <v>23</v>
      </c>
      <c r="AN183" s="3" t="str">
        <f>IFERROR(MID(VLOOKUP($B183,Seqs!$A:$B,2,0),AO183,1),"")</f>
        <v>S</v>
      </c>
      <c r="AO183" s="3">
        <v>247</v>
      </c>
      <c r="AP183" s="3" t="str">
        <f>IFERROR(MID(VLOOKUP($B183,Seqs!$A:$B,2,0),AQ183,1),"")</f>
        <v>M</v>
      </c>
      <c r="AQ183" s="3">
        <v>284</v>
      </c>
      <c r="AR183" s="3" t="str">
        <f>IFERROR(MID(VLOOKUP($B183,Seqs!$A:$B,2,0),AS183,1),"")</f>
        <v>N</v>
      </c>
      <c r="AS183" s="3">
        <v>288</v>
      </c>
      <c r="AT183" s="3" t="str">
        <f>IFERROR(MID(VLOOKUP($B183,Seqs!$A:$B,2,0),AU183,1),"")</f>
        <v>V</v>
      </c>
      <c r="AU183" s="3">
        <v>320</v>
      </c>
      <c r="AV183" s="3" t="str">
        <f>IFERROR(MID(VLOOKUP($B183,Seqs!$A:$B,2,0),AW183,1),"")</f>
        <v>G</v>
      </c>
      <c r="AW183" s="3">
        <v>321</v>
      </c>
      <c r="AX183" s="3" t="str">
        <f>IFERROR(MID(VLOOKUP($B183,Seqs!$A:$B,2,0),AY183,1),"")</f>
        <v>A</v>
      </c>
      <c r="AY183" s="3">
        <v>341</v>
      </c>
      <c r="AZ183" s="77" t="str">
        <f>VLOOKUP(B183,Classification!A:D,2,0)</f>
        <v>A</v>
      </c>
      <c r="BA183" s="94" t="str">
        <f>VLOOKUP(B183,Classification!A:D,4,0)</f>
        <v>Chemokine</v>
      </c>
      <c r="BB183" s="27" t="b">
        <f t="shared" si="1007"/>
        <v>0</v>
      </c>
      <c r="BC183" s="23">
        <f t="shared" si="785"/>
        <v>224</v>
      </c>
      <c r="BD183" s="16" t="s">
        <v>1370</v>
      </c>
      <c r="BE183" s="3" t="s">
        <v>1368</v>
      </c>
      <c r="BF183" s="118">
        <v>2.8</v>
      </c>
      <c r="BG183" s="49" t="s">
        <v>1371</v>
      </c>
      <c r="BH183" s="49" t="s">
        <v>1371</v>
      </c>
      <c r="BI183" s="1"/>
      <c r="BJ183" s="70" t="s">
        <v>1281</v>
      </c>
      <c r="BK183" s="57" t="s">
        <v>1281</v>
      </c>
      <c r="BL183" s="57" t="s">
        <v>1281</v>
      </c>
      <c r="BM183" s="57" t="s">
        <v>1281</v>
      </c>
      <c r="BN183" s="57" t="s">
        <v>1281</v>
      </c>
      <c r="BO183" s="57" t="s">
        <v>1281</v>
      </c>
      <c r="BP183" s="57" t="s">
        <v>1281</v>
      </c>
      <c r="BQ183" s="57" t="s">
        <v>1281</v>
      </c>
      <c r="BR183" s="57" t="s">
        <v>1281</v>
      </c>
      <c r="BS183" s="57" t="s">
        <v>1281</v>
      </c>
      <c r="BT183" s="57" t="s">
        <v>1281</v>
      </c>
      <c r="BU183" s="57" t="s">
        <v>1281</v>
      </c>
      <c r="BV183" s="70">
        <f>E183</f>
        <v>43</v>
      </c>
      <c r="BW183" s="71" t="str">
        <f>I183</f>
        <v>-</v>
      </c>
      <c r="BX183" s="72">
        <f>M183</f>
        <v>81</v>
      </c>
      <c r="BY183" s="71" t="str">
        <f>Q183</f>
        <v>-</v>
      </c>
      <c r="BZ183" s="72">
        <f>U183</f>
        <v>119</v>
      </c>
      <c r="CA183" s="71">
        <f>Y183</f>
        <v>151</v>
      </c>
      <c r="CB183" s="72">
        <f>AC183</f>
        <v>158</v>
      </c>
      <c r="CC183" s="71" t="str">
        <f>AG183</f>
        <v>-</v>
      </c>
      <c r="CD183" s="72" t="str">
        <f>AK183</f>
        <v>-</v>
      </c>
      <c r="CE183" s="71">
        <f>AO183</f>
        <v>247</v>
      </c>
      <c r="CF183" s="72">
        <f>AS183</f>
        <v>288</v>
      </c>
      <c r="CG183" s="71">
        <f>AW183</f>
        <v>321</v>
      </c>
      <c r="CH183" s="70">
        <f>G183</f>
        <v>76</v>
      </c>
      <c r="CI183" s="71" t="str">
        <f>K183</f>
        <v>-</v>
      </c>
      <c r="CJ183" s="72">
        <f>O183</f>
        <v>108</v>
      </c>
      <c r="CK183" s="72" t="str">
        <f>S183</f>
        <v>-</v>
      </c>
      <c r="CL183" s="72">
        <f>W183</f>
        <v>150</v>
      </c>
      <c r="CM183" s="72">
        <f>AA183</f>
        <v>157</v>
      </c>
      <c r="CN183" s="72">
        <f>AE183</f>
        <v>184</v>
      </c>
      <c r="CO183" s="72" t="str">
        <f>AI183</f>
        <v>-</v>
      </c>
      <c r="CP183" s="72" t="str">
        <f>AM183</f>
        <v>-</v>
      </c>
      <c r="CQ183" s="72">
        <f>AQ183</f>
        <v>284</v>
      </c>
      <c r="CR183" s="72">
        <f>AU183</f>
        <v>320</v>
      </c>
      <c r="CS183" s="72">
        <f>AY183</f>
        <v>341</v>
      </c>
      <c r="CT183" s="23" t="e">
        <f>M183-K183</f>
        <v>#VALUE!</v>
      </c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/>
      <c r="AAC183" s="1"/>
      <c r="AAD183" s="1"/>
      <c r="AAE183" s="1"/>
      <c r="AAF183" s="1"/>
      <c r="AAG183" s="1"/>
      <c r="AAH183" s="1"/>
      <c r="AAI183" s="1"/>
      <c r="AAJ183" s="1"/>
      <c r="AAK183" s="1"/>
      <c r="AAL183" s="1"/>
      <c r="AAM183" s="1"/>
      <c r="AAN183" s="1"/>
      <c r="AAO183" s="1"/>
      <c r="AAP183" s="1"/>
      <c r="AAQ183" s="1"/>
      <c r="AAR183" s="1"/>
      <c r="AAS183" s="1"/>
      <c r="AAT183" s="1"/>
      <c r="AAU183" s="1"/>
      <c r="AAV183" s="1"/>
      <c r="AAW183" s="1"/>
      <c r="AAX183" s="1"/>
      <c r="AAY183" s="1"/>
      <c r="AAZ183" s="1"/>
      <c r="ABA183" s="1"/>
      <c r="ABB183" s="1"/>
      <c r="ABC183" s="1"/>
      <c r="ABD183" s="1"/>
      <c r="ABE183" s="1"/>
      <c r="ABF183" s="1"/>
      <c r="ABG183" s="1"/>
      <c r="ABH183" s="1"/>
      <c r="ABI183" s="1"/>
      <c r="ABJ183" s="1"/>
      <c r="ABK183" s="1"/>
      <c r="ABL183" s="1"/>
      <c r="ABM183" s="1"/>
      <c r="ABN183" s="1"/>
      <c r="ABO183" s="1"/>
      <c r="ABP183" s="1"/>
      <c r="ABQ183" s="1"/>
      <c r="ABR183" s="1"/>
      <c r="ABS183" s="1"/>
      <c r="ABT183" s="1"/>
      <c r="ABU183" s="1"/>
      <c r="ABV183" s="1"/>
      <c r="ABW183" s="1"/>
      <c r="ABX183" s="1"/>
      <c r="ABY183" s="1"/>
      <c r="ABZ183" s="1"/>
      <c r="ACA183" s="1"/>
      <c r="ACB183" s="1"/>
      <c r="ACC183" s="1"/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1"/>
      <c r="ACO183" s="1"/>
      <c r="ACP183" s="1"/>
      <c r="ACQ183" s="1"/>
      <c r="ACR183" s="1"/>
      <c r="ACS183" s="1"/>
      <c r="ACT183" s="1"/>
      <c r="ACU183" s="1"/>
      <c r="ACV183" s="1"/>
      <c r="ACW183" s="1"/>
      <c r="ACX183" s="1"/>
      <c r="ACY183" s="1"/>
      <c r="ACZ183" s="1"/>
      <c r="ADA183" s="1"/>
      <c r="ADB183" s="1"/>
      <c r="ADC183" s="1"/>
      <c r="ADD183" s="1"/>
      <c r="ADE183" s="1"/>
      <c r="ADF183" s="1"/>
      <c r="ADG183" s="1"/>
      <c r="ADH183" s="1"/>
      <c r="ADI183" s="1"/>
      <c r="ADJ183" s="1"/>
      <c r="ADK183" s="1"/>
      <c r="ADL183" s="1"/>
      <c r="ADM183" s="1"/>
      <c r="ADN183" s="1"/>
      <c r="ADO183" s="1"/>
      <c r="ADP183" s="1"/>
      <c r="ADQ183" s="1"/>
      <c r="ADR183" s="1"/>
      <c r="ADS183" s="1"/>
      <c r="ADT183" s="1"/>
      <c r="ADU183" s="1"/>
      <c r="ADV183" s="1"/>
      <c r="ADW183" s="1"/>
      <c r="ADX183" s="1"/>
      <c r="ADY183" s="1"/>
      <c r="ADZ183" s="1"/>
      <c r="AEA183" s="1"/>
      <c r="AEB183" s="1"/>
      <c r="AEC183" s="1"/>
      <c r="AED183" s="1"/>
      <c r="AEE183" s="1"/>
      <c r="AEF183" s="1"/>
      <c r="AEG183" s="1"/>
      <c r="AEH183" s="1"/>
      <c r="AEI183" s="1"/>
      <c r="AEJ183" s="1"/>
      <c r="AEK183" s="1"/>
      <c r="AEL183" s="1"/>
      <c r="AEM183" s="1"/>
      <c r="AEN183" s="1"/>
      <c r="AEO183" s="1"/>
      <c r="AEP183" s="1"/>
      <c r="AEQ183" s="1"/>
      <c r="AER183" s="1"/>
      <c r="AES183" s="1"/>
      <c r="AET183" s="1"/>
      <c r="AEU183" s="1"/>
      <c r="AEV183" s="1"/>
      <c r="AEW183" s="1"/>
      <c r="AEX183" s="1"/>
      <c r="AEY183" s="1"/>
      <c r="AEZ183" s="1"/>
      <c r="AFA183" s="1"/>
      <c r="AFB183" s="1"/>
      <c r="AFC183" s="1"/>
      <c r="AFD183" s="1"/>
      <c r="AFE183" s="1"/>
      <c r="AFF183" s="1"/>
      <c r="AFG183" s="1"/>
      <c r="AFH183" s="1"/>
      <c r="AFI183" s="1"/>
      <c r="AFJ183" s="1"/>
      <c r="AFK183" s="1"/>
      <c r="AFL183" s="1"/>
      <c r="AFM183" s="1"/>
      <c r="AFN183" s="1"/>
      <c r="AFO183" s="1"/>
      <c r="AFP183" s="1"/>
      <c r="AFQ183" s="1"/>
      <c r="AFR183" s="1"/>
      <c r="AFS183" s="1"/>
      <c r="AFT183" s="1"/>
      <c r="AFU183" s="1"/>
      <c r="AFV183" s="1"/>
      <c r="AFW183" s="1"/>
      <c r="AFX183" s="1"/>
      <c r="AFY183" s="1"/>
      <c r="AFZ183" s="1"/>
      <c r="AGA183" s="1"/>
      <c r="AGB183" s="1"/>
      <c r="AGC183" s="1"/>
      <c r="AGD183" s="1"/>
      <c r="AGE183" s="1"/>
      <c r="AGF183" s="1"/>
      <c r="AGG183" s="1"/>
      <c r="AGH183" s="1"/>
      <c r="AGI183" s="1"/>
      <c r="AGJ183" s="1"/>
      <c r="AGK183" s="1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  <c r="ALN183" s="1"/>
      <c r="ALO183" s="1"/>
      <c r="ALP183" s="1"/>
      <c r="ALQ183" s="1"/>
      <c r="ALR183" s="1"/>
      <c r="ALS183" s="1"/>
      <c r="ALT183" s="1"/>
      <c r="ALU183" s="1"/>
      <c r="ALV183" s="1"/>
      <c r="ALW183" s="1"/>
      <c r="ALX183" s="1"/>
      <c r="ALY183" s="1"/>
      <c r="ALZ183" s="1"/>
      <c r="AMA183" s="1"/>
      <c r="AMB183" s="1"/>
      <c r="AMC183" s="1"/>
      <c r="AMD183" s="1"/>
      <c r="AME183" s="1"/>
      <c r="AMF183" s="1"/>
      <c r="AMG183" s="1"/>
      <c r="AMH183" s="1"/>
      <c r="AMI183" s="1"/>
      <c r="AMJ183" s="1"/>
      <c r="AMK183" s="1"/>
      <c r="AML183" s="1"/>
      <c r="AMM183" s="1"/>
      <c r="AMN183" s="1"/>
      <c r="AMO183" s="1"/>
    </row>
    <row r="184" spans="1:1029" x14ac:dyDescent="0.2">
      <c r="A184" s="3" t="str">
        <f>CONCATENATE(B184,"_",C184)</f>
        <v>ccr9_human_5LWE_dist</v>
      </c>
      <c r="B184" s="3" t="s">
        <v>177</v>
      </c>
      <c r="C184" s="3" t="s">
        <v>1378</v>
      </c>
      <c r="D184" s="3" t="str">
        <f>IFERROR(MID(VLOOKUP($B184,Seqs!$A:$B,2,0),E184,1),"")</f>
        <v>V</v>
      </c>
      <c r="E184" s="3">
        <v>43</v>
      </c>
      <c r="F184" s="3" t="str">
        <f>IFERROR(MID(VLOOKUP($B184,Seqs!$A:$B,2,0),G184,1),"")</f>
        <v>C</v>
      </c>
      <c r="G184" s="3">
        <v>76</v>
      </c>
      <c r="H184" s="3" t="str">
        <f>IFERROR(MID(VLOOKUP($B184,Seqs!$A:$B,2,0),I184,1),"")</f>
        <v/>
      </c>
      <c r="I184" s="23" t="s">
        <v>23</v>
      </c>
      <c r="J184" s="3" t="str">
        <f>IFERROR(MID(VLOOKUP($B184,Seqs!$A:$B,2,0),K184,1),"")</f>
        <v/>
      </c>
      <c r="K184" s="23" t="s">
        <v>23</v>
      </c>
      <c r="L184" s="3" t="str">
        <f>IFERROR(MID(VLOOKUP($B184,Seqs!$A:$B,2,0),M184,1),"")</f>
        <v>T</v>
      </c>
      <c r="M184" s="3">
        <v>81</v>
      </c>
      <c r="N184" s="3" t="str">
        <f>IFERROR(MID(VLOOKUP($B184,Seqs!$A:$B,2,0),O184,1),"")</f>
        <v>A</v>
      </c>
      <c r="O184" s="3">
        <v>108</v>
      </c>
      <c r="P184" s="3" t="str">
        <f>IFERROR(MID(VLOOKUP($B184,Seqs!$A:$B,2,0),Q184,1),"")</f>
        <v/>
      </c>
      <c r="Q184" s="3" t="s">
        <v>23</v>
      </c>
      <c r="R184" s="3" t="str">
        <f>IFERROR(MID(VLOOKUP($B184,Seqs!$A:$B,2,0),S184,1),"")</f>
        <v/>
      </c>
      <c r="S184" s="3" t="s">
        <v>23</v>
      </c>
      <c r="T184" s="3" t="str">
        <f>IFERROR(MID(VLOOKUP($B184,Seqs!$A:$B,2,0),U184,1),"")</f>
        <v>C</v>
      </c>
      <c r="U184" s="3">
        <v>119</v>
      </c>
      <c r="V184" s="3" t="str">
        <f>IFERROR(MID(VLOOKUP($B184,Seqs!$A:$B,2,0),W184,1),"")</f>
        <v>Q</v>
      </c>
      <c r="W184" s="3">
        <v>150</v>
      </c>
      <c r="X184" s="3" t="str">
        <f>IFERROR(MID(VLOOKUP($B184,Seqs!$A:$B,2,0),Y184,1),"")</f>
        <v>A</v>
      </c>
      <c r="Y184" s="3">
        <v>151</v>
      </c>
      <c r="Z184" s="3" t="str">
        <f>IFERROR(MID(VLOOKUP($B184,Seqs!$A:$B,2,0),AA184,1),"")</f>
        <v>W</v>
      </c>
      <c r="AA184" s="3">
        <v>157</v>
      </c>
      <c r="AB184" s="3" t="str">
        <f>IFERROR(MID(VLOOKUP($B184,Seqs!$A:$B,2,0),AC184,1),"")</f>
        <v>R</v>
      </c>
      <c r="AC184" s="9">
        <v>158</v>
      </c>
      <c r="AD184" s="3" t="str">
        <f>IFERROR(MID(VLOOKUP($B184,Seqs!$A:$B,2,0),AE184,1),"")</f>
        <v>I</v>
      </c>
      <c r="AE184" s="3">
        <v>184</v>
      </c>
      <c r="AF184" s="3" t="str">
        <f>IFERROR(MID(VLOOKUP($B184,Seqs!$A:$B,2,0),AG184,1),"")</f>
        <v/>
      </c>
      <c r="AG184" s="3" t="s">
        <v>23</v>
      </c>
      <c r="AH184" s="3" t="str">
        <f>IFERROR(MID(VLOOKUP($B184,Seqs!$A:$B,2,0),AI184,1),"")</f>
        <v/>
      </c>
      <c r="AI184" s="3" t="s">
        <v>23</v>
      </c>
      <c r="AJ184" s="3" t="str">
        <f>IFERROR(MID(VLOOKUP($B184,Seqs!$A:$B,2,0),AK184,1),"")</f>
        <v>K</v>
      </c>
      <c r="AK184" s="3">
        <v>209</v>
      </c>
      <c r="AL184" s="3" t="str">
        <f>IFERROR(MID(VLOOKUP($B184,Seqs!$A:$B,2,0),AM184,1),"")</f>
        <v>A</v>
      </c>
      <c r="AM184" s="3">
        <v>244</v>
      </c>
      <c r="AN184" s="3" t="str">
        <f>IFERROR(MID(VLOOKUP($B184,Seqs!$A:$B,2,0),AO184,1),"")</f>
        <v>S</v>
      </c>
      <c r="AO184" s="3">
        <v>247</v>
      </c>
      <c r="AP184" s="3" t="str">
        <f>IFERROR(MID(VLOOKUP($B184,Seqs!$A:$B,2,0),AQ184,1),"")</f>
        <v>M</v>
      </c>
      <c r="AQ184" s="3">
        <v>284</v>
      </c>
      <c r="AR184" s="3" t="str">
        <f>IFERROR(MID(VLOOKUP($B184,Seqs!$A:$B,2,0),AS184,1),"")</f>
        <v>N</v>
      </c>
      <c r="AS184" s="3">
        <v>288</v>
      </c>
      <c r="AT184" s="3" t="str">
        <f>IFERROR(MID(VLOOKUP($B184,Seqs!$A:$B,2,0),AU184,1),"")</f>
        <v>V</v>
      </c>
      <c r="AU184" s="3">
        <v>320</v>
      </c>
      <c r="AV184" s="3" t="str">
        <f>IFERROR(MID(VLOOKUP($B184,Seqs!$A:$B,2,0),AW184,1),"")</f>
        <v>G</v>
      </c>
      <c r="AW184" s="3">
        <v>321</v>
      </c>
      <c r="AX184" s="3" t="str">
        <f>IFERROR(MID(VLOOKUP($B184,Seqs!$A:$B,2,0),AY184,1),"")</f>
        <v>A</v>
      </c>
      <c r="AY184" s="3">
        <v>341</v>
      </c>
      <c r="AZ184" s="77" t="str">
        <f>VLOOKUP(B184,Classification!A:D,2,0)</f>
        <v>A</v>
      </c>
      <c r="BA184" s="94" t="str">
        <f>VLOOKUP(B184,Classification!A:D,4,0)</f>
        <v>Chemokine</v>
      </c>
      <c r="BB184" s="27" t="b">
        <f>AND(E184&lt;G184,OR(G184&lt;I184,I184="-"),OR(I184&lt;K184,I184="-"),OR(K184&lt;M184,K184="-"),M184&lt;O184,OR(O184&lt;Q184,Q184="-"),OR(Q184&lt;S184,Q184="-"),OR(S184&lt;U184,S184="-"),U184&lt;W184,OR(W184&lt;Y184,Y184="-"),OR(Y184&lt;AA184,Y184="-"),OR(AA184&lt;AC184,AA184="-"),AC184&lt;AE184,OR(AE184&lt;AG184,AG184="-"),OR(AG184&lt;AI184,AG184="-"),OR(AI184&lt;AK184,AI184="-"),AK184&lt;AM184,AM184&lt;AO184,AO184&lt;AQ184,AQ184&lt;AS184,AS184&lt;AU184,OR(AU184&lt;AW184,AW184="-"),OR(AW184&lt;AY184,AW184="-"))</f>
        <v>1</v>
      </c>
      <c r="BC184" s="23">
        <f>_xlfn.AGGREGATE(9,6,CH184:CS184)-_xlfn.AGGREGATE(9,6,BV184:CG184)+12</f>
        <v>259</v>
      </c>
      <c r="BD184" s="16" t="s">
        <v>23</v>
      </c>
      <c r="BE184" s="3" t="s">
        <v>1368</v>
      </c>
      <c r="BF184" s="118">
        <v>2.8</v>
      </c>
      <c r="BG184" s="49" t="s">
        <v>1371</v>
      </c>
      <c r="BH184" s="49" t="s">
        <v>1371</v>
      </c>
      <c r="BI184" s="1"/>
      <c r="BJ184" s="70" t="s">
        <v>1281</v>
      </c>
      <c r="BK184" s="57" t="s">
        <v>1281</v>
      </c>
      <c r="BL184" s="57" t="s">
        <v>1281</v>
      </c>
      <c r="BM184" s="57" t="s">
        <v>1281</v>
      </c>
      <c r="BN184" s="57" t="s">
        <v>1281</v>
      </c>
      <c r="BO184" s="57" t="s">
        <v>1281</v>
      </c>
      <c r="BP184" s="57" t="s">
        <v>1281</v>
      </c>
      <c r="BQ184" s="57" t="s">
        <v>1281</v>
      </c>
      <c r="BR184" s="57" t="s">
        <v>1281</v>
      </c>
      <c r="BS184" s="57" t="s">
        <v>1281</v>
      </c>
      <c r="BT184" s="57" t="s">
        <v>1281</v>
      </c>
      <c r="BU184" s="57" t="s">
        <v>1281</v>
      </c>
      <c r="BV184" s="70">
        <f>E184</f>
        <v>43</v>
      </c>
      <c r="BW184" s="71" t="str">
        <f>I184</f>
        <v>-</v>
      </c>
      <c r="BX184" s="72">
        <f>M184</f>
        <v>81</v>
      </c>
      <c r="BY184" s="71" t="str">
        <f>Q184</f>
        <v>-</v>
      </c>
      <c r="BZ184" s="72">
        <f>U184</f>
        <v>119</v>
      </c>
      <c r="CA184" s="71">
        <f>Y184</f>
        <v>151</v>
      </c>
      <c r="CB184" s="72">
        <f>AC184</f>
        <v>158</v>
      </c>
      <c r="CC184" s="71" t="str">
        <f>AG184</f>
        <v>-</v>
      </c>
      <c r="CD184" s="72">
        <f>AK184</f>
        <v>209</v>
      </c>
      <c r="CE184" s="71">
        <f>AO184</f>
        <v>247</v>
      </c>
      <c r="CF184" s="72">
        <f>AS184</f>
        <v>288</v>
      </c>
      <c r="CG184" s="71">
        <f>AW184</f>
        <v>321</v>
      </c>
      <c r="CH184" s="70">
        <f>G184</f>
        <v>76</v>
      </c>
      <c r="CI184" s="71" t="str">
        <f>K184</f>
        <v>-</v>
      </c>
      <c r="CJ184" s="72">
        <f>O184</f>
        <v>108</v>
      </c>
      <c r="CK184" s="72" t="str">
        <f>S184</f>
        <v>-</v>
      </c>
      <c r="CL184" s="72">
        <f>W184</f>
        <v>150</v>
      </c>
      <c r="CM184" s="72">
        <f>AA184</f>
        <v>157</v>
      </c>
      <c r="CN184" s="72">
        <f>AE184</f>
        <v>184</v>
      </c>
      <c r="CO184" s="72" t="str">
        <f>AI184</f>
        <v>-</v>
      </c>
      <c r="CP184" s="72">
        <f>AM184</f>
        <v>244</v>
      </c>
      <c r="CQ184" s="72">
        <f>AQ184</f>
        <v>284</v>
      </c>
      <c r="CR184" s="72">
        <f>AU184</f>
        <v>320</v>
      </c>
      <c r="CS184" s="72">
        <f>AY184</f>
        <v>341</v>
      </c>
      <c r="CT184" s="23" t="e">
        <f>M184-K184</f>
        <v>#VALUE!</v>
      </c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  <c r="ADW184" s="1"/>
      <c r="ADX184" s="1"/>
      <c r="ADY184" s="1"/>
      <c r="ADZ184" s="1"/>
      <c r="AEA184" s="1"/>
      <c r="AEB184" s="1"/>
      <c r="AEC184" s="1"/>
      <c r="AED184" s="1"/>
      <c r="AEE184" s="1"/>
      <c r="AEF184" s="1"/>
      <c r="AEG184" s="1"/>
      <c r="AEH184" s="1"/>
      <c r="AEI184" s="1"/>
      <c r="AEJ184" s="1"/>
      <c r="AEK184" s="1"/>
      <c r="AEL184" s="1"/>
      <c r="AEM184" s="1"/>
      <c r="AEN184" s="1"/>
      <c r="AEO184" s="1"/>
      <c r="AEP184" s="1"/>
      <c r="AEQ184" s="1"/>
      <c r="AER184" s="1"/>
      <c r="AES184" s="1"/>
      <c r="AET184" s="1"/>
      <c r="AEU184" s="1"/>
      <c r="AEV184" s="1"/>
      <c r="AEW184" s="1"/>
      <c r="AEX184" s="1"/>
      <c r="AEY184" s="1"/>
      <c r="AEZ184" s="1"/>
      <c r="AFA184" s="1"/>
      <c r="AFB184" s="1"/>
      <c r="AFC184" s="1"/>
      <c r="AFD184" s="1"/>
      <c r="AFE184" s="1"/>
      <c r="AFF184" s="1"/>
      <c r="AFG184" s="1"/>
      <c r="AFH184" s="1"/>
      <c r="AFI184" s="1"/>
      <c r="AFJ184" s="1"/>
      <c r="AFK184" s="1"/>
      <c r="AFL184" s="1"/>
      <c r="AFM184" s="1"/>
      <c r="AFN184" s="1"/>
      <c r="AFO184" s="1"/>
      <c r="AFP184" s="1"/>
      <c r="AFQ184" s="1"/>
      <c r="AFR184" s="1"/>
      <c r="AFS184" s="1"/>
      <c r="AFT184" s="1"/>
      <c r="AFU184" s="1"/>
      <c r="AFV184" s="1"/>
      <c r="AFW184" s="1"/>
      <c r="AFX184" s="1"/>
      <c r="AFY184" s="1"/>
      <c r="AFZ184" s="1"/>
      <c r="AGA184" s="1"/>
      <c r="AGB184" s="1"/>
      <c r="AGC184" s="1"/>
      <c r="AGD184" s="1"/>
      <c r="AGE184" s="1"/>
      <c r="AGF184" s="1"/>
      <c r="AGG184" s="1"/>
      <c r="AGH184" s="1"/>
      <c r="AGI184" s="1"/>
      <c r="AGJ184" s="1"/>
      <c r="AGK184" s="1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/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1"/>
      <c r="AMF184" s="1"/>
      <c r="AMG184" s="1"/>
      <c r="AMH184" s="1"/>
      <c r="AMI184" s="1"/>
      <c r="AMJ184" s="1"/>
      <c r="AMK184" s="1"/>
      <c r="AML184" s="1"/>
      <c r="AMM184" s="1"/>
      <c r="AMN184" s="1"/>
      <c r="AMO184" s="1"/>
    </row>
    <row r="185" spans="1:1029" s="12" customFormat="1" x14ac:dyDescent="0.2">
      <c r="A185" s="9" t="str">
        <f>CONCATENATE(B185,"_",C185)</f>
        <v>cltr1_human__wt</v>
      </c>
      <c r="B185" s="9" t="s">
        <v>179</v>
      </c>
      <c r="C185" s="9" t="s">
        <v>100</v>
      </c>
      <c r="D185" s="9" t="str">
        <f>IFERROR(MID(VLOOKUP($B185,Seqs!$A:$B,2,0),E185,1),"")</f>
        <v>S</v>
      </c>
      <c r="E185" s="9">
        <v>11</v>
      </c>
      <c r="F185" s="9" t="str">
        <f>IFERROR(MID(VLOOKUP($B185,Seqs!$A:$B,2,0),G185,1),"")</f>
        <v>T</v>
      </c>
      <c r="G185" s="9">
        <v>51</v>
      </c>
      <c r="H185" s="9" t="str">
        <f>IFERROR(MID(VLOOKUP($B185,Seqs!$A:$B,2,0),I185,1),"")</f>
        <v/>
      </c>
      <c r="I185" s="109" t="s">
        <v>23</v>
      </c>
      <c r="J185" s="9" t="str">
        <f>IFERROR(MID(VLOOKUP($B185,Seqs!$A:$B,2,0),K185,1),"")</f>
        <v/>
      </c>
      <c r="K185" s="109" t="s">
        <v>23</v>
      </c>
      <c r="L185" s="9" t="str">
        <f>IFERROR(MID(VLOOKUP($B185,Seqs!$A:$B,2,0),M185,1),"")</f>
        <v>S</v>
      </c>
      <c r="M185" s="9">
        <v>56</v>
      </c>
      <c r="N185" s="9" t="str">
        <f>IFERROR(MID(VLOOKUP($B185,Seqs!$A:$B,2,0),O185,1),"")</f>
        <v>K</v>
      </c>
      <c r="O185" s="9">
        <v>86</v>
      </c>
      <c r="P185" s="9" t="str">
        <f>IFERROR(MID(VLOOKUP($B185,Seqs!$A:$B,2,0),Q185,1),"")</f>
        <v>I</v>
      </c>
      <c r="Q185" s="9">
        <v>88</v>
      </c>
      <c r="R185" s="9" t="str">
        <f>IFERROR(MID(VLOOKUP($B185,Seqs!$A:$B,2,0),S185,1),"")</f>
        <v>F</v>
      </c>
      <c r="S185" s="9">
        <v>91</v>
      </c>
      <c r="T185" s="9" t="str">
        <f>IFERROR(MID(VLOOKUP($B185,Seqs!$A:$B,2,0),U185,1),"")</f>
        <v>G</v>
      </c>
      <c r="U185" s="9">
        <v>92</v>
      </c>
      <c r="V185" s="9" t="str">
        <f>IFERROR(MID(VLOOKUP($B185,Seqs!$A:$B,2,0),W185,1),"")</f>
        <v>F</v>
      </c>
      <c r="W185" s="9">
        <v>127</v>
      </c>
      <c r="X185" s="9" t="str">
        <f>IFERROR(MID(VLOOKUP($B185,Seqs!$A:$B,2,0),Y185,1),"")</f>
        <v>P</v>
      </c>
      <c r="Y185" s="9">
        <v>128</v>
      </c>
      <c r="Z185" s="9" t="str">
        <f>IFERROR(MID(VLOOKUP($B185,Seqs!$A:$B,2,0),AA185,1),"")</f>
        <v>V</v>
      </c>
      <c r="AA185" s="9">
        <v>135</v>
      </c>
      <c r="AB185" s="9" t="str">
        <f>IFERROR(MID(VLOOKUP($B185,Seqs!$A:$B,2,0),AC185,1),"")</f>
        <v>T</v>
      </c>
      <c r="AC185" s="9">
        <v>136</v>
      </c>
      <c r="AD185" s="9" t="str">
        <f>IFERROR(MID(VLOOKUP($B185,Seqs!$A:$B,2,0),AE185,1),"")</f>
        <v>A</v>
      </c>
      <c r="AE185" s="9">
        <v>161</v>
      </c>
      <c r="AF185" s="9" t="str">
        <f>IFERROR(MID(VLOOKUP($B185,Seqs!$A:$B,2,0),AG185,1),"")</f>
        <v>C</v>
      </c>
      <c r="AG185" s="9">
        <v>173</v>
      </c>
      <c r="AH185" s="9" t="str">
        <f>IFERROR(MID(VLOOKUP($B185,Seqs!$A:$B,2,0),AI185,1),"")</f>
        <v>E</v>
      </c>
      <c r="AI185" s="9">
        <v>175</v>
      </c>
      <c r="AJ185" s="9" t="str">
        <f>IFERROR(MID(VLOOKUP($B185,Seqs!$A:$B,2,0),AK185,1),"")</f>
        <v>D</v>
      </c>
      <c r="AK185" s="9">
        <v>179</v>
      </c>
      <c r="AL185" s="9" t="str">
        <f>IFERROR(MID(VLOOKUP($B185,Seqs!$A:$B,2,0),AM185,1),"")</f>
        <v>K</v>
      </c>
      <c r="AM185" s="9">
        <v>218</v>
      </c>
      <c r="AN185" s="9" t="str">
        <f>IFERROR(MID(VLOOKUP($B185,Seqs!$A:$B,2,0),AO185,1),"")</f>
        <v>N</v>
      </c>
      <c r="AO185" s="9">
        <v>224</v>
      </c>
      <c r="AP185" s="9" t="str">
        <f>IFERROR(MID(VLOOKUP($B185,Seqs!$A:$B,2,0),AQ185,1),"")</f>
        <v>N</v>
      </c>
      <c r="AQ185" s="9">
        <v>262</v>
      </c>
      <c r="AR185" s="9" t="str">
        <f>IFERROR(MID(VLOOKUP($B185,Seqs!$A:$B,2,0),AS185,1),"")</f>
        <v>P</v>
      </c>
      <c r="AS185" s="9">
        <v>266</v>
      </c>
      <c r="AT185" s="9" t="str">
        <f>IFERROR(MID(VLOOKUP($B185,Seqs!$A:$B,2,0),AU185,1),"")</f>
        <v>S</v>
      </c>
      <c r="AU185" s="9">
        <v>298</v>
      </c>
      <c r="AV185" s="9" t="str">
        <f>IFERROR(MID(VLOOKUP($B185,Seqs!$A:$B,2,0),AW185,1),"")</f>
        <v>G</v>
      </c>
      <c r="AW185" s="9">
        <v>299</v>
      </c>
      <c r="AX185" s="9" t="str">
        <f>IFERROR(MID(VLOOKUP($B185,Seqs!$A:$B,2,0),AY185,1),"")</f>
        <v>K</v>
      </c>
      <c r="AY185" s="9">
        <v>311</v>
      </c>
      <c r="AZ185" s="110" t="str">
        <f>VLOOKUP(B185,Classification!A:D,2,0)</f>
        <v>A</v>
      </c>
      <c r="BA185" s="98" t="str">
        <f>VLOOKUP(B185,Classification!A:D,4,0)</f>
        <v>Leukotriene</v>
      </c>
      <c r="BB185" s="36" t="b">
        <f t="shared" ref="BB185:BB186" si="1034">AND(E185&lt;G185,OR(G185&lt;I185,I185="-"),OR(I185&lt;K185,I185="-"),OR(K185&lt;M185,K185="-"),M185&lt;O185,OR(O185&lt;Q185,Q185="-"),OR(Q185&lt;S185,Q185="-"),OR(S185&lt;U185,S185="-"),U185&lt;W185,OR(W185&lt;Y185,Y185="-"),OR(Y185&lt;AA185,Y185="-"),OR(AA185&lt;AC185,AA185="-"),AC185&lt;AE185,OR(AE185&lt;AG185,AG185="-"),OR(AG185&lt;AI185,AG185="-"),OR(AI185&lt;AK185,AI185="-"),AK185&lt;AM185,AM185&lt;AO185,AO185&lt;AQ185,AQ185&lt;AS185,AS185&lt;AU185,OR(AU185&lt;AW185,AW185="-"),OR(AW185&lt;AY185,AW185="-"))</f>
        <v>1</v>
      </c>
      <c r="BC185" s="109">
        <f t="shared" ref="BC185:BC186" si="1035">_xlfn.AGGREGATE(9,6,CH185:CS185)-_xlfn.AGGREGATE(9,6,BV185:CG185)+12</f>
        <v>275</v>
      </c>
      <c r="BD185" s="126" t="s">
        <v>23</v>
      </c>
      <c r="BE185" s="9" t="s">
        <v>1368</v>
      </c>
      <c r="BF185" s="119">
        <v>3.8</v>
      </c>
      <c r="BG185" s="51" t="s">
        <v>1371</v>
      </c>
      <c r="BH185" s="51" t="s">
        <v>1371</v>
      </c>
      <c r="BJ185" s="111" t="s">
        <v>1281</v>
      </c>
      <c r="BK185" s="112" t="s">
        <v>1281</v>
      </c>
      <c r="BL185" s="112" t="s">
        <v>1281</v>
      </c>
      <c r="BM185" s="112" t="s">
        <v>1281</v>
      </c>
      <c r="BN185" s="112" t="s">
        <v>1281</v>
      </c>
      <c r="BO185" s="112" t="s">
        <v>1281</v>
      </c>
      <c r="BP185" s="112" t="s">
        <v>1281</v>
      </c>
      <c r="BQ185" s="112" t="s">
        <v>1281</v>
      </c>
      <c r="BR185" s="112" t="s">
        <v>1281</v>
      </c>
      <c r="BS185" s="112" t="s">
        <v>1281</v>
      </c>
      <c r="BT185" s="112" t="s">
        <v>1281</v>
      </c>
      <c r="BU185" s="112" t="s">
        <v>1281</v>
      </c>
      <c r="BV185" s="111">
        <f>E185</f>
        <v>11</v>
      </c>
      <c r="BW185" s="113" t="str">
        <f>I185</f>
        <v>-</v>
      </c>
      <c r="BX185" s="114">
        <f>M185</f>
        <v>56</v>
      </c>
      <c r="BY185" s="113">
        <f>Q185</f>
        <v>88</v>
      </c>
      <c r="BZ185" s="114">
        <f>U185</f>
        <v>92</v>
      </c>
      <c r="CA185" s="113">
        <f>Y185</f>
        <v>128</v>
      </c>
      <c r="CB185" s="114">
        <f>AC185</f>
        <v>136</v>
      </c>
      <c r="CC185" s="113">
        <f>AG185</f>
        <v>173</v>
      </c>
      <c r="CD185" s="114">
        <f>AK185</f>
        <v>179</v>
      </c>
      <c r="CE185" s="113">
        <f>AO185</f>
        <v>224</v>
      </c>
      <c r="CF185" s="114">
        <f>AS185</f>
        <v>266</v>
      </c>
      <c r="CG185" s="113">
        <f>AW185</f>
        <v>299</v>
      </c>
      <c r="CH185" s="111">
        <f>G185</f>
        <v>51</v>
      </c>
      <c r="CI185" s="113" t="str">
        <f>K185</f>
        <v>-</v>
      </c>
      <c r="CJ185" s="114">
        <f>O185</f>
        <v>86</v>
      </c>
      <c r="CK185" s="114">
        <f>S185</f>
        <v>91</v>
      </c>
      <c r="CL185" s="114">
        <f>W185</f>
        <v>127</v>
      </c>
      <c r="CM185" s="114">
        <f>AA185</f>
        <v>135</v>
      </c>
      <c r="CN185" s="114">
        <f>AE185</f>
        <v>161</v>
      </c>
      <c r="CO185" s="114">
        <f>AI185</f>
        <v>175</v>
      </c>
      <c r="CP185" s="114">
        <f>AM185</f>
        <v>218</v>
      </c>
      <c r="CQ185" s="114">
        <f>AQ185</f>
        <v>262</v>
      </c>
      <c r="CR185" s="114">
        <f>AU185</f>
        <v>298</v>
      </c>
      <c r="CS185" s="114">
        <f>AY185</f>
        <v>311</v>
      </c>
      <c r="CT185" s="109" t="e">
        <f>M185-K185</f>
        <v>#VALUE!</v>
      </c>
    </row>
    <row r="186" spans="1:1029" s="12" customFormat="1" x14ac:dyDescent="0.2">
      <c r="A186" s="9" t="str">
        <f>CONCATENATE(B186,"_",C186)</f>
        <v>cltr1_human_6RZ4</v>
      </c>
      <c r="B186" s="9" t="s">
        <v>179</v>
      </c>
      <c r="C186" s="9" t="s">
        <v>1595</v>
      </c>
      <c r="D186" s="9" t="str">
        <f>IFERROR(MID(VLOOKUP($B186,Seqs!$A:$B,2,0),E186,1),"")</f>
        <v>S</v>
      </c>
      <c r="E186" s="9">
        <v>11</v>
      </c>
      <c r="F186" s="9" t="str">
        <f>IFERROR(MID(VLOOKUP($B186,Seqs!$A:$B,2,0),G186,1),"")</f>
        <v>T</v>
      </c>
      <c r="G186" s="9">
        <v>51</v>
      </c>
      <c r="H186" s="9" t="str">
        <f>IFERROR(MID(VLOOKUP($B186,Seqs!$A:$B,2,0),I186,1),"")</f>
        <v/>
      </c>
      <c r="I186" s="109" t="s">
        <v>23</v>
      </c>
      <c r="J186" s="9" t="str">
        <f>IFERROR(MID(VLOOKUP($B186,Seqs!$A:$B,2,0),K186,1),"")</f>
        <v/>
      </c>
      <c r="K186" s="109" t="s">
        <v>23</v>
      </c>
      <c r="L186" s="9" t="str">
        <f>IFERROR(MID(VLOOKUP($B186,Seqs!$A:$B,2,0),M186,1),"")</f>
        <v>S</v>
      </c>
      <c r="M186" s="9">
        <v>56</v>
      </c>
      <c r="N186" s="9" t="str">
        <f>IFERROR(MID(VLOOKUP($B186,Seqs!$A:$B,2,0),O186,1),"")</f>
        <v>K</v>
      </c>
      <c r="O186" s="9">
        <v>86</v>
      </c>
      <c r="P186" s="9" t="str">
        <f>IFERROR(MID(VLOOKUP($B186,Seqs!$A:$B,2,0),Q186,1),"")</f>
        <v>I</v>
      </c>
      <c r="Q186" s="9">
        <v>88</v>
      </c>
      <c r="R186" s="9" t="str">
        <f>IFERROR(MID(VLOOKUP($B186,Seqs!$A:$B,2,0),S186,1),"")</f>
        <v>F</v>
      </c>
      <c r="S186" s="9">
        <v>91</v>
      </c>
      <c r="T186" s="9" t="str">
        <f>IFERROR(MID(VLOOKUP($B186,Seqs!$A:$B,2,0),U186,1),"")</f>
        <v>G</v>
      </c>
      <c r="U186" s="9">
        <v>92</v>
      </c>
      <c r="V186" s="9" t="str">
        <f>IFERROR(MID(VLOOKUP($B186,Seqs!$A:$B,2,0),W186,1),"")</f>
        <v>F</v>
      </c>
      <c r="W186" s="9">
        <v>127</v>
      </c>
      <c r="X186" s="9" t="str">
        <f>IFERROR(MID(VLOOKUP($B186,Seqs!$A:$B,2,0),Y186,1),"")</f>
        <v/>
      </c>
      <c r="Y186" s="9" t="s">
        <v>23</v>
      </c>
      <c r="Z186" s="9" t="str">
        <f>IFERROR(MID(VLOOKUP($B186,Seqs!$A:$B,2,0),AA186,1),"")</f>
        <v/>
      </c>
      <c r="AA186" s="9" t="s">
        <v>23</v>
      </c>
      <c r="AB186" s="9" t="str">
        <f>IFERROR(MID(VLOOKUP($B186,Seqs!$A:$B,2,0),AC186,1),"")</f>
        <v>I</v>
      </c>
      <c r="AC186" s="9">
        <v>132</v>
      </c>
      <c r="AD186" s="9" t="str">
        <f>IFERROR(MID(VLOOKUP($B186,Seqs!$A:$B,2,0),AE186,1),"")</f>
        <v>A</v>
      </c>
      <c r="AE186" s="9">
        <v>161</v>
      </c>
      <c r="AF186" s="9" t="str">
        <f>IFERROR(MID(VLOOKUP($B186,Seqs!$A:$B,2,0),AG186,1),"")</f>
        <v>C</v>
      </c>
      <c r="AG186" s="9">
        <v>173</v>
      </c>
      <c r="AH186" s="9" t="str">
        <f>IFERROR(MID(VLOOKUP($B186,Seqs!$A:$B,2,0),AI186,1),"")</f>
        <v>E</v>
      </c>
      <c r="AI186" s="9">
        <v>175</v>
      </c>
      <c r="AJ186" s="9" t="str">
        <f>IFERROR(MID(VLOOKUP($B186,Seqs!$A:$B,2,0),AK186,1),"")</f>
        <v>D</v>
      </c>
      <c r="AK186" s="9">
        <v>179</v>
      </c>
      <c r="AL186" s="9" t="str">
        <f>IFERROR(MID(VLOOKUP($B186,Seqs!$A:$B,2,0),AM186,1),"")</f>
        <v>K</v>
      </c>
      <c r="AM186" s="9">
        <v>222</v>
      </c>
      <c r="AN186" s="9" t="str">
        <f>IFERROR(MID(VLOOKUP($B186,Seqs!$A:$B,2,0),AO186,1),"")</f>
        <v>S</v>
      </c>
      <c r="AO186" s="9">
        <v>226</v>
      </c>
      <c r="AP186" s="9" t="str">
        <f>IFERROR(MID(VLOOKUP($B186,Seqs!$A:$B,2,0),AQ186,1),"")</f>
        <v>N</v>
      </c>
      <c r="AQ186" s="9">
        <v>262</v>
      </c>
      <c r="AR186" s="9" t="str">
        <f>IFERROR(MID(VLOOKUP($B186,Seqs!$A:$B,2,0),AS186,1),"")</f>
        <v>T</v>
      </c>
      <c r="AS186" s="9">
        <v>264</v>
      </c>
      <c r="AT186" s="9" t="str">
        <f>IFERROR(MID(VLOOKUP($B186,Seqs!$A:$B,2,0),AU186,1),"")</f>
        <v>S</v>
      </c>
      <c r="AU186" s="9">
        <v>298</v>
      </c>
      <c r="AV186" s="9" t="str">
        <f>IFERROR(MID(VLOOKUP($B186,Seqs!$A:$B,2,0),AW186,1),"")</f>
        <v/>
      </c>
      <c r="AW186" s="9" t="s">
        <v>23</v>
      </c>
      <c r="AX186" s="9" t="str">
        <f>IFERROR(MID(VLOOKUP($B186,Seqs!$A:$B,2,0),AY186,1),"")</f>
        <v/>
      </c>
      <c r="AY186" s="9" t="s">
        <v>23</v>
      </c>
      <c r="AZ186" s="110" t="str">
        <f>VLOOKUP(B186,Classification!A:D,2,0)</f>
        <v>A</v>
      </c>
      <c r="BA186" s="98" t="str">
        <f>VLOOKUP(B186,Classification!A:D,4,0)</f>
        <v>Leukotriene</v>
      </c>
      <c r="BB186" s="36" t="b">
        <f t="shared" si="1034"/>
        <v>1</v>
      </c>
      <c r="BC186" s="109">
        <f t="shared" si="1035"/>
        <v>264</v>
      </c>
      <c r="BD186" s="126" t="s">
        <v>1423</v>
      </c>
      <c r="BE186" s="9" t="s">
        <v>1422</v>
      </c>
      <c r="BF186" s="119">
        <v>2.7</v>
      </c>
      <c r="BG186" s="51" t="s">
        <v>1</v>
      </c>
      <c r="BH186" s="51" t="s">
        <v>1</v>
      </c>
      <c r="BJ186" s="111" t="s">
        <v>1281</v>
      </c>
      <c r="BK186" s="112" t="s">
        <v>1281</v>
      </c>
      <c r="BL186" s="112" t="s">
        <v>1281</v>
      </c>
      <c r="BM186" s="112" t="s">
        <v>1281</v>
      </c>
      <c r="BN186" s="112" t="s">
        <v>1281</v>
      </c>
      <c r="BO186" s="112" t="s">
        <v>1281</v>
      </c>
      <c r="BP186" s="112" t="s">
        <v>1281</v>
      </c>
      <c r="BQ186" s="112" t="s">
        <v>1281</v>
      </c>
      <c r="BR186" s="112" t="s">
        <v>1281</v>
      </c>
      <c r="BS186" s="112" t="s">
        <v>1281</v>
      </c>
      <c r="BT186" s="112" t="s">
        <v>1281</v>
      </c>
      <c r="BU186" s="112" t="s">
        <v>1281</v>
      </c>
      <c r="BV186" s="111">
        <f>E186</f>
        <v>11</v>
      </c>
      <c r="BW186" s="113" t="str">
        <f>I186</f>
        <v>-</v>
      </c>
      <c r="BX186" s="114">
        <f>M186</f>
        <v>56</v>
      </c>
      <c r="BY186" s="113">
        <f>Q186</f>
        <v>88</v>
      </c>
      <c r="BZ186" s="114">
        <f>U186</f>
        <v>92</v>
      </c>
      <c r="CA186" s="113" t="str">
        <f>Y186</f>
        <v>-</v>
      </c>
      <c r="CB186" s="114">
        <f>AC186</f>
        <v>132</v>
      </c>
      <c r="CC186" s="113">
        <f>AG186</f>
        <v>173</v>
      </c>
      <c r="CD186" s="114">
        <f>AK186</f>
        <v>179</v>
      </c>
      <c r="CE186" s="113">
        <f>AO186</f>
        <v>226</v>
      </c>
      <c r="CF186" s="114">
        <f>AS186</f>
        <v>264</v>
      </c>
      <c r="CG186" s="113" t="str">
        <f>AW186</f>
        <v>-</v>
      </c>
      <c r="CH186" s="111">
        <f>G186</f>
        <v>51</v>
      </c>
      <c r="CI186" s="113" t="str">
        <f>K186</f>
        <v>-</v>
      </c>
      <c r="CJ186" s="114">
        <f>O186</f>
        <v>86</v>
      </c>
      <c r="CK186" s="114">
        <f>S186</f>
        <v>91</v>
      </c>
      <c r="CL186" s="114">
        <f>W186</f>
        <v>127</v>
      </c>
      <c r="CM186" s="114" t="str">
        <f>AA186</f>
        <v>-</v>
      </c>
      <c r="CN186" s="114">
        <f>AE186</f>
        <v>161</v>
      </c>
      <c r="CO186" s="114">
        <f>AI186</f>
        <v>175</v>
      </c>
      <c r="CP186" s="114">
        <f>AM186</f>
        <v>222</v>
      </c>
      <c r="CQ186" s="114">
        <f>AQ186</f>
        <v>262</v>
      </c>
      <c r="CR186" s="114">
        <f>AU186</f>
        <v>298</v>
      </c>
      <c r="CS186" s="114" t="str">
        <f>AY186</f>
        <v>-</v>
      </c>
      <c r="CT186" s="109" t="e">
        <f>M186-K186</f>
        <v>#VALUE!</v>
      </c>
    </row>
    <row r="187" spans="1:1029" s="12" customFormat="1" x14ac:dyDescent="0.2">
      <c r="A187" s="9" t="str">
        <f>CONCATENATE(B187,"_",C187)</f>
        <v>cltr1_human_6RZ5</v>
      </c>
      <c r="B187" s="9" t="s">
        <v>179</v>
      </c>
      <c r="C187" s="9" t="s">
        <v>1596</v>
      </c>
      <c r="D187" s="9" t="str">
        <f>IFERROR(MID(VLOOKUP($B187,Seqs!$A:$B,2,0),E187,1),"")</f>
        <v>I</v>
      </c>
      <c r="E187" s="9">
        <v>18</v>
      </c>
      <c r="F187" s="9" t="str">
        <f>IFERROR(MID(VLOOKUP($B187,Seqs!$A:$B,2,0),G187,1),"")</f>
        <v>T</v>
      </c>
      <c r="G187" s="9">
        <v>51</v>
      </c>
      <c r="H187" s="9" t="str">
        <f>IFERROR(MID(VLOOKUP($B187,Seqs!$A:$B,2,0),I187,1),"")</f>
        <v/>
      </c>
      <c r="I187" s="109" t="s">
        <v>23</v>
      </c>
      <c r="J187" s="9" t="str">
        <f>IFERROR(MID(VLOOKUP($B187,Seqs!$A:$B,2,0),K187,1),"")</f>
        <v/>
      </c>
      <c r="K187" s="109" t="s">
        <v>23</v>
      </c>
      <c r="L187" s="9" t="str">
        <f>IFERROR(MID(VLOOKUP($B187,Seqs!$A:$B,2,0),M187,1),"")</f>
        <v>S</v>
      </c>
      <c r="M187" s="9">
        <v>56</v>
      </c>
      <c r="N187" s="9" t="str">
        <f>IFERROR(MID(VLOOKUP($B187,Seqs!$A:$B,2,0),O187,1),"")</f>
        <v>K</v>
      </c>
      <c r="O187" s="9">
        <v>86</v>
      </c>
      <c r="P187" s="9" t="str">
        <f>IFERROR(MID(VLOOKUP($B187,Seqs!$A:$B,2,0),Q187,1),"")</f>
        <v>I</v>
      </c>
      <c r="Q187" s="9">
        <v>88</v>
      </c>
      <c r="R187" s="9" t="str">
        <f>IFERROR(MID(VLOOKUP($B187,Seqs!$A:$B,2,0),S187,1),"")</f>
        <v>F</v>
      </c>
      <c r="S187" s="9">
        <v>91</v>
      </c>
      <c r="T187" s="9" t="str">
        <f>IFERROR(MID(VLOOKUP($B187,Seqs!$A:$B,2,0),U187,1),"")</f>
        <v>G</v>
      </c>
      <c r="U187" s="9">
        <v>92</v>
      </c>
      <c r="V187" s="9" t="str">
        <f>IFERROR(MID(VLOOKUP($B187,Seqs!$A:$B,2,0),W187,1),"")</f>
        <v>F</v>
      </c>
      <c r="W187" s="9">
        <v>127</v>
      </c>
      <c r="X187" s="9" t="str">
        <f>IFERROR(MID(VLOOKUP($B187,Seqs!$A:$B,2,0),Y187,1),"")</f>
        <v>P</v>
      </c>
      <c r="Y187" s="9">
        <v>128</v>
      </c>
      <c r="Z187" s="9" t="str">
        <f>IFERROR(MID(VLOOKUP($B187,Seqs!$A:$B,2,0),AA187,1),"")</f>
        <v>V</v>
      </c>
      <c r="AA187" s="9">
        <v>135</v>
      </c>
      <c r="AB187" s="9" t="str">
        <f>IFERROR(MID(VLOOKUP($B187,Seqs!$A:$B,2,0),AC187,1),"")</f>
        <v>T</v>
      </c>
      <c r="AC187" s="9">
        <v>136</v>
      </c>
      <c r="AD187" s="9" t="str">
        <f>IFERROR(MID(VLOOKUP($B187,Seqs!$A:$B,2,0),AE187,1),"")</f>
        <v>M</v>
      </c>
      <c r="AE187" s="9">
        <v>160</v>
      </c>
      <c r="AF187" s="9" t="str">
        <f>IFERROR(MID(VLOOKUP($B187,Seqs!$A:$B,2,0),AG187,1),"")</f>
        <v>C</v>
      </c>
      <c r="AG187" s="9">
        <v>173</v>
      </c>
      <c r="AH187" s="9" t="str">
        <f>IFERROR(MID(VLOOKUP($B187,Seqs!$A:$B,2,0),AI187,1),"")</f>
        <v>E</v>
      </c>
      <c r="AI187" s="9">
        <v>175</v>
      </c>
      <c r="AJ187" s="9" t="str">
        <f>IFERROR(MID(VLOOKUP($B187,Seqs!$A:$B,2,0),AK187,1),"")</f>
        <v>K</v>
      </c>
      <c r="AK187" s="9">
        <v>183</v>
      </c>
      <c r="AL187" s="9" t="str">
        <f>IFERROR(MID(VLOOKUP($B187,Seqs!$A:$B,2,0),AM187,1),"")</f>
        <v>K</v>
      </c>
      <c r="AM187" s="9">
        <v>222</v>
      </c>
      <c r="AN187" s="9" t="str">
        <f>IFERROR(MID(VLOOKUP($B187,Seqs!$A:$B,2,0),AO187,1),"")</f>
        <v>S</v>
      </c>
      <c r="AO187" s="9">
        <v>226</v>
      </c>
      <c r="AP187" s="9" t="str">
        <f>IFERROR(MID(VLOOKUP($B187,Seqs!$A:$B,2,0),AQ187,1),"")</f>
        <v>N</v>
      </c>
      <c r="AQ187" s="9">
        <v>262</v>
      </c>
      <c r="AR187" s="9" t="str">
        <f>IFERROR(MID(VLOOKUP($B187,Seqs!$A:$B,2,0),AS187,1),"")</f>
        <v>T</v>
      </c>
      <c r="AS187" s="9">
        <v>264</v>
      </c>
      <c r="AT187" s="9" t="str">
        <f>IFERROR(MID(VLOOKUP($B187,Seqs!$A:$B,2,0),AU187,1),"")</f>
        <v>G</v>
      </c>
      <c r="AU187" s="9">
        <v>299</v>
      </c>
      <c r="AV187" s="9" t="str">
        <f>IFERROR(MID(VLOOKUP($B187,Seqs!$A:$B,2,0),AW187,1),"")</f>
        <v/>
      </c>
      <c r="AW187" s="9" t="s">
        <v>23</v>
      </c>
      <c r="AX187" s="9" t="str">
        <f>IFERROR(MID(VLOOKUP($B187,Seqs!$A:$B,2,0),AY187,1),"")</f>
        <v/>
      </c>
      <c r="AY187" s="9" t="s">
        <v>23</v>
      </c>
      <c r="AZ187" s="110" t="str">
        <f>VLOOKUP(B187,Classification!A:D,2,0)</f>
        <v>A</v>
      </c>
      <c r="BA187" s="98" t="str">
        <f>VLOOKUP(B187,Classification!A:D,4,0)</f>
        <v>Leukotriene</v>
      </c>
      <c r="BB187" s="36" t="b">
        <f t="shared" ref="BB187" si="1036">AND(E187&lt;G187,OR(G187&lt;I187,I187="-"),OR(I187&lt;K187,I187="-"),OR(K187&lt;M187,K187="-"),M187&lt;O187,OR(O187&lt;Q187,Q187="-"),OR(Q187&lt;S187,Q187="-"),OR(S187&lt;U187,S187="-"),U187&lt;W187,OR(W187&lt;Y187,Y187="-"),OR(Y187&lt;AA187,Y187="-"),OR(AA187&lt;AC187,AA187="-"),AC187&lt;AE187,OR(AE187&lt;AG187,AG187="-"),OR(AG187&lt;AI187,AG187="-"),OR(AI187&lt;AK187,AI187="-"),AK187&lt;AM187,AM187&lt;AO187,AO187&lt;AQ187,AQ187&lt;AS187,AS187&lt;AU187,OR(AU187&lt;AW187,AW187="-"),OR(AW187&lt;AY187,AW187="-"))</f>
        <v>1</v>
      </c>
      <c r="BC187" s="109">
        <f t="shared" ref="BC187" si="1037">_xlfn.AGGREGATE(9,6,CH187:CS187)-_xlfn.AGGREGATE(9,6,BV187:CG187)+12</f>
        <v>256</v>
      </c>
      <c r="BD187" s="126" t="s">
        <v>23</v>
      </c>
      <c r="BE187" s="9" t="s">
        <v>1422</v>
      </c>
      <c r="BF187" s="119">
        <v>2.5299999999999998</v>
      </c>
      <c r="BG187" s="51" t="s">
        <v>1275</v>
      </c>
      <c r="BH187" s="51" t="s">
        <v>1275</v>
      </c>
      <c r="BJ187" s="111" t="s">
        <v>1281</v>
      </c>
      <c r="BK187" s="112" t="s">
        <v>1281</v>
      </c>
      <c r="BL187" s="112" t="s">
        <v>1281</v>
      </c>
      <c r="BM187" s="112" t="s">
        <v>1281</v>
      </c>
      <c r="BN187" s="112" t="s">
        <v>1281</v>
      </c>
      <c r="BO187" s="112" t="s">
        <v>1281</v>
      </c>
      <c r="BP187" s="112" t="s">
        <v>1281</v>
      </c>
      <c r="BQ187" s="112" t="s">
        <v>1281</v>
      </c>
      <c r="BR187" s="112" t="s">
        <v>1281</v>
      </c>
      <c r="BS187" s="112" t="s">
        <v>1281</v>
      </c>
      <c r="BT187" s="112" t="s">
        <v>1281</v>
      </c>
      <c r="BU187" s="112" t="s">
        <v>1281</v>
      </c>
      <c r="BV187" s="111">
        <f>E187</f>
        <v>18</v>
      </c>
      <c r="BW187" s="113" t="str">
        <f>I187</f>
        <v>-</v>
      </c>
      <c r="BX187" s="114">
        <f>M187</f>
        <v>56</v>
      </c>
      <c r="BY187" s="113">
        <f>Q187</f>
        <v>88</v>
      </c>
      <c r="BZ187" s="114">
        <f>U187</f>
        <v>92</v>
      </c>
      <c r="CA187" s="113">
        <f>Y187</f>
        <v>128</v>
      </c>
      <c r="CB187" s="114">
        <f>AC187</f>
        <v>136</v>
      </c>
      <c r="CC187" s="113">
        <f>AG187</f>
        <v>173</v>
      </c>
      <c r="CD187" s="114">
        <f>AK187</f>
        <v>183</v>
      </c>
      <c r="CE187" s="113">
        <f>AO187</f>
        <v>226</v>
      </c>
      <c r="CF187" s="114">
        <f>AS187</f>
        <v>264</v>
      </c>
      <c r="CG187" s="113" t="str">
        <f>AW187</f>
        <v>-</v>
      </c>
      <c r="CH187" s="111">
        <f>G187</f>
        <v>51</v>
      </c>
      <c r="CI187" s="113" t="str">
        <f>K187</f>
        <v>-</v>
      </c>
      <c r="CJ187" s="114">
        <f>O187</f>
        <v>86</v>
      </c>
      <c r="CK187" s="114">
        <f>S187</f>
        <v>91</v>
      </c>
      <c r="CL187" s="114">
        <f>W187</f>
        <v>127</v>
      </c>
      <c r="CM187" s="114">
        <f>AA187</f>
        <v>135</v>
      </c>
      <c r="CN187" s="114">
        <f>AE187</f>
        <v>160</v>
      </c>
      <c r="CO187" s="114">
        <f>AI187</f>
        <v>175</v>
      </c>
      <c r="CP187" s="114">
        <f>AM187</f>
        <v>222</v>
      </c>
      <c r="CQ187" s="114">
        <f>AQ187</f>
        <v>262</v>
      </c>
      <c r="CR187" s="114">
        <f>AU187</f>
        <v>299</v>
      </c>
      <c r="CS187" s="114" t="str">
        <f>AY187</f>
        <v>-</v>
      </c>
      <c r="CT187" s="109" t="e">
        <f>M187-K187</f>
        <v>#VALUE!</v>
      </c>
    </row>
    <row r="188" spans="1:1029" s="12" customFormat="1" x14ac:dyDescent="0.2">
      <c r="A188" s="9" t="str">
        <f>CONCATENATE(B188,"_",C188)</f>
        <v>cltr2_human__wt</v>
      </c>
      <c r="B188" s="9" t="s">
        <v>180</v>
      </c>
      <c r="C188" s="9" t="s">
        <v>100</v>
      </c>
      <c r="D188" s="9" t="str">
        <f>IFERROR(MID(VLOOKUP($B188,Seqs!$A:$B,2,0),E188,1),"")</f>
        <v>C</v>
      </c>
      <c r="E188" s="9">
        <v>31</v>
      </c>
      <c r="F188" s="9" t="str">
        <f>IFERROR(MID(VLOOKUP($B188,Seqs!$A:$B,2,0),G188,1),"")</f>
        <v>P</v>
      </c>
      <c r="G188" s="9">
        <v>66</v>
      </c>
      <c r="H188" s="9" t="str">
        <f>IFERROR(MID(VLOOKUP($B188,Seqs!$A:$B,2,0),I188,1),"")</f>
        <v/>
      </c>
      <c r="I188" s="109" t="s">
        <v>23</v>
      </c>
      <c r="J188" s="9" t="str">
        <f>IFERROR(MID(VLOOKUP($B188,Seqs!$A:$B,2,0),K188,1),"")</f>
        <v/>
      </c>
      <c r="K188" s="109" t="s">
        <v>23</v>
      </c>
      <c r="L188" s="9" t="str">
        <f>IFERROR(MID(VLOOKUP($B188,Seqs!$A:$B,2,0),M188,1),"")</f>
        <v>T</v>
      </c>
      <c r="M188" s="9">
        <v>71</v>
      </c>
      <c r="N188" s="9" t="str">
        <f>IFERROR(MID(VLOOKUP($B188,Seqs!$A:$B,2,0),O188,1),"")</f>
        <v>G</v>
      </c>
      <c r="O188" s="9">
        <v>101</v>
      </c>
      <c r="P188" s="9" t="str">
        <f>IFERROR(MID(VLOOKUP($B188,Seqs!$A:$B,2,0),Q188,1),"")</f>
        <v>N</v>
      </c>
      <c r="Q188" s="9">
        <v>103</v>
      </c>
      <c r="R188" s="9" t="str">
        <f>IFERROR(MID(VLOOKUP($B188,Seqs!$A:$B,2,0),S188,1),"")</f>
        <v>F</v>
      </c>
      <c r="S188" s="9">
        <v>106</v>
      </c>
      <c r="T188" s="9" t="str">
        <f>IFERROR(MID(VLOOKUP($B188,Seqs!$A:$B,2,0),U188,1),"")</f>
        <v>G</v>
      </c>
      <c r="U188" s="9">
        <v>107</v>
      </c>
      <c r="V188" s="9" t="str">
        <f>IFERROR(MID(VLOOKUP($B188,Seqs!$A:$B,2,0),W188,1),"")</f>
        <v>H</v>
      </c>
      <c r="W188" s="9">
        <v>142</v>
      </c>
      <c r="X188" s="9" t="str">
        <f>IFERROR(MID(VLOOKUP($B188,Seqs!$A:$B,2,0),Y188,1),"")</f>
        <v>P</v>
      </c>
      <c r="Y188" s="9">
        <v>143</v>
      </c>
      <c r="Z188" s="9" t="str">
        <f>IFERROR(MID(VLOOKUP($B188,Seqs!$A:$B,2,0),AA188,1),"")</f>
        <v>T</v>
      </c>
      <c r="AA188" s="9">
        <v>150</v>
      </c>
      <c r="AB188" s="9" t="str">
        <f>IFERROR(MID(VLOOKUP($B188,Seqs!$A:$B,2,0),AC188,1),"")</f>
        <v>S</v>
      </c>
      <c r="AC188" s="9">
        <v>151</v>
      </c>
      <c r="AD188" s="9" t="str">
        <f>IFERROR(MID(VLOOKUP($B188,Seqs!$A:$B,2,0),AE188,1),"")</f>
        <v>S</v>
      </c>
      <c r="AE188" s="9">
        <v>176</v>
      </c>
      <c r="AF188" s="9" t="str">
        <f>IFERROR(MID(VLOOKUP($B188,Seqs!$A:$B,2,0),AG188,1),"")</f>
        <v>C</v>
      </c>
      <c r="AG188" s="9">
        <v>187</v>
      </c>
      <c r="AH188" s="9" t="str">
        <f>IFERROR(MID(VLOOKUP($B188,Seqs!$A:$B,2,0),AI188,1),"")</f>
        <v>E</v>
      </c>
      <c r="AI188" s="9">
        <v>189</v>
      </c>
      <c r="AJ188" s="9" t="str">
        <f>IFERROR(MID(VLOOKUP($B188,Seqs!$A:$B,2,0),AK188,1),"")</f>
        <v>I</v>
      </c>
      <c r="AK188" s="9">
        <v>195</v>
      </c>
      <c r="AL188" s="9" t="str">
        <f>IFERROR(MID(VLOOKUP($B188,Seqs!$A:$B,2,0),AM188,1),"")</f>
        <v>V</v>
      </c>
      <c r="AM188" s="9">
        <v>231</v>
      </c>
      <c r="AN188" s="9" t="str">
        <f>IFERROR(MID(VLOOKUP($B188,Seqs!$A:$B,2,0),AO188,1),"")</f>
        <v>S</v>
      </c>
      <c r="AO188" s="9">
        <v>236</v>
      </c>
      <c r="AP188" s="9" t="str">
        <f>IFERROR(MID(VLOOKUP($B188,Seqs!$A:$B,2,0),AQ188,1),"")</f>
        <v>W</v>
      </c>
      <c r="AQ188" s="9">
        <v>274</v>
      </c>
      <c r="AR188" s="9" t="str">
        <f>IFERROR(MID(VLOOKUP($B188,Seqs!$A:$B,2,0),AS188,1),"")</f>
        <v>K</v>
      </c>
      <c r="AS188" s="9">
        <v>280</v>
      </c>
      <c r="AT188" s="9" t="str">
        <f>IFERROR(MID(VLOOKUP($B188,Seqs!$A:$B,2,0),AU188,1),"")</f>
        <v>A</v>
      </c>
      <c r="AU188" s="9">
        <v>308</v>
      </c>
      <c r="AV188" s="9" t="str">
        <f>IFERROR(MID(VLOOKUP($B188,Seqs!$A:$B,2,0),AW188,1),"")</f>
        <v>G</v>
      </c>
      <c r="AW188" s="9">
        <v>309</v>
      </c>
      <c r="AX188" s="9" t="str">
        <f>IFERROR(MID(VLOOKUP($B188,Seqs!$A:$B,2,0),AY188,1),"")</f>
        <v>K</v>
      </c>
      <c r="AY188" s="9">
        <v>322</v>
      </c>
      <c r="AZ188" s="110" t="str">
        <f>VLOOKUP(B188,Classification!A:D,2,0)</f>
        <v>A</v>
      </c>
      <c r="BA188" s="98" t="str">
        <f>VLOOKUP(B188,Classification!A:D,4,0)</f>
        <v>Leukotriene</v>
      </c>
      <c r="BB188" s="36" t="b">
        <f t="shared" ref="BB188:BB189" si="1038">AND(E188&lt;G188,OR(G188&lt;I188,I188="-"),OR(I188&lt;K188,I188="-"),OR(K188&lt;M188,K188="-"),M188&lt;O188,OR(O188&lt;Q188,Q188="-"),OR(Q188&lt;S188,Q188="-"),OR(S188&lt;U188,S188="-"),U188&lt;W188,OR(W188&lt;Y188,Y188="-"),OR(Y188&lt;AA188,Y188="-"),OR(AA188&lt;AC188,AA188="-"),AC188&lt;AE188,OR(AE188&lt;AG188,AG188="-"),OR(AG188&lt;AI188,AG188="-"),OR(AI188&lt;AK188,AI188="-"),AK188&lt;AM188,AM188&lt;AO188,AO188&lt;AQ188,AQ188&lt;AS188,AS188&lt;AU188,OR(AU188&lt;AW188,AW188="-"),OR(AW188&lt;AY188,AW188="-"))</f>
        <v>1</v>
      </c>
      <c r="BC188" s="109">
        <f t="shared" ref="BC188:BC189" si="1039">_xlfn.AGGREGATE(9,6,CH188:CS188)-_xlfn.AGGREGATE(9,6,BV188:CG188)+12</f>
        <v>264</v>
      </c>
      <c r="BD188" s="126" t="s">
        <v>23</v>
      </c>
      <c r="BE188" s="9" t="s">
        <v>23</v>
      </c>
      <c r="BF188" s="119" t="s">
        <v>23</v>
      </c>
      <c r="BG188" s="51" t="s">
        <v>23</v>
      </c>
      <c r="BH188" s="51" t="s">
        <v>23</v>
      </c>
      <c r="BJ188" s="111" t="s">
        <v>1281</v>
      </c>
      <c r="BK188" s="112" t="s">
        <v>1281</v>
      </c>
      <c r="BL188" s="112" t="s">
        <v>1281</v>
      </c>
      <c r="BM188" s="112" t="s">
        <v>1281</v>
      </c>
      <c r="BN188" s="112" t="s">
        <v>1281</v>
      </c>
      <c r="BO188" s="112" t="s">
        <v>1281</v>
      </c>
      <c r="BP188" s="112" t="s">
        <v>1281</v>
      </c>
      <c r="BQ188" s="112" t="s">
        <v>1281</v>
      </c>
      <c r="BR188" s="112" t="s">
        <v>1281</v>
      </c>
      <c r="BS188" s="112" t="s">
        <v>1281</v>
      </c>
      <c r="BT188" s="112" t="s">
        <v>1281</v>
      </c>
      <c r="BU188" s="112" t="s">
        <v>1281</v>
      </c>
      <c r="BV188" s="111">
        <f>E188</f>
        <v>31</v>
      </c>
      <c r="BW188" s="113" t="str">
        <f>I188</f>
        <v>-</v>
      </c>
      <c r="BX188" s="114">
        <f>M188</f>
        <v>71</v>
      </c>
      <c r="BY188" s="113">
        <f>Q188</f>
        <v>103</v>
      </c>
      <c r="BZ188" s="114">
        <f>U188</f>
        <v>107</v>
      </c>
      <c r="CA188" s="113">
        <f>Y188</f>
        <v>143</v>
      </c>
      <c r="CB188" s="114">
        <f>AC188</f>
        <v>151</v>
      </c>
      <c r="CC188" s="113">
        <f>AG188</f>
        <v>187</v>
      </c>
      <c r="CD188" s="114">
        <f>AK188</f>
        <v>195</v>
      </c>
      <c r="CE188" s="113">
        <f>AO188</f>
        <v>236</v>
      </c>
      <c r="CF188" s="114">
        <f>AS188</f>
        <v>280</v>
      </c>
      <c r="CG188" s="113">
        <f>AW188</f>
        <v>309</v>
      </c>
      <c r="CH188" s="111">
        <f>G188</f>
        <v>66</v>
      </c>
      <c r="CI188" s="113" t="str">
        <f>K188</f>
        <v>-</v>
      </c>
      <c r="CJ188" s="114">
        <f>O188</f>
        <v>101</v>
      </c>
      <c r="CK188" s="114">
        <f>S188</f>
        <v>106</v>
      </c>
      <c r="CL188" s="114">
        <f>W188</f>
        <v>142</v>
      </c>
      <c r="CM188" s="114">
        <f>AA188</f>
        <v>150</v>
      </c>
      <c r="CN188" s="114">
        <f>AE188</f>
        <v>176</v>
      </c>
      <c r="CO188" s="114">
        <f>AI188</f>
        <v>189</v>
      </c>
      <c r="CP188" s="114">
        <f>AM188</f>
        <v>231</v>
      </c>
      <c r="CQ188" s="114">
        <f>AQ188</f>
        <v>274</v>
      </c>
      <c r="CR188" s="114">
        <f>AU188</f>
        <v>308</v>
      </c>
      <c r="CS188" s="114">
        <f>AY188</f>
        <v>322</v>
      </c>
      <c r="CT188" s="109" t="e">
        <f>M188-K188</f>
        <v>#VALUE!</v>
      </c>
    </row>
    <row r="189" spans="1:1029" s="12" customFormat="1" x14ac:dyDescent="0.2">
      <c r="A189" s="9" t="str">
        <f>CONCATENATE(B189,"_",C189)</f>
        <v>cltr2_human_6RZ6</v>
      </c>
      <c r="B189" s="9" t="s">
        <v>180</v>
      </c>
      <c r="C189" s="9" t="s">
        <v>1613</v>
      </c>
      <c r="D189" s="9" t="str">
        <f>IFERROR(MID(VLOOKUP($B189,Seqs!$A:$B,2,0),E189,1),"")</f>
        <v>C</v>
      </c>
      <c r="E189" s="9">
        <v>31</v>
      </c>
      <c r="F189" s="9" t="str">
        <f>IFERROR(MID(VLOOKUP($B189,Seqs!$A:$B,2,0),G189,1),"")</f>
        <v>Q</v>
      </c>
      <c r="G189" s="9">
        <v>65</v>
      </c>
      <c r="H189" s="9" t="str">
        <f>IFERROR(MID(VLOOKUP($B189,Seqs!$A:$B,2,0),I189,1),"")</f>
        <v/>
      </c>
      <c r="I189" s="109" t="s">
        <v>23</v>
      </c>
      <c r="J189" s="9" t="str">
        <f>IFERROR(MID(VLOOKUP($B189,Seqs!$A:$B,2,0),K189,1),"")</f>
        <v/>
      </c>
      <c r="K189" s="109" t="s">
        <v>23</v>
      </c>
      <c r="L189" s="9" t="str">
        <f>IFERROR(MID(VLOOKUP($B189,Seqs!$A:$B,2,0),M189,1),"")</f>
        <v>T</v>
      </c>
      <c r="M189" s="9">
        <v>71</v>
      </c>
      <c r="N189" s="9" t="str">
        <f>IFERROR(MID(VLOOKUP($B189,Seqs!$A:$B,2,0),O189,1),"")</f>
        <v>G</v>
      </c>
      <c r="O189" s="9">
        <v>101</v>
      </c>
      <c r="P189" s="9" t="str">
        <f>IFERROR(MID(VLOOKUP($B189,Seqs!$A:$B,2,0),Q189,1),"")</f>
        <v>N</v>
      </c>
      <c r="Q189" s="9">
        <v>103</v>
      </c>
      <c r="R189" s="9" t="str">
        <f>IFERROR(MID(VLOOKUP($B189,Seqs!$A:$B,2,0),S189,1),"")</f>
        <v>F</v>
      </c>
      <c r="S189" s="9">
        <v>106</v>
      </c>
      <c r="T189" s="9" t="str">
        <f>IFERROR(MID(VLOOKUP($B189,Seqs!$A:$B,2,0),U189,1),"")</f>
        <v>G</v>
      </c>
      <c r="U189" s="9">
        <v>107</v>
      </c>
      <c r="V189" s="9" t="str">
        <f>IFERROR(MID(VLOOKUP($B189,Seqs!$A:$B,2,0),W189,1),"")</f>
        <v>H</v>
      </c>
      <c r="W189" s="9">
        <v>142</v>
      </c>
      <c r="X189" s="9" t="str">
        <f>IFERROR(MID(VLOOKUP($B189,Seqs!$A:$B,2,0),Y189,1),"")</f>
        <v/>
      </c>
      <c r="Y189" s="9" t="s">
        <v>23</v>
      </c>
      <c r="Z189" s="9" t="str">
        <f>IFERROR(MID(VLOOKUP($B189,Seqs!$A:$B,2,0),AA189,1),"")</f>
        <v/>
      </c>
      <c r="AA189" s="9" t="s">
        <v>23</v>
      </c>
      <c r="AB189" s="9" t="str">
        <f>IFERROR(MID(VLOOKUP($B189,Seqs!$A:$B,2,0),AC189,1),"")</f>
        <v>V</v>
      </c>
      <c r="AC189" s="9">
        <v>149</v>
      </c>
      <c r="AD189" s="9" t="str">
        <f>IFERROR(MID(VLOOKUP($B189,Seqs!$A:$B,2,0),AE189,1),"")</f>
        <v>S</v>
      </c>
      <c r="AE189" s="9">
        <v>176</v>
      </c>
      <c r="AF189" s="9" t="str">
        <f>IFERROR(MID(VLOOKUP($B189,Seqs!$A:$B,2,0),AG189,1),"")</f>
        <v>C</v>
      </c>
      <c r="AG189" s="9">
        <v>187</v>
      </c>
      <c r="AH189" s="9" t="str">
        <f>IFERROR(MID(VLOOKUP($B189,Seqs!$A:$B,2,0),AI189,1),"")</f>
        <v>E</v>
      </c>
      <c r="AI189" s="9">
        <v>189</v>
      </c>
      <c r="AJ189" s="9" t="str">
        <f>IFERROR(MID(VLOOKUP($B189,Seqs!$A:$B,2,0),AK189,1),"")</f>
        <v>K</v>
      </c>
      <c r="AK189" s="9">
        <v>194</v>
      </c>
      <c r="AL189" s="9" t="str">
        <f>IFERROR(MID(VLOOKUP($B189,Seqs!$A:$B,2,0),AM189,1),"")</f>
        <v>E</v>
      </c>
      <c r="AM189" s="9">
        <v>232</v>
      </c>
      <c r="AN189" s="9" t="str">
        <f>IFERROR(MID(VLOOKUP($B189,Seqs!$A:$B,2,0),AO189,1),"")</f>
        <v>S</v>
      </c>
      <c r="AO189" s="9">
        <v>241</v>
      </c>
      <c r="AP189" s="9" t="str">
        <f>IFERROR(MID(VLOOKUP($B189,Seqs!$A:$B,2,0),AQ189,1),"")</f>
        <v>W</v>
      </c>
      <c r="AQ189" s="9">
        <v>274</v>
      </c>
      <c r="AR189" s="9" t="str">
        <f>IFERROR(MID(VLOOKUP($B189,Seqs!$A:$B,2,0),AS189,1),"")</f>
        <v>K</v>
      </c>
      <c r="AS189" s="9">
        <v>280</v>
      </c>
      <c r="AT189" s="9" t="str">
        <f>IFERROR(MID(VLOOKUP($B189,Seqs!$A:$B,2,0),AU189,1),"")</f>
        <v>A</v>
      </c>
      <c r="AU189" s="9">
        <v>308</v>
      </c>
      <c r="AV189" s="9" t="str">
        <f>IFERROR(MID(VLOOKUP($B189,Seqs!$A:$B,2,0),AW189,1),"")</f>
        <v>N</v>
      </c>
      <c r="AW189" s="9">
        <v>311</v>
      </c>
      <c r="AX189" s="9" t="str">
        <f>IFERROR(MID(VLOOKUP($B189,Seqs!$A:$B,2,0),AY189,1),"")</f>
        <v>K</v>
      </c>
      <c r="AY189" s="9">
        <v>322</v>
      </c>
      <c r="AZ189" s="110" t="str">
        <f>VLOOKUP(B189,Classification!A:D,2,0)</f>
        <v>A</v>
      </c>
      <c r="BA189" s="98" t="str">
        <f>VLOOKUP(B189,Classification!A:D,4,0)</f>
        <v>Leukotriene</v>
      </c>
      <c r="BB189" s="36" t="b">
        <f t="shared" si="1038"/>
        <v>1</v>
      </c>
      <c r="BC189" s="109">
        <f t="shared" si="1039"/>
        <v>253</v>
      </c>
      <c r="BD189" s="126" t="s">
        <v>23</v>
      </c>
      <c r="BE189" s="9" t="s">
        <v>1465</v>
      </c>
      <c r="BF189" s="119">
        <v>2.4300000000000002</v>
      </c>
      <c r="BG189" s="51" t="s">
        <v>1</v>
      </c>
      <c r="BH189" s="51" t="s">
        <v>1</v>
      </c>
      <c r="BJ189" s="111" t="s">
        <v>1281</v>
      </c>
      <c r="BK189" s="112" t="s">
        <v>1281</v>
      </c>
      <c r="BL189" s="112" t="s">
        <v>1281</v>
      </c>
      <c r="BM189" s="112" t="s">
        <v>1281</v>
      </c>
      <c r="BN189" s="112" t="s">
        <v>1281</v>
      </c>
      <c r="BO189" s="112" t="s">
        <v>1281</v>
      </c>
      <c r="BP189" s="112" t="s">
        <v>1281</v>
      </c>
      <c r="BQ189" s="112" t="s">
        <v>1281</v>
      </c>
      <c r="BR189" s="112" t="s">
        <v>1281</v>
      </c>
      <c r="BS189" s="112" t="s">
        <v>1281</v>
      </c>
      <c r="BT189" s="112" t="s">
        <v>1281</v>
      </c>
      <c r="BU189" s="112" t="s">
        <v>1281</v>
      </c>
      <c r="BV189" s="111">
        <f>E189</f>
        <v>31</v>
      </c>
      <c r="BW189" s="113" t="str">
        <f>I189</f>
        <v>-</v>
      </c>
      <c r="BX189" s="114">
        <f>M189</f>
        <v>71</v>
      </c>
      <c r="BY189" s="113">
        <f>Q189</f>
        <v>103</v>
      </c>
      <c r="BZ189" s="114">
        <f>U189</f>
        <v>107</v>
      </c>
      <c r="CA189" s="113" t="str">
        <f>Y189</f>
        <v>-</v>
      </c>
      <c r="CB189" s="114">
        <f>AC189</f>
        <v>149</v>
      </c>
      <c r="CC189" s="113">
        <f>AG189</f>
        <v>187</v>
      </c>
      <c r="CD189" s="114">
        <f>AK189</f>
        <v>194</v>
      </c>
      <c r="CE189" s="113">
        <f>AO189</f>
        <v>241</v>
      </c>
      <c r="CF189" s="114">
        <f>AS189</f>
        <v>280</v>
      </c>
      <c r="CG189" s="113">
        <f>AW189</f>
        <v>311</v>
      </c>
      <c r="CH189" s="111">
        <f>G189</f>
        <v>65</v>
      </c>
      <c r="CI189" s="113" t="str">
        <f>K189</f>
        <v>-</v>
      </c>
      <c r="CJ189" s="114">
        <f>O189</f>
        <v>101</v>
      </c>
      <c r="CK189" s="114">
        <f>S189</f>
        <v>106</v>
      </c>
      <c r="CL189" s="114">
        <f>W189</f>
        <v>142</v>
      </c>
      <c r="CM189" s="114" t="str">
        <f>AA189</f>
        <v>-</v>
      </c>
      <c r="CN189" s="114">
        <f>AE189</f>
        <v>176</v>
      </c>
      <c r="CO189" s="114">
        <f>AI189</f>
        <v>189</v>
      </c>
      <c r="CP189" s="114">
        <f>AM189</f>
        <v>232</v>
      </c>
      <c r="CQ189" s="114">
        <f>AQ189</f>
        <v>274</v>
      </c>
      <c r="CR189" s="114">
        <f>AU189</f>
        <v>308</v>
      </c>
      <c r="CS189" s="114">
        <f>AY189</f>
        <v>322</v>
      </c>
      <c r="CT189" s="109" t="e">
        <f>M189-K189</f>
        <v>#VALUE!</v>
      </c>
    </row>
    <row r="190" spans="1:1029" s="12" customFormat="1" ht="17" customHeight="1" x14ac:dyDescent="0.2">
      <c r="A190" s="9" t="str">
        <f>CONCATENATE(B190,"_",C190)</f>
        <v>cltr2_human_6RZ7</v>
      </c>
      <c r="B190" s="9" t="s">
        <v>180</v>
      </c>
      <c r="C190" s="9" t="s">
        <v>1614</v>
      </c>
      <c r="D190" s="9" t="str">
        <f>IFERROR(MID(VLOOKUP($B190,Seqs!$A:$B,2,0),E190,1),"")</f>
        <v>C</v>
      </c>
      <c r="E190" s="9">
        <v>31</v>
      </c>
      <c r="F190" s="9" t="str">
        <f>IFERROR(MID(VLOOKUP($B190,Seqs!$A:$B,2,0),G190,1),"")</f>
        <v>Q</v>
      </c>
      <c r="G190" s="9">
        <v>65</v>
      </c>
      <c r="H190" s="9" t="str">
        <f>IFERROR(MID(VLOOKUP($B190,Seqs!$A:$B,2,0),I190,1),"")</f>
        <v/>
      </c>
      <c r="I190" s="109" t="s">
        <v>23</v>
      </c>
      <c r="J190" s="9" t="str">
        <f>IFERROR(MID(VLOOKUP($B190,Seqs!$A:$B,2,0),K190,1),"")</f>
        <v/>
      </c>
      <c r="K190" s="109" t="s">
        <v>23</v>
      </c>
      <c r="L190" s="9" t="str">
        <f>IFERROR(MID(VLOOKUP($B190,Seqs!$A:$B,2,0),M190,1),"")</f>
        <v>T</v>
      </c>
      <c r="M190" s="9">
        <v>71</v>
      </c>
      <c r="N190" s="9" t="str">
        <f>IFERROR(MID(VLOOKUP($B190,Seqs!$A:$B,2,0),O190,1),"")</f>
        <v>G</v>
      </c>
      <c r="O190" s="9">
        <v>101</v>
      </c>
      <c r="P190" s="9" t="str">
        <f>IFERROR(MID(VLOOKUP($B190,Seqs!$A:$B,2,0),Q190,1),"")</f>
        <v>N</v>
      </c>
      <c r="Q190" s="9">
        <v>103</v>
      </c>
      <c r="R190" s="9" t="str">
        <f>IFERROR(MID(VLOOKUP($B190,Seqs!$A:$B,2,0),S190,1),"")</f>
        <v>F</v>
      </c>
      <c r="S190" s="9">
        <v>106</v>
      </c>
      <c r="T190" s="9" t="str">
        <f>IFERROR(MID(VLOOKUP($B190,Seqs!$A:$B,2,0),U190,1),"")</f>
        <v>G</v>
      </c>
      <c r="U190" s="9">
        <v>107</v>
      </c>
      <c r="V190" s="9" t="str">
        <f>IFERROR(MID(VLOOKUP($B190,Seqs!$A:$B,2,0),W190,1),"")</f>
        <v>H</v>
      </c>
      <c r="W190" s="9">
        <v>142</v>
      </c>
      <c r="X190" s="9" t="str">
        <f>IFERROR(MID(VLOOKUP($B190,Seqs!$A:$B,2,0),Y190,1),"")</f>
        <v/>
      </c>
      <c r="Y190" s="9" t="s">
        <v>23</v>
      </c>
      <c r="Z190" s="9" t="str">
        <f>IFERROR(MID(VLOOKUP($B190,Seqs!$A:$B,2,0),AA190,1),"")</f>
        <v/>
      </c>
      <c r="AA190" s="9" t="s">
        <v>23</v>
      </c>
      <c r="AB190" s="9" t="str">
        <f>IFERROR(MID(VLOOKUP($B190,Seqs!$A:$B,2,0),AC190,1),"")</f>
        <v>S</v>
      </c>
      <c r="AC190" s="9">
        <v>151</v>
      </c>
      <c r="AD190" s="9" t="str">
        <f>IFERROR(MID(VLOOKUP($B190,Seqs!$A:$B,2,0),AE190,1),"")</f>
        <v>L</v>
      </c>
      <c r="AE190" s="9">
        <v>174</v>
      </c>
      <c r="AF190" s="9" t="str">
        <f>IFERROR(MID(VLOOKUP($B190,Seqs!$A:$B,2,0),AG190,1),"")</f>
        <v>C</v>
      </c>
      <c r="AG190" s="9">
        <v>187</v>
      </c>
      <c r="AH190" s="9" t="str">
        <f>IFERROR(MID(VLOOKUP($B190,Seqs!$A:$B,2,0),AI190,1),"")</f>
        <v>E</v>
      </c>
      <c r="AI190" s="9">
        <v>189</v>
      </c>
      <c r="AJ190" s="9" t="str">
        <f>IFERROR(MID(VLOOKUP($B190,Seqs!$A:$B,2,0),AK190,1),"")</f>
        <v>K</v>
      </c>
      <c r="AK190" s="9">
        <v>194</v>
      </c>
      <c r="AL190" s="9" t="str">
        <f>IFERROR(MID(VLOOKUP($B190,Seqs!$A:$B,2,0),AM190,1),"")</f>
        <v>E</v>
      </c>
      <c r="AM190" s="9">
        <v>232</v>
      </c>
      <c r="AN190" s="9" t="str">
        <f>IFERROR(MID(VLOOKUP($B190,Seqs!$A:$B,2,0),AO190,1),"")</f>
        <v>S</v>
      </c>
      <c r="AO190" s="9">
        <v>241</v>
      </c>
      <c r="AP190" s="9" t="str">
        <f>IFERROR(MID(VLOOKUP($B190,Seqs!$A:$B,2,0),AQ190,1),"")</f>
        <v>W</v>
      </c>
      <c r="AQ190" s="9">
        <v>274</v>
      </c>
      <c r="AR190" s="9" t="str">
        <f>IFERROR(MID(VLOOKUP($B190,Seqs!$A:$B,2,0),AS190,1),"")</f>
        <v>K</v>
      </c>
      <c r="AS190" s="9">
        <v>280</v>
      </c>
      <c r="AT190" s="9" t="str">
        <f>IFERROR(MID(VLOOKUP($B190,Seqs!$A:$B,2,0),AU190,1),"")</f>
        <v>G</v>
      </c>
      <c r="AU190" s="9">
        <v>309</v>
      </c>
      <c r="AV190" s="9" t="str">
        <f>IFERROR(MID(VLOOKUP($B190,Seqs!$A:$B,2,0),AW190,1),"")</f>
        <v>N</v>
      </c>
      <c r="AW190" s="9">
        <v>311</v>
      </c>
      <c r="AX190" s="9" t="str">
        <f>IFERROR(MID(VLOOKUP($B190,Seqs!$A:$B,2,0),AY190,1),"")</f>
        <v>R</v>
      </c>
      <c r="AY190" s="9">
        <v>321</v>
      </c>
      <c r="AZ190" s="110" t="str">
        <f>VLOOKUP(B190,Classification!A:D,2,0)</f>
        <v>A</v>
      </c>
      <c r="BA190" s="98" t="str">
        <f>VLOOKUP(B190,Classification!A:D,4,0)</f>
        <v>Leukotriene</v>
      </c>
      <c r="BB190" s="36" t="b">
        <f t="shared" ref="BB190" si="1040">AND(E190&lt;G190,OR(G190&lt;I190,I190="-"),OR(I190&lt;K190,I190="-"),OR(K190&lt;M190,K190="-"),M190&lt;O190,OR(O190&lt;Q190,Q190="-"),OR(Q190&lt;S190,Q190="-"),OR(S190&lt;U190,S190="-"),U190&lt;W190,OR(W190&lt;Y190,Y190="-"),OR(Y190&lt;AA190,Y190="-"),OR(AA190&lt;AC190,AA190="-"),AC190&lt;AE190,OR(AE190&lt;AG190,AG190="-"),OR(AG190&lt;AI190,AG190="-"),OR(AI190&lt;AK190,AI190="-"),AK190&lt;AM190,AM190&lt;AO190,AO190&lt;AQ190,AQ190&lt;AS190,AS190&lt;AU190,OR(AU190&lt;AW190,AW190="-"),OR(AW190&lt;AY190,AW190="-"))</f>
        <v>1</v>
      </c>
      <c r="BC190" s="109">
        <f t="shared" ref="BC190" si="1041">_xlfn.AGGREGATE(9,6,CH190:CS190)-_xlfn.AGGREGATE(9,6,BV190:CG190)+12</f>
        <v>249</v>
      </c>
      <c r="BD190" s="126" t="s">
        <v>23</v>
      </c>
      <c r="BE190" s="9" t="s">
        <v>1465</v>
      </c>
      <c r="BF190" s="119">
        <v>2.4300000000000002</v>
      </c>
      <c r="BG190" s="51" t="s">
        <v>1</v>
      </c>
      <c r="BH190" s="51" t="s">
        <v>1</v>
      </c>
      <c r="BJ190" s="111" t="s">
        <v>1281</v>
      </c>
      <c r="BK190" s="112" t="s">
        <v>1281</v>
      </c>
      <c r="BL190" s="112" t="s">
        <v>1281</v>
      </c>
      <c r="BM190" s="112" t="s">
        <v>1281</v>
      </c>
      <c r="BN190" s="112" t="s">
        <v>1281</v>
      </c>
      <c r="BO190" s="112" t="s">
        <v>1281</v>
      </c>
      <c r="BP190" s="112" t="s">
        <v>1281</v>
      </c>
      <c r="BQ190" s="112" t="s">
        <v>1281</v>
      </c>
      <c r="BR190" s="112" t="s">
        <v>1281</v>
      </c>
      <c r="BS190" s="112" t="s">
        <v>1281</v>
      </c>
      <c r="BT190" s="112" t="s">
        <v>1281</v>
      </c>
      <c r="BU190" s="112" t="s">
        <v>1281</v>
      </c>
      <c r="BV190" s="111">
        <f>E190</f>
        <v>31</v>
      </c>
      <c r="BW190" s="113" t="str">
        <f>I190</f>
        <v>-</v>
      </c>
      <c r="BX190" s="114">
        <f>M190</f>
        <v>71</v>
      </c>
      <c r="BY190" s="113">
        <f>Q190</f>
        <v>103</v>
      </c>
      <c r="BZ190" s="114">
        <f>U190</f>
        <v>107</v>
      </c>
      <c r="CA190" s="113" t="str">
        <f>Y190</f>
        <v>-</v>
      </c>
      <c r="CB190" s="114">
        <f>AC190</f>
        <v>151</v>
      </c>
      <c r="CC190" s="113">
        <f>AG190</f>
        <v>187</v>
      </c>
      <c r="CD190" s="114">
        <f>AK190</f>
        <v>194</v>
      </c>
      <c r="CE190" s="113">
        <f>AO190</f>
        <v>241</v>
      </c>
      <c r="CF190" s="114">
        <f>AS190</f>
        <v>280</v>
      </c>
      <c r="CG190" s="113">
        <f>AW190</f>
        <v>311</v>
      </c>
      <c r="CH190" s="111">
        <f>G190</f>
        <v>65</v>
      </c>
      <c r="CI190" s="113" t="str">
        <f>K190</f>
        <v>-</v>
      </c>
      <c r="CJ190" s="114">
        <f>O190</f>
        <v>101</v>
      </c>
      <c r="CK190" s="114">
        <f>S190</f>
        <v>106</v>
      </c>
      <c r="CL190" s="114">
        <f>W190</f>
        <v>142</v>
      </c>
      <c r="CM190" s="114" t="str">
        <f>AA190</f>
        <v>-</v>
      </c>
      <c r="CN190" s="114">
        <f>AE190</f>
        <v>174</v>
      </c>
      <c r="CO190" s="114">
        <f>AI190</f>
        <v>189</v>
      </c>
      <c r="CP190" s="114">
        <f>AM190</f>
        <v>232</v>
      </c>
      <c r="CQ190" s="114">
        <f>AQ190</f>
        <v>274</v>
      </c>
      <c r="CR190" s="114">
        <f>AU190</f>
        <v>309</v>
      </c>
      <c r="CS190" s="114">
        <f>AY190</f>
        <v>321</v>
      </c>
      <c r="CT190" s="109" t="e">
        <f>M190-K190</f>
        <v>#VALUE!</v>
      </c>
    </row>
    <row r="191" spans="1:1029" s="12" customFormat="1" x14ac:dyDescent="0.2">
      <c r="A191" s="9" t="str">
        <f>CONCATENATE(B191,"_",C191)</f>
        <v>cltr2_human_6RZ8</v>
      </c>
      <c r="B191" s="9" t="s">
        <v>180</v>
      </c>
      <c r="C191" s="9" t="s">
        <v>1615</v>
      </c>
      <c r="D191" s="9" t="str">
        <f>IFERROR(MID(VLOOKUP($B191,Seqs!$A:$B,2,0),E191,1),"")</f>
        <v>T</v>
      </c>
      <c r="E191" s="9">
        <v>32</v>
      </c>
      <c r="F191" s="9" t="str">
        <f>IFERROR(MID(VLOOKUP($B191,Seqs!$A:$B,2,0),G191,1),"")</f>
        <v>Q</v>
      </c>
      <c r="G191" s="9">
        <v>65</v>
      </c>
      <c r="H191" s="9" t="str">
        <f>IFERROR(MID(VLOOKUP($B191,Seqs!$A:$B,2,0),I191,1),"")</f>
        <v/>
      </c>
      <c r="I191" s="109" t="s">
        <v>23</v>
      </c>
      <c r="J191" s="9" t="str">
        <f>IFERROR(MID(VLOOKUP($B191,Seqs!$A:$B,2,0),K191,1),"")</f>
        <v/>
      </c>
      <c r="K191" s="109" t="s">
        <v>23</v>
      </c>
      <c r="L191" s="9" t="str">
        <f>IFERROR(MID(VLOOKUP($B191,Seqs!$A:$B,2,0),M191,1),"")</f>
        <v>T</v>
      </c>
      <c r="M191" s="9">
        <v>71</v>
      </c>
      <c r="N191" s="9" t="str">
        <f>IFERROR(MID(VLOOKUP($B191,Seqs!$A:$B,2,0),O191,1),"")</f>
        <v>G</v>
      </c>
      <c r="O191" s="9">
        <v>101</v>
      </c>
      <c r="P191" s="9" t="str">
        <f>IFERROR(MID(VLOOKUP($B191,Seqs!$A:$B,2,0),Q191,1),"")</f>
        <v>N</v>
      </c>
      <c r="Q191" s="9">
        <v>103</v>
      </c>
      <c r="R191" s="9" t="str">
        <f>IFERROR(MID(VLOOKUP($B191,Seqs!$A:$B,2,0),S191,1),"")</f>
        <v>F</v>
      </c>
      <c r="S191" s="9">
        <v>106</v>
      </c>
      <c r="T191" s="9" t="str">
        <f>IFERROR(MID(VLOOKUP($B191,Seqs!$A:$B,2,0),U191,1),"")</f>
        <v>G</v>
      </c>
      <c r="U191" s="9">
        <v>107</v>
      </c>
      <c r="V191" s="9" t="str">
        <f>IFERROR(MID(VLOOKUP($B191,Seqs!$A:$B,2,0),W191,1),"")</f>
        <v>H</v>
      </c>
      <c r="W191" s="9">
        <v>142</v>
      </c>
      <c r="X191" s="9" t="str">
        <f>IFERROR(MID(VLOOKUP($B191,Seqs!$A:$B,2,0),Y191,1),"")</f>
        <v/>
      </c>
      <c r="Y191" s="9" t="s">
        <v>23</v>
      </c>
      <c r="Z191" s="9" t="str">
        <f>IFERROR(MID(VLOOKUP($B191,Seqs!$A:$B,2,0),AA191,1),"")</f>
        <v/>
      </c>
      <c r="AA191" s="9" t="s">
        <v>23</v>
      </c>
      <c r="AB191" s="9" t="str">
        <f>IFERROR(MID(VLOOKUP($B191,Seqs!$A:$B,2,0),AC191,1),"")</f>
        <v>S</v>
      </c>
      <c r="AC191" s="9">
        <v>151</v>
      </c>
      <c r="AD191" s="9" t="str">
        <f>IFERROR(MID(VLOOKUP($B191,Seqs!$A:$B,2,0),AE191,1),"")</f>
        <v>S</v>
      </c>
      <c r="AE191" s="9">
        <v>176</v>
      </c>
      <c r="AF191" s="9" t="str">
        <f>IFERROR(MID(VLOOKUP($B191,Seqs!$A:$B,2,0),AG191,1),"")</f>
        <v>C</v>
      </c>
      <c r="AG191" s="9">
        <v>187</v>
      </c>
      <c r="AH191" s="9" t="str">
        <f>IFERROR(MID(VLOOKUP($B191,Seqs!$A:$B,2,0),AI191,1),"")</f>
        <v>E</v>
      </c>
      <c r="AI191" s="9">
        <v>189</v>
      </c>
      <c r="AJ191" s="9" t="str">
        <f>IFERROR(MID(VLOOKUP($B191,Seqs!$A:$B,2,0),AK191,1),"")</f>
        <v>K</v>
      </c>
      <c r="AK191" s="9">
        <v>194</v>
      </c>
      <c r="AL191" s="9" t="str">
        <f>IFERROR(MID(VLOOKUP($B191,Seqs!$A:$B,2,0),AM191,1),"")</f>
        <v>E</v>
      </c>
      <c r="AM191" s="9">
        <v>232</v>
      </c>
      <c r="AN191" s="9" t="str">
        <f>IFERROR(MID(VLOOKUP($B191,Seqs!$A:$B,2,0),AO191,1),"")</f>
        <v>S</v>
      </c>
      <c r="AO191" s="9">
        <v>241</v>
      </c>
      <c r="AP191" s="9" t="str">
        <f>IFERROR(MID(VLOOKUP($B191,Seqs!$A:$B,2,0),AQ191,1),"")</f>
        <v>W</v>
      </c>
      <c r="AQ191" s="9">
        <v>274</v>
      </c>
      <c r="AR191" s="9" t="str">
        <f>IFERROR(MID(VLOOKUP($B191,Seqs!$A:$B,2,0),AS191,1),"")</f>
        <v>K</v>
      </c>
      <c r="AS191" s="9">
        <v>280</v>
      </c>
      <c r="AT191" s="9" t="str">
        <f>IFERROR(MID(VLOOKUP($B191,Seqs!$A:$B,2,0),AU191,1),"")</f>
        <v>E</v>
      </c>
      <c r="AU191" s="9">
        <v>310</v>
      </c>
      <c r="AV191" s="9" t="str">
        <f>IFERROR(MID(VLOOKUP($B191,Seqs!$A:$B,2,0),AW191,1),"")</f>
        <v/>
      </c>
      <c r="AW191" s="9" t="s">
        <v>23</v>
      </c>
      <c r="AX191" s="9" t="str">
        <f>IFERROR(MID(VLOOKUP($B191,Seqs!$A:$B,2,0),AY191,1),"")</f>
        <v/>
      </c>
      <c r="AY191" s="9" t="s">
        <v>23</v>
      </c>
      <c r="AZ191" s="110" t="str">
        <f>VLOOKUP(B191,Classification!A:D,2,0)</f>
        <v>A</v>
      </c>
      <c r="BA191" s="98" t="str">
        <f>VLOOKUP(B191,Classification!A:D,4,0)</f>
        <v>Leukotriene</v>
      </c>
      <c r="BB191" s="36" t="b">
        <f t="shared" ref="BB191" si="1042">AND(E191&lt;G191,OR(G191&lt;I191,I191="-"),OR(I191&lt;K191,I191="-"),OR(K191&lt;M191,K191="-"),M191&lt;O191,OR(O191&lt;Q191,Q191="-"),OR(Q191&lt;S191,Q191="-"),OR(S191&lt;U191,S191="-"),U191&lt;W191,OR(W191&lt;Y191,Y191="-"),OR(Y191&lt;AA191,Y191="-"),OR(AA191&lt;AC191,AA191="-"),AC191&lt;AE191,OR(AE191&lt;AG191,AG191="-"),OR(AG191&lt;AI191,AG191="-"),OR(AI191&lt;AK191,AI191="-"),AK191&lt;AM191,AM191&lt;AO191,AO191&lt;AQ191,AQ191&lt;AS191,AS191&lt;AU191,OR(AU191&lt;AW191,AW191="-"),OR(AW191&lt;AY191,AW191="-"))</f>
        <v>1</v>
      </c>
      <c r="BC191" s="109">
        <f t="shared" ref="BC191" si="1043">_xlfn.AGGREGATE(9,6,CH191:CS191)-_xlfn.AGGREGATE(9,6,BV191:CG191)+12</f>
        <v>241</v>
      </c>
      <c r="BD191" s="126" t="s">
        <v>23</v>
      </c>
      <c r="BE191" s="9" t="s">
        <v>1465</v>
      </c>
      <c r="BF191" s="119">
        <v>2.7</v>
      </c>
      <c r="BG191" s="51" t="s">
        <v>1</v>
      </c>
      <c r="BH191" s="51" t="s">
        <v>1</v>
      </c>
      <c r="BJ191" s="111" t="s">
        <v>1281</v>
      </c>
      <c r="BK191" s="112" t="s">
        <v>1281</v>
      </c>
      <c r="BL191" s="112" t="s">
        <v>1281</v>
      </c>
      <c r="BM191" s="112" t="s">
        <v>1281</v>
      </c>
      <c r="BN191" s="112" t="s">
        <v>1281</v>
      </c>
      <c r="BO191" s="112" t="s">
        <v>1281</v>
      </c>
      <c r="BP191" s="112" t="s">
        <v>1281</v>
      </c>
      <c r="BQ191" s="112" t="s">
        <v>1281</v>
      </c>
      <c r="BR191" s="112" t="s">
        <v>1281</v>
      </c>
      <c r="BS191" s="112" t="s">
        <v>1281</v>
      </c>
      <c r="BT191" s="112" t="s">
        <v>1281</v>
      </c>
      <c r="BU191" s="112" t="s">
        <v>1281</v>
      </c>
      <c r="BV191" s="111">
        <f>E191</f>
        <v>32</v>
      </c>
      <c r="BW191" s="113" t="str">
        <f>I191</f>
        <v>-</v>
      </c>
      <c r="BX191" s="114">
        <f>M191</f>
        <v>71</v>
      </c>
      <c r="BY191" s="113">
        <f>Q191</f>
        <v>103</v>
      </c>
      <c r="BZ191" s="114">
        <f>U191</f>
        <v>107</v>
      </c>
      <c r="CA191" s="113" t="str">
        <f>Y191</f>
        <v>-</v>
      </c>
      <c r="CB191" s="114">
        <f>AC191</f>
        <v>151</v>
      </c>
      <c r="CC191" s="113">
        <f>AG191</f>
        <v>187</v>
      </c>
      <c r="CD191" s="114">
        <f>AK191</f>
        <v>194</v>
      </c>
      <c r="CE191" s="113">
        <f>AO191</f>
        <v>241</v>
      </c>
      <c r="CF191" s="114">
        <f>AS191</f>
        <v>280</v>
      </c>
      <c r="CG191" s="113" t="str">
        <f>AW191</f>
        <v>-</v>
      </c>
      <c r="CH191" s="111">
        <f>G191</f>
        <v>65</v>
      </c>
      <c r="CI191" s="113" t="str">
        <f>K191</f>
        <v>-</v>
      </c>
      <c r="CJ191" s="114">
        <f>O191</f>
        <v>101</v>
      </c>
      <c r="CK191" s="114">
        <f>S191</f>
        <v>106</v>
      </c>
      <c r="CL191" s="114">
        <f>W191</f>
        <v>142</v>
      </c>
      <c r="CM191" s="114" t="str">
        <f>AA191</f>
        <v>-</v>
      </c>
      <c r="CN191" s="114">
        <f>AE191</f>
        <v>176</v>
      </c>
      <c r="CO191" s="114">
        <f>AI191</f>
        <v>189</v>
      </c>
      <c r="CP191" s="114">
        <f>AM191</f>
        <v>232</v>
      </c>
      <c r="CQ191" s="114">
        <f>AQ191</f>
        <v>274</v>
      </c>
      <c r="CR191" s="114">
        <f>AU191</f>
        <v>310</v>
      </c>
      <c r="CS191" s="114" t="str">
        <f>AY191</f>
        <v>-</v>
      </c>
      <c r="CT191" s="109" t="e">
        <f>M191-K191</f>
        <v>#VALUE!</v>
      </c>
    </row>
    <row r="192" spans="1:1029" s="12" customFormat="1" x14ac:dyDescent="0.2">
      <c r="A192" s="9" t="str">
        <f>CONCATENATE(B192,"_",C192)</f>
        <v>cltr2_human_6RZ9</v>
      </c>
      <c r="B192" s="9" t="s">
        <v>180</v>
      </c>
      <c r="C192" s="9" t="s">
        <v>1616</v>
      </c>
      <c r="D192" s="9" t="str">
        <f>IFERROR(MID(VLOOKUP($B192,Seqs!$A:$B,2,0),E192,1),"")</f>
        <v>C</v>
      </c>
      <c r="E192" s="9">
        <v>31</v>
      </c>
      <c r="F192" s="9" t="str">
        <f>IFERROR(MID(VLOOKUP($B192,Seqs!$A:$B,2,0),G192,1),"")</f>
        <v>Q</v>
      </c>
      <c r="G192" s="9">
        <v>65</v>
      </c>
      <c r="H192" s="9" t="str">
        <f>IFERROR(MID(VLOOKUP($B192,Seqs!$A:$B,2,0),I192,1),"")</f>
        <v/>
      </c>
      <c r="I192" s="109" t="s">
        <v>23</v>
      </c>
      <c r="J192" s="9" t="str">
        <f>IFERROR(MID(VLOOKUP($B192,Seqs!$A:$B,2,0),K192,1),"")</f>
        <v/>
      </c>
      <c r="K192" s="109" t="s">
        <v>23</v>
      </c>
      <c r="L192" s="9" t="str">
        <f>IFERROR(MID(VLOOKUP($B192,Seqs!$A:$B,2,0),M192,1),"")</f>
        <v>T</v>
      </c>
      <c r="M192" s="9">
        <v>71</v>
      </c>
      <c r="N192" s="9" t="str">
        <f>IFERROR(MID(VLOOKUP($B192,Seqs!$A:$B,2,0),O192,1),"")</f>
        <v>G</v>
      </c>
      <c r="O192" s="9">
        <v>101</v>
      </c>
      <c r="P192" s="9" t="str">
        <f>IFERROR(MID(VLOOKUP($B192,Seqs!$A:$B,2,0),Q192,1),"")</f>
        <v>N</v>
      </c>
      <c r="Q192" s="9">
        <v>103</v>
      </c>
      <c r="R192" s="9" t="str">
        <f>IFERROR(MID(VLOOKUP($B192,Seqs!$A:$B,2,0),S192,1),"")</f>
        <v>F</v>
      </c>
      <c r="S192" s="9">
        <v>106</v>
      </c>
      <c r="T192" s="9" t="str">
        <f>IFERROR(MID(VLOOKUP($B192,Seqs!$A:$B,2,0),U192,1),"")</f>
        <v>G</v>
      </c>
      <c r="U192" s="9">
        <v>107</v>
      </c>
      <c r="V192" s="9" t="str">
        <f>IFERROR(MID(VLOOKUP($B192,Seqs!$A:$B,2,0),W192,1),"")</f>
        <v>H</v>
      </c>
      <c r="W192" s="9">
        <v>142</v>
      </c>
      <c r="X192" s="9" t="str">
        <f>IFERROR(MID(VLOOKUP($B192,Seqs!$A:$B,2,0),Y192,1),"")</f>
        <v/>
      </c>
      <c r="Y192" s="9" t="s">
        <v>23</v>
      </c>
      <c r="Z192" s="9" t="str">
        <f>IFERROR(MID(VLOOKUP($B192,Seqs!$A:$B,2,0),AA192,1),"")</f>
        <v/>
      </c>
      <c r="AA192" s="9" t="s">
        <v>23</v>
      </c>
      <c r="AB192" s="9" t="str">
        <f>IFERROR(MID(VLOOKUP($B192,Seqs!$A:$B,2,0),AC192,1),"")</f>
        <v>H</v>
      </c>
      <c r="AC192" s="9">
        <v>148</v>
      </c>
      <c r="AD192" s="9" t="str">
        <f>IFERROR(MID(VLOOKUP($B192,Seqs!$A:$B,2,0),AE192,1),"")</f>
        <v>S</v>
      </c>
      <c r="AE192" s="9">
        <v>176</v>
      </c>
      <c r="AF192" s="9" t="str">
        <f>IFERROR(MID(VLOOKUP($B192,Seqs!$A:$B,2,0),AG192,1),"")</f>
        <v>C</v>
      </c>
      <c r="AG192" s="9">
        <v>187</v>
      </c>
      <c r="AH192" s="9" t="str">
        <f>IFERROR(MID(VLOOKUP($B192,Seqs!$A:$B,2,0),AI192,1),"")</f>
        <v>E</v>
      </c>
      <c r="AI192" s="9">
        <v>189</v>
      </c>
      <c r="AJ192" s="9" t="str">
        <f>IFERROR(MID(VLOOKUP($B192,Seqs!$A:$B,2,0),AK192,1),"")</f>
        <v>K</v>
      </c>
      <c r="AK192" s="9">
        <v>194</v>
      </c>
      <c r="AL192" s="9" t="str">
        <f>IFERROR(MID(VLOOKUP($B192,Seqs!$A:$B,2,0),AM192,1),"")</f>
        <v>E</v>
      </c>
      <c r="AM192" s="9">
        <v>232</v>
      </c>
      <c r="AN192" s="9" t="str">
        <f>IFERROR(MID(VLOOKUP($B192,Seqs!$A:$B,2,0),AO192,1),"")</f>
        <v>S</v>
      </c>
      <c r="AO192" s="9">
        <v>241</v>
      </c>
      <c r="AP192" s="9" t="str">
        <f>IFERROR(MID(VLOOKUP($B192,Seqs!$A:$B,2,0),AQ192,1),"")</f>
        <v>W</v>
      </c>
      <c r="AQ192" s="9">
        <v>274</v>
      </c>
      <c r="AR192" s="9" t="str">
        <f>IFERROR(MID(VLOOKUP($B192,Seqs!$A:$B,2,0),AS192,1),"")</f>
        <v>K</v>
      </c>
      <c r="AS192" s="9">
        <v>280</v>
      </c>
      <c r="AT192" s="9" t="str">
        <f>IFERROR(MID(VLOOKUP($B192,Seqs!$A:$B,2,0),AU192,1),"")</f>
        <v>A</v>
      </c>
      <c r="AU192" s="9">
        <v>308</v>
      </c>
      <c r="AV192" s="9" t="str">
        <f>IFERROR(MID(VLOOKUP($B192,Seqs!$A:$B,2,0),AW192,1),"")</f>
        <v>N</v>
      </c>
      <c r="AW192" s="9">
        <v>311</v>
      </c>
      <c r="AX192" s="9" t="str">
        <f>IFERROR(MID(VLOOKUP($B192,Seqs!$A:$B,2,0),AY192,1),"")</f>
        <v>R</v>
      </c>
      <c r="AY192" s="9">
        <v>321</v>
      </c>
      <c r="AZ192" s="110" t="str">
        <f>VLOOKUP(B192,Classification!A:D,2,0)</f>
        <v>A</v>
      </c>
      <c r="BA192" s="98" t="str">
        <f>VLOOKUP(B192,Classification!A:D,4,0)</f>
        <v>Leukotriene</v>
      </c>
      <c r="BB192" s="36" t="b">
        <f t="shared" ref="BB192" si="1044">AND(E192&lt;G192,OR(G192&lt;I192,I192="-"),OR(I192&lt;K192,I192="-"),OR(K192&lt;M192,K192="-"),M192&lt;O192,OR(O192&lt;Q192,Q192="-"),OR(Q192&lt;S192,Q192="-"),OR(S192&lt;U192,S192="-"),U192&lt;W192,OR(W192&lt;Y192,Y192="-"),OR(Y192&lt;AA192,Y192="-"),OR(AA192&lt;AC192,AA192="-"),AC192&lt;AE192,OR(AE192&lt;AG192,AG192="-"),OR(AG192&lt;AI192,AG192="-"),OR(AI192&lt;AK192,AI192="-"),AK192&lt;AM192,AM192&lt;AO192,AO192&lt;AQ192,AQ192&lt;AS192,AS192&lt;AU192,OR(AU192&lt;AW192,AW192="-"),OR(AW192&lt;AY192,AW192="-"))</f>
        <v>1</v>
      </c>
      <c r="BC192" s="109">
        <f t="shared" ref="BC192" si="1045">_xlfn.AGGREGATE(9,6,CH192:CS192)-_xlfn.AGGREGATE(9,6,BV192:CG192)+12</f>
        <v>253</v>
      </c>
      <c r="BD192" s="126" t="s">
        <v>1423</v>
      </c>
      <c r="BE192" s="9" t="s">
        <v>1465</v>
      </c>
      <c r="BF192" s="119">
        <v>2.73</v>
      </c>
      <c r="BG192" s="51" t="s">
        <v>1</v>
      </c>
      <c r="BH192" s="51" t="s">
        <v>1</v>
      </c>
      <c r="BJ192" s="111" t="s">
        <v>1281</v>
      </c>
      <c r="BK192" s="112" t="s">
        <v>1281</v>
      </c>
      <c r="BL192" s="112" t="s">
        <v>1281</v>
      </c>
      <c r="BM192" s="112" t="s">
        <v>1281</v>
      </c>
      <c r="BN192" s="112" t="s">
        <v>1281</v>
      </c>
      <c r="BO192" s="112" t="s">
        <v>1281</v>
      </c>
      <c r="BP192" s="112" t="s">
        <v>1281</v>
      </c>
      <c r="BQ192" s="112" t="s">
        <v>1281</v>
      </c>
      <c r="BR192" s="112" t="s">
        <v>1281</v>
      </c>
      <c r="BS192" s="112" t="s">
        <v>1281</v>
      </c>
      <c r="BT192" s="112" t="s">
        <v>1281</v>
      </c>
      <c r="BU192" s="112" t="s">
        <v>1281</v>
      </c>
      <c r="BV192" s="111">
        <f>E192</f>
        <v>31</v>
      </c>
      <c r="BW192" s="113" t="str">
        <f>I192</f>
        <v>-</v>
      </c>
      <c r="BX192" s="114">
        <f>M192</f>
        <v>71</v>
      </c>
      <c r="BY192" s="113">
        <f>Q192</f>
        <v>103</v>
      </c>
      <c r="BZ192" s="114">
        <f>U192</f>
        <v>107</v>
      </c>
      <c r="CA192" s="113" t="str">
        <f>Y192</f>
        <v>-</v>
      </c>
      <c r="CB192" s="114">
        <f>AC192</f>
        <v>148</v>
      </c>
      <c r="CC192" s="113">
        <f>AG192</f>
        <v>187</v>
      </c>
      <c r="CD192" s="114">
        <f>AK192</f>
        <v>194</v>
      </c>
      <c r="CE192" s="113">
        <f>AO192</f>
        <v>241</v>
      </c>
      <c r="CF192" s="114">
        <f>AS192</f>
        <v>280</v>
      </c>
      <c r="CG192" s="113">
        <f>AW192</f>
        <v>311</v>
      </c>
      <c r="CH192" s="111">
        <f>G192</f>
        <v>65</v>
      </c>
      <c r="CI192" s="113" t="str">
        <f>K192</f>
        <v>-</v>
      </c>
      <c r="CJ192" s="114">
        <f>O192</f>
        <v>101</v>
      </c>
      <c r="CK192" s="114">
        <f>S192</f>
        <v>106</v>
      </c>
      <c r="CL192" s="114">
        <f>W192</f>
        <v>142</v>
      </c>
      <c r="CM192" s="114" t="str">
        <f>AA192</f>
        <v>-</v>
      </c>
      <c r="CN192" s="114">
        <f>AE192</f>
        <v>176</v>
      </c>
      <c r="CO192" s="114">
        <f>AI192</f>
        <v>189</v>
      </c>
      <c r="CP192" s="114">
        <f>AM192</f>
        <v>232</v>
      </c>
      <c r="CQ192" s="114">
        <f>AQ192</f>
        <v>274</v>
      </c>
      <c r="CR192" s="114">
        <f>AU192</f>
        <v>308</v>
      </c>
      <c r="CS192" s="114">
        <f>AY192</f>
        <v>321</v>
      </c>
      <c r="CT192" s="109" t="e">
        <f>M192-K192</f>
        <v>#VALUE!</v>
      </c>
    </row>
    <row r="193" spans="1:1030" x14ac:dyDescent="0.2">
      <c r="A193" s="3" t="str">
        <f>CONCATENATE(B193,"_",C193)</f>
        <v>cnr1_human__wt</v>
      </c>
      <c r="B193" s="3" t="s">
        <v>182</v>
      </c>
      <c r="C193" s="3" t="s">
        <v>100</v>
      </c>
      <c r="D193" s="3" t="str">
        <f>IFERROR(MID(VLOOKUP($B193,Seqs!$A:$B,2,0),E193,1),"")</f>
        <v>N</v>
      </c>
      <c r="E193" s="3">
        <v>112</v>
      </c>
      <c r="F193" s="3" t="str">
        <f>IFERROR(MID(VLOOKUP($B193,Seqs!$A:$B,2,0),G193,1),"")</f>
        <v>S</v>
      </c>
      <c r="G193" s="3">
        <v>144</v>
      </c>
      <c r="H193" s="3" t="str">
        <f>IFERROR(MID(VLOOKUP($B193,Seqs!$A:$B,2,0),I193,1),"")</f>
        <v>R</v>
      </c>
      <c r="I193" s="23">
        <v>145</v>
      </c>
      <c r="J193" s="3" t="str">
        <f>IFERROR(MID(VLOOKUP($B193,Seqs!$A:$B,2,0),K193,1),"")</f>
        <v>R</v>
      </c>
      <c r="K193" s="23">
        <v>148</v>
      </c>
      <c r="L193" s="3" t="str">
        <f>IFERROR(MID(VLOOKUP($B193,Seqs!$A:$B,2,0),M193,1),"")</f>
        <v>R</v>
      </c>
      <c r="M193" s="3">
        <v>150</v>
      </c>
      <c r="N193" s="3" t="str">
        <f>IFERROR(MID(VLOOKUP($B193,Seqs!$A:$B,2,0),O193,1),"")</f>
        <v>V</v>
      </c>
      <c r="O193" s="3">
        <v>179</v>
      </c>
      <c r="P193" s="3" t="str">
        <f>IFERROR(MID(VLOOKUP($B193,Seqs!$A:$B,2,0),Q193,1),"")</f>
        <v/>
      </c>
      <c r="Q193" s="3" t="s">
        <v>23</v>
      </c>
      <c r="R193" s="3" t="str">
        <f>IFERROR(MID(VLOOKUP($B193,Seqs!$A:$B,2,0),S193,1),"")</f>
        <v/>
      </c>
      <c r="S193" s="3" t="s">
        <v>23</v>
      </c>
      <c r="T193" s="3" t="str">
        <f>IFERROR(MID(VLOOKUP($B193,Seqs!$A:$B,2,0),U193,1),"")</f>
        <v>S</v>
      </c>
      <c r="U193" s="3">
        <v>185</v>
      </c>
      <c r="V193" s="3" t="str">
        <f>IFERROR(MID(VLOOKUP($B193,Seqs!$A:$B,2,0),W193,1),"")</f>
        <v>R</v>
      </c>
      <c r="W193" s="3">
        <v>220</v>
      </c>
      <c r="X193" s="3" t="str">
        <f>IFERROR(MID(VLOOKUP($B193,Seqs!$A:$B,2,0),Y193,1),"")</f>
        <v>P</v>
      </c>
      <c r="Y193" s="3">
        <v>221</v>
      </c>
      <c r="Z193" s="3" t="str">
        <f>IFERROR(MID(VLOOKUP($B193,Seqs!$A:$B,2,0),AA193,1),"")</f>
        <v>V</v>
      </c>
      <c r="AA193" s="3">
        <v>228</v>
      </c>
      <c r="AB193" s="3" t="str">
        <f>IFERROR(MID(VLOOKUP($B193,Seqs!$A:$B,2,0),AC193,1),"")</f>
        <v>T</v>
      </c>
      <c r="AC193" s="9">
        <v>229</v>
      </c>
      <c r="AD193" s="3" t="str">
        <f>IFERROR(MID(VLOOKUP($B193,Seqs!$A:$B,2,0),AE193,1),"")</f>
        <v>G</v>
      </c>
      <c r="AE193" s="3">
        <v>254</v>
      </c>
      <c r="AF193" s="3" t="str">
        <f>IFERROR(MID(VLOOKUP($B193,Seqs!$A:$B,2,0),AG193,1),"")</f>
        <v/>
      </c>
      <c r="AG193" s="3" t="s">
        <v>23</v>
      </c>
      <c r="AH193" s="3" t="str">
        <f>IFERROR(MID(VLOOKUP($B193,Seqs!$A:$B,2,0),AI193,1),"")</f>
        <v/>
      </c>
      <c r="AI193" s="3" t="s">
        <v>23</v>
      </c>
      <c r="AJ193" s="3" t="str">
        <f>IFERROR(MID(VLOOKUP($B193,Seqs!$A:$B,2,0),AK193,1),"")</f>
        <v>D</v>
      </c>
      <c r="AK193" s="3">
        <v>272</v>
      </c>
      <c r="AL193" s="3" t="str">
        <f>IFERROR(MID(VLOOKUP($B193,Seqs!$A:$B,2,0),AM193,1),"")</f>
        <v>G</v>
      </c>
      <c r="AM193" s="3">
        <v>312</v>
      </c>
      <c r="AN193" s="3" t="str">
        <f>IFERROR(MID(VLOOKUP($B193,Seqs!$A:$B,2,0),AO193,1),"")</f>
        <v>P</v>
      </c>
      <c r="AO193" s="3">
        <v>332</v>
      </c>
      <c r="AP193" s="3" t="str">
        <f>IFERROR(MID(VLOOKUP($B193,Seqs!$A:$B,2,0),AQ193,1),"")</f>
        <v>G</v>
      </c>
      <c r="AQ193" s="3">
        <v>369</v>
      </c>
      <c r="AR193" s="3" t="str">
        <f>IFERROR(MID(VLOOKUP($B193,Seqs!$A:$B,2,0),AS193,1),"")</f>
        <v>N</v>
      </c>
      <c r="AS193" s="3">
        <v>372</v>
      </c>
      <c r="AT193" s="3" t="str">
        <f>IFERROR(MID(VLOOKUP($B193,Seqs!$A:$B,2,0),AU193,1),"")</f>
        <v>R</v>
      </c>
      <c r="AU193" s="3">
        <v>400</v>
      </c>
      <c r="AV193" s="3" t="str">
        <f>IFERROR(MID(VLOOKUP($B193,Seqs!$A:$B,2,0),AW193,1),"")</f>
        <v>S</v>
      </c>
      <c r="AW193" s="3">
        <v>401</v>
      </c>
      <c r="AX193" s="3" t="str">
        <f>IFERROR(MID(VLOOKUP($B193,Seqs!$A:$B,2,0),AY193,1),"")</f>
        <v>P</v>
      </c>
      <c r="AY193" s="3">
        <v>413</v>
      </c>
      <c r="AZ193" s="77" t="str">
        <f>VLOOKUP(B193,Classification!A:D,2,0)</f>
        <v>A</v>
      </c>
      <c r="BA193" s="94" t="str">
        <f>VLOOKUP(B193,Classification!A:D,4,0)</f>
        <v>Cannabinoid</v>
      </c>
      <c r="BB193" s="27" t="b">
        <f t="shared" si="1007"/>
        <v>1</v>
      </c>
      <c r="BC193" s="23">
        <f t="shared" si="785"/>
        <v>260</v>
      </c>
      <c r="BD193" s="56" t="s">
        <v>23</v>
      </c>
      <c r="BE193" s="3" t="s">
        <v>23</v>
      </c>
      <c r="BF193" s="118" t="s">
        <v>23</v>
      </c>
      <c r="BG193" s="49" t="s">
        <v>1366</v>
      </c>
      <c r="BH193" s="49" t="s">
        <v>1371</v>
      </c>
      <c r="BJ193" s="70" t="s">
        <v>1281</v>
      </c>
      <c r="BK193" s="57" t="s">
        <v>1281</v>
      </c>
      <c r="BL193" s="57" t="s">
        <v>1281</v>
      </c>
      <c r="BM193" s="57" t="s">
        <v>1281</v>
      </c>
      <c r="BN193" s="57" t="s">
        <v>1281</v>
      </c>
      <c r="BO193" s="57" t="s">
        <v>1281</v>
      </c>
      <c r="BP193" s="57" t="s">
        <v>1281</v>
      </c>
      <c r="BQ193" s="57" t="s">
        <v>1281</v>
      </c>
      <c r="BR193" s="57" t="s">
        <v>1281</v>
      </c>
      <c r="BS193" s="57" t="s">
        <v>1281</v>
      </c>
      <c r="BT193" s="57" t="s">
        <v>1281</v>
      </c>
      <c r="BU193" s="57" t="s">
        <v>1281</v>
      </c>
      <c r="BV193" s="70">
        <f>E193</f>
        <v>112</v>
      </c>
      <c r="BW193" s="71">
        <f>I193</f>
        <v>145</v>
      </c>
      <c r="BX193" s="72">
        <f>M193</f>
        <v>150</v>
      </c>
      <c r="BY193" s="71" t="str">
        <f>Q193</f>
        <v>-</v>
      </c>
      <c r="BZ193" s="72">
        <f>U193</f>
        <v>185</v>
      </c>
      <c r="CA193" s="71">
        <f>Y193</f>
        <v>221</v>
      </c>
      <c r="CB193" s="72">
        <f>AC193</f>
        <v>229</v>
      </c>
      <c r="CC193" s="71" t="str">
        <f>AG193</f>
        <v>-</v>
      </c>
      <c r="CD193" s="72">
        <f>AK193</f>
        <v>272</v>
      </c>
      <c r="CE193" s="71">
        <f>AO193</f>
        <v>332</v>
      </c>
      <c r="CF193" s="72">
        <f>AS193</f>
        <v>372</v>
      </c>
      <c r="CG193" s="71">
        <f>AW193</f>
        <v>401</v>
      </c>
      <c r="CH193" s="70">
        <f>G193</f>
        <v>144</v>
      </c>
      <c r="CI193" s="71">
        <f>K193</f>
        <v>148</v>
      </c>
      <c r="CJ193" s="72">
        <f>O193</f>
        <v>179</v>
      </c>
      <c r="CK193" s="72" t="str">
        <f>S193</f>
        <v>-</v>
      </c>
      <c r="CL193" s="72">
        <f>W193</f>
        <v>220</v>
      </c>
      <c r="CM193" s="72">
        <f>AA193</f>
        <v>228</v>
      </c>
      <c r="CN193" s="72">
        <f>AE193</f>
        <v>254</v>
      </c>
      <c r="CO193" s="72" t="str">
        <f>AI193</f>
        <v>-</v>
      </c>
      <c r="CP193" s="72">
        <f>AM193</f>
        <v>312</v>
      </c>
      <c r="CQ193" s="72">
        <f>AQ193</f>
        <v>369</v>
      </c>
      <c r="CR193" s="72">
        <f>AU193</f>
        <v>400</v>
      </c>
      <c r="CS193" s="72">
        <f>AY193</f>
        <v>413</v>
      </c>
      <c r="CT193" s="23">
        <f>M193-K193</f>
        <v>2</v>
      </c>
    </row>
    <row r="194" spans="1:1030" s="3" customFormat="1" x14ac:dyDescent="0.2">
      <c r="A194" s="3" t="str">
        <f>CONCATENATE(B194,"_",C194)</f>
        <v>cnr1_human_5TGZ</v>
      </c>
      <c r="B194" s="3" t="s">
        <v>182</v>
      </c>
      <c r="C194" s="3" t="s">
        <v>1353</v>
      </c>
      <c r="D194" s="3" t="str">
        <f>IFERROR(MID(VLOOKUP($B194,Seqs!$A:$B,2,0),E194,1),"")</f>
        <v>P</v>
      </c>
      <c r="E194" s="3">
        <v>113</v>
      </c>
      <c r="F194" s="3" t="str">
        <f>IFERROR(MID(VLOOKUP($B194,Seqs!$A:$B,2,0),G194,1),"")</f>
        <v>S</v>
      </c>
      <c r="G194" s="3">
        <v>144</v>
      </c>
      <c r="H194" s="3" t="str">
        <f>IFERROR(MID(VLOOKUP($B194,Seqs!$A:$B,2,0),I194,1),"")</f>
        <v>R</v>
      </c>
      <c r="I194" s="23">
        <v>145</v>
      </c>
      <c r="J194" s="3" t="str">
        <f>IFERROR(MID(VLOOKUP($B194,Seqs!$A:$B,2,0),K194,1),"")</f>
        <v>R</v>
      </c>
      <c r="K194" s="23">
        <v>148</v>
      </c>
      <c r="L194" s="3" t="str">
        <f>IFERROR(MID(VLOOKUP($B194,Seqs!$A:$B,2,0),M194,1),"")</f>
        <v>R</v>
      </c>
      <c r="M194" s="3">
        <v>150</v>
      </c>
      <c r="N194" s="3" t="str">
        <f>IFERROR(MID(VLOOKUP($B194,Seqs!$A:$B,2,0),O194,1),"")</f>
        <v>V</v>
      </c>
      <c r="O194" s="3">
        <v>179</v>
      </c>
      <c r="P194" s="3" t="str">
        <f>IFERROR(MID(VLOOKUP($B194,Seqs!$A:$B,2,0),Q194,1),"")</f>
        <v/>
      </c>
      <c r="Q194" s="3" t="s">
        <v>23</v>
      </c>
      <c r="R194" s="3" t="str">
        <f>IFERROR(MID(VLOOKUP($B194,Seqs!$A:$B,2,0),S194,1),"")</f>
        <v/>
      </c>
      <c r="S194" s="3" t="s">
        <v>23</v>
      </c>
      <c r="T194" s="3" t="str">
        <f>IFERROR(MID(VLOOKUP($B194,Seqs!$A:$B,2,0),U194,1),"")</f>
        <v>S</v>
      </c>
      <c r="U194" s="3">
        <v>185</v>
      </c>
      <c r="V194" s="3" t="str">
        <f>IFERROR(MID(VLOOKUP($B194,Seqs!$A:$B,2,0),W194,1),"")</f>
        <v>R</v>
      </c>
      <c r="W194" s="3">
        <v>220</v>
      </c>
      <c r="X194" s="3" t="str">
        <f>IFERROR(MID(VLOOKUP($B194,Seqs!$A:$B,2,0),Y194,1),"")</f>
        <v>P</v>
      </c>
      <c r="Y194" s="3">
        <v>221</v>
      </c>
      <c r="Z194" s="3" t="str">
        <f>IFERROR(MID(VLOOKUP($B194,Seqs!$A:$B,2,0),AA194,1),"")</f>
        <v>V</v>
      </c>
      <c r="AA194" s="3">
        <v>228</v>
      </c>
      <c r="AB194" s="3" t="str">
        <f>IFERROR(MID(VLOOKUP($B194,Seqs!$A:$B,2,0),AC194,1),"")</f>
        <v>T</v>
      </c>
      <c r="AC194" s="9">
        <v>229</v>
      </c>
      <c r="AD194" s="3" t="str">
        <f>IFERROR(MID(VLOOKUP($B194,Seqs!$A:$B,2,0),AE194,1),"")</f>
        <v>G</v>
      </c>
      <c r="AE194" s="3">
        <v>254</v>
      </c>
      <c r="AF194" s="3" t="str">
        <f>IFERROR(MID(VLOOKUP($B194,Seqs!$A:$B,2,0),AG194,1),"")</f>
        <v/>
      </c>
      <c r="AG194" s="3" t="s">
        <v>23</v>
      </c>
      <c r="AH194" s="3" t="str">
        <f>IFERROR(MID(VLOOKUP($B194,Seqs!$A:$B,2,0),AI194,1),"")</f>
        <v/>
      </c>
      <c r="AI194" s="3" t="s">
        <v>23</v>
      </c>
      <c r="AJ194" s="3" t="str">
        <f>IFERROR(MID(VLOOKUP($B194,Seqs!$A:$B,2,0),AK194,1),"")</f>
        <v>D</v>
      </c>
      <c r="AK194" s="3">
        <v>272</v>
      </c>
      <c r="AL194" s="3" t="str">
        <f>IFERROR(MID(VLOOKUP($B194,Seqs!$A:$B,2,0),AM194,1),"")</f>
        <v>H</v>
      </c>
      <c r="AM194" s="3">
        <v>304</v>
      </c>
      <c r="AN194" s="3" t="str">
        <f>IFERROR(MID(VLOOKUP($B194,Seqs!$A:$B,2,0),AO194,1),"")</f>
        <v>P</v>
      </c>
      <c r="AO194" s="3">
        <v>332</v>
      </c>
      <c r="AP194" s="3" t="str">
        <f>IFERROR(MID(VLOOKUP($B194,Seqs!$A:$B,2,0),AQ194,1),"")</f>
        <v>F</v>
      </c>
      <c r="AQ194" s="3">
        <v>368</v>
      </c>
      <c r="AR194" s="3" t="str">
        <f>IFERROR(MID(VLOOKUP($B194,Seqs!$A:$B,2,0),AS194,1),"")</f>
        <v>N</v>
      </c>
      <c r="AS194" s="3">
        <v>372</v>
      </c>
      <c r="AT194" s="3" t="str">
        <f>IFERROR(MID(VLOOKUP($B194,Seqs!$A:$B,2,0),AU194,1),"")</f>
        <v>R</v>
      </c>
      <c r="AU194" s="3">
        <v>400</v>
      </c>
      <c r="AV194" s="3" t="str">
        <f>IFERROR(MID(VLOOKUP($B194,Seqs!$A:$B,2,0),AW194,1),"")</f>
        <v>S</v>
      </c>
      <c r="AW194" s="3">
        <v>401</v>
      </c>
      <c r="AX194" s="3" t="str">
        <f>IFERROR(MID(VLOOKUP($B194,Seqs!$A:$B,2,0),AY194,1),"")</f>
        <v>M</v>
      </c>
      <c r="AY194" s="3">
        <v>411</v>
      </c>
      <c r="AZ194" s="77" t="str">
        <f>VLOOKUP(B194,Classification!A:D,2,0)</f>
        <v>A</v>
      </c>
      <c r="BA194" s="94" t="str">
        <f>VLOOKUP(B194,Classification!A:D,4,0)</f>
        <v>Cannabinoid</v>
      </c>
      <c r="BB194" s="27" t="b">
        <f t="shared" si="1007"/>
        <v>1</v>
      </c>
      <c r="BC194" s="23">
        <f t="shared" si="785"/>
        <v>248</v>
      </c>
      <c r="BD194" s="16" t="s">
        <v>1370</v>
      </c>
      <c r="BE194" s="3" t="s">
        <v>1368</v>
      </c>
      <c r="BF194" s="118">
        <v>2.8</v>
      </c>
      <c r="BG194" s="49" t="s">
        <v>1371</v>
      </c>
      <c r="BH194" s="49" t="s">
        <v>1371</v>
      </c>
      <c r="BJ194" s="70" t="s">
        <v>1281</v>
      </c>
      <c r="BK194" s="57" t="s">
        <v>1281</v>
      </c>
      <c r="BL194" s="57" t="s">
        <v>1281</v>
      </c>
      <c r="BM194" s="57" t="s">
        <v>1281</v>
      </c>
      <c r="BN194" s="57" t="s">
        <v>1281</v>
      </c>
      <c r="BO194" s="57" t="s">
        <v>1281</v>
      </c>
      <c r="BP194" s="57" t="s">
        <v>1281</v>
      </c>
      <c r="BQ194" s="57" t="s">
        <v>1281</v>
      </c>
      <c r="BR194" s="57" t="s">
        <v>1281</v>
      </c>
      <c r="BS194" s="57" t="s">
        <v>1281</v>
      </c>
      <c r="BT194" s="57" t="s">
        <v>1281</v>
      </c>
      <c r="BU194" s="57" t="s">
        <v>1281</v>
      </c>
      <c r="BV194" s="70">
        <f>E194</f>
        <v>113</v>
      </c>
      <c r="BW194" s="71">
        <f>I194</f>
        <v>145</v>
      </c>
      <c r="BX194" s="72">
        <f>M194</f>
        <v>150</v>
      </c>
      <c r="BY194" s="71" t="str">
        <f>Q194</f>
        <v>-</v>
      </c>
      <c r="BZ194" s="72">
        <f>U194</f>
        <v>185</v>
      </c>
      <c r="CA194" s="71">
        <f>Y194</f>
        <v>221</v>
      </c>
      <c r="CB194" s="72">
        <f>AC194</f>
        <v>229</v>
      </c>
      <c r="CC194" s="71" t="str">
        <f>AG194</f>
        <v>-</v>
      </c>
      <c r="CD194" s="72">
        <f>AK194</f>
        <v>272</v>
      </c>
      <c r="CE194" s="71">
        <f>AO194</f>
        <v>332</v>
      </c>
      <c r="CF194" s="72">
        <f>AS194</f>
        <v>372</v>
      </c>
      <c r="CG194" s="71">
        <f>AW194</f>
        <v>401</v>
      </c>
      <c r="CH194" s="70">
        <f>G194</f>
        <v>144</v>
      </c>
      <c r="CI194" s="71">
        <f>K194</f>
        <v>148</v>
      </c>
      <c r="CJ194" s="72">
        <f>O194</f>
        <v>179</v>
      </c>
      <c r="CK194" s="72" t="str">
        <f>S194</f>
        <v>-</v>
      </c>
      <c r="CL194" s="72">
        <f>W194</f>
        <v>220</v>
      </c>
      <c r="CM194" s="72">
        <f>AA194</f>
        <v>228</v>
      </c>
      <c r="CN194" s="72">
        <f>AE194</f>
        <v>254</v>
      </c>
      <c r="CO194" s="72" t="str">
        <f>AI194</f>
        <v>-</v>
      </c>
      <c r="CP194" s="72">
        <f>AM194</f>
        <v>304</v>
      </c>
      <c r="CQ194" s="72">
        <f>AQ194</f>
        <v>368</v>
      </c>
      <c r="CR194" s="72">
        <f>AU194</f>
        <v>400</v>
      </c>
      <c r="CS194" s="72">
        <f>AY194</f>
        <v>411</v>
      </c>
      <c r="CT194" s="23">
        <f>M194-K194</f>
        <v>2</v>
      </c>
      <c r="AMP194" s="1"/>
    </row>
    <row r="195" spans="1:1030" x14ac:dyDescent="0.2">
      <c r="A195" s="3" t="str">
        <f>CONCATENATE(B195,"_",C195)</f>
        <v>cnr1_human_5U09</v>
      </c>
      <c r="B195" s="3" t="s">
        <v>182</v>
      </c>
      <c r="C195" s="3" t="s">
        <v>1358</v>
      </c>
      <c r="D195" s="3" t="str">
        <f>IFERROR(MID(VLOOKUP($B195,Seqs!$A:$B,2,0),E195,1),"")</f>
        <v>N</v>
      </c>
      <c r="E195" s="3">
        <v>112</v>
      </c>
      <c r="F195" s="3" t="str">
        <f>IFERROR(MID(VLOOKUP($B195,Seqs!$A:$B,2,0),G195,1),"")</f>
        <v>S</v>
      </c>
      <c r="G195" s="3">
        <v>144</v>
      </c>
      <c r="H195" s="3" t="str">
        <f>IFERROR(MID(VLOOKUP($B195,Seqs!$A:$B,2,0),I195,1),"")</f>
        <v>R</v>
      </c>
      <c r="I195" s="23">
        <v>145</v>
      </c>
      <c r="J195" s="3" t="str">
        <f>IFERROR(MID(VLOOKUP($B195,Seqs!$A:$B,2,0),K195,1),"")</f>
        <v>R</v>
      </c>
      <c r="K195" s="23">
        <v>148</v>
      </c>
      <c r="L195" s="3" t="str">
        <f>IFERROR(MID(VLOOKUP($B195,Seqs!$A:$B,2,0),M195,1),"")</f>
        <v>R</v>
      </c>
      <c r="M195" s="3">
        <v>150</v>
      </c>
      <c r="N195" s="3" t="str">
        <f>IFERROR(MID(VLOOKUP($B195,Seqs!$A:$B,2,0),O195,1),"")</f>
        <v>V</v>
      </c>
      <c r="O195" s="3">
        <v>179</v>
      </c>
      <c r="P195" s="3" t="str">
        <f>IFERROR(MID(VLOOKUP($B195,Seqs!$A:$B,2,0),Q195,1),"")</f>
        <v/>
      </c>
      <c r="Q195" s="3" t="s">
        <v>23</v>
      </c>
      <c r="R195" s="3" t="str">
        <f>IFERROR(MID(VLOOKUP($B195,Seqs!$A:$B,2,0),S195,1),"")</f>
        <v/>
      </c>
      <c r="S195" s="3" t="s">
        <v>23</v>
      </c>
      <c r="T195" s="3" t="str">
        <f>IFERROR(MID(VLOOKUP($B195,Seqs!$A:$B,2,0),U195,1),"")</f>
        <v>S</v>
      </c>
      <c r="U195" s="3">
        <v>185</v>
      </c>
      <c r="V195" s="3" t="str">
        <f>IFERROR(MID(VLOOKUP($B195,Seqs!$A:$B,2,0),W195,1),"")</f>
        <v>R</v>
      </c>
      <c r="W195" s="3">
        <v>220</v>
      </c>
      <c r="X195" s="3" t="str">
        <f>IFERROR(MID(VLOOKUP($B195,Seqs!$A:$B,2,0),Y195,1),"")</f>
        <v>P</v>
      </c>
      <c r="Y195" s="3">
        <v>221</v>
      </c>
      <c r="Z195" s="3" t="str">
        <f>IFERROR(MID(VLOOKUP($B195,Seqs!$A:$B,2,0),AA195,1),"")</f>
        <v>V</v>
      </c>
      <c r="AA195" s="3">
        <v>228</v>
      </c>
      <c r="AB195" s="3" t="str">
        <f>IFERROR(MID(VLOOKUP($B195,Seqs!$A:$B,2,0),AC195,1),"")</f>
        <v>T</v>
      </c>
      <c r="AC195" s="9">
        <v>229</v>
      </c>
      <c r="AD195" s="3" t="str">
        <f>IFERROR(MID(VLOOKUP($B195,Seqs!$A:$B,2,0),AE195,1),"")</f>
        <v>G</v>
      </c>
      <c r="AE195" s="3">
        <v>254</v>
      </c>
      <c r="AF195" s="3" t="str">
        <f>IFERROR(MID(VLOOKUP($B195,Seqs!$A:$B,2,0),AG195,1),"")</f>
        <v/>
      </c>
      <c r="AG195" s="3" t="s">
        <v>23</v>
      </c>
      <c r="AH195" s="3" t="str">
        <f>IFERROR(MID(VLOOKUP($B195,Seqs!$A:$B,2,0),AI195,1),"")</f>
        <v/>
      </c>
      <c r="AI195" s="3" t="s">
        <v>23</v>
      </c>
      <c r="AJ195" s="3" t="str">
        <f>IFERROR(MID(VLOOKUP($B195,Seqs!$A:$B,2,0),AK195,1),"")</f>
        <v>D</v>
      </c>
      <c r="AK195" s="3">
        <v>272</v>
      </c>
      <c r="AL195" s="3" t="str">
        <f>IFERROR(MID(VLOOKUP($B195,Seqs!$A:$B,2,0),AM195,1),"")</f>
        <v>A</v>
      </c>
      <c r="AM195" s="3">
        <v>301</v>
      </c>
      <c r="AN195" s="3" t="str">
        <f>IFERROR(MID(VLOOKUP($B195,Seqs!$A:$B,2,0),AO195,1),"")</f>
        <v>D</v>
      </c>
      <c r="AO195" s="3">
        <v>333</v>
      </c>
      <c r="AP195" s="3" t="str">
        <f>IFERROR(MID(VLOOKUP($B195,Seqs!$A:$B,2,0),AQ195,1),"")</f>
        <v>F</v>
      </c>
      <c r="AQ195" s="3">
        <v>368</v>
      </c>
      <c r="AR195" s="3" t="str">
        <f>IFERROR(MID(VLOOKUP($B195,Seqs!$A:$B,2,0),AS195,1),"")</f>
        <v>L</v>
      </c>
      <c r="AS195" s="3">
        <v>374</v>
      </c>
      <c r="AT195" s="3" t="str">
        <f>IFERROR(MID(VLOOKUP($B195,Seqs!$A:$B,2,0),AU195,1),"")</f>
        <v>R</v>
      </c>
      <c r="AU195" s="3">
        <v>400</v>
      </c>
      <c r="AV195" s="3" t="str">
        <f>IFERROR(MID(VLOOKUP($B195,Seqs!$A:$B,2,0),AW195,1),"")</f>
        <v>S</v>
      </c>
      <c r="AW195" s="3">
        <v>401</v>
      </c>
      <c r="AX195" s="3" t="str">
        <f>IFERROR(MID(VLOOKUP($B195,Seqs!$A:$B,2,0),AY195,1),"")</f>
        <v>M</v>
      </c>
      <c r="AY195" s="3">
        <v>411</v>
      </c>
      <c r="AZ195" s="77" t="str">
        <f>VLOOKUP(B195,Classification!A:D,2,0)</f>
        <v>A</v>
      </c>
      <c r="BA195" s="94" t="str">
        <f>VLOOKUP(B195,Classification!A:D,4,0)</f>
        <v>Cannabinoid</v>
      </c>
      <c r="BB195" s="27" t="b">
        <f t="shared" si="1007"/>
        <v>1</v>
      </c>
      <c r="BC195" s="23">
        <f t="shared" si="785"/>
        <v>243</v>
      </c>
      <c r="BD195" s="2" t="s">
        <v>23</v>
      </c>
      <c r="BE195" s="3" t="s">
        <v>1368</v>
      </c>
      <c r="BF195" s="118">
        <v>2.6</v>
      </c>
      <c r="BG195" s="49" t="s">
        <v>1371</v>
      </c>
      <c r="BH195" s="49" t="s">
        <v>1371</v>
      </c>
      <c r="BJ195" s="70" t="s">
        <v>1281</v>
      </c>
      <c r="BK195" s="57" t="s">
        <v>1281</v>
      </c>
      <c r="BL195" s="57" t="s">
        <v>1281</v>
      </c>
      <c r="BM195" s="57" t="s">
        <v>1281</v>
      </c>
      <c r="BN195" s="57" t="s">
        <v>1281</v>
      </c>
      <c r="BO195" s="57" t="s">
        <v>1281</v>
      </c>
      <c r="BP195" s="57" t="s">
        <v>1281</v>
      </c>
      <c r="BQ195" s="57" t="s">
        <v>1281</v>
      </c>
      <c r="BR195" s="57" t="s">
        <v>1281</v>
      </c>
      <c r="BS195" s="57" t="s">
        <v>1281</v>
      </c>
      <c r="BT195" s="57" t="s">
        <v>1281</v>
      </c>
      <c r="BU195" s="57" t="s">
        <v>1281</v>
      </c>
      <c r="BV195" s="70">
        <f>E195</f>
        <v>112</v>
      </c>
      <c r="BW195" s="71">
        <f>I195</f>
        <v>145</v>
      </c>
      <c r="BX195" s="72">
        <f>M195</f>
        <v>150</v>
      </c>
      <c r="BY195" s="71" t="str">
        <f>Q195</f>
        <v>-</v>
      </c>
      <c r="BZ195" s="72">
        <f>U195</f>
        <v>185</v>
      </c>
      <c r="CA195" s="71">
        <f>Y195</f>
        <v>221</v>
      </c>
      <c r="CB195" s="72">
        <f>AC195</f>
        <v>229</v>
      </c>
      <c r="CC195" s="71" t="str">
        <f>AG195</f>
        <v>-</v>
      </c>
      <c r="CD195" s="72">
        <f>AK195</f>
        <v>272</v>
      </c>
      <c r="CE195" s="71">
        <f>AO195</f>
        <v>333</v>
      </c>
      <c r="CF195" s="72">
        <f>AS195</f>
        <v>374</v>
      </c>
      <c r="CG195" s="71">
        <f>AW195</f>
        <v>401</v>
      </c>
      <c r="CH195" s="70">
        <f>G195</f>
        <v>144</v>
      </c>
      <c r="CI195" s="71">
        <f>K195</f>
        <v>148</v>
      </c>
      <c r="CJ195" s="72">
        <f>O195</f>
        <v>179</v>
      </c>
      <c r="CK195" s="72" t="str">
        <f>S195</f>
        <v>-</v>
      </c>
      <c r="CL195" s="72">
        <f>W195</f>
        <v>220</v>
      </c>
      <c r="CM195" s="72">
        <f>AA195</f>
        <v>228</v>
      </c>
      <c r="CN195" s="72">
        <f>AE195</f>
        <v>254</v>
      </c>
      <c r="CO195" s="72" t="str">
        <f>AI195</f>
        <v>-</v>
      </c>
      <c r="CP195" s="72">
        <f>AM195</f>
        <v>301</v>
      </c>
      <c r="CQ195" s="72">
        <f>AQ195</f>
        <v>368</v>
      </c>
      <c r="CR195" s="72">
        <f>AU195</f>
        <v>400</v>
      </c>
      <c r="CS195" s="72">
        <f>AY195</f>
        <v>411</v>
      </c>
      <c r="CT195" s="23">
        <f>M195-K195</f>
        <v>2</v>
      </c>
    </row>
    <row r="196" spans="1:1030" x14ac:dyDescent="0.2">
      <c r="A196" s="3" t="str">
        <f>CONCATENATE(B196,"_",C196)</f>
        <v>cnr1_human_5XR8</v>
      </c>
      <c r="B196" s="3" t="s">
        <v>182</v>
      </c>
      <c r="C196" s="3" t="s">
        <v>1418</v>
      </c>
      <c r="D196" s="3" t="str">
        <f>IFERROR(MID(VLOOKUP($B196,Seqs!$A:$B,2,0),E196,1),"")</f>
        <v>N</v>
      </c>
      <c r="E196" s="3">
        <v>112</v>
      </c>
      <c r="F196" s="3" t="str">
        <f>IFERROR(MID(VLOOKUP($B196,Seqs!$A:$B,2,0),G196,1),"")</f>
        <v>S</v>
      </c>
      <c r="G196" s="3">
        <v>146</v>
      </c>
      <c r="H196" s="3" t="str">
        <f>IFERROR(MID(VLOOKUP($B196,Seqs!$A:$B,2,0),I196,1),"")</f>
        <v/>
      </c>
      <c r="I196" s="23" t="s">
        <v>23</v>
      </c>
      <c r="J196" s="3" t="str">
        <f>IFERROR(MID(VLOOKUP($B196,Seqs!$A:$B,2,0),K196,1),"")</f>
        <v/>
      </c>
      <c r="K196" s="23" t="s">
        <v>23</v>
      </c>
      <c r="L196" s="3" t="str">
        <f>IFERROR(MID(VLOOKUP($B196,Seqs!$A:$B,2,0),M196,1),"")</f>
        <v>Y</v>
      </c>
      <c r="M196" s="3">
        <v>153</v>
      </c>
      <c r="N196" s="3" t="str">
        <f>IFERROR(MID(VLOOKUP($B196,Seqs!$A:$B,2,0),O196,1),"")</f>
        <v>F</v>
      </c>
      <c r="O196" s="3">
        <v>180</v>
      </c>
      <c r="P196" s="3" t="str">
        <f>IFERROR(MID(VLOOKUP($B196,Seqs!$A:$B,2,0),Q196,1),"")</f>
        <v/>
      </c>
      <c r="Q196" s="3" t="s">
        <v>23</v>
      </c>
      <c r="R196" s="3" t="str">
        <f>IFERROR(MID(VLOOKUP($B196,Seqs!$A:$B,2,0),S196,1),"")</f>
        <v/>
      </c>
      <c r="S196" s="3" t="s">
        <v>23</v>
      </c>
      <c r="T196" s="3" t="str">
        <f>IFERROR(MID(VLOOKUP($B196,Seqs!$A:$B,2,0),U196,1),"")</f>
        <v>S</v>
      </c>
      <c r="U196" s="3">
        <v>185</v>
      </c>
      <c r="V196" s="3" t="str">
        <f>IFERROR(MID(VLOOKUP($B196,Seqs!$A:$B,2,0),W196,1),"")</f>
        <v>R</v>
      </c>
      <c r="W196" s="3">
        <v>220</v>
      </c>
      <c r="X196" s="3" t="str">
        <f>IFERROR(MID(VLOOKUP($B196,Seqs!$A:$B,2,0),Y196,1),"")</f>
        <v>P</v>
      </c>
      <c r="Y196" s="3">
        <v>221</v>
      </c>
      <c r="Z196" s="3" t="str">
        <f>IFERROR(MID(VLOOKUP($B196,Seqs!$A:$B,2,0),AA196,1),"")</f>
        <v>V</v>
      </c>
      <c r="AA196" s="3">
        <v>228</v>
      </c>
      <c r="AB196" s="3" t="str">
        <f>IFERROR(MID(VLOOKUP($B196,Seqs!$A:$B,2,0),AC196,1),"")</f>
        <v>T</v>
      </c>
      <c r="AC196" s="3">
        <v>229</v>
      </c>
      <c r="AD196" s="3" t="str">
        <f>IFERROR(MID(VLOOKUP($B196,Seqs!$A:$B,2,0),AE196,1),"")</f>
        <v>G</v>
      </c>
      <c r="AE196" s="3">
        <v>254</v>
      </c>
      <c r="AF196" s="3" t="str">
        <f>IFERROR(MID(VLOOKUP($B196,Seqs!$A:$B,2,0),AG196,1),"")</f>
        <v/>
      </c>
      <c r="AG196" s="3" t="s">
        <v>23</v>
      </c>
      <c r="AH196" s="3" t="str">
        <f>IFERROR(MID(VLOOKUP($B196,Seqs!$A:$B,2,0),AI196,1),"")</f>
        <v/>
      </c>
      <c r="AI196" s="3" t="s">
        <v>23</v>
      </c>
      <c r="AJ196" s="3" t="str">
        <f>IFERROR(MID(VLOOKUP($B196,Seqs!$A:$B,2,0),AK196,1),"")</f>
        <v>D</v>
      </c>
      <c r="AK196" s="3">
        <v>272</v>
      </c>
      <c r="AL196" s="3" t="str">
        <f>IFERROR(MID(VLOOKUP($B196,Seqs!$A:$B,2,0),AM196,1),"")</f>
        <v>S</v>
      </c>
      <c r="AM196" s="3">
        <v>303</v>
      </c>
      <c r="AN196" s="3" t="str">
        <f>IFERROR(MID(VLOOKUP($B196,Seqs!$A:$B,2,0),AO196,1),"")</f>
        <v>T</v>
      </c>
      <c r="AO196" s="3">
        <v>460</v>
      </c>
      <c r="AP196" s="3" t="str">
        <f>IFERROR(MID(VLOOKUP($B196,Seqs!$A:$B,2,0),AQ196,1),"")</f>
        <v/>
      </c>
      <c r="AQ196" s="3">
        <v>490</v>
      </c>
      <c r="AR196" s="3" t="str">
        <f>IFERROR(MID(VLOOKUP($B196,Seqs!$A:$B,2,0),AS196,1),"")</f>
        <v/>
      </c>
      <c r="AS196" s="3">
        <v>494</v>
      </c>
      <c r="AT196" s="3" t="str">
        <f>IFERROR(MID(VLOOKUP($B196,Seqs!$A:$B,2,0),AU196,1),"")</f>
        <v/>
      </c>
      <c r="AU196" s="3">
        <v>522</v>
      </c>
      <c r="AV196" s="3" t="str">
        <f>IFERROR(MID(VLOOKUP($B196,Seqs!$A:$B,2,0),AW196,1),"")</f>
        <v/>
      </c>
      <c r="AW196" s="3">
        <v>523</v>
      </c>
      <c r="AX196" s="3" t="str">
        <f>IFERROR(MID(VLOOKUP($B196,Seqs!$A:$B,2,0),AY196,1),"")</f>
        <v/>
      </c>
      <c r="AY196" s="3">
        <v>534</v>
      </c>
      <c r="AZ196" s="77" t="str">
        <f>VLOOKUP(B196,Classification!A:D,2,0)</f>
        <v>A</v>
      </c>
      <c r="BA196" s="94" t="str">
        <f>VLOOKUP(B196,Classification!A:D,4,0)</f>
        <v>Cannabinoid</v>
      </c>
      <c r="BB196" s="27" t="b">
        <f t="shared" ref="BB196:BB202" si="1046">AND(E196&lt;G196,OR(G196&lt;I196,I196="-"),OR(I196&lt;K196,I196="-"),OR(K196&lt;M196,K196="-"),M196&lt;O196,OR(O196&lt;Q196,Q196="-"),OR(Q196&lt;S196,Q196="-"),OR(S196&lt;U196,S196="-"),U196&lt;W196,OR(W196&lt;Y196,Y196="-"),OR(Y196&lt;AA196,Y196="-"),OR(AA196&lt;AC196,AA196="-"),AC196&lt;AE196,OR(AE196&lt;AG196,AG196="-"),OR(AG196&lt;AI196,AG196="-"),OR(AI196&lt;AK196,AI196="-"),AK196&lt;AM196,AM196&lt;AO196,AO196&lt;AQ196,AQ196&lt;AS196,AS196&lt;AU196,OR(AU196&lt;AW196,AW196="-"),OR(AW196&lt;AY196,AW196="-"))</f>
        <v>1</v>
      </c>
      <c r="BC196" s="23">
        <f t="shared" ref="BC196:BC202" si="1047">_xlfn.AGGREGATE(9,6,CH196:CS196)-_xlfn.AGGREGATE(9,6,BV196:CG196)+12</f>
        <v>240</v>
      </c>
      <c r="BD196" s="2" t="s">
        <v>23</v>
      </c>
      <c r="BE196" s="3" t="s">
        <v>1285</v>
      </c>
      <c r="BF196" s="118">
        <v>2.95</v>
      </c>
      <c r="BG196" s="49" t="s">
        <v>1</v>
      </c>
      <c r="BH196" s="49" t="s">
        <v>1</v>
      </c>
      <c r="BJ196" s="70" t="s">
        <v>1281</v>
      </c>
      <c r="BK196" s="57" t="s">
        <v>1281</v>
      </c>
      <c r="BL196" s="57" t="s">
        <v>1281</v>
      </c>
      <c r="BM196" s="57" t="s">
        <v>1281</v>
      </c>
      <c r="BN196" s="57" t="s">
        <v>1281</v>
      </c>
      <c r="BO196" s="57" t="s">
        <v>1281</v>
      </c>
      <c r="BP196" s="57" t="s">
        <v>1281</v>
      </c>
      <c r="BQ196" s="57" t="s">
        <v>1281</v>
      </c>
      <c r="BR196" s="57" t="s">
        <v>1281</v>
      </c>
      <c r="BS196" s="57" t="s">
        <v>1281</v>
      </c>
      <c r="BT196" s="57" t="s">
        <v>1281</v>
      </c>
      <c r="BU196" s="57" t="s">
        <v>1281</v>
      </c>
      <c r="BV196" s="70">
        <f>E196</f>
        <v>112</v>
      </c>
      <c r="BW196" s="71" t="str">
        <f>I196</f>
        <v>-</v>
      </c>
      <c r="BX196" s="72">
        <f>M196</f>
        <v>153</v>
      </c>
      <c r="BY196" s="71" t="str">
        <f>Q196</f>
        <v>-</v>
      </c>
      <c r="BZ196" s="72">
        <f>U196</f>
        <v>185</v>
      </c>
      <c r="CA196" s="71">
        <f>Y196</f>
        <v>221</v>
      </c>
      <c r="CB196" s="72">
        <f>AC196</f>
        <v>229</v>
      </c>
      <c r="CC196" s="71" t="str">
        <f>AG196</f>
        <v>-</v>
      </c>
      <c r="CD196" s="72">
        <f>AK196</f>
        <v>272</v>
      </c>
      <c r="CE196" s="71">
        <f>AO196</f>
        <v>460</v>
      </c>
      <c r="CF196" s="72">
        <f>AS196</f>
        <v>494</v>
      </c>
      <c r="CG196" s="71">
        <f>AW196</f>
        <v>523</v>
      </c>
      <c r="CH196" s="70">
        <f>G196</f>
        <v>146</v>
      </c>
      <c r="CI196" s="71" t="str">
        <f>K196</f>
        <v>-</v>
      </c>
      <c r="CJ196" s="72">
        <f>O196</f>
        <v>180</v>
      </c>
      <c r="CK196" s="72" t="str">
        <f>S196</f>
        <v>-</v>
      </c>
      <c r="CL196" s="72">
        <f>W196</f>
        <v>220</v>
      </c>
      <c r="CM196" s="72">
        <f>AA196</f>
        <v>228</v>
      </c>
      <c r="CN196" s="72">
        <f>AE196</f>
        <v>254</v>
      </c>
      <c r="CO196" s="72" t="str">
        <f>AI196</f>
        <v>-</v>
      </c>
      <c r="CP196" s="72">
        <f>AM196</f>
        <v>303</v>
      </c>
      <c r="CQ196" s="72">
        <f>AQ196</f>
        <v>490</v>
      </c>
      <c r="CR196" s="72">
        <f>AU196</f>
        <v>522</v>
      </c>
      <c r="CS196" s="72">
        <f>AY196</f>
        <v>534</v>
      </c>
      <c r="CT196" s="23" t="e">
        <f>M196-K196</f>
        <v>#VALUE!</v>
      </c>
    </row>
    <row r="197" spans="1:1030" x14ac:dyDescent="0.2">
      <c r="A197" s="3" t="str">
        <f>CONCATENATE(B197,"_",C197)</f>
        <v>cnr1_human_5XRA</v>
      </c>
      <c r="B197" s="3" t="s">
        <v>182</v>
      </c>
      <c r="C197" s="3" t="s">
        <v>1419</v>
      </c>
      <c r="D197" s="3" t="str">
        <f>IFERROR(MID(VLOOKUP($B197,Seqs!$A:$B,2,0),E197,1),"")</f>
        <v>N</v>
      </c>
      <c r="E197" s="3">
        <v>112</v>
      </c>
      <c r="F197" s="3" t="str">
        <f>IFERROR(MID(VLOOKUP($B197,Seqs!$A:$B,2,0),G197,1),"")</f>
        <v>S</v>
      </c>
      <c r="G197" s="3">
        <v>146</v>
      </c>
      <c r="H197" s="3" t="str">
        <f>IFERROR(MID(VLOOKUP($B197,Seqs!$A:$B,2,0),I197,1),"")</f>
        <v/>
      </c>
      <c r="I197" s="23" t="s">
        <v>23</v>
      </c>
      <c r="J197" s="3" t="str">
        <f>IFERROR(MID(VLOOKUP($B197,Seqs!$A:$B,2,0),K197,1),"")</f>
        <v/>
      </c>
      <c r="K197" s="23" t="s">
        <v>23</v>
      </c>
      <c r="L197" s="3" t="str">
        <f>IFERROR(MID(VLOOKUP($B197,Seqs!$A:$B,2,0),M197,1),"")</f>
        <v>Y</v>
      </c>
      <c r="M197" s="3">
        <v>153</v>
      </c>
      <c r="N197" s="3" t="str">
        <f>IFERROR(MID(VLOOKUP($B197,Seqs!$A:$B,2,0),O197,1),"")</f>
        <v>F</v>
      </c>
      <c r="O197" s="3">
        <v>180</v>
      </c>
      <c r="P197" s="3" t="str">
        <f>IFERROR(MID(VLOOKUP($B197,Seqs!$A:$B,2,0),Q197,1),"")</f>
        <v/>
      </c>
      <c r="Q197" s="3" t="s">
        <v>23</v>
      </c>
      <c r="R197" s="3" t="str">
        <f>IFERROR(MID(VLOOKUP($B197,Seqs!$A:$B,2,0),S197,1),"")</f>
        <v/>
      </c>
      <c r="S197" s="3" t="s">
        <v>23</v>
      </c>
      <c r="T197" s="3" t="str">
        <f>IFERROR(MID(VLOOKUP($B197,Seqs!$A:$B,2,0),U197,1),"")</f>
        <v>S</v>
      </c>
      <c r="U197" s="3">
        <v>185</v>
      </c>
      <c r="V197" s="3" t="str">
        <f>IFERROR(MID(VLOOKUP($B197,Seqs!$A:$B,2,0),W197,1),"")</f>
        <v>R</v>
      </c>
      <c r="W197" s="3">
        <v>220</v>
      </c>
      <c r="X197" s="3" t="str">
        <f>IFERROR(MID(VLOOKUP($B197,Seqs!$A:$B,2,0),Y197,1),"")</f>
        <v>P</v>
      </c>
      <c r="Y197" s="3">
        <v>221</v>
      </c>
      <c r="Z197" s="3" t="str">
        <f>IFERROR(MID(VLOOKUP($B197,Seqs!$A:$B,2,0),AA197,1),"")</f>
        <v>V</v>
      </c>
      <c r="AA197" s="3">
        <v>228</v>
      </c>
      <c r="AB197" s="3" t="str">
        <f>IFERROR(MID(VLOOKUP($B197,Seqs!$A:$B,2,0),AC197,1),"")</f>
        <v>T</v>
      </c>
      <c r="AC197" s="3">
        <v>229</v>
      </c>
      <c r="AD197" s="3" t="str">
        <f>IFERROR(MID(VLOOKUP($B197,Seqs!$A:$B,2,0),AE197,1),"")</f>
        <v>G</v>
      </c>
      <c r="AE197" s="3">
        <v>254</v>
      </c>
      <c r="AF197" s="3" t="str">
        <f>IFERROR(MID(VLOOKUP($B197,Seqs!$A:$B,2,0),AG197,1),"")</f>
        <v/>
      </c>
      <c r="AG197" s="3" t="s">
        <v>23</v>
      </c>
      <c r="AH197" s="3" t="str">
        <f>IFERROR(MID(VLOOKUP($B197,Seqs!$A:$B,2,0),AI197,1),"")</f>
        <v/>
      </c>
      <c r="AI197" s="3" t="s">
        <v>23</v>
      </c>
      <c r="AJ197" s="3" t="str">
        <f>IFERROR(MID(VLOOKUP($B197,Seqs!$A:$B,2,0),AK197,1),"")</f>
        <v>D</v>
      </c>
      <c r="AK197" s="3">
        <v>272</v>
      </c>
      <c r="AL197" s="3" t="str">
        <f>IFERROR(MID(VLOOKUP($B197,Seqs!$A:$B,2,0),AM197,1),"")</f>
        <v>A</v>
      </c>
      <c r="AM197" s="3">
        <v>305</v>
      </c>
      <c r="AN197" s="3" t="str">
        <f>IFERROR(MID(VLOOKUP($B197,Seqs!$A:$B,2,0),AO197,1),"")</f>
        <v>D</v>
      </c>
      <c r="AO197" s="3">
        <v>338</v>
      </c>
      <c r="AP197" s="3" t="str">
        <f>IFERROR(MID(VLOOKUP($B197,Seqs!$A:$B,2,0),AQ197,1),"")</f>
        <v>G</v>
      </c>
      <c r="AQ197" s="3">
        <v>369</v>
      </c>
      <c r="AR197" s="3" t="str">
        <f>IFERROR(MID(VLOOKUP($B197,Seqs!$A:$B,2,0),AS197,1),"")</f>
        <v>N</v>
      </c>
      <c r="AS197" s="3">
        <v>372</v>
      </c>
      <c r="AT197" s="3" t="str">
        <f>IFERROR(MID(VLOOKUP($B197,Seqs!$A:$B,2,0),AU197,1),"")</f>
        <v>Y</v>
      </c>
      <c r="AU197" s="3">
        <v>397</v>
      </c>
      <c r="AV197" s="3" t="str">
        <f>IFERROR(MID(VLOOKUP($B197,Seqs!$A:$B,2,0),AW197,1),"")</f>
        <v>S</v>
      </c>
      <c r="AW197" s="3">
        <v>401</v>
      </c>
      <c r="AX197" s="3" t="str">
        <f>IFERROR(MID(VLOOKUP($B197,Seqs!$A:$B,2,0),AY197,1),"")</f>
        <v>F</v>
      </c>
      <c r="AY197" s="3">
        <v>412</v>
      </c>
      <c r="AZ197" s="77" t="str">
        <f>VLOOKUP(B197,Classification!A:D,2,0)</f>
        <v>A</v>
      </c>
      <c r="BA197" s="94" t="str">
        <f>VLOOKUP(B197,Classification!A:D,4,0)</f>
        <v>Cannabinoid</v>
      </c>
      <c r="BB197" s="27" t="b">
        <f t="shared" si="1046"/>
        <v>1</v>
      </c>
      <c r="BC197" s="23">
        <f t="shared" si="1047"/>
        <v>240</v>
      </c>
      <c r="BD197" s="2" t="s">
        <v>23</v>
      </c>
      <c r="BE197" s="3" t="s">
        <v>1285</v>
      </c>
      <c r="BF197" s="118">
        <v>2.8</v>
      </c>
      <c r="BG197" s="49" t="s">
        <v>1</v>
      </c>
      <c r="BH197" s="49" t="s">
        <v>1</v>
      </c>
      <c r="BJ197" s="70" t="s">
        <v>1281</v>
      </c>
      <c r="BK197" s="57" t="s">
        <v>1281</v>
      </c>
      <c r="BL197" s="57" t="s">
        <v>1281</v>
      </c>
      <c r="BM197" s="57" t="s">
        <v>1281</v>
      </c>
      <c r="BN197" s="57" t="s">
        <v>1281</v>
      </c>
      <c r="BO197" s="57" t="s">
        <v>1281</v>
      </c>
      <c r="BP197" s="57" t="s">
        <v>1281</v>
      </c>
      <c r="BQ197" s="57" t="s">
        <v>1281</v>
      </c>
      <c r="BR197" s="57" t="s">
        <v>1281</v>
      </c>
      <c r="BS197" s="57" t="s">
        <v>1281</v>
      </c>
      <c r="BT197" s="57" t="s">
        <v>1281</v>
      </c>
      <c r="BU197" s="57" t="s">
        <v>1281</v>
      </c>
      <c r="BV197" s="70">
        <f>E197</f>
        <v>112</v>
      </c>
      <c r="BW197" s="71" t="str">
        <f>I197</f>
        <v>-</v>
      </c>
      <c r="BX197" s="72">
        <f>M197</f>
        <v>153</v>
      </c>
      <c r="BY197" s="71" t="str">
        <f>Q197</f>
        <v>-</v>
      </c>
      <c r="BZ197" s="72">
        <f>U197</f>
        <v>185</v>
      </c>
      <c r="CA197" s="71">
        <f>Y197</f>
        <v>221</v>
      </c>
      <c r="CB197" s="72">
        <f>AC197</f>
        <v>229</v>
      </c>
      <c r="CC197" s="71" t="str">
        <f>AG197</f>
        <v>-</v>
      </c>
      <c r="CD197" s="72">
        <f>AK197</f>
        <v>272</v>
      </c>
      <c r="CE197" s="71">
        <f>AO197</f>
        <v>338</v>
      </c>
      <c r="CF197" s="72">
        <f>AS197</f>
        <v>372</v>
      </c>
      <c r="CG197" s="71">
        <f>AW197</f>
        <v>401</v>
      </c>
      <c r="CH197" s="70">
        <f>G197</f>
        <v>146</v>
      </c>
      <c r="CI197" s="71" t="str">
        <f>K197</f>
        <v>-</v>
      </c>
      <c r="CJ197" s="72">
        <f>O197</f>
        <v>180</v>
      </c>
      <c r="CK197" s="72" t="str">
        <f>S197</f>
        <v>-</v>
      </c>
      <c r="CL197" s="72">
        <f>W197</f>
        <v>220</v>
      </c>
      <c r="CM197" s="72">
        <f>AA197</f>
        <v>228</v>
      </c>
      <c r="CN197" s="72">
        <f>AE197</f>
        <v>254</v>
      </c>
      <c r="CO197" s="72" t="str">
        <f>AI197</f>
        <v>-</v>
      </c>
      <c r="CP197" s="72">
        <f>AM197</f>
        <v>305</v>
      </c>
      <c r="CQ197" s="72">
        <f>AQ197</f>
        <v>369</v>
      </c>
      <c r="CR197" s="72">
        <f>AU197</f>
        <v>397</v>
      </c>
      <c r="CS197" s="72">
        <f>AY197</f>
        <v>412</v>
      </c>
      <c r="CT197" s="23" t="e">
        <f>M197-K197</f>
        <v>#VALUE!</v>
      </c>
    </row>
    <row r="198" spans="1:1030" x14ac:dyDescent="0.2">
      <c r="A198" s="3" t="str">
        <f>CONCATENATE(B198,"_",C198)</f>
        <v>cnr1_human_6N4B</v>
      </c>
      <c r="B198" s="3" t="s">
        <v>182</v>
      </c>
      <c r="C198" s="3" t="s">
        <v>1550</v>
      </c>
      <c r="D198" s="3" t="str">
        <f>IFERROR(MID(VLOOKUP($B198,Seqs!$A:$B,2,0),E198,1),"")</f>
        <v>N</v>
      </c>
      <c r="E198" s="3">
        <v>112</v>
      </c>
      <c r="F198" s="3" t="str">
        <f>IFERROR(MID(VLOOKUP($B198,Seqs!$A:$B,2,0),G198,1),"")</f>
        <v>H</v>
      </c>
      <c r="G198" s="3">
        <v>143</v>
      </c>
      <c r="H198" s="3" t="str">
        <f>IFERROR(MID(VLOOKUP($B198,Seqs!$A:$B,2,0),I198,1),"")</f>
        <v>R</v>
      </c>
      <c r="I198" s="23">
        <v>145</v>
      </c>
      <c r="J198" s="3" t="str">
        <f>IFERROR(MID(VLOOKUP($B198,Seqs!$A:$B,2,0),K198,1),"")</f>
        <v>R</v>
      </c>
      <c r="K198" s="23">
        <v>148</v>
      </c>
      <c r="L198" s="3" t="str">
        <f>IFERROR(MID(VLOOKUP($B198,Seqs!$A:$B,2,0),M198,1),"")</f>
        <v>Y</v>
      </c>
      <c r="M198" s="3">
        <v>153</v>
      </c>
      <c r="N198" s="3" t="str">
        <f>IFERROR(MID(VLOOKUP($B198,Seqs!$A:$B,2,0),O198,1),"")</f>
        <v>H</v>
      </c>
      <c r="O198" s="3">
        <v>178</v>
      </c>
      <c r="P198" s="3" t="str">
        <f>IFERROR(MID(VLOOKUP($B198,Seqs!$A:$B,2,0),Q198,1),"")</f>
        <v/>
      </c>
      <c r="Q198" s="3" t="s">
        <v>23</v>
      </c>
      <c r="R198" s="3" t="str">
        <f>IFERROR(MID(VLOOKUP($B198,Seqs!$A:$B,2,0),S198,1),"")</f>
        <v/>
      </c>
      <c r="S198" s="3" t="s">
        <v>23</v>
      </c>
      <c r="T198" s="3" t="str">
        <f>IFERROR(MID(VLOOKUP($B198,Seqs!$A:$B,2,0),U198,1),"")</f>
        <v>S</v>
      </c>
      <c r="U198" s="3">
        <v>185</v>
      </c>
      <c r="V198" s="3" t="str">
        <f>IFERROR(MID(VLOOKUP($B198,Seqs!$A:$B,2,0),W198,1),"")</f>
        <v>R</v>
      </c>
      <c r="W198" s="3">
        <v>220</v>
      </c>
      <c r="X198" s="3" t="str">
        <f>IFERROR(MID(VLOOKUP($B198,Seqs!$A:$B,2,0),Y198,1),"")</f>
        <v>P</v>
      </c>
      <c r="Y198" s="3">
        <v>221</v>
      </c>
      <c r="Z198" s="3" t="str">
        <f>IFERROR(MID(VLOOKUP($B198,Seqs!$A:$B,2,0),AA198,1),"")</f>
        <v>V</v>
      </c>
      <c r="AA198" s="3">
        <v>228</v>
      </c>
      <c r="AB198" s="3" t="str">
        <f>IFERROR(MID(VLOOKUP($B198,Seqs!$A:$B,2,0),AC198,1),"")</f>
        <v>T</v>
      </c>
      <c r="AC198" s="3">
        <v>229</v>
      </c>
      <c r="AD198" s="3" t="str">
        <f>IFERROR(MID(VLOOKUP($B198,Seqs!$A:$B,2,0),AE198,1),"")</f>
        <v>G</v>
      </c>
      <c r="AE198" s="3">
        <v>254</v>
      </c>
      <c r="AF198" s="3" t="str">
        <f>IFERROR(MID(VLOOKUP($B198,Seqs!$A:$B,2,0),AG198,1),"")</f>
        <v/>
      </c>
      <c r="AG198" s="3" t="s">
        <v>23</v>
      </c>
      <c r="AH198" s="3" t="str">
        <f>IFERROR(MID(VLOOKUP($B198,Seqs!$A:$B,2,0),AI198,1),"")</f>
        <v/>
      </c>
      <c r="AI198" s="3" t="s">
        <v>23</v>
      </c>
      <c r="AJ198" s="3" t="str">
        <f>IFERROR(MID(VLOOKUP($B198,Seqs!$A:$B,2,0),AK198,1),"")</f>
        <v>D</v>
      </c>
      <c r="AK198" s="3">
        <v>272</v>
      </c>
      <c r="AL198" s="3" t="str">
        <f>IFERROR(MID(VLOOKUP($B198,Seqs!$A:$B,2,0),AM198,1),"")</f>
        <v>R</v>
      </c>
      <c r="AM198" s="3">
        <v>311</v>
      </c>
      <c r="AN198" s="3" t="str">
        <f>IFERROR(MID(VLOOKUP($B198,Seqs!$A:$B,2,0),AO198,1),"")</f>
        <v>A</v>
      </c>
      <c r="AO198" s="3">
        <v>335</v>
      </c>
      <c r="AP198" s="3" t="str">
        <f>IFERROR(MID(VLOOKUP($B198,Seqs!$A:$B,2,0),AQ198,1),"")</f>
        <v>M</v>
      </c>
      <c r="AQ198" s="3">
        <v>363</v>
      </c>
      <c r="AR198" s="3" t="str">
        <f>IFERROR(MID(VLOOKUP($B198,Seqs!$A:$B,2,0),AS198,1),"")</f>
        <v>L</v>
      </c>
      <c r="AS198" s="3">
        <v>374</v>
      </c>
      <c r="AT198" s="3" t="str">
        <f>IFERROR(MID(VLOOKUP($B198,Seqs!$A:$B,2,0),AU198,1),"")</f>
        <v>R</v>
      </c>
      <c r="AU198" s="3">
        <v>400</v>
      </c>
      <c r="AV198" s="3" t="str">
        <f>IFERROR(MID(VLOOKUP($B198,Seqs!$A:$B,2,0),AW198,1),"")</f>
        <v>S</v>
      </c>
      <c r="AW198" s="3">
        <v>401</v>
      </c>
      <c r="AX198" s="3" t="str">
        <f>IFERROR(MID(VLOOKUP($B198,Seqs!$A:$B,2,0),AY198,1),"")</f>
        <v>M</v>
      </c>
      <c r="AY198" s="3">
        <v>411</v>
      </c>
      <c r="AZ198" s="77" t="str">
        <f>VLOOKUP(B198,Classification!A:D,2,0)</f>
        <v>A</v>
      </c>
      <c r="BA198" s="94" t="str">
        <f>VLOOKUP(B198,Classification!A:D,4,0)</f>
        <v>Cannabinoid</v>
      </c>
      <c r="BB198" s="27" t="b">
        <f t="shared" si="1046"/>
        <v>1</v>
      </c>
      <c r="BC198" s="23">
        <f t="shared" si="1047"/>
        <v>241</v>
      </c>
      <c r="BD198" s="2" t="s">
        <v>1369</v>
      </c>
      <c r="BE198" s="3" t="s">
        <v>1285</v>
      </c>
      <c r="BF198" s="118">
        <v>3</v>
      </c>
      <c r="BG198" s="49" t="s">
        <v>1416</v>
      </c>
      <c r="BH198" s="49" t="s">
        <v>1416</v>
      </c>
      <c r="BJ198" s="70" t="s">
        <v>1281</v>
      </c>
      <c r="BK198" s="57" t="s">
        <v>1281</v>
      </c>
      <c r="BL198" s="57" t="s">
        <v>1281</v>
      </c>
      <c r="BM198" s="57" t="s">
        <v>1281</v>
      </c>
      <c r="BN198" s="57" t="s">
        <v>1281</v>
      </c>
      <c r="BO198" s="57" t="s">
        <v>1281</v>
      </c>
      <c r="BP198" s="57" t="s">
        <v>1281</v>
      </c>
      <c r="BQ198" s="57" t="s">
        <v>1281</v>
      </c>
      <c r="BR198" s="57" t="s">
        <v>1281</v>
      </c>
      <c r="BS198" s="57" t="s">
        <v>1281</v>
      </c>
      <c r="BT198" s="57" t="s">
        <v>1281</v>
      </c>
      <c r="BU198" s="57" t="s">
        <v>1281</v>
      </c>
      <c r="BV198" s="70">
        <f>E198</f>
        <v>112</v>
      </c>
      <c r="BW198" s="71">
        <f>I198</f>
        <v>145</v>
      </c>
      <c r="BX198" s="72">
        <f>M198</f>
        <v>153</v>
      </c>
      <c r="BY198" s="71" t="str">
        <f>Q198</f>
        <v>-</v>
      </c>
      <c r="BZ198" s="72">
        <f>U198</f>
        <v>185</v>
      </c>
      <c r="CA198" s="71">
        <f>Y198</f>
        <v>221</v>
      </c>
      <c r="CB198" s="72">
        <f>AC198</f>
        <v>229</v>
      </c>
      <c r="CC198" s="71" t="str">
        <f>AG198</f>
        <v>-</v>
      </c>
      <c r="CD198" s="72">
        <f>AK198</f>
        <v>272</v>
      </c>
      <c r="CE198" s="71">
        <f>AO198</f>
        <v>335</v>
      </c>
      <c r="CF198" s="72">
        <f>AS198</f>
        <v>374</v>
      </c>
      <c r="CG198" s="71">
        <f>AW198</f>
        <v>401</v>
      </c>
      <c r="CH198" s="70">
        <f>G198</f>
        <v>143</v>
      </c>
      <c r="CI198" s="71">
        <f>K198</f>
        <v>148</v>
      </c>
      <c r="CJ198" s="72">
        <f>O198</f>
        <v>178</v>
      </c>
      <c r="CK198" s="72" t="str">
        <f>S198</f>
        <v>-</v>
      </c>
      <c r="CL198" s="72">
        <f>W198</f>
        <v>220</v>
      </c>
      <c r="CM198" s="72">
        <f>AA198</f>
        <v>228</v>
      </c>
      <c r="CN198" s="72">
        <f>AE198</f>
        <v>254</v>
      </c>
      <c r="CO198" s="72" t="str">
        <f>AI198</f>
        <v>-</v>
      </c>
      <c r="CP198" s="72">
        <f>AM198</f>
        <v>311</v>
      </c>
      <c r="CQ198" s="72">
        <f>AQ198</f>
        <v>363</v>
      </c>
      <c r="CR198" s="72">
        <f>AU198</f>
        <v>400</v>
      </c>
      <c r="CS198" s="72">
        <f>AY198</f>
        <v>411</v>
      </c>
      <c r="CT198" s="23">
        <f>M198-K198</f>
        <v>5</v>
      </c>
    </row>
    <row r="199" spans="1:1030" s="12" customFormat="1" x14ac:dyDescent="0.2">
      <c r="A199" s="9" t="str">
        <f>CONCATENATE(B199,"_",C199)</f>
        <v>cnr1_human_6KQI</v>
      </c>
      <c r="B199" s="9" t="s">
        <v>182</v>
      </c>
      <c r="C199" s="9" t="s">
        <v>1587</v>
      </c>
      <c r="D199" s="9" t="str">
        <f>IFERROR(MID(VLOOKUP($B199,Seqs!$A:$B,2,0),E199,1),"")</f>
        <v>N</v>
      </c>
      <c r="E199" s="9">
        <v>112</v>
      </c>
      <c r="F199" s="9" t="str">
        <f>IFERROR(MID(VLOOKUP($B199,Seqs!$A:$B,2,0),G199,1),"")</f>
        <v>S</v>
      </c>
      <c r="G199" s="9">
        <v>144</v>
      </c>
      <c r="H199" s="9" t="str">
        <f>IFERROR(MID(VLOOKUP($B199,Seqs!$A:$B,2,0),I199,1),"")</f>
        <v>R</v>
      </c>
      <c r="I199" s="109">
        <v>145</v>
      </c>
      <c r="J199" s="9" t="str">
        <f>IFERROR(MID(VLOOKUP($B199,Seqs!$A:$B,2,0),K199,1),"")</f>
        <v>R</v>
      </c>
      <c r="K199" s="109">
        <v>148</v>
      </c>
      <c r="L199" s="9" t="str">
        <f>IFERROR(MID(VLOOKUP($B199,Seqs!$A:$B,2,0),M199,1),"")</f>
        <v>Y</v>
      </c>
      <c r="M199" s="9">
        <v>153</v>
      </c>
      <c r="N199" s="9" t="str">
        <f>IFERROR(MID(VLOOKUP($B199,Seqs!$A:$B,2,0),O199,1),"")</f>
        <v>V</v>
      </c>
      <c r="O199" s="9">
        <v>179</v>
      </c>
      <c r="P199" s="9" t="str">
        <f>IFERROR(MID(VLOOKUP($B199,Seqs!$A:$B,2,0),Q199,1),"")</f>
        <v/>
      </c>
      <c r="Q199" s="9" t="s">
        <v>23</v>
      </c>
      <c r="R199" s="9" t="str">
        <f>IFERROR(MID(VLOOKUP($B199,Seqs!$A:$B,2,0),S199,1),"")</f>
        <v/>
      </c>
      <c r="S199" s="9" t="s">
        <v>23</v>
      </c>
      <c r="T199" s="9" t="str">
        <f>IFERROR(MID(VLOOKUP($B199,Seqs!$A:$B,2,0),U199,1),"")</f>
        <v>S</v>
      </c>
      <c r="U199" s="9">
        <v>185</v>
      </c>
      <c r="V199" s="9" t="str">
        <f>IFERROR(MID(VLOOKUP($B199,Seqs!$A:$B,2,0),W199,1),"")</f>
        <v>R</v>
      </c>
      <c r="W199" s="9">
        <v>220</v>
      </c>
      <c r="X199" s="9" t="str">
        <f>IFERROR(MID(VLOOKUP($B199,Seqs!$A:$B,2,0),Y199,1),"")</f>
        <v>P</v>
      </c>
      <c r="Y199" s="9">
        <v>221</v>
      </c>
      <c r="Z199" s="9" t="str">
        <f>IFERROR(MID(VLOOKUP($B199,Seqs!$A:$B,2,0),AA199,1),"")</f>
        <v>V</v>
      </c>
      <c r="AA199" s="9">
        <v>228</v>
      </c>
      <c r="AB199" s="9"/>
      <c r="AC199" s="9">
        <v>229</v>
      </c>
      <c r="AD199" s="9" t="str">
        <f>IFERROR(MID(VLOOKUP($B199,Seqs!$A:$B,2,0),AE199,1),"")</f>
        <v>L</v>
      </c>
      <c r="AE199" s="9">
        <v>253</v>
      </c>
      <c r="AF199" s="9" t="str">
        <f>IFERROR(MID(VLOOKUP($B199,Seqs!$A:$B,2,0),AG199,1),"")</f>
        <v/>
      </c>
      <c r="AG199" s="9" t="s">
        <v>23</v>
      </c>
      <c r="AH199" s="9" t="str">
        <f>IFERROR(MID(VLOOKUP($B199,Seqs!$A:$B,2,0),AI199,1),"")</f>
        <v/>
      </c>
      <c r="AI199" s="9" t="s">
        <v>23</v>
      </c>
      <c r="AJ199" s="9" t="str">
        <f>IFERROR(MID(VLOOKUP($B199,Seqs!$A:$B,2,0),AK199,1),"")</f>
        <v>D</v>
      </c>
      <c r="AK199" s="9">
        <v>272</v>
      </c>
      <c r="AL199" s="9" t="str">
        <f>IFERROR(MID(VLOOKUP($B199,Seqs!$A:$B,2,0),AM199,1),"")</f>
        <v>A</v>
      </c>
      <c r="AM199" s="9">
        <v>301</v>
      </c>
      <c r="AN199" s="9" t="str">
        <f>IFERROR(MID(VLOOKUP($B199,Seqs!$A:$B,2,0),AO199,1),"")</f>
        <v>D</v>
      </c>
      <c r="AO199" s="9">
        <v>333</v>
      </c>
      <c r="AP199" s="9" t="str">
        <f>IFERROR(MID(VLOOKUP($B199,Seqs!$A:$B,2,0),AQ199,1),"")</f>
        <v>F</v>
      </c>
      <c r="AQ199" s="9">
        <v>368</v>
      </c>
      <c r="AR199" s="9" t="str">
        <f>IFERROR(MID(VLOOKUP($B199,Seqs!$A:$B,2,0),AS199,1),"")</f>
        <v>N</v>
      </c>
      <c r="AS199" s="9">
        <v>372</v>
      </c>
      <c r="AT199" s="9" t="str">
        <f>IFERROR(MID(VLOOKUP($B199,Seqs!$A:$B,2,0),AU199,1),"")</f>
        <v>R</v>
      </c>
      <c r="AU199" s="9">
        <v>400</v>
      </c>
      <c r="AV199" s="9" t="str">
        <f>IFERROR(MID(VLOOKUP($B199,Seqs!$A:$B,2,0),AW199,1),"")</f>
        <v>S</v>
      </c>
      <c r="AW199" s="9">
        <v>401</v>
      </c>
      <c r="AX199" s="9" t="str">
        <f>IFERROR(MID(VLOOKUP($B199,Seqs!$A:$B,2,0),AY199,1),"")</f>
        <v>F</v>
      </c>
      <c r="AY199" s="9">
        <v>412</v>
      </c>
      <c r="AZ199" s="110" t="str">
        <f>VLOOKUP(B199,Classification!A:D,2,0)</f>
        <v>A</v>
      </c>
      <c r="BA199" s="98" t="str">
        <f>VLOOKUP(B199,Classification!A:D,4,0)</f>
        <v>Cannabinoid</v>
      </c>
      <c r="BB199" s="36" t="b">
        <f t="shared" si="1046"/>
        <v>1</v>
      </c>
      <c r="BC199" s="109">
        <f t="shared" si="1047"/>
        <v>242</v>
      </c>
      <c r="BD199" s="40" t="s">
        <v>23</v>
      </c>
      <c r="BE199" s="9" t="s">
        <v>1368</v>
      </c>
      <c r="BF199" s="119">
        <v>3.25</v>
      </c>
      <c r="BG199" s="51" t="s">
        <v>1</v>
      </c>
      <c r="BH199" s="51" t="s">
        <v>1</v>
      </c>
      <c r="BI199" s="9"/>
      <c r="BJ199" s="111" t="s">
        <v>1281</v>
      </c>
      <c r="BK199" s="112" t="s">
        <v>1281</v>
      </c>
      <c r="BL199" s="112" t="s">
        <v>1281</v>
      </c>
      <c r="BM199" s="112" t="s">
        <v>1281</v>
      </c>
      <c r="BN199" s="112" t="s">
        <v>1281</v>
      </c>
      <c r="BO199" s="112" t="s">
        <v>1281</v>
      </c>
      <c r="BP199" s="112" t="s">
        <v>1281</v>
      </c>
      <c r="BQ199" s="112" t="s">
        <v>1281</v>
      </c>
      <c r="BR199" s="112" t="s">
        <v>1281</v>
      </c>
      <c r="BS199" s="112" t="s">
        <v>1281</v>
      </c>
      <c r="BT199" s="112" t="s">
        <v>1281</v>
      </c>
      <c r="BU199" s="112" t="s">
        <v>1281</v>
      </c>
      <c r="BV199" s="111">
        <f>E199</f>
        <v>112</v>
      </c>
      <c r="BW199" s="113">
        <f>I199</f>
        <v>145</v>
      </c>
      <c r="BX199" s="114">
        <f>M199</f>
        <v>153</v>
      </c>
      <c r="BY199" s="113" t="str">
        <f>Q199</f>
        <v>-</v>
      </c>
      <c r="BZ199" s="114">
        <f>U199</f>
        <v>185</v>
      </c>
      <c r="CA199" s="113">
        <f>Y199</f>
        <v>221</v>
      </c>
      <c r="CB199" s="114">
        <f>AC199</f>
        <v>229</v>
      </c>
      <c r="CC199" s="113" t="str">
        <f>AG199</f>
        <v>-</v>
      </c>
      <c r="CD199" s="114">
        <f>AK199</f>
        <v>272</v>
      </c>
      <c r="CE199" s="113">
        <f>AO199</f>
        <v>333</v>
      </c>
      <c r="CF199" s="114">
        <f>AS199</f>
        <v>372</v>
      </c>
      <c r="CG199" s="113">
        <f>AW199</f>
        <v>401</v>
      </c>
      <c r="CH199" s="111">
        <f>G199</f>
        <v>144</v>
      </c>
      <c r="CI199" s="113">
        <f>K199</f>
        <v>148</v>
      </c>
      <c r="CJ199" s="114">
        <f>O199</f>
        <v>179</v>
      </c>
      <c r="CK199" s="114" t="str">
        <f>S199</f>
        <v>-</v>
      </c>
      <c r="CL199" s="114">
        <f>W199</f>
        <v>220</v>
      </c>
      <c r="CM199" s="114">
        <f>AA199</f>
        <v>228</v>
      </c>
      <c r="CN199" s="114">
        <f>AE199</f>
        <v>253</v>
      </c>
      <c r="CO199" s="114" t="str">
        <f>AI199</f>
        <v>-</v>
      </c>
      <c r="CP199" s="114">
        <f>AM199</f>
        <v>301</v>
      </c>
      <c r="CQ199" s="114">
        <f>AQ199</f>
        <v>368</v>
      </c>
      <c r="CR199" s="114">
        <f>AU199</f>
        <v>400</v>
      </c>
      <c r="CS199" s="114">
        <f>AY199</f>
        <v>412</v>
      </c>
      <c r="CT199" s="109">
        <f>M199-K199</f>
        <v>5</v>
      </c>
      <c r="CU199" s="9"/>
      <c r="CV199" s="9"/>
      <c r="CW199" s="9"/>
      <c r="CX199" s="9"/>
      <c r="CY199" s="9"/>
      <c r="CZ199" s="9"/>
      <c r="DA199" s="9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  <c r="DM199" s="9"/>
      <c r="DN199" s="9"/>
      <c r="DO199" s="9"/>
      <c r="DP199" s="9"/>
      <c r="DQ199" s="9"/>
      <c r="DR199" s="9"/>
      <c r="DS199" s="9"/>
      <c r="DT199" s="9"/>
      <c r="DU199" s="9"/>
      <c r="DV199" s="9"/>
      <c r="DW199" s="9"/>
      <c r="DX199" s="9"/>
      <c r="DY199" s="9"/>
      <c r="DZ199" s="9"/>
      <c r="EA199" s="9"/>
      <c r="EB199" s="9"/>
      <c r="EC199" s="9"/>
      <c r="ED199" s="9"/>
      <c r="EE199" s="9"/>
      <c r="EF199" s="9"/>
      <c r="EG199" s="9"/>
      <c r="EH199" s="9"/>
      <c r="EI199" s="9"/>
      <c r="EJ199" s="9"/>
      <c r="EK199" s="9"/>
      <c r="EL199" s="9"/>
      <c r="EM199" s="9"/>
      <c r="EN199" s="9"/>
      <c r="EO199" s="9"/>
      <c r="EP199" s="9"/>
      <c r="EQ199" s="9"/>
      <c r="ER199" s="9"/>
      <c r="ES199" s="9"/>
      <c r="ET199" s="9"/>
      <c r="EU199" s="9"/>
      <c r="EV199" s="9"/>
      <c r="EW199" s="9"/>
      <c r="EX199" s="9"/>
      <c r="EY199" s="9"/>
      <c r="EZ199" s="9"/>
      <c r="FA199" s="9"/>
      <c r="FB199" s="9"/>
      <c r="FC199" s="9"/>
      <c r="FD199" s="9"/>
      <c r="FE199" s="9"/>
      <c r="FF199" s="9"/>
      <c r="FG199" s="9"/>
      <c r="FH199" s="9"/>
      <c r="FI199" s="9"/>
      <c r="FJ199" s="9"/>
      <c r="FK199" s="9"/>
      <c r="FL199" s="9"/>
      <c r="FM199" s="9"/>
      <c r="FN199" s="9"/>
      <c r="FO199" s="9"/>
      <c r="FP199" s="9"/>
      <c r="FQ199" s="9"/>
      <c r="FR199" s="9"/>
      <c r="FS199" s="9"/>
      <c r="FT199" s="9"/>
      <c r="FU199" s="9"/>
      <c r="FV199" s="9"/>
      <c r="FW199" s="9"/>
      <c r="FX199" s="9"/>
      <c r="FY199" s="9"/>
      <c r="FZ199" s="9"/>
      <c r="GA199" s="9"/>
      <c r="GB199" s="9"/>
      <c r="GC199" s="9"/>
      <c r="GD199" s="9"/>
      <c r="GE199" s="9"/>
      <c r="GF199" s="9"/>
      <c r="GG199" s="9"/>
      <c r="GH199" s="9"/>
      <c r="GI199" s="9"/>
      <c r="GJ199" s="9"/>
      <c r="GK199" s="9"/>
      <c r="GL199" s="9"/>
      <c r="GM199" s="9"/>
      <c r="GN199" s="9"/>
      <c r="GO199" s="9"/>
      <c r="GP199" s="9"/>
      <c r="GQ199" s="9"/>
      <c r="GR199" s="9"/>
      <c r="GS199" s="9"/>
      <c r="GT199" s="9"/>
      <c r="GU199" s="9"/>
      <c r="GV199" s="9"/>
      <c r="GW199" s="9"/>
      <c r="GX199" s="9"/>
      <c r="GY199" s="9"/>
      <c r="GZ199" s="9"/>
      <c r="HA199" s="9"/>
      <c r="HB199" s="9"/>
      <c r="HC199" s="9"/>
      <c r="HD199" s="9"/>
      <c r="HE199" s="9"/>
      <c r="HF199" s="9"/>
      <c r="HG199" s="9"/>
      <c r="HH199" s="9"/>
      <c r="HI199" s="9"/>
      <c r="HJ199" s="9"/>
      <c r="HK199" s="9"/>
      <c r="HL199" s="9"/>
      <c r="HM199" s="9"/>
      <c r="HN199" s="9"/>
      <c r="HO199" s="9"/>
      <c r="HP199" s="9"/>
      <c r="HQ199" s="9"/>
      <c r="HR199" s="9"/>
      <c r="HS199" s="9"/>
      <c r="HT199" s="9"/>
      <c r="HU199" s="9"/>
      <c r="HV199" s="9"/>
      <c r="HW199" s="9"/>
      <c r="HX199" s="9"/>
      <c r="HY199" s="9"/>
      <c r="HZ199" s="9"/>
      <c r="IA199" s="9"/>
      <c r="IB199" s="9"/>
      <c r="IC199" s="9"/>
      <c r="ID199" s="9"/>
      <c r="IE199" s="9"/>
      <c r="IF199" s="9"/>
      <c r="IG199" s="9"/>
      <c r="IH199" s="9"/>
      <c r="II199" s="9"/>
      <c r="IJ199" s="9"/>
      <c r="IK199" s="9"/>
      <c r="IL199" s="9"/>
      <c r="IM199" s="9"/>
      <c r="IN199" s="9"/>
      <c r="IO199" s="9"/>
      <c r="IP199" s="9"/>
      <c r="IQ199" s="9"/>
      <c r="IR199" s="9"/>
      <c r="IS199" s="9"/>
      <c r="IT199" s="9"/>
      <c r="IU199" s="9"/>
      <c r="IV199" s="9"/>
      <c r="IW199" s="9"/>
      <c r="IX199" s="9"/>
      <c r="IY199" s="9"/>
      <c r="IZ199" s="9"/>
      <c r="JA199" s="9"/>
      <c r="JB199" s="9"/>
      <c r="JC199" s="9"/>
      <c r="JD199" s="9"/>
      <c r="JE199" s="9"/>
      <c r="JF199" s="9"/>
      <c r="JG199" s="9"/>
      <c r="JH199" s="9"/>
      <c r="JI199" s="9"/>
      <c r="JJ199" s="9"/>
      <c r="JK199" s="9"/>
      <c r="JL199" s="9"/>
      <c r="JM199" s="9"/>
      <c r="JN199" s="9"/>
      <c r="JO199" s="9"/>
      <c r="JP199" s="9"/>
      <c r="JQ199" s="9"/>
      <c r="JR199" s="9"/>
      <c r="JS199" s="9"/>
      <c r="JT199" s="9"/>
      <c r="JU199" s="9"/>
      <c r="JV199" s="9"/>
      <c r="JW199" s="9"/>
      <c r="JX199" s="9"/>
      <c r="JY199" s="9"/>
      <c r="JZ199" s="9"/>
      <c r="KA199" s="9"/>
      <c r="KB199" s="9"/>
      <c r="KC199" s="9"/>
      <c r="KD199" s="9"/>
      <c r="KE199" s="9"/>
      <c r="KF199" s="9"/>
      <c r="KG199" s="9"/>
      <c r="KH199" s="9"/>
      <c r="KI199" s="9"/>
      <c r="KJ199" s="9"/>
      <c r="KK199" s="9"/>
      <c r="KL199" s="9"/>
      <c r="KM199" s="9"/>
      <c r="KN199" s="9"/>
      <c r="KO199" s="9"/>
      <c r="KP199" s="9"/>
      <c r="KQ199" s="9"/>
      <c r="KR199" s="9"/>
      <c r="KS199" s="9"/>
      <c r="KT199" s="9"/>
      <c r="KU199" s="9"/>
      <c r="KV199" s="9"/>
      <c r="KW199" s="9"/>
      <c r="KX199" s="9"/>
      <c r="KY199" s="9"/>
      <c r="KZ199" s="9"/>
      <c r="LA199" s="9"/>
      <c r="LB199" s="9"/>
      <c r="LC199" s="9"/>
      <c r="LD199" s="9"/>
      <c r="LE199" s="9"/>
      <c r="LF199" s="9"/>
      <c r="LG199" s="9"/>
      <c r="LH199" s="9"/>
      <c r="LI199" s="9"/>
      <c r="LJ199" s="9"/>
      <c r="LK199" s="9"/>
      <c r="LL199" s="9"/>
      <c r="LM199" s="9"/>
      <c r="LN199" s="9"/>
      <c r="LO199" s="9"/>
      <c r="LP199" s="9"/>
      <c r="LQ199" s="9"/>
      <c r="LR199" s="9"/>
      <c r="LS199" s="9"/>
      <c r="LT199" s="9"/>
      <c r="LU199" s="9"/>
      <c r="LV199" s="9"/>
      <c r="LW199" s="9"/>
      <c r="LX199" s="9"/>
      <c r="LY199" s="9"/>
      <c r="LZ199" s="9"/>
      <c r="MA199" s="9"/>
      <c r="MB199" s="9"/>
      <c r="MC199" s="9"/>
      <c r="MD199" s="9"/>
      <c r="ME199" s="9"/>
      <c r="MF199" s="9"/>
      <c r="MG199" s="9"/>
      <c r="MH199" s="9"/>
      <c r="MI199" s="9"/>
      <c r="MJ199" s="9"/>
      <c r="MK199" s="9"/>
      <c r="ML199" s="9"/>
      <c r="MM199" s="9"/>
      <c r="MN199" s="9"/>
      <c r="MO199" s="9"/>
      <c r="MP199" s="9"/>
      <c r="MQ199" s="9"/>
      <c r="MR199" s="9"/>
      <c r="MS199" s="9"/>
      <c r="MT199" s="9"/>
      <c r="MU199" s="9"/>
      <c r="MV199" s="9"/>
      <c r="MW199" s="9"/>
      <c r="MX199" s="9"/>
      <c r="MY199" s="9"/>
      <c r="MZ199" s="9"/>
      <c r="NA199" s="9"/>
      <c r="NB199" s="9"/>
      <c r="NC199" s="9"/>
      <c r="ND199" s="9"/>
      <c r="NE199" s="9"/>
      <c r="NF199" s="9"/>
      <c r="NG199" s="9"/>
      <c r="NH199" s="9"/>
      <c r="NI199" s="9"/>
      <c r="NJ199" s="9"/>
      <c r="NK199" s="9"/>
      <c r="NL199" s="9"/>
      <c r="NM199" s="9"/>
      <c r="NN199" s="9"/>
      <c r="NO199" s="9"/>
      <c r="NP199" s="9"/>
      <c r="NQ199" s="9"/>
      <c r="NR199" s="9"/>
      <c r="NS199" s="9"/>
      <c r="NT199" s="9"/>
      <c r="NU199" s="9"/>
      <c r="NV199" s="9"/>
      <c r="NW199" s="9"/>
      <c r="NX199" s="9"/>
      <c r="NY199" s="9"/>
      <c r="NZ199" s="9"/>
      <c r="OA199" s="9"/>
      <c r="OB199" s="9"/>
      <c r="OC199" s="9"/>
      <c r="OD199" s="9"/>
      <c r="OE199" s="9"/>
      <c r="OF199" s="9"/>
      <c r="OG199" s="9"/>
      <c r="OH199" s="9"/>
      <c r="OI199" s="9"/>
      <c r="OJ199" s="9"/>
      <c r="OK199" s="9"/>
      <c r="OL199" s="9"/>
      <c r="OM199" s="9"/>
      <c r="ON199" s="9"/>
      <c r="OO199" s="9"/>
      <c r="OP199" s="9"/>
      <c r="OQ199" s="9"/>
      <c r="OR199" s="9"/>
      <c r="OS199" s="9"/>
      <c r="OT199" s="9"/>
      <c r="OU199" s="9"/>
      <c r="OV199" s="9"/>
      <c r="OW199" s="9"/>
      <c r="OX199" s="9"/>
      <c r="OY199" s="9"/>
      <c r="OZ199" s="9"/>
      <c r="PA199" s="9"/>
      <c r="PB199" s="9"/>
      <c r="PC199" s="9"/>
      <c r="PD199" s="9"/>
      <c r="PE199" s="9"/>
      <c r="PF199" s="9"/>
      <c r="PG199" s="9"/>
      <c r="PH199" s="9"/>
      <c r="PI199" s="9"/>
      <c r="PJ199" s="9"/>
      <c r="PK199" s="9"/>
      <c r="PL199" s="9"/>
      <c r="PM199" s="9"/>
      <c r="PN199" s="9"/>
      <c r="PO199" s="9"/>
      <c r="PP199" s="9"/>
      <c r="PQ199" s="9"/>
      <c r="PR199" s="9"/>
      <c r="PS199" s="9"/>
      <c r="PT199" s="9"/>
      <c r="PU199" s="9"/>
      <c r="PV199" s="9"/>
      <c r="PW199" s="9"/>
      <c r="PX199" s="9"/>
      <c r="PY199" s="9"/>
      <c r="PZ199" s="9"/>
      <c r="QA199" s="9"/>
      <c r="QB199" s="9"/>
      <c r="QC199" s="9"/>
      <c r="QD199" s="9"/>
      <c r="QE199" s="9"/>
      <c r="QF199" s="9"/>
      <c r="QG199" s="9"/>
      <c r="QH199" s="9"/>
      <c r="QI199" s="9"/>
      <c r="QJ199" s="9"/>
      <c r="QK199" s="9"/>
      <c r="QL199" s="9"/>
      <c r="QM199" s="9"/>
      <c r="QN199" s="9"/>
      <c r="QO199" s="9"/>
      <c r="QP199" s="9"/>
      <c r="QQ199" s="9"/>
      <c r="QR199" s="9"/>
      <c r="QS199" s="9"/>
      <c r="QT199" s="9"/>
      <c r="QU199" s="9"/>
      <c r="QV199" s="9"/>
      <c r="QW199" s="9"/>
      <c r="QX199" s="9"/>
      <c r="QY199" s="9"/>
      <c r="QZ199" s="9"/>
      <c r="RA199" s="9"/>
      <c r="RB199" s="9"/>
      <c r="RC199" s="9"/>
      <c r="RD199" s="9"/>
      <c r="RE199" s="9"/>
      <c r="RF199" s="9"/>
      <c r="RG199" s="9"/>
      <c r="RH199" s="9"/>
      <c r="RI199" s="9"/>
      <c r="RJ199" s="9"/>
      <c r="RK199" s="9"/>
      <c r="RL199" s="9"/>
      <c r="RM199" s="9"/>
      <c r="RN199" s="9"/>
      <c r="RO199" s="9"/>
      <c r="RP199" s="9"/>
      <c r="RQ199" s="9"/>
      <c r="RR199" s="9"/>
      <c r="RS199" s="9"/>
      <c r="RT199" s="9"/>
      <c r="RU199" s="9"/>
      <c r="RV199" s="9"/>
      <c r="RW199" s="9"/>
      <c r="RX199" s="9"/>
      <c r="RY199" s="9"/>
      <c r="RZ199" s="9"/>
      <c r="SA199" s="9"/>
      <c r="SB199" s="9"/>
      <c r="SC199" s="9"/>
      <c r="SD199" s="9"/>
      <c r="SE199" s="9"/>
      <c r="SF199" s="9"/>
      <c r="SG199" s="9"/>
      <c r="SH199" s="9"/>
      <c r="SI199" s="9"/>
      <c r="SJ199" s="9"/>
      <c r="SK199" s="9"/>
      <c r="SL199" s="9"/>
      <c r="SM199" s="9"/>
      <c r="SN199" s="9"/>
      <c r="SO199" s="9"/>
      <c r="SP199" s="9"/>
      <c r="SQ199" s="9"/>
      <c r="SR199" s="9"/>
      <c r="SS199" s="9"/>
      <c r="ST199" s="9"/>
      <c r="SU199" s="9"/>
      <c r="SV199" s="9"/>
      <c r="SW199" s="9"/>
      <c r="SX199" s="9"/>
      <c r="SY199" s="9"/>
      <c r="SZ199" s="9"/>
      <c r="TA199" s="9"/>
      <c r="TB199" s="9"/>
      <c r="TC199" s="9"/>
      <c r="TD199" s="9"/>
      <c r="TE199" s="9"/>
      <c r="TF199" s="9"/>
      <c r="TG199" s="9"/>
      <c r="TH199" s="9"/>
      <c r="TI199" s="9"/>
      <c r="TJ199" s="9"/>
      <c r="TK199" s="9"/>
      <c r="TL199" s="9"/>
      <c r="TM199" s="9"/>
      <c r="TN199" s="9"/>
      <c r="TO199" s="9"/>
      <c r="TP199" s="9"/>
      <c r="TQ199" s="9"/>
      <c r="TR199" s="9"/>
      <c r="TS199" s="9"/>
      <c r="TT199" s="9"/>
      <c r="TU199" s="9"/>
      <c r="TV199" s="9"/>
      <c r="TW199" s="9"/>
      <c r="TX199" s="9"/>
      <c r="TY199" s="9"/>
      <c r="TZ199" s="9"/>
      <c r="UA199" s="9"/>
      <c r="UB199" s="9"/>
      <c r="UC199" s="9"/>
      <c r="UD199" s="9"/>
      <c r="UE199" s="9"/>
      <c r="UF199" s="9"/>
      <c r="UG199" s="9"/>
      <c r="UH199" s="9"/>
      <c r="UI199" s="9"/>
      <c r="UJ199" s="9"/>
      <c r="UK199" s="9"/>
      <c r="UL199" s="9"/>
      <c r="UM199" s="9"/>
      <c r="UN199" s="9"/>
      <c r="UO199" s="9"/>
      <c r="UP199" s="9"/>
      <c r="UQ199" s="9"/>
      <c r="UR199" s="9"/>
      <c r="US199" s="9"/>
      <c r="UT199" s="9"/>
      <c r="UU199" s="9"/>
      <c r="UV199" s="9"/>
      <c r="UW199" s="9"/>
      <c r="UX199" s="9"/>
      <c r="UY199" s="9"/>
      <c r="UZ199" s="9"/>
      <c r="VA199" s="9"/>
      <c r="VB199" s="9"/>
      <c r="VC199" s="9"/>
      <c r="VD199" s="9"/>
      <c r="VE199" s="9"/>
      <c r="VF199" s="9"/>
      <c r="VG199" s="9"/>
      <c r="VH199" s="9"/>
      <c r="VI199" s="9"/>
      <c r="VJ199" s="9"/>
      <c r="VK199" s="9"/>
      <c r="VL199" s="9"/>
      <c r="VM199" s="9"/>
      <c r="VN199" s="9"/>
      <c r="VO199" s="9"/>
      <c r="VP199" s="9"/>
      <c r="VQ199" s="9"/>
      <c r="VR199" s="9"/>
      <c r="VS199" s="9"/>
      <c r="VT199" s="9"/>
      <c r="VU199" s="9"/>
      <c r="VV199" s="9"/>
      <c r="VW199" s="9"/>
      <c r="VX199" s="9"/>
      <c r="VY199" s="9"/>
      <c r="VZ199" s="9"/>
      <c r="WA199" s="9"/>
      <c r="WB199" s="9"/>
      <c r="WC199" s="9"/>
      <c r="WD199" s="9"/>
      <c r="WE199" s="9"/>
      <c r="WF199" s="9"/>
      <c r="WG199" s="9"/>
      <c r="WH199" s="9"/>
      <c r="WI199" s="9"/>
      <c r="WJ199" s="9"/>
      <c r="WK199" s="9"/>
      <c r="WL199" s="9"/>
      <c r="WM199" s="9"/>
      <c r="WN199" s="9"/>
      <c r="WO199" s="9"/>
      <c r="WP199" s="9"/>
      <c r="WQ199" s="9"/>
      <c r="WR199" s="9"/>
      <c r="WS199" s="9"/>
      <c r="WT199" s="9"/>
      <c r="WU199" s="9"/>
      <c r="WV199" s="9"/>
      <c r="WW199" s="9"/>
      <c r="WX199" s="9"/>
      <c r="WY199" s="9"/>
      <c r="WZ199" s="9"/>
      <c r="XA199" s="9"/>
      <c r="XB199" s="9"/>
      <c r="XC199" s="9"/>
      <c r="XD199" s="9"/>
      <c r="XE199" s="9"/>
      <c r="XF199" s="9"/>
      <c r="XG199" s="9"/>
      <c r="XH199" s="9"/>
      <c r="XI199" s="9"/>
      <c r="XJ199" s="9"/>
      <c r="XK199" s="9"/>
      <c r="XL199" s="9"/>
      <c r="XM199" s="9"/>
      <c r="XN199" s="9"/>
      <c r="XO199" s="9"/>
      <c r="XP199" s="9"/>
      <c r="XQ199" s="9"/>
      <c r="XR199" s="9"/>
      <c r="XS199" s="9"/>
      <c r="XT199" s="9"/>
      <c r="XU199" s="9"/>
      <c r="XV199" s="9"/>
      <c r="XW199" s="9"/>
      <c r="XX199" s="9"/>
      <c r="XY199" s="9"/>
      <c r="XZ199" s="9"/>
      <c r="YA199" s="9"/>
      <c r="YB199" s="9"/>
      <c r="YC199" s="9"/>
      <c r="YD199" s="9"/>
      <c r="YE199" s="9"/>
      <c r="YF199" s="9"/>
      <c r="YG199" s="9"/>
      <c r="YH199" s="9"/>
      <c r="YI199" s="9"/>
      <c r="YJ199" s="9"/>
      <c r="YK199" s="9"/>
      <c r="YL199" s="9"/>
      <c r="YM199" s="9"/>
      <c r="YN199" s="9"/>
      <c r="YO199" s="9"/>
      <c r="YP199" s="9"/>
      <c r="YQ199" s="9"/>
      <c r="YR199" s="9"/>
      <c r="YS199" s="9"/>
      <c r="YT199" s="9"/>
      <c r="YU199" s="9"/>
      <c r="YV199" s="9"/>
      <c r="YW199" s="9"/>
      <c r="YX199" s="9"/>
      <c r="YY199" s="9"/>
      <c r="YZ199" s="9"/>
      <c r="ZA199" s="9"/>
      <c r="ZB199" s="9"/>
      <c r="ZC199" s="9"/>
      <c r="ZD199" s="9"/>
      <c r="ZE199" s="9"/>
      <c r="ZF199" s="9"/>
      <c r="ZG199" s="9"/>
      <c r="ZH199" s="9"/>
      <c r="ZI199" s="9"/>
      <c r="ZJ199" s="9"/>
      <c r="ZK199" s="9"/>
      <c r="ZL199" s="9"/>
      <c r="ZM199" s="9"/>
      <c r="ZN199" s="9"/>
      <c r="ZO199" s="9"/>
      <c r="ZP199" s="9"/>
      <c r="ZQ199" s="9"/>
      <c r="ZR199" s="9"/>
      <c r="ZS199" s="9"/>
      <c r="ZT199" s="9"/>
      <c r="ZU199" s="9"/>
      <c r="ZV199" s="9"/>
      <c r="ZW199" s="9"/>
      <c r="ZX199" s="9"/>
      <c r="ZY199" s="9"/>
      <c r="ZZ199" s="9"/>
      <c r="AAA199" s="9"/>
      <c r="AAB199" s="9"/>
      <c r="AAC199" s="9"/>
      <c r="AAD199" s="9"/>
      <c r="AAE199" s="9"/>
      <c r="AAF199" s="9"/>
      <c r="AAG199" s="9"/>
      <c r="AAH199" s="9"/>
      <c r="AAI199" s="9"/>
      <c r="AAJ199" s="9"/>
      <c r="AAK199" s="9"/>
      <c r="AAL199" s="9"/>
      <c r="AAM199" s="9"/>
      <c r="AAN199" s="9"/>
      <c r="AAO199" s="9"/>
      <c r="AAP199" s="9"/>
      <c r="AAQ199" s="9"/>
      <c r="AAR199" s="9"/>
      <c r="AAS199" s="9"/>
      <c r="AAT199" s="9"/>
      <c r="AAU199" s="9"/>
      <c r="AAV199" s="9"/>
      <c r="AAW199" s="9"/>
      <c r="AAX199" s="9"/>
      <c r="AAY199" s="9"/>
      <c r="AAZ199" s="9"/>
      <c r="ABA199" s="9"/>
      <c r="ABB199" s="9"/>
      <c r="ABC199" s="9"/>
      <c r="ABD199" s="9"/>
      <c r="ABE199" s="9"/>
      <c r="ABF199" s="9"/>
      <c r="ABG199" s="9"/>
      <c r="ABH199" s="9"/>
      <c r="ABI199" s="9"/>
      <c r="ABJ199" s="9"/>
      <c r="ABK199" s="9"/>
      <c r="ABL199" s="9"/>
      <c r="ABM199" s="9"/>
      <c r="ABN199" s="9"/>
      <c r="ABO199" s="9"/>
      <c r="ABP199" s="9"/>
      <c r="ABQ199" s="9"/>
      <c r="ABR199" s="9"/>
      <c r="ABS199" s="9"/>
      <c r="ABT199" s="9"/>
      <c r="ABU199" s="9"/>
      <c r="ABV199" s="9"/>
      <c r="ABW199" s="9"/>
      <c r="ABX199" s="9"/>
      <c r="ABY199" s="9"/>
      <c r="ABZ199" s="9"/>
      <c r="ACA199" s="9"/>
      <c r="ACB199" s="9"/>
      <c r="ACC199" s="9"/>
      <c r="ACD199" s="9"/>
      <c r="ACE199" s="9"/>
      <c r="ACF199" s="9"/>
      <c r="ACG199" s="9"/>
      <c r="ACH199" s="9"/>
      <c r="ACI199" s="9"/>
      <c r="ACJ199" s="9"/>
      <c r="ACK199" s="9"/>
      <c r="ACL199" s="9"/>
      <c r="ACM199" s="9"/>
      <c r="ACN199" s="9"/>
      <c r="ACO199" s="9"/>
      <c r="ACP199" s="9"/>
      <c r="ACQ199" s="9"/>
      <c r="ACR199" s="9"/>
      <c r="ACS199" s="9"/>
      <c r="ACT199" s="9"/>
      <c r="ACU199" s="9"/>
      <c r="ACV199" s="9"/>
      <c r="ACW199" s="9"/>
      <c r="ACX199" s="9"/>
      <c r="ACY199" s="9"/>
      <c r="ACZ199" s="9"/>
      <c r="ADA199" s="9"/>
      <c r="ADB199" s="9"/>
      <c r="ADC199" s="9"/>
      <c r="ADD199" s="9"/>
      <c r="ADE199" s="9"/>
      <c r="ADF199" s="9"/>
      <c r="ADG199" s="9"/>
      <c r="ADH199" s="9"/>
      <c r="ADI199" s="9"/>
      <c r="ADJ199" s="9"/>
      <c r="ADK199" s="9"/>
      <c r="ADL199" s="9"/>
      <c r="ADM199" s="9"/>
      <c r="ADN199" s="9"/>
      <c r="ADO199" s="9"/>
      <c r="ADP199" s="9"/>
      <c r="ADQ199" s="9"/>
      <c r="ADR199" s="9"/>
      <c r="ADS199" s="9"/>
      <c r="ADT199" s="9"/>
      <c r="ADU199" s="9"/>
      <c r="ADV199" s="9"/>
      <c r="ADW199" s="9"/>
      <c r="ADX199" s="9"/>
      <c r="ADY199" s="9"/>
      <c r="ADZ199" s="9"/>
      <c r="AEA199" s="9"/>
      <c r="AEB199" s="9"/>
      <c r="AEC199" s="9"/>
      <c r="AED199" s="9"/>
      <c r="AEE199" s="9"/>
      <c r="AEF199" s="9"/>
      <c r="AEG199" s="9"/>
      <c r="AEH199" s="9"/>
      <c r="AEI199" s="9"/>
      <c r="AEJ199" s="9"/>
      <c r="AEK199" s="9"/>
      <c r="AEL199" s="9"/>
      <c r="AEM199" s="9"/>
      <c r="AEN199" s="9"/>
      <c r="AEO199" s="9"/>
      <c r="AEP199" s="9"/>
      <c r="AEQ199" s="9"/>
      <c r="AER199" s="9"/>
      <c r="AES199" s="9"/>
      <c r="AET199" s="9"/>
      <c r="AEU199" s="9"/>
      <c r="AEV199" s="9"/>
      <c r="AEW199" s="9"/>
      <c r="AEX199" s="9"/>
      <c r="AEY199" s="9"/>
      <c r="AEZ199" s="9"/>
      <c r="AFA199" s="9"/>
      <c r="AFB199" s="9"/>
      <c r="AFC199" s="9"/>
      <c r="AFD199" s="9"/>
      <c r="AFE199" s="9"/>
      <c r="AFF199" s="9"/>
      <c r="AFG199" s="9"/>
      <c r="AFH199" s="9"/>
      <c r="AFI199" s="9"/>
      <c r="AFJ199" s="9"/>
      <c r="AFK199" s="9"/>
      <c r="AFL199" s="9"/>
      <c r="AFM199" s="9"/>
      <c r="AFN199" s="9"/>
      <c r="AFO199" s="9"/>
      <c r="AFP199" s="9"/>
      <c r="AFQ199" s="9"/>
      <c r="AFR199" s="9"/>
      <c r="AFS199" s="9"/>
      <c r="AFT199" s="9"/>
      <c r="AFU199" s="9"/>
      <c r="AFV199" s="9"/>
      <c r="AFW199" s="9"/>
      <c r="AFX199" s="9"/>
      <c r="AFY199" s="9"/>
      <c r="AFZ199" s="9"/>
      <c r="AGA199" s="9"/>
      <c r="AGB199" s="9"/>
      <c r="AGC199" s="9"/>
      <c r="AGD199" s="9"/>
      <c r="AGE199" s="9"/>
      <c r="AGF199" s="9"/>
      <c r="AGG199" s="9"/>
      <c r="AGH199" s="9"/>
      <c r="AGI199" s="9"/>
      <c r="AGJ199" s="9"/>
      <c r="AGK199" s="9"/>
      <c r="AGL199" s="9"/>
      <c r="AGM199" s="9"/>
      <c r="AGN199" s="9"/>
      <c r="AGO199" s="9"/>
      <c r="AGP199" s="9"/>
      <c r="AGQ199" s="9"/>
      <c r="AGR199" s="9"/>
      <c r="AGS199" s="9"/>
      <c r="AGT199" s="9"/>
      <c r="AGU199" s="9"/>
      <c r="AGV199" s="9"/>
      <c r="AGW199" s="9"/>
      <c r="AGX199" s="9"/>
      <c r="AGY199" s="9"/>
      <c r="AGZ199" s="9"/>
      <c r="AHA199" s="9"/>
      <c r="AHB199" s="9"/>
      <c r="AHC199" s="9"/>
      <c r="AHD199" s="9"/>
      <c r="AHE199" s="9"/>
      <c r="AHF199" s="9"/>
      <c r="AHG199" s="9"/>
      <c r="AHH199" s="9"/>
      <c r="AHI199" s="9"/>
      <c r="AHJ199" s="9"/>
      <c r="AHK199" s="9"/>
      <c r="AHL199" s="9"/>
      <c r="AHM199" s="9"/>
      <c r="AHN199" s="9"/>
      <c r="AHO199" s="9"/>
      <c r="AHP199" s="9"/>
      <c r="AHQ199" s="9"/>
      <c r="AHR199" s="9"/>
      <c r="AHS199" s="9"/>
      <c r="AHT199" s="9"/>
      <c r="AHU199" s="9"/>
      <c r="AHV199" s="9"/>
      <c r="AHW199" s="9"/>
      <c r="AHX199" s="9"/>
      <c r="AHY199" s="9"/>
      <c r="AHZ199" s="9"/>
      <c r="AIA199" s="9"/>
      <c r="AIB199" s="9"/>
      <c r="AIC199" s="9"/>
      <c r="AID199" s="9"/>
      <c r="AIE199" s="9"/>
      <c r="AIF199" s="9"/>
      <c r="AIG199" s="9"/>
      <c r="AIH199" s="9"/>
      <c r="AII199" s="9"/>
      <c r="AIJ199" s="9"/>
      <c r="AIK199" s="9"/>
      <c r="AIL199" s="9"/>
      <c r="AIM199" s="9"/>
      <c r="AIN199" s="9"/>
      <c r="AIO199" s="9"/>
      <c r="AIP199" s="9"/>
      <c r="AIQ199" s="9"/>
      <c r="AIR199" s="9"/>
      <c r="AIS199" s="9"/>
      <c r="AIT199" s="9"/>
      <c r="AIU199" s="9"/>
      <c r="AIV199" s="9"/>
      <c r="AIW199" s="9"/>
      <c r="AIX199" s="9"/>
      <c r="AIY199" s="9"/>
      <c r="AIZ199" s="9"/>
      <c r="AJA199" s="9"/>
      <c r="AJB199" s="9"/>
      <c r="AJC199" s="9"/>
      <c r="AJD199" s="9"/>
      <c r="AJE199" s="9"/>
      <c r="AJF199" s="9"/>
      <c r="AJG199" s="9"/>
      <c r="AJH199" s="9"/>
      <c r="AJI199" s="9"/>
      <c r="AJJ199" s="9"/>
      <c r="AJK199" s="9"/>
      <c r="AJL199" s="9"/>
      <c r="AJM199" s="9"/>
      <c r="AJN199" s="9"/>
      <c r="AJO199" s="9"/>
      <c r="AJP199" s="9"/>
      <c r="AJQ199" s="9"/>
      <c r="AJR199" s="9"/>
      <c r="AJS199" s="9"/>
      <c r="AJT199" s="9"/>
      <c r="AJU199" s="9"/>
      <c r="AJV199" s="9"/>
      <c r="AJW199" s="9"/>
      <c r="AJX199" s="9"/>
      <c r="AJY199" s="9"/>
      <c r="AJZ199" s="9"/>
      <c r="AKA199" s="9"/>
      <c r="AKB199" s="9"/>
      <c r="AKC199" s="9"/>
      <c r="AKD199" s="9"/>
      <c r="AKE199" s="9"/>
      <c r="AKF199" s="9"/>
      <c r="AKG199" s="9"/>
      <c r="AKH199" s="9"/>
      <c r="AKI199" s="9"/>
      <c r="AKJ199" s="9"/>
      <c r="AKK199" s="9"/>
      <c r="AKL199" s="9"/>
      <c r="AKM199" s="9"/>
      <c r="AKN199" s="9"/>
      <c r="AKO199" s="9"/>
      <c r="AKP199" s="9"/>
      <c r="AKQ199" s="9"/>
      <c r="AKR199" s="9"/>
      <c r="AKS199" s="9"/>
      <c r="AKT199" s="9"/>
      <c r="AKU199" s="9"/>
      <c r="AKV199" s="9"/>
      <c r="AKW199" s="9"/>
      <c r="AKX199" s="9"/>
      <c r="AKY199" s="9"/>
      <c r="AKZ199" s="9"/>
      <c r="ALA199" s="9"/>
      <c r="ALB199" s="9"/>
      <c r="ALC199" s="9"/>
      <c r="ALD199" s="9"/>
      <c r="ALE199" s="9"/>
      <c r="ALF199" s="9"/>
      <c r="ALG199" s="9"/>
      <c r="ALH199" s="9"/>
      <c r="ALI199" s="9"/>
      <c r="ALJ199" s="9"/>
      <c r="ALK199" s="9"/>
      <c r="ALL199" s="9"/>
      <c r="ALM199" s="9"/>
      <c r="ALN199" s="9"/>
      <c r="ALO199" s="9"/>
      <c r="ALP199" s="9"/>
      <c r="ALQ199" s="9"/>
      <c r="ALR199" s="9"/>
      <c r="ALS199" s="9"/>
      <c r="ALT199" s="9"/>
      <c r="ALU199" s="9"/>
      <c r="ALV199" s="9"/>
      <c r="ALW199" s="9"/>
      <c r="ALX199" s="9"/>
      <c r="ALY199" s="9"/>
      <c r="ALZ199" s="9"/>
      <c r="AMA199" s="9"/>
      <c r="AMB199" s="9"/>
      <c r="AMC199" s="9"/>
      <c r="AMD199" s="9"/>
      <c r="AME199" s="9"/>
      <c r="AMF199" s="9"/>
      <c r="AMG199" s="9"/>
      <c r="AMH199" s="9"/>
      <c r="AMI199" s="9"/>
      <c r="AMJ199" s="9"/>
      <c r="AMK199" s="9"/>
      <c r="AML199" s="9"/>
      <c r="AMM199" s="9"/>
      <c r="AMN199" s="9"/>
      <c r="AMO199" s="9"/>
    </row>
    <row r="200" spans="1:1030" s="12" customFormat="1" x14ac:dyDescent="0.2">
      <c r="A200" s="9" t="str">
        <f>CONCATENATE(B200,"_",C200)</f>
        <v>cnr1_human_6KPG</v>
      </c>
      <c r="B200" s="9" t="s">
        <v>182</v>
      </c>
      <c r="C200" s="9" t="s">
        <v>1660</v>
      </c>
      <c r="D200" s="9" t="str">
        <f>IFERROR(MID(VLOOKUP($B200,Seqs!$A:$B,2,0),E200,1),"")</f>
        <v>Q</v>
      </c>
      <c r="E200" s="9">
        <v>115</v>
      </c>
      <c r="F200" s="9" t="str">
        <f>IFERROR(MID(VLOOKUP($B200,Seqs!$A:$B,2,0),G200,1),"")</f>
        <v>S</v>
      </c>
      <c r="G200" s="9">
        <v>144</v>
      </c>
      <c r="H200" s="9" t="str">
        <f>IFERROR(MID(VLOOKUP($B200,Seqs!$A:$B,2,0),I200,1),"")</f>
        <v>R</v>
      </c>
      <c r="I200" s="109">
        <v>145</v>
      </c>
      <c r="J200" s="9" t="str">
        <f>IFERROR(MID(VLOOKUP($B200,Seqs!$A:$B,2,0),K200,1),"")</f>
        <v>R</v>
      </c>
      <c r="K200" s="109">
        <v>148</v>
      </c>
      <c r="L200" s="9" t="str">
        <f>IFERROR(MID(VLOOKUP($B200,Seqs!$A:$B,2,0),M200,1),"")</f>
        <v>R</v>
      </c>
      <c r="M200" s="9">
        <v>150</v>
      </c>
      <c r="N200" s="9" t="str">
        <f>IFERROR(MID(VLOOKUP($B200,Seqs!$A:$B,2,0),O200,1),"")</f>
        <v>H</v>
      </c>
      <c r="O200" s="9">
        <v>178</v>
      </c>
      <c r="P200" s="9" t="str">
        <f>IFERROR(MID(VLOOKUP($B200,Seqs!$A:$B,2,0),Q200,1),"")</f>
        <v/>
      </c>
      <c r="Q200" s="9" t="s">
        <v>23</v>
      </c>
      <c r="R200" s="9" t="str">
        <f>IFERROR(MID(VLOOKUP($B200,Seqs!$A:$B,2,0),S200,1),"")</f>
        <v/>
      </c>
      <c r="S200" s="9" t="s">
        <v>23</v>
      </c>
      <c r="T200" s="9" t="str">
        <f>IFERROR(MID(VLOOKUP($B200,Seqs!$A:$B,2,0),U200,1),"")</f>
        <v>F</v>
      </c>
      <c r="U200" s="9">
        <v>189</v>
      </c>
      <c r="V200" s="9" t="str">
        <f>IFERROR(MID(VLOOKUP($B200,Seqs!$A:$B,2,0),W200,1),"")</f>
        <v>R</v>
      </c>
      <c r="W200" s="9">
        <v>220</v>
      </c>
      <c r="X200" s="9" t="str">
        <f>IFERROR(MID(VLOOKUP($B200,Seqs!$A:$B,2,0),Y200,1),"")</f>
        <v>P</v>
      </c>
      <c r="Y200" s="9">
        <v>221</v>
      </c>
      <c r="Z200" s="9" t="str">
        <f>IFERROR(MID(VLOOKUP($B200,Seqs!$A:$B,2,0),AA200,1),"")</f>
        <v>V</v>
      </c>
      <c r="AA200" s="9">
        <v>228</v>
      </c>
      <c r="AB200" s="9"/>
      <c r="AC200" s="9">
        <v>229</v>
      </c>
      <c r="AD200" s="9" t="str">
        <f>IFERROR(MID(VLOOKUP($B200,Seqs!$A:$B,2,0),AE200,1),"")</f>
        <v>L</v>
      </c>
      <c r="AE200" s="9">
        <v>253</v>
      </c>
      <c r="AF200" s="9" t="str">
        <f>IFERROR(MID(VLOOKUP($B200,Seqs!$A:$B,2,0),AG200,1),"")</f>
        <v/>
      </c>
      <c r="AG200" s="9" t="s">
        <v>23</v>
      </c>
      <c r="AH200" s="9" t="str">
        <f>IFERROR(MID(VLOOKUP($B200,Seqs!$A:$B,2,0),AI200,1),"")</f>
        <v/>
      </c>
      <c r="AI200" s="9" t="s">
        <v>23</v>
      </c>
      <c r="AJ200" s="9" t="str">
        <f>IFERROR(MID(VLOOKUP($B200,Seqs!$A:$B,2,0),AK200,1),"")</f>
        <v>Y</v>
      </c>
      <c r="AK200" s="9">
        <v>275</v>
      </c>
      <c r="AL200" s="9" t="str">
        <f>IFERROR(MID(VLOOKUP($B200,Seqs!$A:$B,2,0),AM200,1),"")</f>
        <v>G</v>
      </c>
      <c r="AM200" s="9">
        <v>312</v>
      </c>
      <c r="AN200" s="9" t="str">
        <f>IFERROR(MID(VLOOKUP($B200,Seqs!$A:$B,2,0),AO200,1),"")</f>
        <v>M</v>
      </c>
      <c r="AO200" s="9">
        <v>337</v>
      </c>
      <c r="AP200" s="9" t="str">
        <f>IFERROR(MID(VLOOKUP($B200,Seqs!$A:$B,2,0),AQ200,1),"")</f>
        <v>Y</v>
      </c>
      <c r="AQ200" s="9">
        <v>365</v>
      </c>
      <c r="AR200" s="9" t="str">
        <f>IFERROR(MID(VLOOKUP($B200,Seqs!$A:$B,2,0),AS200,1),"")</f>
        <v>N</v>
      </c>
      <c r="AS200" s="9">
        <v>372</v>
      </c>
      <c r="AT200" s="9" t="str">
        <f>IFERROR(MID(VLOOKUP($B200,Seqs!$A:$B,2,0),AU200,1),"")</f>
        <v>R</v>
      </c>
      <c r="AU200" s="9">
        <v>400</v>
      </c>
      <c r="AV200" s="9" t="str">
        <f>IFERROR(MID(VLOOKUP($B200,Seqs!$A:$B,2,0),AW200,1),"")</f>
        <v>S</v>
      </c>
      <c r="AW200" s="9">
        <v>401</v>
      </c>
      <c r="AX200" s="9" t="str">
        <f>IFERROR(MID(VLOOKUP($B200,Seqs!$A:$B,2,0),AY200,1),"")</f>
        <v>M</v>
      </c>
      <c r="AY200" s="9">
        <v>411</v>
      </c>
      <c r="AZ200" s="110" t="str">
        <f>VLOOKUP(B200,Classification!A:D,2,0)</f>
        <v>A</v>
      </c>
      <c r="BA200" s="98" t="str">
        <f>VLOOKUP(B200,Classification!A:D,4,0)</f>
        <v>Cannabinoid</v>
      </c>
      <c r="BB200" s="36" t="b">
        <f t="shared" ref="BB200" si="1048">AND(E200&lt;G200,OR(G200&lt;I200,I200="-"),OR(I200&lt;K200,I200="-"),OR(K200&lt;M200,K200="-"),M200&lt;O200,OR(O200&lt;Q200,Q200="-"),OR(Q200&lt;S200,Q200="-"),OR(S200&lt;U200,S200="-"),U200&lt;W200,OR(W200&lt;Y200,Y200="-"),OR(Y200&lt;AA200,Y200="-"),OR(AA200&lt;AC200,AA200="-"),AC200&lt;AE200,OR(AE200&lt;AG200,AG200="-"),OR(AG200&lt;AI200,AG200="-"),OR(AI200&lt;AK200,AI200="-"),AK200&lt;AM200,AM200&lt;AO200,AO200&lt;AQ200,AQ200&lt;AS200,AS200&lt;AU200,OR(AU200&lt;AW200,AW200="-"),OR(AW200&lt;AY200,AW200="-"))</f>
        <v>1</v>
      </c>
      <c r="BC200" s="109">
        <f t="shared" ref="BC200" si="1049">_xlfn.AGGREGATE(9,6,CH200:CS200)-_xlfn.AGGREGATE(9,6,BV200:CG200)+12</f>
        <v>237</v>
      </c>
      <c r="BD200" s="40" t="s">
        <v>23</v>
      </c>
      <c r="BE200" s="9" t="s">
        <v>1285</v>
      </c>
      <c r="BF200" s="119">
        <v>3</v>
      </c>
      <c r="BG200" s="51" t="s">
        <v>1416</v>
      </c>
      <c r="BH200" s="51" t="s">
        <v>1416</v>
      </c>
      <c r="BI200" s="9"/>
      <c r="BJ200" s="111" t="s">
        <v>1281</v>
      </c>
      <c r="BK200" s="112" t="s">
        <v>1281</v>
      </c>
      <c r="BL200" s="112" t="s">
        <v>1281</v>
      </c>
      <c r="BM200" s="112" t="s">
        <v>1281</v>
      </c>
      <c r="BN200" s="112" t="s">
        <v>1281</v>
      </c>
      <c r="BO200" s="112" t="s">
        <v>1281</v>
      </c>
      <c r="BP200" s="112" t="s">
        <v>1281</v>
      </c>
      <c r="BQ200" s="112" t="s">
        <v>1281</v>
      </c>
      <c r="BR200" s="112" t="s">
        <v>1281</v>
      </c>
      <c r="BS200" s="112" t="s">
        <v>1281</v>
      </c>
      <c r="BT200" s="112" t="s">
        <v>1281</v>
      </c>
      <c r="BU200" s="112" t="s">
        <v>1281</v>
      </c>
      <c r="BV200" s="111">
        <f>E200</f>
        <v>115</v>
      </c>
      <c r="BW200" s="113">
        <f>I200</f>
        <v>145</v>
      </c>
      <c r="BX200" s="114">
        <f>M200</f>
        <v>150</v>
      </c>
      <c r="BY200" s="113" t="str">
        <f>Q200</f>
        <v>-</v>
      </c>
      <c r="BZ200" s="114">
        <f>U200</f>
        <v>189</v>
      </c>
      <c r="CA200" s="113">
        <f>Y200</f>
        <v>221</v>
      </c>
      <c r="CB200" s="114">
        <f>AC200</f>
        <v>229</v>
      </c>
      <c r="CC200" s="113" t="str">
        <f>AG200</f>
        <v>-</v>
      </c>
      <c r="CD200" s="114">
        <f>AK200</f>
        <v>275</v>
      </c>
      <c r="CE200" s="113">
        <f>AO200</f>
        <v>337</v>
      </c>
      <c r="CF200" s="114">
        <f>AS200</f>
        <v>372</v>
      </c>
      <c r="CG200" s="113">
        <f>AW200</f>
        <v>401</v>
      </c>
      <c r="CH200" s="111">
        <f>G200</f>
        <v>144</v>
      </c>
      <c r="CI200" s="113">
        <f>K200</f>
        <v>148</v>
      </c>
      <c r="CJ200" s="114">
        <f>O200</f>
        <v>178</v>
      </c>
      <c r="CK200" s="114" t="str">
        <f>S200</f>
        <v>-</v>
      </c>
      <c r="CL200" s="114">
        <f>W200</f>
        <v>220</v>
      </c>
      <c r="CM200" s="114">
        <f>AA200</f>
        <v>228</v>
      </c>
      <c r="CN200" s="114">
        <f>AE200</f>
        <v>253</v>
      </c>
      <c r="CO200" s="114" t="str">
        <f>AI200</f>
        <v>-</v>
      </c>
      <c r="CP200" s="114">
        <f>AM200</f>
        <v>312</v>
      </c>
      <c r="CQ200" s="114">
        <f>AQ200</f>
        <v>365</v>
      </c>
      <c r="CR200" s="114">
        <f>AU200</f>
        <v>400</v>
      </c>
      <c r="CS200" s="114">
        <f>AY200</f>
        <v>411</v>
      </c>
      <c r="CT200" s="109">
        <f>M200-K200</f>
        <v>2</v>
      </c>
      <c r="CU200" s="9"/>
      <c r="CV200" s="9"/>
      <c r="CW200" s="9"/>
      <c r="CX200" s="9"/>
      <c r="CY200" s="9"/>
      <c r="CZ200" s="9"/>
      <c r="DA200" s="9"/>
      <c r="DB200" s="9"/>
      <c r="DC200" s="9"/>
      <c r="DD200" s="9"/>
      <c r="DE200" s="9"/>
      <c r="DF200" s="9"/>
      <c r="DG200" s="9"/>
      <c r="DH200" s="9"/>
      <c r="DI200" s="9"/>
      <c r="DJ200" s="9"/>
      <c r="DK200" s="9"/>
      <c r="DL200" s="9"/>
      <c r="DM200" s="9"/>
      <c r="DN200" s="9"/>
      <c r="DO200" s="9"/>
      <c r="DP200" s="9"/>
      <c r="DQ200" s="9"/>
      <c r="DR200" s="9"/>
      <c r="DS200" s="9"/>
      <c r="DT200" s="9"/>
      <c r="DU200" s="9"/>
      <c r="DV200" s="9"/>
      <c r="DW200" s="9"/>
      <c r="DX200" s="9"/>
      <c r="DY200" s="9"/>
      <c r="DZ200" s="9"/>
      <c r="EA200" s="9"/>
      <c r="EB200" s="9"/>
      <c r="EC200" s="9"/>
      <c r="ED200" s="9"/>
      <c r="EE200" s="9"/>
      <c r="EF200" s="9"/>
      <c r="EG200" s="9"/>
      <c r="EH200" s="9"/>
      <c r="EI200" s="9"/>
      <c r="EJ200" s="9"/>
      <c r="EK200" s="9"/>
      <c r="EL200" s="9"/>
      <c r="EM200" s="9"/>
      <c r="EN200" s="9"/>
      <c r="EO200" s="9"/>
      <c r="EP200" s="9"/>
      <c r="EQ200" s="9"/>
      <c r="ER200" s="9"/>
      <c r="ES200" s="9"/>
      <c r="ET200" s="9"/>
      <c r="EU200" s="9"/>
      <c r="EV200" s="9"/>
      <c r="EW200" s="9"/>
      <c r="EX200" s="9"/>
      <c r="EY200" s="9"/>
      <c r="EZ200" s="9"/>
      <c r="FA200" s="9"/>
      <c r="FB200" s="9"/>
      <c r="FC200" s="9"/>
      <c r="FD200" s="9"/>
      <c r="FE200" s="9"/>
      <c r="FF200" s="9"/>
      <c r="FG200" s="9"/>
      <c r="FH200" s="9"/>
      <c r="FI200" s="9"/>
      <c r="FJ200" s="9"/>
      <c r="FK200" s="9"/>
      <c r="FL200" s="9"/>
      <c r="FM200" s="9"/>
      <c r="FN200" s="9"/>
      <c r="FO200" s="9"/>
      <c r="FP200" s="9"/>
      <c r="FQ200" s="9"/>
      <c r="FR200" s="9"/>
      <c r="FS200" s="9"/>
      <c r="FT200" s="9"/>
      <c r="FU200" s="9"/>
      <c r="FV200" s="9"/>
      <c r="FW200" s="9"/>
      <c r="FX200" s="9"/>
      <c r="FY200" s="9"/>
      <c r="FZ200" s="9"/>
      <c r="GA200" s="9"/>
      <c r="GB200" s="9"/>
      <c r="GC200" s="9"/>
      <c r="GD200" s="9"/>
      <c r="GE200" s="9"/>
      <c r="GF200" s="9"/>
      <c r="GG200" s="9"/>
      <c r="GH200" s="9"/>
      <c r="GI200" s="9"/>
      <c r="GJ200" s="9"/>
      <c r="GK200" s="9"/>
      <c r="GL200" s="9"/>
      <c r="GM200" s="9"/>
      <c r="GN200" s="9"/>
      <c r="GO200" s="9"/>
      <c r="GP200" s="9"/>
      <c r="GQ200" s="9"/>
      <c r="GR200" s="9"/>
      <c r="GS200" s="9"/>
      <c r="GT200" s="9"/>
      <c r="GU200" s="9"/>
      <c r="GV200" s="9"/>
      <c r="GW200" s="9"/>
      <c r="GX200" s="9"/>
      <c r="GY200" s="9"/>
      <c r="GZ200" s="9"/>
      <c r="HA200" s="9"/>
      <c r="HB200" s="9"/>
      <c r="HC200" s="9"/>
      <c r="HD200" s="9"/>
      <c r="HE200" s="9"/>
      <c r="HF200" s="9"/>
      <c r="HG200" s="9"/>
      <c r="HH200" s="9"/>
      <c r="HI200" s="9"/>
      <c r="HJ200" s="9"/>
      <c r="HK200" s="9"/>
      <c r="HL200" s="9"/>
      <c r="HM200" s="9"/>
      <c r="HN200" s="9"/>
      <c r="HO200" s="9"/>
      <c r="HP200" s="9"/>
      <c r="HQ200" s="9"/>
      <c r="HR200" s="9"/>
      <c r="HS200" s="9"/>
      <c r="HT200" s="9"/>
      <c r="HU200" s="9"/>
      <c r="HV200" s="9"/>
      <c r="HW200" s="9"/>
      <c r="HX200" s="9"/>
      <c r="HY200" s="9"/>
      <c r="HZ200" s="9"/>
      <c r="IA200" s="9"/>
      <c r="IB200" s="9"/>
      <c r="IC200" s="9"/>
      <c r="ID200" s="9"/>
      <c r="IE200" s="9"/>
      <c r="IF200" s="9"/>
      <c r="IG200" s="9"/>
      <c r="IH200" s="9"/>
      <c r="II200" s="9"/>
      <c r="IJ200" s="9"/>
      <c r="IK200" s="9"/>
      <c r="IL200" s="9"/>
      <c r="IM200" s="9"/>
      <c r="IN200" s="9"/>
      <c r="IO200" s="9"/>
      <c r="IP200" s="9"/>
      <c r="IQ200" s="9"/>
      <c r="IR200" s="9"/>
      <c r="IS200" s="9"/>
      <c r="IT200" s="9"/>
      <c r="IU200" s="9"/>
      <c r="IV200" s="9"/>
      <c r="IW200" s="9"/>
      <c r="IX200" s="9"/>
      <c r="IY200" s="9"/>
      <c r="IZ200" s="9"/>
      <c r="JA200" s="9"/>
      <c r="JB200" s="9"/>
      <c r="JC200" s="9"/>
      <c r="JD200" s="9"/>
      <c r="JE200" s="9"/>
      <c r="JF200" s="9"/>
      <c r="JG200" s="9"/>
      <c r="JH200" s="9"/>
      <c r="JI200" s="9"/>
      <c r="JJ200" s="9"/>
      <c r="JK200" s="9"/>
      <c r="JL200" s="9"/>
      <c r="JM200" s="9"/>
      <c r="JN200" s="9"/>
      <c r="JO200" s="9"/>
      <c r="JP200" s="9"/>
      <c r="JQ200" s="9"/>
      <c r="JR200" s="9"/>
      <c r="JS200" s="9"/>
      <c r="JT200" s="9"/>
      <c r="JU200" s="9"/>
      <c r="JV200" s="9"/>
      <c r="JW200" s="9"/>
      <c r="JX200" s="9"/>
      <c r="JY200" s="9"/>
      <c r="JZ200" s="9"/>
      <c r="KA200" s="9"/>
      <c r="KB200" s="9"/>
      <c r="KC200" s="9"/>
      <c r="KD200" s="9"/>
      <c r="KE200" s="9"/>
      <c r="KF200" s="9"/>
      <c r="KG200" s="9"/>
      <c r="KH200" s="9"/>
      <c r="KI200" s="9"/>
      <c r="KJ200" s="9"/>
      <c r="KK200" s="9"/>
      <c r="KL200" s="9"/>
      <c r="KM200" s="9"/>
      <c r="KN200" s="9"/>
      <c r="KO200" s="9"/>
      <c r="KP200" s="9"/>
      <c r="KQ200" s="9"/>
      <c r="KR200" s="9"/>
      <c r="KS200" s="9"/>
      <c r="KT200" s="9"/>
      <c r="KU200" s="9"/>
      <c r="KV200" s="9"/>
      <c r="KW200" s="9"/>
      <c r="KX200" s="9"/>
      <c r="KY200" s="9"/>
      <c r="KZ200" s="9"/>
      <c r="LA200" s="9"/>
      <c r="LB200" s="9"/>
      <c r="LC200" s="9"/>
      <c r="LD200" s="9"/>
      <c r="LE200" s="9"/>
      <c r="LF200" s="9"/>
      <c r="LG200" s="9"/>
      <c r="LH200" s="9"/>
      <c r="LI200" s="9"/>
      <c r="LJ200" s="9"/>
      <c r="LK200" s="9"/>
      <c r="LL200" s="9"/>
      <c r="LM200" s="9"/>
      <c r="LN200" s="9"/>
      <c r="LO200" s="9"/>
      <c r="LP200" s="9"/>
      <c r="LQ200" s="9"/>
      <c r="LR200" s="9"/>
      <c r="LS200" s="9"/>
      <c r="LT200" s="9"/>
      <c r="LU200" s="9"/>
      <c r="LV200" s="9"/>
      <c r="LW200" s="9"/>
      <c r="LX200" s="9"/>
      <c r="LY200" s="9"/>
      <c r="LZ200" s="9"/>
      <c r="MA200" s="9"/>
      <c r="MB200" s="9"/>
      <c r="MC200" s="9"/>
      <c r="MD200" s="9"/>
      <c r="ME200" s="9"/>
      <c r="MF200" s="9"/>
      <c r="MG200" s="9"/>
      <c r="MH200" s="9"/>
      <c r="MI200" s="9"/>
      <c r="MJ200" s="9"/>
      <c r="MK200" s="9"/>
      <c r="ML200" s="9"/>
      <c r="MM200" s="9"/>
      <c r="MN200" s="9"/>
      <c r="MO200" s="9"/>
      <c r="MP200" s="9"/>
      <c r="MQ200" s="9"/>
      <c r="MR200" s="9"/>
      <c r="MS200" s="9"/>
      <c r="MT200" s="9"/>
      <c r="MU200" s="9"/>
      <c r="MV200" s="9"/>
      <c r="MW200" s="9"/>
      <c r="MX200" s="9"/>
      <c r="MY200" s="9"/>
      <c r="MZ200" s="9"/>
      <c r="NA200" s="9"/>
      <c r="NB200" s="9"/>
      <c r="NC200" s="9"/>
      <c r="ND200" s="9"/>
      <c r="NE200" s="9"/>
      <c r="NF200" s="9"/>
      <c r="NG200" s="9"/>
      <c r="NH200" s="9"/>
      <c r="NI200" s="9"/>
      <c r="NJ200" s="9"/>
      <c r="NK200" s="9"/>
      <c r="NL200" s="9"/>
      <c r="NM200" s="9"/>
      <c r="NN200" s="9"/>
      <c r="NO200" s="9"/>
      <c r="NP200" s="9"/>
      <c r="NQ200" s="9"/>
      <c r="NR200" s="9"/>
      <c r="NS200" s="9"/>
      <c r="NT200" s="9"/>
      <c r="NU200" s="9"/>
      <c r="NV200" s="9"/>
      <c r="NW200" s="9"/>
      <c r="NX200" s="9"/>
      <c r="NY200" s="9"/>
      <c r="NZ200" s="9"/>
      <c r="OA200" s="9"/>
      <c r="OB200" s="9"/>
      <c r="OC200" s="9"/>
      <c r="OD200" s="9"/>
      <c r="OE200" s="9"/>
      <c r="OF200" s="9"/>
      <c r="OG200" s="9"/>
      <c r="OH200" s="9"/>
      <c r="OI200" s="9"/>
      <c r="OJ200" s="9"/>
      <c r="OK200" s="9"/>
      <c r="OL200" s="9"/>
      <c r="OM200" s="9"/>
      <c r="ON200" s="9"/>
      <c r="OO200" s="9"/>
      <c r="OP200" s="9"/>
      <c r="OQ200" s="9"/>
      <c r="OR200" s="9"/>
      <c r="OS200" s="9"/>
      <c r="OT200" s="9"/>
      <c r="OU200" s="9"/>
      <c r="OV200" s="9"/>
      <c r="OW200" s="9"/>
      <c r="OX200" s="9"/>
      <c r="OY200" s="9"/>
      <c r="OZ200" s="9"/>
      <c r="PA200" s="9"/>
      <c r="PB200" s="9"/>
      <c r="PC200" s="9"/>
      <c r="PD200" s="9"/>
      <c r="PE200" s="9"/>
      <c r="PF200" s="9"/>
      <c r="PG200" s="9"/>
      <c r="PH200" s="9"/>
      <c r="PI200" s="9"/>
      <c r="PJ200" s="9"/>
      <c r="PK200" s="9"/>
      <c r="PL200" s="9"/>
      <c r="PM200" s="9"/>
      <c r="PN200" s="9"/>
      <c r="PO200" s="9"/>
      <c r="PP200" s="9"/>
      <c r="PQ200" s="9"/>
      <c r="PR200" s="9"/>
      <c r="PS200" s="9"/>
      <c r="PT200" s="9"/>
      <c r="PU200" s="9"/>
      <c r="PV200" s="9"/>
      <c r="PW200" s="9"/>
      <c r="PX200" s="9"/>
      <c r="PY200" s="9"/>
      <c r="PZ200" s="9"/>
      <c r="QA200" s="9"/>
      <c r="QB200" s="9"/>
      <c r="QC200" s="9"/>
      <c r="QD200" s="9"/>
      <c r="QE200" s="9"/>
      <c r="QF200" s="9"/>
      <c r="QG200" s="9"/>
      <c r="QH200" s="9"/>
      <c r="QI200" s="9"/>
      <c r="QJ200" s="9"/>
      <c r="QK200" s="9"/>
      <c r="QL200" s="9"/>
      <c r="QM200" s="9"/>
      <c r="QN200" s="9"/>
      <c r="QO200" s="9"/>
      <c r="QP200" s="9"/>
      <c r="QQ200" s="9"/>
      <c r="QR200" s="9"/>
      <c r="QS200" s="9"/>
      <c r="QT200" s="9"/>
      <c r="QU200" s="9"/>
      <c r="QV200" s="9"/>
      <c r="QW200" s="9"/>
      <c r="QX200" s="9"/>
      <c r="QY200" s="9"/>
      <c r="QZ200" s="9"/>
      <c r="RA200" s="9"/>
      <c r="RB200" s="9"/>
      <c r="RC200" s="9"/>
      <c r="RD200" s="9"/>
      <c r="RE200" s="9"/>
      <c r="RF200" s="9"/>
      <c r="RG200" s="9"/>
      <c r="RH200" s="9"/>
      <c r="RI200" s="9"/>
      <c r="RJ200" s="9"/>
      <c r="RK200" s="9"/>
      <c r="RL200" s="9"/>
      <c r="RM200" s="9"/>
      <c r="RN200" s="9"/>
      <c r="RO200" s="9"/>
      <c r="RP200" s="9"/>
      <c r="RQ200" s="9"/>
      <c r="RR200" s="9"/>
      <c r="RS200" s="9"/>
      <c r="RT200" s="9"/>
      <c r="RU200" s="9"/>
      <c r="RV200" s="9"/>
      <c r="RW200" s="9"/>
      <c r="RX200" s="9"/>
      <c r="RY200" s="9"/>
      <c r="RZ200" s="9"/>
      <c r="SA200" s="9"/>
      <c r="SB200" s="9"/>
      <c r="SC200" s="9"/>
      <c r="SD200" s="9"/>
      <c r="SE200" s="9"/>
      <c r="SF200" s="9"/>
      <c r="SG200" s="9"/>
      <c r="SH200" s="9"/>
      <c r="SI200" s="9"/>
      <c r="SJ200" s="9"/>
      <c r="SK200" s="9"/>
      <c r="SL200" s="9"/>
      <c r="SM200" s="9"/>
      <c r="SN200" s="9"/>
      <c r="SO200" s="9"/>
      <c r="SP200" s="9"/>
      <c r="SQ200" s="9"/>
      <c r="SR200" s="9"/>
      <c r="SS200" s="9"/>
      <c r="ST200" s="9"/>
      <c r="SU200" s="9"/>
      <c r="SV200" s="9"/>
      <c r="SW200" s="9"/>
      <c r="SX200" s="9"/>
      <c r="SY200" s="9"/>
      <c r="SZ200" s="9"/>
      <c r="TA200" s="9"/>
      <c r="TB200" s="9"/>
      <c r="TC200" s="9"/>
      <c r="TD200" s="9"/>
      <c r="TE200" s="9"/>
      <c r="TF200" s="9"/>
      <c r="TG200" s="9"/>
      <c r="TH200" s="9"/>
      <c r="TI200" s="9"/>
      <c r="TJ200" s="9"/>
      <c r="TK200" s="9"/>
      <c r="TL200" s="9"/>
      <c r="TM200" s="9"/>
      <c r="TN200" s="9"/>
      <c r="TO200" s="9"/>
      <c r="TP200" s="9"/>
      <c r="TQ200" s="9"/>
      <c r="TR200" s="9"/>
      <c r="TS200" s="9"/>
      <c r="TT200" s="9"/>
      <c r="TU200" s="9"/>
      <c r="TV200" s="9"/>
      <c r="TW200" s="9"/>
      <c r="TX200" s="9"/>
      <c r="TY200" s="9"/>
      <c r="TZ200" s="9"/>
      <c r="UA200" s="9"/>
      <c r="UB200" s="9"/>
      <c r="UC200" s="9"/>
      <c r="UD200" s="9"/>
      <c r="UE200" s="9"/>
      <c r="UF200" s="9"/>
      <c r="UG200" s="9"/>
      <c r="UH200" s="9"/>
      <c r="UI200" s="9"/>
      <c r="UJ200" s="9"/>
      <c r="UK200" s="9"/>
      <c r="UL200" s="9"/>
      <c r="UM200" s="9"/>
      <c r="UN200" s="9"/>
      <c r="UO200" s="9"/>
      <c r="UP200" s="9"/>
      <c r="UQ200" s="9"/>
      <c r="UR200" s="9"/>
      <c r="US200" s="9"/>
      <c r="UT200" s="9"/>
      <c r="UU200" s="9"/>
      <c r="UV200" s="9"/>
      <c r="UW200" s="9"/>
      <c r="UX200" s="9"/>
      <c r="UY200" s="9"/>
      <c r="UZ200" s="9"/>
      <c r="VA200" s="9"/>
      <c r="VB200" s="9"/>
      <c r="VC200" s="9"/>
      <c r="VD200" s="9"/>
      <c r="VE200" s="9"/>
      <c r="VF200" s="9"/>
      <c r="VG200" s="9"/>
      <c r="VH200" s="9"/>
      <c r="VI200" s="9"/>
      <c r="VJ200" s="9"/>
      <c r="VK200" s="9"/>
      <c r="VL200" s="9"/>
      <c r="VM200" s="9"/>
      <c r="VN200" s="9"/>
      <c r="VO200" s="9"/>
      <c r="VP200" s="9"/>
      <c r="VQ200" s="9"/>
      <c r="VR200" s="9"/>
      <c r="VS200" s="9"/>
      <c r="VT200" s="9"/>
      <c r="VU200" s="9"/>
      <c r="VV200" s="9"/>
      <c r="VW200" s="9"/>
      <c r="VX200" s="9"/>
      <c r="VY200" s="9"/>
      <c r="VZ200" s="9"/>
      <c r="WA200" s="9"/>
      <c r="WB200" s="9"/>
      <c r="WC200" s="9"/>
      <c r="WD200" s="9"/>
      <c r="WE200" s="9"/>
      <c r="WF200" s="9"/>
      <c r="WG200" s="9"/>
      <c r="WH200" s="9"/>
      <c r="WI200" s="9"/>
      <c r="WJ200" s="9"/>
      <c r="WK200" s="9"/>
      <c r="WL200" s="9"/>
      <c r="WM200" s="9"/>
      <c r="WN200" s="9"/>
      <c r="WO200" s="9"/>
      <c r="WP200" s="9"/>
      <c r="WQ200" s="9"/>
      <c r="WR200" s="9"/>
      <c r="WS200" s="9"/>
      <c r="WT200" s="9"/>
      <c r="WU200" s="9"/>
      <c r="WV200" s="9"/>
      <c r="WW200" s="9"/>
      <c r="WX200" s="9"/>
      <c r="WY200" s="9"/>
      <c r="WZ200" s="9"/>
      <c r="XA200" s="9"/>
      <c r="XB200" s="9"/>
      <c r="XC200" s="9"/>
      <c r="XD200" s="9"/>
      <c r="XE200" s="9"/>
      <c r="XF200" s="9"/>
      <c r="XG200" s="9"/>
      <c r="XH200" s="9"/>
      <c r="XI200" s="9"/>
      <c r="XJ200" s="9"/>
      <c r="XK200" s="9"/>
      <c r="XL200" s="9"/>
      <c r="XM200" s="9"/>
      <c r="XN200" s="9"/>
      <c r="XO200" s="9"/>
      <c r="XP200" s="9"/>
      <c r="XQ200" s="9"/>
      <c r="XR200" s="9"/>
      <c r="XS200" s="9"/>
      <c r="XT200" s="9"/>
      <c r="XU200" s="9"/>
      <c r="XV200" s="9"/>
      <c r="XW200" s="9"/>
      <c r="XX200" s="9"/>
      <c r="XY200" s="9"/>
      <c r="XZ200" s="9"/>
      <c r="YA200" s="9"/>
      <c r="YB200" s="9"/>
      <c r="YC200" s="9"/>
      <c r="YD200" s="9"/>
      <c r="YE200" s="9"/>
      <c r="YF200" s="9"/>
      <c r="YG200" s="9"/>
      <c r="YH200" s="9"/>
      <c r="YI200" s="9"/>
      <c r="YJ200" s="9"/>
      <c r="YK200" s="9"/>
      <c r="YL200" s="9"/>
      <c r="YM200" s="9"/>
      <c r="YN200" s="9"/>
      <c r="YO200" s="9"/>
      <c r="YP200" s="9"/>
      <c r="YQ200" s="9"/>
      <c r="YR200" s="9"/>
      <c r="YS200" s="9"/>
      <c r="YT200" s="9"/>
      <c r="YU200" s="9"/>
      <c r="YV200" s="9"/>
      <c r="YW200" s="9"/>
      <c r="YX200" s="9"/>
      <c r="YY200" s="9"/>
      <c r="YZ200" s="9"/>
      <c r="ZA200" s="9"/>
      <c r="ZB200" s="9"/>
      <c r="ZC200" s="9"/>
      <c r="ZD200" s="9"/>
      <c r="ZE200" s="9"/>
      <c r="ZF200" s="9"/>
      <c r="ZG200" s="9"/>
      <c r="ZH200" s="9"/>
      <c r="ZI200" s="9"/>
      <c r="ZJ200" s="9"/>
      <c r="ZK200" s="9"/>
      <c r="ZL200" s="9"/>
      <c r="ZM200" s="9"/>
      <c r="ZN200" s="9"/>
      <c r="ZO200" s="9"/>
      <c r="ZP200" s="9"/>
      <c r="ZQ200" s="9"/>
      <c r="ZR200" s="9"/>
      <c r="ZS200" s="9"/>
      <c r="ZT200" s="9"/>
      <c r="ZU200" s="9"/>
      <c r="ZV200" s="9"/>
      <c r="ZW200" s="9"/>
      <c r="ZX200" s="9"/>
      <c r="ZY200" s="9"/>
      <c r="ZZ200" s="9"/>
      <c r="AAA200" s="9"/>
      <c r="AAB200" s="9"/>
      <c r="AAC200" s="9"/>
      <c r="AAD200" s="9"/>
      <c r="AAE200" s="9"/>
      <c r="AAF200" s="9"/>
      <c r="AAG200" s="9"/>
      <c r="AAH200" s="9"/>
      <c r="AAI200" s="9"/>
      <c r="AAJ200" s="9"/>
      <c r="AAK200" s="9"/>
      <c r="AAL200" s="9"/>
      <c r="AAM200" s="9"/>
      <c r="AAN200" s="9"/>
      <c r="AAO200" s="9"/>
      <c r="AAP200" s="9"/>
      <c r="AAQ200" s="9"/>
      <c r="AAR200" s="9"/>
      <c r="AAS200" s="9"/>
      <c r="AAT200" s="9"/>
      <c r="AAU200" s="9"/>
      <c r="AAV200" s="9"/>
      <c r="AAW200" s="9"/>
      <c r="AAX200" s="9"/>
      <c r="AAY200" s="9"/>
      <c r="AAZ200" s="9"/>
      <c r="ABA200" s="9"/>
      <c r="ABB200" s="9"/>
      <c r="ABC200" s="9"/>
      <c r="ABD200" s="9"/>
      <c r="ABE200" s="9"/>
      <c r="ABF200" s="9"/>
      <c r="ABG200" s="9"/>
      <c r="ABH200" s="9"/>
      <c r="ABI200" s="9"/>
      <c r="ABJ200" s="9"/>
      <c r="ABK200" s="9"/>
      <c r="ABL200" s="9"/>
      <c r="ABM200" s="9"/>
      <c r="ABN200" s="9"/>
      <c r="ABO200" s="9"/>
      <c r="ABP200" s="9"/>
      <c r="ABQ200" s="9"/>
      <c r="ABR200" s="9"/>
      <c r="ABS200" s="9"/>
      <c r="ABT200" s="9"/>
      <c r="ABU200" s="9"/>
      <c r="ABV200" s="9"/>
      <c r="ABW200" s="9"/>
      <c r="ABX200" s="9"/>
      <c r="ABY200" s="9"/>
      <c r="ABZ200" s="9"/>
      <c r="ACA200" s="9"/>
      <c r="ACB200" s="9"/>
      <c r="ACC200" s="9"/>
      <c r="ACD200" s="9"/>
      <c r="ACE200" s="9"/>
      <c r="ACF200" s="9"/>
      <c r="ACG200" s="9"/>
      <c r="ACH200" s="9"/>
      <c r="ACI200" s="9"/>
      <c r="ACJ200" s="9"/>
      <c r="ACK200" s="9"/>
      <c r="ACL200" s="9"/>
      <c r="ACM200" s="9"/>
      <c r="ACN200" s="9"/>
      <c r="ACO200" s="9"/>
      <c r="ACP200" s="9"/>
      <c r="ACQ200" s="9"/>
      <c r="ACR200" s="9"/>
      <c r="ACS200" s="9"/>
      <c r="ACT200" s="9"/>
      <c r="ACU200" s="9"/>
      <c r="ACV200" s="9"/>
      <c r="ACW200" s="9"/>
      <c r="ACX200" s="9"/>
      <c r="ACY200" s="9"/>
      <c r="ACZ200" s="9"/>
      <c r="ADA200" s="9"/>
      <c r="ADB200" s="9"/>
      <c r="ADC200" s="9"/>
      <c r="ADD200" s="9"/>
      <c r="ADE200" s="9"/>
      <c r="ADF200" s="9"/>
      <c r="ADG200" s="9"/>
      <c r="ADH200" s="9"/>
      <c r="ADI200" s="9"/>
      <c r="ADJ200" s="9"/>
      <c r="ADK200" s="9"/>
      <c r="ADL200" s="9"/>
      <c r="ADM200" s="9"/>
      <c r="ADN200" s="9"/>
      <c r="ADO200" s="9"/>
      <c r="ADP200" s="9"/>
      <c r="ADQ200" s="9"/>
      <c r="ADR200" s="9"/>
      <c r="ADS200" s="9"/>
      <c r="ADT200" s="9"/>
      <c r="ADU200" s="9"/>
      <c r="ADV200" s="9"/>
      <c r="ADW200" s="9"/>
      <c r="ADX200" s="9"/>
      <c r="ADY200" s="9"/>
      <c r="ADZ200" s="9"/>
      <c r="AEA200" s="9"/>
      <c r="AEB200" s="9"/>
      <c r="AEC200" s="9"/>
      <c r="AED200" s="9"/>
      <c r="AEE200" s="9"/>
      <c r="AEF200" s="9"/>
      <c r="AEG200" s="9"/>
      <c r="AEH200" s="9"/>
      <c r="AEI200" s="9"/>
      <c r="AEJ200" s="9"/>
      <c r="AEK200" s="9"/>
      <c r="AEL200" s="9"/>
      <c r="AEM200" s="9"/>
      <c r="AEN200" s="9"/>
      <c r="AEO200" s="9"/>
      <c r="AEP200" s="9"/>
      <c r="AEQ200" s="9"/>
      <c r="AER200" s="9"/>
      <c r="AES200" s="9"/>
      <c r="AET200" s="9"/>
      <c r="AEU200" s="9"/>
      <c r="AEV200" s="9"/>
      <c r="AEW200" s="9"/>
      <c r="AEX200" s="9"/>
      <c r="AEY200" s="9"/>
      <c r="AEZ200" s="9"/>
      <c r="AFA200" s="9"/>
      <c r="AFB200" s="9"/>
      <c r="AFC200" s="9"/>
      <c r="AFD200" s="9"/>
      <c r="AFE200" s="9"/>
      <c r="AFF200" s="9"/>
      <c r="AFG200" s="9"/>
      <c r="AFH200" s="9"/>
      <c r="AFI200" s="9"/>
      <c r="AFJ200" s="9"/>
      <c r="AFK200" s="9"/>
      <c r="AFL200" s="9"/>
      <c r="AFM200" s="9"/>
      <c r="AFN200" s="9"/>
      <c r="AFO200" s="9"/>
      <c r="AFP200" s="9"/>
      <c r="AFQ200" s="9"/>
      <c r="AFR200" s="9"/>
      <c r="AFS200" s="9"/>
      <c r="AFT200" s="9"/>
      <c r="AFU200" s="9"/>
      <c r="AFV200" s="9"/>
      <c r="AFW200" s="9"/>
      <c r="AFX200" s="9"/>
      <c r="AFY200" s="9"/>
      <c r="AFZ200" s="9"/>
      <c r="AGA200" s="9"/>
      <c r="AGB200" s="9"/>
      <c r="AGC200" s="9"/>
      <c r="AGD200" s="9"/>
      <c r="AGE200" s="9"/>
      <c r="AGF200" s="9"/>
      <c r="AGG200" s="9"/>
      <c r="AGH200" s="9"/>
      <c r="AGI200" s="9"/>
      <c r="AGJ200" s="9"/>
      <c r="AGK200" s="9"/>
      <c r="AGL200" s="9"/>
      <c r="AGM200" s="9"/>
      <c r="AGN200" s="9"/>
      <c r="AGO200" s="9"/>
      <c r="AGP200" s="9"/>
      <c r="AGQ200" s="9"/>
      <c r="AGR200" s="9"/>
      <c r="AGS200" s="9"/>
      <c r="AGT200" s="9"/>
      <c r="AGU200" s="9"/>
      <c r="AGV200" s="9"/>
      <c r="AGW200" s="9"/>
      <c r="AGX200" s="9"/>
      <c r="AGY200" s="9"/>
      <c r="AGZ200" s="9"/>
      <c r="AHA200" s="9"/>
      <c r="AHB200" s="9"/>
      <c r="AHC200" s="9"/>
      <c r="AHD200" s="9"/>
      <c r="AHE200" s="9"/>
      <c r="AHF200" s="9"/>
      <c r="AHG200" s="9"/>
      <c r="AHH200" s="9"/>
      <c r="AHI200" s="9"/>
      <c r="AHJ200" s="9"/>
      <c r="AHK200" s="9"/>
      <c r="AHL200" s="9"/>
      <c r="AHM200" s="9"/>
      <c r="AHN200" s="9"/>
      <c r="AHO200" s="9"/>
      <c r="AHP200" s="9"/>
      <c r="AHQ200" s="9"/>
      <c r="AHR200" s="9"/>
      <c r="AHS200" s="9"/>
      <c r="AHT200" s="9"/>
      <c r="AHU200" s="9"/>
      <c r="AHV200" s="9"/>
      <c r="AHW200" s="9"/>
      <c r="AHX200" s="9"/>
      <c r="AHY200" s="9"/>
      <c r="AHZ200" s="9"/>
      <c r="AIA200" s="9"/>
      <c r="AIB200" s="9"/>
      <c r="AIC200" s="9"/>
      <c r="AID200" s="9"/>
      <c r="AIE200" s="9"/>
      <c r="AIF200" s="9"/>
      <c r="AIG200" s="9"/>
      <c r="AIH200" s="9"/>
      <c r="AII200" s="9"/>
      <c r="AIJ200" s="9"/>
      <c r="AIK200" s="9"/>
      <c r="AIL200" s="9"/>
      <c r="AIM200" s="9"/>
      <c r="AIN200" s="9"/>
      <c r="AIO200" s="9"/>
      <c r="AIP200" s="9"/>
      <c r="AIQ200" s="9"/>
      <c r="AIR200" s="9"/>
      <c r="AIS200" s="9"/>
      <c r="AIT200" s="9"/>
      <c r="AIU200" s="9"/>
      <c r="AIV200" s="9"/>
      <c r="AIW200" s="9"/>
      <c r="AIX200" s="9"/>
      <c r="AIY200" s="9"/>
      <c r="AIZ200" s="9"/>
      <c r="AJA200" s="9"/>
      <c r="AJB200" s="9"/>
      <c r="AJC200" s="9"/>
      <c r="AJD200" s="9"/>
      <c r="AJE200" s="9"/>
      <c r="AJF200" s="9"/>
      <c r="AJG200" s="9"/>
      <c r="AJH200" s="9"/>
      <c r="AJI200" s="9"/>
      <c r="AJJ200" s="9"/>
      <c r="AJK200" s="9"/>
      <c r="AJL200" s="9"/>
      <c r="AJM200" s="9"/>
      <c r="AJN200" s="9"/>
      <c r="AJO200" s="9"/>
      <c r="AJP200" s="9"/>
      <c r="AJQ200" s="9"/>
      <c r="AJR200" s="9"/>
      <c r="AJS200" s="9"/>
      <c r="AJT200" s="9"/>
      <c r="AJU200" s="9"/>
      <c r="AJV200" s="9"/>
      <c r="AJW200" s="9"/>
      <c r="AJX200" s="9"/>
      <c r="AJY200" s="9"/>
      <c r="AJZ200" s="9"/>
      <c r="AKA200" s="9"/>
      <c r="AKB200" s="9"/>
      <c r="AKC200" s="9"/>
      <c r="AKD200" s="9"/>
      <c r="AKE200" s="9"/>
      <c r="AKF200" s="9"/>
      <c r="AKG200" s="9"/>
      <c r="AKH200" s="9"/>
      <c r="AKI200" s="9"/>
      <c r="AKJ200" s="9"/>
      <c r="AKK200" s="9"/>
      <c r="AKL200" s="9"/>
      <c r="AKM200" s="9"/>
      <c r="AKN200" s="9"/>
      <c r="AKO200" s="9"/>
      <c r="AKP200" s="9"/>
      <c r="AKQ200" s="9"/>
      <c r="AKR200" s="9"/>
      <c r="AKS200" s="9"/>
      <c r="AKT200" s="9"/>
      <c r="AKU200" s="9"/>
      <c r="AKV200" s="9"/>
      <c r="AKW200" s="9"/>
      <c r="AKX200" s="9"/>
      <c r="AKY200" s="9"/>
      <c r="AKZ200" s="9"/>
      <c r="ALA200" s="9"/>
      <c r="ALB200" s="9"/>
      <c r="ALC200" s="9"/>
      <c r="ALD200" s="9"/>
      <c r="ALE200" s="9"/>
      <c r="ALF200" s="9"/>
      <c r="ALG200" s="9"/>
      <c r="ALH200" s="9"/>
      <c r="ALI200" s="9"/>
      <c r="ALJ200" s="9"/>
      <c r="ALK200" s="9"/>
      <c r="ALL200" s="9"/>
      <c r="ALM200" s="9"/>
      <c r="ALN200" s="9"/>
      <c r="ALO200" s="9"/>
      <c r="ALP200" s="9"/>
      <c r="ALQ200" s="9"/>
      <c r="ALR200" s="9"/>
      <c r="ALS200" s="9"/>
      <c r="ALT200" s="9"/>
      <c r="ALU200" s="9"/>
      <c r="ALV200" s="9"/>
      <c r="ALW200" s="9"/>
      <c r="ALX200" s="9"/>
      <c r="ALY200" s="9"/>
      <c r="ALZ200" s="9"/>
      <c r="AMA200" s="9"/>
      <c r="AMB200" s="9"/>
      <c r="AMC200" s="9"/>
      <c r="AMD200" s="9"/>
      <c r="AME200" s="9"/>
      <c r="AMF200" s="9"/>
      <c r="AMG200" s="9"/>
      <c r="AMH200" s="9"/>
      <c r="AMI200" s="9"/>
      <c r="AMJ200" s="9"/>
      <c r="AMK200" s="9"/>
      <c r="AML200" s="9"/>
      <c r="AMM200" s="9"/>
      <c r="AMN200" s="9"/>
      <c r="AMO200" s="9"/>
    </row>
    <row r="201" spans="1:1030" x14ac:dyDescent="0.2">
      <c r="A201" s="3" t="str">
        <f>CONCATENATE(B201,"_",C201)</f>
        <v>cnr2_human__wt</v>
      </c>
      <c r="B201" s="3" t="s">
        <v>183</v>
      </c>
      <c r="C201" s="3" t="s">
        <v>100</v>
      </c>
      <c r="D201" s="3" t="str">
        <f>IFERROR(MID(VLOOKUP($B201,Seqs!$A:$B,2,0),E201,1),"")</f>
        <v>S</v>
      </c>
      <c r="E201" s="3">
        <v>29</v>
      </c>
      <c r="F201" s="3" t="str">
        <f>IFERROR(MID(VLOOKUP($B201,Seqs!$A:$B,2,0),G201,1),"")</f>
        <v>S</v>
      </c>
      <c r="G201" s="3">
        <v>61</v>
      </c>
      <c r="H201" s="3" t="str">
        <f>IFERROR(MID(VLOOKUP($B201,Seqs!$A:$B,2,0),I201,1),"")</f>
        <v>H</v>
      </c>
      <c r="I201" s="23">
        <v>62</v>
      </c>
      <c r="J201" s="3" t="str">
        <f>IFERROR(MID(VLOOKUP($B201,Seqs!$A:$B,2,0),K201,1),"")</f>
        <v>R</v>
      </c>
      <c r="K201" s="23">
        <v>65</v>
      </c>
      <c r="L201" s="3" t="str">
        <f>IFERROR(MID(VLOOKUP($B201,Seqs!$A:$B,2,0),M201,1),"")</f>
        <v>K</v>
      </c>
      <c r="M201" s="3">
        <v>67</v>
      </c>
      <c r="N201" s="3" t="str">
        <f>IFERROR(MID(VLOOKUP($B201,Seqs!$A:$B,2,0),O201,1),"")</f>
        <v>V</v>
      </c>
      <c r="O201" s="3">
        <v>96</v>
      </c>
      <c r="P201" s="3" t="str">
        <f>IFERROR(MID(VLOOKUP($B201,Seqs!$A:$B,2,0),Q201,1),"")</f>
        <v/>
      </c>
      <c r="Q201" s="3" t="s">
        <v>23</v>
      </c>
      <c r="R201" s="3" t="str">
        <f>IFERROR(MID(VLOOKUP($B201,Seqs!$A:$B,2,0),S201,1),"")</f>
        <v/>
      </c>
      <c r="S201" s="3" t="s">
        <v>23</v>
      </c>
      <c r="T201" s="3" t="str">
        <f>IFERROR(MID(VLOOKUP($B201,Seqs!$A:$B,2,0),U201,1),"")</f>
        <v>S</v>
      </c>
      <c r="U201" s="3">
        <v>102</v>
      </c>
      <c r="V201" s="3" t="str">
        <f>IFERROR(MID(VLOOKUP($B201,Seqs!$A:$B,2,0),W201,1),"")</f>
        <v>Y</v>
      </c>
      <c r="W201" s="3">
        <v>137</v>
      </c>
      <c r="X201" s="3" t="str">
        <f>IFERROR(MID(VLOOKUP($B201,Seqs!$A:$B,2,0),Y201,1),"")</f>
        <v>P</v>
      </c>
      <c r="Y201" s="3">
        <v>138</v>
      </c>
      <c r="Z201" s="3" t="str">
        <f>IFERROR(MID(VLOOKUP($B201,Seqs!$A:$B,2,0),AA201,1),"")</f>
        <v>L</v>
      </c>
      <c r="AA201" s="3">
        <v>145</v>
      </c>
      <c r="AB201" s="3" t="str">
        <f>IFERROR(MID(VLOOKUP($B201,Seqs!$A:$B,2,0),AC201,1),"")</f>
        <v>T</v>
      </c>
      <c r="AC201" s="3">
        <v>146</v>
      </c>
      <c r="AD201" s="3" t="str">
        <f>IFERROR(MID(VLOOKUP($B201,Seqs!$A:$B,2,0),AE201,1),"")</f>
        <v>G</v>
      </c>
      <c r="AE201" s="3">
        <v>171</v>
      </c>
      <c r="AF201" s="3" t="str">
        <f>IFERROR(MID(VLOOKUP($B201,Seqs!$A:$B,2,0),AG201,1),"")</f>
        <v/>
      </c>
      <c r="AG201" s="3" t="s">
        <v>23</v>
      </c>
      <c r="AH201" s="3" t="str">
        <f>IFERROR(MID(VLOOKUP($B201,Seqs!$A:$B,2,0),AI201,1),"")</f>
        <v/>
      </c>
      <c r="AI201" s="3" t="s">
        <v>23</v>
      </c>
      <c r="AJ201" s="3" t="str">
        <f>IFERROR(MID(VLOOKUP($B201,Seqs!$A:$B,2,0),AK201,1),"")</f>
        <v>P</v>
      </c>
      <c r="AK201" s="3">
        <v>187</v>
      </c>
      <c r="AL201" s="3" t="str">
        <f>IFERROR(MID(VLOOKUP($B201,Seqs!$A:$B,2,0),AM201,1),"")</f>
        <v>G</v>
      </c>
      <c r="AM201" s="3">
        <v>225</v>
      </c>
      <c r="AN201" s="3" t="str">
        <f>IFERROR(MID(VLOOKUP($B201,Seqs!$A:$B,2,0),AO201,1),"")</f>
        <v>R</v>
      </c>
      <c r="AO201" s="105">
        <v>238</v>
      </c>
      <c r="AP201" s="3" t="str">
        <f>IFERROR(MID(VLOOKUP($B201,Seqs!$A:$B,2,0),AQ201,1),"")</f>
        <v>T</v>
      </c>
      <c r="AQ201" s="3">
        <v>271</v>
      </c>
      <c r="AR201" s="3" t="str">
        <f>IFERROR(MID(VLOOKUP($B201,Seqs!$A:$B,2,0),AS201,1),"")</f>
        <v>S</v>
      </c>
      <c r="AS201" s="3">
        <v>274</v>
      </c>
      <c r="AT201" s="3" t="str">
        <f>IFERROR(MID(VLOOKUP($B201,Seqs!$A:$B,2,0),AU201,1),"")</f>
        <v>R</v>
      </c>
      <c r="AU201" s="3">
        <v>302</v>
      </c>
      <c r="AV201" s="3" t="str">
        <f>IFERROR(MID(VLOOKUP($B201,Seqs!$A:$B,2,0),AW201,1),"")</f>
        <v>S</v>
      </c>
      <c r="AW201" s="3">
        <v>303</v>
      </c>
      <c r="AX201" s="3" t="str">
        <f>IFERROR(MID(VLOOKUP($B201,Seqs!$A:$B,2,0),AY201,1),"")</f>
        <v>K</v>
      </c>
      <c r="AY201" s="3">
        <v>319</v>
      </c>
      <c r="AZ201" s="77" t="str">
        <f>VLOOKUP(B201,Classification!A:D,2,0)</f>
        <v>A</v>
      </c>
      <c r="BA201" s="94" t="str">
        <f>VLOOKUP(B201,Classification!A:D,4,0)</f>
        <v>Cannabinoid</v>
      </c>
      <c r="BB201" s="27" t="b">
        <f t="shared" si="1046"/>
        <v>1</v>
      </c>
      <c r="BC201" s="23">
        <f t="shared" si="1047"/>
        <v>258</v>
      </c>
      <c r="BD201" s="2" t="s">
        <v>23</v>
      </c>
      <c r="BE201" s="3" t="s">
        <v>23</v>
      </c>
      <c r="BF201" s="118" t="s">
        <v>23</v>
      </c>
      <c r="BG201" s="49" t="s">
        <v>23</v>
      </c>
      <c r="BH201" s="49" t="s">
        <v>23</v>
      </c>
      <c r="BJ201" s="70" t="s">
        <v>1281</v>
      </c>
      <c r="BK201" s="57" t="s">
        <v>1281</v>
      </c>
      <c r="BL201" s="57" t="s">
        <v>1281</v>
      </c>
      <c r="BM201" s="57" t="s">
        <v>1281</v>
      </c>
      <c r="BN201" s="57" t="s">
        <v>1281</v>
      </c>
      <c r="BO201" s="57" t="s">
        <v>1281</v>
      </c>
      <c r="BP201" s="57" t="s">
        <v>1281</v>
      </c>
      <c r="BQ201" s="57" t="s">
        <v>1281</v>
      </c>
      <c r="BR201" s="57" t="s">
        <v>1281</v>
      </c>
      <c r="BS201" s="57" t="s">
        <v>1281</v>
      </c>
      <c r="BT201" s="57" t="s">
        <v>1281</v>
      </c>
      <c r="BU201" s="57" t="s">
        <v>1281</v>
      </c>
      <c r="BV201" s="70">
        <f>E201</f>
        <v>29</v>
      </c>
      <c r="BW201" s="71">
        <f>I201</f>
        <v>62</v>
      </c>
      <c r="BX201" s="72">
        <f>M201</f>
        <v>67</v>
      </c>
      <c r="BY201" s="71" t="str">
        <f>Q201</f>
        <v>-</v>
      </c>
      <c r="BZ201" s="72">
        <f>U201</f>
        <v>102</v>
      </c>
      <c r="CA201" s="71">
        <f>Y201</f>
        <v>138</v>
      </c>
      <c r="CB201" s="72">
        <f>AC201</f>
        <v>146</v>
      </c>
      <c r="CC201" s="71" t="str">
        <f>AG201</f>
        <v>-</v>
      </c>
      <c r="CD201" s="72">
        <f>AK201</f>
        <v>187</v>
      </c>
      <c r="CE201" s="71">
        <f>AO201</f>
        <v>238</v>
      </c>
      <c r="CF201" s="72">
        <f>AS201</f>
        <v>274</v>
      </c>
      <c r="CG201" s="71">
        <f>AW201</f>
        <v>303</v>
      </c>
      <c r="CH201" s="70">
        <f>G201</f>
        <v>61</v>
      </c>
      <c r="CI201" s="71">
        <f>K201</f>
        <v>65</v>
      </c>
      <c r="CJ201" s="72">
        <f>O201</f>
        <v>96</v>
      </c>
      <c r="CK201" s="72" t="str">
        <f>S201</f>
        <v>-</v>
      </c>
      <c r="CL201" s="72">
        <f>W201</f>
        <v>137</v>
      </c>
      <c r="CM201" s="72">
        <f>AA201</f>
        <v>145</v>
      </c>
      <c r="CN201" s="72">
        <f>AE201</f>
        <v>171</v>
      </c>
      <c r="CO201" s="72" t="str">
        <f>AI201</f>
        <v>-</v>
      </c>
      <c r="CP201" s="72">
        <f>AM201</f>
        <v>225</v>
      </c>
      <c r="CQ201" s="72">
        <f>AQ201</f>
        <v>271</v>
      </c>
      <c r="CR201" s="72">
        <f>AU201</f>
        <v>302</v>
      </c>
      <c r="CS201" s="72">
        <f>AY201</f>
        <v>319</v>
      </c>
      <c r="CT201" s="23">
        <f>M201-K201</f>
        <v>2</v>
      </c>
    </row>
    <row r="202" spans="1:1030" x14ac:dyDescent="0.2">
      <c r="A202" s="3" t="str">
        <f>CONCATENATE(B202,"_",C202)</f>
        <v>cnr2_human_5ZTY</v>
      </c>
      <c r="B202" s="3" t="s">
        <v>183</v>
      </c>
      <c r="C202" s="3" t="s">
        <v>1551</v>
      </c>
      <c r="D202" s="3" t="str">
        <f>IFERROR(MID(VLOOKUP($B202,Seqs!$A:$B,2,0),E202,1),"")</f>
        <v>S</v>
      </c>
      <c r="E202" s="3">
        <v>29</v>
      </c>
      <c r="F202" s="3" t="str">
        <f>IFERROR(MID(VLOOKUP($B202,Seqs!$A:$B,2,0),G202,1),"")</f>
        <v>S</v>
      </c>
      <c r="G202" s="3">
        <v>61</v>
      </c>
      <c r="H202" s="3" t="str">
        <f>IFERROR(MID(VLOOKUP($B202,Seqs!$A:$B,2,0),I202,1),"")</f>
        <v>H</v>
      </c>
      <c r="I202" s="23">
        <v>62</v>
      </c>
      <c r="J202" s="3" t="str">
        <f>IFERROR(MID(VLOOKUP($B202,Seqs!$A:$B,2,0),K202,1),"")</f>
        <v>R</v>
      </c>
      <c r="K202" s="23">
        <v>65</v>
      </c>
      <c r="L202" s="3" t="str">
        <f>IFERROR(MID(VLOOKUP($B202,Seqs!$A:$B,2,0),M202,1),"")</f>
        <v>K</v>
      </c>
      <c r="M202" s="3">
        <v>67</v>
      </c>
      <c r="N202" s="3" t="str">
        <f>IFERROR(MID(VLOOKUP($B202,Seqs!$A:$B,2,0),O202,1),"")</f>
        <v>V</v>
      </c>
      <c r="O202" s="3">
        <v>96</v>
      </c>
      <c r="P202" s="3" t="str">
        <f>IFERROR(MID(VLOOKUP($B202,Seqs!$A:$B,2,0),Q202,1),"")</f>
        <v/>
      </c>
      <c r="Q202" s="3" t="s">
        <v>23</v>
      </c>
      <c r="R202" s="3" t="str">
        <f>IFERROR(MID(VLOOKUP($B202,Seqs!$A:$B,2,0),S202,1),"")</f>
        <v/>
      </c>
      <c r="S202" s="3" t="s">
        <v>23</v>
      </c>
      <c r="T202" s="3" t="str">
        <f>IFERROR(MID(VLOOKUP($B202,Seqs!$A:$B,2,0),U202,1),"")</f>
        <v>S</v>
      </c>
      <c r="U202" s="3">
        <v>102</v>
      </c>
      <c r="V202" s="3" t="str">
        <f>IFERROR(MID(VLOOKUP($B202,Seqs!$A:$B,2,0),W202,1),"")</f>
        <v>Y</v>
      </c>
      <c r="W202" s="3">
        <v>137</v>
      </c>
      <c r="X202" s="3" t="str">
        <f>IFERROR(MID(VLOOKUP($B202,Seqs!$A:$B,2,0),Y202,1),"")</f>
        <v>P</v>
      </c>
      <c r="Y202" s="3">
        <v>138</v>
      </c>
      <c r="Z202" s="3" t="str">
        <f>IFERROR(MID(VLOOKUP($B202,Seqs!$A:$B,2,0),AA202,1),"")</f>
        <v>L</v>
      </c>
      <c r="AA202" s="3">
        <v>145</v>
      </c>
      <c r="AB202" s="3" t="str">
        <f>IFERROR(MID(VLOOKUP($B202,Seqs!$A:$B,2,0),AC202,1),"")</f>
        <v>T</v>
      </c>
      <c r="AC202" s="3">
        <v>146</v>
      </c>
      <c r="AD202" s="3" t="str">
        <f>IFERROR(MID(VLOOKUP($B202,Seqs!$A:$B,2,0),AE202,1),"")</f>
        <v>G</v>
      </c>
      <c r="AE202" s="3">
        <v>171</v>
      </c>
      <c r="AF202" s="3" t="str">
        <f>IFERROR(MID(VLOOKUP($B202,Seqs!$A:$B,2,0),AG202,1),"")</f>
        <v/>
      </c>
      <c r="AG202" s="3" t="s">
        <v>23</v>
      </c>
      <c r="AH202" s="3" t="str">
        <f>IFERROR(MID(VLOOKUP($B202,Seqs!$A:$B,2,0),AI202,1),"")</f>
        <v/>
      </c>
      <c r="AI202" s="3" t="s">
        <v>23</v>
      </c>
      <c r="AJ202" s="3" t="str">
        <f>IFERROR(MID(VLOOKUP($B202,Seqs!$A:$B,2,0),AK202,1),"")</f>
        <v>P</v>
      </c>
      <c r="AK202" s="3">
        <v>187</v>
      </c>
      <c r="AL202" s="3" t="str">
        <f>IFERROR(MID(VLOOKUP($B202,Seqs!$A:$B,2,0),AM202,1),"")</f>
        <v>V</v>
      </c>
      <c r="AM202" s="3">
        <v>220</v>
      </c>
      <c r="AN202" s="3" t="str">
        <f>IFERROR(MID(VLOOKUP($B202,Seqs!$A:$B,2,0),AO202,1),"")</f>
        <v>M</v>
      </c>
      <c r="AO202" s="3">
        <v>237</v>
      </c>
      <c r="AP202" s="3" t="str">
        <f>IFERROR(MID(VLOOKUP($B202,Seqs!$A:$B,2,0),AQ202,1),"")</f>
        <v>T</v>
      </c>
      <c r="AQ202" s="3">
        <v>271</v>
      </c>
      <c r="AR202" s="3" t="str">
        <f>IFERROR(MID(VLOOKUP($B202,Seqs!$A:$B,2,0),AS202,1),"")</f>
        <v>S</v>
      </c>
      <c r="AS202" s="3">
        <v>274</v>
      </c>
      <c r="AT202" s="3" t="str">
        <f>IFERROR(MID(VLOOKUP($B202,Seqs!$A:$B,2,0),AU202,1),"")</f>
        <v>R</v>
      </c>
      <c r="AU202" s="3">
        <v>302</v>
      </c>
      <c r="AV202" s="3" t="str">
        <f>IFERROR(MID(VLOOKUP($B202,Seqs!$A:$B,2,0),AW202,1),"")</f>
        <v>S</v>
      </c>
      <c r="AW202" s="3">
        <v>303</v>
      </c>
      <c r="AX202" s="3" t="str">
        <f>IFERROR(MID(VLOOKUP($B202,Seqs!$A:$B,2,0),AY202,1),"")</f>
        <v>K</v>
      </c>
      <c r="AY202" s="3">
        <v>319</v>
      </c>
      <c r="AZ202" s="77" t="str">
        <f>VLOOKUP(B202,Classification!A:D,2,0)</f>
        <v>A</v>
      </c>
      <c r="BA202" s="94" t="str">
        <f>VLOOKUP(B202,Classification!A:D,4,0)</f>
        <v>Cannabinoid</v>
      </c>
      <c r="BB202" s="27" t="b">
        <f t="shared" si="1046"/>
        <v>1</v>
      </c>
      <c r="BC202" s="23">
        <f t="shared" si="1047"/>
        <v>254</v>
      </c>
      <c r="BD202" s="2" t="s">
        <v>1370</v>
      </c>
      <c r="BE202" s="3" t="s">
        <v>1368</v>
      </c>
      <c r="BF202" s="118">
        <v>2.8</v>
      </c>
      <c r="BG202" s="49" t="s">
        <v>1</v>
      </c>
      <c r="BH202" s="49" t="s">
        <v>1</v>
      </c>
      <c r="BJ202" s="70" t="s">
        <v>1281</v>
      </c>
      <c r="BK202" s="57" t="s">
        <v>1281</v>
      </c>
      <c r="BL202" s="57" t="s">
        <v>1281</v>
      </c>
      <c r="BM202" s="57" t="s">
        <v>1281</v>
      </c>
      <c r="BN202" s="57" t="s">
        <v>1281</v>
      </c>
      <c r="BO202" s="57" t="s">
        <v>1281</v>
      </c>
      <c r="BP202" s="57" t="s">
        <v>1281</v>
      </c>
      <c r="BQ202" s="57" t="s">
        <v>1281</v>
      </c>
      <c r="BR202" s="57" t="s">
        <v>1281</v>
      </c>
      <c r="BS202" s="57" t="s">
        <v>1281</v>
      </c>
      <c r="BT202" s="57" t="s">
        <v>1281</v>
      </c>
      <c r="BU202" s="57" t="s">
        <v>1281</v>
      </c>
      <c r="BV202" s="70">
        <f>E202</f>
        <v>29</v>
      </c>
      <c r="BW202" s="71">
        <f>I202</f>
        <v>62</v>
      </c>
      <c r="BX202" s="72">
        <f>M202</f>
        <v>67</v>
      </c>
      <c r="BY202" s="71" t="str">
        <f>Q202</f>
        <v>-</v>
      </c>
      <c r="BZ202" s="72">
        <f>U202</f>
        <v>102</v>
      </c>
      <c r="CA202" s="71">
        <f>Y202</f>
        <v>138</v>
      </c>
      <c r="CB202" s="72">
        <f>AC202</f>
        <v>146</v>
      </c>
      <c r="CC202" s="71" t="str">
        <f>AG202</f>
        <v>-</v>
      </c>
      <c r="CD202" s="72">
        <f>AK202</f>
        <v>187</v>
      </c>
      <c r="CE202" s="71">
        <f>AO202</f>
        <v>237</v>
      </c>
      <c r="CF202" s="72">
        <f>AS202</f>
        <v>274</v>
      </c>
      <c r="CG202" s="71">
        <f>AW202</f>
        <v>303</v>
      </c>
      <c r="CH202" s="70">
        <f>G202</f>
        <v>61</v>
      </c>
      <c r="CI202" s="71">
        <f>K202</f>
        <v>65</v>
      </c>
      <c r="CJ202" s="72">
        <f>O202</f>
        <v>96</v>
      </c>
      <c r="CK202" s="72" t="str">
        <f>S202</f>
        <v>-</v>
      </c>
      <c r="CL202" s="72">
        <f>W202</f>
        <v>137</v>
      </c>
      <c r="CM202" s="72">
        <f>AA202</f>
        <v>145</v>
      </c>
      <c r="CN202" s="72">
        <f>AE202</f>
        <v>171</v>
      </c>
      <c r="CO202" s="72" t="str">
        <f>AI202</f>
        <v>-</v>
      </c>
      <c r="CP202" s="72">
        <f>AM202</f>
        <v>220</v>
      </c>
      <c r="CQ202" s="72">
        <f>AQ202</f>
        <v>271</v>
      </c>
      <c r="CR202" s="72">
        <f>AU202</f>
        <v>302</v>
      </c>
      <c r="CS202" s="72">
        <f>AY202</f>
        <v>319</v>
      </c>
      <c r="CT202" s="23">
        <f>M202-K202</f>
        <v>2</v>
      </c>
    </row>
    <row r="203" spans="1:1030" s="12" customFormat="1" x14ac:dyDescent="0.2">
      <c r="A203" s="9" t="str">
        <f>CONCATENATE(B203,"_",C203)</f>
        <v>cnr2_human_6KPC</v>
      </c>
      <c r="B203" s="9" t="s">
        <v>183</v>
      </c>
      <c r="C203" s="9" t="s">
        <v>1643</v>
      </c>
      <c r="D203" s="9" t="str">
        <f>IFERROR(MID(VLOOKUP($B203,Seqs!$A:$B,2,0),E203,1),"")</f>
        <v>S</v>
      </c>
      <c r="E203" s="9">
        <v>29</v>
      </c>
      <c r="F203" s="9" t="str">
        <f>IFERROR(MID(VLOOKUP($B203,Seqs!$A:$B,2,0),G203,1),"")</f>
        <v>S</v>
      </c>
      <c r="G203" s="9">
        <v>61</v>
      </c>
      <c r="H203" s="9" t="str">
        <f>IFERROR(MID(VLOOKUP($B203,Seqs!$A:$B,2,0),I203,1),"")</f>
        <v>H</v>
      </c>
      <c r="I203" s="109">
        <v>62</v>
      </c>
      <c r="J203" s="9" t="str">
        <f>IFERROR(MID(VLOOKUP($B203,Seqs!$A:$B,2,0),K203,1),"")</f>
        <v>R</v>
      </c>
      <c r="K203" s="109">
        <v>65</v>
      </c>
      <c r="L203" s="9" t="str">
        <f>IFERROR(MID(VLOOKUP($B203,Seqs!$A:$B,2,0),M203,1),"")</f>
        <v>P</v>
      </c>
      <c r="M203" s="9">
        <v>68</v>
      </c>
      <c r="N203" s="9" t="str">
        <f>IFERROR(MID(VLOOKUP($B203,Seqs!$A:$B,2,0),O203,1),"")</f>
        <v>H</v>
      </c>
      <c r="O203" s="9">
        <v>95</v>
      </c>
      <c r="P203" s="9" t="str">
        <f>IFERROR(MID(VLOOKUP($B203,Seqs!$A:$B,2,0),Q203,1),"")</f>
        <v/>
      </c>
      <c r="Q203" s="9" t="s">
        <v>23</v>
      </c>
      <c r="R203" s="9" t="str">
        <f>IFERROR(MID(VLOOKUP($B203,Seqs!$A:$B,2,0),S203,1),"")</f>
        <v/>
      </c>
      <c r="S203" s="9" t="s">
        <v>23</v>
      </c>
      <c r="T203" s="9" t="str">
        <f>IFERROR(MID(VLOOKUP($B203,Seqs!$A:$B,2,0),U203,1),"")</f>
        <v>S</v>
      </c>
      <c r="U203" s="9">
        <v>102</v>
      </c>
      <c r="V203" s="9" t="str">
        <f>IFERROR(MID(VLOOKUP($B203,Seqs!$A:$B,2,0),W203,1),"")</f>
        <v>Y</v>
      </c>
      <c r="W203" s="9">
        <v>137</v>
      </c>
      <c r="X203" s="9" t="str">
        <f>IFERROR(MID(VLOOKUP($B203,Seqs!$A:$B,2,0),Y203,1),"")</f>
        <v>P</v>
      </c>
      <c r="Y203" s="9">
        <v>138</v>
      </c>
      <c r="Z203" s="9" t="str">
        <f>IFERROR(MID(VLOOKUP($B203,Seqs!$A:$B,2,0),AA203,1),"")</f>
        <v>L</v>
      </c>
      <c r="AA203" s="9">
        <v>145</v>
      </c>
      <c r="AB203" s="9" t="str">
        <f>IFERROR(MID(VLOOKUP($B203,Seqs!$A:$B,2,0),AC203,1),"")</f>
        <v>T</v>
      </c>
      <c r="AC203" s="9">
        <v>146</v>
      </c>
      <c r="AD203" s="9" t="str">
        <f>IFERROR(MID(VLOOKUP($B203,Seqs!$A:$B,2,0),AE203,1),"")</f>
        <v>M</v>
      </c>
      <c r="AE203" s="9">
        <v>170</v>
      </c>
      <c r="AF203" s="9" t="str">
        <f>IFERROR(MID(VLOOKUP($B203,Seqs!$A:$B,2,0),AG203,1),"")</f>
        <v/>
      </c>
      <c r="AG203" s="9" t="s">
        <v>23</v>
      </c>
      <c r="AH203" s="9" t="str">
        <f>IFERROR(MID(VLOOKUP($B203,Seqs!$A:$B,2,0),AI203,1),"")</f>
        <v/>
      </c>
      <c r="AI203" s="9" t="s">
        <v>23</v>
      </c>
      <c r="AJ203" s="9" t="str">
        <f>IFERROR(MID(VLOOKUP($B203,Seqs!$A:$B,2,0),AK203,1),"")</f>
        <v>P</v>
      </c>
      <c r="AK203" s="9">
        <v>187</v>
      </c>
      <c r="AL203" s="9" t="str">
        <f>IFERROR(MID(VLOOKUP($B203,Seqs!$A:$B,2,0),AM203,1),"")</f>
        <v>V</v>
      </c>
      <c r="AM203" s="9">
        <v>220</v>
      </c>
      <c r="AN203" s="9" t="str">
        <f>IFERROR(MID(VLOOKUP($B203,Seqs!$A:$B,2,0),AO203,1),"")</f>
        <v>M</v>
      </c>
      <c r="AO203" s="9">
        <v>237</v>
      </c>
      <c r="AP203" s="9" t="str">
        <f>IFERROR(MID(VLOOKUP($B203,Seqs!$A:$B,2,0),AQ203,1),"")</f>
        <v>T</v>
      </c>
      <c r="AQ203" s="9">
        <v>271</v>
      </c>
      <c r="AR203" s="9" t="str">
        <f>IFERROR(MID(VLOOKUP($B203,Seqs!$A:$B,2,0),AS203,1),"")</f>
        <v>S</v>
      </c>
      <c r="AS203" s="9">
        <v>274</v>
      </c>
      <c r="AT203" s="9" t="str">
        <f>IFERROR(MID(VLOOKUP($B203,Seqs!$A:$B,2,0),AU203,1),"")</f>
        <v>R</v>
      </c>
      <c r="AU203" s="9">
        <v>302</v>
      </c>
      <c r="AV203" s="9" t="str">
        <f>IFERROR(MID(VLOOKUP($B203,Seqs!$A:$B,2,0),AW203,1),"")</f>
        <v>S</v>
      </c>
      <c r="AW203" s="9">
        <v>303</v>
      </c>
      <c r="AX203" s="9" t="str">
        <f>IFERROR(MID(VLOOKUP($B203,Seqs!$A:$B,2,0),AY203,1),"")</f>
        <v>H</v>
      </c>
      <c r="AY203" s="9">
        <v>312</v>
      </c>
      <c r="AZ203" s="110" t="str">
        <f>VLOOKUP(B203,Classification!A:D,2,0)</f>
        <v>A</v>
      </c>
      <c r="BA203" s="98" t="str">
        <f>VLOOKUP(B203,Classification!A:D,4,0)</f>
        <v>Cannabinoid</v>
      </c>
      <c r="BB203" s="36" t="b">
        <f t="shared" ref="BB203" si="1050">AND(E203&lt;G203,OR(G203&lt;I203,I203="-"),OR(I203&lt;K203,I203="-"),OR(K203&lt;M203,K203="-"),M203&lt;O203,OR(O203&lt;Q203,Q203="-"),OR(Q203&lt;S203,Q203="-"),OR(S203&lt;U203,S203="-"),U203&lt;W203,OR(W203&lt;Y203,Y203="-"),OR(Y203&lt;AA203,Y203="-"),OR(AA203&lt;AC203,AA203="-"),AC203&lt;AE203,OR(AE203&lt;AG203,AG203="-"),OR(AG203&lt;AI203,AG203="-"),OR(AI203&lt;AK203,AI203="-"),AK203&lt;AM203,AM203&lt;AO203,AO203&lt;AQ203,AQ203&lt;AS203,AS203&lt;AU203,OR(AU203&lt;AW203,AW203="-"),OR(AW203&lt;AY203,AW203="-"))</f>
        <v>1</v>
      </c>
      <c r="BC203" s="109">
        <f t="shared" ref="BC203" si="1051">_xlfn.AGGREGATE(9,6,CH203:CS203)-_xlfn.AGGREGATE(9,6,BV203:CG203)+12</f>
        <v>244</v>
      </c>
      <c r="BD203" s="40" t="s">
        <v>23</v>
      </c>
      <c r="BE203" s="9" t="s">
        <v>1368</v>
      </c>
      <c r="BF203" s="119">
        <v>3.2</v>
      </c>
      <c r="BG203" s="51" t="s">
        <v>1</v>
      </c>
      <c r="BH203" s="51" t="s">
        <v>1</v>
      </c>
      <c r="BI203" s="9"/>
      <c r="BJ203" s="111" t="s">
        <v>1281</v>
      </c>
      <c r="BK203" s="112" t="s">
        <v>1281</v>
      </c>
      <c r="BL203" s="112" t="s">
        <v>1281</v>
      </c>
      <c r="BM203" s="112" t="s">
        <v>1281</v>
      </c>
      <c r="BN203" s="112" t="s">
        <v>1281</v>
      </c>
      <c r="BO203" s="112" t="s">
        <v>1281</v>
      </c>
      <c r="BP203" s="112" t="s">
        <v>1281</v>
      </c>
      <c r="BQ203" s="112" t="s">
        <v>1281</v>
      </c>
      <c r="BR203" s="112" t="s">
        <v>1281</v>
      </c>
      <c r="BS203" s="112" t="s">
        <v>1281</v>
      </c>
      <c r="BT203" s="112" t="s">
        <v>1281</v>
      </c>
      <c r="BU203" s="112" t="s">
        <v>1281</v>
      </c>
      <c r="BV203" s="111">
        <f>E203</f>
        <v>29</v>
      </c>
      <c r="BW203" s="113">
        <f>I203</f>
        <v>62</v>
      </c>
      <c r="BX203" s="114">
        <f>M203</f>
        <v>68</v>
      </c>
      <c r="BY203" s="113" t="str">
        <f>Q203</f>
        <v>-</v>
      </c>
      <c r="BZ203" s="114">
        <f>U203</f>
        <v>102</v>
      </c>
      <c r="CA203" s="113">
        <f>Y203</f>
        <v>138</v>
      </c>
      <c r="CB203" s="114">
        <f>AC203</f>
        <v>146</v>
      </c>
      <c r="CC203" s="113" t="str">
        <f>AG203</f>
        <v>-</v>
      </c>
      <c r="CD203" s="114">
        <f>AK203</f>
        <v>187</v>
      </c>
      <c r="CE203" s="113">
        <f>AO203</f>
        <v>237</v>
      </c>
      <c r="CF203" s="114">
        <f>AS203</f>
        <v>274</v>
      </c>
      <c r="CG203" s="113">
        <f>AW203</f>
        <v>303</v>
      </c>
      <c r="CH203" s="111">
        <f>G203</f>
        <v>61</v>
      </c>
      <c r="CI203" s="113">
        <f>K203</f>
        <v>65</v>
      </c>
      <c r="CJ203" s="114">
        <f>O203</f>
        <v>95</v>
      </c>
      <c r="CK203" s="114" t="str">
        <f>S203</f>
        <v>-</v>
      </c>
      <c r="CL203" s="114">
        <f>W203</f>
        <v>137</v>
      </c>
      <c r="CM203" s="114">
        <f>AA203</f>
        <v>145</v>
      </c>
      <c r="CN203" s="114">
        <f>AE203</f>
        <v>170</v>
      </c>
      <c r="CO203" s="114" t="str">
        <f>AI203</f>
        <v>-</v>
      </c>
      <c r="CP203" s="114">
        <f>AM203</f>
        <v>220</v>
      </c>
      <c r="CQ203" s="114">
        <f>AQ203</f>
        <v>271</v>
      </c>
      <c r="CR203" s="114">
        <f>AU203</f>
        <v>302</v>
      </c>
      <c r="CS203" s="114">
        <f>AY203</f>
        <v>312</v>
      </c>
      <c r="CT203" s="109">
        <f>M203-K203</f>
        <v>3</v>
      </c>
      <c r="CU203" s="9"/>
      <c r="CV203" s="9"/>
      <c r="CW203" s="9"/>
      <c r="CX203" s="9"/>
      <c r="CY203" s="9"/>
      <c r="CZ203" s="9"/>
      <c r="DA203" s="9"/>
      <c r="DB203" s="9"/>
      <c r="DC203" s="9"/>
      <c r="DD203" s="9"/>
      <c r="DE203" s="9"/>
      <c r="DF203" s="9"/>
      <c r="DG203" s="9"/>
      <c r="DH203" s="9"/>
      <c r="DI203" s="9"/>
      <c r="DJ203" s="9"/>
      <c r="DK203" s="9"/>
      <c r="DL203" s="9"/>
      <c r="DM203" s="9"/>
      <c r="DN203" s="9"/>
      <c r="DO203" s="9"/>
      <c r="DP203" s="9"/>
      <c r="DQ203" s="9"/>
      <c r="DR203" s="9"/>
      <c r="DS203" s="9"/>
      <c r="DT203" s="9"/>
      <c r="DU203" s="9"/>
      <c r="DV203" s="9"/>
      <c r="DW203" s="9"/>
      <c r="DX203" s="9"/>
      <c r="DY203" s="9"/>
      <c r="DZ203" s="9"/>
      <c r="EA203" s="9"/>
      <c r="EB203" s="9"/>
      <c r="EC203" s="9"/>
      <c r="ED203" s="9"/>
      <c r="EE203" s="9"/>
      <c r="EF203" s="9"/>
      <c r="EG203" s="9"/>
      <c r="EH203" s="9"/>
      <c r="EI203" s="9"/>
      <c r="EJ203" s="9"/>
      <c r="EK203" s="9"/>
      <c r="EL203" s="9"/>
      <c r="EM203" s="9"/>
      <c r="EN203" s="9"/>
      <c r="EO203" s="9"/>
      <c r="EP203" s="9"/>
      <c r="EQ203" s="9"/>
      <c r="ER203" s="9"/>
      <c r="ES203" s="9"/>
      <c r="ET203" s="9"/>
      <c r="EU203" s="9"/>
      <c r="EV203" s="9"/>
      <c r="EW203" s="9"/>
      <c r="EX203" s="9"/>
      <c r="EY203" s="9"/>
      <c r="EZ203" s="9"/>
      <c r="FA203" s="9"/>
      <c r="FB203" s="9"/>
      <c r="FC203" s="9"/>
      <c r="FD203" s="9"/>
      <c r="FE203" s="9"/>
      <c r="FF203" s="9"/>
      <c r="FG203" s="9"/>
      <c r="FH203" s="9"/>
      <c r="FI203" s="9"/>
      <c r="FJ203" s="9"/>
      <c r="FK203" s="9"/>
      <c r="FL203" s="9"/>
      <c r="FM203" s="9"/>
      <c r="FN203" s="9"/>
      <c r="FO203" s="9"/>
      <c r="FP203" s="9"/>
      <c r="FQ203" s="9"/>
      <c r="FR203" s="9"/>
      <c r="FS203" s="9"/>
      <c r="FT203" s="9"/>
      <c r="FU203" s="9"/>
      <c r="FV203" s="9"/>
      <c r="FW203" s="9"/>
      <c r="FX203" s="9"/>
      <c r="FY203" s="9"/>
      <c r="FZ203" s="9"/>
      <c r="GA203" s="9"/>
      <c r="GB203" s="9"/>
      <c r="GC203" s="9"/>
      <c r="GD203" s="9"/>
      <c r="GE203" s="9"/>
      <c r="GF203" s="9"/>
      <c r="GG203" s="9"/>
      <c r="GH203" s="9"/>
      <c r="GI203" s="9"/>
      <c r="GJ203" s="9"/>
      <c r="GK203" s="9"/>
      <c r="GL203" s="9"/>
      <c r="GM203" s="9"/>
      <c r="GN203" s="9"/>
      <c r="GO203" s="9"/>
      <c r="GP203" s="9"/>
      <c r="GQ203" s="9"/>
      <c r="GR203" s="9"/>
      <c r="GS203" s="9"/>
      <c r="GT203" s="9"/>
      <c r="GU203" s="9"/>
      <c r="GV203" s="9"/>
      <c r="GW203" s="9"/>
      <c r="GX203" s="9"/>
      <c r="GY203" s="9"/>
      <c r="GZ203" s="9"/>
      <c r="HA203" s="9"/>
      <c r="HB203" s="9"/>
      <c r="HC203" s="9"/>
      <c r="HD203" s="9"/>
      <c r="HE203" s="9"/>
      <c r="HF203" s="9"/>
      <c r="HG203" s="9"/>
      <c r="HH203" s="9"/>
      <c r="HI203" s="9"/>
      <c r="HJ203" s="9"/>
      <c r="HK203" s="9"/>
      <c r="HL203" s="9"/>
      <c r="HM203" s="9"/>
      <c r="HN203" s="9"/>
      <c r="HO203" s="9"/>
      <c r="HP203" s="9"/>
      <c r="HQ203" s="9"/>
      <c r="HR203" s="9"/>
      <c r="HS203" s="9"/>
      <c r="HT203" s="9"/>
      <c r="HU203" s="9"/>
      <c r="HV203" s="9"/>
      <c r="HW203" s="9"/>
      <c r="HX203" s="9"/>
      <c r="HY203" s="9"/>
      <c r="HZ203" s="9"/>
      <c r="IA203" s="9"/>
      <c r="IB203" s="9"/>
      <c r="IC203" s="9"/>
      <c r="ID203" s="9"/>
      <c r="IE203" s="9"/>
      <c r="IF203" s="9"/>
      <c r="IG203" s="9"/>
      <c r="IH203" s="9"/>
      <c r="II203" s="9"/>
      <c r="IJ203" s="9"/>
      <c r="IK203" s="9"/>
      <c r="IL203" s="9"/>
      <c r="IM203" s="9"/>
      <c r="IN203" s="9"/>
      <c r="IO203" s="9"/>
      <c r="IP203" s="9"/>
      <c r="IQ203" s="9"/>
      <c r="IR203" s="9"/>
      <c r="IS203" s="9"/>
      <c r="IT203" s="9"/>
      <c r="IU203" s="9"/>
      <c r="IV203" s="9"/>
      <c r="IW203" s="9"/>
      <c r="IX203" s="9"/>
      <c r="IY203" s="9"/>
      <c r="IZ203" s="9"/>
      <c r="JA203" s="9"/>
      <c r="JB203" s="9"/>
      <c r="JC203" s="9"/>
      <c r="JD203" s="9"/>
      <c r="JE203" s="9"/>
      <c r="JF203" s="9"/>
      <c r="JG203" s="9"/>
      <c r="JH203" s="9"/>
      <c r="JI203" s="9"/>
      <c r="JJ203" s="9"/>
      <c r="JK203" s="9"/>
      <c r="JL203" s="9"/>
      <c r="JM203" s="9"/>
      <c r="JN203" s="9"/>
      <c r="JO203" s="9"/>
      <c r="JP203" s="9"/>
      <c r="JQ203" s="9"/>
      <c r="JR203" s="9"/>
      <c r="JS203" s="9"/>
      <c r="JT203" s="9"/>
      <c r="JU203" s="9"/>
      <c r="JV203" s="9"/>
      <c r="JW203" s="9"/>
      <c r="JX203" s="9"/>
      <c r="JY203" s="9"/>
      <c r="JZ203" s="9"/>
      <c r="KA203" s="9"/>
      <c r="KB203" s="9"/>
      <c r="KC203" s="9"/>
      <c r="KD203" s="9"/>
      <c r="KE203" s="9"/>
      <c r="KF203" s="9"/>
      <c r="KG203" s="9"/>
      <c r="KH203" s="9"/>
      <c r="KI203" s="9"/>
      <c r="KJ203" s="9"/>
      <c r="KK203" s="9"/>
      <c r="KL203" s="9"/>
      <c r="KM203" s="9"/>
      <c r="KN203" s="9"/>
      <c r="KO203" s="9"/>
      <c r="KP203" s="9"/>
      <c r="KQ203" s="9"/>
      <c r="KR203" s="9"/>
      <c r="KS203" s="9"/>
      <c r="KT203" s="9"/>
      <c r="KU203" s="9"/>
      <c r="KV203" s="9"/>
      <c r="KW203" s="9"/>
      <c r="KX203" s="9"/>
      <c r="KY203" s="9"/>
      <c r="KZ203" s="9"/>
      <c r="LA203" s="9"/>
      <c r="LB203" s="9"/>
      <c r="LC203" s="9"/>
      <c r="LD203" s="9"/>
      <c r="LE203" s="9"/>
      <c r="LF203" s="9"/>
      <c r="LG203" s="9"/>
      <c r="LH203" s="9"/>
      <c r="LI203" s="9"/>
      <c r="LJ203" s="9"/>
      <c r="LK203" s="9"/>
      <c r="LL203" s="9"/>
      <c r="LM203" s="9"/>
      <c r="LN203" s="9"/>
      <c r="LO203" s="9"/>
      <c r="LP203" s="9"/>
      <c r="LQ203" s="9"/>
      <c r="LR203" s="9"/>
      <c r="LS203" s="9"/>
      <c r="LT203" s="9"/>
      <c r="LU203" s="9"/>
      <c r="LV203" s="9"/>
      <c r="LW203" s="9"/>
      <c r="LX203" s="9"/>
      <c r="LY203" s="9"/>
      <c r="LZ203" s="9"/>
      <c r="MA203" s="9"/>
      <c r="MB203" s="9"/>
      <c r="MC203" s="9"/>
      <c r="MD203" s="9"/>
      <c r="ME203" s="9"/>
      <c r="MF203" s="9"/>
      <c r="MG203" s="9"/>
      <c r="MH203" s="9"/>
      <c r="MI203" s="9"/>
      <c r="MJ203" s="9"/>
      <c r="MK203" s="9"/>
      <c r="ML203" s="9"/>
      <c r="MM203" s="9"/>
      <c r="MN203" s="9"/>
      <c r="MO203" s="9"/>
      <c r="MP203" s="9"/>
      <c r="MQ203" s="9"/>
      <c r="MR203" s="9"/>
      <c r="MS203" s="9"/>
      <c r="MT203" s="9"/>
      <c r="MU203" s="9"/>
      <c r="MV203" s="9"/>
      <c r="MW203" s="9"/>
      <c r="MX203" s="9"/>
      <c r="MY203" s="9"/>
      <c r="MZ203" s="9"/>
      <c r="NA203" s="9"/>
      <c r="NB203" s="9"/>
      <c r="NC203" s="9"/>
      <c r="ND203" s="9"/>
      <c r="NE203" s="9"/>
      <c r="NF203" s="9"/>
      <c r="NG203" s="9"/>
      <c r="NH203" s="9"/>
      <c r="NI203" s="9"/>
      <c r="NJ203" s="9"/>
      <c r="NK203" s="9"/>
      <c r="NL203" s="9"/>
      <c r="NM203" s="9"/>
      <c r="NN203" s="9"/>
      <c r="NO203" s="9"/>
      <c r="NP203" s="9"/>
      <c r="NQ203" s="9"/>
      <c r="NR203" s="9"/>
      <c r="NS203" s="9"/>
      <c r="NT203" s="9"/>
      <c r="NU203" s="9"/>
      <c r="NV203" s="9"/>
      <c r="NW203" s="9"/>
      <c r="NX203" s="9"/>
      <c r="NY203" s="9"/>
      <c r="NZ203" s="9"/>
      <c r="OA203" s="9"/>
      <c r="OB203" s="9"/>
      <c r="OC203" s="9"/>
      <c r="OD203" s="9"/>
      <c r="OE203" s="9"/>
      <c r="OF203" s="9"/>
      <c r="OG203" s="9"/>
      <c r="OH203" s="9"/>
      <c r="OI203" s="9"/>
      <c r="OJ203" s="9"/>
      <c r="OK203" s="9"/>
      <c r="OL203" s="9"/>
      <c r="OM203" s="9"/>
      <c r="ON203" s="9"/>
      <c r="OO203" s="9"/>
      <c r="OP203" s="9"/>
      <c r="OQ203" s="9"/>
      <c r="OR203" s="9"/>
      <c r="OS203" s="9"/>
      <c r="OT203" s="9"/>
      <c r="OU203" s="9"/>
      <c r="OV203" s="9"/>
      <c r="OW203" s="9"/>
      <c r="OX203" s="9"/>
      <c r="OY203" s="9"/>
      <c r="OZ203" s="9"/>
      <c r="PA203" s="9"/>
      <c r="PB203" s="9"/>
      <c r="PC203" s="9"/>
      <c r="PD203" s="9"/>
      <c r="PE203" s="9"/>
      <c r="PF203" s="9"/>
      <c r="PG203" s="9"/>
      <c r="PH203" s="9"/>
      <c r="PI203" s="9"/>
      <c r="PJ203" s="9"/>
      <c r="PK203" s="9"/>
      <c r="PL203" s="9"/>
      <c r="PM203" s="9"/>
      <c r="PN203" s="9"/>
      <c r="PO203" s="9"/>
      <c r="PP203" s="9"/>
      <c r="PQ203" s="9"/>
      <c r="PR203" s="9"/>
      <c r="PS203" s="9"/>
      <c r="PT203" s="9"/>
      <c r="PU203" s="9"/>
      <c r="PV203" s="9"/>
      <c r="PW203" s="9"/>
      <c r="PX203" s="9"/>
      <c r="PY203" s="9"/>
      <c r="PZ203" s="9"/>
      <c r="QA203" s="9"/>
      <c r="QB203" s="9"/>
      <c r="QC203" s="9"/>
      <c r="QD203" s="9"/>
      <c r="QE203" s="9"/>
      <c r="QF203" s="9"/>
      <c r="QG203" s="9"/>
      <c r="QH203" s="9"/>
      <c r="QI203" s="9"/>
      <c r="QJ203" s="9"/>
      <c r="QK203" s="9"/>
      <c r="QL203" s="9"/>
      <c r="QM203" s="9"/>
      <c r="QN203" s="9"/>
      <c r="QO203" s="9"/>
      <c r="QP203" s="9"/>
      <c r="QQ203" s="9"/>
      <c r="QR203" s="9"/>
      <c r="QS203" s="9"/>
      <c r="QT203" s="9"/>
      <c r="QU203" s="9"/>
      <c r="QV203" s="9"/>
      <c r="QW203" s="9"/>
      <c r="QX203" s="9"/>
      <c r="QY203" s="9"/>
      <c r="QZ203" s="9"/>
      <c r="RA203" s="9"/>
      <c r="RB203" s="9"/>
      <c r="RC203" s="9"/>
      <c r="RD203" s="9"/>
      <c r="RE203" s="9"/>
      <c r="RF203" s="9"/>
      <c r="RG203" s="9"/>
      <c r="RH203" s="9"/>
      <c r="RI203" s="9"/>
      <c r="RJ203" s="9"/>
      <c r="RK203" s="9"/>
      <c r="RL203" s="9"/>
      <c r="RM203" s="9"/>
      <c r="RN203" s="9"/>
      <c r="RO203" s="9"/>
      <c r="RP203" s="9"/>
      <c r="RQ203" s="9"/>
      <c r="RR203" s="9"/>
      <c r="RS203" s="9"/>
      <c r="RT203" s="9"/>
      <c r="RU203" s="9"/>
      <c r="RV203" s="9"/>
      <c r="RW203" s="9"/>
      <c r="RX203" s="9"/>
      <c r="RY203" s="9"/>
      <c r="RZ203" s="9"/>
      <c r="SA203" s="9"/>
      <c r="SB203" s="9"/>
      <c r="SC203" s="9"/>
      <c r="SD203" s="9"/>
      <c r="SE203" s="9"/>
      <c r="SF203" s="9"/>
      <c r="SG203" s="9"/>
      <c r="SH203" s="9"/>
      <c r="SI203" s="9"/>
      <c r="SJ203" s="9"/>
      <c r="SK203" s="9"/>
      <c r="SL203" s="9"/>
      <c r="SM203" s="9"/>
      <c r="SN203" s="9"/>
      <c r="SO203" s="9"/>
      <c r="SP203" s="9"/>
      <c r="SQ203" s="9"/>
      <c r="SR203" s="9"/>
      <c r="SS203" s="9"/>
      <c r="ST203" s="9"/>
      <c r="SU203" s="9"/>
      <c r="SV203" s="9"/>
      <c r="SW203" s="9"/>
      <c r="SX203" s="9"/>
      <c r="SY203" s="9"/>
      <c r="SZ203" s="9"/>
      <c r="TA203" s="9"/>
      <c r="TB203" s="9"/>
      <c r="TC203" s="9"/>
      <c r="TD203" s="9"/>
      <c r="TE203" s="9"/>
      <c r="TF203" s="9"/>
      <c r="TG203" s="9"/>
      <c r="TH203" s="9"/>
      <c r="TI203" s="9"/>
      <c r="TJ203" s="9"/>
      <c r="TK203" s="9"/>
      <c r="TL203" s="9"/>
      <c r="TM203" s="9"/>
      <c r="TN203" s="9"/>
      <c r="TO203" s="9"/>
      <c r="TP203" s="9"/>
      <c r="TQ203" s="9"/>
      <c r="TR203" s="9"/>
      <c r="TS203" s="9"/>
      <c r="TT203" s="9"/>
      <c r="TU203" s="9"/>
      <c r="TV203" s="9"/>
      <c r="TW203" s="9"/>
      <c r="TX203" s="9"/>
      <c r="TY203" s="9"/>
      <c r="TZ203" s="9"/>
      <c r="UA203" s="9"/>
      <c r="UB203" s="9"/>
      <c r="UC203" s="9"/>
      <c r="UD203" s="9"/>
      <c r="UE203" s="9"/>
      <c r="UF203" s="9"/>
      <c r="UG203" s="9"/>
      <c r="UH203" s="9"/>
      <c r="UI203" s="9"/>
      <c r="UJ203" s="9"/>
      <c r="UK203" s="9"/>
      <c r="UL203" s="9"/>
      <c r="UM203" s="9"/>
      <c r="UN203" s="9"/>
      <c r="UO203" s="9"/>
      <c r="UP203" s="9"/>
      <c r="UQ203" s="9"/>
      <c r="UR203" s="9"/>
      <c r="US203" s="9"/>
      <c r="UT203" s="9"/>
      <c r="UU203" s="9"/>
      <c r="UV203" s="9"/>
      <c r="UW203" s="9"/>
      <c r="UX203" s="9"/>
      <c r="UY203" s="9"/>
      <c r="UZ203" s="9"/>
      <c r="VA203" s="9"/>
      <c r="VB203" s="9"/>
      <c r="VC203" s="9"/>
      <c r="VD203" s="9"/>
      <c r="VE203" s="9"/>
      <c r="VF203" s="9"/>
      <c r="VG203" s="9"/>
      <c r="VH203" s="9"/>
      <c r="VI203" s="9"/>
      <c r="VJ203" s="9"/>
      <c r="VK203" s="9"/>
      <c r="VL203" s="9"/>
      <c r="VM203" s="9"/>
      <c r="VN203" s="9"/>
      <c r="VO203" s="9"/>
      <c r="VP203" s="9"/>
      <c r="VQ203" s="9"/>
      <c r="VR203" s="9"/>
      <c r="VS203" s="9"/>
      <c r="VT203" s="9"/>
      <c r="VU203" s="9"/>
      <c r="VV203" s="9"/>
      <c r="VW203" s="9"/>
      <c r="VX203" s="9"/>
      <c r="VY203" s="9"/>
      <c r="VZ203" s="9"/>
      <c r="WA203" s="9"/>
      <c r="WB203" s="9"/>
      <c r="WC203" s="9"/>
      <c r="WD203" s="9"/>
      <c r="WE203" s="9"/>
      <c r="WF203" s="9"/>
      <c r="WG203" s="9"/>
      <c r="WH203" s="9"/>
      <c r="WI203" s="9"/>
      <c r="WJ203" s="9"/>
      <c r="WK203" s="9"/>
      <c r="WL203" s="9"/>
      <c r="WM203" s="9"/>
      <c r="WN203" s="9"/>
      <c r="WO203" s="9"/>
      <c r="WP203" s="9"/>
      <c r="WQ203" s="9"/>
      <c r="WR203" s="9"/>
      <c r="WS203" s="9"/>
      <c r="WT203" s="9"/>
      <c r="WU203" s="9"/>
      <c r="WV203" s="9"/>
      <c r="WW203" s="9"/>
      <c r="WX203" s="9"/>
      <c r="WY203" s="9"/>
      <c r="WZ203" s="9"/>
      <c r="XA203" s="9"/>
      <c r="XB203" s="9"/>
      <c r="XC203" s="9"/>
      <c r="XD203" s="9"/>
      <c r="XE203" s="9"/>
      <c r="XF203" s="9"/>
      <c r="XG203" s="9"/>
      <c r="XH203" s="9"/>
      <c r="XI203" s="9"/>
      <c r="XJ203" s="9"/>
      <c r="XK203" s="9"/>
      <c r="XL203" s="9"/>
      <c r="XM203" s="9"/>
      <c r="XN203" s="9"/>
      <c r="XO203" s="9"/>
      <c r="XP203" s="9"/>
      <c r="XQ203" s="9"/>
      <c r="XR203" s="9"/>
      <c r="XS203" s="9"/>
      <c r="XT203" s="9"/>
      <c r="XU203" s="9"/>
      <c r="XV203" s="9"/>
      <c r="XW203" s="9"/>
      <c r="XX203" s="9"/>
      <c r="XY203" s="9"/>
      <c r="XZ203" s="9"/>
      <c r="YA203" s="9"/>
      <c r="YB203" s="9"/>
      <c r="YC203" s="9"/>
      <c r="YD203" s="9"/>
      <c r="YE203" s="9"/>
      <c r="YF203" s="9"/>
      <c r="YG203" s="9"/>
      <c r="YH203" s="9"/>
      <c r="YI203" s="9"/>
      <c r="YJ203" s="9"/>
      <c r="YK203" s="9"/>
      <c r="YL203" s="9"/>
      <c r="YM203" s="9"/>
      <c r="YN203" s="9"/>
      <c r="YO203" s="9"/>
      <c r="YP203" s="9"/>
      <c r="YQ203" s="9"/>
      <c r="YR203" s="9"/>
      <c r="YS203" s="9"/>
      <c r="YT203" s="9"/>
      <c r="YU203" s="9"/>
      <c r="YV203" s="9"/>
      <c r="YW203" s="9"/>
      <c r="YX203" s="9"/>
      <c r="YY203" s="9"/>
      <c r="YZ203" s="9"/>
      <c r="ZA203" s="9"/>
      <c r="ZB203" s="9"/>
      <c r="ZC203" s="9"/>
      <c r="ZD203" s="9"/>
      <c r="ZE203" s="9"/>
      <c r="ZF203" s="9"/>
      <c r="ZG203" s="9"/>
      <c r="ZH203" s="9"/>
      <c r="ZI203" s="9"/>
      <c r="ZJ203" s="9"/>
      <c r="ZK203" s="9"/>
      <c r="ZL203" s="9"/>
      <c r="ZM203" s="9"/>
      <c r="ZN203" s="9"/>
      <c r="ZO203" s="9"/>
      <c r="ZP203" s="9"/>
      <c r="ZQ203" s="9"/>
      <c r="ZR203" s="9"/>
      <c r="ZS203" s="9"/>
      <c r="ZT203" s="9"/>
      <c r="ZU203" s="9"/>
      <c r="ZV203" s="9"/>
      <c r="ZW203" s="9"/>
      <c r="ZX203" s="9"/>
      <c r="ZY203" s="9"/>
      <c r="ZZ203" s="9"/>
      <c r="AAA203" s="9"/>
      <c r="AAB203" s="9"/>
      <c r="AAC203" s="9"/>
      <c r="AAD203" s="9"/>
      <c r="AAE203" s="9"/>
      <c r="AAF203" s="9"/>
      <c r="AAG203" s="9"/>
      <c r="AAH203" s="9"/>
      <c r="AAI203" s="9"/>
      <c r="AAJ203" s="9"/>
      <c r="AAK203" s="9"/>
      <c r="AAL203" s="9"/>
      <c r="AAM203" s="9"/>
      <c r="AAN203" s="9"/>
      <c r="AAO203" s="9"/>
      <c r="AAP203" s="9"/>
      <c r="AAQ203" s="9"/>
      <c r="AAR203" s="9"/>
      <c r="AAS203" s="9"/>
      <c r="AAT203" s="9"/>
      <c r="AAU203" s="9"/>
      <c r="AAV203" s="9"/>
      <c r="AAW203" s="9"/>
      <c r="AAX203" s="9"/>
      <c r="AAY203" s="9"/>
      <c r="AAZ203" s="9"/>
      <c r="ABA203" s="9"/>
      <c r="ABB203" s="9"/>
      <c r="ABC203" s="9"/>
      <c r="ABD203" s="9"/>
      <c r="ABE203" s="9"/>
      <c r="ABF203" s="9"/>
      <c r="ABG203" s="9"/>
      <c r="ABH203" s="9"/>
      <c r="ABI203" s="9"/>
      <c r="ABJ203" s="9"/>
      <c r="ABK203" s="9"/>
      <c r="ABL203" s="9"/>
      <c r="ABM203" s="9"/>
      <c r="ABN203" s="9"/>
      <c r="ABO203" s="9"/>
      <c r="ABP203" s="9"/>
      <c r="ABQ203" s="9"/>
      <c r="ABR203" s="9"/>
      <c r="ABS203" s="9"/>
      <c r="ABT203" s="9"/>
      <c r="ABU203" s="9"/>
      <c r="ABV203" s="9"/>
      <c r="ABW203" s="9"/>
      <c r="ABX203" s="9"/>
      <c r="ABY203" s="9"/>
      <c r="ABZ203" s="9"/>
      <c r="ACA203" s="9"/>
      <c r="ACB203" s="9"/>
      <c r="ACC203" s="9"/>
      <c r="ACD203" s="9"/>
      <c r="ACE203" s="9"/>
      <c r="ACF203" s="9"/>
      <c r="ACG203" s="9"/>
      <c r="ACH203" s="9"/>
      <c r="ACI203" s="9"/>
      <c r="ACJ203" s="9"/>
      <c r="ACK203" s="9"/>
      <c r="ACL203" s="9"/>
      <c r="ACM203" s="9"/>
      <c r="ACN203" s="9"/>
      <c r="ACO203" s="9"/>
      <c r="ACP203" s="9"/>
      <c r="ACQ203" s="9"/>
      <c r="ACR203" s="9"/>
      <c r="ACS203" s="9"/>
      <c r="ACT203" s="9"/>
      <c r="ACU203" s="9"/>
      <c r="ACV203" s="9"/>
      <c r="ACW203" s="9"/>
      <c r="ACX203" s="9"/>
      <c r="ACY203" s="9"/>
      <c r="ACZ203" s="9"/>
      <c r="ADA203" s="9"/>
      <c r="ADB203" s="9"/>
      <c r="ADC203" s="9"/>
      <c r="ADD203" s="9"/>
      <c r="ADE203" s="9"/>
      <c r="ADF203" s="9"/>
      <c r="ADG203" s="9"/>
      <c r="ADH203" s="9"/>
      <c r="ADI203" s="9"/>
      <c r="ADJ203" s="9"/>
      <c r="ADK203" s="9"/>
      <c r="ADL203" s="9"/>
      <c r="ADM203" s="9"/>
      <c r="ADN203" s="9"/>
      <c r="ADO203" s="9"/>
      <c r="ADP203" s="9"/>
      <c r="ADQ203" s="9"/>
      <c r="ADR203" s="9"/>
      <c r="ADS203" s="9"/>
      <c r="ADT203" s="9"/>
      <c r="ADU203" s="9"/>
      <c r="ADV203" s="9"/>
      <c r="ADW203" s="9"/>
      <c r="ADX203" s="9"/>
      <c r="ADY203" s="9"/>
      <c r="ADZ203" s="9"/>
      <c r="AEA203" s="9"/>
      <c r="AEB203" s="9"/>
      <c r="AEC203" s="9"/>
      <c r="AED203" s="9"/>
      <c r="AEE203" s="9"/>
      <c r="AEF203" s="9"/>
      <c r="AEG203" s="9"/>
      <c r="AEH203" s="9"/>
      <c r="AEI203" s="9"/>
      <c r="AEJ203" s="9"/>
      <c r="AEK203" s="9"/>
      <c r="AEL203" s="9"/>
      <c r="AEM203" s="9"/>
      <c r="AEN203" s="9"/>
      <c r="AEO203" s="9"/>
      <c r="AEP203" s="9"/>
      <c r="AEQ203" s="9"/>
      <c r="AER203" s="9"/>
      <c r="AES203" s="9"/>
      <c r="AET203" s="9"/>
      <c r="AEU203" s="9"/>
      <c r="AEV203" s="9"/>
      <c r="AEW203" s="9"/>
      <c r="AEX203" s="9"/>
      <c r="AEY203" s="9"/>
      <c r="AEZ203" s="9"/>
      <c r="AFA203" s="9"/>
      <c r="AFB203" s="9"/>
      <c r="AFC203" s="9"/>
      <c r="AFD203" s="9"/>
      <c r="AFE203" s="9"/>
      <c r="AFF203" s="9"/>
      <c r="AFG203" s="9"/>
      <c r="AFH203" s="9"/>
      <c r="AFI203" s="9"/>
      <c r="AFJ203" s="9"/>
      <c r="AFK203" s="9"/>
      <c r="AFL203" s="9"/>
      <c r="AFM203" s="9"/>
      <c r="AFN203" s="9"/>
      <c r="AFO203" s="9"/>
      <c r="AFP203" s="9"/>
      <c r="AFQ203" s="9"/>
      <c r="AFR203" s="9"/>
      <c r="AFS203" s="9"/>
      <c r="AFT203" s="9"/>
      <c r="AFU203" s="9"/>
      <c r="AFV203" s="9"/>
      <c r="AFW203" s="9"/>
      <c r="AFX203" s="9"/>
      <c r="AFY203" s="9"/>
      <c r="AFZ203" s="9"/>
      <c r="AGA203" s="9"/>
      <c r="AGB203" s="9"/>
      <c r="AGC203" s="9"/>
      <c r="AGD203" s="9"/>
      <c r="AGE203" s="9"/>
      <c r="AGF203" s="9"/>
      <c r="AGG203" s="9"/>
      <c r="AGH203" s="9"/>
      <c r="AGI203" s="9"/>
      <c r="AGJ203" s="9"/>
      <c r="AGK203" s="9"/>
      <c r="AGL203" s="9"/>
      <c r="AGM203" s="9"/>
      <c r="AGN203" s="9"/>
      <c r="AGO203" s="9"/>
      <c r="AGP203" s="9"/>
      <c r="AGQ203" s="9"/>
      <c r="AGR203" s="9"/>
      <c r="AGS203" s="9"/>
      <c r="AGT203" s="9"/>
      <c r="AGU203" s="9"/>
      <c r="AGV203" s="9"/>
      <c r="AGW203" s="9"/>
      <c r="AGX203" s="9"/>
      <c r="AGY203" s="9"/>
      <c r="AGZ203" s="9"/>
      <c r="AHA203" s="9"/>
      <c r="AHB203" s="9"/>
      <c r="AHC203" s="9"/>
      <c r="AHD203" s="9"/>
      <c r="AHE203" s="9"/>
      <c r="AHF203" s="9"/>
      <c r="AHG203" s="9"/>
      <c r="AHH203" s="9"/>
      <c r="AHI203" s="9"/>
      <c r="AHJ203" s="9"/>
      <c r="AHK203" s="9"/>
      <c r="AHL203" s="9"/>
      <c r="AHM203" s="9"/>
      <c r="AHN203" s="9"/>
      <c r="AHO203" s="9"/>
      <c r="AHP203" s="9"/>
      <c r="AHQ203" s="9"/>
      <c r="AHR203" s="9"/>
      <c r="AHS203" s="9"/>
      <c r="AHT203" s="9"/>
      <c r="AHU203" s="9"/>
      <c r="AHV203" s="9"/>
      <c r="AHW203" s="9"/>
      <c r="AHX203" s="9"/>
      <c r="AHY203" s="9"/>
      <c r="AHZ203" s="9"/>
      <c r="AIA203" s="9"/>
      <c r="AIB203" s="9"/>
      <c r="AIC203" s="9"/>
      <c r="AID203" s="9"/>
      <c r="AIE203" s="9"/>
      <c r="AIF203" s="9"/>
      <c r="AIG203" s="9"/>
      <c r="AIH203" s="9"/>
      <c r="AII203" s="9"/>
      <c r="AIJ203" s="9"/>
      <c r="AIK203" s="9"/>
      <c r="AIL203" s="9"/>
      <c r="AIM203" s="9"/>
      <c r="AIN203" s="9"/>
      <c r="AIO203" s="9"/>
      <c r="AIP203" s="9"/>
      <c r="AIQ203" s="9"/>
      <c r="AIR203" s="9"/>
      <c r="AIS203" s="9"/>
      <c r="AIT203" s="9"/>
      <c r="AIU203" s="9"/>
      <c r="AIV203" s="9"/>
      <c r="AIW203" s="9"/>
      <c r="AIX203" s="9"/>
      <c r="AIY203" s="9"/>
      <c r="AIZ203" s="9"/>
      <c r="AJA203" s="9"/>
      <c r="AJB203" s="9"/>
      <c r="AJC203" s="9"/>
      <c r="AJD203" s="9"/>
      <c r="AJE203" s="9"/>
      <c r="AJF203" s="9"/>
      <c r="AJG203" s="9"/>
      <c r="AJH203" s="9"/>
      <c r="AJI203" s="9"/>
      <c r="AJJ203" s="9"/>
      <c r="AJK203" s="9"/>
      <c r="AJL203" s="9"/>
      <c r="AJM203" s="9"/>
      <c r="AJN203" s="9"/>
      <c r="AJO203" s="9"/>
      <c r="AJP203" s="9"/>
      <c r="AJQ203" s="9"/>
      <c r="AJR203" s="9"/>
      <c r="AJS203" s="9"/>
      <c r="AJT203" s="9"/>
      <c r="AJU203" s="9"/>
      <c r="AJV203" s="9"/>
      <c r="AJW203" s="9"/>
      <c r="AJX203" s="9"/>
      <c r="AJY203" s="9"/>
      <c r="AJZ203" s="9"/>
      <c r="AKA203" s="9"/>
      <c r="AKB203" s="9"/>
      <c r="AKC203" s="9"/>
      <c r="AKD203" s="9"/>
      <c r="AKE203" s="9"/>
      <c r="AKF203" s="9"/>
      <c r="AKG203" s="9"/>
      <c r="AKH203" s="9"/>
      <c r="AKI203" s="9"/>
      <c r="AKJ203" s="9"/>
      <c r="AKK203" s="9"/>
      <c r="AKL203" s="9"/>
      <c r="AKM203" s="9"/>
      <c r="AKN203" s="9"/>
      <c r="AKO203" s="9"/>
      <c r="AKP203" s="9"/>
      <c r="AKQ203" s="9"/>
      <c r="AKR203" s="9"/>
      <c r="AKS203" s="9"/>
      <c r="AKT203" s="9"/>
      <c r="AKU203" s="9"/>
      <c r="AKV203" s="9"/>
      <c r="AKW203" s="9"/>
      <c r="AKX203" s="9"/>
      <c r="AKY203" s="9"/>
      <c r="AKZ203" s="9"/>
      <c r="ALA203" s="9"/>
      <c r="ALB203" s="9"/>
      <c r="ALC203" s="9"/>
      <c r="ALD203" s="9"/>
      <c r="ALE203" s="9"/>
      <c r="ALF203" s="9"/>
      <c r="ALG203" s="9"/>
      <c r="ALH203" s="9"/>
      <c r="ALI203" s="9"/>
      <c r="ALJ203" s="9"/>
      <c r="ALK203" s="9"/>
      <c r="ALL203" s="9"/>
      <c r="ALM203" s="9"/>
      <c r="ALN203" s="9"/>
      <c r="ALO203" s="9"/>
      <c r="ALP203" s="9"/>
      <c r="ALQ203" s="9"/>
      <c r="ALR203" s="9"/>
      <c r="ALS203" s="9"/>
      <c r="ALT203" s="9"/>
      <c r="ALU203" s="9"/>
      <c r="ALV203" s="9"/>
      <c r="ALW203" s="9"/>
      <c r="ALX203" s="9"/>
      <c r="ALY203" s="9"/>
      <c r="ALZ203" s="9"/>
      <c r="AMA203" s="9"/>
      <c r="AMB203" s="9"/>
      <c r="AMC203" s="9"/>
      <c r="AMD203" s="9"/>
      <c r="AME203" s="9"/>
      <c r="AMF203" s="9"/>
      <c r="AMG203" s="9"/>
      <c r="AMH203" s="9"/>
      <c r="AMI203" s="9"/>
      <c r="AMJ203" s="9"/>
      <c r="AMK203" s="9"/>
      <c r="AML203" s="9"/>
      <c r="AMM203" s="9"/>
      <c r="AMN203" s="9"/>
      <c r="AMO203" s="9"/>
    </row>
    <row r="204" spans="1:1030" s="12" customFormat="1" x14ac:dyDescent="0.2">
      <c r="A204" s="9" t="str">
        <f>CONCATENATE(B204,"_",C204)</f>
        <v>cnr2_human_6KPF</v>
      </c>
      <c r="B204" s="9" t="s">
        <v>183</v>
      </c>
      <c r="C204" s="9" t="s">
        <v>1644</v>
      </c>
      <c r="D204" s="9" t="str">
        <f>IFERROR(MID(VLOOKUP($B204,Seqs!$A:$B,2,0),E204,1),"")</f>
        <v>S</v>
      </c>
      <c r="E204" s="9">
        <v>29</v>
      </c>
      <c r="F204" s="9" t="str">
        <f>IFERROR(MID(VLOOKUP($B204,Seqs!$A:$B,2,0),G204,1),"")</f>
        <v>S</v>
      </c>
      <c r="G204" s="9">
        <v>60</v>
      </c>
      <c r="H204" s="9" t="str">
        <f>IFERROR(MID(VLOOKUP($B204,Seqs!$A:$B,2,0),I204,1),"")</f>
        <v>H</v>
      </c>
      <c r="I204" s="109">
        <v>62</v>
      </c>
      <c r="J204" s="9" t="str">
        <f>IFERROR(MID(VLOOKUP($B204,Seqs!$A:$B,2,0),K204,1),"")</f>
        <v>R</v>
      </c>
      <c r="K204" s="109">
        <v>65</v>
      </c>
      <c r="L204" s="9" t="str">
        <f>IFERROR(MID(VLOOKUP($B204,Seqs!$A:$B,2,0),M204,1),"")</f>
        <v>K</v>
      </c>
      <c r="M204" s="9">
        <v>67</v>
      </c>
      <c r="N204" s="9" t="str">
        <f>IFERROR(MID(VLOOKUP($B204,Seqs!$A:$B,2,0),O204,1),"")</f>
        <v>H</v>
      </c>
      <c r="O204" s="9">
        <v>95</v>
      </c>
      <c r="P204" s="9" t="str">
        <f>IFERROR(MID(VLOOKUP($B204,Seqs!$A:$B,2,0),Q204,1),"")</f>
        <v/>
      </c>
      <c r="Q204" s="9" t="s">
        <v>23</v>
      </c>
      <c r="R204" s="9" t="str">
        <f>IFERROR(MID(VLOOKUP($B204,Seqs!$A:$B,2,0),S204,1),"")</f>
        <v/>
      </c>
      <c r="S204" s="9" t="s">
        <v>23</v>
      </c>
      <c r="T204" s="9" t="str">
        <f>IFERROR(MID(VLOOKUP($B204,Seqs!$A:$B,2,0),U204,1),"")</f>
        <v>V</v>
      </c>
      <c r="U204" s="9">
        <v>105</v>
      </c>
      <c r="V204" s="9" t="str">
        <f>IFERROR(MID(VLOOKUP($B204,Seqs!$A:$B,2,0),W204,1),"")</f>
        <v>R</v>
      </c>
      <c r="W204" s="9">
        <v>136</v>
      </c>
      <c r="X204" s="9" t="str">
        <f>IFERROR(MID(VLOOKUP($B204,Seqs!$A:$B,2,0),Y204,1),"")</f>
        <v>P</v>
      </c>
      <c r="Y204" s="9">
        <v>138</v>
      </c>
      <c r="Z204" s="9" t="str">
        <f>IFERROR(MID(VLOOKUP($B204,Seqs!$A:$B,2,0),AA204,1),"")</f>
        <v>L</v>
      </c>
      <c r="AA204" s="9">
        <v>145</v>
      </c>
      <c r="AB204" s="9" t="str">
        <f>IFERROR(MID(VLOOKUP($B204,Seqs!$A:$B,2,0),AC204,1),"")</f>
        <v>T</v>
      </c>
      <c r="AC204" s="9">
        <v>146</v>
      </c>
      <c r="AD204" s="9" t="str">
        <f>IFERROR(MID(VLOOKUP($B204,Seqs!$A:$B,2,0),AE204,1),"")</f>
        <v>Y</v>
      </c>
      <c r="AE204" s="9">
        <v>166</v>
      </c>
      <c r="AF204" s="9" t="str">
        <f>IFERROR(MID(VLOOKUP($B204,Seqs!$A:$B,2,0),AG204,1),"")</f>
        <v/>
      </c>
      <c r="AG204" s="9" t="s">
        <v>23</v>
      </c>
      <c r="AH204" s="9" t="str">
        <f>IFERROR(MID(VLOOKUP($B204,Seqs!$A:$B,2,0),AI204,1),"")</f>
        <v/>
      </c>
      <c r="AI204" s="9" t="s">
        <v>23</v>
      </c>
      <c r="AJ204" s="9" t="str">
        <f>IFERROR(MID(VLOOKUP($B204,Seqs!$A:$B,2,0),AK204,1),"")</f>
        <v>P</v>
      </c>
      <c r="AK204" s="9">
        <v>187</v>
      </c>
      <c r="AL204" s="9" t="str">
        <f>IFERROR(MID(VLOOKUP($B204,Seqs!$A:$B,2,0),AM204,1),"")</f>
        <v>H</v>
      </c>
      <c r="AM204" s="9">
        <v>226</v>
      </c>
      <c r="AN204" s="9" t="str">
        <f>IFERROR(MID(VLOOKUP($B204,Seqs!$A:$B,2,0),AO204,1),"")</f>
        <v>R</v>
      </c>
      <c r="AO204" s="9">
        <v>238</v>
      </c>
      <c r="AP204" s="9" t="str">
        <f>IFERROR(MID(VLOOKUP($B204,Seqs!$A:$B,2,0),AQ204,1),"")</f>
        <v>A</v>
      </c>
      <c r="AQ204" s="9">
        <v>266</v>
      </c>
      <c r="AR204" s="9" t="str">
        <f>IFERROR(MID(VLOOKUP($B204,Seqs!$A:$B,2,0),AS204,1),"")</f>
        <v>D</v>
      </c>
      <c r="AS204" s="9">
        <v>275</v>
      </c>
      <c r="AT204" s="9" t="str">
        <f>IFERROR(MID(VLOOKUP($B204,Seqs!$A:$B,2,0),AU204,1),"")</f>
        <v>R</v>
      </c>
      <c r="AU204" s="9">
        <v>302</v>
      </c>
      <c r="AV204" s="9" t="str">
        <f>IFERROR(MID(VLOOKUP($B204,Seqs!$A:$B,2,0),AW204,1),"")</f>
        <v>S</v>
      </c>
      <c r="AW204" s="9">
        <v>303</v>
      </c>
      <c r="AX204" s="9" t="str">
        <f>IFERROR(MID(VLOOKUP($B204,Seqs!$A:$B,2,0),AY204,1),"")</f>
        <v>C</v>
      </c>
      <c r="AY204" s="9">
        <v>313</v>
      </c>
      <c r="AZ204" s="110" t="str">
        <f>VLOOKUP(B204,Classification!A:D,2,0)</f>
        <v>A</v>
      </c>
      <c r="BA204" s="98" t="str">
        <f>VLOOKUP(B204,Classification!A:D,4,0)</f>
        <v>Cannabinoid</v>
      </c>
      <c r="BB204" s="36" t="b">
        <f t="shared" ref="BB204" si="1052">AND(E204&lt;G204,OR(G204&lt;I204,I204="-"),OR(I204&lt;K204,I204="-"),OR(K204&lt;M204,K204="-"),M204&lt;O204,OR(O204&lt;Q204,Q204="-"),OR(Q204&lt;S204,Q204="-"),OR(S204&lt;U204,S204="-"),U204&lt;W204,OR(W204&lt;Y204,Y204="-"),OR(Y204&lt;AA204,Y204="-"),OR(AA204&lt;AC204,AA204="-"),AC204&lt;AE204,OR(AE204&lt;AG204,AG204="-"),OR(AG204&lt;AI204,AG204="-"),OR(AI204&lt;AK204,AI204="-"),AK204&lt;AM204,AM204&lt;AO204,AO204&lt;AQ204,AQ204&lt;AS204,AS204&lt;AU204,OR(AU204&lt;AW204,AW204="-"),OR(AW204&lt;AY204,AW204="-"))</f>
        <v>1</v>
      </c>
      <c r="BC204" s="109">
        <f t="shared" ref="BC204" si="1053">_xlfn.AGGREGATE(9,6,CH204:CS204)-_xlfn.AGGREGATE(9,6,BV204:CG204)+12</f>
        <v>236</v>
      </c>
      <c r="BD204" s="40" t="s">
        <v>23</v>
      </c>
      <c r="BE204" s="9" t="s">
        <v>1285</v>
      </c>
      <c r="BF204" s="119">
        <v>2.9</v>
      </c>
      <c r="BG204" s="51" t="s">
        <v>1416</v>
      </c>
      <c r="BH204" s="51" t="s">
        <v>1416</v>
      </c>
      <c r="BI204" s="9"/>
      <c r="BJ204" s="111" t="s">
        <v>1281</v>
      </c>
      <c r="BK204" s="112" t="s">
        <v>1281</v>
      </c>
      <c r="BL204" s="112" t="s">
        <v>1281</v>
      </c>
      <c r="BM204" s="112" t="s">
        <v>1281</v>
      </c>
      <c r="BN204" s="112" t="s">
        <v>1281</v>
      </c>
      <c r="BO204" s="112" t="s">
        <v>1281</v>
      </c>
      <c r="BP204" s="112" t="s">
        <v>1281</v>
      </c>
      <c r="BQ204" s="112" t="s">
        <v>1281</v>
      </c>
      <c r="BR204" s="112" t="s">
        <v>1281</v>
      </c>
      <c r="BS204" s="112" t="s">
        <v>1281</v>
      </c>
      <c r="BT204" s="112" t="s">
        <v>1281</v>
      </c>
      <c r="BU204" s="112" t="s">
        <v>1281</v>
      </c>
      <c r="BV204" s="111">
        <f>E204</f>
        <v>29</v>
      </c>
      <c r="BW204" s="113">
        <f>I204</f>
        <v>62</v>
      </c>
      <c r="BX204" s="114">
        <f>M204</f>
        <v>67</v>
      </c>
      <c r="BY204" s="113" t="str">
        <f>Q204</f>
        <v>-</v>
      </c>
      <c r="BZ204" s="114">
        <f>U204</f>
        <v>105</v>
      </c>
      <c r="CA204" s="113">
        <f>Y204</f>
        <v>138</v>
      </c>
      <c r="CB204" s="114">
        <f>AC204</f>
        <v>146</v>
      </c>
      <c r="CC204" s="113" t="str">
        <f>AG204</f>
        <v>-</v>
      </c>
      <c r="CD204" s="114">
        <f>AK204</f>
        <v>187</v>
      </c>
      <c r="CE204" s="113">
        <f>AO204</f>
        <v>238</v>
      </c>
      <c r="CF204" s="114">
        <f>AS204</f>
        <v>275</v>
      </c>
      <c r="CG204" s="113">
        <f>AW204</f>
        <v>303</v>
      </c>
      <c r="CH204" s="111">
        <f>G204</f>
        <v>60</v>
      </c>
      <c r="CI204" s="113">
        <f>K204</f>
        <v>65</v>
      </c>
      <c r="CJ204" s="114">
        <f>O204</f>
        <v>95</v>
      </c>
      <c r="CK204" s="114" t="str">
        <f>S204</f>
        <v>-</v>
      </c>
      <c r="CL204" s="114">
        <f>W204</f>
        <v>136</v>
      </c>
      <c r="CM204" s="114">
        <f>AA204</f>
        <v>145</v>
      </c>
      <c r="CN204" s="114">
        <f>AE204</f>
        <v>166</v>
      </c>
      <c r="CO204" s="114" t="str">
        <f>AI204</f>
        <v>-</v>
      </c>
      <c r="CP204" s="114">
        <f>AM204</f>
        <v>226</v>
      </c>
      <c r="CQ204" s="114">
        <f>AQ204</f>
        <v>266</v>
      </c>
      <c r="CR204" s="114">
        <f>AU204</f>
        <v>302</v>
      </c>
      <c r="CS204" s="114">
        <f>AY204</f>
        <v>313</v>
      </c>
      <c r="CT204" s="109">
        <f>M204-K204</f>
        <v>2</v>
      </c>
      <c r="CU204" s="9"/>
      <c r="CV204" s="9"/>
      <c r="CW204" s="9"/>
      <c r="CX204" s="9"/>
      <c r="CY204" s="9"/>
      <c r="CZ204" s="9"/>
      <c r="DA204" s="9"/>
      <c r="DB204" s="9"/>
      <c r="DC204" s="9"/>
      <c r="DD204" s="9"/>
      <c r="DE204" s="9"/>
      <c r="DF204" s="9"/>
      <c r="DG204" s="9"/>
      <c r="DH204" s="9"/>
      <c r="DI204" s="9"/>
      <c r="DJ204" s="9"/>
      <c r="DK204" s="9"/>
      <c r="DL204" s="9"/>
      <c r="DM204" s="9"/>
      <c r="DN204" s="9"/>
      <c r="DO204" s="9"/>
      <c r="DP204" s="9"/>
      <c r="DQ204" s="9"/>
      <c r="DR204" s="9"/>
      <c r="DS204" s="9"/>
      <c r="DT204" s="9"/>
      <c r="DU204" s="9"/>
      <c r="DV204" s="9"/>
      <c r="DW204" s="9"/>
      <c r="DX204" s="9"/>
      <c r="DY204" s="9"/>
      <c r="DZ204" s="9"/>
      <c r="EA204" s="9"/>
      <c r="EB204" s="9"/>
      <c r="EC204" s="9"/>
      <c r="ED204" s="9"/>
      <c r="EE204" s="9"/>
      <c r="EF204" s="9"/>
      <c r="EG204" s="9"/>
      <c r="EH204" s="9"/>
      <c r="EI204" s="9"/>
      <c r="EJ204" s="9"/>
      <c r="EK204" s="9"/>
      <c r="EL204" s="9"/>
      <c r="EM204" s="9"/>
      <c r="EN204" s="9"/>
      <c r="EO204" s="9"/>
      <c r="EP204" s="9"/>
      <c r="EQ204" s="9"/>
      <c r="ER204" s="9"/>
      <c r="ES204" s="9"/>
      <c r="ET204" s="9"/>
      <c r="EU204" s="9"/>
      <c r="EV204" s="9"/>
      <c r="EW204" s="9"/>
      <c r="EX204" s="9"/>
      <c r="EY204" s="9"/>
      <c r="EZ204" s="9"/>
      <c r="FA204" s="9"/>
      <c r="FB204" s="9"/>
      <c r="FC204" s="9"/>
      <c r="FD204" s="9"/>
      <c r="FE204" s="9"/>
      <c r="FF204" s="9"/>
      <c r="FG204" s="9"/>
      <c r="FH204" s="9"/>
      <c r="FI204" s="9"/>
      <c r="FJ204" s="9"/>
      <c r="FK204" s="9"/>
      <c r="FL204" s="9"/>
      <c r="FM204" s="9"/>
      <c r="FN204" s="9"/>
      <c r="FO204" s="9"/>
      <c r="FP204" s="9"/>
      <c r="FQ204" s="9"/>
      <c r="FR204" s="9"/>
      <c r="FS204" s="9"/>
      <c r="FT204" s="9"/>
      <c r="FU204" s="9"/>
      <c r="FV204" s="9"/>
      <c r="FW204" s="9"/>
      <c r="FX204" s="9"/>
      <c r="FY204" s="9"/>
      <c r="FZ204" s="9"/>
      <c r="GA204" s="9"/>
      <c r="GB204" s="9"/>
      <c r="GC204" s="9"/>
      <c r="GD204" s="9"/>
      <c r="GE204" s="9"/>
      <c r="GF204" s="9"/>
      <c r="GG204" s="9"/>
      <c r="GH204" s="9"/>
      <c r="GI204" s="9"/>
      <c r="GJ204" s="9"/>
      <c r="GK204" s="9"/>
      <c r="GL204" s="9"/>
      <c r="GM204" s="9"/>
      <c r="GN204" s="9"/>
      <c r="GO204" s="9"/>
      <c r="GP204" s="9"/>
      <c r="GQ204" s="9"/>
      <c r="GR204" s="9"/>
      <c r="GS204" s="9"/>
      <c r="GT204" s="9"/>
      <c r="GU204" s="9"/>
      <c r="GV204" s="9"/>
      <c r="GW204" s="9"/>
      <c r="GX204" s="9"/>
      <c r="GY204" s="9"/>
      <c r="GZ204" s="9"/>
      <c r="HA204" s="9"/>
      <c r="HB204" s="9"/>
      <c r="HC204" s="9"/>
      <c r="HD204" s="9"/>
      <c r="HE204" s="9"/>
      <c r="HF204" s="9"/>
      <c r="HG204" s="9"/>
      <c r="HH204" s="9"/>
      <c r="HI204" s="9"/>
      <c r="HJ204" s="9"/>
      <c r="HK204" s="9"/>
      <c r="HL204" s="9"/>
      <c r="HM204" s="9"/>
      <c r="HN204" s="9"/>
      <c r="HO204" s="9"/>
      <c r="HP204" s="9"/>
      <c r="HQ204" s="9"/>
      <c r="HR204" s="9"/>
      <c r="HS204" s="9"/>
      <c r="HT204" s="9"/>
      <c r="HU204" s="9"/>
      <c r="HV204" s="9"/>
      <c r="HW204" s="9"/>
      <c r="HX204" s="9"/>
      <c r="HY204" s="9"/>
      <c r="HZ204" s="9"/>
      <c r="IA204" s="9"/>
      <c r="IB204" s="9"/>
      <c r="IC204" s="9"/>
      <c r="ID204" s="9"/>
      <c r="IE204" s="9"/>
      <c r="IF204" s="9"/>
      <c r="IG204" s="9"/>
      <c r="IH204" s="9"/>
      <c r="II204" s="9"/>
      <c r="IJ204" s="9"/>
      <c r="IK204" s="9"/>
      <c r="IL204" s="9"/>
      <c r="IM204" s="9"/>
      <c r="IN204" s="9"/>
      <c r="IO204" s="9"/>
      <c r="IP204" s="9"/>
      <c r="IQ204" s="9"/>
      <c r="IR204" s="9"/>
      <c r="IS204" s="9"/>
      <c r="IT204" s="9"/>
      <c r="IU204" s="9"/>
      <c r="IV204" s="9"/>
      <c r="IW204" s="9"/>
      <c r="IX204" s="9"/>
      <c r="IY204" s="9"/>
      <c r="IZ204" s="9"/>
      <c r="JA204" s="9"/>
      <c r="JB204" s="9"/>
      <c r="JC204" s="9"/>
      <c r="JD204" s="9"/>
      <c r="JE204" s="9"/>
      <c r="JF204" s="9"/>
      <c r="JG204" s="9"/>
      <c r="JH204" s="9"/>
      <c r="JI204" s="9"/>
      <c r="JJ204" s="9"/>
      <c r="JK204" s="9"/>
      <c r="JL204" s="9"/>
      <c r="JM204" s="9"/>
      <c r="JN204" s="9"/>
      <c r="JO204" s="9"/>
      <c r="JP204" s="9"/>
      <c r="JQ204" s="9"/>
      <c r="JR204" s="9"/>
      <c r="JS204" s="9"/>
      <c r="JT204" s="9"/>
      <c r="JU204" s="9"/>
      <c r="JV204" s="9"/>
      <c r="JW204" s="9"/>
      <c r="JX204" s="9"/>
      <c r="JY204" s="9"/>
      <c r="JZ204" s="9"/>
      <c r="KA204" s="9"/>
      <c r="KB204" s="9"/>
      <c r="KC204" s="9"/>
      <c r="KD204" s="9"/>
      <c r="KE204" s="9"/>
      <c r="KF204" s="9"/>
      <c r="KG204" s="9"/>
      <c r="KH204" s="9"/>
      <c r="KI204" s="9"/>
      <c r="KJ204" s="9"/>
      <c r="KK204" s="9"/>
      <c r="KL204" s="9"/>
      <c r="KM204" s="9"/>
      <c r="KN204" s="9"/>
      <c r="KO204" s="9"/>
      <c r="KP204" s="9"/>
      <c r="KQ204" s="9"/>
      <c r="KR204" s="9"/>
      <c r="KS204" s="9"/>
      <c r="KT204" s="9"/>
      <c r="KU204" s="9"/>
      <c r="KV204" s="9"/>
      <c r="KW204" s="9"/>
      <c r="KX204" s="9"/>
      <c r="KY204" s="9"/>
      <c r="KZ204" s="9"/>
      <c r="LA204" s="9"/>
      <c r="LB204" s="9"/>
      <c r="LC204" s="9"/>
      <c r="LD204" s="9"/>
      <c r="LE204" s="9"/>
      <c r="LF204" s="9"/>
      <c r="LG204" s="9"/>
      <c r="LH204" s="9"/>
      <c r="LI204" s="9"/>
      <c r="LJ204" s="9"/>
      <c r="LK204" s="9"/>
      <c r="LL204" s="9"/>
      <c r="LM204" s="9"/>
      <c r="LN204" s="9"/>
      <c r="LO204" s="9"/>
      <c r="LP204" s="9"/>
      <c r="LQ204" s="9"/>
      <c r="LR204" s="9"/>
      <c r="LS204" s="9"/>
      <c r="LT204" s="9"/>
      <c r="LU204" s="9"/>
      <c r="LV204" s="9"/>
      <c r="LW204" s="9"/>
      <c r="LX204" s="9"/>
      <c r="LY204" s="9"/>
      <c r="LZ204" s="9"/>
      <c r="MA204" s="9"/>
      <c r="MB204" s="9"/>
      <c r="MC204" s="9"/>
      <c r="MD204" s="9"/>
      <c r="ME204" s="9"/>
      <c r="MF204" s="9"/>
      <c r="MG204" s="9"/>
      <c r="MH204" s="9"/>
      <c r="MI204" s="9"/>
      <c r="MJ204" s="9"/>
      <c r="MK204" s="9"/>
      <c r="ML204" s="9"/>
      <c r="MM204" s="9"/>
      <c r="MN204" s="9"/>
      <c r="MO204" s="9"/>
      <c r="MP204" s="9"/>
      <c r="MQ204" s="9"/>
      <c r="MR204" s="9"/>
      <c r="MS204" s="9"/>
      <c r="MT204" s="9"/>
      <c r="MU204" s="9"/>
      <c r="MV204" s="9"/>
      <c r="MW204" s="9"/>
      <c r="MX204" s="9"/>
      <c r="MY204" s="9"/>
      <c r="MZ204" s="9"/>
      <c r="NA204" s="9"/>
      <c r="NB204" s="9"/>
      <c r="NC204" s="9"/>
      <c r="ND204" s="9"/>
      <c r="NE204" s="9"/>
      <c r="NF204" s="9"/>
      <c r="NG204" s="9"/>
      <c r="NH204" s="9"/>
      <c r="NI204" s="9"/>
      <c r="NJ204" s="9"/>
      <c r="NK204" s="9"/>
      <c r="NL204" s="9"/>
      <c r="NM204" s="9"/>
      <c r="NN204" s="9"/>
      <c r="NO204" s="9"/>
      <c r="NP204" s="9"/>
      <c r="NQ204" s="9"/>
      <c r="NR204" s="9"/>
      <c r="NS204" s="9"/>
      <c r="NT204" s="9"/>
      <c r="NU204" s="9"/>
      <c r="NV204" s="9"/>
      <c r="NW204" s="9"/>
      <c r="NX204" s="9"/>
      <c r="NY204" s="9"/>
      <c r="NZ204" s="9"/>
      <c r="OA204" s="9"/>
      <c r="OB204" s="9"/>
      <c r="OC204" s="9"/>
      <c r="OD204" s="9"/>
      <c r="OE204" s="9"/>
      <c r="OF204" s="9"/>
      <c r="OG204" s="9"/>
      <c r="OH204" s="9"/>
      <c r="OI204" s="9"/>
      <c r="OJ204" s="9"/>
      <c r="OK204" s="9"/>
      <c r="OL204" s="9"/>
      <c r="OM204" s="9"/>
      <c r="ON204" s="9"/>
      <c r="OO204" s="9"/>
      <c r="OP204" s="9"/>
      <c r="OQ204" s="9"/>
      <c r="OR204" s="9"/>
      <c r="OS204" s="9"/>
      <c r="OT204" s="9"/>
      <c r="OU204" s="9"/>
      <c r="OV204" s="9"/>
      <c r="OW204" s="9"/>
      <c r="OX204" s="9"/>
      <c r="OY204" s="9"/>
      <c r="OZ204" s="9"/>
      <c r="PA204" s="9"/>
      <c r="PB204" s="9"/>
      <c r="PC204" s="9"/>
      <c r="PD204" s="9"/>
      <c r="PE204" s="9"/>
      <c r="PF204" s="9"/>
      <c r="PG204" s="9"/>
      <c r="PH204" s="9"/>
      <c r="PI204" s="9"/>
      <c r="PJ204" s="9"/>
      <c r="PK204" s="9"/>
      <c r="PL204" s="9"/>
      <c r="PM204" s="9"/>
      <c r="PN204" s="9"/>
      <c r="PO204" s="9"/>
      <c r="PP204" s="9"/>
      <c r="PQ204" s="9"/>
      <c r="PR204" s="9"/>
      <c r="PS204" s="9"/>
      <c r="PT204" s="9"/>
      <c r="PU204" s="9"/>
      <c r="PV204" s="9"/>
      <c r="PW204" s="9"/>
      <c r="PX204" s="9"/>
      <c r="PY204" s="9"/>
      <c r="PZ204" s="9"/>
      <c r="QA204" s="9"/>
      <c r="QB204" s="9"/>
      <c r="QC204" s="9"/>
      <c r="QD204" s="9"/>
      <c r="QE204" s="9"/>
      <c r="QF204" s="9"/>
      <c r="QG204" s="9"/>
      <c r="QH204" s="9"/>
      <c r="QI204" s="9"/>
      <c r="QJ204" s="9"/>
      <c r="QK204" s="9"/>
      <c r="QL204" s="9"/>
      <c r="QM204" s="9"/>
      <c r="QN204" s="9"/>
      <c r="QO204" s="9"/>
      <c r="QP204" s="9"/>
      <c r="QQ204" s="9"/>
      <c r="QR204" s="9"/>
      <c r="QS204" s="9"/>
      <c r="QT204" s="9"/>
      <c r="QU204" s="9"/>
      <c r="QV204" s="9"/>
      <c r="QW204" s="9"/>
      <c r="QX204" s="9"/>
      <c r="QY204" s="9"/>
      <c r="QZ204" s="9"/>
      <c r="RA204" s="9"/>
      <c r="RB204" s="9"/>
      <c r="RC204" s="9"/>
      <c r="RD204" s="9"/>
      <c r="RE204" s="9"/>
      <c r="RF204" s="9"/>
      <c r="RG204" s="9"/>
      <c r="RH204" s="9"/>
      <c r="RI204" s="9"/>
      <c r="RJ204" s="9"/>
      <c r="RK204" s="9"/>
      <c r="RL204" s="9"/>
      <c r="RM204" s="9"/>
      <c r="RN204" s="9"/>
      <c r="RO204" s="9"/>
      <c r="RP204" s="9"/>
      <c r="RQ204" s="9"/>
      <c r="RR204" s="9"/>
      <c r="RS204" s="9"/>
      <c r="RT204" s="9"/>
      <c r="RU204" s="9"/>
      <c r="RV204" s="9"/>
      <c r="RW204" s="9"/>
      <c r="RX204" s="9"/>
      <c r="RY204" s="9"/>
      <c r="RZ204" s="9"/>
      <c r="SA204" s="9"/>
      <c r="SB204" s="9"/>
      <c r="SC204" s="9"/>
      <c r="SD204" s="9"/>
      <c r="SE204" s="9"/>
      <c r="SF204" s="9"/>
      <c r="SG204" s="9"/>
      <c r="SH204" s="9"/>
      <c r="SI204" s="9"/>
      <c r="SJ204" s="9"/>
      <c r="SK204" s="9"/>
      <c r="SL204" s="9"/>
      <c r="SM204" s="9"/>
      <c r="SN204" s="9"/>
      <c r="SO204" s="9"/>
      <c r="SP204" s="9"/>
      <c r="SQ204" s="9"/>
      <c r="SR204" s="9"/>
      <c r="SS204" s="9"/>
      <c r="ST204" s="9"/>
      <c r="SU204" s="9"/>
      <c r="SV204" s="9"/>
      <c r="SW204" s="9"/>
      <c r="SX204" s="9"/>
      <c r="SY204" s="9"/>
      <c r="SZ204" s="9"/>
      <c r="TA204" s="9"/>
      <c r="TB204" s="9"/>
      <c r="TC204" s="9"/>
      <c r="TD204" s="9"/>
      <c r="TE204" s="9"/>
      <c r="TF204" s="9"/>
      <c r="TG204" s="9"/>
      <c r="TH204" s="9"/>
      <c r="TI204" s="9"/>
      <c r="TJ204" s="9"/>
      <c r="TK204" s="9"/>
      <c r="TL204" s="9"/>
      <c r="TM204" s="9"/>
      <c r="TN204" s="9"/>
      <c r="TO204" s="9"/>
      <c r="TP204" s="9"/>
      <c r="TQ204" s="9"/>
      <c r="TR204" s="9"/>
      <c r="TS204" s="9"/>
      <c r="TT204" s="9"/>
      <c r="TU204" s="9"/>
      <c r="TV204" s="9"/>
      <c r="TW204" s="9"/>
      <c r="TX204" s="9"/>
      <c r="TY204" s="9"/>
      <c r="TZ204" s="9"/>
      <c r="UA204" s="9"/>
      <c r="UB204" s="9"/>
      <c r="UC204" s="9"/>
      <c r="UD204" s="9"/>
      <c r="UE204" s="9"/>
      <c r="UF204" s="9"/>
      <c r="UG204" s="9"/>
      <c r="UH204" s="9"/>
      <c r="UI204" s="9"/>
      <c r="UJ204" s="9"/>
      <c r="UK204" s="9"/>
      <c r="UL204" s="9"/>
      <c r="UM204" s="9"/>
      <c r="UN204" s="9"/>
      <c r="UO204" s="9"/>
      <c r="UP204" s="9"/>
      <c r="UQ204" s="9"/>
      <c r="UR204" s="9"/>
      <c r="US204" s="9"/>
      <c r="UT204" s="9"/>
      <c r="UU204" s="9"/>
      <c r="UV204" s="9"/>
      <c r="UW204" s="9"/>
      <c r="UX204" s="9"/>
      <c r="UY204" s="9"/>
      <c r="UZ204" s="9"/>
      <c r="VA204" s="9"/>
      <c r="VB204" s="9"/>
      <c r="VC204" s="9"/>
      <c r="VD204" s="9"/>
      <c r="VE204" s="9"/>
      <c r="VF204" s="9"/>
      <c r="VG204" s="9"/>
      <c r="VH204" s="9"/>
      <c r="VI204" s="9"/>
      <c r="VJ204" s="9"/>
      <c r="VK204" s="9"/>
      <c r="VL204" s="9"/>
      <c r="VM204" s="9"/>
      <c r="VN204" s="9"/>
      <c r="VO204" s="9"/>
      <c r="VP204" s="9"/>
      <c r="VQ204" s="9"/>
      <c r="VR204" s="9"/>
      <c r="VS204" s="9"/>
      <c r="VT204" s="9"/>
      <c r="VU204" s="9"/>
      <c r="VV204" s="9"/>
      <c r="VW204" s="9"/>
      <c r="VX204" s="9"/>
      <c r="VY204" s="9"/>
      <c r="VZ204" s="9"/>
      <c r="WA204" s="9"/>
      <c r="WB204" s="9"/>
      <c r="WC204" s="9"/>
      <c r="WD204" s="9"/>
      <c r="WE204" s="9"/>
      <c r="WF204" s="9"/>
      <c r="WG204" s="9"/>
      <c r="WH204" s="9"/>
      <c r="WI204" s="9"/>
      <c r="WJ204" s="9"/>
      <c r="WK204" s="9"/>
      <c r="WL204" s="9"/>
      <c r="WM204" s="9"/>
      <c r="WN204" s="9"/>
      <c r="WO204" s="9"/>
      <c r="WP204" s="9"/>
      <c r="WQ204" s="9"/>
      <c r="WR204" s="9"/>
      <c r="WS204" s="9"/>
      <c r="WT204" s="9"/>
      <c r="WU204" s="9"/>
      <c r="WV204" s="9"/>
      <c r="WW204" s="9"/>
      <c r="WX204" s="9"/>
      <c r="WY204" s="9"/>
      <c r="WZ204" s="9"/>
      <c r="XA204" s="9"/>
      <c r="XB204" s="9"/>
      <c r="XC204" s="9"/>
      <c r="XD204" s="9"/>
      <c r="XE204" s="9"/>
      <c r="XF204" s="9"/>
      <c r="XG204" s="9"/>
      <c r="XH204" s="9"/>
      <c r="XI204" s="9"/>
      <c r="XJ204" s="9"/>
      <c r="XK204" s="9"/>
      <c r="XL204" s="9"/>
      <c r="XM204" s="9"/>
      <c r="XN204" s="9"/>
      <c r="XO204" s="9"/>
      <c r="XP204" s="9"/>
      <c r="XQ204" s="9"/>
      <c r="XR204" s="9"/>
      <c r="XS204" s="9"/>
      <c r="XT204" s="9"/>
      <c r="XU204" s="9"/>
      <c r="XV204" s="9"/>
      <c r="XW204" s="9"/>
      <c r="XX204" s="9"/>
      <c r="XY204" s="9"/>
      <c r="XZ204" s="9"/>
      <c r="YA204" s="9"/>
      <c r="YB204" s="9"/>
      <c r="YC204" s="9"/>
      <c r="YD204" s="9"/>
      <c r="YE204" s="9"/>
      <c r="YF204" s="9"/>
      <c r="YG204" s="9"/>
      <c r="YH204" s="9"/>
      <c r="YI204" s="9"/>
      <c r="YJ204" s="9"/>
      <c r="YK204" s="9"/>
      <c r="YL204" s="9"/>
      <c r="YM204" s="9"/>
      <c r="YN204" s="9"/>
      <c r="YO204" s="9"/>
      <c r="YP204" s="9"/>
      <c r="YQ204" s="9"/>
      <c r="YR204" s="9"/>
      <c r="YS204" s="9"/>
      <c r="YT204" s="9"/>
      <c r="YU204" s="9"/>
      <c r="YV204" s="9"/>
      <c r="YW204" s="9"/>
      <c r="YX204" s="9"/>
      <c r="YY204" s="9"/>
      <c r="YZ204" s="9"/>
      <c r="ZA204" s="9"/>
      <c r="ZB204" s="9"/>
      <c r="ZC204" s="9"/>
      <c r="ZD204" s="9"/>
      <c r="ZE204" s="9"/>
      <c r="ZF204" s="9"/>
      <c r="ZG204" s="9"/>
      <c r="ZH204" s="9"/>
      <c r="ZI204" s="9"/>
      <c r="ZJ204" s="9"/>
      <c r="ZK204" s="9"/>
      <c r="ZL204" s="9"/>
      <c r="ZM204" s="9"/>
      <c r="ZN204" s="9"/>
      <c r="ZO204" s="9"/>
      <c r="ZP204" s="9"/>
      <c r="ZQ204" s="9"/>
      <c r="ZR204" s="9"/>
      <c r="ZS204" s="9"/>
      <c r="ZT204" s="9"/>
      <c r="ZU204" s="9"/>
      <c r="ZV204" s="9"/>
      <c r="ZW204" s="9"/>
      <c r="ZX204" s="9"/>
      <c r="ZY204" s="9"/>
      <c r="ZZ204" s="9"/>
      <c r="AAA204" s="9"/>
      <c r="AAB204" s="9"/>
      <c r="AAC204" s="9"/>
      <c r="AAD204" s="9"/>
      <c r="AAE204" s="9"/>
      <c r="AAF204" s="9"/>
      <c r="AAG204" s="9"/>
      <c r="AAH204" s="9"/>
      <c r="AAI204" s="9"/>
      <c r="AAJ204" s="9"/>
      <c r="AAK204" s="9"/>
      <c r="AAL204" s="9"/>
      <c r="AAM204" s="9"/>
      <c r="AAN204" s="9"/>
      <c r="AAO204" s="9"/>
      <c r="AAP204" s="9"/>
      <c r="AAQ204" s="9"/>
      <c r="AAR204" s="9"/>
      <c r="AAS204" s="9"/>
      <c r="AAT204" s="9"/>
      <c r="AAU204" s="9"/>
      <c r="AAV204" s="9"/>
      <c r="AAW204" s="9"/>
      <c r="AAX204" s="9"/>
      <c r="AAY204" s="9"/>
      <c r="AAZ204" s="9"/>
      <c r="ABA204" s="9"/>
      <c r="ABB204" s="9"/>
      <c r="ABC204" s="9"/>
      <c r="ABD204" s="9"/>
      <c r="ABE204" s="9"/>
      <c r="ABF204" s="9"/>
      <c r="ABG204" s="9"/>
      <c r="ABH204" s="9"/>
      <c r="ABI204" s="9"/>
      <c r="ABJ204" s="9"/>
      <c r="ABK204" s="9"/>
      <c r="ABL204" s="9"/>
      <c r="ABM204" s="9"/>
      <c r="ABN204" s="9"/>
      <c r="ABO204" s="9"/>
      <c r="ABP204" s="9"/>
      <c r="ABQ204" s="9"/>
      <c r="ABR204" s="9"/>
      <c r="ABS204" s="9"/>
      <c r="ABT204" s="9"/>
      <c r="ABU204" s="9"/>
      <c r="ABV204" s="9"/>
      <c r="ABW204" s="9"/>
      <c r="ABX204" s="9"/>
      <c r="ABY204" s="9"/>
      <c r="ABZ204" s="9"/>
      <c r="ACA204" s="9"/>
      <c r="ACB204" s="9"/>
      <c r="ACC204" s="9"/>
      <c r="ACD204" s="9"/>
      <c r="ACE204" s="9"/>
      <c r="ACF204" s="9"/>
      <c r="ACG204" s="9"/>
      <c r="ACH204" s="9"/>
      <c r="ACI204" s="9"/>
      <c r="ACJ204" s="9"/>
      <c r="ACK204" s="9"/>
      <c r="ACL204" s="9"/>
      <c r="ACM204" s="9"/>
      <c r="ACN204" s="9"/>
      <c r="ACO204" s="9"/>
      <c r="ACP204" s="9"/>
      <c r="ACQ204" s="9"/>
      <c r="ACR204" s="9"/>
      <c r="ACS204" s="9"/>
      <c r="ACT204" s="9"/>
      <c r="ACU204" s="9"/>
      <c r="ACV204" s="9"/>
      <c r="ACW204" s="9"/>
      <c r="ACX204" s="9"/>
      <c r="ACY204" s="9"/>
      <c r="ACZ204" s="9"/>
      <c r="ADA204" s="9"/>
      <c r="ADB204" s="9"/>
      <c r="ADC204" s="9"/>
      <c r="ADD204" s="9"/>
      <c r="ADE204" s="9"/>
      <c r="ADF204" s="9"/>
      <c r="ADG204" s="9"/>
      <c r="ADH204" s="9"/>
      <c r="ADI204" s="9"/>
      <c r="ADJ204" s="9"/>
      <c r="ADK204" s="9"/>
      <c r="ADL204" s="9"/>
      <c r="ADM204" s="9"/>
      <c r="ADN204" s="9"/>
      <c r="ADO204" s="9"/>
      <c r="ADP204" s="9"/>
      <c r="ADQ204" s="9"/>
      <c r="ADR204" s="9"/>
      <c r="ADS204" s="9"/>
      <c r="ADT204" s="9"/>
      <c r="ADU204" s="9"/>
      <c r="ADV204" s="9"/>
      <c r="ADW204" s="9"/>
      <c r="ADX204" s="9"/>
      <c r="ADY204" s="9"/>
      <c r="ADZ204" s="9"/>
      <c r="AEA204" s="9"/>
      <c r="AEB204" s="9"/>
      <c r="AEC204" s="9"/>
      <c r="AED204" s="9"/>
      <c r="AEE204" s="9"/>
      <c r="AEF204" s="9"/>
      <c r="AEG204" s="9"/>
      <c r="AEH204" s="9"/>
      <c r="AEI204" s="9"/>
      <c r="AEJ204" s="9"/>
      <c r="AEK204" s="9"/>
      <c r="AEL204" s="9"/>
      <c r="AEM204" s="9"/>
      <c r="AEN204" s="9"/>
      <c r="AEO204" s="9"/>
      <c r="AEP204" s="9"/>
      <c r="AEQ204" s="9"/>
      <c r="AER204" s="9"/>
      <c r="AES204" s="9"/>
      <c r="AET204" s="9"/>
      <c r="AEU204" s="9"/>
      <c r="AEV204" s="9"/>
      <c r="AEW204" s="9"/>
      <c r="AEX204" s="9"/>
      <c r="AEY204" s="9"/>
      <c r="AEZ204" s="9"/>
      <c r="AFA204" s="9"/>
      <c r="AFB204" s="9"/>
      <c r="AFC204" s="9"/>
      <c r="AFD204" s="9"/>
      <c r="AFE204" s="9"/>
      <c r="AFF204" s="9"/>
      <c r="AFG204" s="9"/>
      <c r="AFH204" s="9"/>
      <c r="AFI204" s="9"/>
      <c r="AFJ204" s="9"/>
      <c r="AFK204" s="9"/>
      <c r="AFL204" s="9"/>
      <c r="AFM204" s="9"/>
      <c r="AFN204" s="9"/>
      <c r="AFO204" s="9"/>
      <c r="AFP204" s="9"/>
      <c r="AFQ204" s="9"/>
      <c r="AFR204" s="9"/>
      <c r="AFS204" s="9"/>
      <c r="AFT204" s="9"/>
      <c r="AFU204" s="9"/>
      <c r="AFV204" s="9"/>
      <c r="AFW204" s="9"/>
      <c r="AFX204" s="9"/>
      <c r="AFY204" s="9"/>
      <c r="AFZ204" s="9"/>
      <c r="AGA204" s="9"/>
      <c r="AGB204" s="9"/>
      <c r="AGC204" s="9"/>
      <c r="AGD204" s="9"/>
      <c r="AGE204" s="9"/>
      <c r="AGF204" s="9"/>
      <c r="AGG204" s="9"/>
      <c r="AGH204" s="9"/>
      <c r="AGI204" s="9"/>
      <c r="AGJ204" s="9"/>
      <c r="AGK204" s="9"/>
      <c r="AGL204" s="9"/>
      <c r="AGM204" s="9"/>
      <c r="AGN204" s="9"/>
      <c r="AGO204" s="9"/>
      <c r="AGP204" s="9"/>
      <c r="AGQ204" s="9"/>
      <c r="AGR204" s="9"/>
      <c r="AGS204" s="9"/>
      <c r="AGT204" s="9"/>
      <c r="AGU204" s="9"/>
      <c r="AGV204" s="9"/>
      <c r="AGW204" s="9"/>
      <c r="AGX204" s="9"/>
      <c r="AGY204" s="9"/>
      <c r="AGZ204" s="9"/>
      <c r="AHA204" s="9"/>
      <c r="AHB204" s="9"/>
      <c r="AHC204" s="9"/>
      <c r="AHD204" s="9"/>
      <c r="AHE204" s="9"/>
      <c r="AHF204" s="9"/>
      <c r="AHG204" s="9"/>
      <c r="AHH204" s="9"/>
      <c r="AHI204" s="9"/>
      <c r="AHJ204" s="9"/>
      <c r="AHK204" s="9"/>
      <c r="AHL204" s="9"/>
      <c r="AHM204" s="9"/>
      <c r="AHN204" s="9"/>
      <c r="AHO204" s="9"/>
      <c r="AHP204" s="9"/>
      <c r="AHQ204" s="9"/>
      <c r="AHR204" s="9"/>
      <c r="AHS204" s="9"/>
      <c r="AHT204" s="9"/>
      <c r="AHU204" s="9"/>
      <c r="AHV204" s="9"/>
      <c r="AHW204" s="9"/>
      <c r="AHX204" s="9"/>
      <c r="AHY204" s="9"/>
      <c r="AHZ204" s="9"/>
      <c r="AIA204" s="9"/>
      <c r="AIB204" s="9"/>
      <c r="AIC204" s="9"/>
      <c r="AID204" s="9"/>
      <c r="AIE204" s="9"/>
      <c r="AIF204" s="9"/>
      <c r="AIG204" s="9"/>
      <c r="AIH204" s="9"/>
      <c r="AII204" s="9"/>
      <c r="AIJ204" s="9"/>
      <c r="AIK204" s="9"/>
      <c r="AIL204" s="9"/>
      <c r="AIM204" s="9"/>
      <c r="AIN204" s="9"/>
      <c r="AIO204" s="9"/>
      <c r="AIP204" s="9"/>
      <c r="AIQ204" s="9"/>
      <c r="AIR204" s="9"/>
      <c r="AIS204" s="9"/>
      <c r="AIT204" s="9"/>
      <c r="AIU204" s="9"/>
      <c r="AIV204" s="9"/>
      <c r="AIW204" s="9"/>
      <c r="AIX204" s="9"/>
      <c r="AIY204" s="9"/>
      <c r="AIZ204" s="9"/>
      <c r="AJA204" s="9"/>
      <c r="AJB204" s="9"/>
      <c r="AJC204" s="9"/>
      <c r="AJD204" s="9"/>
      <c r="AJE204" s="9"/>
      <c r="AJF204" s="9"/>
      <c r="AJG204" s="9"/>
      <c r="AJH204" s="9"/>
      <c r="AJI204" s="9"/>
      <c r="AJJ204" s="9"/>
      <c r="AJK204" s="9"/>
      <c r="AJL204" s="9"/>
      <c r="AJM204" s="9"/>
      <c r="AJN204" s="9"/>
      <c r="AJO204" s="9"/>
      <c r="AJP204" s="9"/>
      <c r="AJQ204" s="9"/>
      <c r="AJR204" s="9"/>
      <c r="AJS204" s="9"/>
      <c r="AJT204" s="9"/>
      <c r="AJU204" s="9"/>
      <c r="AJV204" s="9"/>
      <c r="AJW204" s="9"/>
      <c r="AJX204" s="9"/>
      <c r="AJY204" s="9"/>
      <c r="AJZ204" s="9"/>
      <c r="AKA204" s="9"/>
      <c r="AKB204" s="9"/>
      <c r="AKC204" s="9"/>
      <c r="AKD204" s="9"/>
      <c r="AKE204" s="9"/>
      <c r="AKF204" s="9"/>
      <c r="AKG204" s="9"/>
      <c r="AKH204" s="9"/>
      <c r="AKI204" s="9"/>
      <c r="AKJ204" s="9"/>
      <c r="AKK204" s="9"/>
      <c r="AKL204" s="9"/>
      <c r="AKM204" s="9"/>
      <c r="AKN204" s="9"/>
      <c r="AKO204" s="9"/>
      <c r="AKP204" s="9"/>
      <c r="AKQ204" s="9"/>
      <c r="AKR204" s="9"/>
      <c r="AKS204" s="9"/>
      <c r="AKT204" s="9"/>
      <c r="AKU204" s="9"/>
      <c r="AKV204" s="9"/>
      <c r="AKW204" s="9"/>
      <c r="AKX204" s="9"/>
      <c r="AKY204" s="9"/>
      <c r="AKZ204" s="9"/>
      <c r="ALA204" s="9"/>
      <c r="ALB204" s="9"/>
      <c r="ALC204" s="9"/>
      <c r="ALD204" s="9"/>
      <c r="ALE204" s="9"/>
      <c r="ALF204" s="9"/>
      <c r="ALG204" s="9"/>
      <c r="ALH204" s="9"/>
      <c r="ALI204" s="9"/>
      <c r="ALJ204" s="9"/>
      <c r="ALK204" s="9"/>
      <c r="ALL204" s="9"/>
      <c r="ALM204" s="9"/>
      <c r="ALN204" s="9"/>
      <c r="ALO204" s="9"/>
      <c r="ALP204" s="9"/>
      <c r="ALQ204" s="9"/>
      <c r="ALR204" s="9"/>
      <c r="ALS204" s="9"/>
      <c r="ALT204" s="9"/>
      <c r="ALU204" s="9"/>
      <c r="ALV204" s="9"/>
      <c r="ALW204" s="9"/>
      <c r="ALX204" s="9"/>
      <c r="ALY204" s="9"/>
      <c r="ALZ204" s="9"/>
      <c r="AMA204" s="9"/>
      <c r="AMB204" s="9"/>
      <c r="AMC204" s="9"/>
      <c r="AMD204" s="9"/>
      <c r="AME204" s="9"/>
      <c r="AMF204" s="9"/>
      <c r="AMG204" s="9"/>
      <c r="AMH204" s="9"/>
      <c r="AMI204" s="9"/>
      <c r="AMJ204" s="9"/>
      <c r="AMK204" s="9"/>
      <c r="AML204" s="9"/>
      <c r="AMM204" s="9"/>
      <c r="AMN204" s="9"/>
      <c r="AMO204" s="9"/>
    </row>
    <row r="205" spans="1:1030" s="12" customFormat="1" x14ac:dyDescent="0.2">
      <c r="A205" s="9" t="str">
        <f>CONCATENATE(B205,"_",C205)</f>
        <v>cnr2_human_6PT0</v>
      </c>
      <c r="B205" s="9" t="s">
        <v>183</v>
      </c>
      <c r="C205" s="9" t="s">
        <v>1645</v>
      </c>
      <c r="D205" s="9" t="str">
        <f>IFERROR(MID(VLOOKUP($B205,Seqs!$A:$B,2,0),E205,1),"")</f>
        <v>S</v>
      </c>
      <c r="E205" s="9">
        <v>29</v>
      </c>
      <c r="F205" s="9" t="str">
        <f>IFERROR(MID(VLOOKUP($B205,Seqs!$A:$B,2,0),G205,1),"")</f>
        <v>S</v>
      </c>
      <c r="G205" s="9">
        <v>60</v>
      </c>
      <c r="H205" s="9" t="str">
        <f>IFERROR(MID(VLOOKUP($B205,Seqs!$A:$B,2,0),I205,1),"")</f>
        <v>H</v>
      </c>
      <c r="I205" s="109">
        <v>62</v>
      </c>
      <c r="J205" s="9" t="str">
        <f>IFERROR(MID(VLOOKUP($B205,Seqs!$A:$B,2,0),K205,1),"")</f>
        <v>R</v>
      </c>
      <c r="K205" s="109">
        <v>65</v>
      </c>
      <c r="L205" s="9" t="str">
        <f>IFERROR(MID(VLOOKUP($B205,Seqs!$A:$B,2,0),M205,1),"")</f>
        <v>K</v>
      </c>
      <c r="M205" s="9">
        <v>67</v>
      </c>
      <c r="N205" s="9" t="str">
        <f>IFERROR(MID(VLOOKUP($B205,Seqs!$A:$B,2,0),O205,1),"")</f>
        <v>V</v>
      </c>
      <c r="O205" s="9">
        <v>96</v>
      </c>
      <c r="P205" s="9" t="str">
        <f>IFERROR(MID(VLOOKUP($B205,Seqs!$A:$B,2,0),Q205,1),"")</f>
        <v/>
      </c>
      <c r="Q205" s="9" t="s">
        <v>23</v>
      </c>
      <c r="R205" s="9" t="str">
        <f>IFERROR(MID(VLOOKUP($B205,Seqs!$A:$B,2,0),S205,1),"")</f>
        <v/>
      </c>
      <c r="S205" s="9" t="s">
        <v>23</v>
      </c>
      <c r="T205" s="9" t="str">
        <f>IFERROR(MID(VLOOKUP($B205,Seqs!$A:$B,2,0),U205,1),"")</f>
        <v>S</v>
      </c>
      <c r="U205" s="9">
        <v>102</v>
      </c>
      <c r="V205" s="9" t="str">
        <f>IFERROR(MID(VLOOKUP($B205,Seqs!$A:$B,2,0),W205,1),"")</f>
        <v>Y</v>
      </c>
      <c r="W205" s="9">
        <v>137</v>
      </c>
      <c r="X205" s="9" t="str">
        <f>IFERROR(MID(VLOOKUP($B205,Seqs!$A:$B,2,0),Y205,1),"")</f>
        <v>P</v>
      </c>
      <c r="Y205" s="9">
        <v>138</v>
      </c>
      <c r="Z205" s="9" t="str">
        <f>IFERROR(MID(VLOOKUP($B205,Seqs!$A:$B,2,0),AA205,1),"")</f>
        <v>L</v>
      </c>
      <c r="AA205" s="9">
        <v>145</v>
      </c>
      <c r="AB205" s="9" t="str">
        <f>IFERROR(MID(VLOOKUP($B205,Seqs!$A:$B,2,0),AC205,1),"")</f>
        <v>T</v>
      </c>
      <c r="AC205" s="9">
        <v>146</v>
      </c>
      <c r="AD205" s="9" t="str">
        <f>IFERROR(MID(VLOOKUP($B205,Seqs!$A:$B,2,0),AE205,1),"")</f>
        <v>G</v>
      </c>
      <c r="AE205" s="9">
        <v>171</v>
      </c>
      <c r="AF205" s="9" t="str">
        <f>IFERROR(MID(VLOOKUP($B205,Seqs!$A:$B,2,0),AG205,1),"")</f>
        <v/>
      </c>
      <c r="AG205" s="9" t="s">
        <v>23</v>
      </c>
      <c r="AH205" s="9" t="str">
        <f>IFERROR(MID(VLOOKUP($B205,Seqs!$A:$B,2,0),AI205,1),"")</f>
        <v/>
      </c>
      <c r="AI205" s="9" t="s">
        <v>23</v>
      </c>
      <c r="AJ205" s="9" t="str">
        <f>IFERROR(MID(VLOOKUP($B205,Seqs!$A:$B,2,0),AK205,1),"")</f>
        <v>P</v>
      </c>
      <c r="AK205" s="9">
        <v>187</v>
      </c>
      <c r="AL205" s="9" t="str">
        <f>IFERROR(MID(VLOOKUP($B205,Seqs!$A:$B,2,0),AM205,1),"")</f>
        <v>G</v>
      </c>
      <c r="AM205" s="9">
        <v>225</v>
      </c>
      <c r="AN205" s="9" t="str">
        <f>IFERROR(MID(VLOOKUP($B205,Seqs!$A:$B,2,0),AO205,1),"")</f>
        <v>R</v>
      </c>
      <c r="AO205" s="9">
        <v>238</v>
      </c>
      <c r="AP205" s="9" t="str">
        <f>IFERROR(MID(VLOOKUP($B205,Seqs!$A:$B,2,0),AQ205,1),"")</f>
        <v>T</v>
      </c>
      <c r="AQ205" s="9">
        <v>271</v>
      </c>
      <c r="AR205" s="9" t="str">
        <f>IFERROR(MID(VLOOKUP($B205,Seqs!$A:$B,2,0),AS205,1),"")</f>
        <v>S</v>
      </c>
      <c r="AS205" s="9">
        <v>274</v>
      </c>
      <c r="AT205" s="9" t="str">
        <f>IFERROR(MID(VLOOKUP($B205,Seqs!$A:$B,2,0),AU205,1),"")</f>
        <v>R</v>
      </c>
      <c r="AU205" s="9">
        <v>302</v>
      </c>
      <c r="AV205" s="9" t="str">
        <f>IFERROR(MID(VLOOKUP($B205,Seqs!$A:$B,2,0),AW205,1),"")</f>
        <v>S</v>
      </c>
      <c r="AW205" s="9">
        <v>303</v>
      </c>
      <c r="AX205" s="9" t="str">
        <f>IFERROR(MID(VLOOKUP($B205,Seqs!$A:$B,2,0),AY205,1),"")</f>
        <v>K</v>
      </c>
      <c r="AY205" s="9">
        <v>319</v>
      </c>
      <c r="AZ205" s="110" t="str">
        <f>VLOOKUP(B205,Classification!A:D,2,0)</f>
        <v>A</v>
      </c>
      <c r="BA205" s="98" t="str">
        <f>VLOOKUP(B205,Classification!A:D,4,0)</f>
        <v>Cannabinoid</v>
      </c>
      <c r="BB205" s="36" t="b">
        <f t="shared" ref="BB205" si="1054">AND(E205&lt;G205,OR(G205&lt;I205,I205="-"),OR(I205&lt;K205,I205="-"),OR(K205&lt;M205,K205="-"),M205&lt;O205,OR(O205&lt;Q205,Q205="-"),OR(Q205&lt;S205,Q205="-"),OR(S205&lt;U205,S205="-"),U205&lt;W205,OR(W205&lt;Y205,Y205="-"),OR(Y205&lt;AA205,Y205="-"),OR(AA205&lt;AC205,AA205="-"),AC205&lt;AE205,OR(AE205&lt;AG205,AG205="-"),OR(AG205&lt;AI205,AG205="-"),OR(AI205&lt;AK205,AI205="-"),AK205&lt;AM205,AM205&lt;AO205,AO205&lt;AQ205,AQ205&lt;AS205,AS205&lt;AU205,OR(AU205&lt;AW205,AW205="-"),OR(AW205&lt;AY205,AW205="-"))</f>
        <v>1</v>
      </c>
      <c r="BC205" s="109">
        <f t="shared" ref="BC205" si="1055">_xlfn.AGGREGATE(9,6,CH205:CS205)-_xlfn.AGGREGATE(9,6,BV205:CG205)+12</f>
        <v>257</v>
      </c>
      <c r="BD205" s="40" t="s">
        <v>1369</v>
      </c>
      <c r="BE205" s="9" t="s">
        <v>1285</v>
      </c>
      <c r="BF205" s="119">
        <v>3.2</v>
      </c>
      <c r="BG205" s="51" t="s">
        <v>1416</v>
      </c>
      <c r="BH205" s="51" t="s">
        <v>1416</v>
      </c>
      <c r="BI205" s="9"/>
      <c r="BJ205" s="111" t="s">
        <v>1281</v>
      </c>
      <c r="BK205" s="112" t="s">
        <v>1281</v>
      </c>
      <c r="BL205" s="112" t="s">
        <v>1281</v>
      </c>
      <c r="BM205" s="112" t="s">
        <v>1281</v>
      </c>
      <c r="BN205" s="112" t="s">
        <v>1281</v>
      </c>
      <c r="BO205" s="112" t="s">
        <v>1281</v>
      </c>
      <c r="BP205" s="112" t="s">
        <v>1281</v>
      </c>
      <c r="BQ205" s="112" t="s">
        <v>1281</v>
      </c>
      <c r="BR205" s="112" t="s">
        <v>1281</v>
      </c>
      <c r="BS205" s="112" t="s">
        <v>1281</v>
      </c>
      <c r="BT205" s="112" t="s">
        <v>1281</v>
      </c>
      <c r="BU205" s="112" t="s">
        <v>1281</v>
      </c>
      <c r="BV205" s="111">
        <f>E205</f>
        <v>29</v>
      </c>
      <c r="BW205" s="113">
        <f>I205</f>
        <v>62</v>
      </c>
      <c r="BX205" s="114">
        <f>M205</f>
        <v>67</v>
      </c>
      <c r="BY205" s="113" t="str">
        <f>Q205</f>
        <v>-</v>
      </c>
      <c r="BZ205" s="114">
        <f>U205</f>
        <v>102</v>
      </c>
      <c r="CA205" s="113">
        <f>Y205</f>
        <v>138</v>
      </c>
      <c r="CB205" s="114">
        <f>AC205</f>
        <v>146</v>
      </c>
      <c r="CC205" s="113" t="str">
        <f>AG205</f>
        <v>-</v>
      </c>
      <c r="CD205" s="114">
        <f>AK205</f>
        <v>187</v>
      </c>
      <c r="CE205" s="113">
        <f>AO205</f>
        <v>238</v>
      </c>
      <c r="CF205" s="114">
        <f>AS205</f>
        <v>274</v>
      </c>
      <c r="CG205" s="113">
        <f>AW205</f>
        <v>303</v>
      </c>
      <c r="CH205" s="111">
        <f>G205</f>
        <v>60</v>
      </c>
      <c r="CI205" s="113">
        <f>K205</f>
        <v>65</v>
      </c>
      <c r="CJ205" s="114">
        <f>O205</f>
        <v>96</v>
      </c>
      <c r="CK205" s="114" t="str">
        <f>S205</f>
        <v>-</v>
      </c>
      <c r="CL205" s="114">
        <f>W205</f>
        <v>137</v>
      </c>
      <c r="CM205" s="114">
        <f>AA205</f>
        <v>145</v>
      </c>
      <c r="CN205" s="114">
        <f>AE205</f>
        <v>171</v>
      </c>
      <c r="CO205" s="114" t="str">
        <f>AI205</f>
        <v>-</v>
      </c>
      <c r="CP205" s="114">
        <f>AM205</f>
        <v>225</v>
      </c>
      <c r="CQ205" s="114">
        <f>AQ205</f>
        <v>271</v>
      </c>
      <c r="CR205" s="114">
        <f>AU205</f>
        <v>302</v>
      </c>
      <c r="CS205" s="114">
        <f>AY205</f>
        <v>319</v>
      </c>
      <c r="CT205" s="109">
        <f>M205-K205</f>
        <v>2</v>
      </c>
      <c r="CU205" s="9"/>
      <c r="CV205" s="9"/>
      <c r="CW205" s="9"/>
      <c r="CX205" s="9"/>
      <c r="CY205" s="9"/>
      <c r="CZ205" s="9"/>
      <c r="DA205" s="9"/>
      <c r="DB205" s="9"/>
      <c r="DC205" s="9"/>
      <c r="DD205" s="9"/>
      <c r="DE205" s="9"/>
      <c r="DF205" s="9"/>
      <c r="DG205" s="9"/>
      <c r="DH205" s="9"/>
      <c r="DI205" s="9"/>
      <c r="DJ205" s="9"/>
      <c r="DK205" s="9"/>
      <c r="DL205" s="9"/>
      <c r="DM205" s="9"/>
      <c r="DN205" s="9"/>
      <c r="DO205" s="9"/>
      <c r="DP205" s="9"/>
      <c r="DQ205" s="9"/>
      <c r="DR205" s="9"/>
      <c r="DS205" s="9"/>
      <c r="DT205" s="9"/>
      <c r="DU205" s="9"/>
      <c r="DV205" s="9"/>
      <c r="DW205" s="9"/>
      <c r="DX205" s="9"/>
      <c r="DY205" s="9"/>
      <c r="DZ205" s="9"/>
      <c r="EA205" s="9"/>
      <c r="EB205" s="9"/>
      <c r="EC205" s="9"/>
      <c r="ED205" s="9"/>
      <c r="EE205" s="9"/>
      <c r="EF205" s="9"/>
      <c r="EG205" s="9"/>
      <c r="EH205" s="9"/>
      <c r="EI205" s="9"/>
      <c r="EJ205" s="9"/>
      <c r="EK205" s="9"/>
      <c r="EL205" s="9"/>
      <c r="EM205" s="9"/>
      <c r="EN205" s="9"/>
      <c r="EO205" s="9"/>
      <c r="EP205" s="9"/>
      <c r="EQ205" s="9"/>
      <c r="ER205" s="9"/>
      <c r="ES205" s="9"/>
      <c r="ET205" s="9"/>
      <c r="EU205" s="9"/>
      <c r="EV205" s="9"/>
      <c r="EW205" s="9"/>
      <c r="EX205" s="9"/>
      <c r="EY205" s="9"/>
      <c r="EZ205" s="9"/>
      <c r="FA205" s="9"/>
      <c r="FB205" s="9"/>
      <c r="FC205" s="9"/>
      <c r="FD205" s="9"/>
      <c r="FE205" s="9"/>
      <c r="FF205" s="9"/>
      <c r="FG205" s="9"/>
      <c r="FH205" s="9"/>
      <c r="FI205" s="9"/>
      <c r="FJ205" s="9"/>
      <c r="FK205" s="9"/>
      <c r="FL205" s="9"/>
      <c r="FM205" s="9"/>
      <c r="FN205" s="9"/>
      <c r="FO205" s="9"/>
      <c r="FP205" s="9"/>
      <c r="FQ205" s="9"/>
      <c r="FR205" s="9"/>
      <c r="FS205" s="9"/>
      <c r="FT205" s="9"/>
      <c r="FU205" s="9"/>
      <c r="FV205" s="9"/>
      <c r="FW205" s="9"/>
      <c r="FX205" s="9"/>
      <c r="FY205" s="9"/>
      <c r="FZ205" s="9"/>
      <c r="GA205" s="9"/>
      <c r="GB205" s="9"/>
      <c r="GC205" s="9"/>
      <c r="GD205" s="9"/>
      <c r="GE205" s="9"/>
      <c r="GF205" s="9"/>
      <c r="GG205" s="9"/>
      <c r="GH205" s="9"/>
      <c r="GI205" s="9"/>
      <c r="GJ205" s="9"/>
      <c r="GK205" s="9"/>
      <c r="GL205" s="9"/>
      <c r="GM205" s="9"/>
      <c r="GN205" s="9"/>
      <c r="GO205" s="9"/>
      <c r="GP205" s="9"/>
      <c r="GQ205" s="9"/>
      <c r="GR205" s="9"/>
      <c r="GS205" s="9"/>
      <c r="GT205" s="9"/>
      <c r="GU205" s="9"/>
      <c r="GV205" s="9"/>
      <c r="GW205" s="9"/>
      <c r="GX205" s="9"/>
      <c r="GY205" s="9"/>
      <c r="GZ205" s="9"/>
      <c r="HA205" s="9"/>
      <c r="HB205" s="9"/>
      <c r="HC205" s="9"/>
      <c r="HD205" s="9"/>
      <c r="HE205" s="9"/>
      <c r="HF205" s="9"/>
      <c r="HG205" s="9"/>
      <c r="HH205" s="9"/>
      <c r="HI205" s="9"/>
      <c r="HJ205" s="9"/>
      <c r="HK205" s="9"/>
      <c r="HL205" s="9"/>
      <c r="HM205" s="9"/>
      <c r="HN205" s="9"/>
      <c r="HO205" s="9"/>
      <c r="HP205" s="9"/>
      <c r="HQ205" s="9"/>
      <c r="HR205" s="9"/>
      <c r="HS205" s="9"/>
      <c r="HT205" s="9"/>
      <c r="HU205" s="9"/>
      <c r="HV205" s="9"/>
      <c r="HW205" s="9"/>
      <c r="HX205" s="9"/>
      <c r="HY205" s="9"/>
      <c r="HZ205" s="9"/>
      <c r="IA205" s="9"/>
      <c r="IB205" s="9"/>
      <c r="IC205" s="9"/>
      <c r="ID205" s="9"/>
      <c r="IE205" s="9"/>
      <c r="IF205" s="9"/>
      <c r="IG205" s="9"/>
      <c r="IH205" s="9"/>
      <c r="II205" s="9"/>
      <c r="IJ205" s="9"/>
      <c r="IK205" s="9"/>
      <c r="IL205" s="9"/>
      <c r="IM205" s="9"/>
      <c r="IN205" s="9"/>
      <c r="IO205" s="9"/>
      <c r="IP205" s="9"/>
      <c r="IQ205" s="9"/>
      <c r="IR205" s="9"/>
      <c r="IS205" s="9"/>
      <c r="IT205" s="9"/>
      <c r="IU205" s="9"/>
      <c r="IV205" s="9"/>
      <c r="IW205" s="9"/>
      <c r="IX205" s="9"/>
      <c r="IY205" s="9"/>
      <c r="IZ205" s="9"/>
      <c r="JA205" s="9"/>
      <c r="JB205" s="9"/>
      <c r="JC205" s="9"/>
      <c r="JD205" s="9"/>
      <c r="JE205" s="9"/>
      <c r="JF205" s="9"/>
      <c r="JG205" s="9"/>
      <c r="JH205" s="9"/>
      <c r="JI205" s="9"/>
      <c r="JJ205" s="9"/>
      <c r="JK205" s="9"/>
      <c r="JL205" s="9"/>
      <c r="JM205" s="9"/>
      <c r="JN205" s="9"/>
      <c r="JO205" s="9"/>
      <c r="JP205" s="9"/>
      <c r="JQ205" s="9"/>
      <c r="JR205" s="9"/>
      <c r="JS205" s="9"/>
      <c r="JT205" s="9"/>
      <c r="JU205" s="9"/>
      <c r="JV205" s="9"/>
      <c r="JW205" s="9"/>
      <c r="JX205" s="9"/>
      <c r="JY205" s="9"/>
      <c r="JZ205" s="9"/>
      <c r="KA205" s="9"/>
      <c r="KB205" s="9"/>
      <c r="KC205" s="9"/>
      <c r="KD205" s="9"/>
      <c r="KE205" s="9"/>
      <c r="KF205" s="9"/>
      <c r="KG205" s="9"/>
      <c r="KH205" s="9"/>
      <c r="KI205" s="9"/>
      <c r="KJ205" s="9"/>
      <c r="KK205" s="9"/>
      <c r="KL205" s="9"/>
      <c r="KM205" s="9"/>
      <c r="KN205" s="9"/>
      <c r="KO205" s="9"/>
      <c r="KP205" s="9"/>
      <c r="KQ205" s="9"/>
      <c r="KR205" s="9"/>
      <c r="KS205" s="9"/>
      <c r="KT205" s="9"/>
      <c r="KU205" s="9"/>
      <c r="KV205" s="9"/>
      <c r="KW205" s="9"/>
      <c r="KX205" s="9"/>
      <c r="KY205" s="9"/>
      <c r="KZ205" s="9"/>
      <c r="LA205" s="9"/>
      <c r="LB205" s="9"/>
      <c r="LC205" s="9"/>
      <c r="LD205" s="9"/>
      <c r="LE205" s="9"/>
      <c r="LF205" s="9"/>
      <c r="LG205" s="9"/>
      <c r="LH205" s="9"/>
      <c r="LI205" s="9"/>
      <c r="LJ205" s="9"/>
      <c r="LK205" s="9"/>
      <c r="LL205" s="9"/>
      <c r="LM205" s="9"/>
      <c r="LN205" s="9"/>
      <c r="LO205" s="9"/>
      <c r="LP205" s="9"/>
      <c r="LQ205" s="9"/>
      <c r="LR205" s="9"/>
      <c r="LS205" s="9"/>
      <c r="LT205" s="9"/>
      <c r="LU205" s="9"/>
      <c r="LV205" s="9"/>
      <c r="LW205" s="9"/>
      <c r="LX205" s="9"/>
      <c r="LY205" s="9"/>
      <c r="LZ205" s="9"/>
      <c r="MA205" s="9"/>
      <c r="MB205" s="9"/>
      <c r="MC205" s="9"/>
      <c r="MD205" s="9"/>
      <c r="ME205" s="9"/>
      <c r="MF205" s="9"/>
      <c r="MG205" s="9"/>
      <c r="MH205" s="9"/>
      <c r="MI205" s="9"/>
      <c r="MJ205" s="9"/>
      <c r="MK205" s="9"/>
      <c r="ML205" s="9"/>
      <c r="MM205" s="9"/>
      <c r="MN205" s="9"/>
      <c r="MO205" s="9"/>
      <c r="MP205" s="9"/>
      <c r="MQ205" s="9"/>
      <c r="MR205" s="9"/>
      <c r="MS205" s="9"/>
      <c r="MT205" s="9"/>
      <c r="MU205" s="9"/>
      <c r="MV205" s="9"/>
      <c r="MW205" s="9"/>
      <c r="MX205" s="9"/>
      <c r="MY205" s="9"/>
      <c r="MZ205" s="9"/>
      <c r="NA205" s="9"/>
      <c r="NB205" s="9"/>
      <c r="NC205" s="9"/>
      <c r="ND205" s="9"/>
      <c r="NE205" s="9"/>
      <c r="NF205" s="9"/>
      <c r="NG205" s="9"/>
      <c r="NH205" s="9"/>
      <c r="NI205" s="9"/>
      <c r="NJ205" s="9"/>
      <c r="NK205" s="9"/>
      <c r="NL205" s="9"/>
      <c r="NM205" s="9"/>
      <c r="NN205" s="9"/>
      <c r="NO205" s="9"/>
      <c r="NP205" s="9"/>
      <c r="NQ205" s="9"/>
      <c r="NR205" s="9"/>
      <c r="NS205" s="9"/>
      <c r="NT205" s="9"/>
      <c r="NU205" s="9"/>
      <c r="NV205" s="9"/>
      <c r="NW205" s="9"/>
      <c r="NX205" s="9"/>
      <c r="NY205" s="9"/>
      <c r="NZ205" s="9"/>
      <c r="OA205" s="9"/>
      <c r="OB205" s="9"/>
      <c r="OC205" s="9"/>
      <c r="OD205" s="9"/>
      <c r="OE205" s="9"/>
      <c r="OF205" s="9"/>
      <c r="OG205" s="9"/>
      <c r="OH205" s="9"/>
      <c r="OI205" s="9"/>
      <c r="OJ205" s="9"/>
      <c r="OK205" s="9"/>
      <c r="OL205" s="9"/>
      <c r="OM205" s="9"/>
      <c r="ON205" s="9"/>
      <c r="OO205" s="9"/>
      <c r="OP205" s="9"/>
      <c r="OQ205" s="9"/>
      <c r="OR205" s="9"/>
      <c r="OS205" s="9"/>
      <c r="OT205" s="9"/>
      <c r="OU205" s="9"/>
      <c r="OV205" s="9"/>
      <c r="OW205" s="9"/>
      <c r="OX205" s="9"/>
      <c r="OY205" s="9"/>
      <c r="OZ205" s="9"/>
      <c r="PA205" s="9"/>
      <c r="PB205" s="9"/>
      <c r="PC205" s="9"/>
      <c r="PD205" s="9"/>
      <c r="PE205" s="9"/>
      <c r="PF205" s="9"/>
      <c r="PG205" s="9"/>
      <c r="PH205" s="9"/>
      <c r="PI205" s="9"/>
      <c r="PJ205" s="9"/>
      <c r="PK205" s="9"/>
      <c r="PL205" s="9"/>
      <c r="PM205" s="9"/>
      <c r="PN205" s="9"/>
      <c r="PO205" s="9"/>
      <c r="PP205" s="9"/>
      <c r="PQ205" s="9"/>
      <c r="PR205" s="9"/>
      <c r="PS205" s="9"/>
      <c r="PT205" s="9"/>
      <c r="PU205" s="9"/>
      <c r="PV205" s="9"/>
      <c r="PW205" s="9"/>
      <c r="PX205" s="9"/>
      <c r="PY205" s="9"/>
      <c r="PZ205" s="9"/>
      <c r="QA205" s="9"/>
      <c r="QB205" s="9"/>
      <c r="QC205" s="9"/>
      <c r="QD205" s="9"/>
      <c r="QE205" s="9"/>
      <c r="QF205" s="9"/>
      <c r="QG205" s="9"/>
      <c r="QH205" s="9"/>
      <c r="QI205" s="9"/>
      <c r="QJ205" s="9"/>
      <c r="QK205" s="9"/>
      <c r="QL205" s="9"/>
      <c r="QM205" s="9"/>
      <c r="QN205" s="9"/>
      <c r="QO205" s="9"/>
      <c r="QP205" s="9"/>
      <c r="QQ205" s="9"/>
      <c r="QR205" s="9"/>
      <c r="QS205" s="9"/>
      <c r="QT205" s="9"/>
      <c r="QU205" s="9"/>
      <c r="QV205" s="9"/>
      <c r="QW205" s="9"/>
      <c r="QX205" s="9"/>
      <c r="QY205" s="9"/>
      <c r="QZ205" s="9"/>
      <c r="RA205" s="9"/>
      <c r="RB205" s="9"/>
      <c r="RC205" s="9"/>
      <c r="RD205" s="9"/>
      <c r="RE205" s="9"/>
      <c r="RF205" s="9"/>
      <c r="RG205" s="9"/>
      <c r="RH205" s="9"/>
      <c r="RI205" s="9"/>
      <c r="RJ205" s="9"/>
      <c r="RK205" s="9"/>
      <c r="RL205" s="9"/>
      <c r="RM205" s="9"/>
      <c r="RN205" s="9"/>
      <c r="RO205" s="9"/>
      <c r="RP205" s="9"/>
      <c r="RQ205" s="9"/>
      <c r="RR205" s="9"/>
      <c r="RS205" s="9"/>
      <c r="RT205" s="9"/>
      <c r="RU205" s="9"/>
      <c r="RV205" s="9"/>
      <c r="RW205" s="9"/>
      <c r="RX205" s="9"/>
      <c r="RY205" s="9"/>
      <c r="RZ205" s="9"/>
      <c r="SA205" s="9"/>
      <c r="SB205" s="9"/>
      <c r="SC205" s="9"/>
      <c r="SD205" s="9"/>
      <c r="SE205" s="9"/>
      <c r="SF205" s="9"/>
      <c r="SG205" s="9"/>
      <c r="SH205" s="9"/>
      <c r="SI205" s="9"/>
      <c r="SJ205" s="9"/>
      <c r="SK205" s="9"/>
      <c r="SL205" s="9"/>
      <c r="SM205" s="9"/>
      <c r="SN205" s="9"/>
      <c r="SO205" s="9"/>
      <c r="SP205" s="9"/>
      <c r="SQ205" s="9"/>
      <c r="SR205" s="9"/>
      <c r="SS205" s="9"/>
      <c r="ST205" s="9"/>
      <c r="SU205" s="9"/>
      <c r="SV205" s="9"/>
      <c r="SW205" s="9"/>
      <c r="SX205" s="9"/>
      <c r="SY205" s="9"/>
      <c r="SZ205" s="9"/>
      <c r="TA205" s="9"/>
      <c r="TB205" s="9"/>
      <c r="TC205" s="9"/>
      <c r="TD205" s="9"/>
      <c r="TE205" s="9"/>
      <c r="TF205" s="9"/>
      <c r="TG205" s="9"/>
      <c r="TH205" s="9"/>
      <c r="TI205" s="9"/>
      <c r="TJ205" s="9"/>
      <c r="TK205" s="9"/>
      <c r="TL205" s="9"/>
      <c r="TM205" s="9"/>
      <c r="TN205" s="9"/>
      <c r="TO205" s="9"/>
      <c r="TP205" s="9"/>
      <c r="TQ205" s="9"/>
      <c r="TR205" s="9"/>
      <c r="TS205" s="9"/>
      <c r="TT205" s="9"/>
      <c r="TU205" s="9"/>
      <c r="TV205" s="9"/>
      <c r="TW205" s="9"/>
      <c r="TX205" s="9"/>
      <c r="TY205" s="9"/>
      <c r="TZ205" s="9"/>
      <c r="UA205" s="9"/>
      <c r="UB205" s="9"/>
      <c r="UC205" s="9"/>
      <c r="UD205" s="9"/>
      <c r="UE205" s="9"/>
      <c r="UF205" s="9"/>
      <c r="UG205" s="9"/>
      <c r="UH205" s="9"/>
      <c r="UI205" s="9"/>
      <c r="UJ205" s="9"/>
      <c r="UK205" s="9"/>
      <c r="UL205" s="9"/>
      <c r="UM205" s="9"/>
      <c r="UN205" s="9"/>
      <c r="UO205" s="9"/>
      <c r="UP205" s="9"/>
      <c r="UQ205" s="9"/>
      <c r="UR205" s="9"/>
      <c r="US205" s="9"/>
      <c r="UT205" s="9"/>
      <c r="UU205" s="9"/>
      <c r="UV205" s="9"/>
      <c r="UW205" s="9"/>
      <c r="UX205" s="9"/>
      <c r="UY205" s="9"/>
      <c r="UZ205" s="9"/>
      <c r="VA205" s="9"/>
      <c r="VB205" s="9"/>
      <c r="VC205" s="9"/>
      <c r="VD205" s="9"/>
      <c r="VE205" s="9"/>
      <c r="VF205" s="9"/>
      <c r="VG205" s="9"/>
      <c r="VH205" s="9"/>
      <c r="VI205" s="9"/>
      <c r="VJ205" s="9"/>
      <c r="VK205" s="9"/>
      <c r="VL205" s="9"/>
      <c r="VM205" s="9"/>
      <c r="VN205" s="9"/>
      <c r="VO205" s="9"/>
      <c r="VP205" s="9"/>
      <c r="VQ205" s="9"/>
      <c r="VR205" s="9"/>
      <c r="VS205" s="9"/>
      <c r="VT205" s="9"/>
      <c r="VU205" s="9"/>
      <c r="VV205" s="9"/>
      <c r="VW205" s="9"/>
      <c r="VX205" s="9"/>
      <c r="VY205" s="9"/>
      <c r="VZ205" s="9"/>
      <c r="WA205" s="9"/>
      <c r="WB205" s="9"/>
      <c r="WC205" s="9"/>
      <c r="WD205" s="9"/>
      <c r="WE205" s="9"/>
      <c r="WF205" s="9"/>
      <c r="WG205" s="9"/>
      <c r="WH205" s="9"/>
      <c r="WI205" s="9"/>
      <c r="WJ205" s="9"/>
      <c r="WK205" s="9"/>
      <c r="WL205" s="9"/>
      <c r="WM205" s="9"/>
      <c r="WN205" s="9"/>
      <c r="WO205" s="9"/>
      <c r="WP205" s="9"/>
      <c r="WQ205" s="9"/>
      <c r="WR205" s="9"/>
      <c r="WS205" s="9"/>
      <c r="WT205" s="9"/>
      <c r="WU205" s="9"/>
      <c r="WV205" s="9"/>
      <c r="WW205" s="9"/>
      <c r="WX205" s="9"/>
      <c r="WY205" s="9"/>
      <c r="WZ205" s="9"/>
      <c r="XA205" s="9"/>
      <c r="XB205" s="9"/>
      <c r="XC205" s="9"/>
      <c r="XD205" s="9"/>
      <c r="XE205" s="9"/>
      <c r="XF205" s="9"/>
      <c r="XG205" s="9"/>
      <c r="XH205" s="9"/>
      <c r="XI205" s="9"/>
      <c r="XJ205" s="9"/>
      <c r="XK205" s="9"/>
      <c r="XL205" s="9"/>
      <c r="XM205" s="9"/>
      <c r="XN205" s="9"/>
      <c r="XO205" s="9"/>
      <c r="XP205" s="9"/>
      <c r="XQ205" s="9"/>
      <c r="XR205" s="9"/>
      <c r="XS205" s="9"/>
      <c r="XT205" s="9"/>
      <c r="XU205" s="9"/>
      <c r="XV205" s="9"/>
      <c r="XW205" s="9"/>
      <c r="XX205" s="9"/>
      <c r="XY205" s="9"/>
      <c r="XZ205" s="9"/>
      <c r="YA205" s="9"/>
      <c r="YB205" s="9"/>
      <c r="YC205" s="9"/>
      <c r="YD205" s="9"/>
      <c r="YE205" s="9"/>
      <c r="YF205" s="9"/>
      <c r="YG205" s="9"/>
      <c r="YH205" s="9"/>
      <c r="YI205" s="9"/>
      <c r="YJ205" s="9"/>
      <c r="YK205" s="9"/>
      <c r="YL205" s="9"/>
      <c r="YM205" s="9"/>
      <c r="YN205" s="9"/>
      <c r="YO205" s="9"/>
      <c r="YP205" s="9"/>
      <c r="YQ205" s="9"/>
      <c r="YR205" s="9"/>
      <c r="YS205" s="9"/>
      <c r="YT205" s="9"/>
      <c r="YU205" s="9"/>
      <c r="YV205" s="9"/>
      <c r="YW205" s="9"/>
      <c r="YX205" s="9"/>
      <c r="YY205" s="9"/>
      <c r="YZ205" s="9"/>
      <c r="ZA205" s="9"/>
      <c r="ZB205" s="9"/>
      <c r="ZC205" s="9"/>
      <c r="ZD205" s="9"/>
      <c r="ZE205" s="9"/>
      <c r="ZF205" s="9"/>
      <c r="ZG205" s="9"/>
      <c r="ZH205" s="9"/>
      <c r="ZI205" s="9"/>
      <c r="ZJ205" s="9"/>
      <c r="ZK205" s="9"/>
      <c r="ZL205" s="9"/>
      <c r="ZM205" s="9"/>
      <c r="ZN205" s="9"/>
      <c r="ZO205" s="9"/>
      <c r="ZP205" s="9"/>
      <c r="ZQ205" s="9"/>
      <c r="ZR205" s="9"/>
      <c r="ZS205" s="9"/>
      <c r="ZT205" s="9"/>
      <c r="ZU205" s="9"/>
      <c r="ZV205" s="9"/>
      <c r="ZW205" s="9"/>
      <c r="ZX205" s="9"/>
      <c r="ZY205" s="9"/>
      <c r="ZZ205" s="9"/>
      <c r="AAA205" s="9"/>
      <c r="AAB205" s="9"/>
      <c r="AAC205" s="9"/>
      <c r="AAD205" s="9"/>
      <c r="AAE205" s="9"/>
      <c r="AAF205" s="9"/>
      <c r="AAG205" s="9"/>
      <c r="AAH205" s="9"/>
      <c r="AAI205" s="9"/>
      <c r="AAJ205" s="9"/>
      <c r="AAK205" s="9"/>
      <c r="AAL205" s="9"/>
      <c r="AAM205" s="9"/>
      <c r="AAN205" s="9"/>
      <c r="AAO205" s="9"/>
      <c r="AAP205" s="9"/>
      <c r="AAQ205" s="9"/>
      <c r="AAR205" s="9"/>
      <c r="AAS205" s="9"/>
      <c r="AAT205" s="9"/>
      <c r="AAU205" s="9"/>
      <c r="AAV205" s="9"/>
      <c r="AAW205" s="9"/>
      <c r="AAX205" s="9"/>
      <c r="AAY205" s="9"/>
      <c r="AAZ205" s="9"/>
      <c r="ABA205" s="9"/>
      <c r="ABB205" s="9"/>
      <c r="ABC205" s="9"/>
      <c r="ABD205" s="9"/>
      <c r="ABE205" s="9"/>
      <c r="ABF205" s="9"/>
      <c r="ABG205" s="9"/>
      <c r="ABH205" s="9"/>
      <c r="ABI205" s="9"/>
      <c r="ABJ205" s="9"/>
      <c r="ABK205" s="9"/>
      <c r="ABL205" s="9"/>
      <c r="ABM205" s="9"/>
      <c r="ABN205" s="9"/>
      <c r="ABO205" s="9"/>
      <c r="ABP205" s="9"/>
      <c r="ABQ205" s="9"/>
      <c r="ABR205" s="9"/>
      <c r="ABS205" s="9"/>
      <c r="ABT205" s="9"/>
      <c r="ABU205" s="9"/>
      <c r="ABV205" s="9"/>
      <c r="ABW205" s="9"/>
      <c r="ABX205" s="9"/>
      <c r="ABY205" s="9"/>
      <c r="ABZ205" s="9"/>
      <c r="ACA205" s="9"/>
      <c r="ACB205" s="9"/>
      <c r="ACC205" s="9"/>
      <c r="ACD205" s="9"/>
      <c r="ACE205" s="9"/>
      <c r="ACF205" s="9"/>
      <c r="ACG205" s="9"/>
      <c r="ACH205" s="9"/>
      <c r="ACI205" s="9"/>
      <c r="ACJ205" s="9"/>
      <c r="ACK205" s="9"/>
      <c r="ACL205" s="9"/>
      <c r="ACM205" s="9"/>
      <c r="ACN205" s="9"/>
      <c r="ACO205" s="9"/>
      <c r="ACP205" s="9"/>
      <c r="ACQ205" s="9"/>
      <c r="ACR205" s="9"/>
      <c r="ACS205" s="9"/>
      <c r="ACT205" s="9"/>
      <c r="ACU205" s="9"/>
      <c r="ACV205" s="9"/>
      <c r="ACW205" s="9"/>
      <c r="ACX205" s="9"/>
      <c r="ACY205" s="9"/>
      <c r="ACZ205" s="9"/>
      <c r="ADA205" s="9"/>
      <c r="ADB205" s="9"/>
      <c r="ADC205" s="9"/>
      <c r="ADD205" s="9"/>
      <c r="ADE205" s="9"/>
      <c r="ADF205" s="9"/>
      <c r="ADG205" s="9"/>
      <c r="ADH205" s="9"/>
      <c r="ADI205" s="9"/>
      <c r="ADJ205" s="9"/>
      <c r="ADK205" s="9"/>
      <c r="ADL205" s="9"/>
      <c r="ADM205" s="9"/>
      <c r="ADN205" s="9"/>
      <c r="ADO205" s="9"/>
      <c r="ADP205" s="9"/>
      <c r="ADQ205" s="9"/>
      <c r="ADR205" s="9"/>
      <c r="ADS205" s="9"/>
      <c r="ADT205" s="9"/>
      <c r="ADU205" s="9"/>
      <c r="ADV205" s="9"/>
      <c r="ADW205" s="9"/>
      <c r="ADX205" s="9"/>
      <c r="ADY205" s="9"/>
      <c r="ADZ205" s="9"/>
      <c r="AEA205" s="9"/>
      <c r="AEB205" s="9"/>
      <c r="AEC205" s="9"/>
      <c r="AED205" s="9"/>
      <c r="AEE205" s="9"/>
      <c r="AEF205" s="9"/>
      <c r="AEG205" s="9"/>
      <c r="AEH205" s="9"/>
      <c r="AEI205" s="9"/>
      <c r="AEJ205" s="9"/>
      <c r="AEK205" s="9"/>
      <c r="AEL205" s="9"/>
      <c r="AEM205" s="9"/>
      <c r="AEN205" s="9"/>
      <c r="AEO205" s="9"/>
      <c r="AEP205" s="9"/>
      <c r="AEQ205" s="9"/>
      <c r="AER205" s="9"/>
      <c r="AES205" s="9"/>
      <c r="AET205" s="9"/>
      <c r="AEU205" s="9"/>
      <c r="AEV205" s="9"/>
      <c r="AEW205" s="9"/>
      <c r="AEX205" s="9"/>
      <c r="AEY205" s="9"/>
      <c r="AEZ205" s="9"/>
      <c r="AFA205" s="9"/>
      <c r="AFB205" s="9"/>
      <c r="AFC205" s="9"/>
      <c r="AFD205" s="9"/>
      <c r="AFE205" s="9"/>
      <c r="AFF205" s="9"/>
      <c r="AFG205" s="9"/>
      <c r="AFH205" s="9"/>
      <c r="AFI205" s="9"/>
      <c r="AFJ205" s="9"/>
      <c r="AFK205" s="9"/>
      <c r="AFL205" s="9"/>
      <c r="AFM205" s="9"/>
      <c r="AFN205" s="9"/>
      <c r="AFO205" s="9"/>
      <c r="AFP205" s="9"/>
      <c r="AFQ205" s="9"/>
      <c r="AFR205" s="9"/>
      <c r="AFS205" s="9"/>
      <c r="AFT205" s="9"/>
      <c r="AFU205" s="9"/>
      <c r="AFV205" s="9"/>
      <c r="AFW205" s="9"/>
      <c r="AFX205" s="9"/>
      <c r="AFY205" s="9"/>
      <c r="AFZ205" s="9"/>
      <c r="AGA205" s="9"/>
      <c r="AGB205" s="9"/>
      <c r="AGC205" s="9"/>
      <c r="AGD205" s="9"/>
      <c r="AGE205" s="9"/>
      <c r="AGF205" s="9"/>
      <c r="AGG205" s="9"/>
      <c r="AGH205" s="9"/>
      <c r="AGI205" s="9"/>
      <c r="AGJ205" s="9"/>
      <c r="AGK205" s="9"/>
      <c r="AGL205" s="9"/>
      <c r="AGM205" s="9"/>
      <c r="AGN205" s="9"/>
      <c r="AGO205" s="9"/>
      <c r="AGP205" s="9"/>
      <c r="AGQ205" s="9"/>
      <c r="AGR205" s="9"/>
      <c r="AGS205" s="9"/>
      <c r="AGT205" s="9"/>
      <c r="AGU205" s="9"/>
      <c r="AGV205" s="9"/>
      <c r="AGW205" s="9"/>
      <c r="AGX205" s="9"/>
      <c r="AGY205" s="9"/>
      <c r="AGZ205" s="9"/>
      <c r="AHA205" s="9"/>
      <c r="AHB205" s="9"/>
      <c r="AHC205" s="9"/>
      <c r="AHD205" s="9"/>
      <c r="AHE205" s="9"/>
      <c r="AHF205" s="9"/>
      <c r="AHG205" s="9"/>
      <c r="AHH205" s="9"/>
      <c r="AHI205" s="9"/>
      <c r="AHJ205" s="9"/>
      <c r="AHK205" s="9"/>
      <c r="AHL205" s="9"/>
      <c r="AHM205" s="9"/>
      <c r="AHN205" s="9"/>
      <c r="AHO205" s="9"/>
      <c r="AHP205" s="9"/>
      <c r="AHQ205" s="9"/>
      <c r="AHR205" s="9"/>
      <c r="AHS205" s="9"/>
      <c r="AHT205" s="9"/>
      <c r="AHU205" s="9"/>
      <c r="AHV205" s="9"/>
      <c r="AHW205" s="9"/>
      <c r="AHX205" s="9"/>
      <c r="AHY205" s="9"/>
      <c r="AHZ205" s="9"/>
      <c r="AIA205" s="9"/>
      <c r="AIB205" s="9"/>
      <c r="AIC205" s="9"/>
      <c r="AID205" s="9"/>
      <c r="AIE205" s="9"/>
      <c r="AIF205" s="9"/>
      <c r="AIG205" s="9"/>
      <c r="AIH205" s="9"/>
      <c r="AII205" s="9"/>
      <c r="AIJ205" s="9"/>
      <c r="AIK205" s="9"/>
      <c r="AIL205" s="9"/>
      <c r="AIM205" s="9"/>
      <c r="AIN205" s="9"/>
      <c r="AIO205" s="9"/>
      <c r="AIP205" s="9"/>
      <c r="AIQ205" s="9"/>
      <c r="AIR205" s="9"/>
      <c r="AIS205" s="9"/>
      <c r="AIT205" s="9"/>
      <c r="AIU205" s="9"/>
      <c r="AIV205" s="9"/>
      <c r="AIW205" s="9"/>
      <c r="AIX205" s="9"/>
      <c r="AIY205" s="9"/>
      <c r="AIZ205" s="9"/>
      <c r="AJA205" s="9"/>
      <c r="AJB205" s="9"/>
      <c r="AJC205" s="9"/>
      <c r="AJD205" s="9"/>
      <c r="AJE205" s="9"/>
      <c r="AJF205" s="9"/>
      <c r="AJG205" s="9"/>
      <c r="AJH205" s="9"/>
      <c r="AJI205" s="9"/>
      <c r="AJJ205" s="9"/>
      <c r="AJK205" s="9"/>
      <c r="AJL205" s="9"/>
      <c r="AJM205" s="9"/>
      <c r="AJN205" s="9"/>
      <c r="AJO205" s="9"/>
      <c r="AJP205" s="9"/>
      <c r="AJQ205" s="9"/>
      <c r="AJR205" s="9"/>
      <c r="AJS205" s="9"/>
      <c r="AJT205" s="9"/>
      <c r="AJU205" s="9"/>
      <c r="AJV205" s="9"/>
      <c r="AJW205" s="9"/>
      <c r="AJX205" s="9"/>
      <c r="AJY205" s="9"/>
      <c r="AJZ205" s="9"/>
      <c r="AKA205" s="9"/>
      <c r="AKB205" s="9"/>
      <c r="AKC205" s="9"/>
      <c r="AKD205" s="9"/>
      <c r="AKE205" s="9"/>
      <c r="AKF205" s="9"/>
      <c r="AKG205" s="9"/>
      <c r="AKH205" s="9"/>
      <c r="AKI205" s="9"/>
      <c r="AKJ205" s="9"/>
      <c r="AKK205" s="9"/>
      <c r="AKL205" s="9"/>
      <c r="AKM205" s="9"/>
      <c r="AKN205" s="9"/>
      <c r="AKO205" s="9"/>
      <c r="AKP205" s="9"/>
      <c r="AKQ205" s="9"/>
      <c r="AKR205" s="9"/>
      <c r="AKS205" s="9"/>
      <c r="AKT205" s="9"/>
      <c r="AKU205" s="9"/>
      <c r="AKV205" s="9"/>
      <c r="AKW205" s="9"/>
      <c r="AKX205" s="9"/>
      <c r="AKY205" s="9"/>
      <c r="AKZ205" s="9"/>
      <c r="ALA205" s="9"/>
      <c r="ALB205" s="9"/>
      <c r="ALC205" s="9"/>
      <c r="ALD205" s="9"/>
      <c r="ALE205" s="9"/>
      <c r="ALF205" s="9"/>
      <c r="ALG205" s="9"/>
      <c r="ALH205" s="9"/>
      <c r="ALI205" s="9"/>
      <c r="ALJ205" s="9"/>
      <c r="ALK205" s="9"/>
      <c r="ALL205" s="9"/>
      <c r="ALM205" s="9"/>
      <c r="ALN205" s="9"/>
      <c r="ALO205" s="9"/>
      <c r="ALP205" s="9"/>
      <c r="ALQ205" s="9"/>
      <c r="ALR205" s="9"/>
      <c r="ALS205" s="9"/>
      <c r="ALT205" s="9"/>
      <c r="ALU205" s="9"/>
      <c r="ALV205" s="9"/>
      <c r="ALW205" s="9"/>
      <c r="ALX205" s="9"/>
      <c r="ALY205" s="9"/>
      <c r="ALZ205" s="9"/>
      <c r="AMA205" s="9"/>
      <c r="AMB205" s="9"/>
      <c r="AMC205" s="9"/>
      <c r="AMD205" s="9"/>
      <c r="AME205" s="9"/>
      <c r="AMF205" s="9"/>
      <c r="AMG205" s="9"/>
      <c r="AMH205" s="9"/>
      <c r="AMI205" s="9"/>
      <c r="AMJ205" s="9"/>
      <c r="AMK205" s="9"/>
      <c r="AML205" s="9"/>
      <c r="AMM205" s="9"/>
      <c r="AMN205" s="9"/>
      <c r="AMO205" s="9"/>
    </row>
    <row r="206" spans="1:1030" x14ac:dyDescent="0.2">
      <c r="A206" s="3" t="str">
        <f>CONCATENATE(B206,"_",C206)</f>
        <v>cxcr4_human__wt</v>
      </c>
      <c r="B206" s="3" t="s">
        <v>1165</v>
      </c>
      <c r="C206" s="3" t="s">
        <v>100</v>
      </c>
      <c r="D206" s="3" t="str">
        <f>IFERROR(MID(VLOOKUP($B206,Seqs!$A:$B,2,0),E206,1),"")</f>
        <v>R</v>
      </c>
      <c r="E206" s="3">
        <v>30</v>
      </c>
      <c r="F206" s="3" t="str">
        <f>IFERROR(MID(VLOOKUP($B206,Seqs!$A:$B,2,0),G206,1),"")</f>
        <v>Q</v>
      </c>
      <c r="G206" s="3">
        <v>66</v>
      </c>
      <c r="H206" s="3" t="str">
        <f>IFERROR(MID(VLOOKUP($B206,Seqs!$A:$B,2,0),I206,1),"")</f>
        <v>K</v>
      </c>
      <c r="I206" s="23">
        <v>67</v>
      </c>
      <c r="J206" s="3" t="str">
        <f>IFERROR(MID(VLOOKUP($B206,Seqs!$A:$B,2,0),K206,1),"")</f>
        <v>R</v>
      </c>
      <c r="K206" s="23">
        <v>70</v>
      </c>
      <c r="L206" s="3" t="str">
        <f>IFERROR(MID(VLOOKUP($B206,Seqs!$A:$B,2,0),M206,1),"")</f>
        <v>S</v>
      </c>
      <c r="M206" s="3">
        <v>71</v>
      </c>
      <c r="N206" s="3" t="str">
        <f>IFERROR(MID(VLOOKUP($B206,Seqs!$A:$B,2,0),O206,1),"")</f>
        <v>A</v>
      </c>
      <c r="O206" s="3">
        <v>100</v>
      </c>
      <c r="P206" s="3" t="str">
        <f>IFERROR(MID(VLOOKUP($B206,Seqs!$A:$B,2,0),Q206,1),"")</f>
        <v>N</v>
      </c>
      <c r="Q206" s="3">
        <v>101</v>
      </c>
      <c r="R206" s="3" t="str">
        <f>IFERROR(MID(VLOOKUP($B206,Seqs!$A:$B,2,0),S206,1),"")</f>
        <v>F</v>
      </c>
      <c r="S206" s="3">
        <v>104</v>
      </c>
      <c r="T206" s="3" t="str">
        <f>IFERROR(MID(VLOOKUP($B206,Seqs!$A:$B,2,0),U206,1),"")</f>
        <v>G</v>
      </c>
      <c r="U206" s="3">
        <v>105</v>
      </c>
      <c r="V206" s="3" t="str">
        <f>IFERROR(MID(VLOOKUP($B206,Seqs!$A:$B,2,0),W206,1),"")</f>
        <v>H</v>
      </c>
      <c r="W206" s="3">
        <v>140</v>
      </c>
      <c r="X206" s="3" t="str">
        <f>IFERROR(MID(VLOOKUP($B206,Seqs!$A:$B,2,0),Y206,1),"")</f>
        <v>A</v>
      </c>
      <c r="Y206" s="3">
        <v>141</v>
      </c>
      <c r="Z206" s="3" t="str">
        <f>IFERROR(MID(VLOOKUP($B206,Seqs!$A:$B,2,0),AA206,1),"")</f>
        <v>R</v>
      </c>
      <c r="AA206" s="3">
        <v>148</v>
      </c>
      <c r="AB206" s="3" t="str">
        <f>IFERROR(MID(VLOOKUP($B206,Seqs!$A:$B,2,0),AC206,1),"")</f>
        <v>K</v>
      </c>
      <c r="AC206" s="9">
        <v>149</v>
      </c>
      <c r="AD206" s="3" t="str">
        <f>IFERROR(MID(VLOOKUP($B206,Seqs!$A:$B,2,0),AE206,1),"")</f>
        <v>A</v>
      </c>
      <c r="AE206" s="3">
        <v>175</v>
      </c>
      <c r="AF206" s="3" t="str">
        <f>IFERROR(MID(VLOOKUP($B206,Seqs!$A:$B,2,0),AG206,1),"")</f>
        <v>C</v>
      </c>
      <c r="AG206" s="3">
        <v>186</v>
      </c>
      <c r="AH206" s="3" t="str">
        <f>IFERROR(MID(VLOOKUP($B206,Seqs!$A:$B,2,0),AI206,1),"")</f>
        <v>R</v>
      </c>
      <c r="AI206" s="3">
        <v>188</v>
      </c>
      <c r="AJ206" s="3" t="str">
        <f>IFERROR(MID(VLOOKUP($B206,Seqs!$A:$B,2,0),AK206,1),"")</f>
        <v>D</v>
      </c>
      <c r="AK206" s="3">
        <v>193</v>
      </c>
      <c r="AL206" s="3" t="str">
        <f>IFERROR(MID(VLOOKUP($B206,Seqs!$A:$B,2,0),AM206,1),"")</f>
        <v>S</v>
      </c>
      <c r="AM206" s="3">
        <v>229</v>
      </c>
      <c r="AN206" s="3" t="str">
        <f>IFERROR(MID(VLOOKUP($B206,Seqs!$A:$B,2,0),AO206,1),"")</f>
        <v>K</v>
      </c>
      <c r="AO206" s="3">
        <v>234</v>
      </c>
      <c r="AP206" s="3" t="str">
        <f>IFERROR(MID(VLOOKUP($B206,Seqs!$A:$B,2,0),AQ206,1),"")</f>
        <v>E</v>
      </c>
      <c r="AQ206" s="3">
        <v>268</v>
      </c>
      <c r="AR206" s="3" t="str">
        <f>IFERROR(MID(VLOOKUP($B206,Seqs!$A:$B,2,0),AS206,1),"")</f>
        <v>G</v>
      </c>
      <c r="AS206" s="3">
        <v>273</v>
      </c>
      <c r="AT206" s="3" t="str">
        <f>IFERROR(MID(VLOOKUP($B206,Seqs!$A:$B,2,0),AU206,1),"")</f>
        <v>L</v>
      </c>
      <c r="AU206" s="3">
        <v>305</v>
      </c>
      <c r="AV206" s="3" t="str">
        <f>IFERROR(MID(VLOOKUP($B206,Seqs!$A:$B,2,0),AW206,1),"")</f>
        <v>G</v>
      </c>
      <c r="AW206" s="3">
        <v>306</v>
      </c>
      <c r="AX206" s="3" t="str">
        <f>IFERROR(MID(VLOOKUP($B206,Seqs!$A:$B,2,0),AY206,1),"")</f>
        <v>T</v>
      </c>
      <c r="AY206" s="3">
        <v>318</v>
      </c>
      <c r="AZ206" s="77" t="str">
        <f>VLOOKUP(B206,Classification!A:D,2,0)</f>
        <v>A</v>
      </c>
      <c r="BA206" s="94" t="str">
        <f>VLOOKUP(B206,Classification!A:D,4,0)</f>
        <v>Chemokine</v>
      </c>
      <c r="BB206" s="27" t="b">
        <f t="shared" si="1007"/>
        <v>1</v>
      </c>
      <c r="BC206" s="23">
        <f t="shared" ref="BC206:BC214" si="1056">_xlfn.AGGREGATE(9,6,CH206:CS206)-_xlfn.AGGREGATE(9,6,BV206:CG206)+12</f>
        <v>267</v>
      </c>
      <c r="BD206" s="34" t="s">
        <v>23</v>
      </c>
      <c r="BE206" s="3" t="s">
        <v>23</v>
      </c>
      <c r="BF206" s="118" t="s">
        <v>23</v>
      </c>
      <c r="BG206" s="49" t="s">
        <v>1366</v>
      </c>
      <c r="BH206" s="49" t="s">
        <v>1371</v>
      </c>
      <c r="BI206" s="1"/>
      <c r="BJ206" s="70" t="s">
        <v>1281</v>
      </c>
      <c r="BK206" s="57" t="s">
        <v>1281</v>
      </c>
      <c r="BL206" s="57" t="s">
        <v>1281</v>
      </c>
      <c r="BM206" s="57" t="s">
        <v>1281</v>
      </c>
      <c r="BN206" s="57" t="s">
        <v>1281</v>
      </c>
      <c r="BO206" s="57" t="s">
        <v>1281</v>
      </c>
      <c r="BP206" s="57" t="s">
        <v>1281</v>
      </c>
      <c r="BQ206" s="57" t="s">
        <v>1281</v>
      </c>
      <c r="BR206" s="57" t="s">
        <v>1281</v>
      </c>
      <c r="BS206" s="57" t="s">
        <v>1281</v>
      </c>
      <c r="BT206" s="57" t="s">
        <v>1281</v>
      </c>
      <c r="BU206" s="57" t="s">
        <v>1281</v>
      </c>
      <c r="BV206" s="70">
        <f>E206</f>
        <v>30</v>
      </c>
      <c r="BW206" s="71">
        <f>I206</f>
        <v>67</v>
      </c>
      <c r="BX206" s="72">
        <f>M206</f>
        <v>71</v>
      </c>
      <c r="BY206" s="71">
        <f>Q206</f>
        <v>101</v>
      </c>
      <c r="BZ206" s="72">
        <f>U206</f>
        <v>105</v>
      </c>
      <c r="CA206" s="71">
        <f>Y206</f>
        <v>141</v>
      </c>
      <c r="CB206" s="72">
        <f>AC206</f>
        <v>149</v>
      </c>
      <c r="CC206" s="71">
        <f>AG206</f>
        <v>186</v>
      </c>
      <c r="CD206" s="72">
        <f>AK206</f>
        <v>193</v>
      </c>
      <c r="CE206" s="71">
        <f>AO206</f>
        <v>234</v>
      </c>
      <c r="CF206" s="72">
        <f>AS206</f>
        <v>273</v>
      </c>
      <c r="CG206" s="71">
        <f>AW206</f>
        <v>306</v>
      </c>
      <c r="CH206" s="70">
        <f>G206</f>
        <v>66</v>
      </c>
      <c r="CI206" s="71">
        <f>K206</f>
        <v>70</v>
      </c>
      <c r="CJ206" s="72">
        <f>O206</f>
        <v>100</v>
      </c>
      <c r="CK206" s="72">
        <f>S206</f>
        <v>104</v>
      </c>
      <c r="CL206" s="72">
        <f>W206</f>
        <v>140</v>
      </c>
      <c r="CM206" s="72">
        <f>AA206</f>
        <v>148</v>
      </c>
      <c r="CN206" s="72">
        <f>AE206</f>
        <v>175</v>
      </c>
      <c r="CO206" s="72">
        <f>AI206</f>
        <v>188</v>
      </c>
      <c r="CP206" s="72">
        <f>AM206</f>
        <v>229</v>
      </c>
      <c r="CQ206" s="72">
        <f>AQ206</f>
        <v>268</v>
      </c>
      <c r="CR206" s="72">
        <f>AU206</f>
        <v>305</v>
      </c>
      <c r="CS206" s="72">
        <f>AY206</f>
        <v>318</v>
      </c>
      <c r="CT206" s="23">
        <f>M206-K206</f>
        <v>1</v>
      </c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s="1"/>
      <c r="XU206" s="1"/>
      <c r="XV206" s="1"/>
      <c r="XW206" s="1"/>
      <c r="XX206" s="1"/>
      <c r="XY206" s="1"/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/>
      <c r="YK206" s="1"/>
      <c r="YL206" s="1"/>
      <c r="YM206" s="1"/>
      <c r="YN206" s="1"/>
      <c r="YO206" s="1"/>
      <c r="YP206" s="1"/>
      <c r="YQ206" s="1"/>
      <c r="YR206" s="1"/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  <c r="AAA206" s="1"/>
      <c r="AAB206" s="1"/>
      <c r="AAC206" s="1"/>
      <c r="AAD206" s="1"/>
      <c r="AAE206" s="1"/>
      <c r="AAF206" s="1"/>
      <c r="AAG206" s="1"/>
      <c r="AAH206" s="1"/>
      <c r="AAI206" s="1"/>
      <c r="AAJ206" s="1"/>
      <c r="AAK206" s="1"/>
      <c r="AAL206" s="1"/>
      <c r="AAM206" s="1"/>
      <c r="AAN206" s="1"/>
      <c r="AAO206" s="1"/>
      <c r="AAP206" s="1"/>
      <c r="AAQ206" s="1"/>
      <c r="AAR206" s="1"/>
      <c r="AAS206" s="1"/>
      <c r="AAT206" s="1"/>
      <c r="AAU206" s="1"/>
      <c r="AAV206" s="1"/>
      <c r="AAW206" s="1"/>
      <c r="AAX206" s="1"/>
      <c r="AAY206" s="1"/>
      <c r="AAZ206" s="1"/>
      <c r="ABA206" s="1"/>
      <c r="ABB206" s="1"/>
      <c r="ABC206" s="1"/>
      <c r="ABD206" s="1"/>
      <c r="ABE206" s="1"/>
      <c r="ABF206" s="1"/>
      <c r="ABG206" s="1"/>
      <c r="ABH206" s="1"/>
      <c r="ABI206" s="1"/>
      <c r="ABJ206" s="1"/>
      <c r="ABK206" s="1"/>
      <c r="ABL206" s="1"/>
      <c r="ABM206" s="1"/>
      <c r="ABN206" s="1"/>
      <c r="ABO206" s="1"/>
      <c r="ABP206" s="1"/>
      <c r="ABQ206" s="1"/>
      <c r="ABR206" s="1"/>
      <c r="ABS206" s="1"/>
      <c r="ABT206" s="1"/>
      <c r="ABU206" s="1"/>
      <c r="ABV206" s="1"/>
      <c r="ABW206" s="1"/>
      <c r="ABX206" s="1"/>
      <c r="ABY206" s="1"/>
      <c r="ABZ206" s="1"/>
      <c r="ACA206" s="1"/>
      <c r="ACB206" s="1"/>
      <c r="ACC206" s="1"/>
      <c r="ACD206" s="1"/>
      <c r="ACE206" s="1"/>
      <c r="ACF206" s="1"/>
      <c r="ACG206" s="1"/>
      <c r="ACH206" s="1"/>
      <c r="ACI206" s="1"/>
      <c r="ACJ206" s="1"/>
      <c r="ACK206" s="1"/>
      <c r="ACL206" s="1"/>
      <c r="ACM206" s="1"/>
      <c r="ACN206" s="1"/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/>
      <c r="ACZ206" s="1"/>
      <c r="ADA206" s="1"/>
      <c r="ADB206" s="1"/>
      <c r="ADC206" s="1"/>
      <c r="ADD206" s="1"/>
      <c r="ADE206" s="1"/>
      <c r="ADF206" s="1"/>
      <c r="ADG206" s="1"/>
      <c r="ADH206" s="1"/>
      <c r="ADI206" s="1"/>
      <c r="ADJ206" s="1"/>
      <c r="ADK206" s="1"/>
      <c r="ADL206" s="1"/>
      <c r="ADM206" s="1"/>
      <c r="ADN206" s="1"/>
      <c r="ADO206" s="1"/>
      <c r="ADP206" s="1"/>
      <c r="ADQ206" s="1"/>
      <c r="ADR206" s="1"/>
      <c r="ADS206" s="1"/>
      <c r="ADT206" s="1"/>
      <c r="ADU206" s="1"/>
      <c r="ADV206" s="1"/>
      <c r="ADW206" s="1"/>
      <c r="ADX206" s="1"/>
      <c r="ADY206" s="1"/>
      <c r="ADZ206" s="1"/>
      <c r="AEA206" s="1"/>
      <c r="AEB206" s="1"/>
      <c r="AEC206" s="1"/>
      <c r="AED206" s="1"/>
      <c r="AEE206" s="1"/>
      <c r="AEF206" s="1"/>
      <c r="AEG206" s="1"/>
      <c r="AEH206" s="1"/>
      <c r="AEI206" s="1"/>
      <c r="AEJ206" s="1"/>
      <c r="AEK206" s="1"/>
      <c r="AEL206" s="1"/>
      <c r="AEM206" s="1"/>
      <c r="AEN206" s="1"/>
      <c r="AEO206" s="1"/>
      <c r="AEP206" s="1"/>
      <c r="AEQ206" s="1"/>
      <c r="AER206" s="1"/>
      <c r="AES206" s="1"/>
      <c r="AET206" s="1"/>
      <c r="AEU206" s="1"/>
      <c r="AEV206" s="1"/>
      <c r="AEW206" s="1"/>
      <c r="AEX206" s="1"/>
      <c r="AEY206" s="1"/>
      <c r="AEZ206" s="1"/>
      <c r="AFA206" s="1"/>
      <c r="AFB206" s="1"/>
      <c r="AFC206" s="1"/>
      <c r="AFD206" s="1"/>
      <c r="AFE206" s="1"/>
      <c r="AFF206" s="1"/>
      <c r="AFG206" s="1"/>
      <c r="AFH206" s="1"/>
      <c r="AFI206" s="1"/>
      <c r="AFJ206" s="1"/>
      <c r="AFK206" s="1"/>
      <c r="AFL206" s="1"/>
      <c r="AFM206" s="1"/>
      <c r="AFN206" s="1"/>
      <c r="AFO206" s="1"/>
      <c r="AFP206" s="1"/>
      <c r="AFQ206" s="1"/>
      <c r="AFR206" s="1"/>
      <c r="AFS206" s="1"/>
      <c r="AFT206" s="1"/>
      <c r="AFU206" s="1"/>
      <c r="AFV206" s="1"/>
      <c r="AFW206" s="1"/>
      <c r="AFX206" s="1"/>
      <c r="AFY206" s="1"/>
      <c r="AFZ206" s="1"/>
      <c r="AGA206" s="1"/>
      <c r="AGB206" s="1"/>
      <c r="AGC206" s="1"/>
      <c r="AGD206" s="1"/>
      <c r="AGE206" s="1"/>
      <c r="AGF206" s="1"/>
      <c r="AGG206" s="1"/>
      <c r="AGH206" s="1"/>
      <c r="AGI206" s="1"/>
      <c r="AGJ206" s="1"/>
      <c r="AGK206" s="1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  <c r="ALN206" s="1"/>
      <c r="ALO206" s="1"/>
      <c r="ALP206" s="1"/>
      <c r="ALQ206" s="1"/>
      <c r="ALR206" s="1"/>
      <c r="ALS206" s="1"/>
      <c r="ALT206" s="1"/>
      <c r="ALU206" s="1"/>
      <c r="ALV206" s="1"/>
      <c r="ALW206" s="1"/>
      <c r="ALX206" s="1"/>
      <c r="ALY206" s="1"/>
      <c r="ALZ206" s="1"/>
      <c r="AMA206" s="1"/>
      <c r="AMB206" s="1"/>
      <c r="AMC206" s="1"/>
      <c r="AMD206" s="1"/>
      <c r="AME206" s="1"/>
      <c r="AMF206" s="1"/>
      <c r="AMG206" s="1"/>
      <c r="AMH206" s="1"/>
      <c r="AMI206" s="1"/>
      <c r="AMJ206" s="1"/>
      <c r="AMK206" s="1"/>
      <c r="AML206" s="1"/>
      <c r="AMM206" s="1"/>
      <c r="AMN206" s="1"/>
      <c r="AMO206" s="1"/>
    </row>
    <row r="207" spans="1:1030" x14ac:dyDescent="0.2">
      <c r="A207" s="3" t="str">
        <f>CONCATENATE(B207,"_",C207)</f>
        <v>cxcr4_human_3ODU</v>
      </c>
      <c r="B207" s="3" t="s">
        <v>1165</v>
      </c>
      <c r="C207" s="3" t="s">
        <v>63</v>
      </c>
      <c r="D207" s="3" t="str">
        <f>IFERROR(MID(VLOOKUP($B207,Seqs!$A:$B,2,0),E207,1),"")</f>
        <v>A</v>
      </c>
      <c r="E207" s="3">
        <v>34</v>
      </c>
      <c r="F207" s="3" t="str">
        <f>IFERROR(MID(VLOOKUP($B207,Seqs!$A:$B,2,0),G207,1),"")</f>
        <v>Q</v>
      </c>
      <c r="G207" s="3">
        <v>66</v>
      </c>
      <c r="H207" s="3" t="str">
        <f>IFERROR(MID(VLOOKUP($B207,Seqs!$A:$B,2,0),I207,1),"")</f>
        <v/>
      </c>
      <c r="I207" s="23" t="s">
        <v>23</v>
      </c>
      <c r="J207" s="3" t="str">
        <f>IFERROR(MID(VLOOKUP($B207,Seqs!$A:$B,2,0),K207,1),"")</f>
        <v/>
      </c>
      <c r="K207" s="23" t="s">
        <v>23</v>
      </c>
      <c r="L207" s="3" t="str">
        <f>IFERROR(MID(VLOOKUP($B207,Seqs!$A:$B,2,0),M207,1),"")</f>
        <v>S</v>
      </c>
      <c r="M207" s="3">
        <v>71</v>
      </c>
      <c r="N207" s="3" t="str">
        <f>IFERROR(MID(VLOOKUP($B207,Seqs!$A:$B,2,0),O207,1),"")</f>
        <v>A</v>
      </c>
      <c r="O207" s="3">
        <v>100</v>
      </c>
      <c r="P207" s="3" t="str">
        <f>IFERROR(MID(VLOOKUP($B207,Seqs!$A:$B,2,0),Q207,1),"")</f>
        <v>N</v>
      </c>
      <c r="Q207" s="3">
        <v>101</v>
      </c>
      <c r="R207" s="3" t="str">
        <f>IFERROR(MID(VLOOKUP($B207,Seqs!$A:$B,2,0),S207,1),"")</f>
        <v>F</v>
      </c>
      <c r="S207" s="3">
        <v>104</v>
      </c>
      <c r="T207" s="3" t="str">
        <f>IFERROR(MID(VLOOKUP($B207,Seqs!$A:$B,2,0),U207,1),"")</f>
        <v>G</v>
      </c>
      <c r="U207" s="3">
        <v>105</v>
      </c>
      <c r="V207" s="3" t="str">
        <f>IFERROR(MID(VLOOKUP($B207,Seqs!$A:$B,2,0),W207,1),"")</f>
        <v>H</v>
      </c>
      <c r="W207" s="3">
        <v>140</v>
      </c>
      <c r="X207" s="3" t="str">
        <f>IFERROR(MID(VLOOKUP($B207,Seqs!$A:$B,2,0),Y207,1),"")</f>
        <v/>
      </c>
      <c r="Y207" s="3" t="s">
        <v>23</v>
      </c>
      <c r="Z207" s="3" t="str">
        <f>IFERROR(MID(VLOOKUP($B207,Seqs!$A:$B,2,0),AA207,1),"")</f>
        <v/>
      </c>
      <c r="AA207" s="3" t="s">
        <v>23</v>
      </c>
      <c r="AB207" s="3" t="str">
        <f>IFERROR(MID(VLOOKUP($B207,Seqs!$A:$B,2,0),AC207,1),"")</f>
        <v>S</v>
      </c>
      <c r="AC207" s="9">
        <v>144</v>
      </c>
      <c r="AD207" s="3" t="str">
        <f>IFERROR(MID(VLOOKUP($B207,Seqs!$A:$B,2,0),AE207,1),"")</f>
        <v>A</v>
      </c>
      <c r="AE207" s="3">
        <v>175</v>
      </c>
      <c r="AF207" s="3" t="str">
        <f>IFERROR(MID(VLOOKUP($B207,Seqs!$A:$B,2,0),AG207,1),"")</f>
        <v>C</v>
      </c>
      <c r="AG207" s="3">
        <v>186</v>
      </c>
      <c r="AH207" s="3" t="str">
        <f>IFERROR(MID(VLOOKUP($B207,Seqs!$A:$B,2,0),AI207,1),"")</f>
        <v>R</v>
      </c>
      <c r="AI207" s="3">
        <v>188</v>
      </c>
      <c r="AJ207" s="3" t="str">
        <f>IFERROR(MID(VLOOKUP($B207,Seqs!$A:$B,2,0),AK207,1),"")</f>
        <v>D</v>
      </c>
      <c r="AK207" s="3">
        <v>193</v>
      </c>
      <c r="AL207" s="3" t="str">
        <f>IFERROR(MID(VLOOKUP($B207,Seqs!$A:$B,2,0),AM207,1),"")</f>
        <v>K</v>
      </c>
      <c r="AM207" s="3">
        <v>225</v>
      </c>
      <c r="AN207" s="3" t="str">
        <f>IFERROR(MID(VLOOKUP($B207,Seqs!$A:$B,2,0),AO207,1),"")</f>
        <v>G</v>
      </c>
      <c r="AO207" s="3">
        <v>231</v>
      </c>
      <c r="AP207" s="3" t="str">
        <f>IFERROR(MID(VLOOKUP($B207,Seqs!$A:$B,2,0),AQ207,1),"")</f>
        <v>E</v>
      </c>
      <c r="AQ207" s="3">
        <v>268</v>
      </c>
      <c r="AR207" s="3" t="str">
        <f>IFERROR(MID(VLOOKUP($B207,Seqs!$A:$B,2,0),AS207,1),"")</f>
        <v>G</v>
      </c>
      <c r="AS207" s="3">
        <v>273</v>
      </c>
      <c r="AT207" s="3" t="str">
        <f>IFERROR(MID(VLOOKUP($B207,Seqs!$A:$B,2,0),AU207,1),"")</f>
        <v>I</v>
      </c>
      <c r="AU207" s="3">
        <v>300</v>
      </c>
      <c r="AV207" s="3" t="str">
        <f>IFERROR(MID(VLOOKUP($B207,Seqs!$A:$B,2,0),AW207,1),"")</f>
        <v/>
      </c>
      <c r="AW207" s="3" t="s">
        <v>23</v>
      </c>
      <c r="AX207" s="3" t="str">
        <f>IFERROR(MID(VLOOKUP($B207,Seqs!$A:$B,2,0),AY207,1),"")</f>
        <v/>
      </c>
      <c r="AY207" s="3" t="s">
        <v>23</v>
      </c>
      <c r="AZ207" s="77" t="str">
        <f>VLOOKUP(B207,Classification!A:D,2,0)</f>
        <v>A</v>
      </c>
      <c r="BA207" s="94" t="str">
        <f>VLOOKUP(B207,Classification!A:D,4,0)</f>
        <v>Chemokine</v>
      </c>
      <c r="BB207" s="27" t="b">
        <f t="shared" si="1007"/>
        <v>1</v>
      </c>
      <c r="BC207" s="23">
        <f t="shared" si="1056"/>
        <v>240</v>
      </c>
      <c r="BD207" s="2" t="s">
        <v>1370</v>
      </c>
      <c r="BE207" s="3" t="s">
        <v>1368</v>
      </c>
      <c r="BF207" s="118">
        <v>2.5</v>
      </c>
      <c r="BG207" s="49" t="s">
        <v>1371</v>
      </c>
      <c r="BH207" s="49" t="s">
        <v>1371</v>
      </c>
      <c r="BI207" s="1"/>
      <c r="BJ207" s="70" t="s">
        <v>1281</v>
      </c>
      <c r="BK207" s="57" t="s">
        <v>1281</v>
      </c>
      <c r="BL207" s="57" t="s">
        <v>1281</v>
      </c>
      <c r="BM207" s="57" t="s">
        <v>1281</v>
      </c>
      <c r="BN207" s="57" t="s">
        <v>1281</v>
      </c>
      <c r="BO207" s="57" t="s">
        <v>1281</v>
      </c>
      <c r="BP207" s="57" t="s">
        <v>1281</v>
      </c>
      <c r="BQ207" s="57" t="s">
        <v>1281</v>
      </c>
      <c r="BR207" s="57" t="s">
        <v>1281</v>
      </c>
      <c r="BS207" s="57" t="s">
        <v>1281</v>
      </c>
      <c r="BT207" s="57" t="s">
        <v>1281</v>
      </c>
      <c r="BU207" s="57" t="s">
        <v>1281</v>
      </c>
      <c r="BV207" s="70">
        <f>E207</f>
        <v>34</v>
      </c>
      <c r="BW207" s="71" t="str">
        <f>I207</f>
        <v>-</v>
      </c>
      <c r="BX207" s="72">
        <f>M207</f>
        <v>71</v>
      </c>
      <c r="BY207" s="71">
        <f>Q207</f>
        <v>101</v>
      </c>
      <c r="BZ207" s="72">
        <f>U207</f>
        <v>105</v>
      </c>
      <c r="CA207" s="71" t="str">
        <f>Y207</f>
        <v>-</v>
      </c>
      <c r="CB207" s="72">
        <f>AC207</f>
        <v>144</v>
      </c>
      <c r="CC207" s="71">
        <f>AG207</f>
        <v>186</v>
      </c>
      <c r="CD207" s="72">
        <f>AK207</f>
        <v>193</v>
      </c>
      <c r="CE207" s="71">
        <f>AO207</f>
        <v>231</v>
      </c>
      <c r="CF207" s="72">
        <f>AS207</f>
        <v>273</v>
      </c>
      <c r="CG207" s="71" t="str">
        <f>AW207</f>
        <v>-</v>
      </c>
      <c r="CH207" s="70">
        <f>G207</f>
        <v>66</v>
      </c>
      <c r="CI207" s="71" t="str">
        <f>K207</f>
        <v>-</v>
      </c>
      <c r="CJ207" s="72">
        <f>O207</f>
        <v>100</v>
      </c>
      <c r="CK207" s="72">
        <f>S207</f>
        <v>104</v>
      </c>
      <c r="CL207" s="72">
        <f>W207</f>
        <v>140</v>
      </c>
      <c r="CM207" s="72" t="str">
        <f>AA207</f>
        <v>-</v>
      </c>
      <c r="CN207" s="72">
        <f>AE207</f>
        <v>175</v>
      </c>
      <c r="CO207" s="72">
        <f>AI207</f>
        <v>188</v>
      </c>
      <c r="CP207" s="72">
        <f>AM207</f>
        <v>225</v>
      </c>
      <c r="CQ207" s="72">
        <f>AQ207</f>
        <v>268</v>
      </c>
      <c r="CR207" s="72">
        <f>AU207</f>
        <v>300</v>
      </c>
      <c r="CS207" s="72" t="str">
        <f>AY207</f>
        <v>-</v>
      </c>
      <c r="CT207" s="23" t="e">
        <f>M207-K207</f>
        <v>#VALUE!</v>
      </c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/>
      <c r="XC207" s="1"/>
      <c r="XD207" s="1"/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/>
      <c r="XR207" s="1"/>
      <c r="XS207" s="1"/>
      <c r="XT207" s="1"/>
      <c r="XU207" s="1"/>
      <c r="XV207" s="1"/>
      <c r="XW207" s="1"/>
      <c r="XX207" s="1"/>
      <c r="XY207" s="1"/>
      <c r="XZ207" s="1"/>
      <c r="YA207" s="1"/>
      <c r="YB207" s="1"/>
      <c r="YC207" s="1"/>
      <c r="YD207" s="1"/>
      <c r="YE207" s="1"/>
      <c r="YF207" s="1"/>
      <c r="YG207" s="1"/>
      <c r="YH207" s="1"/>
      <c r="YI207" s="1"/>
      <c r="YJ207" s="1"/>
      <c r="YK207" s="1"/>
      <c r="YL207" s="1"/>
      <c r="YM207" s="1"/>
      <c r="YN207" s="1"/>
      <c r="YO207" s="1"/>
      <c r="YP207" s="1"/>
      <c r="YQ207" s="1"/>
      <c r="YR207" s="1"/>
      <c r="YS207" s="1"/>
      <c r="YT207" s="1"/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  <c r="ZU207" s="1"/>
      <c r="ZV207" s="1"/>
      <c r="ZW207" s="1"/>
      <c r="ZX207" s="1"/>
      <c r="ZY207" s="1"/>
      <c r="ZZ207" s="1"/>
      <c r="AAA207" s="1"/>
      <c r="AAB207" s="1"/>
      <c r="AAC207" s="1"/>
      <c r="AAD207" s="1"/>
      <c r="AAE207" s="1"/>
      <c r="AAF207" s="1"/>
      <c r="AAG207" s="1"/>
      <c r="AAH207" s="1"/>
      <c r="AAI207" s="1"/>
      <c r="AAJ207" s="1"/>
      <c r="AAK207" s="1"/>
      <c r="AAL207" s="1"/>
      <c r="AAM207" s="1"/>
      <c r="AAN207" s="1"/>
      <c r="AAO207" s="1"/>
      <c r="AAP207" s="1"/>
      <c r="AAQ207" s="1"/>
      <c r="AAR207" s="1"/>
      <c r="AAS207" s="1"/>
      <c r="AAT207" s="1"/>
      <c r="AAU207" s="1"/>
      <c r="AAV207" s="1"/>
      <c r="AAW207" s="1"/>
      <c r="AAX207" s="1"/>
      <c r="AAY207" s="1"/>
      <c r="AAZ207" s="1"/>
      <c r="ABA207" s="1"/>
      <c r="ABB207" s="1"/>
      <c r="ABC207" s="1"/>
      <c r="ABD207" s="1"/>
      <c r="ABE207" s="1"/>
      <c r="ABF207" s="1"/>
      <c r="ABG207" s="1"/>
      <c r="ABH207" s="1"/>
      <c r="ABI207" s="1"/>
      <c r="ABJ207" s="1"/>
      <c r="ABK207" s="1"/>
      <c r="ABL207" s="1"/>
      <c r="ABM207" s="1"/>
      <c r="ABN207" s="1"/>
      <c r="ABO207" s="1"/>
      <c r="ABP207" s="1"/>
      <c r="ABQ207" s="1"/>
      <c r="ABR207" s="1"/>
      <c r="ABS207" s="1"/>
      <c r="ABT207" s="1"/>
      <c r="ABU207" s="1"/>
      <c r="ABV207" s="1"/>
      <c r="ABW207" s="1"/>
      <c r="ABX207" s="1"/>
      <c r="ABY207" s="1"/>
      <c r="ABZ207" s="1"/>
      <c r="ACA207" s="1"/>
      <c r="ACB207" s="1"/>
      <c r="ACC207" s="1"/>
      <c r="ACD207" s="1"/>
      <c r="ACE207" s="1"/>
      <c r="ACF207" s="1"/>
      <c r="ACG207" s="1"/>
      <c r="ACH207" s="1"/>
      <c r="ACI207" s="1"/>
      <c r="ACJ207" s="1"/>
      <c r="ACK207" s="1"/>
      <c r="ACL207" s="1"/>
      <c r="ACM207" s="1"/>
      <c r="ACN207" s="1"/>
      <c r="ACO207" s="1"/>
      <c r="ACP207" s="1"/>
      <c r="ACQ207" s="1"/>
      <c r="ACR207" s="1"/>
      <c r="ACS207" s="1"/>
      <c r="ACT207" s="1"/>
      <c r="ACU207" s="1"/>
      <c r="ACV207" s="1"/>
      <c r="ACW207" s="1"/>
      <c r="ACX207" s="1"/>
      <c r="ACY207" s="1"/>
      <c r="ACZ207" s="1"/>
      <c r="ADA207" s="1"/>
      <c r="ADB207" s="1"/>
      <c r="ADC207" s="1"/>
      <c r="ADD207" s="1"/>
      <c r="ADE207" s="1"/>
      <c r="ADF207" s="1"/>
      <c r="ADG207" s="1"/>
      <c r="ADH207" s="1"/>
      <c r="ADI207" s="1"/>
      <c r="ADJ207" s="1"/>
      <c r="ADK207" s="1"/>
      <c r="ADL207" s="1"/>
      <c r="ADM207" s="1"/>
      <c r="ADN207" s="1"/>
      <c r="ADO207" s="1"/>
      <c r="ADP207" s="1"/>
      <c r="ADQ207" s="1"/>
      <c r="ADR207" s="1"/>
      <c r="ADS207" s="1"/>
      <c r="ADT207" s="1"/>
      <c r="ADU207" s="1"/>
      <c r="ADV207" s="1"/>
      <c r="ADW207" s="1"/>
      <c r="ADX207" s="1"/>
      <c r="ADY207" s="1"/>
      <c r="ADZ207" s="1"/>
      <c r="AEA207" s="1"/>
      <c r="AEB207" s="1"/>
      <c r="AEC207" s="1"/>
      <c r="AED207" s="1"/>
      <c r="AEE207" s="1"/>
      <c r="AEF207" s="1"/>
      <c r="AEG207" s="1"/>
      <c r="AEH207" s="1"/>
      <c r="AEI207" s="1"/>
      <c r="AEJ207" s="1"/>
      <c r="AEK207" s="1"/>
      <c r="AEL207" s="1"/>
      <c r="AEM207" s="1"/>
      <c r="AEN207" s="1"/>
      <c r="AEO207" s="1"/>
      <c r="AEP207" s="1"/>
      <c r="AEQ207" s="1"/>
      <c r="AER207" s="1"/>
      <c r="AES207" s="1"/>
      <c r="AET207" s="1"/>
      <c r="AEU207" s="1"/>
      <c r="AEV207" s="1"/>
      <c r="AEW207" s="1"/>
      <c r="AEX207" s="1"/>
      <c r="AEY207" s="1"/>
      <c r="AEZ207" s="1"/>
      <c r="AFA207" s="1"/>
      <c r="AFB207" s="1"/>
      <c r="AFC207" s="1"/>
      <c r="AFD207" s="1"/>
      <c r="AFE207" s="1"/>
      <c r="AFF207" s="1"/>
      <c r="AFG207" s="1"/>
      <c r="AFH207" s="1"/>
      <c r="AFI207" s="1"/>
      <c r="AFJ207" s="1"/>
      <c r="AFK207" s="1"/>
      <c r="AFL207" s="1"/>
      <c r="AFM207" s="1"/>
      <c r="AFN207" s="1"/>
      <c r="AFO207" s="1"/>
      <c r="AFP207" s="1"/>
      <c r="AFQ207" s="1"/>
      <c r="AFR207" s="1"/>
      <c r="AFS207" s="1"/>
      <c r="AFT207" s="1"/>
      <c r="AFU207" s="1"/>
      <c r="AFV207" s="1"/>
      <c r="AFW207" s="1"/>
      <c r="AFX207" s="1"/>
      <c r="AFY207" s="1"/>
      <c r="AFZ207" s="1"/>
      <c r="AGA207" s="1"/>
      <c r="AGB207" s="1"/>
      <c r="AGC207" s="1"/>
      <c r="AGD207" s="1"/>
      <c r="AGE207" s="1"/>
      <c r="AGF207" s="1"/>
      <c r="AGG207" s="1"/>
      <c r="AGH207" s="1"/>
      <c r="AGI207" s="1"/>
      <c r="AGJ207" s="1"/>
      <c r="AGK207" s="1"/>
      <c r="AGL207" s="1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  <c r="ALN207" s="1"/>
      <c r="ALO207" s="1"/>
      <c r="ALP207" s="1"/>
      <c r="ALQ207" s="1"/>
      <c r="ALR207" s="1"/>
      <c r="ALS207" s="1"/>
      <c r="ALT207" s="1"/>
      <c r="ALU207" s="1"/>
      <c r="ALV207" s="1"/>
      <c r="ALW207" s="1"/>
      <c r="ALX207" s="1"/>
      <c r="ALY207" s="1"/>
      <c r="ALZ207" s="1"/>
      <c r="AMA207" s="1"/>
      <c r="AMB207" s="1"/>
      <c r="AMC207" s="1"/>
      <c r="AMD207" s="1"/>
      <c r="AME207" s="1"/>
      <c r="AMF207" s="1"/>
      <c r="AMG207" s="1"/>
      <c r="AMH207" s="1"/>
      <c r="AMI207" s="1"/>
      <c r="AMJ207" s="1"/>
      <c r="AMK207" s="1"/>
      <c r="AML207" s="1"/>
      <c r="AMM207" s="1"/>
      <c r="AMN207" s="1"/>
      <c r="AMO207" s="1"/>
    </row>
    <row r="208" spans="1:1030" x14ac:dyDescent="0.2">
      <c r="A208" s="3" t="str">
        <f>CONCATENATE(B208,"_",C208)</f>
        <v>cxcr4_human_3OE0</v>
      </c>
      <c r="B208" s="3" t="s">
        <v>1165</v>
      </c>
      <c r="C208" s="3" t="s">
        <v>1025</v>
      </c>
      <c r="D208" s="3" t="str">
        <f>IFERROR(MID(VLOOKUP($B208,Seqs!$A:$B,2,0),E208,1),"")</f>
        <v>A</v>
      </c>
      <c r="E208" s="3">
        <v>34</v>
      </c>
      <c r="F208" s="3" t="str">
        <f>IFERROR(MID(VLOOKUP($B208,Seqs!$A:$B,2,0),G208,1),"")</f>
        <v>Q</v>
      </c>
      <c r="G208" s="3">
        <v>66</v>
      </c>
      <c r="H208" s="3" t="str">
        <f>IFERROR(MID(VLOOKUP($B208,Seqs!$A:$B,2,0),I208,1),"")</f>
        <v/>
      </c>
      <c r="I208" s="23" t="s">
        <v>23</v>
      </c>
      <c r="J208" s="3" t="str">
        <f>IFERROR(MID(VLOOKUP($B208,Seqs!$A:$B,2,0),K208,1),"")</f>
        <v/>
      </c>
      <c r="K208" s="23" t="s">
        <v>23</v>
      </c>
      <c r="L208" s="3" t="str">
        <f>IFERROR(MID(VLOOKUP($B208,Seqs!$A:$B,2,0),M208,1),"")</f>
        <v>S</v>
      </c>
      <c r="M208" s="3">
        <v>71</v>
      </c>
      <c r="N208" s="3" t="str">
        <f>IFERROR(MID(VLOOKUP($B208,Seqs!$A:$B,2,0),O208,1),"")</f>
        <v>A</v>
      </c>
      <c r="O208" s="3">
        <v>100</v>
      </c>
      <c r="P208" s="3" t="str">
        <f>IFERROR(MID(VLOOKUP($B208,Seqs!$A:$B,2,0),Q208,1),"")</f>
        <v>N</v>
      </c>
      <c r="Q208" s="3">
        <v>101</v>
      </c>
      <c r="R208" s="3" t="str">
        <f>IFERROR(MID(VLOOKUP($B208,Seqs!$A:$B,2,0),S208,1),"")</f>
        <v>F</v>
      </c>
      <c r="S208" s="3">
        <v>104</v>
      </c>
      <c r="T208" s="3" t="str">
        <f>IFERROR(MID(VLOOKUP($B208,Seqs!$A:$B,2,0),U208,1),"")</f>
        <v>G</v>
      </c>
      <c r="U208" s="3">
        <v>105</v>
      </c>
      <c r="V208" s="3" t="str">
        <f>IFERROR(MID(VLOOKUP($B208,Seqs!$A:$B,2,0),W208,1),"")</f>
        <v>H</v>
      </c>
      <c r="W208" s="3">
        <v>140</v>
      </c>
      <c r="X208" s="3" t="str">
        <f>IFERROR(MID(VLOOKUP($B208,Seqs!$A:$B,2,0),Y208,1),"")</f>
        <v/>
      </c>
      <c r="Y208" s="3" t="s">
        <v>23</v>
      </c>
      <c r="Z208" s="3" t="str">
        <f>IFERROR(MID(VLOOKUP($B208,Seqs!$A:$B,2,0),AA208,1),"")</f>
        <v/>
      </c>
      <c r="AA208" s="3" t="s">
        <v>23</v>
      </c>
      <c r="AB208" s="3" t="str">
        <f>IFERROR(MID(VLOOKUP($B208,Seqs!$A:$B,2,0),AC208,1),"")</f>
        <v>S</v>
      </c>
      <c r="AC208" s="9">
        <v>144</v>
      </c>
      <c r="AD208" s="3" t="str">
        <f>IFERROR(MID(VLOOKUP($B208,Seqs!$A:$B,2,0),AE208,1),"")</f>
        <v>A</v>
      </c>
      <c r="AE208" s="3">
        <v>175</v>
      </c>
      <c r="AF208" s="3" t="str">
        <f>IFERROR(MID(VLOOKUP($B208,Seqs!$A:$B,2,0),AG208,1),"")</f>
        <v>C</v>
      </c>
      <c r="AG208" s="3">
        <v>186</v>
      </c>
      <c r="AH208" s="3" t="str">
        <f>IFERROR(MID(VLOOKUP($B208,Seqs!$A:$B,2,0),AI208,1),"")</f>
        <v>R</v>
      </c>
      <c r="AI208" s="3">
        <v>188</v>
      </c>
      <c r="AJ208" s="3" t="str">
        <f>IFERROR(MID(VLOOKUP($B208,Seqs!$A:$B,2,0),AK208,1),"")</f>
        <v>D</v>
      </c>
      <c r="AK208" s="3">
        <v>193</v>
      </c>
      <c r="AL208" s="3" t="str">
        <f>IFERROR(MID(VLOOKUP($B208,Seqs!$A:$B,2,0),AM208,1),"")</f>
        <v>H</v>
      </c>
      <c r="AM208" s="3">
        <v>228</v>
      </c>
      <c r="AN208" s="3" t="str">
        <f>IFERROR(MID(VLOOKUP($B208,Seqs!$A:$B,2,0),AO208,1),"")</f>
        <v>K</v>
      </c>
      <c r="AO208" s="3">
        <v>239</v>
      </c>
      <c r="AP208" s="3" t="str">
        <f>IFERROR(MID(VLOOKUP($B208,Seqs!$A:$B,2,0),AQ208,1),"")</f>
        <v>E</v>
      </c>
      <c r="AQ208" s="3">
        <v>268</v>
      </c>
      <c r="AR208" s="3" t="str">
        <f>IFERROR(MID(VLOOKUP($B208,Seqs!$A:$B,2,0),AS208,1),"")</f>
        <v>G</v>
      </c>
      <c r="AS208" s="3">
        <v>273</v>
      </c>
      <c r="AT208" s="3" t="str">
        <f>IFERROR(MID(VLOOKUP($B208,Seqs!$A:$B,2,0),AU208,1),"")</f>
        <v>I</v>
      </c>
      <c r="AU208" s="3">
        <v>300</v>
      </c>
      <c r="AV208" s="3" t="str">
        <f>IFERROR(MID(VLOOKUP($B208,Seqs!$A:$B,2,0),AW208,1),"")</f>
        <v/>
      </c>
      <c r="AW208" s="3" t="s">
        <v>23</v>
      </c>
      <c r="AX208" s="3" t="str">
        <f>IFERROR(MID(VLOOKUP($B208,Seqs!$A:$B,2,0),AY208,1),"")</f>
        <v/>
      </c>
      <c r="AY208" s="3" t="s">
        <v>23</v>
      </c>
      <c r="AZ208" s="77" t="str">
        <f>VLOOKUP(B208,Classification!A:D,2,0)</f>
        <v>A</v>
      </c>
      <c r="BA208" s="94" t="str">
        <f>VLOOKUP(B208,Classification!A:D,4,0)</f>
        <v>Chemokine</v>
      </c>
      <c r="BB208" s="27" t="b">
        <f t="shared" si="1007"/>
        <v>1</v>
      </c>
      <c r="BC208" s="23">
        <f t="shared" si="1056"/>
        <v>235</v>
      </c>
      <c r="BD208" s="4" t="s">
        <v>23</v>
      </c>
      <c r="BE208" s="3" t="s">
        <v>1368</v>
      </c>
      <c r="BF208" s="118">
        <v>2.9</v>
      </c>
      <c r="BG208" s="49" t="s">
        <v>1371</v>
      </c>
      <c r="BH208" s="49" t="s">
        <v>1371</v>
      </c>
      <c r="BI208" s="1"/>
      <c r="BJ208" s="70" t="s">
        <v>1281</v>
      </c>
      <c r="BK208" s="57" t="s">
        <v>1281</v>
      </c>
      <c r="BL208" s="57" t="s">
        <v>1281</v>
      </c>
      <c r="BM208" s="57" t="s">
        <v>1281</v>
      </c>
      <c r="BN208" s="57" t="s">
        <v>1281</v>
      </c>
      <c r="BO208" s="57" t="s">
        <v>1281</v>
      </c>
      <c r="BP208" s="57" t="s">
        <v>1281</v>
      </c>
      <c r="BQ208" s="57" t="s">
        <v>1281</v>
      </c>
      <c r="BR208" s="57" t="s">
        <v>1281</v>
      </c>
      <c r="BS208" s="57" t="s">
        <v>1281</v>
      </c>
      <c r="BT208" s="57" t="s">
        <v>1281</v>
      </c>
      <c r="BU208" s="57" t="s">
        <v>1281</v>
      </c>
      <c r="BV208" s="70">
        <f>E208</f>
        <v>34</v>
      </c>
      <c r="BW208" s="71" t="str">
        <f>I208</f>
        <v>-</v>
      </c>
      <c r="BX208" s="72">
        <f>M208</f>
        <v>71</v>
      </c>
      <c r="BY208" s="71">
        <f>Q208</f>
        <v>101</v>
      </c>
      <c r="BZ208" s="72">
        <f>U208</f>
        <v>105</v>
      </c>
      <c r="CA208" s="71" t="str">
        <f>Y208</f>
        <v>-</v>
      </c>
      <c r="CB208" s="72">
        <f>AC208</f>
        <v>144</v>
      </c>
      <c r="CC208" s="71">
        <f>AG208</f>
        <v>186</v>
      </c>
      <c r="CD208" s="72">
        <f>AK208</f>
        <v>193</v>
      </c>
      <c r="CE208" s="71">
        <f>AO208</f>
        <v>239</v>
      </c>
      <c r="CF208" s="72">
        <f>AS208</f>
        <v>273</v>
      </c>
      <c r="CG208" s="71" t="str">
        <f>AW208</f>
        <v>-</v>
      </c>
      <c r="CH208" s="70">
        <f>G208</f>
        <v>66</v>
      </c>
      <c r="CI208" s="71" t="str">
        <f>K208</f>
        <v>-</v>
      </c>
      <c r="CJ208" s="72">
        <f>O208</f>
        <v>100</v>
      </c>
      <c r="CK208" s="72">
        <f>S208</f>
        <v>104</v>
      </c>
      <c r="CL208" s="72">
        <f>W208</f>
        <v>140</v>
      </c>
      <c r="CM208" s="72" t="str">
        <f>AA208</f>
        <v>-</v>
      </c>
      <c r="CN208" s="72">
        <f>AE208</f>
        <v>175</v>
      </c>
      <c r="CO208" s="72">
        <f>AI208</f>
        <v>188</v>
      </c>
      <c r="CP208" s="72">
        <f>AM208</f>
        <v>228</v>
      </c>
      <c r="CQ208" s="72">
        <f>AQ208</f>
        <v>268</v>
      </c>
      <c r="CR208" s="72">
        <f>AU208</f>
        <v>300</v>
      </c>
      <c r="CS208" s="72" t="str">
        <f>AY208</f>
        <v>-</v>
      </c>
      <c r="CT208" s="23" t="e">
        <f>M208-K208</f>
        <v>#VALUE!</v>
      </c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/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s="1"/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/>
      <c r="AAE208" s="1"/>
      <c r="AAF208" s="1"/>
      <c r="AAG208" s="1"/>
      <c r="AAH208" s="1"/>
      <c r="AAI208" s="1"/>
      <c r="AAJ208" s="1"/>
      <c r="AAK208" s="1"/>
      <c r="AAL208" s="1"/>
      <c r="AAM208" s="1"/>
      <c r="AAN208" s="1"/>
      <c r="AAO208" s="1"/>
      <c r="AAP208" s="1"/>
      <c r="AAQ208" s="1"/>
      <c r="AAR208" s="1"/>
      <c r="AAS208" s="1"/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/>
      <c r="ABF208" s="1"/>
      <c r="ABG208" s="1"/>
      <c r="ABH208" s="1"/>
      <c r="ABI208" s="1"/>
      <c r="ABJ208" s="1"/>
      <c r="ABK208" s="1"/>
      <c r="ABL208" s="1"/>
      <c r="ABM208" s="1"/>
      <c r="ABN208" s="1"/>
      <c r="ABO208" s="1"/>
      <c r="ABP208" s="1"/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/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  <c r="ACW208" s="1"/>
      <c r="ACX208" s="1"/>
      <c r="ACY208" s="1"/>
      <c r="ACZ208" s="1"/>
      <c r="ADA208" s="1"/>
      <c r="ADB208" s="1"/>
      <c r="ADC208" s="1"/>
      <c r="ADD208" s="1"/>
      <c r="ADE208" s="1"/>
      <c r="ADF208" s="1"/>
      <c r="ADG208" s="1"/>
      <c r="ADH208" s="1"/>
      <c r="ADI208" s="1"/>
      <c r="ADJ208" s="1"/>
      <c r="ADK208" s="1"/>
      <c r="ADL208" s="1"/>
      <c r="ADM208" s="1"/>
      <c r="ADN208" s="1"/>
      <c r="ADO208" s="1"/>
      <c r="ADP208" s="1"/>
      <c r="ADQ208" s="1"/>
      <c r="ADR208" s="1"/>
      <c r="ADS208" s="1"/>
      <c r="ADT208" s="1"/>
      <c r="ADU208" s="1"/>
      <c r="ADV208" s="1"/>
      <c r="ADW208" s="1"/>
      <c r="ADX208" s="1"/>
      <c r="ADY208" s="1"/>
      <c r="ADZ208" s="1"/>
      <c r="AEA208" s="1"/>
      <c r="AEB208" s="1"/>
      <c r="AEC208" s="1"/>
      <c r="AED208" s="1"/>
      <c r="AEE208" s="1"/>
      <c r="AEF208" s="1"/>
      <c r="AEG208" s="1"/>
      <c r="AEH208" s="1"/>
      <c r="AEI208" s="1"/>
      <c r="AEJ208" s="1"/>
      <c r="AEK208" s="1"/>
      <c r="AEL208" s="1"/>
      <c r="AEM208" s="1"/>
      <c r="AEN208" s="1"/>
      <c r="AEO208" s="1"/>
      <c r="AEP208" s="1"/>
      <c r="AEQ208" s="1"/>
      <c r="AER208" s="1"/>
      <c r="AES208" s="1"/>
      <c r="AET208" s="1"/>
      <c r="AEU208" s="1"/>
      <c r="AEV208" s="1"/>
      <c r="AEW208" s="1"/>
      <c r="AEX208" s="1"/>
      <c r="AEY208" s="1"/>
      <c r="AEZ208" s="1"/>
      <c r="AFA208" s="1"/>
      <c r="AFB208" s="1"/>
      <c r="AFC208" s="1"/>
      <c r="AFD208" s="1"/>
      <c r="AFE208" s="1"/>
      <c r="AFF208" s="1"/>
      <c r="AFG208" s="1"/>
      <c r="AFH208" s="1"/>
      <c r="AFI208" s="1"/>
      <c r="AFJ208" s="1"/>
      <c r="AFK208" s="1"/>
      <c r="AFL208" s="1"/>
      <c r="AFM208" s="1"/>
      <c r="AFN208" s="1"/>
      <c r="AFO208" s="1"/>
      <c r="AFP208" s="1"/>
      <c r="AFQ208" s="1"/>
      <c r="AFR208" s="1"/>
      <c r="AFS208" s="1"/>
      <c r="AFT208" s="1"/>
      <c r="AFU208" s="1"/>
      <c r="AFV208" s="1"/>
      <c r="AFW208" s="1"/>
      <c r="AFX208" s="1"/>
      <c r="AFY208" s="1"/>
      <c r="AFZ208" s="1"/>
      <c r="AGA208" s="1"/>
      <c r="AGB208" s="1"/>
      <c r="AGC208" s="1"/>
      <c r="AGD208" s="1"/>
      <c r="AGE208" s="1"/>
      <c r="AGF208" s="1"/>
      <c r="AGG208" s="1"/>
      <c r="AGH208" s="1"/>
      <c r="AGI208" s="1"/>
      <c r="AGJ208" s="1"/>
      <c r="AGK208" s="1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  <c r="ALN208" s="1"/>
      <c r="ALO208" s="1"/>
      <c r="ALP208" s="1"/>
      <c r="ALQ208" s="1"/>
      <c r="ALR208" s="1"/>
      <c r="ALS208" s="1"/>
      <c r="ALT208" s="1"/>
      <c r="ALU208" s="1"/>
      <c r="ALV208" s="1"/>
      <c r="ALW208" s="1"/>
      <c r="ALX208" s="1"/>
      <c r="ALY208" s="1"/>
      <c r="ALZ208" s="1"/>
      <c r="AMA208" s="1"/>
      <c r="AMB208" s="1"/>
      <c r="AMC208" s="1"/>
      <c r="AMD208" s="1"/>
      <c r="AME208" s="1"/>
      <c r="AMF208" s="1"/>
      <c r="AMG208" s="1"/>
      <c r="AMH208" s="1"/>
      <c r="AMI208" s="1"/>
      <c r="AMJ208" s="1"/>
      <c r="AMK208" s="1"/>
      <c r="AML208" s="1"/>
      <c r="AMM208" s="1"/>
      <c r="AMN208" s="1"/>
      <c r="AMO208" s="1"/>
    </row>
    <row r="209" spans="1:1029" x14ac:dyDescent="0.2">
      <c r="A209" s="3" t="str">
        <f>CONCATENATE(B209,"_",C209)</f>
        <v>cxcr4_human_4RWS</v>
      </c>
      <c r="B209" s="3" t="s">
        <v>1165</v>
      </c>
      <c r="C209" s="3" t="s">
        <v>1046</v>
      </c>
      <c r="D209" s="3" t="str">
        <f>IFERROR(MID(VLOOKUP($B209,Seqs!$A:$B,2,0),E209,1),"")</f>
        <v>R</v>
      </c>
      <c r="E209" s="3">
        <v>30</v>
      </c>
      <c r="F209" s="3" t="str">
        <f>IFERROR(MID(VLOOKUP($B209,Seqs!$A:$B,2,0),G209,1),"")</f>
        <v>Q</v>
      </c>
      <c r="G209" s="3">
        <v>66</v>
      </c>
      <c r="H209" s="3" t="str">
        <f>IFERROR(MID(VLOOKUP($B209,Seqs!$A:$B,2,0),I209,1),"")</f>
        <v/>
      </c>
      <c r="I209" s="23" t="s">
        <v>23</v>
      </c>
      <c r="J209" s="3" t="str">
        <f>IFERROR(MID(VLOOKUP($B209,Seqs!$A:$B,2,0),K209,1),"")</f>
        <v/>
      </c>
      <c r="K209" s="23" t="s">
        <v>23</v>
      </c>
      <c r="L209" s="3" t="str">
        <f>IFERROR(MID(VLOOKUP($B209,Seqs!$A:$B,2,0),M209,1),"")</f>
        <v>S</v>
      </c>
      <c r="M209" s="3">
        <v>71</v>
      </c>
      <c r="N209" s="3" t="str">
        <f>IFERROR(MID(VLOOKUP($B209,Seqs!$A:$B,2,0),O209,1),"")</f>
        <v>A</v>
      </c>
      <c r="O209" s="3">
        <v>100</v>
      </c>
      <c r="P209" s="3" t="str">
        <f>IFERROR(MID(VLOOKUP($B209,Seqs!$A:$B,2,0),Q209,1),"")</f>
        <v>N</v>
      </c>
      <c r="Q209" s="3">
        <v>101</v>
      </c>
      <c r="R209" s="3" t="str">
        <f>IFERROR(MID(VLOOKUP($B209,Seqs!$A:$B,2,0),S209,1),"")</f>
        <v>F</v>
      </c>
      <c r="S209" s="3">
        <v>104</v>
      </c>
      <c r="T209" s="3" t="str">
        <f>IFERROR(MID(VLOOKUP($B209,Seqs!$A:$B,2,0),U209,1),"")</f>
        <v>G</v>
      </c>
      <c r="U209" s="3">
        <v>105</v>
      </c>
      <c r="V209" s="3" t="str">
        <f>IFERROR(MID(VLOOKUP($B209,Seqs!$A:$B,2,0),W209,1),"")</f>
        <v>H</v>
      </c>
      <c r="W209" s="3">
        <v>140</v>
      </c>
      <c r="X209" s="3" t="str">
        <f>IFERROR(MID(VLOOKUP($B209,Seqs!$A:$B,2,0),Y209,1),"")</f>
        <v/>
      </c>
      <c r="Y209" s="3" t="s">
        <v>23</v>
      </c>
      <c r="Z209" s="3" t="str">
        <f>IFERROR(MID(VLOOKUP($B209,Seqs!$A:$B,2,0),AA209,1),"")</f>
        <v/>
      </c>
      <c r="AA209" s="3" t="s">
        <v>23</v>
      </c>
      <c r="AB209" s="3" t="str">
        <f>IFERROR(MID(VLOOKUP($B209,Seqs!$A:$B,2,0),AC209,1),"")</f>
        <v>S</v>
      </c>
      <c r="AC209" s="9">
        <v>144</v>
      </c>
      <c r="AD209" s="3" t="str">
        <f>IFERROR(MID(VLOOKUP($B209,Seqs!$A:$B,2,0),AE209,1),"")</f>
        <v>A</v>
      </c>
      <c r="AE209" s="3">
        <v>175</v>
      </c>
      <c r="AF209" s="3" t="str">
        <f>IFERROR(MID(VLOOKUP($B209,Seqs!$A:$B,2,0),AG209,1),"")</f>
        <v>C</v>
      </c>
      <c r="AG209" s="3">
        <v>186</v>
      </c>
      <c r="AH209" s="3" t="str">
        <f>IFERROR(MID(VLOOKUP($B209,Seqs!$A:$B,2,0),AI209,1),"")</f>
        <v>R</v>
      </c>
      <c r="AI209" s="3">
        <v>188</v>
      </c>
      <c r="AJ209" s="3" t="str">
        <f>IFERROR(MID(VLOOKUP($B209,Seqs!$A:$B,2,0),AK209,1),"")</f>
        <v>D</v>
      </c>
      <c r="AK209" s="3">
        <v>193</v>
      </c>
      <c r="AL209" s="3" t="str">
        <f>IFERROR(MID(VLOOKUP($B209,Seqs!$A:$B,2,0),AM209,1),"")</f>
        <v>S</v>
      </c>
      <c r="AM209" s="3">
        <v>227</v>
      </c>
      <c r="AN209" s="3" t="str">
        <f>IFERROR(MID(VLOOKUP($B209,Seqs!$A:$B,2,0),AO209,1),"")</f>
        <v>K</v>
      </c>
      <c r="AO209" s="3">
        <v>239</v>
      </c>
      <c r="AP209" s="3" t="str">
        <f>IFERROR(MID(VLOOKUP($B209,Seqs!$A:$B,2,0),AQ209,1),"")</f>
        <v>E</v>
      </c>
      <c r="AQ209" s="3">
        <v>268</v>
      </c>
      <c r="AR209" s="3" t="str">
        <f>IFERROR(MID(VLOOKUP($B209,Seqs!$A:$B,2,0),AS209,1),"")</f>
        <v>G</v>
      </c>
      <c r="AS209" s="3">
        <v>273</v>
      </c>
      <c r="AT209" s="3" t="str">
        <f>IFERROR(MID(VLOOKUP($B209,Seqs!$A:$B,2,0),AU209,1),"")</f>
        <v>I</v>
      </c>
      <c r="AU209" s="3">
        <v>300</v>
      </c>
      <c r="AV209" s="3" t="str">
        <f>IFERROR(MID(VLOOKUP($B209,Seqs!$A:$B,2,0),AW209,1),"")</f>
        <v/>
      </c>
      <c r="AW209" s="3" t="s">
        <v>23</v>
      </c>
      <c r="AX209" s="3" t="str">
        <f>IFERROR(MID(VLOOKUP($B209,Seqs!$A:$B,2,0),AY209,1),"")</f>
        <v/>
      </c>
      <c r="AY209" s="3" t="s">
        <v>23</v>
      </c>
      <c r="AZ209" s="77" t="str">
        <f>VLOOKUP(B209,Classification!A:D,2,0)</f>
        <v>A</v>
      </c>
      <c r="BA209" s="94" t="str">
        <f>VLOOKUP(B209,Classification!A:D,4,0)</f>
        <v>Chemokine</v>
      </c>
      <c r="BB209" s="27" t="b">
        <f t="shared" si="1007"/>
        <v>1</v>
      </c>
      <c r="BC209" s="23">
        <f t="shared" si="1056"/>
        <v>238</v>
      </c>
      <c r="BD209" s="5" t="s">
        <v>23</v>
      </c>
      <c r="BE209" s="3" t="s">
        <v>1368</v>
      </c>
      <c r="BF209" s="118">
        <v>3.1</v>
      </c>
      <c r="BG209" s="49" t="s">
        <v>1371</v>
      </c>
      <c r="BH209" s="49" t="s">
        <v>1371</v>
      </c>
      <c r="BI209" s="1"/>
      <c r="BJ209" s="70" t="s">
        <v>1281</v>
      </c>
      <c r="BK209" s="57" t="s">
        <v>1281</v>
      </c>
      <c r="BL209" s="57" t="s">
        <v>1281</v>
      </c>
      <c r="BM209" s="57" t="s">
        <v>1281</v>
      </c>
      <c r="BN209" s="57" t="s">
        <v>1281</v>
      </c>
      <c r="BO209" s="57" t="s">
        <v>1281</v>
      </c>
      <c r="BP209" s="57" t="s">
        <v>1281</v>
      </c>
      <c r="BQ209" s="57" t="s">
        <v>1281</v>
      </c>
      <c r="BR209" s="57" t="s">
        <v>1281</v>
      </c>
      <c r="BS209" s="57" t="s">
        <v>1281</v>
      </c>
      <c r="BT209" s="57" t="s">
        <v>1281</v>
      </c>
      <c r="BU209" s="57" t="s">
        <v>1281</v>
      </c>
      <c r="BV209" s="70">
        <f>E209</f>
        <v>30</v>
      </c>
      <c r="BW209" s="71" t="str">
        <f>I209</f>
        <v>-</v>
      </c>
      <c r="BX209" s="72">
        <f>M209</f>
        <v>71</v>
      </c>
      <c r="BY209" s="71">
        <f>Q209</f>
        <v>101</v>
      </c>
      <c r="BZ209" s="72">
        <f>U209</f>
        <v>105</v>
      </c>
      <c r="CA209" s="71" t="str">
        <f>Y209</f>
        <v>-</v>
      </c>
      <c r="CB209" s="72">
        <f>AC209</f>
        <v>144</v>
      </c>
      <c r="CC209" s="71">
        <f>AG209</f>
        <v>186</v>
      </c>
      <c r="CD209" s="72">
        <f>AK209</f>
        <v>193</v>
      </c>
      <c r="CE209" s="71">
        <f>AO209</f>
        <v>239</v>
      </c>
      <c r="CF209" s="72">
        <f>AS209</f>
        <v>273</v>
      </c>
      <c r="CG209" s="71" t="str">
        <f>AW209</f>
        <v>-</v>
      </c>
      <c r="CH209" s="70">
        <f>G209</f>
        <v>66</v>
      </c>
      <c r="CI209" s="71" t="str">
        <f>K209</f>
        <v>-</v>
      </c>
      <c r="CJ209" s="72">
        <f>O209</f>
        <v>100</v>
      </c>
      <c r="CK209" s="72">
        <f>S209</f>
        <v>104</v>
      </c>
      <c r="CL209" s="72">
        <f>W209</f>
        <v>140</v>
      </c>
      <c r="CM209" s="72" t="str">
        <f>AA209</f>
        <v>-</v>
      </c>
      <c r="CN209" s="72">
        <f>AE209</f>
        <v>175</v>
      </c>
      <c r="CO209" s="72">
        <f>AI209</f>
        <v>188</v>
      </c>
      <c r="CP209" s="72">
        <f>AM209</f>
        <v>227</v>
      </c>
      <c r="CQ209" s="72">
        <f>AQ209</f>
        <v>268</v>
      </c>
      <c r="CR209" s="72">
        <f>AU209</f>
        <v>300</v>
      </c>
      <c r="CS209" s="72" t="str">
        <f>AY209</f>
        <v>-</v>
      </c>
      <c r="CT209" s="23" t="e">
        <f>M209-K209</f>
        <v>#VALUE!</v>
      </c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/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/>
      <c r="AAE209" s="1"/>
      <c r="AAF209" s="1"/>
      <c r="AAG209" s="1"/>
      <c r="AAH209" s="1"/>
      <c r="AAI209" s="1"/>
      <c r="AAJ209" s="1"/>
      <c r="AAK209" s="1"/>
      <c r="AAL209" s="1"/>
      <c r="AAM209" s="1"/>
      <c r="AAN209" s="1"/>
      <c r="AAO209" s="1"/>
      <c r="AAP209" s="1"/>
      <c r="AAQ209" s="1"/>
      <c r="AAR209" s="1"/>
      <c r="AAS209" s="1"/>
      <c r="AAT209" s="1"/>
      <c r="AAU209" s="1"/>
      <c r="AAV209" s="1"/>
      <c r="AAW209" s="1"/>
      <c r="AAX209" s="1"/>
      <c r="AAY209" s="1"/>
      <c r="AAZ209" s="1"/>
      <c r="ABA209" s="1"/>
      <c r="ABB209" s="1"/>
      <c r="ABC209" s="1"/>
      <c r="ABD209" s="1"/>
      <c r="ABE209" s="1"/>
      <c r="ABF209" s="1"/>
      <c r="ABG209" s="1"/>
      <c r="ABH209" s="1"/>
      <c r="ABI209" s="1"/>
      <c r="ABJ209" s="1"/>
      <c r="ABK209" s="1"/>
      <c r="ABL209" s="1"/>
      <c r="ABM209" s="1"/>
      <c r="ABN209" s="1"/>
      <c r="ABO209" s="1"/>
      <c r="ABP209" s="1"/>
      <c r="ABQ209" s="1"/>
      <c r="ABR209" s="1"/>
      <c r="ABS209" s="1"/>
      <c r="ABT209" s="1"/>
      <c r="ABU209" s="1"/>
      <c r="ABV209" s="1"/>
      <c r="ABW209" s="1"/>
      <c r="ABX209" s="1"/>
      <c r="ABY209" s="1"/>
      <c r="ABZ209" s="1"/>
      <c r="ACA209" s="1"/>
      <c r="ACB209" s="1"/>
      <c r="ACC209" s="1"/>
      <c r="ACD209" s="1"/>
      <c r="ACE209" s="1"/>
      <c r="ACF209" s="1"/>
      <c r="ACG209" s="1"/>
      <c r="ACH209" s="1"/>
      <c r="ACI209" s="1"/>
      <c r="ACJ209" s="1"/>
      <c r="ACK209" s="1"/>
      <c r="ACL209" s="1"/>
      <c r="ACM209" s="1"/>
      <c r="ACN209" s="1"/>
      <c r="ACO209" s="1"/>
      <c r="ACP209" s="1"/>
      <c r="ACQ209" s="1"/>
      <c r="ACR209" s="1"/>
      <c r="ACS209" s="1"/>
      <c r="ACT209" s="1"/>
      <c r="ACU209" s="1"/>
      <c r="ACV209" s="1"/>
      <c r="ACW209" s="1"/>
      <c r="ACX209" s="1"/>
      <c r="ACY209" s="1"/>
      <c r="ACZ209" s="1"/>
      <c r="ADA209" s="1"/>
      <c r="ADB209" s="1"/>
      <c r="ADC209" s="1"/>
      <c r="ADD209" s="1"/>
      <c r="ADE209" s="1"/>
      <c r="ADF209" s="1"/>
      <c r="ADG209" s="1"/>
      <c r="ADH209" s="1"/>
      <c r="ADI209" s="1"/>
      <c r="ADJ209" s="1"/>
      <c r="ADK209" s="1"/>
      <c r="ADL209" s="1"/>
      <c r="ADM209" s="1"/>
      <c r="ADN209" s="1"/>
      <c r="ADO209" s="1"/>
      <c r="ADP209" s="1"/>
      <c r="ADQ209" s="1"/>
      <c r="ADR209" s="1"/>
      <c r="ADS209" s="1"/>
      <c r="ADT209" s="1"/>
      <c r="ADU209" s="1"/>
      <c r="ADV209" s="1"/>
      <c r="ADW209" s="1"/>
      <c r="ADX209" s="1"/>
      <c r="ADY209" s="1"/>
      <c r="ADZ209" s="1"/>
      <c r="AEA209" s="1"/>
      <c r="AEB209" s="1"/>
      <c r="AEC209" s="1"/>
      <c r="AED209" s="1"/>
      <c r="AEE209" s="1"/>
      <c r="AEF209" s="1"/>
      <c r="AEG209" s="1"/>
      <c r="AEH209" s="1"/>
      <c r="AEI209" s="1"/>
      <c r="AEJ209" s="1"/>
      <c r="AEK209" s="1"/>
      <c r="AEL209" s="1"/>
      <c r="AEM209" s="1"/>
      <c r="AEN209" s="1"/>
      <c r="AEO209" s="1"/>
      <c r="AEP209" s="1"/>
      <c r="AEQ209" s="1"/>
      <c r="AER209" s="1"/>
      <c r="AES209" s="1"/>
      <c r="AET209" s="1"/>
      <c r="AEU209" s="1"/>
      <c r="AEV209" s="1"/>
      <c r="AEW209" s="1"/>
      <c r="AEX209" s="1"/>
      <c r="AEY209" s="1"/>
      <c r="AEZ209" s="1"/>
      <c r="AFA209" s="1"/>
      <c r="AFB209" s="1"/>
      <c r="AFC209" s="1"/>
      <c r="AFD209" s="1"/>
      <c r="AFE209" s="1"/>
      <c r="AFF209" s="1"/>
      <c r="AFG209" s="1"/>
      <c r="AFH209" s="1"/>
      <c r="AFI209" s="1"/>
      <c r="AFJ209" s="1"/>
      <c r="AFK209" s="1"/>
      <c r="AFL209" s="1"/>
      <c r="AFM209" s="1"/>
      <c r="AFN209" s="1"/>
      <c r="AFO209" s="1"/>
      <c r="AFP209" s="1"/>
      <c r="AFQ209" s="1"/>
      <c r="AFR209" s="1"/>
      <c r="AFS209" s="1"/>
      <c r="AFT209" s="1"/>
      <c r="AFU209" s="1"/>
      <c r="AFV209" s="1"/>
      <c r="AFW209" s="1"/>
      <c r="AFX209" s="1"/>
      <c r="AFY209" s="1"/>
      <c r="AFZ209" s="1"/>
      <c r="AGA209" s="1"/>
      <c r="AGB209" s="1"/>
      <c r="AGC209" s="1"/>
      <c r="AGD209" s="1"/>
      <c r="AGE209" s="1"/>
      <c r="AGF209" s="1"/>
      <c r="AGG209" s="1"/>
      <c r="AGH209" s="1"/>
      <c r="AGI209" s="1"/>
      <c r="AGJ209" s="1"/>
      <c r="AGK209" s="1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  <c r="ALN209" s="1"/>
      <c r="ALO209" s="1"/>
      <c r="ALP209" s="1"/>
      <c r="ALQ209" s="1"/>
      <c r="ALR209" s="1"/>
      <c r="ALS209" s="1"/>
      <c r="ALT209" s="1"/>
      <c r="ALU209" s="1"/>
      <c r="ALV209" s="1"/>
      <c r="ALW209" s="1"/>
      <c r="ALX209" s="1"/>
      <c r="ALY209" s="1"/>
      <c r="ALZ209" s="1"/>
      <c r="AMA209" s="1"/>
      <c r="AMB209" s="1"/>
      <c r="AMC209" s="1"/>
      <c r="AMD209" s="1"/>
      <c r="AME209" s="1"/>
      <c r="AMF209" s="1"/>
      <c r="AMG209" s="1"/>
      <c r="AMH209" s="1"/>
      <c r="AMI209" s="1"/>
      <c r="AMJ209" s="1"/>
      <c r="AMK209" s="1"/>
      <c r="AML209" s="1"/>
      <c r="AMM209" s="1"/>
      <c r="AMN209" s="1"/>
      <c r="AMO209" s="1"/>
    </row>
    <row r="210" spans="1:1029" x14ac:dyDescent="0.2">
      <c r="A210" s="3" t="str">
        <f>CONCATENATE(B210,"_",C210)</f>
        <v>drd2_human__wt</v>
      </c>
      <c r="B210" s="3" t="s">
        <v>191</v>
      </c>
      <c r="C210" s="3" t="s">
        <v>100</v>
      </c>
      <c r="D210" s="3" t="str">
        <f>IFERROR(MID(VLOOKUP($B210,Seqs!$A:$B,2,0),E210,1),"")</f>
        <v>R</v>
      </c>
      <c r="E210" s="3">
        <v>31</v>
      </c>
      <c r="F210" s="3" t="str">
        <f>IFERROR(MID(VLOOKUP($B210,Seqs!$A:$B,2,0),G210,1),"")</f>
        <v>E</v>
      </c>
      <c r="G210" s="3">
        <v>62</v>
      </c>
      <c r="H210" s="3" t="str">
        <f>IFERROR(MID(VLOOKUP($B210,Seqs!$A:$B,2,0),I210,1),"")</f>
        <v>K</v>
      </c>
      <c r="I210" s="23">
        <v>63</v>
      </c>
      <c r="J210" s="3" t="str">
        <f>IFERROR(MID(VLOOKUP($B210,Seqs!$A:$B,2,0),K210,1),"")</f>
        <v>Q</v>
      </c>
      <c r="K210" s="23">
        <v>66</v>
      </c>
      <c r="L210" s="3" t="str">
        <f>IFERROR(MID(VLOOKUP($B210,Seqs!$A:$B,2,0),M210,1),"")</f>
        <v>T</v>
      </c>
      <c r="M210" s="3">
        <v>67</v>
      </c>
      <c r="N210" s="3" t="str">
        <f>IFERROR(MID(VLOOKUP($B210,Seqs!$A:$B,2,0),O210,1),"")</f>
        <v>G</v>
      </c>
      <c r="O210" s="3">
        <v>98</v>
      </c>
      <c r="P210" s="3" t="str">
        <f>IFERROR(MID(VLOOKUP($B210,Seqs!$A:$B,2,0),Q210,1),"")</f>
        <v>E</v>
      </c>
      <c r="Q210" s="3">
        <v>99</v>
      </c>
      <c r="R210" s="3" t="str">
        <f>IFERROR(MID(VLOOKUP($B210,Seqs!$A:$B,2,0),S210,1),"")</f>
        <v>F</v>
      </c>
      <c r="S210" s="3">
        <v>102</v>
      </c>
      <c r="T210" s="3" t="str">
        <f>IFERROR(MID(VLOOKUP($B210,Seqs!$A:$B,2,0),U210,1),"")</f>
        <v>S</v>
      </c>
      <c r="U210" s="3">
        <v>103</v>
      </c>
      <c r="V210" s="3" t="str">
        <f>IFERROR(MID(VLOOKUP($B210,Seqs!$A:$B,2,0),W210,1),"")</f>
        <v>M</v>
      </c>
      <c r="W210" s="3">
        <v>138</v>
      </c>
      <c r="X210" s="3" t="str">
        <f>IFERROR(MID(VLOOKUP($B210,Seqs!$A:$B,2,0),Y210,1),"")</f>
        <v>P</v>
      </c>
      <c r="Y210" s="3">
        <v>139</v>
      </c>
      <c r="Z210" s="3" t="str">
        <f>IFERROR(MID(VLOOKUP($B210,Seqs!$A:$B,2,0),AA210,1),"")</f>
        <v>S</v>
      </c>
      <c r="AA210" s="3">
        <v>147</v>
      </c>
      <c r="AB210" s="3" t="str">
        <f>IFERROR(MID(VLOOKUP($B210,Seqs!$A:$B,2,0),AC210,1),"")</f>
        <v>S</v>
      </c>
      <c r="AC210" s="3">
        <v>148</v>
      </c>
      <c r="AD210" s="3" t="str">
        <f>IFERROR(MID(VLOOKUP($B210,Seqs!$A:$B,2,0),AE210,1),"")</f>
        <v>F</v>
      </c>
      <c r="AE210" s="3">
        <v>172</v>
      </c>
      <c r="AF210" s="3" t="str">
        <f>IFERROR(MID(VLOOKUP($B210,Seqs!$A:$B,2,0),AG210,1),"")</f>
        <v>C</v>
      </c>
      <c r="AG210" s="3">
        <v>182</v>
      </c>
      <c r="AH210" s="3" t="str">
        <f>IFERROR(MID(VLOOKUP($B210,Seqs!$A:$B,2,0),AI210,1),"")</f>
        <v>I</v>
      </c>
      <c r="AI210" s="3">
        <v>184</v>
      </c>
      <c r="AJ210" s="3" t="str">
        <f>IFERROR(MID(VLOOKUP($B210,Seqs!$A:$B,2,0),AK210,1),"")</f>
        <v>N</v>
      </c>
      <c r="AK210" s="3">
        <v>186</v>
      </c>
      <c r="AL210" s="3" t="str">
        <f>IFERROR(MID(VLOOKUP($B210,Seqs!$A:$B,2,0),AM210,1),"")</f>
        <v>K</v>
      </c>
      <c r="AM210" s="3">
        <v>226</v>
      </c>
      <c r="AN210" s="3" t="str">
        <f>IFERROR(MID(VLOOKUP($B210,Seqs!$A:$B,2,0),AO210,1),"")</f>
        <v>K</v>
      </c>
      <c r="AO210" s="3">
        <v>362</v>
      </c>
      <c r="AP210" s="3" t="str">
        <f>IFERROR(MID(VLOOKUP($B210,Seqs!$A:$B,2,0),AQ210,1),"")</f>
        <v>C</v>
      </c>
      <c r="AQ210" s="3">
        <v>399</v>
      </c>
      <c r="AR210" s="3" t="str">
        <f>IFERROR(MID(VLOOKUP($B210,Seqs!$A:$B,2,0),AS210,1),"")</f>
        <v>P</v>
      </c>
      <c r="AS210" s="3">
        <v>404</v>
      </c>
      <c r="AT210" s="3" t="str">
        <f>IFERROR(MID(VLOOKUP($B210,Seqs!$A:$B,2,0),AU210,1),"")</f>
        <v>F</v>
      </c>
      <c r="AU210" s="3">
        <v>429</v>
      </c>
      <c r="AV210" s="3" t="str">
        <f>IFERROR(MID(VLOOKUP($B210,Seqs!$A:$B,2,0),AW210,1),"")</f>
        <v>N</v>
      </c>
      <c r="AW210" s="3">
        <v>430</v>
      </c>
      <c r="AX210" s="3" t="str">
        <f>IFERROR(MID(VLOOKUP($B210,Seqs!$A:$B,2,0),AY210,1),"")</f>
        <v>H</v>
      </c>
      <c r="AY210" s="3">
        <v>442</v>
      </c>
      <c r="AZ210" s="77" t="str">
        <f>VLOOKUP(B210,Classification!A:D,2,0)</f>
        <v>A</v>
      </c>
      <c r="BA210" s="94" t="str">
        <f>VLOOKUP(B210,Classification!A:D,4,0)</f>
        <v>Dopamine</v>
      </c>
      <c r="BB210" s="27" t="b">
        <f>AND(E210&lt;G210,OR(G210&lt;I210,I210="-"),OR(I210&lt;K210,I210="-"),OR(K210&lt;M210,K210="-"),M210&lt;O210,OR(O210&lt;Q210,Q210="-"),OR(Q210&lt;S210,Q210="-"),OR(S210&lt;U210,S210="-"),U210&lt;W210,OR(W210&lt;Y210,Y210="-"),OR(Y210&lt;AA210,Y210="-"),OR(AA210&lt;AC210,AA210="-"),AC210&lt;AE210,OR(AE210&lt;AG210,AG210="-"),OR(AG210&lt;AI210,AG210="-"),OR(AI210&lt;AK210,AI210="-"),AK210&lt;AM210,AM210&lt;AO210,AO210&lt;AQ210,AQ210&lt;AS210,AS210&lt;AU210,OR(AU210&lt;AW210,AW210="-"),OR(AW210&lt;AY210,AW210="-"))</f>
        <v>1</v>
      </c>
      <c r="BC210" s="23">
        <f>_xlfn.AGGREGATE(9,6,CH210:CS210)-_xlfn.AGGREGATE(9,6,BV210:CG210)+12</f>
        <v>263</v>
      </c>
      <c r="BD210" s="56" t="s">
        <v>23</v>
      </c>
      <c r="BE210" s="3" t="s">
        <v>23</v>
      </c>
      <c r="BF210" s="118" t="s">
        <v>23</v>
      </c>
      <c r="BG210" s="49" t="s">
        <v>1366</v>
      </c>
      <c r="BH210" s="49" t="s">
        <v>1371</v>
      </c>
      <c r="BI210" s="1"/>
      <c r="BJ210" s="70" t="s">
        <v>1281</v>
      </c>
      <c r="BK210" s="57" t="s">
        <v>1281</v>
      </c>
      <c r="BL210" s="57" t="s">
        <v>1281</v>
      </c>
      <c r="BM210" s="57" t="s">
        <v>1281</v>
      </c>
      <c r="BN210" s="57" t="s">
        <v>1281</v>
      </c>
      <c r="BO210" s="57" t="s">
        <v>1281</v>
      </c>
      <c r="BP210" s="57" t="s">
        <v>1281</v>
      </c>
      <c r="BQ210" s="57" t="s">
        <v>1281</v>
      </c>
      <c r="BR210" s="57" t="s">
        <v>1281</v>
      </c>
      <c r="BS210" s="57" t="s">
        <v>1281</v>
      </c>
      <c r="BT210" s="57" t="s">
        <v>1281</v>
      </c>
      <c r="BU210" s="57" t="s">
        <v>1281</v>
      </c>
      <c r="BV210" s="70">
        <f>E210</f>
        <v>31</v>
      </c>
      <c r="BW210" s="71">
        <f>I210</f>
        <v>63</v>
      </c>
      <c r="BX210" s="72">
        <f>M210</f>
        <v>67</v>
      </c>
      <c r="BY210" s="71">
        <f>Q210</f>
        <v>99</v>
      </c>
      <c r="BZ210" s="72">
        <f>U210</f>
        <v>103</v>
      </c>
      <c r="CA210" s="71">
        <f>Y210</f>
        <v>139</v>
      </c>
      <c r="CB210" s="72">
        <f>AC210</f>
        <v>148</v>
      </c>
      <c r="CC210" s="71">
        <f>AG210</f>
        <v>182</v>
      </c>
      <c r="CD210" s="72">
        <f>AK210</f>
        <v>186</v>
      </c>
      <c r="CE210" s="71">
        <f>AO210</f>
        <v>362</v>
      </c>
      <c r="CF210" s="72">
        <f>AS210</f>
        <v>404</v>
      </c>
      <c r="CG210" s="71">
        <f>AW210</f>
        <v>430</v>
      </c>
      <c r="CH210" s="70">
        <f>G210</f>
        <v>62</v>
      </c>
      <c r="CI210" s="71">
        <f>K210</f>
        <v>66</v>
      </c>
      <c r="CJ210" s="72">
        <f>O210</f>
        <v>98</v>
      </c>
      <c r="CK210" s="72">
        <f>S210</f>
        <v>102</v>
      </c>
      <c r="CL210" s="72">
        <f>W210</f>
        <v>138</v>
      </c>
      <c r="CM210" s="72">
        <f>AA210</f>
        <v>147</v>
      </c>
      <c r="CN210" s="72">
        <f>AE210</f>
        <v>172</v>
      </c>
      <c r="CO210" s="72">
        <f>AI210</f>
        <v>184</v>
      </c>
      <c r="CP210" s="72">
        <f>AM210</f>
        <v>226</v>
      </c>
      <c r="CQ210" s="72">
        <f>AQ210</f>
        <v>399</v>
      </c>
      <c r="CR210" s="72">
        <f>AU210</f>
        <v>429</v>
      </c>
      <c r="CS210" s="72">
        <f>AY210</f>
        <v>442</v>
      </c>
      <c r="CT210" s="23">
        <f>M210-K210</f>
        <v>1</v>
      </c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  <c r="VF210" s="1"/>
      <c r="VG210" s="1"/>
      <c r="VH210" s="1"/>
      <c r="VI210" s="1"/>
      <c r="VJ210" s="1"/>
      <c r="VK210" s="1"/>
      <c r="VL210" s="1"/>
      <c r="VM210" s="1"/>
      <c r="VN210" s="1"/>
      <c r="VO210" s="1"/>
      <c r="VP210" s="1"/>
      <c r="VQ210" s="1"/>
      <c r="VR210" s="1"/>
      <c r="VS210" s="1"/>
      <c r="VT210" s="1"/>
      <c r="VU210" s="1"/>
      <c r="VV210" s="1"/>
      <c r="VW210" s="1"/>
      <c r="VX210" s="1"/>
      <c r="VY210" s="1"/>
      <c r="VZ210" s="1"/>
      <c r="WA210" s="1"/>
      <c r="WB210" s="1"/>
      <c r="WC210" s="1"/>
      <c r="WD210" s="1"/>
      <c r="WE210" s="1"/>
      <c r="WF210" s="1"/>
      <c r="WG210" s="1"/>
      <c r="WH210" s="1"/>
      <c r="WI210" s="1"/>
      <c r="WJ210" s="1"/>
      <c r="WK210" s="1"/>
      <c r="WL210" s="1"/>
      <c r="WM210" s="1"/>
      <c r="WN210" s="1"/>
      <c r="WO210" s="1"/>
      <c r="WP210" s="1"/>
      <c r="WQ210" s="1"/>
      <c r="WR210" s="1"/>
      <c r="WS210" s="1"/>
      <c r="WT210" s="1"/>
      <c r="WU210" s="1"/>
      <c r="WV210" s="1"/>
      <c r="WW210" s="1"/>
      <c r="WX210" s="1"/>
      <c r="WY210" s="1"/>
      <c r="WZ210" s="1"/>
      <c r="XA210" s="1"/>
      <c r="XB210" s="1"/>
      <c r="XC210" s="1"/>
      <c r="XD210" s="1"/>
      <c r="XE210" s="1"/>
      <c r="XF210" s="1"/>
      <c r="XG210" s="1"/>
      <c r="XH210" s="1"/>
      <c r="XI210" s="1"/>
      <c r="XJ210" s="1"/>
      <c r="XK210" s="1"/>
      <c r="XL210" s="1"/>
      <c r="XM210" s="1"/>
      <c r="XN210" s="1"/>
      <c r="XO210" s="1"/>
      <c r="XP210" s="1"/>
      <c r="XQ210" s="1"/>
      <c r="XR210" s="1"/>
      <c r="XS210" s="1"/>
      <c r="XT210" s="1"/>
      <c r="XU210" s="1"/>
      <c r="XV210" s="1"/>
      <c r="XW210" s="1"/>
      <c r="XX210" s="1"/>
      <c r="XY210" s="1"/>
      <c r="XZ210" s="1"/>
      <c r="YA210" s="1"/>
      <c r="YB210" s="1"/>
      <c r="YC210" s="1"/>
      <c r="YD210" s="1"/>
      <c r="YE210" s="1"/>
      <c r="YF210" s="1"/>
      <c r="YG210" s="1"/>
      <c r="YH210" s="1"/>
      <c r="YI210" s="1"/>
      <c r="YJ210" s="1"/>
      <c r="YK210" s="1"/>
      <c r="YL210" s="1"/>
      <c r="YM210" s="1"/>
      <c r="YN210" s="1"/>
      <c r="YO210" s="1"/>
      <c r="YP210" s="1"/>
      <c r="YQ210" s="1"/>
      <c r="YR210" s="1"/>
      <c r="YS210" s="1"/>
      <c r="YT210" s="1"/>
      <c r="YU210" s="1"/>
      <c r="YV210" s="1"/>
      <c r="YW210" s="1"/>
      <c r="YX210" s="1"/>
      <c r="YY210" s="1"/>
      <c r="YZ210" s="1"/>
      <c r="ZA210" s="1"/>
      <c r="ZB210" s="1"/>
      <c r="ZC210" s="1"/>
      <c r="ZD210" s="1"/>
      <c r="ZE210" s="1"/>
      <c r="ZF210" s="1"/>
      <c r="ZG210" s="1"/>
      <c r="ZH210" s="1"/>
      <c r="ZI210" s="1"/>
      <c r="ZJ210" s="1"/>
      <c r="ZK210" s="1"/>
      <c r="ZL210" s="1"/>
      <c r="ZM210" s="1"/>
      <c r="ZN210" s="1"/>
      <c r="ZO210" s="1"/>
      <c r="ZP210" s="1"/>
      <c r="ZQ210" s="1"/>
      <c r="ZR210" s="1"/>
      <c r="ZS210" s="1"/>
      <c r="ZT210" s="1"/>
      <c r="ZU210" s="1"/>
      <c r="ZV210" s="1"/>
      <c r="ZW210" s="1"/>
      <c r="ZX210" s="1"/>
      <c r="ZY210" s="1"/>
      <c r="ZZ210" s="1"/>
      <c r="AAA210" s="1"/>
      <c r="AAB210" s="1"/>
      <c r="AAC210" s="1"/>
      <c r="AAD210" s="1"/>
      <c r="AAE210" s="1"/>
      <c r="AAF210" s="1"/>
      <c r="AAG210" s="1"/>
      <c r="AAH210" s="1"/>
      <c r="AAI210" s="1"/>
      <c r="AAJ210" s="1"/>
      <c r="AAK210" s="1"/>
      <c r="AAL210" s="1"/>
      <c r="AAM210" s="1"/>
      <c r="AAN210" s="1"/>
      <c r="AAO210" s="1"/>
      <c r="AAP210" s="1"/>
      <c r="AAQ210" s="1"/>
      <c r="AAR210" s="1"/>
      <c r="AAS210" s="1"/>
      <c r="AAT210" s="1"/>
      <c r="AAU210" s="1"/>
      <c r="AAV210" s="1"/>
      <c r="AAW210" s="1"/>
      <c r="AAX210" s="1"/>
      <c r="AAY210" s="1"/>
      <c r="AAZ210" s="1"/>
      <c r="ABA210" s="1"/>
      <c r="ABB210" s="1"/>
      <c r="ABC210" s="1"/>
      <c r="ABD210" s="1"/>
      <c r="ABE210" s="1"/>
      <c r="ABF210" s="1"/>
      <c r="ABG210" s="1"/>
      <c r="ABH210" s="1"/>
      <c r="ABI210" s="1"/>
      <c r="ABJ210" s="1"/>
      <c r="ABK210" s="1"/>
      <c r="ABL210" s="1"/>
      <c r="ABM210" s="1"/>
      <c r="ABN210" s="1"/>
      <c r="ABO210" s="1"/>
      <c r="ABP210" s="1"/>
      <c r="ABQ210" s="1"/>
      <c r="ABR210" s="1"/>
      <c r="ABS210" s="1"/>
      <c r="ABT210" s="1"/>
      <c r="ABU210" s="1"/>
      <c r="ABV210" s="1"/>
      <c r="ABW210" s="1"/>
      <c r="ABX210" s="1"/>
      <c r="ABY210" s="1"/>
      <c r="ABZ210" s="1"/>
      <c r="ACA210" s="1"/>
      <c r="ACB210" s="1"/>
      <c r="ACC210" s="1"/>
      <c r="ACD210" s="1"/>
      <c r="ACE210" s="1"/>
      <c r="ACF210" s="1"/>
      <c r="ACG210" s="1"/>
      <c r="ACH210" s="1"/>
      <c r="ACI210" s="1"/>
      <c r="ACJ210" s="1"/>
      <c r="ACK210" s="1"/>
      <c r="ACL210" s="1"/>
      <c r="ACM210" s="1"/>
      <c r="ACN210" s="1"/>
      <c r="ACO210" s="1"/>
      <c r="ACP210" s="1"/>
      <c r="ACQ210" s="1"/>
      <c r="ACR210" s="1"/>
      <c r="ACS210" s="1"/>
      <c r="ACT210" s="1"/>
      <c r="ACU210" s="1"/>
      <c r="ACV210" s="1"/>
      <c r="ACW210" s="1"/>
      <c r="ACX210" s="1"/>
      <c r="ACY210" s="1"/>
      <c r="ACZ210" s="1"/>
      <c r="ADA210" s="1"/>
      <c r="ADB210" s="1"/>
      <c r="ADC210" s="1"/>
      <c r="ADD210" s="1"/>
      <c r="ADE210" s="1"/>
      <c r="ADF210" s="1"/>
      <c r="ADG210" s="1"/>
      <c r="ADH210" s="1"/>
      <c r="ADI210" s="1"/>
      <c r="ADJ210" s="1"/>
      <c r="ADK210" s="1"/>
      <c r="ADL210" s="1"/>
      <c r="ADM210" s="1"/>
      <c r="ADN210" s="1"/>
      <c r="ADO210" s="1"/>
      <c r="ADP210" s="1"/>
      <c r="ADQ210" s="1"/>
      <c r="ADR210" s="1"/>
      <c r="ADS210" s="1"/>
      <c r="ADT210" s="1"/>
      <c r="ADU210" s="1"/>
      <c r="ADV210" s="1"/>
      <c r="ADW210" s="1"/>
      <c r="ADX210" s="1"/>
      <c r="ADY210" s="1"/>
      <c r="ADZ210" s="1"/>
      <c r="AEA210" s="1"/>
      <c r="AEB210" s="1"/>
      <c r="AEC210" s="1"/>
      <c r="AED210" s="1"/>
      <c r="AEE210" s="1"/>
      <c r="AEF210" s="1"/>
      <c r="AEG210" s="1"/>
      <c r="AEH210" s="1"/>
      <c r="AEI210" s="1"/>
      <c r="AEJ210" s="1"/>
      <c r="AEK210" s="1"/>
      <c r="AEL210" s="1"/>
      <c r="AEM210" s="1"/>
      <c r="AEN210" s="1"/>
      <c r="AEO210" s="1"/>
      <c r="AEP210" s="1"/>
      <c r="AEQ210" s="1"/>
      <c r="AER210" s="1"/>
      <c r="AES210" s="1"/>
      <c r="AET210" s="1"/>
      <c r="AEU210" s="1"/>
      <c r="AEV210" s="1"/>
      <c r="AEW210" s="1"/>
      <c r="AEX210" s="1"/>
      <c r="AEY210" s="1"/>
      <c r="AEZ210" s="1"/>
      <c r="AFA210" s="1"/>
      <c r="AFB210" s="1"/>
      <c r="AFC210" s="1"/>
      <c r="AFD210" s="1"/>
      <c r="AFE210" s="1"/>
      <c r="AFF210" s="1"/>
      <c r="AFG210" s="1"/>
      <c r="AFH210" s="1"/>
      <c r="AFI210" s="1"/>
      <c r="AFJ210" s="1"/>
      <c r="AFK210" s="1"/>
      <c r="AFL210" s="1"/>
      <c r="AFM210" s="1"/>
      <c r="AFN210" s="1"/>
      <c r="AFO210" s="1"/>
      <c r="AFP210" s="1"/>
      <c r="AFQ210" s="1"/>
      <c r="AFR210" s="1"/>
      <c r="AFS210" s="1"/>
      <c r="AFT210" s="1"/>
      <c r="AFU210" s="1"/>
      <c r="AFV210" s="1"/>
      <c r="AFW210" s="1"/>
      <c r="AFX210" s="1"/>
      <c r="AFY210" s="1"/>
      <c r="AFZ210" s="1"/>
      <c r="AGA210" s="1"/>
      <c r="AGB210" s="1"/>
      <c r="AGC210" s="1"/>
      <c r="AGD210" s="1"/>
      <c r="AGE210" s="1"/>
      <c r="AGF210" s="1"/>
      <c r="AGG210" s="1"/>
      <c r="AGH210" s="1"/>
      <c r="AGI210" s="1"/>
      <c r="AGJ210" s="1"/>
      <c r="AGK210" s="1"/>
      <c r="AGL210" s="1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"/>
      <c r="AJE210" s="1"/>
      <c r="AJF210" s="1"/>
      <c r="AJG210" s="1"/>
      <c r="AJH210" s="1"/>
      <c r="AJI210" s="1"/>
      <c r="AJJ210" s="1"/>
      <c r="AJK210" s="1"/>
      <c r="AJL210" s="1"/>
      <c r="AJM210" s="1"/>
      <c r="AJN210" s="1"/>
      <c r="AJO210" s="1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1"/>
      <c r="AKD210" s="1"/>
      <c r="AKE210" s="1"/>
      <c r="AKF210" s="1"/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/>
      <c r="ALA210" s="1"/>
      <c r="ALB210" s="1"/>
      <c r="ALC210" s="1"/>
      <c r="ALD210" s="1"/>
      <c r="ALE210" s="1"/>
      <c r="ALF210" s="1"/>
      <c r="ALG210" s="1"/>
      <c r="ALH210" s="1"/>
      <c r="ALI210" s="1"/>
      <c r="ALJ210" s="1"/>
      <c r="ALK210" s="1"/>
      <c r="ALL210" s="1"/>
      <c r="ALM210" s="1"/>
      <c r="ALN210" s="1"/>
      <c r="ALO210" s="1"/>
      <c r="ALP210" s="1"/>
      <c r="ALQ210" s="1"/>
      <c r="ALR210" s="1"/>
      <c r="ALS210" s="1"/>
      <c r="ALT210" s="1"/>
      <c r="ALU210" s="1"/>
      <c r="ALV210" s="1"/>
      <c r="ALW210" s="1"/>
      <c r="ALX210" s="1"/>
      <c r="ALY210" s="1"/>
      <c r="ALZ210" s="1"/>
      <c r="AMA210" s="1"/>
      <c r="AMB210" s="1"/>
      <c r="AMC210" s="1"/>
      <c r="AMD210" s="1"/>
      <c r="AME210" s="1"/>
      <c r="AMF210" s="1"/>
      <c r="AMG210" s="1"/>
      <c r="AMH210" s="1"/>
      <c r="AMI210" s="1"/>
      <c r="AMJ210" s="1"/>
      <c r="AMK210" s="1"/>
      <c r="AML210" s="1"/>
      <c r="AMM210" s="1"/>
      <c r="AMN210" s="1"/>
      <c r="AMO210" s="1"/>
    </row>
    <row r="211" spans="1:1029" x14ac:dyDescent="0.2">
      <c r="A211" s="3" t="str">
        <f>CONCATENATE(B211,"_",C211)</f>
        <v>drd2_human_6CM4</v>
      </c>
      <c r="B211" s="3" t="s">
        <v>191</v>
      </c>
      <c r="C211" s="3" t="s">
        <v>1470</v>
      </c>
      <c r="D211" s="3" t="str">
        <f>IFERROR(MID(VLOOKUP($B211,Seqs!$A:$B,2,0),E211,1),"")</f>
        <v>N</v>
      </c>
      <c r="E211" s="3">
        <v>35</v>
      </c>
      <c r="F211" s="3" t="str">
        <f>IFERROR(MID(VLOOKUP($B211,Seqs!$A:$B,2,0),G211,1),"")</f>
        <v>E</v>
      </c>
      <c r="G211" s="3">
        <v>62</v>
      </c>
      <c r="H211" s="3" t="str">
        <f>IFERROR(MID(VLOOKUP($B211,Seqs!$A:$B,2,0),I211,1),"")</f>
        <v>K</v>
      </c>
      <c r="I211" s="23">
        <v>63</v>
      </c>
      <c r="J211" s="3" t="str">
        <f>IFERROR(MID(VLOOKUP($B211,Seqs!$A:$B,2,0),K211,1),"")</f>
        <v>Q</v>
      </c>
      <c r="K211" s="23">
        <v>66</v>
      </c>
      <c r="L211" s="3" t="str">
        <f>IFERROR(MID(VLOOKUP($B211,Seqs!$A:$B,2,0),M211,1),"")</f>
        <v>T</v>
      </c>
      <c r="M211" s="3">
        <v>67</v>
      </c>
      <c r="N211" s="3" t="str">
        <f>IFERROR(MID(VLOOKUP($B211,Seqs!$A:$B,2,0),O211,1),"")</f>
        <v>G</v>
      </c>
      <c r="O211" s="3">
        <v>98</v>
      </c>
      <c r="P211" s="3" t="str">
        <f>IFERROR(MID(VLOOKUP($B211,Seqs!$A:$B,2,0),Q211,1),"")</f>
        <v>E</v>
      </c>
      <c r="Q211" s="3">
        <v>99</v>
      </c>
      <c r="R211" s="3" t="str">
        <f>IFERROR(MID(VLOOKUP($B211,Seqs!$A:$B,2,0),S211,1),"")</f>
        <v>F</v>
      </c>
      <c r="S211" s="3">
        <v>102</v>
      </c>
      <c r="T211" s="3" t="str">
        <f>IFERROR(MID(VLOOKUP($B211,Seqs!$A:$B,2,0),U211,1),"")</f>
        <v>S</v>
      </c>
      <c r="U211" s="3">
        <v>103</v>
      </c>
      <c r="V211" s="3" t="str">
        <f>IFERROR(MID(VLOOKUP($B211,Seqs!$A:$B,2,0),W211,1),"")</f>
        <v>M</v>
      </c>
      <c r="W211" s="3">
        <v>138</v>
      </c>
      <c r="X211" s="3" t="str">
        <f>IFERROR(MID(VLOOKUP($B211,Seqs!$A:$B,2,0),Y211,1),"")</f>
        <v/>
      </c>
      <c r="Y211" s="3" t="s">
        <v>23</v>
      </c>
      <c r="Z211" s="3" t="str">
        <f>IFERROR(MID(VLOOKUP($B211,Seqs!$A:$B,2,0),AA211,1),"")</f>
        <v/>
      </c>
      <c r="AA211" s="3" t="s">
        <v>23</v>
      </c>
      <c r="AB211" s="3" t="str">
        <f>IFERROR(MID(VLOOKUP($B211,Seqs!$A:$B,2,0),AC211,1),"")</f>
        <v>Y</v>
      </c>
      <c r="AC211" s="3">
        <v>146</v>
      </c>
      <c r="AD211" s="3" t="str">
        <f>IFERROR(MID(VLOOKUP($B211,Seqs!$A:$B,2,0),AE211,1),"")</f>
        <v>F</v>
      </c>
      <c r="AE211" s="3">
        <v>172</v>
      </c>
      <c r="AF211" s="3" t="str">
        <f>IFERROR(MID(VLOOKUP($B211,Seqs!$A:$B,2,0),AG211,1),"")</f>
        <v>C</v>
      </c>
      <c r="AG211" s="3">
        <v>182</v>
      </c>
      <c r="AH211" s="3" t="str">
        <f>IFERROR(MID(VLOOKUP($B211,Seqs!$A:$B,2,0),AI211,1),"")</f>
        <v>I</v>
      </c>
      <c r="AI211" s="3">
        <v>184</v>
      </c>
      <c r="AJ211" s="3" t="str">
        <f>IFERROR(MID(VLOOKUP($B211,Seqs!$A:$B,2,0),AK211,1),"")</f>
        <v>A</v>
      </c>
      <c r="AK211" s="3">
        <v>188</v>
      </c>
      <c r="AL211" s="3" t="str">
        <f>IFERROR(MID(VLOOKUP($B211,Seqs!$A:$B,2,0),AM211,1),"")</f>
        <v>R</v>
      </c>
      <c r="AM211" s="3">
        <v>222</v>
      </c>
      <c r="AN211" s="3" t="str">
        <f>IFERROR(MID(VLOOKUP($B211,Seqs!$A:$B,2,0),AO211,1),"")</f>
        <v>E</v>
      </c>
      <c r="AO211" s="3">
        <v>368</v>
      </c>
      <c r="AP211" s="3" t="str">
        <f>IFERROR(MID(VLOOKUP($B211,Seqs!$A:$B,2,0),AQ211,1),"")</f>
        <v>C</v>
      </c>
      <c r="AQ211" s="3">
        <v>399</v>
      </c>
      <c r="AR211" s="3" t="str">
        <f>IFERROR(MID(VLOOKUP($B211,Seqs!$A:$B,2,0),AS211,1),"")</f>
        <v>P</v>
      </c>
      <c r="AS211" s="3">
        <v>404</v>
      </c>
      <c r="AT211" s="3" t="str">
        <f>IFERROR(MID(VLOOKUP($B211,Seqs!$A:$B,2,0),AU211,1),"")</f>
        <v>F</v>
      </c>
      <c r="AU211" s="3">
        <v>429</v>
      </c>
      <c r="AV211" s="3" t="str">
        <f>IFERROR(MID(VLOOKUP($B211,Seqs!$A:$B,2,0),AW211,1),"")</f>
        <v>N</v>
      </c>
      <c r="AW211" s="3">
        <v>430</v>
      </c>
      <c r="AX211" s="3" t="str">
        <f>IFERROR(MID(VLOOKUP($B211,Seqs!$A:$B,2,0),AY211,1),"")</f>
        <v>H</v>
      </c>
      <c r="AY211" s="3">
        <v>442</v>
      </c>
      <c r="AZ211" s="77" t="str">
        <f>VLOOKUP(B211,Classification!A:D,2,0)</f>
        <v>A</v>
      </c>
      <c r="BA211" s="94" t="str">
        <f>VLOOKUP(B211,Classification!A:D,4,0)</f>
        <v>Dopamine</v>
      </c>
      <c r="BB211" s="27" t="b">
        <f>AND(E211&lt;G211,OR(G211&lt;I211,I211="-"),OR(I211&lt;K211,I211="-"),OR(K211&lt;M211,K211="-"),M211&lt;O211,OR(O211&lt;Q211,Q211="-"),OR(Q211&lt;S211,Q211="-"),OR(S211&lt;U211,S211="-"),U211&lt;W211,OR(W211&lt;Y211,Y211="-"),OR(Y211&lt;AA211,Y211="-"),OR(AA211&lt;AC211,AA211="-"),AC211&lt;AE211,OR(AE211&lt;AG211,AG211="-"),OR(AG211&lt;AI211,AG211="-"),OR(AI211&lt;AK211,AI211="-"),AK211&lt;AM211,AM211&lt;AO211,AO211&lt;AQ211,AQ211&lt;AS211,AS211&lt;AU211,OR(AU211&lt;AW211,AW211="-"),OR(AW211&lt;AY211,AW211="-"))</f>
        <v>1</v>
      </c>
      <c r="BC211" s="23">
        <f>_xlfn.AGGREGATE(9,6,CH211:CS211)-_xlfn.AGGREGATE(9,6,BV211:CG211)+12</f>
        <v>241</v>
      </c>
      <c r="BD211" s="56" t="s">
        <v>1370</v>
      </c>
      <c r="BE211" s="3" t="s">
        <v>1368</v>
      </c>
      <c r="BF211" s="118">
        <v>2.87</v>
      </c>
      <c r="BG211" s="49" t="s">
        <v>1</v>
      </c>
      <c r="BH211" s="49" t="s">
        <v>1</v>
      </c>
      <c r="BI211" s="1"/>
      <c r="BJ211" s="70" t="s">
        <v>1281</v>
      </c>
      <c r="BK211" s="57" t="s">
        <v>1281</v>
      </c>
      <c r="BL211" s="57" t="s">
        <v>1281</v>
      </c>
      <c r="BM211" s="57" t="s">
        <v>1281</v>
      </c>
      <c r="BN211" s="57" t="s">
        <v>1281</v>
      </c>
      <c r="BO211" s="57" t="s">
        <v>1281</v>
      </c>
      <c r="BP211" s="57" t="s">
        <v>1281</v>
      </c>
      <c r="BQ211" s="57" t="s">
        <v>1281</v>
      </c>
      <c r="BR211" s="57" t="s">
        <v>1281</v>
      </c>
      <c r="BS211" s="57" t="s">
        <v>1281</v>
      </c>
      <c r="BT211" s="57" t="s">
        <v>1281</v>
      </c>
      <c r="BU211" s="57" t="s">
        <v>1281</v>
      </c>
      <c r="BV211" s="70">
        <f>E211</f>
        <v>35</v>
      </c>
      <c r="BW211" s="71">
        <f>I211</f>
        <v>63</v>
      </c>
      <c r="BX211" s="72">
        <f>M211</f>
        <v>67</v>
      </c>
      <c r="BY211" s="71">
        <f>Q211</f>
        <v>99</v>
      </c>
      <c r="BZ211" s="72">
        <f>U211</f>
        <v>103</v>
      </c>
      <c r="CA211" s="71" t="str">
        <f>Y211</f>
        <v>-</v>
      </c>
      <c r="CB211" s="72">
        <f>AC211</f>
        <v>146</v>
      </c>
      <c r="CC211" s="71">
        <f>AG211</f>
        <v>182</v>
      </c>
      <c r="CD211" s="72">
        <f>AK211</f>
        <v>188</v>
      </c>
      <c r="CE211" s="71">
        <f>AO211</f>
        <v>368</v>
      </c>
      <c r="CF211" s="72">
        <f>AS211</f>
        <v>404</v>
      </c>
      <c r="CG211" s="71">
        <f>AW211</f>
        <v>430</v>
      </c>
      <c r="CH211" s="70">
        <f>G211</f>
        <v>62</v>
      </c>
      <c r="CI211" s="71">
        <f>K211</f>
        <v>66</v>
      </c>
      <c r="CJ211" s="72">
        <f>O211</f>
        <v>98</v>
      </c>
      <c r="CK211" s="72">
        <f>S211</f>
        <v>102</v>
      </c>
      <c r="CL211" s="72">
        <f>W211</f>
        <v>138</v>
      </c>
      <c r="CM211" s="72" t="str">
        <f>AA211</f>
        <v>-</v>
      </c>
      <c r="CN211" s="72">
        <f>AE211</f>
        <v>172</v>
      </c>
      <c r="CO211" s="72">
        <f>AI211</f>
        <v>184</v>
      </c>
      <c r="CP211" s="72">
        <f>AM211</f>
        <v>222</v>
      </c>
      <c r="CQ211" s="72">
        <f>AQ211</f>
        <v>399</v>
      </c>
      <c r="CR211" s="72">
        <f>AU211</f>
        <v>429</v>
      </c>
      <c r="CS211" s="72">
        <f>AY211</f>
        <v>442</v>
      </c>
      <c r="CT211" s="23">
        <f>M211-K211</f>
        <v>1</v>
      </c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/>
      <c r="VU211" s="1"/>
      <c r="VV211" s="1"/>
      <c r="VW211" s="1"/>
      <c r="VX211" s="1"/>
      <c r="VY211" s="1"/>
      <c r="VZ211" s="1"/>
      <c r="WA211" s="1"/>
      <c r="WB211" s="1"/>
      <c r="WC211" s="1"/>
      <c r="WD211" s="1"/>
      <c r="WE211" s="1"/>
      <c r="WF211" s="1"/>
      <c r="WG211" s="1"/>
      <c r="WH211" s="1"/>
      <c r="WI211" s="1"/>
      <c r="WJ211" s="1"/>
      <c r="WK211" s="1"/>
      <c r="WL211" s="1"/>
      <c r="WM211" s="1"/>
      <c r="WN211" s="1"/>
      <c r="WO211" s="1"/>
      <c r="WP211" s="1"/>
      <c r="WQ211" s="1"/>
      <c r="WR211" s="1"/>
      <c r="WS211" s="1"/>
      <c r="WT211" s="1"/>
      <c r="WU211" s="1"/>
      <c r="WV211" s="1"/>
      <c r="WW211" s="1"/>
      <c r="WX211" s="1"/>
      <c r="WY211" s="1"/>
      <c r="WZ211" s="1"/>
      <c r="XA211" s="1"/>
      <c r="XB211" s="1"/>
      <c r="XC211" s="1"/>
      <c r="XD211" s="1"/>
      <c r="XE211" s="1"/>
      <c r="XF211" s="1"/>
      <c r="XG211" s="1"/>
      <c r="XH211" s="1"/>
      <c r="XI211" s="1"/>
      <c r="XJ211" s="1"/>
      <c r="XK211" s="1"/>
      <c r="XL211" s="1"/>
      <c r="XM211" s="1"/>
      <c r="XN211" s="1"/>
      <c r="XO211" s="1"/>
      <c r="XP211" s="1"/>
      <c r="XQ211" s="1"/>
      <c r="XR211" s="1"/>
      <c r="XS211" s="1"/>
      <c r="XT211" s="1"/>
      <c r="XU211" s="1"/>
      <c r="XV211" s="1"/>
      <c r="XW211" s="1"/>
      <c r="XX211" s="1"/>
      <c r="XY211" s="1"/>
      <c r="XZ211" s="1"/>
      <c r="YA211" s="1"/>
      <c r="YB211" s="1"/>
      <c r="YC211" s="1"/>
      <c r="YD211" s="1"/>
      <c r="YE211" s="1"/>
      <c r="YF211" s="1"/>
      <c r="YG211" s="1"/>
      <c r="YH211" s="1"/>
      <c r="YI211" s="1"/>
      <c r="YJ211" s="1"/>
      <c r="YK211" s="1"/>
      <c r="YL211" s="1"/>
      <c r="YM211" s="1"/>
      <c r="YN211" s="1"/>
      <c r="YO211" s="1"/>
      <c r="YP211" s="1"/>
      <c r="YQ211" s="1"/>
      <c r="YR211" s="1"/>
      <c r="YS211" s="1"/>
      <c r="YT211" s="1"/>
      <c r="YU211" s="1"/>
      <c r="YV211" s="1"/>
      <c r="YW211" s="1"/>
      <c r="YX211" s="1"/>
      <c r="YY211" s="1"/>
      <c r="YZ211" s="1"/>
      <c r="ZA211" s="1"/>
      <c r="ZB211" s="1"/>
      <c r="ZC211" s="1"/>
      <c r="ZD211" s="1"/>
      <c r="ZE211" s="1"/>
      <c r="ZF211" s="1"/>
      <c r="ZG211" s="1"/>
      <c r="ZH211" s="1"/>
      <c r="ZI211" s="1"/>
      <c r="ZJ211" s="1"/>
      <c r="ZK211" s="1"/>
      <c r="ZL211" s="1"/>
      <c r="ZM211" s="1"/>
      <c r="ZN211" s="1"/>
      <c r="ZO211" s="1"/>
      <c r="ZP211" s="1"/>
      <c r="ZQ211" s="1"/>
      <c r="ZR211" s="1"/>
      <c r="ZS211" s="1"/>
      <c r="ZT211" s="1"/>
      <c r="ZU211" s="1"/>
      <c r="ZV211" s="1"/>
      <c r="ZW211" s="1"/>
      <c r="ZX211" s="1"/>
      <c r="ZY211" s="1"/>
      <c r="ZZ211" s="1"/>
      <c r="AAA211" s="1"/>
      <c r="AAB211" s="1"/>
      <c r="AAC211" s="1"/>
      <c r="AAD211" s="1"/>
      <c r="AAE211" s="1"/>
      <c r="AAF211" s="1"/>
      <c r="AAG211" s="1"/>
      <c r="AAH211" s="1"/>
      <c r="AAI211" s="1"/>
      <c r="AAJ211" s="1"/>
      <c r="AAK211" s="1"/>
      <c r="AAL211" s="1"/>
      <c r="AAM211" s="1"/>
      <c r="AAN211" s="1"/>
      <c r="AAO211" s="1"/>
      <c r="AAP211" s="1"/>
      <c r="AAQ211" s="1"/>
      <c r="AAR211" s="1"/>
      <c r="AAS211" s="1"/>
      <c r="AAT211" s="1"/>
      <c r="AAU211" s="1"/>
      <c r="AAV211" s="1"/>
      <c r="AAW211" s="1"/>
      <c r="AAX211" s="1"/>
      <c r="AAY211" s="1"/>
      <c r="AAZ211" s="1"/>
      <c r="ABA211" s="1"/>
      <c r="ABB211" s="1"/>
      <c r="ABC211" s="1"/>
      <c r="ABD211" s="1"/>
      <c r="ABE211" s="1"/>
      <c r="ABF211" s="1"/>
      <c r="ABG211" s="1"/>
      <c r="ABH211" s="1"/>
      <c r="ABI211" s="1"/>
      <c r="ABJ211" s="1"/>
      <c r="ABK211" s="1"/>
      <c r="ABL211" s="1"/>
      <c r="ABM211" s="1"/>
      <c r="ABN211" s="1"/>
      <c r="ABO211" s="1"/>
      <c r="ABP211" s="1"/>
      <c r="ABQ211" s="1"/>
      <c r="ABR211" s="1"/>
      <c r="ABS211" s="1"/>
      <c r="ABT211" s="1"/>
      <c r="ABU211" s="1"/>
      <c r="ABV211" s="1"/>
      <c r="ABW211" s="1"/>
      <c r="ABX211" s="1"/>
      <c r="ABY211" s="1"/>
      <c r="ABZ211" s="1"/>
      <c r="ACA211" s="1"/>
      <c r="ACB211" s="1"/>
      <c r="ACC211" s="1"/>
      <c r="ACD211" s="1"/>
      <c r="ACE211" s="1"/>
      <c r="ACF211" s="1"/>
      <c r="ACG211" s="1"/>
      <c r="ACH211" s="1"/>
      <c r="ACI211" s="1"/>
      <c r="ACJ211" s="1"/>
      <c r="ACK211" s="1"/>
      <c r="ACL211" s="1"/>
      <c r="ACM211" s="1"/>
      <c r="ACN211" s="1"/>
      <c r="ACO211" s="1"/>
      <c r="ACP211" s="1"/>
      <c r="ACQ211" s="1"/>
      <c r="ACR211" s="1"/>
      <c r="ACS211" s="1"/>
      <c r="ACT211" s="1"/>
      <c r="ACU211" s="1"/>
      <c r="ACV211" s="1"/>
      <c r="ACW211" s="1"/>
      <c r="ACX211" s="1"/>
      <c r="ACY211" s="1"/>
      <c r="ACZ211" s="1"/>
      <c r="ADA211" s="1"/>
      <c r="ADB211" s="1"/>
      <c r="ADC211" s="1"/>
      <c r="ADD211" s="1"/>
      <c r="ADE211" s="1"/>
      <c r="ADF211" s="1"/>
      <c r="ADG211" s="1"/>
      <c r="ADH211" s="1"/>
      <c r="ADI211" s="1"/>
      <c r="ADJ211" s="1"/>
      <c r="ADK211" s="1"/>
      <c r="ADL211" s="1"/>
      <c r="ADM211" s="1"/>
      <c r="ADN211" s="1"/>
      <c r="ADO211" s="1"/>
      <c r="ADP211" s="1"/>
      <c r="ADQ211" s="1"/>
      <c r="ADR211" s="1"/>
      <c r="ADS211" s="1"/>
      <c r="ADT211" s="1"/>
      <c r="ADU211" s="1"/>
      <c r="ADV211" s="1"/>
      <c r="ADW211" s="1"/>
      <c r="ADX211" s="1"/>
      <c r="ADY211" s="1"/>
      <c r="ADZ211" s="1"/>
      <c r="AEA211" s="1"/>
      <c r="AEB211" s="1"/>
      <c r="AEC211" s="1"/>
      <c r="AED211" s="1"/>
      <c r="AEE211" s="1"/>
      <c r="AEF211" s="1"/>
      <c r="AEG211" s="1"/>
      <c r="AEH211" s="1"/>
      <c r="AEI211" s="1"/>
      <c r="AEJ211" s="1"/>
      <c r="AEK211" s="1"/>
      <c r="AEL211" s="1"/>
      <c r="AEM211" s="1"/>
      <c r="AEN211" s="1"/>
      <c r="AEO211" s="1"/>
      <c r="AEP211" s="1"/>
      <c r="AEQ211" s="1"/>
      <c r="AER211" s="1"/>
      <c r="AES211" s="1"/>
      <c r="AET211" s="1"/>
      <c r="AEU211" s="1"/>
      <c r="AEV211" s="1"/>
      <c r="AEW211" s="1"/>
      <c r="AEX211" s="1"/>
      <c r="AEY211" s="1"/>
      <c r="AEZ211" s="1"/>
      <c r="AFA211" s="1"/>
      <c r="AFB211" s="1"/>
      <c r="AFC211" s="1"/>
      <c r="AFD211" s="1"/>
      <c r="AFE211" s="1"/>
      <c r="AFF211" s="1"/>
      <c r="AFG211" s="1"/>
      <c r="AFH211" s="1"/>
      <c r="AFI211" s="1"/>
      <c r="AFJ211" s="1"/>
      <c r="AFK211" s="1"/>
      <c r="AFL211" s="1"/>
      <c r="AFM211" s="1"/>
      <c r="AFN211" s="1"/>
      <c r="AFO211" s="1"/>
      <c r="AFP211" s="1"/>
      <c r="AFQ211" s="1"/>
      <c r="AFR211" s="1"/>
      <c r="AFS211" s="1"/>
      <c r="AFT211" s="1"/>
      <c r="AFU211" s="1"/>
      <c r="AFV211" s="1"/>
      <c r="AFW211" s="1"/>
      <c r="AFX211" s="1"/>
      <c r="AFY211" s="1"/>
      <c r="AFZ211" s="1"/>
      <c r="AGA211" s="1"/>
      <c r="AGB211" s="1"/>
      <c r="AGC211" s="1"/>
      <c r="AGD211" s="1"/>
      <c r="AGE211" s="1"/>
      <c r="AGF211" s="1"/>
      <c r="AGG211" s="1"/>
      <c r="AGH211" s="1"/>
      <c r="AGI211" s="1"/>
      <c r="AGJ211" s="1"/>
      <c r="AGK211" s="1"/>
      <c r="AGL211" s="1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  <c r="AHQ211" s="1"/>
      <c r="AHR211" s="1"/>
      <c r="AHS211" s="1"/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"/>
      <c r="AJE211" s="1"/>
      <c r="AJF211" s="1"/>
      <c r="AJG211" s="1"/>
      <c r="AJH211" s="1"/>
      <c r="AJI211" s="1"/>
      <c r="AJJ211" s="1"/>
      <c r="AJK211" s="1"/>
      <c r="AJL211" s="1"/>
      <c r="AJM211" s="1"/>
      <c r="AJN211" s="1"/>
      <c r="AJO211" s="1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1"/>
      <c r="AKD211" s="1"/>
      <c r="AKE211" s="1"/>
      <c r="AKF211" s="1"/>
      <c r="AKG211" s="1"/>
      <c r="AKH211" s="1"/>
      <c r="AKI211" s="1"/>
      <c r="AKJ211" s="1"/>
      <c r="AKK211" s="1"/>
      <c r="AKL211" s="1"/>
      <c r="AKM211" s="1"/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/>
      <c r="ALA211" s="1"/>
      <c r="ALB211" s="1"/>
      <c r="ALC211" s="1"/>
      <c r="ALD211" s="1"/>
      <c r="ALE211" s="1"/>
      <c r="ALF211" s="1"/>
      <c r="ALG211" s="1"/>
      <c r="ALH211" s="1"/>
      <c r="ALI211" s="1"/>
      <c r="ALJ211" s="1"/>
      <c r="ALK211" s="1"/>
      <c r="ALL211" s="1"/>
      <c r="ALM211" s="1"/>
      <c r="ALN211" s="1"/>
      <c r="ALO211" s="1"/>
      <c r="ALP211" s="1"/>
      <c r="ALQ211" s="1"/>
      <c r="ALR211" s="1"/>
      <c r="ALS211" s="1"/>
      <c r="ALT211" s="1"/>
      <c r="ALU211" s="1"/>
      <c r="ALV211" s="1"/>
      <c r="ALW211" s="1"/>
      <c r="ALX211" s="1"/>
      <c r="ALY211" s="1"/>
      <c r="ALZ211" s="1"/>
      <c r="AMA211" s="1"/>
      <c r="AMB211" s="1"/>
      <c r="AMC211" s="1"/>
      <c r="AMD211" s="1"/>
      <c r="AME211" s="1"/>
      <c r="AMF211" s="1"/>
      <c r="AMG211" s="1"/>
      <c r="AMH211" s="1"/>
      <c r="AMI211" s="1"/>
      <c r="AMJ211" s="1"/>
      <c r="AMK211" s="1"/>
      <c r="AML211" s="1"/>
      <c r="AMM211" s="1"/>
      <c r="AMN211" s="1"/>
      <c r="AMO211" s="1"/>
    </row>
    <row r="212" spans="1:1029" s="12" customFormat="1" x14ac:dyDescent="0.2">
      <c r="A212" s="9" t="str">
        <f>CONCATENATE(B212,"_",C212)</f>
        <v>drd2_human_6LUQ</v>
      </c>
      <c r="B212" s="9" t="s">
        <v>191</v>
      </c>
      <c r="C212" s="9" t="s">
        <v>1650</v>
      </c>
      <c r="D212" s="9" t="str">
        <f>IFERROR(MID(VLOOKUP($B212,Seqs!$A:$B,2,0),E212,1),"")</f>
        <v>Y</v>
      </c>
      <c r="E212" s="9">
        <v>36</v>
      </c>
      <c r="F212" s="9" t="str">
        <f>IFERROR(MID(VLOOKUP($B212,Seqs!$A:$B,2,0),G212,1),"")</f>
        <v>E</v>
      </c>
      <c r="G212" s="9">
        <v>62</v>
      </c>
      <c r="H212" s="9" t="str">
        <f>IFERROR(MID(VLOOKUP($B212,Seqs!$A:$B,2,0),I212,1),"")</f>
        <v>K</v>
      </c>
      <c r="I212" s="109">
        <v>63</v>
      </c>
      <c r="J212" s="9" t="str">
        <f>IFERROR(MID(VLOOKUP($B212,Seqs!$A:$B,2,0),K212,1),"")</f>
        <v>Q</v>
      </c>
      <c r="K212" s="109">
        <v>66</v>
      </c>
      <c r="L212" s="9" t="str">
        <f>IFERROR(MID(VLOOKUP($B212,Seqs!$A:$B,2,0),M212,1),"")</f>
        <v>T</v>
      </c>
      <c r="M212" s="9">
        <v>67</v>
      </c>
      <c r="N212" s="9" t="str">
        <f>IFERROR(MID(VLOOKUP($B212,Seqs!$A:$B,2,0),O212,1),"")</f>
        <v>G</v>
      </c>
      <c r="O212" s="9">
        <v>98</v>
      </c>
      <c r="P212" s="9" t="str">
        <f>IFERROR(MID(VLOOKUP($B212,Seqs!$A:$B,2,0),Q212,1),"")</f>
        <v>E</v>
      </c>
      <c r="Q212" s="9">
        <v>99</v>
      </c>
      <c r="R212" s="9" t="str">
        <f>IFERROR(MID(VLOOKUP($B212,Seqs!$A:$B,2,0),S212,1),"")</f>
        <v>F</v>
      </c>
      <c r="S212" s="9">
        <v>102</v>
      </c>
      <c r="T212" s="9" t="str">
        <f>IFERROR(MID(VLOOKUP($B212,Seqs!$A:$B,2,0),U212,1),"")</f>
        <v>S</v>
      </c>
      <c r="U212" s="9">
        <v>103</v>
      </c>
      <c r="V212" s="9" t="str">
        <f>IFERROR(MID(VLOOKUP($B212,Seqs!$A:$B,2,0),W212,1),"")</f>
        <v>M</v>
      </c>
      <c r="W212" s="9">
        <v>138</v>
      </c>
      <c r="X212" s="9" t="str">
        <f>IFERROR(MID(VLOOKUP($B212,Seqs!$A:$B,2,0),Y212,1),"")</f>
        <v/>
      </c>
      <c r="Y212" s="9" t="s">
        <v>23</v>
      </c>
      <c r="Z212" s="9" t="str">
        <f>IFERROR(MID(VLOOKUP($B212,Seqs!$A:$B,2,0),AA212,1),"")</f>
        <v/>
      </c>
      <c r="AA212" s="9" t="s">
        <v>23</v>
      </c>
      <c r="AB212" s="9" t="str">
        <f>IFERROR(MID(VLOOKUP($B212,Seqs!$A:$B,2,0),AC212,1),"")</f>
        <v>R</v>
      </c>
      <c r="AC212" s="9">
        <v>145</v>
      </c>
      <c r="AD212" s="9" t="str">
        <f>IFERROR(MID(VLOOKUP($B212,Seqs!$A:$B,2,0),AE212,1),"")</f>
        <v>G</v>
      </c>
      <c r="AE212" s="9">
        <v>173</v>
      </c>
      <c r="AF212" s="9" t="str">
        <f>IFERROR(MID(VLOOKUP($B212,Seqs!$A:$B,2,0),AG212,1),"")</f>
        <v>C</v>
      </c>
      <c r="AG212" s="9">
        <v>182</v>
      </c>
      <c r="AH212" s="9" t="str">
        <f>IFERROR(MID(VLOOKUP($B212,Seqs!$A:$B,2,0),AI212,1),"")</f>
        <v>I</v>
      </c>
      <c r="AI212" s="9">
        <v>184</v>
      </c>
      <c r="AJ212" s="9" t="str">
        <f>IFERROR(MID(VLOOKUP($B212,Seqs!$A:$B,2,0),AK212,1),"")</f>
        <v>A</v>
      </c>
      <c r="AK212" s="9">
        <v>188</v>
      </c>
      <c r="AL212" s="9" t="str">
        <f>IFERROR(MID(VLOOKUP($B212,Seqs!$A:$B,2,0),AM212,1),"")</f>
        <v>R</v>
      </c>
      <c r="AM212" s="9">
        <v>222</v>
      </c>
      <c r="AN212" s="9" t="str">
        <f>IFERROR(MID(VLOOKUP($B212,Seqs!$A:$B,2,0),AO212,1),"")</f>
        <v>L</v>
      </c>
      <c r="AO212" s="9">
        <v>387</v>
      </c>
      <c r="AP212" s="9" t="str">
        <f>IFERROR(MID(VLOOKUP($B212,Seqs!$A:$B,2,0),AQ212,1),"")</f>
        <v>A</v>
      </c>
      <c r="AQ212" s="9">
        <v>420</v>
      </c>
      <c r="AR212" s="9" t="str">
        <f>IFERROR(MID(VLOOKUP($B212,Seqs!$A:$B,2,0),AS212,1),"")</f>
        <v>I</v>
      </c>
      <c r="AS212" s="9">
        <v>425</v>
      </c>
      <c r="AT212" s="9" t="str">
        <f>IFERROR(MID(VLOOKUP($B212,Seqs!$A:$B,2,0),AU212,1),"")</f>
        <v/>
      </c>
      <c r="AU212" s="9">
        <v>450</v>
      </c>
      <c r="AV212" s="9" t="str">
        <f>IFERROR(MID(VLOOKUP($B212,Seqs!$A:$B,2,0),AW212,1),"")</f>
        <v/>
      </c>
      <c r="AW212" s="9">
        <v>451</v>
      </c>
      <c r="AX212" s="9" t="str">
        <f>IFERROR(MID(VLOOKUP($B212,Seqs!$A:$B,2,0),AY212,1),"")</f>
        <v/>
      </c>
      <c r="AY212" s="9">
        <v>463</v>
      </c>
      <c r="AZ212" s="110" t="str">
        <f>VLOOKUP(B212,Classification!A:D,2,0)</f>
        <v>A</v>
      </c>
      <c r="BA212" s="98" t="str">
        <f>VLOOKUP(B212,Classification!A:D,4,0)</f>
        <v>Dopamine</v>
      </c>
      <c r="BB212" s="36" t="b">
        <f>AND(E212&lt;G212,OR(G212&lt;I212,I212="-"),OR(I212&lt;K212,I212="-"),OR(K212&lt;M212,K212="-"),M212&lt;O212,OR(O212&lt;Q212,Q212="-"),OR(Q212&lt;S212,Q212="-"),OR(S212&lt;U212,S212="-"),U212&lt;W212,OR(W212&lt;Y212,Y212="-"),OR(Y212&lt;AA212,Y212="-"),OR(AA212&lt;AC212,AA212="-"),AC212&lt;AE212,OR(AE212&lt;AG212,AG212="-"),OR(AG212&lt;AI212,AG212="-"),OR(AI212&lt;AK212,AI212="-"),AK212&lt;AM212,AM212&lt;AO212,AO212&lt;AQ212,AQ212&lt;AS212,AS212&lt;AU212,OR(AU212&lt;AW212,AW212="-"),OR(AW212&lt;AY212,AW212="-"))</f>
        <v>1</v>
      </c>
      <c r="BC212" s="109">
        <f>_xlfn.AGGREGATE(9,6,CH212:CS212)-_xlfn.AGGREGATE(9,6,BV212:CG212)+12</f>
        <v>244</v>
      </c>
      <c r="BD212" s="129" t="s">
        <v>23</v>
      </c>
      <c r="BE212" s="9" t="s">
        <v>1368</v>
      </c>
      <c r="BF212" s="119">
        <v>3.1</v>
      </c>
      <c r="BG212" s="51" t="s">
        <v>1</v>
      </c>
      <c r="BH212" s="51" t="s">
        <v>1</v>
      </c>
      <c r="BJ212" s="111" t="s">
        <v>1281</v>
      </c>
      <c r="BK212" s="112" t="s">
        <v>1281</v>
      </c>
      <c r="BL212" s="112" t="s">
        <v>1281</v>
      </c>
      <c r="BM212" s="112" t="s">
        <v>1281</v>
      </c>
      <c r="BN212" s="112" t="s">
        <v>1281</v>
      </c>
      <c r="BO212" s="112" t="s">
        <v>1281</v>
      </c>
      <c r="BP212" s="112" t="s">
        <v>1281</v>
      </c>
      <c r="BQ212" s="112" t="s">
        <v>1281</v>
      </c>
      <c r="BR212" s="112" t="s">
        <v>1281</v>
      </c>
      <c r="BS212" s="112" t="s">
        <v>1281</v>
      </c>
      <c r="BT212" s="112" t="s">
        <v>1281</v>
      </c>
      <c r="BU212" s="112" t="s">
        <v>1281</v>
      </c>
      <c r="BV212" s="111">
        <f>E212</f>
        <v>36</v>
      </c>
      <c r="BW212" s="113">
        <f>I212</f>
        <v>63</v>
      </c>
      <c r="BX212" s="114">
        <f>M212</f>
        <v>67</v>
      </c>
      <c r="BY212" s="113">
        <f>Q212</f>
        <v>99</v>
      </c>
      <c r="BZ212" s="114">
        <f>U212</f>
        <v>103</v>
      </c>
      <c r="CA212" s="113" t="str">
        <f>Y212</f>
        <v>-</v>
      </c>
      <c r="CB212" s="114">
        <f>AC212</f>
        <v>145</v>
      </c>
      <c r="CC212" s="113">
        <f>AG212</f>
        <v>182</v>
      </c>
      <c r="CD212" s="114">
        <f>AK212</f>
        <v>188</v>
      </c>
      <c r="CE212" s="113">
        <f>AO212</f>
        <v>387</v>
      </c>
      <c r="CF212" s="114">
        <f>AS212</f>
        <v>425</v>
      </c>
      <c r="CG212" s="113">
        <f>AW212</f>
        <v>451</v>
      </c>
      <c r="CH212" s="111">
        <f>G212</f>
        <v>62</v>
      </c>
      <c r="CI212" s="113">
        <f>K212</f>
        <v>66</v>
      </c>
      <c r="CJ212" s="114">
        <f>O212</f>
        <v>98</v>
      </c>
      <c r="CK212" s="114">
        <f>S212</f>
        <v>102</v>
      </c>
      <c r="CL212" s="114">
        <f>W212</f>
        <v>138</v>
      </c>
      <c r="CM212" s="114" t="str">
        <f>AA212</f>
        <v>-</v>
      </c>
      <c r="CN212" s="114">
        <f>AE212</f>
        <v>173</v>
      </c>
      <c r="CO212" s="114">
        <f>AI212</f>
        <v>184</v>
      </c>
      <c r="CP212" s="114">
        <f>AM212</f>
        <v>222</v>
      </c>
      <c r="CQ212" s="114">
        <f>AQ212</f>
        <v>420</v>
      </c>
      <c r="CR212" s="114">
        <f>AU212</f>
        <v>450</v>
      </c>
      <c r="CS212" s="114">
        <f>AY212</f>
        <v>463</v>
      </c>
      <c r="CT212" s="109">
        <f>M212-K212</f>
        <v>1</v>
      </c>
    </row>
    <row r="213" spans="1:1029" x14ac:dyDescent="0.2">
      <c r="A213" s="3" t="str">
        <f>CONCATENATE(B213,"_",C213)</f>
        <v>drd3_human__wt</v>
      </c>
      <c r="B213" s="3" t="s">
        <v>192</v>
      </c>
      <c r="C213" s="3" t="s">
        <v>100</v>
      </c>
      <c r="D213" s="3" t="str">
        <f>IFERROR(MID(VLOOKUP($B213,Seqs!$A:$B,2,0),E213,1),"")</f>
        <v>A</v>
      </c>
      <c r="E213" s="3">
        <v>26</v>
      </c>
      <c r="F213" s="3" t="str">
        <f>IFERROR(MID(VLOOKUP($B213,Seqs!$A:$B,2,0),G213,1),"")</f>
        <v>E</v>
      </c>
      <c r="G213" s="3">
        <v>57</v>
      </c>
      <c r="H213" s="3" t="str">
        <f>IFERROR(MID(VLOOKUP($B213,Seqs!$A:$B,2,0),I213,1),"")</f>
        <v>R</v>
      </c>
      <c r="I213" s="23">
        <v>58</v>
      </c>
      <c r="J213" s="3" t="str">
        <f>IFERROR(MID(VLOOKUP($B213,Seqs!$A:$B,2,0),K213,1),"")</f>
        <v>Q</v>
      </c>
      <c r="K213" s="23">
        <v>61</v>
      </c>
      <c r="L213" s="3" t="str">
        <f>IFERROR(MID(VLOOKUP($B213,Seqs!$A:$B,2,0),M213,1),"")</f>
        <v>T</v>
      </c>
      <c r="M213" s="3">
        <v>62</v>
      </c>
      <c r="N213" s="3" t="str">
        <f>IFERROR(MID(VLOOKUP($B213,Seqs!$A:$B,2,0),O213,1),"")</f>
        <v>T</v>
      </c>
      <c r="O213" s="3">
        <v>92</v>
      </c>
      <c r="P213" s="3" t="str">
        <f>IFERROR(MID(VLOOKUP($B213,Seqs!$A:$B,2,0),Q213,1),"")</f>
        <v>V</v>
      </c>
      <c r="Q213" s="3">
        <v>95</v>
      </c>
      <c r="R213" s="3" t="str">
        <f>IFERROR(MID(VLOOKUP($B213,Seqs!$A:$B,2,0),S213,1),"")</f>
        <v>F</v>
      </c>
      <c r="S213" s="3">
        <v>98</v>
      </c>
      <c r="T213" s="3" t="str">
        <f>IFERROR(MID(VLOOKUP($B213,Seqs!$A:$B,2,0),U213,1),"")</f>
        <v>S</v>
      </c>
      <c r="U213" s="3">
        <v>99</v>
      </c>
      <c r="V213" s="3" t="str">
        <f>IFERROR(MID(VLOOKUP($B213,Seqs!$A:$B,2,0),W213,1),"")</f>
        <v>M</v>
      </c>
      <c r="W213" s="3">
        <v>134</v>
      </c>
      <c r="X213" s="3" t="str">
        <f>IFERROR(MID(VLOOKUP($B213,Seqs!$A:$B,2,0),Y213,1),"")</f>
        <v>P</v>
      </c>
      <c r="Y213" s="3">
        <v>135</v>
      </c>
      <c r="Z213" s="3" t="str">
        <f>IFERROR(MID(VLOOKUP($B213,Seqs!$A:$B,2,0),AA213,1),"")</f>
        <v>G</v>
      </c>
      <c r="AA213" s="3">
        <v>143</v>
      </c>
      <c r="AB213" s="3" t="str">
        <f>IFERROR(MID(VLOOKUP($B213,Seqs!$A:$B,2,0),AC213,1),"")</f>
        <v>S</v>
      </c>
      <c r="AC213" s="3">
        <v>146</v>
      </c>
      <c r="AD213" s="3" t="str">
        <f>IFERROR(MID(VLOOKUP($B213,Seqs!$A:$B,2,0),AE213,1),"")</f>
        <v>G</v>
      </c>
      <c r="AE213" s="3">
        <v>171</v>
      </c>
      <c r="AF213" s="3" t="str">
        <f>IFERROR(MID(VLOOKUP($B213,Seqs!$A:$B,2,0),AG213,1),"")</f>
        <v>C</v>
      </c>
      <c r="AG213" s="3">
        <v>181</v>
      </c>
      <c r="AH213" s="3" t="str">
        <f>IFERROR(MID(VLOOKUP($B213,Seqs!$A:$B,2,0),AI213,1),"")</f>
        <v>I</v>
      </c>
      <c r="AI213" s="3">
        <v>183</v>
      </c>
      <c r="AJ213" s="3" t="str">
        <f>IFERROR(MID(VLOOKUP($B213,Seqs!$A:$B,2,0),AK213,1),"")</f>
        <v>N</v>
      </c>
      <c r="AK213" s="3">
        <v>185</v>
      </c>
      <c r="AL213" s="3" t="str">
        <f>IFERROR(MID(VLOOKUP($B213,Seqs!$A:$B,2,0),AM213,1),"")</f>
        <v>R</v>
      </c>
      <c r="AM213" s="3">
        <v>226</v>
      </c>
      <c r="AN213" s="3" t="str">
        <f>IFERROR(MID(VLOOKUP($B213,Seqs!$A:$B,2,0),AO213,1),"")</f>
        <v>R</v>
      </c>
      <c r="AO213" s="3">
        <v>318</v>
      </c>
      <c r="AP213" s="3" t="str">
        <f>IFERROR(MID(VLOOKUP($B213,Seqs!$A:$B,2,0),AQ213,1),"")</f>
        <v>H</v>
      </c>
      <c r="AQ213" s="3">
        <v>354</v>
      </c>
      <c r="AR213" s="3" t="str">
        <f>IFERROR(MID(VLOOKUP($B213,Seqs!$A:$B,2,0),AS213,1),"")</f>
        <v>S</v>
      </c>
      <c r="AS213" s="3">
        <v>361</v>
      </c>
      <c r="AT213" s="3" t="str">
        <f>IFERROR(MID(VLOOKUP($B213,Seqs!$A:$B,2,0),AU213,1),"")</f>
        <v>F</v>
      </c>
      <c r="AU213" s="3">
        <v>386</v>
      </c>
      <c r="AV213" s="3" t="str">
        <f>IFERROR(MID(VLOOKUP($B213,Seqs!$A:$B,2,0),AW213,1),"")</f>
        <v>N</v>
      </c>
      <c r="AW213" s="3">
        <v>387</v>
      </c>
      <c r="AX213" s="3" t="str">
        <f>IFERROR(MID(VLOOKUP($B213,Seqs!$A:$B,2,0),AY213,1),"")</f>
        <v>S</v>
      </c>
      <c r="AY213" s="3">
        <v>399</v>
      </c>
      <c r="AZ213" s="77" t="str">
        <f>VLOOKUP(B213,Classification!A:D,2,0)</f>
        <v>A</v>
      </c>
      <c r="BA213" s="94" t="str">
        <f>VLOOKUP(B213,Classification!A:D,4,0)</f>
        <v>Dopamine</v>
      </c>
      <c r="BB213" s="27" t="b">
        <f t="shared" si="1007"/>
        <v>1</v>
      </c>
      <c r="BC213" s="23">
        <f t="shared" si="1056"/>
        <v>263</v>
      </c>
      <c r="BD213" s="56" t="s">
        <v>23</v>
      </c>
      <c r="BE213" s="3" t="s">
        <v>23</v>
      </c>
      <c r="BF213" s="118" t="s">
        <v>23</v>
      </c>
      <c r="BG213" s="49" t="s">
        <v>1366</v>
      </c>
      <c r="BH213" s="49" t="s">
        <v>1371</v>
      </c>
      <c r="BI213" s="1"/>
      <c r="BJ213" s="70" t="s">
        <v>1281</v>
      </c>
      <c r="BK213" s="57" t="s">
        <v>1281</v>
      </c>
      <c r="BL213" s="57" t="s">
        <v>1281</v>
      </c>
      <c r="BM213" s="57" t="s">
        <v>1281</v>
      </c>
      <c r="BN213" s="57" t="s">
        <v>1281</v>
      </c>
      <c r="BO213" s="57" t="s">
        <v>1281</v>
      </c>
      <c r="BP213" s="57" t="s">
        <v>1281</v>
      </c>
      <c r="BQ213" s="57" t="s">
        <v>1281</v>
      </c>
      <c r="BR213" s="57" t="s">
        <v>1281</v>
      </c>
      <c r="BS213" s="57" t="s">
        <v>1281</v>
      </c>
      <c r="BT213" s="57" t="s">
        <v>1281</v>
      </c>
      <c r="BU213" s="57" t="s">
        <v>1281</v>
      </c>
      <c r="BV213" s="70">
        <f>E213</f>
        <v>26</v>
      </c>
      <c r="BW213" s="71">
        <f>I213</f>
        <v>58</v>
      </c>
      <c r="BX213" s="72">
        <f>M213</f>
        <v>62</v>
      </c>
      <c r="BY213" s="71">
        <f>Q213</f>
        <v>95</v>
      </c>
      <c r="BZ213" s="72">
        <f>U213</f>
        <v>99</v>
      </c>
      <c r="CA213" s="71">
        <f>Y213</f>
        <v>135</v>
      </c>
      <c r="CB213" s="72">
        <f>AC213</f>
        <v>146</v>
      </c>
      <c r="CC213" s="71">
        <f>AG213</f>
        <v>181</v>
      </c>
      <c r="CD213" s="72">
        <f>AK213</f>
        <v>185</v>
      </c>
      <c r="CE213" s="71">
        <f>AO213</f>
        <v>318</v>
      </c>
      <c r="CF213" s="72">
        <f>AS213</f>
        <v>361</v>
      </c>
      <c r="CG213" s="71">
        <f>AW213</f>
        <v>387</v>
      </c>
      <c r="CH213" s="70">
        <f>G213</f>
        <v>57</v>
      </c>
      <c r="CI213" s="71">
        <f>K213</f>
        <v>61</v>
      </c>
      <c r="CJ213" s="72">
        <f>O213</f>
        <v>92</v>
      </c>
      <c r="CK213" s="72">
        <f>S213</f>
        <v>98</v>
      </c>
      <c r="CL213" s="72">
        <f>W213</f>
        <v>134</v>
      </c>
      <c r="CM213" s="72">
        <f>AA213</f>
        <v>143</v>
      </c>
      <c r="CN213" s="72">
        <f>AE213</f>
        <v>171</v>
      </c>
      <c r="CO213" s="72">
        <f>AI213</f>
        <v>183</v>
      </c>
      <c r="CP213" s="72">
        <f>AM213</f>
        <v>226</v>
      </c>
      <c r="CQ213" s="72">
        <f>AQ213</f>
        <v>354</v>
      </c>
      <c r="CR213" s="72">
        <f>AU213</f>
        <v>386</v>
      </c>
      <c r="CS213" s="72">
        <f>AY213</f>
        <v>399</v>
      </c>
      <c r="CT213" s="23">
        <f>M213-K213</f>
        <v>1</v>
      </c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  <c r="WP213" s="1"/>
      <c r="WQ213" s="1"/>
      <c r="WR213" s="1"/>
      <c r="WS213" s="1"/>
      <c r="WT213" s="1"/>
      <c r="WU213" s="1"/>
      <c r="WV213" s="1"/>
      <c r="WW213" s="1"/>
      <c r="WX213" s="1"/>
      <c r="WY213" s="1"/>
      <c r="WZ213" s="1"/>
      <c r="XA213" s="1"/>
      <c r="XB213" s="1"/>
      <c r="XC213" s="1"/>
      <c r="XD213" s="1"/>
      <c r="XE213" s="1"/>
      <c r="XF213" s="1"/>
      <c r="XG213" s="1"/>
      <c r="XH213" s="1"/>
      <c r="XI213" s="1"/>
      <c r="XJ213" s="1"/>
      <c r="XK213" s="1"/>
      <c r="XL213" s="1"/>
      <c r="XM213" s="1"/>
      <c r="XN213" s="1"/>
      <c r="XO213" s="1"/>
      <c r="XP213" s="1"/>
      <c r="XQ213" s="1"/>
      <c r="XR213" s="1"/>
      <c r="XS213" s="1"/>
      <c r="XT213" s="1"/>
      <c r="XU213" s="1"/>
      <c r="XV213" s="1"/>
      <c r="XW213" s="1"/>
      <c r="XX213" s="1"/>
      <c r="XY213" s="1"/>
      <c r="XZ213" s="1"/>
      <c r="YA213" s="1"/>
      <c r="YB213" s="1"/>
      <c r="YC213" s="1"/>
      <c r="YD213" s="1"/>
      <c r="YE213" s="1"/>
      <c r="YF213" s="1"/>
      <c r="YG213" s="1"/>
      <c r="YH213" s="1"/>
      <c r="YI213" s="1"/>
      <c r="YJ213" s="1"/>
      <c r="YK213" s="1"/>
      <c r="YL213" s="1"/>
      <c r="YM213" s="1"/>
      <c r="YN213" s="1"/>
      <c r="YO213" s="1"/>
      <c r="YP213" s="1"/>
      <c r="YQ213" s="1"/>
      <c r="YR213" s="1"/>
      <c r="YS213" s="1"/>
      <c r="YT213" s="1"/>
      <c r="YU213" s="1"/>
      <c r="YV213" s="1"/>
      <c r="YW213" s="1"/>
      <c r="YX213" s="1"/>
      <c r="YY213" s="1"/>
      <c r="YZ213" s="1"/>
      <c r="ZA213" s="1"/>
      <c r="ZB213" s="1"/>
      <c r="ZC213" s="1"/>
      <c r="ZD213" s="1"/>
      <c r="ZE213" s="1"/>
      <c r="ZF213" s="1"/>
      <c r="ZG213" s="1"/>
      <c r="ZH213" s="1"/>
      <c r="ZI213" s="1"/>
      <c r="ZJ213" s="1"/>
      <c r="ZK213" s="1"/>
      <c r="ZL213" s="1"/>
      <c r="ZM213" s="1"/>
      <c r="ZN213" s="1"/>
      <c r="ZO213" s="1"/>
      <c r="ZP213" s="1"/>
      <c r="ZQ213" s="1"/>
      <c r="ZR213" s="1"/>
      <c r="ZS213" s="1"/>
      <c r="ZT213" s="1"/>
      <c r="ZU213" s="1"/>
      <c r="ZV213" s="1"/>
      <c r="ZW213" s="1"/>
      <c r="ZX213" s="1"/>
      <c r="ZY213" s="1"/>
      <c r="ZZ213" s="1"/>
      <c r="AAA213" s="1"/>
      <c r="AAB213" s="1"/>
      <c r="AAC213" s="1"/>
      <c r="AAD213" s="1"/>
      <c r="AAE213" s="1"/>
      <c r="AAF213" s="1"/>
      <c r="AAG213" s="1"/>
      <c r="AAH213" s="1"/>
      <c r="AAI213" s="1"/>
      <c r="AAJ213" s="1"/>
      <c r="AAK213" s="1"/>
      <c r="AAL213" s="1"/>
      <c r="AAM213" s="1"/>
      <c r="AAN213" s="1"/>
      <c r="AAO213" s="1"/>
      <c r="AAP213" s="1"/>
      <c r="AAQ213" s="1"/>
      <c r="AAR213" s="1"/>
      <c r="AAS213" s="1"/>
      <c r="AAT213" s="1"/>
      <c r="AAU213" s="1"/>
      <c r="AAV213" s="1"/>
      <c r="AAW213" s="1"/>
      <c r="AAX213" s="1"/>
      <c r="AAY213" s="1"/>
      <c r="AAZ213" s="1"/>
      <c r="ABA213" s="1"/>
      <c r="ABB213" s="1"/>
      <c r="ABC213" s="1"/>
      <c r="ABD213" s="1"/>
      <c r="ABE213" s="1"/>
      <c r="ABF213" s="1"/>
      <c r="ABG213" s="1"/>
      <c r="ABH213" s="1"/>
      <c r="ABI213" s="1"/>
      <c r="ABJ213" s="1"/>
      <c r="ABK213" s="1"/>
      <c r="ABL213" s="1"/>
      <c r="ABM213" s="1"/>
      <c r="ABN213" s="1"/>
      <c r="ABO213" s="1"/>
      <c r="ABP213" s="1"/>
      <c r="ABQ213" s="1"/>
      <c r="ABR213" s="1"/>
      <c r="ABS213" s="1"/>
      <c r="ABT213" s="1"/>
      <c r="ABU213" s="1"/>
      <c r="ABV213" s="1"/>
      <c r="ABW213" s="1"/>
      <c r="ABX213" s="1"/>
      <c r="ABY213" s="1"/>
      <c r="ABZ213" s="1"/>
      <c r="ACA213" s="1"/>
      <c r="ACB213" s="1"/>
      <c r="ACC213" s="1"/>
      <c r="ACD213" s="1"/>
      <c r="ACE213" s="1"/>
      <c r="ACF213" s="1"/>
      <c r="ACG213" s="1"/>
      <c r="ACH213" s="1"/>
      <c r="ACI213" s="1"/>
      <c r="ACJ213" s="1"/>
      <c r="ACK213" s="1"/>
      <c r="ACL213" s="1"/>
      <c r="ACM213" s="1"/>
      <c r="ACN213" s="1"/>
      <c r="ACO213" s="1"/>
      <c r="ACP213" s="1"/>
      <c r="ACQ213" s="1"/>
      <c r="ACR213" s="1"/>
      <c r="ACS213" s="1"/>
      <c r="ACT213" s="1"/>
      <c r="ACU213" s="1"/>
      <c r="ACV213" s="1"/>
      <c r="ACW213" s="1"/>
      <c r="ACX213" s="1"/>
      <c r="ACY213" s="1"/>
      <c r="ACZ213" s="1"/>
      <c r="ADA213" s="1"/>
      <c r="ADB213" s="1"/>
      <c r="ADC213" s="1"/>
      <c r="ADD213" s="1"/>
      <c r="ADE213" s="1"/>
      <c r="ADF213" s="1"/>
      <c r="ADG213" s="1"/>
      <c r="ADH213" s="1"/>
      <c r="ADI213" s="1"/>
      <c r="ADJ213" s="1"/>
      <c r="ADK213" s="1"/>
      <c r="ADL213" s="1"/>
      <c r="ADM213" s="1"/>
      <c r="ADN213" s="1"/>
      <c r="ADO213" s="1"/>
      <c r="ADP213" s="1"/>
      <c r="ADQ213" s="1"/>
      <c r="ADR213" s="1"/>
      <c r="ADS213" s="1"/>
      <c r="ADT213" s="1"/>
      <c r="ADU213" s="1"/>
      <c r="ADV213" s="1"/>
      <c r="ADW213" s="1"/>
      <c r="ADX213" s="1"/>
      <c r="ADY213" s="1"/>
      <c r="ADZ213" s="1"/>
      <c r="AEA213" s="1"/>
      <c r="AEB213" s="1"/>
      <c r="AEC213" s="1"/>
      <c r="AED213" s="1"/>
      <c r="AEE213" s="1"/>
      <c r="AEF213" s="1"/>
      <c r="AEG213" s="1"/>
      <c r="AEH213" s="1"/>
      <c r="AEI213" s="1"/>
      <c r="AEJ213" s="1"/>
      <c r="AEK213" s="1"/>
      <c r="AEL213" s="1"/>
      <c r="AEM213" s="1"/>
      <c r="AEN213" s="1"/>
      <c r="AEO213" s="1"/>
      <c r="AEP213" s="1"/>
      <c r="AEQ213" s="1"/>
      <c r="AER213" s="1"/>
      <c r="AES213" s="1"/>
      <c r="AET213" s="1"/>
      <c r="AEU213" s="1"/>
      <c r="AEV213" s="1"/>
      <c r="AEW213" s="1"/>
      <c r="AEX213" s="1"/>
      <c r="AEY213" s="1"/>
      <c r="AEZ213" s="1"/>
      <c r="AFA213" s="1"/>
      <c r="AFB213" s="1"/>
      <c r="AFC213" s="1"/>
      <c r="AFD213" s="1"/>
      <c r="AFE213" s="1"/>
      <c r="AFF213" s="1"/>
      <c r="AFG213" s="1"/>
      <c r="AFH213" s="1"/>
      <c r="AFI213" s="1"/>
      <c r="AFJ213" s="1"/>
      <c r="AFK213" s="1"/>
      <c r="AFL213" s="1"/>
      <c r="AFM213" s="1"/>
      <c r="AFN213" s="1"/>
      <c r="AFO213" s="1"/>
      <c r="AFP213" s="1"/>
      <c r="AFQ213" s="1"/>
      <c r="AFR213" s="1"/>
      <c r="AFS213" s="1"/>
      <c r="AFT213" s="1"/>
      <c r="AFU213" s="1"/>
      <c r="AFV213" s="1"/>
      <c r="AFW213" s="1"/>
      <c r="AFX213" s="1"/>
      <c r="AFY213" s="1"/>
      <c r="AFZ213" s="1"/>
      <c r="AGA213" s="1"/>
      <c r="AGB213" s="1"/>
      <c r="AGC213" s="1"/>
      <c r="AGD213" s="1"/>
      <c r="AGE213" s="1"/>
      <c r="AGF213" s="1"/>
      <c r="AGG213" s="1"/>
      <c r="AGH213" s="1"/>
      <c r="AGI213" s="1"/>
      <c r="AGJ213" s="1"/>
      <c r="AGK213" s="1"/>
      <c r="AGL213" s="1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/>
      <c r="AIS213" s="1"/>
      <c r="AIT213" s="1"/>
      <c r="AIU213" s="1"/>
      <c r="AIV213" s="1"/>
      <c r="AIW213" s="1"/>
      <c r="AIX213" s="1"/>
      <c r="AIY213" s="1"/>
      <c r="AIZ213" s="1"/>
      <c r="AJA213" s="1"/>
      <c r="AJB213" s="1"/>
      <c r="AJC213" s="1"/>
      <c r="AJD213" s="1"/>
      <c r="AJE213" s="1"/>
      <c r="AJF213" s="1"/>
      <c r="AJG213" s="1"/>
      <c r="AJH213" s="1"/>
      <c r="AJI213" s="1"/>
      <c r="AJJ213" s="1"/>
      <c r="AJK213" s="1"/>
      <c r="AJL213" s="1"/>
      <c r="AJM213" s="1"/>
      <c r="AJN213" s="1"/>
      <c r="AJO213" s="1"/>
      <c r="AJP213" s="1"/>
      <c r="AJQ213" s="1"/>
      <c r="AJR213" s="1"/>
      <c r="AJS213" s="1"/>
      <c r="AJT213" s="1"/>
      <c r="AJU213" s="1"/>
      <c r="AJV213" s="1"/>
      <c r="AJW213" s="1"/>
      <c r="AJX213" s="1"/>
      <c r="AJY213" s="1"/>
      <c r="AJZ213" s="1"/>
      <c r="AKA213" s="1"/>
      <c r="AKB213" s="1"/>
      <c r="AKC213" s="1"/>
      <c r="AKD213" s="1"/>
      <c r="AKE213" s="1"/>
      <c r="AKF213" s="1"/>
      <c r="AKG213" s="1"/>
      <c r="AKH213" s="1"/>
      <c r="AKI213" s="1"/>
      <c r="AKJ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/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/>
      <c r="ALM213" s="1"/>
      <c r="ALN213" s="1"/>
      <c r="ALO213" s="1"/>
      <c r="ALP213" s="1"/>
      <c r="ALQ213" s="1"/>
      <c r="ALR213" s="1"/>
      <c r="ALS213" s="1"/>
      <c r="ALT213" s="1"/>
      <c r="ALU213" s="1"/>
      <c r="ALV213" s="1"/>
      <c r="ALW213" s="1"/>
      <c r="ALX213" s="1"/>
      <c r="ALY213" s="1"/>
      <c r="ALZ213" s="1"/>
      <c r="AMA213" s="1"/>
      <c r="AMB213" s="1"/>
      <c r="AMC213" s="1"/>
      <c r="AMD213" s="1"/>
      <c r="AME213" s="1"/>
      <c r="AMF213" s="1"/>
      <c r="AMG213" s="1"/>
      <c r="AMH213" s="1"/>
      <c r="AMI213" s="1"/>
      <c r="AMJ213" s="1"/>
      <c r="AMK213" s="1"/>
      <c r="AML213" s="1"/>
      <c r="AMM213" s="1"/>
      <c r="AMN213" s="1"/>
      <c r="AMO213" s="1"/>
    </row>
    <row r="214" spans="1:1029" x14ac:dyDescent="0.2">
      <c r="A214" s="3" t="str">
        <f>CONCATENATE(B214,"_",C214)</f>
        <v>drd3_human_3PBL</v>
      </c>
      <c r="B214" s="3" t="s">
        <v>192</v>
      </c>
      <c r="C214" s="3" t="s">
        <v>72</v>
      </c>
      <c r="D214" s="3" t="str">
        <f>IFERROR(MID(VLOOKUP($B214,Seqs!$A:$B,2,0),E214,1),"")</f>
        <v>Y</v>
      </c>
      <c r="E214" s="3">
        <v>32</v>
      </c>
      <c r="F214" s="3" t="str">
        <f>IFERROR(MID(VLOOKUP($B214,Seqs!$A:$B,2,0),G214,1),"")</f>
        <v>E</v>
      </c>
      <c r="G214" s="3">
        <v>57</v>
      </c>
      <c r="H214" s="3" t="str">
        <f>IFERROR(MID(VLOOKUP($B214,Seqs!$A:$B,2,0),I214,1),"")</f>
        <v>R</v>
      </c>
      <c r="I214" s="23">
        <v>58</v>
      </c>
      <c r="J214" s="3" t="str">
        <f>IFERROR(MID(VLOOKUP($B214,Seqs!$A:$B,2,0),K214,1),"")</f>
        <v>Q</v>
      </c>
      <c r="K214" s="23">
        <v>61</v>
      </c>
      <c r="L214" s="3" t="str">
        <f>IFERROR(MID(VLOOKUP($B214,Seqs!$A:$B,2,0),M214,1),"")</f>
        <v>T</v>
      </c>
      <c r="M214" s="3">
        <v>62</v>
      </c>
      <c r="N214" s="3" t="str">
        <f>IFERROR(MID(VLOOKUP($B214,Seqs!$A:$B,2,0),O214,1),"")</f>
        <v>T</v>
      </c>
      <c r="O214" s="3">
        <v>92</v>
      </c>
      <c r="P214" s="3" t="str">
        <f>IFERROR(MID(VLOOKUP($B214,Seqs!$A:$B,2,0),Q214,1),"")</f>
        <v>V</v>
      </c>
      <c r="Q214" s="3">
        <v>95</v>
      </c>
      <c r="R214" s="3" t="str">
        <f>IFERROR(MID(VLOOKUP($B214,Seqs!$A:$B,2,0),S214,1),"")</f>
        <v>F</v>
      </c>
      <c r="S214" s="3">
        <v>98</v>
      </c>
      <c r="T214" s="3" t="str">
        <f>IFERROR(MID(VLOOKUP($B214,Seqs!$A:$B,2,0),U214,1),"")</f>
        <v>S</v>
      </c>
      <c r="U214" s="3">
        <v>99</v>
      </c>
      <c r="V214" s="3" t="str">
        <f>IFERROR(MID(VLOOKUP($B214,Seqs!$A:$B,2,0),W214,1),"")</f>
        <v>M</v>
      </c>
      <c r="W214" s="3">
        <v>134</v>
      </c>
      <c r="X214" s="3" t="str">
        <f>IFERROR(MID(VLOOKUP($B214,Seqs!$A:$B,2,0),Y214,1),"")</f>
        <v>P</v>
      </c>
      <c r="Y214" s="3">
        <v>135</v>
      </c>
      <c r="Z214" s="3" t="str">
        <f>IFERROR(MID(VLOOKUP($B214,Seqs!$A:$B,2,0),AA214,1),"")</f>
        <v>G</v>
      </c>
      <c r="AA214" s="3">
        <v>143</v>
      </c>
      <c r="AB214" s="3" t="str">
        <f>IFERROR(MID(VLOOKUP($B214,Seqs!$A:$B,2,0),AC214,1),"")</f>
        <v>S</v>
      </c>
      <c r="AC214" s="3">
        <v>146</v>
      </c>
      <c r="AD214" s="3" t="str">
        <f>IFERROR(MID(VLOOKUP($B214,Seqs!$A:$B,2,0),AE214,1),"")</f>
        <v>G</v>
      </c>
      <c r="AE214" s="3">
        <v>171</v>
      </c>
      <c r="AF214" s="3" t="str">
        <f>IFERROR(MID(VLOOKUP($B214,Seqs!$A:$B,2,0),AG214,1),"")</f>
        <v>C</v>
      </c>
      <c r="AG214" s="3">
        <v>181</v>
      </c>
      <c r="AH214" s="3" t="str">
        <f>IFERROR(MID(VLOOKUP($B214,Seqs!$A:$B,2,0),AI214,1),"")</f>
        <v>I</v>
      </c>
      <c r="AI214" s="3">
        <v>183</v>
      </c>
      <c r="AJ214" s="3" t="str">
        <f>IFERROR(MID(VLOOKUP($B214,Seqs!$A:$B,2,0),AK214,1),"")</f>
        <v>N</v>
      </c>
      <c r="AK214" s="3">
        <v>185</v>
      </c>
      <c r="AL214" s="3" t="str">
        <f>IFERROR(MID(VLOOKUP($B214,Seqs!$A:$B,2,0),AM214,1),"")</f>
        <v>K</v>
      </c>
      <c r="AM214" s="3">
        <v>216</v>
      </c>
      <c r="AN214" s="3" t="str">
        <f>IFERROR(MID(VLOOKUP($B214,Seqs!$A:$B,2,0),AO214,1),"")</f>
        <v>R</v>
      </c>
      <c r="AO214" s="3">
        <v>323</v>
      </c>
      <c r="AP214" s="3" t="str">
        <f>IFERROR(MID(VLOOKUP($B214,Seqs!$A:$B,2,0),AQ214,1),"")</f>
        <v>H</v>
      </c>
      <c r="AQ214" s="3">
        <v>354</v>
      </c>
      <c r="AR214" s="3" t="str">
        <f>IFERROR(MID(VLOOKUP($B214,Seqs!$A:$B,2,0),AS214,1),"")</f>
        <v>S</v>
      </c>
      <c r="AS214" s="3">
        <v>361</v>
      </c>
      <c r="AT214" s="3" t="str">
        <f>IFERROR(MID(VLOOKUP($B214,Seqs!$A:$B,2,0),AU214,1),"")</f>
        <v>F</v>
      </c>
      <c r="AU214" s="3">
        <v>386</v>
      </c>
      <c r="AV214" s="3" t="str">
        <f>IFERROR(MID(VLOOKUP($B214,Seqs!$A:$B,2,0),AW214,1),"")</f>
        <v>N</v>
      </c>
      <c r="AW214" s="3">
        <v>387</v>
      </c>
      <c r="AX214" s="3" t="str">
        <f>IFERROR(MID(VLOOKUP($B214,Seqs!$A:$B,2,0),AY214,1),"")</f>
        <v>S</v>
      </c>
      <c r="AY214" s="3">
        <v>399</v>
      </c>
      <c r="AZ214" s="77" t="str">
        <f>VLOOKUP(B214,Classification!A:D,2,0)</f>
        <v>A</v>
      </c>
      <c r="BA214" s="94" t="str">
        <f>VLOOKUP(B214,Classification!A:D,4,0)</f>
        <v>Dopamine</v>
      </c>
      <c r="BB214" s="27" t="b">
        <f t="shared" si="1007"/>
        <v>1</v>
      </c>
      <c r="BC214" s="23">
        <f t="shared" si="1056"/>
        <v>242</v>
      </c>
      <c r="BD214" s="2" t="s">
        <v>1370</v>
      </c>
      <c r="BE214" s="3" t="s">
        <v>1368</v>
      </c>
      <c r="BF214" s="118">
        <v>2.89</v>
      </c>
      <c r="BG214" s="49" t="s">
        <v>1371</v>
      </c>
      <c r="BH214" s="49" t="s">
        <v>1371</v>
      </c>
      <c r="BI214" s="1"/>
      <c r="BJ214" s="70" t="s">
        <v>1281</v>
      </c>
      <c r="BK214" s="57" t="s">
        <v>1281</v>
      </c>
      <c r="BL214" s="57" t="s">
        <v>1281</v>
      </c>
      <c r="BM214" s="57" t="s">
        <v>1281</v>
      </c>
      <c r="BN214" s="57" t="s">
        <v>1281</v>
      </c>
      <c r="BO214" s="57" t="s">
        <v>1281</v>
      </c>
      <c r="BP214" s="57" t="s">
        <v>1281</v>
      </c>
      <c r="BQ214" s="57" t="s">
        <v>1281</v>
      </c>
      <c r="BR214" s="57" t="s">
        <v>1281</v>
      </c>
      <c r="BS214" s="57" t="s">
        <v>1281</v>
      </c>
      <c r="BT214" s="57" t="s">
        <v>1281</v>
      </c>
      <c r="BU214" s="57" t="s">
        <v>1281</v>
      </c>
      <c r="BV214" s="70">
        <f>E214</f>
        <v>32</v>
      </c>
      <c r="BW214" s="71">
        <f>I214</f>
        <v>58</v>
      </c>
      <c r="BX214" s="72">
        <f>M214</f>
        <v>62</v>
      </c>
      <c r="BY214" s="71">
        <f>Q214</f>
        <v>95</v>
      </c>
      <c r="BZ214" s="72">
        <f>U214</f>
        <v>99</v>
      </c>
      <c r="CA214" s="71">
        <f>Y214</f>
        <v>135</v>
      </c>
      <c r="CB214" s="72">
        <f>AC214</f>
        <v>146</v>
      </c>
      <c r="CC214" s="71">
        <f>AG214</f>
        <v>181</v>
      </c>
      <c r="CD214" s="72">
        <f>AK214</f>
        <v>185</v>
      </c>
      <c r="CE214" s="71">
        <f>AO214</f>
        <v>323</v>
      </c>
      <c r="CF214" s="72">
        <f>AS214</f>
        <v>361</v>
      </c>
      <c r="CG214" s="71">
        <f>AW214</f>
        <v>387</v>
      </c>
      <c r="CH214" s="70">
        <f>G214</f>
        <v>57</v>
      </c>
      <c r="CI214" s="71">
        <f>K214</f>
        <v>61</v>
      </c>
      <c r="CJ214" s="72">
        <f>O214</f>
        <v>92</v>
      </c>
      <c r="CK214" s="72">
        <f>S214</f>
        <v>98</v>
      </c>
      <c r="CL214" s="72">
        <f>W214</f>
        <v>134</v>
      </c>
      <c r="CM214" s="72">
        <f>AA214</f>
        <v>143</v>
      </c>
      <c r="CN214" s="72">
        <f>AE214</f>
        <v>171</v>
      </c>
      <c r="CO214" s="72">
        <f>AI214</f>
        <v>183</v>
      </c>
      <c r="CP214" s="72">
        <f>AM214</f>
        <v>216</v>
      </c>
      <c r="CQ214" s="72">
        <f>AQ214</f>
        <v>354</v>
      </c>
      <c r="CR214" s="72">
        <f>AU214</f>
        <v>386</v>
      </c>
      <c r="CS214" s="72">
        <f>AY214</f>
        <v>399</v>
      </c>
      <c r="CT214" s="23">
        <f>M214-K214</f>
        <v>1</v>
      </c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  <c r="WP214" s="1"/>
      <c r="WQ214" s="1"/>
      <c r="WR214" s="1"/>
      <c r="WS214" s="1"/>
      <c r="WT214" s="1"/>
      <c r="WU214" s="1"/>
      <c r="WV214" s="1"/>
      <c r="WW214" s="1"/>
      <c r="WX214" s="1"/>
      <c r="WY214" s="1"/>
      <c r="WZ214" s="1"/>
      <c r="XA214" s="1"/>
      <c r="XB214" s="1"/>
      <c r="XC214" s="1"/>
      <c r="XD214" s="1"/>
      <c r="XE214" s="1"/>
      <c r="XF214" s="1"/>
      <c r="XG214" s="1"/>
      <c r="XH214" s="1"/>
      <c r="XI214" s="1"/>
      <c r="XJ214" s="1"/>
      <c r="XK214" s="1"/>
      <c r="XL214" s="1"/>
      <c r="XM214" s="1"/>
      <c r="XN214" s="1"/>
      <c r="XO214" s="1"/>
      <c r="XP214" s="1"/>
      <c r="XQ214" s="1"/>
      <c r="XR214" s="1"/>
      <c r="XS214" s="1"/>
      <c r="XT214" s="1"/>
      <c r="XU214" s="1"/>
      <c r="XV214" s="1"/>
      <c r="XW214" s="1"/>
      <c r="XX214" s="1"/>
      <c r="XY214" s="1"/>
      <c r="XZ214" s="1"/>
      <c r="YA214" s="1"/>
      <c r="YB214" s="1"/>
      <c r="YC214" s="1"/>
      <c r="YD214" s="1"/>
      <c r="YE214" s="1"/>
      <c r="YF214" s="1"/>
      <c r="YG214" s="1"/>
      <c r="YH214" s="1"/>
      <c r="YI214" s="1"/>
      <c r="YJ214" s="1"/>
      <c r="YK214" s="1"/>
      <c r="YL214" s="1"/>
      <c r="YM214" s="1"/>
      <c r="YN214" s="1"/>
      <c r="YO214" s="1"/>
      <c r="YP214" s="1"/>
      <c r="YQ214" s="1"/>
      <c r="YR214" s="1"/>
      <c r="YS214" s="1"/>
      <c r="YT214" s="1"/>
      <c r="YU214" s="1"/>
      <c r="YV214" s="1"/>
      <c r="YW214" s="1"/>
      <c r="YX214" s="1"/>
      <c r="YY214" s="1"/>
      <c r="YZ214" s="1"/>
      <c r="ZA214" s="1"/>
      <c r="ZB214" s="1"/>
      <c r="ZC214" s="1"/>
      <c r="ZD214" s="1"/>
      <c r="ZE214" s="1"/>
      <c r="ZF214" s="1"/>
      <c r="ZG214" s="1"/>
      <c r="ZH214" s="1"/>
      <c r="ZI214" s="1"/>
      <c r="ZJ214" s="1"/>
      <c r="ZK214" s="1"/>
      <c r="ZL214" s="1"/>
      <c r="ZM214" s="1"/>
      <c r="ZN214" s="1"/>
      <c r="ZO214" s="1"/>
      <c r="ZP214" s="1"/>
      <c r="ZQ214" s="1"/>
      <c r="ZR214" s="1"/>
      <c r="ZS214" s="1"/>
      <c r="ZT214" s="1"/>
      <c r="ZU214" s="1"/>
      <c r="ZV214" s="1"/>
      <c r="ZW214" s="1"/>
      <c r="ZX214" s="1"/>
      <c r="ZY214" s="1"/>
      <c r="ZZ214" s="1"/>
      <c r="AAA214" s="1"/>
      <c r="AAB214" s="1"/>
      <c r="AAC214" s="1"/>
      <c r="AAD214" s="1"/>
      <c r="AAE214" s="1"/>
      <c r="AAF214" s="1"/>
      <c r="AAG214" s="1"/>
      <c r="AAH214" s="1"/>
      <c r="AAI214" s="1"/>
      <c r="AAJ214" s="1"/>
      <c r="AAK214" s="1"/>
      <c r="AAL214" s="1"/>
      <c r="AAM214" s="1"/>
      <c r="AAN214" s="1"/>
      <c r="AAO214" s="1"/>
      <c r="AAP214" s="1"/>
      <c r="AAQ214" s="1"/>
      <c r="AAR214" s="1"/>
      <c r="AAS214" s="1"/>
      <c r="AAT214" s="1"/>
      <c r="AAU214" s="1"/>
      <c r="AAV214" s="1"/>
      <c r="AAW214" s="1"/>
      <c r="AAX214" s="1"/>
      <c r="AAY214" s="1"/>
      <c r="AAZ214" s="1"/>
      <c r="ABA214" s="1"/>
      <c r="ABB214" s="1"/>
      <c r="ABC214" s="1"/>
      <c r="ABD214" s="1"/>
      <c r="ABE214" s="1"/>
      <c r="ABF214" s="1"/>
      <c r="ABG214" s="1"/>
      <c r="ABH214" s="1"/>
      <c r="ABI214" s="1"/>
      <c r="ABJ214" s="1"/>
      <c r="ABK214" s="1"/>
      <c r="ABL214" s="1"/>
      <c r="ABM214" s="1"/>
      <c r="ABN214" s="1"/>
      <c r="ABO214" s="1"/>
      <c r="ABP214" s="1"/>
      <c r="ABQ214" s="1"/>
      <c r="ABR214" s="1"/>
      <c r="ABS214" s="1"/>
      <c r="ABT214" s="1"/>
      <c r="ABU214" s="1"/>
      <c r="ABV214" s="1"/>
      <c r="ABW214" s="1"/>
      <c r="ABX214" s="1"/>
      <c r="ABY214" s="1"/>
      <c r="ABZ214" s="1"/>
      <c r="ACA214" s="1"/>
      <c r="ACB214" s="1"/>
      <c r="ACC214" s="1"/>
      <c r="ACD214" s="1"/>
      <c r="ACE214" s="1"/>
      <c r="ACF214" s="1"/>
      <c r="ACG214" s="1"/>
      <c r="ACH214" s="1"/>
      <c r="ACI214" s="1"/>
      <c r="ACJ214" s="1"/>
      <c r="ACK214" s="1"/>
      <c r="ACL214" s="1"/>
      <c r="ACM214" s="1"/>
      <c r="ACN214" s="1"/>
      <c r="ACO214" s="1"/>
      <c r="ACP214" s="1"/>
      <c r="ACQ214" s="1"/>
      <c r="ACR214" s="1"/>
      <c r="ACS214" s="1"/>
      <c r="ACT214" s="1"/>
      <c r="ACU214" s="1"/>
      <c r="ACV214" s="1"/>
      <c r="ACW214" s="1"/>
      <c r="ACX214" s="1"/>
      <c r="ACY214" s="1"/>
      <c r="ACZ214" s="1"/>
      <c r="ADA214" s="1"/>
      <c r="ADB214" s="1"/>
      <c r="ADC214" s="1"/>
      <c r="ADD214" s="1"/>
      <c r="ADE214" s="1"/>
      <c r="ADF214" s="1"/>
      <c r="ADG214" s="1"/>
      <c r="ADH214" s="1"/>
      <c r="ADI214" s="1"/>
      <c r="ADJ214" s="1"/>
      <c r="ADK214" s="1"/>
      <c r="ADL214" s="1"/>
      <c r="ADM214" s="1"/>
      <c r="ADN214" s="1"/>
      <c r="ADO214" s="1"/>
      <c r="ADP214" s="1"/>
      <c r="ADQ214" s="1"/>
      <c r="ADR214" s="1"/>
      <c r="ADS214" s="1"/>
      <c r="ADT214" s="1"/>
      <c r="ADU214" s="1"/>
      <c r="ADV214" s="1"/>
      <c r="ADW214" s="1"/>
      <c r="ADX214" s="1"/>
      <c r="ADY214" s="1"/>
      <c r="ADZ214" s="1"/>
      <c r="AEA214" s="1"/>
      <c r="AEB214" s="1"/>
      <c r="AEC214" s="1"/>
      <c r="AED214" s="1"/>
      <c r="AEE214" s="1"/>
      <c r="AEF214" s="1"/>
      <c r="AEG214" s="1"/>
      <c r="AEH214" s="1"/>
      <c r="AEI214" s="1"/>
      <c r="AEJ214" s="1"/>
      <c r="AEK214" s="1"/>
      <c r="AEL214" s="1"/>
      <c r="AEM214" s="1"/>
      <c r="AEN214" s="1"/>
      <c r="AEO214" s="1"/>
      <c r="AEP214" s="1"/>
      <c r="AEQ214" s="1"/>
      <c r="AER214" s="1"/>
      <c r="AES214" s="1"/>
      <c r="AET214" s="1"/>
      <c r="AEU214" s="1"/>
      <c r="AEV214" s="1"/>
      <c r="AEW214" s="1"/>
      <c r="AEX214" s="1"/>
      <c r="AEY214" s="1"/>
      <c r="AEZ214" s="1"/>
      <c r="AFA214" s="1"/>
      <c r="AFB214" s="1"/>
      <c r="AFC214" s="1"/>
      <c r="AFD214" s="1"/>
      <c r="AFE214" s="1"/>
      <c r="AFF214" s="1"/>
      <c r="AFG214" s="1"/>
      <c r="AFH214" s="1"/>
      <c r="AFI214" s="1"/>
      <c r="AFJ214" s="1"/>
      <c r="AFK214" s="1"/>
      <c r="AFL214" s="1"/>
      <c r="AFM214" s="1"/>
      <c r="AFN214" s="1"/>
      <c r="AFO214" s="1"/>
      <c r="AFP214" s="1"/>
      <c r="AFQ214" s="1"/>
      <c r="AFR214" s="1"/>
      <c r="AFS214" s="1"/>
      <c r="AFT214" s="1"/>
      <c r="AFU214" s="1"/>
      <c r="AFV214" s="1"/>
      <c r="AFW214" s="1"/>
      <c r="AFX214" s="1"/>
      <c r="AFY214" s="1"/>
      <c r="AFZ214" s="1"/>
      <c r="AGA214" s="1"/>
      <c r="AGB214" s="1"/>
      <c r="AGC214" s="1"/>
      <c r="AGD214" s="1"/>
      <c r="AGE214" s="1"/>
      <c r="AGF214" s="1"/>
      <c r="AGG214" s="1"/>
      <c r="AGH214" s="1"/>
      <c r="AGI214" s="1"/>
      <c r="AGJ214" s="1"/>
      <c r="AGK214" s="1"/>
      <c r="AGL214" s="1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F214" s="1"/>
      <c r="AHG214" s="1"/>
      <c r="AHH214" s="1"/>
      <c r="AHI214" s="1"/>
      <c r="AHJ214" s="1"/>
      <c r="AHK214" s="1"/>
      <c r="AHL214" s="1"/>
      <c r="AHM214" s="1"/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/>
      <c r="AKB214" s="1"/>
      <c r="AKC214" s="1"/>
      <c r="AKD214" s="1"/>
      <c r="AKE214" s="1"/>
      <c r="AKF214" s="1"/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R214" s="1"/>
      <c r="AKS214" s="1"/>
      <c r="AKT214" s="1"/>
      <c r="AKU214" s="1"/>
      <c r="AKV214" s="1"/>
      <c r="AKW214" s="1"/>
      <c r="AKX214" s="1"/>
      <c r="AKY214" s="1"/>
      <c r="AKZ214" s="1"/>
      <c r="ALA214" s="1"/>
      <c r="ALB214" s="1"/>
      <c r="ALC214" s="1"/>
      <c r="ALD214" s="1"/>
      <c r="ALE214" s="1"/>
      <c r="ALF214" s="1"/>
      <c r="ALG214" s="1"/>
      <c r="ALH214" s="1"/>
      <c r="ALI214" s="1"/>
      <c r="ALJ214" s="1"/>
      <c r="ALK214" s="1"/>
      <c r="ALL214" s="1"/>
      <c r="ALM214" s="1"/>
      <c r="ALN214" s="1"/>
      <c r="ALO214" s="1"/>
      <c r="ALP214" s="1"/>
      <c r="ALQ214" s="1"/>
      <c r="ALR214" s="1"/>
      <c r="ALS214" s="1"/>
      <c r="ALT214" s="1"/>
      <c r="ALU214" s="1"/>
      <c r="ALV214" s="1"/>
      <c r="ALW214" s="1"/>
      <c r="ALX214" s="1"/>
      <c r="ALY214" s="1"/>
      <c r="ALZ214" s="1"/>
      <c r="AMA214" s="1"/>
      <c r="AMB214" s="1"/>
      <c r="AMC214" s="1"/>
      <c r="AMD214" s="1"/>
      <c r="AME214" s="1"/>
      <c r="AMF214" s="1"/>
      <c r="AMG214" s="1"/>
      <c r="AMH214" s="1"/>
      <c r="AMI214" s="1"/>
      <c r="AMJ214" s="1"/>
      <c r="AMK214" s="1"/>
      <c r="AML214" s="1"/>
      <c r="AMM214" s="1"/>
      <c r="AMN214" s="1"/>
      <c r="AMO214" s="1"/>
    </row>
    <row r="215" spans="1:1029" x14ac:dyDescent="0.2">
      <c r="A215" s="3" t="str">
        <f>CONCATENATE(B215,"_",C215)</f>
        <v>drd4_human__wt</v>
      </c>
      <c r="B215" s="3" t="s">
        <v>193</v>
      </c>
      <c r="C215" s="3" t="s">
        <v>100</v>
      </c>
      <c r="D215" s="3" t="str">
        <f>IFERROR(MID(VLOOKUP($B215,Seqs!$A:$B,2,0),E215,1),"")</f>
        <v>A</v>
      </c>
      <c r="E215" s="3">
        <v>31</v>
      </c>
      <c r="F215" s="3" t="str">
        <f>IFERROR(MID(VLOOKUP($B215,Seqs!$A:$B,2,0),G215,1),"")</f>
        <v>E</v>
      </c>
      <c r="G215" s="3">
        <v>62</v>
      </c>
      <c r="H215" s="3" t="str">
        <f>IFERROR(MID(VLOOKUP($B215,Seqs!$A:$B,2,0),I215,1),"")</f>
        <v>R</v>
      </c>
      <c r="I215" s="23">
        <v>63</v>
      </c>
      <c r="J215" s="3" t="str">
        <f>IFERROR(MID(VLOOKUP($B215,Seqs!$A:$B,2,0),K215,1),"")</f>
        <v>Q</v>
      </c>
      <c r="K215" s="23">
        <v>66</v>
      </c>
      <c r="L215" s="3" t="str">
        <f>IFERROR(MID(VLOOKUP($B215,Seqs!$A:$B,2,0),M215,1),"")</f>
        <v>T</v>
      </c>
      <c r="M215" s="3">
        <v>67</v>
      </c>
      <c r="N215" s="3" t="str">
        <f>IFERROR(MID(VLOOKUP($B215,Seqs!$A:$B,2,0),O215,1),"")</f>
        <v>Q</v>
      </c>
      <c r="O215" s="3">
        <v>97</v>
      </c>
      <c r="P215" s="3" t="str">
        <f>IFERROR(MID(VLOOKUP($B215,Seqs!$A:$B,2,0),Q215,1),"")</f>
        <v>A</v>
      </c>
      <c r="Q215" s="3">
        <v>100</v>
      </c>
      <c r="R215" s="3" t="str">
        <f>IFERROR(MID(VLOOKUP($B215,Seqs!$A:$B,2,0),S215,1),"")</f>
        <v>L</v>
      </c>
      <c r="S215" s="3">
        <v>103</v>
      </c>
      <c r="T215" s="3" t="str">
        <f>IFERROR(MID(VLOOKUP($B215,Seqs!$A:$B,2,0),U215,1),"")</f>
        <v>S</v>
      </c>
      <c r="U215" s="3">
        <v>104</v>
      </c>
      <c r="V215" s="3" t="str">
        <f>IFERROR(MID(VLOOKUP($B215,Seqs!$A:$B,2,0),W215,1),"")</f>
        <v>V</v>
      </c>
      <c r="W215" s="3">
        <v>139</v>
      </c>
      <c r="X215" s="3" t="str">
        <f>IFERROR(MID(VLOOKUP($B215,Seqs!$A:$B,2,0),Y215,1),"")</f>
        <v>P</v>
      </c>
      <c r="Y215" s="3">
        <v>140</v>
      </c>
      <c r="Z215" s="3" t="str">
        <f>IFERROR(MID(VLOOKUP($B215,Seqs!$A:$B,2,0),AA215,1),"")</f>
        <v>G</v>
      </c>
      <c r="AA215" s="3">
        <v>147</v>
      </c>
      <c r="AB215" s="3" t="str">
        <f>IFERROR(MID(VLOOKUP($B215,Seqs!$A:$B,2,0),AC215,1),"")</f>
        <v>G</v>
      </c>
      <c r="AC215" s="3">
        <v>148</v>
      </c>
      <c r="AD215" s="3" t="str">
        <f>IFERROR(MID(VLOOKUP($B215,Seqs!$A:$B,2,0),AE215,1),"")</f>
        <v>G</v>
      </c>
      <c r="AE215" s="3">
        <v>173</v>
      </c>
      <c r="AF215" s="3" t="str">
        <f>IFERROR(MID(VLOOKUP($B215,Seqs!$A:$B,2,0),AG215,1),"")</f>
        <v>C</v>
      </c>
      <c r="AG215" s="3">
        <v>185</v>
      </c>
      <c r="AH215" s="3" t="str">
        <f>IFERROR(MID(VLOOKUP($B215,Seqs!$A:$B,2,0),AI215,1),"")</f>
        <v>L</v>
      </c>
      <c r="AI215" s="3">
        <v>187</v>
      </c>
      <c r="AJ215" s="3" t="str">
        <f>IFERROR(MID(VLOOKUP($B215,Seqs!$A:$B,2,0),AK215,1),"")</f>
        <v>D</v>
      </c>
      <c r="AK215" s="3">
        <v>189</v>
      </c>
      <c r="AL215" s="3" t="str">
        <f>IFERROR(MID(VLOOKUP($B215,Seqs!$A:$B,2,0),AM215,1),"")</f>
        <v>K</v>
      </c>
      <c r="AM215" s="3">
        <v>229</v>
      </c>
      <c r="AN215" s="3" t="str">
        <f>IFERROR(MID(VLOOKUP($B215,Seqs!$A:$B,2,0),AO215,1),"")</f>
        <v>A</v>
      </c>
      <c r="AO215" s="3">
        <v>383</v>
      </c>
      <c r="AP215" s="3" t="str">
        <f>IFERROR(MID(VLOOKUP($B215,Seqs!$A:$B,2,0),AQ215,1),"")</f>
        <v>C</v>
      </c>
      <c r="AQ215" s="3">
        <v>420</v>
      </c>
      <c r="AR215" s="3" t="str">
        <f>IFERROR(MID(VLOOKUP($B215,Seqs!$A:$B,2,0),AS215,1),"")</f>
        <v>P</v>
      </c>
      <c r="AS215" s="3">
        <v>426</v>
      </c>
      <c r="AT215" s="3" t="str">
        <f>IFERROR(MID(VLOOKUP($B215,Seqs!$A:$B,2,0),AU215,1),"")</f>
        <v>F</v>
      </c>
      <c r="AU215" s="3">
        <v>451</v>
      </c>
      <c r="AV215" s="3" t="str">
        <f>IFERROR(MID(VLOOKUP($B215,Seqs!$A:$B,2,0),AW215,1),"")</f>
        <v>N</v>
      </c>
      <c r="AW215" s="3">
        <v>452</v>
      </c>
      <c r="AX215" s="3" t="str">
        <f>IFERROR(MID(VLOOKUP($B215,Seqs!$A:$B,2,0),AY215,1),"")</f>
        <v>R</v>
      </c>
      <c r="AY215" s="3">
        <v>464</v>
      </c>
      <c r="AZ215" s="77" t="str">
        <f>VLOOKUP(B215,Classification!A:D,2,0)</f>
        <v>A</v>
      </c>
      <c r="BA215" s="94" t="str">
        <f>VLOOKUP(B215,Classification!A:D,4,0)</f>
        <v>Dopamine</v>
      </c>
      <c r="BB215" s="27" t="b">
        <f>AND(E215&lt;G215,OR(G215&lt;I215,I215="-"),OR(I215&lt;K215,I215="-"),OR(K215&lt;M215,K215="-"),M215&lt;O215,OR(O215&lt;Q215,Q215="-"),OR(Q215&lt;S215,Q215="-"),OR(S215&lt;U215,S215="-"),U215&lt;W215,OR(W215&lt;Y215,Y215="-"),OR(Y215&lt;AA215,Y215="-"),OR(AA215&lt;AC215,AA215="-"),AC215&lt;AE215,OR(AE215&lt;AG215,AG215="-"),OR(AG215&lt;AI215,AG215="-"),OR(AI215&lt;AK215,AI215="-"),AK215&lt;AM215,AM215&lt;AO215,AO215&lt;AQ215,AQ215&lt;AS215,AS215&lt;AU215,OR(AU215&lt;AW215,AW215="-"),OR(AW215&lt;AY215,AW215="-"))</f>
        <v>1</v>
      </c>
      <c r="BC215" s="23">
        <f>_xlfn.AGGREGATE(9,6,CH215:CS215)-_xlfn.AGGREGATE(9,6,BV215:CG215)+12</f>
        <v>262</v>
      </c>
      <c r="BD215" s="2" t="s">
        <v>23</v>
      </c>
      <c r="BE215" s="3" t="s">
        <v>1368</v>
      </c>
      <c r="BF215" s="118" t="s">
        <v>23</v>
      </c>
      <c r="BG215" s="49" t="s">
        <v>1371</v>
      </c>
      <c r="BH215" s="49" t="s">
        <v>1371</v>
      </c>
      <c r="BI215" s="1"/>
      <c r="BJ215" s="70" t="s">
        <v>1281</v>
      </c>
      <c r="BK215" s="57" t="s">
        <v>1281</v>
      </c>
      <c r="BL215" s="57" t="s">
        <v>1281</v>
      </c>
      <c r="BM215" s="57" t="s">
        <v>1281</v>
      </c>
      <c r="BN215" s="57" t="s">
        <v>1281</v>
      </c>
      <c r="BO215" s="57" t="s">
        <v>1281</v>
      </c>
      <c r="BP215" s="57" t="s">
        <v>1281</v>
      </c>
      <c r="BQ215" s="57" t="s">
        <v>1281</v>
      </c>
      <c r="BR215" s="57" t="s">
        <v>1281</v>
      </c>
      <c r="BS215" s="57" t="s">
        <v>1281</v>
      </c>
      <c r="BT215" s="57" t="s">
        <v>1281</v>
      </c>
      <c r="BU215" s="57" t="s">
        <v>1281</v>
      </c>
      <c r="BV215" s="70">
        <f>E215</f>
        <v>31</v>
      </c>
      <c r="BW215" s="71">
        <f>I215</f>
        <v>63</v>
      </c>
      <c r="BX215" s="72">
        <f>M215</f>
        <v>67</v>
      </c>
      <c r="BY215" s="71">
        <f>Q215</f>
        <v>100</v>
      </c>
      <c r="BZ215" s="72">
        <f>U215</f>
        <v>104</v>
      </c>
      <c r="CA215" s="71">
        <f>Y215</f>
        <v>140</v>
      </c>
      <c r="CB215" s="72">
        <f>AC215</f>
        <v>148</v>
      </c>
      <c r="CC215" s="71">
        <f>AG215</f>
        <v>185</v>
      </c>
      <c r="CD215" s="72">
        <f>AK215</f>
        <v>189</v>
      </c>
      <c r="CE215" s="71">
        <f>AO215</f>
        <v>383</v>
      </c>
      <c r="CF215" s="72">
        <f>AS215</f>
        <v>426</v>
      </c>
      <c r="CG215" s="71">
        <f>AW215</f>
        <v>452</v>
      </c>
      <c r="CH215" s="70">
        <f>G215</f>
        <v>62</v>
      </c>
      <c r="CI215" s="71">
        <f>K215</f>
        <v>66</v>
      </c>
      <c r="CJ215" s="72">
        <f>O215</f>
        <v>97</v>
      </c>
      <c r="CK215" s="72">
        <f>S215</f>
        <v>103</v>
      </c>
      <c r="CL215" s="72">
        <f>W215</f>
        <v>139</v>
      </c>
      <c r="CM215" s="72">
        <f>AA215</f>
        <v>147</v>
      </c>
      <c r="CN215" s="72">
        <f>AE215</f>
        <v>173</v>
      </c>
      <c r="CO215" s="72">
        <f>AI215</f>
        <v>187</v>
      </c>
      <c r="CP215" s="72">
        <f>AM215</f>
        <v>229</v>
      </c>
      <c r="CQ215" s="72">
        <f>AQ215</f>
        <v>420</v>
      </c>
      <c r="CR215" s="72">
        <f>AU215</f>
        <v>451</v>
      </c>
      <c r="CS215" s="72">
        <f>AY215</f>
        <v>464</v>
      </c>
      <c r="CT215" s="23">
        <f>M215-K215</f>
        <v>1</v>
      </c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  <c r="US215" s="1"/>
      <c r="UT215" s="1"/>
      <c r="UU215" s="1"/>
      <c r="UV215" s="1"/>
      <c r="UW215" s="1"/>
      <c r="UX215" s="1"/>
      <c r="UY215" s="1"/>
      <c r="UZ215" s="1"/>
      <c r="VA215" s="1"/>
      <c r="VB215" s="1"/>
      <c r="VC215" s="1"/>
      <c r="VD215" s="1"/>
      <c r="VE215" s="1"/>
      <c r="VF215" s="1"/>
      <c r="VG215" s="1"/>
      <c r="VH215" s="1"/>
      <c r="VI215" s="1"/>
      <c r="VJ215" s="1"/>
      <c r="VK215" s="1"/>
      <c r="VL215" s="1"/>
      <c r="VM215" s="1"/>
      <c r="VN215" s="1"/>
      <c r="VO215" s="1"/>
      <c r="VP215" s="1"/>
      <c r="VQ215" s="1"/>
      <c r="VR215" s="1"/>
      <c r="VS215" s="1"/>
      <c r="VT215" s="1"/>
      <c r="VU215" s="1"/>
      <c r="VV215" s="1"/>
      <c r="VW215" s="1"/>
      <c r="VX215" s="1"/>
      <c r="VY215" s="1"/>
      <c r="VZ215" s="1"/>
      <c r="WA215" s="1"/>
      <c r="WB215" s="1"/>
      <c r="WC215" s="1"/>
      <c r="WD215" s="1"/>
      <c r="WE215" s="1"/>
      <c r="WF215" s="1"/>
      <c r="WG215" s="1"/>
      <c r="WH215" s="1"/>
      <c r="WI215" s="1"/>
      <c r="WJ215" s="1"/>
      <c r="WK215" s="1"/>
      <c r="WL215" s="1"/>
      <c r="WM215" s="1"/>
      <c r="WN215" s="1"/>
      <c r="WO215" s="1"/>
      <c r="WP215" s="1"/>
      <c r="WQ215" s="1"/>
      <c r="WR215" s="1"/>
      <c r="WS215" s="1"/>
      <c r="WT215" s="1"/>
      <c r="WU215" s="1"/>
      <c r="WV215" s="1"/>
      <c r="WW215" s="1"/>
      <c r="WX215" s="1"/>
      <c r="WY215" s="1"/>
      <c r="WZ215" s="1"/>
      <c r="XA215" s="1"/>
      <c r="XB215" s="1"/>
      <c r="XC215" s="1"/>
      <c r="XD215" s="1"/>
      <c r="XE215" s="1"/>
      <c r="XF215" s="1"/>
      <c r="XG215" s="1"/>
      <c r="XH215" s="1"/>
      <c r="XI215" s="1"/>
      <c r="XJ215" s="1"/>
      <c r="XK215" s="1"/>
      <c r="XL215" s="1"/>
      <c r="XM215" s="1"/>
      <c r="XN215" s="1"/>
      <c r="XO215" s="1"/>
      <c r="XP215" s="1"/>
      <c r="XQ215" s="1"/>
      <c r="XR215" s="1"/>
      <c r="XS215" s="1"/>
      <c r="XT215" s="1"/>
      <c r="XU215" s="1"/>
      <c r="XV215" s="1"/>
      <c r="XW215" s="1"/>
      <c r="XX215" s="1"/>
      <c r="XY215" s="1"/>
      <c r="XZ215" s="1"/>
      <c r="YA215" s="1"/>
      <c r="YB215" s="1"/>
      <c r="YC215" s="1"/>
      <c r="YD215" s="1"/>
      <c r="YE215" s="1"/>
      <c r="YF215" s="1"/>
      <c r="YG215" s="1"/>
      <c r="YH215" s="1"/>
      <c r="YI215" s="1"/>
      <c r="YJ215" s="1"/>
      <c r="YK215" s="1"/>
      <c r="YL215" s="1"/>
      <c r="YM215" s="1"/>
      <c r="YN215" s="1"/>
      <c r="YO215" s="1"/>
      <c r="YP215" s="1"/>
      <c r="YQ215" s="1"/>
      <c r="YR215" s="1"/>
      <c r="YS215" s="1"/>
      <c r="YT215" s="1"/>
      <c r="YU215" s="1"/>
      <c r="YV215" s="1"/>
      <c r="YW215" s="1"/>
      <c r="YX215" s="1"/>
      <c r="YY215" s="1"/>
      <c r="YZ215" s="1"/>
      <c r="ZA215" s="1"/>
      <c r="ZB215" s="1"/>
      <c r="ZC215" s="1"/>
      <c r="ZD215" s="1"/>
      <c r="ZE215" s="1"/>
      <c r="ZF215" s="1"/>
      <c r="ZG215" s="1"/>
      <c r="ZH215" s="1"/>
      <c r="ZI215" s="1"/>
      <c r="ZJ215" s="1"/>
      <c r="ZK215" s="1"/>
      <c r="ZL215" s="1"/>
      <c r="ZM215" s="1"/>
      <c r="ZN215" s="1"/>
      <c r="ZO215" s="1"/>
      <c r="ZP215" s="1"/>
      <c r="ZQ215" s="1"/>
      <c r="ZR215" s="1"/>
      <c r="ZS215" s="1"/>
      <c r="ZT215" s="1"/>
      <c r="ZU215" s="1"/>
      <c r="ZV215" s="1"/>
      <c r="ZW215" s="1"/>
      <c r="ZX215" s="1"/>
      <c r="ZY215" s="1"/>
      <c r="ZZ215" s="1"/>
      <c r="AAA215" s="1"/>
      <c r="AAB215" s="1"/>
      <c r="AAC215" s="1"/>
      <c r="AAD215" s="1"/>
      <c r="AAE215" s="1"/>
      <c r="AAF215" s="1"/>
      <c r="AAG215" s="1"/>
      <c r="AAH215" s="1"/>
      <c r="AAI215" s="1"/>
      <c r="AAJ215" s="1"/>
      <c r="AAK215" s="1"/>
      <c r="AAL215" s="1"/>
      <c r="AAM215" s="1"/>
      <c r="AAN215" s="1"/>
      <c r="AAO215" s="1"/>
      <c r="AAP215" s="1"/>
      <c r="AAQ215" s="1"/>
      <c r="AAR215" s="1"/>
      <c r="AAS215" s="1"/>
      <c r="AAT215" s="1"/>
      <c r="AAU215" s="1"/>
      <c r="AAV215" s="1"/>
      <c r="AAW215" s="1"/>
      <c r="AAX215" s="1"/>
      <c r="AAY215" s="1"/>
      <c r="AAZ215" s="1"/>
      <c r="ABA215" s="1"/>
      <c r="ABB215" s="1"/>
      <c r="ABC215" s="1"/>
      <c r="ABD215" s="1"/>
      <c r="ABE215" s="1"/>
      <c r="ABF215" s="1"/>
      <c r="ABG215" s="1"/>
      <c r="ABH215" s="1"/>
      <c r="ABI215" s="1"/>
      <c r="ABJ215" s="1"/>
      <c r="ABK215" s="1"/>
      <c r="ABL215" s="1"/>
      <c r="ABM215" s="1"/>
      <c r="ABN215" s="1"/>
      <c r="ABO215" s="1"/>
      <c r="ABP215" s="1"/>
      <c r="ABQ215" s="1"/>
      <c r="ABR215" s="1"/>
      <c r="ABS215" s="1"/>
      <c r="ABT215" s="1"/>
      <c r="ABU215" s="1"/>
      <c r="ABV215" s="1"/>
      <c r="ABW215" s="1"/>
      <c r="ABX215" s="1"/>
      <c r="ABY215" s="1"/>
      <c r="ABZ215" s="1"/>
      <c r="ACA215" s="1"/>
      <c r="ACB215" s="1"/>
      <c r="ACC215" s="1"/>
      <c r="ACD215" s="1"/>
      <c r="ACE215" s="1"/>
      <c r="ACF215" s="1"/>
      <c r="ACG215" s="1"/>
      <c r="ACH215" s="1"/>
      <c r="ACI215" s="1"/>
      <c r="ACJ215" s="1"/>
      <c r="ACK215" s="1"/>
      <c r="ACL215" s="1"/>
      <c r="ACM215" s="1"/>
      <c r="ACN215" s="1"/>
      <c r="ACO215" s="1"/>
      <c r="ACP215" s="1"/>
      <c r="ACQ215" s="1"/>
      <c r="ACR215" s="1"/>
      <c r="ACS215" s="1"/>
      <c r="ACT215" s="1"/>
      <c r="ACU215" s="1"/>
      <c r="ACV215" s="1"/>
      <c r="ACW215" s="1"/>
      <c r="ACX215" s="1"/>
      <c r="ACY215" s="1"/>
      <c r="ACZ215" s="1"/>
      <c r="ADA215" s="1"/>
      <c r="ADB215" s="1"/>
      <c r="ADC215" s="1"/>
      <c r="ADD215" s="1"/>
      <c r="ADE215" s="1"/>
      <c r="ADF215" s="1"/>
      <c r="ADG215" s="1"/>
      <c r="ADH215" s="1"/>
      <c r="ADI215" s="1"/>
      <c r="ADJ215" s="1"/>
      <c r="ADK215" s="1"/>
      <c r="ADL215" s="1"/>
      <c r="ADM215" s="1"/>
      <c r="ADN215" s="1"/>
      <c r="ADO215" s="1"/>
      <c r="ADP215" s="1"/>
      <c r="ADQ215" s="1"/>
      <c r="ADR215" s="1"/>
      <c r="ADS215" s="1"/>
      <c r="ADT215" s="1"/>
      <c r="ADU215" s="1"/>
      <c r="ADV215" s="1"/>
      <c r="ADW215" s="1"/>
      <c r="ADX215" s="1"/>
      <c r="ADY215" s="1"/>
      <c r="ADZ215" s="1"/>
      <c r="AEA215" s="1"/>
      <c r="AEB215" s="1"/>
      <c r="AEC215" s="1"/>
      <c r="AED215" s="1"/>
      <c r="AEE215" s="1"/>
      <c r="AEF215" s="1"/>
      <c r="AEG215" s="1"/>
      <c r="AEH215" s="1"/>
      <c r="AEI215" s="1"/>
      <c r="AEJ215" s="1"/>
      <c r="AEK215" s="1"/>
      <c r="AEL215" s="1"/>
      <c r="AEM215" s="1"/>
      <c r="AEN215" s="1"/>
      <c r="AEO215" s="1"/>
      <c r="AEP215" s="1"/>
      <c r="AEQ215" s="1"/>
      <c r="AER215" s="1"/>
      <c r="AES215" s="1"/>
      <c r="AET215" s="1"/>
      <c r="AEU215" s="1"/>
      <c r="AEV215" s="1"/>
      <c r="AEW215" s="1"/>
      <c r="AEX215" s="1"/>
      <c r="AEY215" s="1"/>
      <c r="AEZ215" s="1"/>
      <c r="AFA215" s="1"/>
      <c r="AFB215" s="1"/>
      <c r="AFC215" s="1"/>
      <c r="AFD215" s="1"/>
      <c r="AFE215" s="1"/>
      <c r="AFF215" s="1"/>
      <c r="AFG215" s="1"/>
      <c r="AFH215" s="1"/>
      <c r="AFI215" s="1"/>
      <c r="AFJ215" s="1"/>
      <c r="AFK215" s="1"/>
      <c r="AFL215" s="1"/>
      <c r="AFM215" s="1"/>
      <c r="AFN215" s="1"/>
      <c r="AFO215" s="1"/>
      <c r="AFP215" s="1"/>
      <c r="AFQ215" s="1"/>
      <c r="AFR215" s="1"/>
      <c r="AFS215" s="1"/>
      <c r="AFT215" s="1"/>
      <c r="AFU215" s="1"/>
      <c r="AFV215" s="1"/>
      <c r="AFW215" s="1"/>
      <c r="AFX215" s="1"/>
      <c r="AFY215" s="1"/>
      <c r="AFZ215" s="1"/>
      <c r="AGA215" s="1"/>
      <c r="AGB215" s="1"/>
      <c r="AGC215" s="1"/>
      <c r="AGD215" s="1"/>
      <c r="AGE215" s="1"/>
      <c r="AGF215" s="1"/>
      <c r="AGG215" s="1"/>
      <c r="AGH215" s="1"/>
      <c r="AGI215" s="1"/>
      <c r="AGJ215" s="1"/>
      <c r="AGK215" s="1"/>
      <c r="AGL215" s="1"/>
      <c r="AGM215" s="1"/>
      <c r="AGN215" s="1"/>
      <c r="AGO215" s="1"/>
      <c r="AGP215" s="1"/>
      <c r="AGQ215" s="1"/>
      <c r="AGR215" s="1"/>
      <c r="AGS215" s="1"/>
      <c r="AGT215" s="1"/>
      <c r="AGU215" s="1"/>
      <c r="AGV215" s="1"/>
      <c r="AGW215" s="1"/>
      <c r="AGX215" s="1"/>
      <c r="AGY215" s="1"/>
      <c r="AGZ215" s="1"/>
      <c r="AHA215" s="1"/>
      <c r="AHB215" s="1"/>
      <c r="AHC215" s="1"/>
      <c r="AHD215" s="1"/>
      <c r="AHE215" s="1"/>
      <c r="AHF215" s="1"/>
      <c r="AHG215" s="1"/>
      <c r="AHH215" s="1"/>
      <c r="AHI215" s="1"/>
      <c r="AHJ215" s="1"/>
      <c r="AHK215" s="1"/>
      <c r="AHL215" s="1"/>
      <c r="AHM215" s="1"/>
      <c r="AHN215" s="1"/>
      <c r="AHO215" s="1"/>
      <c r="AHP215" s="1"/>
      <c r="AHQ215" s="1"/>
      <c r="AHR215" s="1"/>
      <c r="AHS215" s="1"/>
      <c r="AHT215" s="1"/>
      <c r="AHU215" s="1"/>
      <c r="AHV215" s="1"/>
      <c r="AHW215" s="1"/>
      <c r="AHX215" s="1"/>
      <c r="AHY215" s="1"/>
      <c r="AHZ215" s="1"/>
      <c r="AIA215" s="1"/>
      <c r="AIB215" s="1"/>
      <c r="AIC215" s="1"/>
      <c r="AID215" s="1"/>
      <c r="AIE215" s="1"/>
      <c r="AIF215" s="1"/>
      <c r="AIG215" s="1"/>
      <c r="AIH215" s="1"/>
      <c r="AII215" s="1"/>
      <c r="AIJ215" s="1"/>
      <c r="AIK215" s="1"/>
      <c r="AIL215" s="1"/>
      <c r="AIM215" s="1"/>
      <c r="AIN215" s="1"/>
      <c r="AIO215" s="1"/>
      <c r="AIP215" s="1"/>
      <c r="AIQ215" s="1"/>
      <c r="AIR215" s="1"/>
      <c r="AIS215" s="1"/>
      <c r="AIT215" s="1"/>
      <c r="AIU215" s="1"/>
      <c r="AIV215" s="1"/>
      <c r="AIW215" s="1"/>
      <c r="AIX215" s="1"/>
      <c r="AIY215" s="1"/>
      <c r="AIZ215" s="1"/>
      <c r="AJA215" s="1"/>
      <c r="AJB215" s="1"/>
      <c r="AJC215" s="1"/>
      <c r="AJD215" s="1"/>
      <c r="AJE215" s="1"/>
      <c r="AJF215" s="1"/>
      <c r="AJG215" s="1"/>
      <c r="AJH215" s="1"/>
      <c r="AJI215" s="1"/>
      <c r="AJJ215" s="1"/>
      <c r="AJK215" s="1"/>
      <c r="AJL215" s="1"/>
      <c r="AJM215" s="1"/>
      <c r="AJN215" s="1"/>
      <c r="AJO215" s="1"/>
      <c r="AJP215" s="1"/>
      <c r="AJQ215" s="1"/>
      <c r="AJR215" s="1"/>
      <c r="AJS215" s="1"/>
      <c r="AJT215" s="1"/>
      <c r="AJU215" s="1"/>
      <c r="AJV215" s="1"/>
      <c r="AJW215" s="1"/>
      <c r="AJX215" s="1"/>
      <c r="AJY215" s="1"/>
      <c r="AJZ215" s="1"/>
      <c r="AKA215" s="1"/>
      <c r="AKB215" s="1"/>
      <c r="AKC215" s="1"/>
      <c r="AKD215" s="1"/>
      <c r="AKE215" s="1"/>
      <c r="AKF215" s="1"/>
      <c r="AKG215" s="1"/>
      <c r="AKH215" s="1"/>
      <c r="AKI215" s="1"/>
      <c r="AKJ215" s="1"/>
      <c r="AKK215" s="1"/>
      <c r="AKL215" s="1"/>
      <c r="AKM215" s="1"/>
      <c r="AKN215" s="1"/>
      <c r="AKO215" s="1"/>
      <c r="AKP215" s="1"/>
      <c r="AKQ215" s="1"/>
      <c r="AKR215" s="1"/>
      <c r="AKS215" s="1"/>
      <c r="AKT215" s="1"/>
      <c r="AKU215" s="1"/>
      <c r="AKV215" s="1"/>
      <c r="AKW215" s="1"/>
      <c r="AKX215" s="1"/>
      <c r="AKY215" s="1"/>
      <c r="AKZ215" s="1"/>
      <c r="ALA215" s="1"/>
      <c r="ALB215" s="1"/>
      <c r="ALC215" s="1"/>
      <c r="ALD215" s="1"/>
      <c r="ALE215" s="1"/>
      <c r="ALF215" s="1"/>
      <c r="ALG215" s="1"/>
      <c r="ALH215" s="1"/>
      <c r="ALI215" s="1"/>
      <c r="ALJ215" s="1"/>
      <c r="ALK215" s="1"/>
      <c r="ALL215" s="1"/>
      <c r="ALM215" s="1"/>
      <c r="ALN215" s="1"/>
      <c r="ALO215" s="1"/>
      <c r="ALP215" s="1"/>
      <c r="ALQ215" s="1"/>
      <c r="ALR215" s="1"/>
      <c r="ALS215" s="1"/>
      <c r="ALT215" s="1"/>
      <c r="ALU215" s="1"/>
      <c r="ALV215" s="1"/>
      <c r="ALW215" s="1"/>
      <c r="ALX215" s="1"/>
      <c r="ALY215" s="1"/>
      <c r="ALZ215" s="1"/>
      <c r="AMA215" s="1"/>
      <c r="AMB215" s="1"/>
      <c r="AMC215" s="1"/>
      <c r="AMD215" s="1"/>
      <c r="AME215" s="1"/>
      <c r="AMF215" s="1"/>
      <c r="AMG215" s="1"/>
      <c r="AMH215" s="1"/>
      <c r="AMI215" s="1"/>
      <c r="AMJ215" s="1"/>
      <c r="AMK215" s="1"/>
      <c r="AML215" s="1"/>
      <c r="AMM215" s="1"/>
      <c r="AMN215" s="1"/>
      <c r="AMO215" s="1"/>
    </row>
    <row r="216" spans="1:1029" x14ac:dyDescent="0.2">
      <c r="A216" s="3" t="str">
        <f>CONCATENATE(B216,"_",C216)</f>
        <v>drd4_human_5WIU</v>
      </c>
      <c r="B216" s="3" t="s">
        <v>193</v>
      </c>
      <c r="C216" s="3" t="s">
        <v>1438</v>
      </c>
      <c r="D216" s="3" t="str">
        <f>IFERROR(MID(VLOOKUP($B216,Seqs!$A:$B,2,0),E216,1),"")</f>
        <v>G</v>
      </c>
      <c r="E216" s="3">
        <v>34</v>
      </c>
      <c r="F216" s="3" t="str">
        <f>IFERROR(MID(VLOOKUP($B216,Seqs!$A:$B,2,0),G216,1),"")</f>
        <v>E</v>
      </c>
      <c r="G216" s="3">
        <v>62</v>
      </c>
      <c r="H216" s="3" t="str">
        <f>IFERROR(MID(VLOOKUP($B216,Seqs!$A:$B,2,0),I216,1),"")</f>
        <v>R</v>
      </c>
      <c r="I216" s="23">
        <v>63</v>
      </c>
      <c r="J216" s="3" t="str">
        <f>IFERROR(MID(VLOOKUP($B216,Seqs!$A:$B,2,0),K216,1),"")</f>
        <v>Q</v>
      </c>
      <c r="K216" s="23">
        <v>66</v>
      </c>
      <c r="L216" s="3" t="str">
        <f>IFERROR(MID(VLOOKUP($B216,Seqs!$A:$B,2,0),M216,1),"")</f>
        <v>T</v>
      </c>
      <c r="M216" s="3">
        <v>67</v>
      </c>
      <c r="N216" s="3" t="str">
        <f>IFERROR(MID(VLOOKUP($B216,Seqs!$A:$B,2,0),O216,1),"")</f>
        <v>Q</v>
      </c>
      <c r="O216" s="3">
        <v>97</v>
      </c>
      <c r="P216" s="3" t="str">
        <f>IFERROR(MID(VLOOKUP($B216,Seqs!$A:$B,2,0),Q216,1),"")</f>
        <v>A</v>
      </c>
      <c r="Q216" s="3">
        <v>100</v>
      </c>
      <c r="R216" s="3" t="str">
        <f>IFERROR(MID(VLOOKUP($B216,Seqs!$A:$B,2,0),S216,1),"")</f>
        <v>L</v>
      </c>
      <c r="S216" s="3">
        <v>103</v>
      </c>
      <c r="T216" s="3" t="str">
        <f>IFERROR(MID(VLOOKUP($B216,Seqs!$A:$B,2,0),U216,1),"")</f>
        <v>S</v>
      </c>
      <c r="U216" s="3">
        <v>104</v>
      </c>
      <c r="V216" s="3" t="str">
        <f>IFERROR(MID(VLOOKUP($B216,Seqs!$A:$B,2,0),W216,1),"")</f>
        <v>V</v>
      </c>
      <c r="W216" s="3">
        <v>139</v>
      </c>
      <c r="X216" s="3" t="str">
        <f>IFERROR(MID(VLOOKUP($B216,Seqs!$A:$B,2,0),Y216,1),"")</f>
        <v/>
      </c>
      <c r="Y216" s="3" t="s">
        <v>23</v>
      </c>
      <c r="Z216" s="3" t="str">
        <f>IFERROR(MID(VLOOKUP($B216,Seqs!$A:$B,2,0),AA216,1),"")</f>
        <v/>
      </c>
      <c r="AA216" s="3" t="s">
        <v>23</v>
      </c>
      <c r="AB216" s="3" t="str">
        <f>IFERROR(MID(VLOOKUP($B216,Seqs!$A:$B,2,0),AC216,1),"")</f>
        <v>R</v>
      </c>
      <c r="AC216" s="3">
        <v>150</v>
      </c>
      <c r="AD216" s="3" t="str">
        <f>IFERROR(MID(VLOOKUP($B216,Seqs!$A:$B,2,0),AE216,1),"")</f>
        <v>G</v>
      </c>
      <c r="AE216" s="3">
        <v>173</v>
      </c>
      <c r="AF216" s="3" t="str">
        <f>IFERROR(MID(VLOOKUP($B216,Seqs!$A:$B,2,0),AG216,1),"")</f>
        <v>C</v>
      </c>
      <c r="AG216" s="3">
        <v>185</v>
      </c>
      <c r="AH216" s="3" t="str">
        <f>IFERROR(MID(VLOOKUP($B216,Seqs!$A:$B,2,0),AI216,1),"")</f>
        <v>L</v>
      </c>
      <c r="AI216" s="3">
        <v>187</v>
      </c>
      <c r="AJ216" s="3" t="str">
        <f>IFERROR(MID(VLOOKUP($B216,Seqs!$A:$B,2,0),AK216,1),"")</f>
        <v>D</v>
      </c>
      <c r="AK216" s="3">
        <v>189</v>
      </c>
      <c r="AL216" s="3" t="str">
        <f>IFERROR(MID(VLOOKUP($B216,Seqs!$A:$B,2,0),AM216,1),"")</f>
        <v>W</v>
      </c>
      <c r="AM216" s="3">
        <v>222</v>
      </c>
      <c r="AN216" s="3" t="str">
        <f>IFERROR(MID(VLOOKUP($B216,Seqs!$A:$B,2,0),AO216,1),"")</f>
        <v>V</v>
      </c>
      <c r="AO216" s="3">
        <v>395</v>
      </c>
      <c r="AP216" s="3" t="str">
        <f>IFERROR(MID(VLOOKUP($B216,Seqs!$A:$B,2,0),AQ216,1),"")</f>
        <v>C</v>
      </c>
      <c r="AQ216" s="3">
        <v>420</v>
      </c>
      <c r="AR216" s="3" t="str">
        <f>IFERROR(MID(VLOOKUP($B216,Seqs!$A:$B,2,0),AS216,1),"")</f>
        <v>P</v>
      </c>
      <c r="AS216" s="3">
        <v>426</v>
      </c>
      <c r="AT216" s="3" t="str">
        <f>IFERROR(MID(VLOOKUP($B216,Seqs!$A:$B,2,0),AU216,1),"")</f>
        <v>F</v>
      </c>
      <c r="AU216" s="3">
        <v>451</v>
      </c>
      <c r="AV216" s="3" t="str">
        <f>IFERROR(MID(VLOOKUP($B216,Seqs!$A:$B,2,0),AW216,1),"")</f>
        <v>N</v>
      </c>
      <c r="AW216" s="3">
        <v>452</v>
      </c>
      <c r="AX216" s="3" t="str">
        <f>IFERROR(MID(VLOOKUP($B216,Seqs!$A:$B,2,0),AY216,1),"")</f>
        <v>R</v>
      </c>
      <c r="AY216" s="3">
        <v>460</v>
      </c>
      <c r="AZ216" s="77" t="str">
        <f>VLOOKUP(B216,Classification!A:D,2,0)</f>
        <v>A</v>
      </c>
      <c r="BA216" s="94" t="str">
        <f>VLOOKUP(B216,Classification!A:D,4,0)</f>
        <v>Dopamine</v>
      </c>
      <c r="BB216" s="27" t="b">
        <f>AND(E216&lt;G216,OR(G216&lt;I216,I216="-"),OR(I216&lt;K216,I216="-"),OR(K216&lt;M216,K216="-"),M216&lt;O216,OR(O216&lt;Q216,Q216="-"),OR(Q216&lt;S216,Q216="-"),OR(S216&lt;U216,S216="-"),U216&lt;W216,OR(W216&lt;Y216,Y216="-"),OR(Y216&lt;AA216,Y216="-"),OR(AA216&lt;AC216,AA216="-"),AC216&lt;AE216,OR(AE216&lt;AG216,AG216="-"),OR(AG216&lt;AI216,AG216="-"),OR(AI216&lt;AK216,AI216="-"),AK216&lt;AM216,AM216&lt;AO216,AO216&lt;AQ216,AQ216&lt;AS216,AS216&lt;AU216,OR(AU216&lt;AW216,AW216="-"),OR(AW216&lt;AY216,AW216="-"))</f>
        <v>1</v>
      </c>
      <c r="BC216" s="23">
        <f>_xlfn.AGGREGATE(9,6,CH216:CS216)-_xlfn.AGGREGATE(9,6,BV216:CG216)+12</f>
        <v>227</v>
      </c>
      <c r="BD216" s="2" t="s">
        <v>23</v>
      </c>
      <c r="BE216" s="3" t="s">
        <v>1368</v>
      </c>
      <c r="BF216" s="118">
        <v>1.96</v>
      </c>
      <c r="BG216" s="49" t="s">
        <v>1</v>
      </c>
      <c r="BH216" s="49" t="s">
        <v>1371</v>
      </c>
      <c r="BI216" s="1"/>
      <c r="BJ216" s="70" t="s">
        <v>1281</v>
      </c>
      <c r="BK216" s="57" t="s">
        <v>1281</v>
      </c>
      <c r="BL216" s="57" t="s">
        <v>1281</v>
      </c>
      <c r="BM216" s="57" t="s">
        <v>1281</v>
      </c>
      <c r="BN216" s="57" t="s">
        <v>1281</v>
      </c>
      <c r="BO216" s="57" t="s">
        <v>1281</v>
      </c>
      <c r="BP216" s="57" t="s">
        <v>1281</v>
      </c>
      <c r="BQ216" s="57" t="s">
        <v>1281</v>
      </c>
      <c r="BR216" s="57" t="s">
        <v>1281</v>
      </c>
      <c r="BS216" s="57" t="s">
        <v>1281</v>
      </c>
      <c r="BT216" s="57" t="s">
        <v>1281</v>
      </c>
      <c r="BU216" s="57" t="s">
        <v>1281</v>
      </c>
      <c r="BV216" s="70">
        <f>E216</f>
        <v>34</v>
      </c>
      <c r="BW216" s="71">
        <f>I216</f>
        <v>63</v>
      </c>
      <c r="BX216" s="72">
        <f>M216</f>
        <v>67</v>
      </c>
      <c r="BY216" s="71">
        <f>Q216</f>
        <v>100</v>
      </c>
      <c r="BZ216" s="72">
        <f>U216</f>
        <v>104</v>
      </c>
      <c r="CA216" s="71" t="str">
        <f>Y216</f>
        <v>-</v>
      </c>
      <c r="CB216" s="72">
        <f>AC216</f>
        <v>150</v>
      </c>
      <c r="CC216" s="71">
        <f>AG216</f>
        <v>185</v>
      </c>
      <c r="CD216" s="72">
        <f>AK216</f>
        <v>189</v>
      </c>
      <c r="CE216" s="71">
        <f>AO216</f>
        <v>395</v>
      </c>
      <c r="CF216" s="72">
        <f>AS216</f>
        <v>426</v>
      </c>
      <c r="CG216" s="71">
        <f>AW216</f>
        <v>452</v>
      </c>
      <c r="CH216" s="70">
        <f>G216</f>
        <v>62</v>
      </c>
      <c r="CI216" s="71">
        <f>K216</f>
        <v>66</v>
      </c>
      <c r="CJ216" s="72">
        <f>O216</f>
        <v>97</v>
      </c>
      <c r="CK216" s="72">
        <f>S216</f>
        <v>103</v>
      </c>
      <c r="CL216" s="72">
        <f>W216</f>
        <v>139</v>
      </c>
      <c r="CM216" s="72" t="str">
        <f>AA216</f>
        <v>-</v>
      </c>
      <c r="CN216" s="72">
        <f>AE216</f>
        <v>173</v>
      </c>
      <c r="CO216" s="72">
        <f>AI216</f>
        <v>187</v>
      </c>
      <c r="CP216" s="72">
        <f>AM216</f>
        <v>222</v>
      </c>
      <c r="CQ216" s="72">
        <f>AQ216</f>
        <v>420</v>
      </c>
      <c r="CR216" s="72">
        <f>AU216</f>
        <v>451</v>
      </c>
      <c r="CS216" s="72">
        <f>AY216</f>
        <v>460</v>
      </c>
      <c r="CT216" s="23">
        <f>M216-K216</f>
        <v>1</v>
      </c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  <c r="TK216" s="1"/>
      <c r="TL216" s="1"/>
      <c r="TM216" s="1"/>
      <c r="TN216" s="1"/>
      <c r="TO216" s="1"/>
      <c r="TP216" s="1"/>
      <c r="TQ216" s="1"/>
      <c r="TR216" s="1"/>
      <c r="TS216" s="1"/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s="1"/>
      <c r="UI216" s="1"/>
      <c r="UJ216" s="1"/>
      <c r="UK216" s="1"/>
      <c r="UL216" s="1"/>
      <c r="UM216" s="1"/>
      <c r="UN216" s="1"/>
      <c r="UO216" s="1"/>
      <c r="UP216" s="1"/>
      <c r="UQ216" s="1"/>
      <c r="UR216" s="1"/>
      <c r="US216" s="1"/>
      <c r="UT216" s="1"/>
      <c r="UU216" s="1"/>
      <c r="UV216" s="1"/>
      <c r="UW216" s="1"/>
      <c r="UX216" s="1"/>
      <c r="UY216" s="1"/>
      <c r="UZ216" s="1"/>
      <c r="VA216" s="1"/>
      <c r="VB216" s="1"/>
      <c r="VC216" s="1"/>
      <c r="VD216" s="1"/>
      <c r="VE216" s="1"/>
      <c r="VF216" s="1"/>
      <c r="VG216" s="1"/>
      <c r="VH216" s="1"/>
      <c r="VI216" s="1"/>
      <c r="VJ216" s="1"/>
      <c r="VK216" s="1"/>
      <c r="VL216" s="1"/>
      <c r="VM216" s="1"/>
      <c r="VN216" s="1"/>
      <c r="VO216" s="1"/>
      <c r="VP216" s="1"/>
      <c r="VQ216" s="1"/>
      <c r="VR216" s="1"/>
      <c r="VS216" s="1"/>
      <c r="VT216" s="1"/>
      <c r="VU216" s="1"/>
      <c r="VV216" s="1"/>
      <c r="VW216" s="1"/>
      <c r="VX216" s="1"/>
      <c r="VY216" s="1"/>
      <c r="VZ216" s="1"/>
      <c r="WA216" s="1"/>
      <c r="WB216" s="1"/>
      <c r="WC216" s="1"/>
      <c r="WD216" s="1"/>
      <c r="WE216" s="1"/>
      <c r="WF216" s="1"/>
      <c r="WG216" s="1"/>
      <c r="WH216" s="1"/>
      <c r="WI216" s="1"/>
      <c r="WJ216" s="1"/>
      <c r="WK216" s="1"/>
      <c r="WL216" s="1"/>
      <c r="WM216" s="1"/>
      <c r="WN216" s="1"/>
      <c r="WO216" s="1"/>
      <c r="WP216" s="1"/>
      <c r="WQ216" s="1"/>
      <c r="WR216" s="1"/>
      <c r="WS216" s="1"/>
      <c r="WT216" s="1"/>
      <c r="WU216" s="1"/>
      <c r="WV216" s="1"/>
      <c r="WW216" s="1"/>
      <c r="WX216" s="1"/>
      <c r="WY216" s="1"/>
      <c r="WZ216" s="1"/>
      <c r="XA216" s="1"/>
      <c r="XB216" s="1"/>
      <c r="XC216" s="1"/>
      <c r="XD216" s="1"/>
      <c r="XE216" s="1"/>
      <c r="XF216" s="1"/>
      <c r="XG216" s="1"/>
      <c r="XH216" s="1"/>
      <c r="XI216" s="1"/>
      <c r="XJ216" s="1"/>
      <c r="XK216" s="1"/>
      <c r="XL216" s="1"/>
      <c r="XM216" s="1"/>
      <c r="XN216" s="1"/>
      <c r="XO216" s="1"/>
      <c r="XP216" s="1"/>
      <c r="XQ216" s="1"/>
      <c r="XR216" s="1"/>
      <c r="XS216" s="1"/>
      <c r="XT216" s="1"/>
      <c r="XU216" s="1"/>
      <c r="XV216" s="1"/>
      <c r="XW216" s="1"/>
      <c r="XX216" s="1"/>
      <c r="XY216" s="1"/>
      <c r="XZ216" s="1"/>
      <c r="YA216" s="1"/>
      <c r="YB216" s="1"/>
      <c r="YC216" s="1"/>
      <c r="YD216" s="1"/>
      <c r="YE216" s="1"/>
      <c r="YF216" s="1"/>
      <c r="YG216" s="1"/>
      <c r="YH216" s="1"/>
      <c r="YI216" s="1"/>
      <c r="YJ216" s="1"/>
      <c r="YK216" s="1"/>
      <c r="YL216" s="1"/>
      <c r="YM216" s="1"/>
      <c r="YN216" s="1"/>
      <c r="YO216" s="1"/>
      <c r="YP216" s="1"/>
      <c r="YQ216" s="1"/>
      <c r="YR216" s="1"/>
      <c r="YS216" s="1"/>
      <c r="YT216" s="1"/>
      <c r="YU216" s="1"/>
      <c r="YV216" s="1"/>
      <c r="YW216" s="1"/>
      <c r="YX216" s="1"/>
      <c r="YY216" s="1"/>
      <c r="YZ216" s="1"/>
      <c r="ZA216" s="1"/>
      <c r="ZB216" s="1"/>
      <c r="ZC216" s="1"/>
      <c r="ZD216" s="1"/>
      <c r="ZE216" s="1"/>
      <c r="ZF216" s="1"/>
      <c r="ZG216" s="1"/>
      <c r="ZH216" s="1"/>
      <c r="ZI216" s="1"/>
      <c r="ZJ216" s="1"/>
      <c r="ZK216" s="1"/>
      <c r="ZL216" s="1"/>
      <c r="ZM216" s="1"/>
      <c r="ZN216" s="1"/>
      <c r="ZO216" s="1"/>
      <c r="ZP216" s="1"/>
      <c r="ZQ216" s="1"/>
      <c r="ZR216" s="1"/>
      <c r="ZS216" s="1"/>
      <c r="ZT216" s="1"/>
      <c r="ZU216" s="1"/>
      <c r="ZV216" s="1"/>
      <c r="ZW216" s="1"/>
      <c r="ZX216" s="1"/>
      <c r="ZY216" s="1"/>
      <c r="ZZ216" s="1"/>
      <c r="AAA216" s="1"/>
      <c r="AAB216" s="1"/>
      <c r="AAC216" s="1"/>
      <c r="AAD216" s="1"/>
      <c r="AAE216" s="1"/>
      <c r="AAF216" s="1"/>
      <c r="AAG216" s="1"/>
      <c r="AAH216" s="1"/>
      <c r="AAI216" s="1"/>
      <c r="AAJ216" s="1"/>
      <c r="AAK216" s="1"/>
      <c r="AAL216" s="1"/>
      <c r="AAM216" s="1"/>
      <c r="AAN216" s="1"/>
      <c r="AAO216" s="1"/>
      <c r="AAP216" s="1"/>
      <c r="AAQ216" s="1"/>
      <c r="AAR216" s="1"/>
      <c r="AAS216" s="1"/>
      <c r="AAT216" s="1"/>
      <c r="AAU216" s="1"/>
      <c r="AAV216" s="1"/>
      <c r="AAW216" s="1"/>
      <c r="AAX216" s="1"/>
      <c r="AAY216" s="1"/>
      <c r="AAZ216" s="1"/>
      <c r="ABA216" s="1"/>
      <c r="ABB216" s="1"/>
      <c r="ABC216" s="1"/>
      <c r="ABD216" s="1"/>
      <c r="ABE216" s="1"/>
      <c r="ABF216" s="1"/>
      <c r="ABG216" s="1"/>
      <c r="ABH216" s="1"/>
      <c r="ABI216" s="1"/>
      <c r="ABJ216" s="1"/>
      <c r="ABK216" s="1"/>
      <c r="ABL216" s="1"/>
      <c r="ABM216" s="1"/>
      <c r="ABN216" s="1"/>
      <c r="ABO216" s="1"/>
      <c r="ABP216" s="1"/>
      <c r="ABQ216" s="1"/>
      <c r="ABR216" s="1"/>
      <c r="ABS216" s="1"/>
      <c r="ABT216" s="1"/>
      <c r="ABU216" s="1"/>
      <c r="ABV216" s="1"/>
      <c r="ABW216" s="1"/>
      <c r="ABX216" s="1"/>
      <c r="ABY216" s="1"/>
      <c r="ABZ216" s="1"/>
      <c r="ACA216" s="1"/>
      <c r="ACB216" s="1"/>
      <c r="ACC216" s="1"/>
      <c r="ACD216" s="1"/>
      <c r="ACE216" s="1"/>
      <c r="ACF216" s="1"/>
      <c r="ACG216" s="1"/>
      <c r="ACH216" s="1"/>
      <c r="ACI216" s="1"/>
      <c r="ACJ216" s="1"/>
      <c r="ACK216" s="1"/>
      <c r="ACL216" s="1"/>
      <c r="ACM216" s="1"/>
      <c r="ACN216" s="1"/>
      <c r="ACO216" s="1"/>
      <c r="ACP216" s="1"/>
      <c r="ACQ216" s="1"/>
      <c r="ACR216" s="1"/>
      <c r="ACS216" s="1"/>
      <c r="ACT216" s="1"/>
      <c r="ACU216" s="1"/>
      <c r="ACV216" s="1"/>
      <c r="ACW216" s="1"/>
      <c r="ACX216" s="1"/>
      <c r="ACY216" s="1"/>
      <c r="ACZ216" s="1"/>
      <c r="ADA216" s="1"/>
      <c r="ADB216" s="1"/>
      <c r="ADC216" s="1"/>
      <c r="ADD216" s="1"/>
      <c r="ADE216" s="1"/>
      <c r="ADF216" s="1"/>
      <c r="ADG216" s="1"/>
      <c r="ADH216" s="1"/>
      <c r="ADI216" s="1"/>
      <c r="ADJ216" s="1"/>
      <c r="ADK216" s="1"/>
      <c r="ADL216" s="1"/>
      <c r="ADM216" s="1"/>
      <c r="ADN216" s="1"/>
      <c r="ADO216" s="1"/>
      <c r="ADP216" s="1"/>
      <c r="ADQ216" s="1"/>
      <c r="ADR216" s="1"/>
      <c r="ADS216" s="1"/>
      <c r="ADT216" s="1"/>
      <c r="ADU216" s="1"/>
      <c r="ADV216" s="1"/>
      <c r="ADW216" s="1"/>
      <c r="ADX216" s="1"/>
      <c r="ADY216" s="1"/>
      <c r="ADZ216" s="1"/>
      <c r="AEA216" s="1"/>
      <c r="AEB216" s="1"/>
      <c r="AEC216" s="1"/>
      <c r="AED216" s="1"/>
      <c r="AEE216" s="1"/>
      <c r="AEF216" s="1"/>
      <c r="AEG216" s="1"/>
      <c r="AEH216" s="1"/>
      <c r="AEI216" s="1"/>
      <c r="AEJ216" s="1"/>
      <c r="AEK216" s="1"/>
      <c r="AEL216" s="1"/>
      <c r="AEM216" s="1"/>
      <c r="AEN216" s="1"/>
      <c r="AEO216" s="1"/>
      <c r="AEP216" s="1"/>
      <c r="AEQ216" s="1"/>
      <c r="AER216" s="1"/>
      <c r="AES216" s="1"/>
      <c r="AET216" s="1"/>
      <c r="AEU216" s="1"/>
      <c r="AEV216" s="1"/>
      <c r="AEW216" s="1"/>
      <c r="AEX216" s="1"/>
      <c r="AEY216" s="1"/>
      <c r="AEZ216" s="1"/>
      <c r="AFA216" s="1"/>
      <c r="AFB216" s="1"/>
      <c r="AFC216" s="1"/>
      <c r="AFD216" s="1"/>
      <c r="AFE216" s="1"/>
      <c r="AFF216" s="1"/>
      <c r="AFG216" s="1"/>
      <c r="AFH216" s="1"/>
      <c r="AFI216" s="1"/>
      <c r="AFJ216" s="1"/>
      <c r="AFK216" s="1"/>
      <c r="AFL216" s="1"/>
      <c r="AFM216" s="1"/>
      <c r="AFN216" s="1"/>
      <c r="AFO216" s="1"/>
      <c r="AFP216" s="1"/>
      <c r="AFQ216" s="1"/>
      <c r="AFR216" s="1"/>
      <c r="AFS216" s="1"/>
      <c r="AFT216" s="1"/>
      <c r="AFU216" s="1"/>
      <c r="AFV216" s="1"/>
      <c r="AFW216" s="1"/>
      <c r="AFX216" s="1"/>
      <c r="AFY216" s="1"/>
      <c r="AFZ216" s="1"/>
      <c r="AGA216" s="1"/>
      <c r="AGB216" s="1"/>
      <c r="AGC216" s="1"/>
      <c r="AGD216" s="1"/>
      <c r="AGE216" s="1"/>
      <c r="AGF216" s="1"/>
      <c r="AGG216" s="1"/>
      <c r="AGH216" s="1"/>
      <c r="AGI216" s="1"/>
      <c r="AGJ216" s="1"/>
      <c r="AGK216" s="1"/>
      <c r="AGL216" s="1"/>
      <c r="AGM216" s="1"/>
      <c r="AGN216" s="1"/>
      <c r="AGO216" s="1"/>
      <c r="AGP216" s="1"/>
      <c r="AGQ216" s="1"/>
      <c r="AGR216" s="1"/>
      <c r="AGS216" s="1"/>
      <c r="AGT216" s="1"/>
      <c r="AGU216" s="1"/>
      <c r="AGV216" s="1"/>
      <c r="AGW216" s="1"/>
      <c r="AGX216" s="1"/>
      <c r="AGY216" s="1"/>
      <c r="AGZ216" s="1"/>
      <c r="AHA216" s="1"/>
      <c r="AHB216" s="1"/>
      <c r="AHC216" s="1"/>
      <c r="AHD216" s="1"/>
      <c r="AHE216" s="1"/>
      <c r="AHF216" s="1"/>
      <c r="AHG216" s="1"/>
      <c r="AHH216" s="1"/>
      <c r="AHI216" s="1"/>
      <c r="AHJ216" s="1"/>
      <c r="AHK216" s="1"/>
      <c r="AHL216" s="1"/>
      <c r="AHM216" s="1"/>
      <c r="AHN216" s="1"/>
      <c r="AHO216" s="1"/>
      <c r="AHP216" s="1"/>
      <c r="AHQ216" s="1"/>
      <c r="AHR216" s="1"/>
      <c r="AHS216" s="1"/>
      <c r="AHT216" s="1"/>
      <c r="AHU216" s="1"/>
      <c r="AHV216" s="1"/>
      <c r="AHW216" s="1"/>
      <c r="AHX216" s="1"/>
      <c r="AHY216" s="1"/>
      <c r="AHZ216" s="1"/>
      <c r="AIA216" s="1"/>
      <c r="AIB216" s="1"/>
      <c r="AIC216" s="1"/>
      <c r="AID216" s="1"/>
      <c r="AIE216" s="1"/>
      <c r="AIF216" s="1"/>
      <c r="AIG216" s="1"/>
      <c r="AIH216" s="1"/>
      <c r="AII216" s="1"/>
      <c r="AIJ216" s="1"/>
      <c r="AIK216" s="1"/>
      <c r="AIL216" s="1"/>
      <c r="AIM216" s="1"/>
      <c r="AIN216" s="1"/>
      <c r="AIO216" s="1"/>
      <c r="AIP216" s="1"/>
      <c r="AIQ216" s="1"/>
      <c r="AIR216" s="1"/>
      <c r="AIS216" s="1"/>
      <c r="AIT216" s="1"/>
      <c r="AIU216" s="1"/>
      <c r="AIV216" s="1"/>
      <c r="AIW216" s="1"/>
      <c r="AIX216" s="1"/>
      <c r="AIY216" s="1"/>
      <c r="AIZ216" s="1"/>
      <c r="AJA216" s="1"/>
      <c r="AJB216" s="1"/>
      <c r="AJC216" s="1"/>
      <c r="AJD216" s="1"/>
      <c r="AJE216" s="1"/>
      <c r="AJF216" s="1"/>
      <c r="AJG216" s="1"/>
      <c r="AJH216" s="1"/>
      <c r="AJI216" s="1"/>
      <c r="AJJ216" s="1"/>
      <c r="AJK216" s="1"/>
      <c r="AJL216" s="1"/>
      <c r="AJM216" s="1"/>
      <c r="AJN216" s="1"/>
      <c r="AJO216" s="1"/>
      <c r="AJP216" s="1"/>
      <c r="AJQ216" s="1"/>
      <c r="AJR216" s="1"/>
      <c r="AJS216" s="1"/>
      <c r="AJT216" s="1"/>
      <c r="AJU216" s="1"/>
      <c r="AJV216" s="1"/>
      <c r="AJW216" s="1"/>
      <c r="AJX216" s="1"/>
      <c r="AJY216" s="1"/>
      <c r="AJZ216" s="1"/>
      <c r="AKA216" s="1"/>
      <c r="AKB216" s="1"/>
      <c r="AKC216" s="1"/>
      <c r="AKD216" s="1"/>
      <c r="AKE216" s="1"/>
      <c r="AKF216" s="1"/>
      <c r="AKG216" s="1"/>
      <c r="AKH216" s="1"/>
      <c r="AKI216" s="1"/>
      <c r="AKJ216" s="1"/>
      <c r="AKK216" s="1"/>
      <c r="AKL216" s="1"/>
      <c r="AKM216" s="1"/>
      <c r="AKN216" s="1"/>
      <c r="AKO216" s="1"/>
      <c r="AKP216" s="1"/>
      <c r="AKQ216" s="1"/>
      <c r="AKR216" s="1"/>
      <c r="AKS216" s="1"/>
      <c r="AKT216" s="1"/>
      <c r="AKU216" s="1"/>
      <c r="AKV216" s="1"/>
      <c r="AKW216" s="1"/>
      <c r="AKX216" s="1"/>
      <c r="AKY216" s="1"/>
      <c r="AKZ216" s="1"/>
      <c r="ALA216" s="1"/>
      <c r="ALB216" s="1"/>
      <c r="ALC216" s="1"/>
      <c r="ALD216" s="1"/>
      <c r="ALE216" s="1"/>
      <c r="ALF216" s="1"/>
      <c r="ALG216" s="1"/>
      <c r="ALH216" s="1"/>
      <c r="ALI216" s="1"/>
      <c r="ALJ216" s="1"/>
      <c r="ALK216" s="1"/>
      <c r="ALL216" s="1"/>
      <c r="ALM216" s="1"/>
      <c r="ALN216" s="1"/>
      <c r="ALO216" s="1"/>
      <c r="ALP216" s="1"/>
      <c r="ALQ216" s="1"/>
      <c r="ALR216" s="1"/>
      <c r="ALS216" s="1"/>
      <c r="ALT216" s="1"/>
      <c r="ALU216" s="1"/>
      <c r="ALV216" s="1"/>
      <c r="ALW216" s="1"/>
      <c r="ALX216" s="1"/>
      <c r="ALY216" s="1"/>
      <c r="ALZ216" s="1"/>
      <c r="AMA216" s="1"/>
      <c r="AMB216" s="1"/>
      <c r="AMC216" s="1"/>
      <c r="AMD216" s="1"/>
      <c r="AME216" s="1"/>
      <c r="AMF216" s="1"/>
      <c r="AMG216" s="1"/>
      <c r="AMH216" s="1"/>
      <c r="AMI216" s="1"/>
      <c r="AMJ216" s="1"/>
      <c r="AMK216" s="1"/>
      <c r="AML216" s="1"/>
      <c r="AMM216" s="1"/>
      <c r="AMN216" s="1"/>
      <c r="AMO216" s="1"/>
    </row>
    <row r="217" spans="1:1029" x14ac:dyDescent="0.2">
      <c r="A217" s="3" t="str">
        <f>CONCATENATE(B217,"_",C217)</f>
        <v>drd4_human_5WIV</v>
      </c>
      <c r="B217" s="3" t="s">
        <v>193</v>
      </c>
      <c r="C217" s="3" t="s">
        <v>1440</v>
      </c>
      <c r="D217" s="3" t="str">
        <f>IFERROR(MID(VLOOKUP($B217,Seqs!$A:$B,2,0),E217,1),"")</f>
        <v>G</v>
      </c>
      <c r="E217" s="3">
        <v>32</v>
      </c>
      <c r="F217" s="3" t="str">
        <f>IFERROR(MID(VLOOKUP($B217,Seqs!$A:$B,2,0),G217,1),"")</f>
        <v>E</v>
      </c>
      <c r="G217" s="3">
        <v>62</v>
      </c>
      <c r="H217" s="3" t="str">
        <f>IFERROR(MID(VLOOKUP($B217,Seqs!$A:$B,2,0),I217,1),"")</f>
        <v>R</v>
      </c>
      <c r="I217" s="23">
        <v>63</v>
      </c>
      <c r="J217" s="3" t="str">
        <f>IFERROR(MID(VLOOKUP($B217,Seqs!$A:$B,2,0),K217,1),"")</f>
        <v>Q</v>
      </c>
      <c r="K217" s="23">
        <v>66</v>
      </c>
      <c r="L217" s="3" t="str">
        <f>IFERROR(MID(VLOOKUP($B217,Seqs!$A:$B,2,0),M217,1),"")</f>
        <v>T</v>
      </c>
      <c r="M217" s="3">
        <v>67</v>
      </c>
      <c r="N217" s="3" t="str">
        <f>IFERROR(MID(VLOOKUP($B217,Seqs!$A:$B,2,0),O217,1),"")</f>
        <v>Q</v>
      </c>
      <c r="O217" s="3">
        <v>97</v>
      </c>
      <c r="P217" s="3" t="str">
        <f>IFERROR(MID(VLOOKUP($B217,Seqs!$A:$B,2,0),Q217,1),"")</f>
        <v>A</v>
      </c>
      <c r="Q217" s="3">
        <v>100</v>
      </c>
      <c r="R217" s="3" t="str">
        <f>IFERROR(MID(VLOOKUP($B217,Seqs!$A:$B,2,0),S217,1),"")</f>
        <v>L</v>
      </c>
      <c r="S217" s="3">
        <v>103</v>
      </c>
      <c r="T217" s="3" t="str">
        <f>IFERROR(MID(VLOOKUP($B217,Seqs!$A:$B,2,0),U217,1),"")</f>
        <v>S</v>
      </c>
      <c r="U217" s="3">
        <v>104</v>
      </c>
      <c r="V217" s="3" t="str">
        <f>IFERROR(MID(VLOOKUP($B217,Seqs!$A:$B,2,0),W217,1),"")</f>
        <v>V</v>
      </c>
      <c r="W217" s="3">
        <v>139</v>
      </c>
      <c r="X217" s="3" t="str">
        <f>IFERROR(MID(VLOOKUP($B217,Seqs!$A:$B,2,0),Y217,1),"")</f>
        <v/>
      </c>
      <c r="Y217" s="3" t="s">
        <v>23</v>
      </c>
      <c r="Z217" s="3" t="str">
        <f>IFERROR(MID(VLOOKUP($B217,Seqs!$A:$B,2,0),AA217,1),"")</f>
        <v/>
      </c>
      <c r="AA217" s="3" t="s">
        <v>23</v>
      </c>
      <c r="AB217" s="3" t="str">
        <f>IFERROR(MID(VLOOKUP($B217,Seqs!$A:$B,2,0),AC217,1),"")</f>
        <v>R</v>
      </c>
      <c r="AC217" s="3">
        <v>150</v>
      </c>
      <c r="AD217" s="3" t="str">
        <f>IFERROR(MID(VLOOKUP($B217,Seqs!$A:$B,2,0),AE217,1),"")</f>
        <v>G</v>
      </c>
      <c r="AE217" s="3">
        <v>173</v>
      </c>
      <c r="AF217" s="3" t="str">
        <f>IFERROR(MID(VLOOKUP($B217,Seqs!$A:$B,2,0),AG217,1),"")</f>
        <v>C</v>
      </c>
      <c r="AG217" s="3">
        <v>185</v>
      </c>
      <c r="AH217" s="3" t="str">
        <f>IFERROR(MID(VLOOKUP($B217,Seqs!$A:$B,2,0),AI217,1),"")</f>
        <v>L</v>
      </c>
      <c r="AI217" s="3">
        <v>187</v>
      </c>
      <c r="AJ217" s="3" t="str">
        <f>IFERROR(MID(VLOOKUP($B217,Seqs!$A:$B,2,0),AK217,1),"")</f>
        <v>D</v>
      </c>
      <c r="AK217" s="3">
        <v>189</v>
      </c>
      <c r="AL217" s="3" t="str">
        <f>IFERROR(MID(VLOOKUP($B217,Seqs!$A:$B,2,0),AM217,1),"")</f>
        <v>W</v>
      </c>
      <c r="AM217" s="3">
        <v>222</v>
      </c>
      <c r="AN217" s="3" t="str">
        <f>IFERROR(MID(VLOOKUP($B217,Seqs!$A:$B,2,0),AO217,1),"")</f>
        <v>V</v>
      </c>
      <c r="AO217" s="3">
        <v>395</v>
      </c>
      <c r="AP217" s="3" t="str">
        <f>IFERROR(MID(VLOOKUP($B217,Seqs!$A:$B,2,0),AQ217,1),"")</f>
        <v>C</v>
      </c>
      <c r="AQ217" s="3">
        <v>420</v>
      </c>
      <c r="AR217" s="3" t="str">
        <f>IFERROR(MID(VLOOKUP($B217,Seqs!$A:$B,2,0),AS217,1),"")</f>
        <v>P</v>
      </c>
      <c r="AS217" s="3">
        <v>426</v>
      </c>
      <c r="AT217" s="3" t="str">
        <f>IFERROR(MID(VLOOKUP($B217,Seqs!$A:$B,2,0),AU217,1),"")</f>
        <v>F</v>
      </c>
      <c r="AU217" s="3">
        <v>451</v>
      </c>
      <c r="AV217" s="3" t="str">
        <f>IFERROR(MID(VLOOKUP($B217,Seqs!$A:$B,2,0),AW217,1),"")</f>
        <v>N</v>
      </c>
      <c r="AW217" s="3">
        <v>452</v>
      </c>
      <c r="AX217" s="3" t="str">
        <f>IFERROR(MID(VLOOKUP($B217,Seqs!$A:$B,2,0),AY217,1),"")</f>
        <v>A</v>
      </c>
      <c r="AY217" s="3">
        <v>462</v>
      </c>
      <c r="AZ217" s="77" t="str">
        <f>VLOOKUP(B217,Classification!A:D,2,0)</f>
        <v>A</v>
      </c>
      <c r="BA217" s="94" t="str">
        <f>VLOOKUP(B217,Classification!A:D,4,0)</f>
        <v>Dopamine</v>
      </c>
      <c r="BB217" s="27" t="b">
        <f>AND(E217&lt;G217,OR(G217&lt;I217,I217="-"),OR(I217&lt;K217,I217="-"),OR(K217&lt;M217,K217="-"),M217&lt;O217,OR(O217&lt;Q217,Q217="-"),OR(Q217&lt;S217,Q217="-"),OR(S217&lt;U217,S217="-"),U217&lt;W217,OR(W217&lt;Y217,Y217="-"),OR(Y217&lt;AA217,Y217="-"),OR(AA217&lt;AC217,AA217="-"),AC217&lt;AE217,OR(AE217&lt;AG217,AG217="-"),OR(AG217&lt;AI217,AG217="-"),OR(AI217&lt;AK217,AI217="-"),AK217&lt;AM217,AM217&lt;AO217,AO217&lt;AQ217,AQ217&lt;AS217,AS217&lt;AU217,OR(AU217&lt;AW217,AW217="-"),OR(AW217&lt;AY217,AW217="-"))</f>
        <v>1</v>
      </c>
      <c r="BC217" s="23">
        <f>_xlfn.AGGREGATE(9,6,CH217:CS217)-_xlfn.AGGREGATE(9,6,BV217:CG217)+12</f>
        <v>231</v>
      </c>
      <c r="BD217" s="2" t="s">
        <v>1370</v>
      </c>
      <c r="BE217" s="3" t="s">
        <v>1368</v>
      </c>
      <c r="BF217" s="118">
        <v>2.14</v>
      </c>
      <c r="BG217" s="49" t="s">
        <v>1</v>
      </c>
      <c r="BH217" s="49" t="s">
        <v>1371</v>
      </c>
      <c r="BI217" s="1"/>
      <c r="BJ217" s="70" t="s">
        <v>1281</v>
      </c>
      <c r="BK217" s="57" t="s">
        <v>1281</v>
      </c>
      <c r="BL217" s="57" t="s">
        <v>1281</v>
      </c>
      <c r="BM217" s="57" t="s">
        <v>1281</v>
      </c>
      <c r="BN217" s="57" t="s">
        <v>1281</v>
      </c>
      <c r="BO217" s="57" t="s">
        <v>1281</v>
      </c>
      <c r="BP217" s="57" t="s">
        <v>1281</v>
      </c>
      <c r="BQ217" s="57" t="s">
        <v>1281</v>
      </c>
      <c r="BR217" s="57" t="s">
        <v>1281</v>
      </c>
      <c r="BS217" s="57" t="s">
        <v>1281</v>
      </c>
      <c r="BT217" s="57" t="s">
        <v>1281</v>
      </c>
      <c r="BU217" s="57" t="s">
        <v>1281</v>
      </c>
      <c r="BV217" s="70">
        <f>E217</f>
        <v>32</v>
      </c>
      <c r="BW217" s="71">
        <f>I217</f>
        <v>63</v>
      </c>
      <c r="BX217" s="72">
        <f>M217</f>
        <v>67</v>
      </c>
      <c r="BY217" s="71">
        <f>Q217</f>
        <v>100</v>
      </c>
      <c r="BZ217" s="72">
        <f>U217</f>
        <v>104</v>
      </c>
      <c r="CA217" s="71" t="str">
        <f>Y217</f>
        <v>-</v>
      </c>
      <c r="CB217" s="72">
        <f>AC217</f>
        <v>150</v>
      </c>
      <c r="CC217" s="71">
        <f>AG217</f>
        <v>185</v>
      </c>
      <c r="CD217" s="72">
        <f>AK217</f>
        <v>189</v>
      </c>
      <c r="CE217" s="71">
        <f>AO217</f>
        <v>395</v>
      </c>
      <c r="CF217" s="72">
        <f>AS217</f>
        <v>426</v>
      </c>
      <c r="CG217" s="71">
        <f>AW217</f>
        <v>452</v>
      </c>
      <c r="CH217" s="70">
        <f>G217</f>
        <v>62</v>
      </c>
      <c r="CI217" s="71">
        <f>K217</f>
        <v>66</v>
      </c>
      <c r="CJ217" s="72">
        <f>O217</f>
        <v>97</v>
      </c>
      <c r="CK217" s="72">
        <f>S217</f>
        <v>103</v>
      </c>
      <c r="CL217" s="72">
        <f>W217</f>
        <v>139</v>
      </c>
      <c r="CM217" s="72" t="str">
        <f>AA217</f>
        <v>-</v>
      </c>
      <c r="CN217" s="72">
        <f>AE217</f>
        <v>173</v>
      </c>
      <c r="CO217" s="72">
        <f>AI217</f>
        <v>187</v>
      </c>
      <c r="CP217" s="72">
        <f>AM217</f>
        <v>222</v>
      </c>
      <c r="CQ217" s="72">
        <f>AQ217</f>
        <v>420</v>
      </c>
      <c r="CR217" s="72">
        <f>AU217</f>
        <v>451</v>
      </c>
      <c r="CS217" s="72">
        <f>AY217</f>
        <v>462</v>
      </c>
      <c r="CT217" s="23">
        <f>M217-K217</f>
        <v>1</v>
      </c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  <c r="VC217" s="1"/>
      <c r="VD217" s="1"/>
      <c r="VE217" s="1"/>
      <c r="VF217" s="1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"/>
      <c r="WB217" s="1"/>
      <c r="WC217" s="1"/>
      <c r="WD217" s="1"/>
      <c r="WE217" s="1"/>
      <c r="WF217" s="1"/>
      <c r="WG217" s="1"/>
      <c r="WH217" s="1"/>
      <c r="WI217" s="1"/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1"/>
      <c r="WX217" s="1"/>
      <c r="WY217" s="1"/>
      <c r="WZ217" s="1"/>
      <c r="XA217" s="1"/>
      <c r="XB217" s="1"/>
      <c r="XC217" s="1"/>
      <c r="XD217" s="1"/>
      <c r="XE217" s="1"/>
      <c r="XF217" s="1"/>
      <c r="XG217" s="1"/>
      <c r="XH217" s="1"/>
      <c r="XI217" s="1"/>
      <c r="XJ217" s="1"/>
      <c r="XK217" s="1"/>
      <c r="XL217" s="1"/>
      <c r="XM217" s="1"/>
      <c r="XN217" s="1"/>
      <c r="XO217" s="1"/>
      <c r="XP217" s="1"/>
      <c r="XQ217" s="1"/>
      <c r="XR217" s="1"/>
      <c r="XS217" s="1"/>
      <c r="XT217" s="1"/>
      <c r="XU217" s="1"/>
      <c r="XV217" s="1"/>
      <c r="XW217" s="1"/>
      <c r="XX217" s="1"/>
      <c r="XY217" s="1"/>
      <c r="XZ217" s="1"/>
      <c r="YA217" s="1"/>
      <c r="YB217" s="1"/>
      <c r="YC217" s="1"/>
      <c r="YD217" s="1"/>
      <c r="YE217" s="1"/>
      <c r="YF217" s="1"/>
      <c r="YG217" s="1"/>
      <c r="YH217" s="1"/>
      <c r="YI217" s="1"/>
      <c r="YJ217" s="1"/>
      <c r="YK217" s="1"/>
      <c r="YL217" s="1"/>
      <c r="YM217" s="1"/>
      <c r="YN217" s="1"/>
      <c r="YO217" s="1"/>
      <c r="YP217" s="1"/>
      <c r="YQ217" s="1"/>
      <c r="YR217" s="1"/>
      <c r="YS217" s="1"/>
      <c r="YT217" s="1"/>
      <c r="YU217" s="1"/>
      <c r="YV217" s="1"/>
      <c r="YW217" s="1"/>
      <c r="YX217" s="1"/>
      <c r="YY217" s="1"/>
      <c r="YZ217" s="1"/>
      <c r="ZA217" s="1"/>
      <c r="ZB217" s="1"/>
      <c r="ZC217" s="1"/>
      <c r="ZD217" s="1"/>
      <c r="ZE217" s="1"/>
      <c r="ZF217" s="1"/>
      <c r="ZG217" s="1"/>
      <c r="ZH217" s="1"/>
      <c r="ZI217" s="1"/>
      <c r="ZJ217" s="1"/>
      <c r="ZK217" s="1"/>
      <c r="ZL217" s="1"/>
      <c r="ZM217" s="1"/>
      <c r="ZN217" s="1"/>
      <c r="ZO217" s="1"/>
      <c r="ZP217" s="1"/>
      <c r="ZQ217" s="1"/>
      <c r="ZR217" s="1"/>
      <c r="ZS217" s="1"/>
      <c r="ZT217" s="1"/>
      <c r="ZU217" s="1"/>
      <c r="ZV217" s="1"/>
      <c r="ZW217" s="1"/>
      <c r="ZX217" s="1"/>
      <c r="ZY217" s="1"/>
      <c r="ZZ217" s="1"/>
      <c r="AAA217" s="1"/>
      <c r="AAB217" s="1"/>
      <c r="AAC217" s="1"/>
      <c r="AAD217" s="1"/>
      <c r="AAE217" s="1"/>
      <c r="AAF217" s="1"/>
      <c r="AAG217" s="1"/>
      <c r="AAH217" s="1"/>
      <c r="AAI217" s="1"/>
      <c r="AAJ217" s="1"/>
      <c r="AAK217" s="1"/>
      <c r="AAL217" s="1"/>
      <c r="AAM217" s="1"/>
      <c r="AAN217" s="1"/>
      <c r="AAO217" s="1"/>
      <c r="AAP217" s="1"/>
      <c r="AAQ217" s="1"/>
      <c r="AAR217" s="1"/>
      <c r="AAS217" s="1"/>
      <c r="AAT217" s="1"/>
      <c r="AAU217" s="1"/>
      <c r="AAV217" s="1"/>
      <c r="AAW217" s="1"/>
      <c r="AAX217" s="1"/>
      <c r="AAY217" s="1"/>
      <c r="AAZ217" s="1"/>
      <c r="ABA217" s="1"/>
      <c r="ABB217" s="1"/>
      <c r="ABC217" s="1"/>
      <c r="ABD217" s="1"/>
      <c r="ABE217" s="1"/>
      <c r="ABF217" s="1"/>
      <c r="ABG217" s="1"/>
      <c r="ABH217" s="1"/>
      <c r="ABI217" s="1"/>
      <c r="ABJ217" s="1"/>
      <c r="ABK217" s="1"/>
      <c r="ABL217" s="1"/>
      <c r="ABM217" s="1"/>
      <c r="ABN217" s="1"/>
      <c r="ABO217" s="1"/>
      <c r="ABP217" s="1"/>
      <c r="ABQ217" s="1"/>
      <c r="ABR217" s="1"/>
      <c r="ABS217" s="1"/>
      <c r="ABT217" s="1"/>
      <c r="ABU217" s="1"/>
      <c r="ABV217" s="1"/>
      <c r="ABW217" s="1"/>
      <c r="ABX217" s="1"/>
      <c r="ABY217" s="1"/>
      <c r="ABZ217" s="1"/>
      <c r="ACA217" s="1"/>
      <c r="ACB217" s="1"/>
      <c r="ACC217" s="1"/>
      <c r="ACD217" s="1"/>
      <c r="ACE217" s="1"/>
      <c r="ACF217" s="1"/>
      <c r="ACG217" s="1"/>
      <c r="ACH217" s="1"/>
      <c r="ACI217" s="1"/>
      <c r="ACJ217" s="1"/>
      <c r="ACK217" s="1"/>
      <c r="ACL217" s="1"/>
      <c r="ACM217" s="1"/>
      <c r="ACN217" s="1"/>
      <c r="ACO217" s="1"/>
      <c r="ACP217" s="1"/>
      <c r="ACQ217" s="1"/>
      <c r="ACR217" s="1"/>
      <c r="ACS217" s="1"/>
      <c r="ACT217" s="1"/>
      <c r="ACU217" s="1"/>
      <c r="ACV217" s="1"/>
      <c r="ACW217" s="1"/>
      <c r="ACX217" s="1"/>
      <c r="ACY217" s="1"/>
      <c r="ACZ217" s="1"/>
      <c r="ADA217" s="1"/>
      <c r="ADB217" s="1"/>
      <c r="ADC217" s="1"/>
      <c r="ADD217" s="1"/>
      <c r="ADE217" s="1"/>
      <c r="ADF217" s="1"/>
      <c r="ADG217" s="1"/>
      <c r="ADH217" s="1"/>
      <c r="ADI217" s="1"/>
      <c r="ADJ217" s="1"/>
      <c r="ADK217" s="1"/>
      <c r="ADL217" s="1"/>
      <c r="ADM217" s="1"/>
      <c r="ADN217" s="1"/>
      <c r="ADO217" s="1"/>
      <c r="ADP217" s="1"/>
      <c r="ADQ217" s="1"/>
      <c r="ADR217" s="1"/>
      <c r="ADS217" s="1"/>
      <c r="ADT217" s="1"/>
      <c r="ADU217" s="1"/>
      <c r="ADV217" s="1"/>
      <c r="ADW217" s="1"/>
      <c r="ADX217" s="1"/>
      <c r="ADY217" s="1"/>
      <c r="ADZ217" s="1"/>
      <c r="AEA217" s="1"/>
      <c r="AEB217" s="1"/>
      <c r="AEC217" s="1"/>
      <c r="AED217" s="1"/>
      <c r="AEE217" s="1"/>
      <c r="AEF217" s="1"/>
      <c r="AEG217" s="1"/>
      <c r="AEH217" s="1"/>
      <c r="AEI217" s="1"/>
      <c r="AEJ217" s="1"/>
      <c r="AEK217" s="1"/>
      <c r="AEL217" s="1"/>
      <c r="AEM217" s="1"/>
      <c r="AEN217" s="1"/>
      <c r="AEO217" s="1"/>
      <c r="AEP217" s="1"/>
      <c r="AEQ217" s="1"/>
      <c r="AER217" s="1"/>
      <c r="AES217" s="1"/>
      <c r="AET217" s="1"/>
      <c r="AEU217" s="1"/>
      <c r="AEV217" s="1"/>
      <c r="AEW217" s="1"/>
      <c r="AEX217" s="1"/>
      <c r="AEY217" s="1"/>
      <c r="AEZ217" s="1"/>
      <c r="AFA217" s="1"/>
      <c r="AFB217" s="1"/>
      <c r="AFC217" s="1"/>
      <c r="AFD217" s="1"/>
      <c r="AFE217" s="1"/>
      <c r="AFF217" s="1"/>
      <c r="AFG217" s="1"/>
      <c r="AFH217" s="1"/>
      <c r="AFI217" s="1"/>
      <c r="AFJ217" s="1"/>
      <c r="AFK217" s="1"/>
      <c r="AFL217" s="1"/>
      <c r="AFM217" s="1"/>
      <c r="AFN217" s="1"/>
      <c r="AFO217" s="1"/>
      <c r="AFP217" s="1"/>
      <c r="AFQ217" s="1"/>
      <c r="AFR217" s="1"/>
      <c r="AFS217" s="1"/>
      <c r="AFT217" s="1"/>
      <c r="AFU217" s="1"/>
      <c r="AFV217" s="1"/>
      <c r="AFW217" s="1"/>
      <c r="AFX217" s="1"/>
      <c r="AFY217" s="1"/>
      <c r="AFZ217" s="1"/>
      <c r="AGA217" s="1"/>
      <c r="AGB217" s="1"/>
      <c r="AGC217" s="1"/>
      <c r="AGD217" s="1"/>
      <c r="AGE217" s="1"/>
      <c r="AGF217" s="1"/>
      <c r="AGG217" s="1"/>
      <c r="AGH217" s="1"/>
      <c r="AGI217" s="1"/>
      <c r="AGJ217" s="1"/>
      <c r="AGK217" s="1"/>
      <c r="AGL217" s="1"/>
      <c r="AGM217" s="1"/>
      <c r="AGN217" s="1"/>
      <c r="AGO217" s="1"/>
      <c r="AGP217" s="1"/>
      <c r="AGQ217" s="1"/>
      <c r="AGR217" s="1"/>
      <c r="AGS217" s="1"/>
      <c r="AGT217" s="1"/>
      <c r="AGU217" s="1"/>
      <c r="AGV217" s="1"/>
      <c r="AGW217" s="1"/>
      <c r="AGX217" s="1"/>
      <c r="AGY217" s="1"/>
      <c r="AGZ217" s="1"/>
      <c r="AHA217" s="1"/>
      <c r="AHB217" s="1"/>
      <c r="AHC217" s="1"/>
      <c r="AHD217" s="1"/>
      <c r="AHE217" s="1"/>
      <c r="AHF217" s="1"/>
      <c r="AHG217" s="1"/>
      <c r="AHH217" s="1"/>
      <c r="AHI217" s="1"/>
      <c r="AHJ217" s="1"/>
      <c r="AHK217" s="1"/>
      <c r="AHL217" s="1"/>
      <c r="AHM217" s="1"/>
      <c r="AHN217" s="1"/>
      <c r="AHO217" s="1"/>
      <c r="AHP217" s="1"/>
      <c r="AHQ217" s="1"/>
      <c r="AHR217" s="1"/>
      <c r="AHS217" s="1"/>
      <c r="AHT217" s="1"/>
      <c r="AHU217" s="1"/>
      <c r="AHV217" s="1"/>
      <c r="AHW217" s="1"/>
      <c r="AHX217" s="1"/>
      <c r="AHY217" s="1"/>
      <c r="AHZ217" s="1"/>
      <c r="AIA217" s="1"/>
      <c r="AIB217" s="1"/>
      <c r="AIC217" s="1"/>
      <c r="AID217" s="1"/>
      <c r="AIE217" s="1"/>
      <c r="AIF217" s="1"/>
      <c r="AIG217" s="1"/>
      <c r="AIH217" s="1"/>
      <c r="AII217" s="1"/>
      <c r="AIJ217" s="1"/>
      <c r="AIK217" s="1"/>
      <c r="AIL217" s="1"/>
      <c r="AIM217" s="1"/>
      <c r="AIN217" s="1"/>
      <c r="AIO217" s="1"/>
      <c r="AIP217" s="1"/>
      <c r="AIQ217" s="1"/>
      <c r="AIR217" s="1"/>
      <c r="AIS217" s="1"/>
      <c r="AIT217" s="1"/>
      <c r="AIU217" s="1"/>
      <c r="AIV217" s="1"/>
      <c r="AIW217" s="1"/>
      <c r="AIX217" s="1"/>
      <c r="AIY217" s="1"/>
      <c r="AIZ217" s="1"/>
      <c r="AJA217" s="1"/>
      <c r="AJB217" s="1"/>
      <c r="AJC217" s="1"/>
      <c r="AJD217" s="1"/>
      <c r="AJE217" s="1"/>
      <c r="AJF217" s="1"/>
      <c r="AJG217" s="1"/>
      <c r="AJH217" s="1"/>
      <c r="AJI217" s="1"/>
      <c r="AJJ217" s="1"/>
      <c r="AJK217" s="1"/>
      <c r="AJL217" s="1"/>
      <c r="AJM217" s="1"/>
      <c r="AJN217" s="1"/>
      <c r="AJO217" s="1"/>
      <c r="AJP217" s="1"/>
      <c r="AJQ217" s="1"/>
      <c r="AJR217" s="1"/>
      <c r="AJS217" s="1"/>
      <c r="AJT217" s="1"/>
      <c r="AJU217" s="1"/>
      <c r="AJV217" s="1"/>
      <c r="AJW217" s="1"/>
      <c r="AJX217" s="1"/>
      <c r="AJY217" s="1"/>
      <c r="AJZ217" s="1"/>
      <c r="AKA217" s="1"/>
      <c r="AKB217" s="1"/>
      <c r="AKC217" s="1"/>
      <c r="AKD217" s="1"/>
      <c r="AKE217" s="1"/>
      <c r="AKF217" s="1"/>
      <c r="AKG217" s="1"/>
      <c r="AKH217" s="1"/>
      <c r="AKI217" s="1"/>
      <c r="AKJ217" s="1"/>
      <c r="AKK217" s="1"/>
      <c r="AKL217" s="1"/>
      <c r="AKM217" s="1"/>
      <c r="AKN217" s="1"/>
      <c r="AKO217" s="1"/>
      <c r="AKP217" s="1"/>
      <c r="AKQ217" s="1"/>
      <c r="AKR217" s="1"/>
      <c r="AKS217" s="1"/>
      <c r="AKT217" s="1"/>
      <c r="AKU217" s="1"/>
      <c r="AKV217" s="1"/>
      <c r="AKW217" s="1"/>
      <c r="AKX217" s="1"/>
      <c r="AKY217" s="1"/>
      <c r="AKZ217" s="1"/>
      <c r="ALA217" s="1"/>
      <c r="ALB217" s="1"/>
      <c r="ALC217" s="1"/>
      <c r="ALD217" s="1"/>
      <c r="ALE217" s="1"/>
      <c r="ALF217" s="1"/>
      <c r="ALG217" s="1"/>
      <c r="ALH217" s="1"/>
      <c r="ALI217" s="1"/>
      <c r="ALJ217" s="1"/>
      <c r="ALK217" s="1"/>
      <c r="ALL217" s="1"/>
      <c r="ALM217" s="1"/>
      <c r="ALN217" s="1"/>
      <c r="ALO217" s="1"/>
      <c r="ALP217" s="1"/>
      <c r="ALQ217" s="1"/>
      <c r="ALR217" s="1"/>
      <c r="ALS217" s="1"/>
      <c r="ALT217" s="1"/>
      <c r="ALU217" s="1"/>
      <c r="ALV217" s="1"/>
      <c r="ALW217" s="1"/>
      <c r="ALX217" s="1"/>
      <c r="ALY217" s="1"/>
      <c r="ALZ217" s="1"/>
      <c r="AMA217" s="1"/>
      <c r="AMB217" s="1"/>
      <c r="AMC217" s="1"/>
      <c r="AMD217" s="1"/>
      <c r="AME217" s="1"/>
      <c r="AMF217" s="1"/>
      <c r="AMG217" s="1"/>
      <c r="AMH217" s="1"/>
      <c r="AMI217" s="1"/>
      <c r="AMJ217" s="1"/>
      <c r="AMK217" s="1"/>
      <c r="AML217" s="1"/>
      <c r="AMM217" s="1"/>
      <c r="AMN217" s="1"/>
      <c r="AMO217" s="1"/>
    </row>
    <row r="218" spans="1:1029" x14ac:dyDescent="0.2">
      <c r="A218" s="3" t="str">
        <f>CONCATENATE(B218,"_",C218)</f>
        <v>ednrb_human__wt</v>
      </c>
      <c r="B218" s="2" t="s">
        <v>196</v>
      </c>
      <c r="C218" s="2" t="s">
        <v>100</v>
      </c>
      <c r="D218" s="3" t="str">
        <f>IFERROR(MID(VLOOKUP($B218,Seqs!$A:$B,2,0),E218,1),"")</f>
        <v>Q</v>
      </c>
      <c r="E218" s="2">
        <v>91</v>
      </c>
      <c r="F218" s="3" t="str">
        <f>IFERROR(MID(VLOOKUP($B218,Seqs!$A:$B,2,0),G218,1),"")</f>
        <v>N</v>
      </c>
      <c r="G218" s="2">
        <v>129</v>
      </c>
      <c r="H218" s="3" t="str">
        <f>IFERROR(MID(VLOOKUP($B218,Seqs!$A:$B,2,0),I218,1),"")</f>
        <v>K</v>
      </c>
      <c r="I218" s="56">
        <v>130</v>
      </c>
      <c r="J218" s="3" t="str">
        <f>IFERROR(MID(VLOOKUP($B218,Seqs!$A:$B,2,0),K218,1),"")</f>
        <v>N</v>
      </c>
      <c r="K218" s="56">
        <v>134</v>
      </c>
      <c r="L218" s="3" t="str">
        <f>IFERROR(MID(VLOOKUP($B218,Seqs!$A:$B,2,0),M218,1),"")</f>
        <v>G</v>
      </c>
      <c r="M218" s="2">
        <v>135</v>
      </c>
      <c r="N218" s="3" t="str">
        <f>IFERROR(MID(VLOOKUP($B218,Seqs!$A:$B,2,0),O218,1),"")</f>
        <v>A</v>
      </c>
      <c r="O218" s="2">
        <v>164</v>
      </c>
      <c r="P218" s="3" t="str">
        <f>IFERROR(MID(VLOOKUP($B218,Seqs!$A:$B,2,0),Q218,1),"")</f>
        <v>D</v>
      </c>
      <c r="Q218" s="2">
        <v>166</v>
      </c>
      <c r="R218" s="3" t="str">
        <f>IFERROR(MID(VLOOKUP($B218,Seqs!$A:$B,2,0),S218,1),"")</f>
        <v>F</v>
      </c>
      <c r="S218" s="2">
        <v>169</v>
      </c>
      <c r="T218" s="3" t="str">
        <f>IFERROR(MID(VLOOKUP($B218,Seqs!$A:$B,2,0),U218,1),"")</f>
        <v>G</v>
      </c>
      <c r="U218" s="4">
        <v>170</v>
      </c>
      <c r="V218" s="3" t="str">
        <f>IFERROR(MID(VLOOKUP($B218,Seqs!$A:$B,2,0),W218,1),"")</f>
        <v>S</v>
      </c>
      <c r="W218" s="2">
        <v>205</v>
      </c>
      <c r="X218" s="3" t="str">
        <f>IFERROR(MID(VLOOKUP($B218,Seqs!$A:$B,2,0),Y218,1),"")</f>
        <v>W</v>
      </c>
      <c r="Y218" s="2">
        <v>206</v>
      </c>
      <c r="Z218" s="3" t="str">
        <f>IFERROR(MID(VLOOKUP($B218,Seqs!$A:$B,2,0),AA218,1),"")</f>
        <v>G</v>
      </c>
      <c r="AA218" s="2">
        <v>213</v>
      </c>
      <c r="AB218" s="3" t="str">
        <f>IFERROR(MID(VLOOKUP($B218,Seqs!$A:$B,2,0),AC218,1),"")</f>
        <v>V</v>
      </c>
      <c r="AC218" s="40">
        <v>214</v>
      </c>
      <c r="AD218" s="3" t="str">
        <f>IFERROR(MID(VLOOKUP($B218,Seqs!$A:$B,2,0),AE218,1),"")</f>
        <v>F</v>
      </c>
      <c r="AE218" s="2">
        <v>240</v>
      </c>
      <c r="AF218" s="3" t="str">
        <f>IFERROR(MID(VLOOKUP($B218,Seqs!$A:$B,2,0),AG218,1),"")</f>
        <v>C</v>
      </c>
      <c r="AG218" s="2">
        <v>255</v>
      </c>
      <c r="AH218" s="3" t="str">
        <f>IFERROR(MID(VLOOKUP($B218,Seqs!$A:$B,2,0),AI218,1),"")</f>
        <v>L</v>
      </c>
      <c r="AI218" s="2">
        <v>257</v>
      </c>
      <c r="AJ218" s="3" t="str">
        <f>IFERROR(MID(VLOOKUP($B218,Seqs!$A:$B,2,0),AK218,1),"")</f>
        <v>T</v>
      </c>
      <c r="AK218" s="2">
        <v>263</v>
      </c>
      <c r="AL218" s="3" t="str">
        <f>IFERROR(MID(VLOOKUP($B218,Seqs!$A:$B,2,0),AM218,1),"")</f>
        <v>M</v>
      </c>
      <c r="AM218" s="2">
        <v>307</v>
      </c>
      <c r="AN218" s="3" t="str">
        <f>IFERROR(MID(VLOOKUP($B218,Seqs!$A:$B,2,0),AO218,1),"")</f>
        <v>N</v>
      </c>
      <c r="AO218" s="2">
        <v>312</v>
      </c>
      <c r="AP218" s="3" t="str">
        <f>IFERROR(MID(VLOOKUP($B218,Seqs!$A:$B,2,0),AQ218,1),"")</f>
        <v>Y</v>
      </c>
      <c r="AQ218" s="2">
        <v>350</v>
      </c>
      <c r="AR218" s="3" t="str">
        <f>IFERROR(MID(VLOOKUP($B218,Seqs!$A:$B,2,0),AS218,1),"")</f>
        <v>R</v>
      </c>
      <c r="AS218" s="2">
        <v>357</v>
      </c>
      <c r="AT218" s="3" t="str">
        <f>IFERROR(MID(VLOOKUP($B218,Seqs!$A:$B,2,0),AU218,1),"")</f>
        <v>V</v>
      </c>
      <c r="AU218" s="2">
        <v>389</v>
      </c>
      <c r="AV218" s="3" t="str">
        <f>IFERROR(MID(VLOOKUP($B218,Seqs!$A:$B,2,0),AW218,1),"")</f>
        <v>S</v>
      </c>
      <c r="AW218" s="2">
        <v>390</v>
      </c>
      <c r="AX218" s="3" t="str">
        <f>IFERROR(MID(VLOOKUP($B218,Seqs!$A:$B,2,0),AY218,1),"")</f>
        <v>C</v>
      </c>
      <c r="AY218" s="2">
        <v>403</v>
      </c>
      <c r="AZ218" s="77" t="str">
        <f>VLOOKUP(B218,Classification!A:D,2,0)</f>
        <v>A</v>
      </c>
      <c r="BA218" s="94" t="str">
        <f>VLOOKUP(B218,Classification!A:D,4,0)</f>
        <v>Endothelin</v>
      </c>
      <c r="BB218" s="27" t="b">
        <f t="shared" si="1007"/>
        <v>1</v>
      </c>
      <c r="BC218" s="2"/>
      <c r="BD218" s="34" t="s">
        <v>23</v>
      </c>
      <c r="BE218" s="3" t="s">
        <v>23</v>
      </c>
      <c r="BF218" s="118" t="s">
        <v>23</v>
      </c>
      <c r="BG218" s="49" t="s">
        <v>1366</v>
      </c>
      <c r="BH218" s="49" t="s">
        <v>1371</v>
      </c>
      <c r="BI218" s="2"/>
      <c r="BJ218" s="70"/>
      <c r="BU218" s="57"/>
      <c r="BV218" s="70"/>
      <c r="BW218" s="57"/>
      <c r="BX218" s="57"/>
      <c r="BY218" s="57"/>
      <c r="BZ218" s="57"/>
      <c r="CA218" s="57"/>
      <c r="CB218" s="57"/>
      <c r="CC218" s="57"/>
      <c r="CD218" s="57"/>
      <c r="CE218" s="57"/>
      <c r="CF218" s="57"/>
      <c r="CG218" s="57"/>
      <c r="CH218" s="70"/>
      <c r="CI218" s="57"/>
      <c r="CJ218" s="57"/>
      <c r="CK218" s="57"/>
      <c r="CL218" s="57"/>
      <c r="CM218" s="57"/>
      <c r="CN218" s="57"/>
      <c r="CO218" s="57"/>
      <c r="CP218" s="57"/>
      <c r="CQ218" s="57"/>
      <c r="CR218" s="57"/>
      <c r="CS218" s="57"/>
      <c r="CT218" s="2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  <c r="SG218" s="1"/>
      <c r="SH218" s="1"/>
      <c r="SI218" s="1"/>
      <c r="SJ218" s="1"/>
      <c r="SK218" s="1"/>
      <c r="SL218" s="1"/>
      <c r="SM218" s="1"/>
      <c r="SN218" s="1"/>
      <c r="SO218" s="1"/>
      <c r="SP218" s="1"/>
      <c r="SQ218" s="1"/>
      <c r="SR218" s="1"/>
      <c r="SS218" s="1"/>
      <c r="ST218" s="1"/>
      <c r="SU218" s="1"/>
      <c r="SV218" s="1"/>
      <c r="SW218" s="1"/>
      <c r="SX218" s="1"/>
      <c r="SY218" s="1"/>
      <c r="SZ218" s="1"/>
      <c r="TA218" s="1"/>
      <c r="TB218" s="1"/>
      <c r="TC218" s="1"/>
      <c r="TD218" s="1"/>
      <c r="TE218" s="1"/>
      <c r="TF218" s="1"/>
      <c r="TG218" s="1"/>
      <c r="TH218" s="1"/>
      <c r="TI218" s="1"/>
      <c r="TJ218" s="1"/>
      <c r="TK218" s="1"/>
      <c r="TL218" s="1"/>
      <c r="TM218" s="1"/>
      <c r="TN218" s="1"/>
      <c r="TO218" s="1"/>
      <c r="TP218" s="1"/>
      <c r="TQ218" s="1"/>
      <c r="TR218" s="1"/>
      <c r="TS218" s="1"/>
      <c r="TT218" s="1"/>
      <c r="TU218" s="1"/>
      <c r="TV218" s="1"/>
      <c r="TW218" s="1"/>
      <c r="TX218" s="1"/>
      <c r="TY218" s="1"/>
      <c r="TZ218" s="1"/>
      <c r="UA218" s="1"/>
      <c r="UB218" s="1"/>
      <c r="UC218" s="1"/>
      <c r="UD218" s="1"/>
      <c r="UE218" s="1"/>
      <c r="UF218" s="1"/>
      <c r="UG218" s="1"/>
      <c r="UH218" s="1"/>
      <c r="UI218" s="1"/>
      <c r="UJ218" s="1"/>
      <c r="UK218" s="1"/>
      <c r="UL218" s="1"/>
      <c r="UM218" s="1"/>
      <c r="UN218" s="1"/>
      <c r="UO218" s="1"/>
      <c r="UP218" s="1"/>
      <c r="UQ218" s="1"/>
      <c r="UR218" s="1"/>
      <c r="US218" s="1"/>
      <c r="UT218" s="1"/>
      <c r="UU218" s="1"/>
      <c r="UV218" s="1"/>
      <c r="UW218" s="1"/>
      <c r="UX218" s="1"/>
      <c r="UY218" s="1"/>
      <c r="UZ218" s="1"/>
      <c r="VA218" s="1"/>
      <c r="VB218" s="1"/>
      <c r="VC218" s="1"/>
      <c r="VD218" s="1"/>
      <c r="VE218" s="1"/>
      <c r="VF218" s="1"/>
      <c r="VG218" s="1"/>
      <c r="VH218" s="1"/>
      <c r="VI218" s="1"/>
      <c r="VJ218" s="1"/>
      <c r="VK218" s="1"/>
      <c r="VL218" s="1"/>
      <c r="VM218" s="1"/>
      <c r="VN218" s="1"/>
      <c r="VO218" s="1"/>
      <c r="VP218" s="1"/>
      <c r="VQ218" s="1"/>
      <c r="VR218" s="1"/>
      <c r="VS218" s="1"/>
      <c r="VT218" s="1"/>
      <c r="VU218" s="1"/>
      <c r="VV218" s="1"/>
      <c r="VW218" s="1"/>
      <c r="VX218" s="1"/>
      <c r="VY218" s="1"/>
      <c r="VZ218" s="1"/>
      <c r="WA218" s="1"/>
      <c r="WB218" s="1"/>
      <c r="WC218" s="1"/>
      <c r="WD218" s="1"/>
      <c r="WE218" s="1"/>
      <c r="WF218" s="1"/>
      <c r="WG218" s="1"/>
      <c r="WH218" s="1"/>
      <c r="WI218" s="1"/>
      <c r="WJ218" s="1"/>
      <c r="WK218" s="1"/>
      <c r="WL218" s="1"/>
      <c r="WM218" s="1"/>
      <c r="WN218" s="1"/>
      <c r="WO218" s="1"/>
      <c r="WP218" s="1"/>
      <c r="WQ218" s="1"/>
      <c r="WR218" s="1"/>
      <c r="WS218" s="1"/>
      <c r="WT218" s="1"/>
      <c r="WU218" s="1"/>
      <c r="WV218" s="1"/>
      <c r="WW218" s="1"/>
      <c r="WX218" s="1"/>
      <c r="WY218" s="1"/>
      <c r="WZ218" s="1"/>
      <c r="XA218" s="1"/>
      <c r="XB218" s="1"/>
      <c r="XC218" s="1"/>
      <c r="XD218" s="1"/>
      <c r="XE218" s="1"/>
      <c r="XF218" s="1"/>
      <c r="XG218" s="1"/>
      <c r="XH218" s="1"/>
      <c r="XI218" s="1"/>
      <c r="XJ218" s="1"/>
      <c r="XK218" s="1"/>
      <c r="XL218" s="1"/>
      <c r="XM218" s="1"/>
      <c r="XN218" s="1"/>
      <c r="XO218" s="1"/>
      <c r="XP218" s="1"/>
      <c r="XQ218" s="1"/>
      <c r="XR218" s="1"/>
      <c r="XS218" s="1"/>
      <c r="XT218" s="1"/>
      <c r="XU218" s="1"/>
      <c r="XV218" s="1"/>
      <c r="XW218" s="1"/>
      <c r="XX218" s="1"/>
      <c r="XY218" s="1"/>
      <c r="XZ218" s="1"/>
      <c r="YA218" s="1"/>
      <c r="YB218" s="1"/>
      <c r="YC218" s="1"/>
      <c r="YD218" s="1"/>
      <c r="YE218" s="1"/>
      <c r="YF218" s="1"/>
      <c r="YG218" s="1"/>
      <c r="YH218" s="1"/>
      <c r="YI218" s="1"/>
      <c r="YJ218" s="1"/>
      <c r="YK218" s="1"/>
      <c r="YL218" s="1"/>
      <c r="YM218" s="1"/>
      <c r="YN218" s="1"/>
      <c r="YO218" s="1"/>
      <c r="YP218" s="1"/>
      <c r="YQ218" s="1"/>
      <c r="YR218" s="1"/>
      <c r="YS218" s="1"/>
      <c r="YT218" s="1"/>
      <c r="YU218" s="1"/>
      <c r="YV218" s="1"/>
      <c r="YW218" s="1"/>
      <c r="YX218" s="1"/>
      <c r="YY218" s="1"/>
      <c r="YZ218" s="1"/>
      <c r="ZA218" s="1"/>
      <c r="ZB218" s="1"/>
      <c r="ZC218" s="1"/>
      <c r="ZD218" s="1"/>
      <c r="ZE218" s="1"/>
      <c r="ZF218" s="1"/>
      <c r="ZG218" s="1"/>
      <c r="ZH218" s="1"/>
      <c r="ZI218" s="1"/>
      <c r="ZJ218" s="1"/>
      <c r="ZK218" s="1"/>
      <c r="ZL218" s="1"/>
      <c r="ZM218" s="1"/>
      <c r="ZN218" s="1"/>
      <c r="ZO218" s="1"/>
      <c r="ZP218" s="1"/>
      <c r="ZQ218" s="1"/>
      <c r="ZR218" s="1"/>
      <c r="ZS218" s="1"/>
      <c r="ZT218" s="1"/>
      <c r="ZU218" s="1"/>
      <c r="ZV218" s="1"/>
      <c r="ZW218" s="1"/>
      <c r="ZX218" s="1"/>
      <c r="ZY218" s="1"/>
      <c r="ZZ218" s="1"/>
      <c r="AAA218" s="1"/>
      <c r="AAB218" s="1"/>
      <c r="AAC218" s="1"/>
      <c r="AAD218" s="1"/>
      <c r="AAE218" s="1"/>
      <c r="AAF218" s="1"/>
      <c r="AAG218" s="1"/>
      <c r="AAH218" s="1"/>
      <c r="AAI218" s="1"/>
      <c r="AAJ218" s="1"/>
      <c r="AAK218" s="1"/>
      <c r="AAL218" s="1"/>
      <c r="AAM218" s="1"/>
      <c r="AAN218" s="1"/>
      <c r="AAO218" s="1"/>
      <c r="AAP218" s="1"/>
      <c r="AAQ218" s="1"/>
      <c r="AAR218" s="1"/>
      <c r="AAS218" s="1"/>
      <c r="AAT218" s="1"/>
      <c r="AAU218" s="1"/>
      <c r="AAV218" s="1"/>
      <c r="AAW218" s="1"/>
      <c r="AAX218" s="1"/>
      <c r="AAY218" s="1"/>
      <c r="AAZ218" s="1"/>
      <c r="ABA218" s="1"/>
      <c r="ABB218" s="1"/>
      <c r="ABC218" s="1"/>
      <c r="ABD218" s="1"/>
      <c r="ABE218" s="1"/>
      <c r="ABF218" s="1"/>
      <c r="ABG218" s="1"/>
      <c r="ABH218" s="1"/>
      <c r="ABI218" s="1"/>
      <c r="ABJ218" s="1"/>
      <c r="ABK218" s="1"/>
      <c r="ABL218" s="1"/>
      <c r="ABM218" s="1"/>
      <c r="ABN218" s="1"/>
      <c r="ABO218" s="1"/>
      <c r="ABP218" s="1"/>
      <c r="ABQ218" s="1"/>
      <c r="ABR218" s="1"/>
      <c r="ABS218" s="1"/>
      <c r="ABT218" s="1"/>
      <c r="ABU218" s="1"/>
      <c r="ABV218" s="1"/>
      <c r="ABW218" s="1"/>
      <c r="ABX218" s="1"/>
      <c r="ABY218" s="1"/>
      <c r="ABZ218" s="1"/>
      <c r="ACA218" s="1"/>
      <c r="ACB218" s="1"/>
      <c r="ACC218" s="1"/>
      <c r="ACD218" s="1"/>
      <c r="ACE218" s="1"/>
      <c r="ACF218" s="1"/>
      <c r="ACG218" s="1"/>
      <c r="ACH218" s="1"/>
      <c r="ACI218" s="1"/>
      <c r="ACJ218" s="1"/>
      <c r="ACK218" s="1"/>
      <c r="ACL218" s="1"/>
      <c r="ACM218" s="1"/>
      <c r="ACN218" s="1"/>
      <c r="ACO218" s="1"/>
      <c r="ACP218" s="1"/>
      <c r="ACQ218" s="1"/>
      <c r="ACR218" s="1"/>
      <c r="ACS218" s="1"/>
      <c r="ACT218" s="1"/>
      <c r="ACU218" s="1"/>
      <c r="ACV218" s="1"/>
      <c r="ACW218" s="1"/>
      <c r="ACX218" s="1"/>
      <c r="ACY218" s="1"/>
      <c r="ACZ218" s="1"/>
      <c r="ADA218" s="1"/>
      <c r="ADB218" s="1"/>
      <c r="ADC218" s="1"/>
      <c r="ADD218" s="1"/>
      <c r="ADE218" s="1"/>
      <c r="ADF218" s="1"/>
      <c r="ADG218" s="1"/>
      <c r="ADH218" s="1"/>
      <c r="ADI218" s="1"/>
      <c r="ADJ218" s="1"/>
      <c r="ADK218" s="1"/>
      <c r="ADL218" s="1"/>
      <c r="ADM218" s="1"/>
      <c r="ADN218" s="1"/>
      <c r="ADO218" s="1"/>
      <c r="ADP218" s="1"/>
      <c r="ADQ218" s="1"/>
      <c r="ADR218" s="1"/>
      <c r="ADS218" s="1"/>
      <c r="ADT218" s="1"/>
      <c r="ADU218" s="1"/>
      <c r="ADV218" s="1"/>
      <c r="ADW218" s="1"/>
      <c r="ADX218" s="1"/>
      <c r="ADY218" s="1"/>
      <c r="ADZ218" s="1"/>
      <c r="AEA218" s="1"/>
      <c r="AEB218" s="1"/>
      <c r="AEC218" s="1"/>
      <c r="AED218" s="1"/>
      <c r="AEE218" s="1"/>
      <c r="AEF218" s="1"/>
      <c r="AEG218" s="1"/>
      <c r="AEH218" s="1"/>
      <c r="AEI218" s="1"/>
      <c r="AEJ218" s="1"/>
      <c r="AEK218" s="1"/>
      <c r="AEL218" s="1"/>
      <c r="AEM218" s="1"/>
      <c r="AEN218" s="1"/>
      <c r="AEO218" s="1"/>
      <c r="AEP218" s="1"/>
      <c r="AEQ218" s="1"/>
      <c r="AER218" s="1"/>
      <c r="AES218" s="1"/>
      <c r="AET218" s="1"/>
      <c r="AEU218" s="1"/>
      <c r="AEV218" s="1"/>
      <c r="AEW218" s="1"/>
      <c r="AEX218" s="1"/>
      <c r="AEY218" s="1"/>
      <c r="AEZ218" s="1"/>
      <c r="AFA218" s="1"/>
      <c r="AFB218" s="1"/>
      <c r="AFC218" s="1"/>
      <c r="AFD218" s="1"/>
      <c r="AFE218" s="1"/>
      <c r="AFF218" s="1"/>
      <c r="AFG218" s="1"/>
      <c r="AFH218" s="1"/>
      <c r="AFI218" s="1"/>
      <c r="AFJ218" s="1"/>
      <c r="AFK218" s="1"/>
      <c r="AFL218" s="1"/>
      <c r="AFM218" s="1"/>
      <c r="AFN218" s="1"/>
      <c r="AFO218" s="1"/>
      <c r="AFP218" s="1"/>
      <c r="AFQ218" s="1"/>
      <c r="AFR218" s="1"/>
      <c r="AFS218" s="1"/>
      <c r="AFT218" s="1"/>
      <c r="AFU218" s="1"/>
      <c r="AFV218" s="1"/>
      <c r="AFW218" s="1"/>
      <c r="AFX218" s="1"/>
      <c r="AFY218" s="1"/>
      <c r="AFZ218" s="1"/>
      <c r="AGA218" s="1"/>
      <c r="AGB218" s="1"/>
      <c r="AGC218" s="1"/>
      <c r="AGD218" s="1"/>
      <c r="AGE218" s="1"/>
      <c r="AGF218" s="1"/>
      <c r="AGG218" s="1"/>
      <c r="AGH218" s="1"/>
      <c r="AGI218" s="1"/>
      <c r="AGJ218" s="1"/>
      <c r="AGK218" s="1"/>
      <c r="AGL218" s="1"/>
      <c r="AGM218" s="1"/>
      <c r="AGN218" s="1"/>
      <c r="AGO218" s="1"/>
      <c r="AGP218" s="1"/>
      <c r="AGQ218" s="1"/>
      <c r="AGR218" s="1"/>
      <c r="AGS218" s="1"/>
      <c r="AGT218" s="1"/>
      <c r="AGU218" s="1"/>
      <c r="AGV218" s="1"/>
      <c r="AGW218" s="1"/>
      <c r="AGX218" s="1"/>
      <c r="AGY218" s="1"/>
      <c r="AGZ218" s="1"/>
      <c r="AHA218" s="1"/>
      <c r="AHB218" s="1"/>
      <c r="AHC218" s="1"/>
      <c r="AHD218" s="1"/>
      <c r="AHE218" s="1"/>
      <c r="AHF218" s="1"/>
      <c r="AHG218" s="1"/>
      <c r="AHH218" s="1"/>
      <c r="AHI218" s="1"/>
      <c r="AHJ218" s="1"/>
      <c r="AHK218" s="1"/>
      <c r="AHL218" s="1"/>
      <c r="AHM218" s="1"/>
      <c r="AHN218" s="1"/>
      <c r="AHO218" s="1"/>
      <c r="AHP218" s="1"/>
      <c r="AHQ218" s="1"/>
      <c r="AHR218" s="1"/>
      <c r="AHS218" s="1"/>
      <c r="AHT218" s="1"/>
      <c r="AHU218" s="1"/>
      <c r="AHV218" s="1"/>
      <c r="AHW218" s="1"/>
      <c r="AHX218" s="1"/>
      <c r="AHY218" s="1"/>
      <c r="AHZ218" s="1"/>
      <c r="AIA218" s="1"/>
      <c r="AIB218" s="1"/>
      <c r="AIC218" s="1"/>
      <c r="AID218" s="1"/>
      <c r="AIE218" s="1"/>
      <c r="AIF218" s="1"/>
      <c r="AIG218" s="1"/>
      <c r="AIH218" s="1"/>
      <c r="AII218" s="1"/>
      <c r="AIJ218" s="1"/>
      <c r="AIK218" s="1"/>
      <c r="AIL218" s="1"/>
      <c r="AIM218" s="1"/>
      <c r="AIN218" s="1"/>
      <c r="AIO218" s="1"/>
      <c r="AIP218" s="1"/>
      <c r="AIQ218" s="1"/>
      <c r="AIR218" s="1"/>
      <c r="AIS218" s="1"/>
      <c r="AIT218" s="1"/>
      <c r="AIU218" s="1"/>
      <c r="AIV218" s="1"/>
      <c r="AIW218" s="1"/>
      <c r="AIX218" s="1"/>
      <c r="AIY218" s="1"/>
      <c r="AIZ218" s="1"/>
      <c r="AJA218" s="1"/>
      <c r="AJB218" s="1"/>
      <c r="AJC218" s="1"/>
      <c r="AJD218" s="1"/>
      <c r="AJE218" s="1"/>
      <c r="AJF218" s="1"/>
      <c r="AJG218" s="1"/>
      <c r="AJH218" s="1"/>
      <c r="AJI218" s="1"/>
      <c r="AJJ218" s="1"/>
      <c r="AJK218" s="1"/>
      <c r="AJL218" s="1"/>
      <c r="AJM218" s="1"/>
      <c r="AJN218" s="1"/>
      <c r="AJO218" s="1"/>
      <c r="AJP218" s="1"/>
      <c r="AJQ218" s="1"/>
      <c r="AJR218" s="1"/>
      <c r="AJS218" s="1"/>
      <c r="AJT218" s="1"/>
      <c r="AJU218" s="1"/>
      <c r="AJV218" s="1"/>
      <c r="AJW218" s="1"/>
      <c r="AJX218" s="1"/>
      <c r="AJY218" s="1"/>
      <c r="AJZ218" s="1"/>
      <c r="AKA218" s="1"/>
      <c r="AKB218" s="1"/>
      <c r="AKC218" s="1"/>
      <c r="AKD218" s="1"/>
      <c r="AKE218" s="1"/>
      <c r="AKF218" s="1"/>
      <c r="AKG218" s="1"/>
      <c r="AKH218" s="1"/>
      <c r="AKI218" s="1"/>
      <c r="AKJ218" s="1"/>
      <c r="AKK218" s="1"/>
      <c r="AKL218" s="1"/>
      <c r="AKM218" s="1"/>
      <c r="AKN218" s="1"/>
      <c r="AKO218" s="1"/>
      <c r="AKP218" s="1"/>
      <c r="AKQ218" s="1"/>
      <c r="AKR218" s="1"/>
      <c r="AKS218" s="1"/>
      <c r="AKT218" s="1"/>
      <c r="AKU218" s="1"/>
      <c r="AKV218" s="1"/>
      <c r="AKW218" s="1"/>
      <c r="AKX218" s="1"/>
      <c r="AKY218" s="1"/>
      <c r="AKZ218" s="1"/>
      <c r="ALA218" s="1"/>
      <c r="ALB218" s="1"/>
      <c r="ALC218" s="1"/>
      <c r="ALD218" s="1"/>
      <c r="ALE218" s="1"/>
      <c r="ALF218" s="1"/>
      <c r="ALG218" s="1"/>
      <c r="ALH218" s="1"/>
      <c r="ALI218" s="1"/>
      <c r="ALJ218" s="1"/>
      <c r="ALK218" s="1"/>
      <c r="ALL218" s="1"/>
      <c r="ALM218" s="1"/>
      <c r="ALN218" s="1"/>
      <c r="ALO218" s="1"/>
      <c r="ALP218" s="1"/>
      <c r="ALQ218" s="1"/>
      <c r="ALR218" s="1"/>
      <c r="ALS218" s="1"/>
      <c r="ALT218" s="1"/>
      <c r="ALU218" s="1"/>
      <c r="ALV218" s="1"/>
      <c r="ALW218" s="1"/>
      <c r="ALX218" s="1"/>
      <c r="ALY218" s="1"/>
      <c r="ALZ218" s="1"/>
      <c r="AMA218" s="1"/>
      <c r="AMB218" s="1"/>
      <c r="AMC218" s="1"/>
      <c r="AMD218" s="1"/>
      <c r="AME218" s="1"/>
      <c r="AMF218" s="1"/>
      <c r="AMG218" s="1"/>
      <c r="AMH218" s="1"/>
      <c r="AMI218" s="1"/>
      <c r="AMJ218" s="1"/>
      <c r="AMK218" s="1"/>
      <c r="AML218" s="1"/>
      <c r="AMM218" s="1"/>
      <c r="AMN218" s="1"/>
      <c r="AMO218" s="1"/>
    </row>
    <row r="219" spans="1:1029" x14ac:dyDescent="0.2">
      <c r="A219" s="3" t="str">
        <f>CONCATENATE(B219,"_",C219)</f>
        <v>ednrb_human_5GLH</v>
      </c>
      <c r="B219" s="2" t="s">
        <v>196</v>
      </c>
      <c r="C219" s="2" t="s">
        <v>1322</v>
      </c>
      <c r="D219" s="3" t="str">
        <f>IFERROR(MID(VLOOKUP($B219,Seqs!$A:$B,2,0),E219,1),"")</f>
        <v>K</v>
      </c>
      <c r="E219" s="2">
        <v>97</v>
      </c>
      <c r="F219" s="3" t="str">
        <f>IFERROR(MID(VLOOKUP($B219,Seqs!$A:$B,2,0),G219,1),"")</f>
        <v>N</v>
      </c>
      <c r="G219" s="2">
        <v>129</v>
      </c>
      <c r="H219" s="3" t="str">
        <f>IFERROR(MID(VLOOKUP($B219,Seqs!$A:$B,2,0),I219,1),"")</f>
        <v/>
      </c>
      <c r="I219" s="56" t="s">
        <v>23</v>
      </c>
      <c r="J219" s="3" t="str">
        <f>IFERROR(MID(VLOOKUP($B219,Seqs!$A:$B,2,0),K219,1),"")</f>
        <v/>
      </c>
      <c r="K219" s="56" t="s">
        <v>23</v>
      </c>
      <c r="L219" s="3" t="str">
        <f>IFERROR(MID(VLOOKUP($B219,Seqs!$A:$B,2,0),M219,1),"")</f>
        <v>P</v>
      </c>
      <c r="M219" s="2">
        <v>136</v>
      </c>
      <c r="N219" s="3" t="str">
        <f>IFERROR(MID(VLOOKUP($B219,Seqs!$A:$B,2,0),O219,1),"")</f>
        <v>A</v>
      </c>
      <c r="O219" s="2">
        <v>164</v>
      </c>
      <c r="P219" s="3" t="str">
        <f>IFERROR(MID(VLOOKUP($B219,Seqs!$A:$B,2,0),Q219,1),"")</f>
        <v>D</v>
      </c>
      <c r="Q219" s="2">
        <v>166</v>
      </c>
      <c r="R219" s="3" t="str">
        <f>IFERROR(MID(VLOOKUP($B219,Seqs!$A:$B,2,0),S219,1),"")</f>
        <v>F</v>
      </c>
      <c r="S219" s="2">
        <v>169</v>
      </c>
      <c r="T219" s="3" t="str">
        <f>IFERROR(MID(VLOOKUP($B219,Seqs!$A:$B,2,0),U219,1),"")</f>
        <v>G</v>
      </c>
      <c r="U219" s="4">
        <v>170</v>
      </c>
      <c r="V219" s="3" t="str">
        <f>IFERROR(MID(VLOOKUP($B219,Seqs!$A:$B,2,0),W219,1),"")</f>
        <v>S</v>
      </c>
      <c r="W219" s="2">
        <v>205</v>
      </c>
      <c r="X219" s="3" t="str">
        <f>IFERROR(MID(VLOOKUP($B219,Seqs!$A:$B,2,0),Y219,1),"")</f>
        <v/>
      </c>
      <c r="Y219" s="2" t="s">
        <v>23</v>
      </c>
      <c r="Z219" s="3" t="str">
        <f>IFERROR(MID(VLOOKUP($B219,Seqs!$A:$B,2,0),AA219,1),"")</f>
        <v/>
      </c>
      <c r="AA219" s="2" t="s">
        <v>23</v>
      </c>
      <c r="AB219" s="3" t="str">
        <f>IFERROR(MID(VLOOKUP($B219,Seqs!$A:$B,2,0),AC219,1),"")</f>
        <v>T</v>
      </c>
      <c r="AC219" s="40">
        <v>218</v>
      </c>
      <c r="AD219" s="3" t="str">
        <f>IFERROR(MID(VLOOKUP($B219,Seqs!$A:$B,2,0),AE219,1),"")</f>
        <v>F</v>
      </c>
      <c r="AE219" s="2">
        <v>240</v>
      </c>
      <c r="AF219" s="3" t="str">
        <f>IFERROR(MID(VLOOKUP($B219,Seqs!$A:$B,2,0),AG219,1),"")</f>
        <v>C</v>
      </c>
      <c r="AG219" s="2">
        <v>255</v>
      </c>
      <c r="AH219" s="3" t="str">
        <f>IFERROR(MID(VLOOKUP($B219,Seqs!$A:$B,2,0),AI219,1),"")</f>
        <v>L</v>
      </c>
      <c r="AI219" s="2">
        <v>257</v>
      </c>
      <c r="AJ219" s="3" t="str">
        <f>IFERROR(MID(VLOOKUP($B219,Seqs!$A:$B,2,0),AK219,1),"")</f>
        <v>T</v>
      </c>
      <c r="AK219" s="2">
        <v>263</v>
      </c>
      <c r="AL219" s="3" t="str">
        <f>IFERROR(MID(VLOOKUP($B219,Seqs!$A:$B,2,0),AM219,1),"")</f>
        <v>K</v>
      </c>
      <c r="AM219" s="2">
        <v>303</v>
      </c>
      <c r="AN219" s="3" t="str">
        <f>IFERROR(MID(VLOOKUP($B219,Seqs!$A:$B,2,0),AO219,1),"")</f>
        <v>N</v>
      </c>
      <c r="AO219" s="2">
        <v>312</v>
      </c>
      <c r="AP219" s="3" t="str">
        <f>IFERROR(MID(VLOOKUP($B219,Seqs!$A:$B,2,0),AQ219,1),"")</f>
        <v>Y</v>
      </c>
      <c r="AQ219" s="2">
        <v>350</v>
      </c>
      <c r="AR219" s="3" t="str">
        <f>IFERROR(MID(VLOOKUP($B219,Seqs!$A:$B,2,0),AS219,1),"")</f>
        <v>R</v>
      </c>
      <c r="AS219" s="2">
        <v>357</v>
      </c>
      <c r="AT219" s="3" t="str">
        <f>IFERROR(MID(VLOOKUP($B219,Seqs!$A:$B,2,0),AU219,1),"")</f>
        <v>V</v>
      </c>
      <c r="AU219" s="2">
        <v>389</v>
      </c>
      <c r="AV219" s="3" t="str">
        <f>IFERROR(MID(VLOOKUP($B219,Seqs!$A:$B,2,0),AW219,1),"")</f>
        <v>S</v>
      </c>
      <c r="AW219" s="2">
        <v>390</v>
      </c>
      <c r="AX219" s="3" t="str">
        <f>IFERROR(MID(VLOOKUP($B219,Seqs!$A:$B,2,0),AY219,1),"")</f>
        <v>L</v>
      </c>
      <c r="AY219" s="2">
        <v>401</v>
      </c>
      <c r="AZ219" s="77" t="str">
        <f>VLOOKUP(B219,Classification!A:D,2,0)</f>
        <v>A</v>
      </c>
      <c r="BA219" s="94" t="str">
        <f>VLOOKUP(B219,Classification!A:D,4,0)</f>
        <v>Endothelin</v>
      </c>
      <c r="BB219" s="27" t="b">
        <f t="shared" si="1007"/>
        <v>1</v>
      </c>
      <c r="BC219" s="23">
        <f t="shared" ref="BC219:BC298" si="1057">_xlfn.AGGREGATE(9,6,CH219:CS219)-_xlfn.AGGREGATE(9,6,BV219:CG219)+12</f>
        <v>255</v>
      </c>
      <c r="BD219" s="2" t="s">
        <v>23</v>
      </c>
      <c r="BE219" s="3" t="s">
        <v>1368</v>
      </c>
      <c r="BF219" s="118">
        <v>2.8</v>
      </c>
      <c r="BG219" s="49" t="s">
        <v>1371</v>
      </c>
      <c r="BH219" s="49" t="s">
        <v>1371</v>
      </c>
      <c r="BI219" s="2"/>
      <c r="BJ219" s="70" t="s">
        <v>1281</v>
      </c>
      <c r="BK219" s="57" t="s">
        <v>1281</v>
      </c>
      <c r="BL219" s="57" t="s">
        <v>1281</v>
      </c>
      <c r="BM219" s="57" t="s">
        <v>1281</v>
      </c>
      <c r="BN219" s="57" t="s">
        <v>1281</v>
      </c>
      <c r="BO219" s="57" t="s">
        <v>1281</v>
      </c>
      <c r="BP219" s="57" t="s">
        <v>1281</v>
      </c>
      <c r="BQ219" s="57" t="s">
        <v>1281</v>
      </c>
      <c r="BR219" s="57" t="s">
        <v>1281</v>
      </c>
      <c r="BS219" s="57" t="s">
        <v>1281</v>
      </c>
      <c r="BT219" s="57" t="s">
        <v>1281</v>
      </c>
      <c r="BU219" s="57" t="s">
        <v>1281</v>
      </c>
      <c r="BV219" s="70">
        <f>E219</f>
        <v>97</v>
      </c>
      <c r="BW219" s="71" t="str">
        <f>I219</f>
        <v>-</v>
      </c>
      <c r="BX219" s="72">
        <f>M219</f>
        <v>136</v>
      </c>
      <c r="BY219" s="71">
        <f>Q219</f>
        <v>166</v>
      </c>
      <c r="BZ219" s="72">
        <f>U219</f>
        <v>170</v>
      </c>
      <c r="CA219" s="71" t="str">
        <f>Y219</f>
        <v>-</v>
      </c>
      <c r="CB219" s="72">
        <f>AC219</f>
        <v>218</v>
      </c>
      <c r="CC219" s="71">
        <f>AG219</f>
        <v>255</v>
      </c>
      <c r="CD219" s="72">
        <f>AK219</f>
        <v>263</v>
      </c>
      <c r="CE219" s="71">
        <f>AO219</f>
        <v>312</v>
      </c>
      <c r="CF219" s="72">
        <f>AS219</f>
        <v>357</v>
      </c>
      <c r="CG219" s="71">
        <f>AW219</f>
        <v>390</v>
      </c>
      <c r="CH219" s="70">
        <f>G219</f>
        <v>129</v>
      </c>
      <c r="CI219" s="71" t="str">
        <f>K219</f>
        <v>-</v>
      </c>
      <c r="CJ219" s="72">
        <f>O219</f>
        <v>164</v>
      </c>
      <c r="CK219" s="72">
        <f>S219</f>
        <v>169</v>
      </c>
      <c r="CL219" s="72">
        <f>W219</f>
        <v>205</v>
      </c>
      <c r="CM219" s="72" t="str">
        <f>AA219</f>
        <v>-</v>
      </c>
      <c r="CN219" s="72">
        <f>AE219</f>
        <v>240</v>
      </c>
      <c r="CO219" s="72">
        <f>AI219</f>
        <v>257</v>
      </c>
      <c r="CP219" s="72">
        <f>AM219</f>
        <v>303</v>
      </c>
      <c r="CQ219" s="72">
        <f>AQ219</f>
        <v>350</v>
      </c>
      <c r="CR219" s="72">
        <f>AU219</f>
        <v>389</v>
      </c>
      <c r="CS219" s="72">
        <f>AY219</f>
        <v>401</v>
      </c>
      <c r="CT219" s="23" t="e">
        <f>M219-K219</f>
        <v>#VALUE!</v>
      </c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  <c r="US219" s="1"/>
      <c r="UT219" s="1"/>
      <c r="UU219" s="1"/>
      <c r="UV219" s="1"/>
      <c r="UW219" s="1"/>
      <c r="UX219" s="1"/>
      <c r="UY219" s="1"/>
      <c r="UZ219" s="1"/>
      <c r="VA219" s="1"/>
      <c r="VB219" s="1"/>
      <c r="VC219" s="1"/>
      <c r="VD219" s="1"/>
      <c r="VE219" s="1"/>
      <c r="VF219" s="1"/>
      <c r="VG219" s="1"/>
      <c r="VH219" s="1"/>
      <c r="VI219" s="1"/>
      <c r="VJ219" s="1"/>
      <c r="VK219" s="1"/>
      <c r="VL219" s="1"/>
      <c r="VM219" s="1"/>
      <c r="VN219" s="1"/>
      <c r="VO219" s="1"/>
      <c r="VP219" s="1"/>
      <c r="VQ219" s="1"/>
      <c r="VR219" s="1"/>
      <c r="VS219" s="1"/>
      <c r="VT219" s="1"/>
      <c r="VU219" s="1"/>
      <c r="VV219" s="1"/>
      <c r="VW219" s="1"/>
      <c r="VX219" s="1"/>
      <c r="VY219" s="1"/>
      <c r="VZ219" s="1"/>
      <c r="WA219" s="1"/>
      <c r="WB219" s="1"/>
      <c r="WC219" s="1"/>
      <c r="WD219" s="1"/>
      <c r="WE219" s="1"/>
      <c r="WF219" s="1"/>
      <c r="WG219" s="1"/>
      <c r="WH219" s="1"/>
      <c r="WI219" s="1"/>
      <c r="WJ219" s="1"/>
      <c r="WK219" s="1"/>
      <c r="WL219" s="1"/>
      <c r="WM219" s="1"/>
      <c r="WN219" s="1"/>
      <c r="WO219" s="1"/>
      <c r="WP219" s="1"/>
      <c r="WQ219" s="1"/>
      <c r="WR219" s="1"/>
      <c r="WS219" s="1"/>
      <c r="WT219" s="1"/>
      <c r="WU219" s="1"/>
      <c r="WV219" s="1"/>
      <c r="WW219" s="1"/>
      <c r="WX219" s="1"/>
      <c r="WY219" s="1"/>
      <c r="WZ219" s="1"/>
      <c r="XA219" s="1"/>
      <c r="XB219" s="1"/>
      <c r="XC219" s="1"/>
      <c r="XD219" s="1"/>
      <c r="XE219" s="1"/>
      <c r="XF219" s="1"/>
      <c r="XG219" s="1"/>
      <c r="XH219" s="1"/>
      <c r="XI219" s="1"/>
      <c r="XJ219" s="1"/>
      <c r="XK219" s="1"/>
      <c r="XL219" s="1"/>
      <c r="XM219" s="1"/>
      <c r="XN219" s="1"/>
      <c r="XO219" s="1"/>
      <c r="XP219" s="1"/>
      <c r="XQ219" s="1"/>
      <c r="XR219" s="1"/>
      <c r="XS219" s="1"/>
      <c r="XT219" s="1"/>
      <c r="XU219" s="1"/>
      <c r="XV219" s="1"/>
      <c r="XW219" s="1"/>
      <c r="XX219" s="1"/>
      <c r="XY219" s="1"/>
      <c r="XZ219" s="1"/>
      <c r="YA219" s="1"/>
      <c r="YB219" s="1"/>
      <c r="YC219" s="1"/>
      <c r="YD219" s="1"/>
      <c r="YE219" s="1"/>
      <c r="YF219" s="1"/>
      <c r="YG219" s="1"/>
      <c r="YH219" s="1"/>
      <c r="YI219" s="1"/>
      <c r="YJ219" s="1"/>
      <c r="YK219" s="1"/>
      <c r="YL219" s="1"/>
      <c r="YM219" s="1"/>
      <c r="YN219" s="1"/>
      <c r="YO219" s="1"/>
      <c r="YP219" s="1"/>
      <c r="YQ219" s="1"/>
      <c r="YR219" s="1"/>
      <c r="YS219" s="1"/>
      <c r="YT219" s="1"/>
      <c r="YU219" s="1"/>
      <c r="YV219" s="1"/>
      <c r="YW219" s="1"/>
      <c r="YX219" s="1"/>
      <c r="YY219" s="1"/>
      <c r="YZ219" s="1"/>
      <c r="ZA219" s="1"/>
      <c r="ZB219" s="1"/>
      <c r="ZC219" s="1"/>
      <c r="ZD219" s="1"/>
      <c r="ZE219" s="1"/>
      <c r="ZF219" s="1"/>
      <c r="ZG219" s="1"/>
      <c r="ZH219" s="1"/>
      <c r="ZI219" s="1"/>
      <c r="ZJ219" s="1"/>
      <c r="ZK219" s="1"/>
      <c r="ZL219" s="1"/>
      <c r="ZM219" s="1"/>
      <c r="ZN219" s="1"/>
      <c r="ZO219" s="1"/>
      <c r="ZP219" s="1"/>
      <c r="ZQ219" s="1"/>
      <c r="ZR219" s="1"/>
      <c r="ZS219" s="1"/>
      <c r="ZT219" s="1"/>
      <c r="ZU219" s="1"/>
      <c r="ZV219" s="1"/>
      <c r="ZW219" s="1"/>
      <c r="ZX219" s="1"/>
      <c r="ZY219" s="1"/>
      <c r="ZZ219" s="1"/>
      <c r="AAA219" s="1"/>
      <c r="AAB219" s="1"/>
      <c r="AAC219" s="1"/>
      <c r="AAD219" s="1"/>
      <c r="AAE219" s="1"/>
      <c r="AAF219" s="1"/>
      <c r="AAG219" s="1"/>
      <c r="AAH219" s="1"/>
      <c r="AAI219" s="1"/>
      <c r="AAJ219" s="1"/>
      <c r="AAK219" s="1"/>
      <c r="AAL219" s="1"/>
      <c r="AAM219" s="1"/>
      <c r="AAN219" s="1"/>
      <c r="AAO219" s="1"/>
      <c r="AAP219" s="1"/>
      <c r="AAQ219" s="1"/>
      <c r="AAR219" s="1"/>
      <c r="AAS219" s="1"/>
      <c r="AAT219" s="1"/>
      <c r="AAU219" s="1"/>
      <c r="AAV219" s="1"/>
      <c r="AAW219" s="1"/>
      <c r="AAX219" s="1"/>
      <c r="AAY219" s="1"/>
      <c r="AAZ219" s="1"/>
      <c r="ABA219" s="1"/>
      <c r="ABB219" s="1"/>
      <c r="ABC219" s="1"/>
      <c r="ABD219" s="1"/>
      <c r="ABE219" s="1"/>
      <c r="ABF219" s="1"/>
      <c r="ABG219" s="1"/>
      <c r="ABH219" s="1"/>
      <c r="ABI219" s="1"/>
      <c r="ABJ219" s="1"/>
      <c r="ABK219" s="1"/>
      <c r="ABL219" s="1"/>
      <c r="ABM219" s="1"/>
      <c r="ABN219" s="1"/>
      <c r="ABO219" s="1"/>
      <c r="ABP219" s="1"/>
      <c r="ABQ219" s="1"/>
      <c r="ABR219" s="1"/>
      <c r="ABS219" s="1"/>
      <c r="ABT219" s="1"/>
      <c r="ABU219" s="1"/>
      <c r="ABV219" s="1"/>
      <c r="ABW219" s="1"/>
      <c r="ABX219" s="1"/>
      <c r="ABY219" s="1"/>
      <c r="ABZ219" s="1"/>
      <c r="ACA219" s="1"/>
      <c r="ACB219" s="1"/>
      <c r="ACC219" s="1"/>
      <c r="ACD219" s="1"/>
      <c r="ACE219" s="1"/>
      <c r="ACF219" s="1"/>
      <c r="ACG219" s="1"/>
      <c r="ACH219" s="1"/>
      <c r="ACI219" s="1"/>
      <c r="ACJ219" s="1"/>
      <c r="ACK219" s="1"/>
      <c r="ACL219" s="1"/>
      <c r="ACM219" s="1"/>
      <c r="ACN219" s="1"/>
      <c r="ACO219" s="1"/>
      <c r="ACP219" s="1"/>
      <c r="ACQ219" s="1"/>
      <c r="ACR219" s="1"/>
      <c r="ACS219" s="1"/>
      <c r="ACT219" s="1"/>
      <c r="ACU219" s="1"/>
      <c r="ACV219" s="1"/>
      <c r="ACW219" s="1"/>
      <c r="ACX219" s="1"/>
      <c r="ACY219" s="1"/>
      <c r="ACZ219" s="1"/>
      <c r="ADA219" s="1"/>
      <c r="ADB219" s="1"/>
      <c r="ADC219" s="1"/>
      <c r="ADD219" s="1"/>
      <c r="ADE219" s="1"/>
      <c r="ADF219" s="1"/>
      <c r="ADG219" s="1"/>
      <c r="ADH219" s="1"/>
      <c r="ADI219" s="1"/>
      <c r="ADJ219" s="1"/>
      <c r="ADK219" s="1"/>
      <c r="ADL219" s="1"/>
      <c r="ADM219" s="1"/>
      <c r="ADN219" s="1"/>
      <c r="ADO219" s="1"/>
      <c r="ADP219" s="1"/>
      <c r="ADQ219" s="1"/>
      <c r="ADR219" s="1"/>
      <c r="ADS219" s="1"/>
      <c r="ADT219" s="1"/>
      <c r="ADU219" s="1"/>
      <c r="ADV219" s="1"/>
      <c r="ADW219" s="1"/>
      <c r="ADX219" s="1"/>
      <c r="ADY219" s="1"/>
      <c r="ADZ219" s="1"/>
      <c r="AEA219" s="1"/>
      <c r="AEB219" s="1"/>
      <c r="AEC219" s="1"/>
      <c r="AED219" s="1"/>
      <c r="AEE219" s="1"/>
      <c r="AEF219" s="1"/>
      <c r="AEG219" s="1"/>
      <c r="AEH219" s="1"/>
      <c r="AEI219" s="1"/>
      <c r="AEJ219" s="1"/>
      <c r="AEK219" s="1"/>
      <c r="AEL219" s="1"/>
      <c r="AEM219" s="1"/>
      <c r="AEN219" s="1"/>
      <c r="AEO219" s="1"/>
      <c r="AEP219" s="1"/>
      <c r="AEQ219" s="1"/>
      <c r="AER219" s="1"/>
      <c r="AES219" s="1"/>
      <c r="AET219" s="1"/>
      <c r="AEU219" s="1"/>
      <c r="AEV219" s="1"/>
      <c r="AEW219" s="1"/>
      <c r="AEX219" s="1"/>
      <c r="AEY219" s="1"/>
      <c r="AEZ219" s="1"/>
      <c r="AFA219" s="1"/>
      <c r="AFB219" s="1"/>
      <c r="AFC219" s="1"/>
      <c r="AFD219" s="1"/>
      <c r="AFE219" s="1"/>
      <c r="AFF219" s="1"/>
      <c r="AFG219" s="1"/>
      <c r="AFH219" s="1"/>
      <c r="AFI219" s="1"/>
      <c r="AFJ219" s="1"/>
      <c r="AFK219" s="1"/>
      <c r="AFL219" s="1"/>
      <c r="AFM219" s="1"/>
      <c r="AFN219" s="1"/>
      <c r="AFO219" s="1"/>
      <c r="AFP219" s="1"/>
      <c r="AFQ219" s="1"/>
      <c r="AFR219" s="1"/>
      <c r="AFS219" s="1"/>
      <c r="AFT219" s="1"/>
      <c r="AFU219" s="1"/>
      <c r="AFV219" s="1"/>
      <c r="AFW219" s="1"/>
      <c r="AFX219" s="1"/>
      <c r="AFY219" s="1"/>
      <c r="AFZ219" s="1"/>
      <c r="AGA219" s="1"/>
      <c r="AGB219" s="1"/>
      <c r="AGC219" s="1"/>
      <c r="AGD219" s="1"/>
      <c r="AGE219" s="1"/>
      <c r="AGF219" s="1"/>
      <c r="AGG219" s="1"/>
      <c r="AGH219" s="1"/>
      <c r="AGI219" s="1"/>
      <c r="AGJ219" s="1"/>
      <c r="AGK219" s="1"/>
      <c r="AGL219" s="1"/>
      <c r="AGM219" s="1"/>
      <c r="AGN219" s="1"/>
      <c r="AGO219" s="1"/>
      <c r="AGP219" s="1"/>
      <c r="AGQ219" s="1"/>
      <c r="AGR219" s="1"/>
      <c r="AGS219" s="1"/>
      <c r="AGT219" s="1"/>
      <c r="AGU219" s="1"/>
      <c r="AGV219" s="1"/>
      <c r="AGW219" s="1"/>
      <c r="AGX219" s="1"/>
      <c r="AGY219" s="1"/>
      <c r="AGZ219" s="1"/>
      <c r="AHA219" s="1"/>
      <c r="AHB219" s="1"/>
      <c r="AHC219" s="1"/>
      <c r="AHD219" s="1"/>
      <c r="AHE219" s="1"/>
      <c r="AHF219" s="1"/>
      <c r="AHG219" s="1"/>
      <c r="AHH219" s="1"/>
      <c r="AHI219" s="1"/>
      <c r="AHJ219" s="1"/>
      <c r="AHK219" s="1"/>
      <c r="AHL219" s="1"/>
      <c r="AHM219" s="1"/>
      <c r="AHN219" s="1"/>
      <c r="AHO219" s="1"/>
      <c r="AHP219" s="1"/>
      <c r="AHQ219" s="1"/>
      <c r="AHR219" s="1"/>
      <c r="AHS219" s="1"/>
      <c r="AHT219" s="1"/>
      <c r="AHU219" s="1"/>
      <c r="AHV219" s="1"/>
      <c r="AHW219" s="1"/>
      <c r="AHX219" s="1"/>
      <c r="AHY219" s="1"/>
      <c r="AHZ219" s="1"/>
      <c r="AIA219" s="1"/>
      <c r="AIB219" s="1"/>
      <c r="AIC219" s="1"/>
      <c r="AID219" s="1"/>
      <c r="AIE219" s="1"/>
      <c r="AIF219" s="1"/>
      <c r="AIG219" s="1"/>
      <c r="AIH219" s="1"/>
      <c r="AII219" s="1"/>
      <c r="AIJ219" s="1"/>
      <c r="AIK219" s="1"/>
      <c r="AIL219" s="1"/>
      <c r="AIM219" s="1"/>
      <c r="AIN219" s="1"/>
      <c r="AIO219" s="1"/>
      <c r="AIP219" s="1"/>
      <c r="AIQ219" s="1"/>
      <c r="AIR219" s="1"/>
      <c r="AIS219" s="1"/>
      <c r="AIT219" s="1"/>
      <c r="AIU219" s="1"/>
      <c r="AIV219" s="1"/>
      <c r="AIW219" s="1"/>
      <c r="AIX219" s="1"/>
      <c r="AIY219" s="1"/>
      <c r="AIZ219" s="1"/>
      <c r="AJA219" s="1"/>
      <c r="AJB219" s="1"/>
      <c r="AJC219" s="1"/>
      <c r="AJD219" s="1"/>
      <c r="AJE219" s="1"/>
      <c r="AJF219" s="1"/>
      <c r="AJG219" s="1"/>
      <c r="AJH219" s="1"/>
      <c r="AJI219" s="1"/>
      <c r="AJJ219" s="1"/>
      <c r="AJK219" s="1"/>
      <c r="AJL219" s="1"/>
      <c r="AJM219" s="1"/>
      <c r="AJN219" s="1"/>
      <c r="AJO219" s="1"/>
      <c r="AJP219" s="1"/>
      <c r="AJQ219" s="1"/>
      <c r="AJR219" s="1"/>
      <c r="AJS219" s="1"/>
      <c r="AJT219" s="1"/>
      <c r="AJU219" s="1"/>
      <c r="AJV219" s="1"/>
      <c r="AJW219" s="1"/>
      <c r="AJX219" s="1"/>
      <c r="AJY219" s="1"/>
      <c r="AJZ219" s="1"/>
      <c r="AKA219" s="1"/>
      <c r="AKB219" s="1"/>
      <c r="AKC219" s="1"/>
      <c r="AKD219" s="1"/>
      <c r="AKE219" s="1"/>
      <c r="AKF219" s="1"/>
      <c r="AKG219" s="1"/>
      <c r="AKH219" s="1"/>
      <c r="AKI219" s="1"/>
      <c r="AKJ219" s="1"/>
      <c r="AKK219" s="1"/>
      <c r="AKL219" s="1"/>
      <c r="AKM219" s="1"/>
      <c r="AKN219" s="1"/>
      <c r="AKO219" s="1"/>
      <c r="AKP219" s="1"/>
      <c r="AKQ219" s="1"/>
      <c r="AKR219" s="1"/>
      <c r="AKS219" s="1"/>
      <c r="AKT219" s="1"/>
      <c r="AKU219" s="1"/>
      <c r="AKV219" s="1"/>
      <c r="AKW219" s="1"/>
      <c r="AKX219" s="1"/>
      <c r="AKY219" s="1"/>
      <c r="AKZ219" s="1"/>
      <c r="ALA219" s="1"/>
      <c r="ALB219" s="1"/>
      <c r="ALC219" s="1"/>
      <c r="ALD219" s="1"/>
      <c r="ALE219" s="1"/>
      <c r="ALF219" s="1"/>
      <c r="ALG219" s="1"/>
      <c r="ALH219" s="1"/>
      <c r="ALI219" s="1"/>
      <c r="ALJ219" s="1"/>
      <c r="ALK219" s="1"/>
      <c r="ALL219" s="1"/>
      <c r="ALM219" s="1"/>
      <c r="ALN219" s="1"/>
      <c r="ALO219" s="1"/>
      <c r="ALP219" s="1"/>
      <c r="ALQ219" s="1"/>
      <c r="ALR219" s="1"/>
      <c r="ALS219" s="1"/>
      <c r="ALT219" s="1"/>
      <c r="ALU219" s="1"/>
      <c r="ALV219" s="1"/>
      <c r="ALW219" s="1"/>
      <c r="ALX219" s="1"/>
      <c r="ALY219" s="1"/>
      <c r="ALZ219" s="1"/>
      <c r="AMA219" s="1"/>
      <c r="AMB219" s="1"/>
      <c r="AMC219" s="1"/>
      <c r="AMD219" s="1"/>
      <c r="AME219" s="1"/>
      <c r="AMF219" s="1"/>
      <c r="AMG219" s="1"/>
      <c r="AMH219" s="1"/>
      <c r="AMI219" s="1"/>
      <c r="AMJ219" s="1"/>
      <c r="AMK219" s="1"/>
      <c r="AML219" s="1"/>
      <c r="AMM219" s="1"/>
      <c r="AMN219" s="1"/>
      <c r="AMO219" s="1"/>
    </row>
    <row r="220" spans="1:1029" x14ac:dyDescent="0.2">
      <c r="A220" s="3" t="str">
        <f>CONCATENATE(B220,"_",C220)</f>
        <v>ednrb_human_5GLI</v>
      </c>
      <c r="B220" s="2" t="s">
        <v>196</v>
      </c>
      <c r="C220" s="2" t="s">
        <v>1321</v>
      </c>
      <c r="D220" s="3" t="str">
        <f>IFERROR(MID(VLOOKUP($B220,Seqs!$A:$B,2,0),E220,1),"")</f>
        <v>Q</v>
      </c>
      <c r="E220" s="2">
        <v>91</v>
      </c>
      <c r="F220" s="3" t="str">
        <f>IFERROR(MID(VLOOKUP($B220,Seqs!$A:$B,2,0),G220,1),"")</f>
        <v>N</v>
      </c>
      <c r="G220" s="2">
        <v>129</v>
      </c>
      <c r="H220" s="3" t="str">
        <f>IFERROR(MID(VLOOKUP($B220,Seqs!$A:$B,2,0),I220,1),"")</f>
        <v>K</v>
      </c>
      <c r="I220" s="56">
        <v>130</v>
      </c>
      <c r="J220" s="3" t="str">
        <f>IFERROR(MID(VLOOKUP($B220,Seqs!$A:$B,2,0),K220,1),"")</f>
        <v>N</v>
      </c>
      <c r="K220" s="56">
        <v>134</v>
      </c>
      <c r="L220" s="3" t="str">
        <f>IFERROR(MID(VLOOKUP($B220,Seqs!$A:$B,2,0),M220,1),"")</f>
        <v>G</v>
      </c>
      <c r="M220" s="2">
        <v>135</v>
      </c>
      <c r="N220" s="3" t="str">
        <f>IFERROR(MID(VLOOKUP($B220,Seqs!$A:$B,2,0),O220,1),"")</f>
        <v>A</v>
      </c>
      <c r="O220" s="2">
        <v>164</v>
      </c>
      <c r="P220" s="3" t="str">
        <f>IFERROR(MID(VLOOKUP($B220,Seqs!$A:$B,2,0),Q220,1),"")</f>
        <v>D</v>
      </c>
      <c r="Q220" s="2">
        <v>166</v>
      </c>
      <c r="R220" s="3" t="str">
        <f>IFERROR(MID(VLOOKUP($B220,Seqs!$A:$B,2,0),S220,1),"")</f>
        <v>F</v>
      </c>
      <c r="S220" s="2">
        <v>169</v>
      </c>
      <c r="T220" s="3" t="str">
        <f>IFERROR(MID(VLOOKUP($B220,Seqs!$A:$B,2,0),U220,1),"")</f>
        <v>G</v>
      </c>
      <c r="U220" s="4">
        <v>170</v>
      </c>
      <c r="V220" s="3" t="str">
        <f>IFERROR(MID(VLOOKUP($B220,Seqs!$A:$B,2,0),W220,1),"")</f>
        <v>S</v>
      </c>
      <c r="W220" s="2">
        <v>205</v>
      </c>
      <c r="X220" s="3" t="str">
        <f>IFERROR(MID(VLOOKUP($B220,Seqs!$A:$B,2,0),Y220,1),"")</f>
        <v/>
      </c>
      <c r="Y220" s="2" t="s">
        <v>23</v>
      </c>
      <c r="Z220" s="3" t="str">
        <f>IFERROR(MID(VLOOKUP($B220,Seqs!$A:$B,2,0),AA220,1),"")</f>
        <v/>
      </c>
      <c r="AA220" s="2" t="s">
        <v>23</v>
      </c>
      <c r="AB220" s="3" t="str">
        <f>IFERROR(MID(VLOOKUP($B220,Seqs!$A:$B,2,0),AC220,1),"")</f>
        <v>K</v>
      </c>
      <c r="AC220" s="40">
        <v>216</v>
      </c>
      <c r="AD220" s="3" t="str">
        <f>IFERROR(MID(VLOOKUP($B220,Seqs!$A:$B,2,0),AE220,1),"")</f>
        <v>F</v>
      </c>
      <c r="AE220" s="2">
        <v>240</v>
      </c>
      <c r="AF220" s="3" t="str">
        <f>IFERROR(MID(VLOOKUP($B220,Seqs!$A:$B,2,0),AG220,1),"")</f>
        <v>C</v>
      </c>
      <c r="AG220" s="2">
        <v>255</v>
      </c>
      <c r="AH220" s="3" t="str">
        <f>IFERROR(MID(VLOOKUP($B220,Seqs!$A:$B,2,0),AI220,1),"")</f>
        <v>L</v>
      </c>
      <c r="AI220" s="2">
        <v>257</v>
      </c>
      <c r="AJ220" s="3" t="str">
        <f>IFERROR(MID(VLOOKUP($B220,Seqs!$A:$B,2,0),AK220,1),"")</f>
        <v>T</v>
      </c>
      <c r="AK220" s="2">
        <v>263</v>
      </c>
      <c r="AL220" s="3" t="str">
        <f>IFERROR(MID(VLOOKUP($B220,Seqs!$A:$B,2,0),AM220,1),"")</f>
        <v>K</v>
      </c>
      <c r="AM220" s="2">
        <v>303</v>
      </c>
      <c r="AN220" s="3" t="str">
        <f>IFERROR(MID(VLOOKUP($B220,Seqs!$A:$B,2,0),AO220,1),"")</f>
        <v>N</v>
      </c>
      <c r="AO220" s="2">
        <v>312</v>
      </c>
      <c r="AP220" s="3" t="str">
        <f>IFERROR(MID(VLOOKUP($B220,Seqs!$A:$B,2,0),AQ220,1),"")</f>
        <v>Y</v>
      </c>
      <c r="AQ220" s="2">
        <v>350</v>
      </c>
      <c r="AR220" s="3" t="str">
        <f>IFERROR(MID(VLOOKUP($B220,Seqs!$A:$B,2,0),AS220,1),"")</f>
        <v>R</v>
      </c>
      <c r="AS220" s="2">
        <v>357</v>
      </c>
      <c r="AT220" s="3" t="str">
        <f>IFERROR(MID(VLOOKUP($B220,Seqs!$A:$B,2,0),AU220,1),"")</f>
        <v>V</v>
      </c>
      <c r="AU220" s="2">
        <v>389</v>
      </c>
      <c r="AV220" s="3" t="str">
        <f>IFERROR(MID(VLOOKUP($B220,Seqs!$A:$B,2,0),AW220,1),"")</f>
        <v>S</v>
      </c>
      <c r="AW220" s="2">
        <v>390</v>
      </c>
      <c r="AX220" s="3" t="str">
        <f>IFERROR(MID(VLOOKUP($B220,Seqs!$A:$B,2,0),AY220,1),"")</f>
        <v>C</v>
      </c>
      <c r="AY220" s="2">
        <v>403</v>
      </c>
      <c r="AZ220" s="77" t="str">
        <f>VLOOKUP(B220,Classification!A:D,2,0)</f>
        <v>A</v>
      </c>
      <c r="BA220" s="94" t="str">
        <f>VLOOKUP(B220,Classification!A:D,4,0)</f>
        <v>Endothelin</v>
      </c>
      <c r="BB220" s="27" t="b">
        <f t="shared" si="1007"/>
        <v>1</v>
      </c>
      <c r="BC220" s="23">
        <f t="shared" si="1057"/>
        <v>270</v>
      </c>
      <c r="BD220" s="2" t="s">
        <v>23</v>
      </c>
      <c r="BE220" s="3" t="s">
        <v>1368</v>
      </c>
      <c r="BF220" s="118">
        <v>2.5</v>
      </c>
      <c r="BG220" s="49" t="s">
        <v>1371</v>
      </c>
      <c r="BH220" s="49" t="s">
        <v>1371</v>
      </c>
      <c r="BI220" s="2"/>
      <c r="BJ220" s="70" t="s">
        <v>1281</v>
      </c>
      <c r="BK220" s="57" t="s">
        <v>1281</v>
      </c>
      <c r="BL220" s="57" t="s">
        <v>1281</v>
      </c>
      <c r="BM220" s="57" t="s">
        <v>1281</v>
      </c>
      <c r="BN220" s="57" t="s">
        <v>1281</v>
      </c>
      <c r="BO220" s="57" t="s">
        <v>1281</v>
      </c>
      <c r="BP220" s="57" t="s">
        <v>1281</v>
      </c>
      <c r="BQ220" s="57" t="s">
        <v>1281</v>
      </c>
      <c r="BR220" s="57" t="s">
        <v>1281</v>
      </c>
      <c r="BS220" s="57" t="s">
        <v>1281</v>
      </c>
      <c r="BT220" s="57" t="s">
        <v>1281</v>
      </c>
      <c r="BU220" s="57" t="s">
        <v>1281</v>
      </c>
      <c r="BV220" s="70">
        <f>E220</f>
        <v>91</v>
      </c>
      <c r="BW220" s="71">
        <f>I220</f>
        <v>130</v>
      </c>
      <c r="BX220" s="72">
        <f>M220</f>
        <v>135</v>
      </c>
      <c r="BY220" s="71">
        <f>Q220</f>
        <v>166</v>
      </c>
      <c r="BZ220" s="72">
        <f>U220</f>
        <v>170</v>
      </c>
      <c r="CA220" s="71" t="str">
        <f>Y220</f>
        <v>-</v>
      </c>
      <c r="CB220" s="72">
        <f>AC220</f>
        <v>216</v>
      </c>
      <c r="CC220" s="71">
        <f>AG220</f>
        <v>255</v>
      </c>
      <c r="CD220" s="72">
        <f>AK220</f>
        <v>263</v>
      </c>
      <c r="CE220" s="71">
        <f>AO220</f>
        <v>312</v>
      </c>
      <c r="CF220" s="72">
        <f>AS220</f>
        <v>357</v>
      </c>
      <c r="CG220" s="71">
        <f>AW220</f>
        <v>390</v>
      </c>
      <c r="CH220" s="70">
        <f>G220</f>
        <v>129</v>
      </c>
      <c r="CI220" s="71">
        <f>K220</f>
        <v>134</v>
      </c>
      <c r="CJ220" s="72">
        <f>O220</f>
        <v>164</v>
      </c>
      <c r="CK220" s="72">
        <f>S220</f>
        <v>169</v>
      </c>
      <c r="CL220" s="72">
        <f>W220</f>
        <v>205</v>
      </c>
      <c r="CM220" s="72" t="str">
        <f>AA220</f>
        <v>-</v>
      </c>
      <c r="CN220" s="72">
        <f>AE220</f>
        <v>240</v>
      </c>
      <c r="CO220" s="72">
        <f>AI220</f>
        <v>257</v>
      </c>
      <c r="CP220" s="72">
        <f>AM220</f>
        <v>303</v>
      </c>
      <c r="CQ220" s="72">
        <f>AQ220</f>
        <v>350</v>
      </c>
      <c r="CR220" s="72">
        <f>AU220</f>
        <v>389</v>
      </c>
      <c r="CS220" s="72">
        <f>AY220</f>
        <v>403</v>
      </c>
      <c r="CT220" s="23">
        <f>M220-K220</f>
        <v>1</v>
      </c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  <c r="US220" s="1"/>
      <c r="UT220" s="1"/>
      <c r="UU220" s="1"/>
      <c r="UV220" s="1"/>
      <c r="UW220" s="1"/>
      <c r="UX220" s="1"/>
      <c r="UY220" s="1"/>
      <c r="UZ220" s="1"/>
      <c r="VA220" s="1"/>
      <c r="VB220" s="1"/>
      <c r="VC220" s="1"/>
      <c r="VD220" s="1"/>
      <c r="VE220" s="1"/>
      <c r="VF220" s="1"/>
      <c r="VG220" s="1"/>
      <c r="VH220" s="1"/>
      <c r="VI220" s="1"/>
      <c r="VJ220" s="1"/>
      <c r="VK220" s="1"/>
      <c r="VL220" s="1"/>
      <c r="VM220" s="1"/>
      <c r="VN220" s="1"/>
      <c r="VO220" s="1"/>
      <c r="VP220" s="1"/>
      <c r="VQ220" s="1"/>
      <c r="VR220" s="1"/>
      <c r="VS220" s="1"/>
      <c r="VT220" s="1"/>
      <c r="VU220" s="1"/>
      <c r="VV220" s="1"/>
      <c r="VW220" s="1"/>
      <c r="VX220" s="1"/>
      <c r="VY220" s="1"/>
      <c r="VZ220" s="1"/>
      <c r="WA220" s="1"/>
      <c r="WB220" s="1"/>
      <c r="WC220" s="1"/>
      <c r="WD220" s="1"/>
      <c r="WE220" s="1"/>
      <c r="WF220" s="1"/>
      <c r="WG220" s="1"/>
      <c r="WH220" s="1"/>
      <c r="WI220" s="1"/>
      <c r="WJ220" s="1"/>
      <c r="WK220" s="1"/>
      <c r="WL220" s="1"/>
      <c r="WM220" s="1"/>
      <c r="WN220" s="1"/>
      <c r="WO220" s="1"/>
      <c r="WP220" s="1"/>
      <c r="WQ220" s="1"/>
      <c r="WR220" s="1"/>
      <c r="WS220" s="1"/>
      <c r="WT220" s="1"/>
      <c r="WU220" s="1"/>
      <c r="WV220" s="1"/>
      <c r="WW220" s="1"/>
      <c r="WX220" s="1"/>
      <c r="WY220" s="1"/>
      <c r="WZ220" s="1"/>
      <c r="XA220" s="1"/>
      <c r="XB220" s="1"/>
      <c r="XC220" s="1"/>
      <c r="XD220" s="1"/>
      <c r="XE220" s="1"/>
      <c r="XF220" s="1"/>
      <c r="XG220" s="1"/>
      <c r="XH220" s="1"/>
      <c r="XI220" s="1"/>
      <c r="XJ220" s="1"/>
      <c r="XK220" s="1"/>
      <c r="XL220" s="1"/>
      <c r="XM220" s="1"/>
      <c r="XN220" s="1"/>
      <c r="XO220" s="1"/>
      <c r="XP220" s="1"/>
      <c r="XQ220" s="1"/>
      <c r="XR220" s="1"/>
      <c r="XS220" s="1"/>
      <c r="XT220" s="1"/>
      <c r="XU220" s="1"/>
      <c r="XV220" s="1"/>
      <c r="XW220" s="1"/>
      <c r="XX220" s="1"/>
      <c r="XY220" s="1"/>
      <c r="XZ220" s="1"/>
      <c r="YA220" s="1"/>
      <c r="YB220" s="1"/>
      <c r="YC220" s="1"/>
      <c r="YD220" s="1"/>
      <c r="YE220" s="1"/>
      <c r="YF220" s="1"/>
      <c r="YG220" s="1"/>
      <c r="YH220" s="1"/>
      <c r="YI220" s="1"/>
      <c r="YJ220" s="1"/>
      <c r="YK220" s="1"/>
      <c r="YL220" s="1"/>
      <c r="YM220" s="1"/>
      <c r="YN220" s="1"/>
      <c r="YO220" s="1"/>
      <c r="YP220" s="1"/>
      <c r="YQ220" s="1"/>
      <c r="YR220" s="1"/>
      <c r="YS220" s="1"/>
      <c r="YT220" s="1"/>
      <c r="YU220" s="1"/>
      <c r="YV220" s="1"/>
      <c r="YW220" s="1"/>
      <c r="YX220" s="1"/>
      <c r="YY220" s="1"/>
      <c r="YZ220" s="1"/>
      <c r="ZA220" s="1"/>
      <c r="ZB220" s="1"/>
      <c r="ZC220" s="1"/>
      <c r="ZD220" s="1"/>
      <c r="ZE220" s="1"/>
      <c r="ZF220" s="1"/>
      <c r="ZG220" s="1"/>
      <c r="ZH220" s="1"/>
      <c r="ZI220" s="1"/>
      <c r="ZJ220" s="1"/>
      <c r="ZK220" s="1"/>
      <c r="ZL220" s="1"/>
      <c r="ZM220" s="1"/>
      <c r="ZN220" s="1"/>
      <c r="ZO220" s="1"/>
      <c r="ZP220" s="1"/>
      <c r="ZQ220" s="1"/>
      <c r="ZR220" s="1"/>
      <c r="ZS220" s="1"/>
      <c r="ZT220" s="1"/>
      <c r="ZU220" s="1"/>
      <c r="ZV220" s="1"/>
      <c r="ZW220" s="1"/>
      <c r="ZX220" s="1"/>
      <c r="ZY220" s="1"/>
      <c r="ZZ220" s="1"/>
      <c r="AAA220" s="1"/>
      <c r="AAB220" s="1"/>
      <c r="AAC220" s="1"/>
      <c r="AAD220" s="1"/>
      <c r="AAE220" s="1"/>
      <c r="AAF220" s="1"/>
      <c r="AAG220" s="1"/>
      <c r="AAH220" s="1"/>
      <c r="AAI220" s="1"/>
      <c r="AAJ220" s="1"/>
      <c r="AAK220" s="1"/>
      <c r="AAL220" s="1"/>
      <c r="AAM220" s="1"/>
      <c r="AAN220" s="1"/>
      <c r="AAO220" s="1"/>
      <c r="AAP220" s="1"/>
      <c r="AAQ220" s="1"/>
      <c r="AAR220" s="1"/>
      <c r="AAS220" s="1"/>
      <c r="AAT220" s="1"/>
      <c r="AAU220" s="1"/>
      <c r="AAV220" s="1"/>
      <c r="AAW220" s="1"/>
      <c r="AAX220" s="1"/>
      <c r="AAY220" s="1"/>
      <c r="AAZ220" s="1"/>
      <c r="ABA220" s="1"/>
      <c r="ABB220" s="1"/>
      <c r="ABC220" s="1"/>
      <c r="ABD220" s="1"/>
      <c r="ABE220" s="1"/>
      <c r="ABF220" s="1"/>
      <c r="ABG220" s="1"/>
      <c r="ABH220" s="1"/>
      <c r="ABI220" s="1"/>
      <c r="ABJ220" s="1"/>
      <c r="ABK220" s="1"/>
      <c r="ABL220" s="1"/>
      <c r="ABM220" s="1"/>
      <c r="ABN220" s="1"/>
      <c r="ABO220" s="1"/>
      <c r="ABP220" s="1"/>
      <c r="ABQ220" s="1"/>
      <c r="ABR220" s="1"/>
      <c r="ABS220" s="1"/>
      <c r="ABT220" s="1"/>
      <c r="ABU220" s="1"/>
      <c r="ABV220" s="1"/>
      <c r="ABW220" s="1"/>
      <c r="ABX220" s="1"/>
      <c r="ABY220" s="1"/>
      <c r="ABZ220" s="1"/>
      <c r="ACA220" s="1"/>
      <c r="ACB220" s="1"/>
      <c r="ACC220" s="1"/>
      <c r="ACD220" s="1"/>
      <c r="ACE220" s="1"/>
      <c r="ACF220" s="1"/>
      <c r="ACG220" s="1"/>
      <c r="ACH220" s="1"/>
      <c r="ACI220" s="1"/>
      <c r="ACJ220" s="1"/>
      <c r="ACK220" s="1"/>
      <c r="ACL220" s="1"/>
      <c r="ACM220" s="1"/>
      <c r="ACN220" s="1"/>
      <c r="ACO220" s="1"/>
      <c r="ACP220" s="1"/>
      <c r="ACQ220" s="1"/>
      <c r="ACR220" s="1"/>
      <c r="ACS220" s="1"/>
      <c r="ACT220" s="1"/>
      <c r="ACU220" s="1"/>
      <c r="ACV220" s="1"/>
      <c r="ACW220" s="1"/>
      <c r="ACX220" s="1"/>
      <c r="ACY220" s="1"/>
      <c r="ACZ220" s="1"/>
      <c r="ADA220" s="1"/>
      <c r="ADB220" s="1"/>
      <c r="ADC220" s="1"/>
      <c r="ADD220" s="1"/>
      <c r="ADE220" s="1"/>
      <c r="ADF220" s="1"/>
      <c r="ADG220" s="1"/>
      <c r="ADH220" s="1"/>
      <c r="ADI220" s="1"/>
      <c r="ADJ220" s="1"/>
      <c r="ADK220" s="1"/>
      <c r="ADL220" s="1"/>
      <c r="ADM220" s="1"/>
      <c r="ADN220" s="1"/>
      <c r="ADO220" s="1"/>
      <c r="ADP220" s="1"/>
      <c r="ADQ220" s="1"/>
      <c r="ADR220" s="1"/>
      <c r="ADS220" s="1"/>
      <c r="ADT220" s="1"/>
      <c r="ADU220" s="1"/>
      <c r="ADV220" s="1"/>
      <c r="ADW220" s="1"/>
      <c r="ADX220" s="1"/>
      <c r="ADY220" s="1"/>
      <c r="ADZ220" s="1"/>
      <c r="AEA220" s="1"/>
      <c r="AEB220" s="1"/>
      <c r="AEC220" s="1"/>
      <c r="AED220" s="1"/>
      <c r="AEE220" s="1"/>
      <c r="AEF220" s="1"/>
      <c r="AEG220" s="1"/>
      <c r="AEH220" s="1"/>
      <c r="AEI220" s="1"/>
      <c r="AEJ220" s="1"/>
      <c r="AEK220" s="1"/>
      <c r="AEL220" s="1"/>
      <c r="AEM220" s="1"/>
      <c r="AEN220" s="1"/>
      <c r="AEO220" s="1"/>
      <c r="AEP220" s="1"/>
      <c r="AEQ220" s="1"/>
      <c r="AER220" s="1"/>
      <c r="AES220" s="1"/>
      <c r="AET220" s="1"/>
      <c r="AEU220" s="1"/>
      <c r="AEV220" s="1"/>
      <c r="AEW220" s="1"/>
      <c r="AEX220" s="1"/>
      <c r="AEY220" s="1"/>
      <c r="AEZ220" s="1"/>
      <c r="AFA220" s="1"/>
      <c r="AFB220" s="1"/>
      <c r="AFC220" s="1"/>
      <c r="AFD220" s="1"/>
      <c r="AFE220" s="1"/>
      <c r="AFF220" s="1"/>
      <c r="AFG220" s="1"/>
      <c r="AFH220" s="1"/>
      <c r="AFI220" s="1"/>
      <c r="AFJ220" s="1"/>
      <c r="AFK220" s="1"/>
      <c r="AFL220" s="1"/>
      <c r="AFM220" s="1"/>
      <c r="AFN220" s="1"/>
      <c r="AFO220" s="1"/>
      <c r="AFP220" s="1"/>
      <c r="AFQ220" s="1"/>
      <c r="AFR220" s="1"/>
      <c r="AFS220" s="1"/>
      <c r="AFT220" s="1"/>
      <c r="AFU220" s="1"/>
      <c r="AFV220" s="1"/>
      <c r="AFW220" s="1"/>
      <c r="AFX220" s="1"/>
      <c r="AFY220" s="1"/>
      <c r="AFZ220" s="1"/>
      <c r="AGA220" s="1"/>
      <c r="AGB220" s="1"/>
      <c r="AGC220" s="1"/>
      <c r="AGD220" s="1"/>
      <c r="AGE220" s="1"/>
      <c r="AGF220" s="1"/>
      <c r="AGG220" s="1"/>
      <c r="AGH220" s="1"/>
      <c r="AGI220" s="1"/>
      <c r="AGJ220" s="1"/>
      <c r="AGK220" s="1"/>
      <c r="AGL220" s="1"/>
      <c r="AGM220" s="1"/>
      <c r="AGN220" s="1"/>
      <c r="AGO220" s="1"/>
      <c r="AGP220" s="1"/>
      <c r="AGQ220" s="1"/>
      <c r="AGR220" s="1"/>
      <c r="AGS220" s="1"/>
      <c r="AGT220" s="1"/>
      <c r="AGU220" s="1"/>
      <c r="AGV220" s="1"/>
      <c r="AGW220" s="1"/>
      <c r="AGX220" s="1"/>
      <c r="AGY220" s="1"/>
      <c r="AGZ220" s="1"/>
      <c r="AHA220" s="1"/>
      <c r="AHB220" s="1"/>
      <c r="AHC220" s="1"/>
      <c r="AHD220" s="1"/>
      <c r="AHE220" s="1"/>
      <c r="AHF220" s="1"/>
      <c r="AHG220" s="1"/>
      <c r="AHH220" s="1"/>
      <c r="AHI220" s="1"/>
      <c r="AHJ220" s="1"/>
      <c r="AHK220" s="1"/>
      <c r="AHL220" s="1"/>
      <c r="AHM220" s="1"/>
      <c r="AHN220" s="1"/>
      <c r="AHO220" s="1"/>
      <c r="AHP220" s="1"/>
      <c r="AHQ220" s="1"/>
      <c r="AHR220" s="1"/>
      <c r="AHS220" s="1"/>
      <c r="AHT220" s="1"/>
      <c r="AHU220" s="1"/>
      <c r="AHV220" s="1"/>
      <c r="AHW220" s="1"/>
      <c r="AHX220" s="1"/>
      <c r="AHY220" s="1"/>
      <c r="AHZ220" s="1"/>
      <c r="AIA220" s="1"/>
      <c r="AIB220" s="1"/>
      <c r="AIC220" s="1"/>
      <c r="AID220" s="1"/>
      <c r="AIE220" s="1"/>
      <c r="AIF220" s="1"/>
      <c r="AIG220" s="1"/>
      <c r="AIH220" s="1"/>
      <c r="AII220" s="1"/>
      <c r="AIJ220" s="1"/>
      <c r="AIK220" s="1"/>
      <c r="AIL220" s="1"/>
      <c r="AIM220" s="1"/>
      <c r="AIN220" s="1"/>
      <c r="AIO220" s="1"/>
      <c r="AIP220" s="1"/>
      <c r="AIQ220" s="1"/>
      <c r="AIR220" s="1"/>
      <c r="AIS220" s="1"/>
      <c r="AIT220" s="1"/>
      <c r="AIU220" s="1"/>
      <c r="AIV220" s="1"/>
      <c r="AIW220" s="1"/>
      <c r="AIX220" s="1"/>
      <c r="AIY220" s="1"/>
      <c r="AIZ220" s="1"/>
      <c r="AJA220" s="1"/>
      <c r="AJB220" s="1"/>
      <c r="AJC220" s="1"/>
      <c r="AJD220" s="1"/>
      <c r="AJE220" s="1"/>
      <c r="AJF220" s="1"/>
      <c r="AJG220" s="1"/>
      <c r="AJH220" s="1"/>
      <c r="AJI220" s="1"/>
      <c r="AJJ220" s="1"/>
      <c r="AJK220" s="1"/>
      <c r="AJL220" s="1"/>
      <c r="AJM220" s="1"/>
      <c r="AJN220" s="1"/>
      <c r="AJO220" s="1"/>
      <c r="AJP220" s="1"/>
      <c r="AJQ220" s="1"/>
      <c r="AJR220" s="1"/>
      <c r="AJS220" s="1"/>
      <c r="AJT220" s="1"/>
      <c r="AJU220" s="1"/>
      <c r="AJV220" s="1"/>
      <c r="AJW220" s="1"/>
      <c r="AJX220" s="1"/>
      <c r="AJY220" s="1"/>
      <c r="AJZ220" s="1"/>
      <c r="AKA220" s="1"/>
      <c r="AKB220" s="1"/>
      <c r="AKC220" s="1"/>
      <c r="AKD220" s="1"/>
      <c r="AKE220" s="1"/>
      <c r="AKF220" s="1"/>
      <c r="AKG220" s="1"/>
      <c r="AKH220" s="1"/>
      <c r="AKI220" s="1"/>
      <c r="AKJ220" s="1"/>
      <c r="AKK220" s="1"/>
      <c r="AKL220" s="1"/>
      <c r="AKM220" s="1"/>
      <c r="AKN220" s="1"/>
      <c r="AKO220" s="1"/>
      <c r="AKP220" s="1"/>
      <c r="AKQ220" s="1"/>
      <c r="AKR220" s="1"/>
      <c r="AKS220" s="1"/>
      <c r="AKT220" s="1"/>
      <c r="AKU220" s="1"/>
      <c r="AKV220" s="1"/>
      <c r="AKW220" s="1"/>
      <c r="AKX220" s="1"/>
      <c r="AKY220" s="1"/>
      <c r="AKZ220" s="1"/>
      <c r="ALA220" s="1"/>
      <c r="ALB220" s="1"/>
      <c r="ALC220" s="1"/>
      <c r="ALD220" s="1"/>
      <c r="ALE220" s="1"/>
      <c r="ALF220" s="1"/>
      <c r="ALG220" s="1"/>
      <c r="ALH220" s="1"/>
      <c r="ALI220" s="1"/>
      <c r="ALJ220" s="1"/>
      <c r="ALK220" s="1"/>
      <c r="ALL220" s="1"/>
      <c r="ALM220" s="1"/>
      <c r="ALN220" s="1"/>
      <c r="ALO220" s="1"/>
      <c r="ALP220" s="1"/>
      <c r="ALQ220" s="1"/>
      <c r="ALR220" s="1"/>
      <c r="ALS220" s="1"/>
      <c r="ALT220" s="1"/>
      <c r="ALU220" s="1"/>
      <c r="ALV220" s="1"/>
      <c r="ALW220" s="1"/>
      <c r="ALX220" s="1"/>
      <c r="ALY220" s="1"/>
      <c r="ALZ220" s="1"/>
      <c r="AMA220" s="1"/>
      <c r="AMB220" s="1"/>
      <c r="AMC220" s="1"/>
      <c r="AMD220" s="1"/>
      <c r="AME220" s="1"/>
      <c r="AMF220" s="1"/>
      <c r="AMG220" s="1"/>
      <c r="AMH220" s="1"/>
      <c r="AMI220" s="1"/>
      <c r="AMJ220" s="1"/>
      <c r="AMK220" s="1"/>
      <c r="AML220" s="1"/>
      <c r="AMM220" s="1"/>
      <c r="AMN220" s="1"/>
      <c r="AMO220" s="1"/>
    </row>
    <row r="221" spans="1:1029" x14ac:dyDescent="0.2">
      <c r="A221" s="3" t="str">
        <f>CONCATENATE(B221,"_",C221)</f>
        <v>ednrb_human_5X93</v>
      </c>
      <c r="B221" s="2" t="s">
        <v>196</v>
      </c>
      <c r="C221" s="2" t="s">
        <v>1432</v>
      </c>
      <c r="D221" s="3" t="str">
        <f>IFERROR(MID(VLOOKUP($B221,Seqs!$A:$B,2,0),E221,1),"")</f>
        <v>Q</v>
      </c>
      <c r="E221" s="2">
        <v>91</v>
      </c>
      <c r="F221" s="3" t="str">
        <f>IFERROR(MID(VLOOKUP($B221,Seqs!$A:$B,2,0),G221,1),"")</f>
        <v>N</v>
      </c>
      <c r="G221" s="2">
        <v>129</v>
      </c>
      <c r="H221" s="3" t="str">
        <f>IFERROR(MID(VLOOKUP($B221,Seqs!$A:$B,2,0),I221,1),"")</f>
        <v>K</v>
      </c>
      <c r="I221" s="56">
        <v>130</v>
      </c>
      <c r="J221" s="3" t="str">
        <f>IFERROR(MID(VLOOKUP($B221,Seqs!$A:$B,2,0),K221,1),"")</f>
        <v>N</v>
      </c>
      <c r="K221" s="56">
        <v>134</v>
      </c>
      <c r="L221" s="3" t="str">
        <f>IFERROR(MID(VLOOKUP($B221,Seqs!$A:$B,2,0),M221,1),"")</f>
        <v>G</v>
      </c>
      <c r="M221" s="2">
        <v>135</v>
      </c>
      <c r="N221" s="3" t="str">
        <f>IFERROR(MID(VLOOKUP($B221,Seqs!$A:$B,2,0),O221,1),"")</f>
        <v>A</v>
      </c>
      <c r="O221" s="2">
        <v>164</v>
      </c>
      <c r="P221" s="3" t="str">
        <f>IFERROR(MID(VLOOKUP($B221,Seqs!$A:$B,2,0),Q221,1),"")</f>
        <v>D</v>
      </c>
      <c r="Q221" s="2">
        <v>166</v>
      </c>
      <c r="R221" s="3" t="str">
        <f>IFERROR(MID(VLOOKUP($B221,Seqs!$A:$B,2,0),S221,1),"")</f>
        <v>F</v>
      </c>
      <c r="S221" s="2">
        <v>169</v>
      </c>
      <c r="T221" s="3" t="str">
        <f>IFERROR(MID(VLOOKUP($B221,Seqs!$A:$B,2,0),U221,1),"")</f>
        <v>G</v>
      </c>
      <c r="U221" s="4">
        <v>170</v>
      </c>
      <c r="V221" s="3" t="str">
        <f>IFERROR(MID(VLOOKUP($B221,Seqs!$A:$B,2,0),W221,1),"")</f>
        <v>S</v>
      </c>
      <c r="W221" s="2">
        <v>205</v>
      </c>
      <c r="X221" s="3" t="str">
        <f>IFERROR(MID(VLOOKUP($B221,Seqs!$A:$B,2,0),Y221,1),"")</f>
        <v/>
      </c>
      <c r="Y221" s="2" t="s">
        <v>23</v>
      </c>
      <c r="Z221" s="3" t="str">
        <f>IFERROR(MID(VLOOKUP($B221,Seqs!$A:$B,2,0),AA221,1),"")</f>
        <v/>
      </c>
      <c r="AA221" s="2" t="s">
        <v>23</v>
      </c>
      <c r="AB221" s="3" t="str">
        <f>IFERROR(MID(VLOOKUP($B221,Seqs!$A:$B,2,0),AC221,1),"")</f>
        <v>K</v>
      </c>
      <c r="AC221" s="2">
        <v>216</v>
      </c>
      <c r="AD221" s="3" t="str">
        <f>IFERROR(MID(VLOOKUP($B221,Seqs!$A:$B,2,0),AE221,1),"")</f>
        <v>F</v>
      </c>
      <c r="AE221" s="2">
        <v>240</v>
      </c>
      <c r="AF221" s="3" t="str">
        <f>IFERROR(MID(VLOOKUP($B221,Seqs!$A:$B,2,0),AG221,1),"")</f>
        <v>C</v>
      </c>
      <c r="AG221" s="2">
        <v>255</v>
      </c>
      <c r="AH221" s="3" t="str">
        <f>IFERROR(MID(VLOOKUP($B221,Seqs!$A:$B,2,0),AI221,1),"")</f>
        <v>L</v>
      </c>
      <c r="AI221" s="2">
        <v>257</v>
      </c>
      <c r="AJ221" s="3" t="str">
        <f>IFERROR(MID(VLOOKUP($B221,Seqs!$A:$B,2,0),AK221,1),"")</f>
        <v>T</v>
      </c>
      <c r="AK221" s="2">
        <v>263</v>
      </c>
      <c r="AL221" s="3" t="str">
        <f>IFERROR(MID(VLOOKUP($B221,Seqs!$A:$B,2,0),AM221,1),"")</f>
        <v>K</v>
      </c>
      <c r="AM221" s="2">
        <v>303</v>
      </c>
      <c r="AN221" s="3" t="str">
        <f>IFERROR(MID(VLOOKUP($B221,Seqs!$A:$B,2,0),AO221,1),"")</f>
        <v>N</v>
      </c>
      <c r="AO221" s="2">
        <v>312</v>
      </c>
      <c r="AP221" s="3" t="str">
        <f>IFERROR(MID(VLOOKUP($B221,Seqs!$A:$B,2,0),AQ221,1),"")</f>
        <v>Y</v>
      </c>
      <c r="AQ221" s="2">
        <v>350</v>
      </c>
      <c r="AR221" s="3" t="str">
        <f>IFERROR(MID(VLOOKUP($B221,Seqs!$A:$B,2,0),AS221,1),"")</f>
        <v>R</v>
      </c>
      <c r="AS221" s="2">
        <v>357</v>
      </c>
      <c r="AT221" s="3" t="str">
        <f>IFERROR(MID(VLOOKUP($B221,Seqs!$A:$B,2,0),AU221,1),"")</f>
        <v>V</v>
      </c>
      <c r="AU221" s="2">
        <v>389</v>
      </c>
      <c r="AV221" s="3" t="str">
        <f>IFERROR(MID(VLOOKUP($B221,Seqs!$A:$B,2,0),AW221,1),"")</f>
        <v>S</v>
      </c>
      <c r="AW221" s="2">
        <v>390</v>
      </c>
      <c r="AX221" s="3" t="str">
        <f>IFERROR(MID(VLOOKUP($B221,Seqs!$A:$B,2,0),AY221,1),"")</f>
        <v>C</v>
      </c>
      <c r="AY221" s="2">
        <v>403</v>
      </c>
      <c r="AZ221" s="77" t="str">
        <f>VLOOKUP(B221,Classification!A:D,2,0)</f>
        <v>A</v>
      </c>
      <c r="BA221" s="94" t="str">
        <f>VLOOKUP(B221,Classification!A:D,4,0)</f>
        <v>Endothelin</v>
      </c>
      <c r="BB221" s="27" t="b">
        <f t="shared" ref="BB221:BB226" si="1058">AND(E221&lt;G221,OR(G221&lt;I221,I221="-"),OR(I221&lt;K221,I221="-"),OR(K221&lt;M221,K221="-"),M221&lt;O221,OR(O221&lt;Q221,Q221="-"),OR(Q221&lt;S221,Q221="-"),OR(S221&lt;U221,S221="-"),U221&lt;W221,OR(W221&lt;Y221,Y221="-"),OR(Y221&lt;AA221,Y221="-"),OR(AA221&lt;AC221,AA221="-"),AC221&lt;AE221,OR(AE221&lt;AG221,AG221="-"),OR(AG221&lt;AI221,AG221="-"),OR(AI221&lt;AK221,AI221="-"),AK221&lt;AM221,AM221&lt;AO221,AO221&lt;AQ221,AQ221&lt;AS221,AS221&lt;AU221,OR(AU221&lt;AW221,AW221="-"),OR(AW221&lt;AY221,AW221="-"))</f>
        <v>1</v>
      </c>
      <c r="BC221" s="23">
        <f t="shared" ref="BC221:BC226" si="1059">_xlfn.AGGREGATE(9,6,CH221:CS221)-_xlfn.AGGREGATE(9,6,BV221:CG221)+12</f>
        <v>270</v>
      </c>
      <c r="BD221" s="2" t="s">
        <v>1370</v>
      </c>
      <c r="BE221" s="3" t="s">
        <v>1368</v>
      </c>
      <c r="BF221" s="118">
        <v>2.2000000000000002</v>
      </c>
      <c r="BG221" s="49" t="s">
        <v>1</v>
      </c>
      <c r="BH221" s="49" t="s">
        <v>1</v>
      </c>
      <c r="BI221" s="2"/>
      <c r="BJ221" s="70" t="s">
        <v>1281</v>
      </c>
      <c r="BK221" s="57" t="s">
        <v>1281</v>
      </c>
      <c r="BL221" s="57" t="s">
        <v>1281</v>
      </c>
      <c r="BM221" s="57" t="s">
        <v>1281</v>
      </c>
      <c r="BN221" s="57" t="s">
        <v>1281</v>
      </c>
      <c r="BO221" s="57" t="s">
        <v>1281</v>
      </c>
      <c r="BP221" s="57" t="s">
        <v>1281</v>
      </c>
      <c r="BQ221" s="57" t="s">
        <v>1281</v>
      </c>
      <c r="BR221" s="57" t="s">
        <v>1281</v>
      </c>
      <c r="BS221" s="57" t="s">
        <v>1281</v>
      </c>
      <c r="BT221" s="57" t="s">
        <v>1281</v>
      </c>
      <c r="BU221" s="57" t="s">
        <v>1281</v>
      </c>
      <c r="BV221" s="70">
        <f>E221</f>
        <v>91</v>
      </c>
      <c r="BW221" s="71">
        <f>I221</f>
        <v>130</v>
      </c>
      <c r="BX221" s="72">
        <f>M221</f>
        <v>135</v>
      </c>
      <c r="BY221" s="71">
        <f>Q221</f>
        <v>166</v>
      </c>
      <c r="BZ221" s="72">
        <f>U221</f>
        <v>170</v>
      </c>
      <c r="CA221" s="71" t="str">
        <f>Y221</f>
        <v>-</v>
      </c>
      <c r="CB221" s="72">
        <f>AC221</f>
        <v>216</v>
      </c>
      <c r="CC221" s="71">
        <f>AG221</f>
        <v>255</v>
      </c>
      <c r="CD221" s="72">
        <f>AK221</f>
        <v>263</v>
      </c>
      <c r="CE221" s="71">
        <f>AO221</f>
        <v>312</v>
      </c>
      <c r="CF221" s="72">
        <f>AS221</f>
        <v>357</v>
      </c>
      <c r="CG221" s="71">
        <f>AW221</f>
        <v>390</v>
      </c>
      <c r="CH221" s="70">
        <f>G221</f>
        <v>129</v>
      </c>
      <c r="CI221" s="71">
        <f>K221</f>
        <v>134</v>
      </c>
      <c r="CJ221" s="72">
        <f>O221</f>
        <v>164</v>
      </c>
      <c r="CK221" s="72">
        <f>S221</f>
        <v>169</v>
      </c>
      <c r="CL221" s="72">
        <f>W221</f>
        <v>205</v>
      </c>
      <c r="CM221" s="72" t="str">
        <f>AA221</f>
        <v>-</v>
      </c>
      <c r="CN221" s="72">
        <f>AE221</f>
        <v>240</v>
      </c>
      <c r="CO221" s="72">
        <f>AI221</f>
        <v>257</v>
      </c>
      <c r="CP221" s="72">
        <f>AM221</f>
        <v>303</v>
      </c>
      <c r="CQ221" s="72">
        <f>AQ221</f>
        <v>350</v>
      </c>
      <c r="CR221" s="72">
        <f>AU221</f>
        <v>389</v>
      </c>
      <c r="CS221" s="72">
        <f>AY221</f>
        <v>403</v>
      </c>
      <c r="CT221" s="23">
        <f>M221-K221</f>
        <v>1</v>
      </c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1"/>
      <c r="WX221" s="1"/>
      <c r="WY221" s="1"/>
      <c r="WZ221" s="1"/>
      <c r="XA221" s="1"/>
      <c r="XB221" s="1"/>
      <c r="XC221" s="1"/>
      <c r="XD221" s="1"/>
      <c r="XE221" s="1"/>
      <c r="XF221" s="1"/>
      <c r="XG221" s="1"/>
      <c r="XH221" s="1"/>
      <c r="XI221" s="1"/>
      <c r="XJ221" s="1"/>
      <c r="XK221" s="1"/>
      <c r="XL221" s="1"/>
      <c r="XM221" s="1"/>
      <c r="XN221" s="1"/>
      <c r="XO221" s="1"/>
      <c r="XP221" s="1"/>
      <c r="XQ221" s="1"/>
      <c r="XR221" s="1"/>
      <c r="XS221" s="1"/>
      <c r="XT221" s="1"/>
      <c r="XU221" s="1"/>
      <c r="XV221" s="1"/>
      <c r="XW221" s="1"/>
      <c r="XX221" s="1"/>
      <c r="XY221" s="1"/>
      <c r="XZ221" s="1"/>
      <c r="YA221" s="1"/>
      <c r="YB221" s="1"/>
      <c r="YC221" s="1"/>
      <c r="YD221" s="1"/>
      <c r="YE221" s="1"/>
      <c r="YF221" s="1"/>
      <c r="YG221" s="1"/>
      <c r="YH221" s="1"/>
      <c r="YI221" s="1"/>
      <c r="YJ221" s="1"/>
      <c r="YK221" s="1"/>
      <c r="YL221" s="1"/>
      <c r="YM221" s="1"/>
      <c r="YN221" s="1"/>
      <c r="YO221" s="1"/>
      <c r="YP221" s="1"/>
      <c r="YQ221" s="1"/>
      <c r="YR221" s="1"/>
      <c r="YS221" s="1"/>
      <c r="YT221" s="1"/>
      <c r="YU221" s="1"/>
      <c r="YV221" s="1"/>
      <c r="YW221" s="1"/>
      <c r="YX221" s="1"/>
      <c r="YY221" s="1"/>
      <c r="YZ221" s="1"/>
      <c r="ZA221" s="1"/>
      <c r="ZB221" s="1"/>
      <c r="ZC221" s="1"/>
      <c r="ZD221" s="1"/>
      <c r="ZE221" s="1"/>
      <c r="ZF221" s="1"/>
      <c r="ZG221" s="1"/>
      <c r="ZH221" s="1"/>
      <c r="ZI221" s="1"/>
      <c r="ZJ221" s="1"/>
      <c r="ZK221" s="1"/>
      <c r="ZL221" s="1"/>
      <c r="ZM221" s="1"/>
      <c r="ZN221" s="1"/>
      <c r="ZO221" s="1"/>
      <c r="ZP221" s="1"/>
      <c r="ZQ221" s="1"/>
      <c r="ZR221" s="1"/>
      <c r="ZS221" s="1"/>
      <c r="ZT221" s="1"/>
      <c r="ZU221" s="1"/>
      <c r="ZV221" s="1"/>
      <c r="ZW221" s="1"/>
      <c r="ZX221" s="1"/>
      <c r="ZY221" s="1"/>
      <c r="ZZ221" s="1"/>
      <c r="AAA221" s="1"/>
      <c r="AAB221" s="1"/>
      <c r="AAC221" s="1"/>
      <c r="AAD221" s="1"/>
      <c r="AAE221" s="1"/>
      <c r="AAF221" s="1"/>
      <c r="AAG221" s="1"/>
      <c r="AAH221" s="1"/>
      <c r="AAI221" s="1"/>
      <c r="AAJ221" s="1"/>
      <c r="AAK221" s="1"/>
      <c r="AAL221" s="1"/>
      <c r="AAM221" s="1"/>
      <c r="AAN221" s="1"/>
      <c r="AAO221" s="1"/>
      <c r="AAP221" s="1"/>
      <c r="AAQ221" s="1"/>
      <c r="AAR221" s="1"/>
      <c r="AAS221" s="1"/>
      <c r="AAT221" s="1"/>
      <c r="AAU221" s="1"/>
      <c r="AAV221" s="1"/>
      <c r="AAW221" s="1"/>
      <c r="AAX221" s="1"/>
      <c r="AAY221" s="1"/>
      <c r="AAZ221" s="1"/>
      <c r="ABA221" s="1"/>
      <c r="ABB221" s="1"/>
      <c r="ABC221" s="1"/>
      <c r="ABD221" s="1"/>
      <c r="ABE221" s="1"/>
      <c r="ABF221" s="1"/>
      <c r="ABG221" s="1"/>
      <c r="ABH221" s="1"/>
      <c r="ABI221" s="1"/>
      <c r="ABJ221" s="1"/>
      <c r="ABK221" s="1"/>
      <c r="ABL221" s="1"/>
      <c r="ABM221" s="1"/>
      <c r="ABN221" s="1"/>
      <c r="ABO221" s="1"/>
      <c r="ABP221" s="1"/>
      <c r="ABQ221" s="1"/>
      <c r="ABR221" s="1"/>
      <c r="ABS221" s="1"/>
      <c r="ABT221" s="1"/>
      <c r="ABU221" s="1"/>
      <c r="ABV221" s="1"/>
      <c r="ABW221" s="1"/>
      <c r="ABX221" s="1"/>
      <c r="ABY221" s="1"/>
      <c r="ABZ221" s="1"/>
      <c r="ACA221" s="1"/>
      <c r="ACB221" s="1"/>
      <c r="ACC221" s="1"/>
      <c r="ACD221" s="1"/>
      <c r="ACE221" s="1"/>
      <c r="ACF221" s="1"/>
      <c r="ACG221" s="1"/>
      <c r="ACH221" s="1"/>
      <c r="ACI221" s="1"/>
      <c r="ACJ221" s="1"/>
      <c r="ACK221" s="1"/>
      <c r="ACL221" s="1"/>
      <c r="ACM221" s="1"/>
      <c r="ACN221" s="1"/>
      <c r="ACO221" s="1"/>
      <c r="ACP221" s="1"/>
      <c r="ACQ221" s="1"/>
      <c r="ACR221" s="1"/>
      <c r="ACS221" s="1"/>
      <c r="ACT221" s="1"/>
      <c r="ACU221" s="1"/>
      <c r="ACV221" s="1"/>
      <c r="ACW221" s="1"/>
      <c r="ACX221" s="1"/>
      <c r="ACY221" s="1"/>
      <c r="ACZ221" s="1"/>
      <c r="ADA221" s="1"/>
      <c r="ADB221" s="1"/>
      <c r="ADC221" s="1"/>
      <c r="ADD221" s="1"/>
      <c r="ADE221" s="1"/>
      <c r="ADF221" s="1"/>
      <c r="ADG221" s="1"/>
      <c r="ADH221" s="1"/>
      <c r="ADI221" s="1"/>
      <c r="ADJ221" s="1"/>
      <c r="ADK221" s="1"/>
      <c r="ADL221" s="1"/>
      <c r="ADM221" s="1"/>
      <c r="ADN221" s="1"/>
      <c r="ADO221" s="1"/>
      <c r="ADP221" s="1"/>
      <c r="ADQ221" s="1"/>
      <c r="ADR221" s="1"/>
      <c r="ADS221" s="1"/>
      <c r="ADT221" s="1"/>
      <c r="ADU221" s="1"/>
      <c r="ADV221" s="1"/>
      <c r="ADW221" s="1"/>
      <c r="ADX221" s="1"/>
      <c r="ADY221" s="1"/>
      <c r="ADZ221" s="1"/>
      <c r="AEA221" s="1"/>
      <c r="AEB221" s="1"/>
      <c r="AEC221" s="1"/>
      <c r="AED221" s="1"/>
      <c r="AEE221" s="1"/>
      <c r="AEF221" s="1"/>
      <c r="AEG221" s="1"/>
      <c r="AEH221" s="1"/>
      <c r="AEI221" s="1"/>
      <c r="AEJ221" s="1"/>
      <c r="AEK221" s="1"/>
      <c r="AEL221" s="1"/>
      <c r="AEM221" s="1"/>
      <c r="AEN221" s="1"/>
      <c r="AEO221" s="1"/>
      <c r="AEP221" s="1"/>
      <c r="AEQ221" s="1"/>
      <c r="AER221" s="1"/>
      <c r="AES221" s="1"/>
      <c r="AET221" s="1"/>
      <c r="AEU221" s="1"/>
      <c r="AEV221" s="1"/>
      <c r="AEW221" s="1"/>
      <c r="AEX221" s="1"/>
      <c r="AEY221" s="1"/>
      <c r="AEZ221" s="1"/>
      <c r="AFA221" s="1"/>
      <c r="AFB221" s="1"/>
      <c r="AFC221" s="1"/>
      <c r="AFD221" s="1"/>
      <c r="AFE221" s="1"/>
      <c r="AFF221" s="1"/>
      <c r="AFG221" s="1"/>
      <c r="AFH221" s="1"/>
      <c r="AFI221" s="1"/>
      <c r="AFJ221" s="1"/>
      <c r="AFK221" s="1"/>
      <c r="AFL221" s="1"/>
      <c r="AFM221" s="1"/>
      <c r="AFN221" s="1"/>
      <c r="AFO221" s="1"/>
      <c r="AFP221" s="1"/>
      <c r="AFQ221" s="1"/>
      <c r="AFR221" s="1"/>
      <c r="AFS221" s="1"/>
      <c r="AFT221" s="1"/>
      <c r="AFU221" s="1"/>
      <c r="AFV221" s="1"/>
      <c r="AFW221" s="1"/>
      <c r="AFX221" s="1"/>
      <c r="AFY221" s="1"/>
      <c r="AFZ221" s="1"/>
      <c r="AGA221" s="1"/>
      <c r="AGB221" s="1"/>
      <c r="AGC221" s="1"/>
      <c r="AGD221" s="1"/>
      <c r="AGE221" s="1"/>
      <c r="AGF221" s="1"/>
      <c r="AGG221" s="1"/>
      <c r="AGH221" s="1"/>
      <c r="AGI221" s="1"/>
      <c r="AGJ221" s="1"/>
      <c r="AGK221" s="1"/>
      <c r="AGL221" s="1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1"/>
      <c r="AHV221" s="1"/>
      <c r="AHW221" s="1"/>
      <c r="AHX221" s="1"/>
      <c r="AHY221" s="1"/>
      <c r="AHZ221" s="1"/>
      <c r="AIA221" s="1"/>
      <c r="AIB221" s="1"/>
      <c r="AIC221" s="1"/>
      <c r="AID221" s="1"/>
      <c r="AIE221" s="1"/>
      <c r="AIF221" s="1"/>
      <c r="AIG221" s="1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"/>
      <c r="AJE221" s="1"/>
      <c r="AJF221" s="1"/>
      <c r="AJG221" s="1"/>
      <c r="AJH221" s="1"/>
      <c r="AJI221" s="1"/>
      <c r="AJJ221" s="1"/>
      <c r="AJK221" s="1"/>
      <c r="AJL221" s="1"/>
      <c r="AJM221" s="1"/>
      <c r="AJN221" s="1"/>
      <c r="AJO221" s="1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  <c r="AKP221" s="1"/>
      <c r="AKQ221" s="1"/>
      <c r="AKR221" s="1"/>
      <c r="AKS221" s="1"/>
      <c r="AKT221" s="1"/>
      <c r="AKU221" s="1"/>
      <c r="AKV221" s="1"/>
      <c r="AKW221" s="1"/>
      <c r="AKX221" s="1"/>
      <c r="AKY221" s="1"/>
      <c r="AKZ221" s="1"/>
      <c r="ALA221" s="1"/>
      <c r="ALB221" s="1"/>
      <c r="ALC221" s="1"/>
      <c r="ALD221" s="1"/>
      <c r="ALE221" s="1"/>
      <c r="ALF221" s="1"/>
      <c r="ALG221" s="1"/>
      <c r="ALH221" s="1"/>
      <c r="ALI221" s="1"/>
      <c r="ALJ221" s="1"/>
      <c r="ALK221" s="1"/>
      <c r="ALL221" s="1"/>
      <c r="ALM221" s="1"/>
      <c r="ALN221" s="1"/>
      <c r="ALO221" s="1"/>
      <c r="ALP221" s="1"/>
      <c r="ALQ221" s="1"/>
      <c r="ALR221" s="1"/>
      <c r="ALS221" s="1"/>
      <c r="ALT221" s="1"/>
      <c r="ALU221" s="1"/>
      <c r="ALV221" s="1"/>
      <c r="ALW221" s="1"/>
      <c r="ALX221" s="1"/>
      <c r="ALY221" s="1"/>
      <c r="ALZ221" s="1"/>
      <c r="AMA221" s="1"/>
      <c r="AMB221" s="1"/>
      <c r="AMC221" s="1"/>
      <c r="AMD221" s="1"/>
      <c r="AME221" s="1"/>
      <c r="AMF221" s="1"/>
      <c r="AMG221" s="1"/>
      <c r="AMH221" s="1"/>
      <c r="AMI221" s="1"/>
      <c r="AMJ221" s="1"/>
      <c r="AMK221" s="1"/>
      <c r="AML221" s="1"/>
      <c r="AMM221" s="1"/>
      <c r="AMN221" s="1"/>
      <c r="AMO221" s="1"/>
    </row>
    <row r="222" spans="1:1029" x14ac:dyDescent="0.2">
      <c r="A222" s="3" t="str">
        <f>CONCATENATE(B222,"_",C222)</f>
        <v>ednrb_human_5XPR</v>
      </c>
      <c r="B222" s="2" t="s">
        <v>196</v>
      </c>
      <c r="C222" s="2" t="s">
        <v>1433</v>
      </c>
      <c r="D222" s="3" t="str">
        <f>IFERROR(MID(VLOOKUP($B222,Seqs!$A:$B,2,0),E222,1),"")</f>
        <v>G</v>
      </c>
      <c r="E222" s="2">
        <v>92</v>
      </c>
      <c r="F222" s="3" t="str">
        <f>IFERROR(MID(VLOOKUP($B222,Seqs!$A:$B,2,0),G222,1),"")</f>
        <v>N</v>
      </c>
      <c r="G222" s="2">
        <v>129</v>
      </c>
      <c r="H222" s="3" t="str">
        <f>IFERROR(MID(VLOOKUP($B222,Seqs!$A:$B,2,0),I222,1),"")</f>
        <v>K</v>
      </c>
      <c r="I222" s="56">
        <v>130</v>
      </c>
      <c r="J222" s="3" t="str">
        <f>IFERROR(MID(VLOOKUP($B222,Seqs!$A:$B,2,0),K222,1),"")</f>
        <v>N</v>
      </c>
      <c r="K222" s="56">
        <v>134</v>
      </c>
      <c r="L222" s="3" t="str">
        <f>IFERROR(MID(VLOOKUP($B222,Seqs!$A:$B,2,0),M222,1),"")</f>
        <v>G</v>
      </c>
      <c r="M222" s="2">
        <v>135</v>
      </c>
      <c r="N222" s="3" t="str">
        <f>IFERROR(MID(VLOOKUP($B222,Seqs!$A:$B,2,0),O222,1),"")</f>
        <v>A</v>
      </c>
      <c r="O222" s="2">
        <v>164</v>
      </c>
      <c r="P222" s="3" t="str">
        <f>IFERROR(MID(VLOOKUP($B222,Seqs!$A:$B,2,0),Q222,1),"")</f>
        <v>D</v>
      </c>
      <c r="Q222" s="2">
        <v>166</v>
      </c>
      <c r="R222" s="3" t="str">
        <f>IFERROR(MID(VLOOKUP($B222,Seqs!$A:$B,2,0),S222,1),"")</f>
        <v>F</v>
      </c>
      <c r="S222" s="2">
        <v>169</v>
      </c>
      <c r="T222" s="3" t="str">
        <f>IFERROR(MID(VLOOKUP($B222,Seqs!$A:$B,2,0),U222,1),"")</f>
        <v>A</v>
      </c>
      <c r="U222" s="4">
        <v>171</v>
      </c>
      <c r="V222" s="3" t="str">
        <f>IFERROR(MID(VLOOKUP($B222,Seqs!$A:$B,2,0),W222,1),"")</f>
        <v>A</v>
      </c>
      <c r="W222" s="2">
        <v>202</v>
      </c>
      <c r="X222" s="3" t="str">
        <f>IFERROR(MID(VLOOKUP($B222,Seqs!$A:$B,2,0),Y222,1),"")</f>
        <v/>
      </c>
      <c r="Y222" s="2" t="s">
        <v>23</v>
      </c>
      <c r="Z222" s="3" t="str">
        <f>IFERROR(MID(VLOOKUP($B222,Seqs!$A:$B,2,0),AA222,1),"")</f>
        <v/>
      </c>
      <c r="AA222" s="2" t="s">
        <v>23</v>
      </c>
      <c r="AB222" s="3" t="str">
        <f>IFERROR(MID(VLOOKUP($B222,Seqs!$A:$B,2,0),AC222,1),"")</f>
        <v>K</v>
      </c>
      <c r="AC222" s="2">
        <v>216</v>
      </c>
      <c r="AD222" s="3" t="str">
        <f>IFERROR(MID(VLOOKUP($B222,Seqs!$A:$B,2,0),AE222,1),"")</f>
        <v>F</v>
      </c>
      <c r="AE222" s="2">
        <v>240</v>
      </c>
      <c r="AF222" s="3" t="str">
        <f>IFERROR(MID(VLOOKUP($B222,Seqs!$A:$B,2,0),AG222,1),"")</f>
        <v>C</v>
      </c>
      <c r="AG222" s="2">
        <v>255</v>
      </c>
      <c r="AH222" s="3" t="str">
        <f>IFERROR(MID(VLOOKUP($B222,Seqs!$A:$B,2,0),AI222,1),"")</f>
        <v>L</v>
      </c>
      <c r="AI222" s="2">
        <v>257</v>
      </c>
      <c r="AJ222" s="3" t="str">
        <f>IFERROR(MID(VLOOKUP($B222,Seqs!$A:$B,2,0),AK222,1),"")</f>
        <v>T</v>
      </c>
      <c r="AK222" s="2">
        <v>263</v>
      </c>
      <c r="AL222" s="3" t="str">
        <f>IFERROR(MID(VLOOKUP($B222,Seqs!$A:$B,2,0),AM222,1),"")</f>
        <v>K</v>
      </c>
      <c r="AM222" s="2">
        <v>303</v>
      </c>
      <c r="AN222" s="3" t="str">
        <f>IFERROR(MID(VLOOKUP($B222,Seqs!$A:$B,2,0),AO222,1),"")</f>
        <v>N</v>
      </c>
      <c r="AO222" s="2">
        <v>312</v>
      </c>
      <c r="AP222" s="3" t="str">
        <f>IFERROR(MID(VLOOKUP($B222,Seqs!$A:$B,2,0),AQ222,1),"")</f>
        <v>L</v>
      </c>
      <c r="AQ222" s="2">
        <v>349</v>
      </c>
      <c r="AR222" s="3" t="str">
        <f>IFERROR(MID(VLOOKUP($B222,Seqs!$A:$B,2,0),AS222,1),"")</f>
        <v>N</v>
      </c>
      <c r="AS222" s="2">
        <v>356</v>
      </c>
      <c r="AT222" s="3" t="str">
        <f>IFERROR(MID(VLOOKUP($B222,Seqs!$A:$B,2,0),AU222,1),"")</f>
        <v>V</v>
      </c>
      <c r="AU222" s="2">
        <v>389</v>
      </c>
      <c r="AV222" s="3" t="str">
        <f>IFERROR(MID(VLOOKUP($B222,Seqs!$A:$B,2,0),AW222,1),"")</f>
        <v>S</v>
      </c>
      <c r="AW222" s="2">
        <v>390</v>
      </c>
      <c r="AX222" s="3" t="str">
        <f>IFERROR(MID(VLOOKUP($B222,Seqs!$A:$B,2,0),AY222,1),"")</f>
        <v>C</v>
      </c>
      <c r="AY222" s="2">
        <v>402</v>
      </c>
      <c r="AZ222" s="77" t="str">
        <f>VLOOKUP(B222,Classification!A:D,2,0)</f>
        <v>A</v>
      </c>
      <c r="BA222" s="94" t="str">
        <f>VLOOKUP(B222,Classification!A:D,4,0)</f>
        <v>Endothelin</v>
      </c>
      <c r="BB222" s="27" t="b">
        <f t="shared" si="1058"/>
        <v>1</v>
      </c>
      <c r="BC222" s="23">
        <f t="shared" si="1059"/>
        <v>264</v>
      </c>
      <c r="BD222" s="2" t="s">
        <v>23</v>
      </c>
      <c r="BE222" s="3" t="s">
        <v>1368</v>
      </c>
      <c r="BF222" s="118">
        <v>3.6</v>
      </c>
      <c r="BG222" s="49" t="s">
        <v>1</v>
      </c>
      <c r="BH222" s="49" t="s">
        <v>1</v>
      </c>
      <c r="BI222" s="2"/>
      <c r="BJ222" s="70" t="s">
        <v>1281</v>
      </c>
      <c r="BK222" s="57" t="s">
        <v>1281</v>
      </c>
      <c r="BL222" s="57" t="s">
        <v>1281</v>
      </c>
      <c r="BM222" s="57" t="s">
        <v>1281</v>
      </c>
      <c r="BN222" s="57" t="s">
        <v>1281</v>
      </c>
      <c r="BO222" s="57" t="s">
        <v>1281</v>
      </c>
      <c r="BP222" s="57" t="s">
        <v>1281</v>
      </c>
      <c r="BQ222" s="57" t="s">
        <v>1281</v>
      </c>
      <c r="BR222" s="57" t="s">
        <v>1281</v>
      </c>
      <c r="BS222" s="57" t="s">
        <v>1281</v>
      </c>
      <c r="BT222" s="57" t="s">
        <v>1281</v>
      </c>
      <c r="BU222" s="57" t="s">
        <v>1281</v>
      </c>
      <c r="BV222" s="70">
        <f>E222</f>
        <v>92</v>
      </c>
      <c r="BW222" s="71">
        <f>I222</f>
        <v>130</v>
      </c>
      <c r="BX222" s="72">
        <f>M222</f>
        <v>135</v>
      </c>
      <c r="BY222" s="71">
        <f>Q222</f>
        <v>166</v>
      </c>
      <c r="BZ222" s="72">
        <f>U222</f>
        <v>171</v>
      </c>
      <c r="CA222" s="71" t="str">
        <f>Y222</f>
        <v>-</v>
      </c>
      <c r="CB222" s="72">
        <f>AC222</f>
        <v>216</v>
      </c>
      <c r="CC222" s="71">
        <f>AG222</f>
        <v>255</v>
      </c>
      <c r="CD222" s="72">
        <f>AK222</f>
        <v>263</v>
      </c>
      <c r="CE222" s="71">
        <f>AO222</f>
        <v>312</v>
      </c>
      <c r="CF222" s="72">
        <f>AS222</f>
        <v>356</v>
      </c>
      <c r="CG222" s="71">
        <f>AW222</f>
        <v>390</v>
      </c>
      <c r="CH222" s="70">
        <f>G222</f>
        <v>129</v>
      </c>
      <c r="CI222" s="71">
        <f>K222</f>
        <v>134</v>
      </c>
      <c r="CJ222" s="72">
        <f>O222</f>
        <v>164</v>
      </c>
      <c r="CK222" s="72">
        <f>S222</f>
        <v>169</v>
      </c>
      <c r="CL222" s="72">
        <f>W222</f>
        <v>202</v>
      </c>
      <c r="CM222" s="72" t="str">
        <f>AA222</f>
        <v>-</v>
      </c>
      <c r="CN222" s="72">
        <f>AE222</f>
        <v>240</v>
      </c>
      <c r="CO222" s="72">
        <f>AI222</f>
        <v>257</v>
      </c>
      <c r="CP222" s="72">
        <f>AM222</f>
        <v>303</v>
      </c>
      <c r="CQ222" s="72">
        <f>AQ222</f>
        <v>349</v>
      </c>
      <c r="CR222" s="72">
        <f>AU222</f>
        <v>389</v>
      </c>
      <c r="CS222" s="72">
        <f>AY222</f>
        <v>402</v>
      </c>
      <c r="CT222" s="23">
        <f>M222-K222</f>
        <v>1</v>
      </c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  <c r="AAA222" s="1"/>
      <c r="AAB222" s="1"/>
      <c r="AAC222" s="1"/>
      <c r="AAD222" s="1"/>
      <c r="AAE222" s="1"/>
      <c r="AAF222" s="1"/>
      <c r="AAG222" s="1"/>
      <c r="AAH222" s="1"/>
      <c r="AAI222" s="1"/>
      <c r="AAJ222" s="1"/>
      <c r="AAK222" s="1"/>
      <c r="AAL222" s="1"/>
      <c r="AAM222" s="1"/>
      <c r="AAN222" s="1"/>
      <c r="AAO222" s="1"/>
      <c r="AAP222" s="1"/>
      <c r="AAQ222" s="1"/>
      <c r="AAR222" s="1"/>
      <c r="AAS222" s="1"/>
      <c r="AAT222" s="1"/>
      <c r="AAU222" s="1"/>
      <c r="AAV222" s="1"/>
      <c r="AAW222" s="1"/>
      <c r="AAX222" s="1"/>
      <c r="AAY222" s="1"/>
      <c r="AAZ222" s="1"/>
      <c r="ABA222" s="1"/>
      <c r="ABB222" s="1"/>
      <c r="ABC222" s="1"/>
      <c r="ABD222" s="1"/>
      <c r="ABE222" s="1"/>
      <c r="ABF222" s="1"/>
      <c r="ABG222" s="1"/>
      <c r="ABH222" s="1"/>
      <c r="ABI222" s="1"/>
      <c r="ABJ222" s="1"/>
      <c r="ABK222" s="1"/>
      <c r="ABL222" s="1"/>
      <c r="ABM222" s="1"/>
      <c r="ABN222" s="1"/>
      <c r="ABO222" s="1"/>
      <c r="ABP222" s="1"/>
      <c r="ABQ222" s="1"/>
      <c r="ABR222" s="1"/>
      <c r="ABS222" s="1"/>
      <c r="ABT222" s="1"/>
      <c r="ABU222" s="1"/>
      <c r="ABV222" s="1"/>
      <c r="ABW222" s="1"/>
      <c r="ABX222" s="1"/>
      <c r="ABY222" s="1"/>
      <c r="ABZ222" s="1"/>
      <c r="ACA222" s="1"/>
      <c r="ACB222" s="1"/>
      <c r="ACC222" s="1"/>
      <c r="ACD222" s="1"/>
      <c r="ACE222" s="1"/>
      <c r="ACF222" s="1"/>
      <c r="ACG222" s="1"/>
      <c r="ACH222" s="1"/>
      <c r="ACI222" s="1"/>
      <c r="ACJ222" s="1"/>
      <c r="ACK222" s="1"/>
      <c r="ACL222" s="1"/>
      <c r="ACM222" s="1"/>
      <c r="ACN222" s="1"/>
      <c r="ACO222" s="1"/>
      <c r="ACP222" s="1"/>
      <c r="ACQ222" s="1"/>
      <c r="ACR222" s="1"/>
      <c r="ACS222" s="1"/>
      <c r="ACT222" s="1"/>
      <c r="ACU222" s="1"/>
      <c r="ACV222" s="1"/>
      <c r="ACW222" s="1"/>
      <c r="ACX222" s="1"/>
      <c r="ACY222" s="1"/>
      <c r="ACZ222" s="1"/>
      <c r="ADA222" s="1"/>
      <c r="ADB222" s="1"/>
      <c r="ADC222" s="1"/>
      <c r="ADD222" s="1"/>
      <c r="ADE222" s="1"/>
      <c r="ADF222" s="1"/>
      <c r="ADG222" s="1"/>
      <c r="ADH222" s="1"/>
      <c r="ADI222" s="1"/>
      <c r="ADJ222" s="1"/>
      <c r="ADK222" s="1"/>
      <c r="ADL222" s="1"/>
      <c r="ADM222" s="1"/>
      <c r="ADN222" s="1"/>
      <c r="ADO222" s="1"/>
      <c r="ADP222" s="1"/>
      <c r="ADQ222" s="1"/>
      <c r="ADR222" s="1"/>
      <c r="ADS222" s="1"/>
      <c r="ADT222" s="1"/>
      <c r="ADU222" s="1"/>
      <c r="ADV222" s="1"/>
      <c r="ADW222" s="1"/>
      <c r="ADX222" s="1"/>
      <c r="ADY222" s="1"/>
      <c r="ADZ222" s="1"/>
      <c r="AEA222" s="1"/>
      <c r="AEB222" s="1"/>
      <c r="AEC222" s="1"/>
      <c r="AED222" s="1"/>
      <c r="AEE222" s="1"/>
      <c r="AEF222" s="1"/>
      <c r="AEG222" s="1"/>
      <c r="AEH222" s="1"/>
      <c r="AEI222" s="1"/>
      <c r="AEJ222" s="1"/>
      <c r="AEK222" s="1"/>
      <c r="AEL222" s="1"/>
      <c r="AEM222" s="1"/>
      <c r="AEN222" s="1"/>
      <c r="AEO222" s="1"/>
      <c r="AEP222" s="1"/>
      <c r="AEQ222" s="1"/>
      <c r="AER222" s="1"/>
      <c r="AES222" s="1"/>
      <c r="AET222" s="1"/>
      <c r="AEU222" s="1"/>
      <c r="AEV222" s="1"/>
      <c r="AEW222" s="1"/>
      <c r="AEX222" s="1"/>
      <c r="AEY222" s="1"/>
      <c r="AEZ222" s="1"/>
      <c r="AFA222" s="1"/>
      <c r="AFB222" s="1"/>
      <c r="AFC222" s="1"/>
      <c r="AFD222" s="1"/>
      <c r="AFE222" s="1"/>
      <c r="AFF222" s="1"/>
      <c r="AFG222" s="1"/>
      <c r="AFH222" s="1"/>
      <c r="AFI222" s="1"/>
      <c r="AFJ222" s="1"/>
      <c r="AFK222" s="1"/>
      <c r="AFL222" s="1"/>
      <c r="AFM222" s="1"/>
      <c r="AFN222" s="1"/>
      <c r="AFO222" s="1"/>
      <c r="AFP222" s="1"/>
      <c r="AFQ222" s="1"/>
      <c r="AFR222" s="1"/>
      <c r="AFS222" s="1"/>
      <c r="AFT222" s="1"/>
      <c r="AFU222" s="1"/>
      <c r="AFV222" s="1"/>
      <c r="AFW222" s="1"/>
      <c r="AFX222" s="1"/>
      <c r="AFY222" s="1"/>
      <c r="AFZ222" s="1"/>
      <c r="AGA222" s="1"/>
      <c r="AGB222" s="1"/>
      <c r="AGC222" s="1"/>
      <c r="AGD222" s="1"/>
      <c r="AGE222" s="1"/>
      <c r="AGF222" s="1"/>
      <c r="AGG222" s="1"/>
      <c r="AGH222" s="1"/>
      <c r="AGI222" s="1"/>
      <c r="AGJ222" s="1"/>
      <c r="AGK222" s="1"/>
      <c r="AGL222" s="1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  <c r="ALN222" s="1"/>
      <c r="ALO222" s="1"/>
      <c r="ALP222" s="1"/>
      <c r="ALQ222" s="1"/>
      <c r="ALR222" s="1"/>
      <c r="ALS222" s="1"/>
      <c r="ALT222" s="1"/>
      <c r="ALU222" s="1"/>
      <c r="ALV222" s="1"/>
      <c r="ALW222" s="1"/>
      <c r="ALX222" s="1"/>
      <c r="ALY222" s="1"/>
      <c r="ALZ222" s="1"/>
      <c r="AMA222" s="1"/>
      <c r="AMB222" s="1"/>
      <c r="AMC222" s="1"/>
      <c r="AMD222" s="1"/>
      <c r="AME222" s="1"/>
      <c r="AMF222" s="1"/>
      <c r="AMG222" s="1"/>
      <c r="AMH222" s="1"/>
      <c r="AMI222" s="1"/>
      <c r="AMJ222" s="1"/>
      <c r="AMK222" s="1"/>
      <c r="AML222" s="1"/>
      <c r="AMM222" s="1"/>
      <c r="AMN222" s="1"/>
      <c r="AMO222" s="1"/>
    </row>
    <row r="223" spans="1:1029" s="12" customFormat="1" x14ac:dyDescent="0.2">
      <c r="A223" s="9" t="str">
        <f>CONCATENATE(B223,"_",C223)</f>
        <v>ednrb_human_6IGL</v>
      </c>
      <c r="B223" s="40" t="s">
        <v>196</v>
      </c>
      <c r="C223" s="40" t="s">
        <v>1522</v>
      </c>
      <c r="D223" s="9" t="str">
        <f>IFERROR(MID(VLOOKUP($B223,Seqs!$A:$B,2,0),E223,1),"")</f>
        <v>K</v>
      </c>
      <c r="E223" s="40">
        <v>97</v>
      </c>
      <c r="F223" s="9" t="str">
        <f>IFERROR(MID(VLOOKUP($B223,Seqs!$A:$B,2,0),G223,1),"")</f>
        <v>N</v>
      </c>
      <c r="G223" s="40">
        <v>129</v>
      </c>
      <c r="H223" s="9" t="str">
        <f>IFERROR(MID(VLOOKUP($B223,Seqs!$A:$B,2,0),I223,1),"")</f>
        <v/>
      </c>
      <c r="I223" s="129" t="s">
        <v>23</v>
      </c>
      <c r="J223" s="9" t="str">
        <f>IFERROR(MID(VLOOKUP($B223,Seqs!$A:$B,2,0),K223,1),"")</f>
        <v/>
      </c>
      <c r="K223" s="129" t="s">
        <v>23</v>
      </c>
      <c r="L223" s="9" t="str">
        <f>IFERROR(MID(VLOOKUP($B223,Seqs!$A:$B,2,0),M223,1),"")</f>
        <v>N</v>
      </c>
      <c r="M223" s="40">
        <v>134</v>
      </c>
      <c r="N223" s="9" t="str">
        <f>IFERROR(MID(VLOOKUP($B223,Seqs!$A:$B,2,0),O223,1),"")</f>
        <v>E</v>
      </c>
      <c r="O223" s="40">
        <v>165</v>
      </c>
      <c r="P223" s="9" t="str">
        <f>IFERROR(MID(VLOOKUP($B223,Seqs!$A:$B,2,0),Q223,1),"")</f>
        <v>D</v>
      </c>
      <c r="Q223" s="40">
        <v>166</v>
      </c>
      <c r="R223" s="9" t="str">
        <f>IFERROR(MID(VLOOKUP($B223,Seqs!$A:$B,2,0),S223,1),"")</f>
        <v>F</v>
      </c>
      <c r="S223" s="40">
        <v>169</v>
      </c>
      <c r="T223" s="9" t="str">
        <f>IFERROR(MID(VLOOKUP($B223,Seqs!$A:$B,2,0),U223,1),"")</f>
        <v>G</v>
      </c>
      <c r="U223" s="11">
        <v>170</v>
      </c>
      <c r="V223" s="9" t="str">
        <f>IFERROR(MID(VLOOKUP($B223,Seqs!$A:$B,2,0),W223,1),"")</f>
        <v>V</v>
      </c>
      <c r="W223" s="40">
        <v>203</v>
      </c>
      <c r="X223" s="9" t="str">
        <f>IFERROR(MID(VLOOKUP($B223,Seqs!$A:$B,2,0),Y223,1),"")</f>
        <v/>
      </c>
      <c r="Y223" s="40" t="s">
        <v>23</v>
      </c>
      <c r="Z223" s="9" t="str">
        <f>IFERROR(MID(VLOOKUP($B223,Seqs!$A:$B,2,0),AA223,1),"")</f>
        <v/>
      </c>
      <c r="AA223" s="40" t="s">
        <v>23</v>
      </c>
      <c r="AB223" s="9" t="str">
        <f>IFERROR(MID(VLOOKUP($B223,Seqs!$A:$B,2,0),AC223,1),"")</f>
        <v>W</v>
      </c>
      <c r="AC223" s="40">
        <v>217</v>
      </c>
      <c r="AD223" s="9" t="str">
        <f>IFERROR(MID(VLOOKUP($B223,Seqs!$A:$B,2,0),AE223,1),"")</f>
        <v>F</v>
      </c>
      <c r="AE223" s="40">
        <v>240</v>
      </c>
      <c r="AF223" s="9" t="str">
        <f>IFERROR(MID(VLOOKUP($B223,Seqs!$A:$B,2,0),AG223,1),"")</f>
        <v>C</v>
      </c>
      <c r="AG223" s="40">
        <v>255</v>
      </c>
      <c r="AH223" s="9" t="str">
        <f>IFERROR(MID(VLOOKUP($B223,Seqs!$A:$B,2,0),AI223,1),"")</f>
        <v>L</v>
      </c>
      <c r="AI223" s="40">
        <v>257</v>
      </c>
      <c r="AJ223" s="9" t="str">
        <f>IFERROR(MID(VLOOKUP($B223,Seqs!$A:$B,2,0),AK223,1),"")</f>
        <v>T</v>
      </c>
      <c r="AK223" s="40">
        <v>263</v>
      </c>
      <c r="AL223" s="9" t="str">
        <f>IFERROR(MID(VLOOKUP($B223,Seqs!$A:$B,2,0),AM223,1),"")</f>
        <v>K</v>
      </c>
      <c r="AM223" s="40">
        <v>303</v>
      </c>
      <c r="AN223" s="9" t="str">
        <f>IFERROR(MID(VLOOKUP($B223,Seqs!$A:$B,2,0),AO223,1),"")</f>
        <v>N</v>
      </c>
      <c r="AO223" s="40">
        <v>312</v>
      </c>
      <c r="AP223" s="9" t="str">
        <f>IFERROR(MID(VLOOKUP($B223,Seqs!$A:$B,2,0),AQ223,1),"")</f>
        <v>Y</v>
      </c>
      <c r="AQ223" s="40">
        <v>350</v>
      </c>
      <c r="AR223" s="9" t="str">
        <f>IFERROR(MID(VLOOKUP($B223,Seqs!$A:$B,2,0),AS223,1),"")</f>
        <v>R</v>
      </c>
      <c r="AS223" s="40">
        <v>357</v>
      </c>
      <c r="AT223" s="9" t="str">
        <f>IFERROR(MID(VLOOKUP($B223,Seqs!$A:$B,2,0),AU223,1),"")</f>
        <v>V</v>
      </c>
      <c r="AU223" s="40">
        <v>389</v>
      </c>
      <c r="AV223" s="9" t="str">
        <f>IFERROR(MID(VLOOKUP($B223,Seqs!$A:$B,2,0),AW223,1),"")</f>
        <v>S</v>
      </c>
      <c r="AW223" s="40">
        <v>390</v>
      </c>
      <c r="AX223" s="9" t="str">
        <f>IFERROR(MID(VLOOKUP($B223,Seqs!$A:$B,2,0),AY223,1),"")</f>
        <v>L</v>
      </c>
      <c r="AY223" s="40">
        <v>401</v>
      </c>
      <c r="AZ223" s="110" t="str">
        <f>VLOOKUP(B223,Classification!A:D,2,0)</f>
        <v>A</v>
      </c>
      <c r="BA223" s="98" t="str">
        <f>VLOOKUP(B223,Classification!A:D,4,0)</f>
        <v>Endothelin</v>
      </c>
      <c r="BB223" s="36" t="b">
        <f t="shared" si="1058"/>
        <v>1</v>
      </c>
      <c r="BC223" s="109">
        <f t="shared" si="1059"/>
        <v>257</v>
      </c>
      <c r="BD223" s="40" t="s">
        <v>23</v>
      </c>
      <c r="BE223" s="9" t="s">
        <v>1368</v>
      </c>
      <c r="BF223" s="119">
        <v>2.7</v>
      </c>
      <c r="BG223" s="51" t="s">
        <v>1</v>
      </c>
      <c r="BH223" s="51" t="s">
        <v>1</v>
      </c>
      <c r="BI223" s="40"/>
      <c r="BJ223" s="111" t="s">
        <v>1281</v>
      </c>
      <c r="BK223" s="112" t="s">
        <v>1281</v>
      </c>
      <c r="BL223" s="112" t="s">
        <v>1281</v>
      </c>
      <c r="BM223" s="112" t="s">
        <v>1281</v>
      </c>
      <c r="BN223" s="112" t="s">
        <v>1281</v>
      </c>
      <c r="BO223" s="112" t="s">
        <v>1281</v>
      </c>
      <c r="BP223" s="112" t="s">
        <v>1281</v>
      </c>
      <c r="BQ223" s="112" t="s">
        <v>1281</v>
      </c>
      <c r="BR223" s="112" t="s">
        <v>1281</v>
      </c>
      <c r="BS223" s="112" t="s">
        <v>1281</v>
      </c>
      <c r="BT223" s="112" t="s">
        <v>1281</v>
      </c>
      <c r="BU223" s="112" t="s">
        <v>1281</v>
      </c>
      <c r="BV223" s="111">
        <f>E223</f>
        <v>97</v>
      </c>
      <c r="BW223" s="113" t="str">
        <f>I223</f>
        <v>-</v>
      </c>
      <c r="BX223" s="114">
        <f>M223</f>
        <v>134</v>
      </c>
      <c r="BY223" s="113">
        <f>Q223</f>
        <v>166</v>
      </c>
      <c r="BZ223" s="114">
        <f>U223</f>
        <v>170</v>
      </c>
      <c r="CA223" s="113" t="str">
        <f>Y223</f>
        <v>-</v>
      </c>
      <c r="CB223" s="114">
        <f>AC223</f>
        <v>217</v>
      </c>
      <c r="CC223" s="113">
        <f>AG223</f>
        <v>255</v>
      </c>
      <c r="CD223" s="114">
        <f>AK223</f>
        <v>263</v>
      </c>
      <c r="CE223" s="113">
        <f>AO223</f>
        <v>312</v>
      </c>
      <c r="CF223" s="114">
        <f>AS223</f>
        <v>357</v>
      </c>
      <c r="CG223" s="113">
        <f>AW223</f>
        <v>390</v>
      </c>
      <c r="CH223" s="111">
        <f>G223</f>
        <v>129</v>
      </c>
      <c r="CI223" s="113" t="str">
        <f>K223</f>
        <v>-</v>
      </c>
      <c r="CJ223" s="114">
        <f>O223</f>
        <v>165</v>
      </c>
      <c r="CK223" s="114">
        <f>S223</f>
        <v>169</v>
      </c>
      <c r="CL223" s="114">
        <f>W223</f>
        <v>203</v>
      </c>
      <c r="CM223" s="114" t="str">
        <f>AA223</f>
        <v>-</v>
      </c>
      <c r="CN223" s="114">
        <f>AE223</f>
        <v>240</v>
      </c>
      <c r="CO223" s="114">
        <f>AI223</f>
        <v>257</v>
      </c>
      <c r="CP223" s="114">
        <f>AM223</f>
        <v>303</v>
      </c>
      <c r="CQ223" s="114">
        <f>AQ223</f>
        <v>350</v>
      </c>
      <c r="CR223" s="114">
        <f>AU223</f>
        <v>389</v>
      </c>
      <c r="CS223" s="114">
        <f>AY223</f>
        <v>401</v>
      </c>
      <c r="CT223" s="109" t="e">
        <f>M223-K223</f>
        <v>#VALUE!</v>
      </c>
    </row>
    <row r="224" spans="1:1029" s="12" customFormat="1" x14ac:dyDescent="0.2">
      <c r="A224" s="9" t="str">
        <f>CONCATENATE(B224,"_",C224)</f>
        <v>ednrb_human_6IGK</v>
      </c>
      <c r="B224" s="40" t="s">
        <v>196</v>
      </c>
      <c r="C224" s="40" t="s">
        <v>1523</v>
      </c>
      <c r="D224" s="9" t="str">
        <f>IFERROR(MID(VLOOKUP($B224,Seqs!$A:$B,2,0),E224,1),"")</f>
        <v>K</v>
      </c>
      <c r="E224" s="40">
        <v>97</v>
      </c>
      <c r="F224" s="9" t="str">
        <f>IFERROR(MID(VLOOKUP($B224,Seqs!$A:$B,2,0),G224,1),"")</f>
        <v>N</v>
      </c>
      <c r="G224" s="40">
        <v>129</v>
      </c>
      <c r="H224" s="9" t="str">
        <f>IFERROR(MID(VLOOKUP($B224,Seqs!$A:$B,2,0),I224,1),"")</f>
        <v/>
      </c>
      <c r="I224" s="129" t="s">
        <v>23</v>
      </c>
      <c r="J224" s="9" t="str">
        <f>IFERROR(MID(VLOOKUP($B224,Seqs!$A:$B,2,0),K224,1),"")</f>
        <v/>
      </c>
      <c r="K224" s="129" t="s">
        <v>23</v>
      </c>
      <c r="L224" s="9" t="str">
        <f>IFERROR(MID(VLOOKUP($B224,Seqs!$A:$B,2,0),M224,1),"")</f>
        <v>N</v>
      </c>
      <c r="M224" s="40">
        <v>134</v>
      </c>
      <c r="N224" s="9" t="str">
        <f>IFERROR(MID(VLOOKUP($B224,Seqs!$A:$B,2,0),O224,1),"")</f>
        <v>E</v>
      </c>
      <c r="O224" s="40">
        <v>165</v>
      </c>
      <c r="P224" s="9" t="str">
        <f>IFERROR(MID(VLOOKUP($B224,Seqs!$A:$B,2,0),Q224,1),"")</f>
        <v>D</v>
      </c>
      <c r="Q224" s="40">
        <v>166</v>
      </c>
      <c r="R224" s="9" t="str">
        <f>IFERROR(MID(VLOOKUP($B224,Seqs!$A:$B,2,0),S224,1),"")</f>
        <v>F</v>
      </c>
      <c r="S224" s="40">
        <v>169</v>
      </c>
      <c r="T224" s="9" t="str">
        <f>IFERROR(MID(VLOOKUP($B224,Seqs!$A:$B,2,0),U224,1),"")</f>
        <v>G</v>
      </c>
      <c r="U224" s="11">
        <v>170</v>
      </c>
      <c r="V224" s="9" t="str">
        <f>IFERROR(MID(VLOOKUP($B224,Seqs!$A:$B,2,0),W224,1),"")</f>
        <v>S</v>
      </c>
      <c r="W224" s="40">
        <v>205</v>
      </c>
      <c r="X224" s="9" t="str">
        <f>IFERROR(MID(VLOOKUP($B224,Seqs!$A:$B,2,0),Y224,1),"")</f>
        <v/>
      </c>
      <c r="Y224" s="40" t="s">
        <v>23</v>
      </c>
      <c r="Z224" s="9" t="str">
        <f>IFERROR(MID(VLOOKUP($B224,Seqs!$A:$B,2,0),AA224,1),"")</f>
        <v/>
      </c>
      <c r="AA224" s="40" t="s">
        <v>23</v>
      </c>
      <c r="AB224" s="9" t="str">
        <f>IFERROR(MID(VLOOKUP($B224,Seqs!$A:$B,2,0),AC224,1),"")</f>
        <v>P</v>
      </c>
      <c r="AC224" s="40">
        <v>215</v>
      </c>
      <c r="AD224" s="9" t="str">
        <f>IFERROR(MID(VLOOKUP($B224,Seqs!$A:$B,2,0),AE224,1),"")</f>
        <v>F</v>
      </c>
      <c r="AE224" s="40">
        <v>240</v>
      </c>
      <c r="AF224" s="9" t="str">
        <f>IFERROR(MID(VLOOKUP($B224,Seqs!$A:$B,2,0),AG224,1),"")</f>
        <v>C</v>
      </c>
      <c r="AG224" s="40">
        <v>255</v>
      </c>
      <c r="AH224" s="9" t="str">
        <f>IFERROR(MID(VLOOKUP($B224,Seqs!$A:$B,2,0),AI224,1),"")</f>
        <v>L</v>
      </c>
      <c r="AI224" s="40">
        <v>257</v>
      </c>
      <c r="AJ224" s="9" t="str">
        <f>IFERROR(MID(VLOOKUP($B224,Seqs!$A:$B,2,0),AK224,1),"")</f>
        <v>T</v>
      </c>
      <c r="AK224" s="40">
        <v>263</v>
      </c>
      <c r="AL224" s="9" t="str">
        <f>IFERROR(MID(VLOOKUP($B224,Seqs!$A:$B,2,0),AM224,1),"")</f>
        <v>K</v>
      </c>
      <c r="AM224" s="40">
        <v>303</v>
      </c>
      <c r="AN224" s="9" t="str">
        <f>IFERROR(MID(VLOOKUP($B224,Seqs!$A:$B,2,0),AO224,1),"")</f>
        <v>N</v>
      </c>
      <c r="AO224" s="40">
        <v>312</v>
      </c>
      <c r="AP224" s="9" t="str">
        <f>IFERROR(MID(VLOOKUP($B224,Seqs!$A:$B,2,0),AQ224,1),"")</f>
        <v>Y</v>
      </c>
      <c r="AQ224" s="40">
        <v>350</v>
      </c>
      <c r="AR224" s="9" t="str">
        <f>IFERROR(MID(VLOOKUP($B224,Seqs!$A:$B,2,0),AS224,1),"")</f>
        <v>N</v>
      </c>
      <c r="AS224" s="40">
        <v>356</v>
      </c>
      <c r="AT224" s="9" t="str">
        <f>IFERROR(MID(VLOOKUP($B224,Seqs!$A:$B,2,0),AU224,1),"")</f>
        <v>V</v>
      </c>
      <c r="AU224" s="40">
        <v>389</v>
      </c>
      <c r="AV224" s="9" t="str">
        <f>IFERROR(MID(VLOOKUP($B224,Seqs!$A:$B,2,0),AW224,1),"")</f>
        <v>S</v>
      </c>
      <c r="AW224" s="40">
        <v>390</v>
      </c>
      <c r="AX224" s="9" t="str">
        <f>IFERROR(MID(VLOOKUP($B224,Seqs!$A:$B,2,0),AY224,1),"")</f>
        <v>C</v>
      </c>
      <c r="AY224" s="40">
        <v>402</v>
      </c>
      <c r="AZ224" s="110" t="str">
        <f>VLOOKUP(B224,Classification!A:D,2,0)</f>
        <v>A</v>
      </c>
      <c r="BA224" s="98" t="str">
        <f>VLOOKUP(B224,Classification!A:D,4,0)</f>
        <v>Endothelin</v>
      </c>
      <c r="BB224" s="36" t="b">
        <f t="shared" si="1058"/>
        <v>1</v>
      </c>
      <c r="BC224" s="109">
        <f t="shared" si="1059"/>
        <v>263</v>
      </c>
      <c r="BD224" s="40" t="s">
        <v>23</v>
      </c>
      <c r="BE224" s="9" t="s">
        <v>1368</v>
      </c>
      <c r="BF224" s="119">
        <v>2</v>
      </c>
      <c r="BG224" s="51" t="s">
        <v>1</v>
      </c>
      <c r="BH224" s="51" t="s">
        <v>1</v>
      </c>
      <c r="BI224" s="40"/>
      <c r="BJ224" s="111" t="s">
        <v>1281</v>
      </c>
      <c r="BK224" s="112" t="s">
        <v>1281</v>
      </c>
      <c r="BL224" s="112" t="s">
        <v>1281</v>
      </c>
      <c r="BM224" s="112" t="s">
        <v>1281</v>
      </c>
      <c r="BN224" s="112" t="s">
        <v>1281</v>
      </c>
      <c r="BO224" s="112" t="s">
        <v>1281</v>
      </c>
      <c r="BP224" s="112" t="s">
        <v>1281</v>
      </c>
      <c r="BQ224" s="112" t="s">
        <v>1281</v>
      </c>
      <c r="BR224" s="112" t="s">
        <v>1281</v>
      </c>
      <c r="BS224" s="112" t="s">
        <v>1281</v>
      </c>
      <c r="BT224" s="112" t="s">
        <v>1281</v>
      </c>
      <c r="BU224" s="112" t="s">
        <v>1281</v>
      </c>
      <c r="BV224" s="111">
        <f>E224</f>
        <v>97</v>
      </c>
      <c r="BW224" s="113" t="str">
        <f>I224</f>
        <v>-</v>
      </c>
      <c r="BX224" s="114">
        <f>M224</f>
        <v>134</v>
      </c>
      <c r="BY224" s="113">
        <f>Q224</f>
        <v>166</v>
      </c>
      <c r="BZ224" s="114">
        <f>U224</f>
        <v>170</v>
      </c>
      <c r="CA224" s="113" t="str">
        <f>Y224</f>
        <v>-</v>
      </c>
      <c r="CB224" s="114">
        <f>AC224</f>
        <v>215</v>
      </c>
      <c r="CC224" s="113">
        <f>AG224</f>
        <v>255</v>
      </c>
      <c r="CD224" s="114">
        <f>AK224</f>
        <v>263</v>
      </c>
      <c r="CE224" s="113">
        <f>AO224</f>
        <v>312</v>
      </c>
      <c r="CF224" s="114">
        <f>AS224</f>
        <v>356</v>
      </c>
      <c r="CG224" s="113">
        <f>AW224</f>
        <v>390</v>
      </c>
      <c r="CH224" s="111">
        <f>G224</f>
        <v>129</v>
      </c>
      <c r="CI224" s="113" t="str">
        <f>K224</f>
        <v>-</v>
      </c>
      <c r="CJ224" s="114">
        <f>O224</f>
        <v>165</v>
      </c>
      <c r="CK224" s="114">
        <f>S224</f>
        <v>169</v>
      </c>
      <c r="CL224" s="114">
        <f>W224</f>
        <v>205</v>
      </c>
      <c r="CM224" s="114" t="str">
        <f>AA224</f>
        <v>-</v>
      </c>
      <c r="CN224" s="114">
        <f>AE224</f>
        <v>240</v>
      </c>
      <c r="CO224" s="114">
        <f>AI224</f>
        <v>257</v>
      </c>
      <c r="CP224" s="114">
        <f>AM224</f>
        <v>303</v>
      </c>
      <c r="CQ224" s="114">
        <f>AQ224</f>
        <v>350</v>
      </c>
      <c r="CR224" s="114">
        <f>AU224</f>
        <v>389</v>
      </c>
      <c r="CS224" s="114">
        <f>AY224</f>
        <v>402</v>
      </c>
      <c r="CT224" s="109" t="e">
        <f>M224-K224</f>
        <v>#VALUE!</v>
      </c>
    </row>
    <row r="225" spans="1:1029" s="12" customFormat="1" x14ac:dyDescent="0.2">
      <c r="A225" s="9" t="str">
        <f>CONCATENATE(B225,"_",C225)</f>
        <v>ednrb_human_6K1Q</v>
      </c>
      <c r="B225" s="40" t="s">
        <v>196</v>
      </c>
      <c r="C225" s="40" t="s">
        <v>1580</v>
      </c>
      <c r="D225" s="9" t="str">
        <f>IFERROR(MID(VLOOKUP($B225,Seqs!$A:$B,2,0),E225,1),"")</f>
        <v>Q</v>
      </c>
      <c r="E225" s="40">
        <v>91</v>
      </c>
      <c r="F225" s="9" t="str">
        <f>IFERROR(MID(VLOOKUP($B225,Seqs!$A:$B,2,0),G225,1),"")</f>
        <v>N</v>
      </c>
      <c r="G225" s="40">
        <v>129</v>
      </c>
      <c r="H225" s="9" t="str">
        <f>IFERROR(MID(VLOOKUP($B225,Seqs!$A:$B,2,0),I225,1),"")</f>
        <v/>
      </c>
      <c r="I225" s="129" t="s">
        <v>23</v>
      </c>
      <c r="J225" s="9" t="str">
        <f>IFERROR(MID(VLOOKUP($B225,Seqs!$A:$B,2,0),K225,1),"")</f>
        <v/>
      </c>
      <c r="K225" s="129" t="s">
        <v>23</v>
      </c>
      <c r="L225" s="9" t="str">
        <f>IFERROR(MID(VLOOKUP($B225,Seqs!$A:$B,2,0),M225,1),"")</f>
        <v>N</v>
      </c>
      <c r="M225" s="40">
        <v>134</v>
      </c>
      <c r="N225" s="9" t="str">
        <f>IFERROR(MID(VLOOKUP($B225,Seqs!$A:$B,2,0),O225,1),"")</f>
        <v>A</v>
      </c>
      <c r="O225" s="40">
        <v>164</v>
      </c>
      <c r="P225" s="9" t="str">
        <f>IFERROR(MID(VLOOKUP($B225,Seqs!$A:$B,2,0),Q225,1),"")</f>
        <v>D</v>
      </c>
      <c r="Q225" s="40">
        <v>166</v>
      </c>
      <c r="R225" s="9" t="str">
        <f>IFERROR(MID(VLOOKUP($B225,Seqs!$A:$B,2,0),S225,1),"")</f>
        <v>F</v>
      </c>
      <c r="S225" s="40">
        <v>169</v>
      </c>
      <c r="T225" s="9" t="str">
        <f>IFERROR(MID(VLOOKUP($B225,Seqs!$A:$B,2,0),U225,1),"")</f>
        <v>G</v>
      </c>
      <c r="U225" s="11">
        <v>170</v>
      </c>
      <c r="V225" s="9" t="str">
        <f>IFERROR(MID(VLOOKUP($B225,Seqs!$A:$B,2,0),W225,1),"")</f>
        <v>V</v>
      </c>
      <c r="W225" s="40">
        <v>203</v>
      </c>
      <c r="X225" s="9" t="str">
        <f>IFERROR(MID(VLOOKUP($B225,Seqs!$A:$B,2,0),Y225,1),"")</f>
        <v/>
      </c>
      <c r="Y225" s="40" t="s">
        <v>23</v>
      </c>
      <c r="Z225" s="9" t="str">
        <f>IFERROR(MID(VLOOKUP($B225,Seqs!$A:$B,2,0),AA225,1),"")</f>
        <v/>
      </c>
      <c r="AA225" s="40" t="s">
        <v>23</v>
      </c>
      <c r="AB225" s="9" t="str">
        <f>IFERROR(MID(VLOOKUP($B225,Seqs!$A:$B,2,0),AC225,1),"")</f>
        <v>K</v>
      </c>
      <c r="AC225" s="40">
        <v>216</v>
      </c>
      <c r="AD225" s="9" t="str">
        <f>IFERROR(MID(VLOOKUP($B225,Seqs!$A:$B,2,0),AE225,1),"")</f>
        <v>F</v>
      </c>
      <c r="AE225" s="40">
        <v>240</v>
      </c>
      <c r="AF225" s="9" t="str">
        <f>IFERROR(MID(VLOOKUP($B225,Seqs!$A:$B,2,0),AG225,1),"")</f>
        <v>C</v>
      </c>
      <c r="AG225" s="40">
        <v>255</v>
      </c>
      <c r="AH225" s="9" t="str">
        <f>IFERROR(MID(VLOOKUP($B225,Seqs!$A:$B,2,0),AI225,1),"")</f>
        <v>L</v>
      </c>
      <c r="AI225" s="40">
        <v>257</v>
      </c>
      <c r="AJ225" s="9" t="str">
        <f>IFERROR(MID(VLOOKUP($B225,Seqs!$A:$B,2,0),AK225,1),"")</f>
        <v>T</v>
      </c>
      <c r="AK225" s="40">
        <v>263</v>
      </c>
      <c r="AL225" s="9" t="str">
        <f>IFERROR(MID(VLOOKUP($B225,Seqs!$A:$B,2,0),AM225,1),"")</f>
        <v>K</v>
      </c>
      <c r="AM225" s="40">
        <v>303</v>
      </c>
      <c r="AN225" s="9" t="str">
        <f>IFERROR(MID(VLOOKUP($B225,Seqs!$A:$B,2,0),AO225,1),"")</f>
        <v>N</v>
      </c>
      <c r="AO225" s="40">
        <v>312</v>
      </c>
      <c r="AP225" s="9" t="str">
        <f>IFERROR(MID(VLOOKUP($B225,Seqs!$A:$B,2,0),AQ225,1),"")</f>
        <v>L</v>
      </c>
      <c r="AQ225" s="40">
        <v>349</v>
      </c>
      <c r="AR225" s="9" t="str">
        <f>IFERROR(MID(VLOOKUP($B225,Seqs!$A:$B,2,0),AS225,1),"")</f>
        <v>N</v>
      </c>
      <c r="AS225" s="40">
        <v>356</v>
      </c>
      <c r="AT225" s="9" t="str">
        <f>IFERROR(MID(VLOOKUP($B225,Seqs!$A:$B,2,0),AU225,1),"")</f>
        <v>V</v>
      </c>
      <c r="AU225" s="40">
        <v>389</v>
      </c>
      <c r="AV225" s="9" t="str">
        <f>IFERROR(MID(VLOOKUP($B225,Seqs!$A:$B,2,0),AW225,1),"")</f>
        <v>S</v>
      </c>
      <c r="AW225" s="40">
        <v>390</v>
      </c>
      <c r="AX225" s="9" t="str">
        <f>IFERROR(MID(VLOOKUP($B225,Seqs!$A:$B,2,0),AY225,1),"")</f>
        <v>C</v>
      </c>
      <c r="AY225" s="40">
        <v>403</v>
      </c>
      <c r="AZ225" s="110" t="str">
        <f>VLOOKUP(B225,Classification!A:D,2,0)</f>
        <v>A</v>
      </c>
      <c r="BA225" s="98" t="str">
        <f>VLOOKUP(B225,Classification!A:D,4,0)</f>
        <v>Endothelin</v>
      </c>
      <c r="BB225" s="36" t="b">
        <f t="shared" si="1058"/>
        <v>1</v>
      </c>
      <c r="BC225" s="109">
        <f t="shared" si="1059"/>
        <v>265</v>
      </c>
      <c r="BD225" s="40" t="s">
        <v>23</v>
      </c>
      <c r="BE225" s="9" t="s">
        <v>1368</v>
      </c>
      <c r="BF225" s="119">
        <v>2.7</v>
      </c>
      <c r="BG225" s="51" t="s">
        <v>1</v>
      </c>
      <c r="BH225" s="51" t="s">
        <v>1</v>
      </c>
      <c r="BI225" s="40"/>
      <c r="BJ225" s="111" t="s">
        <v>1281</v>
      </c>
      <c r="BK225" s="112" t="s">
        <v>1281</v>
      </c>
      <c r="BL225" s="112" t="s">
        <v>1281</v>
      </c>
      <c r="BM225" s="112" t="s">
        <v>1281</v>
      </c>
      <c r="BN225" s="112" t="s">
        <v>1281</v>
      </c>
      <c r="BO225" s="112" t="s">
        <v>1281</v>
      </c>
      <c r="BP225" s="112" t="s">
        <v>1281</v>
      </c>
      <c r="BQ225" s="112" t="s">
        <v>1281</v>
      </c>
      <c r="BR225" s="112" t="s">
        <v>1281</v>
      </c>
      <c r="BS225" s="112" t="s">
        <v>1281</v>
      </c>
      <c r="BT225" s="112" t="s">
        <v>1281</v>
      </c>
      <c r="BU225" s="112" t="s">
        <v>1281</v>
      </c>
      <c r="BV225" s="111">
        <f>E225</f>
        <v>91</v>
      </c>
      <c r="BW225" s="113" t="str">
        <f>I225</f>
        <v>-</v>
      </c>
      <c r="BX225" s="114">
        <f>M225</f>
        <v>134</v>
      </c>
      <c r="BY225" s="113">
        <f>Q225</f>
        <v>166</v>
      </c>
      <c r="BZ225" s="114">
        <f>U225</f>
        <v>170</v>
      </c>
      <c r="CA225" s="113" t="str">
        <f>Y225</f>
        <v>-</v>
      </c>
      <c r="CB225" s="114">
        <f>AC225</f>
        <v>216</v>
      </c>
      <c r="CC225" s="113">
        <f>AG225</f>
        <v>255</v>
      </c>
      <c r="CD225" s="114">
        <f>AK225</f>
        <v>263</v>
      </c>
      <c r="CE225" s="113">
        <f>AO225</f>
        <v>312</v>
      </c>
      <c r="CF225" s="114">
        <f>AS225</f>
        <v>356</v>
      </c>
      <c r="CG225" s="113">
        <f>AW225</f>
        <v>390</v>
      </c>
      <c r="CH225" s="111">
        <f>G225</f>
        <v>129</v>
      </c>
      <c r="CI225" s="113" t="str">
        <f>K225</f>
        <v>-</v>
      </c>
      <c r="CJ225" s="114">
        <f>O225</f>
        <v>164</v>
      </c>
      <c r="CK225" s="114">
        <f>S225</f>
        <v>169</v>
      </c>
      <c r="CL225" s="114">
        <f>W225</f>
        <v>203</v>
      </c>
      <c r="CM225" s="114" t="str">
        <f>AA225</f>
        <v>-</v>
      </c>
      <c r="CN225" s="114">
        <f>AE225</f>
        <v>240</v>
      </c>
      <c r="CO225" s="114">
        <f>AI225</f>
        <v>257</v>
      </c>
      <c r="CP225" s="114">
        <f>AM225</f>
        <v>303</v>
      </c>
      <c r="CQ225" s="114">
        <f>AQ225</f>
        <v>349</v>
      </c>
      <c r="CR225" s="114">
        <f>AU225</f>
        <v>389</v>
      </c>
      <c r="CS225" s="114">
        <f>AY225</f>
        <v>403</v>
      </c>
      <c r="CT225" s="109" t="e">
        <f>M225-K225</f>
        <v>#VALUE!</v>
      </c>
    </row>
    <row r="226" spans="1:1029" s="12" customFormat="1" x14ac:dyDescent="0.2">
      <c r="A226" s="9" t="str">
        <f>CONCATENATE(B226,"_",C226)</f>
        <v>ednrb_human_6LRY</v>
      </c>
      <c r="B226" s="40" t="s">
        <v>196</v>
      </c>
      <c r="C226" s="40" t="s">
        <v>1642</v>
      </c>
      <c r="D226" s="9" t="str">
        <f>IFERROR(MID(VLOOKUP($B226,Seqs!$A:$B,2,0),E226,1),"")</f>
        <v>K</v>
      </c>
      <c r="E226" s="40">
        <v>97</v>
      </c>
      <c r="F226" s="9" t="str">
        <f>IFERROR(MID(VLOOKUP($B226,Seqs!$A:$B,2,0),G226,1),"")</f>
        <v>N</v>
      </c>
      <c r="G226" s="40">
        <v>129</v>
      </c>
      <c r="H226" s="9" t="str">
        <f>IFERROR(MID(VLOOKUP($B226,Seqs!$A:$B,2,0),I226,1),"")</f>
        <v/>
      </c>
      <c r="I226" s="129" t="s">
        <v>23</v>
      </c>
      <c r="J226" s="9" t="str">
        <f>IFERROR(MID(VLOOKUP($B226,Seqs!$A:$B,2,0),K226,1),"")</f>
        <v/>
      </c>
      <c r="K226" s="129" t="s">
        <v>23</v>
      </c>
      <c r="L226" s="9" t="str">
        <f>IFERROR(MID(VLOOKUP($B226,Seqs!$A:$B,2,0),M226,1),"")</f>
        <v>G</v>
      </c>
      <c r="M226" s="40">
        <v>135</v>
      </c>
      <c r="N226" s="9" t="str">
        <f>IFERROR(MID(VLOOKUP($B226,Seqs!$A:$B,2,0),O226,1),"")</f>
        <v>A</v>
      </c>
      <c r="O226" s="40">
        <v>164</v>
      </c>
      <c r="P226" s="9" t="str">
        <f>IFERROR(MID(VLOOKUP($B226,Seqs!$A:$B,2,0),Q226,1),"")</f>
        <v>D</v>
      </c>
      <c r="Q226" s="40">
        <v>166</v>
      </c>
      <c r="R226" s="9" t="str">
        <f>IFERROR(MID(VLOOKUP($B226,Seqs!$A:$B,2,0),S226,1),"")</f>
        <v>F</v>
      </c>
      <c r="S226" s="40">
        <v>169</v>
      </c>
      <c r="T226" s="9" t="str">
        <f>IFERROR(MID(VLOOKUP($B226,Seqs!$A:$B,2,0),U226,1),"")</f>
        <v>G</v>
      </c>
      <c r="U226" s="11">
        <v>170</v>
      </c>
      <c r="V226" s="9" t="str">
        <f>IFERROR(MID(VLOOKUP($B226,Seqs!$A:$B,2,0),W226,1),"")</f>
        <v>A</v>
      </c>
      <c r="W226" s="40">
        <v>204</v>
      </c>
      <c r="X226" s="9" t="str">
        <f>IFERROR(MID(VLOOKUP($B226,Seqs!$A:$B,2,0),Y226,1),"")</f>
        <v/>
      </c>
      <c r="Y226" s="40" t="s">
        <v>23</v>
      </c>
      <c r="Z226" s="9" t="str">
        <f>IFERROR(MID(VLOOKUP($B226,Seqs!$A:$B,2,0),AA226,1),"")</f>
        <v/>
      </c>
      <c r="AA226" s="40" t="s">
        <v>23</v>
      </c>
      <c r="AB226" s="9" t="str">
        <f>IFERROR(MID(VLOOKUP($B226,Seqs!$A:$B,2,0),AC226,1),"")</f>
        <v>K</v>
      </c>
      <c r="AC226" s="40">
        <v>216</v>
      </c>
      <c r="AD226" s="9" t="str">
        <f>IFERROR(MID(VLOOKUP($B226,Seqs!$A:$B,2,0),AE226,1),"")</f>
        <v>F</v>
      </c>
      <c r="AE226" s="40">
        <v>240</v>
      </c>
      <c r="AF226" s="9" t="str">
        <f>IFERROR(MID(VLOOKUP($B226,Seqs!$A:$B,2,0),AG226,1),"")</f>
        <v>C</v>
      </c>
      <c r="AG226" s="40">
        <v>255</v>
      </c>
      <c r="AH226" s="9" t="str">
        <f>IFERROR(MID(VLOOKUP($B226,Seqs!$A:$B,2,0),AI226,1),"")</f>
        <v>L</v>
      </c>
      <c r="AI226" s="40">
        <v>257</v>
      </c>
      <c r="AJ226" s="9" t="str">
        <f>IFERROR(MID(VLOOKUP($B226,Seqs!$A:$B,2,0),AK226,1),"")</f>
        <v>T</v>
      </c>
      <c r="AK226" s="40">
        <v>263</v>
      </c>
      <c r="AL226" s="9" t="str">
        <f>IFERROR(MID(VLOOKUP($B226,Seqs!$A:$B,2,0),AM226,1),"")</f>
        <v>K</v>
      </c>
      <c r="AM226" s="40">
        <v>303</v>
      </c>
      <c r="AN226" s="9" t="str">
        <f>IFERROR(MID(VLOOKUP($B226,Seqs!$A:$B,2,0),AO226,1),"")</f>
        <v>N</v>
      </c>
      <c r="AO226" s="40">
        <v>312</v>
      </c>
      <c r="AP226" s="9" t="str">
        <f>IFERROR(MID(VLOOKUP($B226,Seqs!$A:$B,2,0),AQ226,1),"")</f>
        <v>Y</v>
      </c>
      <c r="AQ226" s="40">
        <v>350</v>
      </c>
      <c r="AR226" s="9" t="str">
        <f>IFERROR(MID(VLOOKUP($B226,Seqs!$A:$B,2,0),AS226,1),"")</f>
        <v>R</v>
      </c>
      <c r="AS226" s="40">
        <v>357</v>
      </c>
      <c r="AT226" s="9" t="str">
        <f>IFERROR(MID(VLOOKUP($B226,Seqs!$A:$B,2,0),AU226,1),"")</f>
        <v>V</v>
      </c>
      <c r="AU226" s="40">
        <v>389</v>
      </c>
      <c r="AV226" s="9" t="str">
        <f>IFERROR(MID(VLOOKUP($B226,Seqs!$A:$B,2,0),AW226,1),"")</f>
        <v>S</v>
      </c>
      <c r="AW226" s="40">
        <v>390</v>
      </c>
      <c r="AX226" s="9" t="str">
        <f>IFERROR(MID(VLOOKUP($B226,Seqs!$A:$B,2,0),AY226,1),"")</f>
        <v>C</v>
      </c>
      <c r="AY226" s="40">
        <v>400</v>
      </c>
      <c r="AZ226" s="110" t="str">
        <f>VLOOKUP(B226,Classification!A:D,2,0)</f>
        <v>A</v>
      </c>
      <c r="BA226" s="98" t="str">
        <f>VLOOKUP(B226,Classification!A:D,4,0)</f>
        <v>Endothelin</v>
      </c>
      <c r="BB226" s="36" t="b">
        <f t="shared" si="1058"/>
        <v>1</v>
      </c>
      <c r="BC226" s="109">
        <f t="shared" si="1059"/>
        <v>256</v>
      </c>
      <c r="BD226" s="40" t="s">
        <v>1423</v>
      </c>
      <c r="BE226" s="9" t="s">
        <v>1465</v>
      </c>
      <c r="BF226" s="119">
        <v>3</v>
      </c>
      <c r="BG226" s="51" t="s">
        <v>1</v>
      </c>
      <c r="BH226" s="51" t="s">
        <v>1</v>
      </c>
      <c r="BI226" s="40"/>
      <c r="BJ226" s="111" t="s">
        <v>1281</v>
      </c>
      <c r="BK226" s="112" t="s">
        <v>1281</v>
      </c>
      <c r="BL226" s="112" t="s">
        <v>1281</v>
      </c>
      <c r="BM226" s="112" t="s">
        <v>1281</v>
      </c>
      <c r="BN226" s="112" t="s">
        <v>1281</v>
      </c>
      <c r="BO226" s="112" t="s">
        <v>1281</v>
      </c>
      <c r="BP226" s="112" t="s">
        <v>1281</v>
      </c>
      <c r="BQ226" s="112" t="s">
        <v>1281</v>
      </c>
      <c r="BR226" s="112" t="s">
        <v>1281</v>
      </c>
      <c r="BS226" s="112" t="s">
        <v>1281</v>
      </c>
      <c r="BT226" s="112" t="s">
        <v>1281</v>
      </c>
      <c r="BU226" s="112" t="s">
        <v>1281</v>
      </c>
      <c r="BV226" s="111">
        <f>E226</f>
        <v>97</v>
      </c>
      <c r="BW226" s="113" t="str">
        <f>I226</f>
        <v>-</v>
      </c>
      <c r="BX226" s="114">
        <f>M226</f>
        <v>135</v>
      </c>
      <c r="BY226" s="113">
        <f>Q226</f>
        <v>166</v>
      </c>
      <c r="BZ226" s="114">
        <f>U226</f>
        <v>170</v>
      </c>
      <c r="CA226" s="113" t="str">
        <f>Y226</f>
        <v>-</v>
      </c>
      <c r="CB226" s="114">
        <f>AC226</f>
        <v>216</v>
      </c>
      <c r="CC226" s="113">
        <f>AG226</f>
        <v>255</v>
      </c>
      <c r="CD226" s="114">
        <f>AK226</f>
        <v>263</v>
      </c>
      <c r="CE226" s="113">
        <f>AO226</f>
        <v>312</v>
      </c>
      <c r="CF226" s="114">
        <f>AS226</f>
        <v>357</v>
      </c>
      <c r="CG226" s="113">
        <f>AW226</f>
        <v>390</v>
      </c>
      <c r="CH226" s="111">
        <f>G226</f>
        <v>129</v>
      </c>
      <c r="CI226" s="113" t="str">
        <f>K226</f>
        <v>-</v>
      </c>
      <c r="CJ226" s="114">
        <f>O226</f>
        <v>164</v>
      </c>
      <c r="CK226" s="114">
        <f>S226</f>
        <v>169</v>
      </c>
      <c r="CL226" s="114">
        <f>W226</f>
        <v>204</v>
      </c>
      <c r="CM226" s="114" t="str">
        <f>AA226</f>
        <v>-</v>
      </c>
      <c r="CN226" s="114">
        <f>AE226</f>
        <v>240</v>
      </c>
      <c r="CO226" s="114">
        <f>AI226</f>
        <v>257</v>
      </c>
      <c r="CP226" s="114">
        <f>AM226</f>
        <v>303</v>
      </c>
      <c r="CQ226" s="114">
        <f>AQ226</f>
        <v>350</v>
      </c>
      <c r="CR226" s="114">
        <f>AU226</f>
        <v>389</v>
      </c>
      <c r="CS226" s="114">
        <f>AY226</f>
        <v>400</v>
      </c>
      <c r="CT226" s="109" t="e">
        <f>M226-K226</f>
        <v>#VALUE!</v>
      </c>
    </row>
    <row r="227" spans="1:1029" x14ac:dyDescent="0.2">
      <c r="A227" s="3" t="str">
        <f>CONCATENATE(B227,"_",C227)</f>
        <v>ffar1_human__wt</v>
      </c>
      <c r="B227" s="3" t="s">
        <v>1166</v>
      </c>
      <c r="C227" s="3" t="s">
        <v>100</v>
      </c>
      <c r="D227" s="3" t="str">
        <f>IFERROR(MID(VLOOKUP($B227,Seqs!$A:$B,2,0),E227,1),"")</f>
        <v>P</v>
      </c>
      <c r="E227" s="3">
        <v>4</v>
      </c>
      <c r="F227" s="3" t="str">
        <f>IFERROR(MID(VLOOKUP($B227,Seqs!$A:$B,2,0),G227,1),"")</f>
        <v>R</v>
      </c>
      <c r="G227" s="3">
        <v>37</v>
      </c>
      <c r="H227" s="3" t="str">
        <f>IFERROR(MID(VLOOKUP($B227,Seqs!$A:$B,2,0),I227,1),"")</f>
        <v/>
      </c>
      <c r="I227" s="23" t="s">
        <v>23</v>
      </c>
      <c r="J227" s="3" t="str">
        <f>IFERROR(MID(VLOOKUP($B227,Seqs!$A:$B,2,0),K227,1),"")</f>
        <v/>
      </c>
      <c r="K227" s="23" t="s">
        <v>23</v>
      </c>
      <c r="L227" s="3" t="str">
        <f>IFERROR(MID(VLOOKUP($B227,Seqs!$A:$B,2,0),M227,1),"")</f>
        <v>T</v>
      </c>
      <c r="M227" s="3">
        <v>39</v>
      </c>
      <c r="N227" s="3" t="str">
        <f>IFERROR(MID(VLOOKUP($B227,Seqs!$A:$B,2,0),O227,1),"")</f>
        <v>S</v>
      </c>
      <c r="O227" s="3">
        <v>69</v>
      </c>
      <c r="P227" s="3" t="str">
        <f>IFERROR(MID(VLOOKUP($B227,Seqs!$A:$B,2,0),Q227,1),"")</f>
        <v>A</v>
      </c>
      <c r="Q227" s="3">
        <v>71</v>
      </c>
      <c r="R227" s="3" t="str">
        <f>IFERROR(MID(VLOOKUP($B227,Seqs!$A:$B,2,0),S227,1),"")</f>
        <v>L</v>
      </c>
      <c r="S227" s="3">
        <v>74</v>
      </c>
      <c r="T227" s="3" t="str">
        <f>IFERROR(MID(VLOOKUP($B227,Seqs!$A:$B,2,0),U227,1),"")</f>
        <v>P</v>
      </c>
      <c r="U227" s="3">
        <v>75</v>
      </c>
      <c r="V227" s="3" t="str">
        <f>IFERROR(MID(VLOOKUP($B227,Seqs!$A:$B,2,0),W227,1),"")</f>
        <v>F</v>
      </c>
      <c r="W227" s="3">
        <v>110</v>
      </c>
      <c r="X227" s="3" t="str">
        <f>IFERROR(MID(VLOOKUP($B227,Seqs!$A:$B,2,0),Y227,1),"")</f>
        <v>P</v>
      </c>
      <c r="Y227" s="3">
        <v>111</v>
      </c>
      <c r="Z227" s="3" t="str">
        <f>IFERROR(MID(VLOOKUP($B227,Seqs!$A:$B,2,0),AA227,1),"")</f>
        <v>R</v>
      </c>
      <c r="AA227" s="3">
        <v>118</v>
      </c>
      <c r="AB227" s="3" t="str">
        <f>IFERROR(MID(VLOOKUP($B227,Seqs!$A:$B,2,0),AC227,1),"")</f>
        <v>R</v>
      </c>
      <c r="AC227" s="9">
        <v>119</v>
      </c>
      <c r="AD227" s="3" t="str">
        <f>IFERROR(MID(VLOOKUP($B227,Seqs!$A:$B,2,0),AE227,1),"")</f>
        <v>A</v>
      </c>
      <c r="AE227" s="3">
        <v>146</v>
      </c>
      <c r="AF227" s="3" t="str">
        <f>IFERROR(MID(VLOOKUP($B227,Seqs!$A:$B,2,0),AG227,1),"")</f>
        <v>C</v>
      </c>
      <c r="AG227" s="3">
        <v>170</v>
      </c>
      <c r="AH227" s="3" t="str">
        <f>IFERROR(MID(VLOOKUP($B227,Seqs!$A:$B,2,0),AI227,1),"")</f>
        <v>E</v>
      </c>
      <c r="AI227" s="3">
        <v>172</v>
      </c>
      <c r="AJ227" s="3" t="str">
        <f>IFERROR(MID(VLOOKUP($B227,Seqs!$A:$B,2,0),AK227,1),"")</f>
        <v>D</v>
      </c>
      <c r="AK227" s="3">
        <v>175</v>
      </c>
      <c r="AL227" s="3" t="str">
        <f>IFERROR(MID(VLOOKUP($B227,Seqs!$A:$B,2,0),AM227,1),"")</f>
        <v>R</v>
      </c>
      <c r="AM227" s="3">
        <v>211</v>
      </c>
      <c r="AN227" s="3" t="str">
        <f>IFERROR(MID(VLOOKUP($B227,Seqs!$A:$B,2,0),AO227,1),"")</f>
        <v>R</v>
      </c>
      <c r="AO227" s="3">
        <v>217</v>
      </c>
      <c r="AP227" s="3" t="str">
        <f>IFERROR(MID(VLOOKUP($B227,Seqs!$A:$B,2,0),AQ227,1),"")</f>
        <v>Y</v>
      </c>
      <c r="AQ227" s="3">
        <v>250</v>
      </c>
      <c r="AR227" s="3" t="str">
        <f>IFERROR(MID(VLOOKUP($B227,Seqs!$A:$B,2,0),AS227,1),"")</f>
        <v>G</v>
      </c>
      <c r="AS227" s="3">
        <v>255</v>
      </c>
      <c r="AT227" s="3" t="str">
        <f>IFERROR(MID(VLOOKUP($B227,Seqs!$A:$B,2,0),AU227,1),"")</f>
        <v>L</v>
      </c>
      <c r="AU227" s="3">
        <v>279</v>
      </c>
      <c r="AV227" s="3" t="str">
        <f>IFERROR(MID(VLOOKUP($B227,Seqs!$A:$B,2,0),AW227,1),"")</f>
        <v>G</v>
      </c>
      <c r="AW227" s="3">
        <v>280</v>
      </c>
      <c r="AX227" s="3" t="str">
        <f>IFERROR(MID(VLOOKUP($B227,Seqs!$A:$B,2,0),AY227,1),"")</f>
        <v>Q</v>
      </c>
      <c r="AY227" s="3">
        <v>294</v>
      </c>
      <c r="AZ227" s="77" t="str">
        <f>VLOOKUP(B227,Classification!A:D,2,0)</f>
        <v>A</v>
      </c>
      <c r="BA227" s="94" t="str">
        <f>VLOOKUP(B227,Classification!A:D,4,0)</f>
        <v>Freefattyacid</v>
      </c>
      <c r="BB227" s="27" t="b">
        <f t="shared" si="1007"/>
        <v>1</v>
      </c>
      <c r="BC227" s="23">
        <f t="shared" si="1057"/>
        <v>256</v>
      </c>
      <c r="BD227" s="34" t="s">
        <v>23</v>
      </c>
      <c r="BE227" s="3" t="s">
        <v>23</v>
      </c>
      <c r="BF227" s="118" t="s">
        <v>23</v>
      </c>
      <c r="BG227" s="49" t="s">
        <v>1366</v>
      </c>
      <c r="BH227" s="49" t="s">
        <v>1371</v>
      </c>
      <c r="BI227" s="1"/>
      <c r="BJ227" s="70" t="s">
        <v>1281</v>
      </c>
      <c r="BK227" s="57" t="s">
        <v>1281</v>
      </c>
      <c r="BL227" s="57" t="s">
        <v>1281</v>
      </c>
      <c r="BM227" s="57" t="s">
        <v>1281</v>
      </c>
      <c r="BN227" s="57" t="s">
        <v>1281</v>
      </c>
      <c r="BO227" s="57" t="s">
        <v>1281</v>
      </c>
      <c r="BP227" s="57" t="s">
        <v>1281</v>
      </c>
      <c r="BQ227" s="57" t="s">
        <v>1281</v>
      </c>
      <c r="BR227" s="57" t="s">
        <v>1281</v>
      </c>
      <c r="BS227" s="57" t="s">
        <v>1281</v>
      </c>
      <c r="BT227" s="57" t="s">
        <v>1281</v>
      </c>
      <c r="BU227" s="57" t="s">
        <v>1281</v>
      </c>
      <c r="BV227" s="70">
        <f>E227</f>
        <v>4</v>
      </c>
      <c r="BW227" s="71" t="str">
        <f>I227</f>
        <v>-</v>
      </c>
      <c r="BX227" s="72">
        <f>M227</f>
        <v>39</v>
      </c>
      <c r="BY227" s="71">
        <f>Q227</f>
        <v>71</v>
      </c>
      <c r="BZ227" s="72">
        <f>U227</f>
        <v>75</v>
      </c>
      <c r="CA227" s="71">
        <f>Y227</f>
        <v>111</v>
      </c>
      <c r="CB227" s="72">
        <f>AC227</f>
        <v>119</v>
      </c>
      <c r="CC227" s="71">
        <f>AG227</f>
        <v>170</v>
      </c>
      <c r="CD227" s="72">
        <f>AK227</f>
        <v>175</v>
      </c>
      <c r="CE227" s="71">
        <f>AO227</f>
        <v>217</v>
      </c>
      <c r="CF227" s="72">
        <f>AS227</f>
        <v>255</v>
      </c>
      <c r="CG227" s="71">
        <f>AW227</f>
        <v>280</v>
      </c>
      <c r="CH227" s="70">
        <f>G227</f>
        <v>37</v>
      </c>
      <c r="CI227" s="71" t="str">
        <f>K227</f>
        <v>-</v>
      </c>
      <c r="CJ227" s="72">
        <f>O227</f>
        <v>69</v>
      </c>
      <c r="CK227" s="72">
        <f>S227</f>
        <v>74</v>
      </c>
      <c r="CL227" s="72">
        <f>W227</f>
        <v>110</v>
      </c>
      <c r="CM227" s="72">
        <f>AA227</f>
        <v>118</v>
      </c>
      <c r="CN227" s="72">
        <f>AE227</f>
        <v>146</v>
      </c>
      <c r="CO227" s="72">
        <f>AI227</f>
        <v>172</v>
      </c>
      <c r="CP227" s="72">
        <f>AM227</f>
        <v>211</v>
      </c>
      <c r="CQ227" s="72">
        <f>AQ227</f>
        <v>250</v>
      </c>
      <c r="CR227" s="72">
        <f>AU227</f>
        <v>279</v>
      </c>
      <c r="CS227" s="72">
        <f>AY227</f>
        <v>294</v>
      </c>
      <c r="CT227" s="23" t="e">
        <f>M227-K227</f>
        <v>#VALUE!</v>
      </c>
    </row>
    <row r="228" spans="1:1029" x14ac:dyDescent="0.2">
      <c r="A228" s="3" t="str">
        <f>CONCATENATE(B228,"_",C228)</f>
        <v>ffar1_human_4PHU</v>
      </c>
      <c r="B228" s="3" t="s">
        <v>1166</v>
      </c>
      <c r="C228" s="3" t="s">
        <v>52</v>
      </c>
      <c r="D228" s="3" t="str">
        <f>IFERROR(MID(VLOOKUP($B228,Seqs!$A:$B,2,0),E228,1),"")</f>
        <v>P</v>
      </c>
      <c r="E228" s="3">
        <v>4</v>
      </c>
      <c r="F228" s="3" t="str">
        <f>IFERROR(MID(VLOOKUP($B228,Seqs!$A:$B,2,0),G228,1),"")</f>
        <v>R</v>
      </c>
      <c r="G228" s="3">
        <v>37</v>
      </c>
      <c r="H228" s="3" t="str">
        <f>IFERROR(MID(VLOOKUP($B228,Seqs!$A:$B,2,0),I228,1),"")</f>
        <v/>
      </c>
      <c r="I228" s="23" t="s">
        <v>23</v>
      </c>
      <c r="J228" s="3" t="str">
        <f>IFERROR(MID(VLOOKUP($B228,Seqs!$A:$B,2,0),K228,1),"")</f>
        <v/>
      </c>
      <c r="K228" s="23" t="s">
        <v>23</v>
      </c>
      <c r="L228" s="3" t="str">
        <f>IFERROR(MID(VLOOKUP($B228,Seqs!$A:$B,2,0),M228,1),"")</f>
        <v>T</v>
      </c>
      <c r="M228" s="3">
        <v>39</v>
      </c>
      <c r="N228" s="3" t="str">
        <f>IFERROR(MID(VLOOKUP($B228,Seqs!$A:$B,2,0),O228,1),"")</f>
        <v>S</v>
      </c>
      <c r="O228" s="3">
        <v>69</v>
      </c>
      <c r="P228" s="3" t="str">
        <f>IFERROR(MID(VLOOKUP($B228,Seqs!$A:$B,2,0),Q228,1),"")</f>
        <v>A</v>
      </c>
      <c r="Q228" s="3">
        <v>71</v>
      </c>
      <c r="R228" s="3" t="str">
        <f>IFERROR(MID(VLOOKUP($B228,Seqs!$A:$B,2,0),S228,1),"")</f>
        <v>L</v>
      </c>
      <c r="S228" s="3">
        <v>74</v>
      </c>
      <c r="T228" s="3" t="str">
        <f>IFERROR(MID(VLOOKUP($B228,Seqs!$A:$B,2,0),U228,1),"")</f>
        <v>P</v>
      </c>
      <c r="U228" s="3">
        <v>75</v>
      </c>
      <c r="V228" s="3" t="str">
        <f>IFERROR(MID(VLOOKUP($B228,Seqs!$A:$B,2,0),W228,1),"")</f>
        <v>F</v>
      </c>
      <c r="W228" s="3">
        <v>110</v>
      </c>
      <c r="X228" s="3" t="str">
        <f>IFERROR(MID(VLOOKUP($B228,Seqs!$A:$B,2,0),Y228,1),"")</f>
        <v/>
      </c>
      <c r="Y228" s="3" t="s">
        <v>23</v>
      </c>
      <c r="Z228" s="3" t="str">
        <f>IFERROR(MID(VLOOKUP($B228,Seqs!$A:$B,2,0),AA228,1),"")</f>
        <v/>
      </c>
      <c r="AA228" s="3" t="s">
        <v>23</v>
      </c>
      <c r="AB228" s="3" t="str">
        <f>IFERROR(MID(VLOOKUP($B228,Seqs!$A:$B,2,0),AC228,1),"")</f>
        <v>C</v>
      </c>
      <c r="AC228" s="9">
        <v>121</v>
      </c>
      <c r="AD228" s="3" t="str">
        <f>IFERROR(MID(VLOOKUP($B228,Seqs!$A:$B,2,0),AE228,1),"")</f>
        <v>A</v>
      </c>
      <c r="AE228" s="3">
        <v>146</v>
      </c>
      <c r="AF228" s="3" t="str">
        <f>IFERROR(MID(VLOOKUP($B228,Seqs!$A:$B,2,0),AG228,1),"")</f>
        <v>C</v>
      </c>
      <c r="AG228" s="3">
        <v>170</v>
      </c>
      <c r="AH228" s="3" t="str">
        <f>IFERROR(MID(VLOOKUP($B228,Seqs!$A:$B,2,0),AI228,1),"")</f>
        <v>E</v>
      </c>
      <c r="AI228" s="3">
        <v>172</v>
      </c>
      <c r="AJ228" s="3" t="str">
        <f>IFERROR(MID(VLOOKUP($B228,Seqs!$A:$B,2,0),AK228,1),"")</f>
        <v>D</v>
      </c>
      <c r="AK228" s="3">
        <v>175</v>
      </c>
      <c r="AL228" s="3" t="str">
        <f>IFERROR(MID(VLOOKUP($B228,Seqs!$A:$B,2,0),AM228,1),"")</f>
        <v>R</v>
      </c>
      <c r="AM228" s="3">
        <v>211</v>
      </c>
      <c r="AN228" s="3" t="str">
        <f>IFERROR(MID(VLOOKUP($B228,Seqs!$A:$B,2,0),AO228,1),"")</f>
        <v/>
      </c>
      <c r="AO228" s="3">
        <v>2214</v>
      </c>
      <c r="AP228" s="3" t="str">
        <f>IFERROR(MID(VLOOKUP($B228,Seqs!$A:$B,2,0),AQ228,1),"")</f>
        <v/>
      </c>
      <c r="AQ228" s="3">
        <v>2250</v>
      </c>
      <c r="AR228" s="3" t="str">
        <f>IFERROR(MID(VLOOKUP($B228,Seqs!$A:$B,2,0),AS228,1),"")</f>
        <v/>
      </c>
      <c r="AS228" s="3">
        <v>2255</v>
      </c>
      <c r="AT228" s="3" t="str">
        <f>IFERROR(MID(VLOOKUP($B228,Seqs!$A:$B,2,0),AU228,1),"")</f>
        <v/>
      </c>
      <c r="AU228" s="3">
        <v>2276</v>
      </c>
      <c r="AV228" s="3" t="str">
        <f>IFERROR(MID(VLOOKUP($B228,Seqs!$A:$B,2,0),AW228,1),"")</f>
        <v/>
      </c>
      <c r="AW228" s="3" t="s">
        <v>23</v>
      </c>
      <c r="AX228" s="3" t="str">
        <f>IFERROR(MID(VLOOKUP($B228,Seqs!$A:$B,2,0),AY228,1),"")</f>
        <v/>
      </c>
      <c r="AY228" s="3" t="s">
        <v>23</v>
      </c>
      <c r="AZ228" s="77" t="str">
        <f>VLOOKUP(B228,Classification!A:D,2,0)</f>
        <v>A</v>
      </c>
      <c r="BA228" s="94" t="str">
        <f>VLOOKUP(B228,Classification!A:D,4,0)</f>
        <v>Freefattyacid</v>
      </c>
      <c r="BB228" s="27" t="b">
        <f t="shared" si="1007"/>
        <v>1</v>
      </c>
      <c r="BC228" s="23">
        <f t="shared" si="1057"/>
        <v>233</v>
      </c>
      <c r="BD228" s="16" t="s">
        <v>23</v>
      </c>
      <c r="BE228" s="3" t="s">
        <v>1422</v>
      </c>
      <c r="BF228" s="118">
        <v>2.33</v>
      </c>
      <c r="BG228" s="49" t="s">
        <v>1371</v>
      </c>
      <c r="BH228" s="49" t="s">
        <v>1371</v>
      </c>
      <c r="BI228" s="1"/>
      <c r="BJ228" s="70" t="s">
        <v>1281</v>
      </c>
      <c r="BK228" s="57" t="s">
        <v>1281</v>
      </c>
      <c r="BL228" s="57" t="s">
        <v>1281</v>
      </c>
      <c r="BM228" s="57" t="s">
        <v>1281</v>
      </c>
      <c r="BN228" s="57" t="s">
        <v>1281</v>
      </c>
      <c r="BO228" s="57" t="s">
        <v>1281</v>
      </c>
      <c r="BP228" s="57" t="s">
        <v>1281</v>
      </c>
      <c r="BQ228" s="57" t="s">
        <v>1281</v>
      </c>
      <c r="BR228" s="57" t="s">
        <v>1281</v>
      </c>
      <c r="BS228" s="57" t="s">
        <v>1281</v>
      </c>
      <c r="BT228" s="57" t="s">
        <v>1281</v>
      </c>
      <c r="BU228" s="57" t="s">
        <v>1281</v>
      </c>
      <c r="BV228" s="70">
        <f>E228</f>
        <v>4</v>
      </c>
      <c r="BW228" s="71" t="str">
        <f>I228</f>
        <v>-</v>
      </c>
      <c r="BX228" s="72">
        <f>M228</f>
        <v>39</v>
      </c>
      <c r="BY228" s="71">
        <f>Q228</f>
        <v>71</v>
      </c>
      <c r="BZ228" s="72">
        <f>U228</f>
        <v>75</v>
      </c>
      <c r="CA228" s="71" t="str">
        <f>Y228</f>
        <v>-</v>
      </c>
      <c r="CB228" s="72">
        <f>AC228</f>
        <v>121</v>
      </c>
      <c r="CC228" s="71">
        <f>AG228</f>
        <v>170</v>
      </c>
      <c r="CD228" s="72">
        <f>AK228</f>
        <v>175</v>
      </c>
      <c r="CE228" s="71">
        <f>AO228</f>
        <v>2214</v>
      </c>
      <c r="CF228" s="72">
        <f>AS228</f>
        <v>2255</v>
      </c>
      <c r="CG228" s="71" t="str">
        <f>AW228</f>
        <v>-</v>
      </c>
      <c r="CH228" s="70">
        <f>G228</f>
        <v>37</v>
      </c>
      <c r="CI228" s="71" t="str">
        <f>K228</f>
        <v>-</v>
      </c>
      <c r="CJ228" s="72">
        <f>O228</f>
        <v>69</v>
      </c>
      <c r="CK228" s="72">
        <f>S228</f>
        <v>74</v>
      </c>
      <c r="CL228" s="72">
        <f>W228</f>
        <v>110</v>
      </c>
      <c r="CM228" s="72" t="str">
        <f>AA228</f>
        <v>-</v>
      </c>
      <c r="CN228" s="72">
        <f>AE228</f>
        <v>146</v>
      </c>
      <c r="CO228" s="72">
        <f>AI228</f>
        <v>172</v>
      </c>
      <c r="CP228" s="72">
        <f>AM228</f>
        <v>211</v>
      </c>
      <c r="CQ228" s="72">
        <f>AQ228</f>
        <v>2250</v>
      </c>
      <c r="CR228" s="72">
        <f>AU228</f>
        <v>2276</v>
      </c>
      <c r="CS228" s="72" t="str">
        <f>AY228</f>
        <v>-</v>
      </c>
      <c r="CT228" s="23" t="e">
        <f>M228-K228</f>
        <v>#VALUE!</v>
      </c>
    </row>
    <row r="229" spans="1:1029" x14ac:dyDescent="0.2">
      <c r="A229" s="3" t="str">
        <f>CONCATENATE(B229,"_",C229)</f>
        <v>ffar1_human_5KW2</v>
      </c>
      <c r="B229" s="3" t="s">
        <v>1166</v>
      </c>
      <c r="C229" s="3" t="s">
        <v>1485</v>
      </c>
      <c r="D229" s="3" t="str">
        <f>IFERROR(MID(VLOOKUP($B229,Seqs!$A:$B,2,0),E229,1),"")</f>
        <v>P</v>
      </c>
      <c r="E229" s="3">
        <v>4</v>
      </c>
      <c r="F229" s="3" t="str">
        <f>IFERROR(MID(VLOOKUP($B229,Seqs!$A:$B,2,0),G229,1),"")</f>
        <v>A</v>
      </c>
      <c r="G229" s="3">
        <v>32</v>
      </c>
      <c r="H229" s="3" t="str">
        <f>IFERROR(MID(VLOOKUP($B229,Seqs!$A:$B,2,0),I229,1),"")</f>
        <v/>
      </c>
      <c r="I229" s="23" t="s">
        <v>23</v>
      </c>
      <c r="J229" s="3" t="str">
        <f>IFERROR(MID(VLOOKUP($B229,Seqs!$A:$B,2,0),K229,1),"")</f>
        <v/>
      </c>
      <c r="K229" s="23" t="s">
        <v>23</v>
      </c>
      <c r="L229" s="3" t="str">
        <f>IFERROR(MID(VLOOKUP($B229,Seqs!$A:$B,2,0),M229,1),"")</f>
        <v>T</v>
      </c>
      <c r="M229" s="3">
        <v>39</v>
      </c>
      <c r="N229" s="3" t="str">
        <f>IFERROR(MID(VLOOKUP($B229,Seqs!$A:$B,2,0),O229,1),"")</f>
        <v>S</v>
      </c>
      <c r="O229" s="3">
        <v>69</v>
      </c>
      <c r="P229" s="3" t="str">
        <f>IFERROR(MID(VLOOKUP($B229,Seqs!$A:$B,2,0),Q229,1),"")</f>
        <v>A</v>
      </c>
      <c r="Q229" s="3">
        <v>71</v>
      </c>
      <c r="R229" s="3" t="str">
        <f>IFERROR(MID(VLOOKUP($B229,Seqs!$A:$B,2,0),S229,1),"")</f>
        <v>L</v>
      </c>
      <c r="S229" s="3">
        <v>74</v>
      </c>
      <c r="T229" s="3" t="str">
        <f>IFERROR(MID(VLOOKUP($B229,Seqs!$A:$B,2,0),U229,1),"")</f>
        <v>P</v>
      </c>
      <c r="U229" s="3">
        <v>75</v>
      </c>
      <c r="V229" s="3" t="str">
        <f>IFERROR(MID(VLOOKUP($B229,Seqs!$A:$B,2,0),W229,1),"")</f>
        <v>F</v>
      </c>
      <c r="W229" s="3">
        <v>110</v>
      </c>
      <c r="X229" s="3" t="str">
        <f>IFERROR(MID(VLOOKUP($B229,Seqs!$A:$B,2,0),Y229,1),"")</f>
        <v>P</v>
      </c>
      <c r="Y229" s="3">
        <v>111</v>
      </c>
      <c r="Z229" s="3" t="str">
        <f>IFERROR(MID(VLOOKUP($B229,Seqs!$A:$B,2,0),AA229,1),"")</f>
        <v>R</v>
      </c>
      <c r="AA229" s="3">
        <v>118</v>
      </c>
      <c r="AB229" s="3" t="str">
        <f>IFERROR(MID(VLOOKUP($B229,Seqs!$A:$B,2,0),AC229,1),"")</f>
        <v>R</v>
      </c>
      <c r="AC229" s="3">
        <v>119</v>
      </c>
      <c r="AD229" s="3" t="str">
        <f>IFERROR(MID(VLOOKUP($B229,Seqs!$A:$B,2,0),AE229,1),"")</f>
        <v>E</v>
      </c>
      <c r="AE229" s="3">
        <v>145</v>
      </c>
      <c r="AF229" s="3" t="str">
        <f>IFERROR(MID(VLOOKUP($B229,Seqs!$A:$B,2,0),AG229,1),"")</f>
        <v>C</v>
      </c>
      <c r="AG229" s="3">
        <v>170</v>
      </c>
      <c r="AH229" s="3" t="str">
        <f>IFERROR(MID(VLOOKUP($B229,Seqs!$A:$B,2,0),AI229,1),"")</f>
        <v>E</v>
      </c>
      <c r="AI229" s="3">
        <v>172</v>
      </c>
      <c r="AJ229" s="3" t="str">
        <f>IFERROR(MID(VLOOKUP($B229,Seqs!$A:$B,2,0),AK229,1),"")</f>
        <v>G</v>
      </c>
      <c r="AK229" s="3">
        <v>180</v>
      </c>
      <c r="AL229" s="3" t="str">
        <f>IFERROR(MID(VLOOKUP($B229,Seqs!$A:$B,2,0),AM229,1),"")</f>
        <v>R</v>
      </c>
      <c r="AM229" s="3">
        <v>211</v>
      </c>
      <c r="AN229" s="3" t="str">
        <f>IFERROR(MID(VLOOKUP($B229,Seqs!$A:$B,2,0),AO229,1),"")</f>
        <v/>
      </c>
      <c r="AO229" s="3">
        <v>2215</v>
      </c>
      <c r="AP229" s="3" t="str">
        <f>IFERROR(MID(VLOOKUP($B229,Seqs!$A:$B,2,0),AQ229,1),"")</f>
        <v/>
      </c>
      <c r="AQ229" s="3">
        <v>2249</v>
      </c>
      <c r="AR229" s="3" t="str">
        <f>IFERROR(MID(VLOOKUP($B229,Seqs!$A:$B,2,0),AS229,1),"")</f>
        <v/>
      </c>
      <c r="AS229" s="3">
        <v>2254</v>
      </c>
      <c r="AT229" s="3" t="str">
        <f>IFERROR(MID(VLOOKUP($B229,Seqs!$A:$B,2,0),AU229,1),"")</f>
        <v/>
      </c>
      <c r="AU229" s="3">
        <v>2275</v>
      </c>
      <c r="AV229" s="3" t="str">
        <f>IFERROR(MID(VLOOKUP($B229,Seqs!$A:$B,2,0),AW229,1),"")</f>
        <v/>
      </c>
      <c r="AW229" s="3" t="s">
        <v>23</v>
      </c>
      <c r="AX229" s="3" t="str">
        <f>IFERROR(MID(VLOOKUP($B229,Seqs!$A:$B,2,0),AY229,1),"")</f>
        <v/>
      </c>
      <c r="AY229" s="3" t="s">
        <v>23</v>
      </c>
      <c r="AZ229" s="77" t="str">
        <f>VLOOKUP(B229,Classification!A:D,2,0)</f>
        <v>A</v>
      </c>
      <c r="BA229" s="94" t="str">
        <f>VLOOKUP(B229,Classification!A:D,4,0)</f>
        <v>Freefattyacid</v>
      </c>
      <c r="BB229" s="27" t="b">
        <f>AND(E229&lt;G229,OR(G229&lt;I229,I229="-"),OR(I229&lt;K229,I229="-"),OR(K229&lt;M229,K229="-"),M229&lt;O229,OR(O229&lt;Q229,Q229="-"),OR(Q229&lt;S229,Q229="-"),OR(S229&lt;U229,S229="-"),U229&lt;W229,OR(W229&lt;Y229,Y229="-"),OR(Y229&lt;AA229,Y229="-"),OR(AA229&lt;AC229,AA229="-"),AC229&lt;AE229,OR(AE229&lt;AG229,AG229="-"),OR(AG229&lt;AI229,AG229="-"),OR(AI229&lt;AK229,AI229="-"),AK229&lt;AM229,AM229&lt;AO229,AO229&lt;AQ229,AQ229&lt;AS229,AS229&lt;AU229,OR(AU229&lt;AW229,AW229="-"),OR(AW229&lt;AY229,AW229="-"))</f>
        <v>1</v>
      </c>
      <c r="BC229" s="23">
        <f>_xlfn.AGGREGATE(9,6,CH229:CS229)-_xlfn.AGGREGATE(9,6,BV229:CG229)+12</f>
        <v>229</v>
      </c>
      <c r="BD229" s="16" t="s">
        <v>23</v>
      </c>
      <c r="BE229" s="3" t="s">
        <v>1422</v>
      </c>
      <c r="BF229" s="118">
        <v>2.76</v>
      </c>
      <c r="BG229" s="49" t="s">
        <v>1</v>
      </c>
      <c r="BH229" s="49" t="s">
        <v>1</v>
      </c>
      <c r="BI229" s="1"/>
      <c r="BJ229" s="70" t="s">
        <v>1281</v>
      </c>
      <c r="BK229" s="57" t="s">
        <v>1281</v>
      </c>
      <c r="BL229" s="57" t="s">
        <v>1281</v>
      </c>
      <c r="BM229" s="57" t="s">
        <v>1281</v>
      </c>
      <c r="BN229" s="57" t="s">
        <v>1281</v>
      </c>
      <c r="BO229" s="57" t="s">
        <v>1281</v>
      </c>
      <c r="BP229" s="57" t="s">
        <v>1281</v>
      </c>
      <c r="BQ229" s="57" t="s">
        <v>1281</v>
      </c>
      <c r="BR229" s="57" t="s">
        <v>1281</v>
      </c>
      <c r="BS229" s="57" t="s">
        <v>1281</v>
      </c>
      <c r="BT229" s="57" t="s">
        <v>1281</v>
      </c>
      <c r="BU229" s="57" t="s">
        <v>1281</v>
      </c>
      <c r="BV229" s="70">
        <f>E229</f>
        <v>4</v>
      </c>
      <c r="BW229" s="71" t="str">
        <f>I229</f>
        <v>-</v>
      </c>
      <c r="BX229" s="72">
        <f>M229</f>
        <v>39</v>
      </c>
      <c r="BY229" s="71">
        <f>Q229</f>
        <v>71</v>
      </c>
      <c r="BZ229" s="72">
        <f>U229</f>
        <v>75</v>
      </c>
      <c r="CA229" s="71">
        <f>Y229</f>
        <v>111</v>
      </c>
      <c r="CB229" s="72">
        <f>AC229</f>
        <v>119</v>
      </c>
      <c r="CC229" s="71">
        <f>AG229</f>
        <v>170</v>
      </c>
      <c r="CD229" s="72">
        <f>AK229</f>
        <v>180</v>
      </c>
      <c r="CE229" s="71">
        <f>AO229</f>
        <v>2215</v>
      </c>
      <c r="CF229" s="72">
        <f>AS229</f>
        <v>2254</v>
      </c>
      <c r="CG229" s="71" t="str">
        <f>AW229</f>
        <v>-</v>
      </c>
      <c r="CH229" s="70">
        <f>G229</f>
        <v>32</v>
      </c>
      <c r="CI229" s="71" t="str">
        <f>K229</f>
        <v>-</v>
      </c>
      <c r="CJ229" s="72">
        <f>O229</f>
        <v>69</v>
      </c>
      <c r="CK229" s="72">
        <f>S229</f>
        <v>74</v>
      </c>
      <c r="CL229" s="72">
        <f>W229</f>
        <v>110</v>
      </c>
      <c r="CM229" s="72">
        <f>AA229</f>
        <v>118</v>
      </c>
      <c r="CN229" s="72">
        <f>AE229</f>
        <v>145</v>
      </c>
      <c r="CO229" s="72">
        <f>AI229</f>
        <v>172</v>
      </c>
      <c r="CP229" s="72">
        <f>AM229</f>
        <v>211</v>
      </c>
      <c r="CQ229" s="72">
        <f>AQ229</f>
        <v>2249</v>
      </c>
      <c r="CR229" s="72">
        <f>AU229</f>
        <v>2275</v>
      </c>
      <c r="CS229" s="72" t="str">
        <f>AY229</f>
        <v>-</v>
      </c>
      <c r="CT229" s="23" t="e">
        <f>M229-K229</f>
        <v>#VALUE!</v>
      </c>
    </row>
    <row r="230" spans="1:1029" x14ac:dyDescent="0.2">
      <c r="A230" s="3" t="str">
        <f>CONCATENATE(B230,"_",C230)</f>
        <v>ffar1_human_5TZR</v>
      </c>
      <c r="B230" s="3" t="s">
        <v>1166</v>
      </c>
      <c r="C230" s="3" t="s">
        <v>1410</v>
      </c>
      <c r="D230" s="3" t="str">
        <f>IFERROR(MID(VLOOKUP($B230,Seqs!$A:$B,2,0),E230,1),"")</f>
        <v>P</v>
      </c>
      <c r="E230" s="3">
        <v>4</v>
      </c>
      <c r="F230" s="3" t="str">
        <f>IFERROR(MID(VLOOKUP($B230,Seqs!$A:$B,2,0),G230,1),"")</f>
        <v>R</v>
      </c>
      <c r="G230" s="3">
        <v>37</v>
      </c>
      <c r="H230" s="3" t="str">
        <f>IFERROR(MID(VLOOKUP($B230,Seqs!$A:$B,2,0),I230,1),"")</f>
        <v/>
      </c>
      <c r="I230" s="23" t="s">
        <v>23</v>
      </c>
      <c r="J230" s="3" t="str">
        <f>IFERROR(MID(VLOOKUP($B230,Seqs!$A:$B,2,0),K230,1),"")</f>
        <v/>
      </c>
      <c r="K230" s="23" t="s">
        <v>23</v>
      </c>
      <c r="L230" s="3" t="str">
        <f>IFERROR(MID(VLOOKUP($B230,Seqs!$A:$B,2,0),M230,1),"")</f>
        <v>T</v>
      </c>
      <c r="M230" s="3">
        <v>39</v>
      </c>
      <c r="N230" s="3" t="str">
        <f>IFERROR(MID(VLOOKUP($B230,Seqs!$A:$B,2,0),O230,1),"")</f>
        <v>S</v>
      </c>
      <c r="O230" s="3">
        <v>69</v>
      </c>
      <c r="P230" s="3" t="str">
        <f>IFERROR(MID(VLOOKUP($B230,Seqs!$A:$B,2,0),Q230,1),"")</f>
        <v>A</v>
      </c>
      <c r="Q230" s="3">
        <v>71</v>
      </c>
      <c r="R230" s="3" t="str">
        <f>IFERROR(MID(VLOOKUP($B230,Seqs!$A:$B,2,0),S230,1),"")</f>
        <v>L</v>
      </c>
      <c r="S230" s="3">
        <v>74</v>
      </c>
      <c r="T230" s="3" t="str">
        <f>IFERROR(MID(VLOOKUP($B230,Seqs!$A:$B,2,0),U230,1),"")</f>
        <v>P</v>
      </c>
      <c r="U230" s="3">
        <v>75</v>
      </c>
      <c r="V230" s="3" t="str">
        <f>IFERROR(MID(VLOOKUP($B230,Seqs!$A:$B,2,0),W230,1),"")</f>
        <v>F</v>
      </c>
      <c r="W230" s="3">
        <v>110</v>
      </c>
      <c r="X230" s="3" t="str">
        <f>IFERROR(MID(VLOOKUP($B230,Seqs!$A:$B,2,0),Y230,1),"")</f>
        <v/>
      </c>
      <c r="Y230" s="3" t="s">
        <v>23</v>
      </c>
      <c r="Z230" s="3" t="str">
        <f>IFERROR(MID(VLOOKUP($B230,Seqs!$A:$B,2,0),AA230,1),"")</f>
        <v/>
      </c>
      <c r="AA230" s="3" t="s">
        <v>23</v>
      </c>
      <c r="AB230" s="3" t="str">
        <f>IFERROR(MID(VLOOKUP($B230,Seqs!$A:$B,2,0),AC230,1),"")</f>
        <v>C</v>
      </c>
      <c r="AC230" s="3">
        <v>121</v>
      </c>
      <c r="AD230" s="3" t="str">
        <f>IFERROR(MID(VLOOKUP($B230,Seqs!$A:$B,2,0),AE230,1),"")</f>
        <v>A</v>
      </c>
      <c r="AE230" s="3">
        <v>146</v>
      </c>
      <c r="AF230" s="3" t="str">
        <f>IFERROR(MID(VLOOKUP($B230,Seqs!$A:$B,2,0),AG230,1),"")</f>
        <v>C</v>
      </c>
      <c r="AG230" s="3">
        <v>170</v>
      </c>
      <c r="AH230" s="3" t="str">
        <f>IFERROR(MID(VLOOKUP($B230,Seqs!$A:$B,2,0),AI230,1),"")</f>
        <v>E</v>
      </c>
      <c r="AI230" s="3">
        <v>172</v>
      </c>
      <c r="AJ230" s="3" t="str">
        <f>IFERROR(MID(VLOOKUP($B230,Seqs!$A:$B,2,0),AK230,1),"")</f>
        <v>D</v>
      </c>
      <c r="AK230" s="3">
        <v>175</v>
      </c>
      <c r="AL230" s="3" t="str">
        <f>IFERROR(MID(VLOOKUP($B230,Seqs!$A:$B,2,0),AM230,1),"")</f>
        <v>R</v>
      </c>
      <c r="AM230" s="3">
        <v>211</v>
      </c>
      <c r="AN230" s="3" t="str">
        <f>IFERROR(MID(VLOOKUP($B230,Seqs!$A:$B,2,0),AO230,1),"")</f>
        <v/>
      </c>
      <c r="AO230" s="3">
        <v>2214</v>
      </c>
      <c r="AP230" s="3" t="str">
        <f>IFERROR(MID(VLOOKUP($B230,Seqs!$A:$B,2,0),AQ230,1),"")</f>
        <v/>
      </c>
      <c r="AQ230" s="3">
        <v>2250</v>
      </c>
      <c r="AR230" s="3" t="str">
        <f>IFERROR(MID(VLOOKUP($B230,Seqs!$A:$B,2,0),AS230,1),"")</f>
        <v/>
      </c>
      <c r="AS230" s="3">
        <v>2255</v>
      </c>
      <c r="AT230" s="3" t="str">
        <f>IFERROR(MID(VLOOKUP($B230,Seqs!$A:$B,2,0),AU230,1),"")</f>
        <v/>
      </c>
      <c r="AU230" s="3">
        <v>2276</v>
      </c>
      <c r="AV230" s="3" t="str">
        <f>IFERROR(MID(VLOOKUP($B230,Seqs!$A:$B,2,0),AW230,1),"")</f>
        <v/>
      </c>
      <c r="AW230" s="3" t="s">
        <v>23</v>
      </c>
      <c r="AX230" s="3" t="str">
        <f>IFERROR(MID(VLOOKUP($B230,Seqs!$A:$B,2,0),AY230,1),"")</f>
        <v/>
      </c>
      <c r="AY230" s="3" t="s">
        <v>23</v>
      </c>
      <c r="AZ230" s="77" t="str">
        <f>VLOOKUP(B230,Classification!A:D,2,0)</f>
        <v>A</v>
      </c>
      <c r="BA230" s="94" t="str">
        <f>VLOOKUP(B230,Classification!A:D,4,0)</f>
        <v>Freefattyacid</v>
      </c>
      <c r="BB230" s="27" t="b">
        <f>AND(E230&lt;G230,OR(G230&lt;I230,I230="-"),OR(I230&lt;K230,I230="-"),OR(K230&lt;M230,K230="-"),M230&lt;O230,OR(O230&lt;Q230,Q230="-"),OR(Q230&lt;S230,Q230="-"),OR(S230&lt;U230,S230="-"),U230&lt;W230,OR(W230&lt;Y230,Y230="-"),OR(Y230&lt;AA230,Y230="-"),OR(AA230&lt;AC230,AA230="-"),AC230&lt;AE230,OR(AE230&lt;AG230,AG230="-"),OR(AG230&lt;AI230,AG230="-"),OR(AI230&lt;AK230,AI230="-"),AK230&lt;AM230,AM230&lt;AO230,AO230&lt;AQ230,AQ230&lt;AS230,AS230&lt;AU230,OR(AU230&lt;AW230,AW230="-"),OR(AW230&lt;AY230,AW230="-"))</f>
        <v>1</v>
      </c>
      <c r="BC230" s="23">
        <f>_xlfn.AGGREGATE(9,6,CH230:CS230)-_xlfn.AGGREGATE(9,6,BV230:CG230)+12</f>
        <v>233</v>
      </c>
      <c r="BD230" s="16" t="s">
        <v>23</v>
      </c>
      <c r="BE230" s="3" t="s">
        <v>1422</v>
      </c>
      <c r="BF230" s="118">
        <v>2.2000000000000002</v>
      </c>
      <c r="BG230" s="49" t="s">
        <v>1</v>
      </c>
      <c r="BH230" s="49" t="s">
        <v>1</v>
      </c>
      <c r="BI230" s="1"/>
      <c r="BJ230" s="70" t="s">
        <v>1281</v>
      </c>
      <c r="BK230" s="57" t="s">
        <v>1281</v>
      </c>
      <c r="BL230" s="57" t="s">
        <v>1281</v>
      </c>
      <c r="BM230" s="57" t="s">
        <v>1281</v>
      </c>
      <c r="BN230" s="57" t="s">
        <v>1281</v>
      </c>
      <c r="BO230" s="57" t="s">
        <v>1281</v>
      </c>
      <c r="BP230" s="57" t="s">
        <v>1281</v>
      </c>
      <c r="BQ230" s="57" t="s">
        <v>1281</v>
      </c>
      <c r="BR230" s="57" t="s">
        <v>1281</v>
      </c>
      <c r="BS230" s="57" t="s">
        <v>1281</v>
      </c>
      <c r="BT230" s="57" t="s">
        <v>1281</v>
      </c>
      <c r="BU230" s="57" t="s">
        <v>1281</v>
      </c>
      <c r="BV230" s="70">
        <f>E230</f>
        <v>4</v>
      </c>
      <c r="BW230" s="71" t="str">
        <f>I230</f>
        <v>-</v>
      </c>
      <c r="BX230" s="72">
        <f>M230</f>
        <v>39</v>
      </c>
      <c r="BY230" s="71">
        <f>Q230</f>
        <v>71</v>
      </c>
      <c r="BZ230" s="72">
        <f>U230</f>
        <v>75</v>
      </c>
      <c r="CA230" s="71" t="str">
        <f>Y230</f>
        <v>-</v>
      </c>
      <c r="CB230" s="72">
        <f>AC230</f>
        <v>121</v>
      </c>
      <c r="CC230" s="71">
        <f>AG230</f>
        <v>170</v>
      </c>
      <c r="CD230" s="72">
        <f>AK230</f>
        <v>175</v>
      </c>
      <c r="CE230" s="71">
        <f>AO230</f>
        <v>2214</v>
      </c>
      <c r="CF230" s="72">
        <f>AS230</f>
        <v>2255</v>
      </c>
      <c r="CG230" s="71" t="str">
        <f>AW230</f>
        <v>-</v>
      </c>
      <c r="CH230" s="70">
        <f>G230</f>
        <v>37</v>
      </c>
      <c r="CI230" s="71" t="str">
        <f>K230</f>
        <v>-</v>
      </c>
      <c r="CJ230" s="72">
        <f>O230</f>
        <v>69</v>
      </c>
      <c r="CK230" s="72">
        <f>S230</f>
        <v>74</v>
      </c>
      <c r="CL230" s="72">
        <f>W230</f>
        <v>110</v>
      </c>
      <c r="CM230" s="72" t="str">
        <f>AA230</f>
        <v>-</v>
      </c>
      <c r="CN230" s="72">
        <f>AE230</f>
        <v>146</v>
      </c>
      <c r="CO230" s="72">
        <f>AI230</f>
        <v>172</v>
      </c>
      <c r="CP230" s="72">
        <f>AM230</f>
        <v>211</v>
      </c>
      <c r="CQ230" s="72">
        <f>AQ230</f>
        <v>2250</v>
      </c>
      <c r="CR230" s="72">
        <f>AU230</f>
        <v>2276</v>
      </c>
      <c r="CS230" s="72" t="str">
        <f>AY230</f>
        <v>-</v>
      </c>
      <c r="CT230" s="23" t="e">
        <f>M230-K230</f>
        <v>#VALUE!</v>
      </c>
    </row>
    <row r="231" spans="1:1029" x14ac:dyDescent="0.2">
      <c r="A231" s="3" t="str">
        <f>CONCATENATE(B231,"_",C231)</f>
        <v>ffar1_human_5TZY</v>
      </c>
      <c r="B231" s="3" t="s">
        <v>1166</v>
      </c>
      <c r="C231" s="3" t="s">
        <v>1411</v>
      </c>
      <c r="D231" s="3" t="str">
        <f>IFERROR(MID(VLOOKUP($B231,Seqs!$A:$B,2,0),E231,1),"")</f>
        <v>P</v>
      </c>
      <c r="E231" s="3">
        <v>4</v>
      </c>
      <c r="F231" s="3" t="str">
        <f>IFERROR(MID(VLOOKUP($B231,Seqs!$A:$B,2,0),G231,1),"")</f>
        <v>R</v>
      </c>
      <c r="G231" s="3">
        <v>37</v>
      </c>
      <c r="H231" s="3" t="str">
        <f>IFERROR(MID(VLOOKUP($B231,Seqs!$A:$B,2,0),I231,1),"")</f>
        <v/>
      </c>
      <c r="I231" s="23" t="s">
        <v>23</v>
      </c>
      <c r="J231" s="3" t="str">
        <f>IFERROR(MID(VLOOKUP($B231,Seqs!$A:$B,2,0),K231,1),"")</f>
        <v/>
      </c>
      <c r="K231" s="23" t="s">
        <v>23</v>
      </c>
      <c r="L231" s="3" t="str">
        <f>IFERROR(MID(VLOOKUP($B231,Seqs!$A:$B,2,0),M231,1),"")</f>
        <v>T</v>
      </c>
      <c r="M231" s="3">
        <v>39</v>
      </c>
      <c r="N231" s="3" t="str">
        <f>IFERROR(MID(VLOOKUP($B231,Seqs!$A:$B,2,0),O231,1),"")</f>
        <v>A</v>
      </c>
      <c r="O231" s="3">
        <v>68</v>
      </c>
      <c r="P231" s="3" t="str">
        <f>IFERROR(MID(VLOOKUP($B231,Seqs!$A:$B,2,0),Q231,1),"")</f>
        <v>A</v>
      </c>
      <c r="Q231" s="3">
        <v>71</v>
      </c>
      <c r="R231" s="3" t="str">
        <f>IFERROR(MID(VLOOKUP($B231,Seqs!$A:$B,2,0),S231,1),"")</f>
        <v>L</v>
      </c>
      <c r="S231" s="3">
        <v>74</v>
      </c>
      <c r="T231" s="3" t="str">
        <f>IFERROR(MID(VLOOKUP($B231,Seqs!$A:$B,2,0),U231,1),"")</f>
        <v>P</v>
      </c>
      <c r="U231" s="3">
        <v>75</v>
      </c>
      <c r="V231" s="3" t="str">
        <f>IFERROR(MID(VLOOKUP($B231,Seqs!$A:$B,2,0),W231,1),"")</f>
        <v>F</v>
      </c>
      <c r="W231" s="3">
        <v>110</v>
      </c>
      <c r="X231" s="3" t="str">
        <f>IFERROR(MID(VLOOKUP($B231,Seqs!$A:$B,2,0),Y231,1),"")</f>
        <v>P</v>
      </c>
      <c r="Y231" s="3">
        <v>111</v>
      </c>
      <c r="Z231" s="3" t="str">
        <f>IFERROR(MID(VLOOKUP($B231,Seqs!$A:$B,2,0),AA231,1),"")</f>
        <v>R</v>
      </c>
      <c r="AA231" s="3">
        <v>118</v>
      </c>
      <c r="AB231" s="3" t="str">
        <f>IFERROR(MID(VLOOKUP($B231,Seqs!$A:$B,2,0),AC231,1),"")</f>
        <v>R</v>
      </c>
      <c r="AC231" s="3">
        <v>119</v>
      </c>
      <c r="AD231" s="3" t="str">
        <f>IFERROR(MID(VLOOKUP($B231,Seqs!$A:$B,2,0),AE231,1),"")</f>
        <v>A</v>
      </c>
      <c r="AE231" s="3">
        <v>146</v>
      </c>
      <c r="AF231" s="3" t="str">
        <f>IFERROR(MID(VLOOKUP($B231,Seqs!$A:$B,2,0),AG231,1),"")</f>
        <v>C</v>
      </c>
      <c r="AG231" s="3">
        <v>170</v>
      </c>
      <c r="AH231" s="3" t="str">
        <f>IFERROR(MID(VLOOKUP($B231,Seqs!$A:$B,2,0),AI231,1),"")</f>
        <v>E</v>
      </c>
      <c r="AI231" s="3">
        <v>172</v>
      </c>
      <c r="AJ231" s="3" t="str">
        <f>IFERROR(MID(VLOOKUP($B231,Seqs!$A:$B,2,0),AK231,1),"")</f>
        <v>D</v>
      </c>
      <c r="AK231" s="3">
        <v>175</v>
      </c>
      <c r="AL231" s="3" t="str">
        <f>IFERROR(MID(VLOOKUP($B231,Seqs!$A:$B,2,0),AM231,1),"")</f>
        <v>R</v>
      </c>
      <c r="AM231" s="3">
        <v>211</v>
      </c>
      <c r="AN231" s="3" t="str">
        <f>IFERROR(MID(VLOOKUP($B231,Seqs!$A:$B,2,0),AO231,1),"")</f>
        <v/>
      </c>
      <c r="AO231" s="3">
        <v>2215</v>
      </c>
      <c r="AP231" s="3" t="str">
        <f>IFERROR(MID(VLOOKUP($B231,Seqs!$A:$B,2,0),AQ231,1),"")</f>
        <v/>
      </c>
      <c r="AQ231" s="3">
        <v>2250</v>
      </c>
      <c r="AR231" s="3" t="str">
        <f>IFERROR(MID(VLOOKUP($B231,Seqs!$A:$B,2,0),AS231,1),"")</f>
        <v/>
      </c>
      <c r="AS231" s="3">
        <v>2254</v>
      </c>
      <c r="AT231" s="3" t="str">
        <f>IFERROR(MID(VLOOKUP($B231,Seqs!$A:$B,2,0),AU231,1),"")</f>
        <v/>
      </c>
      <c r="AU231" s="3">
        <v>2277</v>
      </c>
      <c r="AV231" s="3" t="str">
        <f>IFERROR(MID(VLOOKUP($B231,Seqs!$A:$B,2,0),AW231,1),"")</f>
        <v/>
      </c>
      <c r="AW231" s="3" t="s">
        <v>23</v>
      </c>
      <c r="AX231" s="3" t="str">
        <f>IFERROR(MID(VLOOKUP($B231,Seqs!$A:$B,2,0),AY231,1),"")</f>
        <v/>
      </c>
      <c r="AY231" s="3" t="s">
        <v>23</v>
      </c>
      <c r="AZ231" s="77" t="str">
        <f>VLOOKUP(B231,Classification!A:D,2,0)</f>
        <v>A</v>
      </c>
      <c r="BA231" s="94" t="str">
        <f>VLOOKUP(B231,Classification!A:D,4,0)</f>
        <v>Freefattyacid</v>
      </c>
      <c r="BB231" s="27" t="b">
        <f>AND(E231&lt;G231,OR(G231&lt;I231,I231="-"),OR(I231&lt;K231,I231="-"),OR(K231&lt;M231,K231="-"),M231&lt;O231,OR(O231&lt;Q231,Q231="-"),OR(Q231&lt;S231,Q231="-"),OR(S231&lt;U231,S231="-"),U231&lt;W231,OR(W231&lt;Y231,Y231="-"),OR(Y231&lt;AA231,Y231="-"),OR(AA231&lt;AC231,AA231="-"),AC231&lt;AE231,OR(AE231&lt;AG231,AG231="-"),OR(AG231&lt;AI231,AG231="-"),OR(AI231&lt;AK231,AI231="-"),AK231&lt;AM231,AM231&lt;AO231,AO231&lt;AQ231,AQ231&lt;AS231,AS231&lt;AU231,OR(AU231&lt;AW231,AW231="-"),OR(AW231&lt;AY231,AW231="-"))</f>
        <v>1</v>
      </c>
      <c r="BC231" s="23">
        <f>_xlfn.AGGREGATE(9,6,CH231:CS231)-_xlfn.AGGREGATE(9,6,BV231:CG231)+12</f>
        <v>242</v>
      </c>
      <c r="BD231" s="16" t="s">
        <v>1423</v>
      </c>
      <c r="BE231" s="3" t="s">
        <v>1422</v>
      </c>
      <c r="BF231" s="118">
        <v>3.22</v>
      </c>
      <c r="BG231" s="49" t="s">
        <v>1</v>
      </c>
      <c r="BH231" s="49" t="s">
        <v>1</v>
      </c>
      <c r="BI231" s="1"/>
      <c r="BJ231" s="70" t="s">
        <v>1281</v>
      </c>
      <c r="BK231" s="57" t="s">
        <v>1281</v>
      </c>
      <c r="BL231" s="57" t="s">
        <v>1281</v>
      </c>
      <c r="BM231" s="57" t="s">
        <v>1281</v>
      </c>
      <c r="BN231" s="57" t="s">
        <v>1281</v>
      </c>
      <c r="BO231" s="57" t="s">
        <v>1281</v>
      </c>
      <c r="BP231" s="57" t="s">
        <v>1281</v>
      </c>
      <c r="BQ231" s="57" t="s">
        <v>1281</v>
      </c>
      <c r="BR231" s="57" t="s">
        <v>1281</v>
      </c>
      <c r="BS231" s="57" t="s">
        <v>1281</v>
      </c>
      <c r="BT231" s="57" t="s">
        <v>1281</v>
      </c>
      <c r="BU231" s="57" t="s">
        <v>1281</v>
      </c>
      <c r="BV231" s="70">
        <f>E231</f>
        <v>4</v>
      </c>
      <c r="BW231" s="71" t="str">
        <f>I231</f>
        <v>-</v>
      </c>
      <c r="BX231" s="72">
        <f>M231</f>
        <v>39</v>
      </c>
      <c r="BY231" s="71">
        <f>Q231</f>
        <v>71</v>
      </c>
      <c r="BZ231" s="72">
        <f>U231</f>
        <v>75</v>
      </c>
      <c r="CA231" s="71">
        <f>Y231</f>
        <v>111</v>
      </c>
      <c r="CB231" s="72">
        <f>AC231</f>
        <v>119</v>
      </c>
      <c r="CC231" s="71">
        <f>AG231</f>
        <v>170</v>
      </c>
      <c r="CD231" s="72">
        <f>AK231</f>
        <v>175</v>
      </c>
      <c r="CE231" s="71">
        <f>AO231</f>
        <v>2215</v>
      </c>
      <c r="CF231" s="72">
        <f>AS231</f>
        <v>2254</v>
      </c>
      <c r="CG231" s="71" t="str">
        <f>AW231</f>
        <v>-</v>
      </c>
      <c r="CH231" s="70">
        <f>G231</f>
        <v>37</v>
      </c>
      <c r="CI231" s="71" t="str">
        <f>K231</f>
        <v>-</v>
      </c>
      <c r="CJ231" s="72">
        <f>O231</f>
        <v>68</v>
      </c>
      <c r="CK231" s="72">
        <f>S231</f>
        <v>74</v>
      </c>
      <c r="CL231" s="72">
        <f>W231</f>
        <v>110</v>
      </c>
      <c r="CM231" s="72">
        <f>AA231</f>
        <v>118</v>
      </c>
      <c r="CN231" s="72">
        <f>AE231</f>
        <v>146</v>
      </c>
      <c r="CO231" s="72">
        <f>AI231</f>
        <v>172</v>
      </c>
      <c r="CP231" s="72">
        <f>AM231</f>
        <v>211</v>
      </c>
      <c r="CQ231" s="72">
        <f>AQ231</f>
        <v>2250</v>
      </c>
      <c r="CR231" s="72">
        <f>AU231</f>
        <v>2277</v>
      </c>
      <c r="CS231" s="72" t="str">
        <f>AY231</f>
        <v>-</v>
      </c>
      <c r="CT231" s="23" t="e">
        <f>M231-K231</f>
        <v>#VALUE!</v>
      </c>
    </row>
    <row r="232" spans="1:1029" s="12" customFormat="1" x14ac:dyDescent="0.2">
      <c r="A232" s="9" t="str">
        <f>CONCATENATE(B232,"_",C232)</f>
        <v>fpr2_human__wt</v>
      </c>
      <c r="B232" s="9" t="s">
        <v>201</v>
      </c>
      <c r="C232" s="9" t="s">
        <v>100</v>
      </c>
      <c r="D232" s="9" t="str">
        <f>IFERROR(MID(VLOOKUP($B232,Seqs!$A:$B,2,0),E232,1),"")</f>
        <v>S</v>
      </c>
      <c r="E232" s="9">
        <v>19</v>
      </c>
      <c r="F232" s="9" t="str">
        <f>IFERROR(MID(VLOOKUP($B232,Seqs!$A:$B,2,0),G232,1),"")</f>
        <v>M</v>
      </c>
      <c r="G232" s="9">
        <v>55</v>
      </c>
      <c r="H232" s="9" t="str">
        <f>IFERROR(MID(VLOOKUP($B232,Seqs!$A:$B,2,0),I232,1),"")</f>
        <v/>
      </c>
      <c r="I232" s="109" t="s">
        <v>23</v>
      </c>
      <c r="J232" s="9" t="str">
        <f>IFERROR(MID(VLOOKUP($B232,Seqs!$A:$B,2,0),K232,1),"")</f>
        <v/>
      </c>
      <c r="K232" s="109" t="s">
        <v>23</v>
      </c>
      <c r="L232" s="9" t="str">
        <f>IFERROR(MID(VLOOKUP($B232,Seqs!$A:$B,2,0),M232,1),"")</f>
        <v>T</v>
      </c>
      <c r="M232" s="9">
        <v>58</v>
      </c>
      <c r="N232" s="9" t="str">
        <f>IFERROR(MID(VLOOKUP($B232,Seqs!$A:$B,2,0),O232,1),"")</f>
        <v>G</v>
      </c>
      <c r="O232" s="9">
        <v>88</v>
      </c>
      <c r="P232" s="9" t="str">
        <f>IFERROR(MID(VLOOKUP($B232,Seqs!$A:$B,2,0),Q232,1),"")</f>
        <v>K</v>
      </c>
      <c r="Q232" s="9">
        <v>90</v>
      </c>
      <c r="R232" s="9" t="str">
        <f>IFERROR(MID(VLOOKUP($B232,Seqs!$A:$B,2,0),S232,1),"")</f>
        <v>F</v>
      </c>
      <c r="S232" s="9">
        <v>93</v>
      </c>
      <c r="T232" s="9" t="str">
        <f>IFERROR(MID(VLOOKUP($B232,Seqs!$A:$B,2,0),U232,1),"")</f>
        <v>G</v>
      </c>
      <c r="U232" s="9">
        <v>94</v>
      </c>
      <c r="V232" s="9" t="str">
        <f>IFERROR(MID(VLOOKUP($B232,Seqs!$A:$B,2,0),W232,1),"")</f>
        <v>H</v>
      </c>
      <c r="W232" s="9">
        <v>129</v>
      </c>
      <c r="X232" s="9" t="str">
        <f>IFERROR(MID(VLOOKUP($B232,Seqs!$A:$B,2,0),Y232,1),"")</f>
        <v>P</v>
      </c>
      <c r="Y232" s="9">
        <v>130</v>
      </c>
      <c r="Z232" s="9" t="str">
        <f>IFERROR(MID(VLOOKUP($B232,Seqs!$A:$B,2,0),AA232,1),"")</f>
        <v>R</v>
      </c>
      <c r="AA232" s="9">
        <v>137</v>
      </c>
      <c r="AB232" s="9" t="str">
        <f>IFERROR(MID(VLOOKUP($B232,Seqs!$A:$B,2,0),AC232,1),"")</f>
        <v>T</v>
      </c>
      <c r="AC232" s="9">
        <v>138</v>
      </c>
      <c r="AD232" s="9" t="str">
        <f>IFERROR(MID(VLOOKUP($B232,Seqs!$A:$B,2,0),AE232,1),"")</f>
        <v>L</v>
      </c>
      <c r="AE232" s="9">
        <v>164</v>
      </c>
      <c r="AF232" s="9" t="str">
        <f>IFERROR(MID(VLOOKUP($B232,Seqs!$A:$B,2,0),AG232,1),"")</f>
        <v>C</v>
      </c>
      <c r="AG232" s="9">
        <v>176</v>
      </c>
      <c r="AH232" s="9" t="str">
        <f>IFERROR(MID(VLOOKUP($B232,Seqs!$A:$B,2,0),AI232,1),"")</f>
        <v>F</v>
      </c>
      <c r="AI232" s="9">
        <v>178</v>
      </c>
      <c r="AJ232" s="9" t="str">
        <f>IFERROR(MID(VLOOKUP($B232,Seqs!$A:$B,2,0),AK232,1),"")</f>
        <v>T</v>
      </c>
      <c r="AK232" s="9">
        <v>186</v>
      </c>
      <c r="AL232" s="9" t="str">
        <f>IFERROR(MID(VLOOKUP($B232,Seqs!$A:$B,2,0),AM232,1),"")</f>
        <v>G</v>
      </c>
      <c r="AM232" s="9">
        <v>232</v>
      </c>
      <c r="AN232" s="9" t="str">
        <f>IFERROR(MID(VLOOKUP($B232,Seqs!$A:$B,2,0),AO232,1),"")</f>
        <v>S</v>
      </c>
      <c r="AO232" s="9">
        <v>237</v>
      </c>
      <c r="AP232" s="9" t="str">
        <f>IFERROR(MID(VLOOKUP($B232,Seqs!$A:$B,2,0),AQ232,1),"")</f>
        <v>W</v>
      </c>
      <c r="AQ232" s="9">
        <v>267</v>
      </c>
      <c r="AR232" s="9" t="str">
        <f>IFERROR(MID(VLOOKUP($B232,Seqs!$A:$B,2,0),AS232,1),"")</f>
        <v>Y</v>
      </c>
      <c r="AS232" s="9">
        <v>277</v>
      </c>
      <c r="AT232" s="9" t="str">
        <f>IFERROR(MID(VLOOKUP($B232,Seqs!$A:$B,2,0),AU232,1),"")</f>
        <v>V</v>
      </c>
      <c r="AU232" s="9">
        <v>305</v>
      </c>
      <c r="AV232" s="9" t="str">
        <f>IFERROR(MID(VLOOKUP($B232,Seqs!$A:$B,2,0),AW232,1),"")</f>
        <v>G</v>
      </c>
      <c r="AW232" s="9">
        <v>306</v>
      </c>
      <c r="AX232" s="9" t="str">
        <f>IFERROR(MID(VLOOKUP($B232,Seqs!$A:$B,2,0),AY232,1),"")</f>
        <v>L</v>
      </c>
      <c r="AY232" s="9">
        <v>317</v>
      </c>
      <c r="AZ232" s="110" t="str">
        <f>VLOOKUP(B232,Classification!A:D,2,0)</f>
        <v>A</v>
      </c>
      <c r="BA232" s="98" t="str">
        <f>VLOOKUP(B232,Classification!A:D,4,0)</f>
        <v>Formylpeptide</v>
      </c>
      <c r="BB232" s="36" t="b">
        <f t="shared" ref="BB232:BB233" si="1060">AND(E232&lt;G232,OR(G232&lt;I232,I232="-"),OR(I232&lt;K232,I232="-"),OR(K232&lt;M232,K232="-"),M232&lt;O232,OR(O232&lt;Q232,Q232="-"),OR(Q232&lt;S232,Q232="-"),OR(S232&lt;U232,S232="-"),U232&lt;W232,OR(W232&lt;Y232,Y232="-"),OR(Y232&lt;AA232,Y232="-"),OR(AA232&lt;AC232,AA232="-"),AC232&lt;AE232,OR(AE232&lt;AG232,AG232="-"),OR(AG232&lt;AI232,AG232="-"),OR(AI232&lt;AK232,AI232="-"),AK232&lt;AM232,AM232&lt;AO232,AO232&lt;AQ232,AQ232&lt;AS232,AS232&lt;AU232,OR(AU232&lt;AW232,AW232="-"),OR(AW232&lt;AY232,AW232="-"))</f>
        <v>1</v>
      </c>
      <c r="BC232" s="109">
        <f t="shared" ref="BC232:BC233" si="1061">_xlfn.AGGREGATE(9,6,CH232:CS232)-_xlfn.AGGREGATE(9,6,BV232:CG232)+12</f>
        <v>266</v>
      </c>
      <c r="BD232" s="126" t="s">
        <v>23</v>
      </c>
      <c r="BE232" s="9" t="s">
        <v>23</v>
      </c>
      <c r="BF232" s="119" t="s">
        <v>23</v>
      </c>
      <c r="BG232" s="51" t="s">
        <v>23</v>
      </c>
      <c r="BH232" s="51" t="s">
        <v>23</v>
      </c>
      <c r="BJ232" s="111" t="s">
        <v>1281</v>
      </c>
      <c r="BK232" s="112" t="s">
        <v>1281</v>
      </c>
      <c r="BL232" s="112" t="s">
        <v>1281</v>
      </c>
      <c r="BM232" s="112" t="s">
        <v>1281</v>
      </c>
      <c r="BN232" s="112" t="s">
        <v>1281</v>
      </c>
      <c r="BO232" s="112" t="s">
        <v>1281</v>
      </c>
      <c r="BP232" s="112" t="s">
        <v>1281</v>
      </c>
      <c r="BQ232" s="112" t="s">
        <v>1281</v>
      </c>
      <c r="BR232" s="112" t="s">
        <v>1281</v>
      </c>
      <c r="BS232" s="112" t="s">
        <v>1281</v>
      </c>
      <c r="BT232" s="112" t="s">
        <v>1281</v>
      </c>
      <c r="BU232" s="112" t="s">
        <v>1281</v>
      </c>
      <c r="BV232" s="111">
        <f>E232</f>
        <v>19</v>
      </c>
      <c r="BW232" s="113" t="str">
        <f>I232</f>
        <v>-</v>
      </c>
      <c r="BX232" s="114">
        <f>M232</f>
        <v>58</v>
      </c>
      <c r="BY232" s="113">
        <f>Q232</f>
        <v>90</v>
      </c>
      <c r="BZ232" s="114">
        <f>U232</f>
        <v>94</v>
      </c>
      <c r="CA232" s="113">
        <f>Y232</f>
        <v>130</v>
      </c>
      <c r="CB232" s="114">
        <f>AC232</f>
        <v>138</v>
      </c>
      <c r="CC232" s="113">
        <f>AG232</f>
        <v>176</v>
      </c>
      <c r="CD232" s="114">
        <f>AK232</f>
        <v>186</v>
      </c>
      <c r="CE232" s="113">
        <f>AO232</f>
        <v>237</v>
      </c>
      <c r="CF232" s="114">
        <f>AS232</f>
        <v>277</v>
      </c>
      <c r="CG232" s="113">
        <f>AW232</f>
        <v>306</v>
      </c>
      <c r="CH232" s="111">
        <f>G232</f>
        <v>55</v>
      </c>
      <c r="CI232" s="113" t="str">
        <f>K232</f>
        <v>-</v>
      </c>
      <c r="CJ232" s="114">
        <f>O232</f>
        <v>88</v>
      </c>
      <c r="CK232" s="114">
        <f>S232</f>
        <v>93</v>
      </c>
      <c r="CL232" s="114">
        <f>W232</f>
        <v>129</v>
      </c>
      <c r="CM232" s="114">
        <f>AA232</f>
        <v>137</v>
      </c>
      <c r="CN232" s="114">
        <f>AE232</f>
        <v>164</v>
      </c>
      <c r="CO232" s="114">
        <f>AI232</f>
        <v>178</v>
      </c>
      <c r="CP232" s="114">
        <f>AM232</f>
        <v>232</v>
      </c>
      <c r="CQ232" s="114">
        <f>AQ232</f>
        <v>267</v>
      </c>
      <c r="CR232" s="114">
        <f>AU232</f>
        <v>305</v>
      </c>
      <c r="CS232" s="114">
        <f>AY232</f>
        <v>317</v>
      </c>
      <c r="CT232" s="109" t="e">
        <f>M232-K232</f>
        <v>#VALUE!</v>
      </c>
      <c r="CU232" s="9"/>
      <c r="CV232" s="9"/>
      <c r="CW232" s="9"/>
      <c r="CX232" s="9"/>
      <c r="CY232" s="9"/>
      <c r="CZ232" s="9"/>
      <c r="DA232" s="9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  <c r="DM232" s="9"/>
      <c r="DN232" s="9"/>
      <c r="DO232" s="9"/>
      <c r="DP232" s="9"/>
      <c r="DQ232" s="9"/>
      <c r="DR232" s="9"/>
      <c r="DS232" s="9"/>
      <c r="DT232" s="9"/>
      <c r="DU232" s="9"/>
      <c r="DV232" s="9"/>
      <c r="DW232" s="9"/>
      <c r="DX232" s="9"/>
      <c r="DY232" s="9"/>
      <c r="DZ232" s="9"/>
      <c r="EA232" s="9"/>
      <c r="EB232" s="9"/>
      <c r="EC232" s="9"/>
      <c r="ED232" s="9"/>
      <c r="EE232" s="9"/>
      <c r="EF232" s="9"/>
      <c r="EG232" s="9"/>
      <c r="EH232" s="9"/>
      <c r="EI232" s="9"/>
      <c r="EJ232" s="9"/>
      <c r="EK232" s="9"/>
      <c r="EL232" s="9"/>
      <c r="EM232" s="9"/>
      <c r="EN232" s="9"/>
      <c r="EO232" s="9"/>
      <c r="EP232" s="9"/>
      <c r="EQ232" s="9"/>
      <c r="ER232" s="9"/>
      <c r="ES232" s="9"/>
      <c r="ET232" s="9"/>
      <c r="EU232" s="9"/>
      <c r="EV232" s="9"/>
      <c r="EW232" s="9"/>
      <c r="EX232" s="9"/>
      <c r="EY232" s="9"/>
      <c r="EZ232" s="9"/>
      <c r="FA232" s="9"/>
      <c r="FB232" s="9"/>
      <c r="FC232" s="9"/>
      <c r="FD232" s="9"/>
      <c r="FE232" s="9"/>
      <c r="FF232" s="9"/>
      <c r="FG232" s="9"/>
      <c r="FH232" s="9"/>
      <c r="FI232" s="9"/>
      <c r="FJ232" s="9"/>
      <c r="FK232" s="9"/>
      <c r="FL232" s="9"/>
      <c r="FM232" s="9"/>
      <c r="FN232" s="9"/>
      <c r="FO232" s="9"/>
      <c r="FP232" s="9"/>
      <c r="FQ232" s="9"/>
      <c r="FR232" s="9"/>
      <c r="FS232" s="9"/>
      <c r="FT232" s="9"/>
      <c r="FU232" s="9"/>
      <c r="FV232" s="9"/>
      <c r="FW232" s="9"/>
      <c r="FX232" s="9"/>
      <c r="FY232" s="9"/>
      <c r="FZ232" s="9"/>
      <c r="GA232" s="9"/>
      <c r="GB232" s="9"/>
      <c r="GC232" s="9"/>
      <c r="GD232" s="9"/>
      <c r="GE232" s="9"/>
      <c r="GF232" s="9"/>
      <c r="GG232" s="9"/>
      <c r="GH232" s="9"/>
      <c r="GI232" s="9"/>
      <c r="GJ232" s="9"/>
      <c r="GK232" s="9"/>
      <c r="GL232" s="9"/>
      <c r="GM232" s="9"/>
      <c r="GN232" s="9"/>
      <c r="GO232" s="9"/>
      <c r="GP232" s="9"/>
      <c r="GQ232" s="9"/>
      <c r="GR232" s="9"/>
      <c r="GS232" s="9"/>
      <c r="GT232" s="9"/>
      <c r="GU232" s="9"/>
      <c r="GV232" s="9"/>
      <c r="GW232" s="9"/>
      <c r="GX232" s="9"/>
      <c r="GY232" s="9"/>
      <c r="GZ232" s="9"/>
      <c r="HA232" s="9"/>
      <c r="HB232" s="9"/>
      <c r="HC232" s="9"/>
      <c r="HD232" s="9"/>
      <c r="HE232" s="9"/>
      <c r="HF232" s="9"/>
      <c r="HG232" s="9"/>
      <c r="HH232" s="9"/>
      <c r="HI232" s="9"/>
      <c r="HJ232" s="9"/>
      <c r="HK232" s="9"/>
      <c r="HL232" s="9"/>
      <c r="HM232" s="9"/>
      <c r="HN232" s="9"/>
      <c r="HO232" s="9"/>
      <c r="HP232" s="9"/>
      <c r="HQ232" s="9"/>
      <c r="HR232" s="9"/>
      <c r="HS232" s="9"/>
      <c r="HT232" s="9"/>
      <c r="HU232" s="9"/>
      <c r="HV232" s="9"/>
      <c r="HW232" s="9"/>
      <c r="HX232" s="9"/>
      <c r="HY232" s="9"/>
      <c r="HZ232" s="9"/>
      <c r="IA232" s="9"/>
      <c r="IB232" s="9"/>
      <c r="IC232" s="9"/>
      <c r="ID232" s="9"/>
      <c r="IE232" s="9"/>
      <c r="IF232" s="9"/>
      <c r="IG232" s="9"/>
      <c r="IH232" s="9"/>
      <c r="II232" s="9"/>
      <c r="IJ232" s="9"/>
      <c r="IK232" s="9"/>
      <c r="IL232" s="9"/>
      <c r="IM232" s="9"/>
      <c r="IN232" s="9"/>
      <c r="IO232" s="9"/>
      <c r="IP232" s="9"/>
      <c r="IQ232" s="9"/>
      <c r="IR232" s="9"/>
      <c r="IS232" s="9"/>
      <c r="IT232" s="9"/>
      <c r="IU232" s="9"/>
      <c r="IV232" s="9"/>
      <c r="IW232" s="9"/>
      <c r="IX232" s="9"/>
      <c r="IY232" s="9"/>
      <c r="IZ232" s="9"/>
      <c r="JA232" s="9"/>
      <c r="JB232" s="9"/>
      <c r="JC232" s="9"/>
      <c r="JD232" s="9"/>
      <c r="JE232" s="9"/>
      <c r="JF232" s="9"/>
      <c r="JG232" s="9"/>
      <c r="JH232" s="9"/>
      <c r="JI232" s="9"/>
      <c r="JJ232" s="9"/>
      <c r="JK232" s="9"/>
      <c r="JL232" s="9"/>
      <c r="JM232" s="9"/>
      <c r="JN232" s="9"/>
      <c r="JO232" s="9"/>
      <c r="JP232" s="9"/>
      <c r="JQ232" s="9"/>
      <c r="JR232" s="9"/>
      <c r="JS232" s="9"/>
      <c r="JT232" s="9"/>
      <c r="JU232" s="9"/>
      <c r="JV232" s="9"/>
      <c r="JW232" s="9"/>
      <c r="JX232" s="9"/>
      <c r="JY232" s="9"/>
      <c r="JZ232" s="9"/>
      <c r="KA232" s="9"/>
      <c r="KB232" s="9"/>
      <c r="KC232" s="9"/>
      <c r="KD232" s="9"/>
      <c r="KE232" s="9"/>
      <c r="KF232" s="9"/>
      <c r="KG232" s="9"/>
      <c r="KH232" s="9"/>
      <c r="KI232" s="9"/>
      <c r="KJ232" s="9"/>
      <c r="KK232" s="9"/>
      <c r="KL232" s="9"/>
      <c r="KM232" s="9"/>
      <c r="KN232" s="9"/>
      <c r="KO232" s="9"/>
      <c r="KP232" s="9"/>
      <c r="KQ232" s="9"/>
      <c r="KR232" s="9"/>
      <c r="KS232" s="9"/>
      <c r="KT232" s="9"/>
      <c r="KU232" s="9"/>
      <c r="KV232" s="9"/>
      <c r="KW232" s="9"/>
      <c r="KX232" s="9"/>
      <c r="KY232" s="9"/>
      <c r="KZ232" s="9"/>
      <c r="LA232" s="9"/>
      <c r="LB232" s="9"/>
      <c r="LC232" s="9"/>
      <c r="LD232" s="9"/>
      <c r="LE232" s="9"/>
      <c r="LF232" s="9"/>
      <c r="LG232" s="9"/>
      <c r="LH232" s="9"/>
      <c r="LI232" s="9"/>
      <c r="LJ232" s="9"/>
      <c r="LK232" s="9"/>
      <c r="LL232" s="9"/>
      <c r="LM232" s="9"/>
      <c r="LN232" s="9"/>
      <c r="LO232" s="9"/>
      <c r="LP232" s="9"/>
      <c r="LQ232" s="9"/>
      <c r="LR232" s="9"/>
      <c r="LS232" s="9"/>
      <c r="LT232" s="9"/>
      <c r="LU232" s="9"/>
      <c r="LV232" s="9"/>
      <c r="LW232" s="9"/>
      <c r="LX232" s="9"/>
      <c r="LY232" s="9"/>
      <c r="LZ232" s="9"/>
      <c r="MA232" s="9"/>
      <c r="MB232" s="9"/>
      <c r="MC232" s="9"/>
      <c r="MD232" s="9"/>
      <c r="ME232" s="9"/>
      <c r="MF232" s="9"/>
      <c r="MG232" s="9"/>
      <c r="MH232" s="9"/>
      <c r="MI232" s="9"/>
      <c r="MJ232" s="9"/>
      <c r="MK232" s="9"/>
      <c r="ML232" s="9"/>
      <c r="MM232" s="9"/>
      <c r="MN232" s="9"/>
      <c r="MO232" s="9"/>
      <c r="MP232" s="9"/>
      <c r="MQ232" s="9"/>
      <c r="MR232" s="9"/>
      <c r="MS232" s="9"/>
      <c r="MT232" s="9"/>
      <c r="MU232" s="9"/>
      <c r="MV232" s="9"/>
      <c r="MW232" s="9"/>
      <c r="MX232" s="9"/>
      <c r="MY232" s="9"/>
      <c r="MZ232" s="9"/>
      <c r="NA232" s="9"/>
      <c r="NB232" s="9"/>
      <c r="NC232" s="9"/>
      <c r="ND232" s="9"/>
      <c r="NE232" s="9"/>
      <c r="NF232" s="9"/>
      <c r="NG232" s="9"/>
      <c r="NH232" s="9"/>
      <c r="NI232" s="9"/>
      <c r="NJ232" s="9"/>
      <c r="NK232" s="9"/>
      <c r="NL232" s="9"/>
      <c r="NM232" s="9"/>
      <c r="NN232" s="9"/>
      <c r="NO232" s="9"/>
      <c r="NP232" s="9"/>
      <c r="NQ232" s="9"/>
      <c r="NR232" s="9"/>
      <c r="NS232" s="9"/>
      <c r="NT232" s="9"/>
      <c r="NU232" s="9"/>
      <c r="NV232" s="9"/>
      <c r="NW232" s="9"/>
      <c r="NX232" s="9"/>
      <c r="NY232" s="9"/>
      <c r="NZ232" s="9"/>
      <c r="OA232" s="9"/>
      <c r="OB232" s="9"/>
      <c r="OC232" s="9"/>
      <c r="OD232" s="9"/>
      <c r="OE232" s="9"/>
      <c r="OF232" s="9"/>
      <c r="OG232" s="9"/>
      <c r="OH232" s="9"/>
      <c r="OI232" s="9"/>
      <c r="OJ232" s="9"/>
      <c r="OK232" s="9"/>
      <c r="OL232" s="9"/>
      <c r="OM232" s="9"/>
      <c r="ON232" s="9"/>
      <c r="OO232" s="9"/>
      <c r="OP232" s="9"/>
      <c r="OQ232" s="9"/>
      <c r="OR232" s="9"/>
      <c r="OS232" s="9"/>
      <c r="OT232" s="9"/>
      <c r="OU232" s="9"/>
      <c r="OV232" s="9"/>
      <c r="OW232" s="9"/>
      <c r="OX232" s="9"/>
      <c r="OY232" s="9"/>
      <c r="OZ232" s="9"/>
      <c r="PA232" s="9"/>
      <c r="PB232" s="9"/>
      <c r="PC232" s="9"/>
      <c r="PD232" s="9"/>
      <c r="PE232" s="9"/>
      <c r="PF232" s="9"/>
      <c r="PG232" s="9"/>
      <c r="PH232" s="9"/>
      <c r="PI232" s="9"/>
      <c r="PJ232" s="9"/>
      <c r="PK232" s="9"/>
      <c r="PL232" s="9"/>
      <c r="PM232" s="9"/>
      <c r="PN232" s="9"/>
      <c r="PO232" s="9"/>
      <c r="PP232" s="9"/>
      <c r="PQ232" s="9"/>
      <c r="PR232" s="9"/>
      <c r="PS232" s="9"/>
      <c r="PT232" s="9"/>
      <c r="PU232" s="9"/>
      <c r="PV232" s="9"/>
      <c r="PW232" s="9"/>
      <c r="PX232" s="9"/>
      <c r="PY232" s="9"/>
      <c r="PZ232" s="9"/>
      <c r="QA232" s="9"/>
      <c r="QB232" s="9"/>
      <c r="QC232" s="9"/>
      <c r="QD232" s="9"/>
      <c r="QE232" s="9"/>
      <c r="QF232" s="9"/>
      <c r="QG232" s="9"/>
      <c r="QH232" s="9"/>
      <c r="QI232" s="9"/>
      <c r="QJ232" s="9"/>
      <c r="QK232" s="9"/>
      <c r="QL232" s="9"/>
      <c r="QM232" s="9"/>
      <c r="QN232" s="9"/>
      <c r="QO232" s="9"/>
      <c r="QP232" s="9"/>
      <c r="QQ232" s="9"/>
      <c r="QR232" s="9"/>
      <c r="QS232" s="9"/>
      <c r="QT232" s="9"/>
      <c r="QU232" s="9"/>
      <c r="QV232" s="9"/>
      <c r="QW232" s="9"/>
      <c r="QX232" s="9"/>
      <c r="QY232" s="9"/>
      <c r="QZ232" s="9"/>
      <c r="RA232" s="9"/>
      <c r="RB232" s="9"/>
      <c r="RC232" s="9"/>
      <c r="RD232" s="9"/>
      <c r="RE232" s="9"/>
      <c r="RF232" s="9"/>
      <c r="RG232" s="9"/>
      <c r="RH232" s="9"/>
      <c r="RI232" s="9"/>
      <c r="RJ232" s="9"/>
      <c r="RK232" s="9"/>
      <c r="RL232" s="9"/>
      <c r="RM232" s="9"/>
      <c r="RN232" s="9"/>
      <c r="RO232" s="9"/>
      <c r="RP232" s="9"/>
      <c r="RQ232" s="9"/>
      <c r="RR232" s="9"/>
      <c r="RS232" s="9"/>
      <c r="RT232" s="9"/>
      <c r="RU232" s="9"/>
      <c r="RV232" s="9"/>
      <c r="RW232" s="9"/>
      <c r="RX232" s="9"/>
      <c r="RY232" s="9"/>
      <c r="RZ232" s="9"/>
      <c r="SA232" s="9"/>
      <c r="SB232" s="9"/>
      <c r="SC232" s="9"/>
      <c r="SD232" s="9"/>
      <c r="SE232" s="9"/>
      <c r="SF232" s="9"/>
      <c r="SG232" s="9"/>
      <c r="SH232" s="9"/>
      <c r="SI232" s="9"/>
      <c r="SJ232" s="9"/>
      <c r="SK232" s="9"/>
      <c r="SL232" s="9"/>
      <c r="SM232" s="9"/>
      <c r="SN232" s="9"/>
      <c r="SO232" s="9"/>
      <c r="SP232" s="9"/>
      <c r="SQ232" s="9"/>
      <c r="SR232" s="9"/>
      <c r="SS232" s="9"/>
      <c r="ST232" s="9"/>
      <c r="SU232" s="9"/>
      <c r="SV232" s="9"/>
      <c r="SW232" s="9"/>
      <c r="SX232" s="9"/>
      <c r="SY232" s="9"/>
      <c r="SZ232" s="9"/>
      <c r="TA232" s="9"/>
      <c r="TB232" s="9"/>
      <c r="TC232" s="9"/>
      <c r="TD232" s="9"/>
      <c r="TE232" s="9"/>
      <c r="TF232" s="9"/>
      <c r="TG232" s="9"/>
      <c r="TH232" s="9"/>
      <c r="TI232" s="9"/>
      <c r="TJ232" s="9"/>
      <c r="TK232" s="9"/>
      <c r="TL232" s="9"/>
      <c r="TM232" s="9"/>
      <c r="TN232" s="9"/>
      <c r="TO232" s="9"/>
      <c r="TP232" s="9"/>
      <c r="TQ232" s="9"/>
      <c r="TR232" s="9"/>
      <c r="TS232" s="9"/>
      <c r="TT232" s="9"/>
      <c r="TU232" s="9"/>
      <c r="TV232" s="9"/>
      <c r="TW232" s="9"/>
      <c r="TX232" s="9"/>
      <c r="TY232" s="9"/>
      <c r="TZ232" s="9"/>
      <c r="UA232" s="9"/>
      <c r="UB232" s="9"/>
      <c r="UC232" s="9"/>
      <c r="UD232" s="9"/>
      <c r="UE232" s="9"/>
      <c r="UF232" s="9"/>
      <c r="UG232" s="9"/>
      <c r="UH232" s="9"/>
      <c r="UI232" s="9"/>
      <c r="UJ232" s="9"/>
      <c r="UK232" s="9"/>
      <c r="UL232" s="9"/>
      <c r="UM232" s="9"/>
      <c r="UN232" s="9"/>
      <c r="UO232" s="9"/>
      <c r="UP232" s="9"/>
      <c r="UQ232" s="9"/>
      <c r="UR232" s="9"/>
      <c r="US232" s="9"/>
      <c r="UT232" s="9"/>
      <c r="UU232" s="9"/>
      <c r="UV232" s="9"/>
      <c r="UW232" s="9"/>
      <c r="UX232" s="9"/>
      <c r="UY232" s="9"/>
      <c r="UZ232" s="9"/>
      <c r="VA232" s="9"/>
      <c r="VB232" s="9"/>
      <c r="VC232" s="9"/>
      <c r="VD232" s="9"/>
      <c r="VE232" s="9"/>
      <c r="VF232" s="9"/>
      <c r="VG232" s="9"/>
      <c r="VH232" s="9"/>
      <c r="VI232" s="9"/>
      <c r="VJ232" s="9"/>
      <c r="VK232" s="9"/>
      <c r="VL232" s="9"/>
      <c r="VM232" s="9"/>
      <c r="VN232" s="9"/>
      <c r="VO232" s="9"/>
      <c r="VP232" s="9"/>
      <c r="VQ232" s="9"/>
      <c r="VR232" s="9"/>
      <c r="VS232" s="9"/>
      <c r="VT232" s="9"/>
      <c r="VU232" s="9"/>
      <c r="VV232" s="9"/>
      <c r="VW232" s="9"/>
      <c r="VX232" s="9"/>
      <c r="VY232" s="9"/>
      <c r="VZ232" s="9"/>
      <c r="WA232" s="9"/>
      <c r="WB232" s="9"/>
      <c r="WC232" s="9"/>
      <c r="WD232" s="9"/>
      <c r="WE232" s="9"/>
      <c r="WF232" s="9"/>
      <c r="WG232" s="9"/>
      <c r="WH232" s="9"/>
      <c r="WI232" s="9"/>
      <c r="WJ232" s="9"/>
      <c r="WK232" s="9"/>
      <c r="WL232" s="9"/>
      <c r="WM232" s="9"/>
      <c r="WN232" s="9"/>
      <c r="WO232" s="9"/>
      <c r="WP232" s="9"/>
      <c r="WQ232" s="9"/>
      <c r="WR232" s="9"/>
      <c r="WS232" s="9"/>
      <c r="WT232" s="9"/>
      <c r="WU232" s="9"/>
      <c r="WV232" s="9"/>
      <c r="WW232" s="9"/>
      <c r="WX232" s="9"/>
      <c r="WY232" s="9"/>
      <c r="WZ232" s="9"/>
      <c r="XA232" s="9"/>
      <c r="XB232" s="9"/>
      <c r="XC232" s="9"/>
      <c r="XD232" s="9"/>
      <c r="XE232" s="9"/>
      <c r="XF232" s="9"/>
      <c r="XG232" s="9"/>
      <c r="XH232" s="9"/>
      <c r="XI232" s="9"/>
      <c r="XJ232" s="9"/>
      <c r="XK232" s="9"/>
      <c r="XL232" s="9"/>
      <c r="XM232" s="9"/>
      <c r="XN232" s="9"/>
      <c r="XO232" s="9"/>
      <c r="XP232" s="9"/>
      <c r="XQ232" s="9"/>
      <c r="XR232" s="9"/>
      <c r="XS232" s="9"/>
      <c r="XT232" s="9"/>
      <c r="XU232" s="9"/>
      <c r="XV232" s="9"/>
      <c r="XW232" s="9"/>
      <c r="XX232" s="9"/>
      <c r="XY232" s="9"/>
      <c r="XZ232" s="9"/>
      <c r="YA232" s="9"/>
      <c r="YB232" s="9"/>
      <c r="YC232" s="9"/>
      <c r="YD232" s="9"/>
      <c r="YE232" s="9"/>
      <c r="YF232" s="9"/>
      <c r="YG232" s="9"/>
      <c r="YH232" s="9"/>
      <c r="YI232" s="9"/>
      <c r="YJ232" s="9"/>
      <c r="YK232" s="9"/>
      <c r="YL232" s="9"/>
      <c r="YM232" s="9"/>
      <c r="YN232" s="9"/>
      <c r="YO232" s="9"/>
      <c r="YP232" s="9"/>
      <c r="YQ232" s="9"/>
      <c r="YR232" s="9"/>
      <c r="YS232" s="9"/>
      <c r="YT232" s="9"/>
      <c r="YU232" s="9"/>
      <c r="YV232" s="9"/>
      <c r="YW232" s="9"/>
      <c r="YX232" s="9"/>
      <c r="YY232" s="9"/>
      <c r="YZ232" s="9"/>
      <c r="ZA232" s="9"/>
      <c r="ZB232" s="9"/>
      <c r="ZC232" s="9"/>
      <c r="ZD232" s="9"/>
      <c r="ZE232" s="9"/>
      <c r="ZF232" s="9"/>
      <c r="ZG232" s="9"/>
      <c r="ZH232" s="9"/>
      <c r="ZI232" s="9"/>
      <c r="ZJ232" s="9"/>
      <c r="ZK232" s="9"/>
      <c r="ZL232" s="9"/>
      <c r="ZM232" s="9"/>
      <c r="ZN232" s="9"/>
      <c r="ZO232" s="9"/>
      <c r="ZP232" s="9"/>
      <c r="ZQ232" s="9"/>
      <c r="ZR232" s="9"/>
      <c r="ZS232" s="9"/>
      <c r="ZT232" s="9"/>
      <c r="ZU232" s="9"/>
      <c r="ZV232" s="9"/>
      <c r="ZW232" s="9"/>
      <c r="ZX232" s="9"/>
      <c r="ZY232" s="9"/>
      <c r="ZZ232" s="9"/>
      <c r="AAA232" s="9"/>
      <c r="AAB232" s="9"/>
      <c r="AAC232" s="9"/>
      <c r="AAD232" s="9"/>
      <c r="AAE232" s="9"/>
      <c r="AAF232" s="9"/>
      <c r="AAG232" s="9"/>
      <c r="AAH232" s="9"/>
      <c r="AAI232" s="9"/>
      <c r="AAJ232" s="9"/>
      <c r="AAK232" s="9"/>
      <c r="AAL232" s="9"/>
      <c r="AAM232" s="9"/>
      <c r="AAN232" s="9"/>
      <c r="AAO232" s="9"/>
      <c r="AAP232" s="9"/>
      <c r="AAQ232" s="9"/>
      <c r="AAR232" s="9"/>
      <c r="AAS232" s="9"/>
      <c r="AAT232" s="9"/>
      <c r="AAU232" s="9"/>
      <c r="AAV232" s="9"/>
      <c r="AAW232" s="9"/>
      <c r="AAX232" s="9"/>
      <c r="AAY232" s="9"/>
      <c r="AAZ232" s="9"/>
      <c r="ABA232" s="9"/>
      <c r="ABB232" s="9"/>
      <c r="ABC232" s="9"/>
      <c r="ABD232" s="9"/>
      <c r="ABE232" s="9"/>
      <c r="ABF232" s="9"/>
      <c r="ABG232" s="9"/>
      <c r="ABH232" s="9"/>
      <c r="ABI232" s="9"/>
      <c r="ABJ232" s="9"/>
      <c r="ABK232" s="9"/>
      <c r="ABL232" s="9"/>
      <c r="ABM232" s="9"/>
      <c r="ABN232" s="9"/>
      <c r="ABO232" s="9"/>
      <c r="ABP232" s="9"/>
      <c r="ABQ232" s="9"/>
      <c r="ABR232" s="9"/>
      <c r="ABS232" s="9"/>
      <c r="ABT232" s="9"/>
      <c r="ABU232" s="9"/>
      <c r="ABV232" s="9"/>
      <c r="ABW232" s="9"/>
      <c r="ABX232" s="9"/>
      <c r="ABY232" s="9"/>
      <c r="ABZ232" s="9"/>
      <c r="ACA232" s="9"/>
      <c r="ACB232" s="9"/>
      <c r="ACC232" s="9"/>
      <c r="ACD232" s="9"/>
      <c r="ACE232" s="9"/>
      <c r="ACF232" s="9"/>
      <c r="ACG232" s="9"/>
      <c r="ACH232" s="9"/>
      <c r="ACI232" s="9"/>
      <c r="ACJ232" s="9"/>
      <c r="ACK232" s="9"/>
      <c r="ACL232" s="9"/>
      <c r="ACM232" s="9"/>
      <c r="ACN232" s="9"/>
      <c r="ACO232" s="9"/>
      <c r="ACP232" s="9"/>
      <c r="ACQ232" s="9"/>
      <c r="ACR232" s="9"/>
      <c r="ACS232" s="9"/>
      <c r="ACT232" s="9"/>
      <c r="ACU232" s="9"/>
      <c r="ACV232" s="9"/>
      <c r="ACW232" s="9"/>
      <c r="ACX232" s="9"/>
      <c r="ACY232" s="9"/>
      <c r="ACZ232" s="9"/>
      <c r="ADA232" s="9"/>
      <c r="ADB232" s="9"/>
      <c r="ADC232" s="9"/>
      <c r="ADD232" s="9"/>
      <c r="ADE232" s="9"/>
      <c r="ADF232" s="9"/>
      <c r="ADG232" s="9"/>
      <c r="ADH232" s="9"/>
      <c r="ADI232" s="9"/>
      <c r="ADJ232" s="9"/>
      <c r="ADK232" s="9"/>
      <c r="ADL232" s="9"/>
      <c r="ADM232" s="9"/>
      <c r="ADN232" s="9"/>
      <c r="ADO232" s="9"/>
      <c r="ADP232" s="9"/>
      <c r="ADQ232" s="9"/>
      <c r="ADR232" s="9"/>
      <c r="ADS232" s="9"/>
      <c r="ADT232" s="9"/>
      <c r="ADU232" s="9"/>
      <c r="ADV232" s="9"/>
      <c r="ADW232" s="9"/>
      <c r="ADX232" s="9"/>
      <c r="ADY232" s="9"/>
      <c r="ADZ232" s="9"/>
      <c r="AEA232" s="9"/>
      <c r="AEB232" s="9"/>
      <c r="AEC232" s="9"/>
      <c r="AED232" s="9"/>
      <c r="AEE232" s="9"/>
      <c r="AEF232" s="9"/>
      <c r="AEG232" s="9"/>
      <c r="AEH232" s="9"/>
      <c r="AEI232" s="9"/>
      <c r="AEJ232" s="9"/>
      <c r="AEK232" s="9"/>
      <c r="AEL232" s="9"/>
      <c r="AEM232" s="9"/>
      <c r="AEN232" s="9"/>
      <c r="AEO232" s="9"/>
      <c r="AEP232" s="9"/>
      <c r="AEQ232" s="9"/>
      <c r="AER232" s="9"/>
      <c r="AES232" s="9"/>
      <c r="AET232" s="9"/>
      <c r="AEU232" s="9"/>
      <c r="AEV232" s="9"/>
      <c r="AEW232" s="9"/>
      <c r="AEX232" s="9"/>
      <c r="AEY232" s="9"/>
      <c r="AEZ232" s="9"/>
      <c r="AFA232" s="9"/>
      <c r="AFB232" s="9"/>
      <c r="AFC232" s="9"/>
      <c r="AFD232" s="9"/>
      <c r="AFE232" s="9"/>
      <c r="AFF232" s="9"/>
      <c r="AFG232" s="9"/>
      <c r="AFH232" s="9"/>
      <c r="AFI232" s="9"/>
      <c r="AFJ232" s="9"/>
      <c r="AFK232" s="9"/>
      <c r="AFL232" s="9"/>
      <c r="AFM232" s="9"/>
      <c r="AFN232" s="9"/>
      <c r="AFO232" s="9"/>
      <c r="AFP232" s="9"/>
      <c r="AFQ232" s="9"/>
      <c r="AFR232" s="9"/>
      <c r="AFS232" s="9"/>
      <c r="AFT232" s="9"/>
      <c r="AFU232" s="9"/>
      <c r="AFV232" s="9"/>
      <c r="AFW232" s="9"/>
      <c r="AFX232" s="9"/>
      <c r="AFY232" s="9"/>
      <c r="AFZ232" s="9"/>
      <c r="AGA232" s="9"/>
      <c r="AGB232" s="9"/>
      <c r="AGC232" s="9"/>
      <c r="AGD232" s="9"/>
      <c r="AGE232" s="9"/>
      <c r="AGF232" s="9"/>
      <c r="AGG232" s="9"/>
      <c r="AGH232" s="9"/>
      <c r="AGI232" s="9"/>
      <c r="AGJ232" s="9"/>
      <c r="AGK232" s="9"/>
      <c r="AGL232" s="9"/>
      <c r="AGM232" s="9"/>
      <c r="AGN232" s="9"/>
      <c r="AGO232" s="9"/>
      <c r="AGP232" s="9"/>
      <c r="AGQ232" s="9"/>
      <c r="AGR232" s="9"/>
      <c r="AGS232" s="9"/>
      <c r="AGT232" s="9"/>
      <c r="AGU232" s="9"/>
      <c r="AGV232" s="9"/>
      <c r="AGW232" s="9"/>
      <c r="AGX232" s="9"/>
      <c r="AGY232" s="9"/>
      <c r="AGZ232" s="9"/>
      <c r="AHA232" s="9"/>
      <c r="AHB232" s="9"/>
      <c r="AHC232" s="9"/>
      <c r="AHD232" s="9"/>
      <c r="AHE232" s="9"/>
      <c r="AHF232" s="9"/>
      <c r="AHG232" s="9"/>
      <c r="AHH232" s="9"/>
      <c r="AHI232" s="9"/>
      <c r="AHJ232" s="9"/>
      <c r="AHK232" s="9"/>
      <c r="AHL232" s="9"/>
      <c r="AHM232" s="9"/>
      <c r="AHN232" s="9"/>
      <c r="AHO232" s="9"/>
      <c r="AHP232" s="9"/>
      <c r="AHQ232" s="9"/>
      <c r="AHR232" s="9"/>
      <c r="AHS232" s="9"/>
      <c r="AHT232" s="9"/>
      <c r="AHU232" s="9"/>
      <c r="AHV232" s="9"/>
      <c r="AHW232" s="9"/>
      <c r="AHX232" s="9"/>
      <c r="AHY232" s="9"/>
      <c r="AHZ232" s="9"/>
      <c r="AIA232" s="9"/>
      <c r="AIB232" s="9"/>
      <c r="AIC232" s="9"/>
      <c r="AID232" s="9"/>
      <c r="AIE232" s="9"/>
      <c r="AIF232" s="9"/>
      <c r="AIG232" s="9"/>
      <c r="AIH232" s="9"/>
      <c r="AII232" s="9"/>
      <c r="AIJ232" s="9"/>
      <c r="AIK232" s="9"/>
      <c r="AIL232" s="9"/>
      <c r="AIM232" s="9"/>
      <c r="AIN232" s="9"/>
      <c r="AIO232" s="9"/>
      <c r="AIP232" s="9"/>
      <c r="AIQ232" s="9"/>
      <c r="AIR232" s="9"/>
      <c r="AIS232" s="9"/>
      <c r="AIT232" s="9"/>
      <c r="AIU232" s="9"/>
      <c r="AIV232" s="9"/>
      <c r="AIW232" s="9"/>
      <c r="AIX232" s="9"/>
      <c r="AIY232" s="9"/>
      <c r="AIZ232" s="9"/>
      <c r="AJA232" s="9"/>
      <c r="AJB232" s="9"/>
      <c r="AJC232" s="9"/>
      <c r="AJD232" s="9"/>
      <c r="AJE232" s="9"/>
      <c r="AJF232" s="9"/>
      <c r="AJG232" s="9"/>
      <c r="AJH232" s="9"/>
      <c r="AJI232" s="9"/>
      <c r="AJJ232" s="9"/>
      <c r="AJK232" s="9"/>
      <c r="AJL232" s="9"/>
      <c r="AJM232" s="9"/>
      <c r="AJN232" s="9"/>
      <c r="AJO232" s="9"/>
      <c r="AJP232" s="9"/>
      <c r="AJQ232" s="9"/>
      <c r="AJR232" s="9"/>
      <c r="AJS232" s="9"/>
      <c r="AJT232" s="9"/>
      <c r="AJU232" s="9"/>
      <c r="AJV232" s="9"/>
      <c r="AJW232" s="9"/>
      <c r="AJX232" s="9"/>
      <c r="AJY232" s="9"/>
      <c r="AJZ232" s="9"/>
      <c r="AKA232" s="9"/>
      <c r="AKB232" s="9"/>
      <c r="AKC232" s="9"/>
      <c r="AKD232" s="9"/>
      <c r="AKE232" s="9"/>
      <c r="AKF232" s="9"/>
      <c r="AKG232" s="9"/>
      <c r="AKH232" s="9"/>
      <c r="AKI232" s="9"/>
      <c r="AKJ232" s="9"/>
      <c r="AKK232" s="9"/>
      <c r="AKL232" s="9"/>
      <c r="AKM232" s="9"/>
      <c r="AKN232" s="9"/>
      <c r="AKO232" s="9"/>
      <c r="AKP232" s="9"/>
      <c r="AKQ232" s="9"/>
      <c r="AKR232" s="9"/>
      <c r="AKS232" s="9"/>
      <c r="AKT232" s="9"/>
      <c r="AKU232" s="9"/>
      <c r="AKV232" s="9"/>
      <c r="AKW232" s="9"/>
      <c r="AKX232" s="9"/>
      <c r="AKY232" s="9"/>
      <c r="AKZ232" s="9"/>
      <c r="ALA232" s="9"/>
      <c r="ALB232" s="9"/>
      <c r="ALC232" s="9"/>
      <c r="ALD232" s="9"/>
      <c r="ALE232" s="9"/>
      <c r="ALF232" s="9"/>
      <c r="ALG232" s="9"/>
      <c r="ALH232" s="9"/>
      <c r="ALI232" s="9"/>
      <c r="ALJ232" s="9"/>
      <c r="ALK232" s="9"/>
      <c r="ALL232" s="9"/>
      <c r="ALM232" s="9"/>
      <c r="ALN232" s="9"/>
      <c r="ALO232" s="9"/>
      <c r="ALP232" s="9"/>
      <c r="ALQ232" s="9"/>
      <c r="ALR232" s="9"/>
      <c r="ALS232" s="9"/>
      <c r="ALT232" s="9"/>
      <c r="ALU232" s="9"/>
      <c r="ALV232" s="9"/>
      <c r="ALW232" s="9"/>
      <c r="ALX232" s="9"/>
      <c r="ALY232" s="9"/>
      <c r="ALZ232" s="9"/>
      <c r="AMA232" s="9"/>
      <c r="AMB232" s="9"/>
      <c r="AMC232" s="9"/>
      <c r="AMD232" s="9"/>
      <c r="AME232" s="9"/>
      <c r="AMF232" s="9"/>
      <c r="AMG232" s="9"/>
      <c r="AMH232" s="9"/>
      <c r="AMI232" s="9"/>
      <c r="AMJ232" s="9"/>
      <c r="AMK232" s="9"/>
      <c r="AML232" s="9"/>
      <c r="AMM232" s="9"/>
      <c r="AMN232" s="9"/>
      <c r="AMO232" s="9"/>
    </row>
    <row r="233" spans="1:1029" s="12" customFormat="1" x14ac:dyDescent="0.2">
      <c r="A233" s="9" t="str">
        <f>CONCATENATE(B233,"_",C233)</f>
        <v>fpr2_human_6LW5</v>
      </c>
      <c r="B233" s="9" t="s">
        <v>201</v>
      </c>
      <c r="C233" s="9" t="s">
        <v>1656</v>
      </c>
      <c r="D233" s="9" t="str">
        <f>IFERROR(MID(VLOOKUP($B233,Seqs!$A:$B,2,0),E233,1),"")</f>
        <v>S</v>
      </c>
      <c r="E233" s="9">
        <v>19</v>
      </c>
      <c r="F233" s="9" t="str">
        <f>IFERROR(MID(VLOOKUP($B233,Seqs!$A:$B,2,0),G233,1),"")</f>
        <v>M</v>
      </c>
      <c r="G233" s="9">
        <v>55</v>
      </c>
      <c r="H233" s="9" t="str">
        <f>IFERROR(MID(VLOOKUP($B233,Seqs!$A:$B,2,0),I233,1),"")</f>
        <v/>
      </c>
      <c r="I233" s="109" t="s">
        <v>23</v>
      </c>
      <c r="J233" s="9" t="str">
        <f>IFERROR(MID(VLOOKUP($B233,Seqs!$A:$B,2,0),K233,1),"")</f>
        <v/>
      </c>
      <c r="K233" s="109" t="s">
        <v>23</v>
      </c>
      <c r="L233" s="9" t="str">
        <f>IFERROR(MID(VLOOKUP($B233,Seqs!$A:$B,2,0),M233,1),"")</f>
        <v>T</v>
      </c>
      <c r="M233" s="9">
        <v>58</v>
      </c>
      <c r="N233" s="9" t="str">
        <f>IFERROR(MID(VLOOKUP($B233,Seqs!$A:$B,2,0),O233,1),"")</f>
        <v>G</v>
      </c>
      <c r="O233" s="9">
        <v>88</v>
      </c>
      <c r="P233" s="9" t="str">
        <f>IFERROR(MID(VLOOKUP($B233,Seqs!$A:$B,2,0),Q233,1),"")</f>
        <v>K</v>
      </c>
      <c r="Q233" s="9">
        <v>90</v>
      </c>
      <c r="R233" s="9" t="str">
        <f>IFERROR(MID(VLOOKUP($B233,Seqs!$A:$B,2,0),S233,1),"")</f>
        <v>F</v>
      </c>
      <c r="S233" s="9">
        <v>93</v>
      </c>
      <c r="T233" s="9" t="str">
        <f>IFERROR(MID(VLOOKUP($B233,Seqs!$A:$B,2,0),U233,1),"")</f>
        <v>G</v>
      </c>
      <c r="U233" s="9">
        <v>94</v>
      </c>
      <c r="V233" s="9" t="str">
        <f>IFERROR(MID(VLOOKUP($B233,Seqs!$A:$B,2,0),W233,1),"")</f>
        <v>H</v>
      </c>
      <c r="W233" s="9">
        <v>129</v>
      </c>
      <c r="X233" s="9" t="str">
        <f>IFERROR(MID(VLOOKUP($B233,Seqs!$A:$B,2,0),Y233,1),"")</f>
        <v>P</v>
      </c>
      <c r="Y233" s="9">
        <v>130</v>
      </c>
      <c r="Z233" s="9" t="str">
        <f>IFERROR(MID(VLOOKUP($B233,Seqs!$A:$B,2,0),AA233,1),"")</f>
        <v>R</v>
      </c>
      <c r="AA233" s="9">
        <v>137</v>
      </c>
      <c r="AB233" s="9" t="str">
        <f>IFERROR(MID(VLOOKUP($B233,Seqs!$A:$B,2,0),AC233,1),"")</f>
        <v>T</v>
      </c>
      <c r="AC233" s="9">
        <v>138</v>
      </c>
      <c r="AD233" s="9" t="str">
        <f>IFERROR(MID(VLOOKUP($B233,Seqs!$A:$B,2,0),AE233,1),"")</f>
        <v>L</v>
      </c>
      <c r="AE233" s="9">
        <v>164</v>
      </c>
      <c r="AF233" s="9" t="str">
        <f>IFERROR(MID(VLOOKUP($B233,Seqs!$A:$B,2,0),AG233,1),"")</f>
        <v>C</v>
      </c>
      <c r="AG233" s="9">
        <v>176</v>
      </c>
      <c r="AH233" s="9" t="str">
        <f>IFERROR(MID(VLOOKUP($B233,Seqs!$A:$B,2,0),AI233,1),"")</f>
        <v>F</v>
      </c>
      <c r="AI233" s="9">
        <v>178</v>
      </c>
      <c r="AJ233" s="9" t="str">
        <f>IFERROR(MID(VLOOKUP($B233,Seqs!$A:$B,2,0),AK233,1),"")</f>
        <v>T</v>
      </c>
      <c r="AK233" s="9">
        <v>186</v>
      </c>
      <c r="AL233" s="9" t="str">
        <f>IFERROR(MID(VLOOKUP($B233,Seqs!$A:$B,2,0),AM233,1),"")</f>
        <v>K</v>
      </c>
      <c r="AM233" s="9">
        <v>231</v>
      </c>
      <c r="AN233" s="9" t="str">
        <f>IFERROR(MID(VLOOKUP($B233,Seqs!$A:$B,2,0),AO233,1),"")</f>
        <v>A</v>
      </c>
      <c r="AO233" s="9">
        <v>245</v>
      </c>
      <c r="AP233" s="9" t="str">
        <f>IFERROR(MID(VLOOKUP($B233,Seqs!$A:$B,2,0),AQ233,1),"")</f>
        <v>W</v>
      </c>
      <c r="AQ233" s="9">
        <v>267</v>
      </c>
      <c r="AR233" s="9" t="str">
        <f>IFERROR(MID(VLOOKUP($B233,Seqs!$A:$B,2,0),AS233,1),"")</f>
        <v>Y</v>
      </c>
      <c r="AS233" s="9">
        <v>277</v>
      </c>
      <c r="AT233" s="9" t="str">
        <f>IFERROR(MID(VLOOKUP($B233,Seqs!$A:$B,2,0),AU233,1),"")</f>
        <v>V</v>
      </c>
      <c r="AU233" s="9">
        <v>303</v>
      </c>
      <c r="AV233" s="9" t="str">
        <f>IFERROR(MID(VLOOKUP($B233,Seqs!$A:$B,2,0),AW233,1),"")</f>
        <v>Q</v>
      </c>
      <c r="AW233" s="9">
        <v>307</v>
      </c>
      <c r="AX233" s="9" t="str">
        <f>IFERROR(MID(VLOOKUP($B233,Seqs!$A:$B,2,0),AY233,1),"")</f>
        <v>L</v>
      </c>
      <c r="AY233" s="9">
        <v>317</v>
      </c>
      <c r="AZ233" s="110" t="str">
        <f>VLOOKUP(B233,Classification!A:D,2,0)</f>
        <v>A</v>
      </c>
      <c r="BA233" s="98" t="str">
        <f>VLOOKUP(B233,Classification!A:D,4,0)</f>
        <v>Formylpeptide</v>
      </c>
      <c r="BB233" s="36" t="b">
        <f t="shared" si="1060"/>
        <v>1</v>
      </c>
      <c r="BC233" s="109">
        <f t="shared" si="1061"/>
        <v>254</v>
      </c>
      <c r="BD233" s="126" t="s">
        <v>23</v>
      </c>
      <c r="BE233" s="9" t="s">
        <v>1285</v>
      </c>
      <c r="BF233" s="119">
        <v>2.8</v>
      </c>
      <c r="BG233" s="51" t="s">
        <v>1</v>
      </c>
      <c r="BH233" s="51" t="s">
        <v>1</v>
      </c>
      <c r="BJ233" s="111" t="s">
        <v>1281</v>
      </c>
      <c r="BK233" s="112" t="s">
        <v>1281</v>
      </c>
      <c r="BL233" s="112" t="s">
        <v>1281</v>
      </c>
      <c r="BM233" s="112" t="s">
        <v>1281</v>
      </c>
      <c r="BN233" s="112" t="s">
        <v>1281</v>
      </c>
      <c r="BO233" s="112" t="s">
        <v>1281</v>
      </c>
      <c r="BP233" s="112" t="s">
        <v>1281</v>
      </c>
      <c r="BQ233" s="112" t="s">
        <v>1281</v>
      </c>
      <c r="BR233" s="112" t="s">
        <v>1281</v>
      </c>
      <c r="BS233" s="112" t="s">
        <v>1281</v>
      </c>
      <c r="BT233" s="112" t="s">
        <v>1281</v>
      </c>
      <c r="BU233" s="112" t="s">
        <v>1281</v>
      </c>
      <c r="BV233" s="111">
        <f>E233</f>
        <v>19</v>
      </c>
      <c r="BW233" s="113" t="str">
        <f>I233</f>
        <v>-</v>
      </c>
      <c r="BX233" s="114">
        <f>M233</f>
        <v>58</v>
      </c>
      <c r="BY233" s="113">
        <f>Q233</f>
        <v>90</v>
      </c>
      <c r="BZ233" s="114">
        <f>U233</f>
        <v>94</v>
      </c>
      <c r="CA233" s="113">
        <f>Y233</f>
        <v>130</v>
      </c>
      <c r="CB233" s="114">
        <f>AC233</f>
        <v>138</v>
      </c>
      <c r="CC233" s="113">
        <f>AG233</f>
        <v>176</v>
      </c>
      <c r="CD233" s="114">
        <f>AK233</f>
        <v>186</v>
      </c>
      <c r="CE233" s="113">
        <f>AO233</f>
        <v>245</v>
      </c>
      <c r="CF233" s="114">
        <f>AS233</f>
        <v>277</v>
      </c>
      <c r="CG233" s="113">
        <f>AW233</f>
        <v>307</v>
      </c>
      <c r="CH233" s="111">
        <f>G233</f>
        <v>55</v>
      </c>
      <c r="CI233" s="113" t="str">
        <f>K233</f>
        <v>-</v>
      </c>
      <c r="CJ233" s="114">
        <f>O233</f>
        <v>88</v>
      </c>
      <c r="CK233" s="114">
        <f>S233</f>
        <v>93</v>
      </c>
      <c r="CL233" s="114">
        <f>W233</f>
        <v>129</v>
      </c>
      <c r="CM233" s="114">
        <f>AA233</f>
        <v>137</v>
      </c>
      <c r="CN233" s="114">
        <f>AE233</f>
        <v>164</v>
      </c>
      <c r="CO233" s="114">
        <f>AI233</f>
        <v>178</v>
      </c>
      <c r="CP233" s="114">
        <f>AM233</f>
        <v>231</v>
      </c>
      <c r="CQ233" s="114">
        <f>AQ233</f>
        <v>267</v>
      </c>
      <c r="CR233" s="114">
        <f>AU233</f>
        <v>303</v>
      </c>
      <c r="CS233" s="114">
        <f>AY233</f>
        <v>317</v>
      </c>
      <c r="CT233" s="109" t="e">
        <f>M233-K233</f>
        <v>#VALUE!</v>
      </c>
      <c r="CU233" s="9"/>
      <c r="CV233" s="9"/>
      <c r="CW233" s="9"/>
      <c r="CX233" s="9"/>
      <c r="CY233" s="9"/>
      <c r="CZ233" s="9"/>
      <c r="DA233" s="9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  <c r="DM233" s="9"/>
      <c r="DN233" s="9"/>
      <c r="DO233" s="9"/>
      <c r="DP233" s="9"/>
      <c r="DQ233" s="9"/>
      <c r="DR233" s="9"/>
      <c r="DS233" s="9"/>
      <c r="DT233" s="9"/>
      <c r="DU233" s="9"/>
      <c r="DV233" s="9"/>
      <c r="DW233" s="9"/>
      <c r="DX233" s="9"/>
      <c r="DY233" s="9"/>
      <c r="DZ233" s="9"/>
      <c r="EA233" s="9"/>
      <c r="EB233" s="9"/>
      <c r="EC233" s="9"/>
      <c r="ED233" s="9"/>
      <c r="EE233" s="9"/>
      <c r="EF233" s="9"/>
      <c r="EG233" s="9"/>
      <c r="EH233" s="9"/>
      <c r="EI233" s="9"/>
      <c r="EJ233" s="9"/>
      <c r="EK233" s="9"/>
      <c r="EL233" s="9"/>
      <c r="EM233" s="9"/>
      <c r="EN233" s="9"/>
      <c r="EO233" s="9"/>
      <c r="EP233" s="9"/>
      <c r="EQ233" s="9"/>
      <c r="ER233" s="9"/>
      <c r="ES233" s="9"/>
      <c r="ET233" s="9"/>
      <c r="EU233" s="9"/>
      <c r="EV233" s="9"/>
      <c r="EW233" s="9"/>
      <c r="EX233" s="9"/>
      <c r="EY233" s="9"/>
      <c r="EZ233" s="9"/>
      <c r="FA233" s="9"/>
      <c r="FB233" s="9"/>
      <c r="FC233" s="9"/>
      <c r="FD233" s="9"/>
      <c r="FE233" s="9"/>
      <c r="FF233" s="9"/>
      <c r="FG233" s="9"/>
      <c r="FH233" s="9"/>
      <c r="FI233" s="9"/>
      <c r="FJ233" s="9"/>
      <c r="FK233" s="9"/>
      <c r="FL233" s="9"/>
      <c r="FM233" s="9"/>
      <c r="FN233" s="9"/>
      <c r="FO233" s="9"/>
      <c r="FP233" s="9"/>
      <c r="FQ233" s="9"/>
      <c r="FR233" s="9"/>
      <c r="FS233" s="9"/>
      <c r="FT233" s="9"/>
      <c r="FU233" s="9"/>
      <c r="FV233" s="9"/>
      <c r="FW233" s="9"/>
      <c r="FX233" s="9"/>
      <c r="FY233" s="9"/>
      <c r="FZ233" s="9"/>
      <c r="GA233" s="9"/>
      <c r="GB233" s="9"/>
      <c r="GC233" s="9"/>
      <c r="GD233" s="9"/>
      <c r="GE233" s="9"/>
      <c r="GF233" s="9"/>
      <c r="GG233" s="9"/>
      <c r="GH233" s="9"/>
      <c r="GI233" s="9"/>
      <c r="GJ233" s="9"/>
      <c r="GK233" s="9"/>
      <c r="GL233" s="9"/>
      <c r="GM233" s="9"/>
      <c r="GN233" s="9"/>
      <c r="GO233" s="9"/>
      <c r="GP233" s="9"/>
      <c r="GQ233" s="9"/>
      <c r="GR233" s="9"/>
      <c r="GS233" s="9"/>
      <c r="GT233" s="9"/>
      <c r="GU233" s="9"/>
      <c r="GV233" s="9"/>
      <c r="GW233" s="9"/>
      <c r="GX233" s="9"/>
      <c r="GY233" s="9"/>
      <c r="GZ233" s="9"/>
      <c r="HA233" s="9"/>
      <c r="HB233" s="9"/>
      <c r="HC233" s="9"/>
      <c r="HD233" s="9"/>
      <c r="HE233" s="9"/>
      <c r="HF233" s="9"/>
      <c r="HG233" s="9"/>
      <c r="HH233" s="9"/>
      <c r="HI233" s="9"/>
      <c r="HJ233" s="9"/>
      <c r="HK233" s="9"/>
      <c r="HL233" s="9"/>
      <c r="HM233" s="9"/>
      <c r="HN233" s="9"/>
      <c r="HO233" s="9"/>
      <c r="HP233" s="9"/>
      <c r="HQ233" s="9"/>
      <c r="HR233" s="9"/>
      <c r="HS233" s="9"/>
      <c r="HT233" s="9"/>
      <c r="HU233" s="9"/>
      <c r="HV233" s="9"/>
      <c r="HW233" s="9"/>
      <c r="HX233" s="9"/>
      <c r="HY233" s="9"/>
      <c r="HZ233" s="9"/>
      <c r="IA233" s="9"/>
      <c r="IB233" s="9"/>
      <c r="IC233" s="9"/>
      <c r="ID233" s="9"/>
      <c r="IE233" s="9"/>
      <c r="IF233" s="9"/>
      <c r="IG233" s="9"/>
      <c r="IH233" s="9"/>
      <c r="II233" s="9"/>
      <c r="IJ233" s="9"/>
      <c r="IK233" s="9"/>
      <c r="IL233" s="9"/>
      <c r="IM233" s="9"/>
      <c r="IN233" s="9"/>
      <c r="IO233" s="9"/>
      <c r="IP233" s="9"/>
      <c r="IQ233" s="9"/>
      <c r="IR233" s="9"/>
      <c r="IS233" s="9"/>
      <c r="IT233" s="9"/>
      <c r="IU233" s="9"/>
      <c r="IV233" s="9"/>
      <c r="IW233" s="9"/>
      <c r="IX233" s="9"/>
      <c r="IY233" s="9"/>
      <c r="IZ233" s="9"/>
      <c r="JA233" s="9"/>
      <c r="JB233" s="9"/>
      <c r="JC233" s="9"/>
      <c r="JD233" s="9"/>
      <c r="JE233" s="9"/>
      <c r="JF233" s="9"/>
      <c r="JG233" s="9"/>
      <c r="JH233" s="9"/>
      <c r="JI233" s="9"/>
      <c r="JJ233" s="9"/>
      <c r="JK233" s="9"/>
      <c r="JL233" s="9"/>
      <c r="JM233" s="9"/>
      <c r="JN233" s="9"/>
      <c r="JO233" s="9"/>
      <c r="JP233" s="9"/>
      <c r="JQ233" s="9"/>
      <c r="JR233" s="9"/>
      <c r="JS233" s="9"/>
      <c r="JT233" s="9"/>
      <c r="JU233" s="9"/>
      <c r="JV233" s="9"/>
      <c r="JW233" s="9"/>
      <c r="JX233" s="9"/>
      <c r="JY233" s="9"/>
      <c r="JZ233" s="9"/>
      <c r="KA233" s="9"/>
      <c r="KB233" s="9"/>
      <c r="KC233" s="9"/>
      <c r="KD233" s="9"/>
      <c r="KE233" s="9"/>
      <c r="KF233" s="9"/>
      <c r="KG233" s="9"/>
      <c r="KH233" s="9"/>
      <c r="KI233" s="9"/>
      <c r="KJ233" s="9"/>
      <c r="KK233" s="9"/>
      <c r="KL233" s="9"/>
      <c r="KM233" s="9"/>
      <c r="KN233" s="9"/>
      <c r="KO233" s="9"/>
      <c r="KP233" s="9"/>
      <c r="KQ233" s="9"/>
      <c r="KR233" s="9"/>
      <c r="KS233" s="9"/>
      <c r="KT233" s="9"/>
      <c r="KU233" s="9"/>
      <c r="KV233" s="9"/>
      <c r="KW233" s="9"/>
      <c r="KX233" s="9"/>
      <c r="KY233" s="9"/>
      <c r="KZ233" s="9"/>
      <c r="LA233" s="9"/>
      <c r="LB233" s="9"/>
      <c r="LC233" s="9"/>
      <c r="LD233" s="9"/>
      <c r="LE233" s="9"/>
      <c r="LF233" s="9"/>
      <c r="LG233" s="9"/>
      <c r="LH233" s="9"/>
      <c r="LI233" s="9"/>
      <c r="LJ233" s="9"/>
      <c r="LK233" s="9"/>
      <c r="LL233" s="9"/>
      <c r="LM233" s="9"/>
      <c r="LN233" s="9"/>
      <c r="LO233" s="9"/>
      <c r="LP233" s="9"/>
      <c r="LQ233" s="9"/>
      <c r="LR233" s="9"/>
      <c r="LS233" s="9"/>
      <c r="LT233" s="9"/>
      <c r="LU233" s="9"/>
      <c r="LV233" s="9"/>
      <c r="LW233" s="9"/>
      <c r="LX233" s="9"/>
      <c r="LY233" s="9"/>
      <c r="LZ233" s="9"/>
      <c r="MA233" s="9"/>
      <c r="MB233" s="9"/>
      <c r="MC233" s="9"/>
      <c r="MD233" s="9"/>
      <c r="ME233" s="9"/>
      <c r="MF233" s="9"/>
      <c r="MG233" s="9"/>
      <c r="MH233" s="9"/>
      <c r="MI233" s="9"/>
      <c r="MJ233" s="9"/>
      <c r="MK233" s="9"/>
      <c r="ML233" s="9"/>
      <c r="MM233" s="9"/>
      <c r="MN233" s="9"/>
      <c r="MO233" s="9"/>
      <c r="MP233" s="9"/>
      <c r="MQ233" s="9"/>
      <c r="MR233" s="9"/>
      <c r="MS233" s="9"/>
      <c r="MT233" s="9"/>
      <c r="MU233" s="9"/>
      <c r="MV233" s="9"/>
      <c r="MW233" s="9"/>
      <c r="MX233" s="9"/>
      <c r="MY233" s="9"/>
      <c r="MZ233" s="9"/>
      <c r="NA233" s="9"/>
      <c r="NB233" s="9"/>
      <c r="NC233" s="9"/>
      <c r="ND233" s="9"/>
      <c r="NE233" s="9"/>
      <c r="NF233" s="9"/>
      <c r="NG233" s="9"/>
      <c r="NH233" s="9"/>
      <c r="NI233" s="9"/>
      <c r="NJ233" s="9"/>
      <c r="NK233" s="9"/>
      <c r="NL233" s="9"/>
      <c r="NM233" s="9"/>
      <c r="NN233" s="9"/>
      <c r="NO233" s="9"/>
      <c r="NP233" s="9"/>
      <c r="NQ233" s="9"/>
      <c r="NR233" s="9"/>
      <c r="NS233" s="9"/>
      <c r="NT233" s="9"/>
      <c r="NU233" s="9"/>
      <c r="NV233" s="9"/>
      <c r="NW233" s="9"/>
      <c r="NX233" s="9"/>
      <c r="NY233" s="9"/>
      <c r="NZ233" s="9"/>
      <c r="OA233" s="9"/>
      <c r="OB233" s="9"/>
      <c r="OC233" s="9"/>
      <c r="OD233" s="9"/>
      <c r="OE233" s="9"/>
      <c r="OF233" s="9"/>
      <c r="OG233" s="9"/>
      <c r="OH233" s="9"/>
      <c r="OI233" s="9"/>
      <c r="OJ233" s="9"/>
      <c r="OK233" s="9"/>
      <c r="OL233" s="9"/>
      <c r="OM233" s="9"/>
      <c r="ON233" s="9"/>
      <c r="OO233" s="9"/>
      <c r="OP233" s="9"/>
      <c r="OQ233" s="9"/>
      <c r="OR233" s="9"/>
      <c r="OS233" s="9"/>
      <c r="OT233" s="9"/>
      <c r="OU233" s="9"/>
      <c r="OV233" s="9"/>
      <c r="OW233" s="9"/>
      <c r="OX233" s="9"/>
      <c r="OY233" s="9"/>
      <c r="OZ233" s="9"/>
      <c r="PA233" s="9"/>
      <c r="PB233" s="9"/>
      <c r="PC233" s="9"/>
      <c r="PD233" s="9"/>
      <c r="PE233" s="9"/>
      <c r="PF233" s="9"/>
      <c r="PG233" s="9"/>
      <c r="PH233" s="9"/>
      <c r="PI233" s="9"/>
      <c r="PJ233" s="9"/>
      <c r="PK233" s="9"/>
      <c r="PL233" s="9"/>
      <c r="PM233" s="9"/>
      <c r="PN233" s="9"/>
      <c r="PO233" s="9"/>
      <c r="PP233" s="9"/>
      <c r="PQ233" s="9"/>
      <c r="PR233" s="9"/>
      <c r="PS233" s="9"/>
      <c r="PT233" s="9"/>
      <c r="PU233" s="9"/>
      <c r="PV233" s="9"/>
      <c r="PW233" s="9"/>
      <c r="PX233" s="9"/>
      <c r="PY233" s="9"/>
      <c r="PZ233" s="9"/>
      <c r="QA233" s="9"/>
      <c r="QB233" s="9"/>
      <c r="QC233" s="9"/>
      <c r="QD233" s="9"/>
      <c r="QE233" s="9"/>
      <c r="QF233" s="9"/>
      <c r="QG233" s="9"/>
      <c r="QH233" s="9"/>
      <c r="QI233" s="9"/>
      <c r="QJ233" s="9"/>
      <c r="QK233" s="9"/>
      <c r="QL233" s="9"/>
      <c r="QM233" s="9"/>
      <c r="QN233" s="9"/>
      <c r="QO233" s="9"/>
      <c r="QP233" s="9"/>
      <c r="QQ233" s="9"/>
      <c r="QR233" s="9"/>
      <c r="QS233" s="9"/>
      <c r="QT233" s="9"/>
      <c r="QU233" s="9"/>
      <c r="QV233" s="9"/>
      <c r="QW233" s="9"/>
      <c r="QX233" s="9"/>
      <c r="QY233" s="9"/>
      <c r="QZ233" s="9"/>
      <c r="RA233" s="9"/>
      <c r="RB233" s="9"/>
      <c r="RC233" s="9"/>
      <c r="RD233" s="9"/>
      <c r="RE233" s="9"/>
      <c r="RF233" s="9"/>
      <c r="RG233" s="9"/>
      <c r="RH233" s="9"/>
      <c r="RI233" s="9"/>
      <c r="RJ233" s="9"/>
      <c r="RK233" s="9"/>
      <c r="RL233" s="9"/>
      <c r="RM233" s="9"/>
      <c r="RN233" s="9"/>
      <c r="RO233" s="9"/>
      <c r="RP233" s="9"/>
      <c r="RQ233" s="9"/>
      <c r="RR233" s="9"/>
      <c r="RS233" s="9"/>
      <c r="RT233" s="9"/>
      <c r="RU233" s="9"/>
      <c r="RV233" s="9"/>
      <c r="RW233" s="9"/>
      <c r="RX233" s="9"/>
      <c r="RY233" s="9"/>
      <c r="RZ233" s="9"/>
      <c r="SA233" s="9"/>
      <c r="SB233" s="9"/>
      <c r="SC233" s="9"/>
      <c r="SD233" s="9"/>
      <c r="SE233" s="9"/>
      <c r="SF233" s="9"/>
      <c r="SG233" s="9"/>
      <c r="SH233" s="9"/>
      <c r="SI233" s="9"/>
      <c r="SJ233" s="9"/>
      <c r="SK233" s="9"/>
      <c r="SL233" s="9"/>
      <c r="SM233" s="9"/>
      <c r="SN233" s="9"/>
      <c r="SO233" s="9"/>
      <c r="SP233" s="9"/>
      <c r="SQ233" s="9"/>
      <c r="SR233" s="9"/>
      <c r="SS233" s="9"/>
      <c r="ST233" s="9"/>
      <c r="SU233" s="9"/>
      <c r="SV233" s="9"/>
      <c r="SW233" s="9"/>
      <c r="SX233" s="9"/>
      <c r="SY233" s="9"/>
      <c r="SZ233" s="9"/>
      <c r="TA233" s="9"/>
      <c r="TB233" s="9"/>
      <c r="TC233" s="9"/>
      <c r="TD233" s="9"/>
      <c r="TE233" s="9"/>
      <c r="TF233" s="9"/>
      <c r="TG233" s="9"/>
      <c r="TH233" s="9"/>
      <c r="TI233" s="9"/>
      <c r="TJ233" s="9"/>
      <c r="TK233" s="9"/>
      <c r="TL233" s="9"/>
      <c r="TM233" s="9"/>
      <c r="TN233" s="9"/>
      <c r="TO233" s="9"/>
      <c r="TP233" s="9"/>
      <c r="TQ233" s="9"/>
      <c r="TR233" s="9"/>
      <c r="TS233" s="9"/>
      <c r="TT233" s="9"/>
      <c r="TU233" s="9"/>
      <c r="TV233" s="9"/>
      <c r="TW233" s="9"/>
      <c r="TX233" s="9"/>
      <c r="TY233" s="9"/>
      <c r="TZ233" s="9"/>
      <c r="UA233" s="9"/>
      <c r="UB233" s="9"/>
      <c r="UC233" s="9"/>
      <c r="UD233" s="9"/>
      <c r="UE233" s="9"/>
      <c r="UF233" s="9"/>
      <c r="UG233" s="9"/>
      <c r="UH233" s="9"/>
      <c r="UI233" s="9"/>
      <c r="UJ233" s="9"/>
      <c r="UK233" s="9"/>
      <c r="UL233" s="9"/>
      <c r="UM233" s="9"/>
      <c r="UN233" s="9"/>
      <c r="UO233" s="9"/>
      <c r="UP233" s="9"/>
      <c r="UQ233" s="9"/>
      <c r="UR233" s="9"/>
      <c r="US233" s="9"/>
      <c r="UT233" s="9"/>
      <c r="UU233" s="9"/>
      <c r="UV233" s="9"/>
      <c r="UW233" s="9"/>
      <c r="UX233" s="9"/>
      <c r="UY233" s="9"/>
      <c r="UZ233" s="9"/>
      <c r="VA233" s="9"/>
      <c r="VB233" s="9"/>
      <c r="VC233" s="9"/>
      <c r="VD233" s="9"/>
      <c r="VE233" s="9"/>
      <c r="VF233" s="9"/>
      <c r="VG233" s="9"/>
      <c r="VH233" s="9"/>
      <c r="VI233" s="9"/>
      <c r="VJ233" s="9"/>
      <c r="VK233" s="9"/>
      <c r="VL233" s="9"/>
      <c r="VM233" s="9"/>
      <c r="VN233" s="9"/>
      <c r="VO233" s="9"/>
      <c r="VP233" s="9"/>
      <c r="VQ233" s="9"/>
      <c r="VR233" s="9"/>
      <c r="VS233" s="9"/>
      <c r="VT233" s="9"/>
      <c r="VU233" s="9"/>
      <c r="VV233" s="9"/>
      <c r="VW233" s="9"/>
      <c r="VX233" s="9"/>
      <c r="VY233" s="9"/>
      <c r="VZ233" s="9"/>
      <c r="WA233" s="9"/>
      <c r="WB233" s="9"/>
      <c r="WC233" s="9"/>
      <c r="WD233" s="9"/>
      <c r="WE233" s="9"/>
      <c r="WF233" s="9"/>
      <c r="WG233" s="9"/>
      <c r="WH233" s="9"/>
      <c r="WI233" s="9"/>
      <c r="WJ233" s="9"/>
      <c r="WK233" s="9"/>
      <c r="WL233" s="9"/>
      <c r="WM233" s="9"/>
      <c r="WN233" s="9"/>
      <c r="WO233" s="9"/>
      <c r="WP233" s="9"/>
      <c r="WQ233" s="9"/>
      <c r="WR233" s="9"/>
      <c r="WS233" s="9"/>
      <c r="WT233" s="9"/>
      <c r="WU233" s="9"/>
      <c r="WV233" s="9"/>
      <c r="WW233" s="9"/>
      <c r="WX233" s="9"/>
      <c r="WY233" s="9"/>
      <c r="WZ233" s="9"/>
      <c r="XA233" s="9"/>
      <c r="XB233" s="9"/>
      <c r="XC233" s="9"/>
      <c r="XD233" s="9"/>
      <c r="XE233" s="9"/>
      <c r="XF233" s="9"/>
      <c r="XG233" s="9"/>
      <c r="XH233" s="9"/>
      <c r="XI233" s="9"/>
      <c r="XJ233" s="9"/>
      <c r="XK233" s="9"/>
      <c r="XL233" s="9"/>
      <c r="XM233" s="9"/>
      <c r="XN233" s="9"/>
      <c r="XO233" s="9"/>
      <c r="XP233" s="9"/>
      <c r="XQ233" s="9"/>
      <c r="XR233" s="9"/>
      <c r="XS233" s="9"/>
      <c r="XT233" s="9"/>
      <c r="XU233" s="9"/>
      <c r="XV233" s="9"/>
      <c r="XW233" s="9"/>
      <c r="XX233" s="9"/>
      <c r="XY233" s="9"/>
      <c r="XZ233" s="9"/>
      <c r="YA233" s="9"/>
      <c r="YB233" s="9"/>
      <c r="YC233" s="9"/>
      <c r="YD233" s="9"/>
      <c r="YE233" s="9"/>
      <c r="YF233" s="9"/>
      <c r="YG233" s="9"/>
      <c r="YH233" s="9"/>
      <c r="YI233" s="9"/>
      <c r="YJ233" s="9"/>
      <c r="YK233" s="9"/>
      <c r="YL233" s="9"/>
      <c r="YM233" s="9"/>
      <c r="YN233" s="9"/>
      <c r="YO233" s="9"/>
      <c r="YP233" s="9"/>
      <c r="YQ233" s="9"/>
      <c r="YR233" s="9"/>
      <c r="YS233" s="9"/>
      <c r="YT233" s="9"/>
      <c r="YU233" s="9"/>
      <c r="YV233" s="9"/>
      <c r="YW233" s="9"/>
      <c r="YX233" s="9"/>
      <c r="YY233" s="9"/>
      <c r="YZ233" s="9"/>
      <c r="ZA233" s="9"/>
      <c r="ZB233" s="9"/>
      <c r="ZC233" s="9"/>
      <c r="ZD233" s="9"/>
      <c r="ZE233" s="9"/>
      <c r="ZF233" s="9"/>
      <c r="ZG233" s="9"/>
      <c r="ZH233" s="9"/>
      <c r="ZI233" s="9"/>
      <c r="ZJ233" s="9"/>
      <c r="ZK233" s="9"/>
      <c r="ZL233" s="9"/>
      <c r="ZM233" s="9"/>
      <c r="ZN233" s="9"/>
      <c r="ZO233" s="9"/>
      <c r="ZP233" s="9"/>
      <c r="ZQ233" s="9"/>
      <c r="ZR233" s="9"/>
      <c r="ZS233" s="9"/>
      <c r="ZT233" s="9"/>
      <c r="ZU233" s="9"/>
      <c r="ZV233" s="9"/>
      <c r="ZW233" s="9"/>
      <c r="ZX233" s="9"/>
      <c r="ZY233" s="9"/>
      <c r="ZZ233" s="9"/>
      <c r="AAA233" s="9"/>
      <c r="AAB233" s="9"/>
      <c r="AAC233" s="9"/>
      <c r="AAD233" s="9"/>
      <c r="AAE233" s="9"/>
      <c r="AAF233" s="9"/>
      <c r="AAG233" s="9"/>
      <c r="AAH233" s="9"/>
      <c r="AAI233" s="9"/>
      <c r="AAJ233" s="9"/>
      <c r="AAK233" s="9"/>
      <c r="AAL233" s="9"/>
      <c r="AAM233" s="9"/>
      <c r="AAN233" s="9"/>
      <c r="AAO233" s="9"/>
      <c r="AAP233" s="9"/>
      <c r="AAQ233" s="9"/>
      <c r="AAR233" s="9"/>
      <c r="AAS233" s="9"/>
      <c r="AAT233" s="9"/>
      <c r="AAU233" s="9"/>
      <c r="AAV233" s="9"/>
      <c r="AAW233" s="9"/>
      <c r="AAX233" s="9"/>
      <c r="AAY233" s="9"/>
      <c r="AAZ233" s="9"/>
      <c r="ABA233" s="9"/>
      <c r="ABB233" s="9"/>
      <c r="ABC233" s="9"/>
      <c r="ABD233" s="9"/>
      <c r="ABE233" s="9"/>
      <c r="ABF233" s="9"/>
      <c r="ABG233" s="9"/>
      <c r="ABH233" s="9"/>
      <c r="ABI233" s="9"/>
      <c r="ABJ233" s="9"/>
      <c r="ABK233" s="9"/>
      <c r="ABL233" s="9"/>
      <c r="ABM233" s="9"/>
      <c r="ABN233" s="9"/>
      <c r="ABO233" s="9"/>
      <c r="ABP233" s="9"/>
      <c r="ABQ233" s="9"/>
      <c r="ABR233" s="9"/>
      <c r="ABS233" s="9"/>
      <c r="ABT233" s="9"/>
      <c r="ABU233" s="9"/>
      <c r="ABV233" s="9"/>
      <c r="ABW233" s="9"/>
      <c r="ABX233" s="9"/>
      <c r="ABY233" s="9"/>
      <c r="ABZ233" s="9"/>
      <c r="ACA233" s="9"/>
      <c r="ACB233" s="9"/>
      <c r="ACC233" s="9"/>
      <c r="ACD233" s="9"/>
      <c r="ACE233" s="9"/>
      <c r="ACF233" s="9"/>
      <c r="ACG233" s="9"/>
      <c r="ACH233" s="9"/>
      <c r="ACI233" s="9"/>
      <c r="ACJ233" s="9"/>
      <c r="ACK233" s="9"/>
      <c r="ACL233" s="9"/>
      <c r="ACM233" s="9"/>
      <c r="ACN233" s="9"/>
      <c r="ACO233" s="9"/>
      <c r="ACP233" s="9"/>
      <c r="ACQ233" s="9"/>
      <c r="ACR233" s="9"/>
      <c r="ACS233" s="9"/>
      <c r="ACT233" s="9"/>
      <c r="ACU233" s="9"/>
      <c r="ACV233" s="9"/>
      <c r="ACW233" s="9"/>
      <c r="ACX233" s="9"/>
      <c r="ACY233" s="9"/>
      <c r="ACZ233" s="9"/>
      <c r="ADA233" s="9"/>
      <c r="ADB233" s="9"/>
      <c r="ADC233" s="9"/>
      <c r="ADD233" s="9"/>
      <c r="ADE233" s="9"/>
      <c r="ADF233" s="9"/>
      <c r="ADG233" s="9"/>
      <c r="ADH233" s="9"/>
      <c r="ADI233" s="9"/>
      <c r="ADJ233" s="9"/>
      <c r="ADK233" s="9"/>
      <c r="ADL233" s="9"/>
      <c r="ADM233" s="9"/>
      <c r="ADN233" s="9"/>
      <c r="ADO233" s="9"/>
      <c r="ADP233" s="9"/>
      <c r="ADQ233" s="9"/>
      <c r="ADR233" s="9"/>
      <c r="ADS233" s="9"/>
      <c r="ADT233" s="9"/>
      <c r="ADU233" s="9"/>
      <c r="ADV233" s="9"/>
      <c r="ADW233" s="9"/>
      <c r="ADX233" s="9"/>
      <c r="ADY233" s="9"/>
      <c r="ADZ233" s="9"/>
      <c r="AEA233" s="9"/>
      <c r="AEB233" s="9"/>
      <c r="AEC233" s="9"/>
      <c r="AED233" s="9"/>
      <c r="AEE233" s="9"/>
      <c r="AEF233" s="9"/>
      <c r="AEG233" s="9"/>
      <c r="AEH233" s="9"/>
      <c r="AEI233" s="9"/>
      <c r="AEJ233" s="9"/>
      <c r="AEK233" s="9"/>
      <c r="AEL233" s="9"/>
      <c r="AEM233" s="9"/>
      <c r="AEN233" s="9"/>
      <c r="AEO233" s="9"/>
      <c r="AEP233" s="9"/>
      <c r="AEQ233" s="9"/>
      <c r="AER233" s="9"/>
      <c r="AES233" s="9"/>
      <c r="AET233" s="9"/>
      <c r="AEU233" s="9"/>
      <c r="AEV233" s="9"/>
      <c r="AEW233" s="9"/>
      <c r="AEX233" s="9"/>
      <c r="AEY233" s="9"/>
      <c r="AEZ233" s="9"/>
      <c r="AFA233" s="9"/>
      <c r="AFB233" s="9"/>
      <c r="AFC233" s="9"/>
      <c r="AFD233" s="9"/>
      <c r="AFE233" s="9"/>
      <c r="AFF233" s="9"/>
      <c r="AFG233" s="9"/>
      <c r="AFH233" s="9"/>
      <c r="AFI233" s="9"/>
      <c r="AFJ233" s="9"/>
      <c r="AFK233" s="9"/>
      <c r="AFL233" s="9"/>
      <c r="AFM233" s="9"/>
      <c r="AFN233" s="9"/>
      <c r="AFO233" s="9"/>
      <c r="AFP233" s="9"/>
      <c r="AFQ233" s="9"/>
      <c r="AFR233" s="9"/>
      <c r="AFS233" s="9"/>
      <c r="AFT233" s="9"/>
      <c r="AFU233" s="9"/>
      <c r="AFV233" s="9"/>
      <c r="AFW233" s="9"/>
      <c r="AFX233" s="9"/>
      <c r="AFY233" s="9"/>
      <c r="AFZ233" s="9"/>
      <c r="AGA233" s="9"/>
      <c r="AGB233" s="9"/>
      <c r="AGC233" s="9"/>
      <c r="AGD233" s="9"/>
      <c r="AGE233" s="9"/>
      <c r="AGF233" s="9"/>
      <c r="AGG233" s="9"/>
      <c r="AGH233" s="9"/>
      <c r="AGI233" s="9"/>
      <c r="AGJ233" s="9"/>
      <c r="AGK233" s="9"/>
      <c r="AGL233" s="9"/>
      <c r="AGM233" s="9"/>
      <c r="AGN233" s="9"/>
      <c r="AGO233" s="9"/>
      <c r="AGP233" s="9"/>
      <c r="AGQ233" s="9"/>
      <c r="AGR233" s="9"/>
      <c r="AGS233" s="9"/>
      <c r="AGT233" s="9"/>
      <c r="AGU233" s="9"/>
      <c r="AGV233" s="9"/>
      <c r="AGW233" s="9"/>
      <c r="AGX233" s="9"/>
      <c r="AGY233" s="9"/>
      <c r="AGZ233" s="9"/>
      <c r="AHA233" s="9"/>
      <c r="AHB233" s="9"/>
      <c r="AHC233" s="9"/>
      <c r="AHD233" s="9"/>
      <c r="AHE233" s="9"/>
      <c r="AHF233" s="9"/>
      <c r="AHG233" s="9"/>
      <c r="AHH233" s="9"/>
      <c r="AHI233" s="9"/>
      <c r="AHJ233" s="9"/>
      <c r="AHK233" s="9"/>
      <c r="AHL233" s="9"/>
      <c r="AHM233" s="9"/>
      <c r="AHN233" s="9"/>
      <c r="AHO233" s="9"/>
      <c r="AHP233" s="9"/>
      <c r="AHQ233" s="9"/>
      <c r="AHR233" s="9"/>
      <c r="AHS233" s="9"/>
      <c r="AHT233" s="9"/>
      <c r="AHU233" s="9"/>
      <c r="AHV233" s="9"/>
      <c r="AHW233" s="9"/>
      <c r="AHX233" s="9"/>
      <c r="AHY233" s="9"/>
      <c r="AHZ233" s="9"/>
      <c r="AIA233" s="9"/>
      <c r="AIB233" s="9"/>
      <c r="AIC233" s="9"/>
      <c r="AID233" s="9"/>
      <c r="AIE233" s="9"/>
      <c r="AIF233" s="9"/>
      <c r="AIG233" s="9"/>
      <c r="AIH233" s="9"/>
      <c r="AII233" s="9"/>
      <c r="AIJ233" s="9"/>
      <c r="AIK233" s="9"/>
      <c r="AIL233" s="9"/>
      <c r="AIM233" s="9"/>
      <c r="AIN233" s="9"/>
      <c r="AIO233" s="9"/>
      <c r="AIP233" s="9"/>
      <c r="AIQ233" s="9"/>
      <c r="AIR233" s="9"/>
      <c r="AIS233" s="9"/>
      <c r="AIT233" s="9"/>
      <c r="AIU233" s="9"/>
      <c r="AIV233" s="9"/>
      <c r="AIW233" s="9"/>
      <c r="AIX233" s="9"/>
      <c r="AIY233" s="9"/>
      <c r="AIZ233" s="9"/>
      <c r="AJA233" s="9"/>
      <c r="AJB233" s="9"/>
      <c r="AJC233" s="9"/>
      <c r="AJD233" s="9"/>
      <c r="AJE233" s="9"/>
      <c r="AJF233" s="9"/>
      <c r="AJG233" s="9"/>
      <c r="AJH233" s="9"/>
      <c r="AJI233" s="9"/>
      <c r="AJJ233" s="9"/>
      <c r="AJK233" s="9"/>
      <c r="AJL233" s="9"/>
      <c r="AJM233" s="9"/>
      <c r="AJN233" s="9"/>
      <c r="AJO233" s="9"/>
      <c r="AJP233" s="9"/>
      <c r="AJQ233" s="9"/>
      <c r="AJR233" s="9"/>
      <c r="AJS233" s="9"/>
      <c r="AJT233" s="9"/>
      <c r="AJU233" s="9"/>
      <c r="AJV233" s="9"/>
      <c r="AJW233" s="9"/>
      <c r="AJX233" s="9"/>
      <c r="AJY233" s="9"/>
      <c r="AJZ233" s="9"/>
      <c r="AKA233" s="9"/>
      <c r="AKB233" s="9"/>
      <c r="AKC233" s="9"/>
      <c r="AKD233" s="9"/>
      <c r="AKE233" s="9"/>
      <c r="AKF233" s="9"/>
      <c r="AKG233" s="9"/>
      <c r="AKH233" s="9"/>
      <c r="AKI233" s="9"/>
      <c r="AKJ233" s="9"/>
      <c r="AKK233" s="9"/>
      <c r="AKL233" s="9"/>
      <c r="AKM233" s="9"/>
      <c r="AKN233" s="9"/>
      <c r="AKO233" s="9"/>
      <c r="AKP233" s="9"/>
      <c r="AKQ233" s="9"/>
      <c r="AKR233" s="9"/>
      <c r="AKS233" s="9"/>
      <c r="AKT233" s="9"/>
      <c r="AKU233" s="9"/>
      <c r="AKV233" s="9"/>
      <c r="AKW233" s="9"/>
      <c r="AKX233" s="9"/>
      <c r="AKY233" s="9"/>
      <c r="AKZ233" s="9"/>
      <c r="ALA233" s="9"/>
      <c r="ALB233" s="9"/>
      <c r="ALC233" s="9"/>
      <c r="ALD233" s="9"/>
      <c r="ALE233" s="9"/>
      <c r="ALF233" s="9"/>
      <c r="ALG233" s="9"/>
      <c r="ALH233" s="9"/>
      <c r="ALI233" s="9"/>
      <c r="ALJ233" s="9"/>
      <c r="ALK233" s="9"/>
      <c r="ALL233" s="9"/>
      <c r="ALM233" s="9"/>
      <c r="ALN233" s="9"/>
      <c r="ALO233" s="9"/>
      <c r="ALP233" s="9"/>
      <c r="ALQ233" s="9"/>
      <c r="ALR233" s="9"/>
      <c r="ALS233" s="9"/>
      <c r="ALT233" s="9"/>
      <c r="ALU233" s="9"/>
      <c r="ALV233" s="9"/>
      <c r="ALW233" s="9"/>
      <c r="ALX233" s="9"/>
      <c r="ALY233" s="9"/>
      <c r="ALZ233" s="9"/>
      <c r="AMA233" s="9"/>
      <c r="AMB233" s="9"/>
      <c r="AMC233" s="9"/>
      <c r="AMD233" s="9"/>
      <c r="AME233" s="9"/>
      <c r="AMF233" s="9"/>
      <c r="AMG233" s="9"/>
      <c r="AMH233" s="9"/>
      <c r="AMI233" s="9"/>
      <c r="AMJ233" s="9"/>
      <c r="AMK233" s="9"/>
      <c r="AML233" s="9"/>
      <c r="AMM233" s="9"/>
      <c r="AMN233" s="9"/>
      <c r="AMO233" s="9"/>
    </row>
    <row r="234" spans="1:1029" s="12" customFormat="1" x14ac:dyDescent="0.2">
      <c r="A234" s="9" t="str">
        <f>CONCATENATE(B234,"_",C234)</f>
        <v>fpr2_human_6OMM</v>
      </c>
      <c r="B234" s="9" t="s">
        <v>201</v>
      </c>
      <c r="C234" s="9" t="s">
        <v>1657</v>
      </c>
      <c r="D234" s="9" t="str">
        <f>IFERROR(MID(VLOOKUP($B234,Seqs!$A:$B,2,0),E234,1),"")</f>
        <v>G</v>
      </c>
      <c r="E234" s="9">
        <v>21</v>
      </c>
      <c r="F234" s="9" t="str">
        <f>IFERROR(MID(VLOOKUP($B234,Seqs!$A:$B,2,0),G234,1),"")</f>
        <v>M</v>
      </c>
      <c r="G234" s="9">
        <v>55</v>
      </c>
      <c r="H234" s="9" t="str">
        <f>IFERROR(MID(VLOOKUP($B234,Seqs!$A:$B,2,0),I234,1),"")</f>
        <v/>
      </c>
      <c r="I234" s="109" t="s">
        <v>23</v>
      </c>
      <c r="J234" s="9" t="str">
        <f>IFERROR(MID(VLOOKUP($B234,Seqs!$A:$B,2,0),K234,1),"")</f>
        <v/>
      </c>
      <c r="K234" s="109" t="s">
        <v>23</v>
      </c>
      <c r="L234" s="9" t="str">
        <f>IFERROR(MID(VLOOKUP($B234,Seqs!$A:$B,2,0),M234,1),"")</f>
        <v>T</v>
      </c>
      <c r="M234" s="9">
        <v>58</v>
      </c>
      <c r="N234" s="9" t="str">
        <f>IFERROR(MID(VLOOKUP($B234,Seqs!$A:$B,2,0),O234,1),"")</f>
        <v>G</v>
      </c>
      <c r="O234" s="9">
        <v>88</v>
      </c>
      <c r="P234" s="9" t="str">
        <f>IFERROR(MID(VLOOKUP($B234,Seqs!$A:$B,2,0),Q234,1),"")</f>
        <v>K</v>
      </c>
      <c r="Q234" s="9">
        <v>90</v>
      </c>
      <c r="R234" s="9" t="str">
        <f>IFERROR(MID(VLOOKUP($B234,Seqs!$A:$B,2,0),S234,1),"")</f>
        <v>F</v>
      </c>
      <c r="S234" s="9">
        <v>93</v>
      </c>
      <c r="T234" s="9" t="str">
        <f>IFERROR(MID(VLOOKUP($B234,Seqs!$A:$B,2,0),U234,1),"")</f>
        <v>G</v>
      </c>
      <c r="U234" s="9">
        <v>94</v>
      </c>
      <c r="V234" s="9" t="str">
        <f>IFERROR(MID(VLOOKUP($B234,Seqs!$A:$B,2,0),W234,1),"")</f>
        <v>H</v>
      </c>
      <c r="W234" s="9">
        <v>129</v>
      </c>
      <c r="X234" s="9" t="str">
        <f>IFERROR(MID(VLOOKUP($B234,Seqs!$A:$B,2,0),Y234,1),"")</f>
        <v>P</v>
      </c>
      <c r="Y234" s="9">
        <v>130</v>
      </c>
      <c r="Z234" s="9" t="str">
        <f>IFERROR(MID(VLOOKUP($B234,Seqs!$A:$B,2,0),AA234,1),"")</f>
        <v>R</v>
      </c>
      <c r="AA234" s="9">
        <v>137</v>
      </c>
      <c r="AB234" s="9" t="str">
        <f>IFERROR(MID(VLOOKUP($B234,Seqs!$A:$B,2,0),AC234,1),"")</f>
        <v>T</v>
      </c>
      <c r="AC234" s="9">
        <v>138</v>
      </c>
      <c r="AD234" s="9" t="str">
        <f>IFERROR(MID(VLOOKUP($B234,Seqs!$A:$B,2,0),AE234,1),"")</f>
        <v>L</v>
      </c>
      <c r="AE234" s="9">
        <v>164</v>
      </c>
      <c r="AF234" s="9" t="str">
        <f>IFERROR(MID(VLOOKUP($B234,Seqs!$A:$B,2,0),AG234,1),"")</f>
        <v>C</v>
      </c>
      <c r="AG234" s="9">
        <v>176</v>
      </c>
      <c r="AH234" s="9" t="str">
        <f>IFERROR(MID(VLOOKUP($B234,Seqs!$A:$B,2,0),AI234,1),"")</f>
        <v>F</v>
      </c>
      <c r="AI234" s="9">
        <v>178</v>
      </c>
      <c r="AJ234" s="9" t="str">
        <f>IFERROR(MID(VLOOKUP($B234,Seqs!$A:$B,2,0),AK234,1),"")</f>
        <v>T</v>
      </c>
      <c r="AK234" s="9">
        <v>186</v>
      </c>
      <c r="AL234" s="9" t="str">
        <f>IFERROR(MID(VLOOKUP($B234,Seqs!$A:$B,2,0),AM234,1),"")</f>
        <v>G</v>
      </c>
      <c r="AM234" s="9">
        <v>232</v>
      </c>
      <c r="AN234" s="9" t="str">
        <f>IFERROR(MID(VLOOKUP($B234,Seqs!$A:$B,2,0),AO234,1),"")</f>
        <v>S</v>
      </c>
      <c r="AO234" s="9">
        <v>237</v>
      </c>
      <c r="AP234" s="9" t="str">
        <f>IFERROR(MID(VLOOKUP($B234,Seqs!$A:$B,2,0),AQ234,1),"")</f>
        <v>W</v>
      </c>
      <c r="AQ234" s="9">
        <v>267</v>
      </c>
      <c r="AR234" s="9" t="str">
        <f>IFERROR(MID(VLOOKUP($B234,Seqs!$A:$B,2,0),AS234,1),"")</f>
        <v>K</v>
      </c>
      <c r="AS234" s="9">
        <v>278</v>
      </c>
      <c r="AT234" s="9" t="str">
        <f>IFERROR(MID(VLOOKUP($B234,Seqs!$A:$B,2,0),AU234,1),"")</f>
        <v>V</v>
      </c>
      <c r="AU234" s="9">
        <v>305</v>
      </c>
      <c r="AV234" s="9" t="str">
        <f>IFERROR(MID(VLOOKUP($B234,Seqs!$A:$B,2,0),AW234,1),"")</f>
        <v>G</v>
      </c>
      <c r="AW234" s="9">
        <v>306</v>
      </c>
      <c r="AX234" s="9" t="str">
        <f>IFERROR(MID(VLOOKUP($B234,Seqs!$A:$B,2,0),AY234,1),"")</f>
        <v>L</v>
      </c>
      <c r="AY234" s="9">
        <v>317</v>
      </c>
      <c r="AZ234" s="110" t="str">
        <f>VLOOKUP(B234,Classification!A:D,2,0)</f>
        <v>A</v>
      </c>
      <c r="BA234" s="98" t="str">
        <f>VLOOKUP(B234,Classification!A:D,4,0)</f>
        <v>Formylpeptide</v>
      </c>
      <c r="BB234" s="36" t="b">
        <f t="shared" ref="BB234" si="1062">AND(E234&lt;G234,OR(G234&lt;I234,I234="-"),OR(I234&lt;K234,I234="-"),OR(K234&lt;M234,K234="-"),M234&lt;O234,OR(O234&lt;Q234,Q234="-"),OR(Q234&lt;S234,Q234="-"),OR(S234&lt;U234,S234="-"),U234&lt;W234,OR(W234&lt;Y234,Y234="-"),OR(Y234&lt;AA234,Y234="-"),OR(AA234&lt;AC234,AA234="-"),AC234&lt;AE234,OR(AE234&lt;AG234,AG234="-"),OR(AG234&lt;AI234,AG234="-"),OR(AI234&lt;AK234,AI234="-"),AK234&lt;AM234,AM234&lt;AO234,AO234&lt;AQ234,AQ234&lt;AS234,AS234&lt;AU234,OR(AU234&lt;AW234,AW234="-"),OR(AW234&lt;AY234,AW234="-"))</f>
        <v>1</v>
      </c>
      <c r="BC234" s="109">
        <f t="shared" ref="BC234" si="1063">_xlfn.AGGREGATE(9,6,CH234:CS234)-_xlfn.AGGREGATE(9,6,BV234:CG234)+12</f>
        <v>263</v>
      </c>
      <c r="BD234" s="126" t="s">
        <v>1369</v>
      </c>
      <c r="BE234" s="9" t="s">
        <v>1285</v>
      </c>
      <c r="BF234" s="119">
        <v>3.17</v>
      </c>
      <c r="BG234" s="51" t="s">
        <v>1</v>
      </c>
      <c r="BH234" s="51" t="s">
        <v>1</v>
      </c>
      <c r="BJ234" s="111" t="s">
        <v>1281</v>
      </c>
      <c r="BK234" s="112" t="s">
        <v>1281</v>
      </c>
      <c r="BL234" s="112" t="s">
        <v>1281</v>
      </c>
      <c r="BM234" s="112" t="s">
        <v>1281</v>
      </c>
      <c r="BN234" s="112" t="s">
        <v>1281</v>
      </c>
      <c r="BO234" s="112" t="s">
        <v>1281</v>
      </c>
      <c r="BP234" s="112" t="s">
        <v>1281</v>
      </c>
      <c r="BQ234" s="112" t="s">
        <v>1281</v>
      </c>
      <c r="BR234" s="112" t="s">
        <v>1281</v>
      </c>
      <c r="BS234" s="112" t="s">
        <v>1281</v>
      </c>
      <c r="BT234" s="112" t="s">
        <v>1281</v>
      </c>
      <c r="BU234" s="112" t="s">
        <v>1281</v>
      </c>
      <c r="BV234" s="111">
        <f>E234</f>
        <v>21</v>
      </c>
      <c r="BW234" s="113" t="str">
        <f>I234</f>
        <v>-</v>
      </c>
      <c r="BX234" s="114">
        <f>M234</f>
        <v>58</v>
      </c>
      <c r="BY234" s="113">
        <f>Q234</f>
        <v>90</v>
      </c>
      <c r="BZ234" s="114">
        <f>U234</f>
        <v>94</v>
      </c>
      <c r="CA234" s="113">
        <f>Y234</f>
        <v>130</v>
      </c>
      <c r="CB234" s="114">
        <f>AC234</f>
        <v>138</v>
      </c>
      <c r="CC234" s="113">
        <f>AG234</f>
        <v>176</v>
      </c>
      <c r="CD234" s="114">
        <f>AK234</f>
        <v>186</v>
      </c>
      <c r="CE234" s="113">
        <f>AO234</f>
        <v>237</v>
      </c>
      <c r="CF234" s="114">
        <f>AS234</f>
        <v>278</v>
      </c>
      <c r="CG234" s="113">
        <f>AW234</f>
        <v>306</v>
      </c>
      <c r="CH234" s="111">
        <f>G234</f>
        <v>55</v>
      </c>
      <c r="CI234" s="113" t="str">
        <f>K234</f>
        <v>-</v>
      </c>
      <c r="CJ234" s="114">
        <f>O234</f>
        <v>88</v>
      </c>
      <c r="CK234" s="114">
        <f>S234</f>
        <v>93</v>
      </c>
      <c r="CL234" s="114">
        <f>W234</f>
        <v>129</v>
      </c>
      <c r="CM234" s="114">
        <f>AA234</f>
        <v>137</v>
      </c>
      <c r="CN234" s="114">
        <f>AE234</f>
        <v>164</v>
      </c>
      <c r="CO234" s="114">
        <f>AI234</f>
        <v>178</v>
      </c>
      <c r="CP234" s="114">
        <f>AM234</f>
        <v>232</v>
      </c>
      <c r="CQ234" s="114">
        <f>AQ234</f>
        <v>267</v>
      </c>
      <c r="CR234" s="114">
        <f>AU234</f>
        <v>305</v>
      </c>
      <c r="CS234" s="114">
        <f>AY234</f>
        <v>317</v>
      </c>
      <c r="CT234" s="109" t="e">
        <f>M234-K234</f>
        <v>#VALUE!</v>
      </c>
      <c r="CU234" s="9"/>
      <c r="CV234" s="9"/>
      <c r="CW234" s="9"/>
      <c r="CX234" s="9"/>
      <c r="CY234" s="9"/>
      <c r="CZ234" s="9"/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9"/>
      <c r="ED234" s="9"/>
      <c r="EE234" s="9"/>
      <c r="EF234" s="9"/>
      <c r="EG234" s="9"/>
      <c r="EH234" s="9"/>
      <c r="EI234" s="9"/>
      <c r="EJ234" s="9"/>
      <c r="EK234" s="9"/>
      <c r="EL234" s="9"/>
      <c r="EM234" s="9"/>
      <c r="EN234" s="9"/>
      <c r="EO234" s="9"/>
      <c r="EP234" s="9"/>
      <c r="EQ234" s="9"/>
      <c r="ER234" s="9"/>
      <c r="ES234" s="9"/>
      <c r="ET234" s="9"/>
      <c r="EU234" s="9"/>
      <c r="EV234" s="9"/>
      <c r="EW234" s="9"/>
      <c r="EX234" s="9"/>
      <c r="EY234" s="9"/>
      <c r="EZ234" s="9"/>
      <c r="FA234" s="9"/>
      <c r="FB234" s="9"/>
      <c r="FC234" s="9"/>
      <c r="FD234" s="9"/>
      <c r="FE234" s="9"/>
      <c r="FF234" s="9"/>
      <c r="FG234" s="9"/>
      <c r="FH234" s="9"/>
      <c r="FI234" s="9"/>
      <c r="FJ234" s="9"/>
      <c r="FK234" s="9"/>
      <c r="FL234" s="9"/>
      <c r="FM234" s="9"/>
      <c r="FN234" s="9"/>
      <c r="FO234" s="9"/>
      <c r="FP234" s="9"/>
      <c r="FQ234" s="9"/>
      <c r="FR234" s="9"/>
      <c r="FS234" s="9"/>
      <c r="FT234" s="9"/>
      <c r="FU234" s="9"/>
      <c r="FV234" s="9"/>
      <c r="FW234" s="9"/>
      <c r="FX234" s="9"/>
      <c r="FY234" s="9"/>
      <c r="FZ234" s="9"/>
      <c r="GA234" s="9"/>
      <c r="GB234" s="9"/>
      <c r="GC234" s="9"/>
      <c r="GD234" s="9"/>
      <c r="GE234" s="9"/>
      <c r="GF234" s="9"/>
      <c r="GG234" s="9"/>
      <c r="GH234" s="9"/>
      <c r="GI234" s="9"/>
      <c r="GJ234" s="9"/>
      <c r="GK234" s="9"/>
      <c r="GL234" s="9"/>
      <c r="GM234" s="9"/>
      <c r="GN234" s="9"/>
      <c r="GO234" s="9"/>
      <c r="GP234" s="9"/>
      <c r="GQ234" s="9"/>
      <c r="GR234" s="9"/>
      <c r="GS234" s="9"/>
      <c r="GT234" s="9"/>
      <c r="GU234" s="9"/>
      <c r="GV234" s="9"/>
      <c r="GW234" s="9"/>
      <c r="GX234" s="9"/>
      <c r="GY234" s="9"/>
      <c r="GZ234" s="9"/>
      <c r="HA234" s="9"/>
      <c r="HB234" s="9"/>
      <c r="HC234" s="9"/>
      <c r="HD234" s="9"/>
      <c r="HE234" s="9"/>
      <c r="HF234" s="9"/>
      <c r="HG234" s="9"/>
      <c r="HH234" s="9"/>
      <c r="HI234" s="9"/>
      <c r="HJ234" s="9"/>
      <c r="HK234" s="9"/>
      <c r="HL234" s="9"/>
      <c r="HM234" s="9"/>
      <c r="HN234" s="9"/>
      <c r="HO234" s="9"/>
      <c r="HP234" s="9"/>
      <c r="HQ234" s="9"/>
      <c r="HR234" s="9"/>
      <c r="HS234" s="9"/>
      <c r="HT234" s="9"/>
      <c r="HU234" s="9"/>
      <c r="HV234" s="9"/>
      <c r="HW234" s="9"/>
      <c r="HX234" s="9"/>
      <c r="HY234" s="9"/>
      <c r="HZ234" s="9"/>
      <c r="IA234" s="9"/>
      <c r="IB234" s="9"/>
      <c r="IC234" s="9"/>
      <c r="ID234" s="9"/>
      <c r="IE234" s="9"/>
      <c r="IF234" s="9"/>
      <c r="IG234" s="9"/>
      <c r="IH234" s="9"/>
      <c r="II234" s="9"/>
      <c r="IJ234" s="9"/>
      <c r="IK234" s="9"/>
      <c r="IL234" s="9"/>
      <c r="IM234" s="9"/>
      <c r="IN234" s="9"/>
      <c r="IO234" s="9"/>
      <c r="IP234" s="9"/>
      <c r="IQ234" s="9"/>
      <c r="IR234" s="9"/>
      <c r="IS234" s="9"/>
      <c r="IT234" s="9"/>
      <c r="IU234" s="9"/>
      <c r="IV234" s="9"/>
      <c r="IW234" s="9"/>
      <c r="IX234" s="9"/>
      <c r="IY234" s="9"/>
      <c r="IZ234" s="9"/>
      <c r="JA234" s="9"/>
      <c r="JB234" s="9"/>
      <c r="JC234" s="9"/>
      <c r="JD234" s="9"/>
      <c r="JE234" s="9"/>
      <c r="JF234" s="9"/>
      <c r="JG234" s="9"/>
      <c r="JH234" s="9"/>
      <c r="JI234" s="9"/>
      <c r="JJ234" s="9"/>
      <c r="JK234" s="9"/>
      <c r="JL234" s="9"/>
      <c r="JM234" s="9"/>
      <c r="JN234" s="9"/>
      <c r="JO234" s="9"/>
      <c r="JP234" s="9"/>
      <c r="JQ234" s="9"/>
      <c r="JR234" s="9"/>
      <c r="JS234" s="9"/>
      <c r="JT234" s="9"/>
      <c r="JU234" s="9"/>
      <c r="JV234" s="9"/>
      <c r="JW234" s="9"/>
      <c r="JX234" s="9"/>
      <c r="JY234" s="9"/>
      <c r="JZ234" s="9"/>
      <c r="KA234" s="9"/>
      <c r="KB234" s="9"/>
      <c r="KC234" s="9"/>
      <c r="KD234" s="9"/>
      <c r="KE234" s="9"/>
      <c r="KF234" s="9"/>
      <c r="KG234" s="9"/>
      <c r="KH234" s="9"/>
      <c r="KI234" s="9"/>
      <c r="KJ234" s="9"/>
      <c r="KK234" s="9"/>
      <c r="KL234" s="9"/>
      <c r="KM234" s="9"/>
      <c r="KN234" s="9"/>
      <c r="KO234" s="9"/>
      <c r="KP234" s="9"/>
      <c r="KQ234" s="9"/>
      <c r="KR234" s="9"/>
      <c r="KS234" s="9"/>
      <c r="KT234" s="9"/>
      <c r="KU234" s="9"/>
      <c r="KV234" s="9"/>
      <c r="KW234" s="9"/>
      <c r="KX234" s="9"/>
      <c r="KY234" s="9"/>
      <c r="KZ234" s="9"/>
      <c r="LA234" s="9"/>
      <c r="LB234" s="9"/>
      <c r="LC234" s="9"/>
      <c r="LD234" s="9"/>
      <c r="LE234" s="9"/>
      <c r="LF234" s="9"/>
      <c r="LG234" s="9"/>
      <c r="LH234" s="9"/>
      <c r="LI234" s="9"/>
      <c r="LJ234" s="9"/>
      <c r="LK234" s="9"/>
      <c r="LL234" s="9"/>
      <c r="LM234" s="9"/>
      <c r="LN234" s="9"/>
      <c r="LO234" s="9"/>
      <c r="LP234" s="9"/>
      <c r="LQ234" s="9"/>
      <c r="LR234" s="9"/>
      <c r="LS234" s="9"/>
      <c r="LT234" s="9"/>
      <c r="LU234" s="9"/>
      <c r="LV234" s="9"/>
      <c r="LW234" s="9"/>
      <c r="LX234" s="9"/>
      <c r="LY234" s="9"/>
      <c r="LZ234" s="9"/>
      <c r="MA234" s="9"/>
      <c r="MB234" s="9"/>
      <c r="MC234" s="9"/>
      <c r="MD234" s="9"/>
      <c r="ME234" s="9"/>
      <c r="MF234" s="9"/>
      <c r="MG234" s="9"/>
      <c r="MH234" s="9"/>
      <c r="MI234" s="9"/>
      <c r="MJ234" s="9"/>
      <c r="MK234" s="9"/>
      <c r="ML234" s="9"/>
      <c r="MM234" s="9"/>
      <c r="MN234" s="9"/>
      <c r="MO234" s="9"/>
      <c r="MP234" s="9"/>
      <c r="MQ234" s="9"/>
      <c r="MR234" s="9"/>
      <c r="MS234" s="9"/>
      <c r="MT234" s="9"/>
      <c r="MU234" s="9"/>
      <c r="MV234" s="9"/>
      <c r="MW234" s="9"/>
      <c r="MX234" s="9"/>
      <c r="MY234" s="9"/>
      <c r="MZ234" s="9"/>
      <c r="NA234" s="9"/>
      <c r="NB234" s="9"/>
      <c r="NC234" s="9"/>
      <c r="ND234" s="9"/>
      <c r="NE234" s="9"/>
      <c r="NF234" s="9"/>
      <c r="NG234" s="9"/>
      <c r="NH234" s="9"/>
      <c r="NI234" s="9"/>
      <c r="NJ234" s="9"/>
      <c r="NK234" s="9"/>
      <c r="NL234" s="9"/>
      <c r="NM234" s="9"/>
      <c r="NN234" s="9"/>
      <c r="NO234" s="9"/>
      <c r="NP234" s="9"/>
      <c r="NQ234" s="9"/>
      <c r="NR234" s="9"/>
      <c r="NS234" s="9"/>
      <c r="NT234" s="9"/>
      <c r="NU234" s="9"/>
      <c r="NV234" s="9"/>
      <c r="NW234" s="9"/>
      <c r="NX234" s="9"/>
      <c r="NY234" s="9"/>
      <c r="NZ234" s="9"/>
      <c r="OA234" s="9"/>
      <c r="OB234" s="9"/>
      <c r="OC234" s="9"/>
      <c r="OD234" s="9"/>
      <c r="OE234" s="9"/>
      <c r="OF234" s="9"/>
      <c r="OG234" s="9"/>
      <c r="OH234" s="9"/>
      <c r="OI234" s="9"/>
      <c r="OJ234" s="9"/>
      <c r="OK234" s="9"/>
      <c r="OL234" s="9"/>
      <c r="OM234" s="9"/>
      <c r="ON234" s="9"/>
      <c r="OO234" s="9"/>
      <c r="OP234" s="9"/>
      <c r="OQ234" s="9"/>
      <c r="OR234" s="9"/>
      <c r="OS234" s="9"/>
      <c r="OT234" s="9"/>
      <c r="OU234" s="9"/>
      <c r="OV234" s="9"/>
      <c r="OW234" s="9"/>
      <c r="OX234" s="9"/>
      <c r="OY234" s="9"/>
      <c r="OZ234" s="9"/>
      <c r="PA234" s="9"/>
      <c r="PB234" s="9"/>
      <c r="PC234" s="9"/>
      <c r="PD234" s="9"/>
      <c r="PE234" s="9"/>
      <c r="PF234" s="9"/>
      <c r="PG234" s="9"/>
      <c r="PH234" s="9"/>
      <c r="PI234" s="9"/>
      <c r="PJ234" s="9"/>
      <c r="PK234" s="9"/>
      <c r="PL234" s="9"/>
      <c r="PM234" s="9"/>
      <c r="PN234" s="9"/>
      <c r="PO234" s="9"/>
      <c r="PP234" s="9"/>
      <c r="PQ234" s="9"/>
      <c r="PR234" s="9"/>
      <c r="PS234" s="9"/>
      <c r="PT234" s="9"/>
      <c r="PU234" s="9"/>
      <c r="PV234" s="9"/>
      <c r="PW234" s="9"/>
      <c r="PX234" s="9"/>
      <c r="PY234" s="9"/>
      <c r="PZ234" s="9"/>
      <c r="QA234" s="9"/>
      <c r="QB234" s="9"/>
      <c r="QC234" s="9"/>
      <c r="QD234" s="9"/>
      <c r="QE234" s="9"/>
      <c r="QF234" s="9"/>
      <c r="QG234" s="9"/>
      <c r="QH234" s="9"/>
      <c r="QI234" s="9"/>
      <c r="QJ234" s="9"/>
      <c r="QK234" s="9"/>
      <c r="QL234" s="9"/>
      <c r="QM234" s="9"/>
      <c r="QN234" s="9"/>
      <c r="QO234" s="9"/>
      <c r="QP234" s="9"/>
      <c r="QQ234" s="9"/>
      <c r="QR234" s="9"/>
      <c r="QS234" s="9"/>
      <c r="QT234" s="9"/>
      <c r="QU234" s="9"/>
      <c r="QV234" s="9"/>
      <c r="QW234" s="9"/>
      <c r="QX234" s="9"/>
      <c r="QY234" s="9"/>
      <c r="QZ234" s="9"/>
      <c r="RA234" s="9"/>
      <c r="RB234" s="9"/>
      <c r="RC234" s="9"/>
      <c r="RD234" s="9"/>
      <c r="RE234" s="9"/>
      <c r="RF234" s="9"/>
      <c r="RG234" s="9"/>
      <c r="RH234" s="9"/>
      <c r="RI234" s="9"/>
      <c r="RJ234" s="9"/>
      <c r="RK234" s="9"/>
      <c r="RL234" s="9"/>
      <c r="RM234" s="9"/>
      <c r="RN234" s="9"/>
      <c r="RO234" s="9"/>
      <c r="RP234" s="9"/>
      <c r="RQ234" s="9"/>
      <c r="RR234" s="9"/>
      <c r="RS234" s="9"/>
      <c r="RT234" s="9"/>
      <c r="RU234" s="9"/>
      <c r="RV234" s="9"/>
      <c r="RW234" s="9"/>
      <c r="RX234" s="9"/>
      <c r="RY234" s="9"/>
      <c r="RZ234" s="9"/>
      <c r="SA234" s="9"/>
      <c r="SB234" s="9"/>
      <c r="SC234" s="9"/>
      <c r="SD234" s="9"/>
      <c r="SE234" s="9"/>
      <c r="SF234" s="9"/>
      <c r="SG234" s="9"/>
      <c r="SH234" s="9"/>
      <c r="SI234" s="9"/>
      <c r="SJ234" s="9"/>
      <c r="SK234" s="9"/>
      <c r="SL234" s="9"/>
      <c r="SM234" s="9"/>
      <c r="SN234" s="9"/>
      <c r="SO234" s="9"/>
      <c r="SP234" s="9"/>
      <c r="SQ234" s="9"/>
      <c r="SR234" s="9"/>
      <c r="SS234" s="9"/>
      <c r="ST234" s="9"/>
      <c r="SU234" s="9"/>
      <c r="SV234" s="9"/>
      <c r="SW234" s="9"/>
      <c r="SX234" s="9"/>
      <c r="SY234" s="9"/>
      <c r="SZ234" s="9"/>
      <c r="TA234" s="9"/>
      <c r="TB234" s="9"/>
      <c r="TC234" s="9"/>
      <c r="TD234" s="9"/>
      <c r="TE234" s="9"/>
      <c r="TF234" s="9"/>
      <c r="TG234" s="9"/>
      <c r="TH234" s="9"/>
      <c r="TI234" s="9"/>
      <c r="TJ234" s="9"/>
      <c r="TK234" s="9"/>
      <c r="TL234" s="9"/>
      <c r="TM234" s="9"/>
      <c r="TN234" s="9"/>
      <c r="TO234" s="9"/>
      <c r="TP234" s="9"/>
      <c r="TQ234" s="9"/>
      <c r="TR234" s="9"/>
      <c r="TS234" s="9"/>
      <c r="TT234" s="9"/>
      <c r="TU234" s="9"/>
      <c r="TV234" s="9"/>
      <c r="TW234" s="9"/>
      <c r="TX234" s="9"/>
      <c r="TY234" s="9"/>
      <c r="TZ234" s="9"/>
      <c r="UA234" s="9"/>
      <c r="UB234" s="9"/>
      <c r="UC234" s="9"/>
      <c r="UD234" s="9"/>
      <c r="UE234" s="9"/>
      <c r="UF234" s="9"/>
      <c r="UG234" s="9"/>
      <c r="UH234" s="9"/>
      <c r="UI234" s="9"/>
      <c r="UJ234" s="9"/>
      <c r="UK234" s="9"/>
      <c r="UL234" s="9"/>
      <c r="UM234" s="9"/>
      <c r="UN234" s="9"/>
      <c r="UO234" s="9"/>
      <c r="UP234" s="9"/>
      <c r="UQ234" s="9"/>
      <c r="UR234" s="9"/>
      <c r="US234" s="9"/>
      <c r="UT234" s="9"/>
      <c r="UU234" s="9"/>
      <c r="UV234" s="9"/>
      <c r="UW234" s="9"/>
      <c r="UX234" s="9"/>
      <c r="UY234" s="9"/>
      <c r="UZ234" s="9"/>
      <c r="VA234" s="9"/>
      <c r="VB234" s="9"/>
      <c r="VC234" s="9"/>
      <c r="VD234" s="9"/>
      <c r="VE234" s="9"/>
      <c r="VF234" s="9"/>
      <c r="VG234" s="9"/>
      <c r="VH234" s="9"/>
      <c r="VI234" s="9"/>
      <c r="VJ234" s="9"/>
      <c r="VK234" s="9"/>
      <c r="VL234" s="9"/>
      <c r="VM234" s="9"/>
      <c r="VN234" s="9"/>
      <c r="VO234" s="9"/>
      <c r="VP234" s="9"/>
      <c r="VQ234" s="9"/>
      <c r="VR234" s="9"/>
      <c r="VS234" s="9"/>
      <c r="VT234" s="9"/>
      <c r="VU234" s="9"/>
      <c r="VV234" s="9"/>
      <c r="VW234" s="9"/>
      <c r="VX234" s="9"/>
      <c r="VY234" s="9"/>
      <c r="VZ234" s="9"/>
      <c r="WA234" s="9"/>
      <c r="WB234" s="9"/>
      <c r="WC234" s="9"/>
      <c r="WD234" s="9"/>
      <c r="WE234" s="9"/>
      <c r="WF234" s="9"/>
      <c r="WG234" s="9"/>
      <c r="WH234" s="9"/>
      <c r="WI234" s="9"/>
      <c r="WJ234" s="9"/>
      <c r="WK234" s="9"/>
      <c r="WL234" s="9"/>
      <c r="WM234" s="9"/>
      <c r="WN234" s="9"/>
      <c r="WO234" s="9"/>
      <c r="WP234" s="9"/>
      <c r="WQ234" s="9"/>
      <c r="WR234" s="9"/>
      <c r="WS234" s="9"/>
      <c r="WT234" s="9"/>
      <c r="WU234" s="9"/>
      <c r="WV234" s="9"/>
      <c r="WW234" s="9"/>
      <c r="WX234" s="9"/>
      <c r="WY234" s="9"/>
      <c r="WZ234" s="9"/>
      <c r="XA234" s="9"/>
      <c r="XB234" s="9"/>
      <c r="XC234" s="9"/>
      <c r="XD234" s="9"/>
      <c r="XE234" s="9"/>
      <c r="XF234" s="9"/>
      <c r="XG234" s="9"/>
      <c r="XH234" s="9"/>
      <c r="XI234" s="9"/>
      <c r="XJ234" s="9"/>
      <c r="XK234" s="9"/>
      <c r="XL234" s="9"/>
      <c r="XM234" s="9"/>
      <c r="XN234" s="9"/>
      <c r="XO234" s="9"/>
      <c r="XP234" s="9"/>
      <c r="XQ234" s="9"/>
      <c r="XR234" s="9"/>
      <c r="XS234" s="9"/>
      <c r="XT234" s="9"/>
      <c r="XU234" s="9"/>
      <c r="XV234" s="9"/>
      <c r="XW234" s="9"/>
      <c r="XX234" s="9"/>
      <c r="XY234" s="9"/>
      <c r="XZ234" s="9"/>
      <c r="YA234" s="9"/>
      <c r="YB234" s="9"/>
      <c r="YC234" s="9"/>
      <c r="YD234" s="9"/>
      <c r="YE234" s="9"/>
      <c r="YF234" s="9"/>
      <c r="YG234" s="9"/>
      <c r="YH234" s="9"/>
      <c r="YI234" s="9"/>
      <c r="YJ234" s="9"/>
      <c r="YK234" s="9"/>
      <c r="YL234" s="9"/>
      <c r="YM234" s="9"/>
      <c r="YN234" s="9"/>
      <c r="YO234" s="9"/>
      <c r="YP234" s="9"/>
      <c r="YQ234" s="9"/>
      <c r="YR234" s="9"/>
      <c r="YS234" s="9"/>
      <c r="YT234" s="9"/>
      <c r="YU234" s="9"/>
      <c r="YV234" s="9"/>
      <c r="YW234" s="9"/>
      <c r="YX234" s="9"/>
      <c r="YY234" s="9"/>
      <c r="YZ234" s="9"/>
      <c r="ZA234" s="9"/>
      <c r="ZB234" s="9"/>
      <c r="ZC234" s="9"/>
      <c r="ZD234" s="9"/>
      <c r="ZE234" s="9"/>
      <c r="ZF234" s="9"/>
      <c r="ZG234" s="9"/>
      <c r="ZH234" s="9"/>
      <c r="ZI234" s="9"/>
      <c r="ZJ234" s="9"/>
      <c r="ZK234" s="9"/>
      <c r="ZL234" s="9"/>
      <c r="ZM234" s="9"/>
      <c r="ZN234" s="9"/>
      <c r="ZO234" s="9"/>
      <c r="ZP234" s="9"/>
      <c r="ZQ234" s="9"/>
      <c r="ZR234" s="9"/>
      <c r="ZS234" s="9"/>
      <c r="ZT234" s="9"/>
      <c r="ZU234" s="9"/>
      <c r="ZV234" s="9"/>
      <c r="ZW234" s="9"/>
      <c r="ZX234" s="9"/>
      <c r="ZY234" s="9"/>
      <c r="ZZ234" s="9"/>
      <c r="AAA234" s="9"/>
      <c r="AAB234" s="9"/>
      <c r="AAC234" s="9"/>
      <c r="AAD234" s="9"/>
      <c r="AAE234" s="9"/>
      <c r="AAF234" s="9"/>
      <c r="AAG234" s="9"/>
      <c r="AAH234" s="9"/>
      <c r="AAI234" s="9"/>
      <c r="AAJ234" s="9"/>
      <c r="AAK234" s="9"/>
      <c r="AAL234" s="9"/>
      <c r="AAM234" s="9"/>
      <c r="AAN234" s="9"/>
      <c r="AAO234" s="9"/>
      <c r="AAP234" s="9"/>
      <c r="AAQ234" s="9"/>
      <c r="AAR234" s="9"/>
      <c r="AAS234" s="9"/>
      <c r="AAT234" s="9"/>
      <c r="AAU234" s="9"/>
      <c r="AAV234" s="9"/>
      <c r="AAW234" s="9"/>
      <c r="AAX234" s="9"/>
      <c r="AAY234" s="9"/>
      <c r="AAZ234" s="9"/>
      <c r="ABA234" s="9"/>
      <c r="ABB234" s="9"/>
      <c r="ABC234" s="9"/>
      <c r="ABD234" s="9"/>
      <c r="ABE234" s="9"/>
      <c r="ABF234" s="9"/>
      <c r="ABG234" s="9"/>
      <c r="ABH234" s="9"/>
      <c r="ABI234" s="9"/>
      <c r="ABJ234" s="9"/>
      <c r="ABK234" s="9"/>
      <c r="ABL234" s="9"/>
      <c r="ABM234" s="9"/>
      <c r="ABN234" s="9"/>
      <c r="ABO234" s="9"/>
      <c r="ABP234" s="9"/>
      <c r="ABQ234" s="9"/>
      <c r="ABR234" s="9"/>
      <c r="ABS234" s="9"/>
      <c r="ABT234" s="9"/>
      <c r="ABU234" s="9"/>
      <c r="ABV234" s="9"/>
      <c r="ABW234" s="9"/>
      <c r="ABX234" s="9"/>
      <c r="ABY234" s="9"/>
      <c r="ABZ234" s="9"/>
      <c r="ACA234" s="9"/>
      <c r="ACB234" s="9"/>
      <c r="ACC234" s="9"/>
      <c r="ACD234" s="9"/>
      <c r="ACE234" s="9"/>
      <c r="ACF234" s="9"/>
      <c r="ACG234" s="9"/>
      <c r="ACH234" s="9"/>
      <c r="ACI234" s="9"/>
      <c r="ACJ234" s="9"/>
      <c r="ACK234" s="9"/>
      <c r="ACL234" s="9"/>
      <c r="ACM234" s="9"/>
      <c r="ACN234" s="9"/>
      <c r="ACO234" s="9"/>
      <c r="ACP234" s="9"/>
      <c r="ACQ234" s="9"/>
      <c r="ACR234" s="9"/>
      <c r="ACS234" s="9"/>
      <c r="ACT234" s="9"/>
      <c r="ACU234" s="9"/>
      <c r="ACV234" s="9"/>
      <c r="ACW234" s="9"/>
      <c r="ACX234" s="9"/>
      <c r="ACY234" s="9"/>
      <c r="ACZ234" s="9"/>
      <c r="ADA234" s="9"/>
      <c r="ADB234" s="9"/>
      <c r="ADC234" s="9"/>
      <c r="ADD234" s="9"/>
      <c r="ADE234" s="9"/>
      <c r="ADF234" s="9"/>
      <c r="ADG234" s="9"/>
      <c r="ADH234" s="9"/>
      <c r="ADI234" s="9"/>
      <c r="ADJ234" s="9"/>
      <c r="ADK234" s="9"/>
      <c r="ADL234" s="9"/>
      <c r="ADM234" s="9"/>
      <c r="ADN234" s="9"/>
      <c r="ADO234" s="9"/>
      <c r="ADP234" s="9"/>
      <c r="ADQ234" s="9"/>
      <c r="ADR234" s="9"/>
      <c r="ADS234" s="9"/>
      <c r="ADT234" s="9"/>
      <c r="ADU234" s="9"/>
      <c r="ADV234" s="9"/>
      <c r="ADW234" s="9"/>
      <c r="ADX234" s="9"/>
      <c r="ADY234" s="9"/>
      <c r="ADZ234" s="9"/>
      <c r="AEA234" s="9"/>
      <c r="AEB234" s="9"/>
      <c r="AEC234" s="9"/>
      <c r="AED234" s="9"/>
      <c r="AEE234" s="9"/>
      <c r="AEF234" s="9"/>
      <c r="AEG234" s="9"/>
      <c r="AEH234" s="9"/>
      <c r="AEI234" s="9"/>
      <c r="AEJ234" s="9"/>
      <c r="AEK234" s="9"/>
      <c r="AEL234" s="9"/>
      <c r="AEM234" s="9"/>
      <c r="AEN234" s="9"/>
      <c r="AEO234" s="9"/>
      <c r="AEP234" s="9"/>
      <c r="AEQ234" s="9"/>
      <c r="AER234" s="9"/>
      <c r="AES234" s="9"/>
      <c r="AET234" s="9"/>
      <c r="AEU234" s="9"/>
      <c r="AEV234" s="9"/>
      <c r="AEW234" s="9"/>
      <c r="AEX234" s="9"/>
      <c r="AEY234" s="9"/>
      <c r="AEZ234" s="9"/>
      <c r="AFA234" s="9"/>
      <c r="AFB234" s="9"/>
      <c r="AFC234" s="9"/>
      <c r="AFD234" s="9"/>
      <c r="AFE234" s="9"/>
      <c r="AFF234" s="9"/>
      <c r="AFG234" s="9"/>
      <c r="AFH234" s="9"/>
      <c r="AFI234" s="9"/>
      <c r="AFJ234" s="9"/>
      <c r="AFK234" s="9"/>
      <c r="AFL234" s="9"/>
      <c r="AFM234" s="9"/>
      <c r="AFN234" s="9"/>
      <c r="AFO234" s="9"/>
      <c r="AFP234" s="9"/>
      <c r="AFQ234" s="9"/>
      <c r="AFR234" s="9"/>
      <c r="AFS234" s="9"/>
      <c r="AFT234" s="9"/>
      <c r="AFU234" s="9"/>
      <c r="AFV234" s="9"/>
      <c r="AFW234" s="9"/>
      <c r="AFX234" s="9"/>
      <c r="AFY234" s="9"/>
      <c r="AFZ234" s="9"/>
      <c r="AGA234" s="9"/>
      <c r="AGB234" s="9"/>
      <c r="AGC234" s="9"/>
      <c r="AGD234" s="9"/>
      <c r="AGE234" s="9"/>
      <c r="AGF234" s="9"/>
      <c r="AGG234" s="9"/>
      <c r="AGH234" s="9"/>
      <c r="AGI234" s="9"/>
      <c r="AGJ234" s="9"/>
      <c r="AGK234" s="9"/>
      <c r="AGL234" s="9"/>
      <c r="AGM234" s="9"/>
      <c r="AGN234" s="9"/>
      <c r="AGO234" s="9"/>
      <c r="AGP234" s="9"/>
      <c r="AGQ234" s="9"/>
      <c r="AGR234" s="9"/>
      <c r="AGS234" s="9"/>
      <c r="AGT234" s="9"/>
      <c r="AGU234" s="9"/>
      <c r="AGV234" s="9"/>
      <c r="AGW234" s="9"/>
      <c r="AGX234" s="9"/>
      <c r="AGY234" s="9"/>
      <c r="AGZ234" s="9"/>
      <c r="AHA234" s="9"/>
      <c r="AHB234" s="9"/>
      <c r="AHC234" s="9"/>
      <c r="AHD234" s="9"/>
      <c r="AHE234" s="9"/>
      <c r="AHF234" s="9"/>
      <c r="AHG234" s="9"/>
      <c r="AHH234" s="9"/>
      <c r="AHI234" s="9"/>
      <c r="AHJ234" s="9"/>
      <c r="AHK234" s="9"/>
      <c r="AHL234" s="9"/>
      <c r="AHM234" s="9"/>
      <c r="AHN234" s="9"/>
      <c r="AHO234" s="9"/>
      <c r="AHP234" s="9"/>
      <c r="AHQ234" s="9"/>
      <c r="AHR234" s="9"/>
      <c r="AHS234" s="9"/>
      <c r="AHT234" s="9"/>
      <c r="AHU234" s="9"/>
      <c r="AHV234" s="9"/>
      <c r="AHW234" s="9"/>
      <c r="AHX234" s="9"/>
      <c r="AHY234" s="9"/>
      <c r="AHZ234" s="9"/>
      <c r="AIA234" s="9"/>
      <c r="AIB234" s="9"/>
      <c r="AIC234" s="9"/>
      <c r="AID234" s="9"/>
      <c r="AIE234" s="9"/>
      <c r="AIF234" s="9"/>
      <c r="AIG234" s="9"/>
      <c r="AIH234" s="9"/>
      <c r="AII234" s="9"/>
      <c r="AIJ234" s="9"/>
      <c r="AIK234" s="9"/>
      <c r="AIL234" s="9"/>
      <c r="AIM234" s="9"/>
      <c r="AIN234" s="9"/>
      <c r="AIO234" s="9"/>
      <c r="AIP234" s="9"/>
      <c r="AIQ234" s="9"/>
      <c r="AIR234" s="9"/>
      <c r="AIS234" s="9"/>
      <c r="AIT234" s="9"/>
      <c r="AIU234" s="9"/>
      <c r="AIV234" s="9"/>
      <c r="AIW234" s="9"/>
      <c r="AIX234" s="9"/>
      <c r="AIY234" s="9"/>
      <c r="AIZ234" s="9"/>
      <c r="AJA234" s="9"/>
      <c r="AJB234" s="9"/>
      <c r="AJC234" s="9"/>
      <c r="AJD234" s="9"/>
      <c r="AJE234" s="9"/>
      <c r="AJF234" s="9"/>
      <c r="AJG234" s="9"/>
      <c r="AJH234" s="9"/>
      <c r="AJI234" s="9"/>
      <c r="AJJ234" s="9"/>
      <c r="AJK234" s="9"/>
      <c r="AJL234" s="9"/>
      <c r="AJM234" s="9"/>
      <c r="AJN234" s="9"/>
      <c r="AJO234" s="9"/>
      <c r="AJP234" s="9"/>
      <c r="AJQ234" s="9"/>
      <c r="AJR234" s="9"/>
      <c r="AJS234" s="9"/>
      <c r="AJT234" s="9"/>
      <c r="AJU234" s="9"/>
      <c r="AJV234" s="9"/>
      <c r="AJW234" s="9"/>
      <c r="AJX234" s="9"/>
      <c r="AJY234" s="9"/>
      <c r="AJZ234" s="9"/>
      <c r="AKA234" s="9"/>
      <c r="AKB234" s="9"/>
      <c r="AKC234" s="9"/>
      <c r="AKD234" s="9"/>
      <c r="AKE234" s="9"/>
      <c r="AKF234" s="9"/>
      <c r="AKG234" s="9"/>
      <c r="AKH234" s="9"/>
      <c r="AKI234" s="9"/>
      <c r="AKJ234" s="9"/>
      <c r="AKK234" s="9"/>
      <c r="AKL234" s="9"/>
      <c r="AKM234" s="9"/>
      <c r="AKN234" s="9"/>
      <c r="AKO234" s="9"/>
      <c r="AKP234" s="9"/>
      <c r="AKQ234" s="9"/>
      <c r="AKR234" s="9"/>
      <c r="AKS234" s="9"/>
      <c r="AKT234" s="9"/>
      <c r="AKU234" s="9"/>
      <c r="AKV234" s="9"/>
      <c r="AKW234" s="9"/>
      <c r="AKX234" s="9"/>
      <c r="AKY234" s="9"/>
      <c r="AKZ234" s="9"/>
      <c r="ALA234" s="9"/>
      <c r="ALB234" s="9"/>
      <c r="ALC234" s="9"/>
      <c r="ALD234" s="9"/>
      <c r="ALE234" s="9"/>
      <c r="ALF234" s="9"/>
      <c r="ALG234" s="9"/>
      <c r="ALH234" s="9"/>
      <c r="ALI234" s="9"/>
      <c r="ALJ234" s="9"/>
      <c r="ALK234" s="9"/>
      <c r="ALL234" s="9"/>
      <c r="ALM234" s="9"/>
      <c r="ALN234" s="9"/>
      <c r="ALO234" s="9"/>
      <c r="ALP234" s="9"/>
      <c r="ALQ234" s="9"/>
      <c r="ALR234" s="9"/>
      <c r="ALS234" s="9"/>
      <c r="ALT234" s="9"/>
      <c r="ALU234" s="9"/>
      <c r="ALV234" s="9"/>
      <c r="ALW234" s="9"/>
      <c r="ALX234" s="9"/>
      <c r="ALY234" s="9"/>
      <c r="ALZ234" s="9"/>
      <c r="AMA234" s="9"/>
      <c r="AMB234" s="9"/>
      <c r="AMC234" s="9"/>
      <c r="AMD234" s="9"/>
      <c r="AME234" s="9"/>
      <c r="AMF234" s="9"/>
      <c r="AMG234" s="9"/>
      <c r="AMH234" s="9"/>
      <c r="AMI234" s="9"/>
      <c r="AMJ234" s="9"/>
      <c r="AMK234" s="9"/>
      <c r="AML234" s="9"/>
      <c r="AMM234" s="9"/>
      <c r="AMN234" s="9"/>
      <c r="AMO234" s="9"/>
    </row>
    <row r="235" spans="1:1029" s="12" customFormat="1" x14ac:dyDescent="0.2">
      <c r="A235" s="9" t="str">
        <f>CONCATENATE(B235,"_",C235)</f>
        <v>gpr52_human__wt</v>
      </c>
      <c r="B235" s="9" t="s">
        <v>259</v>
      </c>
      <c r="C235" s="9" t="s">
        <v>100</v>
      </c>
      <c r="D235" s="9" t="str">
        <f>IFERROR(MID(VLOOKUP($B235,Seqs!$A:$B,2,0),E235,1),"")</f>
        <v>C</v>
      </c>
      <c r="E235" s="9">
        <v>40</v>
      </c>
      <c r="F235" s="9" t="str">
        <f>IFERROR(MID(VLOOKUP($B235,Seqs!$A:$B,2,0),G235,1),"")</f>
        <v>A</v>
      </c>
      <c r="G235" s="9">
        <v>68</v>
      </c>
      <c r="H235" s="9" t="str">
        <f>IFERROR(MID(VLOOKUP($B235,Seqs!$A:$B,2,0),I235,1),"")</f>
        <v>P</v>
      </c>
      <c r="I235" s="109">
        <v>69</v>
      </c>
      <c r="J235" s="9" t="str">
        <f>IFERROR(MID(VLOOKUP($B235,Seqs!$A:$B,2,0),K235,1),"")</f>
        <v>H</v>
      </c>
      <c r="K235" s="109">
        <v>73</v>
      </c>
      <c r="L235" s="9" t="str">
        <f>IFERROR(MID(VLOOKUP($B235,Seqs!$A:$B,2,0),M235,1),"")</f>
        <v>Y</v>
      </c>
      <c r="M235" s="9">
        <v>74</v>
      </c>
      <c r="N235" s="9" t="str">
        <f>IFERROR(MID(VLOOKUP($B235,Seqs!$A:$B,2,0),O235,1),"")</f>
        <v>Y</v>
      </c>
      <c r="O235" s="9">
        <v>104</v>
      </c>
      <c r="P235" s="9" t="str">
        <f>IFERROR(MID(VLOOKUP($B235,Seqs!$A:$B,2,0),Q235,1),"")</f>
        <v/>
      </c>
      <c r="Q235" s="9" t="s">
        <v>23</v>
      </c>
      <c r="R235" s="9" t="str">
        <f>IFERROR(MID(VLOOKUP($B235,Seqs!$A:$B,2,0),S235,1),"")</f>
        <v/>
      </c>
      <c r="S235" s="9" t="s">
        <v>23</v>
      </c>
      <c r="T235" s="9" t="str">
        <f>IFERROR(MID(VLOOKUP($B235,Seqs!$A:$B,2,0),U235,1),"")</f>
        <v>E</v>
      </c>
      <c r="U235" s="9">
        <v>110</v>
      </c>
      <c r="V235" s="9" t="str">
        <f>IFERROR(MID(VLOOKUP($B235,Seqs!$A:$B,2,0),W235,1),"")</f>
        <v>K</v>
      </c>
      <c r="W235" s="9">
        <v>145</v>
      </c>
      <c r="X235" s="9" t="str">
        <f>IFERROR(MID(VLOOKUP($B235,Seqs!$A:$B,2,0),Y235,1),"")</f>
        <v>P</v>
      </c>
      <c r="Y235" s="9">
        <v>146</v>
      </c>
      <c r="Z235" s="9" t="str">
        <f>IFERROR(MID(VLOOKUP($B235,Seqs!$A:$B,2,0),AA235,1),"")</f>
        <v>V</v>
      </c>
      <c r="AA235" s="9">
        <v>153</v>
      </c>
      <c r="AB235" s="9" t="str">
        <f>IFERROR(MID(VLOOKUP($B235,Seqs!$A:$B,2,0),AC235,1),"")</f>
        <v>T</v>
      </c>
      <c r="AC235" s="9">
        <v>154</v>
      </c>
      <c r="AD235" s="9" t="str">
        <f>IFERROR(MID(VLOOKUP($B235,Seqs!$A:$B,2,0),AE235,1),"")</f>
        <v>F</v>
      </c>
      <c r="AE235" s="9">
        <v>178</v>
      </c>
      <c r="AF235" s="9" t="str">
        <f>IFERROR(MID(VLOOKUP($B235,Seqs!$A:$B,2,0),AG235,1),"")</f>
        <v>C</v>
      </c>
      <c r="AG235" s="9">
        <v>193</v>
      </c>
      <c r="AH235" s="9" t="str">
        <f>IFERROR(MID(VLOOKUP($B235,Seqs!$A:$B,2,0),AI235,1),"")</f>
        <v>T</v>
      </c>
      <c r="AI235" s="9">
        <v>195</v>
      </c>
      <c r="AJ235" s="9" t="str">
        <f>IFERROR(MID(VLOOKUP($B235,Seqs!$A:$B,2,0),AK235,1),"")</f>
        <v>S</v>
      </c>
      <c r="AK235" s="9">
        <v>200</v>
      </c>
      <c r="AL235" s="9" t="str">
        <f>IFERROR(MID(VLOOKUP($B235,Seqs!$A:$B,2,0),AM235,1),"")</f>
        <v>N</v>
      </c>
      <c r="AM235" s="9">
        <v>238</v>
      </c>
      <c r="AN235" s="9" t="str">
        <f>IFERROR(MID(VLOOKUP($B235,Seqs!$A:$B,2,0),AO235,1),"")</f>
        <v>S</v>
      </c>
      <c r="AO235" s="9">
        <v>251</v>
      </c>
      <c r="AP235" s="9" t="str">
        <f>IFERROR(MID(VLOOKUP($B235,Seqs!$A:$B,2,0),AQ235,1),"")</f>
        <v>R</v>
      </c>
      <c r="AQ235" s="9">
        <v>291</v>
      </c>
      <c r="AR235" s="9" t="str">
        <f>IFERROR(MID(VLOOKUP($B235,Seqs!$A:$B,2,0),AS235,1),"")</f>
        <v>N</v>
      </c>
      <c r="AS235" s="9">
        <v>295</v>
      </c>
      <c r="AT235" s="9" t="str">
        <f>IFERROR(MID(VLOOKUP($B235,Seqs!$A:$B,2,0),AU235,1),"")</f>
        <v>S</v>
      </c>
      <c r="AU235" s="9">
        <v>320</v>
      </c>
      <c r="AV235" s="9" t="str">
        <f>IFERROR(MID(VLOOKUP($B235,Seqs!$A:$B,2,0),AW235,1),"")</f>
        <v>N</v>
      </c>
      <c r="AW235" s="9">
        <v>321</v>
      </c>
      <c r="AX235" s="9" t="str">
        <f>IFERROR(MID(VLOOKUP($B235,Seqs!$A:$B,2,0),AY235,1),"")</f>
        <v>C</v>
      </c>
      <c r="AY235" s="9">
        <v>341</v>
      </c>
      <c r="AZ235" s="110" t="str">
        <f>VLOOKUP(B235,Classification!A:D,2,0)</f>
        <v>A</v>
      </c>
      <c r="BA235" s="98" t="str">
        <f>VLOOKUP(B235,Classification!A:D,4,0)</f>
        <v>ClassAorphans</v>
      </c>
      <c r="BB235" s="36" t="b">
        <f t="shared" ref="BB235" si="1064">AND(E235&lt;G235,OR(G235&lt;I235,I235="-"),OR(I235&lt;K235,I235="-"),OR(K235&lt;M235,K235="-"),M235&lt;O235,OR(O235&lt;Q235,Q235="-"),OR(Q235&lt;S235,Q235="-"),OR(S235&lt;U235,S235="-"),U235&lt;W235,OR(W235&lt;Y235,Y235="-"),OR(Y235&lt;AA235,Y235="-"),OR(AA235&lt;AC235,AA235="-"),AC235&lt;AE235,OR(AE235&lt;AG235,AG235="-"),OR(AG235&lt;AI235,AG235="-"),OR(AI235&lt;AK235,AI235="-"),AK235&lt;AM235,AM235&lt;AO235,AO235&lt;AQ235,AQ235&lt;AS235,AS235&lt;AU235,OR(AU235&lt;AW235,AW235="-"),OR(AW235&lt;AY235,AW235="-"))</f>
        <v>1</v>
      </c>
      <c r="BC235" s="109">
        <f t="shared" ref="BC235" si="1065">_xlfn.AGGREGATE(9,6,CH235:CS235)-_xlfn.AGGREGATE(9,6,BV235:CG235)+12</f>
        <v>265</v>
      </c>
      <c r="BD235" s="126" t="s">
        <v>23</v>
      </c>
      <c r="BE235" s="9" t="s">
        <v>23</v>
      </c>
      <c r="BF235" s="119" t="s">
        <v>23</v>
      </c>
      <c r="BG235" s="51"/>
      <c r="BH235" s="51"/>
      <c r="BJ235" s="111" t="s">
        <v>1281</v>
      </c>
      <c r="BK235" s="112" t="s">
        <v>1281</v>
      </c>
      <c r="BL235" s="112" t="s">
        <v>1281</v>
      </c>
      <c r="BM235" s="112" t="s">
        <v>1281</v>
      </c>
      <c r="BN235" s="112" t="s">
        <v>1281</v>
      </c>
      <c r="BO235" s="112" t="s">
        <v>1281</v>
      </c>
      <c r="BP235" s="112" t="s">
        <v>1281</v>
      </c>
      <c r="BQ235" s="112" t="s">
        <v>1281</v>
      </c>
      <c r="BR235" s="112" t="s">
        <v>1281</v>
      </c>
      <c r="BS235" s="112" t="s">
        <v>1281</v>
      </c>
      <c r="BT235" s="112" t="s">
        <v>1281</v>
      </c>
      <c r="BU235" s="112" t="s">
        <v>1281</v>
      </c>
      <c r="BV235" s="111">
        <f>E235</f>
        <v>40</v>
      </c>
      <c r="BW235" s="113">
        <f>I235</f>
        <v>69</v>
      </c>
      <c r="BX235" s="114">
        <f>M235</f>
        <v>74</v>
      </c>
      <c r="BY235" s="113" t="str">
        <f>Q235</f>
        <v>-</v>
      </c>
      <c r="BZ235" s="114">
        <f>U235</f>
        <v>110</v>
      </c>
      <c r="CA235" s="113">
        <f>Y235</f>
        <v>146</v>
      </c>
      <c r="CB235" s="114">
        <f>AC235</f>
        <v>154</v>
      </c>
      <c r="CC235" s="113">
        <f>AG235</f>
        <v>193</v>
      </c>
      <c r="CD235" s="114">
        <f>AK235</f>
        <v>200</v>
      </c>
      <c r="CE235" s="113">
        <f>AO235</f>
        <v>251</v>
      </c>
      <c r="CF235" s="114">
        <f>AS235</f>
        <v>295</v>
      </c>
      <c r="CG235" s="113">
        <f>AW235</f>
        <v>321</v>
      </c>
      <c r="CH235" s="111">
        <f>G235</f>
        <v>68</v>
      </c>
      <c r="CI235" s="113">
        <f>K235</f>
        <v>73</v>
      </c>
      <c r="CJ235" s="114">
        <f>O235</f>
        <v>104</v>
      </c>
      <c r="CK235" s="114" t="str">
        <f>S235</f>
        <v>-</v>
      </c>
      <c r="CL235" s="114">
        <f>W235</f>
        <v>145</v>
      </c>
      <c r="CM235" s="114">
        <f>AA235</f>
        <v>153</v>
      </c>
      <c r="CN235" s="114">
        <f>AE235</f>
        <v>178</v>
      </c>
      <c r="CO235" s="114">
        <f>AI235</f>
        <v>195</v>
      </c>
      <c r="CP235" s="114">
        <f>AM235</f>
        <v>238</v>
      </c>
      <c r="CQ235" s="114">
        <f>AQ235</f>
        <v>291</v>
      </c>
      <c r="CR235" s="114">
        <f>AU235</f>
        <v>320</v>
      </c>
      <c r="CS235" s="114">
        <f>AY235</f>
        <v>341</v>
      </c>
      <c r="CT235" s="109">
        <f>M235-K235</f>
        <v>1</v>
      </c>
      <c r="CU235" s="9"/>
      <c r="CV235" s="9"/>
      <c r="CW235" s="9"/>
      <c r="CX235" s="9"/>
      <c r="CY235" s="9"/>
      <c r="CZ235" s="9"/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9"/>
      <c r="ED235" s="9"/>
      <c r="EE235" s="9"/>
      <c r="EF235" s="9"/>
      <c r="EG235" s="9"/>
      <c r="EH235" s="9"/>
      <c r="EI235" s="9"/>
      <c r="EJ235" s="9"/>
      <c r="EK235" s="9"/>
      <c r="EL235" s="9"/>
      <c r="EM235" s="9"/>
      <c r="EN235" s="9"/>
      <c r="EO235" s="9"/>
      <c r="EP235" s="9"/>
      <c r="EQ235" s="9"/>
      <c r="ER235" s="9"/>
      <c r="ES235" s="9"/>
      <c r="ET235" s="9"/>
      <c r="EU235" s="9"/>
      <c r="EV235" s="9"/>
      <c r="EW235" s="9"/>
      <c r="EX235" s="9"/>
      <c r="EY235" s="9"/>
      <c r="EZ235" s="9"/>
      <c r="FA235" s="9"/>
      <c r="FB235" s="9"/>
      <c r="FC235" s="9"/>
      <c r="FD235" s="9"/>
      <c r="FE235" s="9"/>
      <c r="FF235" s="9"/>
      <c r="FG235" s="9"/>
      <c r="FH235" s="9"/>
      <c r="FI235" s="9"/>
      <c r="FJ235" s="9"/>
      <c r="FK235" s="9"/>
      <c r="FL235" s="9"/>
      <c r="FM235" s="9"/>
      <c r="FN235" s="9"/>
      <c r="FO235" s="9"/>
      <c r="FP235" s="9"/>
      <c r="FQ235" s="9"/>
      <c r="FR235" s="9"/>
      <c r="FS235" s="9"/>
      <c r="FT235" s="9"/>
      <c r="FU235" s="9"/>
      <c r="FV235" s="9"/>
      <c r="FW235" s="9"/>
      <c r="FX235" s="9"/>
      <c r="FY235" s="9"/>
      <c r="FZ235" s="9"/>
      <c r="GA235" s="9"/>
      <c r="GB235" s="9"/>
      <c r="GC235" s="9"/>
      <c r="GD235" s="9"/>
      <c r="GE235" s="9"/>
      <c r="GF235" s="9"/>
      <c r="GG235" s="9"/>
      <c r="GH235" s="9"/>
      <c r="GI235" s="9"/>
      <c r="GJ235" s="9"/>
      <c r="GK235" s="9"/>
      <c r="GL235" s="9"/>
      <c r="GM235" s="9"/>
      <c r="GN235" s="9"/>
      <c r="GO235" s="9"/>
      <c r="GP235" s="9"/>
      <c r="GQ235" s="9"/>
      <c r="GR235" s="9"/>
      <c r="GS235" s="9"/>
      <c r="GT235" s="9"/>
      <c r="GU235" s="9"/>
      <c r="GV235" s="9"/>
      <c r="GW235" s="9"/>
      <c r="GX235" s="9"/>
      <c r="GY235" s="9"/>
      <c r="GZ235" s="9"/>
      <c r="HA235" s="9"/>
      <c r="HB235" s="9"/>
      <c r="HC235" s="9"/>
      <c r="HD235" s="9"/>
      <c r="HE235" s="9"/>
      <c r="HF235" s="9"/>
      <c r="HG235" s="9"/>
      <c r="HH235" s="9"/>
      <c r="HI235" s="9"/>
      <c r="HJ235" s="9"/>
      <c r="HK235" s="9"/>
      <c r="HL235" s="9"/>
      <c r="HM235" s="9"/>
      <c r="HN235" s="9"/>
      <c r="HO235" s="9"/>
      <c r="HP235" s="9"/>
      <c r="HQ235" s="9"/>
      <c r="HR235" s="9"/>
      <c r="HS235" s="9"/>
      <c r="HT235" s="9"/>
      <c r="HU235" s="9"/>
      <c r="HV235" s="9"/>
      <c r="HW235" s="9"/>
      <c r="HX235" s="9"/>
      <c r="HY235" s="9"/>
      <c r="HZ235" s="9"/>
      <c r="IA235" s="9"/>
      <c r="IB235" s="9"/>
      <c r="IC235" s="9"/>
      <c r="ID235" s="9"/>
      <c r="IE235" s="9"/>
      <c r="IF235" s="9"/>
      <c r="IG235" s="9"/>
      <c r="IH235" s="9"/>
      <c r="II235" s="9"/>
      <c r="IJ235" s="9"/>
      <c r="IK235" s="9"/>
      <c r="IL235" s="9"/>
      <c r="IM235" s="9"/>
      <c r="IN235" s="9"/>
      <c r="IO235" s="9"/>
      <c r="IP235" s="9"/>
      <c r="IQ235" s="9"/>
      <c r="IR235" s="9"/>
      <c r="IS235" s="9"/>
      <c r="IT235" s="9"/>
      <c r="IU235" s="9"/>
      <c r="IV235" s="9"/>
      <c r="IW235" s="9"/>
      <c r="IX235" s="9"/>
      <c r="IY235" s="9"/>
      <c r="IZ235" s="9"/>
      <c r="JA235" s="9"/>
      <c r="JB235" s="9"/>
      <c r="JC235" s="9"/>
      <c r="JD235" s="9"/>
      <c r="JE235" s="9"/>
      <c r="JF235" s="9"/>
      <c r="JG235" s="9"/>
      <c r="JH235" s="9"/>
      <c r="JI235" s="9"/>
      <c r="JJ235" s="9"/>
      <c r="JK235" s="9"/>
      <c r="JL235" s="9"/>
      <c r="JM235" s="9"/>
      <c r="JN235" s="9"/>
      <c r="JO235" s="9"/>
      <c r="JP235" s="9"/>
      <c r="JQ235" s="9"/>
      <c r="JR235" s="9"/>
      <c r="JS235" s="9"/>
      <c r="JT235" s="9"/>
      <c r="JU235" s="9"/>
      <c r="JV235" s="9"/>
      <c r="JW235" s="9"/>
      <c r="JX235" s="9"/>
      <c r="JY235" s="9"/>
      <c r="JZ235" s="9"/>
      <c r="KA235" s="9"/>
      <c r="KB235" s="9"/>
      <c r="KC235" s="9"/>
      <c r="KD235" s="9"/>
      <c r="KE235" s="9"/>
      <c r="KF235" s="9"/>
      <c r="KG235" s="9"/>
      <c r="KH235" s="9"/>
      <c r="KI235" s="9"/>
      <c r="KJ235" s="9"/>
      <c r="KK235" s="9"/>
      <c r="KL235" s="9"/>
      <c r="KM235" s="9"/>
      <c r="KN235" s="9"/>
      <c r="KO235" s="9"/>
      <c r="KP235" s="9"/>
      <c r="KQ235" s="9"/>
      <c r="KR235" s="9"/>
      <c r="KS235" s="9"/>
      <c r="KT235" s="9"/>
      <c r="KU235" s="9"/>
      <c r="KV235" s="9"/>
      <c r="KW235" s="9"/>
      <c r="KX235" s="9"/>
      <c r="KY235" s="9"/>
      <c r="KZ235" s="9"/>
      <c r="LA235" s="9"/>
      <c r="LB235" s="9"/>
      <c r="LC235" s="9"/>
      <c r="LD235" s="9"/>
      <c r="LE235" s="9"/>
      <c r="LF235" s="9"/>
      <c r="LG235" s="9"/>
      <c r="LH235" s="9"/>
      <c r="LI235" s="9"/>
      <c r="LJ235" s="9"/>
      <c r="LK235" s="9"/>
      <c r="LL235" s="9"/>
      <c r="LM235" s="9"/>
      <c r="LN235" s="9"/>
      <c r="LO235" s="9"/>
      <c r="LP235" s="9"/>
      <c r="LQ235" s="9"/>
      <c r="LR235" s="9"/>
      <c r="LS235" s="9"/>
      <c r="LT235" s="9"/>
      <c r="LU235" s="9"/>
      <c r="LV235" s="9"/>
      <c r="LW235" s="9"/>
      <c r="LX235" s="9"/>
      <c r="LY235" s="9"/>
      <c r="LZ235" s="9"/>
      <c r="MA235" s="9"/>
      <c r="MB235" s="9"/>
      <c r="MC235" s="9"/>
      <c r="MD235" s="9"/>
      <c r="ME235" s="9"/>
      <c r="MF235" s="9"/>
      <c r="MG235" s="9"/>
      <c r="MH235" s="9"/>
      <c r="MI235" s="9"/>
      <c r="MJ235" s="9"/>
      <c r="MK235" s="9"/>
      <c r="ML235" s="9"/>
      <c r="MM235" s="9"/>
      <c r="MN235" s="9"/>
      <c r="MO235" s="9"/>
      <c r="MP235" s="9"/>
      <c r="MQ235" s="9"/>
      <c r="MR235" s="9"/>
      <c r="MS235" s="9"/>
      <c r="MT235" s="9"/>
      <c r="MU235" s="9"/>
      <c r="MV235" s="9"/>
      <c r="MW235" s="9"/>
      <c r="MX235" s="9"/>
      <c r="MY235" s="9"/>
      <c r="MZ235" s="9"/>
      <c r="NA235" s="9"/>
      <c r="NB235" s="9"/>
      <c r="NC235" s="9"/>
      <c r="ND235" s="9"/>
      <c r="NE235" s="9"/>
      <c r="NF235" s="9"/>
      <c r="NG235" s="9"/>
      <c r="NH235" s="9"/>
      <c r="NI235" s="9"/>
      <c r="NJ235" s="9"/>
      <c r="NK235" s="9"/>
      <c r="NL235" s="9"/>
      <c r="NM235" s="9"/>
      <c r="NN235" s="9"/>
      <c r="NO235" s="9"/>
      <c r="NP235" s="9"/>
      <c r="NQ235" s="9"/>
      <c r="NR235" s="9"/>
      <c r="NS235" s="9"/>
      <c r="NT235" s="9"/>
      <c r="NU235" s="9"/>
      <c r="NV235" s="9"/>
      <c r="NW235" s="9"/>
      <c r="NX235" s="9"/>
      <c r="NY235" s="9"/>
      <c r="NZ235" s="9"/>
      <c r="OA235" s="9"/>
      <c r="OB235" s="9"/>
      <c r="OC235" s="9"/>
      <c r="OD235" s="9"/>
      <c r="OE235" s="9"/>
      <c r="OF235" s="9"/>
      <c r="OG235" s="9"/>
      <c r="OH235" s="9"/>
      <c r="OI235" s="9"/>
      <c r="OJ235" s="9"/>
      <c r="OK235" s="9"/>
      <c r="OL235" s="9"/>
      <c r="OM235" s="9"/>
      <c r="ON235" s="9"/>
      <c r="OO235" s="9"/>
      <c r="OP235" s="9"/>
      <c r="OQ235" s="9"/>
      <c r="OR235" s="9"/>
      <c r="OS235" s="9"/>
      <c r="OT235" s="9"/>
      <c r="OU235" s="9"/>
      <c r="OV235" s="9"/>
      <c r="OW235" s="9"/>
      <c r="OX235" s="9"/>
      <c r="OY235" s="9"/>
      <c r="OZ235" s="9"/>
      <c r="PA235" s="9"/>
      <c r="PB235" s="9"/>
      <c r="PC235" s="9"/>
      <c r="PD235" s="9"/>
      <c r="PE235" s="9"/>
      <c r="PF235" s="9"/>
      <c r="PG235" s="9"/>
      <c r="PH235" s="9"/>
      <c r="PI235" s="9"/>
      <c r="PJ235" s="9"/>
      <c r="PK235" s="9"/>
      <c r="PL235" s="9"/>
      <c r="PM235" s="9"/>
      <c r="PN235" s="9"/>
      <c r="PO235" s="9"/>
      <c r="PP235" s="9"/>
      <c r="PQ235" s="9"/>
      <c r="PR235" s="9"/>
      <c r="PS235" s="9"/>
      <c r="PT235" s="9"/>
      <c r="PU235" s="9"/>
      <c r="PV235" s="9"/>
      <c r="PW235" s="9"/>
      <c r="PX235" s="9"/>
      <c r="PY235" s="9"/>
      <c r="PZ235" s="9"/>
      <c r="QA235" s="9"/>
      <c r="QB235" s="9"/>
      <c r="QC235" s="9"/>
      <c r="QD235" s="9"/>
      <c r="QE235" s="9"/>
      <c r="QF235" s="9"/>
      <c r="QG235" s="9"/>
      <c r="QH235" s="9"/>
      <c r="QI235" s="9"/>
      <c r="QJ235" s="9"/>
      <c r="QK235" s="9"/>
      <c r="QL235" s="9"/>
      <c r="QM235" s="9"/>
      <c r="QN235" s="9"/>
      <c r="QO235" s="9"/>
      <c r="QP235" s="9"/>
      <c r="QQ235" s="9"/>
      <c r="QR235" s="9"/>
      <c r="QS235" s="9"/>
      <c r="QT235" s="9"/>
      <c r="QU235" s="9"/>
      <c r="QV235" s="9"/>
      <c r="QW235" s="9"/>
      <c r="QX235" s="9"/>
      <c r="QY235" s="9"/>
      <c r="QZ235" s="9"/>
      <c r="RA235" s="9"/>
      <c r="RB235" s="9"/>
      <c r="RC235" s="9"/>
      <c r="RD235" s="9"/>
      <c r="RE235" s="9"/>
      <c r="RF235" s="9"/>
      <c r="RG235" s="9"/>
      <c r="RH235" s="9"/>
      <c r="RI235" s="9"/>
      <c r="RJ235" s="9"/>
      <c r="RK235" s="9"/>
      <c r="RL235" s="9"/>
      <c r="RM235" s="9"/>
      <c r="RN235" s="9"/>
      <c r="RO235" s="9"/>
      <c r="RP235" s="9"/>
      <c r="RQ235" s="9"/>
      <c r="RR235" s="9"/>
      <c r="RS235" s="9"/>
      <c r="RT235" s="9"/>
      <c r="RU235" s="9"/>
      <c r="RV235" s="9"/>
      <c r="RW235" s="9"/>
      <c r="RX235" s="9"/>
      <c r="RY235" s="9"/>
      <c r="RZ235" s="9"/>
      <c r="SA235" s="9"/>
      <c r="SB235" s="9"/>
      <c r="SC235" s="9"/>
      <c r="SD235" s="9"/>
      <c r="SE235" s="9"/>
      <c r="SF235" s="9"/>
      <c r="SG235" s="9"/>
      <c r="SH235" s="9"/>
      <c r="SI235" s="9"/>
      <c r="SJ235" s="9"/>
      <c r="SK235" s="9"/>
      <c r="SL235" s="9"/>
      <c r="SM235" s="9"/>
      <c r="SN235" s="9"/>
      <c r="SO235" s="9"/>
      <c r="SP235" s="9"/>
      <c r="SQ235" s="9"/>
      <c r="SR235" s="9"/>
      <c r="SS235" s="9"/>
      <c r="ST235" s="9"/>
      <c r="SU235" s="9"/>
      <c r="SV235" s="9"/>
      <c r="SW235" s="9"/>
      <c r="SX235" s="9"/>
      <c r="SY235" s="9"/>
      <c r="SZ235" s="9"/>
      <c r="TA235" s="9"/>
      <c r="TB235" s="9"/>
      <c r="TC235" s="9"/>
      <c r="TD235" s="9"/>
      <c r="TE235" s="9"/>
      <c r="TF235" s="9"/>
      <c r="TG235" s="9"/>
      <c r="TH235" s="9"/>
      <c r="TI235" s="9"/>
      <c r="TJ235" s="9"/>
      <c r="TK235" s="9"/>
      <c r="TL235" s="9"/>
      <c r="TM235" s="9"/>
      <c r="TN235" s="9"/>
      <c r="TO235" s="9"/>
      <c r="TP235" s="9"/>
      <c r="TQ235" s="9"/>
      <c r="TR235" s="9"/>
      <c r="TS235" s="9"/>
      <c r="TT235" s="9"/>
      <c r="TU235" s="9"/>
      <c r="TV235" s="9"/>
      <c r="TW235" s="9"/>
      <c r="TX235" s="9"/>
      <c r="TY235" s="9"/>
      <c r="TZ235" s="9"/>
      <c r="UA235" s="9"/>
      <c r="UB235" s="9"/>
      <c r="UC235" s="9"/>
      <c r="UD235" s="9"/>
      <c r="UE235" s="9"/>
      <c r="UF235" s="9"/>
      <c r="UG235" s="9"/>
      <c r="UH235" s="9"/>
      <c r="UI235" s="9"/>
      <c r="UJ235" s="9"/>
      <c r="UK235" s="9"/>
      <c r="UL235" s="9"/>
      <c r="UM235" s="9"/>
      <c r="UN235" s="9"/>
      <c r="UO235" s="9"/>
      <c r="UP235" s="9"/>
      <c r="UQ235" s="9"/>
      <c r="UR235" s="9"/>
      <c r="US235" s="9"/>
      <c r="UT235" s="9"/>
      <c r="UU235" s="9"/>
      <c r="UV235" s="9"/>
      <c r="UW235" s="9"/>
      <c r="UX235" s="9"/>
      <c r="UY235" s="9"/>
      <c r="UZ235" s="9"/>
      <c r="VA235" s="9"/>
      <c r="VB235" s="9"/>
      <c r="VC235" s="9"/>
      <c r="VD235" s="9"/>
      <c r="VE235" s="9"/>
      <c r="VF235" s="9"/>
      <c r="VG235" s="9"/>
      <c r="VH235" s="9"/>
      <c r="VI235" s="9"/>
      <c r="VJ235" s="9"/>
      <c r="VK235" s="9"/>
      <c r="VL235" s="9"/>
      <c r="VM235" s="9"/>
      <c r="VN235" s="9"/>
      <c r="VO235" s="9"/>
      <c r="VP235" s="9"/>
      <c r="VQ235" s="9"/>
      <c r="VR235" s="9"/>
      <c r="VS235" s="9"/>
      <c r="VT235" s="9"/>
      <c r="VU235" s="9"/>
      <c r="VV235" s="9"/>
      <c r="VW235" s="9"/>
      <c r="VX235" s="9"/>
      <c r="VY235" s="9"/>
      <c r="VZ235" s="9"/>
      <c r="WA235" s="9"/>
      <c r="WB235" s="9"/>
      <c r="WC235" s="9"/>
      <c r="WD235" s="9"/>
      <c r="WE235" s="9"/>
      <c r="WF235" s="9"/>
      <c r="WG235" s="9"/>
      <c r="WH235" s="9"/>
      <c r="WI235" s="9"/>
      <c r="WJ235" s="9"/>
      <c r="WK235" s="9"/>
      <c r="WL235" s="9"/>
      <c r="WM235" s="9"/>
      <c r="WN235" s="9"/>
      <c r="WO235" s="9"/>
      <c r="WP235" s="9"/>
      <c r="WQ235" s="9"/>
      <c r="WR235" s="9"/>
      <c r="WS235" s="9"/>
      <c r="WT235" s="9"/>
      <c r="WU235" s="9"/>
      <c r="WV235" s="9"/>
      <c r="WW235" s="9"/>
      <c r="WX235" s="9"/>
      <c r="WY235" s="9"/>
      <c r="WZ235" s="9"/>
      <c r="XA235" s="9"/>
      <c r="XB235" s="9"/>
      <c r="XC235" s="9"/>
      <c r="XD235" s="9"/>
      <c r="XE235" s="9"/>
      <c r="XF235" s="9"/>
      <c r="XG235" s="9"/>
      <c r="XH235" s="9"/>
      <c r="XI235" s="9"/>
      <c r="XJ235" s="9"/>
      <c r="XK235" s="9"/>
      <c r="XL235" s="9"/>
      <c r="XM235" s="9"/>
      <c r="XN235" s="9"/>
      <c r="XO235" s="9"/>
      <c r="XP235" s="9"/>
      <c r="XQ235" s="9"/>
      <c r="XR235" s="9"/>
      <c r="XS235" s="9"/>
      <c r="XT235" s="9"/>
      <c r="XU235" s="9"/>
      <c r="XV235" s="9"/>
      <c r="XW235" s="9"/>
      <c r="XX235" s="9"/>
      <c r="XY235" s="9"/>
      <c r="XZ235" s="9"/>
      <c r="YA235" s="9"/>
      <c r="YB235" s="9"/>
      <c r="YC235" s="9"/>
      <c r="YD235" s="9"/>
      <c r="YE235" s="9"/>
      <c r="YF235" s="9"/>
      <c r="YG235" s="9"/>
      <c r="YH235" s="9"/>
      <c r="YI235" s="9"/>
      <c r="YJ235" s="9"/>
      <c r="YK235" s="9"/>
      <c r="YL235" s="9"/>
      <c r="YM235" s="9"/>
      <c r="YN235" s="9"/>
      <c r="YO235" s="9"/>
      <c r="YP235" s="9"/>
      <c r="YQ235" s="9"/>
      <c r="YR235" s="9"/>
      <c r="YS235" s="9"/>
      <c r="YT235" s="9"/>
      <c r="YU235" s="9"/>
      <c r="YV235" s="9"/>
      <c r="YW235" s="9"/>
      <c r="YX235" s="9"/>
      <c r="YY235" s="9"/>
      <c r="YZ235" s="9"/>
      <c r="ZA235" s="9"/>
      <c r="ZB235" s="9"/>
      <c r="ZC235" s="9"/>
      <c r="ZD235" s="9"/>
      <c r="ZE235" s="9"/>
      <c r="ZF235" s="9"/>
      <c r="ZG235" s="9"/>
      <c r="ZH235" s="9"/>
      <c r="ZI235" s="9"/>
      <c r="ZJ235" s="9"/>
      <c r="ZK235" s="9"/>
      <c r="ZL235" s="9"/>
      <c r="ZM235" s="9"/>
      <c r="ZN235" s="9"/>
      <c r="ZO235" s="9"/>
      <c r="ZP235" s="9"/>
      <c r="ZQ235" s="9"/>
      <c r="ZR235" s="9"/>
      <c r="ZS235" s="9"/>
      <c r="ZT235" s="9"/>
      <c r="ZU235" s="9"/>
      <c r="ZV235" s="9"/>
      <c r="ZW235" s="9"/>
      <c r="ZX235" s="9"/>
      <c r="ZY235" s="9"/>
      <c r="ZZ235" s="9"/>
      <c r="AAA235" s="9"/>
      <c r="AAB235" s="9"/>
      <c r="AAC235" s="9"/>
      <c r="AAD235" s="9"/>
      <c r="AAE235" s="9"/>
      <c r="AAF235" s="9"/>
      <c r="AAG235" s="9"/>
      <c r="AAH235" s="9"/>
      <c r="AAI235" s="9"/>
      <c r="AAJ235" s="9"/>
      <c r="AAK235" s="9"/>
      <c r="AAL235" s="9"/>
      <c r="AAM235" s="9"/>
      <c r="AAN235" s="9"/>
      <c r="AAO235" s="9"/>
      <c r="AAP235" s="9"/>
      <c r="AAQ235" s="9"/>
      <c r="AAR235" s="9"/>
      <c r="AAS235" s="9"/>
      <c r="AAT235" s="9"/>
      <c r="AAU235" s="9"/>
      <c r="AAV235" s="9"/>
      <c r="AAW235" s="9"/>
      <c r="AAX235" s="9"/>
      <c r="AAY235" s="9"/>
      <c r="AAZ235" s="9"/>
      <c r="ABA235" s="9"/>
      <c r="ABB235" s="9"/>
      <c r="ABC235" s="9"/>
      <c r="ABD235" s="9"/>
      <c r="ABE235" s="9"/>
      <c r="ABF235" s="9"/>
      <c r="ABG235" s="9"/>
      <c r="ABH235" s="9"/>
      <c r="ABI235" s="9"/>
      <c r="ABJ235" s="9"/>
      <c r="ABK235" s="9"/>
      <c r="ABL235" s="9"/>
      <c r="ABM235" s="9"/>
      <c r="ABN235" s="9"/>
      <c r="ABO235" s="9"/>
      <c r="ABP235" s="9"/>
      <c r="ABQ235" s="9"/>
      <c r="ABR235" s="9"/>
      <c r="ABS235" s="9"/>
      <c r="ABT235" s="9"/>
      <c r="ABU235" s="9"/>
      <c r="ABV235" s="9"/>
      <c r="ABW235" s="9"/>
      <c r="ABX235" s="9"/>
      <c r="ABY235" s="9"/>
      <c r="ABZ235" s="9"/>
      <c r="ACA235" s="9"/>
      <c r="ACB235" s="9"/>
      <c r="ACC235" s="9"/>
      <c r="ACD235" s="9"/>
      <c r="ACE235" s="9"/>
      <c r="ACF235" s="9"/>
      <c r="ACG235" s="9"/>
      <c r="ACH235" s="9"/>
      <c r="ACI235" s="9"/>
      <c r="ACJ235" s="9"/>
      <c r="ACK235" s="9"/>
      <c r="ACL235" s="9"/>
      <c r="ACM235" s="9"/>
      <c r="ACN235" s="9"/>
      <c r="ACO235" s="9"/>
      <c r="ACP235" s="9"/>
      <c r="ACQ235" s="9"/>
      <c r="ACR235" s="9"/>
      <c r="ACS235" s="9"/>
      <c r="ACT235" s="9"/>
      <c r="ACU235" s="9"/>
      <c r="ACV235" s="9"/>
      <c r="ACW235" s="9"/>
      <c r="ACX235" s="9"/>
      <c r="ACY235" s="9"/>
      <c r="ACZ235" s="9"/>
      <c r="ADA235" s="9"/>
      <c r="ADB235" s="9"/>
      <c r="ADC235" s="9"/>
      <c r="ADD235" s="9"/>
      <c r="ADE235" s="9"/>
      <c r="ADF235" s="9"/>
      <c r="ADG235" s="9"/>
      <c r="ADH235" s="9"/>
      <c r="ADI235" s="9"/>
      <c r="ADJ235" s="9"/>
      <c r="ADK235" s="9"/>
      <c r="ADL235" s="9"/>
      <c r="ADM235" s="9"/>
      <c r="ADN235" s="9"/>
      <c r="ADO235" s="9"/>
      <c r="ADP235" s="9"/>
      <c r="ADQ235" s="9"/>
      <c r="ADR235" s="9"/>
      <c r="ADS235" s="9"/>
      <c r="ADT235" s="9"/>
      <c r="ADU235" s="9"/>
      <c r="ADV235" s="9"/>
      <c r="ADW235" s="9"/>
      <c r="ADX235" s="9"/>
      <c r="ADY235" s="9"/>
      <c r="ADZ235" s="9"/>
      <c r="AEA235" s="9"/>
      <c r="AEB235" s="9"/>
      <c r="AEC235" s="9"/>
      <c r="AED235" s="9"/>
      <c r="AEE235" s="9"/>
      <c r="AEF235" s="9"/>
      <c r="AEG235" s="9"/>
      <c r="AEH235" s="9"/>
      <c r="AEI235" s="9"/>
      <c r="AEJ235" s="9"/>
      <c r="AEK235" s="9"/>
      <c r="AEL235" s="9"/>
      <c r="AEM235" s="9"/>
      <c r="AEN235" s="9"/>
      <c r="AEO235" s="9"/>
      <c r="AEP235" s="9"/>
      <c r="AEQ235" s="9"/>
      <c r="AER235" s="9"/>
      <c r="AES235" s="9"/>
      <c r="AET235" s="9"/>
      <c r="AEU235" s="9"/>
      <c r="AEV235" s="9"/>
      <c r="AEW235" s="9"/>
      <c r="AEX235" s="9"/>
      <c r="AEY235" s="9"/>
      <c r="AEZ235" s="9"/>
      <c r="AFA235" s="9"/>
      <c r="AFB235" s="9"/>
      <c r="AFC235" s="9"/>
      <c r="AFD235" s="9"/>
      <c r="AFE235" s="9"/>
      <c r="AFF235" s="9"/>
      <c r="AFG235" s="9"/>
      <c r="AFH235" s="9"/>
      <c r="AFI235" s="9"/>
      <c r="AFJ235" s="9"/>
      <c r="AFK235" s="9"/>
      <c r="AFL235" s="9"/>
      <c r="AFM235" s="9"/>
      <c r="AFN235" s="9"/>
      <c r="AFO235" s="9"/>
      <c r="AFP235" s="9"/>
      <c r="AFQ235" s="9"/>
      <c r="AFR235" s="9"/>
      <c r="AFS235" s="9"/>
      <c r="AFT235" s="9"/>
      <c r="AFU235" s="9"/>
      <c r="AFV235" s="9"/>
      <c r="AFW235" s="9"/>
      <c r="AFX235" s="9"/>
      <c r="AFY235" s="9"/>
      <c r="AFZ235" s="9"/>
      <c r="AGA235" s="9"/>
      <c r="AGB235" s="9"/>
      <c r="AGC235" s="9"/>
      <c r="AGD235" s="9"/>
      <c r="AGE235" s="9"/>
      <c r="AGF235" s="9"/>
      <c r="AGG235" s="9"/>
      <c r="AGH235" s="9"/>
      <c r="AGI235" s="9"/>
      <c r="AGJ235" s="9"/>
      <c r="AGK235" s="9"/>
      <c r="AGL235" s="9"/>
      <c r="AGM235" s="9"/>
      <c r="AGN235" s="9"/>
      <c r="AGO235" s="9"/>
      <c r="AGP235" s="9"/>
      <c r="AGQ235" s="9"/>
      <c r="AGR235" s="9"/>
      <c r="AGS235" s="9"/>
      <c r="AGT235" s="9"/>
      <c r="AGU235" s="9"/>
      <c r="AGV235" s="9"/>
      <c r="AGW235" s="9"/>
      <c r="AGX235" s="9"/>
      <c r="AGY235" s="9"/>
      <c r="AGZ235" s="9"/>
      <c r="AHA235" s="9"/>
      <c r="AHB235" s="9"/>
      <c r="AHC235" s="9"/>
      <c r="AHD235" s="9"/>
      <c r="AHE235" s="9"/>
      <c r="AHF235" s="9"/>
      <c r="AHG235" s="9"/>
      <c r="AHH235" s="9"/>
      <c r="AHI235" s="9"/>
      <c r="AHJ235" s="9"/>
      <c r="AHK235" s="9"/>
      <c r="AHL235" s="9"/>
      <c r="AHM235" s="9"/>
      <c r="AHN235" s="9"/>
      <c r="AHO235" s="9"/>
      <c r="AHP235" s="9"/>
      <c r="AHQ235" s="9"/>
      <c r="AHR235" s="9"/>
      <c r="AHS235" s="9"/>
      <c r="AHT235" s="9"/>
      <c r="AHU235" s="9"/>
      <c r="AHV235" s="9"/>
      <c r="AHW235" s="9"/>
      <c r="AHX235" s="9"/>
      <c r="AHY235" s="9"/>
      <c r="AHZ235" s="9"/>
      <c r="AIA235" s="9"/>
      <c r="AIB235" s="9"/>
      <c r="AIC235" s="9"/>
      <c r="AID235" s="9"/>
      <c r="AIE235" s="9"/>
      <c r="AIF235" s="9"/>
      <c r="AIG235" s="9"/>
      <c r="AIH235" s="9"/>
      <c r="AII235" s="9"/>
      <c r="AIJ235" s="9"/>
      <c r="AIK235" s="9"/>
      <c r="AIL235" s="9"/>
      <c r="AIM235" s="9"/>
      <c r="AIN235" s="9"/>
      <c r="AIO235" s="9"/>
      <c r="AIP235" s="9"/>
      <c r="AIQ235" s="9"/>
      <c r="AIR235" s="9"/>
      <c r="AIS235" s="9"/>
      <c r="AIT235" s="9"/>
      <c r="AIU235" s="9"/>
      <c r="AIV235" s="9"/>
      <c r="AIW235" s="9"/>
      <c r="AIX235" s="9"/>
      <c r="AIY235" s="9"/>
      <c r="AIZ235" s="9"/>
      <c r="AJA235" s="9"/>
      <c r="AJB235" s="9"/>
      <c r="AJC235" s="9"/>
      <c r="AJD235" s="9"/>
      <c r="AJE235" s="9"/>
      <c r="AJF235" s="9"/>
      <c r="AJG235" s="9"/>
      <c r="AJH235" s="9"/>
      <c r="AJI235" s="9"/>
      <c r="AJJ235" s="9"/>
      <c r="AJK235" s="9"/>
      <c r="AJL235" s="9"/>
      <c r="AJM235" s="9"/>
      <c r="AJN235" s="9"/>
      <c r="AJO235" s="9"/>
      <c r="AJP235" s="9"/>
      <c r="AJQ235" s="9"/>
      <c r="AJR235" s="9"/>
      <c r="AJS235" s="9"/>
      <c r="AJT235" s="9"/>
      <c r="AJU235" s="9"/>
      <c r="AJV235" s="9"/>
      <c r="AJW235" s="9"/>
      <c r="AJX235" s="9"/>
      <c r="AJY235" s="9"/>
      <c r="AJZ235" s="9"/>
      <c r="AKA235" s="9"/>
      <c r="AKB235" s="9"/>
      <c r="AKC235" s="9"/>
      <c r="AKD235" s="9"/>
      <c r="AKE235" s="9"/>
      <c r="AKF235" s="9"/>
      <c r="AKG235" s="9"/>
      <c r="AKH235" s="9"/>
      <c r="AKI235" s="9"/>
      <c r="AKJ235" s="9"/>
      <c r="AKK235" s="9"/>
      <c r="AKL235" s="9"/>
      <c r="AKM235" s="9"/>
      <c r="AKN235" s="9"/>
      <c r="AKO235" s="9"/>
      <c r="AKP235" s="9"/>
      <c r="AKQ235" s="9"/>
      <c r="AKR235" s="9"/>
      <c r="AKS235" s="9"/>
      <c r="AKT235" s="9"/>
      <c r="AKU235" s="9"/>
      <c r="AKV235" s="9"/>
      <c r="AKW235" s="9"/>
      <c r="AKX235" s="9"/>
      <c r="AKY235" s="9"/>
      <c r="AKZ235" s="9"/>
      <c r="ALA235" s="9"/>
      <c r="ALB235" s="9"/>
      <c r="ALC235" s="9"/>
      <c r="ALD235" s="9"/>
      <c r="ALE235" s="9"/>
      <c r="ALF235" s="9"/>
      <c r="ALG235" s="9"/>
      <c r="ALH235" s="9"/>
      <c r="ALI235" s="9"/>
      <c r="ALJ235" s="9"/>
      <c r="ALK235" s="9"/>
      <c r="ALL235" s="9"/>
      <c r="ALM235" s="9"/>
      <c r="ALN235" s="9"/>
      <c r="ALO235" s="9"/>
      <c r="ALP235" s="9"/>
      <c r="ALQ235" s="9"/>
      <c r="ALR235" s="9"/>
      <c r="ALS235" s="9"/>
      <c r="ALT235" s="9"/>
      <c r="ALU235" s="9"/>
      <c r="ALV235" s="9"/>
      <c r="ALW235" s="9"/>
      <c r="ALX235" s="9"/>
      <c r="ALY235" s="9"/>
      <c r="ALZ235" s="9"/>
      <c r="AMA235" s="9"/>
      <c r="AMB235" s="9"/>
      <c r="AMC235" s="9"/>
      <c r="AMD235" s="9"/>
      <c r="AME235" s="9"/>
      <c r="AMF235" s="9"/>
      <c r="AMG235" s="9"/>
      <c r="AMH235" s="9"/>
      <c r="AMI235" s="9"/>
      <c r="AMJ235" s="9"/>
      <c r="AMK235" s="9"/>
      <c r="AML235" s="9"/>
      <c r="AMM235" s="9"/>
      <c r="AMN235" s="9"/>
      <c r="AMO235" s="9"/>
    </row>
    <row r="236" spans="1:1029" s="12" customFormat="1" x14ac:dyDescent="0.2">
      <c r="A236" s="9" t="str">
        <f>CONCATENATE(B236,"_",C236)</f>
        <v>gpr52_human_6LI0</v>
      </c>
      <c r="B236" s="9" t="s">
        <v>259</v>
      </c>
      <c r="C236" s="9" t="s">
        <v>1661</v>
      </c>
      <c r="D236" s="9" t="str">
        <f>IFERROR(MID(VLOOKUP($B236,Seqs!$A:$B,2,0),E236,1),"")</f>
        <v>C</v>
      </c>
      <c r="E236" s="9">
        <v>40</v>
      </c>
      <c r="F236" s="9" t="str">
        <f>IFERROR(MID(VLOOKUP($B236,Seqs!$A:$B,2,0),G236,1),"")</f>
        <v>C</v>
      </c>
      <c r="G236" s="9">
        <v>67</v>
      </c>
      <c r="H236" s="9" t="str">
        <f>IFERROR(MID(VLOOKUP($B236,Seqs!$A:$B,2,0),I236,1),"")</f>
        <v/>
      </c>
      <c r="I236" s="109" t="s">
        <v>23</v>
      </c>
      <c r="J236" s="9" t="str">
        <f>IFERROR(MID(VLOOKUP($B236,Seqs!$A:$B,2,0),K236,1),"")</f>
        <v/>
      </c>
      <c r="K236" s="109" t="s">
        <v>23</v>
      </c>
      <c r="L236" s="9" t="str">
        <f>IFERROR(MID(VLOOKUP($B236,Seqs!$A:$B,2,0),M236,1),"")</f>
        <v>H</v>
      </c>
      <c r="M236" s="9">
        <v>73</v>
      </c>
      <c r="N236" s="9" t="str">
        <f>IFERROR(MID(VLOOKUP($B236,Seqs!$A:$B,2,0),O236,1),"")</f>
        <v>Y</v>
      </c>
      <c r="O236" s="9">
        <v>104</v>
      </c>
      <c r="P236" s="9" t="str">
        <f>IFERROR(MID(VLOOKUP($B236,Seqs!$A:$B,2,0),Q236,1),"")</f>
        <v/>
      </c>
      <c r="Q236" s="9" t="s">
        <v>23</v>
      </c>
      <c r="R236" s="9" t="str">
        <f>IFERROR(MID(VLOOKUP($B236,Seqs!$A:$B,2,0),S236,1),"")</f>
        <v/>
      </c>
      <c r="S236" s="9" t="s">
        <v>23</v>
      </c>
      <c r="T236" s="9" t="str">
        <f>IFERROR(MID(VLOOKUP($B236,Seqs!$A:$B,2,0),U236,1),"")</f>
        <v>E</v>
      </c>
      <c r="U236" s="9">
        <v>110</v>
      </c>
      <c r="V236" s="9" t="str">
        <f>IFERROR(MID(VLOOKUP($B236,Seqs!$A:$B,2,0),W236,1),"")</f>
        <v>K</v>
      </c>
      <c r="W236" s="9">
        <v>145</v>
      </c>
      <c r="X236" s="9" t="str">
        <f>IFERROR(MID(VLOOKUP($B236,Seqs!$A:$B,2,0),Y236,1),"")</f>
        <v>P</v>
      </c>
      <c r="Y236" s="9">
        <v>146</v>
      </c>
      <c r="Z236" s="9" t="str">
        <f>IFERROR(MID(VLOOKUP($B236,Seqs!$A:$B,2,0),AA236,1),"")</f>
        <v>V</v>
      </c>
      <c r="AA236" s="9">
        <v>153</v>
      </c>
      <c r="AB236" s="9" t="str">
        <f>IFERROR(MID(VLOOKUP($B236,Seqs!$A:$B,2,0),AC236,1),"")</f>
        <v>T</v>
      </c>
      <c r="AC236" s="9">
        <v>154</v>
      </c>
      <c r="AD236" s="9" t="str">
        <f>IFERROR(MID(VLOOKUP($B236,Seqs!$A:$B,2,0),AE236,1),"")</f>
        <v>F</v>
      </c>
      <c r="AE236" s="9">
        <v>178</v>
      </c>
      <c r="AF236" s="9" t="str">
        <f>IFERROR(MID(VLOOKUP($B236,Seqs!$A:$B,2,0),AG236,1),"")</f>
        <v>C</v>
      </c>
      <c r="AG236" s="9">
        <v>193</v>
      </c>
      <c r="AH236" s="9" t="str">
        <f>IFERROR(MID(VLOOKUP($B236,Seqs!$A:$B,2,0),AI236,1),"")</f>
        <v>T</v>
      </c>
      <c r="AI236" s="9">
        <v>195</v>
      </c>
      <c r="AJ236" s="9" t="str">
        <f>IFERROR(MID(VLOOKUP($B236,Seqs!$A:$B,2,0),AK236,1),"")</f>
        <v>S</v>
      </c>
      <c r="AK236" s="9">
        <v>200</v>
      </c>
      <c r="AL236" s="9" t="str">
        <f>IFERROR(MID(VLOOKUP($B236,Seqs!$A:$B,2,0),AM236,1),"")</f>
        <v>I</v>
      </c>
      <c r="AM236" s="9">
        <v>229</v>
      </c>
      <c r="AN236" s="9" t="str">
        <f>IFERROR(MID(VLOOKUP($B236,Seqs!$A:$B,2,0),AO236,1),"")</f>
        <v>R</v>
      </c>
      <c r="AO236" s="9">
        <v>261</v>
      </c>
      <c r="AP236" s="9" t="str">
        <f>IFERROR(MID(VLOOKUP($B236,Seqs!$A:$B,2,0),AQ236,1),"")</f>
        <v>R</v>
      </c>
      <c r="AQ236" s="9">
        <v>291</v>
      </c>
      <c r="AR236" s="9" t="str">
        <f>IFERROR(MID(VLOOKUP($B236,Seqs!$A:$B,2,0),AS236,1),"")</f>
        <v>N</v>
      </c>
      <c r="AS236" s="9">
        <v>295</v>
      </c>
      <c r="AT236" s="9" t="str">
        <f>IFERROR(MID(VLOOKUP($B236,Seqs!$A:$B,2,0),AU236,1),"")</f>
        <v>S</v>
      </c>
      <c r="AU236" s="9">
        <v>320</v>
      </c>
      <c r="AV236" s="9" t="str">
        <f>IFERROR(MID(VLOOKUP($B236,Seqs!$A:$B,2,0),AW236,1),"")</f>
        <v>N</v>
      </c>
      <c r="AW236" s="9">
        <v>321</v>
      </c>
      <c r="AX236" s="9" t="str">
        <f>IFERROR(MID(VLOOKUP($B236,Seqs!$A:$B,2,0),AY236,1),"")</f>
        <v>M</v>
      </c>
      <c r="AY236" s="9">
        <v>335</v>
      </c>
      <c r="AZ236" s="110" t="str">
        <f>VLOOKUP(B236,Classification!A:D,2,0)</f>
        <v>A</v>
      </c>
      <c r="BA236" s="98" t="str">
        <f>VLOOKUP(B236,Classification!A:D,4,0)</f>
        <v>ClassAorphans</v>
      </c>
      <c r="BB236" s="36" t="b">
        <f t="shared" ref="BB236" si="1066">AND(E236&lt;G236,OR(G236&lt;I236,I236="-"),OR(I236&lt;K236,I236="-"),OR(K236&lt;M236,K236="-"),M236&lt;O236,OR(O236&lt;Q236,Q236="-"),OR(Q236&lt;S236,Q236="-"),OR(S236&lt;U236,S236="-"),U236&lt;W236,OR(W236&lt;Y236,Y236="-"),OR(Y236&lt;AA236,Y236="-"),OR(AA236&lt;AC236,AA236="-"),AC236&lt;AE236,OR(AE236&lt;AG236,AG236="-"),OR(AG236&lt;AI236,AG236="-"),OR(AI236&lt;AK236,AI236="-"),AK236&lt;AM236,AM236&lt;AO236,AO236&lt;AQ236,AQ236&lt;AS236,AS236&lt;AU236,OR(AU236&lt;AW236,AW236="-"),OR(AW236&lt;AY236,AW236="-"))</f>
        <v>1</v>
      </c>
      <c r="BC236" s="109">
        <f t="shared" ref="BC236" si="1067">_xlfn.AGGREGATE(9,6,CH236:CS236)-_xlfn.AGGREGATE(9,6,BV236:CG236)+12</f>
        <v>236</v>
      </c>
      <c r="BD236" s="126" t="s">
        <v>23</v>
      </c>
      <c r="BE236" s="9" t="s">
        <v>1368</v>
      </c>
      <c r="BF236" s="119">
        <v>2.2000000000000002</v>
      </c>
      <c r="BG236" s="51" t="s">
        <v>1</v>
      </c>
      <c r="BH236" s="51" t="s">
        <v>1</v>
      </c>
      <c r="BJ236" s="111" t="s">
        <v>1281</v>
      </c>
      <c r="BK236" s="112" t="s">
        <v>1281</v>
      </c>
      <c r="BL236" s="112" t="s">
        <v>1281</v>
      </c>
      <c r="BM236" s="112" t="s">
        <v>1281</v>
      </c>
      <c r="BN236" s="112" t="s">
        <v>1281</v>
      </c>
      <c r="BO236" s="112" t="s">
        <v>1281</v>
      </c>
      <c r="BP236" s="112" t="s">
        <v>1281</v>
      </c>
      <c r="BQ236" s="112" t="s">
        <v>1281</v>
      </c>
      <c r="BR236" s="112" t="s">
        <v>1281</v>
      </c>
      <c r="BS236" s="112" t="s">
        <v>1281</v>
      </c>
      <c r="BT236" s="112" t="s">
        <v>1281</v>
      </c>
      <c r="BU236" s="112" t="s">
        <v>1281</v>
      </c>
      <c r="BV236" s="111">
        <f>E236</f>
        <v>40</v>
      </c>
      <c r="BW236" s="113" t="str">
        <f>I236</f>
        <v>-</v>
      </c>
      <c r="BX236" s="114">
        <f>M236</f>
        <v>73</v>
      </c>
      <c r="BY236" s="113" t="str">
        <f>Q236</f>
        <v>-</v>
      </c>
      <c r="BZ236" s="114">
        <f>U236</f>
        <v>110</v>
      </c>
      <c r="CA236" s="113">
        <f>Y236</f>
        <v>146</v>
      </c>
      <c r="CB236" s="114">
        <f>AC236</f>
        <v>154</v>
      </c>
      <c r="CC236" s="113">
        <f>AG236</f>
        <v>193</v>
      </c>
      <c r="CD236" s="114">
        <f>AK236</f>
        <v>200</v>
      </c>
      <c r="CE236" s="113">
        <f>AO236</f>
        <v>261</v>
      </c>
      <c r="CF236" s="114">
        <f>AS236</f>
        <v>295</v>
      </c>
      <c r="CG236" s="113">
        <f>AW236</f>
        <v>321</v>
      </c>
      <c r="CH236" s="111">
        <f>G236</f>
        <v>67</v>
      </c>
      <c r="CI236" s="113" t="str">
        <f>K236</f>
        <v>-</v>
      </c>
      <c r="CJ236" s="114">
        <f>O236</f>
        <v>104</v>
      </c>
      <c r="CK236" s="114" t="str">
        <f>S236</f>
        <v>-</v>
      </c>
      <c r="CL236" s="114">
        <f>W236</f>
        <v>145</v>
      </c>
      <c r="CM236" s="114">
        <f>AA236</f>
        <v>153</v>
      </c>
      <c r="CN236" s="114">
        <f>AE236</f>
        <v>178</v>
      </c>
      <c r="CO236" s="114">
        <f>AI236</f>
        <v>195</v>
      </c>
      <c r="CP236" s="114">
        <f>AM236</f>
        <v>229</v>
      </c>
      <c r="CQ236" s="114">
        <f>AQ236</f>
        <v>291</v>
      </c>
      <c r="CR236" s="114">
        <f>AU236</f>
        <v>320</v>
      </c>
      <c r="CS236" s="114">
        <f>AY236</f>
        <v>335</v>
      </c>
      <c r="CT236" s="109" t="e">
        <f>M236-K236</f>
        <v>#VALUE!</v>
      </c>
      <c r="CU236" s="9"/>
      <c r="CV236" s="9"/>
      <c r="CW236" s="9"/>
      <c r="CX236" s="9"/>
      <c r="CY236" s="9"/>
      <c r="CZ236" s="9"/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  <c r="DM236" s="9"/>
      <c r="DN236" s="9"/>
      <c r="DO236" s="9"/>
      <c r="DP236" s="9"/>
      <c r="DQ236" s="9"/>
      <c r="DR236" s="9"/>
      <c r="DS236" s="9"/>
      <c r="DT236" s="9"/>
      <c r="DU236" s="9"/>
      <c r="DV236" s="9"/>
      <c r="DW236" s="9"/>
      <c r="DX236" s="9"/>
      <c r="DY236" s="9"/>
      <c r="DZ236" s="9"/>
      <c r="EA236" s="9"/>
      <c r="EB236" s="9"/>
      <c r="EC236" s="9"/>
      <c r="ED236" s="9"/>
      <c r="EE236" s="9"/>
      <c r="EF236" s="9"/>
      <c r="EG236" s="9"/>
      <c r="EH236" s="9"/>
      <c r="EI236" s="9"/>
      <c r="EJ236" s="9"/>
      <c r="EK236" s="9"/>
      <c r="EL236" s="9"/>
      <c r="EM236" s="9"/>
      <c r="EN236" s="9"/>
      <c r="EO236" s="9"/>
      <c r="EP236" s="9"/>
      <c r="EQ236" s="9"/>
      <c r="ER236" s="9"/>
      <c r="ES236" s="9"/>
      <c r="ET236" s="9"/>
      <c r="EU236" s="9"/>
      <c r="EV236" s="9"/>
      <c r="EW236" s="9"/>
      <c r="EX236" s="9"/>
      <c r="EY236" s="9"/>
      <c r="EZ236" s="9"/>
      <c r="FA236" s="9"/>
      <c r="FB236" s="9"/>
      <c r="FC236" s="9"/>
      <c r="FD236" s="9"/>
      <c r="FE236" s="9"/>
      <c r="FF236" s="9"/>
      <c r="FG236" s="9"/>
      <c r="FH236" s="9"/>
      <c r="FI236" s="9"/>
      <c r="FJ236" s="9"/>
      <c r="FK236" s="9"/>
      <c r="FL236" s="9"/>
      <c r="FM236" s="9"/>
      <c r="FN236" s="9"/>
      <c r="FO236" s="9"/>
      <c r="FP236" s="9"/>
      <c r="FQ236" s="9"/>
      <c r="FR236" s="9"/>
      <c r="FS236" s="9"/>
      <c r="FT236" s="9"/>
      <c r="FU236" s="9"/>
      <c r="FV236" s="9"/>
      <c r="FW236" s="9"/>
      <c r="FX236" s="9"/>
      <c r="FY236" s="9"/>
      <c r="FZ236" s="9"/>
      <c r="GA236" s="9"/>
      <c r="GB236" s="9"/>
      <c r="GC236" s="9"/>
      <c r="GD236" s="9"/>
      <c r="GE236" s="9"/>
      <c r="GF236" s="9"/>
      <c r="GG236" s="9"/>
      <c r="GH236" s="9"/>
      <c r="GI236" s="9"/>
      <c r="GJ236" s="9"/>
      <c r="GK236" s="9"/>
      <c r="GL236" s="9"/>
      <c r="GM236" s="9"/>
      <c r="GN236" s="9"/>
      <c r="GO236" s="9"/>
      <c r="GP236" s="9"/>
      <c r="GQ236" s="9"/>
      <c r="GR236" s="9"/>
      <c r="GS236" s="9"/>
      <c r="GT236" s="9"/>
      <c r="GU236" s="9"/>
      <c r="GV236" s="9"/>
      <c r="GW236" s="9"/>
      <c r="GX236" s="9"/>
      <c r="GY236" s="9"/>
      <c r="GZ236" s="9"/>
      <c r="HA236" s="9"/>
      <c r="HB236" s="9"/>
      <c r="HC236" s="9"/>
      <c r="HD236" s="9"/>
      <c r="HE236" s="9"/>
      <c r="HF236" s="9"/>
      <c r="HG236" s="9"/>
      <c r="HH236" s="9"/>
      <c r="HI236" s="9"/>
      <c r="HJ236" s="9"/>
      <c r="HK236" s="9"/>
      <c r="HL236" s="9"/>
      <c r="HM236" s="9"/>
      <c r="HN236" s="9"/>
      <c r="HO236" s="9"/>
      <c r="HP236" s="9"/>
      <c r="HQ236" s="9"/>
      <c r="HR236" s="9"/>
      <c r="HS236" s="9"/>
      <c r="HT236" s="9"/>
      <c r="HU236" s="9"/>
      <c r="HV236" s="9"/>
      <c r="HW236" s="9"/>
      <c r="HX236" s="9"/>
      <c r="HY236" s="9"/>
      <c r="HZ236" s="9"/>
      <c r="IA236" s="9"/>
      <c r="IB236" s="9"/>
      <c r="IC236" s="9"/>
      <c r="ID236" s="9"/>
      <c r="IE236" s="9"/>
      <c r="IF236" s="9"/>
      <c r="IG236" s="9"/>
      <c r="IH236" s="9"/>
      <c r="II236" s="9"/>
      <c r="IJ236" s="9"/>
      <c r="IK236" s="9"/>
      <c r="IL236" s="9"/>
      <c r="IM236" s="9"/>
      <c r="IN236" s="9"/>
      <c r="IO236" s="9"/>
      <c r="IP236" s="9"/>
      <c r="IQ236" s="9"/>
      <c r="IR236" s="9"/>
      <c r="IS236" s="9"/>
      <c r="IT236" s="9"/>
      <c r="IU236" s="9"/>
      <c r="IV236" s="9"/>
      <c r="IW236" s="9"/>
      <c r="IX236" s="9"/>
      <c r="IY236" s="9"/>
      <c r="IZ236" s="9"/>
      <c r="JA236" s="9"/>
      <c r="JB236" s="9"/>
      <c r="JC236" s="9"/>
      <c r="JD236" s="9"/>
      <c r="JE236" s="9"/>
      <c r="JF236" s="9"/>
      <c r="JG236" s="9"/>
      <c r="JH236" s="9"/>
      <c r="JI236" s="9"/>
      <c r="JJ236" s="9"/>
      <c r="JK236" s="9"/>
      <c r="JL236" s="9"/>
      <c r="JM236" s="9"/>
      <c r="JN236" s="9"/>
      <c r="JO236" s="9"/>
      <c r="JP236" s="9"/>
      <c r="JQ236" s="9"/>
      <c r="JR236" s="9"/>
      <c r="JS236" s="9"/>
      <c r="JT236" s="9"/>
      <c r="JU236" s="9"/>
      <c r="JV236" s="9"/>
      <c r="JW236" s="9"/>
      <c r="JX236" s="9"/>
      <c r="JY236" s="9"/>
      <c r="JZ236" s="9"/>
      <c r="KA236" s="9"/>
      <c r="KB236" s="9"/>
      <c r="KC236" s="9"/>
      <c r="KD236" s="9"/>
      <c r="KE236" s="9"/>
      <c r="KF236" s="9"/>
      <c r="KG236" s="9"/>
      <c r="KH236" s="9"/>
      <c r="KI236" s="9"/>
      <c r="KJ236" s="9"/>
      <c r="KK236" s="9"/>
      <c r="KL236" s="9"/>
      <c r="KM236" s="9"/>
      <c r="KN236" s="9"/>
      <c r="KO236" s="9"/>
      <c r="KP236" s="9"/>
      <c r="KQ236" s="9"/>
      <c r="KR236" s="9"/>
      <c r="KS236" s="9"/>
      <c r="KT236" s="9"/>
      <c r="KU236" s="9"/>
      <c r="KV236" s="9"/>
      <c r="KW236" s="9"/>
      <c r="KX236" s="9"/>
      <c r="KY236" s="9"/>
      <c r="KZ236" s="9"/>
      <c r="LA236" s="9"/>
      <c r="LB236" s="9"/>
      <c r="LC236" s="9"/>
      <c r="LD236" s="9"/>
      <c r="LE236" s="9"/>
      <c r="LF236" s="9"/>
      <c r="LG236" s="9"/>
      <c r="LH236" s="9"/>
      <c r="LI236" s="9"/>
      <c r="LJ236" s="9"/>
      <c r="LK236" s="9"/>
      <c r="LL236" s="9"/>
      <c r="LM236" s="9"/>
      <c r="LN236" s="9"/>
      <c r="LO236" s="9"/>
      <c r="LP236" s="9"/>
      <c r="LQ236" s="9"/>
      <c r="LR236" s="9"/>
      <c r="LS236" s="9"/>
      <c r="LT236" s="9"/>
      <c r="LU236" s="9"/>
      <c r="LV236" s="9"/>
      <c r="LW236" s="9"/>
      <c r="LX236" s="9"/>
      <c r="LY236" s="9"/>
      <c r="LZ236" s="9"/>
      <c r="MA236" s="9"/>
      <c r="MB236" s="9"/>
      <c r="MC236" s="9"/>
      <c r="MD236" s="9"/>
      <c r="ME236" s="9"/>
      <c r="MF236" s="9"/>
      <c r="MG236" s="9"/>
      <c r="MH236" s="9"/>
      <c r="MI236" s="9"/>
      <c r="MJ236" s="9"/>
      <c r="MK236" s="9"/>
      <c r="ML236" s="9"/>
      <c r="MM236" s="9"/>
      <c r="MN236" s="9"/>
      <c r="MO236" s="9"/>
      <c r="MP236" s="9"/>
      <c r="MQ236" s="9"/>
      <c r="MR236" s="9"/>
      <c r="MS236" s="9"/>
      <c r="MT236" s="9"/>
      <c r="MU236" s="9"/>
      <c r="MV236" s="9"/>
      <c r="MW236" s="9"/>
      <c r="MX236" s="9"/>
      <c r="MY236" s="9"/>
      <c r="MZ236" s="9"/>
      <c r="NA236" s="9"/>
      <c r="NB236" s="9"/>
      <c r="NC236" s="9"/>
      <c r="ND236" s="9"/>
      <c r="NE236" s="9"/>
      <c r="NF236" s="9"/>
      <c r="NG236" s="9"/>
      <c r="NH236" s="9"/>
      <c r="NI236" s="9"/>
      <c r="NJ236" s="9"/>
      <c r="NK236" s="9"/>
      <c r="NL236" s="9"/>
      <c r="NM236" s="9"/>
      <c r="NN236" s="9"/>
      <c r="NO236" s="9"/>
      <c r="NP236" s="9"/>
      <c r="NQ236" s="9"/>
      <c r="NR236" s="9"/>
      <c r="NS236" s="9"/>
      <c r="NT236" s="9"/>
      <c r="NU236" s="9"/>
      <c r="NV236" s="9"/>
      <c r="NW236" s="9"/>
      <c r="NX236" s="9"/>
      <c r="NY236" s="9"/>
      <c r="NZ236" s="9"/>
      <c r="OA236" s="9"/>
      <c r="OB236" s="9"/>
      <c r="OC236" s="9"/>
      <c r="OD236" s="9"/>
      <c r="OE236" s="9"/>
      <c r="OF236" s="9"/>
      <c r="OG236" s="9"/>
      <c r="OH236" s="9"/>
      <c r="OI236" s="9"/>
      <c r="OJ236" s="9"/>
      <c r="OK236" s="9"/>
      <c r="OL236" s="9"/>
      <c r="OM236" s="9"/>
      <c r="ON236" s="9"/>
      <c r="OO236" s="9"/>
      <c r="OP236" s="9"/>
      <c r="OQ236" s="9"/>
      <c r="OR236" s="9"/>
      <c r="OS236" s="9"/>
      <c r="OT236" s="9"/>
      <c r="OU236" s="9"/>
      <c r="OV236" s="9"/>
      <c r="OW236" s="9"/>
      <c r="OX236" s="9"/>
      <c r="OY236" s="9"/>
      <c r="OZ236" s="9"/>
      <c r="PA236" s="9"/>
      <c r="PB236" s="9"/>
      <c r="PC236" s="9"/>
      <c r="PD236" s="9"/>
      <c r="PE236" s="9"/>
      <c r="PF236" s="9"/>
      <c r="PG236" s="9"/>
      <c r="PH236" s="9"/>
      <c r="PI236" s="9"/>
      <c r="PJ236" s="9"/>
      <c r="PK236" s="9"/>
      <c r="PL236" s="9"/>
      <c r="PM236" s="9"/>
      <c r="PN236" s="9"/>
      <c r="PO236" s="9"/>
      <c r="PP236" s="9"/>
      <c r="PQ236" s="9"/>
      <c r="PR236" s="9"/>
      <c r="PS236" s="9"/>
      <c r="PT236" s="9"/>
      <c r="PU236" s="9"/>
      <c r="PV236" s="9"/>
      <c r="PW236" s="9"/>
      <c r="PX236" s="9"/>
      <c r="PY236" s="9"/>
      <c r="PZ236" s="9"/>
      <c r="QA236" s="9"/>
      <c r="QB236" s="9"/>
      <c r="QC236" s="9"/>
      <c r="QD236" s="9"/>
      <c r="QE236" s="9"/>
      <c r="QF236" s="9"/>
      <c r="QG236" s="9"/>
      <c r="QH236" s="9"/>
      <c r="QI236" s="9"/>
      <c r="QJ236" s="9"/>
      <c r="QK236" s="9"/>
      <c r="QL236" s="9"/>
      <c r="QM236" s="9"/>
      <c r="QN236" s="9"/>
      <c r="QO236" s="9"/>
      <c r="QP236" s="9"/>
      <c r="QQ236" s="9"/>
      <c r="QR236" s="9"/>
      <c r="QS236" s="9"/>
      <c r="QT236" s="9"/>
      <c r="QU236" s="9"/>
      <c r="QV236" s="9"/>
      <c r="QW236" s="9"/>
      <c r="QX236" s="9"/>
      <c r="QY236" s="9"/>
      <c r="QZ236" s="9"/>
      <c r="RA236" s="9"/>
      <c r="RB236" s="9"/>
      <c r="RC236" s="9"/>
      <c r="RD236" s="9"/>
      <c r="RE236" s="9"/>
      <c r="RF236" s="9"/>
      <c r="RG236" s="9"/>
      <c r="RH236" s="9"/>
      <c r="RI236" s="9"/>
      <c r="RJ236" s="9"/>
      <c r="RK236" s="9"/>
      <c r="RL236" s="9"/>
      <c r="RM236" s="9"/>
      <c r="RN236" s="9"/>
      <c r="RO236" s="9"/>
      <c r="RP236" s="9"/>
      <c r="RQ236" s="9"/>
      <c r="RR236" s="9"/>
      <c r="RS236" s="9"/>
      <c r="RT236" s="9"/>
      <c r="RU236" s="9"/>
      <c r="RV236" s="9"/>
      <c r="RW236" s="9"/>
      <c r="RX236" s="9"/>
      <c r="RY236" s="9"/>
      <c r="RZ236" s="9"/>
      <c r="SA236" s="9"/>
      <c r="SB236" s="9"/>
      <c r="SC236" s="9"/>
      <c r="SD236" s="9"/>
      <c r="SE236" s="9"/>
      <c r="SF236" s="9"/>
      <c r="SG236" s="9"/>
      <c r="SH236" s="9"/>
      <c r="SI236" s="9"/>
      <c r="SJ236" s="9"/>
      <c r="SK236" s="9"/>
      <c r="SL236" s="9"/>
      <c r="SM236" s="9"/>
      <c r="SN236" s="9"/>
      <c r="SO236" s="9"/>
      <c r="SP236" s="9"/>
      <c r="SQ236" s="9"/>
      <c r="SR236" s="9"/>
      <c r="SS236" s="9"/>
      <c r="ST236" s="9"/>
      <c r="SU236" s="9"/>
      <c r="SV236" s="9"/>
      <c r="SW236" s="9"/>
      <c r="SX236" s="9"/>
      <c r="SY236" s="9"/>
      <c r="SZ236" s="9"/>
      <c r="TA236" s="9"/>
      <c r="TB236" s="9"/>
      <c r="TC236" s="9"/>
      <c r="TD236" s="9"/>
      <c r="TE236" s="9"/>
      <c r="TF236" s="9"/>
      <c r="TG236" s="9"/>
      <c r="TH236" s="9"/>
      <c r="TI236" s="9"/>
      <c r="TJ236" s="9"/>
      <c r="TK236" s="9"/>
      <c r="TL236" s="9"/>
      <c r="TM236" s="9"/>
      <c r="TN236" s="9"/>
      <c r="TO236" s="9"/>
      <c r="TP236" s="9"/>
      <c r="TQ236" s="9"/>
      <c r="TR236" s="9"/>
      <c r="TS236" s="9"/>
      <c r="TT236" s="9"/>
      <c r="TU236" s="9"/>
      <c r="TV236" s="9"/>
      <c r="TW236" s="9"/>
      <c r="TX236" s="9"/>
      <c r="TY236" s="9"/>
      <c r="TZ236" s="9"/>
      <c r="UA236" s="9"/>
      <c r="UB236" s="9"/>
      <c r="UC236" s="9"/>
      <c r="UD236" s="9"/>
      <c r="UE236" s="9"/>
      <c r="UF236" s="9"/>
      <c r="UG236" s="9"/>
      <c r="UH236" s="9"/>
      <c r="UI236" s="9"/>
      <c r="UJ236" s="9"/>
      <c r="UK236" s="9"/>
      <c r="UL236" s="9"/>
      <c r="UM236" s="9"/>
      <c r="UN236" s="9"/>
      <c r="UO236" s="9"/>
      <c r="UP236" s="9"/>
      <c r="UQ236" s="9"/>
      <c r="UR236" s="9"/>
      <c r="US236" s="9"/>
      <c r="UT236" s="9"/>
      <c r="UU236" s="9"/>
      <c r="UV236" s="9"/>
      <c r="UW236" s="9"/>
      <c r="UX236" s="9"/>
      <c r="UY236" s="9"/>
      <c r="UZ236" s="9"/>
      <c r="VA236" s="9"/>
      <c r="VB236" s="9"/>
      <c r="VC236" s="9"/>
      <c r="VD236" s="9"/>
      <c r="VE236" s="9"/>
      <c r="VF236" s="9"/>
      <c r="VG236" s="9"/>
      <c r="VH236" s="9"/>
      <c r="VI236" s="9"/>
      <c r="VJ236" s="9"/>
      <c r="VK236" s="9"/>
      <c r="VL236" s="9"/>
      <c r="VM236" s="9"/>
      <c r="VN236" s="9"/>
      <c r="VO236" s="9"/>
      <c r="VP236" s="9"/>
      <c r="VQ236" s="9"/>
      <c r="VR236" s="9"/>
      <c r="VS236" s="9"/>
      <c r="VT236" s="9"/>
      <c r="VU236" s="9"/>
      <c r="VV236" s="9"/>
      <c r="VW236" s="9"/>
      <c r="VX236" s="9"/>
      <c r="VY236" s="9"/>
      <c r="VZ236" s="9"/>
      <c r="WA236" s="9"/>
      <c r="WB236" s="9"/>
      <c r="WC236" s="9"/>
      <c r="WD236" s="9"/>
      <c r="WE236" s="9"/>
      <c r="WF236" s="9"/>
      <c r="WG236" s="9"/>
      <c r="WH236" s="9"/>
      <c r="WI236" s="9"/>
      <c r="WJ236" s="9"/>
      <c r="WK236" s="9"/>
      <c r="WL236" s="9"/>
      <c r="WM236" s="9"/>
      <c r="WN236" s="9"/>
      <c r="WO236" s="9"/>
      <c r="WP236" s="9"/>
      <c r="WQ236" s="9"/>
      <c r="WR236" s="9"/>
      <c r="WS236" s="9"/>
      <c r="WT236" s="9"/>
      <c r="WU236" s="9"/>
      <c r="WV236" s="9"/>
      <c r="WW236" s="9"/>
      <c r="WX236" s="9"/>
      <c r="WY236" s="9"/>
      <c r="WZ236" s="9"/>
      <c r="XA236" s="9"/>
      <c r="XB236" s="9"/>
      <c r="XC236" s="9"/>
      <c r="XD236" s="9"/>
      <c r="XE236" s="9"/>
      <c r="XF236" s="9"/>
      <c r="XG236" s="9"/>
      <c r="XH236" s="9"/>
      <c r="XI236" s="9"/>
      <c r="XJ236" s="9"/>
      <c r="XK236" s="9"/>
      <c r="XL236" s="9"/>
      <c r="XM236" s="9"/>
      <c r="XN236" s="9"/>
      <c r="XO236" s="9"/>
      <c r="XP236" s="9"/>
      <c r="XQ236" s="9"/>
      <c r="XR236" s="9"/>
      <c r="XS236" s="9"/>
      <c r="XT236" s="9"/>
      <c r="XU236" s="9"/>
      <c r="XV236" s="9"/>
      <c r="XW236" s="9"/>
      <c r="XX236" s="9"/>
      <c r="XY236" s="9"/>
      <c r="XZ236" s="9"/>
      <c r="YA236" s="9"/>
      <c r="YB236" s="9"/>
      <c r="YC236" s="9"/>
      <c r="YD236" s="9"/>
      <c r="YE236" s="9"/>
      <c r="YF236" s="9"/>
      <c r="YG236" s="9"/>
      <c r="YH236" s="9"/>
      <c r="YI236" s="9"/>
      <c r="YJ236" s="9"/>
      <c r="YK236" s="9"/>
      <c r="YL236" s="9"/>
      <c r="YM236" s="9"/>
      <c r="YN236" s="9"/>
      <c r="YO236" s="9"/>
      <c r="YP236" s="9"/>
      <c r="YQ236" s="9"/>
      <c r="YR236" s="9"/>
      <c r="YS236" s="9"/>
      <c r="YT236" s="9"/>
      <c r="YU236" s="9"/>
      <c r="YV236" s="9"/>
      <c r="YW236" s="9"/>
      <c r="YX236" s="9"/>
      <c r="YY236" s="9"/>
      <c r="YZ236" s="9"/>
      <c r="ZA236" s="9"/>
      <c r="ZB236" s="9"/>
      <c r="ZC236" s="9"/>
      <c r="ZD236" s="9"/>
      <c r="ZE236" s="9"/>
      <c r="ZF236" s="9"/>
      <c r="ZG236" s="9"/>
      <c r="ZH236" s="9"/>
      <c r="ZI236" s="9"/>
      <c r="ZJ236" s="9"/>
      <c r="ZK236" s="9"/>
      <c r="ZL236" s="9"/>
      <c r="ZM236" s="9"/>
      <c r="ZN236" s="9"/>
      <c r="ZO236" s="9"/>
      <c r="ZP236" s="9"/>
      <c r="ZQ236" s="9"/>
      <c r="ZR236" s="9"/>
      <c r="ZS236" s="9"/>
      <c r="ZT236" s="9"/>
      <c r="ZU236" s="9"/>
      <c r="ZV236" s="9"/>
      <c r="ZW236" s="9"/>
      <c r="ZX236" s="9"/>
      <c r="ZY236" s="9"/>
      <c r="ZZ236" s="9"/>
      <c r="AAA236" s="9"/>
      <c r="AAB236" s="9"/>
      <c r="AAC236" s="9"/>
      <c r="AAD236" s="9"/>
      <c r="AAE236" s="9"/>
      <c r="AAF236" s="9"/>
      <c r="AAG236" s="9"/>
      <c r="AAH236" s="9"/>
      <c r="AAI236" s="9"/>
      <c r="AAJ236" s="9"/>
      <c r="AAK236" s="9"/>
      <c r="AAL236" s="9"/>
      <c r="AAM236" s="9"/>
      <c r="AAN236" s="9"/>
      <c r="AAO236" s="9"/>
      <c r="AAP236" s="9"/>
      <c r="AAQ236" s="9"/>
      <c r="AAR236" s="9"/>
      <c r="AAS236" s="9"/>
      <c r="AAT236" s="9"/>
      <c r="AAU236" s="9"/>
      <c r="AAV236" s="9"/>
      <c r="AAW236" s="9"/>
      <c r="AAX236" s="9"/>
      <c r="AAY236" s="9"/>
      <c r="AAZ236" s="9"/>
      <c r="ABA236" s="9"/>
      <c r="ABB236" s="9"/>
      <c r="ABC236" s="9"/>
      <c r="ABD236" s="9"/>
      <c r="ABE236" s="9"/>
      <c r="ABF236" s="9"/>
      <c r="ABG236" s="9"/>
      <c r="ABH236" s="9"/>
      <c r="ABI236" s="9"/>
      <c r="ABJ236" s="9"/>
      <c r="ABK236" s="9"/>
      <c r="ABL236" s="9"/>
      <c r="ABM236" s="9"/>
      <c r="ABN236" s="9"/>
      <c r="ABO236" s="9"/>
      <c r="ABP236" s="9"/>
      <c r="ABQ236" s="9"/>
      <c r="ABR236" s="9"/>
      <c r="ABS236" s="9"/>
      <c r="ABT236" s="9"/>
      <c r="ABU236" s="9"/>
      <c r="ABV236" s="9"/>
      <c r="ABW236" s="9"/>
      <c r="ABX236" s="9"/>
      <c r="ABY236" s="9"/>
      <c r="ABZ236" s="9"/>
      <c r="ACA236" s="9"/>
      <c r="ACB236" s="9"/>
      <c r="ACC236" s="9"/>
      <c r="ACD236" s="9"/>
      <c r="ACE236" s="9"/>
      <c r="ACF236" s="9"/>
      <c r="ACG236" s="9"/>
      <c r="ACH236" s="9"/>
      <c r="ACI236" s="9"/>
      <c r="ACJ236" s="9"/>
      <c r="ACK236" s="9"/>
      <c r="ACL236" s="9"/>
      <c r="ACM236" s="9"/>
      <c r="ACN236" s="9"/>
      <c r="ACO236" s="9"/>
      <c r="ACP236" s="9"/>
      <c r="ACQ236" s="9"/>
      <c r="ACR236" s="9"/>
      <c r="ACS236" s="9"/>
      <c r="ACT236" s="9"/>
      <c r="ACU236" s="9"/>
      <c r="ACV236" s="9"/>
      <c r="ACW236" s="9"/>
      <c r="ACX236" s="9"/>
      <c r="ACY236" s="9"/>
      <c r="ACZ236" s="9"/>
      <c r="ADA236" s="9"/>
      <c r="ADB236" s="9"/>
      <c r="ADC236" s="9"/>
      <c r="ADD236" s="9"/>
      <c r="ADE236" s="9"/>
      <c r="ADF236" s="9"/>
      <c r="ADG236" s="9"/>
      <c r="ADH236" s="9"/>
      <c r="ADI236" s="9"/>
      <c r="ADJ236" s="9"/>
      <c r="ADK236" s="9"/>
      <c r="ADL236" s="9"/>
      <c r="ADM236" s="9"/>
      <c r="ADN236" s="9"/>
      <c r="ADO236" s="9"/>
      <c r="ADP236" s="9"/>
      <c r="ADQ236" s="9"/>
      <c r="ADR236" s="9"/>
      <c r="ADS236" s="9"/>
      <c r="ADT236" s="9"/>
      <c r="ADU236" s="9"/>
      <c r="ADV236" s="9"/>
      <c r="ADW236" s="9"/>
      <c r="ADX236" s="9"/>
      <c r="ADY236" s="9"/>
      <c r="ADZ236" s="9"/>
      <c r="AEA236" s="9"/>
      <c r="AEB236" s="9"/>
      <c r="AEC236" s="9"/>
      <c r="AED236" s="9"/>
      <c r="AEE236" s="9"/>
      <c r="AEF236" s="9"/>
      <c r="AEG236" s="9"/>
      <c r="AEH236" s="9"/>
      <c r="AEI236" s="9"/>
      <c r="AEJ236" s="9"/>
      <c r="AEK236" s="9"/>
      <c r="AEL236" s="9"/>
      <c r="AEM236" s="9"/>
      <c r="AEN236" s="9"/>
      <c r="AEO236" s="9"/>
      <c r="AEP236" s="9"/>
      <c r="AEQ236" s="9"/>
      <c r="AER236" s="9"/>
      <c r="AES236" s="9"/>
      <c r="AET236" s="9"/>
      <c r="AEU236" s="9"/>
      <c r="AEV236" s="9"/>
      <c r="AEW236" s="9"/>
      <c r="AEX236" s="9"/>
      <c r="AEY236" s="9"/>
      <c r="AEZ236" s="9"/>
      <c r="AFA236" s="9"/>
      <c r="AFB236" s="9"/>
      <c r="AFC236" s="9"/>
      <c r="AFD236" s="9"/>
      <c r="AFE236" s="9"/>
      <c r="AFF236" s="9"/>
      <c r="AFG236" s="9"/>
      <c r="AFH236" s="9"/>
      <c r="AFI236" s="9"/>
      <c r="AFJ236" s="9"/>
      <c r="AFK236" s="9"/>
      <c r="AFL236" s="9"/>
      <c r="AFM236" s="9"/>
      <c r="AFN236" s="9"/>
      <c r="AFO236" s="9"/>
      <c r="AFP236" s="9"/>
      <c r="AFQ236" s="9"/>
      <c r="AFR236" s="9"/>
      <c r="AFS236" s="9"/>
      <c r="AFT236" s="9"/>
      <c r="AFU236" s="9"/>
      <c r="AFV236" s="9"/>
      <c r="AFW236" s="9"/>
      <c r="AFX236" s="9"/>
      <c r="AFY236" s="9"/>
      <c r="AFZ236" s="9"/>
      <c r="AGA236" s="9"/>
      <c r="AGB236" s="9"/>
      <c r="AGC236" s="9"/>
      <c r="AGD236" s="9"/>
      <c r="AGE236" s="9"/>
      <c r="AGF236" s="9"/>
      <c r="AGG236" s="9"/>
      <c r="AGH236" s="9"/>
      <c r="AGI236" s="9"/>
      <c r="AGJ236" s="9"/>
      <c r="AGK236" s="9"/>
      <c r="AGL236" s="9"/>
      <c r="AGM236" s="9"/>
      <c r="AGN236" s="9"/>
      <c r="AGO236" s="9"/>
      <c r="AGP236" s="9"/>
      <c r="AGQ236" s="9"/>
      <c r="AGR236" s="9"/>
      <c r="AGS236" s="9"/>
      <c r="AGT236" s="9"/>
      <c r="AGU236" s="9"/>
      <c r="AGV236" s="9"/>
      <c r="AGW236" s="9"/>
      <c r="AGX236" s="9"/>
      <c r="AGY236" s="9"/>
      <c r="AGZ236" s="9"/>
      <c r="AHA236" s="9"/>
      <c r="AHB236" s="9"/>
      <c r="AHC236" s="9"/>
      <c r="AHD236" s="9"/>
      <c r="AHE236" s="9"/>
      <c r="AHF236" s="9"/>
      <c r="AHG236" s="9"/>
      <c r="AHH236" s="9"/>
      <c r="AHI236" s="9"/>
      <c r="AHJ236" s="9"/>
      <c r="AHK236" s="9"/>
      <c r="AHL236" s="9"/>
      <c r="AHM236" s="9"/>
      <c r="AHN236" s="9"/>
      <c r="AHO236" s="9"/>
      <c r="AHP236" s="9"/>
      <c r="AHQ236" s="9"/>
      <c r="AHR236" s="9"/>
      <c r="AHS236" s="9"/>
      <c r="AHT236" s="9"/>
      <c r="AHU236" s="9"/>
      <c r="AHV236" s="9"/>
      <c r="AHW236" s="9"/>
      <c r="AHX236" s="9"/>
      <c r="AHY236" s="9"/>
      <c r="AHZ236" s="9"/>
      <c r="AIA236" s="9"/>
      <c r="AIB236" s="9"/>
      <c r="AIC236" s="9"/>
      <c r="AID236" s="9"/>
      <c r="AIE236" s="9"/>
      <c r="AIF236" s="9"/>
      <c r="AIG236" s="9"/>
      <c r="AIH236" s="9"/>
      <c r="AII236" s="9"/>
      <c r="AIJ236" s="9"/>
      <c r="AIK236" s="9"/>
      <c r="AIL236" s="9"/>
      <c r="AIM236" s="9"/>
      <c r="AIN236" s="9"/>
      <c r="AIO236" s="9"/>
      <c r="AIP236" s="9"/>
      <c r="AIQ236" s="9"/>
      <c r="AIR236" s="9"/>
      <c r="AIS236" s="9"/>
      <c r="AIT236" s="9"/>
      <c r="AIU236" s="9"/>
      <c r="AIV236" s="9"/>
      <c r="AIW236" s="9"/>
      <c r="AIX236" s="9"/>
      <c r="AIY236" s="9"/>
      <c r="AIZ236" s="9"/>
      <c r="AJA236" s="9"/>
      <c r="AJB236" s="9"/>
      <c r="AJC236" s="9"/>
      <c r="AJD236" s="9"/>
      <c r="AJE236" s="9"/>
      <c r="AJF236" s="9"/>
      <c r="AJG236" s="9"/>
      <c r="AJH236" s="9"/>
      <c r="AJI236" s="9"/>
      <c r="AJJ236" s="9"/>
      <c r="AJK236" s="9"/>
      <c r="AJL236" s="9"/>
      <c r="AJM236" s="9"/>
      <c r="AJN236" s="9"/>
      <c r="AJO236" s="9"/>
      <c r="AJP236" s="9"/>
      <c r="AJQ236" s="9"/>
      <c r="AJR236" s="9"/>
      <c r="AJS236" s="9"/>
      <c r="AJT236" s="9"/>
      <c r="AJU236" s="9"/>
      <c r="AJV236" s="9"/>
      <c r="AJW236" s="9"/>
      <c r="AJX236" s="9"/>
      <c r="AJY236" s="9"/>
      <c r="AJZ236" s="9"/>
      <c r="AKA236" s="9"/>
      <c r="AKB236" s="9"/>
      <c r="AKC236" s="9"/>
      <c r="AKD236" s="9"/>
      <c r="AKE236" s="9"/>
      <c r="AKF236" s="9"/>
      <c r="AKG236" s="9"/>
      <c r="AKH236" s="9"/>
      <c r="AKI236" s="9"/>
      <c r="AKJ236" s="9"/>
      <c r="AKK236" s="9"/>
      <c r="AKL236" s="9"/>
      <c r="AKM236" s="9"/>
      <c r="AKN236" s="9"/>
      <c r="AKO236" s="9"/>
      <c r="AKP236" s="9"/>
      <c r="AKQ236" s="9"/>
      <c r="AKR236" s="9"/>
      <c r="AKS236" s="9"/>
      <c r="AKT236" s="9"/>
      <c r="AKU236" s="9"/>
      <c r="AKV236" s="9"/>
      <c r="AKW236" s="9"/>
      <c r="AKX236" s="9"/>
      <c r="AKY236" s="9"/>
      <c r="AKZ236" s="9"/>
      <c r="ALA236" s="9"/>
      <c r="ALB236" s="9"/>
      <c r="ALC236" s="9"/>
      <c r="ALD236" s="9"/>
      <c r="ALE236" s="9"/>
      <c r="ALF236" s="9"/>
      <c r="ALG236" s="9"/>
      <c r="ALH236" s="9"/>
      <c r="ALI236" s="9"/>
      <c r="ALJ236" s="9"/>
      <c r="ALK236" s="9"/>
      <c r="ALL236" s="9"/>
      <c r="ALM236" s="9"/>
      <c r="ALN236" s="9"/>
      <c r="ALO236" s="9"/>
      <c r="ALP236" s="9"/>
      <c r="ALQ236" s="9"/>
      <c r="ALR236" s="9"/>
      <c r="ALS236" s="9"/>
      <c r="ALT236" s="9"/>
      <c r="ALU236" s="9"/>
      <c r="ALV236" s="9"/>
      <c r="ALW236" s="9"/>
      <c r="ALX236" s="9"/>
      <c r="ALY236" s="9"/>
      <c r="ALZ236" s="9"/>
      <c r="AMA236" s="9"/>
      <c r="AMB236" s="9"/>
      <c r="AMC236" s="9"/>
      <c r="AMD236" s="9"/>
      <c r="AME236" s="9"/>
      <c r="AMF236" s="9"/>
      <c r="AMG236" s="9"/>
      <c r="AMH236" s="9"/>
      <c r="AMI236" s="9"/>
      <c r="AMJ236" s="9"/>
      <c r="AMK236" s="9"/>
      <c r="AML236" s="9"/>
      <c r="AMM236" s="9"/>
      <c r="AMN236" s="9"/>
      <c r="AMO236" s="9"/>
    </row>
    <row r="237" spans="1:1029" s="12" customFormat="1" x14ac:dyDescent="0.2">
      <c r="A237" s="9" t="str">
        <f>CONCATENATE(B237,"_",C237)</f>
        <v>gpr52_human_6LI1</v>
      </c>
      <c r="B237" s="9" t="s">
        <v>259</v>
      </c>
      <c r="C237" s="9" t="s">
        <v>1663</v>
      </c>
      <c r="D237" s="9" t="str">
        <f>IFERROR(MID(VLOOKUP($B237,Seqs!$A:$B,2,0),E237,1),"")</f>
        <v>C</v>
      </c>
      <c r="E237" s="9">
        <v>40</v>
      </c>
      <c r="F237" s="9" t="str">
        <f>IFERROR(MID(VLOOKUP($B237,Seqs!$A:$B,2,0),G237,1),"")</f>
        <v>A</v>
      </c>
      <c r="G237" s="9">
        <v>68</v>
      </c>
      <c r="H237" s="9" t="str">
        <f>IFERROR(MID(VLOOKUP($B237,Seqs!$A:$B,2,0),I237,1),"")</f>
        <v/>
      </c>
      <c r="I237" s="109" t="s">
        <v>23</v>
      </c>
      <c r="J237" s="9" t="str">
        <f>IFERROR(MID(VLOOKUP($B237,Seqs!$A:$B,2,0),K237,1),"")</f>
        <v/>
      </c>
      <c r="K237" s="109" t="s">
        <v>23</v>
      </c>
      <c r="L237" s="9" t="str">
        <f>IFERROR(MID(VLOOKUP($B237,Seqs!$A:$B,2,0),M237,1),"")</f>
        <v>H</v>
      </c>
      <c r="M237" s="9">
        <v>73</v>
      </c>
      <c r="N237" s="9" t="str">
        <f>IFERROR(MID(VLOOKUP($B237,Seqs!$A:$B,2,0),O237,1),"")</f>
        <v>H</v>
      </c>
      <c r="O237" s="9">
        <v>103</v>
      </c>
      <c r="P237" s="9" t="str">
        <f>IFERROR(MID(VLOOKUP($B237,Seqs!$A:$B,2,0),Q237,1),"")</f>
        <v/>
      </c>
      <c r="Q237" s="9" t="s">
        <v>23</v>
      </c>
      <c r="R237" s="9" t="str">
        <f>IFERROR(MID(VLOOKUP($B237,Seqs!$A:$B,2,0),S237,1),"")</f>
        <v/>
      </c>
      <c r="S237" s="9" t="s">
        <v>23</v>
      </c>
      <c r="T237" s="9" t="str">
        <f>IFERROR(MID(VLOOKUP($B237,Seqs!$A:$B,2,0),U237,1),"")</f>
        <v>H</v>
      </c>
      <c r="U237" s="9">
        <v>109</v>
      </c>
      <c r="V237" s="9" t="str">
        <f>IFERROR(MID(VLOOKUP($B237,Seqs!$A:$B,2,0),W237,1),"")</f>
        <v>K</v>
      </c>
      <c r="W237" s="9">
        <v>145</v>
      </c>
      <c r="X237" s="9" t="str">
        <f>IFERROR(MID(VLOOKUP($B237,Seqs!$A:$B,2,0),Y237,1),"")</f>
        <v>P</v>
      </c>
      <c r="Y237" s="9">
        <v>146</v>
      </c>
      <c r="Z237" s="9" t="str">
        <f>IFERROR(MID(VLOOKUP($B237,Seqs!$A:$B,2,0),AA237,1),"")</f>
        <v>V</v>
      </c>
      <c r="AA237" s="9">
        <v>153</v>
      </c>
      <c r="AB237" s="9" t="str">
        <f>IFERROR(MID(VLOOKUP($B237,Seqs!$A:$B,2,0),AC237,1),"")</f>
        <v>T</v>
      </c>
      <c r="AC237" s="9">
        <v>154</v>
      </c>
      <c r="AD237" s="9" t="str">
        <f>IFERROR(MID(VLOOKUP($B237,Seqs!$A:$B,2,0),AE237,1),"")</f>
        <v>F</v>
      </c>
      <c r="AE237" s="9">
        <v>178</v>
      </c>
      <c r="AF237" s="9" t="str">
        <f>IFERROR(MID(VLOOKUP($B237,Seqs!$A:$B,2,0),AG237,1),"")</f>
        <v>C</v>
      </c>
      <c r="AG237" s="9">
        <v>193</v>
      </c>
      <c r="AH237" s="9" t="str">
        <f>IFERROR(MID(VLOOKUP($B237,Seqs!$A:$B,2,0),AI237,1),"")</f>
        <v>T</v>
      </c>
      <c r="AI237" s="9">
        <v>195</v>
      </c>
      <c r="AJ237" s="9" t="str">
        <f>IFERROR(MID(VLOOKUP($B237,Seqs!$A:$B,2,0),AK237,1),"")</f>
        <v>S</v>
      </c>
      <c r="AK237" s="9">
        <v>200</v>
      </c>
      <c r="AL237" s="9" t="str">
        <f>IFERROR(MID(VLOOKUP($B237,Seqs!$A:$B,2,0),AM237,1),"")</f>
        <v>Q</v>
      </c>
      <c r="AM237" s="9">
        <v>232</v>
      </c>
      <c r="AN237" s="9" t="str">
        <f>IFERROR(MID(VLOOKUP($B237,Seqs!$A:$B,2,0),AO237,1),"")</f>
        <v>R</v>
      </c>
      <c r="AO237" s="9">
        <v>261</v>
      </c>
      <c r="AP237" s="9" t="str">
        <f>IFERROR(MID(VLOOKUP($B237,Seqs!$A:$B,2,0),AQ237,1),"")</f>
        <v>S</v>
      </c>
      <c r="AQ237" s="9">
        <v>290</v>
      </c>
      <c r="AR237" s="9" t="str">
        <f>IFERROR(MID(VLOOKUP($B237,Seqs!$A:$B,2,0),AS237,1),"")</f>
        <v>N</v>
      </c>
      <c r="AS237" s="9">
        <v>295</v>
      </c>
      <c r="AT237" s="9" t="str">
        <f>IFERROR(MID(VLOOKUP($B237,Seqs!$A:$B,2,0),AU237,1),"")</f>
        <v>S</v>
      </c>
      <c r="AU237" s="9">
        <v>320</v>
      </c>
      <c r="AV237" s="9" t="str">
        <f>IFERROR(MID(VLOOKUP($B237,Seqs!$A:$B,2,0),AW237,1),"")</f>
        <v>N</v>
      </c>
      <c r="AW237" s="9">
        <v>321</v>
      </c>
      <c r="AX237" s="9" t="str">
        <f>IFERROR(MID(VLOOKUP($B237,Seqs!$A:$B,2,0),AY237,1),"")</f>
        <v>C</v>
      </c>
      <c r="AY237" s="9">
        <v>341</v>
      </c>
      <c r="AZ237" s="110" t="str">
        <f>VLOOKUP(B237,Classification!A:D,2,0)</f>
        <v>A</v>
      </c>
      <c r="BA237" s="98" t="str">
        <f>VLOOKUP(B237,Classification!A:D,4,0)</f>
        <v>ClassAorphans</v>
      </c>
      <c r="BB237" s="36" t="b">
        <f t="shared" ref="BB237" si="1068">AND(E237&lt;G237,OR(G237&lt;I237,I237="-"),OR(I237&lt;K237,I237="-"),OR(K237&lt;M237,K237="-"),M237&lt;O237,OR(O237&lt;Q237,Q237="-"),OR(Q237&lt;S237,Q237="-"),OR(S237&lt;U237,S237="-"),U237&lt;W237,OR(W237&lt;Y237,Y237="-"),OR(Y237&lt;AA237,Y237="-"),OR(AA237&lt;AC237,AA237="-"),AC237&lt;AE237,OR(AE237&lt;AG237,AG237="-"),OR(AG237&lt;AI237,AG237="-"),OR(AI237&lt;AK237,AI237="-"),AK237&lt;AM237,AM237&lt;AO237,AO237&lt;AQ237,AQ237&lt;AS237,AS237&lt;AU237,OR(AU237&lt;AW237,AW237="-"),OR(AW237&lt;AY237,AW237="-"))</f>
        <v>1</v>
      </c>
      <c r="BC237" s="109">
        <f t="shared" ref="BC237" si="1069">_xlfn.AGGREGATE(9,6,CH237:CS237)-_xlfn.AGGREGATE(9,6,BV237:CG237)+12</f>
        <v>245</v>
      </c>
      <c r="BD237" s="126" t="s">
        <v>1370</v>
      </c>
      <c r="BE237" s="9" t="s">
        <v>1368</v>
      </c>
      <c r="BF237" s="119">
        <v>2.9</v>
      </c>
      <c r="BG237" s="51" t="s">
        <v>1</v>
      </c>
      <c r="BH237" s="51" t="s">
        <v>1</v>
      </c>
      <c r="BJ237" s="111" t="s">
        <v>1281</v>
      </c>
      <c r="BK237" s="112" t="s">
        <v>1281</v>
      </c>
      <c r="BL237" s="112" t="s">
        <v>1281</v>
      </c>
      <c r="BM237" s="112" t="s">
        <v>1281</v>
      </c>
      <c r="BN237" s="112" t="s">
        <v>1281</v>
      </c>
      <c r="BO237" s="112" t="s">
        <v>1281</v>
      </c>
      <c r="BP237" s="112" t="s">
        <v>1281</v>
      </c>
      <c r="BQ237" s="112" t="s">
        <v>1281</v>
      </c>
      <c r="BR237" s="112" t="s">
        <v>1281</v>
      </c>
      <c r="BS237" s="112" t="s">
        <v>1281</v>
      </c>
      <c r="BT237" s="112" t="s">
        <v>1281</v>
      </c>
      <c r="BU237" s="112" t="s">
        <v>1281</v>
      </c>
      <c r="BV237" s="111">
        <f>E237</f>
        <v>40</v>
      </c>
      <c r="BW237" s="113" t="str">
        <f>I237</f>
        <v>-</v>
      </c>
      <c r="BX237" s="114">
        <f>M237</f>
        <v>73</v>
      </c>
      <c r="BY237" s="113" t="str">
        <f>Q237</f>
        <v>-</v>
      </c>
      <c r="BZ237" s="114">
        <f>U237</f>
        <v>109</v>
      </c>
      <c r="CA237" s="113">
        <f>Y237</f>
        <v>146</v>
      </c>
      <c r="CB237" s="114">
        <f>AC237</f>
        <v>154</v>
      </c>
      <c r="CC237" s="113">
        <f>AG237</f>
        <v>193</v>
      </c>
      <c r="CD237" s="114">
        <f>AK237</f>
        <v>200</v>
      </c>
      <c r="CE237" s="113">
        <f>AO237</f>
        <v>261</v>
      </c>
      <c r="CF237" s="114">
        <f>AS237</f>
        <v>295</v>
      </c>
      <c r="CG237" s="113">
        <f>AW237</f>
        <v>321</v>
      </c>
      <c r="CH237" s="111">
        <f>G237</f>
        <v>68</v>
      </c>
      <c r="CI237" s="113" t="str">
        <f>K237</f>
        <v>-</v>
      </c>
      <c r="CJ237" s="114">
        <f>O237</f>
        <v>103</v>
      </c>
      <c r="CK237" s="114" t="str">
        <f>S237</f>
        <v>-</v>
      </c>
      <c r="CL237" s="114">
        <f>W237</f>
        <v>145</v>
      </c>
      <c r="CM237" s="114">
        <f>AA237</f>
        <v>153</v>
      </c>
      <c r="CN237" s="114">
        <f>AE237</f>
        <v>178</v>
      </c>
      <c r="CO237" s="114">
        <f>AI237</f>
        <v>195</v>
      </c>
      <c r="CP237" s="114">
        <f>AM237</f>
        <v>232</v>
      </c>
      <c r="CQ237" s="114">
        <f>AQ237</f>
        <v>290</v>
      </c>
      <c r="CR237" s="114">
        <f>AU237</f>
        <v>320</v>
      </c>
      <c r="CS237" s="114">
        <f>AY237</f>
        <v>341</v>
      </c>
      <c r="CT237" s="109" t="e">
        <f>M237-K237</f>
        <v>#VALUE!</v>
      </c>
      <c r="CU237" s="9"/>
      <c r="CV237" s="9"/>
      <c r="CW237" s="9"/>
      <c r="CX237" s="9"/>
      <c r="CY237" s="9"/>
      <c r="CZ237" s="9"/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  <c r="DO237" s="9"/>
      <c r="DP237" s="9"/>
      <c r="DQ237" s="9"/>
      <c r="DR237" s="9"/>
      <c r="DS237" s="9"/>
      <c r="DT237" s="9"/>
      <c r="DU237" s="9"/>
      <c r="DV237" s="9"/>
      <c r="DW237" s="9"/>
      <c r="DX237" s="9"/>
      <c r="DY237" s="9"/>
      <c r="DZ237" s="9"/>
      <c r="EA237" s="9"/>
      <c r="EB237" s="9"/>
      <c r="EC237" s="9"/>
      <c r="ED237" s="9"/>
      <c r="EE237" s="9"/>
      <c r="EF237" s="9"/>
      <c r="EG237" s="9"/>
      <c r="EH237" s="9"/>
      <c r="EI237" s="9"/>
      <c r="EJ237" s="9"/>
      <c r="EK237" s="9"/>
      <c r="EL237" s="9"/>
      <c r="EM237" s="9"/>
      <c r="EN237" s="9"/>
      <c r="EO237" s="9"/>
      <c r="EP237" s="9"/>
      <c r="EQ237" s="9"/>
      <c r="ER237" s="9"/>
      <c r="ES237" s="9"/>
      <c r="ET237" s="9"/>
      <c r="EU237" s="9"/>
      <c r="EV237" s="9"/>
      <c r="EW237" s="9"/>
      <c r="EX237" s="9"/>
      <c r="EY237" s="9"/>
      <c r="EZ237" s="9"/>
      <c r="FA237" s="9"/>
      <c r="FB237" s="9"/>
      <c r="FC237" s="9"/>
      <c r="FD237" s="9"/>
      <c r="FE237" s="9"/>
      <c r="FF237" s="9"/>
      <c r="FG237" s="9"/>
      <c r="FH237" s="9"/>
      <c r="FI237" s="9"/>
      <c r="FJ237" s="9"/>
      <c r="FK237" s="9"/>
      <c r="FL237" s="9"/>
      <c r="FM237" s="9"/>
      <c r="FN237" s="9"/>
      <c r="FO237" s="9"/>
      <c r="FP237" s="9"/>
      <c r="FQ237" s="9"/>
      <c r="FR237" s="9"/>
      <c r="FS237" s="9"/>
      <c r="FT237" s="9"/>
      <c r="FU237" s="9"/>
      <c r="FV237" s="9"/>
      <c r="FW237" s="9"/>
      <c r="FX237" s="9"/>
      <c r="FY237" s="9"/>
      <c r="FZ237" s="9"/>
      <c r="GA237" s="9"/>
      <c r="GB237" s="9"/>
      <c r="GC237" s="9"/>
      <c r="GD237" s="9"/>
      <c r="GE237" s="9"/>
      <c r="GF237" s="9"/>
      <c r="GG237" s="9"/>
      <c r="GH237" s="9"/>
      <c r="GI237" s="9"/>
      <c r="GJ237" s="9"/>
      <c r="GK237" s="9"/>
      <c r="GL237" s="9"/>
      <c r="GM237" s="9"/>
      <c r="GN237" s="9"/>
      <c r="GO237" s="9"/>
      <c r="GP237" s="9"/>
      <c r="GQ237" s="9"/>
      <c r="GR237" s="9"/>
      <c r="GS237" s="9"/>
      <c r="GT237" s="9"/>
      <c r="GU237" s="9"/>
      <c r="GV237" s="9"/>
      <c r="GW237" s="9"/>
      <c r="GX237" s="9"/>
      <c r="GY237" s="9"/>
      <c r="GZ237" s="9"/>
      <c r="HA237" s="9"/>
      <c r="HB237" s="9"/>
      <c r="HC237" s="9"/>
      <c r="HD237" s="9"/>
      <c r="HE237" s="9"/>
      <c r="HF237" s="9"/>
      <c r="HG237" s="9"/>
      <c r="HH237" s="9"/>
      <c r="HI237" s="9"/>
      <c r="HJ237" s="9"/>
      <c r="HK237" s="9"/>
      <c r="HL237" s="9"/>
      <c r="HM237" s="9"/>
      <c r="HN237" s="9"/>
      <c r="HO237" s="9"/>
      <c r="HP237" s="9"/>
      <c r="HQ237" s="9"/>
      <c r="HR237" s="9"/>
      <c r="HS237" s="9"/>
      <c r="HT237" s="9"/>
      <c r="HU237" s="9"/>
      <c r="HV237" s="9"/>
      <c r="HW237" s="9"/>
      <c r="HX237" s="9"/>
      <c r="HY237" s="9"/>
      <c r="HZ237" s="9"/>
      <c r="IA237" s="9"/>
      <c r="IB237" s="9"/>
      <c r="IC237" s="9"/>
      <c r="ID237" s="9"/>
      <c r="IE237" s="9"/>
      <c r="IF237" s="9"/>
      <c r="IG237" s="9"/>
      <c r="IH237" s="9"/>
      <c r="II237" s="9"/>
      <c r="IJ237" s="9"/>
      <c r="IK237" s="9"/>
      <c r="IL237" s="9"/>
      <c r="IM237" s="9"/>
      <c r="IN237" s="9"/>
      <c r="IO237" s="9"/>
      <c r="IP237" s="9"/>
      <c r="IQ237" s="9"/>
      <c r="IR237" s="9"/>
      <c r="IS237" s="9"/>
      <c r="IT237" s="9"/>
      <c r="IU237" s="9"/>
      <c r="IV237" s="9"/>
      <c r="IW237" s="9"/>
      <c r="IX237" s="9"/>
      <c r="IY237" s="9"/>
      <c r="IZ237" s="9"/>
      <c r="JA237" s="9"/>
      <c r="JB237" s="9"/>
      <c r="JC237" s="9"/>
      <c r="JD237" s="9"/>
      <c r="JE237" s="9"/>
      <c r="JF237" s="9"/>
      <c r="JG237" s="9"/>
      <c r="JH237" s="9"/>
      <c r="JI237" s="9"/>
      <c r="JJ237" s="9"/>
      <c r="JK237" s="9"/>
      <c r="JL237" s="9"/>
      <c r="JM237" s="9"/>
      <c r="JN237" s="9"/>
      <c r="JO237" s="9"/>
      <c r="JP237" s="9"/>
      <c r="JQ237" s="9"/>
      <c r="JR237" s="9"/>
      <c r="JS237" s="9"/>
      <c r="JT237" s="9"/>
      <c r="JU237" s="9"/>
      <c r="JV237" s="9"/>
      <c r="JW237" s="9"/>
      <c r="JX237" s="9"/>
      <c r="JY237" s="9"/>
      <c r="JZ237" s="9"/>
      <c r="KA237" s="9"/>
      <c r="KB237" s="9"/>
      <c r="KC237" s="9"/>
      <c r="KD237" s="9"/>
      <c r="KE237" s="9"/>
      <c r="KF237" s="9"/>
      <c r="KG237" s="9"/>
      <c r="KH237" s="9"/>
      <c r="KI237" s="9"/>
      <c r="KJ237" s="9"/>
      <c r="KK237" s="9"/>
      <c r="KL237" s="9"/>
      <c r="KM237" s="9"/>
      <c r="KN237" s="9"/>
      <c r="KO237" s="9"/>
      <c r="KP237" s="9"/>
      <c r="KQ237" s="9"/>
      <c r="KR237" s="9"/>
      <c r="KS237" s="9"/>
      <c r="KT237" s="9"/>
      <c r="KU237" s="9"/>
      <c r="KV237" s="9"/>
      <c r="KW237" s="9"/>
      <c r="KX237" s="9"/>
      <c r="KY237" s="9"/>
      <c r="KZ237" s="9"/>
      <c r="LA237" s="9"/>
      <c r="LB237" s="9"/>
      <c r="LC237" s="9"/>
      <c r="LD237" s="9"/>
      <c r="LE237" s="9"/>
      <c r="LF237" s="9"/>
      <c r="LG237" s="9"/>
      <c r="LH237" s="9"/>
      <c r="LI237" s="9"/>
      <c r="LJ237" s="9"/>
      <c r="LK237" s="9"/>
      <c r="LL237" s="9"/>
      <c r="LM237" s="9"/>
      <c r="LN237" s="9"/>
      <c r="LO237" s="9"/>
      <c r="LP237" s="9"/>
      <c r="LQ237" s="9"/>
      <c r="LR237" s="9"/>
      <c r="LS237" s="9"/>
      <c r="LT237" s="9"/>
      <c r="LU237" s="9"/>
      <c r="LV237" s="9"/>
      <c r="LW237" s="9"/>
      <c r="LX237" s="9"/>
      <c r="LY237" s="9"/>
      <c r="LZ237" s="9"/>
      <c r="MA237" s="9"/>
      <c r="MB237" s="9"/>
      <c r="MC237" s="9"/>
      <c r="MD237" s="9"/>
      <c r="ME237" s="9"/>
      <c r="MF237" s="9"/>
      <c r="MG237" s="9"/>
      <c r="MH237" s="9"/>
      <c r="MI237" s="9"/>
      <c r="MJ237" s="9"/>
      <c r="MK237" s="9"/>
      <c r="ML237" s="9"/>
      <c r="MM237" s="9"/>
      <c r="MN237" s="9"/>
      <c r="MO237" s="9"/>
      <c r="MP237" s="9"/>
      <c r="MQ237" s="9"/>
      <c r="MR237" s="9"/>
      <c r="MS237" s="9"/>
      <c r="MT237" s="9"/>
      <c r="MU237" s="9"/>
      <c r="MV237" s="9"/>
      <c r="MW237" s="9"/>
      <c r="MX237" s="9"/>
      <c r="MY237" s="9"/>
      <c r="MZ237" s="9"/>
      <c r="NA237" s="9"/>
      <c r="NB237" s="9"/>
      <c r="NC237" s="9"/>
      <c r="ND237" s="9"/>
      <c r="NE237" s="9"/>
      <c r="NF237" s="9"/>
      <c r="NG237" s="9"/>
      <c r="NH237" s="9"/>
      <c r="NI237" s="9"/>
      <c r="NJ237" s="9"/>
      <c r="NK237" s="9"/>
      <c r="NL237" s="9"/>
      <c r="NM237" s="9"/>
      <c r="NN237" s="9"/>
      <c r="NO237" s="9"/>
      <c r="NP237" s="9"/>
      <c r="NQ237" s="9"/>
      <c r="NR237" s="9"/>
      <c r="NS237" s="9"/>
      <c r="NT237" s="9"/>
      <c r="NU237" s="9"/>
      <c r="NV237" s="9"/>
      <c r="NW237" s="9"/>
      <c r="NX237" s="9"/>
      <c r="NY237" s="9"/>
      <c r="NZ237" s="9"/>
      <c r="OA237" s="9"/>
      <c r="OB237" s="9"/>
      <c r="OC237" s="9"/>
      <c r="OD237" s="9"/>
      <c r="OE237" s="9"/>
      <c r="OF237" s="9"/>
      <c r="OG237" s="9"/>
      <c r="OH237" s="9"/>
      <c r="OI237" s="9"/>
      <c r="OJ237" s="9"/>
      <c r="OK237" s="9"/>
      <c r="OL237" s="9"/>
      <c r="OM237" s="9"/>
      <c r="ON237" s="9"/>
      <c r="OO237" s="9"/>
      <c r="OP237" s="9"/>
      <c r="OQ237" s="9"/>
      <c r="OR237" s="9"/>
      <c r="OS237" s="9"/>
      <c r="OT237" s="9"/>
      <c r="OU237" s="9"/>
      <c r="OV237" s="9"/>
      <c r="OW237" s="9"/>
      <c r="OX237" s="9"/>
      <c r="OY237" s="9"/>
      <c r="OZ237" s="9"/>
      <c r="PA237" s="9"/>
      <c r="PB237" s="9"/>
      <c r="PC237" s="9"/>
      <c r="PD237" s="9"/>
      <c r="PE237" s="9"/>
      <c r="PF237" s="9"/>
      <c r="PG237" s="9"/>
      <c r="PH237" s="9"/>
      <c r="PI237" s="9"/>
      <c r="PJ237" s="9"/>
      <c r="PK237" s="9"/>
      <c r="PL237" s="9"/>
      <c r="PM237" s="9"/>
      <c r="PN237" s="9"/>
      <c r="PO237" s="9"/>
      <c r="PP237" s="9"/>
      <c r="PQ237" s="9"/>
      <c r="PR237" s="9"/>
      <c r="PS237" s="9"/>
      <c r="PT237" s="9"/>
      <c r="PU237" s="9"/>
      <c r="PV237" s="9"/>
      <c r="PW237" s="9"/>
      <c r="PX237" s="9"/>
      <c r="PY237" s="9"/>
      <c r="PZ237" s="9"/>
      <c r="QA237" s="9"/>
      <c r="QB237" s="9"/>
      <c r="QC237" s="9"/>
      <c r="QD237" s="9"/>
      <c r="QE237" s="9"/>
      <c r="QF237" s="9"/>
      <c r="QG237" s="9"/>
      <c r="QH237" s="9"/>
      <c r="QI237" s="9"/>
      <c r="QJ237" s="9"/>
      <c r="QK237" s="9"/>
      <c r="QL237" s="9"/>
      <c r="QM237" s="9"/>
      <c r="QN237" s="9"/>
      <c r="QO237" s="9"/>
      <c r="QP237" s="9"/>
      <c r="QQ237" s="9"/>
      <c r="QR237" s="9"/>
      <c r="QS237" s="9"/>
      <c r="QT237" s="9"/>
      <c r="QU237" s="9"/>
      <c r="QV237" s="9"/>
      <c r="QW237" s="9"/>
      <c r="QX237" s="9"/>
      <c r="QY237" s="9"/>
      <c r="QZ237" s="9"/>
      <c r="RA237" s="9"/>
      <c r="RB237" s="9"/>
      <c r="RC237" s="9"/>
      <c r="RD237" s="9"/>
      <c r="RE237" s="9"/>
      <c r="RF237" s="9"/>
      <c r="RG237" s="9"/>
      <c r="RH237" s="9"/>
      <c r="RI237" s="9"/>
      <c r="RJ237" s="9"/>
      <c r="RK237" s="9"/>
      <c r="RL237" s="9"/>
      <c r="RM237" s="9"/>
      <c r="RN237" s="9"/>
      <c r="RO237" s="9"/>
      <c r="RP237" s="9"/>
      <c r="RQ237" s="9"/>
      <c r="RR237" s="9"/>
      <c r="RS237" s="9"/>
      <c r="RT237" s="9"/>
      <c r="RU237" s="9"/>
      <c r="RV237" s="9"/>
      <c r="RW237" s="9"/>
      <c r="RX237" s="9"/>
      <c r="RY237" s="9"/>
      <c r="RZ237" s="9"/>
      <c r="SA237" s="9"/>
      <c r="SB237" s="9"/>
      <c r="SC237" s="9"/>
      <c r="SD237" s="9"/>
      <c r="SE237" s="9"/>
      <c r="SF237" s="9"/>
      <c r="SG237" s="9"/>
      <c r="SH237" s="9"/>
      <c r="SI237" s="9"/>
      <c r="SJ237" s="9"/>
      <c r="SK237" s="9"/>
      <c r="SL237" s="9"/>
      <c r="SM237" s="9"/>
      <c r="SN237" s="9"/>
      <c r="SO237" s="9"/>
      <c r="SP237" s="9"/>
      <c r="SQ237" s="9"/>
      <c r="SR237" s="9"/>
      <c r="SS237" s="9"/>
      <c r="ST237" s="9"/>
      <c r="SU237" s="9"/>
      <c r="SV237" s="9"/>
      <c r="SW237" s="9"/>
      <c r="SX237" s="9"/>
      <c r="SY237" s="9"/>
      <c r="SZ237" s="9"/>
      <c r="TA237" s="9"/>
      <c r="TB237" s="9"/>
      <c r="TC237" s="9"/>
      <c r="TD237" s="9"/>
      <c r="TE237" s="9"/>
      <c r="TF237" s="9"/>
      <c r="TG237" s="9"/>
      <c r="TH237" s="9"/>
      <c r="TI237" s="9"/>
      <c r="TJ237" s="9"/>
      <c r="TK237" s="9"/>
      <c r="TL237" s="9"/>
      <c r="TM237" s="9"/>
      <c r="TN237" s="9"/>
      <c r="TO237" s="9"/>
      <c r="TP237" s="9"/>
      <c r="TQ237" s="9"/>
      <c r="TR237" s="9"/>
      <c r="TS237" s="9"/>
      <c r="TT237" s="9"/>
      <c r="TU237" s="9"/>
      <c r="TV237" s="9"/>
      <c r="TW237" s="9"/>
      <c r="TX237" s="9"/>
      <c r="TY237" s="9"/>
      <c r="TZ237" s="9"/>
      <c r="UA237" s="9"/>
      <c r="UB237" s="9"/>
      <c r="UC237" s="9"/>
      <c r="UD237" s="9"/>
      <c r="UE237" s="9"/>
      <c r="UF237" s="9"/>
      <c r="UG237" s="9"/>
      <c r="UH237" s="9"/>
      <c r="UI237" s="9"/>
      <c r="UJ237" s="9"/>
      <c r="UK237" s="9"/>
      <c r="UL237" s="9"/>
      <c r="UM237" s="9"/>
      <c r="UN237" s="9"/>
      <c r="UO237" s="9"/>
      <c r="UP237" s="9"/>
      <c r="UQ237" s="9"/>
      <c r="UR237" s="9"/>
      <c r="US237" s="9"/>
      <c r="UT237" s="9"/>
      <c r="UU237" s="9"/>
      <c r="UV237" s="9"/>
      <c r="UW237" s="9"/>
      <c r="UX237" s="9"/>
      <c r="UY237" s="9"/>
      <c r="UZ237" s="9"/>
      <c r="VA237" s="9"/>
      <c r="VB237" s="9"/>
      <c r="VC237" s="9"/>
      <c r="VD237" s="9"/>
      <c r="VE237" s="9"/>
      <c r="VF237" s="9"/>
      <c r="VG237" s="9"/>
      <c r="VH237" s="9"/>
      <c r="VI237" s="9"/>
      <c r="VJ237" s="9"/>
      <c r="VK237" s="9"/>
      <c r="VL237" s="9"/>
      <c r="VM237" s="9"/>
      <c r="VN237" s="9"/>
      <c r="VO237" s="9"/>
      <c r="VP237" s="9"/>
      <c r="VQ237" s="9"/>
      <c r="VR237" s="9"/>
      <c r="VS237" s="9"/>
      <c r="VT237" s="9"/>
      <c r="VU237" s="9"/>
      <c r="VV237" s="9"/>
      <c r="VW237" s="9"/>
      <c r="VX237" s="9"/>
      <c r="VY237" s="9"/>
      <c r="VZ237" s="9"/>
      <c r="WA237" s="9"/>
      <c r="WB237" s="9"/>
      <c r="WC237" s="9"/>
      <c r="WD237" s="9"/>
      <c r="WE237" s="9"/>
      <c r="WF237" s="9"/>
      <c r="WG237" s="9"/>
      <c r="WH237" s="9"/>
      <c r="WI237" s="9"/>
      <c r="WJ237" s="9"/>
      <c r="WK237" s="9"/>
      <c r="WL237" s="9"/>
      <c r="WM237" s="9"/>
      <c r="WN237" s="9"/>
      <c r="WO237" s="9"/>
      <c r="WP237" s="9"/>
      <c r="WQ237" s="9"/>
      <c r="WR237" s="9"/>
      <c r="WS237" s="9"/>
      <c r="WT237" s="9"/>
      <c r="WU237" s="9"/>
      <c r="WV237" s="9"/>
      <c r="WW237" s="9"/>
      <c r="WX237" s="9"/>
      <c r="WY237" s="9"/>
      <c r="WZ237" s="9"/>
      <c r="XA237" s="9"/>
      <c r="XB237" s="9"/>
      <c r="XC237" s="9"/>
      <c r="XD237" s="9"/>
      <c r="XE237" s="9"/>
      <c r="XF237" s="9"/>
      <c r="XG237" s="9"/>
      <c r="XH237" s="9"/>
      <c r="XI237" s="9"/>
      <c r="XJ237" s="9"/>
      <c r="XK237" s="9"/>
      <c r="XL237" s="9"/>
      <c r="XM237" s="9"/>
      <c r="XN237" s="9"/>
      <c r="XO237" s="9"/>
      <c r="XP237" s="9"/>
      <c r="XQ237" s="9"/>
      <c r="XR237" s="9"/>
      <c r="XS237" s="9"/>
      <c r="XT237" s="9"/>
      <c r="XU237" s="9"/>
      <c r="XV237" s="9"/>
      <c r="XW237" s="9"/>
      <c r="XX237" s="9"/>
      <c r="XY237" s="9"/>
      <c r="XZ237" s="9"/>
      <c r="YA237" s="9"/>
      <c r="YB237" s="9"/>
      <c r="YC237" s="9"/>
      <c r="YD237" s="9"/>
      <c r="YE237" s="9"/>
      <c r="YF237" s="9"/>
      <c r="YG237" s="9"/>
      <c r="YH237" s="9"/>
      <c r="YI237" s="9"/>
      <c r="YJ237" s="9"/>
      <c r="YK237" s="9"/>
      <c r="YL237" s="9"/>
      <c r="YM237" s="9"/>
      <c r="YN237" s="9"/>
      <c r="YO237" s="9"/>
      <c r="YP237" s="9"/>
      <c r="YQ237" s="9"/>
      <c r="YR237" s="9"/>
      <c r="YS237" s="9"/>
      <c r="YT237" s="9"/>
      <c r="YU237" s="9"/>
      <c r="YV237" s="9"/>
      <c r="YW237" s="9"/>
      <c r="YX237" s="9"/>
      <c r="YY237" s="9"/>
      <c r="YZ237" s="9"/>
      <c r="ZA237" s="9"/>
      <c r="ZB237" s="9"/>
      <c r="ZC237" s="9"/>
      <c r="ZD237" s="9"/>
      <c r="ZE237" s="9"/>
      <c r="ZF237" s="9"/>
      <c r="ZG237" s="9"/>
      <c r="ZH237" s="9"/>
      <c r="ZI237" s="9"/>
      <c r="ZJ237" s="9"/>
      <c r="ZK237" s="9"/>
      <c r="ZL237" s="9"/>
      <c r="ZM237" s="9"/>
      <c r="ZN237" s="9"/>
      <c r="ZO237" s="9"/>
      <c r="ZP237" s="9"/>
      <c r="ZQ237" s="9"/>
      <c r="ZR237" s="9"/>
      <c r="ZS237" s="9"/>
      <c r="ZT237" s="9"/>
      <c r="ZU237" s="9"/>
      <c r="ZV237" s="9"/>
      <c r="ZW237" s="9"/>
      <c r="ZX237" s="9"/>
      <c r="ZY237" s="9"/>
      <c r="ZZ237" s="9"/>
      <c r="AAA237" s="9"/>
      <c r="AAB237" s="9"/>
      <c r="AAC237" s="9"/>
      <c r="AAD237" s="9"/>
      <c r="AAE237" s="9"/>
      <c r="AAF237" s="9"/>
      <c r="AAG237" s="9"/>
      <c r="AAH237" s="9"/>
      <c r="AAI237" s="9"/>
      <c r="AAJ237" s="9"/>
      <c r="AAK237" s="9"/>
      <c r="AAL237" s="9"/>
      <c r="AAM237" s="9"/>
      <c r="AAN237" s="9"/>
      <c r="AAO237" s="9"/>
      <c r="AAP237" s="9"/>
      <c r="AAQ237" s="9"/>
      <c r="AAR237" s="9"/>
      <c r="AAS237" s="9"/>
      <c r="AAT237" s="9"/>
      <c r="AAU237" s="9"/>
      <c r="AAV237" s="9"/>
      <c r="AAW237" s="9"/>
      <c r="AAX237" s="9"/>
      <c r="AAY237" s="9"/>
      <c r="AAZ237" s="9"/>
      <c r="ABA237" s="9"/>
      <c r="ABB237" s="9"/>
      <c r="ABC237" s="9"/>
      <c r="ABD237" s="9"/>
      <c r="ABE237" s="9"/>
      <c r="ABF237" s="9"/>
      <c r="ABG237" s="9"/>
      <c r="ABH237" s="9"/>
      <c r="ABI237" s="9"/>
      <c r="ABJ237" s="9"/>
      <c r="ABK237" s="9"/>
      <c r="ABL237" s="9"/>
      <c r="ABM237" s="9"/>
      <c r="ABN237" s="9"/>
      <c r="ABO237" s="9"/>
      <c r="ABP237" s="9"/>
      <c r="ABQ237" s="9"/>
      <c r="ABR237" s="9"/>
      <c r="ABS237" s="9"/>
      <c r="ABT237" s="9"/>
      <c r="ABU237" s="9"/>
      <c r="ABV237" s="9"/>
      <c r="ABW237" s="9"/>
      <c r="ABX237" s="9"/>
      <c r="ABY237" s="9"/>
      <c r="ABZ237" s="9"/>
      <c r="ACA237" s="9"/>
      <c r="ACB237" s="9"/>
      <c r="ACC237" s="9"/>
      <c r="ACD237" s="9"/>
      <c r="ACE237" s="9"/>
      <c r="ACF237" s="9"/>
      <c r="ACG237" s="9"/>
      <c r="ACH237" s="9"/>
      <c r="ACI237" s="9"/>
      <c r="ACJ237" s="9"/>
      <c r="ACK237" s="9"/>
      <c r="ACL237" s="9"/>
      <c r="ACM237" s="9"/>
      <c r="ACN237" s="9"/>
      <c r="ACO237" s="9"/>
      <c r="ACP237" s="9"/>
      <c r="ACQ237" s="9"/>
      <c r="ACR237" s="9"/>
      <c r="ACS237" s="9"/>
      <c r="ACT237" s="9"/>
      <c r="ACU237" s="9"/>
      <c r="ACV237" s="9"/>
      <c r="ACW237" s="9"/>
      <c r="ACX237" s="9"/>
      <c r="ACY237" s="9"/>
      <c r="ACZ237" s="9"/>
      <c r="ADA237" s="9"/>
      <c r="ADB237" s="9"/>
      <c r="ADC237" s="9"/>
      <c r="ADD237" s="9"/>
      <c r="ADE237" s="9"/>
      <c r="ADF237" s="9"/>
      <c r="ADG237" s="9"/>
      <c r="ADH237" s="9"/>
      <c r="ADI237" s="9"/>
      <c r="ADJ237" s="9"/>
      <c r="ADK237" s="9"/>
      <c r="ADL237" s="9"/>
      <c r="ADM237" s="9"/>
      <c r="ADN237" s="9"/>
      <c r="ADO237" s="9"/>
      <c r="ADP237" s="9"/>
      <c r="ADQ237" s="9"/>
      <c r="ADR237" s="9"/>
      <c r="ADS237" s="9"/>
      <c r="ADT237" s="9"/>
      <c r="ADU237" s="9"/>
      <c r="ADV237" s="9"/>
      <c r="ADW237" s="9"/>
      <c r="ADX237" s="9"/>
      <c r="ADY237" s="9"/>
      <c r="ADZ237" s="9"/>
      <c r="AEA237" s="9"/>
      <c r="AEB237" s="9"/>
      <c r="AEC237" s="9"/>
      <c r="AED237" s="9"/>
      <c r="AEE237" s="9"/>
      <c r="AEF237" s="9"/>
      <c r="AEG237" s="9"/>
      <c r="AEH237" s="9"/>
      <c r="AEI237" s="9"/>
      <c r="AEJ237" s="9"/>
      <c r="AEK237" s="9"/>
      <c r="AEL237" s="9"/>
      <c r="AEM237" s="9"/>
      <c r="AEN237" s="9"/>
      <c r="AEO237" s="9"/>
      <c r="AEP237" s="9"/>
      <c r="AEQ237" s="9"/>
      <c r="AER237" s="9"/>
      <c r="AES237" s="9"/>
      <c r="AET237" s="9"/>
      <c r="AEU237" s="9"/>
      <c r="AEV237" s="9"/>
      <c r="AEW237" s="9"/>
      <c r="AEX237" s="9"/>
      <c r="AEY237" s="9"/>
      <c r="AEZ237" s="9"/>
      <c r="AFA237" s="9"/>
      <c r="AFB237" s="9"/>
      <c r="AFC237" s="9"/>
      <c r="AFD237" s="9"/>
      <c r="AFE237" s="9"/>
      <c r="AFF237" s="9"/>
      <c r="AFG237" s="9"/>
      <c r="AFH237" s="9"/>
      <c r="AFI237" s="9"/>
      <c r="AFJ237" s="9"/>
      <c r="AFK237" s="9"/>
      <c r="AFL237" s="9"/>
      <c r="AFM237" s="9"/>
      <c r="AFN237" s="9"/>
      <c r="AFO237" s="9"/>
      <c r="AFP237" s="9"/>
      <c r="AFQ237" s="9"/>
      <c r="AFR237" s="9"/>
      <c r="AFS237" s="9"/>
      <c r="AFT237" s="9"/>
      <c r="AFU237" s="9"/>
      <c r="AFV237" s="9"/>
      <c r="AFW237" s="9"/>
      <c r="AFX237" s="9"/>
      <c r="AFY237" s="9"/>
      <c r="AFZ237" s="9"/>
      <c r="AGA237" s="9"/>
      <c r="AGB237" s="9"/>
      <c r="AGC237" s="9"/>
      <c r="AGD237" s="9"/>
      <c r="AGE237" s="9"/>
      <c r="AGF237" s="9"/>
      <c r="AGG237" s="9"/>
      <c r="AGH237" s="9"/>
      <c r="AGI237" s="9"/>
      <c r="AGJ237" s="9"/>
      <c r="AGK237" s="9"/>
      <c r="AGL237" s="9"/>
      <c r="AGM237" s="9"/>
      <c r="AGN237" s="9"/>
      <c r="AGO237" s="9"/>
      <c r="AGP237" s="9"/>
      <c r="AGQ237" s="9"/>
      <c r="AGR237" s="9"/>
      <c r="AGS237" s="9"/>
      <c r="AGT237" s="9"/>
      <c r="AGU237" s="9"/>
      <c r="AGV237" s="9"/>
      <c r="AGW237" s="9"/>
      <c r="AGX237" s="9"/>
      <c r="AGY237" s="9"/>
      <c r="AGZ237" s="9"/>
      <c r="AHA237" s="9"/>
      <c r="AHB237" s="9"/>
      <c r="AHC237" s="9"/>
      <c r="AHD237" s="9"/>
      <c r="AHE237" s="9"/>
      <c r="AHF237" s="9"/>
      <c r="AHG237" s="9"/>
      <c r="AHH237" s="9"/>
      <c r="AHI237" s="9"/>
      <c r="AHJ237" s="9"/>
      <c r="AHK237" s="9"/>
      <c r="AHL237" s="9"/>
      <c r="AHM237" s="9"/>
      <c r="AHN237" s="9"/>
      <c r="AHO237" s="9"/>
      <c r="AHP237" s="9"/>
      <c r="AHQ237" s="9"/>
      <c r="AHR237" s="9"/>
      <c r="AHS237" s="9"/>
      <c r="AHT237" s="9"/>
      <c r="AHU237" s="9"/>
      <c r="AHV237" s="9"/>
      <c r="AHW237" s="9"/>
      <c r="AHX237" s="9"/>
      <c r="AHY237" s="9"/>
      <c r="AHZ237" s="9"/>
      <c r="AIA237" s="9"/>
      <c r="AIB237" s="9"/>
      <c r="AIC237" s="9"/>
      <c r="AID237" s="9"/>
      <c r="AIE237" s="9"/>
      <c r="AIF237" s="9"/>
      <c r="AIG237" s="9"/>
      <c r="AIH237" s="9"/>
      <c r="AII237" s="9"/>
      <c r="AIJ237" s="9"/>
      <c r="AIK237" s="9"/>
      <c r="AIL237" s="9"/>
      <c r="AIM237" s="9"/>
      <c r="AIN237" s="9"/>
      <c r="AIO237" s="9"/>
      <c r="AIP237" s="9"/>
      <c r="AIQ237" s="9"/>
      <c r="AIR237" s="9"/>
      <c r="AIS237" s="9"/>
      <c r="AIT237" s="9"/>
      <c r="AIU237" s="9"/>
      <c r="AIV237" s="9"/>
      <c r="AIW237" s="9"/>
      <c r="AIX237" s="9"/>
      <c r="AIY237" s="9"/>
      <c r="AIZ237" s="9"/>
      <c r="AJA237" s="9"/>
      <c r="AJB237" s="9"/>
      <c r="AJC237" s="9"/>
      <c r="AJD237" s="9"/>
      <c r="AJE237" s="9"/>
      <c r="AJF237" s="9"/>
      <c r="AJG237" s="9"/>
      <c r="AJH237" s="9"/>
      <c r="AJI237" s="9"/>
      <c r="AJJ237" s="9"/>
      <c r="AJK237" s="9"/>
      <c r="AJL237" s="9"/>
      <c r="AJM237" s="9"/>
      <c r="AJN237" s="9"/>
      <c r="AJO237" s="9"/>
      <c r="AJP237" s="9"/>
      <c r="AJQ237" s="9"/>
      <c r="AJR237" s="9"/>
      <c r="AJS237" s="9"/>
      <c r="AJT237" s="9"/>
      <c r="AJU237" s="9"/>
      <c r="AJV237" s="9"/>
      <c r="AJW237" s="9"/>
      <c r="AJX237" s="9"/>
      <c r="AJY237" s="9"/>
      <c r="AJZ237" s="9"/>
      <c r="AKA237" s="9"/>
      <c r="AKB237" s="9"/>
      <c r="AKC237" s="9"/>
      <c r="AKD237" s="9"/>
      <c r="AKE237" s="9"/>
      <c r="AKF237" s="9"/>
      <c r="AKG237" s="9"/>
      <c r="AKH237" s="9"/>
      <c r="AKI237" s="9"/>
      <c r="AKJ237" s="9"/>
      <c r="AKK237" s="9"/>
      <c r="AKL237" s="9"/>
      <c r="AKM237" s="9"/>
      <c r="AKN237" s="9"/>
      <c r="AKO237" s="9"/>
      <c r="AKP237" s="9"/>
      <c r="AKQ237" s="9"/>
      <c r="AKR237" s="9"/>
      <c r="AKS237" s="9"/>
      <c r="AKT237" s="9"/>
      <c r="AKU237" s="9"/>
      <c r="AKV237" s="9"/>
      <c r="AKW237" s="9"/>
      <c r="AKX237" s="9"/>
      <c r="AKY237" s="9"/>
      <c r="AKZ237" s="9"/>
      <c r="ALA237" s="9"/>
      <c r="ALB237" s="9"/>
      <c r="ALC237" s="9"/>
      <c r="ALD237" s="9"/>
      <c r="ALE237" s="9"/>
      <c r="ALF237" s="9"/>
      <c r="ALG237" s="9"/>
      <c r="ALH237" s="9"/>
      <c r="ALI237" s="9"/>
      <c r="ALJ237" s="9"/>
      <c r="ALK237" s="9"/>
      <c r="ALL237" s="9"/>
      <c r="ALM237" s="9"/>
      <c r="ALN237" s="9"/>
      <c r="ALO237" s="9"/>
      <c r="ALP237" s="9"/>
      <c r="ALQ237" s="9"/>
      <c r="ALR237" s="9"/>
      <c r="ALS237" s="9"/>
      <c r="ALT237" s="9"/>
      <c r="ALU237" s="9"/>
      <c r="ALV237" s="9"/>
      <c r="ALW237" s="9"/>
      <c r="ALX237" s="9"/>
      <c r="ALY237" s="9"/>
      <c r="ALZ237" s="9"/>
      <c r="AMA237" s="9"/>
      <c r="AMB237" s="9"/>
      <c r="AMC237" s="9"/>
      <c r="AMD237" s="9"/>
      <c r="AME237" s="9"/>
      <c r="AMF237" s="9"/>
      <c r="AMG237" s="9"/>
      <c r="AMH237" s="9"/>
      <c r="AMI237" s="9"/>
      <c r="AMJ237" s="9"/>
      <c r="AMK237" s="9"/>
      <c r="AML237" s="9"/>
      <c r="AMM237" s="9"/>
      <c r="AMN237" s="9"/>
      <c r="AMO237" s="9"/>
    </row>
    <row r="238" spans="1:1029" s="12" customFormat="1" x14ac:dyDescent="0.2">
      <c r="A238" s="9" t="str">
        <f>CONCATENATE(B238,"_",C238)</f>
        <v>gpr52_human_6LI2</v>
      </c>
      <c r="B238" s="9" t="s">
        <v>259</v>
      </c>
      <c r="C238" s="9" t="s">
        <v>1664</v>
      </c>
      <c r="D238" s="9" t="str">
        <f>IFERROR(MID(VLOOKUP($B238,Seqs!$A:$B,2,0),E238,1),"")</f>
        <v>C</v>
      </c>
      <c r="E238" s="9">
        <v>40</v>
      </c>
      <c r="F238" s="9" t="str">
        <f>IFERROR(MID(VLOOKUP($B238,Seqs!$A:$B,2,0),G238,1),"")</f>
        <v>F</v>
      </c>
      <c r="G238" s="9">
        <v>65</v>
      </c>
      <c r="H238" s="9" t="str">
        <f>IFERROR(MID(VLOOKUP($B238,Seqs!$A:$B,2,0),I238,1),"")</f>
        <v/>
      </c>
      <c r="I238" s="109" t="s">
        <v>23</v>
      </c>
      <c r="J238" s="9" t="str">
        <f>IFERROR(MID(VLOOKUP($B238,Seqs!$A:$B,2,0),K238,1),"")</f>
        <v/>
      </c>
      <c r="K238" s="109" t="s">
        <v>23</v>
      </c>
      <c r="L238" s="9" t="str">
        <f>IFERROR(MID(VLOOKUP($B238,Seqs!$A:$B,2,0),M238,1),"")</f>
        <v>T</v>
      </c>
      <c r="M238" s="9">
        <v>75</v>
      </c>
      <c r="N238" s="9" t="str">
        <f>IFERROR(MID(VLOOKUP($B238,Seqs!$A:$B,2,0),O238,1),"")</f>
        <v>H</v>
      </c>
      <c r="O238" s="9">
        <v>103</v>
      </c>
      <c r="P238" s="9" t="str">
        <f>IFERROR(MID(VLOOKUP($B238,Seqs!$A:$B,2,0),Q238,1),"")</f>
        <v/>
      </c>
      <c r="Q238" s="9" t="s">
        <v>23</v>
      </c>
      <c r="R238" s="9" t="str">
        <f>IFERROR(MID(VLOOKUP($B238,Seqs!$A:$B,2,0),S238,1),"")</f>
        <v/>
      </c>
      <c r="S238" s="9" t="s">
        <v>23</v>
      </c>
      <c r="T238" s="9" t="str">
        <f>IFERROR(MID(VLOOKUP($B238,Seqs!$A:$B,2,0),U238,1),"")</f>
        <v>H</v>
      </c>
      <c r="U238" s="9">
        <v>109</v>
      </c>
      <c r="V238" s="9" t="str">
        <f>IFERROR(MID(VLOOKUP($B238,Seqs!$A:$B,2,0),W238,1),"")</f>
        <v>K</v>
      </c>
      <c r="W238" s="9">
        <v>145</v>
      </c>
      <c r="X238" s="9" t="str">
        <f>IFERROR(MID(VLOOKUP($B238,Seqs!$A:$B,2,0),Y238,1),"")</f>
        <v>P</v>
      </c>
      <c r="Y238" s="9">
        <v>146</v>
      </c>
      <c r="Z238" s="9" t="str">
        <f>IFERROR(MID(VLOOKUP($B238,Seqs!$A:$B,2,0),AA238,1),"")</f>
        <v>V</v>
      </c>
      <c r="AA238" s="9">
        <v>153</v>
      </c>
      <c r="AB238" s="9" t="str">
        <f>IFERROR(MID(VLOOKUP($B238,Seqs!$A:$B,2,0),AC238,1),"")</f>
        <v>T</v>
      </c>
      <c r="AC238" s="9">
        <v>154</v>
      </c>
      <c r="AD238" s="9" t="str">
        <f>IFERROR(MID(VLOOKUP($B238,Seqs!$A:$B,2,0),AE238,1),"")</f>
        <v>F</v>
      </c>
      <c r="AE238" s="9">
        <v>178</v>
      </c>
      <c r="AF238" s="9" t="str">
        <f>IFERROR(MID(VLOOKUP($B238,Seqs!$A:$B,2,0),AG238,1),"")</f>
        <v>C</v>
      </c>
      <c r="AG238" s="9">
        <v>193</v>
      </c>
      <c r="AH238" s="9" t="str">
        <f>IFERROR(MID(VLOOKUP($B238,Seqs!$A:$B,2,0),AI238,1),"")</f>
        <v>T</v>
      </c>
      <c r="AI238" s="9">
        <v>195</v>
      </c>
      <c r="AJ238" s="9" t="str">
        <f>IFERROR(MID(VLOOKUP($B238,Seqs!$A:$B,2,0),AK238,1),"")</f>
        <v>S</v>
      </c>
      <c r="AK238" s="9">
        <v>200</v>
      </c>
      <c r="AL238" s="9" t="str">
        <f>IFERROR(MID(VLOOKUP($B238,Seqs!$A:$B,2,0),AM238,1),"")</f>
        <v>H</v>
      </c>
      <c r="AM238" s="9">
        <v>233</v>
      </c>
      <c r="AN238" s="9" t="str">
        <f>IFERROR(MID(VLOOKUP($B238,Seqs!$A:$B,2,0),AO238,1),"")</f>
        <v>Y</v>
      </c>
      <c r="AO238" s="9">
        <v>263</v>
      </c>
      <c r="AP238" s="9" t="str">
        <f>IFERROR(MID(VLOOKUP($B238,Seqs!$A:$B,2,0),AQ238,1),"")</f>
        <v>R</v>
      </c>
      <c r="AQ238" s="9">
        <v>291</v>
      </c>
      <c r="AR238" s="9" t="str">
        <f>IFERROR(MID(VLOOKUP($B238,Seqs!$A:$B,2,0),AS238,1),"")</f>
        <v>N</v>
      </c>
      <c r="AS238" s="9">
        <v>295</v>
      </c>
      <c r="AT238" s="9" t="str">
        <f>IFERROR(MID(VLOOKUP($B238,Seqs!$A:$B,2,0),AU238,1),"")</f>
        <v>S</v>
      </c>
      <c r="AU238" s="9">
        <v>320</v>
      </c>
      <c r="AV238" s="9" t="str">
        <f>IFERROR(MID(VLOOKUP($B238,Seqs!$A:$B,2,0),AW238,1),"")</f>
        <v>N</v>
      </c>
      <c r="AW238" s="9">
        <v>321</v>
      </c>
      <c r="AX238" s="9" t="str">
        <f>IFERROR(MID(VLOOKUP($B238,Seqs!$A:$B,2,0),AY238,1),"")</f>
        <v>M</v>
      </c>
      <c r="AY238" s="9">
        <v>340</v>
      </c>
      <c r="AZ238" s="110" t="str">
        <f>VLOOKUP(B238,Classification!A:D,2,0)</f>
        <v>A</v>
      </c>
      <c r="BA238" s="98" t="str">
        <f>VLOOKUP(B238,Classification!A:D,4,0)</f>
        <v>ClassAorphans</v>
      </c>
      <c r="BB238" s="36" t="b">
        <f t="shared" ref="BB238" si="1070">AND(E238&lt;G238,OR(G238&lt;I238,I238="-"),OR(I238&lt;K238,I238="-"),OR(K238&lt;M238,K238="-"),M238&lt;O238,OR(O238&lt;Q238,Q238="-"),OR(Q238&lt;S238,Q238="-"),OR(S238&lt;U238,S238="-"),U238&lt;W238,OR(W238&lt;Y238,Y238="-"),OR(Y238&lt;AA238,Y238="-"),OR(AA238&lt;AC238,AA238="-"),AC238&lt;AE238,OR(AE238&lt;AG238,AG238="-"),OR(AG238&lt;AI238,AG238="-"),OR(AI238&lt;AK238,AI238="-"),AK238&lt;AM238,AM238&lt;AO238,AO238&lt;AQ238,AQ238&lt;AS238,AS238&lt;AU238,OR(AU238&lt;AW238,AW238="-"),OR(AW238&lt;AY238,AW238="-"))</f>
        <v>1</v>
      </c>
      <c r="BC238" s="109">
        <f t="shared" ref="BC238" si="1071">_xlfn.AGGREGATE(9,6,CH238:CS238)-_xlfn.AGGREGATE(9,6,BV238:CG238)+12</f>
        <v>239</v>
      </c>
      <c r="BD238" s="126" t="s">
        <v>23</v>
      </c>
      <c r="BE238" s="9" t="s">
        <v>1368</v>
      </c>
      <c r="BF238" s="119">
        <v>2.8</v>
      </c>
      <c r="BG238" s="51" t="s">
        <v>1</v>
      </c>
      <c r="BH238" s="51" t="s">
        <v>1</v>
      </c>
      <c r="BJ238" s="111" t="s">
        <v>1281</v>
      </c>
      <c r="BK238" s="112" t="s">
        <v>1281</v>
      </c>
      <c r="BL238" s="112" t="s">
        <v>1281</v>
      </c>
      <c r="BM238" s="112" t="s">
        <v>1281</v>
      </c>
      <c r="BN238" s="112" t="s">
        <v>1281</v>
      </c>
      <c r="BO238" s="112" t="s">
        <v>1281</v>
      </c>
      <c r="BP238" s="112" t="s">
        <v>1281</v>
      </c>
      <c r="BQ238" s="112" t="s">
        <v>1281</v>
      </c>
      <c r="BR238" s="112" t="s">
        <v>1281</v>
      </c>
      <c r="BS238" s="112" t="s">
        <v>1281</v>
      </c>
      <c r="BT238" s="112" t="s">
        <v>1281</v>
      </c>
      <c r="BU238" s="112" t="s">
        <v>1281</v>
      </c>
      <c r="BV238" s="111">
        <f>E238</f>
        <v>40</v>
      </c>
      <c r="BW238" s="113" t="str">
        <f>I238</f>
        <v>-</v>
      </c>
      <c r="BX238" s="114">
        <f>M238</f>
        <v>75</v>
      </c>
      <c r="BY238" s="113" t="str">
        <f>Q238</f>
        <v>-</v>
      </c>
      <c r="BZ238" s="114">
        <f>U238</f>
        <v>109</v>
      </c>
      <c r="CA238" s="113">
        <f>Y238</f>
        <v>146</v>
      </c>
      <c r="CB238" s="114">
        <f>AC238</f>
        <v>154</v>
      </c>
      <c r="CC238" s="113">
        <f>AG238</f>
        <v>193</v>
      </c>
      <c r="CD238" s="114">
        <f>AK238</f>
        <v>200</v>
      </c>
      <c r="CE238" s="113">
        <f>AO238</f>
        <v>263</v>
      </c>
      <c r="CF238" s="114">
        <f>AS238</f>
        <v>295</v>
      </c>
      <c r="CG238" s="113">
        <f>AW238</f>
        <v>321</v>
      </c>
      <c r="CH238" s="111">
        <f>G238</f>
        <v>65</v>
      </c>
      <c r="CI238" s="113" t="str">
        <f>K238</f>
        <v>-</v>
      </c>
      <c r="CJ238" s="114">
        <f>O238</f>
        <v>103</v>
      </c>
      <c r="CK238" s="114" t="str">
        <f>S238</f>
        <v>-</v>
      </c>
      <c r="CL238" s="114">
        <f>W238</f>
        <v>145</v>
      </c>
      <c r="CM238" s="114">
        <f>AA238</f>
        <v>153</v>
      </c>
      <c r="CN238" s="114">
        <f>AE238</f>
        <v>178</v>
      </c>
      <c r="CO238" s="114">
        <f>AI238</f>
        <v>195</v>
      </c>
      <c r="CP238" s="114">
        <f>AM238</f>
        <v>233</v>
      </c>
      <c r="CQ238" s="114">
        <f>AQ238</f>
        <v>291</v>
      </c>
      <c r="CR238" s="114">
        <f>AU238</f>
        <v>320</v>
      </c>
      <c r="CS238" s="114">
        <f>AY238</f>
        <v>340</v>
      </c>
      <c r="CT238" s="109" t="e">
        <f>M238-K238</f>
        <v>#VALUE!</v>
      </c>
      <c r="CU238" s="9"/>
      <c r="CV238" s="9"/>
      <c r="CW238" s="9"/>
      <c r="CX238" s="9"/>
      <c r="CY238" s="9"/>
      <c r="CZ238" s="9"/>
      <c r="DA238" s="9"/>
      <c r="DB238" s="9"/>
      <c r="DC238" s="9"/>
      <c r="DD238" s="9"/>
      <c r="DE238" s="9"/>
      <c r="DF238" s="9"/>
      <c r="DG238" s="9"/>
      <c r="DH238" s="9"/>
      <c r="DI238" s="9"/>
      <c r="DJ238" s="9"/>
      <c r="DK238" s="9"/>
      <c r="DL238" s="9"/>
      <c r="DM238" s="9"/>
      <c r="DN238" s="9"/>
      <c r="DO238" s="9"/>
      <c r="DP238" s="9"/>
      <c r="DQ238" s="9"/>
      <c r="DR238" s="9"/>
      <c r="DS238" s="9"/>
      <c r="DT238" s="9"/>
      <c r="DU238" s="9"/>
      <c r="DV238" s="9"/>
      <c r="DW238" s="9"/>
      <c r="DX238" s="9"/>
      <c r="DY238" s="9"/>
      <c r="DZ238" s="9"/>
      <c r="EA238" s="9"/>
      <c r="EB238" s="9"/>
      <c r="EC238" s="9"/>
      <c r="ED238" s="9"/>
      <c r="EE238" s="9"/>
      <c r="EF238" s="9"/>
      <c r="EG238" s="9"/>
      <c r="EH238" s="9"/>
      <c r="EI238" s="9"/>
      <c r="EJ238" s="9"/>
      <c r="EK238" s="9"/>
      <c r="EL238" s="9"/>
      <c r="EM238" s="9"/>
      <c r="EN238" s="9"/>
      <c r="EO238" s="9"/>
      <c r="EP238" s="9"/>
      <c r="EQ238" s="9"/>
      <c r="ER238" s="9"/>
      <c r="ES238" s="9"/>
      <c r="ET238" s="9"/>
      <c r="EU238" s="9"/>
      <c r="EV238" s="9"/>
      <c r="EW238" s="9"/>
      <c r="EX238" s="9"/>
      <c r="EY238" s="9"/>
      <c r="EZ238" s="9"/>
      <c r="FA238" s="9"/>
      <c r="FB238" s="9"/>
      <c r="FC238" s="9"/>
      <c r="FD238" s="9"/>
      <c r="FE238" s="9"/>
      <c r="FF238" s="9"/>
      <c r="FG238" s="9"/>
      <c r="FH238" s="9"/>
      <c r="FI238" s="9"/>
      <c r="FJ238" s="9"/>
      <c r="FK238" s="9"/>
      <c r="FL238" s="9"/>
      <c r="FM238" s="9"/>
      <c r="FN238" s="9"/>
      <c r="FO238" s="9"/>
      <c r="FP238" s="9"/>
      <c r="FQ238" s="9"/>
      <c r="FR238" s="9"/>
      <c r="FS238" s="9"/>
      <c r="FT238" s="9"/>
      <c r="FU238" s="9"/>
      <c r="FV238" s="9"/>
      <c r="FW238" s="9"/>
      <c r="FX238" s="9"/>
      <c r="FY238" s="9"/>
      <c r="FZ238" s="9"/>
      <c r="GA238" s="9"/>
      <c r="GB238" s="9"/>
      <c r="GC238" s="9"/>
      <c r="GD238" s="9"/>
      <c r="GE238" s="9"/>
      <c r="GF238" s="9"/>
      <c r="GG238" s="9"/>
      <c r="GH238" s="9"/>
      <c r="GI238" s="9"/>
      <c r="GJ238" s="9"/>
      <c r="GK238" s="9"/>
      <c r="GL238" s="9"/>
      <c r="GM238" s="9"/>
      <c r="GN238" s="9"/>
      <c r="GO238" s="9"/>
      <c r="GP238" s="9"/>
      <c r="GQ238" s="9"/>
      <c r="GR238" s="9"/>
      <c r="GS238" s="9"/>
      <c r="GT238" s="9"/>
      <c r="GU238" s="9"/>
      <c r="GV238" s="9"/>
      <c r="GW238" s="9"/>
      <c r="GX238" s="9"/>
      <c r="GY238" s="9"/>
      <c r="GZ238" s="9"/>
      <c r="HA238" s="9"/>
      <c r="HB238" s="9"/>
      <c r="HC238" s="9"/>
      <c r="HD238" s="9"/>
      <c r="HE238" s="9"/>
      <c r="HF238" s="9"/>
      <c r="HG238" s="9"/>
      <c r="HH238" s="9"/>
      <c r="HI238" s="9"/>
      <c r="HJ238" s="9"/>
      <c r="HK238" s="9"/>
      <c r="HL238" s="9"/>
      <c r="HM238" s="9"/>
      <c r="HN238" s="9"/>
      <c r="HO238" s="9"/>
      <c r="HP238" s="9"/>
      <c r="HQ238" s="9"/>
      <c r="HR238" s="9"/>
      <c r="HS238" s="9"/>
      <c r="HT238" s="9"/>
      <c r="HU238" s="9"/>
      <c r="HV238" s="9"/>
      <c r="HW238" s="9"/>
      <c r="HX238" s="9"/>
      <c r="HY238" s="9"/>
      <c r="HZ238" s="9"/>
      <c r="IA238" s="9"/>
      <c r="IB238" s="9"/>
      <c r="IC238" s="9"/>
      <c r="ID238" s="9"/>
      <c r="IE238" s="9"/>
      <c r="IF238" s="9"/>
      <c r="IG238" s="9"/>
      <c r="IH238" s="9"/>
      <c r="II238" s="9"/>
      <c r="IJ238" s="9"/>
      <c r="IK238" s="9"/>
      <c r="IL238" s="9"/>
      <c r="IM238" s="9"/>
      <c r="IN238" s="9"/>
      <c r="IO238" s="9"/>
      <c r="IP238" s="9"/>
      <c r="IQ238" s="9"/>
      <c r="IR238" s="9"/>
      <c r="IS238" s="9"/>
      <c r="IT238" s="9"/>
      <c r="IU238" s="9"/>
      <c r="IV238" s="9"/>
      <c r="IW238" s="9"/>
      <c r="IX238" s="9"/>
      <c r="IY238" s="9"/>
      <c r="IZ238" s="9"/>
      <c r="JA238" s="9"/>
      <c r="JB238" s="9"/>
      <c r="JC238" s="9"/>
      <c r="JD238" s="9"/>
      <c r="JE238" s="9"/>
      <c r="JF238" s="9"/>
      <c r="JG238" s="9"/>
      <c r="JH238" s="9"/>
      <c r="JI238" s="9"/>
      <c r="JJ238" s="9"/>
      <c r="JK238" s="9"/>
      <c r="JL238" s="9"/>
      <c r="JM238" s="9"/>
      <c r="JN238" s="9"/>
      <c r="JO238" s="9"/>
      <c r="JP238" s="9"/>
      <c r="JQ238" s="9"/>
      <c r="JR238" s="9"/>
      <c r="JS238" s="9"/>
      <c r="JT238" s="9"/>
      <c r="JU238" s="9"/>
      <c r="JV238" s="9"/>
      <c r="JW238" s="9"/>
      <c r="JX238" s="9"/>
      <c r="JY238" s="9"/>
      <c r="JZ238" s="9"/>
      <c r="KA238" s="9"/>
      <c r="KB238" s="9"/>
      <c r="KC238" s="9"/>
      <c r="KD238" s="9"/>
      <c r="KE238" s="9"/>
      <c r="KF238" s="9"/>
      <c r="KG238" s="9"/>
      <c r="KH238" s="9"/>
      <c r="KI238" s="9"/>
      <c r="KJ238" s="9"/>
      <c r="KK238" s="9"/>
      <c r="KL238" s="9"/>
      <c r="KM238" s="9"/>
      <c r="KN238" s="9"/>
      <c r="KO238" s="9"/>
      <c r="KP238" s="9"/>
      <c r="KQ238" s="9"/>
      <c r="KR238" s="9"/>
      <c r="KS238" s="9"/>
      <c r="KT238" s="9"/>
      <c r="KU238" s="9"/>
      <c r="KV238" s="9"/>
      <c r="KW238" s="9"/>
      <c r="KX238" s="9"/>
      <c r="KY238" s="9"/>
      <c r="KZ238" s="9"/>
      <c r="LA238" s="9"/>
      <c r="LB238" s="9"/>
      <c r="LC238" s="9"/>
      <c r="LD238" s="9"/>
      <c r="LE238" s="9"/>
      <c r="LF238" s="9"/>
      <c r="LG238" s="9"/>
      <c r="LH238" s="9"/>
      <c r="LI238" s="9"/>
      <c r="LJ238" s="9"/>
      <c r="LK238" s="9"/>
      <c r="LL238" s="9"/>
      <c r="LM238" s="9"/>
      <c r="LN238" s="9"/>
      <c r="LO238" s="9"/>
      <c r="LP238" s="9"/>
      <c r="LQ238" s="9"/>
      <c r="LR238" s="9"/>
      <c r="LS238" s="9"/>
      <c r="LT238" s="9"/>
      <c r="LU238" s="9"/>
      <c r="LV238" s="9"/>
      <c r="LW238" s="9"/>
      <c r="LX238" s="9"/>
      <c r="LY238" s="9"/>
      <c r="LZ238" s="9"/>
      <c r="MA238" s="9"/>
      <c r="MB238" s="9"/>
      <c r="MC238" s="9"/>
      <c r="MD238" s="9"/>
      <c r="ME238" s="9"/>
      <c r="MF238" s="9"/>
      <c r="MG238" s="9"/>
      <c r="MH238" s="9"/>
      <c r="MI238" s="9"/>
      <c r="MJ238" s="9"/>
      <c r="MK238" s="9"/>
      <c r="ML238" s="9"/>
      <c r="MM238" s="9"/>
      <c r="MN238" s="9"/>
      <c r="MO238" s="9"/>
      <c r="MP238" s="9"/>
      <c r="MQ238" s="9"/>
      <c r="MR238" s="9"/>
      <c r="MS238" s="9"/>
      <c r="MT238" s="9"/>
      <c r="MU238" s="9"/>
      <c r="MV238" s="9"/>
      <c r="MW238" s="9"/>
      <c r="MX238" s="9"/>
      <c r="MY238" s="9"/>
      <c r="MZ238" s="9"/>
      <c r="NA238" s="9"/>
      <c r="NB238" s="9"/>
      <c r="NC238" s="9"/>
      <c r="ND238" s="9"/>
      <c r="NE238" s="9"/>
      <c r="NF238" s="9"/>
      <c r="NG238" s="9"/>
      <c r="NH238" s="9"/>
      <c r="NI238" s="9"/>
      <c r="NJ238" s="9"/>
      <c r="NK238" s="9"/>
      <c r="NL238" s="9"/>
      <c r="NM238" s="9"/>
      <c r="NN238" s="9"/>
      <c r="NO238" s="9"/>
      <c r="NP238" s="9"/>
      <c r="NQ238" s="9"/>
      <c r="NR238" s="9"/>
      <c r="NS238" s="9"/>
      <c r="NT238" s="9"/>
      <c r="NU238" s="9"/>
      <c r="NV238" s="9"/>
      <c r="NW238" s="9"/>
      <c r="NX238" s="9"/>
      <c r="NY238" s="9"/>
      <c r="NZ238" s="9"/>
      <c r="OA238" s="9"/>
      <c r="OB238" s="9"/>
      <c r="OC238" s="9"/>
      <c r="OD238" s="9"/>
      <c r="OE238" s="9"/>
      <c r="OF238" s="9"/>
      <c r="OG238" s="9"/>
      <c r="OH238" s="9"/>
      <c r="OI238" s="9"/>
      <c r="OJ238" s="9"/>
      <c r="OK238" s="9"/>
      <c r="OL238" s="9"/>
      <c r="OM238" s="9"/>
      <c r="ON238" s="9"/>
      <c r="OO238" s="9"/>
      <c r="OP238" s="9"/>
      <c r="OQ238" s="9"/>
      <c r="OR238" s="9"/>
      <c r="OS238" s="9"/>
      <c r="OT238" s="9"/>
      <c r="OU238" s="9"/>
      <c r="OV238" s="9"/>
      <c r="OW238" s="9"/>
      <c r="OX238" s="9"/>
      <c r="OY238" s="9"/>
      <c r="OZ238" s="9"/>
      <c r="PA238" s="9"/>
      <c r="PB238" s="9"/>
      <c r="PC238" s="9"/>
      <c r="PD238" s="9"/>
      <c r="PE238" s="9"/>
      <c r="PF238" s="9"/>
      <c r="PG238" s="9"/>
      <c r="PH238" s="9"/>
      <c r="PI238" s="9"/>
      <c r="PJ238" s="9"/>
      <c r="PK238" s="9"/>
      <c r="PL238" s="9"/>
      <c r="PM238" s="9"/>
      <c r="PN238" s="9"/>
      <c r="PO238" s="9"/>
      <c r="PP238" s="9"/>
      <c r="PQ238" s="9"/>
      <c r="PR238" s="9"/>
      <c r="PS238" s="9"/>
      <c r="PT238" s="9"/>
      <c r="PU238" s="9"/>
      <c r="PV238" s="9"/>
      <c r="PW238" s="9"/>
      <c r="PX238" s="9"/>
      <c r="PY238" s="9"/>
      <c r="PZ238" s="9"/>
      <c r="QA238" s="9"/>
      <c r="QB238" s="9"/>
      <c r="QC238" s="9"/>
      <c r="QD238" s="9"/>
      <c r="QE238" s="9"/>
      <c r="QF238" s="9"/>
      <c r="QG238" s="9"/>
      <c r="QH238" s="9"/>
      <c r="QI238" s="9"/>
      <c r="QJ238" s="9"/>
      <c r="QK238" s="9"/>
      <c r="QL238" s="9"/>
      <c r="QM238" s="9"/>
      <c r="QN238" s="9"/>
      <c r="QO238" s="9"/>
      <c r="QP238" s="9"/>
      <c r="QQ238" s="9"/>
      <c r="QR238" s="9"/>
      <c r="QS238" s="9"/>
      <c r="QT238" s="9"/>
      <c r="QU238" s="9"/>
      <c r="QV238" s="9"/>
      <c r="QW238" s="9"/>
      <c r="QX238" s="9"/>
      <c r="QY238" s="9"/>
      <c r="QZ238" s="9"/>
      <c r="RA238" s="9"/>
      <c r="RB238" s="9"/>
      <c r="RC238" s="9"/>
      <c r="RD238" s="9"/>
      <c r="RE238" s="9"/>
      <c r="RF238" s="9"/>
      <c r="RG238" s="9"/>
      <c r="RH238" s="9"/>
      <c r="RI238" s="9"/>
      <c r="RJ238" s="9"/>
      <c r="RK238" s="9"/>
      <c r="RL238" s="9"/>
      <c r="RM238" s="9"/>
      <c r="RN238" s="9"/>
      <c r="RO238" s="9"/>
      <c r="RP238" s="9"/>
      <c r="RQ238" s="9"/>
      <c r="RR238" s="9"/>
      <c r="RS238" s="9"/>
      <c r="RT238" s="9"/>
      <c r="RU238" s="9"/>
      <c r="RV238" s="9"/>
      <c r="RW238" s="9"/>
      <c r="RX238" s="9"/>
      <c r="RY238" s="9"/>
      <c r="RZ238" s="9"/>
      <c r="SA238" s="9"/>
      <c r="SB238" s="9"/>
      <c r="SC238" s="9"/>
      <c r="SD238" s="9"/>
      <c r="SE238" s="9"/>
      <c r="SF238" s="9"/>
      <c r="SG238" s="9"/>
      <c r="SH238" s="9"/>
      <c r="SI238" s="9"/>
      <c r="SJ238" s="9"/>
      <c r="SK238" s="9"/>
      <c r="SL238" s="9"/>
      <c r="SM238" s="9"/>
      <c r="SN238" s="9"/>
      <c r="SO238" s="9"/>
      <c r="SP238" s="9"/>
      <c r="SQ238" s="9"/>
      <c r="SR238" s="9"/>
      <c r="SS238" s="9"/>
      <c r="ST238" s="9"/>
      <c r="SU238" s="9"/>
      <c r="SV238" s="9"/>
      <c r="SW238" s="9"/>
      <c r="SX238" s="9"/>
      <c r="SY238" s="9"/>
      <c r="SZ238" s="9"/>
      <c r="TA238" s="9"/>
      <c r="TB238" s="9"/>
      <c r="TC238" s="9"/>
      <c r="TD238" s="9"/>
      <c r="TE238" s="9"/>
      <c r="TF238" s="9"/>
      <c r="TG238" s="9"/>
      <c r="TH238" s="9"/>
      <c r="TI238" s="9"/>
      <c r="TJ238" s="9"/>
      <c r="TK238" s="9"/>
      <c r="TL238" s="9"/>
      <c r="TM238" s="9"/>
      <c r="TN238" s="9"/>
      <c r="TO238" s="9"/>
      <c r="TP238" s="9"/>
      <c r="TQ238" s="9"/>
      <c r="TR238" s="9"/>
      <c r="TS238" s="9"/>
      <c r="TT238" s="9"/>
      <c r="TU238" s="9"/>
      <c r="TV238" s="9"/>
      <c r="TW238" s="9"/>
      <c r="TX238" s="9"/>
      <c r="TY238" s="9"/>
      <c r="TZ238" s="9"/>
      <c r="UA238" s="9"/>
      <c r="UB238" s="9"/>
      <c r="UC238" s="9"/>
      <c r="UD238" s="9"/>
      <c r="UE238" s="9"/>
      <c r="UF238" s="9"/>
      <c r="UG238" s="9"/>
      <c r="UH238" s="9"/>
      <c r="UI238" s="9"/>
      <c r="UJ238" s="9"/>
      <c r="UK238" s="9"/>
      <c r="UL238" s="9"/>
      <c r="UM238" s="9"/>
      <c r="UN238" s="9"/>
      <c r="UO238" s="9"/>
      <c r="UP238" s="9"/>
      <c r="UQ238" s="9"/>
      <c r="UR238" s="9"/>
      <c r="US238" s="9"/>
      <c r="UT238" s="9"/>
      <c r="UU238" s="9"/>
      <c r="UV238" s="9"/>
      <c r="UW238" s="9"/>
      <c r="UX238" s="9"/>
      <c r="UY238" s="9"/>
      <c r="UZ238" s="9"/>
      <c r="VA238" s="9"/>
      <c r="VB238" s="9"/>
      <c r="VC238" s="9"/>
      <c r="VD238" s="9"/>
      <c r="VE238" s="9"/>
      <c r="VF238" s="9"/>
      <c r="VG238" s="9"/>
      <c r="VH238" s="9"/>
      <c r="VI238" s="9"/>
      <c r="VJ238" s="9"/>
      <c r="VK238" s="9"/>
      <c r="VL238" s="9"/>
      <c r="VM238" s="9"/>
      <c r="VN238" s="9"/>
      <c r="VO238" s="9"/>
      <c r="VP238" s="9"/>
      <c r="VQ238" s="9"/>
      <c r="VR238" s="9"/>
      <c r="VS238" s="9"/>
      <c r="VT238" s="9"/>
      <c r="VU238" s="9"/>
      <c r="VV238" s="9"/>
      <c r="VW238" s="9"/>
      <c r="VX238" s="9"/>
      <c r="VY238" s="9"/>
      <c r="VZ238" s="9"/>
      <c r="WA238" s="9"/>
      <c r="WB238" s="9"/>
      <c r="WC238" s="9"/>
      <c r="WD238" s="9"/>
      <c r="WE238" s="9"/>
      <c r="WF238" s="9"/>
      <c r="WG238" s="9"/>
      <c r="WH238" s="9"/>
      <c r="WI238" s="9"/>
      <c r="WJ238" s="9"/>
      <c r="WK238" s="9"/>
      <c r="WL238" s="9"/>
      <c r="WM238" s="9"/>
      <c r="WN238" s="9"/>
      <c r="WO238" s="9"/>
      <c r="WP238" s="9"/>
      <c r="WQ238" s="9"/>
      <c r="WR238" s="9"/>
      <c r="WS238" s="9"/>
      <c r="WT238" s="9"/>
      <c r="WU238" s="9"/>
      <c r="WV238" s="9"/>
      <c r="WW238" s="9"/>
      <c r="WX238" s="9"/>
      <c r="WY238" s="9"/>
      <c r="WZ238" s="9"/>
      <c r="XA238" s="9"/>
      <c r="XB238" s="9"/>
      <c r="XC238" s="9"/>
      <c r="XD238" s="9"/>
      <c r="XE238" s="9"/>
      <c r="XF238" s="9"/>
      <c r="XG238" s="9"/>
      <c r="XH238" s="9"/>
      <c r="XI238" s="9"/>
      <c r="XJ238" s="9"/>
      <c r="XK238" s="9"/>
      <c r="XL238" s="9"/>
      <c r="XM238" s="9"/>
      <c r="XN238" s="9"/>
      <c r="XO238" s="9"/>
      <c r="XP238" s="9"/>
      <c r="XQ238" s="9"/>
      <c r="XR238" s="9"/>
      <c r="XS238" s="9"/>
      <c r="XT238" s="9"/>
      <c r="XU238" s="9"/>
      <c r="XV238" s="9"/>
      <c r="XW238" s="9"/>
      <c r="XX238" s="9"/>
      <c r="XY238" s="9"/>
      <c r="XZ238" s="9"/>
      <c r="YA238" s="9"/>
      <c r="YB238" s="9"/>
      <c r="YC238" s="9"/>
      <c r="YD238" s="9"/>
      <c r="YE238" s="9"/>
      <c r="YF238" s="9"/>
      <c r="YG238" s="9"/>
      <c r="YH238" s="9"/>
      <c r="YI238" s="9"/>
      <c r="YJ238" s="9"/>
      <c r="YK238" s="9"/>
      <c r="YL238" s="9"/>
      <c r="YM238" s="9"/>
      <c r="YN238" s="9"/>
      <c r="YO238" s="9"/>
      <c r="YP238" s="9"/>
      <c r="YQ238" s="9"/>
      <c r="YR238" s="9"/>
      <c r="YS238" s="9"/>
      <c r="YT238" s="9"/>
      <c r="YU238" s="9"/>
      <c r="YV238" s="9"/>
      <c r="YW238" s="9"/>
      <c r="YX238" s="9"/>
      <c r="YY238" s="9"/>
      <c r="YZ238" s="9"/>
      <c r="ZA238" s="9"/>
      <c r="ZB238" s="9"/>
      <c r="ZC238" s="9"/>
      <c r="ZD238" s="9"/>
      <c r="ZE238" s="9"/>
      <c r="ZF238" s="9"/>
      <c r="ZG238" s="9"/>
      <c r="ZH238" s="9"/>
      <c r="ZI238" s="9"/>
      <c r="ZJ238" s="9"/>
      <c r="ZK238" s="9"/>
      <c r="ZL238" s="9"/>
      <c r="ZM238" s="9"/>
      <c r="ZN238" s="9"/>
      <c r="ZO238" s="9"/>
      <c r="ZP238" s="9"/>
      <c r="ZQ238" s="9"/>
      <c r="ZR238" s="9"/>
      <c r="ZS238" s="9"/>
      <c r="ZT238" s="9"/>
      <c r="ZU238" s="9"/>
      <c r="ZV238" s="9"/>
      <c r="ZW238" s="9"/>
      <c r="ZX238" s="9"/>
      <c r="ZY238" s="9"/>
      <c r="ZZ238" s="9"/>
      <c r="AAA238" s="9"/>
      <c r="AAB238" s="9"/>
      <c r="AAC238" s="9"/>
      <c r="AAD238" s="9"/>
      <c r="AAE238" s="9"/>
      <c r="AAF238" s="9"/>
      <c r="AAG238" s="9"/>
      <c r="AAH238" s="9"/>
      <c r="AAI238" s="9"/>
      <c r="AAJ238" s="9"/>
      <c r="AAK238" s="9"/>
      <c r="AAL238" s="9"/>
      <c r="AAM238" s="9"/>
      <c r="AAN238" s="9"/>
      <c r="AAO238" s="9"/>
      <c r="AAP238" s="9"/>
      <c r="AAQ238" s="9"/>
      <c r="AAR238" s="9"/>
      <c r="AAS238" s="9"/>
      <c r="AAT238" s="9"/>
      <c r="AAU238" s="9"/>
      <c r="AAV238" s="9"/>
      <c r="AAW238" s="9"/>
      <c r="AAX238" s="9"/>
      <c r="AAY238" s="9"/>
      <c r="AAZ238" s="9"/>
      <c r="ABA238" s="9"/>
      <c r="ABB238" s="9"/>
      <c r="ABC238" s="9"/>
      <c r="ABD238" s="9"/>
      <c r="ABE238" s="9"/>
      <c r="ABF238" s="9"/>
      <c r="ABG238" s="9"/>
      <c r="ABH238" s="9"/>
      <c r="ABI238" s="9"/>
      <c r="ABJ238" s="9"/>
      <c r="ABK238" s="9"/>
      <c r="ABL238" s="9"/>
      <c r="ABM238" s="9"/>
      <c r="ABN238" s="9"/>
      <c r="ABO238" s="9"/>
      <c r="ABP238" s="9"/>
      <c r="ABQ238" s="9"/>
      <c r="ABR238" s="9"/>
      <c r="ABS238" s="9"/>
      <c r="ABT238" s="9"/>
      <c r="ABU238" s="9"/>
      <c r="ABV238" s="9"/>
      <c r="ABW238" s="9"/>
      <c r="ABX238" s="9"/>
      <c r="ABY238" s="9"/>
      <c r="ABZ238" s="9"/>
      <c r="ACA238" s="9"/>
      <c r="ACB238" s="9"/>
      <c r="ACC238" s="9"/>
      <c r="ACD238" s="9"/>
      <c r="ACE238" s="9"/>
      <c r="ACF238" s="9"/>
      <c r="ACG238" s="9"/>
      <c r="ACH238" s="9"/>
      <c r="ACI238" s="9"/>
      <c r="ACJ238" s="9"/>
      <c r="ACK238" s="9"/>
      <c r="ACL238" s="9"/>
      <c r="ACM238" s="9"/>
      <c r="ACN238" s="9"/>
      <c r="ACO238" s="9"/>
      <c r="ACP238" s="9"/>
      <c r="ACQ238" s="9"/>
      <c r="ACR238" s="9"/>
      <c r="ACS238" s="9"/>
      <c r="ACT238" s="9"/>
      <c r="ACU238" s="9"/>
      <c r="ACV238" s="9"/>
      <c r="ACW238" s="9"/>
      <c r="ACX238" s="9"/>
      <c r="ACY238" s="9"/>
      <c r="ACZ238" s="9"/>
      <c r="ADA238" s="9"/>
      <c r="ADB238" s="9"/>
      <c r="ADC238" s="9"/>
      <c r="ADD238" s="9"/>
      <c r="ADE238" s="9"/>
      <c r="ADF238" s="9"/>
      <c r="ADG238" s="9"/>
      <c r="ADH238" s="9"/>
      <c r="ADI238" s="9"/>
      <c r="ADJ238" s="9"/>
      <c r="ADK238" s="9"/>
      <c r="ADL238" s="9"/>
      <c r="ADM238" s="9"/>
      <c r="ADN238" s="9"/>
      <c r="ADO238" s="9"/>
      <c r="ADP238" s="9"/>
      <c r="ADQ238" s="9"/>
      <c r="ADR238" s="9"/>
      <c r="ADS238" s="9"/>
      <c r="ADT238" s="9"/>
      <c r="ADU238" s="9"/>
      <c r="ADV238" s="9"/>
      <c r="ADW238" s="9"/>
      <c r="ADX238" s="9"/>
      <c r="ADY238" s="9"/>
      <c r="ADZ238" s="9"/>
      <c r="AEA238" s="9"/>
      <c r="AEB238" s="9"/>
      <c r="AEC238" s="9"/>
      <c r="AED238" s="9"/>
      <c r="AEE238" s="9"/>
      <c r="AEF238" s="9"/>
      <c r="AEG238" s="9"/>
      <c r="AEH238" s="9"/>
      <c r="AEI238" s="9"/>
      <c r="AEJ238" s="9"/>
      <c r="AEK238" s="9"/>
      <c r="AEL238" s="9"/>
      <c r="AEM238" s="9"/>
      <c r="AEN238" s="9"/>
      <c r="AEO238" s="9"/>
      <c r="AEP238" s="9"/>
      <c r="AEQ238" s="9"/>
      <c r="AER238" s="9"/>
      <c r="AES238" s="9"/>
      <c r="AET238" s="9"/>
      <c r="AEU238" s="9"/>
      <c r="AEV238" s="9"/>
      <c r="AEW238" s="9"/>
      <c r="AEX238" s="9"/>
      <c r="AEY238" s="9"/>
      <c r="AEZ238" s="9"/>
      <c r="AFA238" s="9"/>
      <c r="AFB238" s="9"/>
      <c r="AFC238" s="9"/>
      <c r="AFD238" s="9"/>
      <c r="AFE238" s="9"/>
      <c r="AFF238" s="9"/>
      <c r="AFG238" s="9"/>
      <c r="AFH238" s="9"/>
      <c r="AFI238" s="9"/>
      <c r="AFJ238" s="9"/>
      <c r="AFK238" s="9"/>
      <c r="AFL238" s="9"/>
      <c r="AFM238" s="9"/>
      <c r="AFN238" s="9"/>
      <c r="AFO238" s="9"/>
      <c r="AFP238" s="9"/>
      <c r="AFQ238" s="9"/>
      <c r="AFR238" s="9"/>
      <c r="AFS238" s="9"/>
      <c r="AFT238" s="9"/>
      <c r="AFU238" s="9"/>
      <c r="AFV238" s="9"/>
      <c r="AFW238" s="9"/>
      <c r="AFX238" s="9"/>
      <c r="AFY238" s="9"/>
      <c r="AFZ238" s="9"/>
      <c r="AGA238" s="9"/>
      <c r="AGB238" s="9"/>
      <c r="AGC238" s="9"/>
      <c r="AGD238" s="9"/>
      <c r="AGE238" s="9"/>
      <c r="AGF238" s="9"/>
      <c r="AGG238" s="9"/>
      <c r="AGH238" s="9"/>
      <c r="AGI238" s="9"/>
      <c r="AGJ238" s="9"/>
      <c r="AGK238" s="9"/>
      <c r="AGL238" s="9"/>
      <c r="AGM238" s="9"/>
      <c r="AGN238" s="9"/>
      <c r="AGO238" s="9"/>
      <c r="AGP238" s="9"/>
      <c r="AGQ238" s="9"/>
      <c r="AGR238" s="9"/>
      <c r="AGS238" s="9"/>
      <c r="AGT238" s="9"/>
      <c r="AGU238" s="9"/>
      <c r="AGV238" s="9"/>
      <c r="AGW238" s="9"/>
      <c r="AGX238" s="9"/>
      <c r="AGY238" s="9"/>
      <c r="AGZ238" s="9"/>
      <c r="AHA238" s="9"/>
      <c r="AHB238" s="9"/>
      <c r="AHC238" s="9"/>
      <c r="AHD238" s="9"/>
      <c r="AHE238" s="9"/>
      <c r="AHF238" s="9"/>
      <c r="AHG238" s="9"/>
      <c r="AHH238" s="9"/>
      <c r="AHI238" s="9"/>
      <c r="AHJ238" s="9"/>
      <c r="AHK238" s="9"/>
      <c r="AHL238" s="9"/>
      <c r="AHM238" s="9"/>
      <c r="AHN238" s="9"/>
      <c r="AHO238" s="9"/>
      <c r="AHP238" s="9"/>
      <c r="AHQ238" s="9"/>
      <c r="AHR238" s="9"/>
      <c r="AHS238" s="9"/>
      <c r="AHT238" s="9"/>
      <c r="AHU238" s="9"/>
      <c r="AHV238" s="9"/>
      <c r="AHW238" s="9"/>
      <c r="AHX238" s="9"/>
      <c r="AHY238" s="9"/>
      <c r="AHZ238" s="9"/>
      <c r="AIA238" s="9"/>
      <c r="AIB238" s="9"/>
      <c r="AIC238" s="9"/>
      <c r="AID238" s="9"/>
      <c r="AIE238" s="9"/>
      <c r="AIF238" s="9"/>
      <c r="AIG238" s="9"/>
      <c r="AIH238" s="9"/>
      <c r="AII238" s="9"/>
      <c r="AIJ238" s="9"/>
      <c r="AIK238" s="9"/>
      <c r="AIL238" s="9"/>
      <c r="AIM238" s="9"/>
      <c r="AIN238" s="9"/>
      <c r="AIO238" s="9"/>
      <c r="AIP238" s="9"/>
      <c r="AIQ238" s="9"/>
      <c r="AIR238" s="9"/>
      <c r="AIS238" s="9"/>
      <c r="AIT238" s="9"/>
      <c r="AIU238" s="9"/>
      <c r="AIV238" s="9"/>
      <c r="AIW238" s="9"/>
      <c r="AIX238" s="9"/>
      <c r="AIY238" s="9"/>
      <c r="AIZ238" s="9"/>
      <c r="AJA238" s="9"/>
      <c r="AJB238" s="9"/>
      <c r="AJC238" s="9"/>
      <c r="AJD238" s="9"/>
      <c r="AJE238" s="9"/>
      <c r="AJF238" s="9"/>
      <c r="AJG238" s="9"/>
      <c r="AJH238" s="9"/>
      <c r="AJI238" s="9"/>
      <c r="AJJ238" s="9"/>
      <c r="AJK238" s="9"/>
      <c r="AJL238" s="9"/>
      <c r="AJM238" s="9"/>
      <c r="AJN238" s="9"/>
      <c r="AJO238" s="9"/>
      <c r="AJP238" s="9"/>
      <c r="AJQ238" s="9"/>
      <c r="AJR238" s="9"/>
      <c r="AJS238" s="9"/>
      <c r="AJT238" s="9"/>
      <c r="AJU238" s="9"/>
      <c r="AJV238" s="9"/>
      <c r="AJW238" s="9"/>
      <c r="AJX238" s="9"/>
      <c r="AJY238" s="9"/>
      <c r="AJZ238" s="9"/>
      <c r="AKA238" s="9"/>
      <c r="AKB238" s="9"/>
      <c r="AKC238" s="9"/>
      <c r="AKD238" s="9"/>
      <c r="AKE238" s="9"/>
      <c r="AKF238" s="9"/>
      <c r="AKG238" s="9"/>
      <c r="AKH238" s="9"/>
      <c r="AKI238" s="9"/>
      <c r="AKJ238" s="9"/>
      <c r="AKK238" s="9"/>
      <c r="AKL238" s="9"/>
      <c r="AKM238" s="9"/>
      <c r="AKN238" s="9"/>
      <c r="AKO238" s="9"/>
      <c r="AKP238" s="9"/>
      <c r="AKQ238" s="9"/>
      <c r="AKR238" s="9"/>
      <c r="AKS238" s="9"/>
      <c r="AKT238" s="9"/>
      <c r="AKU238" s="9"/>
      <c r="AKV238" s="9"/>
      <c r="AKW238" s="9"/>
      <c r="AKX238" s="9"/>
      <c r="AKY238" s="9"/>
      <c r="AKZ238" s="9"/>
      <c r="ALA238" s="9"/>
      <c r="ALB238" s="9"/>
      <c r="ALC238" s="9"/>
      <c r="ALD238" s="9"/>
      <c r="ALE238" s="9"/>
      <c r="ALF238" s="9"/>
      <c r="ALG238" s="9"/>
      <c r="ALH238" s="9"/>
      <c r="ALI238" s="9"/>
      <c r="ALJ238" s="9"/>
      <c r="ALK238" s="9"/>
      <c r="ALL238" s="9"/>
      <c r="ALM238" s="9"/>
      <c r="ALN238" s="9"/>
      <c r="ALO238" s="9"/>
      <c r="ALP238" s="9"/>
      <c r="ALQ238" s="9"/>
      <c r="ALR238" s="9"/>
      <c r="ALS238" s="9"/>
      <c r="ALT238" s="9"/>
      <c r="ALU238" s="9"/>
      <c r="ALV238" s="9"/>
      <c r="ALW238" s="9"/>
      <c r="ALX238" s="9"/>
      <c r="ALY238" s="9"/>
      <c r="ALZ238" s="9"/>
      <c r="AMA238" s="9"/>
      <c r="AMB238" s="9"/>
      <c r="AMC238" s="9"/>
      <c r="AMD238" s="9"/>
      <c r="AME238" s="9"/>
      <c r="AMF238" s="9"/>
      <c r="AMG238" s="9"/>
      <c r="AMH238" s="9"/>
      <c r="AMI238" s="9"/>
      <c r="AMJ238" s="9"/>
      <c r="AMK238" s="9"/>
      <c r="AML238" s="9"/>
      <c r="AMM238" s="9"/>
      <c r="AMN238" s="9"/>
      <c r="AMO238" s="9"/>
    </row>
    <row r="239" spans="1:1029" s="12" customFormat="1" x14ac:dyDescent="0.2">
      <c r="A239" s="9" t="str">
        <f>CONCATENATE(B239,"_",C239)</f>
        <v>gpr52_human_6LI3</v>
      </c>
      <c r="B239" s="9" t="s">
        <v>259</v>
      </c>
      <c r="C239" s="9" t="s">
        <v>1665</v>
      </c>
      <c r="D239" s="9" t="str">
        <f>IFERROR(MID(VLOOKUP($B239,Seqs!$A:$B,2,0),E239,1),"")</f>
        <v>V</v>
      </c>
      <c r="E239" s="9">
        <v>37</v>
      </c>
      <c r="F239" s="9" t="str">
        <f>IFERROR(MID(VLOOKUP($B239,Seqs!$A:$B,2,0),G239,1),"")</f>
        <v>A</v>
      </c>
      <c r="G239" s="9">
        <v>68</v>
      </c>
      <c r="H239" s="9" t="str">
        <f>IFERROR(MID(VLOOKUP($B239,Seqs!$A:$B,2,0),I239,1),"")</f>
        <v>P</v>
      </c>
      <c r="I239" s="109">
        <v>69</v>
      </c>
      <c r="J239" s="9" t="str">
        <f>IFERROR(MID(VLOOKUP($B239,Seqs!$A:$B,2,0),K239,1),"")</f>
        <v>H</v>
      </c>
      <c r="K239" s="109">
        <v>73</v>
      </c>
      <c r="L239" s="9" t="str">
        <f>IFERROR(MID(VLOOKUP($B239,Seqs!$A:$B,2,0),M239,1),"")</f>
        <v>Y</v>
      </c>
      <c r="M239" s="9">
        <v>74</v>
      </c>
      <c r="N239" s="9" t="str">
        <f>IFERROR(MID(VLOOKUP($B239,Seqs!$A:$B,2,0),O239,1),"")</f>
        <v>Y</v>
      </c>
      <c r="O239" s="9">
        <v>104</v>
      </c>
      <c r="P239" s="9" t="str">
        <f>IFERROR(MID(VLOOKUP($B239,Seqs!$A:$B,2,0),Q239,1),"")</f>
        <v/>
      </c>
      <c r="Q239" s="9" t="s">
        <v>23</v>
      </c>
      <c r="R239" s="9" t="str">
        <f>IFERROR(MID(VLOOKUP($B239,Seqs!$A:$B,2,0),S239,1),"")</f>
        <v/>
      </c>
      <c r="S239" s="9" t="s">
        <v>23</v>
      </c>
      <c r="T239" s="9" t="str">
        <f>IFERROR(MID(VLOOKUP($B239,Seqs!$A:$B,2,0),U239,1),"")</f>
        <v>V</v>
      </c>
      <c r="U239" s="9">
        <v>108</v>
      </c>
      <c r="V239" s="9" t="str">
        <f>IFERROR(MID(VLOOKUP($B239,Seqs!$A:$B,2,0),W239,1),"")</f>
        <v>K</v>
      </c>
      <c r="W239" s="9">
        <v>145</v>
      </c>
      <c r="X239" s="9" t="str">
        <f>IFERROR(MID(VLOOKUP($B239,Seqs!$A:$B,2,0),Y239,1),"")</f>
        <v>P</v>
      </c>
      <c r="Y239" s="9">
        <v>146</v>
      </c>
      <c r="Z239" s="9" t="str">
        <f>IFERROR(MID(VLOOKUP($B239,Seqs!$A:$B,2,0),AA239,1),"")</f>
        <v>V</v>
      </c>
      <c r="AA239" s="9">
        <v>153</v>
      </c>
      <c r="AB239" s="9" t="str">
        <f>IFERROR(MID(VLOOKUP($B239,Seqs!$A:$B,2,0),AC239,1),"")</f>
        <v>T</v>
      </c>
      <c r="AC239" s="9">
        <v>154</v>
      </c>
      <c r="AD239" s="9" t="str">
        <f>IFERROR(MID(VLOOKUP($B239,Seqs!$A:$B,2,0),AE239,1),"")</f>
        <v>F</v>
      </c>
      <c r="AE239" s="9">
        <v>178</v>
      </c>
      <c r="AF239" s="9" t="str">
        <f>IFERROR(MID(VLOOKUP($B239,Seqs!$A:$B,2,0),AG239,1),"")</f>
        <v>C</v>
      </c>
      <c r="AG239" s="9">
        <v>193</v>
      </c>
      <c r="AH239" s="9" t="str">
        <f>IFERROR(MID(VLOOKUP($B239,Seqs!$A:$B,2,0),AI239,1),"")</f>
        <v>T</v>
      </c>
      <c r="AI239" s="9">
        <v>195</v>
      </c>
      <c r="AJ239" s="9" t="str">
        <f>IFERROR(MID(VLOOKUP($B239,Seqs!$A:$B,2,0),AK239,1),"")</f>
        <v>S</v>
      </c>
      <c r="AK239" s="9">
        <v>200</v>
      </c>
      <c r="AL239" s="9" t="str">
        <f>IFERROR(MID(VLOOKUP($B239,Seqs!$A:$B,2,0),AM239,1),"")</f>
        <v>F</v>
      </c>
      <c r="AM239" s="9">
        <v>244</v>
      </c>
      <c r="AN239" s="9" t="str">
        <f>IFERROR(MID(VLOOKUP($B239,Seqs!$A:$B,2,0),AO239,1),"")</f>
        <v>M</v>
      </c>
      <c r="AO239" s="9">
        <v>265</v>
      </c>
      <c r="AP239" s="9" t="str">
        <f>IFERROR(MID(VLOOKUP($B239,Seqs!$A:$B,2,0),AQ239,1),"")</f>
        <v>S</v>
      </c>
      <c r="AQ239" s="9">
        <v>289</v>
      </c>
      <c r="AR239" s="9" t="str">
        <f>IFERROR(MID(VLOOKUP($B239,Seqs!$A:$B,2,0),AS239,1),"")</f>
        <v>N</v>
      </c>
      <c r="AS239" s="9">
        <v>295</v>
      </c>
      <c r="AT239" s="9" t="str">
        <f>IFERROR(MID(VLOOKUP($B239,Seqs!$A:$B,2,0),AU239,1),"")</f>
        <v>S</v>
      </c>
      <c r="AU239" s="9">
        <v>320</v>
      </c>
      <c r="AV239" s="9" t="str">
        <f>IFERROR(MID(VLOOKUP($B239,Seqs!$A:$B,2,0),AW239,1),"")</f>
        <v>V</v>
      </c>
      <c r="AW239" s="9">
        <v>323</v>
      </c>
      <c r="AX239" s="9" t="str">
        <f>IFERROR(MID(VLOOKUP($B239,Seqs!$A:$B,2,0),AY239,1),"")</f>
        <v>T</v>
      </c>
      <c r="AY239" s="9">
        <v>337</v>
      </c>
      <c r="AZ239" s="110" t="str">
        <f>VLOOKUP(B239,Classification!A:D,2,0)</f>
        <v>A</v>
      </c>
      <c r="BA239" s="98" t="str">
        <f>VLOOKUP(B239,Classification!A:D,4,0)</f>
        <v>ClassAorphans</v>
      </c>
      <c r="BB239" s="36" t="b">
        <f t="shared" ref="BB239" si="1072">AND(E239&lt;G239,OR(G239&lt;I239,I239="-"),OR(I239&lt;K239,I239="-"),OR(K239&lt;M239,K239="-"),M239&lt;O239,OR(O239&lt;Q239,Q239="-"),OR(Q239&lt;S239,Q239="-"),OR(S239&lt;U239,S239="-"),U239&lt;W239,OR(W239&lt;Y239,Y239="-"),OR(Y239&lt;AA239,Y239="-"),OR(AA239&lt;AC239,AA239="-"),AC239&lt;AE239,OR(AE239&lt;AG239,AG239="-"),OR(AG239&lt;AI239,AG239="-"),OR(AI239&lt;AK239,AI239="-"),AK239&lt;AM239,AM239&lt;AO239,AO239&lt;AQ239,AQ239&lt;AS239,AS239&lt;AU239,OR(AU239&lt;AW239,AW239="-"),OR(AW239&lt;AY239,AW239="-"))</f>
        <v>1</v>
      </c>
      <c r="BC239" s="109">
        <f t="shared" ref="BC239" si="1073">_xlfn.AGGREGATE(9,6,CH239:CS239)-_xlfn.AGGREGATE(9,6,BV239:CG239)+12</f>
        <v>254</v>
      </c>
      <c r="BD239" s="126" t="s">
        <v>1423</v>
      </c>
      <c r="BE239" s="9" t="s">
        <v>1422</v>
      </c>
      <c r="BF239" s="119">
        <v>3.32</v>
      </c>
      <c r="BG239" s="51" t="s">
        <v>1416</v>
      </c>
      <c r="BH239" s="51" t="s">
        <v>1416</v>
      </c>
      <c r="BJ239" s="111" t="s">
        <v>1281</v>
      </c>
      <c r="BK239" s="112" t="s">
        <v>1281</v>
      </c>
      <c r="BL239" s="112" t="s">
        <v>1281</v>
      </c>
      <c r="BM239" s="112" t="s">
        <v>1281</v>
      </c>
      <c r="BN239" s="112" t="s">
        <v>1281</v>
      </c>
      <c r="BO239" s="112" t="s">
        <v>1281</v>
      </c>
      <c r="BP239" s="112" t="s">
        <v>1281</v>
      </c>
      <c r="BQ239" s="112" t="s">
        <v>1281</v>
      </c>
      <c r="BR239" s="112" t="s">
        <v>1281</v>
      </c>
      <c r="BS239" s="112" t="s">
        <v>1281</v>
      </c>
      <c r="BT239" s="112" t="s">
        <v>1281</v>
      </c>
      <c r="BU239" s="112" t="s">
        <v>1281</v>
      </c>
      <c r="BV239" s="111">
        <f>E239</f>
        <v>37</v>
      </c>
      <c r="BW239" s="113">
        <f>I239</f>
        <v>69</v>
      </c>
      <c r="BX239" s="114">
        <f>M239</f>
        <v>74</v>
      </c>
      <c r="BY239" s="113" t="str">
        <f>Q239</f>
        <v>-</v>
      </c>
      <c r="BZ239" s="114">
        <f>U239</f>
        <v>108</v>
      </c>
      <c r="CA239" s="113">
        <f>Y239</f>
        <v>146</v>
      </c>
      <c r="CB239" s="114">
        <f>AC239</f>
        <v>154</v>
      </c>
      <c r="CC239" s="113">
        <f>AG239</f>
        <v>193</v>
      </c>
      <c r="CD239" s="114">
        <f>AK239</f>
        <v>200</v>
      </c>
      <c r="CE239" s="113">
        <f>AO239</f>
        <v>265</v>
      </c>
      <c r="CF239" s="114">
        <f>AS239</f>
        <v>295</v>
      </c>
      <c r="CG239" s="113">
        <f>AW239</f>
        <v>323</v>
      </c>
      <c r="CH239" s="111">
        <f>G239</f>
        <v>68</v>
      </c>
      <c r="CI239" s="113">
        <f>K239</f>
        <v>73</v>
      </c>
      <c r="CJ239" s="114">
        <f>O239</f>
        <v>104</v>
      </c>
      <c r="CK239" s="114" t="str">
        <f>S239</f>
        <v>-</v>
      </c>
      <c r="CL239" s="114">
        <f>W239</f>
        <v>145</v>
      </c>
      <c r="CM239" s="114">
        <f>AA239</f>
        <v>153</v>
      </c>
      <c r="CN239" s="114">
        <f>AE239</f>
        <v>178</v>
      </c>
      <c r="CO239" s="114">
        <f>AI239</f>
        <v>195</v>
      </c>
      <c r="CP239" s="114">
        <f>AM239</f>
        <v>244</v>
      </c>
      <c r="CQ239" s="114">
        <f>AQ239</f>
        <v>289</v>
      </c>
      <c r="CR239" s="114">
        <f>AU239</f>
        <v>320</v>
      </c>
      <c r="CS239" s="114">
        <f>AY239</f>
        <v>337</v>
      </c>
      <c r="CT239" s="109">
        <f>M239-K239</f>
        <v>1</v>
      </c>
      <c r="CU239" s="9"/>
      <c r="CV239" s="9"/>
      <c r="CW239" s="9"/>
      <c r="CX239" s="9"/>
      <c r="CY239" s="9"/>
      <c r="CZ239" s="9"/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  <c r="DM239" s="9"/>
      <c r="DN239" s="9"/>
      <c r="DO239" s="9"/>
      <c r="DP239" s="9"/>
      <c r="DQ239" s="9"/>
      <c r="DR239" s="9"/>
      <c r="DS239" s="9"/>
      <c r="DT239" s="9"/>
      <c r="DU239" s="9"/>
      <c r="DV239" s="9"/>
      <c r="DW239" s="9"/>
      <c r="DX239" s="9"/>
      <c r="DY239" s="9"/>
      <c r="DZ239" s="9"/>
      <c r="EA239" s="9"/>
      <c r="EB239" s="9"/>
      <c r="EC239" s="9"/>
      <c r="ED239" s="9"/>
      <c r="EE239" s="9"/>
      <c r="EF239" s="9"/>
      <c r="EG239" s="9"/>
      <c r="EH239" s="9"/>
      <c r="EI239" s="9"/>
      <c r="EJ239" s="9"/>
      <c r="EK239" s="9"/>
      <c r="EL239" s="9"/>
      <c r="EM239" s="9"/>
      <c r="EN239" s="9"/>
      <c r="EO239" s="9"/>
      <c r="EP239" s="9"/>
      <c r="EQ239" s="9"/>
      <c r="ER239" s="9"/>
      <c r="ES239" s="9"/>
      <c r="ET239" s="9"/>
      <c r="EU239" s="9"/>
      <c r="EV239" s="9"/>
      <c r="EW239" s="9"/>
      <c r="EX239" s="9"/>
      <c r="EY239" s="9"/>
      <c r="EZ239" s="9"/>
      <c r="FA239" s="9"/>
      <c r="FB239" s="9"/>
      <c r="FC239" s="9"/>
      <c r="FD239" s="9"/>
      <c r="FE239" s="9"/>
      <c r="FF239" s="9"/>
      <c r="FG239" s="9"/>
      <c r="FH239" s="9"/>
      <c r="FI239" s="9"/>
      <c r="FJ239" s="9"/>
      <c r="FK239" s="9"/>
      <c r="FL239" s="9"/>
      <c r="FM239" s="9"/>
      <c r="FN239" s="9"/>
      <c r="FO239" s="9"/>
      <c r="FP239" s="9"/>
      <c r="FQ239" s="9"/>
      <c r="FR239" s="9"/>
      <c r="FS239" s="9"/>
      <c r="FT239" s="9"/>
      <c r="FU239" s="9"/>
      <c r="FV239" s="9"/>
      <c r="FW239" s="9"/>
      <c r="FX239" s="9"/>
      <c r="FY239" s="9"/>
      <c r="FZ239" s="9"/>
      <c r="GA239" s="9"/>
      <c r="GB239" s="9"/>
      <c r="GC239" s="9"/>
      <c r="GD239" s="9"/>
      <c r="GE239" s="9"/>
      <c r="GF239" s="9"/>
      <c r="GG239" s="9"/>
      <c r="GH239" s="9"/>
      <c r="GI239" s="9"/>
      <c r="GJ239" s="9"/>
      <c r="GK239" s="9"/>
      <c r="GL239" s="9"/>
      <c r="GM239" s="9"/>
      <c r="GN239" s="9"/>
      <c r="GO239" s="9"/>
      <c r="GP239" s="9"/>
      <c r="GQ239" s="9"/>
      <c r="GR239" s="9"/>
      <c r="GS239" s="9"/>
      <c r="GT239" s="9"/>
      <c r="GU239" s="9"/>
      <c r="GV239" s="9"/>
      <c r="GW239" s="9"/>
      <c r="GX239" s="9"/>
      <c r="GY239" s="9"/>
      <c r="GZ239" s="9"/>
      <c r="HA239" s="9"/>
      <c r="HB239" s="9"/>
      <c r="HC239" s="9"/>
      <c r="HD239" s="9"/>
      <c r="HE239" s="9"/>
      <c r="HF239" s="9"/>
      <c r="HG239" s="9"/>
      <c r="HH239" s="9"/>
      <c r="HI239" s="9"/>
      <c r="HJ239" s="9"/>
      <c r="HK239" s="9"/>
      <c r="HL239" s="9"/>
      <c r="HM239" s="9"/>
      <c r="HN239" s="9"/>
      <c r="HO239" s="9"/>
      <c r="HP239" s="9"/>
      <c r="HQ239" s="9"/>
      <c r="HR239" s="9"/>
      <c r="HS239" s="9"/>
      <c r="HT239" s="9"/>
      <c r="HU239" s="9"/>
      <c r="HV239" s="9"/>
      <c r="HW239" s="9"/>
      <c r="HX239" s="9"/>
      <c r="HY239" s="9"/>
      <c r="HZ239" s="9"/>
      <c r="IA239" s="9"/>
      <c r="IB239" s="9"/>
      <c r="IC239" s="9"/>
      <c r="ID239" s="9"/>
      <c r="IE239" s="9"/>
      <c r="IF239" s="9"/>
      <c r="IG239" s="9"/>
      <c r="IH239" s="9"/>
      <c r="II239" s="9"/>
      <c r="IJ239" s="9"/>
      <c r="IK239" s="9"/>
      <c r="IL239" s="9"/>
      <c r="IM239" s="9"/>
      <c r="IN239" s="9"/>
      <c r="IO239" s="9"/>
      <c r="IP239" s="9"/>
      <c r="IQ239" s="9"/>
      <c r="IR239" s="9"/>
      <c r="IS239" s="9"/>
      <c r="IT239" s="9"/>
      <c r="IU239" s="9"/>
      <c r="IV239" s="9"/>
      <c r="IW239" s="9"/>
      <c r="IX239" s="9"/>
      <c r="IY239" s="9"/>
      <c r="IZ239" s="9"/>
      <c r="JA239" s="9"/>
      <c r="JB239" s="9"/>
      <c r="JC239" s="9"/>
      <c r="JD239" s="9"/>
      <c r="JE239" s="9"/>
      <c r="JF239" s="9"/>
      <c r="JG239" s="9"/>
      <c r="JH239" s="9"/>
      <c r="JI239" s="9"/>
      <c r="JJ239" s="9"/>
      <c r="JK239" s="9"/>
      <c r="JL239" s="9"/>
      <c r="JM239" s="9"/>
      <c r="JN239" s="9"/>
      <c r="JO239" s="9"/>
      <c r="JP239" s="9"/>
      <c r="JQ239" s="9"/>
      <c r="JR239" s="9"/>
      <c r="JS239" s="9"/>
      <c r="JT239" s="9"/>
      <c r="JU239" s="9"/>
      <c r="JV239" s="9"/>
      <c r="JW239" s="9"/>
      <c r="JX239" s="9"/>
      <c r="JY239" s="9"/>
      <c r="JZ239" s="9"/>
      <c r="KA239" s="9"/>
      <c r="KB239" s="9"/>
      <c r="KC239" s="9"/>
      <c r="KD239" s="9"/>
      <c r="KE239" s="9"/>
      <c r="KF239" s="9"/>
      <c r="KG239" s="9"/>
      <c r="KH239" s="9"/>
      <c r="KI239" s="9"/>
      <c r="KJ239" s="9"/>
      <c r="KK239" s="9"/>
      <c r="KL239" s="9"/>
      <c r="KM239" s="9"/>
      <c r="KN239" s="9"/>
      <c r="KO239" s="9"/>
      <c r="KP239" s="9"/>
      <c r="KQ239" s="9"/>
      <c r="KR239" s="9"/>
      <c r="KS239" s="9"/>
      <c r="KT239" s="9"/>
      <c r="KU239" s="9"/>
      <c r="KV239" s="9"/>
      <c r="KW239" s="9"/>
      <c r="KX239" s="9"/>
      <c r="KY239" s="9"/>
      <c r="KZ239" s="9"/>
      <c r="LA239" s="9"/>
      <c r="LB239" s="9"/>
      <c r="LC239" s="9"/>
      <c r="LD239" s="9"/>
      <c r="LE239" s="9"/>
      <c r="LF239" s="9"/>
      <c r="LG239" s="9"/>
      <c r="LH239" s="9"/>
      <c r="LI239" s="9"/>
      <c r="LJ239" s="9"/>
      <c r="LK239" s="9"/>
      <c r="LL239" s="9"/>
      <c r="LM239" s="9"/>
      <c r="LN239" s="9"/>
      <c r="LO239" s="9"/>
      <c r="LP239" s="9"/>
      <c r="LQ239" s="9"/>
      <c r="LR239" s="9"/>
      <c r="LS239" s="9"/>
      <c r="LT239" s="9"/>
      <c r="LU239" s="9"/>
      <c r="LV239" s="9"/>
      <c r="LW239" s="9"/>
      <c r="LX239" s="9"/>
      <c r="LY239" s="9"/>
      <c r="LZ239" s="9"/>
      <c r="MA239" s="9"/>
      <c r="MB239" s="9"/>
      <c r="MC239" s="9"/>
      <c r="MD239" s="9"/>
      <c r="ME239" s="9"/>
      <c r="MF239" s="9"/>
      <c r="MG239" s="9"/>
      <c r="MH239" s="9"/>
      <c r="MI239" s="9"/>
      <c r="MJ239" s="9"/>
      <c r="MK239" s="9"/>
      <c r="ML239" s="9"/>
      <c r="MM239" s="9"/>
      <c r="MN239" s="9"/>
      <c r="MO239" s="9"/>
      <c r="MP239" s="9"/>
      <c r="MQ239" s="9"/>
      <c r="MR239" s="9"/>
      <c r="MS239" s="9"/>
      <c r="MT239" s="9"/>
      <c r="MU239" s="9"/>
      <c r="MV239" s="9"/>
      <c r="MW239" s="9"/>
      <c r="MX239" s="9"/>
      <c r="MY239" s="9"/>
      <c r="MZ239" s="9"/>
      <c r="NA239" s="9"/>
      <c r="NB239" s="9"/>
      <c r="NC239" s="9"/>
      <c r="ND239" s="9"/>
      <c r="NE239" s="9"/>
      <c r="NF239" s="9"/>
      <c r="NG239" s="9"/>
      <c r="NH239" s="9"/>
      <c r="NI239" s="9"/>
      <c r="NJ239" s="9"/>
      <c r="NK239" s="9"/>
      <c r="NL239" s="9"/>
      <c r="NM239" s="9"/>
      <c r="NN239" s="9"/>
      <c r="NO239" s="9"/>
      <c r="NP239" s="9"/>
      <c r="NQ239" s="9"/>
      <c r="NR239" s="9"/>
      <c r="NS239" s="9"/>
      <c r="NT239" s="9"/>
      <c r="NU239" s="9"/>
      <c r="NV239" s="9"/>
      <c r="NW239" s="9"/>
      <c r="NX239" s="9"/>
      <c r="NY239" s="9"/>
      <c r="NZ239" s="9"/>
      <c r="OA239" s="9"/>
      <c r="OB239" s="9"/>
      <c r="OC239" s="9"/>
      <c r="OD239" s="9"/>
      <c r="OE239" s="9"/>
      <c r="OF239" s="9"/>
      <c r="OG239" s="9"/>
      <c r="OH239" s="9"/>
      <c r="OI239" s="9"/>
      <c r="OJ239" s="9"/>
      <c r="OK239" s="9"/>
      <c r="OL239" s="9"/>
      <c r="OM239" s="9"/>
      <c r="ON239" s="9"/>
      <c r="OO239" s="9"/>
      <c r="OP239" s="9"/>
      <c r="OQ239" s="9"/>
      <c r="OR239" s="9"/>
      <c r="OS239" s="9"/>
      <c r="OT239" s="9"/>
      <c r="OU239" s="9"/>
      <c r="OV239" s="9"/>
      <c r="OW239" s="9"/>
      <c r="OX239" s="9"/>
      <c r="OY239" s="9"/>
      <c r="OZ239" s="9"/>
      <c r="PA239" s="9"/>
      <c r="PB239" s="9"/>
      <c r="PC239" s="9"/>
      <c r="PD239" s="9"/>
      <c r="PE239" s="9"/>
      <c r="PF239" s="9"/>
      <c r="PG239" s="9"/>
      <c r="PH239" s="9"/>
      <c r="PI239" s="9"/>
      <c r="PJ239" s="9"/>
      <c r="PK239" s="9"/>
      <c r="PL239" s="9"/>
      <c r="PM239" s="9"/>
      <c r="PN239" s="9"/>
      <c r="PO239" s="9"/>
      <c r="PP239" s="9"/>
      <c r="PQ239" s="9"/>
      <c r="PR239" s="9"/>
      <c r="PS239" s="9"/>
      <c r="PT239" s="9"/>
      <c r="PU239" s="9"/>
      <c r="PV239" s="9"/>
      <c r="PW239" s="9"/>
      <c r="PX239" s="9"/>
      <c r="PY239" s="9"/>
      <c r="PZ239" s="9"/>
      <c r="QA239" s="9"/>
      <c r="QB239" s="9"/>
      <c r="QC239" s="9"/>
      <c r="QD239" s="9"/>
      <c r="QE239" s="9"/>
      <c r="QF239" s="9"/>
      <c r="QG239" s="9"/>
      <c r="QH239" s="9"/>
      <c r="QI239" s="9"/>
      <c r="QJ239" s="9"/>
      <c r="QK239" s="9"/>
      <c r="QL239" s="9"/>
      <c r="QM239" s="9"/>
      <c r="QN239" s="9"/>
      <c r="QO239" s="9"/>
      <c r="QP239" s="9"/>
      <c r="QQ239" s="9"/>
      <c r="QR239" s="9"/>
      <c r="QS239" s="9"/>
      <c r="QT239" s="9"/>
      <c r="QU239" s="9"/>
      <c r="QV239" s="9"/>
      <c r="QW239" s="9"/>
      <c r="QX239" s="9"/>
      <c r="QY239" s="9"/>
      <c r="QZ239" s="9"/>
      <c r="RA239" s="9"/>
      <c r="RB239" s="9"/>
      <c r="RC239" s="9"/>
      <c r="RD239" s="9"/>
      <c r="RE239" s="9"/>
      <c r="RF239" s="9"/>
      <c r="RG239" s="9"/>
      <c r="RH239" s="9"/>
      <c r="RI239" s="9"/>
      <c r="RJ239" s="9"/>
      <c r="RK239" s="9"/>
      <c r="RL239" s="9"/>
      <c r="RM239" s="9"/>
      <c r="RN239" s="9"/>
      <c r="RO239" s="9"/>
      <c r="RP239" s="9"/>
      <c r="RQ239" s="9"/>
      <c r="RR239" s="9"/>
      <c r="RS239" s="9"/>
      <c r="RT239" s="9"/>
      <c r="RU239" s="9"/>
      <c r="RV239" s="9"/>
      <c r="RW239" s="9"/>
      <c r="RX239" s="9"/>
      <c r="RY239" s="9"/>
      <c r="RZ239" s="9"/>
      <c r="SA239" s="9"/>
      <c r="SB239" s="9"/>
      <c r="SC239" s="9"/>
      <c r="SD239" s="9"/>
      <c r="SE239" s="9"/>
      <c r="SF239" s="9"/>
      <c r="SG239" s="9"/>
      <c r="SH239" s="9"/>
      <c r="SI239" s="9"/>
      <c r="SJ239" s="9"/>
      <c r="SK239" s="9"/>
      <c r="SL239" s="9"/>
      <c r="SM239" s="9"/>
      <c r="SN239" s="9"/>
      <c r="SO239" s="9"/>
      <c r="SP239" s="9"/>
      <c r="SQ239" s="9"/>
      <c r="SR239" s="9"/>
      <c r="SS239" s="9"/>
      <c r="ST239" s="9"/>
      <c r="SU239" s="9"/>
      <c r="SV239" s="9"/>
      <c r="SW239" s="9"/>
      <c r="SX239" s="9"/>
      <c r="SY239" s="9"/>
      <c r="SZ239" s="9"/>
      <c r="TA239" s="9"/>
      <c r="TB239" s="9"/>
      <c r="TC239" s="9"/>
      <c r="TD239" s="9"/>
      <c r="TE239" s="9"/>
      <c r="TF239" s="9"/>
      <c r="TG239" s="9"/>
      <c r="TH239" s="9"/>
      <c r="TI239" s="9"/>
      <c r="TJ239" s="9"/>
      <c r="TK239" s="9"/>
      <c r="TL239" s="9"/>
      <c r="TM239" s="9"/>
      <c r="TN239" s="9"/>
      <c r="TO239" s="9"/>
      <c r="TP239" s="9"/>
      <c r="TQ239" s="9"/>
      <c r="TR239" s="9"/>
      <c r="TS239" s="9"/>
      <c r="TT239" s="9"/>
      <c r="TU239" s="9"/>
      <c r="TV239" s="9"/>
      <c r="TW239" s="9"/>
      <c r="TX239" s="9"/>
      <c r="TY239" s="9"/>
      <c r="TZ239" s="9"/>
      <c r="UA239" s="9"/>
      <c r="UB239" s="9"/>
      <c r="UC239" s="9"/>
      <c r="UD239" s="9"/>
      <c r="UE239" s="9"/>
      <c r="UF239" s="9"/>
      <c r="UG239" s="9"/>
      <c r="UH239" s="9"/>
      <c r="UI239" s="9"/>
      <c r="UJ239" s="9"/>
      <c r="UK239" s="9"/>
      <c r="UL239" s="9"/>
      <c r="UM239" s="9"/>
      <c r="UN239" s="9"/>
      <c r="UO239" s="9"/>
      <c r="UP239" s="9"/>
      <c r="UQ239" s="9"/>
      <c r="UR239" s="9"/>
      <c r="US239" s="9"/>
      <c r="UT239" s="9"/>
      <c r="UU239" s="9"/>
      <c r="UV239" s="9"/>
      <c r="UW239" s="9"/>
      <c r="UX239" s="9"/>
      <c r="UY239" s="9"/>
      <c r="UZ239" s="9"/>
      <c r="VA239" s="9"/>
      <c r="VB239" s="9"/>
      <c r="VC239" s="9"/>
      <c r="VD239" s="9"/>
      <c r="VE239" s="9"/>
      <c r="VF239" s="9"/>
      <c r="VG239" s="9"/>
      <c r="VH239" s="9"/>
      <c r="VI239" s="9"/>
      <c r="VJ239" s="9"/>
      <c r="VK239" s="9"/>
      <c r="VL239" s="9"/>
      <c r="VM239" s="9"/>
      <c r="VN239" s="9"/>
      <c r="VO239" s="9"/>
      <c r="VP239" s="9"/>
      <c r="VQ239" s="9"/>
      <c r="VR239" s="9"/>
      <c r="VS239" s="9"/>
      <c r="VT239" s="9"/>
      <c r="VU239" s="9"/>
      <c r="VV239" s="9"/>
      <c r="VW239" s="9"/>
      <c r="VX239" s="9"/>
      <c r="VY239" s="9"/>
      <c r="VZ239" s="9"/>
      <c r="WA239" s="9"/>
      <c r="WB239" s="9"/>
      <c r="WC239" s="9"/>
      <c r="WD239" s="9"/>
      <c r="WE239" s="9"/>
      <c r="WF239" s="9"/>
      <c r="WG239" s="9"/>
      <c r="WH239" s="9"/>
      <c r="WI239" s="9"/>
      <c r="WJ239" s="9"/>
      <c r="WK239" s="9"/>
      <c r="WL239" s="9"/>
      <c r="WM239" s="9"/>
      <c r="WN239" s="9"/>
      <c r="WO239" s="9"/>
      <c r="WP239" s="9"/>
      <c r="WQ239" s="9"/>
      <c r="WR239" s="9"/>
      <c r="WS239" s="9"/>
      <c r="WT239" s="9"/>
      <c r="WU239" s="9"/>
      <c r="WV239" s="9"/>
      <c r="WW239" s="9"/>
      <c r="WX239" s="9"/>
      <c r="WY239" s="9"/>
      <c r="WZ239" s="9"/>
      <c r="XA239" s="9"/>
      <c r="XB239" s="9"/>
      <c r="XC239" s="9"/>
      <c r="XD239" s="9"/>
      <c r="XE239" s="9"/>
      <c r="XF239" s="9"/>
      <c r="XG239" s="9"/>
      <c r="XH239" s="9"/>
      <c r="XI239" s="9"/>
      <c r="XJ239" s="9"/>
      <c r="XK239" s="9"/>
      <c r="XL239" s="9"/>
      <c r="XM239" s="9"/>
      <c r="XN239" s="9"/>
      <c r="XO239" s="9"/>
      <c r="XP239" s="9"/>
      <c r="XQ239" s="9"/>
      <c r="XR239" s="9"/>
      <c r="XS239" s="9"/>
      <c r="XT239" s="9"/>
      <c r="XU239" s="9"/>
      <c r="XV239" s="9"/>
      <c r="XW239" s="9"/>
      <c r="XX239" s="9"/>
      <c r="XY239" s="9"/>
      <c r="XZ239" s="9"/>
      <c r="YA239" s="9"/>
      <c r="YB239" s="9"/>
      <c r="YC239" s="9"/>
      <c r="YD239" s="9"/>
      <c r="YE239" s="9"/>
      <c r="YF239" s="9"/>
      <c r="YG239" s="9"/>
      <c r="YH239" s="9"/>
      <c r="YI239" s="9"/>
      <c r="YJ239" s="9"/>
      <c r="YK239" s="9"/>
      <c r="YL239" s="9"/>
      <c r="YM239" s="9"/>
      <c r="YN239" s="9"/>
      <c r="YO239" s="9"/>
      <c r="YP239" s="9"/>
      <c r="YQ239" s="9"/>
      <c r="YR239" s="9"/>
      <c r="YS239" s="9"/>
      <c r="YT239" s="9"/>
      <c r="YU239" s="9"/>
      <c r="YV239" s="9"/>
      <c r="YW239" s="9"/>
      <c r="YX239" s="9"/>
      <c r="YY239" s="9"/>
      <c r="YZ239" s="9"/>
      <c r="ZA239" s="9"/>
      <c r="ZB239" s="9"/>
      <c r="ZC239" s="9"/>
      <c r="ZD239" s="9"/>
      <c r="ZE239" s="9"/>
      <c r="ZF239" s="9"/>
      <c r="ZG239" s="9"/>
      <c r="ZH239" s="9"/>
      <c r="ZI239" s="9"/>
      <c r="ZJ239" s="9"/>
      <c r="ZK239" s="9"/>
      <c r="ZL239" s="9"/>
      <c r="ZM239" s="9"/>
      <c r="ZN239" s="9"/>
      <c r="ZO239" s="9"/>
      <c r="ZP239" s="9"/>
      <c r="ZQ239" s="9"/>
      <c r="ZR239" s="9"/>
      <c r="ZS239" s="9"/>
      <c r="ZT239" s="9"/>
      <c r="ZU239" s="9"/>
      <c r="ZV239" s="9"/>
      <c r="ZW239" s="9"/>
      <c r="ZX239" s="9"/>
      <c r="ZY239" s="9"/>
      <c r="ZZ239" s="9"/>
      <c r="AAA239" s="9"/>
      <c r="AAB239" s="9"/>
      <c r="AAC239" s="9"/>
      <c r="AAD239" s="9"/>
      <c r="AAE239" s="9"/>
      <c r="AAF239" s="9"/>
      <c r="AAG239" s="9"/>
      <c r="AAH239" s="9"/>
      <c r="AAI239" s="9"/>
      <c r="AAJ239" s="9"/>
      <c r="AAK239" s="9"/>
      <c r="AAL239" s="9"/>
      <c r="AAM239" s="9"/>
      <c r="AAN239" s="9"/>
      <c r="AAO239" s="9"/>
      <c r="AAP239" s="9"/>
      <c r="AAQ239" s="9"/>
      <c r="AAR239" s="9"/>
      <c r="AAS239" s="9"/>
      <c r="AAT239" s="9"/>
      <c r="AAU239" s="9"/>
      <c r="AAV239" s="9"/>
      <c r="AAW239" s="9"/>
      <c r="AAX239" s="9"/>
      <c r="AAY239" s="9"/>
      <c r="AAZ239" s="9"/>
      <c r="ABA239" s="9"/>
      <c r="ABB239" s="9"/>
      <c r="ABC239" s="9"/>
      <c r="ABD239" s="9"/>
      <c r="ABE239" s="9"/>
      <c r="ABF239" s="9"/>
      <c r="ABG239" s="9"/>
      <c r="ABH239" s="9"/>
      <c r="ABI239" s="9"/>
      <c r="ABJ239" s="9"/>
      <c r="ABK239" s="9"/>
      <c r="ABL239" s="9"/>
      <c r="ABM239" s="9"/>
      <c r="ABN239" s="9"/>
      <c r="ABO239" s="9"/>
      <c r="ABP239" s="9"/>
      <c r="ABQ239" s="9"/>
      <c r="ABR239" s="9"/>
      <c r="ABS239" s="9"/>
      <c r="ABT239" s="9"/>
      <c r="ABU239" s="9"/>
      <c r="ABV239" s="9"/>
      <c r="ABW239" s="9"/>
      <c r="ABX239" s="9"/>
      <c r="ABY239" s="9"/>
      <c r="ABZ239" s="9"/>
      <c r="ACA239" s="9"/>
      <c r="ACB239" s="9"/>
      <c r="ACC239" s="9"/>
      <c r="ACD239" s="9"/>
      <c r="ACE239" s="9"/>
      <c r="ACF239" s="9"/>
      <c r="ACG239" s="9"/>
      <c r="ACH239" s="9"/>
      <c r="ACI239" s="9"/>
      <c r="ACJ239" s="9"/>
      <c r="ACK239" s="9"/>
      <c r="ACL239" s="9"/>
      <c r="ACM239" s="9"/>
      <c r="ACN239" s="9"/>
      <c r="ACO239" s="9"/>
      <c r="ACP239" s="9"/>
      <c r="ACQ239" s="9"/>
      <c r="ACR239" s="9"/>
      <c r="ACS239" s="9"/>
      <c r="ACT239" s="9"/>
      <c r="ACU239" s="9"/>
      <c r="ACV239" s="9"/>
      <c r="ACW239" s="9"/>
      <c r="ACX239" s="9"/>
      <c r="ACY239" s="9"/>
      <c r="ACZ239" s="9"/>
      <c r="ADA239" s="9"/>
      <c r="ADB239" s="9"/>
      <c r="ADC239" s="9"/>
      <c r="ADD239" s="9"/>
      <c r="ADE239" s="9"/>
      <c r="ADF239" s="9"/>
      <c r="ADG239" s="9"/>
      <c r="ADH239" s="9"/>
      <c r="ADI239" s="9"/>
      <c r="ADJ239" s="9"/>
      <c r="ADK239" s="9"/>
      <c r="ADL239" s="9"/>
      <c r="ADM239" s="9"/>
      <c r="ADN239" s="9"/>
      <c r="ADO239" s="9"/>
      <c r="ADP239" s="9"/>
      <c r="ADQ239" s="9"/>
      <c r="ADR239" s="9"/>
      <c r="ADS239" s="9"/>
      <c r="ADT239" s="9"/>
      <c r="ADU239" s="9"/>
      <c r="ADV239" s="9"/>
      <c r="ADW239" s="9"/>
      <c r="ADX239" s="9"/>
      <c r="ADY239" s="9"/>
      <c r="ADZ239" s="9"/>
      <c r="AEA239" s="9"/>
      <c r="AEB239" s="9"/>
      <c r="AEC239" s="9"/>
      <c r="AED239" s="9"/>
      <c r="AEE239" s="9"/>
      <c r="AEF239" s="9"/>
      <c r="AEG239" s="9"/>
      <c r="AEH239" s="9"/>
      <c r="AEI239" s="9"/>
      <c r="AEJ239" s="9"/>
      <c r="AEK239" s="9"/>
      <c r="AEL239" s="9"/>
      <c r="AEM239" s="9"/>
      <c r="AEN239" s="9"/>
      <c r="AEO239" s="9"/>
      <c r="AEP239" s="9"/>
      <c r="AEQ239" s="9"/>
      <c r="AER239" s="9"/>
      <c r="AES239" s="9"/>
      <c r="AET239" s="9"/>
      <c r="AEU239" s="9"/>
      <c r="AEV239" s="9"/>
      <c r="AEW239" s="9"/>
      <c r="AEX239" s="9"/>
      <c r="AEY239" s="9"/>
      <c r="AEZ239" s="9"/>
      <c r="AFA239" s="9"/>
      <c r="AFB239" s="9"/>
      <c r="AFC239" s="9"/>
      <c r="AFD239" s="9"/>
      <c r="AFE239" s="9"/>
      <c r="AFF239" s="9"/>
      <c r="AFG239" s="9"/>
      <c r="AFH239" s="9"/>
      <c r="AFI239" s="9"/>
      <c r="AFJ239" s="9"/>
      <c r="AFK239" s="9"/>
      <c r="AFL239" s="9"/>
      <c r="AFM239" s="9"/>
      <c r="AFN239" s="9"/>
      <c r="AFO239" s="9"/>
      <c r="AFP239" s="9"/>
      <c r="AFQ239" s="9"/>
      <c r="AFR239" s="9"/>
      <c r="AFS239" s="9"/>
      <c r="AFT239" s="9"/>
      <c r="AFU239" s="9"/>
      <c r="AFV239" s="9"/>
      <c r="AFW239" s="9"/>
      <c r="AFX239" s="9"/>
      <c r="AFY239" s="9"/>
      <c r="AFZ239" s="9"/>
      <c r="AGA239" s="9"/>
      <c r="AGB239" s="9"/>
      <c r="AGC239" s="9"/>
      <c r="AGD239" s="9"/>
      <c r="AGE239" s="9"/>
      <c r="AGF239" s="9"/>
      <c r="AGG239" s="9"/>
      <c r="AGH239" s="9"/>
      <c r="AGI239" s="9"/>
      <c r="AGJ239" s="9"/>
      <c r="AGK239" s="9"/>
      <c r="AGL239" s="9"/>
      <c r="AGM239" s="9"/>
      <c r="AGN239" s="9"/>
      <c r="AGO239" s="9"/>
      <c r="AGP239" s="9"/>
      <c r="AGQ239" s="9"/>
      <c r="AGR239" s="9"/>
      <c r="AGS239" s="9"/>
      <c r="AGT239" s="9"/>
      <c r="AGU239" s="9"/>
      <c r="AGV239" s="9"/>
      <c r="AGW239" s="9"/>
      <c r="AGX239" s="9"/>
      <c r="AGY239" s="9"/>
      <c r="AGZ239" s="9"/>
      <c r="AHA239" s="9"/>
      <c r="AHB239" s="9"/>
      <c r="AHC239" s="9"/>
      <c r="AHD239" s="9"/>
      <c r="AHE239" s="9"/>
      <c r="AHF239" s="9"/>
      <c r="AHG239" s="9"/>
      <c r="AHH239" s="9"/>
      <c r="AHI239" s="9"/>
      <c r="AHJ239" s="9"/>
      <c r="AHK239" s="9"/>
      <c r="AHL239" s="9"/>
      <c r="AHM239" s="9"/>
      <c r="AHN239" s="9"/>
      <c r="AHO239" s="9"/>
      <c r="AHP239" s="9"/>
      <c r="AHQ239" s="9"/>
      <c r="AHR239" s="9"/>
      <c r="AHS239" s="9"/>
      <c r="AHT239" s="9"/>
      <c r="AHU239" s="9"/>
      <c r="AHV239" s="9"/>
      <c r="AHW239" s="9"/>
      <c r="AHX239" s="9"/>
      <c r="AHY239" s="9"/>
      <c r="AHZ239" s="9"/>
      <c r="AIA239" s="9"/>
      <c r="AIB239" s="9"/>
      <c r="AIC239" s="9"/>
      <c r="AID239" s="9"/>
      <c r="AIE239" s="9"/>
      <c r="AIF239" s="9"/>
      <c r="AIG239" s="9"/>
      <c r="AIH239" s="9"/>
      <c r="AII239" s="9"/>
      <c r="AIJ239" s="9"/>
      <c r="AIK239" s="9"/>
      <c r="AIL239" s="9"/>
      <c r="AIM239" s="9"/>
      <c r="AIN239" s="9"/>
      <c r="AIO239" s="9"/>
      <c r="AIP239" s="9"/>
      <c r="AIQ239" s="9"/>
      <c r="AIR239" s="9"/>
      <c r="AIS239" s="9"/>
      <c r="AIT239" s="9"/>
      <c r="AIU239" s="9"/>
      <c r="AIV239" s="9"/>
      <c r="AIW239" s="9"/>
      <c r="AIX239" s="9"/>
      <c r="AIY239" s="9"/>
      <c r="AIZ239" s="9"/>
      <c r="AJA239" s="9"/>
      <c r="AJB239" s="9"/>
      <c r="AJC239" s="9"/>
      <c r="AJD239" s="9"/>
      <c r="AJE239" s="9"/>
      <c r="AJF239" s="9"/>
      <c r="AJG239" s="9"/>
      <c r="AJH239" s="9"/>
      <c r="AJI239" s="9"/>
      <c r="AJJ239" s="9"/>
      <c r="AJK239" s="9"/>
      <c r="AJL239" s="9"/>
      <c r="AJM239" s="9"/>
      <c r="AJN239" s="9"/>
      <c r="AJO239" s="9"/>
      <c r="AJP239" s="9"/>
      <c r="AJQ239" s="9"/>
      <c r="AJR239" s="9"/>
      <c r="AJS239" s="9"/>
      <c r="AJT239" s="9"/>
      <c r="AJU239" s="9"/>
      <c r="AJV239" s="9"/>
      <c r="AJW239" s="9"/>
      <c r="AJX239" s="9"/>
      <c r="AJY239" s="9"/>
      <c r="AJZ239" s="9"/>
      <c r="AKA239" s="9"/>
      <c r="AKB239" s="9"/>
      <c r="AKC239" s="9"/>
      <c r="AKD239" s="9"/>
      <c r="AKE239" s="9"/>
      <c r="AKF239" s="9"/>
      <c r="AKG239" s="9"/>
      <c r="AKH239" s="9"/>
      <c r="AKI239" s="9"/>
      <c r="AKJ239" s="9"/>
      <c r="AKK239" s="9"/>
      <c r="AKL239" s="9"/>
      <c r="AKM239" s="9"/>
      <c r="AKN239" s="9"/>
      <c r="AKO239" s="9"/>
      <c r="AKP239" s="9"/>
      <c r="AKQ239" s="9"/>
      <c r="AKR239" s="9"/>
      <c r="AKS239" s="9"/>
      <c r="AKT239" s="9"/>
      <c r="AKU239" s="9"/>
      <c r="AKV239" s="9"/>
      <c r="AKW239" s="9"/>
      <c r="AKX239" s="9"/>
      <c r="AKY239" s="9"/>
      <c r="AKZ239" s="9"/>
      <c r="ALA239" s="9"/>
      <c r="ALB239" s="9"/>
      <c r="ALC239" s="9"/>
      <c r="ALD239" s="9"/>
      <c r="ALE239" s="9"/>
      <c r="ALF239" s="9"/>
      <c r="ALG239" s="9"/>
      <c r="ALH239" s="9"/>
      <c r="ALI239" s="9"/>
      <c r="ALJ239" s="9"/>
      <c r="ALK239" s="9"/>
      <c r="ALL239" s="9"/>
      <c r="ALM239" s="9"/>
      <c r="ALN239" s="9"/>
      <c r="ALO239" s="9"/>
      <c r="ALP239" s="9"/>
      <c r="ALQ239" s="9"/>
      <c r="ALR239" s="9"/>
      <c r="ALS239" s="9"/>
      <c r="ALT239" s="9"/>
      <c r="ALU239" s="9"/>
      <c r="ALV239" s="9"/>
      <c r="ALW239" s="9"/>
      <c r="ALX239" s="9"/>
      <c r="ALY239" s="9"/>
      <c r="ALZ239" s="9"/>
      <c r="AMA239" s="9"/>
      <c r="AMB239" s="9"/>
      <c r="AMC239" s="9"/>
      <c r="AMD239" s="9"/>
      <c r="AME239" s="9"/>
      <c r="AMF239" s="9"/>
      <c r="AMG239" s="9"/>
      <c r="AMH239" s="9"/>
      <c r="AMI239" s="9"/>
      <c r="AMJ239" s="9"/>
      <c r="AMK239" s="9"/>
      <c r="AML239" s="9"/>
      <c r="AMM239" s="9"/>
      <c r="AMN239" s="9"/>
      <c r="AMO239" s="9"/>
    </row>
    <row r="240" spans="1:1029" x14ac:dyDescent="0.2">
      <c r="A240" s="3" t="str">
        <f>CONCATENATE(B240,"_",C240)</f>
        <v>hrh1_human__wt</v>
      </c>
      <c r="B240" s="3" t="s">
        <v>277</v>
      </c>
      <c r="C240" s="3" t="s">
        <v>100</v>
      </c>
      <c r="D240" s="3" t="str">
        <f>IFERROR(MID(VLOOKUP($B240,Seqs!$A:$B,2,0),E240,1),"")</f>
        <v>P</v>
      </c>
      <c r="E240" s="3">
        <v>29</v>
      </c>
      <c r="F240" s="3" t="str">
        <f>IFERROR(MID(VLOOKUP($B240,Seqs!$A:$B,2,0),G240,1),"")</f>
        <v>E</v>
      </c>
      <c r="G240" s="3">
        <v>55</v>
      </c>
      <c r="H240" s="3" t="str">
        <f>IFERROR(MID(VLOOKUP($B240,Seqs!$A:$B,2,0),I240,1),"")</f>
        <v>R</v>
      </c>
      <c r="I240" s="23">
        <v>56</v>
      </c>
      <c r="J240" s="3" t="str">
        <f>IFERROR(MID(VLOOKUP($B240,Seqs!$A:$B,2,0),K240,1),"")</f>
        <v>H</v>
      </c>
      <c r="K240" s="23">
        <v>59</v>
      </c>
      <c r="L240" s="3" t="str">
        <f>IFERROR(MID(VLOOKUP($B240,Seqs!$A:$B,2,0),M240,1),"")</f>
        <v>T</v>
      </c>
      <c r="M240" s="3">
        <v>60</v>
      </c>
      <c r="N240" s="3" t="str">
        <f>IFERROR(MID(VLOOKUP($B240,Seqs!$A:$B,2,0),O240,1),"")</f>
        <v>M</v>
      </c>
      <c r="O240" s="3">
        <v>90</v>
      </c>
      <c r="P240" s="3" t="str">
        <f>IFERROR(MID(VLOOKUP($B240,Seqs!$A:$B,2,0),Q240,1),"")</f>
        <v>K</v>
      </c>
      <c r="Q240" s="3">
        <v>92</v>
      </c>
      <c r="R240" s="3" t="str">
        <f>IFERROR(MID(VLOOKUP($B240,Seqs!$A:$B,2,0),S240,1),"")</f>
        <v>L</v>
      </c>
      <c r="S240" s="3">
        <v>95</v>
      </c>
      <c r="T240" s="3" t="str">
        <f>IFERROR(MID(VLOOKUP($B240,Seqs!$A:$B,2,0),U240,1),"")</f>
        <v>G</v>
      </c>
      <c r="U240" s="3">
        <v>96</v>
      </c>
      <c r="V240" s="3" t="str">
        <f>IFERROR(MID(VLOOKUP($B240,Seqs!$A:$B,2,0),W240,1),"")</f>
        <v>Q</v>
      </c>
      <c r="W240" s="3">
        <v>131</v>
      </c>
      <c r="X240" s="3" t="str">
        <f>IFERROR(MID(VLOOKUP($B240,Seqs!$A:$B,2,0),Y240,1),"")</f>
        <v>P</v>
      </c>
      <c r="Y240" s="3">
        <v>132</v>
      </c>
      <c r="Z240" s="3" t="str">
        <f>IFERROR(MID(VLOOKUP($B240,Seqs!$A:$B,2,0),AA240,1),"")</f>
        <v>R</v>
      </c>
      <c r="AA240" s="3">
        <v>139</v>
      </c>
      <c r="AB240" s="3" t="str">
        <f>IFERROR(MID(VLOOKUP($B240,Seqs!$A:$B,2,0),AC240,1),"")</f>
        <v>T</v>
      </c>
      <c r="AC240" s="9">
        <v>140</v>
      </c>
      <c r="AD240" s="3" t="str">
        <f>IFERROR(MID(VLOOKUP($B240,Seqs!$A:$B,2,0),AE240,1),"")</f>
        <v>G</v>
      </c>
      <c r="AE240" s="3">
        <v>164</v>
      </c>
      <c r="AF240" s="3" t="str">
        <f>IFERROR(MID(VLOOKUP($B240,Seqs!$A:$B,2,0),AG240,1),"")</f>
        <v>C</v>
      </c>
      <c r="AG240" s="3">
        <v>180</v>
      </c>
      <c r="AH240" s="3" t="str">
        <f>IFERROR(MID(VLOOKUP($B240,Seqs!$A:$B,2,0),AI240,1),"")</f>
        <v>T</v>
      </c>
      <c r="AI240" s="3">
        <v>182</v>
      </c>
      <c r="AJ240" s="3" t="str">
        <f>IFERROR(MID(VLOOKUP($B240,Seqs!$A:$B,2,0),AK240,1),"")</f>
        <v>V</v>
      </c>
      <c r="AK240" s="3">
        <v>187</v>
      </c>
      <c r="AL240" s="3" t="str">
        <f>IFERROR(MID(VLOOKUP($B240,Seqs!$A:$B,2,0),AM240,1),"")</f>
        <v>N</v>
      </c>
      <c r="AM240" s="3">
        <v>228</v>
      </c>
      <c r="AN240" s="3" t="str">
        <f>IFERROR(MID(VLOOKUP($B240,Seqs!$A:$B,2,0),AO240,1),"")</f>
        <v>G</v>
      </c>
      <c r="AO240" s="3">
        <v>404</v>
      </c>
      <c r="AP240" s="3" t="str">
        <f>IFERROR(MID(VLOOKUP($B240,Seqs!$A:$B,2,0),AQ240,1),"")</f>
        <v>C</v>
      </c>
      <c r="AQ240" s="3">
        <v>441</v>
      </c>
      <c r="AR240" s="3" t="str">
        <f>IFERROR(MID(VLOOKUP($B240,Seqs!$A:$B,2,0),AS240,1),"")</f>
        <v>N</v>
      </c>
      <c r="AS240" s="3">
        <v>446</v>
      </c>
      <c r="AT240" s="3" t="str">
        <f>IFERROR(MID(VLOOKUP($B240,Seqs!$A:$B,2,0),AU240,1),"")</f>
        <v>C</v>
      </c>
      <c r="AU240" s="3">
        <v>471</v>
      </c>
      <c r="AV240" s="3" t="str">
        <f>IFERROR(MID(VLOOKUP($B240,Seqs!$A:$B,2,0),AW240,1),"")</f>
        <v>N</v>
      </c>
      <c r="AW240" s="3">
        <v>472</v>
      </c>
      <c r="AX240" s="3" t="str">
        <f>IFERROR(MID(VLOOKUP($B240,Seqs!$A:$B,2,0),AY240,1),"")</f>
        <v>H</v>
      </c>
      <c r="AY240" s="3">
        <v>484</v>
      </c>
      <c r="AZ240" s="77" t="str">
        <f>VLOOKUP(B240,Classification!A:D,2,0)</f>
        <v>A</v>
      </c>
      <c r="BA240" s="94" t="str">
        <f>VLOOKUP(B240,Classification!A:D,4,0)</f>
        <v>Histamine</v>
      </c>
      <c r="BB240" s="27" t="b">
        <f t="shared" si="1007"/>
        <v>1</v>
      </c>
      <c r="BC240" s="23">
        <f t="shared" si="1057"/>
        <v>257</v>
      </c>
      <c r="BD240" s="34" t="s">
        <v>23</v>
      </c>
      <c r="BE240" s="3" t="s">
        <v>23</v>
      </c>
      <c r="BF240" s="118" t="s">
        <v>23</v>
      </c>
      <c r="BG240" s="49" t="s">
        <v>1366</v>
      </c>
      <c r="BH240" s="49" t="s">
        <v>1371</v>
      </c>
      <c r="BI240" s="1"/>
      <c r="BJ240" s="70" t="s">
        <v>1281</v>
      </c>
      <c r="BK240" s="57" t="s">
        <v>1281</v>
      </c>
      <c r="BL240" s="57" t="s">
        <v>1281</v>
      </c>
      <c r="BM240" s="57" t="s">
        <v>1281</v>
      </c>
      <c r="BN240" s="57" t="s">
        <v>1281</v>
      </c>
      <c r="BO240" s="57" t="s">
        <v>1281</v>
      </c>
      <c r="BP240" s="57" t="s">
        <v>1281</v>
      </c>
      <c r="BQ240" s="57" t="s">
        <v>1281</v>
      </c>
      <c r="BR240" s="57" t="s">
        <v>1281</v>
      </c>
      <c r="BS240" s="57" t="s">
        <v>1281</v>
      </c>
      <c r="BT240" s="57" t="s">
        <v>1281</v>
      </c>
      <c r="BU240" s="57" t="s">
        <v>1281</v>
      </c>
      <c r="BV240" s="70">
        <f>E240</f>
        <v>29</v>
      </c>
      <c r="BW240" s="71">
        <f>I240</f>
        <v>56</v>
      </c>
      <c r="BX240" s="72">
        <f>M240</f>
        <v>60</v>
      </c>
      <c r="BY240" s="71">
        <f>Q240</f>
        <v>92</v>
      </c>
      <c r="BZ240" s="72">
        <f>U240</f>
        <v>96</v>
      </c>
      <c r="CA240" s="71">
        <f>Y240</f>
        <v>132</v>
      </c>
      <c r="CB240" s="72">
        <f>AC240</f>
        <v>140</v>
      </c>
      <c r="CC240" s="71">
        <f>AG240</f>
        <v>180</v>
      </c>
      <c r="CD240" s="72">
        <f>AK240</f>
        <v>187</v>
      </c>
      <c r="CE240" s="71">
        <f>AO240</f>
        <v>404</v>
      </c>
      <c r="CF240" s="72">
        <f>AS240</f>
        <v>446</v>
      </c>
      <c r="CG240" s="71">
        <f>AW240</f>
        <v>472</v>
      </c>
      <c r="CH240" s="70">
        <f>G240</f>
        <v>55</v>
      </c>
      <c r="CI240" s="71">
        <f>K240</f>
        <v>59</v>
      </c>
      <c r="CJ240" s="72">
        <f>O240</f>
        <v>90</v>
      </c>
      <c r="CK240" s="72">
        <f>S240</f>
        <v>95</v>
      </c>
      <c r="CL240" s="72">
        <f>W240</f>
        <v>131</v>
      </c>
      <c r="CM240" s="72">
        <f>AA240</f>
        <v>139</v>
      </c>
      <c r="CN240" s="72">
        <f>AE240</f>
        <v>164</v>
      </c>
      <c r="CO240" s="72">
        <f>AI240</f>
        <v>182</v>
      </c>
      <c r="CP240" s="72">
        <f>AM240</f>
        <v>228</v>
      </c>
      <c r="CQ240" s="72">
        <f>AQ240</f>
        <v>441</v>
      </c>
      <c r="CR240" s="72">
        <f>AU240</f>
        <v>471</v>
      </c>
      <c r="CS240" s="72">
        <f>AY240</f>
        <v>484</v>
      </c>
      <c r="CT240" s="23">
        <f>M240-K240</f>
        <v>1</v>
      </c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  <c r="ADW240" s="1"/>
      <c r="ADX240" s="1"/>
      <c r="ADY240" s="1"/>
      <c r="ADZ240" s="1"/>
      <c r="AEA240" s="1"/>
      <c r="AEB240" s="1"/>
      <c r="AEC240" s="1"/>
      <c r="AED240" s="1"/>
      <c r="AEE240" s="1"/>
      <c r="AEF240" s="1"/>
      <c r="AEG240" s="1"/>
      <c r="AEH240" s="1"/>
      <c r="AEI240" s="1"/>
      <c r="AEJ240" s="1"/>
      <c r="AEK240" s="1"/>
      <c r="AEL240" s="1"/>
      <c r="AEM240" s="1"/>
      <c r="AEN240" s="1"/>
      <c r="AEO240" s="1"/>
      <c r="AEP240" s="1"/>
      <c r="AEQ240" s="1"/>
      <c r="AER240" s="1"/>
      <c r="AES240" s="1"/>
      <c r="AET240" s="1"/>
      <c r="AEU240" s="1"/>
      <c r="AEV240" s="1"/>
      <c r="AEW240" s="1"/>
      <c r="AEX240" s="1"/>
      <c r="AEY240" s="1"/>
      <c r="AEZ240" s="1"/>
      <c r="AFA240" s="1"/>
      <c r="AFB240" s="1"/>
      <c r="AFC240" s="1"/>
      <c r="AFD240" s="1"/>
      <c r="AFE240" s="1"/>
      <c r="AFF240" s="1"/>
      <c r="AFG240" s="1"/>
      <c r="AFH240" s="1"/>
      <c r="AFI240" s="1"/>
      <c r="AFJ240" s="1"/>
      <c r="AFK240" s="1"/>
      <c r="AFL240" s="1"/>
      <c r="AFM240" s="1"/>
      <c r="AFN240" s="1"/>
      <c r="AFO240" s="1"/>
      <c r="AFP240" s="1"/>
      <c r="AFQ240" s="1"/>
      <c r="AFR240" s="1"/>
      <c r="AFS240" s="1"/>
      <c r="AFT240" s="1"/>
      <c r="AFU240" s="1"/>
      <c r="AFV240" s="1"/>
      <c r="AFW240" s="1"/>
      <c r="AFX240" s="1"/>
      <c r="AFY240" s="1"/>
      <c r="AFZ240" s="1"/>
      <c r="AGA240" s="1"/>
      <c r="AGB240" s="1"/>
      <c r="AGC240" s="1"/>
      <c r="AGD240" s="1"/>
      <c r="AGE240" s="1"/>
      <c r="AGF240" s="1"/>
      <c r="AGG240" s="1"/>
      <c r="AGH240" s="1"/>
      <c r="AGI240" s="1"/>
      <c r="AGJ240" s="1"/>
      <c r="AGK240" s="1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  <c r="ALN240" s="1"/>
      <c r="ALO240" s="1"/>
      <c r="ALP240" s="1"/>
      <c r="ALQ240" s="1"/>
      <c r="ALR240" s="1"/>
      <c r="ALS240" s="1"/>
      <c r="ALT240" s="1"/>
      <c r="ALU240" s="1"/>
      <c r="ALV240" s="1"/>
      <c r="ALW240" s="1"/>
      <c r="ALX240" s="1"/>
      <c r="ALY240" s="1"/>
      <c r="ALZ240" s="1"/>
      <c r="AMA240" s="1"/>
      <c r="AMB240" s="1"/>
      <c r="AMC240" s="1"/>
      <c r="AMD240" s="1"/>
      <c r="AME240" s="1"/>
      <c r="AMF240" s="1"/>
      <c r="AMG240" s="1"/>
      <c r="AMH240" s="1"/>
      <c r="AMI240" s="1"/>
      <c r="AMJ240" s="1"/>
      <c r="AMK240" s="1"/>
      <c r="AML240" s="1"/>
      <c r="AMM240" s="1"/>
      <c r="AMN240" s="1"/>
      <c r="AMO240" s="1"/>
    </row>
    <row r="241" spans="1:1029" x14ac:dyDescent="0.2">
      <c r="A241" s="3" t="str">
        <f>CONCATENATE(B241,"_",C241)</f>
        <v>hrh1_human_3RZE</v>
      </c>
      <c r="B241" s="3" t="s">
        <v>277</v>
      </c>
      <c r="C241" s="3" t="s">
        <v>73</v>
      </c>
      <c r="D241" s="3" t="str">
        <f>IFERROR(MID(VLOOKUP($B241,Seqs!$A:$B,2,0),E241,1),"")</f>
        <v>V</v>
      </c>
      <c r="E241" s="3">
        <v>33</v>
      </c>
      <c r="F241" s="3" t="str">
        <f>IFERROR(MID(VLOOKUP($B241,Seqs!$A:$B,2,0),G241,1),"")</f>
        <v>E</v>
      </c>
      <c r="G241" s="3">
        <v>55</v>
      </c>
      <c r="H241" s="3" t="str">
        <f>IFERROR(MID(VLOOKUP($B241,Seqs!$A:$B,2,0),I241,1),"")</f>
        <v>R</v>
      </c>
      <c r="I241" s="23">
        <v>56</v>
      </c>
      <c r="J241" s="3" t="str">
        <f>IFERROR(MID(VLOOKUP($B241,Seqs!$A:$B,2,0),K241,1),"")</f>
        <v>H</v>
      </c>
      <c r="K241" s="23">
        <v>59</v>
      </c>
      <c r="L241" s="3" t="str">
        <f>IFERROR(MID(VLOOKUP($B241,Seqs!$A:$B,2,0),M241,1),"")</f>
        <v>T</v>
      </c>
      <c r="M241" s="3">
        <v>60</v>
      </c>
      <c r="N241" s="3" t="str">
        <f>IFERROR(MID(VLOOKUP($B241,Seqs!$A:$B,2,0),O241,1),"")</f>
        <v>M</v>
      </c>
      <c r="O241" s="3">
        <v>90</v>
      </c>
      <c r="P241" s="3" t="str">
        <f>IFERROR(MID(VLOOKUP($B241,Seqs!$A:$B,2,0),Q241,1),"")</f>
        <v>K</v>
      </c>
      <c r="Q241" s="3">
        <v>92</v>
      </c>
      <c r="R241" s="3" t="str">
        <f>IFERROR(MID(VLOOKUP($B241,Seqs!$A:$B,2,0),S241,1),"")</f>
        <v>L</v>
      </c>
      <c r="S241" s="3">
        <v>95</v>
      </c>
      <c r="T241" s="3" t="str">
        <f>IFERROR(MID(VLOOKUP($B241,Seqs!$A:$B,2,0),U241,1),"")</f>
        <v>G</v>
      </c>
      <c r="U241" s="3">
        <v>96</v>
      </c>
      <c r="V241" s="3" t="str">
        <f>IFERROR(MID(VLOOKUP($B241,Seqs!$A:$B,2,0),W241,1),"")</f>
        <v>Q</v>
      </c>
      <c r="W241" s="3">
        <v>131</v>
      </c>
      <c r="X241" s="3" t="str">
        <f>IFERROR(MID(VLOOKUP($B241,Seqs!$A:$B,2,0),Y241,1),"")</f>
        <v/>
      </c>
      <c r="Y241" s="3" t="s">
        <v>23</v>
      </c>
      <c r="Z241" s="3" t="str">
        <f>IFERROR(MID(VLOOKUP($B241,Seqs!$A:$B,2,0),AA241,1),"")</f>
        <v/>
      </c>
      <c r="AA241" s="3" t="s">
        <v>23</v>
      </c>
      <c r="AB241" s="3" t="str">
        <f>IFERROR(MID(VLOOKUP($B241,Seqs!$A:$B,2,0),AC241,1),"")</f>
        <v>T</v>
      </c>
      <c r="AC241" s="9">
        <v>140</v>
      </c>
      <c r="AD241" s="3" t="str">
        <f>IFERROR(MID(VLOOKUP($B241,Seqs!$A:$B,2,0),AE241,1),"")</f>
        <v>G</v>
      </c>
      <c r="AE241" s="3">
        <v>164</v>
      </c>
      <c r="AF241" s="3" t="str">
        <f>IFERROR(MID(VLOOKUP($B241,Seqs!$A:$B,2,0),AG241,1),"")</f>
        <v>C</v>
      </c>
      <c r="AG241" s="3">
        <v>180</v>
      </c>
      <c r="AH241" s="3" t="str">
        <f>IFERROR(MID(VLOOKUP($B241,Seqs!$A:$B,2,0),AI241,1),"")</f>
        <v>T</v>
      </c>
      <c r="AI241" s="3">
        <v>182</v>
      </c>
      <c r="AJ241" s="3" t="str">
        <f>IFERROR(MID(VLOOKUP($B241,Seqs!$A:$B,2,0),AK241,1),"")</f>
        <v>V</v>
      </c>
      <c r="AK241" s="3">
        <v>187</v>
      </c>
      <c r="AL241" s="3" t="str">
        <f>IFERROR(MID(VLOOKUP($B241,Seqs!$A:$B,2,0),AM241,1),"")</f>
        <v>V</v>
      </c>
      <c r="AM241" s="3">
        <v>217</v>
      </c>
      <c r="AN241" s="3" t="str">
        <f>IFERROR(MID(VLOOKUP($B241,Seqs!$A:$B,2,0),AO241,1),"")</f>
        <v>N</v>
      </c>
      <c r="AO241" s="3">
        <v>408</v>
      </c>
      <c r="AP241" s="3" t="str">
        <f>IFERROR(MID(VLOOKUP($B241,Seqs!$A:$B,2,0),AQ241,1),"")</f>
        <v>C</v>
      </c>
      <c r="AQ241" s="3">
        <v>441</v>
      </c>
      <c r="AR241" s="3" t="str">
        <f>IFERROR(MID(VLOOKUP($B241,Seqs!$A:$B,2,0),AS241,1),"")</f>
        <v>N</v>
      </c>
      <c r="AS241" s="3">
        <v>446</v>
      </c>
      <c r="AT241" s="3" t="str">
        <f>IFERROR(MID(VLOOKUP($B241,Seqs!$A:$B,2,0),AU241,1),"")</f>
        <v>C</v>
      </c>
      <c r="AU241" s="3">
        <v>471</v>
      </c>
      <c r="AV241" s="3" t="str">
        <f>IFERROR(MID(VLOOKUP($B241,Seqs!$A:$B,2,0),AW241,1),"")</f>
        <v>N</v>
      </c>
      <c r="AW241" s="3">
        <v>472</v>
      </c>
      <c r="AX241" s="3" t="str">
        <f>IFERROR(MID(VLOOKUP($B241,Seqs!$A:$B,2,0),AY241,1),"")</f>
        <v>H</v>
      </c>
      <c r="AY241" s="3">
        <v>484</v>
      </c>
      <c r="AZ241" s="77" t="str">
        <f>VLOOKUP(B241,Classification!A:D,2,0)</f>
        <v>A</v>
      </c>
      <c r="BA241" s="94" t="str">
        <f>VLOOKUP(B241,Classification!A:D,4,0)</f>
        <v>Histamine</v>
      </c>
      <c r="BB241" s="27" t="b">
        <f t="shared" si="1007"/>
        <v>1</v>
      </c>
      <c r="BC241" s="23">
        <f t="shared" si="1057"/>
        <v>231</v>
      </c>
      <c r="BD241" s="16" t="s">
        <v>1370</v>
      </c>
      <c r="BE241" s="3" t="s">
        <v>1368</v>
      </c>
      <c r="BF241" s="118">
        <v>3.1</v>
      </c>
      <c r="BG241" s="49" t="s">
        <v>1371</v>
      </c>
      <c r="BH241" s="49" t="s">
        <v>1371</v>
      </c>
      <c r="BI241" s="1"/>
      <c r="BJ241" s="70" t="s">
        <v>1281</v>
      </c>
      <c r="BK241" s="57" t="s">
        <v>1281</v>
      </c>
      <c r="BL241" s="57" t="s">
        <v>1281</v>
      </c>
      <c r="BM241" s="57" t="s">
        <v>1281</v>
      </c>
      <c r="BN241" s="57" t="s">
        <v>1281</v>
      </c>
      <c r="BO241" s="57" t="s">
        <v>1281</v>
      </c>
      <c r="BP241" s="57" t="s">
        <v>1281</v>
      </c>
      <c r="BQ241" s="57" t="s">
        <v>1281</v>
      </c>
      <c r="BR241" s="57" t="s">
        <v>1281</v>
      </c>
      <c r="BS241" s="57" t="s">
        <v>1281</v>
      </c>
      <c r="BT241" s="57" t="s">
        <v>1281</v>
      </c>
      <c r="BU241" s="57" t="s">
        <v>1281</v>
      </c>
      <c r="BV241" s="70">
        <f>E241</f>
        <v>33</v>
      </c>
      <c r="BW241" s="71">
        <f>I241</f>
        <v>56</v>
      </c>
      <c r="BX241" s="72">
        <f>M241</f>
        <v>60</v>
      </c>
      <c r="BY241" s="71">
        <f>Q241</f>
        <v>92</v>
      </c>
      <c r="BZ241" s="72">
        <f>U241</f>
        <v>96</v>
      </c>
      <c r="CA241" s="71" t="str">
        <f>Y241</f>
        <v>-</v>
      </c>
      <c r="CB241" s="72">
        <f>AC241</f>
        <v>140</v>
      </c>
      <c r="CC241" s="71">
        <f>AG241</f>
        <v>180</v>
      </c>
      <c r="CD241" s="72">
        <f>AK241</f>
        <v>187</v>
      </c>
      <c r="CE241" s="71">
        <f>AO241</f>
        <v>408</v>
      </c>
      <c r="CF241" s="72">
        <f>AS241</f>
        <v>446</v>
      </c>
      <c r="CG241" s="71">
        <f>AW241</f>
        <v>472</v>
      </c>
      <c r="CH241" s="70">
        <f>G241</f>
        <v>55</v>
      </c>
      <c r="CI241" s="71">
        <f>K241</f>
        <v>59</v>
      </c>
      <c r="CJ241" s="72">
        <f>O241</f>
        <v>90</v>
      </c>
      <c r="CK241" s="72">
        <f>S241</f>
        <v>95</v>
      </c>
      <c r="CL241" s="72">
        <f>W241</f>
        <v>131</v>
      </c>
      <c r="CM241" s="72" t="str">
        <f>AA241</f>
        <v>-</v>
      </c>
      <c r="CN241" s="72">
        <f>AE241</f>
        <v>164</v>
      </c>
      <c r="CO241" s="72">
        <f>AI241</f>
        <v>182</v>
      </c>
      <c r="CP241" s="72">
        <f>AM241</f>
        <v>217</v>
      </c>
      <c r="CQ241" s="72">
        <f>AQ241</f>
        <v>441</v>
      </c>
      <c r="CR241" s="72">
        <f>AU241</f>
        <v>471</v>
      </c>
      <c r="CS241" s="72">
        <f>AY241</f>
        <v>484</v>
      </c>
      <c r="CT241" s="23">
        <f>M241-K241</f>
        <v>1</v>
      </c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1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1"/>
      <c r="ACO241" s="1"/>
      <c r="ACP241" s="1"/>
      <c r="ACQ241" s="1"/>
      <c r="ACR241" s="1"/>
      <c r="ACS241" s="1"/>
      <c r="ACT241" s="1"/>
      <c r="ACU241" s="1"/>
      <c r="ACV241" s="1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1"/>
      <c r="ADH241" s="1"/>
      <c r="ADI241" s="1"/>
      <c r="ADJ241" s="1"/>
      <c r="ADK241" s="1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  <c r="ADV241" s="1"/>
      <c r="ADW241" s="1"/>
      <c r="ADX241" s="1"/>
      <c r="ADY241" s="1"/>
      <c r="ADZ241" s="1"/>
      <c r="AEA241" s="1"/>
      <c r="AEB241" s="1"/>
      <c r="AEC241" s="1"/>
      <c r="AED241" s="1"/>
      <c r="AEE241" s="1"/>
      <c r="AEF241" s="1"/>
      <c r="AEG241" s="1"/>
      <c r="AEH241" s="1"/>
      <c r="AEI241" s="1"/>
      <c r="AEJ241" s="1"/>
      <c r="AEK241" s="1"/>
      <c r="AEL241" s="1"/>
      <c r="AEM241" s="1"/>
      <c r="AEN241" s="1"/>
      <c r="AEO241" s="1"/>
      <c r="AEP241" s="1"/>
      <c r="AEQ241" s="1"/>
      <c r="AER241" s="1"/>
      <c r="AES241" s="1"/>
      <c r="AET241" s="1"/>
      <c r="AEU241" s="1"/>
      <c r="AEV241" s="1"/>
      <c r="AEW241" s="1"/>
      <c r="AEX241" s="1"/>
      <c r="AEY241" s="1"/>
      <c r="AEZ241" s="1"/>
      <c r="AFA241" s="1"/>
      <c r="AFB241" s="1"/>
      <c r="AFC241" s="1"/>
      <c r="AFD241" s="1"/>
      <c r="AFE241" s="1"/>
      <c r="AFF241" s="1"/>
      <c r="AFG241" s="1"/>
      <c r="AFH241" s="1"/>
      <c r="AFI241" s="1"/>
      <c r="AFJ241" s="1"/>
      <c r="AFK241" s="1"/>
      <c r="AFL241" s="1"/>
      <c r="AFM241" s="1"/>
      <c r="AFN241" s="1"/>
      <c r="AFO241" s="1"/>
      <c r="AFP241" s="1"/>
      <c r="AFQ241" s="1"/>
      <c r="AFR241" s="1"/>
      <c r="AFS241" s="1"/>
      <c r="AFT241" s="1"/>
      <c r="AFU241" s="1"/>
      <c r="AFV241" s="1"/>
      <c r="AFW241" s="1"/>
      <c r="AFX241" s="1"/>
      <c r="AFY241" s="1"/>
      <c r="AFZ241" s="1"/>
      <c r="AGA241" s="1"/>
      <c r="AGB241" s="1"/>
      <c r="AGC241" s="1"/>
      <c r="AGD241" s="1"/>
      <c r="AGE241" s="1"/>
      <c r="AGF241" s="1"/>
      <c r="AGG241" s="1"/>
      <c r="AGH241" s="1"/>
      <c r="AGI241" s="1"/>
      <c r="AGJ241" s="1"/>
      <c r="AGK241" s="1"/>
      <c r="AGL241" s="1"/>
      <c r="AGM241" s="1"/>
      <c r="AGN241" s="1"/>
      <c r="AGO241" s="1"/>
      <c r="AGP241" s="1"/>
      <c r="AGQ241" s="1"/>
      <c r="AGR241" s="1"/>
      <c r="AGS241" s="1"/>
      <c r="AGT241" s="1"/>
      <c r="AGU241" s="1"/>
      <c r="AGV241" s="1"/>
      <c r="AGW241" s="1"/>
      <c r="AGX241" s="1"/>
      <c r="AGY241" s="1"/>
      <c r="AGZ241" s="1"/>
      <c r="AHA241" s="1"/>
      <c r="AHB241" s="1"/>
      <c r="AHC241" s="1"/>
      <c r="AHD241" s="1"/>
      <c r="AHE241" s="1"/>
      <c r="AHF241" s="1"/>
      <c r="AHG241" s="1"/>
      <c r="AHH241" s="1"/>
      <c r="AHI241" s="1"/>
      <c r="AHJ241" s="1"/>
      <c r="AHK241" s="1"/>
      <c r="AHL241" s="1"/>
      <c r="AHM241" s="1"/>
      <c r="AHN241" s="1"/>
      <c r="AHO241" s="1"/>
      <c r="AHP241" s="1"/>
      <c r="AHQ241" s="1"/>
      <c r="AHR241" s="1"/>
      <c r="AHS241" s="1"/>
      <c r="AHT241" s="1"/>
      <c r="AHU241" s="1"/>
      <c r="AHV241" s="1"/>
      <c r="AHW241" s="1"/>
      <c r="AHX241" s="1"/>
      <c r="AHY241" s="1"/>
      <c r="AHZ241" s="1"/>
      <c r="AIA241" s="1"/>
      <c r="AIB241" s="1"/>
      <c r="AIC241" s="1"/>
      <c r="AID241" s="1"/>
      <c r="AIE241" s="1"/>
      <c r="AIF241" s="1"/>
      <c r="AIG241" s="1"/>
      <c r="AIH241" s="1"/>
      <c r="AII241" s="1"/>
      <c r="AIJ241" s="1"/>
      <c r="AIK241" s="1"/>
      <c r="AIL241" s="1"/>
      <c r="AIM241" s="1"/>
      <c r="AIN241" s="1"/>
      <c r="AIO241" s="1"/>
      <c r="AIP241" s="1"/>
      <c r="AIQ241" s="1"/>
      <c r="AIR241" s="1"/>
      <c r="AIS241" s="1"/>
      <c r="AIT241" s="1"/>
      <c r="AIU241" s="1"/>
      <c r="AIV241" s="1"/>
      <c r="AIW241" s="1"/>
      <c r="AIX241" s="1"/>
      <c r="AIY241" s="1"/>
      <c r="AIZ241" s="1"/>
      <c r="AJA241" s="1"/>
      <c r="AJB241" s="1"/>
      <c r="AJC241" s="1"/>
      <c r="AJD241" s="1"/>
      <c r="AJE241" s="1"/>
      <c r="AJF241" s="1"/>
      <c r="AJG241" s="1"/>
      <c r="AJH241" s="1"/>
      <c r="AJI241" s="1"/>
      <c r="AJJ241" s="1"/>
      <c r="AJK241" s="1"/>
      <c r="AJL241" s="1"/>
      <c r="AJM241" s="1"/>
      <c r="AJN241" s="1"/>
      <c r="AJO241" s="1"/>
      <c r="AJP241" s="1"/>
      <c r="AJQ241" s="1"/>
      <c r="AJR241" s="1"/>
      <c r="AJS241" s="1"/>
      <c r="AJT241" s="1"/>
      <c r="AJU241" s="1"/>
      <c r="AJV241" s="1"/>
      <c r="AJW241" s="1"/>
      <c r="AJX241" s="1"/>
      <c r="AJY241" s="1"/>
      <c r="AJZ241" s="1"/>
      <c r="AKA241" s="1"/>
      <c r="AKB241" s="1"/>
      <c r="AKC241" s="1"/>
      <c r="AKD241" s="1"/>
      <c r="AKE241" s="1"/>
      <c r="AKF241" s="1"/>
      <c r="AKG241" s="1"/>
      <c r="AKH241" s="1"/>
      <c r="AKI241" s="1"/>
      <c r="AKJ241" s="1"/>
      <c r="AKK241" s="1"/>
      <c r="AKL241" s="1"/>
      <c r="AKM241" s="1"/>
      <c r="AKN241" s="1"/>
      <c r="AKO241" s="1"/>
      <c r="AKP241" s="1"/>
      <c r="AKQ241" s="1"/>
      <c r="AKR241" s="1"/>
      <c r="AKS241" s="1"/>
      <c r="AKT241" s="1"/>
      <c r="AKU241" s="1"/>
      <c r="AKV241" s="1"/>
      <c r="AKW241" s="1"/>
      <c r="AKX241" s="1"/>
      <c r="AKY241" s="1"/>
      <c r="AKZ241" s="1"/>
      <c r="ALA241" s="1"/>
      <c r="ALB241" s="1"/>
      <c r="ALC241" s="1"/>
      <c r="ALD241" s="1"/>
      <c r="ALE241" s="1"/>
      <c r="ALF241" s="1"/>
      <c r="ALG241" s="1"/>
      <c r="ALH241" s="1"/>
      <c r="ALI241" s="1"/>
      <c r="ALJ241" s="1"/>
      <c r="ALK241" s="1"/>
      <c r="ALL241" s="1"/>
      <c r="ALM241" s="1"/>
      <c r="ALN241" s="1"/>
      <c r="ALO241" s="1"/>
      <c r="ALP241" s="1"/>
      <c r="ALQ241" s="1"/>
      <c r="ALR241" s="1"/>
      <c r="ALS241" s="1"/>
      <c r="ALT241" s="1"/>
      <c r="ALU241" s="1"/>
      <c r="ALV241" s="1"/>
      <c r="ALW241" s="1"/>
      <c r="ALX241" s="1"/>
      <c r="ALY241" s="1"/>
      <c r="ALZ241" s="1"/>
      <c r="AMA241" s="1"/>
      <c r="AMB241" s="1"/>
      <c r="AMC241" s="1"/>
      <c r="AMD241" s="1"/>
      <c r="AME241" s="1"/>
      <c r="AMF241" s="1"/>
      <c r="AMG241" s="1"/>
      <c r="AMH241" s="1"/>
      <c r="AMI241" s="1"/>
      <c r="AMJ241" s="1"/>
      <c r="AMK241" s="1"/>
      <c r="AML241" s="1"/>
      <c r="AMM241" s="1"/>
      <c r="AMN241" s="1"/>
      <c r="AMO241" s="1"/>
    </row>
    <row r="242" spans="1:1029" x14ac:dyDescent="0.2">
      <c r="A242" s="3" t="str">
        <f>CONCATENATE(B242,"_",C242)</f>
        <v>lpar1_human__wt</v>
      </c>
      <c r="B242" s="3" t="s">
        <v>103</v>
      </c>
      <c r="C242" s="3" t="s">
        <v>100</v>
      </c>
      <c r="D242" s="3" t="str">
        <f>IFERROR(MID(VLOOKUP($B242,Seqs!$A:$B,2,0),E242,1),"")</f>
        <v>T</v>
      </c>
      <c r="E242" s="3">
        <v>47</v>
      </c>
      <c r="F242" s="3" t="str">
        <f>IFERROR(MID(VLOOKUP($B242,Seqs!$A:$B,2,0),G242,1),"")</f>
        <v>N</v>
      </c>
      <c r="G242" s="3">
        <v>77</v>
      </c>
      <c r="H242" s="3" t="str">
        <f>IFERROR(MID(VLOOKUP($B242,Seqs!$A:$B,2,0),I242,1),"")</f>
        <v>R</v>
      </c>
      <c r="I242" s="23">
        <v>78</v>
      </c>
      <c r="J242" s="3" t="str">
        <f>IFERROR(MID(VLOOKUP($B242,Seqs!$A:$B,2,0),K242,1),"")</f>
        <v>H</v>
      </c>
      <c r="K242" s="23">
        <v>81</v>
      </c>
      <c r="L242" s="3" t="str">
        <f>IFERROR(MID(VLOOKUP($B242,Seqs!$A:$B,2,0),M242,1),"")</f>
        <v>F</v>
      </c>
      <c r="M242" s="3">
        <v>82</v>
      </c>
      <c r="N242" s="3" t="str">
        <f>IFERROR(MID(VLOOKUP($B242,Seqs!$A:$B,2,0),O242,1),"")</f>
        <v>N</v>
      </c>
      <c r="O242" s="3">
        <v>108</v>
      </c>
      <c r="P242" s="3" t="str">
        <f>IFERROR(MID(VLOOKUP($B242,Seqs!$A:$B,2,0),Q242,1),"")</f>
        <v>G</v>
      </c>
      <c r="Q242" s="3">
        <v>110</v>
      </c>
      <c r="R242" s="3" t="str">
        <f>IFERROR(MID(VLOOKUP($B242,Seqs!$A:$B,2,0),S242,1),"")</f>
        <v>L</v>
      </c>
      <c r="S242" s="3">
        <v>116</v>
      </c>
      <c r="T242" s="3" t="str">
        <f>IFERROR(MID(VLOOKUP($B242,Seqs!$A:$B,2,0),U242,1),"")</f>
        <v>T</v>
      </c>
      <c r="U242" s="3">
        <v>117</v>
      </c>
      <c r="V242" s="3" t="str">
        <f>IFERROR(MID(VLOOKUP($B242,Seqs!$A:$B,2,0),W242,1),"")</f>
        <v>R</v>
      </c>
      <c r="W242" s="3">
        <v>152</v>
      </c>
      <c r="X242" s="3" t="str">
        <f>IFERROR(MID(VLOOKUP($B242,Seqs!$A:$B,2,0),Y242,1),"")</f>
        <v>M</v>
      </c>
      <c r="Y242" s="105">
        <v>153</v>
      </c>
      <c r="Z242" s="3" t="str">
        <f>IFERROR(MID(VLOOKUP($B242,Seqs!$A:$B,2,0),AA242,1),"")</f>
        <v>M</v>
      </c>
      <c r="AA242" s="105">
        <v>159</v>
      </c>
      <c r="AB242" s="3" t="str">
        <f>IFERROR(MID(VLOOKUP($B242,Seqs!$A:$B,2,0),AC242,1),"")</f>
        <v>S</v>
      </c>
      <c r="AC242" s="105">
        <v>160</v>
      </c>
      <c r="AD242" s="3" t="str">
        <f>IFERROR(MID(VLOOKUP($B242,Seqs!$A:$B,2,0),AE242,1),"")</f>
        <v>G</v>
      </c>
      <c r="AE242" s="3">
        <v>185</v>
      </c>
      <c r="AF242" s="3" t="str">
        <f>IFERROR(MID(VLOOKUP($B242,Seqs!$A:$B,2,0),AG242,1),"")</f>
        <v/>
      </c>
      <c r="AG242" s="3" t="s">
        <v>23</v>
      </c>
      <c r="AH242" s="3" t="str">
        <f>IFERROR(MID(VLOOKUP($B242,Seqs!$A:$B,2,0),AI242,1),"")</f>
        <v/>
      </c>
      <c r="AI242" s="3" t="s">
        <v>23</v>
      </c>
      <c r="AJ242" s="3" t="str">
        <f>IFERROR(MID(VLOOKUP($B242,Seqs!$A:$B,2,0),AK242,1),"")</f>
        <v>S</v>
      </c>
      <c r="AK242" s="3">
        <v>203</v>
      </c>
      <c r="AL242" s="3" t="str">
        <f>IFERROR(MID(VLOOKUP($B242,Seqs!$A:$B,2,0),AM242,1),"")</f>
        <v>S</v>
      </c>
      <c r="AM242" s="3">
        <v>240</v>
      </c>
      <c r="AN242" s="3" t="str">
        <f>IFERROR(MID(VLOOKUP($B242,Seqs!$A:$B,2,0),AO242,1),"")</f>
        <v>G</v>
      </c>
      <c r="AO242" s="3">
        <v>245</v>
      </c>
      <c r="AP242" s="3" t="str">
        <f>IFERROR(MID(VLOOKUP($B242,Seqs!$A:$B,2,0),AQ242,1),"")</f>
        <v>C</v>
      </c>
      <c r="AQ242" s="3">
        <v>284</v>
      </c>
      <c r="AR242" s="3" t="str">
        <f>IFERROR(MID(VLOOKUP($B242,Seqs!$A:$B,2,0),AS242,1),"")</f>
        <v>D</v>
      </c>
      <c r="AS242" s="3">
        <v>288</v>
      </c>
      <c r="AT242" s="3" t="str">
        <f>IFERROR(MID(VLOOKUP($B242,Seqs!$A:$B,2,0),AU242,1),"")</f>
        <v>R</v>
      </c>
      <c r="AU242" s="3">
        <v>314</v>
      </c>
      <c r="AV242" s="3" t="str">
        <f>IFERROR(MID(VLOOKUP($B242,Seqs!$A:$B,2,0),AW242,1),"")</f>
        <v>D</v>
      </c>
      <c r="AW242" s="3">
        <v>315</v>
      </c>
      <c r="AX242" s="3" t="str">
        <f>IFERROR(MID(VLOOKUP($B242,Seqs!$A:$B,2,0),AY242,1),"")</f>
        <v>C</v>
      </c>
      <c r="AY242" s="3">
        <v>327</v>
      </c>
      <c r="AZ242" s="77" t="str">
        <f>VLOOKUP(B242,Classification!A:D,2,0)</f>
        <v>A</v>
      </c>
      <c r="BA242" s="94" t="str">
        <f>VLOOKUP(B242,Classification!A:D,4,0)</f>
        <v>Lysophospholipid(LPA)</v>
      </c>
      <c r="BB242" s="27" t="b">
        <f t="shared" ref="BB242:BB304" si="1074">AND(E242&lt;G242,OR(G242&lt;I242,I242="-"),OR(I242&lt;K242,I242="-"),OR(K242&lt;M242,K242="-"),M242&lt;O242,OR(O242&lt;Q242,Q242="-"),OR(Q242&lt;S242,Q242="-"),OR(S242&lt;U242,S242="-"),U242&lt;W242,OR(W242&lt;Y242,Y242="-"),OR(Y242&lt;AA242,Y242="-"),OR(AA242&lt;AC242,AA242="-"),AC242&lt;AE242,OR(AE242&lt;AG242,AG242="-"),OR(AG242&lt;AI242,AG242="-"),OR(AI242&lt;AK242,AI242="-"),AK242&lt;AM242,AM242&lt;AO242,AO242&lt;AQ242,AQ242&lt;AS242,AS242&lt;AU242,OR(AU242&lt;AW242,AW242="-"),OR(AW242&lt;AY242,AW242="-"))</f>
        <v>1</v>
      </c>
      <c r="BC242" s="23">
        <f t="shared" si="1057"/>
        <v>257</v>
      </c>
      <c r="BD242" s="56" t="s">
        <v>23</v>
      </c>
      <c r="BE242" s="3" t="s">
        <v>23</v>
      </c>
      <c r="BF242" s="118" t="s">
        <v>23</v>
      </c>
      <c r="BG242" s="49" t="s">
        <v>1366</v>
      </c>
      <c r="BH242" s="49" t="s">
        <v>1371</v>
      </c>
      <c r="BI242" s="1"/>
      <c r="BJ242" s="70" t="s">
        <v>1281</v>
      </c>
      <c r="BK242" s="57" t="s">
        <v>1281</v>
      </c>
      <c r="BL242" s="57" t="s">
        <v>1281</v>
      </c>
      <c r="BM242" s="57" t="s">
        <v>1281</v>
      </c>
      <c r="BN242" s="57" t="s">
        <v>1281</v>
      </c>
      <c r="BO242" s="57" t="s">
        <v>1281</v>
      </c>
      <c r="BP242" s="57" t="s">
        <v>1281</v>
      </c>
      <c r="BQ242" s="57" t="s">
        <v>1281</v>
      </c>
      <c r="BR242" s="57" t="s">
        <v>1281</v>
      </c>
      <c r="BS242" s="57" t="s">
        <v>1281</v>
      </c>
      <c r="BT242" s="57" t="s">
        <v>1281</v>
      </c>
      <c r="BU242" s="57" t="s">
        <v>1281</v>
      </c>
      <c r="BV242" s="70">
        <f>E242</f>
        <v>47</v>
      </c>
      <c r="BW242" s="71">
        <f>I242</f>
        <v>78</v>
      </c>
      <c r="BX242" s="72">
        <f>M242</f>
        <v>82</v>
      </c>
      <c r="BY242" s="71">
        <f>Q242</f>
        <v>110</v>
      </c>
      <c r="BZ242" s="72">
        <f>U242</f>
        <v>117</v>
      </c>
      <c r="CA242" s="71">
        <f>Y242</f>
        <v>153</v>
      </c>
      <c r="CB242" s="72">
        <f>AC242</f>
        <v>160</v>
      </c>
      <c r="CC242" s="71" t="str">
        <f>AG242</f>
        <v>-</v>
      </c>
      <c r="CD242" s="72">
        <f>AK242</f>
        <v>203</v>
      </c>
      <c r="CE242" s="71">
        <f>AO242</f>
        <v>245</v>
      </c>
      <c r="CF242" s="72">
        <f>AS242</f>
        <v>288</v>
      </c>
      <c r="CG242" s="71">
        <f>AW242</f>
        <v>315</v>
      </c>
      <c r="CH242" s="70">
        <f>G242</f>
        <v>77</v>
      </c>
      <c r="CI242" s="71">
        <f>K242</f>
        <v>81</v>
      </c>
      <c r="CJ242" s="72">
        <f>O242</f>
        <v>108</v>
      </c>
      <c r="CK242" s="72">
        <f>S242</f>
        <v>116</v>
      </c>
      <c r="CL242" s="72">
        <f>W242</f>
        <v>152</v>
      </c>
      <c r="CM242" s="72">
        <f>AA242</f>
        <v>159</v>
      </c>
      <c r="CN242" s="72">
        <f>AE242</f>
        <v>185</v>
      </c>
      <c r="CO242" s="72" t="str">
        <f>AI242</f>
        <v>-</v>
      </c>
      <c r="CP242" s="72">
        <f>AM242</f>
        <v>240</v>
      </c>
      <c r="CQ242" s="72">
        <f>AQ242</f>
        <v>284</v>
      </c>
      <c r="CR242" s="72">
        <f>AU242</f>
        <v>314</v>
      </c>
      <c r="CS242" s="72">
        <f>AY242</f>
        <v>327</v>
      </c>
      <c r="CT242" s="23">
        <f>M242-K242</f>
        <v>1</v>
      </c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  <c r="ADW242" s="1"/>
      <c r="ADX242" s="1"/>
      <c r="ADY242" s="1"/>
      <c r="ADZ242" s="1"/>
      <c r="AEA242" s="1"/>
      <c r="AEB242" s="1"/>
      <c r="AEC242" s="1"/>
      <c r="AED242" s="1"/>
      <c r="AEE242" s="1"/>
      <c r="AEF242" s="1"/>
      <c r="AEG242" s="1"/>
      <c r="AEH242" s="1"/>
      <c r="AEI242" s="1"/>
      <c r="AEJ242" s="1"/>
      <c r="AEK242" s="1"/>
      <c r="AEL242" s="1"/>
      <c r="AEM242" s="1"/>
      <c r="AEN242" s="1"/>
      <c r="AEO242" s="1"/>
      <c r="AEP242" s="1"/>
      <c r="AEQ242" s="1"/>
      <c r="AER242" s="1"/>
      <c r="AES242" s="1"/>
      <c r="AET242" s="1"/>
      <c r="AEU242" s="1"/>
      <c r="AEV242" s="1"/>
      <c r="AEW242" s="1"/>
      <c r="AEX242" s="1"/>
      <c r="AEY242" s="1"/>
      <c r="AEZ242" s="1"/>
      <c r="AFA242" s="1"/>
      <c r="AFB242" s="1"/>
      <c r="AFC242" s="1"/>
      <c r="AFD242" s="1"/>
      <c r="AFE242" s="1"/>
      <c r="AFF242" s="1"/>
      <c r="AFG242" s="1"/>
      <c r="AFH242" s="1"/>
      <c r="AFI242" s="1"/>
      <c r="AFJ242" s="1"/>
      <c r="AFK242" s="1"/>
      <c r="AFL242" s="1"/>
      <c r="AFM242" s="1"/>
      <c r="AFN242" s="1"/>
      <c r="AFO242" s="1"/>
      <c r="AFP242" s="1"/>
      <c r="AFQ242" s="1"/>
      <c r="AFR242" s="1"/>
      <c r="AFS242" s="1"/>
      <c r="AFT242" s="1"/>
      <c r="AFU242" s="1"/>
      <c r="AFV242" s="1"/>
      <c r="AFW242" s="1"/>
      <c r="AFX242" s="1"/>
      <c r="AFY242" s="1"/>
      <c r="AFZ242" s="1"/>
      <c r="AGA242" s="1"/>
      <c r="AGB242" s="1"/>
      <c r="AGC242" s="1"/>
      <c r="AGD242" s="1"/>
      <c r="AGE242" s="1"/>
      <c r="AGF242" s="1"/>
      <c r="AGG242" s="1"/>
      <c r="AGH242" s="1"/>
      <c r="AGI242" s="1"/>
      <c r="AGJ242" s="1"/>
      <c r="AGK242" s="1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  <c r="ALN242" s="1"/>
      <c r="ALO242" s="1"/>
      <c r="ALP242" s="1"/>
      <c r="ALQ242" s="1"/>
      <c r="ALR242" s="1"/>
      <c r="ALS242" s="1"/>
      <c r="ALT242" s="1"/>
      <c r="ALU242" s="1"/>
      <c r="ALV242" s="1"/>
      <c r="ALW242" s="1"/>
      <c r="ALX242" s="1"/>
      <c r="ALY242" s="1"/>
      <c r="ALZ242" s="1"/>
      <c r="AMA242" s="1"/>
      <c r="AMB242" s="1"/>
      <c r="AMC242" s="1"/>
      <c r="AMD242" s="1"/>
      <c r="AME242" s="1"/>
      <c r="AMF242" s="1"/>
      <c r="AMG242" s="1"/>
      <c r="AMH242" s="1"/>
      <c r="AMI242" s="1"/>
      <c r="AMJ242" s="1"/>
      <c r="AMK242" s="1"/>
      <c r="AML242" s="1"/>
      <c r="AMM242" s="1"/>
      <c r="AMN242" s="1"/>
      <c r="AMO242" s="1"/>
    </row>
    <row r="243" spans="1:1029" x14ac:dyDescent="0.2">
      <c r="A243" s="3" t="str">
        <f>CONCATENATE(B243,"_",C243)</f>
        <v>lpar1_human_4Z34</v>
      </c>
      <c r="B243" s="3" t="s">
        <v>103</v>
      </c>
      <c r="C243" s="3" t="s">
        <v>1050</v>
      </c>
      <c r="D243" s="3" t="str">
        <f>IFERROR(MID(VLOOKUP($B243,Seqs!$A:$B,2,0),E243,1),"")</f>
        <v>T</v>
      </c>
      <c r="E243" s="3">
        <v>47</v>
      </c>
      <c r="F243" s="3" t="str">
        <f>IFERROR(MID(VLOOKUP($B243,Seqs!$A:$B,2,0),G243,1),"")</f>
        <v>N</v>
      </c>
      <c r="G243" s="3">
        <v>77</v>
      </c>
      <c r="H243" s="3" t="str">
        <f>IFERROR(MID(VLOOKUP($B243,Seqs!$A:$B,2,0),I243,1),"")</f>
        <v>R</v>
      </c>
      <c r="I243" s="23">
        <v>78</v>
      </c>
      <c r="J243" s="3" t="str">
        <f>IFERROR(MID(VLOOKUP($B243,Seqs!$A:$B,2,0),K243,1),"")</f>
        <v>H</v>
      </c>
      <c r="K243" s="23">
        <v>81</v>
      </c>
      <c r="L243" s="3" t="str">
        <f>IFERROR(MID(VLOOKUP($B243,Seqs!$A:$B,2,0),M243,1),"")</f>
        <v>F</v>
      </c>
      <c r="M243" s="3">
        <v>82</v>
      </c>
      <c r="N243" s="3" t="str">
        <f>IFERROR(MID(VLOOKUP($B243,Seqs!$A:$B,2,0),O243,1),"")</f>
        <v>N</v>
      </c>
      <c r="O243" s="3">
        <v>108</v>
      </c>
      <c r="P243" s="3" t="str">
        <f>IFERROR(MID(VLOOKUP($B243,Seqs!$A:$B,2,0),Q243,1),"")</f>
        <v>G</v>
      </c>
      <c r="Q243" s="3">
        <v>110</v>
      </c>
      <c r="R243" s="3" t="str">
        <f>IFERROR(MID(VLOOKUP($B243,Seqs!$A:$B,2,0),S243,1),"")</f>
        <v>L</v>
      </c>
      <c r="S243" s="3">
        <v>116</v>
      </c>
      <c r="T243" s="3" t="str">
        <f>IFERROR(MID(VLOOKUP($B243,Seqs!$A:$B,2,0),U243,1),"")</f>
        <v>T</v>
      </c>
      <c r="U243" s="3">
        <v>117</v>
      </c>
      <c r="V243" s="3" t="str">
        <f>IFERROR(MID(VLOOKUP($B243,Seqs!$A:$B,2,0),W243,1),"")</f>
        <v>R</v>
      </c>
      <c r="W243" s="3">
        <v>152</v>
      </c>
      <c r="X243" s="3" t="str">
        <f>IFERROR(MID(VLOOKUP($B243,Seqs!$A:$B,2,0),Y243,1),"")</f>
        <v/>
      </c>
      <c r="Y243" s="3" t="s">
        <v>23</v>
      </c>
      <c r="Z243" s="3" t="str">
        <f>IFERROR(MID(VLOOKUP($B243,Seqs!$A:$B,2,0),AA243,1),"")</f>
        <v/>
      </c>
      <c r="AA243" s="3" t="s">
        <v>23</v>
      </c>
      <c r="AB243" s="3" t="str">
        <f>IFERROR(MID(VLOOKUP($B243,Seqs!$A:$B,2,0),AC243,1),"")</f>
        <v>T</v>
      </c>
      <c r="AC243" s="9">
        <v>157</v>
      </c>
      <c r="AD243" s="3" t="str">
        <f>IFERROR(MID(VLOOKUP($B243,Seqs!$A:$B,2,0),AE243,1),"")</f>
        <v>G</v>
      </c>
      <c r="AE243" s="3">
        <v>185</v>
      </c>
      <c r="AF243" s="3" t="str">
        <f>IFERROR(MID(VLOOKUP($B243,Seqs!$A:$B,2,0),AG243,1),"")</f>
        <v/>
      </c>
      <c r="AG243" s="3" t="s">
        <v>23</v>
      </c>
      <c r="AH243" s="3" t="str">
        <f>IFERROR(MID(VLOOKUP($B243,Seqs!$A:$B,2,0),AI243,1),"")</f>
        <v/>
      </c>
      <c r="AI243" s="3" t="s">
        <v>23</v>
      </c>
      <c r="AJ243" s="3" t="str">
        <f>IFERROR(MID(VLOOKUP($B243,Seqs!$A:$B,2,0),AK243,1),"")</f>
        <v>S</v>
      </c>
      <c r="AK243" s="3">
        <v>203</v>
      </c>
      <c r="AL243" s="3" t="str">
        <f>IFERROR(MID(VLOOKUP($B243,Seqs!$A:$B,2,0),AM243,1),"")</f>
        <v>R</v>
      </c>
      <c r="AM243" s="3">
        <v>235</v>
      </c>
      <c r="AN243" s="3" t="str">
        <f>IFERROR(MID(VLOOKUP($B243,Seqs!$A:$B,2,0),AO243,1),"")</f>
        <v>G</v>
      </c>
      <c r="AO243" s="3">
        <v>245</v>
      </c>
      <c r="AP243" s="3" t="str">
        <f>IFERROR(MID(VLOOKUP($B243,Seqs!$A:$B,2,0),AQ243,1),"")</f>
        <v>C</v>
      </c>
      <c r="AQ243" s="3">
        <v>284</v>
      </c>
      <c r="AR243" s="3" t="str">
        <f>IFERROR(MID(VLOOKUP($B243,Seqs!$A:$B,2,0),AS243,1),"")</f>
        <v>E</v>
      </c>
      <c r="AS243" s="3">
        <v>293</v>
      </c>
      <c r="AT243" s="3" t="str">
        <f>IFERROR(MID(VLOOKUP($B243,Seqs!$A:$B,2,0),AU243,1),"")</f>
        <v>R</v>
      </c>
      <c r="AU243" s="3">
        <v>314</v>
      </c>
      <c r="AV243" s="3" t="str">
        <f>IFERROR(MID(VLOOKUP($B243,Seqs!$A:$B,2,0),AW243,1),"")</f>
        <v>D</v>
      </c>
      <c r="AW243" s="3">
        <v>315</v>
      </c>
      <c r="AX243" s="3" t="str">
        <f>IFERROR(MID(VLOOKUP($B243,Seqs!$A:$B,2,0),AY243,1),"")</f>
        <v>C</v>
      </c>
      <c r="AY243" s="3">
        <v>327</v>
      </c>
      <c r="AZ243" s="77" t="str">
        <f>VLOOKUP(B243,Classification!A:D,2,0)</f>
        <v>A</v>
      </c>
      <c r="BA243" s="94" t="str">
        <f>VLOOKUP(B243,Classification!A:D,4,0)</f>
        <v>Lysophospholipid(LPA)</v>
      </c>
      <c r="BB243" s="27" t="b">
        <f t="shared" si="1074"/>
        <v>1</v>
      </c>
      <c r="BC243" s="23">
        <f t="shared" si="1057"/>
        <v>244</v>
      </c>
      <c r="BD243" s="16" t="s">
        <v>23</v>
      </c>
      <c r="BE243" s="3" t="s">
        <v>1368</v>
      </c>
      <c r="BF243" s="118">
        <v>3</v>
      </c>
      <c r="BG243" s="49" t="s">
        <v>1371</v>
      </c>
      <c r="BH243" s="49" t="s">
        <v>1371</v>
      </c>
      <c r="BI243" s="1"/>
      <c r="BJ243" s="70" t="s">
        <v>1281</v>
      </c>
      <c r="BK243" s="57" t="s">
        <v>1281</v>
      </c>
      <c r="BL243" s="57" t="s">
        <v>1281</v>
      </c>
      <c r="BM243" s="57" t="s">
        <v>1281</v>
      </c>
      <c r="BN243" s="57" t="s">
        <v>1281</v>
      </c>
      <c r="BO243" s="57" t="s">
        <v>1281</v>
      </c>
      <c r="BP243" s="57" t="s">
        <v>1281</v>
      </c>
      <c r="BQ243" s="57" t="s">
        <v>1281</v>
      </c>
      <c r="BR243" s="57" t="s">
        <v>1281</v>
      </c>
      <c r="BS243" s="57" t="s">
        <v>1281</v>
      </c>
      <c r="BT243" s="57" t="s">
        <v>1281</v>
      </c>
      <c r="BU243" s="57" t="s">
        <v>1281</v>
      </c>
      <c r="BV243" s="70">
        <f>E243</f>
        <v>47</v>
      </c>
      <c r="BW243" s="71">
        <f>I243</f>
        <v>78</v>
      </c>
      <c r="BX243" s="72">
        <f>M243</f>
        <v>82</v>
      </c>
      <c r="BY243" s="71">
        <f>Q243</f>
        <v>110</v>
      </c>
      <c r="BZ243" s="72">
        <f>U243</f>
        <v>117</v>
      </c>
      <c r="CA243" s="71" t="str">
        <f>Y243</f>
        <v>-</v>
      </c>
      <c r="CB243" s="72">
        <f>AC243</f>
        <v>157</v>
      </c>
      <c r="CC243" s="71" t="str">
        <f>AG243</f>
        <v>-</v>
      </c>
      <c r="CD243" s="72">
        <f>AK243</f>
        <v>203</v>
      </c>
      <c r="CE243" s="71">
        <f>AO243</f>
        <v>245</v>
      </c>
      <c r="CF243" s="72">
        <f>AS243</f>
        <v>293</v>
      </c>
      <c r="CG243" s="71">
        <f>AW243</f>
        <v>315</v>
      </c>
      <c r="CH243" s="70">
        <f>G243</f>
        <v>77</v>
      </c>
      <c r="CI243" s="71">
        <f>K243</f>
        <v>81</v>
      </c>
      <c r="CJ243" s="72">
        <f>O243</f>
        <v>108</v>
      </c>
      <c r="CK243" s="72">
        <f>S243</f>
        <v>116</v>
      </c>
      <c r="CL243" s="72">
        <f>W243</f>
        <v>152</v>
      </c>
      <c r="CM243" s="72" t="str">
        <f>AA243</f>
        <v>-</v>
      </c>
      <c r="CN243" s="72">
        <f>AE243</f>
        <v>185</v>
      </c>
      <c r="CO243" s="72" t="str">
        <f>AI243</f>
        <v>-</v>
      </c>
      <c r="CP243" s="72">
        <f>AM243</f>
        <v>235</v>
      </c>
      <c r="CQ243" s="72">
        <f>AQ243</f>
        <v>284</v>
      </c>
      <c r="CR243" s="72">
        <f>AU243</f>
        <v>314</v>
      </c>
      <c r="CS243" s="72">
        <f>AY243</f>
        <v>327</v>
      </c>
      <c r="CT243" s="23">
        <f>M243-K243</f>
        <v>1</v>
      </c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  <c r="AAA243" s="1"/>
      <c r="AAB243" s="1"/>
      <c r="AAC243" s="1"/>
      <c r="AAD243" s="1"/>
      <c r="AAE243" s="1"/>
      <c r="AAF243" s="1"/>
      <c r="AAG243" s="1"/>
      <c r="AAH243" s="1"/>
      <c r="AAI243" s="1"/>
      <c r="AAJ243" s="1"/>
      <c r="AAK243" s="1"/>
      <c r="AAL243" s="1"/>
      <c r="AAM243" s="1"/>
      <c r="AAN243" s="1"/>
      <c r="AAO243" s="1"/>
      <c r="AAP243" s="1"/>
      <c r="AAQ243" s="1"/>
      <c r="AAR243" s="1"/>
      <c r="AAS243" s="1"/>
      <c r="AAT243" s="1"/>
      <c r="AAU243" s="1"/>
      <c r="AAV243" s="1"/>
      <c r="AAW243" s="1"/>
      <c r="AAX243" s="1"/>
      <c r="AAY243" s="1"/>
      <c r="AAZ243" s="1"/>
      <c r="ABA243" s="1"/>
      <c r="ABB243" s="1"/>
      <c r="ABC243" s="1"/>
      <c r="ABD243" s="1"/>
      <c r="ABE243" s="1"/>
      <c r="ABF243" s="1"/>
      <c r="ABG243" s="1"/>
      <c r="ABH243" s="1"/>
      <c r="ABI243" s="1"/>
      <c r="ABJ243" s="1"/>
      <c r="ABK243" s="1"/>
      <c r="ABL243" s="1"/>
      <c r="ABM243" s="1"/>
      <c r="ABN243" s="1"/>
      <c r="ABO243" s="1"/>
      <c r="ABP243" s="1"/>
      <c r="ABQ243" s="1"/>
      <c r="ABR243" s="1"/>
      <c r="ABS243" s="1"/>
      <c r="ABT243" s="1"/>
      <c r="ABU243" s="1"/>
      <c r="ABV243" s="1"/>
      <c r="ABW243" s="1"/>
      <c r="ABX243" s="1"/>
      <c r="ABY243" s="1"/>
      <c r="ABZ243" s="1"/>
      <c r="ACA243" s="1"/>
      <c r="ACB243" s="1"/>
      <c r="ACC243" s="1"/>
      <c r="ACD243" s="1"/>
      <c r="ACE243" s="1"/>
      <c r="ACF243" s="1"/>
      <c r="ACG243" s="1"/>
      <c r="ACH243" s="1"/>
      <c r="ACI243" s="1"/>
      <c r="ACJ243" s="1"/>
      <c r="ACK243" s="1"/>
      <c r="ACL243" s="1"/>
      <c r="ACM243" s="1"/>
      <c r="ACN243" s="1"/>
      <c r="ACO243" s="1"/>
      <c r="ACP243" s="1"/>
      <c r="ACQ243" s="1"/>
      <c r="ACR243" s="1"/>
      <c r="ACS243" s="1"/>
      <c r="ACT243" s="1"/>
      <c r="ACU243" s="1"/>
      <c r="ACV243" s="1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1"/>
      <c r="ADH243" s="1"/>
      <c r="ADI243" s="1"/>
      <c r="ADJ243" s="1"/>
      <c r="ADK243" s="1"/>
      <c r="ADL243" s="1"/>
      <c r="ADM243" s="1"/>
      <c r="ADN243" s="1"/>
      <c r="ADO243" s="1"/>
      <c r="ADP243" s="1"/>
      <c r="ADQ243" s="1"/>
      <c r="ADR243" s="1"/>
      <c r="ADS243" s="1"/>
      <c r="ADT243" s="1"/>
      <c r="ADU243" s="1"/>
      <c r="ADV243" s="1"/>
      <c r="ADW243" s="1"/>
      <c r="ADX243" s="1"/>
      <c r="ADY243" s="1"/>
      <c r="ADZ243" s="1"/>
      <c r="AEA243" s="1"/>
      <c r="AEB243" s="1"/>
      <c r="AEC243" s="1"/>
      <c r="AED243" s="1"/>
      <c r="AEE243" s="1"/>
      <c r="AEF243" s="1"/>
      <c r="AEG243" s="1"/>
      <c r="AEH243" s="1"/>
      <c r="AEI243" s="1"/>
      <c r="AEJ243" s="1"/>
      <c r="AEK243" s="1"/>
      <c r="AEL243" s="1"/>
      <c r="AEM243" s="1"/>
      <c r="AEN243" s="1"/>
      <c r="AEO243" s="1"/>
      <c r="AEP243" s="1"/>
      <c r="AEQ243" s="1"/>
      <c r="AER243" s="1"/>
      <c r="AES243" s="1"/>
      <c r="AET243" s="1"/>
      <c r="AEU243" s="1"/>
      <c r="AEV243" s="1"/>
      <c r="AEW243" s="1"/>
      <c r="AEX243" s="1"/>
      <c r="AEY243" s="1"/>
      <c r="AEZ243" s="1"/>
      <c r="AFA243" s="1"/>
      <c r="AFB243" s="1"/>
      <c r="AFC243" s="1"/>
      <c r="AFD243" s="1"/>
      <c r="AFE243" s="1"/>
      <c r="AFF243" s="1"/>
      <c r="AFG243" s="1"/>
      <c r="AFH243" s="1"/>
      <c r="AFI243" s="1"/>
      <c r="AFJ243" s="1"/>
      <c r="AFK243" s="1"/>
      <c r="AFL243" s="1"/>
      <c r="AFM243" s="1"/>
      <c r="AFN243" s="1"/>
      <c r="AFO243" s="1"/>
      <c r="AFP243" s="1"/>
      <c r="AFQ243" s="1"/>
      <c r="AFR243" s="1"/>
      <c r="AFS243" s="1"/>
      <c r="AFT243" s="1"/>
      <c r="AFU243" s="1"/>
      <c r="AFV243" s="1"/>
      <c r="AFW243" s="1"/>
      <c r="AFX243" s="1"/>
      <c r="AFY243" s="1"/>
      <c r="AFZ243" s="1"/>
      <c r="AGA243" s="1"/>
      <c r="AGB243" s="1"/>
      <c r="AGC243" s="1"/>
      <c r="AGD243" s="1"/>
      <c r="AGE243" s="1"/>
      <c r="AGF243" s="1"/>
      <c r="AGG243" s="1"/>
      <c r="AGH243" s="1"/>
      <c r="AGI243" s="1"/>
      <c r="AGJ243" s="1"/>
      <c r="AGK243" s="1"/>
      <c r="AGL243" s="1"/>
      <c r="AGM243" s="1"/>
      <c r="AGN243" s="1"/>
      <c r="AGO243" s="1"/>
      <c r="AGP243" s="1"/>
      <c r="AGQ243" s="1"/>
      <c r="AGR243" s="1"/>
      <c r="AGS243" s="1"/>
      <c r="AGT243" s="1"/>
      <c r="AGU243" s="1"/>
      <c r="AGV243" s="1"/>
      <c r="AGW243" s="1"/>
      <c r="AGX243" s="1"/>
      <c r="AGY243" s="1"/>
      <c r="AGZ243" s="1"/>
      <c r="AHA243" s="1"/>
      <c r="AHB243" s="1"/>
      <c r="AHC243" s="1"/>
      <c r="AHD243" s="1"/>
      <c r="AHE243" s="1"/>
      <c r="AHF243" s="1"/>
      <c r="AHG243" s="1"/>
      <c r="AHH243" s="1"/>
      <c r="AHI243" s="1"/>
      <c r="AHJ243" s="1"/>
      <c r="AHK243" s="1"/>
      <c r="AHL243" s="1"/>
      <c r="AHM243" s="1"/>
      <c r="AHN243" s="1"/>
      <c r="AHO243" s="1"/>
      <c r="AHP243" s="1"/>
      <c r="AHQ243" s="1"/>
      <c r="AHR243" s="1"/>
      <c r="AHS243" s="1"/>
      <c r="AHT243" s="1"/>
      <c r="AHU243" s="1"/>
      <c r="AHV243" s="1"/>
      <c r="AHW243" s="1"/>
      <c r="AHX243" s="1"/>
      <c r="AHY243" s="1"/>
      <c r="AHZ243" s="1"/>
      <c r="AIA243" s="1"/>
      <c r="AIB243" s="1"/>
      <c r="AIC243" s="1"/>
      <c r="AID243" s="1"/>
      <c r="AIE243" s="1"/>
      <c r="AIF243" s="1"/>
      <c r="AIG243" s="1"/>
      <c r="AIH243" s="1"/>
      <c r="AII243" s="1"/>
      <c r="AIJ243" s="1"/>
      <c r="AIK243" s="1"/>
      <c r="AIL243" s="1"/>
      <c r="AIM243" s="1"/>
      <c r="AIN243" s="1"/>
      <c r="AIO243" s="1"/>
      <c r="AIP243" s="1"/>
      <c r="AIQ243" s="1"/>
      <c r="AIR243" s="1"/>
      <c r="AIS243" s="1"/>
      <c r="AIT243" s="1"/>
      <c r="AIU243" s="1"/>
      <c r="AIV243" s="1"/>
      <c r="AIW243" s="1"/>
      <c r="AIX243" s="1"/>
      <c r="AIY243" s="1"/>
      <c r="AIZ243" s="1"/>
      <c r="AJA243" s="1"/>
      <c r="AJB243" s="1"/>
      <c r="AJC243" s="1"/>
      <c r="AJD243" s="1"/>
      <c r="AJE243" s="1"/>
      <c r="AJF243" s="1"/>
      <c r="AJG243" s="1"/>
      <c r="AJH243" s="1"/>
      <c r="AJI243" s="1"/>
      <c r="AJJ243" s="1"/>
      <c r="AJK243" s="1"/>
      <c r="AJL243" s="1"/>
      <c r="AJM243" s="1"/>
      <c r="AJN243" s="1"/>
      <c r="AJO243" s="1"/>
      <c r="AJP243" s="1"/>
      <c r="AJQ243" s="1"/>
      <c r="AJR243" s="1"/>
      <c r="AJS243" s="1"/>
      <c r="AJT243" s="1"/>
      <c r="AJU243" s="1"/>
      <c r="AJV243" s="1"/>
      <c r="AJW243" s="1"/>
      <c r="AJX243" s="1"/>
      <c r="AJY243" s="1"/>
      <c r="AJZ243" s="1"/>
      <c r="AKA243" s="1"/>
      <c r="AKB243" s="1"/>
      <c r="AKC243" s="1"/>
      <c r="AKD243" s="1"/>
      <c r="AKE243" s="1"/>
      <c r="AKF243" s="1"/>
      <c r="AKG243" s="1"/>
      <c r="AKH243" s="1"/>
      <c r="AKI243" s="1"/>
      <c r="AKJ243" s="1"/>
      <c r="AKK243" s="1"/>
      <c r="AKL243" s="1"/>
      <c r="AKM243" s="1"/>
      <c r="AKN243" s="1"/>
      <c r="AKO243" s="1"/>
      <c r="AKP243" s="1"/>
      <c r="AKQ243" s="1"/>
      <c r="AKR243" s="1"/>
      <c r="AKS243" s="1"/>
      <c r="AKT243" s="1"/>
      <c r="AKU243" s="1"/>
      <c r="AKV243" s="1"/>
      <c r="AKW243" s="1"/>
      <c r="AKX243" s="1"/>
      <c r="AKY243" s="1"/>
      <c r="AKZ243" s="1"/>
      <c r="ALA243" s="1"/>
      <c r="ALB243" s="1"/>
      <c r="ALC243" s="1"/>
      <c r="ALD243" s="1"/>
      <c r="ALE243" s="1"/>
      <c r="ALF243" s="1"/>
      <c r="ALG243" s="1"/>
      <c r="ALH243" s="1"/>
      <c r="ALI243" s="1"/>
      <c r="ALJ243" s="1"/>
      <c r="ALK243" s="1"/>
      <c r="ALL243" s="1"/>
      <c r="ALM243" s="1"/>
      <c r="ALN243" s="1"/>
      <c r="ALO243" s="1"/>
      <c r="ALP243" s="1"/>
      <c r="ALQ243" s="1"/>
      <c r="ALR243" s="1"/>
      <c r="ALS243" s="1"/>
      <c r="ALT243" s="1"/>
      <c r="ALU243" s="1"/>
      <c r="ALV243" s="1"/>
      <c r="ALW243" s="1"/>
      <c r="ALX243" s="1"/>
      <c r="ALY243" s="1"/>
      <c r="ALZ243" s="1"/>
      <c r="AMA243" s="1"/>
      <c r="AMB243" s="1"/>
      <c r="AMC243" s="1"/>
      <c r="AMD243" s="1"/>
      <c r="AME243" s="1"/>
      <c r="AMF243" s="1"/>
      <c r="AMG243" s="1"/>
      <c r="AMH243" s="1"/>
      <c r="AMI243" s="1"/>
      <c r="AMJ243" s="1"/>
      <c r="AMK243" s="1"/>
      <c r="AML243" s="1"/>
      <c r="AMM243" s="1"/>
      <c r="AMN243" s="1"/>
      <c r="AMO243" s="1"/>
    </row>
    <row r="244" spans="1:1029" x14ac:dyDescent="0.2">
      <c r="A244" s="3" t="str">
        <f>CONCATENATE(B244,"_",C244)</f>
        <v>lpar1_human_4Z35</v>
      </c>
      <c r="B244" s="3" t="s">
        <v>103</v>
      </c>
      <c r="C244" s="3" t="s">
        <v>89</v>
      </c>
      <c r="D244" s="3" t="str">
        <f>IFERROR(MID(VLOOKUP($B244,Seqs!$A:$B,2,0),E244,1),"")</f>
        <v>T</v>
      </c>
      <c r="E244" s="3">
        <v>47</v>
      </c>
      <c r="F244" s="3" t="str">
        <f>IFERROR(MID(VLOOKUP($B244,Seqs!$A:$B,2,0),G244,1),"")</f>
        <v>N</v>
      </c>
      <c r="G244" s="3">
        <v>77</v>
      </c>
      <c r="H244" s="3" t="str">
        <f>IFERROR(MID(VLOOKUP($B244,Seqs!$A:$B,2,0),I244,1),"")</f>
        <v>R</v>
      </c>
      <c r="I244" s="23">
        <v>78</v>
      </c>
      <c r="J244" s="3" t="str">
        <f>IFERROR(MID(VLOOKUP($B244,Seqs!$A:$B,2,0),K244,1),"")</f>
        <v>H</v>
      </c>
      <c r="K244" s="23">
        <v>81</v>
      </c>
      <c r="L244" s="3" t="str">
        <f>IFERROR(MID(VLOOKUP($B244,Seqs!$A:$B,2,0),M244,1),"")</f>
        <v>F</v>
      </c>
      <c r="M244" s="3">
        <v>82</v>
      </c>
      <c r="N244" s="3" t="str">
        <f>IFERROR(MID(VLOOKUP($B244,Seqs!$A:$B,2,0),O244,1),"")</f>
        <v>N</v>
      </c>
      <c r="O244" s="3">
        <v>108</v>
      </c>
      <c r="P244" s="3" t="str">
        <f>IFERROR(MID(VLOOKUP($B244,Seqs!$A:$B,2,0),Q244,1),"")</f>
        <v>G</v>
      </c>
      <c r="Q244" s="3">
        <v>110</v>
      </c>
      <c r="R244" s="3" t="str">
        <f>IFERROR(MID(VLOOKUP($B244,Seqs!$A:$B,2,0),S244,1),"")</f>
        <v>L</v>
      </c>
      <c r="S244" s="3">
        <v>116</v>
      </c>
      <c r="T244" s="3" t="str">
        <f>IFERROR(MID(VLOOKUP($B244,Seqs!$A:$B,2,0),U244,1),"")</f>
        <v>T</v>
      </c>
      <c r="U244" s="3">
        <v>117</v>
      </c>
      <c r="V244" s="3" t="str">
        <f>IFERROR(MID(VLOOKUP($B244,Seqs!$A:$B,2,0),W244,1),"")</f>
        <v>R</v>
      </c>
      <c r="W244" s="3">
        <v>152</v>
      </c>
      <c r="X244" s="3" t="str">
        <f>IFERROR(MID(VLOOKUP($B244,Seqs!$A:$B,2,0),Y244,1),"")</f>
        <v/>
      </c>
      <c r="Y244" s="3" t="s">
        <v>23</v>
      </c>
      <c r="Z244" s="3" t="str">
        <f>IFERROR(MID(VLOOKUP($B244,Seqs!$A:$B,2,0),AA244,1),"")</f>
        <v/>
      </c>
      <c r="AA244" s="3" t="s">
        <v>23</v>
      </c>
      <c r="AB244" s="3" t="str">
        <f>IFERROR(MID(VLOOKUP($B244,Seqs!$A:$B,2,0),AC244,1),"")</f>
        <v>T</v>
      </c>
      <c r="AC244" s="9">
        <v>157</v>
      </c>
      <c r="AD244" s="3" t="str">
        <f>IFERROR(MID(VLOOKUP($B244,Seqs!$A:$B,2,0),AE244,1),"")</f>
        <v>G</v>
      </c>
      <c r="AE244" s="3">
        <v>185</v>
      </c>
      <c r="AF244" s="3" t="str">
        <f>IFERROR(MID(VLOOKUP($B244,Seqs!$A:$B,2,0),AG244,1),"")</f>
        <v/>
      </c>
      <c r="AG244" s="3" t="s">
        <v>23</v>
      </c>
      <c r="AH244" s="3" t="str">
        <f>IFERROR(MID(VLOOKUP($B244,Seqs!$A:$B,2,0),AI244,1),"")</f>
        <v/>
      </c>
      <c r="AI244" s="3" t="s">
        <v>23</v>
      </c>
      <c r="AJ244" s="3" t="str">
        <f>IFERROR(MID(VLOOKUP($B244,Seqs!$A:$B,2,0),AK244,1),"")</f>
        <v>S</v>
      </c>
      <c r="AK244" s="3">
        <v>203</v>
      </c>
      <c r="AL244" s="3" t="str">
        <f>IFERROR(MID(VLOOKUP($B244,Seqs!$A:$B,2,0),AM244,1),"")</f>
        <v>R</v>
      </c>
      <c r="AM244" s="3">
        <v>235</v>
      </c>
      <c r="AN244" s="3" t="str">
        <f>IFERROR(MID(VLOOKUP($B244,Seqs!$A:$B,2,0),AO244,1),"")</f>
        <v>G</v>
      </c>
      <c r="AO244" s="3">
        <v>245</v>
      </c>
      <c r="AP244" s="3" t="str">
        <f>IFERROR(MID(VLOOKUP($B244,Seqs!$A:$B,2,0),AQ244,1),"")</f>
        <v>C</v>
      </c>
      <c r="AQ244" s="3">
        <v>284</v>
      </c>
      <c r="AR244" s="3" t="str">
        <f>IFERROR(MID(VLOOKUP($B244,Seqs!$A:$B,2,0),AS244,1),"")</f>
        <v>E</v>
      </c>
      <c r="AS244" s="3">
        <v>293</v>
      </c>
      <c r="AT244" s="3" t="str">
        <f>IFERROR(MID(VLOOKUP($B244,Seqs!$A:$B,2,0),AU244,1),"")</f>
        <v>R</v>
      </c>
      <c r="AU244" s="3">
        <v>314</v>
      </c>
      <c r="AV244" s="3" t="str">
        <f>IFERROR(MID(VLOOKUP($B244,Seqs!$A:$B,2,0),AW244,1),"")</f>
        <v>D</v>
      </c>
      <c r="AW244" s="3">
        <v>315</v>
      </c>
      <c r="AX244" s="3" t="str">
        <f>IFERROR(MID(VLOOKUP($B244,Seqs!$A:$B,2,0),AY244,1),"")</f>
        <v>C</v>
      </c>
      <c r="AY244" s="3">
        <v>327</v>
      </c>
      <c r="AZ244" s="77" t="str">
        <f>VLOOKUP(B244,Classification!A:D,2,0)</f>
        <v>A</v>
      </c>
      <c r="BA244" s="94" t="str">
        <f>VLOOKUP(B244,Classification!A:D,4,0)</f>
        <v>Lysophospholipid(LPA)</v>
      </c>
      <c r="BB244" s="27" t="b">
        <f t="shared" si="1074"/>
        <v>1</v>
      </c>
      <c r="BC244" s="23">
        <f t="shared" si="1057"/>
        <v>244</v>
      </c>
      <c r="BD244" s="5" t="s">
        <v>1370</v>
      </c>
      <c r="BE244" s="3" t="s">
        <v>1368</v>
      </c>
      <c r="BF244" s="118">
        <v>2.9</v>
      </c>
      <c r="BG244" s="49" t="s">
        <v>1371</v>
      </c>
      <c r="BH244" s="49" t="s">
        <v>1371</v>
      </c>
      <c r="BI244" s="1"/>
      <c r="BJ244" s="70" t="s">
        <v>1281</v>
      </c>
      <c r="BK244" s="57" t="s">
        <v>1281</v>
      </c>
      <c r="BL244" s="57" t="s">
        <v>1281</v>
      </c>
      <c r="BM244" s="57" t="s">
        <v>1281</v>
      </c>
      <c r="BN244" s="57" t="s">
        <v>1281</v>
      </c>
      <c r="BO244" s="57" t="s">
        <v>1281</v>
      </c>
      <c r="BP244" s="57" t="s">
        <v>1281</v>
      </c>
      <c r="BQ244" s="57" t="s">
        <v>1281</v>
      </c>
      <c r="BR244" s="57" t="s">
        <v>1281</v>
      </c>
      <c r="BS244" s="57" t="s">
        <v>1281</v>
      </c>
      <c r="BT244" s="57" t="s">
        <v>1281</v>
      </c>
      <c r="BU244" s="57" t="s">
        <v>1281</v>
      </c>
      <c r="BV244" s="70">
        <f>E244</f>
        <v>47</v>
      </c>
      <c r="BW244" s="71">
        <f>I244</f>
        <v>78</v>
      </c>
      <c r="BX244" s="72">
        <f>M244</f>
        <v>82</v>
      </c>
      <c r="BY244" s="71">
        <f>Q244</f>
        <v>110</v>
      </c>
      <c r="BZ244" s="72">
        <f>U244</f>
        <v>117</v>
      </c>
      <c r="CA244" s="71" t="str">
        <f>Y244</f>
        <v>-</v>
      </c>
      <c r="CB244" s="72">
        <f>AC244</f>
        <v>157</v>
      </c>
      <c r="CC244" s="71" t="str">
        <f>AG244</f>
        <v>-</v>
      </c>
      <c r="CD244" s="72">
        <f>AK244</f>
        <v>203</v>
      </c>
      <c r="CE244" s="71">
        <f>AO244</f>
        <v>245</v>
      </c>
      <c r="CF244" s="72">
        <f>AS244</f>
        <v>293</v>
      </c>
      <c r="CG244" s="71">
        <f>AW244</f>
        <v>315</v>
      </c>
      <c r="CH244" s="70">
        <f>G244</f>
        <v>77</v>
      </c>
      <c r="CI244" s="71">
        <f>K244</f>
        <v>81</v>
      </c>
      <c r="CJ244" s="72">
        <f>O244</f>
        <v>108</v>
      </c>
      <c r="CK244" s="72">
        <f>S244</f>
        <v>116</v>
      </c>
      <c r="CL244" s="72">
        <f>W244</f>
        <v>152</v>
      </c>
      <c r="CM244" s="72" t="str">
        <f>AA244</f>
        <v>-</v>
      </c>
      <c r="CN244" s="72">
        <f>AE244</f>
        <v>185</v>
      </c>
      <c r="CO244" s="72" t="str">
        <f>AI244</f>
        <v>-</v>
      </c>
      <c r="CP244" s="72">
        <f>AM244</f>
        <v>235</v>
      </c>
      <c r="CQ244" s="72">
        <f>AQ244</f>
        <v>284</v>
      </c>
      <c r="CR244" s="72">
        <f>AU244</f>
        <v>314</v>
      </c>
      <c r="CS244" s="72">
        <f>AY244</f>
        <v>327</v>
      </c>
      <c r="CT244" s="23">
        <f>M244-K244</f>
        <v>1</v>
      </c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  <c r="WD244" s="1"/>
      <c r="WE244" s="1"/>
      <c r="WF244" s="1"/>
      <c r="WG244" s="1"/>
      <c r="WH244" s="1"/>
      <c r="WI244" s="1"/>
      <c r="WJ244" s="1"/>
      <c r="WK244" s="1"/>
      <c r="WL244" s="1"/>
      <c r="WM244" s="1"/>
      <c r="WN244" s="1"/>
      <c r="WO244" s="1"/>
      <c r="WP244" s="1"/>
      <c r="WQ244" s="1"/>
      <c r="WR244" s="1"/>
      <c r="WS244" s="1"/>
      <c r="WT244" s="1"/>
      <c r="WU244" s="1"/>
      <c r="WV244" s="1"/>
      <c r="WW244" s="1"/>
      <c r="WX244" s="1"/>
      <c r="WY244" s="1"/>
      <c r="WZ244" s="1"/>
      <c r="XA244" s="1"/>
      <c r="XB244" s="1"/>
      <c r="XC244" s="1"/>
      <c r="XD244" s="1"/>
      <c r="XE244" s="1"/>
      <c r="XF244" s="1"/>
      <c r="XG244" s="1"/>
      <c r="XH244" s="1"/>
      <c r="XI244" s="1"/>
      <c r="XJ244" s="1"/>
      <c r="XK244" s="1"/>
      <c r="XL244" s="1"/>
      <c r="XM244" s="1"/>
      <c r="XN244" s="1"/>
      <c r="XO244" s="1"/>
      <c r="XP244" s="1"/>
      <c r="XQ244" s="1"/>
      <c r="XR244" s="1"/>
      <c r="XS244" s="1"/>
      <c r="XT244" s="1"/>
      <c r="XU244" s="1"/>
      <c r="XV244" s="1"/>
      <c r="XW244" s="1"/>
      <c r="XX244" s="1"/>
      <c r="XY244" s="1"/>
      <c r="XZ244" s="1"/>
      <c r="YA244" s="1"/>
      <c r="YB244" s="1"/>
      <c r="YC244" s="1"/>
      <c r="YD244" s="1"/>
      <c r="YE244" s="1"/>
      <c r="YF244" s="1"/>
      <c r="YG244" s="1"/>
      <c r="YH244" s="1"/>
      <c r="YI244" s="1"/>
      <c r="YJ244" s="1"/>
      <c r="YK244" s="1"/>
      <c r="YL244" s="1"/>
      <c r="YM244" s="1"/>
      <c r="YN244" s="1"/>
      <c r="YO244" s="1"/>
      <c r="YP244" s="1"/>
      <c r="YQ244" s="1"/>
      <c r="YR244" s="1"/>
      <c r="YS244" s="1"/>
      <c r="YT244" s="1"/>
      <c r="YU244" s="1"/>
      <c r="YV244" s="1"/>
      <c r="YW244" s="1"/>
      <c r="YX244" s="1"/>
      <c r="YY244" s="1"/>
      <c r="YZ244" s="1"/>
      <c r="ZA244" s="1"/>
      <c r="ZB244" s="1"/>
      <c r="ZC244" s="1"/>
      <c r="ZD244" s="1"/>
      <c r="ZE244" s="1"/>
      <c r="ZF244" s="1"/>
      <c r="ZG244" s="1"/>
      <c r="ZH244" s="1"/>
      <c r="ZI244" s="1"/>
      <c r="ZJ244" s="1"/>
      <c r="ZK244" s="1"/>
      <c r="ZL244" s="1"/>
      <c r="ZM244" s="1"/>
      <c r="ZN244" s="1"/>
      <c r="ZO244" s="1"/>
      <c r="ZP244" s="1"/>
      <c r="ZQ244" s="1"/>
      <c r="ZR244" s="1"/>
      <c r="ZS244" s="1"/>
      <c r="ZT244" s="1"/>
      <c r="ZU244" s="1"/>
      <c r="ZV244" s="1"/>
      <c r="ZW244" s="1"/>
      <c r="ZX244" s="1"/>
      <c r="ZY244" s="1"/>
      <c r="ZZ244" s="1"/>
      <c r="AAA244" s="1"/>
      <c r="AAB244" s="1"/>
      <c r="AAC244" s="1"/>
      <c r="AAD244" s="1"/>
      <c r="AAE244" s="1"/>
      <c r="AAF244" s="1"/>
      <c r="AAG244" s="1"/>
      <c r="AAH244" s="1"/>
      <c r="AAI244" s="1"/>
      <c r="AAJ244" s="1"/>
      <c r="AAK244" s="1"/>
      <c r="AAL244" s="1"/>
      <c r="AAM244" s="1"/>
      <c r="AAN244" s="1"/>
      <c r="AAO244" s="1"/>
      <c r="AAP244" s="1"/>
      <c r="AAQ244" s="1"/>
      <c r="AAR244" s="1"/>
      <c r="AAS244" s="1"/>
      <c r="AAT244" s="1"/>
      <c r="AAU244" s="1"/>
      <c r="AAV244" s="1"/>
      <c r="AAW244" s="1"/>
      <c r="AAX244" s="1"/>
      <c r="AAY244" s="1"/>
      <c r="AAZ244" s="1"/>
      <c r="ABA244" s="1"/>
      <c r="ABB244" s="1"/>
      <c r="ABC244" s="1"/>
      <c r="ABD244" s="1"/>
      <c r="ABE244" s="1"/>
      <c r="ABF244" s="1"/>
      <c r="ABG244" s="1"/>
      <c r="ABH244" s="1"/>
      <c r="ABI244" s="1"/>
      <c r="ABJ244" s="1"/>
      <c r="ABK244" s="1"/>
      <c r="ABL244" s="1"/>
      <c r="ABM244" s="1"/>
      <c r="ABN244" s="1"/>
      <c r="ABO244" s="1"/>
      <c r="ABP244" s="1"/>
      <c r="ABQ244" s="1"/>
      <c r="ABR244" s="1"/>
      <c r="ABS244" s="1"/>
      <c r="ABT244" s="1"/>
      <c r="ABU244" s="1"/>
      <c r="ABV244" s="1"/>
      <c r="ABW244" s="1"/>
      <c r="ABX244" s="1"/>
      <c r="ABY244" s="1"/>
      <c r="ABZ244" s="1"/>
      <c r="ACA244" s="1"/>
      <c r="ACB244" s="1"/>
      <c r="ACC244" s="1"/>
      <c r="ACD244" s="1"/>
      <c r="ACE244" s="1"/>
      <c r="ACF244" s="1"/>
      <c r="ACG244" s="1"/>
      <c r="ACH244" s="1"/>
      <c r="ACI244" s="1"/>
      <c r="ACJ244" s="1"/>
      <c r="ACK244" s="1"/>
      <c r="ACL244" s="1"/>
      <c r="ACM244" s="1"/>
      <c r="ACN244" s="1"/>
      <c r="ACO244" s="1"/>
      <c r="ACP244" s="1"/>
      <c r="ACQ244" s="1"/>
      <c r="ACR244" s="1"/>
      <c r="ACS244" s="1"/>
      <c r="ACT244" s="1"/>
      <c r="ACU244" s="1"/>
      <c r="ACV244" s="1"/>
      <c r="ACW244" s="1"/>
      <c r="ACX244" s="1"/>
      <c r="ACY244" s="1"/>
      <c r="ACZ244" s="1"/>
      <c r="ADA244" s="1"/>
      <c r="ADB244" s="1"/>
      <c r="ADC244" s="1"/>
      <c r="ADD244" s="1"/>
      <c r="ADE244" s="1"/>
      <c r="ADF244" s="1"/>
      <c r="ADG244" s="1"/>
      <c r="ADH244" s="1"/>
      <c r="ADI244" s="1"/>
      <c r="ADJ244" s="1"/>
      <c r="ADK244" s="1"/>
      <c r="ADL244" s="1"/>
      <c r="ADM244" s="1"/>
      <c r="ADN244" s="1"/>
      <c r="ADO244" s="1"/>
      <c r="ADP244" s="1"/>
      <c r="ADQ244" s="1"/>
      <c r="ADR244" s="1"/>
      <c r="ADS244" s="1"/>
      <c r="ADT244" s="1"/>
      <c r="ADU244" s="1"/>
      <c r="ADV244" s="1"/>
      <c r="ADW244" s="1"/>
      <c r="ADX244" s="1"/>
      <c r="ADY244" s="1"/>
      <c r="ADZ244" s="1"/>
      <c r="AEA244" s="1"/>
      <c r="AEB244" s="1"/>
      <c r="AEC244" s="1"/>
      <c r="AED244" s="1"/>
      <c r="AEE244" s="1"/>
      <c r="AEF244" s="1"/>
      <c r="AEG244" s="1"/>
      <c r="AEH244" s="1"/>
      <c r="AEI244" s="1"/>
      <c r="AEJ244" s="1"/>
      <c r="AEK244" s="1"/>
      <c r="AEL244" s="1"/>
      <c r="AEM244" s="1"/>
      <c r="AEN244" s="1"/>
      <c r="AEO244" s="1"/>
      <c r="AEP244" s="1"/>
      <c r="AEQ244" s="1"/>
      <c r="AER244" s="1"/>
      <c r="AES244" s="1"/>
      <c r="AET244" s="1"/>
      <c r="AEU244" s="1"/>
      <c r="AEV244" s="1"/>
      <c r="AEW244" s="1"/>
      <c r="AEX244" s="1"/>
      <c r="AEY244" s="1"/>
      <c r="AEZ244" s="1"/>
      <c r="AFA244" s="1"/>
      <c r="AFB244" s="1"/>
      <c r="AFC244" s="1"/>
      <c r="AFD244" s="1"/>
      <c r="AFE244" s="1"/>
      <c r="AFF244" s="1"/>
      <c r="AFG244" s="1"/>
      <c r="AFH244" s="1"/>
      <c r="AFI244" s="1"/>
      <c r="AFJ244" s="1"/>
      <c r="AFK244" s="1"/>
      <c r="AFL244" s="1"/>
      <c r="AFM244" s="1"/>
      <c r="AFN244" s="1"/>
      <c r="AFO244" s="1"/>
      <c r="AFP244" s="1"/>
      <c r="AFQ244" s="1"/>
      <c r="AFR244" s="1"/>
      <c r="AFS244" s="1"/>
      <c r="AFT244" s="1"/>
      <c r="AFU244" s="1"/>
      <c r="AFV244" s="1"/>
      <c r="AFW244" s="1"/>
      <c r="AFX244" s="1"/>
      <c r="AFY244" s="1"/>
      <c r="AFZ244" s="1"/>
      <c r="AGA244" s="1"/>
      <c r="AGB244" s="1"/>
      <c r="AGC244" s="1"/>
      <c r="AGD244" s="1"/>
      <c r="AGE244" s="1"/>
      <c r="AGF244" s="1"/>
      <c r="AGG244" s="1"/>
      <c r="AGH244" s="1"/>
      <c r="AGI244" s="1"/>
      <c r="AGJ244" s="1"/>
      <c r="AGK244" s="1"/>
      <c r="AGL244" s="1"/>
      <c r="AGM244" s="1"/>
      <c r="AGN244" s="1"/>
      <c r="AGO244" s="1"/>
      <c r="AGP244" s="1"/>
      <c r="AGQ244" s="1"/>
      <c r="AGR244" s="1"/>
      <c r="AGS244" s="1"/>
      <c r="AGT244" s="1"/>
      <c r="AGU244" s="1"/>
      <c r="AGV244" s="1"/>
      <c r="AGW244" s="1"/>
      <c r="AGX244" s="1"/>
      <c r="AGY244" s="1"/>
      <c r="AGZ244" s="1"/>
      <c r="AHA244" s="1"/>
      <c r="AHB244" s="1"/>
      <c r="AHC244" s="1"/>
      <c r="AHD244" s="1"/>
      <c r="AHE244" s="1"/>
      <c r="AHF244" s="1"/>
      <c r="AHG244" s="1"/>
      <c r="AHH244" s="1"/>
      <c r="AHI244" s="1"/>
      <c r="AHJ244" s="1"/>
      <c r="AHK244" s="1"/>
      <c r="AHL244" s="1"/>
      <c r="AHM244" s="1"/>
      <c r="AHN244" s="1"/>
      <c r="AHO244" s="1"/>
      <c r="AHP244" s="1"/>
      <c r="AHQ244" s="1"/>
      <c r="AHR244" s="1"/>
      <c r="AHS244" s="1"/>
      <c r="AHT244" s="1"/>
      <c r="AHU244" s="1"/>
      <c r="AHV244" s="1"/>
      <c r="AHW244" s="1"/>
      <c r="AHX244" s="1"/>
      <c r="AHY244" s="1"/>
      <c r="AHZ244" s="1"/>
      <c r="AIA244" s="1"/>
      <c r="AIB244" s="1"/>
      <c r="AIC244" s="1"/>
      <c r="AID244" s="1"/>
      <c r="AIE244" s="1"/>
      <c r="AIF244" s="1"/>
      <c r="AIG244" s="1"/>
      <c r="AIH244" s="1"/>
      <c r="AII244" s="1"/>
      <c r="AIJ244" s="1"/>
      <c r="AIK244" s="1"/>
      <c r="AIL244" s="1"/>
      <c r="AIM244" s="1"/>
      <c r="AIN244" s="1"/>
      <c r="AIO244" s="1"/>
      <c r="AIP244" s="1"/>
      <c r="AIQ244" s="1"/>
      <c r="AIR244" s="1"/>
      <c r="AIS244" s="1"/>
      <c r="AIT244" s="1"/>
      <c r="AIU244" s="1"/>
      <c r="AIV244" s="1"/>
      <c r="AIW244" s="1"/>
      <c r="AIX244" s="1"/>
      <c r="AIY244" s="1"/>
      <c r="AIZ244" s="1"/>
      <c r="AJA244" s="1"/>
      <c r="AJB244" s="1"/>
      <c r="AJC244" s="1"/>
      <c r="AJD244" s="1"/>
      <c r="AJE244" s="1"/>
      <c r="AJF244" s="1"/>
      <c r="AJG244" s="1"/>
      <c r="AJH244" s="1"/>
      <c r="AJI244" s="1"/>
      <c r="AJJ244" s="1"/>
      <c r="AJK244" s="1"/>
      <c r="AJL244" s="1"/>
      <c r="AJM244" s="1"/>
      <c r="AJN244" s="1"/>
      <c r="AJO244" s="1"/>
      <c r="AJP244" s="1"/>
      <c r="AJQ244" s="1"/>
      <c r="AJR244" s="1"/>
      <c r="AJS244" s="1"/>
      <c r="AJT244" s="1"/>
      <c r="AJU244" s="1"/>
      <c r="AJV244" s="1"/>
      <c r="AJW244" s="1"/>
      <c r="AJX244" s="1"/>
      <c r="AJY244" s="1"/>
      <c r="AJZ244" s="1"/>
      <c r="AKA244" s="1"/>
      <c r="AKB244" s="1"/>
      <c r="AKC244" s="1"/>
      <c r="AKD244" s="1"/>
      <c r="AKE244" s="1"/>
      <c r="AKF244" s="1"/>
      <c r="AKG244" s="1"/>
      <c r="AKH244" s="1"/>
      <c r="AKI244" s="1"/>
      <c r="AKJ244" s="1"/>
      <c r="AKK244" s="1"/>
      <c r="AKL244" s="1"/>
      <c r="AKM244" s="1"/>
      <c r="AKN244" s="1"/>
      <c r="AKO244" s="1"/>
      <c r="AKP244" s="1"/>
      <c r="AKQ244" s="1"/>
      <c r="AKR244" s="1"/>
      <c r="AKS244" s="1"/>
      <c r="AKT244" s="1"/>
      <c r="AKU244" s="1"/>
      <c r="AKV244" s="1"/>
      <c r="AKW244" s="1"/>
      <c r="AKX244" s="1"/>
      <c r="AKY244" s="1"/>
      <c r="AKZ244" s="1"/>
      <c r="ALA244" s="1"/>
      <c r="ALB244" s="1"/>
      <c r="ALC244" s="1"/>
      <c r="ALD244" s="1"/>
      <c r="ALE244" s="1"/>
      <c r="ALF244" s="1"/>
      <c r="ALG244" s="1"/>
      <c r="ALH244" s="1"/>
      <c r="ALI244" s="1"/>
      <c r="ALJ244" s="1"/>
      <c r="ALK244" s="1"/>
      <c r="ALL244" s="1"/>
      <c r="ALM244" s="1"/>
      <c r="ALN244" s="1"/>
      <c r="ALO244" s="1"/>
      <c r="ALP244" s="1"/>
      <c r="ALQ244" s="1"/>
      <c r="ALR244" s="1"/>
      <c r="ALS244" s="1"/>
      <c r="ALT244" s="1"/>
      <c r="ALU244" s="1"/>
      <c r="ALV244" s="1"/>
      <c r="ALW244" s="1"/>
      <c r="ALX244" s="1"/>
      <c r="ALY244" s="1"/>
      <c r="ALZ244" s="1"/>
      <c r="AMA244" s="1"/>
      <c r="AMB244" s="1"/>
      <c r="AMC244" s="1"/>
      <c r="AMD244" s="1"/>
      <c r="AME244" s="1"/>
      <c r="AMF244" s="1"/>
      <c r="AMG244" s="1"/>
      <c r="AMH244" s="1"/>
      <c r="AMI244" s="1"/>
      <c r="AMJ244" s="1"/>
      <c r="AMK244" s="1"/>
      <c r="AML244" s="1"/>
      <c r="AMM244" s="1"/>
      <c r="AMN244" s="1"/>
      <c r="AMO244" s="1"/>
    </row>
    <row r="245" spans="1:1029" x14ac:dyDescent="0.2">
      <c r="A245" s="3" t="str">
        <f>CONCATENATE(B245,"_",C245)</f>
        <v>lpar1_human_4Z36</v>
      </c>
      <c r="B245" s="3" t="s">
        <v>103</v>
      </c>
      <c r="C245" s="3" t="s">
        <v>1051</v>
      </c>
      <c r="D245" s="3" t="str">
        <f>IFERROR(MID(VLOOKUP($B245,Seqs!$A:$B,2,0),E245,1),"")</f>
        <v>T</v>
      </c>
      <c r="E245" s="3">
        <v>47</v>
      </c>
      <c r="F245" s="3" t="str">
        <f>IFERROR(MID(VLOOKUP($B245,Seqs!$A:$B,2,0),G245,1),"")</f>
        <v>N</v>
      </c>
      <c r="G245" s="3">
        <v>77</v>
      </c>
      <c r="H245" s="3" t="str">
        <f>IFERROR(MID(VLOOKUP($B245,Seqs!$A:$B,2,0),I245,1),"")</f>
        <v>R</v>
      </c>
      <c r="I245" s="23">
        <v>78</v>
      </c>
      <c r="J245" s="3" t="str">
        <f>IFERROR(MID(VLOOKUP($B245,Seqs!$A:$B,2,0),K245,1),"")</f>
        <v>H</v>
      </c>
      <c r="K245" s="23">
        <v>81</v>
      </c>
      <c r="L245" s="3" t="str">
        <f>IFERROR(MID(VLOOKUP($B245,Seqs!$A:$B,2,0),M245,1),"")</f>
        <v>F</v>
      </c>
      <c r="M245" s="3">
        <v>82</v>
      </c>
      <c r="N245" s="3" t="str">
        <f>IFERROR(MID(VLOOKUP($B245,Seqs!$A:$B,2,0),O245,1),"")</f>
        <v>N</v>
      </c>
      <c r="O245" s="3">
        <v>108</v>
      </c>
      <c r="P245" s="3" t="str">
        <f>IFERROR(MID(VLOOKUP($B245,Seqs!$A:$B,2,0),Q245,1),"")</f>
        <v>G</v>
      </c>
      <c r="Q245" s="3">
        <v>110</v>
      </c>
      <c r="R245" s="3" t="str">
        <f>IFERROR(MID(VLOOKUP($B245,Seqs!$A:$B,2,0),S245,1),"")</f>
        <v>L</v>
      </c>
      <c r="S245" s="3">
        <v>116</v>
      </c>
      <c r="T245" s="3" t="str">
        <f>IFERROR(MID(VLOOKUP($B245,Seqs!$A:$B,2,0),U245,1),"")</f>
        <v>T</v>
      </c>
      <c r="U245" s="3">
        <v>117</v>
      </c>
      <c r="V245" s="3" t="str">
        <f>IFERROR(MID(VLOOKUP($B245,Seqs!$A:$B,2,0),W245,1),"")</f>
        <v>R</v>
      </c>
      <c r="W245" s="3">
        <v>152</v>
      </c>
      <c r="X245" s="3" t="str">
        <f>IFERROR(MID(VLOOKUP($B245,Seqs!$A:$B,2,0),Y245,1),"")</f>
        <v/>
      </c>
      <c r="Y245" s="3" t="s">
        <v>23</v>
      </c>
      <c r="Z245" s="3" t="str">
        <f>IFERROR(MID(VLOOKUP($B245,Seqs!$A:$B,2,0),AA245,1),"")</f>
        <v/>
      </c>
      <c r="AA245" s="3" t="s">
        <v>23</v>
      </c>
      <c r="AB245" s="3" t="str">
        <f>IFERROR(MID(VLOOKUP($B245,Seqs!$A:$B,2,0),AC245,1),"")</f>
        <v>T</v>
      </c>
      <c r="AC245" s="9">
        <v>157</v>
      </c>
      <c r="AD245" s="3" t="str">
        <f>IFERROR(MID(VLOOKUP($B245,Seqs!$A:$B,2,0),AE245,1),"")</f>
        <v>G</v>
      </c>
      <c r="AE245" s="3">
        <v>185</v>
      </c>
      <c r="AF245" s="3" t="str">
        <f>IFERROR(MID(VLOOKUP($B245,Seqs!$A:$B,2,0),AG245,1),"")</f>
        <v/>
      </c>
      <c r="AG245" s="3" t="s">
        <v>23</v>
      </c>
      <c r="AH245" s="3" t="str">
        <f>IFERROR(MID(VLOOKUP($B245,Seqs!$A:$B,2,0),AI245,1),"")</f>
        <v/>
      </c>
      <c r="AI245" s="3" t="s">
        <v>23</v>
      </c>
      <c r="AJ245" s="3" t="str">
        <f>IFERROR(MID(VLOOKUP($B245,Seqs!$A:$B,2,0),AK245,1),"")</f>
        <v>S</v>
      </c>
      <c r="AK245" s="3">
        <v>203</v>
      </c>
      <c r="AL245" s="3" t="str">
        <f>IFERROR(MID(VLOOKUP($B245,Seqs!$A:$B,2,0),AM245,1),"")</f>
        <v>R</v>
      </c>
      <c r="AM245" s="3">
        <v>235</v>
      </c>
      <c r="AN245" s="3" t="str">
        <f>IFERROR(MID(VLOOKUP($B245,Seqs!$A:$B,2,0),AO245,1),"")</f>
        <v>G</v>
      </c>
      <c r="AO245" s="3">
        <v>245</v>
      </c>
      <c r="AP245" s="3" t="str">
        <f>IFERROR(MID(VLOOKUP($B245,Seqs!$A:$B,2,0),AQ245,1),"")</f>
        <v>C</v>
      </c>
      <c r="AQ245" s="3">
        <v>284</v>
      </c>
      <c r="AR245" s="3" t="str">
        <f>IFERROR(MID(VLOOKUP($B245,Seqs!$A:$B,2,0),AS245,1),"")</f>
        <v>E</v>
      </c>
      <c r="AS245" s="3">
        <v>293</v>
      </c>
      <c r="AT245" s="3" t="str">
        <f>IFERROR(MID(VLOOKUP($B245,Seqs!$A:$B,2,0),AU245,1),"")</f>
        <v>R</v>
      </c>
      <c r="AU245" s="3">
        <v>314</v>
      </c>
      <c r="AV245" s="3" t="str">
        <f>IFERROR(MID(VLOOKUP($B245,Seqs!$A:$B,2,0),AW245,1),"")</f>
        <v>D</v>
      </c>
      <c r="AW245" s="3">
        <v>315</v>
      </c>
      <c r="AX245" s="3" t="str">
        <f>IFERROR(MID(VLOOKUP($B245,Seqs!$A:$B,2,0),AY245,1),"")</f>
        <v>C</v>
      </c>
      <c r="AY245" s="3">
        <v>327</v>
      </c>
      <c r="AZ245" s="77" t="str">
        <f>VLOOKUP(B245,Classification!A:D,2,0)</f>
        <v>A</v>
      </c>
      <c r="BA245" s="94" t="str">
        <f>VLOOKUP(B245,Classification!A:D,4,0)</f>
        <v>Lysophospholipid(LPA)</v>
      </c>
      <c r="BB245" s="27" t="b">
        <f t="shared" si="1074"/>
        <v>1</v>
      </c>
      <c r="BC245" s="23">
        <f t="shared" si="1057"/>
        <v>244</v>
      </c>
      <c r="BD245" s="5" t="s">
        <v>23</v>
      </c>
      <c r="BE245" s="3" t="s">
        <v>1368</v>
      </c>
      <c r="BF245" s="118">
        <v>2.9</v>
      </c>
      <c r="BG245" s="49" t="s">
        <v>1371</v>
      </c>
      <c r="BH245" s="49" t="s">
        <v>1371</v>
      </c>
      <c r="BI245" s="1"/>
      <c r="BJ245" s="70" t="s">
        <v>1281</v>
      </c>
      <c r="BK245" s="57" t="s">
        <v>1281</v>
      </c>
      <c r="BL245" s="57" t="s">
        <v>1281</v>
      </c>
      <c r="BM245" s="57" t="s">
        <v>1281</v>
      </c>
      <c r="BN245" s="57" t="s">
        <v>1281</v>
      </c>
      <c r="BO245" s="57" t="s">
        <v>1281</v>
      </c>
      <c r="BP245" s="57" t="s">
        <v>1281</v>
      </c>
      <c r="BQ245" s="57" t="s">
        <v>1281</v>
      </c>
      <c r="BR245" s="57" t="s">
        <v>1281</v>
      </c>
      <c r="BS245" s="57" t="s">
        <v>1281</v>
      </c>
      <c r="BT245" s="57" t="s">
        <v>1281</v>
      </c>
      <c r="BU245" s="57" t="s">
        <v>1281</v>
      </c>
      <c r="BV245" s="70">
        <f>E245</f>
        <v>47</v>
      </c>
      <c r="BW245" s="71">
        <f>I245</f>
        <v>78</v>
      </c>
      <c r="BX245" s="72">
        <f>M245</f>
        <v>82</v>
      </c>
      <c r="BY245" s="71">
        <f>Q245</f>
        <v>110</v>
      </c>
      <c r="BZ245" s="72">
        <f>U245</f>
        <v>117</v>
      </c>
      <c r="CA245" s="71" t="str">
        <f>Y245</f>
        <v>-</v>
      </c>
      <c r="CB245" s="72">
        <f>AC245</f>
        <v>157</v>
      </c>
      <c r="CC245" s="71" t="str">
        <f>AG245</f>
        <v>-</v>
      </c>
      <c r="CD245" s="72">
        <f>AK245</f>
        <v>203</v>
      </c>
      <c r="CE245" s="71">
        <f>AO245</f>
        <v>245</v>
      </c>
      <c r="CF245" s="72">
        <f>AS245</f>
        <v>293</v>
      </c>
      <c r="CG245" s="71">
        <f>AW245</f>
        <v>315</v>
      </c>
      <c r="CH245" s="70">
        <f>G245</f>
        <v>77</v>
      </c>
      <c r="CI245" s="71">
        <f>K245</f>
        <v>81</v>
      </c>
      <c r="CJ245" s="72">
        <f>O245</f>
        <v>108</v>
      </c>
      <c r="CK245" s="72">
        <f>S245</f>
        <v>116</v>
      </c>
      <c r="CL245" s="72">
        <f>W245</f>
        <v>152</v>
      </c>
      <c r="CM245" s="72" t="str">
        <f>AA245</f>
        <v>-</v>
      </c>
      <c r="CN245" s="72">
        <f>AE245</f>
        <v>185</v>
      </c>
      <c r="CO245" s="72" t="str">
        <f>AI245</f>
        <v>-</v>
      </c>
      <c r="CP245" s="72">
        <f>AM245</f>
        <v>235</v>
      </c>
      <c r="CQ245" s="72">
        <f>AQ245</f>
        <v>284</v>
      </c>
      <c r="CR245" s="72">
        <f>AU245</f>
        <v>314</v>
      </c>
      <c r="CS245" s="72">
        <f>AY245</f>
        <v>327</v>
      </c>
      <c r="CT245" s="23">
        <f>M245-K245</f>
        <v>1</v>
      </c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  <c r="VC245" s="1"/>
      <c r="VD245" s="1"/>
      <c r="VE245" s="1"/>
      <c r="VF245" s="1"/>
      <c r="VG245" s="1"/>
      <c r="VH245" s="1"/>
      <c r="VI245" s="1"/>
      <c r="VJ245" s="1"/>
      <c r="VK245" s="1"/>
      <c r="VL245" s="1"/>
      <c r="VM245" s="1"/>
      <c r="VN245" s="1"/>
      <c r="VO245" s="1"/>
      <c r="VP245" s="1"/>
      <c r="VQ245" s="1"/>
      <c r="VR245" s="1"/>
      <c r="VS245" s="1"/>
      <c r="VT245" s="1"/>
      <c r="VU245" s="1"/>
      <c r="VV245" s="1"/>
      <c r="VW245" s="1"/>
      <c r="VX245" s="1"/>
      <c r="VY245" s="1"/>
      <c r="VZ245" s="1"/>
      <c r="WA245" s="1"/>
      <c r="WB245" s="1"/>
      <c r="WC245" s="1"/>
      <c r="WD245" s="1"/>
      <c r="WE245" s="1"/>
      <c r="WF245" s="1"/>
      <c r="WG245" s="1"/>
      <c r="WH245" s="1"/>
      <c r="WI245" s="1"/>
      <c r="WJ245" s="1"/>
      <c r="WK245" s="1"/>
      <c r="WL245" s="1"/>
      <c r="WM245" s="1"/>
      <c r="WN245" s="1"/>
      <c r="WO245" s="1"/>
      <c r="WP245" s="1"/>
      <c r="WQ245" s="1"/>
      <c r="WR245" s="1"/>
      <c r="WS245" s="1"/>
      <c r="WT245" s="1"/>
      <c r="WU245" s="1"/>
      <c r="WV245" s="1"/>
      <c r="WW245" s="1"/>
      <c r="WX245" s="1"/>
      <c r="WY245" s="1"/>
      <c r="WZ245" s="1"/>
      <c r="XA245" s="1"/>
      <c r="XB245" s="1"/>
      <c r="XC245" s="1"/>
      <c r="XD245" s="1"/>
      <c r="XE245" s="1"/>
      <c r="XF245" s="1"/>
      <c r="XG245" s="1"/>
      <c r="XH245" s="1"/>
      <c r="XI245" s="1"/>
      <c r="XJ245" s="1"/>
      <c r="XK245" s="1"/>
      <c r="XL245" s="1"/>
      <c r="XM245" s="1"/>
      <c r="XN245" s="1"/>
      <c r="XO245" s="1"/>
      <c r="XP245" s="1"/>
      <c r="XQ245" s="1"/>
      <c r="XR245" s="1"/>
      <c r="XS245" s="1"/>
      <c r="XT245" s="1"/>
      <c r="XU245" s="1"/>
      <c r="XV245" s="1"/>
      <c r="XW245" s="1"/>
      <c r="XX245" s="1"/>
      <c r="XY245" s="1"/>
      <c r="XZ245" s="1"/>
      <c r="YA245" s="1"/>
      <c r="YB245" s="1"/>
      <c r="YC245" s="1"/>
      <c r="YD245" s="1"/>
      <c r="YE245" s="1"/>
      <c r="YF245" s="1"/>
      <c r="YG245" s="1"/>
      <c r="YH245" s="1"/>
      <c r="YI245" s="1"/>
      <c r="YJ245" s="1"/>
      <c r="YK245" s="1"/>
      <c r="YL245" s="1"/>
      <c r="YM245" s="1"/>
      <c r="YN245" s="1"/>
      <c r="YO245" s="1"/>
      <c r="YP245" s="1"/>
      <c r="YQ245" s="1"/>
      <c r="YR245" s="1"/>
      <c r="YS245" s="1"/>
      <c r="YT245" s="1"/>
      <c r="YU245" s="1"/>
      <c r="YV245" s="1"/>
      <c r="YW245" s="1"/>
      <c r="YX245" s="1"/>
      <c r="YY245" s="1"/>
      <c r="YZ245" s="1"/>
      <c r="ZA245" s="1"/>
      <c r="ZB245" s="1"/>
      <c r="ZC245" s="1"/>
      <c r="ZD245" s="1"/>
      <c r="ZE245" s="1"/>
      <c r="ZF245" s="1"/>
      <c r="ZG245" s="1"/>
      <c r="ZH245" s="1"/>
      <c r="ZI245" s="1"/>
      <c r="ZJ245" s="1"/>
      <c r="ZK245" s="1"/>
      <c r="ZL245" s="1"/>
      <c r="ZM245" s="1"/>
      <c r="ZN245" s="1"/>
      <c r="ZO245" s="1"/>
      <c r="ZP245" s="1"/>
      <c r="ZQ245" s="1"/>
      <c r="ZR245" s="1"/>
      <c r="ZS245" s="1"/>
      <c r="ZT245" s="1"/>
      <c r="ZU245" s="1"/>
      <c r="ZV245" s="1"/>
      <c r="ZW245" s="1"/>
      <c r="ZX245" s="1"/>
      <c r="ZY245" s="1"/>
      <c r="ZZ245" s="1"/>
      <c r="AAA245" s="1"/>
      <c r="AAB245" s="1"/>
      <c r="AAC245" s="1"/>
      <c r="AAD245" s="1"/>
      <c r="AAE245" s="1"/>
      <c r="AAF245" s="1"/>
      <c r="AAG245" s="1"/>
      <c r="AAH245" s="1"/>
      <c r="AAI245" s="1"/>
      <c r="AAJ245" s="1"/>
      <c r="AAK245" s="1"/>
      <c r="AAL245" s="1"/>
      <c r="AAM245" s="1"/>
      <c r="AAN245" s="1"/>
      <c r="AAO245" s="1"/>
      <c r="AAP245" s="1"/>
      <c r="AAQ245" s="1"/>
      <c r="AAR245" s="1"/>
      <c r="AAS245" s="1"/>
      <c r="AAT245" s="1"/>
      <c r="AAU245" s="1"/>
      <c r="AAV245" s="1"/>
      <c r="AAW245" s="1"/>
      <c r="AAX245" s="1"/>
      <c r="AAY245" s="1"/>
      <c r="AAZ245" s="1"/>
      <c r="ABA245" s="1"/>
      <c r="ABB245" s="1"/>
      <c r="ABC245" s="1"/>
      <c r="ABD245" s="1"/>
      <c r="ABE245" s="1"/>
      <c r="ABF245" s="1"/>
      <c r="ABG245" s="1"/>
      <c r="ABH245" s="1"/>
      <c r="ABI245" s="1"/>
      <c r="ABJ245" s="1"/>
      <c r="ABK245" s="1"/>
      <c r="ABL245" s="1"/>
      <c r="ABM245" s="1"/>
      <c r="ABN245" s="1"/>
      <c r="ABO245" s="1"/>
      <c r="ABP245" s="1"/>
      <c r="ABQ245" s="1"/>
      <c r="ABR245" s="1"/>
      <c r="ABS245" s="1"/>
      <c r="ABT245" s="1"/>
      <c r="ABU245" s="1"/>
      <c r="ABV245" s="1"/>
      <c r="ABW245" s="1"/>
      <c r="ABX245" s="1"/>
      <c r="ABY245" s="1"/>
      <c r="ABZ245" s="1"/>
      <c r="ACA245" s="1"/>
      <c r="ACB245" s="1"/>
      <c r="ACC245" s="1"/>
      <c r="ACD245" s="1"/>
      <c r="ACE245" s="1"/>
      <c r="ACF245" s="1"/>
      <c r="ACG245" s="1"/>
      <c r="ACH245" s="1"/>
      <c r="ACI245" s="1"/>
      <c r="ACJ245" s="1"/>
      <c r="ACK245" s="1"/>
      <c r="ACL245" s="1"/>
      <c r="ACM245" s="1"/>
      <c r="ACN245" s="1"/>
      <c r="ACO245" s="1"/>
      <c r="ACP245" s="1"/>
      <c r="ACQ245" s="1"/>
      <c r="ACR245" s="1"/>
      <c r="ACS245" s="1"/>
      <c r="ACT245" s="1"/>
      <c r="ACU245" s="1"/>
      <c r="ACV245" s="1"/>
      <c r="ACW245" s="1"/>
      <c r="ACX245" s="1"/>
      <c r="ACY245" s="1"/>
      <c r="ACZ245" s="1"/>
      <c r="ADA245" s="1"/>
      <c r="ADB245" s="1"/>
      <c r="ADC245" s="1"/>
      <c r="ADD245" s="1"/>
      <c r="ADE245" s="1"/>
      <c r="ADF245" s="1"/>
      <c r="ADG245" s="1"/>
      <c r="ADH245" s="1"/>
      <c r="ADI245" s="1"/>
      <c r="ADJ245" s="1"/>
      <c r="ADK245" s="1"/>
      <c r="ADL245" s="1"/>
      <c r="ADM245" s="1"/>
      <c r="ADN245" s="1"/>
      <c r="ADO245" s="1"/>
      <c r="ADP245" s="1"/>
      <c r="ADQ245" s="1"/>
      <c r="ADR245" s="1"/>
      <c r="ADS245" s="1"/>
      <c r="ADT245" s="1"/>
      <c r="ADU245" s="1"/>
      <c r="ADV245" s="1"/>
      <c r="ADW245" s="1"/>
      <c r="ADX245" s="1"/>
      <c r="ADY245" s="1"/>
      <c r="ADZ245" s="1"/>
      <c r="AEA245" s="1"/>
      <c r="AEB245" s="1"/>
      <c r="AEC245" s="1"/>
      <c r="AED245" s="1"/>
      <c r="AEE245" s="1"/>
      <c r="AEF245" s="1"/>
      <c r="AEG245" s="1"/>
      <c r="AEH245" s="1"/>
      <c r="AEI245" s="1"/>
      <c r="AEJ245" s="1"/>
      <c r="AEK245" s="1"/>
      <c r="AEL245" s="1"/>
      <c r="AEM245" s="1"/>
      <c r="AEN245" s="1"/>
      <c r="AEO245" s="1"/>
      <c r="AEP245" s="1"/>
      <c r="AEQ245" s="1"/>
      <c r="AER245" s="1"/>
      <c r="AES245" s="1"/>
      <c r="AET245" s="1"/>
      <c r="AEU245" s="1"/>
      <c r="AEV245" s="1"/>
      <c r="AEW245" s="1"/>
      <c r="AEX245" s="1"/>
      <c r="AEY245" s="1"/>
      <c r="AEZ245" s="1"/>
      <c r="AFA245" s="1"/>
      <c r="AFB245" s="1"/>
      <c r="AFC245" s="1"/>
      <c r="AFD245" s="1"/>
      <c r="AFE245" s="1"/>
      <c r="AFF245" s="1"/>
      <c r="AFG245" s="1"/>
      <c r="AFH245" s="1"/>
      <c r="AFI245" s="1"/>
      <c r="AFJ245" s="1"/>
      <c r="AFK245" s="1"/>
      <c r="AFL245" s="1"/>
      <c r="AFM245" s="1"/>
      <c r="AFN245" s="1"/>
      <c r="AFO245" s="1"/>
      <c r="AFP245" s="1"/>
      <c r="AFQ245" s="1"/>
      <c r="AFR245" s="1"/>
      <c r="AFS245" s="1"/>
      <c r="AFT245" s="1"/>
      <c r="AFU245" s="1"/>
      <c r="AFV245" s="1"/>
      <c r="AFW245" s="1"/>
      <c r="AFX245" s="1"/>
      <c r="AFY245" s="1"/>
      <c r="AFZ245" s="1"/>
      <c r="AGA245" s="1"/>
      <c r="AGB245" s="1"/>
      <c r="AGC245" s="1"/>
      <c r="AGD245" s="1"/>
      <c r="AGE245" s="1"/>
      <c r="AGF245" s="1"/>
      <c r="AGG245" s="1"/>
      <c r="AGH245" s="1"/>
      <c r="AGI245" s="1"/>
      <c r="AGJ245" s="1"/>
      <c r="AGK245" s="1"/>
      <c r="AGL245" s="1"/>
      <c r="AGM245" s="1"/>
      <c r="AGN245" s="1"/>
      <c r="AGO245" s="1"/>
      <c r="AGP245" s="1"/>
      <c r="AGQ245" s="1"/>
      <c r="AGR245" s="1"/>
      <c r="AGS245" s="1"/>
      <c r="AGT245" s="1"/>
      <c r="AGU245" s="1"/>
      <c r="AGV245" s="1"/>
      <c r="AGW245" s="1"/>
      <c r="AGX245" s="1"/>
      <c r="AGY245" s="1"/>
      <c r="AGZ245" s="1"/>
      <c r="AHA245" s="1"/>
      <c r="AHB245" s="1"/>
      <c r="AHC245" s="1"/>
      <c r="AHD245" s="1"/>
      <c r="AHE245" s="1"/>
      <c r="AHF245" s="1"/>
      <c r="AHG245" s="1"/>
      <c r="AHH245" s="1"/>
      <c r="AHI245" s="1"/>
      <c r="AHJ245" s="1"/>
      <c r="AHK245" s="1"/>
      <c r="AHL245" s="1"/>
      <c r="AHM245" s="1"/>
      <c r="AHN245" s="1"/>
      <c r="AHO245" s="1"/>
      <c r="AHP245" s="1"/>
      <c r="AHQ245" s="1"/>
      <c r="AHR245" s="1"/>
      <c r="AHS245" s="1"/>
      <c r="AHT245" s="1"/>
      <c r="AHU245" s="1"/>
      <c r="AHV245" s="1"/>
      <c r="AHW245" s="1"/>
      <c r="AHX245" s="1"/>
      <c r="AHY245" s="1"/>
      <c r="AHZ245" s="1"/>
      <c r="AIA245" s="1"/>
      <c r="AIB245" s="1"/>
      <c r="AIC245" s="1"/>
      <c r="AID245" s="1"/>
      <c r="AIE245" s="1"/>
      <c r="AIF245" s="1"/>
      <c r="AIG245" s="1"/>
      <c r="AIH245" s="1"/>
      <c r="AII245" s="1"/>
      <c r="AIJ245" s="1"/>
      <c r="AIK245" s="1"/>
      <c r="AIL245" s="1"/>
      <c r="AIM245" s="1"/>
      <c r="AIN245" s="1"/>
      <c r="AIO245" s="1"/>
      <c r="AIP245" s="1"/>
      <c r="AIQ245" s="1"/>
      <c r="AIR245" s="1"/>
      <c r="AIS245" s="1"/>
      <c r="AIT245" s="1"/>
      <c r="AIU245" s="1"/>
      <c r="AIV245" s="1"/>
      <c r="AIW245" s="1"/>
      <c r="AIX245" s="1"/>
      <c r="AIY245" s="1"/>
      <c r="AIZ245" s="1"/>
      <c r="AJA245" s="1"/>
      <c r="AJB245" s="1"/>
      <c r="AJC245" s="1"/>
      <c r="AJD245" s="1"/>
      <c r="AJE245" s="1"/>
      <c r="AJF245" s="1"/>
      <c r="AJG245" s="1"/>
      <c r="AJH245" s="1"/>
      <c r="AJI245" s="1"/>
      <c r="AJJ245" s="1"/>
      <c r="AJK245" s="1"/>
      <c r="AJL245" s="1"/>
      <c r="AJM245" s="1"/>
      <c r="AJN245" s="1"/>
      <c r="AJO245" s="1"/>
      <c r="AJP245" s="1"/>
      <c r="AJQ245" s="1"/>
      <c r="AJR245" s="1"/>
      <c r="AJS245" s="1"/>
      <c r="AJT245" s="1"/>
      <c r="AJU245" s="1"/>
      <c r="AJV245" s="1"/>
      <c r="AJW245" s="1"/>
      <c r="AJX245" s="1"/>
      <c r="AJY245" s="1"/>
      <c r="AJZ245" s="1"/>
      <c r="AKA245" s="1"/>
      <c r="AKB245" s="1"/>
      <c r="AKC245" s="1"/>
      <c r="AKD245" s="1"/>
      <c r="AKE245" s="1"/>
      <c r="AKF245" s="1"/>
      <c r="AKG245" s="1"/>
      <c r="AKH245" s="1"/>
      <c r="AKI245" s="1"/>
      <c r="AKJ245" s="1"/>
      <c r="AKK245" s="1"/>
      <c r="AKL245" s="1"/>
      <c r="AKM245" s="1"/>
      <c r="AKN245" s="1"/>
      <c r="AKO245" s="1"/>
      <c r="AKP245" s="1"/>
      <c r="AKQ245" s="1"/>
      <c r="AKR245" s="1"/>
      <c r="AKS245" s="1"/>
      <c r="AKT245" s="1"/>
      <c r="AKU245" s="1"/>
      <c r="AKV245" s="1"/>
      <c r="AKW245" s="1"/>
      <c r="AKX245" s="1"/>
      <c r="AKY245" s="1"/>
      <c r="AKZ245" s="1"/>
      <c r="ALA245" s="1"/>
      <c r="ALB245" s="1"/>
      <c r="ALC245" s="1"/>
      <c r="ALD245" s="1"/>
      <c r="ALE245" s="1"/>
      <c r="ALF245" s="1"/>
      <c r="ALG245" s="1"/>
      <c r="ALH245" s="1"/>
      <c r="ALI245" s="1"/>
      <c r="ALJ245" s="1"/>
      <c r="ALK245" s="1"/>
      <c r="ALL245" s="1"/>
      <c r="ALM245" s="1"/>
      <c r="ALN245" s="1"/>
      <c r="ALO245" s="1"/>
      <c r="ALP245" s="1"/>
      <c r="ALQ245" s="1"/>
      <c r="ALR245" s="1"/>
      <c r="ALS245" s="1"/>
      <c r="ALT245" s="1"/>
      <c r="ALU245" s="1"/>
      <c r="ALV245" s="1"/>
      <c r="ALW245" s="1"/>
      <c r="ALX245" s="1"/>
      <c r="ALY245" s="1"/>
      <c r="ALZ245" s="1"/>
      <c r="AMA245" s="1"/>
      <c r="AMB245" s="1"/>
      <c r="AMC245" s="1"/>
      <c r="AMD245" s="1"/>
      <c r="AME245" s="1"/>
      <c r="AMF245" s="1"/>
      <c r="AMG245" s="1"/>
      <c r="AMH245" s="1"/>
      <c r="AMI245" s="1"/>
      <c r="AMJ245" s="1"/>
      <c r="AMK245" s="1"/>
      <c r="AML245" s="1"/>
      <c r="AMM245" s="1"/>
      <c r="AMN245" s="1"/>
      <c r="AMO245" s="1"/>
    </row>
    <row r="246" spans="1:1029" x14ac:dyDescent="0.2">
      <c r="A246" s="3" t="str">
        <f>CONCATENATE(B246,"_",C246)</f>
        <v>mtr1a_human__wt</v>
      </c>
      <c r="B246" s="3" t="s">
        <v>310</v>
      </c>
      <c r="C246" s="3" t="s">
        <v>100</v>
      </c>
      <c r="D246" s="3" t="str">
        <f>IFERROR(MID(VLOOKUP($B246,Seqs!$A:$B,2,0),E246,1),"")</f>
        <v>P</v>
      </c>
      <c r="E246" s="3">
        <v>23</v>
      </c>
      <c r="F246" s="3" t="str">
        <f>IFERROR(MID(VLOOKUP($B246,Seqs!$A:$B,2,0),G246,1),"")</f>
        <v>N</v>
      </c>
      <c r="G246" s="3">
        <v>55</v>
      </c>
      <c r="H246" s="3" t="str">
        <f>IFERROR(MID(VLOOKUP($B246,Seqs!$A:$B,2,0),I246,1),"")</f>
        <v>K</v>
      </c>
      <c r="I246" s="23">
        <v>56</v>
      </c>
      <c r="J246" s="3" t="str">
        <f>IFERROR(MID(VLOOKUP($B246,Seqs!$A:$B,2,0),K246,1),"")</f>
        <v>R</v>
      </c>
      <c r="K246" s="23">
        <v>59</v>
      </c>
      <c r="L246" s="3" t="str">
        <f>IFERROR(MID(VLOOKUP($B246,Seqs!$A:$B,2,0),M246,1),"")</f>
        <v>N</v>
      </c>
      <c r="M246" s="3">
        <v>60</v>
      </c>
      <c r="N246" s="3" t="str">
        <f>IFERROR(MID(VLOOKUP($B246,Seqs!$A:$B,2,0),O246,1),"")</f>
        <v>N</v>
      </c>
      <c r="O246" s="3">
        <v>91</v>
      </c>
      <c r="P246" s="3" t="str">
        <f>IFERROR(MID(VLOOKUP($B246,Seqs!$A:$B,2,0),Q246,1),"")</f>
        <v>G</v>
      </c>
      <c r="Q246" s="3">
        <v>92</v>
      </c>
      <c r="R246" s="3" t="str">
        <f>IFERROR(MID(VLOOKUP($B246,Seqs!$A:$B,2,0),S246,1),"")</f>
        <v>L</v>
      </c>
      <c r="S246" s="3">
        <v>95</v>
      </c>
      <c r="T246" s="3" t="str">
        <f>IFERROR(MID(VLOOKUP($B246,Seqs!$A:$B,2,0),U246,1),"")</f>
        <v>G</v>
      </c>
      <c r="U246" s="3">
        <v>96</v>
      </c>
      <c r="V246" s="3" t="str">
        <f>IFERROR(MID(VLOOKUP($B246,Seqs!$A:$B,2,0),W246,1),"")</f>
        <v>H</v>
      </c>
      <c r="W246" s="3">
        <v>131</v>
      </c>
      <c r="X246" s="3" t="str">
        <f>IFERROR(MID(VLOOKUP($B246,Seqs!$A:$B,2,0),Y246,1),"")</f>
        <v>S</v>
      </c>
      <c r="Y246" s="3">
        <v>132</v>
      </c>
      <c r="Z246" s="3" t="str">
        <f>IFERROR(MID(VLOOKUP($B246,Seqs!$A:$B,2,0),AA246,1),"")</f>
        <v>Y</v>
      </c>
      <c r="AA246" s="3">
        <v>139</v>
      </c>
      <c r="AB246" s="3" t="str">
        <f>IFERROR(MID(VLOOKUP($B246,Seqs!$A:$B,2,0),AC246,1),"")</f>
        <v>S</v>
      </c>
      <c r="AC246" s="3">
        <v>140</v>
      </c>
      <c r="AD246" s="3" t="str">
        <f>IFERROR(MID(VLOOKUP($B246,Seqs!$A:$B,2,0),AE246,1),"")</f>
        <v>G</v>
      </c>
      <c r="AE246" s="3">
        <v>166</v>
      </c>
      <c r="AF246" s="3" t="str">
        <f>IFERROR(MID(VLOOKUP($B246,Seqs!$A:$B,2,0),AG246,1),"")</f>
        <v>C</v>
      </c>
      <c r="AG246" s="3">
        <v>177</v>
      </c>
      <c r="AH246" s="3" t="str">
        <f>IFERROR(MID(VLOOKUP($B246,Seqs!$A:$B,2,0),AI246,1),"")</f>
        <v>F</v>
      </c>
      <c r="AI246" s="3">
        <v>179</v>
      </c>
      <c r="AJ246" s="3" t="str">
        <f>IFERROR(MID(VLOOKUP($B246,Seqs!$A:$B,2,0),AK246,1),"")</f>
        <v>S</v>
      </c>
      <c r="AK246" s="3">
        <v>184</v>
      </c>
      <c r="AL246" s="3" t="str">
        <f>IFERROR(MID(VLOOKUP($B246,Seqs!$A:$B,2,0),AM246,1),"")</f>
        <v>V</v>
      </c>
      <c r="AM246" s="3">
        <v>221</v>
      </c>
      <c r="AN246" s="3" t="str">
        <f>IFERROR(MID(VLOOKUP($B246,Seqs!$A:$B,2,0),AO246,1),"")</f>
        <v>P</v>
      </c>
      <c r="AO246" s="3">
        <v>227</v>
      </c>
      <c r="AP246" s="3" t="str">
        <f>IFERROR(MID(VLOOKUP($B246,Seqs!$A:$B,2,0),AQ246,1),"")</f>
        <v>D</v>
      </c>
      <c r="AQ246" s="3">
        <v>264</v>
      </c>
      <c r="AR246" s="3" t="str">
        <f>IFERROR(MID(VLOOKUP($B246,Seqs!$A:$B,2,0),AS246,1),"")</f>
        <v>P</v>
      </c>
      <c r="AS246" s="3">
        <v>273</v>
      </c>
      <c r="AT246" s="3" t="str">
        <f>IFERROR(MID(VLOOKUP($B246,Seqs!$A:$B,2,0),AU246,1),"")</f>
        <v>L</v>
      </c>
      <c r="AU246" s="3">
        <v>298</v>
      </c>
      <c r="AV246" s="3" t="str">
        <f>IFERROR(MID(VLOOKUP($B246,Seqs!$A:$B,2,0),AW246,1),"")</f>
        <v>N</v>
      </c>
      <c r="AW246" s="3">
        <v>299</v>
      </c>
      <c r="AX246" s="3" t="str">
        <f>IFERROR(MID(VLOOKUP($B246,Seqs!$A:$B,2,0),AY246,1),"")</f>
        <v>T</v>
      </c>
      <c r="AY246" s="3">
        <v>315</v>
      </c>
      <c r="AZ246" s="77" t="str">
        <f>VLOOKUP(B246,Classification!A:D,2,0)</f>
        <v>A</v>
      </c>
      <c r="BA246" s="94" t="str">
        <f>VLOOKUP(B246,Classification!A:D,4,0)</f>
        <v>Melatonin</v>
      </c>
      <c r="BB246" s="27" t="b">
        <f t="shared" ref="BB246:BB247" si="1075">AND(E246&lt;G246,OR(G246&lt;I246,I246="-"),OR(I246&lt;K246,I246="-"),OR(K246&lt;M246,K246="-"),M246&lt;O246,OR(O246&lt;Q246,Q246="-"),OR(Q246&lt;S246,Q246="-"),OR(S246&lt;U246,S246="-"),U246&lt;W246,OR(W246&lt;Y246,Y246="-"),OR(Y246&lt;AA246,Y246="-"),OR(AA246&lt;AC246,AA246="-"),AC246&lt;AE246,OR(AE246&lt;AG246,AG246="-"),OR(AG246&lt;AI246,AG246="-"),OR(AI246&lt;AK246,AI246="-"),AK246&lt;AM246,AM246&lt;AO246,AO246&lt;AQ246,AQ246&lt;AS246,AS246&lt;AU246,OR(AU246&lt;AW246,AW246="-"),OR(AW246&lt;AY246,AW246="-"))</f>
        <v>1</v>
      </c>
      <c r="BC246" s="23">
        <f t="shared" ref="BC246:BC248" si="1076">_xlfn.AGGREGATE(9,6,CH246:CS246)-_xlfn.AGGREGATE(9,6,BV246:CG246)+12</f>
        <v>266</v>
      </c>
      <c r="BD246" s="5" t="s">
        <v>23</v>
      </c>
      <c r="BE246" s="3" t="s">
        <v>23</v>
      </c>
      <c r="BF246" s="118" t="s">
        <v>23</v>
      </c>
      <c r="BG246" s="49" t="s">
        <v>1371</v>
      </c>
      <c r="BH246" s="49" t="s">
        <v>1371</v>
      </c>
      <c r="BI246" s="1"/>
      <c r="BJ246" s="70" t="s">
        <v>1281</v>
      </c>
      <c r="BK246" s="57" t="s">
        <v>1281</v>
      </c>
      <c r="BL246" s="57" t="s">
        <v>1281</v>
      </c>
      <c r="BM246" s="57" t="s">
        <v>1281</v>
      </c>
      <c r="BN246" s="57" t="s">
        <v>1281</v>
      </c>
      <c r="BO246" s="57" t="s">
        <v>1281</v>
      </c>
      <c r="BP246" s="57" t="s">
        <v>1281</v>
      </c>
      <c r="BQ246" s="57" t="s">
        <v>1281</v>
      </c>
      <c r="BR246" s="57" t="s">
        <v>1281</v>
      </c>
      <c r="BS246" s="57" t="s">
        <v>1281</v>
      </c>
      <c r="BT246" s="57" t="s">
        <v>1281</v>
      </c>
      <c r="BU246" s="57" t="s">
        <v>1281</v>
      </c>
      <c r="BV246" s="70">
        <f>E246</f>
        <v>23</v>
      </c>
      <c r="BW246" s="71">
        <f>I246</f>
        <v>56</v>
      </c>
      <c r="BX246" s="72">
        <f>M246</f>
        <v>60</v>
      </c>
      <c r="BY246" s="71">
        <f>Q246</f>
        <v>92</v>
      </c>
      <c r="BZ246" s="72">
        <f>U246</f>
        <v>96</v>
      </c>
      <c r="CA246" s="71">
        <f>Y246</f>
        <v>132</v>
      </c>
      <c r="CB246" s="72">
        <f>AC246</f>
        <v>140</v>
      </c>
      <c r="CC246" s="71">
        <f>AG246</f>
        <v>177</v>
      </c>
      <c r="CD246" s="72">
        <f>AK246</f>
        <v>184</v>
      </c>
      <c r="CE246" s="71">
        <f>AO246</f>
        <v>227</v>
      </c>
      <c r="CF246" s="72">
        <f>AS246</f>
        <v>273</v>
      </c>
      <c r="CG246" s="71">
        <f>AW246</f>
        <v>299</v>
      </c>
      <c r="CH246" s="70">
        <f>G246</f>
        <v>55</v>
      </c>
      <c r="CI246" s="71">
        <f>K246</f>
        <v>59</v>
      </c>
      <c r="CJ246" s="72">
        <f>O246</f>
        <v>91</v>
      </c>
      <c r="CK246" s="72">
        <f>S246</f>
        <v>95</v>
      </c>
      <c r="CL246" s="72">
        <f>W246</f>
        <v>131</v>
      </c>
      <c r="CM246" s="72">
        <f>AA246</f>
        <v>139</v>
      </c>
      <c r="CN246" s="72">
        <f>AE246</f>
        <v>166</v>
      </c>
      <c r="CO246" s="72">
        <f>AI246</f>
        <v>179</v>
      </c>
      <c r="CP246" s="72">
        <f>AM246</f>
        <v>221</v>
      </c>
      <c r="CQ246" s="72">
        <f>AQ246</f>
        <v>264</v>
      </c>
      <c r="CR246" s="72">
        <f>AU246</f>
        <v>298</v>
      </c>
      <c r="CS246" s="72">
        <f>AY246</f>
        <v>315</v>
      </c>
      <c r="CT246" s="23">
        <f>M246-K246</f>
        <v>1</v>
      </c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  <c r="UU246" s="1"/>
      <c r="UV246" s="1"/>
      <c r="UW246" s="1"/>
      <c r="UX246" s="1"/>
      <c r="UY246" s="1"/>
      <c r="UZ246" s="1"/>
      <c r="VA246" s="1"/>
      <c r="VB246" s="1"/>
      <c r="VC246" s="1"/>
      <c r="VD246" s="1"/>
      <c r="VE246" s="1"/>
      <c r="VF246" s="1"/>
      <c r="VG246" s="1"/>
      <c r="VH246" s="1"/>
      <c r="VI246" s="1"/>
      <c r="VJ246" s="1"/>
      <c r="VK246" s="1"/>
      <c r="VL246" s="1"/>
      <c r="VM246" s="1"/>
      <c r="VN246" s="1"/>
      <c r="VO246" s="1"/>
      <c r="VP246" s="1"/>
      <c r="VQ246" s="1"/>
      <c r="VR246" s="1"/>
      <c r="VS246" s="1"/>
      <c r="VT246" s="1"/>
      <c r="VU246" s="1"/>
      <c r="VV246" s="1"/>
      <c r="VW246" s="1"/>
      <c r="VX246" s="1"/>
      <c r="VY246" s="1"/>
      <c r="VZ246" s="1"/>
      <c r="WA246" s="1"/>
      <c r="WB246" s="1"/>
      <c r="WC246" s="1"/>
      <c r="WD246" s="1"/>
      <c r="WE246" s="1"/>
      <c r="WF246" s="1"/>
      <c r="WG246" s="1"/>
      <c r="WH246" s="1"/>
      <c r="WI246" s="1"/>
      <c r="WJ246" s="1"/>
      <c r="WK246" s="1"/>
      <c r="WL246" s="1"/>
      <c r="WM246" s="1"/>
      <c r="WN246" s="1"/>
      <c r="WO246" s="1"/>
      <c r="WP246" s="1"/>
      <c r="WQ246" s="1"/>
      <c r="WR246" s="1"/>
      <c r="WS246" s="1"/>
      <c r="WT246" s="1"/>
      <c r="WU246" s="1"/>
      <c r="WV246" s="1"/>
      <c r="WW246" s="1"/>
      <c r="WX246" s="1"/>
      <c r="WY246" s="1"/>
      <c r="WZ246" s="1"/>
      <c r="XA246" s="1"/>
      <c r="XB246" s="1"/>
      <c r="XC246" s="1"/>
      <c r="XD246" s="1"/>
      <c r="XE246" s="1"/>
      <c r="XF246" s="1"/>
      <c r="XG246" s="1"/>
      <c r="XH246" s="1"/>
      <c r="XI246" s="1"/>
      <c r="XJ246" s="1"/>
      <c r="XK246" s="1"/>
      <c r="XL246" s="1"/>
      <c r="XM246" s="1"/>
      <c r="XN246" s="1"/>
      <c r="XO246" s="1"/>
      <c r="XP246" s="1"/>
      <c r="XQ246" s="1"/>
      <c r="XR246" s="1"/>
      <c r="XS246" s="1"/>
      <c r="XT246" s="1"/>
      <c r="XU246" s="1"/>
      <c r="XV246" s="1"/>
      <c r="XW246" s="1"/>
      <c r="XX246" s="1"/>
      <c r="XY246" s="1"/>
      <c r="XZ246" s="1"/>
      <c r="YA246" s="1"/>
      <c r="YB246" s="1"/>
      <c r="YC246" s="1"/>
      <c r="YD246" s="1"/>
      <c r="YE246" s="1"/>
      <c r="YF246" s="1"/>
      <c r="YG246" s="1"/>
      <c r="YH246" s="1"/>
      <c r="YI246" s="1"/>
      <c r="YJ246" s="1"/>
      <c r="YK246" s="1"/>
      <c r="YL246" s="1"/>
      <c r="YM246" s="1"/>
      <c r="YN246" s="1"/>
      <c r="YO246" s="1"/>
      <c r="YP246" s="1"/>
      <c r="YQ246" s="1"/>
      <c r="YR246" s="1"/>
      <c r="YS246" s="1"/>
      <c r="YT246" s="1"/>
      <c r="YU246" s="1"/>
      <c r="YV246" s="1"/>
      <c r="YW246" s="1"/>
      <c r="YX246" s="1"/>
      <c r="YY246" s="1"/>
      <c r="YZ246" s="1"/>
      <c r="ZA246" s="1"/>
      <c r="ZB246" s="1"/>
      <c r="ZC246" s="1"/>
      <c r="ZD246" s="1"/>
      <c r="ZE246" s="1"/>
      <c r="ZF246" s="1"/>
      <c r="ZG246" s="1"/>
      <c r="ZH246" s="1"/>
      <c r="ZI246" s="1"/>
      <c r="ZJ246" s="1"/>
      <c r="ZK246" s="1"/>
      <c r="ZL246" s="1"/>
      <c r="ZM246" s="1"/>
      <c r="ZN246" s="1"/>
      <c r="ZO246" s="1"/>
      <c r="ZP246" s="1"/>
      <c r="ZQ246" s="1"/>
      <c r="ZR246" s="1"/>
      <c r="ZS246" s="1"/>
      <c r="ZT246" s="1"/>
      <c r="ZU246" s="1"/>
      <c r="ZV246" s="1"/>
      <c r="ZW246" s="1"/>
      <c r="ZX246" s="1"/>
      <c r="ZY246" s="1"/>
      <c r="ZZ246" s="1"/>
      <c r="AAA246" s="1"/>
      <c r="AAB246" s="1"/>
      <c r="AAC246" s="1"/>
      <c r="AAD246" s="1"/>
      <c r="AAE246" s="1"/>
      <c r="AAF246" s="1"/>
      <c r="AAG246" s="1"/>
      <c r="AAH246" s="1"/>
      <c r="AAI246" s="1"/>
      <c r="AAJ246" s="1"/>
      <c r="AAK246" s="1"/>
      <c r="AAL246" s="1"/>
      <c r="AAM246" s="1"/>
      <c r="AAN246" s="1"/>
      <c r="AAO246" s="1"/>
      <c r="AAP246" s="1"/>
      <c r="AAQ246" s="1"/>
      <c r="AAR246" s="1"/>
      <c r="AAS246" s="1"/>
      <c r="AAT246" s="1"/>
      <c r="AAU246" s="1"/>
      <c r="AAV246" s="1"/>
      <c r="AAW246" s="1"/>
      <c r="AAX246" s="1"/>
      <c r="AAY246" s="1"/>
      <c r="AAZ246" s="1"/>
      <c r="ABA246" s="1"/>
      <c r="ABB246" s="1"/>
      <c r="ABC246" s="1"/>
      <c r="ABD246" s="1"/>
      <c r="ABE246" s="1"/>
      <c r="ABF246" s="1"/>
      <c r="ABG246" s="1"/>
      <c r="ABH246" s="1"/>
      <c r="ABI246" s="1"/>
      <c r="ABJ246" s="1"/>
      <c r="ABK246" s="1"/>
      <c r="ABL246" s="1"/>
      <c r="ABM246" s="1"/>
      <c r="ABN246" s="1"/>
      <c r="ABO246" s="1"/>
      <c r="ABP246" s="1"/>
      <c r="ABQ246" s="1"/>
      <c r="ABR246" s="1"/>
      <c r="ABS246" s="1"/>
      <c r="ABT246" s="1"/>
      <c r="ABU246" s="1"/>
      <c r="ABV246" s="1"/>
      <c r="ABW246" s="1"/>
      <c r="ABX246" s="1"/>
      <c r="ABY246" s="1"/>
      <c r="ABZ246" s="1"/>
      <c r="ACA246" s="1"/>
      <c r="ACB246" s="1"/>
      <c r="ACC246" s="1"/>
      <c r="ACD246" s="1"/>
      <c r="ACE246" s="1"/>
      <c r="ACF246" s="1"/>
      <c r="ACG246" s="1"/>
      <c r="ACH246" s="1"/>
      <c r="ACI246" s="1"/>
      <c r="ACJ246" s="1"/>
      <c r="ACK246" s="1"/>
      <c r="ACL246" s="1"/>
      <c r="ACM246" s="1"/>
      <c r="ACN246" s="1"/>
      <c r="ACO246" s="1"/>
      <c r="ACP246" s="1"/>
      <c r="ACQ246" s="1"/>
      <c r="ACR246" s="1"/>
      <c r="ACS246" s="1"/>
      <c r="ACT246" s="1"/>
      <c r="ACU246" s="1"/>
      <c r="ACV246" s="1"/>
      <c r="ACW246" s="1"/>
      <c r="ACX246" s="1"/>
      <c r="ACY246" s="1"/>
      <c r="ACZ246" s="1"/>
      <c r="ADA246" s="1"/>
      <c r="ADB246" s="1"/>
      <c r="ADC246" s="1"/>
      <c r="ADD246" s="1"/>
      <c r="ADE246" s="1"/>
      <c r="ADF246" s="1"/>
      <c r="ADG246" s="1"/>
      <c r="ADH246" s="1"/>
      <c r="ADI246" s="1"/>
      <c r="ADJ246" s="1"/>
      <c r="ADK246" s="1"/>
      <c r="ADL246" s="1"/>
      <c r="ADM246" s="1"/>
      <c r="ADN246" s="1"/>
      <c r="ADO246" s="1"/>
      <c r="ADP246" s="1"/>
      <c r="ADQ246" s="1"/>
      <c r="ADR246" s="1"/>
      <c r="ADS246" s="1"/>
      <c r="ADT246" s="1"/>
      <c r="ADU246" s="1"/>
      <c r="ADV246" s="1"/>
      <c r="ADW246" s="1"/>
      <c r="ADX246" s="1"/>
      <c r="ADY246" s="1"/>
      <c r="ADZ246" s="1"/>
      <c r="AEA246" s="1"/>
      <c r="AEB246" s="1"/>
      <c r="AEC246" s="1"/>
      <c r="AED246" s="1"/>
      <c r="AEE246" s="1"/>
      <c r="AEF246" s="1"/>
      <c r="AEG246" s="1"/>
      <c r="AEH246" s="1"/>
      <c r="AEI246" s="1"/>
      <c r="AEJ246" s="1"/>
      <c r="AEK246" s="1"/>
      <c r="AEL246" s="1"/>
      <c r="AEM246" s="1"/>
      <c r="AEN246" s="1"/>
      <c r="AEO246" s="1"/>
      <c r="AEP246" s="1"/>
      <c r="AEQ246" s="1"/>
      <c r="AER246" s="1"/>
      <c r="AES246" s="1"/>
      <c r="AET246" s="1"/>
      <c r="AEU246" s="1"/>
      <c r="AEV246" s="1"/>
      <c r="AEW246" s="1"/>
      <c r="AEX246" s="1"/>
      <c r="AEY246" s="1"/>
      <c r="AEZ246" s="1"/>
      <c r="AFA246" s="1"/>
      <c r="AFB246" s="1"/>
      <c r="AFC246" s="1"/>
      <c r="AFD246" s="1"/>
      <c r="AFE246" s="1"/>
      <c r="AFF246" s="1"/>
      <c r="AFG246" s="1"/>
      <c r="AFH246" s="1"/>
      <c r="AFI246" s="1"/>
      <c r="AFJ246" s="1"/>
      <c r="AFK246" s="1"/>
      <c r="AFL246" s="1"/>
      <c r="AFM246" s="1"/>
      <c r="AFN246" s="1"/>
      <c r="AFO246" s="1"/>
      <c r="AFP246" s="1"/>
      <c r="AFQ246" s="1"/>
      <c r="AFR246" s="1"/>
      <c r="AFS246" s="1"/>
      <c r="AFT246" s="1"/>
      <c r="AFU246" s="1"/>
      <c r="AFV246" s="1"/>
      <c r="AFW246" s="1"/>
      <c r="AFX246" s="1"/>
      <c r="AFY246" s="1"/>
      <c r="AFZ246" s="1"/>
      <c r="AGA246" s="1"/>
      <c r="AGB246" s="1"/>
      <c r="AGC246" s="1"/>
      <c r="AGD246" s="1"/>
      <c r="AGE246" s="1"/>
      <c r="AGF246" s="1"/>
      <c r="AGG246" s="1"/>
      <c r="AGH246" s="1"/>
      <c r="AGI246" s="1"/>
      <c r="AGJ246" s="1"/>
      <c r="AGK246" s="1"/>
      <c r="AGL246" s="1"/>
      <c r="AGM246" s="1"/>
      <c r="AGN246" s="1"/>
      <c r="AGO246" s="1"/>
      <c r="AGP246" s="1"/>
      <c r="AGQ246" s="1"/>
      <c r="AGR246" s="1"/>
      <c r="AGS246" s="1"/>
      <c r="AGT246" s="1"/>
      <c r="AGU246" s="1"/>
      <c r="AGV246" s="1"/>
      <c r="AGW246" s="1"/>
      <c r="AGX246" s="1"/>
      <c r="AGY246" s="1"/>
      <c r="AGZ246" s="1"/>
      <c r="AHA246" s="1"/>
      <c r="AHB246" s="1"/>
      <c r="AHC246" s="1"/>
      <c r="AHD246" s="1"/>
      <c r="AHE246" s="1"/>
      <c r="AHF246" s="1"/>
      <c r="AHG246" s="1"/>
      <c r="AHH246" s="1"/>
      <c r="AHI246" s="1"/>
      <c r="AHJ246" s="1"/>
      <c r="AHK246" s="1"/>
      <c r="AHL246" s="1"/>
      <c r="AHM246" s="1"/>
      <c r="AHN246" s="1"/>
      <c r="AHO246" s="1"/>
      <c r="AHP246" s="1"/>
      <c r="AHQ246" s="1"/>
      <c r="AHR246" s="1"/>
      <c r="AHS246" s="1"/>
      <c r="AHT246" s="1"/>
      <c r="AHU246" s="1"/>
      <c r="AHV246" s="1"/>
      <c r="AHW246" s="1"/>
      <c r="AHX246" s="1"/>
      <c r="AHY246" s="1"/>
      <c r="AHZ246" s="1"/>
      <c r="AIA246" s="1"/>
      <c r="AIB246" s="1"/>
      <c r="AIC246" s="1"/>
      <c r="AID246" s="1"/>
      <c r="AIE246" s="1"/>
      <c r="AIF246" s="1"/>
      <c r="AIG246" s="1"/>
      <c r="AIH246" s="1"/>
      <c r="AII246" s="1"/>
      <c r="AIJ246" s="1"/>
      <c r="AIK246" s="1"/>
      <c r="AIL246" s="1"/>
      <c r="AIM246" s="1"/>
      <c r="AIN246" s="1"/>
      <c r="AIO246" s="1"/>
      <c r="AIP246" s="1"/>
      <c r="AIQ246" s="1"/>
      <c r="AIR246" s="1"/>
      <c r="AIS246" s="1"/>
      <c r="AIT246" s="1"/>
      <c r="AIU246" s="1"/>
      <c r="AIV246" s="1"/>
      <c r="AIW246" s="1"/>
      <c r="AIX246" s="1"/>
      <c r="AIY246" s="1"/>
      <c r="AIZ246" s="1"/>
      <c r="AJA246" s="1"/>
      <c r="AJB246" s="1"/>
      <c r="AJC246" s="1"/>
      <c r="AJD246" s="1"/>
      <c r="AJE246" s="1"/>
      <c r="AJF246" s="1"/>
      <c r="AJG246" s="1"/>
      <c r="AJH246" s="1"/>
      <c r="AJI246" s="1"/>
      <c r="AJJ246" s="1"/>
      <c r="AJK246" s="1"/>
      <c r="AJL246" s="1"/>
      <c r="AJM246" s="1"/>
      <c r="AJN246" s="1"/>
      <c r="AJO246" s="1"/>
      <c r="AJP246" s="1"/>
      <c r="AJQ246" s="1"/>
      <c r="AJR246" s="1"/>
      <c r="AJS246" s="1"/>
      <c r="AJT246" s="1"/>
      <c r="AJU246" s="1"/>
      <c r="AJV246" s="1"/>
      <c r="AJW246" s="1"/>
      <c r="AJX246" s="1"/>
      <c r="AJY246" s="1"/>
      <c r="AJZ246" s="1"/>
      <c r="AKA246" s="1"/>
      <c r="AKB246" s="1"/>
      <c r="AKC246" s="1"/>
      <c r="AKD246" s="1"/>
      <c r="AKE246" s="1"/>
      <c r="AKF246" s="1"/>
      <c r="AKG246" s="1"/>
      <c r="AKH246" s="1"/>
      <c r="AKI246" s="1"/>
      <c r="AKJ246" s="1"/>
      <c r="AKK246" s="1"/>
      <c r="AKL246" s="1"/>
      <c r="AKM246" s="1"/>
      <c r="AKN246" s="1"/>
      <c r="AKO246" s="1"/>
      <c r="AKP246" s="1"/>
      <c r="AKQ246" s="1"/>
      <c r="AKR246" s="1"/>
      <c r="AKS246" s="1"/>
      <c r="AKT246" s="1"/>
      <c r="AKU246" s="1"/>
      <c r="AKV246" s="1"/>
      <c r="AKW246" s="1"/>
      <c r="AKX246" s="1"/>
      <c r="AKY246" s="1"/>
      <c r="AKZ246" s="1"/>
      <c r="ALA246" s="1"/>
      <c r="ALB246" s="1"/>
      <c r="ALC246" s="1"/>
      <c r="ALD246" s="1"/>
      <c r="ALE246" s="1"/>
      <c r="ALF246" s="1"/>
      <c r="ALG246" s="1"/>
      <c r="ALH246" s="1"/>
      <c r="ALI246" s="1"/>
      <c r="ALJ246" s="1"/>
      <c r="ALK246" s="1"/>
      <c r="ALL246" s="1"/>
      <c r="ALM246" s="1"/>
      <c r="ALN246" s="1"/>
      <c r="ALO246" s="1"/>
      <c r="ALP246" s="1"/>
      <c r="ALQ246" s="1"/>
      <c r="ALR246" s="1"/>
      <c r="ALS246" s="1"/>
      <c r="ALT246" s="1"/>
      <c r="ALU246" s="1"/>
      <c r="ALV246" s="1"/>
      <c r="ALW246" s="1"/>
      <c r="ALX246" s="1"/>
      <c r="ALY246" s="1"/>
      <c r="ALZ246" s="1"/>
      <c r="AMA246" s="1"/>
      <c r="AMB246" s="1"/>
      <c r="AMC246" s="1"/>
      <c r="AMD246" s="1"/>
      <c r="AME246" s="1"/>
      <c r="AMF246" s="1"/>
      <c r="AMG246" s="1"/>
      <c r="AMH246" s="1"/>
      <c r="AMI246" s="1"/>
      <c r="AMJ246" s="1"/>
      <c r="AMK246" s="1"/>
      <c r="AML246" s="1"/>
      <c r="AMM246" s="1"/>
      <c r="AMN246" s="1"/>
      <c r="AMO246" s="1"/>
    </row>
    <row r="247" spans="1:1029" x14ac:dyDescent="0.2">
      <c r="A247" s="3" t="str">
        <f>CONCATENATE(B247,"_",C247)</f>
        <v>mtr1a_human_6ME2</v>
      </c>
      <c r="B247" s="3" t="s">
        <v>310</v>
      </c>
      <c r="C247" s="3" t="s">
        <v>1558</v>
      </c>
      <c r="D247" s="3" t="str">
        <f>IFERROR(MID(VLOOKUP($B247,Seqs!$A:$B,2,0),E247,1),"")</f>
        <v>P</v>
      </c>
      <c r="E247" s="3">
        <v>23</v>
      </c>
      <c r="F247" s="3" t="str">
        <f>IFERROR(MID(VLOOKUP($B247,Seqs!$A:$B,2,0),G247,1),"")</f>
        <v>N</v>
      </c>
      <c r="G247" s="3">
        <v>55</v>
      </c>
      <c r="H247" s="3" t="str">
        <f>IFERROR(MID(VLOOKUP($B247,Seqs!$A:$B,2,0),I247,1),"")</f>
        <v>K</v>
      </c>
      <c r="I247" s="23">
        <v>56</v>
      </c>
      <c r="J247" s="3" t="str">
        <f>IFERROR(MID(VLOOKUP($B247,Seqs!$A:$B,2,0),K247,1),"")</f>
        <v>R</v>
      </c>
      <c r="K247" s="23">
        <v>59</v>
      </c>
      <c r="L247" s="3" t="str">
        <f>IFERROR(MID(VLOOKUP($B247,Seqs!$A:$B,2,0),M247,1),"")</f>
        <v>N</v>
      </c>
      <c r="M247" s="3">
        <v>60</v>
      </c>
      <c r="N247" s="3" t="str">
        <f>IFERROR(MID(VLOOKUP($B247,Seqs!$A:$B,2,0),O247,1),"")</f>
        <v>N</v>
      </c>
      <c r="O247" s="3">
        <v>91</v>
      </c>
      <c r="P247" s="3" t="str">
        <f>IFERROR(MID(VLOOKUP($B247,Seqs!$A:$B,2,0),Q247,1),"")</f>
        <v>G</v>
      </c>
      <c r="Q247" s="3">
        <v>92</v>
      </c>
      <c r="R247" s="3" t="str">
        <f>IFERROR(MID(VLOOKUP($B247,Seqs!$A:$B,2,0),S247,1),"")</f>
        <v>L</v>
      </c>
      <c r="S247" s="3">
        <v>95</v>
      </c>
      <c r="T247" s="3" t="str">
        <f>IFERROR(MID(VLOOKUP($B247,Seqs!$A:$B,2,0),U247,1),"")</f>
        <v>G</v>
      </c>
      <c r="U247" s="3">
        <v>96</v>
      </c>
      <c r="V247" s="3" t="str">
        <f>IFERROR(MID(VLOOKUP($B247,Seqs!$A:$B,2,0),W247,1),"")</f>
        <v>Y</v>
      </c>
      <c r="W247" s="3">
        <v>135</v>
      </c>
      <c r="X247" s="3" t="str">
        <f>IFERROR(MID(VLOOKUP($B247,Seqs!$A:$B,2,0),Y247,1),"")</f>
        <v/>
      </c>
      <c r="Y247" s="3" t="s">
        <v>23</v>
      </c>
      <c r="Z247" s="3" t="str">
        <f>IFERROR(MID(VLOOKUP($B247,Seqs!$A:$B,2,0),AA247,1),"")</f>
        <v/>
      </c>
      <c r="AA247" s="3" t="s">
        <v>23</v>
      </c>
      <c r="AB247" s="3" t="str">
        <f>IFERROR(MID(VLOOKUP($B247,Seqs!$A:$B,2,0),AC247,1),"")</f>
        <v>N</v>
      </c>
      <c r="AC247" s="3">
        <v>143</v>
      </c>
      <c r="AD247" s="3" t="str">
        <f>IFERROR(MID(VLOOKUP($B247,Seqs!$A:$B,2,0),AE247,1),"")</f>
        <v>G</v>
      </c>
      <c r="AE247" s="3">
        <v>166</v>
      </c>
      <c r="AF247" s="3" t="str">
        <f>IFERROR(MID(VLOOKUP($B247,Seqs!$A:$B,2,0),AG247,1),"")</f>
        <v>C</v>
      </c>
      <c r="AG247" s="3">
        <v>177</v>
      </c>
      <c r="AH247" s="3" t="str">
        <f>IFERROR(MID(VLOOKUP($B247,Seqs!$A:$B,2,0),AI247,1),"")</f>
        <v>F</v>
      </c>
      <c r="AI247" s="3">
        <v>179</v>
      </c>
      <c r="AJ247" s="3" t="str">
        <f>IFERROR(MID(VLOOKUP($B247,Seqs!$A:$B,2,0),AK247,1),"")</f>
        <v>S</v>
      </c>
      <c r="AK247" s="3">
        <v>184</v>
      </c>
      <c r="AL247" s="3" t="str">
        <f>IFERROR(MID(VLOOKUP($B247,Seqs!$A:$B,2,0),AM247,1),"")</f>
        <v>R</v>
      </c>
      <c r="AM247" s="3">
        <v>218</v>
      </c>
      <c r="AN247" s="3" t="str">
        <f>IFERROR(MID(VLOOKUP($B247,Seqs!$A:$B,2,0),AO247,1),"")</f>
        <v>R</v>
      </c>
      <c r="AO247" s="3">
        <v>235</v>
      </c>
      <c r="AP247" s="3" t="str">
        <f>IFERROR(MID(VLOOKUP($B247,Seqs!$A:$B,2,0),AQ247,1),"")</f>
        <v>D</v>
      </c>
      <c r="AQ247" s="3">
        <v>264</v>
      </c>
      <c r="AR247" s="3" t="str">
        <f>IFERROR(MID(VLOOKUP($B247,Seqs!$A:$B,2,0),AS247,1),"")</f>
        <v>P</v>
      </c>
      <c r="AS247" s="3">
        <v>273</v>
      </c>
      <c r="AT247" s="3" t="str">
        <f>IFERROR(MID(VLOOKUP($B247,Seqs!$A:$B,2,0),AU247,1),"")</f>
        <v>L</v>
      </c>
      <c r="AU247" s="3">
        <v>298</v>
      </c>
      <c r="AV247" s="3" t="str">
        <f>IFERROR(MID(VLOOKUP($B247,Seqs!$A:$B,2,0),AW247,1),"")</f>
        <v>N</v>
      </c>
      <c r="AW247" s="3">
        <v>299</v>
      </c>
      <c r="AX247" s="3" t="str">
        <f>IFERROR(MID(VLOOKUP($B247,Seqs!$A:$B,2,0),AY247,1),"")</f>
        <v>T</v>
      </c>
      <c r="AY247" s="3">
        <v>315</v>
      </c>
      <c r="AZ247" s="77" t="str">
        <f>VLOOKUP(B247,Classification!A:D,2,0)</f>
        <v>A</v>
      </c>
      <c r="BA247" s="94" t="str">
        <f>VLOOKUP(B247,Classification!A:D,4,0)</f>
        <v>Melatonin</v>
      </c>
      <c r="BB247" s="27" t="b">
        <f t="shared" si="1075"/>
        <v>1</v>
      </c>
      <c r="BC247" s="23">
        <f t="shared" si="1076"/>
        <v>249</v>
      </c>
      <c r="BD247" s="5" t="s">
        <v>1370</v>
      </c>
      <c r="BE247" s="3" t="s">
        <v>1368</v>
      </c>
      <c r="BF247" s="118">
        <v>2.8</v>
      </c>
      <c r="BG247" s="49" t="s">
        <v>1</v>
      </c>
      <c r="BH247" s="49" t="s">
        <v>1</v>
      </c>
      <c r="BI247" s="1"/>
      <c r="BJ247" s="70" t="s">
        <v>1281</v>
      </c>
      <c r="BK247" s="57" t="s">
        <v>1281</v>
      </c>
      <c r="BL247" s="57" t="s">
        <v>1281</v>
      </c>
      <c r="BM247" s="57" t="s">
        <v>1281</v>
      </c>
      <c r="BN247" s="57" t="s">
        <v>1281</v>
      </c>
      <c r="BO247" s="57" t="s">
        <v>1281</v>
      </c>
      <c r="BP247" s="57" t="s">
        <v>1281</v>
      </c>
      <c r="BQ247" s="57" t="s">
        <v>1281</v>
      </c>
      <c r="BR247" s="57" t="s">
        <v>1281</v>
      </c>
      <c r="BS247" s="57" t="s">
        <v>1281</v>
      </c>
      <c r="BT247" s="57" t="s">
        <v>1281</v>
      </c>
      <c r="BU247" s="57" t="s">
        <v>1281</v>
      </c>
      <c r="BV247" s="70">
        <f>E247</f>
        <v>23</v>
      </c>
      <c r="BW247" s="71">
        <f>I247</f>
        <v>56</v>
      </c>
      <c r="BX247" s="72">
        <f>M247</f>
        <v>60</v>
      </c>
      <c r="BY247" s="71">
        <f>Q247</f>
        <v>92</v>
      </c>
      <c r="BZ247" s="72">
        <f>U247</f>
        <v>96</v>
      </c>
      <c r="CA247" s="71" t="str">
        <f>Y247</f>
        <v>-</v>
      </c>
      <c r="CB247" s="72">
        <f>AC247</f>
        <v>143</v>
      </c>
      <c r="CC247" s="71">
        <f>AG247</f>
        <v>177</v>
      </c>
      <c r="CD247" s="72">
        <f>AK247</f>
        <v>184</v>
      </c>
      <c r="CE247" s="71">
        <f>AO247</f>
        <v>235</v>
      </c>
      <c r="CF247" s="72">
        <f>AS247</f>
        <v>273</v>
      </c>
      <c r="CG247" s="71">
        <f>AW247</f>
        <v>299</v>
      </c>
      <c r="CH247" s="70">
        <f>G247</f>
        <v>55</v>
      </c>
      <c r="CI247" s="71">
        <f>K247</f>
        <v>59</v>
      </c>
      <c r="CJ247" s="72">
        <f>O247</f>
        <v>91</v>
      </c>
      <c r="CK247" s="72">
        <f>S247</f>
        <v>95</v>
      </c>
      <c r="CL247" s="72">
        <f>W247</f>
        <v>135</v>
      </c>
      <c r="CM247" s="72" t="str">
        <f>AA247</f>
        <v>-</v>
      </c>
      <c r="CN247" s="72">
        <f>AE247</f>
        <v>166</v>
      </c>
      <c r="CO247" s="72">
        <f>AI247</f>
        <v>179</v>
      </c>
      <c r="CP247" s="72">
        <f>AM247</f>
        <v>218</v>
      </c>
      <c r="CQ247" s="72">
        <f>AQ247</f>
        <v>264</v>
      </c>
      <c r="CR247" s="72">
        <f>AU247</f>
        <v>298</v>
      </c>
      <c r="CS247" s="72">
        <f>AY247</f>
        <v>315</v>
      </c>
      <c r="CT247" s="23">
        <f>M247-K247</f>
        <v>1</v>
      </c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  <c r="US247" s="1"/>
      <c r="UT247" s="1"/>
      <c r="UU247" s="1"/>
      <c r="UV247" s="1"/>
      <c r="UW247" s="1"/>
      <c r="UX247" s="1"/>
      <c r="UY247" s="1"/>
      <c r="UZ247" s="1"/>
      <c r="VA247" s="1"/>
      <c r="VB247" s="1"/>
      <c r="VC247" s="1"/>
      <c r="VD247" s="1"/>
      <c r="VE247" s="1"/>
      <c r="VF247" s="1"/>
      <c r="VG247" s="1"/>
      <c r="VH247" s="1"/>
      <c r="VI247" s="1"/>
      <c r="VJ247" s="1"/>
      <c r="VK247" s="1"/>
      <c r="VL247" s="1"/>
      <c r="VM247" s="1"/>
      <c r="VN247" s="1"/>
      <c r="VO247" s="1"/>
      <c r="VP247" s="1"/>
      <c r="VQ247" s="1"/>
      <c r="VR247" s="1"/>
      <c r="VS247" s="1"/>
      <c r="VT247" s="1"/>
      <c r="VU247" s="1"/>
      <c r="VV247" s="1"/>
      <c r="VW247" s="1"/>
      <c r="VX247" s="1"/>
      <c r="VY247" s="1"/>
      <c r="VZ247" s="1"/>
      <c r="WA247" s="1"/>
      <c r="WB247" s="1"/>
      <c r="WC247" s="1"/>
      <c r="WD247" s="1"/>
      <c r="WE247" s="1"/>
      <c r="WF247" s="1"/>
      <c r="WG247" s="1"/>
      <c r="WH247" s="1"/>
      <c r="WI247" s="1"/>
      <c r="WJ247" s="1"/>
      <c r="WK247" s="1"/>
      <c r="WL247" s="1"/>
      <c r="WM247" s="1"/>
      <c r="WN247" s="1"/>
      <c r="WO247" s="1"/>
      <c r="WP247" s="1"/>
      <c r="WQ247" s="1"/>
      <c r="WR247" s="1"/>
      <c r="WS247" s="1"/>
      <c r="WT247" s="1"/>
      <c r="WU247" s="1"/>
      <c r="WV247" s="1"/>
      <c r="WW247" s="1"/>
      <c r="WX247" s="1"/>
      <c r="WY247" s="1"/>
      <c r="WZ247" s="1"/>
      <c r="XA247" s="1"/>
      <c r="XB247" s="1"/>
      <c r="XC247" s="1"/>
      <c r="XD247" s="1"/>
      <c r="XE247" s="1"/>
      <c r="XF247" s="1"/>
      <c r="XG247" s="1"/>
      <c r="XH247" s="1"/>
      <c r="XI247" s="1"/>
      <c r="XJ247" s="1"/>
      <c r="XK247" s="1"/>
      <c r="XL247" s="1"/>
      <c r="XM247" s="1"/>
      <c r="XN247" s="1"/>
      <c r="XO247" s="1"/>
      <c r="XP247" s="1"/>
      <c r="XQ247" s="1"/>
      <c r="XR247" s="1"/>
      <c r="XS247" s="1"/>
      <c r="XT247" s="1"/>
      <c r="XU247" s="1"/>
      <c r="XV247" s="1"/>
      <c r="XW247" s="1"/>
      <c r="XX247" s="1"/>
      <c r="XY247" s="1"/>
      <c r="XZ247" s="1"/>
      <c r="YA247" s="1"/>
      <c r="YB247" s="1"/>
      <c r="YC247" s="1"/>
      <c r="YD247" s="1"/>
      <c r="YE247" s="1"/>
      <c r="YF247" s="1"/>
      <c r="YG247" s="1"/>
      <c r="YH247" s="1"/>
      <c r="YI247" s="1"/>
      <c r="YJ247" s="1"/>
      <c r="YK247" s="1"/>
      <c r="YL247" s="1"/>
      <c r="YM247" s="1"/>
      <c r="YN247" s="1"/>
      <c r="YO247" s="1"/>
      <c r="YP247" s="1"/>
      <c r="YQ247" s="1"/>
      <c r="YR247" s="1"/>
      <c r="YS247" s="1"/>
      <c r="YT247" s="1"/>
      <c r="YU247" s="1"/>
      <c r="YV247" s="1"/>
      <c r="YW247" s="1"/>
      <c r="YX247" s="1"/>
      <c r="YY247" s="1"/>
      <c r="YZ247" s="1"/>
      <c r="ZA247" s="1"/>
      <c r="ZB247" s="1"/>
      <c r="ZC247" s="1"/>
      <c r="ZD247" s="1"/>
      <c r="ZE247" s="1"/>
      <c r="ZF247" s="1"/>
      <c r="ZG247" s="1"/>
      <c r="ZH247" s="1"/>
      <c r="ZI247" s="1"/>
      <c r="ZJ247" s="1"/>
      <c r="ZK247" s="1"/>
      <c r="ZL247" s="1"/>
      <c r="ZM247" s="1"/>
      <c r="ZN247" s="1"/>
      <c r="ZO247" s="1"/>
      <c r="ZP247" s="1"/>
      <c r="ZQ247" s="1"/>
      <c r="ZR247" s="1"/>
      <c r="ZS247" s="1"/>
      <c r="ZT247" s="1"/>
      <c r="ZU247" s="1"/>
      <c r="ZV247" s="1"/>
      <c r="ZW247" s="1"/>
      <c r="ZX247" s="1"/>
      <c r="ZY247" s="1"/>
      <c r="ZZ247" s="1"/>
      <c r="AAA247" s="1"/>
      <c r="AAB247" s="1"/>
      <c r="AAC247" s="1"/>
      <c r="AAD247" s="1"/>
      <c r="AAE247" s="1"/>
      <c r="AAF247" s="1"/>
      <c r="AAG247" s="1"/>
      <c r="AAH247" s="1"/>
      <c r="AAI247" s="1"/>
      <c r="AAJ247" s="1"/>
      <c r="AAK247" s="1"/>
      <c r="AAL247" s="1"/>
      <c r="AAM247" s="1"/>
      <c r="AAN247" s="1"/>
      <c r="AAO247" s="1"/>
      <c r="AAP247" s="1"/>
      <c r="AAQ247" s="1"/>
      <c r="AAR247" s="1"/>
      <c r="AAS247" s="1"/>
      <c r="AAT247" s="1"/>
      <c r="AAU247" s="1"/>
      <c r="AAV247" s="1"/>
      <c r="AAW247" s="1"/>
      <c r="AAX247" s="1"/>
      <c r="AAY247" s="1"/>
      <c r="AAZ247" s="1"/>
      <c r="ABA247" s="1"/>
      <c r="ABB247" s="1"/>
      <c r="ABC247" s="1"/>
      <c r="ABD247" s="1"/>
      <c r="ABE247" s="1"/>
      <c r="ABF247" s="1"/>
      <c r="ABG247" s="1"/>
      <c r="ABH247" s="1"/>
      <c r="ABI247" s="1"/>
      <c r="ABJ247" s="1"/>
      <c r="ABK247" s="1"/>
      <c r="ABL247" s="1"/>
      <c r="ABM247" s="1"/>
      <c r="ABN247" s="1"/>
      <c r="ABO247" s="1"/>
      <c r="ABP247" s="1"/>
      <c r="ABQ247" s="1"/>
      <c r="ABR247" s="1"/>
      <c r="ABS247" s="1"/>
      <c r="ABT247" s="1"/>
      <c r="ABU247" s="1"/>
      <c r="ABV247" s="1"/>
      <c r="ABW247" s="1"/>
      <c r="ABX247" s="1"/>
      <c r="ABY247" s="1"/>
      <c r="ABZ247" s="1"/>
      <c r="ACA247" s="1"/>
      <c r="ACB247" s="1"/>
      <c r="ACC247" s="1"/>
      <c r="ACD247" s="1"/>
      <c r="ACE247" s="1"/>
      <c r="ACF247" s="1"/>
      <c r="ACG247" s="1"/>
      <c r="ACH247" s="1"/>
      <c r="ACI247" s="1"/>
      <c r="ACJ247" s="1"/>
      <c r="ACK247" s="1"/>
      <c r="ACL247" s="1"/>
      <c r="ACM247" s="1"/>
      <c r="ACN247" s="1"/>
      <c r="ACO247" s="1"/>
      <c r="ACP247" s="1"/>
      <c r="ACQ247" s="1"/>
      <c r="ACR247" s="1"/>
      <c r="ACS247" s="1"/>
      <c r="ACT247" s="1"/>
      <c r="ACU247" s="1"/>
      <c r="ACV247" s="1"/>
      <c r="ACW247" s="1"/>
      <c r="ACX247" s="1"/>
      <c r="ACY247" s="1"/>
      <c r="ACZ247" s="1"/>
      <c r="ADA247" s="1"/>
      <c r="ADB247" s="1"/>
      <c r="ADC247" s="1"/>
      <c r="ADD247" s="1"/>
      <c r="ADE247" s="1"/>
      <c r="ADF247" s="1"/>
      <c r="ADG247" s="1"/>
      <c r="ADH247" s="1"/>
      <c r="ADI247" s="1"/>
      <c r="ADJ247" s="1"/>
      <c r="ADK247" s="1"/>
      <c r="ADL247" s="1"/>
      <c r="ADM247" s="1"/>
      <c r="ADN247" s="1"/>
      <c r="ADO247" s="1"/>
      <c r="ADP247" s="1"/>
      <c r="ADQ247" s="1"/>
      <c r="ADR247" s="1"/>
      <c r="ADS247" s="1"/>
      <c r="ADT247" s="1"/>
      <c r="ADU247" s="1"/>
      <c r="ADV247" s="1"/>
      <c r="ADW247" s="1"/>
      <c r="ADX247" s="1"/>
      <c r="ADY247" s="1"/>
      <c r="ADZ247" s="1"/>
      <c r="AEA247" s="1"/>
      <c r="AEB247" s="1"/>
      <c r="AEC247" s="1"/>
      <c r="AED247" s="1"/>
      <c r="AEE247" s="1"/>
      <c r="AEF247" s="1"/>
      <c r="AEG247" s="1"/>
      <c r="AEH247" s="1"/>
      <c r="AEI247" s="1"/>
      <c r="AEJ247" s="1"/>
      <c r="AEK247" s="1"/>
      <c r="AEL247" s="1"/>
      <c r="AEM247" s="1"/>
      <c r="AEN247" s="1"/>
      <c r="AEO247" s="1"/>
      <c r="AEP247" s="1"/>
      <c r="AEQ247" s="1"/>
      <c r="AER247" s="1"/>
      <c r="AES247" s="1"/>
      <c r="AET247" s="1"/>
      <c r="AEU247" s="1"/>
      <c r="AEV247" s="1"/>
      <c r="AEW247" s="1"/>
      <c r="AEX247" s="1"/>
      <c r="AEY247" s="1"/>
      <c r="AEZ247" s="1"/>
      <c r="AFA247" s="1"/>
      <c r="AFB247" s="1"/>
      <c r="AFC247" s="1"/>
      <c r="AFD247" s="1"/>
      <c r="AFE247" s="1"/>
      <c r="AFF247" s="1"/>
      <c r="AFG247" s="1"/>
      <c r="AFH247" s="1"/>
      <c r="AFI247" s="1"/>
      <c r="AFJ247" s="1"/>
      <c r="AFK247" s="1"/>
      <c r="AFL247" s="1"/>
      <c r="AFM247" s="1"/>
      <c r="AFN247" s="1"/>
      <c r="AFO247" s="1"/>
      <c r="AFP247" s="1"/>
      <c r="AFQ247" s="1"/>
      <c r="AFR247" s="1"/>
      <c r="AFS247" s="1"/>
      <c r="AFT247" s="1"/>
      <c r="AFU247" s="1"/>
      <c r="AFV247" s="1"/>
      <c r="AFW247" s="1"/>
      <c r="AFX247" s="1"/>
      <c r="AFY247" s="1"/>
      <c r="AFZ247" s="1"/>
      <c r="AGA247" s="1"/>
      <c r="AGB247" s="1"/>
      <c r="AGC247" s="1"/>
      <c r="AGD247" s="1"/>
      <c r="AGE247" s="1"/>
      <c r="AGF247" s="1"/>
      <c r="AGG247" s="1"/>
      <c r="AGH247" s="1"/>
      <c r="AGI247" s="1"/>
      <c r="AGJ247" s="1"/>
      <c r="AGK247" s="1"/>
      <c r="AGL247" s="1"/>
      <c r="AGM247" s="1"/>
      <c r="AGN247" s="1"/>
      <c r="AGO247" s="1"/>
      <c r="AGP247" s="1"/>
      <c r="AGQ247" s="1"/>
      <c r="AGR247" s="1"/>
      <c r="AGS247" s="1"/>
      <c r="AGT247" s="1"/>
      <c r="AGU247" s="1"/>
      <c r="AGV247" s="1"/>
      <c r="AGW247" s="1"/>
      <c r="AGX247" s="1"/>
      <c r="AGY247" s="1"/>
      <c r="AGZ247" s="1"/>
      <c r="AHA247" s="1"/>
      <c r="AHB247" s="1"/>
      <c r="AHC247" s="1"/>
      <c r="AHD247" s="1"/>
      <c r="AHE247" s="1"/>
      <c r="AHF247" s="1"/>
      <c r="AHG247" s="1"/>
      <c r="AHH247" s="1"/>
      <c r="AHI247" s="1"/>
      <c r="AHJ247" s="1"/>
      <c r="AHK247" s="1"/>
      <c r="AHL247" s="1"/>
      <c r="AHM247" s="1"/>
      <c r="AHN247" s="1"/>
      <c r="AHO247" s="1"/>
      <c r="AHP247" s="1"/>
      <c r="AHQ247" s="1"/>
      <c r="AHR247" s="1"/>
      <c r="AHS247" s="1"/>
      <c r="AHT247" s="1"/>
      <c r="AHU247" s="1"/>
      <c r="AHV247" s="1"/>
      <c r="AHW247" s="1"/>
      <c r="AHX247" s="1"/>
      <c r="AHY247" s="1"/>
      <c r="AHZ247" s="1"/>
      <c r="AIA247" s="1"/>
      <c r="AIB247" s="1"/>
      <c r="AIC247" s="1"/>
      <c r="AID247" s="1"/>
      <c r="AIE247" s="1"/>
      <c r="AIF247" s="1"/>
      <c r="AIG247" s="1"/>
      <c r="AIH247" s="1"/>
      <c r="AII247" s="1"/>
      <c r="AIJ247" s="1"/>
      <c r="AIK247" s="1"/>
      <c r="AIL247" s="1"/>
      <c r="AIM247" s="1"/>
      <c r="AIN247" s="1"/>
      <c r="AIO247" s="1"/>
      <c r="AIP247" s="1"/>
      <c r="AIQ247" s="1"/>
      <c r="AIR247" s="1"/>
      <c r="AIS247" s="1"/>
      <c r="AIT247" s="1"/>
      <c r="AIU247" s="1"/>
      <c r="AIV247" s="1"/>
      <c r="AIW247" s="1"/>
      <c r="AIX247" s="1"/>
      <c r="AIY247" s="1"/>
      <c r="AIZ247" s="1"/>
      <c r="AJA247" s="1"/>
      <c r="AJB247" s="1"/>
      <c r="AJC247" s="1"/>
      <c r="AJD247" s="1"/>
      <c r="AJE247" s="1"/>
      <c r="AJF247" s="1"/>
      <c r="AJG247" s="1"/>
      <c r="AJH247" s="1"/>
      <c r="AJI247" s="1"/>
      <c r="AJJ247" s="1"/>
      <c r="AJK247" s="1"/>
      <c r="AJL247" s="1"/>
      <c r="AJM247" s="1"/>
      <c r="AJN247" s="1"/>
      <c r="AJO247" s="1"/>
      <c r="AJP247" s="1"/>
      <c r="AJQ247" s="1"/>
      <c r="AJR247" s="1"/>
      <c r="AJS247" s="1"/>
      <c r="AJT247" s="1"/>
      <c r="AJU247" s="1"/>
      <c r="AJV247" s="1"/>
      <c r="AJW247" s="1"/>
      <c r="AJX247" s="1"/>
      <c r="AJY247" s="1"/>
      <c r="AJZ247" s="1"/>
      <c r="AKA247" s="1"/>
      <c r="AKB247" s="1"/>
      <c r="AKC247" s="1"/>
      <c r="AKD247" s="1"/>
      <c r="AKE247" s="1"/>
      <c r="AKF247" s="1"/>
      <c r="AKG247" s="1"/>
      <c r="AKH247" s="1"/>
      <c r="AKI247" s="1"/>
      <c r="AKJ247" s="1"/>
      <c r="AKK247" s="1"/>
      <c r="AKL247" s="1"/>
      <c r="AKM247" s="1"/>
      <c r="AKN247" s="1"/>
      <c r="AKO247" s="1"/>
      <c r="AKP247" s="1"/>
      <c r="AKQ247" s="1"/>
      <c r="AKR247" s="1"/>
      <c r="AKS247" s="1"/>
      <c r="AKT247" s="1"/>
      <c r="AKU247" s="1"/>
      <c r="AKV247" s="1"/>
      <c r="AKW247" s="1"/>
      <c r="AKX247" s="1"/>
      <c r="AKY247" s="1"/>
      <c r="AKZ247" s="1"/>
      <c r="ALA247" s="1"/>
      <c r="ALB247" s="1"/>
      <c r="ALC247" s="1"/>
      <c r="ALD247" s="1"/>
      <c r="ALE247" s="1"/>
      <c r="ALF247" s="1"/>
      <c r="ALG247" s="1"/>
      <c r="ALH247" s="1"/>
      <c r="ALI247" s="1"/>
      <c r="ALJ247" s="1"/>
      <c r="ALK247" s="1"/>
      <c r="ALL247" s="1"/>
      <c r="ALM247" s="1"/>
      <c r="ALN247" s="1"/>
      <c r="ALO247" s="1"/>
      <c r="ALP247" s="1"/>
      <c r="ALQ247" s="1"/>
      <c r="ALR247" s="1"/>
      <c r="ALS247" s="1"/>
      <c r="ALT247" s="1"/>
      <c r="ALU247" s="1"/>
      <c r="ALV247" s="1"/>
      <c r="ALW247" s="1"/>
      <c r="ALX247" s="1"/>
      <c r="ALY247" s="1"/>
      <c r="ALZ247" s="1"/>
      <c r="AMA247" s="1"/>
      <c r="AMB247" s="1"/>
      <c r="AMC247" s="1"/>
      <c r="AMD247" s="1"/>
      <c r="AME247" s="1"/>
      <c r="AMF247" s="1"/>
      <c r="AMG247" s="1"/>
      <c r="AMH247" s="1"/>
      <c r="AMI247" s="1"/>
      <c r="AMJ247" s="1"/>
      <c r="AMK247" s="1"/>
      <c r="AML247" s="1"/>
      <c r="AMM247" s="1"/>
      <c r="AMN247" s="1"/>
      <c r="AMO247" s="1"/>
    </row>
    <row r="248" spans="1:1029" x14ac:dyDescent="0.2">
      <c r="A248" s="3" t="str">
        <f>CONCATENATE(B248,"_",C248)</f>
        <v>mtr1a_human_6ME3</v>
      </c>
      <c r="B248" s="3" t="s">
        <v>310</v>
      </c>
      <c r="C248" s="3" t="s">
        <v>1559</v>
      </c>
      <c r="D248" s="3" t="str">
        <f>IFERROR(MID(VLOOKUP($B248,Seqs!$A:$B,2,0),E248,1),"")</f>
        <v>P</v>
      </c>
      <c r="E248" s="3">
        <v>23</v>
      </c>
      <c r="F248" s="3" t="str">
        <f>IFERROR(MID(VLOOKUP($B248,Seqs!$A:$B,2,0),G248,1),"")</f>
        <v>N</v>
      </c>
      <c r="G248" s="3">
        <v>55</v>
      </c>
      <c r="H248" s="3" t="str">
        <f>IFERROR(MID(VLOOKUP($B248,Seqs!$A:$B,2,0),I248,1),"")</f>
        <v>K</v>
      </c>
      <c r="I248" s="23">
        <v>56</v>
      </c>
      <c r="J248" s="3" t="str">
        <f>IFERROR(MID(VLOOKUP($B248,Seqs!$A:$B,2,0),K248,1),"")</f>
        <v>R</v>
      </c>
      <c r="K248" s="23">
        <v>59</v>
      </c>
      <c r="L248" s="3" t="str">
        <f>IFERROR(MID(VLOOKUP($B248,Seqs!$A:$B,2,0),M248,1),"")</f>
        <v>N</v>
      </c>
      <c r="M248" s="3">
        <v>60</v>
      </c>
      <c r="N248" s="3" t="str">
        <f>IFERROR(MID(VLOOKUP($B248,Seqs!$A:$B,2,0),O248,1),"")</f>
        <v>N</v>
      </c>
      <c r="O248" s="3">
        <v>91</v>
      </c>
      <c r="P248" s="3" t="str">
        <f>IFERROR(MID(VLOOKUP($B248,Seqs!$A:$B,2,0),Q248,1),"")</f>
        <v>G</v>
      </c>
      <c r="Q248" s="3">
        <v>92</v>
      </c>
      <c r="R248" s="3" t="str">
        <f>IFERROR(MID(VLOOKUP($B248,Seqs!$A:$B,2,0),S248,1),"")</f>
        <v>L</v>
      </c>
      <c r="S248" s="3">
        <v>95</v>
      </c>
      <c r="T248" s="3" t="str">
        <f>IFERROR(MID(VLOOKUP($B248,Seqs!$A:$B,2,0),U248,1),"")</f>
        <v>G</v>
      </c>
      <c r="U248" s="3">
        <v>96</v>
      </c>
      <c r="V248" s="3" t="str">
        <f>IFERROR(MID(VLOOKUP($B248,Seqs!$A:$B,2,0),W248,1),"")</f>
        <v>Y</v>
      </c>
      <c r="W248" s="3">
        <v>135</v>
      </c>
      <c r="X248" s="3" t="str">
        <f>IFERROR(MID(VLOOKUP($B248,Seqs!$A:$B,2,0),Y248,1),"")</f>
        <v/>
      </c>
      <c r="Y248" s="3" t="s">
        <v>23</v>
      </c>
      <c r="Z248" s="3" t="str">
        <f>IFERROR(MID(VLOOKUP($B248,Seqs!$A:$B,2,0),AA248,1),"")</f>
        <v/>
      </c>
      <c r="AA248" s="3" t="s">
        <v>23</v>
      </c>
      <c r="AB248" s="3" t="str">
        <f>IFERROR(MID(VLOOKUP($B248,Seqs!$A:$B,2,0),AC248,1),"")</f>
        <v>N</v>
      </c>
      <c r="AC248" s="3">
        <v>143</v>
      </c>
      <c r="AD248" s="3" t="str">
        <f>IFERROR(MID(VLOOKUP($B248,Seqs!$A:$B,2,0),AE248,1),"")</f>
        <v>G</v>
      </c>
      <c r="AE248" s="3">
        <v>166</v>
      </c>
      <c r="AF248" s="3" t="str">
        <f>IFERROR(MID(VLOOKUP($B248,Seqs!$A:$B,2,0),AG248,1),"")</f>
        <v>C</v>
      </c>
      <c r="AG248" s="3">
        <v>177</v>
      </c>
      <c r="AH248" s="3" t="str">
        <f>IFERROR(MID(VLOOKUP($B248,Seqs!$A:$B,2,0),AI248,1),"")</f>
        <v>F</v>
      </c>
      <c r="AI248" s="3">
        <v>179</v>
      </c>
      <c r="AJ248" s="3" t="str">
        <f>IFERROR(MID(VLOOKUP($B248,Seqs!$A:$B,2,0),AK248,1),"")</f>
        <v>S</v>
      </c>
      <c r="AK248" s="3">
        <v>184</v>
      </c>
      <c r="AL248" s="3" t="str">
        <f>IFERROR(MID(VLOOKUP($B248,Seqs!$A:$B,2,0),AM248,1),"")</f>
        <v>R</v>
      </c>
      <c r="AM248" s="3">
        <v>218</v>
      </c>
      <c r="AN248" s="3" t="str">
        <f>IFERROR(MID(VLOOKUP($B248,Seqs!$A:$B,2,0),AO248,1),"")</f>
        <v>R</v>
      </c>
      <c r="AO248" s="3">
        <v>235</v>
      </c>
      <c r="AP248" s="3" t="str">
        <f>IFERROR(MID(VLOOKUP($B248,Seqs!$A:$B,2,0),AQ248,1),"")</f>
        <v>D</v>
      </c>
      <c r="AQ248" s="3">
        <v>264</v>
      </c>
      <c r="AR248" s="3" t="str">
        <f>IFERROR(MID(VLOOKUP($B248,Seqs!$A:$B,2,0),AS248,1),"")</f>
        <v>P</v>
      </c>
      <c r="AS248" s="3">
        <v>273</v>
      </c>
      <c r="AT248" s="3" t="str">
        <f>IFERROR(MID(VLOOKUP($B248,Seqs!$A:$B,2,0),AU248,1),"")</f>
        <v>L</v>
      </c>
      <c r="AU248" s="3">
        <v>298</v>
      </c>
      <c r="AV248" s="3" t="str">
        <f>IFERROR(MID(VLOOKUP($B248,Seqs!$A:$B,2,0),AW248,1),"")</f>
        <v>N</v>
      </c>
      <c r="AW248" s="3">
        <v>299</v>
      </c>
      <c r="AX248" s="3" t="str">
        <f>IFERROR(MID(VLOOKUP($B248,Seqs!$A:$B,2,0),AY248,1),"")</f>
        <v>T</v>
      </c>
      <c r="AY248" s="3">
        <v>315</v>
      </c>
      <c r="AZ248" s="77" t="str">
        <f>VLOOKUP(B248,Classification!A:D,2,0)</f>
        <v>A</v>
      </c>
      <c r="BA248" s="94" t="str">
        <f>VLOOKUP(B248,Classification!A:D,4,0)</f>
        <v>Melatonin</v>
      </c>
      <c r="BB248" s="27" t="b">
        <f t="shared" ref="BB248" si="1077">AND(E248&lt;G248,OR(G248&lt;I248,I248="-"),OR(I248&lt;K248,I248="-"),OR(K248&lt;M248,K248="-"),M248&lt;O248,OR(O248&lt;Q248,Q248="-"),OR(Q248&lt;S248,Q248="-"),OR(S248&lt;U248,S248="-"),U248&lt;W248,OR(W248&lt;Y248,Y248="-"),OR(Y248&lt;AA248,Y248="-"),OR(AA248&lt;AC248,AA248="-"),AC248&lt;AE248,OR(AE248&lt;AG248,AG248="-"),OR(AG248&lt;AI248,AG248="-"),OR(AI248&lt;AK248,AI248="-"),AK248&lt;AM248,AM248&lt;AO248,AO248&lt;AQ248,AQ248&lt;AS248,AS248&lt;AU248,OR(AU248&lt;AW248,AW248="-"),OR(AW248&lt;AY248,AW248="-"))</f>
        <v>1</v>
      </c>
      <c r="BC248" s="23">
        <f t="shared" si="1076"/>
        <v>249</v>
      </c>
      <c r="BD248" s="5" t="s">
        <v>23</v>
      </c>
      <c r="BE248" s="3" t="s">
        <v>1368</v>
      </c>
      <c r="BF248" s="118">
        <v>2.9</v>
      </c>
      <c r="BG248" s="49" t="s">
        <v>1</v>
      </c>
      <c r="BH248" s="49" t="s">
        <v>1</v>
      </c>
      <c r="BI248" s="1"/>
      <c r="BJ248" s="70" t="s">
        <v>1281</v>
      </c>
      <c r="BK248" s="57" t="s">
        <v>1281</v>
      </c>
      <c r="BL248" s="57" t="s">
        <v>1281</v>
      </c>
      <c r="BM248" s="57" t="s">
        <v>1281</v>
      </c>
      <c r="BN248" s="57" t="s">
        <v>1281</v>
      </c>
      <c r="BO248" s="57" t="s">
        <v>1281</v>
      </c>
      <c r="BP248" s="57" t="s">
        <v>1281</v>
      </c>
      <c r="BQ248" s="57" t="s">
        <v>1281</v>
      </c>
      <c r="BR248" s="57" t="s">
        <v>1281</v>
      </c>
      <c r="BS248" s="57" t="s">
        <v>1281</v>
      </c>
      <c r="BT248" s="57" t="s">
        <v>1281</v>
      </c>
      <c r="BU248" s="57" t="s">
        <v>1281</v>
      </c>
      <c r="BV248" s="70">
        <f>E248</f>
        <v>23</v>
      </c>
      <c r="BW248" s="71">
        <f>I248</f>
        <v>56</v>
      </c>
      <c r="BX248" s="72">
        <f>M248</f>
        <v>60</v>
      </c>
      <c r="BY248" s="71">
        <f>Q248</f>
        <v>92</v>
      </c>
      <c r="BZ248" s="72">
        <f>U248</f>
        <v>96</v>
      </c>
      <c r="CA248" s="71" t="str">
        <f>Y248</f>
        <v>-</v>
      </c>
      <c r="CB248" s="72">
        <f>AC248</f>
        <v>143</v>
      </c>
      <c r="CC248" s="71">
        <f>AG248</f>
        <v>177</v>
      </c>
      <c r="CD248" s="72">
        <f>AK248</f>
        <v>184</v>
      </c>
      <c r="CE248" s="71">
        <f>AO248</f>
        <v>235</v>
      </c>
      <c r="CF248" s="72">
        <f>AS248</f>
        <v>273</v>
      </c>
      <c r="CG248" s="71">
        <f>AW248</f>
        <v>299</v>
      </c>
      <c r="CH248" s="70">
        <f>G248</f>
        <v>55</v>
      </c>
      <c r="CI248" s="71">
        <f>K248</f>
        <v>59</v>
      </c>
      <c r="CJ248" s="72">
        <f>O248</f>
        <v>91</v>
      </c>
      <c r="CK248" s="72">
        <f>S248</f>
        <v>95</v>
      </c>
      <c r="CL248" s="72">
        <f>W248</f>
        <v>135</v>
      </c>
      <c r="CM248" s="72" t="str">
        <f>AA248</f>
        <v>-</v>
      </c>
      <c r="CN248" s="72">
        <f>AE248</f>
        <v>166</v>
      </c>
      <c r="CO248" s="72">
        <f>AI248</f>
        <v>179</v>
      </c>
      <c r="CP248" s="72">
        <f>AM248</f>
        <v>218</v>
      </c>
      <c r="CQ248" s="72">
        <f>AQ248</f>
        <v>264</v>
      </c>
      <c r="CR248" s="72">
        <f>AU248</f>
        <v>298</v>
      </c>
      <c r="CS248" s="72">
        <f>AY248</f>
        <v>315</v>
      </c>
      <c r="CT248" s="23">
        <f>M248-K248</f>
        <v>1</v>
      </c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  <c r="VF248" s="1"/>
      <c r="VG248" s="1"/>
      <c r="VH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  <c r="VW248" s="1"/>
      <c r="VX248" s="1"/>
      <c r="VY248" s="1"/>
      <c r="VZ248" s="1"/>
      <c r="WA248" s="1"/>
      <c r="WB248" s="1"/>
      <c r="WC248" s="1"/>
      <c r="WD248" s="1"/>
      <c r="WE248" s="1"/>
      <c r="WF248" s="1"/>
      <c r="WG248" s="1"/>
      <c r="WH248" s="1"/>
      <c r="WI248" s="1"/>
      <c r="WJ248" s="1"/>
      <c r="WK248" s="1"/>
      <c r="WL248" s="1"/>
      <c r="WM248" s="1"/>
      <c r="WN248" s="1"/>
      <c r="WO248" s="1"/>
      <c r="WP248" s="1"/>
      <c r="WQ248" s="1"/>
      <c r="WR248" s="1"/>
      <c r="WS248" s="1"/>
      <c r="WT248" s="1"/>
      <c r="WU248" s="1"/>
      <c r="WV248" s="1"/>
      <c r="WW248" s="1"/>
      <c r="WX248" s="1"/>
      <c r="WY248" s="1"/>
      <c r="WZ248" s="1"/>
      <c r="XA248" s="1"/>
      <c r="XB248" s="1"/>
      <c r="XC248" s="1"/>
      <c r="XD248" s="1"/>
      <c r="XE248" s="1"/>
      <c r="XF248" s="1"/>
      <c r="XG248" s="1"/>
      <c r="XH248" s="1"/>
      <c r="XI248" s="1"/>
      <c r="XJ248" s="1"/>
      <c r="XK248" s="1"/>
      <c r="XL248" s="1"/>
      <c r="XM248" s="1"/>
      <c r="XN248" s="1"/>
      <c r="XO248" s="1"/>
      <c r="XP248" s="1"/>
      <c r="XQ248" s="1"/>
      <c r="XR248" s="1"/>
      <c r="XS248" s="1"/>
      <c r="XT248" s="1"/>
      <c r="XU248" s="1"/>
      <c r="XV248" s="1"/>
      <c r="XW248" s="1"/>
      <c r="XX248" s="1"/>
      <c r="XY248" s="1"/>
      <c r="XZ248" s="1"/>
      <c r="YA248" s="1"/>
      <c r="YB248" s="1"/>
      <c r="YC248" s="1"/>
      <c r="YD248" s="1"/>
      <c r="YE248" s="1"/>
      <c r="YF248" s="1"/>
      <c r="YG248" s="1"/>
      <c r="YH248" s="1"/>
      <c r="YI248" s="1"/>
      <c r="YJ248" s="1"/>
      <c r="YK248" s="1"/>
      <c r="YL248" s="1"/>
      <c r="YM248" s="1"/>
      <c r="YN248" s="1"/>
      <c r="YO248" s="1"/>
      <c r="YP248" s="1"/>
      <c r="YQ248" s="1"/>
      <c r="YR248" s="1"/>
      <c r="YS248" s="1"/>
      <c r="YT248" s="1"/>
      <c r="YU248" s="1"/>
      <c r="YV248" s="1"/>
      <c r="YW248" s="1"/>
      <c r="YX248" s="1"/>
      <c r="YY248" s="1"/>
      <c r="YZ248" s="1"/>
      <c r="ZA248" s="1"/>
      <c r="ZB248" s="1"/>
      <c r="ZC248" s="1"/>
      <c r="ZD248" s="1"/>
      <c r="ZE248" s="1"/>
      <c r="ZF248" s="1"/>
      <c r="ZG248" s="1"/>
      <c r="ZH248" s="1"/>
      <c r="ZI248" s="1"/>
      <c r="ZJ248" s="1"/>
      <c r="ZK248" s="1"/>
      <c r="ZL248" s="1"/>
      <c r="ZM248" s="1"/>
      <c r="ZN248" s="1"/>
      <c r="ZO248" s="1"/>
      <c r="ZP248" s="1"/>
      <c r="ZQ248" s="1"/>
      <c r="ZR248" s="1"/>
      <c r="ZS248" s="1"/>
      <c r="ZT248" s="1"/>
      <c r="ZU248" s="1"/>
      <c r="ZV248" s="1"/>
      <c r="ZW248" s="1"/>
      <c r="ZX248" s="1"/>
      <c r="ZY248" s="1"/>
      <c r="ZZ248" s="1"/>
      <c r="AAA248" s="1"/>
      <c r="AAB248" s="1"/>
      <c r="AAC248" s="1"/>
      <c r="AAD248" s="1"/>
      <c r="AAE248" s="1"/>
      <c r="AAF248" s="1"/>
      <c r="AAG248" s="1"/>
      <c r="AAH248" s="1"/>
      <c r="AAI248" s="1"/>
      <c r="AAJ248" s="1"/>
      <c r="AAK248" s="1"/>
      <c r="AAL248" s="1"/>
      <c r="AAM248" s="1"/>
      <c r="AAN248" s="1"/>
      <c r="AAO248" s="1"/>
      <c r="AAP248" s="1"/>
      <c r="AAQ248" s="1"/>
      <c r="AAR248" s="1"/>
      <c r="AAS248" s="1"/>
      <c r="AAT248" s="1"/>
      <c r="AAU248" s="1"/>
      <c r="AAV248" s="1"/>
      <c r="AAW248" s="1"/>
      <c r="AAX248" s="1"/>
      <c r="AAY248" s="1"/>
      <c r="AAZ248" s="1"/>
      <c r="ABA248" s="1"/>
      <c r="ABB248" s="1"/>
      <c r="ABC248" s="1"/>
      <c r="ABD248" s="1"/>
      <c r="ABE248" s="1"/>
      <c r="ABF248" s="1"/>
      <c r="ABG248" s="1"/>
      <c r="ABH248" s="1"/>
      <c r="ABI248" s="1"/>
      <c r="ABJ248" s="1"/>
      <c r="ABK248" s="1"/>
      <c r="ABL248" s="1"/>
      <c r="ABM248" s="1"/>
      <c r="ABN248" s="1"/>
      <c r="ABO248" s="1"/>
      <c r="ABP248" s="1"/>
      <c r="ABQ248" s="1"/>
      <c r="ABR248" s="1"/>
      <c r="ABS248" s="1"/>
      <c r="ABT248" s="1"/>
      <c r="ABU248" s="1"/>
      <c r="ABV248" s="1"/>
      <c r="ABW248" s="1"/>
      <c r="ABX248" s="1"/>
      <c r="ABY248" s="1"/>
      <c r="ABZ248" s="1"/>
      <c r="ACA248" s="1"/>
      <c r="ACB248" s="1"/>
      <c r="ACC248" s="1"/>
      <c r="ACD248" s="1"/>
      <c r="ACE248" s="1"/>
      <c r="ACF248" s="1"/>
      <c r="ACG248" s="1"/>
      <c r="ACH248" s="1"/>
      <c r="ACI248" s="1"/>
      <c r="ACJ248" s="1"/>
      <c r="ACK248" s="1"/>
      <c r="ACL248" s="1"/>
      <c r="ACM248" s="1"/>
      <c r="ACN248" s="1"/>
      <c r="ACO248" s="1"/>
      <c r="ACP248" s="1"/>
      <c r="ACQ248" s="1"/>
      <c r="ACR248" s="1"/>
      <c r="ACS248" s="1"/>
      <c r="ACT248" s="1"/>
      <c r="ACU248" s="1"/>
      <c r="ACV248" s="1"/>
      <c r="ACW248" s="1"/>
      <c r="ACX248" s="1"/>
      <c r="ACY248" s="1"/>
      <c r="ACZ248" s="1"/>
      <c r="ADA248" s="1"/>
      <c r="ADB248" s="1"/>
      <c r="ADC248" s="1"/>
      <c r="ADD248" s="1"/>
      <c r="ADE248" s="1"/>
      <c r="ADF248" s="1"/>
      <c r="ADG248" s="1"/>
      <c r="ADH248" s="1"/>
      <c r="ADI248" s="1"/>
      <c r="ADJ248" s="1"/>
      <c r="ADK248" s="1"/>
      <c r="ADL248" s="1"/>
      <c r="ADM248" s="1"/>
      <c r="ADN248" s="1"/>
      <c r="ADO248" s="1"/>
      <c r="ADP248" s="1"/>
      <c r="ADQ248" s="1"/>
      <c r="ADR248" s="1"/>
      <c r="ADS248" s="1"/>
      <c r="ADT248" s="1"/>
      <c r="ADU248" s="1"/>
      <c r="ADV248" s="1"/>
      <c r="ADW248" s="1"/>
      <c r="ADX248" s="1"/>
      <c r="ADY248" s="1"/>
      <c r="ADZ248" s="1"/>
      <c r="AEA248" s="1"/>
      <c r="AEB248" s="1"/>
      <c r="AEC248" s="1"/>
      <c r="AED248" s="1"/>
      <c r="AEE248" s="1"/>
      <c r="AEF248" s="1"/>
      <c r="AEG248" s="1"/>
      <c r="AEH248" s="1"/>
      <c r="AEI248" s="1"/>
      <c r="AEJ248" s="1"/>
      <c r="AEK248" s="1"/>
      <c r="AEL248" s="1"/>
      <c r="AEM248" s="1"/>
      <c r="AEN248" s="1"/>
      <c r="AEO248" s="1"/>
      <c r="AEP248" s="1"/>
      <c r="AEQ248" s="1"/>
      <c r="AER248" s="1"/>
      <c r="AES248" s="1"/>
      <c r="AET248" s="1"/>
      <c r="AEU248" s="1"/>
      <c r="AEV248" s="1"/>
      <c r="AEW248" s="1"/>
      <c r="AEX248" s="1"/>
      <c r="AEY248" s="1"/>
      <c r="AEZ248" s="1"/>
      <c r="AFA248" s="1"/>
      <c r="AFB248" s="1"/>
      <c r="AFC248" s="1"/>
      <c r="AFD248" s="1"/>
      <c r="AFE248" s="1"/>
      <c r="AFF248" s="1"/>
      <c r="AFG248" s="1"/>
      <c r="AFH248" s="1"/>
      <c r="AFI248" s="1"/>
      <c r="AFJ248" s="1"/>
      <c r="AFK248" s="1"/>
      <c r="AFL248" s="1"/>
      <c r="AFM248" s="1"/>
      <c r="AFN248" s="1"/>
      <c r="AFO248" s="1"/>
      <c r="AFP248" s="1"/>
      <c r="AFQ248" s="1"/>
      <c r="AFR248" s="1"/>
      <c r="AFS248" s="1"/>
      <c r="AFT248" s="1"/>
      <c r="AFU248" s="1"/>
      <c r="AFV248" s="1"/>
      <c r="AFW248" s="1"/>
      <c r="AFX248" s="1"/>
      <c r="AFY248" s="1"/>
      <c r="AFZ248" s="1"/>
      <c r="AGA248" s="1"/>
      <c r="AGB248" s="1"/>
      <c r="AGC248" s="1"/>
      <c r="AGD248" s="1"/>
      <c r="AGE248" s="1"/>
      <c r="AGF248" s="1"/>
      <c r="AGG248" s="1"/>
      <c r="AGH248" s="1"/>
      <c r="AGI248" s="1"/>
      <c r="AGJ248" s="1"/>
      <c r="AGK248" s="1"/>
      <c r="AGL248" s="1"/>
      <c r="AGM248" s="1"/>
      <c r="AGN248" s="1"/>
      <c r="AGO248" s="1"/>
      <c r="AGP248" s="1"/>
      <c r="AGQ248" s="1"/>
      <c r="AGR248" s="1"/>
      <c r="AGS248" s="1"/>
      <c r="AGT248" s="1"/>
      <c r="AGU248" s="1"/>
      <c r="AGV248" s="1"/>
      <c r="AGW248" s="1"/>
      <c r="AGX248" s="1"/>
      <c r="AGY248" s="1"/>
      <c r="AGZ248" s="1"/>
      <c r="AHA248" s="1"/>
      <c r="AHB248" s="1"/>
      <c r="AHC248" s="1"/>
      <c r="AHD248" s="1"/>
      <c r="AHE248" s="1"/>
      <c r="AHF248" s="1"/>
      <c r="AHG248" s="1"/>
      <c r="AHH248" s="1"/>
      <c r="AHI248" s="1"/>
      <c r="AHJ248" s="1"/>
      <c r="AHK248" s="1"/>
      <c r="AHL248" s="1"/>
      <c r="AHM248" s="1"/>
      <c r="AHN248" s="1"/>
      <c r="AHO248" s="1"/>
      <c r="AHP248" s="1"/>
      <c r="AHQ248" s="1"/>
      <c r="AHR248" s="1"/>
      <c r="AHS248" s="1"/>
      <c r="AHT248" s="1"/>
      <c r="AHU248" s="1"/>
      <c r="AHV248" s="1"/>
      <c r="AHW248" s="1"/>
      <c r="AHX248" s="1"/>
      <c r="AHY248" s="1"/>
      <c r="AHZ248" s="1"/>
      <c r="AIA248" s="1"/>
      <c r="AIB248" s="1"/>
      <c r="AIC248" s="1"/>
      <c r="AID248" s="1"/>
      <c r="AIE248" s="1"/>
      <c r="AIF248" s="1"/>
      <c r="AIG248" s="1"/>
      <c r="AIH248" s="1"/>
      <c r="AII248" s="1"/>
      <c r="AIJ248" s="1"/>
      <c r="AIK248" s="1"/>
      <c r="AIL248" s="1"/>
      <c r="AIM248" s="1"/>
      <c r="AIN248" s="1"/>
      <c r="AIO248" s="1"/>
      <c r="AIP248" s="1"/>
      <c r="AIQ248" s="1"/>
      <c r="AIR248" s="1"/>
      <c r="AIS248" s="1"/>
      <c r="AIT248" s="1"/>
      <c r="AIU248" s="1"/>
      <c r="AIV248" s="1"/>
      <c r="AIW248" s="1"/>
      <c r="AIX248" s="1"/>
      <c r="AIY248" s="1"/>
      <c r="AIZ248" s="1"/>
      <c r="AJA248" s="1"/>
      <c r="AJB248" s="1"/>
      <c r="AJC248" s="1"/>
      <c r="AJD248" s="1"/>
      <c r="AJE248" s="1"/>
      <c r="AJF248" s="1"/>
      <c r="AJG248" s="1"/>
      <c r="AJH248" s="1"/>
      <c r="AJI248" s="1"/>
      <c r="AJJ248" s="1"/>
      <c r="AJK248" s="1"/>
      <c r="AJL248" s="1"/>
      <c r="AJM248" s="1"/>
      <c r="AJN248" s="1"/>
      <c r="AJO248" s="1"/>
      <c r="AJP248" s="1"/>
      <c r="AJQ248" s="1"/>
      <c r="AJR248" s="1"/>
      <c r="AJS248" s="1"/>
      <c r="AJT248" s="1"/>
      <c r="AJU248" s="1"/>
      <c r="AJV248" s="1"/>
      <c r="AJW248" s="1"/>
      <c r="AJX248" s="1"/>
      <c r="AJY248" s="1"/>
      <c r="AJZ248" s="1"/>
      <c r="AKA248" s="1"/>
      <c r="AKB248" s="1"/>
      <c r="AKC248" s="1"/>
      <c r="AKD248" s="1"/>
      <c r="AKE248" s="1"/>
      <c r="AKF248" s="1"/>
      <c r="AKG248" s="1"/>
      <c r="AKH248" s="1"/>
      <c r="AKI248" s="1"/>
      <c r="AKJ248" s="1"/>
      <c r="AKK248" s="1"/>
      <c r="AKL248" s="1"/>
      <c r="AKM248" s="1"/>
      <c r="AKN248" s="1"/>
      <c r="AKO248" s="1"/>
      <c r="AKP248" s="1"/>
      <c r="AKQ248" s="1"/>
      <c r="AKR248" s="1"/>
      <c r="AKS248" s="1"/>
      <c r="AKT248" s="1"/>
      <c r="AKU248" s="1"/>
      <c r="AKV248" s="1"/>
      <c r="AKW248" s="1"/>
      <c r="AKX248" s="1"/>
      <c r="AKY248" s="1"/>
      <c r="AKZ248" s="1"/>
      <c r="ALA248" s="1"/>
      <c r="ALB248" s="1"/>
      <c r="ALC248" s="1"/>
      <c r="ALD248" s="1"/>
      <c r="ALE248" s="1"/>
      <c r="ALF248" s="1"/>
      <c r="ALG248" s="1"/>
      <c r="ALH248" s="1"/>
      <c r="ALI248" s="1"/>
      <c r="ALJ248" s="1"/>
      <c r="ALK248" s="1"/>
      <c r="ALL248" s="1"/>
      <c r="ALM248" s="1"/>
      <c r="ALN248" s="1"/>
      <c r="ALO248" s="1"/>
      <c r="ALP248" s="1"/>
      <c r="ALQ248" s="1"/>
      <c r="ALR248" s="1"/>
      <c r="ALS248" s="1"/>
      <c r="ALT248" s="1"/>
      <c r="ALU248" s="1"/>
      <c r="ALV248" s="1"/>
      <c r="ALW248" s="1"/>
      <c r="ALX248" s="1"/>
      <c r="ALY248" s="1"/>
      <c r="ALZ248" s="1"/>
      <c r="AMA248" s="1"/>
      <c r="AMB248" s="1"/>
      <c r="AMC248" s="1"/>
      <c r="AMD248" s="1"/>
      <c r="AME248" s="1"/>
      <c r="AMF248" s="1"/>
      <c r="AMG248" s="1"/>
      <c r="AMH248" s="1"/>
      <c r="AMI248" s="1"/>
      <c r="AMJ248" s="1"/>
      <c r="AMK248" s="1"/>
      <c r="AML248" s="1"/>
      <c r="AMM248" s="1"/>
      <c r="AMN248" s="1"/>
      <c r="AMO248" s="1"/>
    </row>
    <row r="249" spans="1:1029" x14ac:dyDescent="0.2">
      <c r="A249" s="3" t="str">
        <f>CONCATENATE(B249,"_",C249)</f>
        <v>mtr1a_human_6ME4</v>
      </c>
      <c r="B249" s="3" t="s">
        <v>310</v>
      </c>
      <c r="C249" s="3" t="s">
        <v>1560</v>
      </c>
      <c r="D249" s="3" t="str">
        <f>IFERROR(MID(VLOOKUP($B249,Seqs!$A:$B,2,0),E249,1),"")</f>
        <v>P</v>
      </c>
      <c r="E249" s="3">
        <v>23</v>
      </c>
      <c r="F249" s="3" t="str">
        <f>IFERROR(MID(VLOOKUP($B249,Seqs!$A:$B,2,0),G249,1),"")</f>
        <v>N</v>
      </c>
      <c r="G249" s="3">
        <v>55</v>
      </c>
      <c r="H249" s="3" t="str">
        <f>IFERROR(MID(VLOOKUP($B249,Seqs!$A:$B,2,0),I249,1),"")</f>
        <v>K</v>
      </c>
      <c r="I249" s="23">
        <v>56</v>
      </c>
      <c r="J249" s="3" t="str">
        <f>IFERROR(MID(VLOOKUP($B249,Seqs!$A:$B,2,0),K249,1),"")</f>
        <v>R</v>
      </c>
      <c r="K249" s="23">
        <v>59</v>
      </c>
      <c r="L249" s="3" t="str">
        <f>IFERROR(MID(VLOOKUP($B249,Seqs!$A:$B,2,0),M249,1),"")</f>
        <v>N</v>
      </c>
      <c r="M249" s="3">
        <v>60</v>
      </c>
      <c r="N249" s="3" t="str">
        <f>IFERROR(MID(VLOOKUP($B249,Seqs!$A:$B,2,0),O249,1),"")</f>
        <v>N</v>
      </c>
      <c r="O249" s="3">
        <v>91</v>
      </c>
      <c r="P249" s="3" t="str">
        <f>IFERROR(MID(VLOOKUP($B249,Seqs!$A:$B,2,0),Q249,1),"")</f>
        <v>G</v>
      </c>
      <c r="Q249" s="3">
        <v>92</v>
      </c>
      <c r="R249" s="3" t="str">
        <f>IFERROR(MID(VLOOKUP($B249,Seqs!$A:$B,2,0),S249,1),"")</f>
        <v>L</v>
      </c>
      <c r="S249" s="3">
        <v>95</v>
      </c>
      <c r="T249" s="3" t="str">
        <f>IFERROR(MID(VLOOKUP($B249,Seqs!$A:$B,2,0),U249,1),"")</f>
        <v>G</v>
      </c>
      <c r="U249" s="3">
        <v>96</v>
      </c>
      <c r="V249" s="3" t="str">
        <f>IFERROR(MID(VLOOKUP($B249,Seqs!$A:$B,2,0),W249,1),"")</f>
        <v>Y</v>
      </c>
      <c r="W249" s="3">
        <v>135</v>
      </c>
      <c r="X249" s="3" t="str">
        <f>IFERROR(MID(VLOOKUP($B249,Seqs!$A:$B,2,0),Y249,1),"")</f>
        <v/>
      </c>
      <c r="Y249" s="3" t="s">
        <v>23</v>
      </c>
      <c r="Z249" s="3" t="str">
        <f>IFERROR(MID(VLOOKUP($B249,Seqs!$A:$B,2,0),AA249,1),"")</f>
        <v/>
      </c>
      <c r="AA249" s="3" t="s">
        <v>23</v>
      </c>
      <c r="AB249" s="3" t="str">
        <f>IFERROR(MID(VLOOKUP($B249,Seqs!$A:$B,2,0),AC249,1),"")</f>
        <v>N</v>
      </c>
      <c r="AC249" s="3">
        <v>143</v>
      </c>
      <c r="AD249" s="3" t="str">
        <f>IFERROR(MID(VLOOKUP($B249,Seqs!$A:$B,2,0),AE249,1),"")</f>
        <v>G</v>
      </c>
      <c r="AE249" s="3">
        <v>166</v>
      </c>
      <c r="AF249" s="3" t="str">
        <f>IFERROR(MID(VLOOKUP($B249,Seqs!$A:$B,2,0),AG249,1),"")</f>
        <v>C</v>
      </c>
      <c r="AG249" s="3">
        <v>177</v>
      </c>
      <c r="AH249" s="3" t="str">
        <f>IFERROR(MID(VLOOKUP($B249,Seqs!$A:$B,2,0),AI249,1),"")</f>
        <v>F</v>
      </c>
      <c r="AI249" s="3">
        <v>179</v>
      </c>
      <c r="AJ249" s="3" t="str">
        <f>IFERROR(MID(VLOOKUP($B249,Seqs!$A:$B,2,0),AK249,1),"")</f>
        <v>S</v>
      </c>
      <c r="AK249" s="3">
        <v>184</v>
      </c>
      <c r="AL249" s="3" t="str">
        <f>IFERROR(MID(VLOOKUP($B249,Seqs!$A:$B,2,0),AM249,1),"")</f>
        <v>R</v>
      </c>
      <c r="AM249" s="3">
        <v>218</v>
      </c>
      <c r="AN249" s="3" t="str">
        <f>IFERROR(MID(VLOOKUP($B249,Seqs!$A:$B,2,0),AO249,1),"")</f>
        <v>R</v>
      </c>
      <c r="AO249" s="3">
        <v>235</v>
      </c>
      <c r="AP249" s="3" t="str">
        <f>IFERROR(MID(VLOOKUP($B249,Seqs!$A:$B,2,0),AQ249,1),"")</f>
        <v>D</v>
      </c>
      <c r="AQ249" s="3">
        <v>264</v>
      </c>
      <c r="AR249" s="3" t="str">
        <f>IFERROR(MID(VLOOKUP($B249,Seqs!$A:$B,2,0),AS249,1),"")</f>
        <v>P</v>
      </c>
      <c r="AS249" s="3">
        <v>273</v>
      </c>
      <c r="AT249" s="3" t="str">
        <f>IFERROR(MID(VLOOKUP($B249,Seqs!$A:$B,2,0),AU249,1),"")</f>
        <v>L</v>
      </c>
      <c r="AU249" s="3">
        <v>298</v>
      </c>
      <c r="AV249" s="3" t="str">
        <f>IFERROR(MID(VLOOKUP($B249,Seqs!$A:$B,2,0),AW249,1),"")</f>
        <v>N</v>
      </c>
      <c r="AW249" s="3">
        <v>299</v>
      </c>
      <c r="AX249" s="3" t="str">
        <f>IFERROR(MID(VLOOKUP($B249,Seqs!$A:$B,2,0),AY249,1),"")</f>
        <v>T</v>
      </c>
      <c r="AY249" s="3">
        <v>315</v>
      </c>
      <c r="AZ249" s="77" t="str">
        <f>VLOOKUP(B249,Classification!A:D,2,0)</f>
        <v>A</v>
      </c>
      <c r="BA249" s="94" t="str">
        <f>VLOOKUP(B249,Classification!A:D,4,0)</f>
        <v>Melatonin</v>
      </c>
      <c r="BB249" s="27" t="b">
        <f t="shared" ref="BB249" si="1078">AND(E249&lt;G249,OR(G249&lt;I249,I249="-"),OR(I249&lt;K249,I249="-"),OR(K249&lt;M249,K249="-"),M249&lt;O249,OR(O249&lt;Q249,Q249="-"),OR(Q249&lt;S249,Q249="-"),OR(S249&lt;U249,S249="-"),U249&lt;W249,OR(W249&lt;Y249,Y249="-"),OR(Y249&lt;AA249,Y249="-"),OR(AA249&lt;AC249,AA249="-"),AC249&lt;AE249,OR(AE249&lt;AG249,AG249="-"),OR(AG249&lt;AI249,AG249="-"),OR(AI249&lt;AK249,AI249="-"),AK249&lt;AM249,AM249&lt;AO249,AO249&lt;AQ249,AQ249&lt;AS249,AS249&lt;AU249,OR(AU249&lt;AW249,AW249="-"),OR(AW249&lt;AY249,AW249="-"))</f>
        <v>1</v>
      </c>
      <c r="BC249" s="23">
        <f t="shared" ref="BC249" si="1079">_xlfn.AGGREGATE(9,6,CH249:CS249)-_xlfn.AGGREGATE(9,6,BV249:CG249)+12</f>
        <v>249</v>
      </c>
      <c r="BD249" s="5" t="s">
        <v>23</v>
      </c>
      <c r="BE249" s="3" t="s">
        <v>1368</v>
      </c>
      <c r="BF249" s="118">
        <v>3.2</v>
      </c>
      <c r="BG249" s="49" t="s">
        <v>1</v>
      </c>
      <c r="BH249" s="49" t="s">
        <v>1</v>
      </c>
      <c r="BI249" s="1"/>
      <c r="BJ249" s="70" t="s">
        <v>1281</v>
      </c>
      <c r="BK249" s="57" t="s">
        <v>1281</v>
      </c>
      <c r="BL249" s="57" t="s">
        <v>1281</v>
      </c>
      <c r="BM249" s="57" t="s">
        <v>1281</v>
      </c>
      <c r="BN249" s="57" t="s">
        <v>1281</v>
      </c>
      <c r="BO249" s="57" t="s">
        <v>1281</v>
      </c>
      <c r="BP249" s="57" t="s">
        <v>1281</v>
      </c>
      <c r="BQ249" s="57" t="s">
        <v>1281</v>
      </c>
      <c r="BR249" s="57" t="s">
        <v>1281</v>
      </c>
      <c r="BS249" s="57" t="s">
        <v>1281</v>
      </c>
      <c r="BT249" s="57" t="s">
        <v>1281</v>
      </c>
      <c r="BU249" s="57" t="s">
        <v>1281</v>
      </c>
      <c r="BV249" s="70">
        <f>E249</f>
        <v>23</v>
      </c>
      <c r="BW249" s="71">
        <f>I249</f>
        <v>56</v>
      </c>
      <c r="BX249" s="72">
        <f>M249</f>
        <v>60</v>
      </c>
      <c r="BY249" s="71">
        <f>Q249</f>
        <v>92</v>
      </c>
      <c r="BZ249" s="72">
        <f>U249</f>
        <v>96</v>
      </c>
      <c r="CA249" s="71" t="str">
        <f>Y249</f>
        <v>-</v>
      </c>
      <c r="CB249" s="72">
        <f>AC249</f>
        <v>143</v>
      </c>
      <c r="CC249" s="71">
        <f>AG249</f>
        <v>177</v>
      </c>
      <c r="CD249" s="72">
        <f>AK249</f>
        <v>184</v>
      </c>
      <c r="CE249" s="71">
        <f>AO249</f>
        <v>235</v>
      </c>
      <c r="CF249" s="72">
        <f>AS249</f>
        <v>273</v>
      </c>
      <c r="CG249" s="71">
        <f>AW249</f>
        <v>299</v>
      </c>
      <c r="CH249" s="70">
        <f>G249</f>
        <v>55</v>
      </c>
      <c r="CI249" s="71">
        <f>K249</f>
        <v>59</v>
      </c>
      <c r="CJ249" s="72">
        <f>O249</f>
        <v>91</v>
      </c>
      <c r="CK249" s="72">
        <f>S249</f>
        <v>95</v>
      </c>
      <c r="CL249" s="72">
        <f>W249</f>
        <v>135</v>
      </c>
      <c r="CM249" s="72" t="str">
        <f>AA249</f>
        <v>-</v>
      </c>
      <c r="CN249" s="72">
        <f>AE249</f>
        <v>166</v>
      </c>
      <c r="CO249" s="72">
        <f>AI249</f>
        <v>179</v>
      </c>
      <c r="CP249" s="72">
        <f>AM249</f>
        <v>218</v>
      </c>
      <c r="CQ249" s="72">
        <f>AQ249</f>
        <v>264</v>
      </c>
      <c r="CR249" s="72">
        <f>AU249</f>
        <v>298</v>
      </c>
      <c r="CS249" s="72">
        <f>AY249</f>
        <v>315</v>
      </c>
      <c r="CT249" s="23">
        <f>M249-K249</f>
        <v>1</v>
      </c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  <c r="UU249" s="1"/>
      <c r="UV249" s="1"/>
      <c r="UW249" s="1"/>
      <c r="UX249" s="1"/>
      <c r="UY249" s="1"/>
      <c r="UZ249" s="1"/>
      <c r="VA249" s="1"/>
      <c r="VB249" s="1"/>
      <c r="VC249" s="1"/>
      <c r="VD249" s="1"/>
      <c r="VE249" s="1"/>
      <c r="VF249" s="1"/>
      <c r="VG249" s="1"/>
      <c r="VH249" s="1"/>
      <c r="VI249" s="1"/>
      <c r="VJ249" s="1"/>
      <c r="VK249" s="1"/>
      <c r="VL249" s="1"/>
      <c r="VM249" s="1"/>
      <c r="VN249" s="1"/>
      <c r="VO249" s="1"/>
      <c r="VP249" s="1"/>
      <c r="VQ249" s="1"/>
      <c r="VR249" s="1"/>
      <c r="VS249" s="1"/>
      <c r="VT249" s="1"/>
      <c r="VU249" s="1"/>
      <c r="VV249" s="1"/>
      <c r="VW249" s="1"/>
      <c r="VX249" s="1"/>
      <c r="VY249" s="1"/>
      <c r="VZ249" s="1"/>
      <c r="WA249" s="1"/>
      <c r="WB249" s="1"/>
      <c r="WC249" s="1"/>
      <c r="WD249" s="1"/>
      <c r="WE249" s="1"/>
      <c r="WF249" s="1"/>
      <c r="WG249" s="1"/>
      <c r="WH249" s="1"/>
      <c r="WI249" s="1"/>
      <c r="WJ249" s="1"/>
      <c r="WK249" s="1"/>
      <c r="WL249" s="1"/>
      <c r="WM249" s="1"/>
      <c r="WN249" s="1"/>
      <c r="WO249" s="1"/>
      <c r="WP249" s="1"/>
      <c r="WQ249" s="1"/>
      <c r="WR249" s="1"/>
      <c r="WS249" s="1"/>
      <c r="WT249" s="1"/>
      <c r="WU249" s="1"/>
      <c r="WV249" s="1"/>
      <c r="WW249" s="1"/>
      <c r="WX249" s="1"/>
      <c r="WY249" s="1"/>
      <c r="WZ249" s="1"/>
      <c r="XA249" s="1"/>
      <c r="XB249" s="1"/>
      <c r="XC249" s="1"/>
      <c r="XD249" s="1"/>
      <c r="XE249" s="1"/>
      <c r="XF249" s="1"/>
      <c r="XG249" s="1"/>
      <c r="XH249" s="1"/>
      <c r="XI249" s="1"/>
      <c r="XJ249" s="1"/>
      <c r="XK249" s="1"/>
      <c r="XL249" s="1"/>
      <c r="XM249" s="1"/>
      <c r="XN249" s="1"/>
      <c r="XO249" s="1"/>
      <c r="XP249" s="1"/>
      <c r="XQ249" s="1"/>
      <c r="XR249" s="1"/>
      <c r="XS249" s="1"/>
      <c r="XT249" s="1"/>
      <c r="XU249" s="1"/>
      <c r="XV249" s="1"/>
      <c r="XW249" s="1"/>
      <c r="XX249" s="1"/>
      <c r="XY249" s="1"/>
      <c r="XZ249" s="1"/>
      <c r="YA249" s="1"/>
      <c r="YB249" s="1"/>
      <c r="YC249" s="1"/>
      <c r="YD249" s="1"/>
      <c r="YE249" s="1"/>
      <c r="YF249" s="1"/>
      <c r="YG249" s="1"/>
      <c r="YH249" s="1"/>
      <c r="YI249" s="1"/>
      <c r="YJ249" s="1"/>
      <c r="YK249" s="1"/>
      <c r="YL249" s="1"/>
      <c r="YM249" s="1"/>
      <c r="YN249" s="1"/>
      <c r="YO249" s="1"/>
      <c r="YP249" s="1"/>
      <c r="YQ249" s="1"/>
      <c r="YR249" s="1"/>
      <c r="YS249" s="1"/>
      <c r="YT249" s="1"/>
      <c r="YU249" s="1"/>
      <c r="YV249" s="1"/>
      <c r="YW249" s="1"/>
      <c r="YX249" s="1"/>
      <c r="YY249" s="1"/>
      <c r="YZ249" s="1"/>
      <c r="ZA249" s="1"/>
      <c r="ZB249" s="1"/>
      <c r="ZC249" s="1"/>
      <c r="ZD249" s="1"/>
      <c r="ZE249" s="1"/>
      <c r="ZF249" s="1"/>
      <c r="ZG249" s="1"/>
      <c r="ZH249" s="1"/>
      <c r="ZI249" s="1"/>
      <c r="ZJ249" s="1"/>
      <c r="ZK249" s="1"/>
      <c r="ZL249" s="1"/>
      <c r="ZM249" s="1"/>
      <c r="ZN249" s="1"/>
      <c r="ZO249" s="1"/>
      <c r="ZP249" s="1"/>
      <c r="ZQ249" s="1"/>
      <c r="ZR249" s="1"/>
      <c r="ZS249" s="1"/>
      <c r="ZT249" s="1"/>
      <c r="ZU249" s="1"/>
      <c r="ZV249" s="1"/>
      <c r="ZW249" s="1"/>
      <c r="ZX249" s="1"/>
      <c r="ZY249" s="1"/>
      <c r="ZZ249" s="1"/>
      <c r="AAA249" s="1"/>
      <c r="AAB249" s="1"/>
      <c r="AAC249" s="1"/>
      <c r="AAD249" s="1"/>
      <c r="AAE249" s="1"/>
      <c r="AAF249" s="1"/>
      <c r="AAG249" s="1"/>
      <c r="AAH249" s="1"/>
      <c r="AAI249" s="1"/>
      <c r="AAJ249" s="1"/>
      <c r="AAK249" s="1"/>
      <c r="AAL249" s="1"/>
      <c r="AAM249" s="1"/>
      <c r="AAN249" s="1"/>
      <c r="AAO249" s="1"/>
      <c r="AAP249" s="1"/>
      <c r="AAQ249" s="1"/>
      <c r="AAR249" s="1"/>
      <c r="AAS249" s="1"/>
      <c r="AAT249" s="1"/>
      <c r="AAU249" s="1"/>
      <c r="AAV249" s="1"/>
      <c r="AAW249" s="1"/>
      <c r="AAX249" s="1"/>
      <c r="AAY249" s="1"/>
      <c r="AAZ249" s="1"/>
      <c r="ABA249" s="1"/>
      <c r="ABB249" s="1"/>
      <c r="ABC249" s="1"/>
      <c r="ABD249" s="1"/>
      <c r="ABE249" s="1"/>
      <c r="ABF249" s="1"/>
      <c r="ABG249" s="1"/>
      <c r="ABH249" s="1"/>
      <c r="ABI249" s="1"/>
      <c r="ABJ249" s="1"/>
      <c r="ABK249" s="1"/>
      <c r="ABL249" s="1"/>
      <c r="ABM249" s="1"/>
      <c r="ABN249" s="1"/>
      <c r="ABO249" s="1"/>
      <c r="ABP249" s="1"/>
      <c r="ABQ249" s="1"/>
      <c r="ABR249" s="1"/>
      <c r="ABS249" s="1"/>
      <c r="ABT249" s="1"/>
      <c r="ABU249" s="1"/>
      <c r="ABV249" s="1"/>
      <c r="ABW249" s="1"/>
      <c r="ABX249" s="1"/>
      <c r="ABY249" s="1"/>
      <c r="ABZ249" s="1"/>
      <c r="ACA249" s="1"/>
      <c r="ACB249" s="1"/>
      <c r="ACC249" s="1"/>
      <c r="ACD249" s="1"/>
      <c r="ACE249" s="1"/>
      <c r="ACF249" s="1"/>
      <c r="ACG249" s="1"/>
      <c r="ACH249" s="1"/>
      <c r="ACI249" s="1"/>
      <c r="ACJ249" s="1"/>
      <c r="ACK249" s="1"/>
      <c r="ACL249" s="1"/>
      <c r="ACM249" s="1"/>
      <c r="ACN249" s="1"/>
      <c r="ACO249" s="1"/>
      <c r="ACP249" s="1"/>
      <c r="ACQ249" s="1"/>
      <c r="ACR249" s="1"/>
      <c r="ACS249" s="1"/>
      <c r="ACT249" s="1"/>
      <c r="ACU249" s="1"/>
      <c r="ACV249" s="1"/>
      <c r="ACW249" s="1"/>
      <c r="ACX249" s="1"/>
      <c r="ACY249" s="1"/>
      <c r="ACZ249" s="1"/>
      <c r="ADA249" s="1"/>
      <c r="ADB249" s="1"/>
      <c r="ADC249" s="1"/>
      <c r="ADD249" s="1"/>
      <c r="ADE249" s="1"/>
      <c r="ADF249" s="1"/>
      <c r="ADG249" s="1"/>
      <c r="ADH249" s="1"/>
      <c r="ADI249" s="1"/>
      <c r="ADJ249" s="1"/>
      <c r="ADK249" s="1"/>
      <c r="ADL249" s="1"/>
      <c r="ADM249" s="1"/>
      <c r="ADN249" s="1"/>
      <c r="ADO249" s="1"/>
      <c r="ADP249" s="1"/>
      <c r="ADQ249" s="1"/>
      <c r="ADR249" s="1"/>
      <c r="ADS249" s="1"/>
      <c r="ADT249" s="1"/>
      <c r="ADU249" s="1"/>
      <c r="ADV249" s="1"/>
      <c r="ADW249" s="1"/>
      <c r="ADX249" s="1"/>
      <c r="ADY249" s="1"/>
      <c r="ADZ249" s="1"/>
      <c r="AEA249" s="1"/>
      <c r="AEB249" s="1"/>
      <c r="AEC249" s="1"/>
      <c r="AED249" s="1"/>
      <c r="AEE249" s="1"/>
      <c r="AEF249" s="1"/>
      <c r="AEG249" s="1"/>
      <c r="AEH249" s="1"/>
      <c r="AEI249" s="1"/>
      <c r="AEJ249" s="1"/>
      <c r="AEK249" s="1"/>
      <c r="AEL249" s="1"/>
      <c r="AEM249" s="1"/>
      <c r="AEN249" s="1"/>
      <c r="AEO249" s="1"/>
      <c r="AEP249" s="1"/>
      <c r="AEQ249" s="1"/>
      <c r="AER249" s="1"/>
      <c r="AES249" s="1"/>
      <c r="AET249" s="1"/>
      <c r="AEU249" s="1"/>
      <c r="AEV249" s="1"/>
      <c r="AEW249" s="1"/>
      <c r="AEX249" s="1"/>
      <c r="AEY249" s="1"/>
      <c r="AEZ249" s="1"/>
      <c r="AFA249" s="1"/>
      <c r="AFB249" s="1"/>
      <c r="AFC249" s="1"/>
      <c r="AFD249" s="1"/>
      <c r="AFE249" s="1"/>
      <c r="AFF249" s="1"/>
      <c r="AFG249" s="1"/>
      <c r="AFH249" s="1"/>
      <c r="AFI249" s="1"/>
      <c r="AFJ249" s="1"/>
      <c r="AFK249" s="1"/>
      <c r="AFL249" s="1"/>
      <c r="AFM249" s="1"/>
      <c r="AFN249" s="1"/>
      <c r="AFO249" s="1"/>
      <c r="AFP249" s="1"/>
      <c r="AFQ249" s="1"/>
      <c r="AFR249" s="1"/>
      <c r="AFS249" s="1"/>
      <c r="AFT249" s="1"/>
      <c r="AFU249" s="1"/>
      <c r="AFV249" s="1"/>
      <c r="AFW249" s="1"/>
      <c r="AFX249" s="1"/>
      <c r="AFY249" s="1"/>
      <c r="AFZ249" s="1"/>
      <c r="AGA249" s="1"/>
      <c r="AGB249" s="1"/>
      <c r="AGC249" s="1"/>
      <c r="AGD249" s="1"/>
      <c r="AGE249" s="1"/>
      <c r="AGF249" s="1"/>
      <c r="AGG249" s="1"/>
      <c r="AGH249" s="1"/>
      <c r="AGI249" s="1"/>
      <c r="AGJ249" s="1"/>
      <c r="AGK249" s="1"/>
      <c r="AGL249" s="1"/>
      <c r="AGM249" s="1"/>
      <c r="AGN249" s="1"/>
      <c r="AGO249" s="1"/>
      <c r="AGP249" s="1"/>
      <c r="AGQ249" s="1"/>
      <c r="AGR249" s="1"/>
      <c r="AGS249" s="1"/>
      <c r="AGT249" s="1"/>
      <c r="AGU249" s="1"/>
      <c r="AGV249" s="1"/>
      <c r="AGW249" s="1"/>
      <c r="AGX249" s="1"/>
      <c r="AGY249" s="1"/>
      <c r="AGZ249" s="1"/>
      <c r="AHA249" s="1"/>
      <c r="AHB249" s="1"/>
      <c r="AHC249" s="1"/>
      <c r="AHD249" s="1"/>
      <c r="AHE249" s="1"/>
      <c r="AHF249" s="1"/>
      <c r="AHG249" s="1"/>
      <c r="AHH249" s="1"/>
      <c r="AHI249" s="1"/>
      <c r="AHJ249" s="1"/>
      <c r="AHK249" s="1"/>
      <c r="AHL249" s="1"/>
      <c r="AHM249" s="1"/>
      <c r="AHN249" s="1"/>
      <c r="AHO249" s="1"/>
      <c r="AHP249" s="1"/>
      <c r="AHQ249" s="1"/>
      <c r="AHR249" s="1"/>
      <c r="AHS249" s="1"/>
      <c r="AHT249" s="1"/>
      <c r="AHU249" s="1"/>
      <c r="AHV249" s="1"/>
      <c r="AHW249" s="1"/>
      <c r="AHX249" s="1"/>
      <c r="AHY249" s="1"/>
      <c r="AHZ249" s="1"/>
      <c r="AIA249" s="1"/>
      <c r="AIB249" s="1"/>
      <c r="AIC249" s="1"/>
      <c r="AID249" s="1"/>
      <c r="AIE249" s="1"/>
      <c r="AIF249" s="1"/>
      <c r="AIG249" s="1"/>
      <c r="AIH249" s="1"/>
      <c r="AII249" s="1"/>
      <c r="AIJ249" s="1"/>
      <c r="AIK249" s="1"/>
      <c r="AIL249" s="1"/>
      <c r="AIM249" s="1"/>
      <c r="AIN249" s="1"/>
      <c r="AIO249" s="1"/>
      <c r="AIP249" s="1"/>
      <c r="AIQ249" s="1"/>
      <c r="AIR249" s="1"/>
      <c r="AIS249" s="1"/>
      <c r="AIT249" s="1"/>
      <c r="AIU249" s="1"/>
      <c r="AIV249" s="1"/>
      <c r="AIW249" s="1"/>
      <c r="AIX249" s="1"/>
      <c r="AIY249" s="1"/>
      <c r="AIZ249" s="1"/>
      <c r="AJA249" s="1"/>
      <c r="AJB249" s="1"/>
      <c r="AJC249" s="1"/>
      <c r="AJD249" s="1"/>
      <c r="AJE249" s="1"/>
      <c r="AJF249" s="1"/>
      <c r="AJG249" s="1"/>
      <c r="AJH249" s="1"/>
      <c r="AJI249" s="1"/>
      <c r="AJJ249" s="1"/>
      <c r="AJK249" s="1"/>
      <c r="AJL249" s="1"/>
      <c r="AJM249" s="1"/>
      <c r="AJN249" s="1"/>
      <c r="AJO249" s="1"/>
      <c r="AJP249" s="1"/>
      <c r="AJQ249" s="1"/>
      <c r="AJR249" s="1"/>
      <c r="AJS249" s="1"/>
      <c r="AJT249" s="1"/>
      <c r="AJU249" s="1"/>
      <c r="AJV249" s="1"/>
      <c r="AJW249" s="1"/>
      <c r="AJX249" s="1"/>
      <c r="AJY249" s="1"/>
      <c r="AJZ249" s="1"/>
      <c r="AKA249" s="1"/>
      <c r="AKB249" s="1"/>
      <c r="AKC249" s="1"/>
      <c r="AKD249" s="1"/>
      <c r="AKE249" s="1"/>
      <c r="AKF249" s="1"/>
      <c r="AKG249" s="1"/>
      <c r="AKH249" s="1"/>
      <c r="AKI249" s="1"/>
      <c r="AKJ249" s="1"/>
      <c r="AKK249" s="1"/>
      <c r="AKL249" s="1"/>
      <c r="AKM249" s="1"/>
      <c r="AKN249" s="1"/>
      <c r="AKO249" s="1"/>
      <c r="AKP249" s="1"/>
      <c r="AKQ249" s="1"/>
      <c r="AKR249" s="1"/>
      <c r="AKS249" s="1"/>
      <c r="AKT249" s="1"/>
      <c r="AKU249" s="1"/>
      <c r="AKV249" s="1"/>
      <c r="AKW249" s="1"/>
      <c r="AKX249" s="1"/>
      <c r="AKY249" s="1"/>
      <c r="AKZ249" s="1"/>
      <c r="ALA249" s="1"/>
      <c r="ALB249" s="1"/>
      <c r="ALC249" s="1"/>
      <c r="ALD249" s="1"/>
      <c r="ALE249" s="1"/>
      <c r="ALF249" s="1"/>
      <c r="ALG249" s="1"/>
      <c r="ALH249" s="1"/>
      <c r="ALI249" s="1"/>
      <c r="ALJ249" s="1"/>
      <c r="ALK249" s="1"/>
      <c r="ALL249" s="1"/>
      <c r="ALM249" s="1"/>
      <c r="ALN249" s="1"/>
      <c r="ALO249" s="1"/>
      <c r="ALP249" s="1"/>
      <c r="ALQ249" s="1"/>
      <c r="ALR249" s="1"/>
      <c r="ALS249" s="1"/>
      <c r="ALT249" s="1"/>
      <c r="ALU249" s="1"/>
      <c r="ALV249" s="1"/>
      <c r="ALW249" s="1"/>
      <c r="ALX249" s="1"/>
      <c r="ALY249" s="1"/>
      <c r="ALZ249" s="1"/>
      <c r="AMA249" s="1"/>
      <c r="AMB249" s="1"/>
      <c r="AMC249" s="1"/>
      <c r="AMD249" s="1"/>
      <c r="AME249" s="1"/>
      <c r="AMF249" s="1"/>
      <c r="AMG249" s="1"/>
      <c r="AMH249" s="1"/>
      <c r="AMI249" s="1"/>
      <c r="AMJ249" s="1"/>
      <c r="AMK249" s="1"/>
      <c r="AML249" s="1"/>
      <c r="AMM249" s="1"/>
      <c r="AMN249" s="1"/>
      <c r="AMO249" s="1"/>
    </row>
    <row r="250" spans="1:1029" x14ac:dyDescent="0.2">
      <c r="A250" s="3" t="str">
        <f>CONCATENATE(B250,"_",C250)</f>
        <v>mtr1a_human_6ME5</v>
      </c>
      <c r="B250" s="3" t="s">
        <v>310</v>
      </c>
      <c r="C250" s="3" t="s">
        <v>1561</v>
      </c>
      <c r="D250" s="3" t="str">
        <f>IFERROR(MID(VLOOKUP($B250,Seqs!$A:$B,2,0),E250,1),"")</f>
        <v>P</v>
      </c>
      <c r="E250" s="3">
        <v>23</v>
      </c>
      <c r="F250" s="3" t="str">
        <f>IFERROR(MID(VLOOKUP($B250,Seqs!$A:$B,2,0),G250,1),"")</f>
        <v>N</v>
      </c>
      <c r="G250" s="3">
        <v>55</v>
      </c>
      <c r="H250" s="3" t="str">
        <f>IFERROR(MID(VLOOKUP($B250,Seqs!$A:$B,2,0),I250,1),"")</f>
        <v>K</v>
      </c>
      <c r="I250" s="23">
        <v>56</v>
      </c>
      <c r="J250" s="3" t="str">
        <f>IFERROR(MID(VLOOKUP($B250,Seqs!$A:$B,2,0),K250,1),"")</f>
        <v>R</v>
      </c>
      <c r="K250" s="23">
        <v>59</v>
      </c>
      <c r="L250" s="3" t="str">
        <f>IFERROR(MID(VLOOKUP($B250,Seqs!$A:$B,2,0),M250,1),"")</f>
        <v>N</v>
      </c>
      <c r="M250" s="3">
        <v>60</v>
      </c>
      <c r="N250" s="3" t="str">
        <f>IFERROR(MID(VLOOKUP($B250,Seqs!$A:$B,2,0),O250,1),"")</f>
        <v>N</v>
      </c>
      <c r="O250" s="3">
        <v>91</v>
      </c>
      <c r="P250" s="3" t="str">
        <f>IFERROR(MID(VLOOKUP($B250,Seqs!$A:$B,2,0),Q250,1),"")</f>
        <v>G</v>
      </c>
      <c r="Q250" s="3">
        <v>92</v>
      </c>
      <c r="R250" s="3" t="str">
        <f>IFERROR(MID(VLOOKUP($B250,Seqs!$A:$B,2,0),S250,1),"")</f>
        <v>L</v>
      </c>
      <c r="S250" s="3">
        <v>95</v>
      </c>
      <c r="T250" s="3" t="str">
        <f>IFERROR(MID(VLOOKUP($B250,Seqs!$A:$B,2,0),U250,1),"")</f>
        <v>G</v>
      </c>
      <c r="U250" s="3">
        <v>96</v>
      </c>
      <c r="V250" s="3" t="str">
        <f>IFERROR(MID(VLOOKUP($B250,Seqs!$A:$B,2,0),W250,1),"")</f>
        <v>Y</v>
      </c>
      <c r="W250" s="3">
        <v>135</v>
      </c>
      <c r="X250" s="3" t="str">
        <f>IFERROR(MID(VLOOKUP($B250,Seqs!$A:$B,2,0),Y250,1),"")</f>
        <v/>
      </c>
      <c r="Y250" s="3" t="s">
        <v>23</v>
      </c>
      <c r="Z250" s="3" t="str">
        <f>IFERROR(MID(VLOOKUP($B250,Seqs!$A:$B,2,0),AA250,1),"")</f>
        <v/>
      </c>
      <c r="AA250" s="3" t="s">
        <v>23</v>
      </c>
      <c r="AB250" s="3" t="str">
        <f>IFERROR(MID(VLOOKUP($B250,Seqs!$A:$B,2,0),AC250,1),"")</f>
        <v>N</v>
      </c>
      <c r="AC250" s="3">
        <v>143</v>
      </c>
      <c r="AD250" s="3" t="str">
        <f>IFERROR(MID(VLOOKUP($B250,Seqs!$A:$B,2,0),AE250,1),"")</f>
        <v>G</v>
      </c>
      <c r="AE250" s="3">
        <v>166</v>
      </c>
      <c r="AF250" s="3" t="str">
        <f>IFERROR(MID(VLOOKUP($B250,Seqs!$A:$B,2,0),AG250,1),"")</f>
        <v>C</v>
      </c>
      <c r="AG250" s="3">
        <v>177</v>
      </c>
      <c r="AH250" s="3" t="str">
        <f>IFERROR(MID(VLOOKUP($B250,Seqs!$A:$B,2,0),AI250,1),"")</f>
        <v>F</v>
      </c>
      <c r="AI250" s="3">
        <v>179</v>
      </c>
      <c r="AJ250" s="3" t="str">
        <f>IFERROR(MID(VLOOKUP($B250,Seqs!$A:$B,2,0),AK250,1),"")</f>
        <v>S</v>
      </c>
      <c r="AK250" s="3">
        <v>184</v>
      </c>
      <c r="AL250" s="3" t="str">
        <f>IFERROR(MID(VLOOKUP($B250,Seqs!$A:$B,2,0),AM250,1),"")</f>
        <v>R</v>
      </c>
      <c r="AM250" s="3">
        <v>218</v>
      </c>
      <c r="AN250" s="3" t="str">
        <f>IFERROR(MID(VLOOKUP($B250,Seqs!$A:$B,2,0),AO250,1),"")</f>
        <v>R</v>
      </c>
      <c r="AO250" s="3">
        <v>235</v>
      </c>
      <c r="AP250" s="3" t="str">
        <f>IFERROR(MID(VLOOKUP($B250,Seqs!$A:$B,2,0),AQ250,1),"")</f>
        <v>D</v>
      </c>
      <c r="AQ250" s="3">
        <v>264</v>
      </c>
      <c r="AR250" s="3" t="str">
        <f>IFERROR(MID(VLOOKUP($B250,Seqs!$A:$B,2,0),AS250,1),"")</f>
        <v>P</v>
      </c>
      <c r="AS250" s="3">
        <v>273</v>
      </c>
      <c r="AT250" s="3" t="str">
        <f>IFERROR(MID(VLOOKUP($B250,Seqs!$A:$B,2,0),AU250,1),"")</f>
        <v>L</v>
      </c>
      <c r="AU250" s="3">
        <v>298</v>
      </c>
      <c r="AV250" s="3" t="str">
        <f>IFERROR(MID(VLOOKUP($B250,Seqs!$A:$B,2,0),AW250,1),"")</f>
        <v>N</v>
      </c>
      <c r="AW250" s="3">
        <v>299</v>
      </c>
      <c r="AX250" s="3" t="str">
        <f>IFERROR(MID(VLOOKUP($B250,Seqs!$A:$B,2,0),AY250,1),"")</f>
        <v>T</v>
      </c>
      <c r="AY250" s="3">
        <v>315</v>
      </c>
      <c r="AZ250" s="77" t="str">
        <f>VLOOKUP(B250,Classification!A:D,2,0)</f>
        <v>A</v>
      </c>
      <c r="BA250" s="94" t="str">
        <f>VLOOKUP(B250,Classification!A:D,4,0)</f>
        <v>Melatonin</v>
      </c>
      <c r="BB250" s="27" t="b">
        <f t="shared" ref="BB250" si="1080">AND(E250&lt;G250,OR(G250&lt;I250,I250="-"),OR(I250&lt;K250,I250="-"),OR(K250&lt;M250,K250="-"),M250&lt;O250,OR(O250&lt;Q250,Q250="-"),OR(Q250&lt;S250,Q250="-"),OR(S250&lt;U250,S250="-"),U250&lt;W250,OR(W250&lt;Y250,Y250="-"),OR(Y250&lt;AA250,Y250="-"),OR(AA250&lt;AC250,AA250="-"),AC250&lt;AE250,OR(AE250&lt;AG250,AG250="-"),OR(AG250&lt;AI250,AG250="-"),OR(AI250&lt;AK250,AI250="-"),AK250&lt;AM250,AM250&lt;AO250,AO250&lt;AQ250,AQ250&lt;AS250,AS250&lt;AU250,OR(AU250&lt;AW250,AW250="-"),OR(AW250&lt;AY250,AW250="-"))</f>
        <v>1</v>
      </c>
      <c r="BC250" s="23">
        <f t="shared" ref="BC250" si="1081">_xlfn.AGGREGATE(9,6,CH250:CS250)-_xlfn.AGGREGATE(9,6,BV250:CG250)+12</f>
        <v>249</v>
      </c>
      <c r="BD250" s="5" t="s">
        <v>23</v>
      </c>
      <c r="BE250" s="3" t="s">
        <v>1368</v>
      </c>
      <c r="BF250" s="118">
        <v>3.2</v>
      </c>
      <c r="BG250" s="49" t="s">
        <v>1</v>
      </c>
      <c r="BH250" s="49" t="s">
        <v>1</v>
      </c>
      <c r="BI250" s="1"/>
      <c r="BJ250" s="70" t="s">
        <v>1281</v>
      </c>
      <c r="BK250" s="57" t="s">
        <v>1281</v>
      </c>
      <c r="BL250" s="57" t="s">
        <v>1281</v>
      </c>
      <c r="BM250" s="57" t="s">
        <v>1281</v>
      </c>
      <c r="BN250" s="57" t="s">
        <v>1281</v>
      </c>
      <c r="BO250" s="57" t="s">
        <v>1281</v>
      </c>
      <c r="BP250" s="57" t="s">
        <v>1281</v>
      </c>
      <c r="BQ250" s="57" t="s">
        <v>1281</v>
      </c>
      <c r="BR250" s="57" t="s">
        <v>1281</v>
      </c>
      <c r="BS250" s="57" t="s">
        <v>1281</v>
      </c>
      <c r="BT250" s="57" t="s">
        <v>1281</v>
      </c>
      <c r="BU250" s="57" t="s">
        <v>1281</v>
      </c>
      <c r="BV250" s="70">
        <f>E250</f>
        <v>23</v>
      </c>
      <c r="BW250" s="71">
        <f>I250</f>
        <v>56</v>
      </c>
      <c r="BX250" s="72">
        <f>M250</f>
        <v>60</v>
      </c>
      <c r="BY250" s="71">
        <f>Q250</f>
        <v>92</v>
      </c>
      <c r="BZ250" s="72">
        <f>U250</f>
        <v>96</v>
      </c>
      <c r="CA250" s="71" t="str">
        <f>Y250</f>
        <v>-</v>
      </c>
      <c r="CB250" s="72">
        <f>AC250</f>
        <v>143</v>
      </c>
      <c r="CC250" s="71">
        <f>AG250</f>
        <v>177</v>
      </c>
      <c r="CD250" s="72">
        <f>AK250</f>
        <v>184</v>
      </c>
      <c r="CE250" s="71">
        <f>AO250</f>
        <v>235</v>
      </c>
      <c r="CF250" s="72">
        <f>AS250</f>
        <v>273</v>
      </c>
      <c r="CG250" s="71">
        <f>AW250</f>
        <v>299</v>
      </c>
      <c r="CH250" s="70">
        <f>G250</f>
        <v>55</v>
      </c>
      <c r="CI250" s="71">
        <f>K250</f>
        <v>59</v>
      </c>
      <c r="CJ250" s="72">
        <f>O250</f>
        <v>91</v>
      </c>
      <c r="CK250" s="72">
        <f>S250</f>
        <v>95</v>
      </c>
      <c r="CL250" s="72">
        <f>W250</f>
        <v>135</v>
      </c>
      <c r="CM250" s="72" t="str">
        <f>AA250</f>
        <v>-</v>
      </c>
      <c r="CN250" s="72">
        <f>AE250</f>
        <v>166</v>
      </c>
      <c r="CO250" s="72">
        <f>AI250</f>
        <v>179</v>
      </c>
      <c r="CP250" s="72">
        <f>AM250</f>
        <v>218</v>
      </c>
      <c r="CQ250" s="72">
        <f>AQ250</f>
        <v>264</v>
      </c>
      <c r="CR250" s="72">
        <f>AU250</f>
        <v>298</v>
      </c>
      <c r="CS250" s="72">
        <f>AY250</f>
        <v>315</v>
      </c>
      <c r="CT250" s="23">
        <f>M250-K250</f>
        <v>1</v>
      </c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  <c r="VF250" s="1"/>
      <c r="VG250" s="1"/>
      <c r="VH250" s="1"/>
      <c r="VI250" s="1"/>
      <c r="VJ250" s="1"/>
      <c r="VK250" s="1"/>
      <c r="VL250" s="1"/>
      <c r="VM250" s="1"/>
      <c r="VN250" s="1"/>
      <c r="VO250" s="1"/>
      <c r="VP250" s="1"/>
      <c r="VQ250" s="1"/>
      <c r="VR250" s="1"/>
      <c r="VS250" s="1"/>
      <c r="VT250" s="1"/>
      <c r="VU250" s="1"/>
      <c r="VV250" s="1"/>
      <c r="VW250" s="1"/>
      <c r="VX250" s="1"/>
      <c r="VY250" s="1"/>
      <c r="VZ250" s="1"/>
      <c r="WA250" s="1"/>
      <c r="WB250" s="1"/>
      <c r="WC250" s="1"/>
      <c r="WD250" s="1"/>
      <c r="WE250" s="1"/>
      <c r="WF250" s="1"/>
      <c r="WG250" s="1"/>
      <c r="WH250" s="1"/>
      <c r="WI250" s="1"/>
      <c r="WJ250" s="1"/>
      <c r="WK250" s="1"/>
      <c r="WL250" s="1"/>
      <c r="WM250" s="1"/>
      <c r="WN250" s="1"/>
      <c r="WO250" s="1"/>
      <c r="WP250" s="1"/>
      <c r="WQ250" s="1"/>
      <c r="WR250" s="1"/>
      <c r="WS250" s="1"/>
      <c r="WT250" s="1"/>
      <c r="WU250" s="1"/>
      <c r="WV250" s="1"/>
      <c r="WW250" s="1"/>
      <c r="WX250" s="1"/>
      <c r="WY250" s="1"/>
      <c r="WZ250" s="1"/>
      <c r="XA250" s="1"/>
      <c r="XB250" s="1"/>
      <c r="XC250" s="1"/>
      <c r="XD250" s="1"/>
      <c r="XE250" s="1"/>
      <c r="XF250" s="1"/>
      <c r="XG250" s="1"/>
      <c r="XH250" s="1"/>
      <c r="XI250" s="1"/>
      <c r="XJ250" s="1"/>
      <c r="XK250" s="1"/>
      <c r="XL250" s="1"/>
      <c r="XM250" s="1"/>
      <c r="XN250" s="1"/>
      <c r="XO250" s="1"/>
      <c r="XP250" s="1"/>
      <c r="XQ250" s="1"/>
      <c r="XR250" s="1"/>
      <c r="XS250" s="1"/>
      <c r="XT250" s="1"/>
      <c r="XU250" s="1"/>
      <c r="XV250" s="1"/>
      <c r="XW250" s="1"/>
      <c r="XX250" s="1"/>
      <c r="XY250" s="1"/>
      <c r="XZ250" s="1"/>
      <c r="YA250" s="1"/>
      <c r="YB250" s="1"/>
      <c r="YC250" s="1"/>
      <c r="YD250" s="1"/>
      <c r="YE250" s="1"/>
      <c r="YF250" s="1"/>
      <c r="YG250" s="1"/>
      <c r="YH250" s="1"/>
      <c r="YI250" s="1"/>
      <c r="YJ250" s="1"/>
      <c r="YK250" s="1"/>
      <c r="YL250" s="1"/>
      <c r="YM250" s="1"/>
      <c r="YN250" s="1"/>
      <c r="YO250" s="1"/>
      <c r="YP250" s="1"/>
      <c r="YQ250" s="1"/>
      <c r="YR250" s="1"/>
      <c r="YS250" s="1"/>
      <c r="YT250" s="1"/>
      <c r="YU250" s="1"/>
      <c r="YV250" s="1"/>
      <c r="YW250" s="1"/>
      <c r="YX250" s="1"/>
      <c r="YY250" s="1"/>
      <c r="YZ250" s="1"/>
      <c r="ZA250" s="1"/>
      <c r="ZB250" s="1"/>
      <c r="ZC250" s="1"/>
      <c r="ZD250" s="1"/>
      <c r="ZE250" s="1"/>
      <c r="ZF250" s="1"/>
      <c r="ZG250" s="1"/>
      <c r="ZH250" s="1"/>
      <c r="ZI250" s="1"/>
      <c r="ZJ250" s="1"/>
      <c r="ZK250" s="1"/>
      <c r="ZL250" s="1"/>
      <c r="ZM250" s="1"/>
      <c r="ZN250" s="1"/>
      <c r="ZO250" s="1"/>
      <c r="ZP250" s="1"/>
      <c r="ZQ250" s="1"/>
      <c r="ZR250" s="1"/>
      <c r="ZS250" s="1"/>
      <c r="ZT250" s="1"/>
      <c r="ZU250" s="1"/>
      <c r="ZV250" s="1"/>
      <c r="ZW250" s="1"/>
      <c r="ZX250" s="1"/>
      <c r="ZY250" s="1"/>
      <c r="ZZ250" s="1"/>
      <c r="AAA250" s="1"/>
      <c r="AAB250" s="1"/>
      <c r="AAC250" s="1"/>
      <c r="AAD250" s="1"/>
      <c r="AAE250" s="1"/>
      <c r="AAF250" s="1"/>
      <c r="AAG250" s="1"/>
      <c r="AAH250" s="1"/>
      <c r="AAI250" s="1"/>
      <c r="AAJ250" s="1"/>
      <c r="AAK250" s="1"/>
      <c r="AAL250" s="1"/>
      <c r="AAM250" s="1"/>
      <c r="AAN250" s="1"/>
      <c r="AAO250" s="1"/>
      <c r="AAP250" s="1"/>
      <c r="AAQ250" s="1"/>
      <c r="AAR250" s="1"/>
      <c r="AAS250" s="1"/>
      <c r="AAT250" s="1"/>
      <c r="AAU250" s="1"/>
      <c r="AAV250" s="1"/>
      <c r="AAW250" s="1"/>
      <c r="AAX250" s="1"/>
      <c r="AAY250" s="1"/>
      <c r="AAZ250" s="1"/>
      <c r="ABA250" s="1"/>
      <c r="ABB250" s="1"/>
      <c r="ABC250" s="1"/>
      <c r="ABD250" s="1"/>
      <c r="ABE250" s="1"/>
      <c r="ABF250" s="1"/>
      <c r="ABG250" s="1"/>
      <c r="ABH250" s="1"/>
      <c r="ABI250" s="1"/>
      <c r="ABJ250" s="1"/>
      <c r="ABK250" s="1"/>
      <c r="ABL250" s="1"/>
      <c r="ABM250" s="1"/>
      <c r="ABN250" s="1"/>
      <c r="ABO250" s="1"/>
      <c r="ABP250" s="1"/>
      <c r="ABQ250" s="1"/>
      <c r="ABR250" s="1"/>
      <c r="ABS250" s="1"/>
      <c r="ABT250" s="1"/>
      <c r="ABU250" s="1"/>
      <c r="ABV250" s="1"/>
      <c r="ABW250" s="1"/>
      <c r="ABX250" s="1"/>
      <c r="ABY250" s="1"/>
      <c r="ABZ250" s="1"/>
      <c r="ACA250" s="1"/>
      <c r="ACB250" s="1"/>
      <c r="ACC250" s="1"/>
      <c r="ACD250" s="1"/>
      <c r="ACE250" s="1"/>
      <c r="ACF250" s="1"/>
      <c r="ACG250" s="1"/>
      <c r="ACH250" s="1"/>
      <c r="ACI250" s="1"/>
      <c r="ACJ250" s="1"/>
      <c r="ACK250" s="1"/>
      <c r="ACL250" s="1"/>
      <c r="ACM250" s="1"/>
      <c r="ACN250" s="1"/>
      <c r="ACO250" s="1"/>
      <c r="ACP250" s="1"/>
      <c r="ACQ250" s="1"/>
      <c r="ACR250" s="1"/>
      <c r="ACS250" s="1"/>
      <c r="ACT250" s="1"/>
      <c r="ACU250" s="1"/>
      <c r="ACV250" s="1"/>
      <c r="ACW250" s="1"/>
      <c r="ACX250" s="1"/>
      <c r="ACY250" s="1"/>
      <c r="ACZ250" s="1"/>
      <c r="ADA250" s="1"/>
      <c r="ADB250" s="1"/>
      <c r="ADC250" s="1"/>
      <c r="ADD250" s="1"/>
      <c r="ADE250" s="1"/>
      <c r="ADF250" s="1"/>
      <c r="ADG250" s="1"/>
      <c r="ADH250" s="1"/>
      <c r="ADI250" s="1"/>
      <c r="ADJ250" s="1"/>
      <c r="ADK250" s="1"/>
      <c r="ADL250" s="1"/>
      <c r="ADM250" s="1"/>
      <c r="ADN250" s="1"/>
      <c r="ADO250" s="1"/>
      <c r="ADP250" s="1"/>
      <c r="ADQ250" s="1"/>
      <c r="ADR250" s="1"/>
      <c r="ADS250" s="1"/>
      <c r="ADT250" s="1"/>
      <c r="ADU250" s="1"/>
      <c r="ADV250" s="1"/>
      <c r="ADW250" s="1"/>
      <c r="ADX250" s="1"/>
      <c r="ADY250" s="1"/>
      <c r="ADZ250" s="1"/>
      <c r="AEA250" s="1"/>
      <c r="AEB250" s="1"/>
      <c r="AEC250" s="1"/>
      <c r="AED250" s="1"/>
      <c r="AEE250" s="1"/>
      <c r="AEF250" s="1"/>
      <c r="AEG250" s="1"/>
      <c r="AEH250" s="1"/>
      <c r="AEI250" s="1"/>
      <c r="AEJ250" s="1"/>
      <c r="AEK250" s="1"/>
      <c r="AEL250" s="1"/>
      <c r="AEM250" s="1"/>
      <c r="AEN250" s="1"/>
      <c r="AEO250" s="1"/>
      <c r="AEP250" s="1"/>
      <c r="AEQ250" s="1"/>
      <c r="AER250" s="1"/>
      <c r="AES250" s="1"/>
      <c r="AET250" s="1"/>
      <c r="AEU250" s="1"/>
      <c r="AEV250" s="1"/>
      <c r="AEW250" s="1"/>
      <c r="AEX250" s="1"/>
      <c r="AEY250" s="1"/>
      <c r="AEZ250" s="1"/>
      <c r="AFA250" s="1"/>
      <c r="AFB250" s="1"/>
      <c r="AFC250" s="1"/>
      <c r="AFD250" s="1"/>
      <c r="AFE250" s="1"/>
      <c r="AFF250" s="1"/>
      <c r="AFG250" s="1"/>
      <c r="AFH250" s="1"/>
      <c r="AFI250" s="1"/>
      <c r="AFJ250" s="1"/>
      <c r="AFK250" s="1"/>
      <c r="AFL250" s="1"/>
      <c r="AFM250" s="1"/>
      <c r="AFN250" s="1"/>
      <c r="AFO250" s="1"/>
      <c r="AFP250" s="1"/>
      <c r="AFQ250" s="1"/>
      <c r="AFR250" s="1"/>
      <c r="AFS250" s="1"/>
      <c r="AFT250" s="1"/>
      <c r="AFU250" s="1"/>
      <c r="AFV250" s="1"/>
      <c r="AFW250" s="1"/>
      <c r="AFX250" s="1"/>
      <c r="AFY250" s="1"/>
      <c r="AFZ250" s="1"/>
      <c r="AGA250" s="1"/>
      <c r="AGB250" s="1"/>
      <c r="AGC250" s="1"/>
      <c r="AGD250" s="1"/>
      <c r="AGE250" s="1"/>
      <c r="AGF250" s="1"/>
      <c r="AGG250" s="1"/>
      <c r="AGH250" s="1"/>
      <c r="AGI250" s="1"/>
      <c r="AGJ250" s="1"/>
      <c r="AGK250" s="1"/>
      <c r="AGL250" s="1"/>
      <c r="AGM250" s="1"/>
      <c r="AGN250" s="1"/>
      <c r="AGO250" s="1"/>
      <c r="AGP250" s="1"/>
      <c r="AGQ250" s="1"/>
      <c r="AGR250" s="1"/>
      <c r="AGS250" s="1"/>
      <c r="AGT250" s="1"/>
      <c r="AGU250" s="1"/>
      <c r="AGV250" s="1"/>
      <c r="AGW250" s="1"/>
      <c r="AGX250" s="1"/>
      <c r="AGY250" s="1"/>
      <c r="AGZ250" s="1"/>
      <c r="AHA250" s="1"/>
      <c r="AHB250" s="1"/>
      <c r="AHC250" s="1"/>
      <c r="AHD250" s="1"/>
      <c r="AHE250" s="1"/>
      <c r="AHF250" s="1"/>
      <c r="AHG250" s="1"/>
      <c r="AHH250" s="1"/>
      <c r="AHI250" s="1"/>
      <c r="AHJ250" s="1"/>
      <c r="AHK250" s="1"/>
      <c r="AHL250" s="1"/>
      <c r="AHM250" s="1"/>
      <c r="AHN250" s="1"/>
      <c r="AHO250" s="1"/>
      <c r="AHP250" s="1"/>
      <c r="AHQ250" s="1"/>
      <c r="AHR250" s="1"/>
      <c r="AHS250" s="1"/>
      <c r="AHT250" s="1"/>
      <c r="AHU250" s="1"/>
      <c r="AHV250" s="1"/>
      <c r="AHW250" s="1"/>
      <c r="AHX250" s="1"/>
      <c r="AHY250" s="1"/>
      <c r="AHZ250" s="1"/>
      <c r="AIA250" s="1"/>
      <c r="AIB250" s="1"/>
      <c r="AIC250" s="1"/>
      <c r="AID250" s="1"/>
      <c r="AIE250" s="1"/>
      <c r="AIF250" s="1"/>
      <c r="AIG250" s="1"/>
      <c r="AIH250" s="1"/>
      <c r="AII250" s="1"/>
      <c r="AIJ250" s="1"/>
      <c r="AIK250" s="1"/>
      <c r="AIL250" s="1"/>
      <c r="AIM250" s="1"/>
      <c r="AIN250" s="1"/>
      <c r="AIO250" s="1"/>
      <c r="AIP250" s="1"/>
      <c r="AIQ250" s="1"/>
      <c r="AIR250" s="1"/>
      <c r="AIS250" s="1"/>
      <c r="AIT250" s="1"/>
      <c r="AIU250" s="1"/>
      <c r="AIV250" s="1"/>
      <c r="AIW250" s="1"/>
      <c r="AIX250" s="1"/>
      <c r="AIY250" s="1"/>
      <c r="AIZ250" s="1"/>
      <c r="AJA250" s="1"/>
      <c r="AJB250" s="1"/>
      <c r="AJC250" s="1"/>
      <c r="AJD250" s="1"/>
      <c r="AJE250" s="1"/>
      <c r="AJF250" s="1"/>
      <c r="AJG250" s="1"/>
      <c r="AJH250" s="1"/>
      <c r="AJI250" s="1"/>
      <c r="AJJ250" s="1"/>
      <c r="AJK250" s="1"/>
      <c r="AJL250" s="1"/>
      <c r="AJM250" s="1"/>
      <c r="AJN250" s="1"/>
      <c r="AJO250" s="1"/>
      <c r="AJP250" s="1"/>
      <c r="AJQ250" s="1"/>
      <c r="AJR250" s="1"/>
      <c r="AJS250" s="1"/>
      <c r="AJT250" s="1"/>
      <c r="AJU250" s="1"/>
      <c r="AJV250" s="1"/>
      <c r="AJW250" s="1"/>
      <c r="AJX250" s="1"/>
      <c r="AJY250" s="1"/>
      <c r="AJZ250" s="1"/>
      <c r="AKA250" s="1"/>
      <c r="AKB250" s="1"/>
      <c r="AKC250" s="1"/>
      <c r="AKD250" s="1"/>
      <c r="AKE250" s="1"/>
      <c r="AKF250" s="1"/>
      <c r="AKG250" s="1"/>
      <c r="AKH250" s="1"/>
      <c r="AKI250" s="1"/>
      <c r="AKJ250" s="1"/>
      <c r="AKK250" s="1"/>
      <c r="AKL250" s="1"/>
      <c r="AKM250" s="1"/>
      <c r="AKN250" s="1"/>
      <c r="AKO250" s="1"/>
      <c r="AKP250" s="1"/>
      <c r="AKQ250" s="1"/>
      <c r="AKR250" s="1"/>
      <c r="AKS250" s="1"/>
      <c r="AKT250" s="1"/>
      <c r="AKU250" s="1"/>
      <c r="AKV250" s="1"/>
      <c r="AKW250" s="1"/>
      <c r="AKX250" s="1"/>
      <c r="AKY250" s="1"/>
      <c r="AKZ250" s="1"/>
      <c r="ALA250" s="1"/>
      <c r="ALB250" s="1"/>
      <c r="ALC250" s="1"/>
      <c r="ALD250" s="1"/>
      <c r="ALE250" s="1"/>
      <c r="ALF250" s="1"/>
      <c r="ALG250" s="1"/>
      <c r="ALH250" s="1"/>
      <c r="ALI250" s="1"/>
      <c r="ALJ250" s="1"/>
      <c r="ALK250" s="1"/>
      <c r="ALL250" s="1"/>
      <c r="ALM250" s="1"/>
      <c r="ALN250" s="1"/>
      <c r="ALO250" s="1"/>
      <c r="ALP250" s="1"/>
      <c r="ALQ250" s="1"/>
      <c r="ALR250" s="1"/>
      <c r="ALS250" s="1"/>
      <c r="ALT250" s="1"/>
      <c r="ALU250" s="1"/>
      <c r="ALV250" s="1"/>
      <c r="ALW250" s="1"/>
      <c r="ALX250" s="1"/>
      <c r="ALY250" s="1"/>
      <c r="ALZ250" s="1"/>
      <c r="AMA250" s="1"/>
      <c r="AMB250" s="1"/>
      <c r="AMC250" s="1"/>
      <c r="AMD250" s="1"/>
      <c r="AME250" s="1"/>
      <c r="AMF250" s="1"/>
      <c r="AMG250" s="1"/>
      <c r="AMH250" s="1"/>
      <c r="AMI250" s="1"/>
      <c r="AMJ250" s="1"/>
      <c r="AMK250" s="1"/>
      <c r="AML250" s="1"/>
      <c r="AMM250" s="1"/>
      <c r="AMN250" s="1"/>
      <c r="AMO250" s="1"/>
    </row>
    <row r="251" spans="1:1029" s="12" customFormat="1" x14ac:dyDescent="0.2">
      <c r="A251" s="9" t="str">
        <f>CONCATENATE(B251,"_",C251)</f>
        <v>mtr1a_human_6PS8</v>
      </c>
      <c r="B251" s="9" t="s">
        <v>310</v>
      </c>
      <c r="C251" s="9" t="s">
        <v>1610</v>
      </c>
      <c r="D251" s="9" t="str">
        <f>IFERROR(MID(VLOOKUP($B251,Seqs!$A:$B,2,0),E251,1),"")</f>
        <v>S</v>
      </c>
      <c r="E251" s="9">
        <v>24</v>
      </c>
      <c r="F251" s="9" t="str">
        <f>IFERROR(MID(VLOOKUP($B251,Seqs!$A:$B,2,0),G251,1),"")</f>
        <v>N</v>
      </c>
      <c r="G251" s="9">
        <v>55</v>
      </c>
      <c r="H251" s="9" t="str">
        <f>IFERROR(MID(VLOOKUP($B251,Seqs!$A:$B,2,0),I251,1),"")</f>
        <v>K</v>
      </c>
      <c r="I251" s="109">
        <v>56</v>
      </c>
      <c r="J251" s="9" t="str">
        <f>IFERROR(MID(VLOOKUP($B251,Seqs!$A:$B,2,0),K251,1),"")</f>
        <v>R</v>
      </c>
      <c r="K251" s="109">
        <v>59</v>
      </c>
      <c r="L251" s="9" t="str">
        <f>IFERROR(MID(VLOOKUP($B251,Seqs!$A:$B,2,0),M251,1),"")</f>
        <v>N</v>
      </c>
      <c r="M251" s="9">
        <v>60</v>
      </c>
      <c r="N251" s="9" t="str">
        <f>IFERROR(MID(VLOOKUP($B251,Seqs!$A:$B,2,0),O251,1),"")</f>
        <v>N</v>
      </c>
      <c r="O251" s="9">
        <v>91</v>
      </c>
      <c r="P251" s="9" t="str">
        <f>IFERROR(MID(VLOOKUP($B251,Seqs!$A:$B,2,0),Q251,1),"")</f>
        <v>G</v>
      </c>
      <c r="Q251" s="9">
        <v>92</v>
      </c>
      <c r="R251" s="9" t="str">
        <f>IFERROR(MID(VLOOKUP($B251,Seqs!$A:$B,2,0),S251,1),"")</f>
        <v>L</v>
      </c>
      <c r="S251" s="9">
        <v>95</v>
      </c>
      <c r="T251" s="9" t="str">
        <f>IFERROR(MID(VLOOKUP($B251,Seqs!$A:$B,2,0),U251,1),"")</f>
        <v>G</v>
      </c>
      <c r="U251" s="9">
        <v>96</v>
      </c>
      <c r="V251" s="9" t="str">
        <f>IFERROR(MID(VLOOKUP($B251,Seqs!$A:$B,2,0),W251,1),"")</f>
        <v>Y</v>
      </c>
      <c r="W251" s="9">
        <v>135</v>
      </c>
      <c r="X251" s="9" t="str">
        <f>IFERROR(MID(VLOOKUP($B251,Seqs!$A:$B,2,0),Y251,1),"")</f>
        <v/>
      </c>
      <c r="Y251" s="9" t="s">
        <v>23</v>
      </c>
      <c r="Z251" s="9" t="str">
        <f>IFERROR(MID(VLOOKUP($B251,Seqs!$A:$B,2,0),AA251,1),"")</f>
        <v/>
      </c>
      <c r="AA251" s="9" t="s">
        <v>23</v>
      </c>
      <c r="AB251" s="9" t="str">
        <f>IFERROR(MID(VLOOKUP($B251,Seqs!$A:$B,2,0),AC251,1),"")</f>
        <v>N</v>
      </c>
      <c r="AC251" s="9">
        <v>143</v>
      </c>
      <c r="AD251" s="9" t="str">
        <f>IFERROR(MID(VLOOKUP($B251,Seqs!$A:$B,2,0),AE251,1),"")</f>
        <v>G</v>
      </c>
      <c r="AE251" s="9">
        <v>166</v>
      </c>
      <c r="AF251" s="9" t="str">
        <f>IFERROR(MID(VLOOKUP($B251,Seqs!$A:$B,2,0),AG251,1),"")</f>
        <v>C</v>
      </c>
      <c r="AG251" s="9">
        <v>177</v>
      </c>
      <c r="AH251" s="9" t="str">
        <f>IFERROR(MID(VLOOKUP($B251,Seqs!$A:$B,2,0),AI251,1),"")</f>
        <v>F</v>
      </c>
      <c r="AI251" s="9">
        <v>179</v>
      </c>
      <c r="AJ251" s="9" t="str">
        <f>IFERROR(MID(VLOOKUP($B251,Seqs!$A:$B,2,0),AK251,1),"")</f>
        <v>S</v>
      </c>
      <c r="AK251" s="9">
        <v>184</v>
      </c>
      <c r="AL251" s="9" t="str">
        <f>IFERROR(MID(VLOOKUP($B251,Seqs!$A:$B,2,0),AM251,1),"")</f>
        <v>R</v>
      </c>
      <c r="AM251" s="9">
        <v>218</v>
      </c>
      <c r="AN251" s="9" t="str">
        <f>IFERROR(MID(VLOOKUP($B251,Seqs!$A:$B,2,0),AO251,1),"")</f>
        <v>F</v>
      </c>
      <c r="AO251" s="9">
        <v>234</v>
      </c>
      <c r="AP251" s="9" t="str">
        <f>IFERROR(MID(VLOOKUP($B251,Seqs!$A:$B,2,0),AQ251,1),"")</f>
        <v>S</v>
      </c>
      <c r="AQ251" s="9">
        <v>263</v>
      </c>
      <c r="AR251" s="9" t="str">
        <f>IFERROR(MID(VLOOKUP($B251,Seqs!$A:$B,2,0),AS251,1),"")</f>
        <v>P</v>
      </c>
      <c r="AS251" s="9">
        <v>273</v>
      </c>
      <c r="AT251" s="9" t="str">
        <f>IFERROR(MID(VLOOKUP($B251,Seqs!$A:$B,2,0),AU251,1),"")</f>
        <v>L</v>
      </c>
      <c r="AU251" s="9">
        <v>298</v>
      </c>
      <c r="AV251" s="9" t="str">
        <f>IFERROR(MID(VLOOKUP($B251,Seqs!$A:$B,2,0),AW251,1),"")</f>
        <v>N</v>
      </c>
      <c r="AW251" s="9">
        <v>299</v>
      </c>
      <c r="AX251" s="9" t="str">
        <f>IFERROR(MID(VLOOKUP($B251,Seqs!$A:$B,2,0),AY251,1),"")</f>
        <v>T</v>
      </c>
      <c r="AY251" s="9">
        <v>315</v>
      </c>
      <c r="AZ251" s="110" t="str">
        <f>VLOOKUP(B251,Classification!A:D,2,0)</f>
        <v>A</v>
      </c>
      <c r="BA251" s="98" t="str">
        <f>VLOOKUP(B251,Classification!A:D,4,0)</f>
        <v>Melatonin</v>
      </c>
      <c r="BB251" s="36" t="b">
        <f>AND(E251&lt;G251,OR(G251&lt;I251,I251="-"),OR(I251&lt;K251,I251="-"),OR(K251&lt;M251,K251="-"),M251&lt;O251,OR(O251&lt;Q251,Q251="-"),OR(Q251&lt;S251,Q251="-"),OR(S251&lt;U251,S251="-"),U251&lt;W251,OR(W251&lt;Y251,Y251="-"),OR(Y251&lt;AA251,Y251="-"),OR(AA251&lt;AC251,AA251="-"),AC251&lt;AE251,OR(AE251&lt;AG251,AG251="-"),OR(AG251&lt;AI251,AG251="-"),OR(AI251&lt;AK251,AI251="-"),AK251&lt;AM251,AM251&lt;AO251,AO251&lt;AQ251,AQ251&lt;AS251,AS251&lt;AU251,OR(AU251&lt;AW251,AW251="-"),OR(AW251&lt;AY251,AW251="-"))</f>
        <v>1</v>
      </c>
      <c r="BC251" s="109">
        <f>_xlfn.AGGREGATE(9,6,CH251:CS251)-_xlfn.AGGREGATE(9,6,BV251:CG251)+12</f>
        <v>248</v>
      </c>
      <c r="BD251" s="123" t="s">
        <v>23</v>
      </c>
      <c r="BE251" s="9" t="s">
        <v>1368</v>
      </c>
      <c r="BF251" s="119">
        <v>3.3</v>
      </c>
      <c r="BG251" s="51" t="s">
        <v>1</v>
      </c>
      <c r="BH251" s="51" t="s">
        <v>1</v>
      </c>
      <c r="BJ251" s="111" t="s">
        <v>1281</v>
      </c>
      <c r="BK251" s="112" t="s">
        <v>1281</v>
      </c>
      <c r="BL251" s="112" t="s">
        <v>1281</v>
      </c>
      <c r="BM251" s="112" t="s">
        <v>1281</v>
      </c>
      <c r="BN251" s="112" t="s">
        <v>1281</v>
      </c>
      <c r="BO251" s="112" t="s">
        <v>1281</v>
      </c>
      <c r="BP251" s="112" t="s">
        <v>1281</v>
      </c>
      <c r="BQ251" s="112" t="s">
        <v>1281</v>
      </c>
      <c r="BR251" s="112" t="s">
        <v>1281</v>
      </c>
      <c r="BS251" s="112" t="s">
        <v>1281</v>
      </c>
      <c r="BT251" s="112" t="s">
        <v>1281</v>
      </c>
      <c r="BU251" s="112" t="s">
        <v>1281</v>
      </c>
      <c r="BV251" s="111">
        <f>E251</f>
        <v>24</v>
      </c>
      <c r="BW251" s="113">
        <f>I251</f>
        <v>56</v>
      </c>
      <c r="BX251" s="114">
        <f>M251</f>
        <v>60</v>
      </c>
      <c r="BY251" s="113">
        <f>Q251</f>
        <v>92</v>
      </c>
      <c r="BZ251" s="114">
        <f>U251</f>
        <v>96</v>
      </c>
      <c r="CA251" s="113" t="str">
        <f>Y251</f>
        <v>-</v>
      </c>
      <c r="CB251" s="114">
        <f>AC251</f>
        <v>143</v>
      </c>
      <c r="CC251" s="113">
        <f>AG251</f>
        <v>177</v>
      </c>
      <c r="CD251" s="114">
        <f>AK251</f>
        <v>184</v>
      </c>
      <c r="CE251" s="113">
        <f>AO251</f>
        <v>234</v>
      </c>
      <c r="CF251" s="114">
        <f>AS251</f>
        <v>273</v>
      </c>
      <c r="CG251" s="113">
        <f>AW251</f>
        <v>299</v>
      </c>
      <c r="CH251" s="111">
        <f>G251</f>
        <v>55</v>
      </c>
      <c r="CI251" s="113">
        <f>K251</f>
        <v>59</v>
      </c>
      <c r="CJ251" s="114">
        <f>O251</f>
        <v>91</v>
      </c>
      <c r="CK251" s="114">
        <f>S251</f>
        <v>95</v>
      </c>
      <c r="CL251" s="114">
        <f>W251</f>
        <v>135</v>
      </c>
      <c r="CM251" s="114" t="str">
        <f>AA251</f>
        <v>-</v>
      </c>
      <c r="CN251" s="114">
        <f>AE251</f>
        <v>166</v>
      </c>
      <c r="CO251" s="114">
        <f>AI251</f>
        <v>179</v>
      </c>
      <c r="CP251" s="114">
        <f>AM251</f>
        <v>218</v>
      </c>
      <c r="CQ251" s="114">
        <f>AQ251</f>
        <v>263</v>
      </c>
      <c r="CR251" s="114">
        <f>AU251</f>
        <v>298</v>
      </c>
      <c r="CS251" s="114">
        <f>AY251</f>
        <v>315</v>
      </c>
      <c r="CT251" s="109">
        <f>M251-K251</f>
        <v>1</v>
      </c>
    </row>
    <row r="252" spans="1:1029" x14ac:dyDescent="0.2">
      <c r="A252" s="3" t="str">
        <f>CONCATENATE(B252,"_",C252)</f>
        <v>mtr1b_human__wt</v>
      </c>
      <c r="B252" s="3" t="s">
        <v>311</v>
      </c>
      <c r="C252" s="3" t="s">
        <v>100</v>
      </c>
      <c r="D252" s="3" t="str">
        <f>IFERROR(MID(VLOOKUP($B252,Seqs!$A:$B,2,0),E252,1),"")</f>
        <v>W</v>
      </c>
      <c r="E252" s="3">
        <v>38</v>
      </c>
      <c r="F252" s="3" t="str">
        <f>IFERROR(MID(VLOOKUP($B252,Seqs!$A:$B,2,0),G252,1),"")</f>
        <v>N</v>
      </c>
      <c r="G252" s="3">
        <v>68</v>
      </c>
      <c r="H252" s="3" t="str">
        <f>IFERROR(MID(VLOOKUP($B252,Seqs!$A:$B,2,0),I252,1),"")</f>
        <v>R</v>
      </c>
      <c r="I252" s="23">
        <v>69</v>
      </c>
      <c r="J252" s="3" t="str">
        <f>IFERROR(MID(VLOOKUP($B252,Seqs!$A:$B,2,0),K252,1),"")</f>
        <v>R</v>
      </c>
      <c r="K252" s="23">
        <v>72</v>
      </c>
      <c r="L252" s="3" t="str">
        <f>IFERROR(MID(VLOOKUP($B252,Seqs!$A:$B,2,0),M252,1),"")</f>
        <v>N</v>
      </c>
      <c r="M252" s="3">
        <v>73</v>
      </c>
      <c r="N252" s="3" t="str">
        <f>IFERROR(MID(VLOOKUP($B252,Seqs!$A:$B,2,0),O252,1),"")</f>
        <v>D</v>
      </c>
      <c r="O252" s="3">
        <v>104</v>
      </c>
      <c r="P252" s="3" t="str">
        <f>IFERROR(MID(VLOOKUP($B252,Seqs!$A:$B,2,0),Q252,1),"")</f>
        <v>G</v>
      </c>
      <c r="Q252" s="3">
        <v>105</v>
      </c>
      <c r="R252" s="3" t="str">
        <f>IFERROR(MID(VLOOKUP($B252,Seqs!$A:$B,2,0),S252,1),"")</f>
        <v>L</v>
      </c>
      <c r="S252" s="3">
        <v>108</v>
      </c>
      <c r="T252" s="3" t="str">
        <f>IFERROR(MID(VLOOKUP($B252,Seqs!$A:$B,2,0),U252,1),"")</f>
        <v>G</v>
      </c>
      <c r="U252" s="3">
        <v>109</v>
      </c>
      <c r="V252" s="3" t="str">
        <f>IFERROR(MID(VLOOKUP($B252,Seqs!$A:$B,2,0),W252,1),"")</f>
        <v>H</v>
      </c>
      <c r="W252" s="3">
        <v>144</v>
      </c>
      <c r="X252" s="3" t="str">
        <f>IFERROR(MID(VLOOKUP($B252,Seqs!$A:$B,2,0),Y252,1),"")</f>
        <v>S</v>
      </c>
      <c r="Y252" s="3">
        <v>145</v>
      </c>
      <c r="Z252" s="3" t="str">
        <f>IFERROR(MID(VLOOKUP($B252,Seqs!$A:$B,2,0),AA252,1),"")</f>
        <v>Y</v>
      </c>
      <c r="AA252" s="3">
        <v>152</v>
      </c>
      <c r="AB252" s="3" t="str">
        <f>IFERROR(MID(VLOOKUP($B252,Seqs!$A:$B,2,0),AC252,1),"")</f>
        <v>R</v>
      </c>
      <c r="AC252" s="3">
        <v>153</v>
      </c>
      <c r="AD252" s="3" t="str">
        <f>IFERROR(MID(VLOOKUP($B252,Seqs!$A:$B,2,0),AE252,1),"")</f>
        <v>G</v>
      </c>
      <c r="AE252" s="3">
        <v>179</v>
      </c>
      <c r="AF252" s="3" t="str">
        <f>IFERROR(MID(VLOOKUP($B252,Seqs!$A:$B,2,0),AG252,1),"")</f>
        <v>C</v>
      </c>
      <c r="AG252" s="3">
        <v>190</v>
      </c>
      <c r="AH252" s="3" t="str">
        <f>IFERROR(MID(VLOOKUP($B252,Seqs!$A:$B,2,0),AI252,1),"")</f>
        <v>F</v>
      </c>
      <c r="AI252" s="3">
        <v>192</v>
      </c>
      <c r="AJ252" s="3" t="str">
        <f>IFERROR(MID(VLOOKUP($B252,Seqs!$A:$B,2,0),AK252,1),"")</f>
        <v>S</v>
      </c>
      <c r="AK252" s="3">
        <v>197</v>
      </c>
      <c r="AL252" s="3" t="str">
        <f>IFERROR(MID(VLOOKUP($B252,Seqs!$A:$B,2,0),AM252,1),"")</f>
        <v>A</v>
      </c>
      <c r="AM252" s="3">
        <v>234</v>
      </c>
      <c r="AN252" s="3" t="str">
        <f>IFERROR(MID(VLOOKUP($B252,Seqs!$A:$B,2,0),AO252,1),"")</f>
        <v>L</v>
      </c>
      <c r="AO252" s="3">
        <v>240</v>
      </c>
      <c r="AP252" s="3" t="str">
        <f>IFERROR(MID(VLOOKUP($B252,Seqs!$A:$B,2,0),AQ252,1),"")</f>
        <v>N</v>
      </c>
      <c r="AQ252" s="3">
        <v>277</v>
      </c>
      <c r="AR252" s="3" t="str">
        <f>IFERROR(MID(VLOOKUP($B252,Seqs!$A:$B,2,0),AS252,1),"")</f>
        <v>P</v>
      </c>
      <c r="AS252" s="3">
        <v>286</v>
      </c>
      <c r="AT252" s="3" t="str">
        <f>IFERROR(MID(VLOOKUP($B252,Seqs!$A:$B,2,0),AU252,1),"")</f>
        <v>L</v>
      </c>
      <c r="AU252" s="3">
        <v>311</v>
      </c>
      <c r="AV252" s="3" t="str">
        <f>IFERROR(MID(VLOOKUP($B252,Seqs!$A:$B,2,0),AW252,1),"")</f>
        <v>N</v>
      </c>
      <c r="AW252" s="3">
        <v>312</v>
      </c>
      <c r="AX252" s="3" t="str">
        <f>IFERROR(MID(VLOOKUP($B252,Seqs!$A:$B,2,0),AY252,1),"")</f>
        <v>N</v>
      </c>
      <c r="AY252" s="3">
        <v>328</v>
      </c>
      <c r="AZ252" s="77" t="str">
        <f>VLOOKUP(B252,Classification!A:D,2,0)</f>
        <v>A</v>
      </c>
      <c r="BA252" s="94" t="str">
        <f>VLOOKUP(B252,Classification!A:D,4,0)</f>
        <v>Melatonin</v>
      </c>
      <c r="BB252" s="27" t="b">
        <f t="shared" ref="BB252:BB253" si="1082">AND(E252&lt;G252,OR(G252&lt;I252,I252="-"),OR(I252&lt;K252,I252="-"),OR(K252&lt;M252,K252="-"),M252&lt;O252,OR(O252&lt;Q252,Q252="-"),OR(Q252&lt;S252,Q252="-"),OR(S252&lt;U252,S252="-"),U252&lt;W252,OR(W252&lt;Y252,Y252="-"),OR(Y252&lt;AA252,Y252="-"),OR(AA252&lt;AC252,AA252="-"),AC252&lt;AE252,OR(AE252&lt;AG252,AG252="-"),OR(AG252&lt;AI252,AG252="-"),OR(AI252&lt;AK252,AI252="-"),AK252&lt;AM252,AM252&lt;AO252,AO252&lt;AQ252,AQ252&lt;AS252,AS252&lt;AU252,OR(AU252&lt;AW252,AW252="-"),OR(AW252&lt;AY252,AW252="-"))</f>
        <v>1</v>
      </c>
      <c r="BC252" s="23">
        <f t="shared" ref="BC252:BC253" si="1083">_xlfn.AGGREGATE(9,6,CH252:CS252)-_xlfn.AGGREGATE(9,6,BV252:CG252)+12</f>
        <v>264</v>
      </c>
      <c r="BD252" s="5" t="s">
        <v>23</v>
      </c>
      <c r="BE252" s="3" t="s">
        <v>23</v>
      </c>
      <c r="BF252" s="118" t="s">
        <v>23</v>
      </c>
      <c r="BI252" s="1"/>
      <c r="BJ252" s="70" t="s">
        <v>1281</v>
      </c>
      <c r="BK252" s="57" t="s">
        <v>1281</v>
      </c>
      <c r="BL252" s="57" t="s">
        <v>1281</v>
      </c>
      <c r="BM252" s="57" t="s">
        <v>1281</v>
      </c>
      <c r="BN252" s="57" t="s">
        <v>1281</v>
      </c>
      <c r="BO252" s="57" t="s">
        <v>1281</v>
      </c>
      <c r="BP252" s="57" t="s">
        <v>1281</v>
      </c>
      <c r="BQ252" s="57" t="s">
        <v>1281</v>
      </c>
      <c r="BR252" s="57" t="s">
        <v>1281</v>
      </c>
      <c r="BS252" s="57" t="s">
        <v>1281</v>
      </c>
      <c r="BT252" s="57" t="s">
        <v>1281</v>
      </c>
      <c r="BU252" s="57" t="s">
        <v>1281</v>
      </c>
      <c r="BV252" s="70">
        <f>E252</f>
        <v>38</v>
      </c>
      <c r="BW252" s="71">
        <f>I252</f>
        <v>69</v>
      </c>
      <c r="BX252" s="72">
        <f>M252</f>
        <v>73</v>
      </c>
      <c r="BY252" s="71">
        <f>Q252</f>
        <v>105</v>
      </c>
      <c r="BZ252" s="72">
        <f>U252</f>
        <v>109</v>
      </c>
      <c r="CA252" s="71">
        <f>Y252</f>
        <v>145</v>
      </c>
      <c r="CB252" s="72">
        <f>AC252</f>
        <v>153</v>
      </c>
      <c r="CC252" s="71">
        <f>AG252</f>
        <v>190</v>
      </c>
      <c r="CD252" s="72">
        <f>AK252</f>
        <v>197</v>
      </c>
      <c r="CE252" s="71">
        <f>AO252</f>
        <v>240</v>
      </c>
      <c r="CF252" s="72">
        <f>AS252</f>
        <v>286</v>
      </c>
      <c r="CG252" s="71">
        <f>AW252</f>
        <v>312</v>
      </c>
      <c r="CH252" s="70">
        <f>G252</f>
        <v>68</v>
      </c>
      <c r="CI252" s="71">
        <f>K252</f>
        <v>72</v>
      </c>
      <c r="CJ252" s="72">
        <f>O252</f>
        <v>104</v>
      </c>
      <c r="CK252" s="72">
        <f>S252</f>
        <v>108</v>
      </c>
      <c r="CL252" s="72">
        <f>W252</f>
        <v>144</v>
      </c>
      <c r="CM252" s="72">
        <f>AA252</f>
        <v>152</v>
      </c>
      <c r="CN252" s="72">
        <f>AE252</f>
        <v>179</v>
      </c>
      <c r="CO252" s="72">
        <f>AI252</f>
        <v>192</v>
      </c>
      <c r="CP252" s="72">
        <f>AM252</f>
        <v>234</v>
      </c>
      <c r="CQ252" s="72">
        <f>AQ252</f>
        <v>277</v>
      </c>
      <c r="CR252" s="72">
        <f>AU252</f>
        <v>311</v>
      </c>
      <c r="CS252" s="72">
        <f>AY252</f>
        <v>328</v>
      </c>
      <c r="CT252" s="23">
        <f>M252-K252</f>
        <v>1</v>
      </c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H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  <c r="VW252" s="1"/>
      <c r="VX252" s="1"/>
      <c r="VY252" s="1"/>
      <c r="VZ252" s="1"/>
      <c r="WA252" s="1"/>
      <c r="WB252" s="1"/>
      <c r="WC252" s="1"/>
      <c r="WD252" s="1"/>
      <c r="WE252" s="1"/>
      <c r="WF252" s="1"/>
      <c r="WG252" s="1"/>
      <c r="WH252" s="1"/>
      <c r="WI252" s="1"/>
      <c r="WJ252" s="1"/>
      <c r="WK252" s="1"/>
      <c r="WL252" s="1"/>
      <c r="WM252" s="1"/>
      <c r="WN252" s="1"/>
      <c r="WO252" s="1"/>
      <c r="WP252" s="1"/>
      <c r="WQ252" s="1"/>
      <c r="WR252" s="1"/>
      <c r="WS252" s="1"/>
      <c r="WT252" s="1"/>
      <c r="WU252" s="1"/>
      <c r="WV252" s="1"/>
      <c r="WW252" s="1"/>
      <c r="WX252" s="1"/>
      <c r="WY252" s="1"/>
      <c r="WZ252" s="1"/>
      <c r="XA252" s="1"/>
      <c r="XB252" s="1"/>
      <c r="XC252" s="1"/>
      <c r="XD252" s="1"/>
      <c r="XE252" s="1"/>
      <c r="XF252" s="1"/>
      <c r="XG252" s="1"/>
      <c r="XH252" s="1"/>
      <c r="XI252" s="1"/>
      <c r="XJ252" s="1"/>
      <c r="XK252" s="1"/>
      <c r="XL252" s="1"/>
      <c r="XM252" s="1"/>
      <c r="XN252" s="1"/>
      <c r="XO252" s="1"/>
      <c r="XP252" s="1"/>
      <c r="XQ252" s="1"/>
      <c r="XR252" s="1"/>
      <c r="XS252" s="1"/>
      <c r="XT252" s="1"/>
      <c r="XU252" s="1"/>
      <c r="XV252" s="1"/>
      <c r="XW252" s="1"/>
      <c r="XX252" s="1"/>
      <c r="XY252" s="1"/>
      <c r="XZ252" s="1"/>
      <c r="YA252" s="1"/>
      <c r="YB252" s="1"/>
      <c r="YC252" s="1"/>
      <c r="YD252" s="1"/>
      <c r="YE252" s="1"/>
      <c r="YF252" s="1"/>
      <c r="YG252" s="1"/>
      <c r="YH252" s="1"/>
      <c r="YI252" s="1"/>
      <c r="YJ252" s="1"/>
      <c r="YK252" s="1"/>
      <c r="YL252" s="1"/>
      <c r="YM252" s="1"/>
      <c r="YN252" s="1"/>
      <c r="YO252" s="1"/>
      <c r="YP252" s="1"/>
      <c r="YQ252" s="1"/>
      <c r="YR252" s="1"/>
      <c r="YS252" s="1"/>
      <c r="YT252" s="1"/>
      <c r="YU252" s="1"/>
      <c r="YV252" s="1"/>
      <c r="YW252" s="1"/>
      <c r="YX252" s="1"/>
      <c r="YY252" s="1"/>
      <c r="YZ252" s="1"/>
      <c r="ZA252" s="1"/>
      <c r="ZB252" s="1"/>
      <c r="ZC252" s="1"/>
      <c r="ZD252" s="1"/>
      <c r="ZE252" s="1"/>
      <c r="ZF252" s="1"/>
      <c r="ZG252" s="1"/>
      <c r="ZH252" s="1"/>
      <c r="ZI252" s="1"/>
      <c r="ZJ252" s="1"/>
      <c r="ZK252" s="1"/>
      <c r="ZL252" s="1"/>
      <c r="ZM252" s="1"/>
      <c r="ZN252" s="1"/>
      <c r="ZO252" s="1"/>
      <c r="ZP252" s="1"/>
      <c r="ZQ252" s="1"/>
      <c r="ZR252" s="1"/>
      <c r="ZS252" s="1"/>
      <c r="ZT252" s="1"/>
      <c r="ZU252" s="1"/>
      <c r="ZV252" s="1"/>
      <c r="ZW252" s="1"/>
      <c r="ZX252" s="1"/>
      <c r="ZY252" s="1"/>
      <c r="ZZ252" s="1"/>
      <c r="AAA252" s="1"/>
      <c r="AAB252" s="1"/>
      <c r="AAC252" s="1"/>
      <c r="AAD252" s="1"/>
      <c r="AAE252" s="1"/>
      <c r="AAF252" s="1"/>
      <c r="AAG252" s="1"/>
      <c r="AAH252" s="1"/>
      <c r="AAI252" s="1"/>
      <c r="AAJ252" s="1"/>
      <c r="AAK252" s="1"/>
      <c r="AAL252" s="1"/>
      <c r="AAM252" s="1"/>
      <c r="AAN252" s="1"/>
      <c r="AAO252" s="1"/>
      <c r="AAP252" s="1"/>
      <c r="AAQ252" s="1"/>
      <c r="AAR252" s="1"/>
      <c r="AAS252" s="1"/>
      <c r="AAT252" s="1"/>
      <c r="AAU252" s="1"/>
      <c r="AAV252" s="1"/>
      <c r="AAW252" s="1"/>
      <c r="AAX252" s="1"/>
      <c r="AAY252" s="1"/>
      <c r="AAZ252" s="1"/>
      <c r="ABA252" s="1"/>
      <c r="ABB252" s="1"/>
      <c r="ABC252" s="1"/>
      <c r="ABD252" s="1"/>
      <c r="ABE252" s="1"/>
      <c r="ABF252" s="1"/>
      <c r="ABG252" s="1"/>
      <c r="ABH252" s="1"/>
      <c r="ABI252" s="1"/>
      <c r="ABJ252" s="1"/>
      <c r="ABK252" s="1"/>
      <c r="ABL252" s="1"/>
      <c r="ABM252" s="1"/>
      <c r="ABN252" s="1"/>
      <c r="ABO252" s="1"/>
      <c r="ABP252" s="1"/>
      <c r="ABQ252" s="1"/>
      <c r="ABR252" s="1"/>
      <c r="ABS252" s="1"/>
      <c r="ABT252" s="1"/>
      <c r="ABU252" s="1"/>
      <c r="ABV252" s="1"/>
      <c r="ABW252" s="1"/>
      <c r="ABX252" s="1"/>
      <c r="ABY252" s="1"/>
      <c r="ABZ252" s="1"/>
      <c r="ACA252" s="1"/>
      <c r="ACB252" s="1"/>
      <c r="ACC252" s="1"/>
      <c r="ACD252" s="1"/>
      <c r="ACE252" s="1"/>
      <c r="ACF252" s="1"/>
      <c r="ACG252" s="1"/>
      <c r="ACH252" s="1"/>
      <c r="ACI252" s="1"/>
      <c r="ACJ252" s="1"/>
      <c r="ACK252" s="1"/>
      <c r="ACL252" s="1"/>
      <c r="ACM252" s="1"/>
      <c r="ACN252" s="1"/>
      <c r="ACO252" s="1"/>
      <c r="ACP252" s="1"/>
      <c r="ACQ252" s="1"/>
      <c r="ACR252" s="1"/>
      <c r="ACS252" s="1"/>
      <c r="ACT252" s="1"/>
      <c r="ACU252" s="1"/>
      <c r="ACV252" s="1"/>
      <c r="ACW252" s="1"/>
      <c r="ACX252" s="1"/>
      <c r="ACY252" s="1"/>
      <c r="ACZ252" s="1"/>
      <c r="ADA252" s="1"/>
      <c r="ADB252" s="1"/>
      <c r="ADC252" s="1"/>
      <c r="ADD252" s="1"/>
      <c r="ADE252" s="1"/>
      <c r="ADF252" s="1"/>
      <c r="ADG252" s="1"/>
      <c r="ADH252" s="1"/>
      <c r="ADI252" s="1"/>
      <c r="ADJ252" s="1"/>
      <c r="ADK252" s="1"/>
      <c r="ADL252" s="1"/>
      <c r="ADM252" s="1"/>
      <c r="ADN252" s="1"/>
      <c r="ADO252" s="1"/>
      <c r="ADP252" s="1"/>
      <c r="ADQ252" s="1"/>
      <c r="ADR252" s="1"/>
      <c r="ADS252" s="1"/>
      <c r="ADT252" s="1"/>
      <c r="ADU252" s="1"/>
      <c r="ADV252" s="1"/>
      <c r="ADW252" s="1"/>
      <c r="ADX252" s="1"/>
      <c r="ADY252" s="1"/>
      <c r="ADZ252" s="1"/>
      <c r="AEA252" s="1"/>
      <c r="AEB252" s="1"/>
      <c r="AEC252" s="1"/>
      <c r="AED252" s="1"/>
      <c r="AEE252" s="1"/>
      <c r="AEF252" s="1"/>
      <c r="AEG252" s="1"/>
      <c r="AEH252" s="1"/>
      <c r="AEI252" s="1"/>
      <c r="AEJ252" s="1"/>
      <c r="AEK252" s="1"/>
      <c r="AEL252" s="1"/>
      <c r="AEM252" s="1"/>
      <c r="AEN252" s="1"/>
      <c r="AEO252" s="1"/>
      <c r="AEP252" s="1"/>
      <c r="AEQ252" s="1"/>
      <c r="AER252" s="1"/>
      <c r="AES252" s="1"/>
      <c r="AET252" s="1"/>
      <c r="AEU252" s="1"/>
      <c r="AEV252" s="1"/>
      <c r="AEW252" s="1"/>
      <c r="AEX252" s="1"/>
      <c r="AEY252" s="1"/>
      <c r="AEZ252" s="1"/>
      <c r="AFA252" s="1"/>
      <c r="AFB252" s="1"/>
      <c r="AFC252" s="1"/>
      <c r="AFD252" s="1"/>
      <c r="AFE252" s="1"/>
      <c r="AFF252" s="1"/>
      <c r="AFG252" s="1"/>
      <c r="AFH252" s="1"/>
      <c r="AFI252" s="1"/>
      <c r="AFJ252" s="1"/>
      <c r="AFK252" s="1"/>
      <c r="AFL252" s="1"/>
      <c r="AFM252" s="1"/>
      <c r="AFN252" s="1"/>
      <c r="AFO252" s="1"/>
      <c r="AFP252" s="1"/>
      <c r="AFQ252" s="1"/>
      <c r="AFR252" s="1"/>
      <c r="AFS252" s="1"/>
      <c r="AFT252" s="1"/>
      <c r="AFU252" s="1"/>
      <c r="AFV252" s="1"/>
      <c r="AFW252" s="1"/>
      <c r="AFX252" s="1"/>
      <c r="AFY252" s="1"/>
      <c r="AFZ252" s="1"/>
      <c r="AGA252" s="1"/>
      <c r="AGB252" s="1"/>
      <c r="AGC252" s="1"/>
      <c r="AGD252" s="1"/>
      <c r="AGE252" s="1"/>
      <c r="AGF252" s="1"/>
      <c r="AGG252" s="1"/>
      <c r="AGH252" s="1"/>
      <c r="AGI252" s="1"/>
      <c r="AGJ252" s="1"/>
      <c r="AGK252" s="1"/>
      <c r="AGL252" s="1"/>
      <c r="AGM252" s="1"/>
      <c r="AGN252" s="1"/>
      <c r="AGO252" s="1"/>
      <c r="AGP252" s="1"/>
      <c r="AGQ252" s="1"/>
      <c r="AGR252" s="1"/>
      <c r="AGS252" s="1"/>
      <c r="AGT252" s="1"/>
      <c r="AGU252" s="1"/>
      <c r="AGV252" s="1"/>
      <c r="AGW252" s="1"/>
      <c r="AGX252" s="1"/>
      <c r="AGY252" s="1"/>
      <c r="AGZ252" s="1"/>
      <c r="AHA252" s="1"/>
      <c r="AHB252" s="1"/>
      <c r="AHC252" s="1"/>
      <c r="AHD252" s="1"/>
      <c r="AHE252" s="1"/>
      <c r="AHF252" s="1"/>
      <c r="AHG252" s="1"/>
      <c r="AHH252" s="1"/>
      <c r="AHI252" s="1"/>
      <c r="AHJ252" s="1"/>
      <c r="AHK252" s="1"/>
      <c r="AHL252" s="1"/>
      <c r="AHM252" s="1"/>
      <c r="AHN252" s="1"/>
      <c r="AHO252" s="1"/>
      <c r="AHP252" s="1"/>
      <c r="AHQ252" s="1"/>
      <c r="AHR252" s="1"/>
      <c r="AHS252" s="1"/>
      <c r="AHT252" s="1"/>
      <c r="AHU252" s="1"/>
      <c r="AHV252" s="1"/>
      <c r="AHW252" s="1"/>
      <c r="AHX252" s="1"/>
      <c r="AHY252" s="1"/>
      <c r="AHZ252" s="1"/>
      <c r="AIA252" s="1"/>
      <c r="AIB252" s="1"/>
      <c r="AIC252" s="1"/>
      <c r="AID252" s="1"/>
      <c r="AIE252" s="1"/>
      <c r="AIF252" s="1"/>
      <c r="AIG252" s="1"/>
      <c r="AIH252" s="1"/>
      <c r="AII252" s="1"/>
      <c r="AIJ252" s="1"/>
      <c r="AIK252" s="1"/>
      <c r="AIL252" s="1"/>
      <c r="AIM252" s="1"/>
      <c r="AIN252" s="1"/>
      <c r="AIO252" s="1"/>
      <c r="AIP252" s="1"/>
      <c r="AIQ252" s="1"/>
      <c r="AIR252" s="1"/>
      <c r="AIS252" s="1"/>
      <c r="AIT252" s="1"/>
      <c r="AIU252" s="1"/>
      <c r="AIV252" s="1"/>
      <c r="AIW252" s="1"/>
      <c r="AIX252" s="1"/>
      <c r="AIY252" s="1"/>
      <c r="AIZ252" s="1"/>
      <c r="AJA252" s="1"/>
      <c r="AJB252" s="1"/>
      <c r="AJC252" s="1"/>
      <c r="AJD252" s="1"/>
      <c r="AJE252" s="1"/>
      <c r="AJF252" s="1"/>
      <c r="AJG252" s="1"/>
      <c r="AJH252" s="1"/>
      <c r="AJI252" s="1"/>
      <c r="AJJ252" s="1"/>
      <c r="AJK252" s="1"/>
      <c r="AJL252" s="1"/>
      <c r="AJM252" s="1"/>
      <c r="AJN252" s="1"/>
      <c r="AJO252" s="1"/>
      <c r="AJP252" s="1"/>
      <c r="AJQ252" s="1"/>
      <c r="AJR252" s="1"/>
      <c r="AJS252" s="1"/>
      <c r="AJT252" s="1"/>
      <c r="AJU252" s="1"/>
      <c r="AJV252" s="1"/>
      <c r="AJW252" s="1"/>
      <c r="AJX252" s="1"/>
      <c r="AJY252" s="1"/>
      <c r="AJZ252" s="1"/>
      <c r="AKA252" s="1"/>
      <c r="AKB252" s="1"/>
      <c r="AKC252" s="1"/>
      <c r="AKD252" s="1"/>
      <c r="AKE252" s="1"/>
      <c r="AKF252" s="1"/>
      <c r="AKG252" s="1"/>
      <c r="AKH252" s="1"/>
      <c r="AKI252" s="1"/>
      <c r="AKJ252" s="1"/>
      <c r="AKK252" s="1"/>
      <c r="AKL252" s="1"/>
      <c r="AKM252" s="1"/>
      <c r="AKN252" s="1"/>
      <c r="AKO252" s="1"/>
      <c r="AKP252" s="1"/>
      <c r="AKQ252" s="1"/>
      <c r="AKR252" s="1"/>
      <c r="AKS252" s="1"/>
      <c r="AKT252" s="1"/>
      <c r="AKU252" s="1"/>
      <c r="AKV252" s="1"/>
      <c r="AKW252" s="1"/>
      <c r="AKX252" s="1"/>
      <c r="AKY252" s="1"/>
      <c r="AKZ252" s="1"/>
      <c r="ALA252" s="1"/>
      <c r="ALB252" s="1"/>
      <c r="ALC252" s="1"/>
      <c r="ALD252" s="1"/>
      <c r="ALE252" s="1"/>
      <c r="ALF252" s="1"/>
      <c r="ALG252" s="1"/>
      <c r="ALH252" s="1"/>
      <c r="ALI252" s="1"/>
      <c r="ALJ252" s="1"/>
      <c r="ALK252" s="1"/>
      <c r="ALL252" s="1"/>
      <c r="ALM252" s="1"/>
      <c r="ALN252" s="1"/>
      <c r="ALO252" s="1"/>
      <c r="ALP252" s="1"/>
      <c r="ALQ252" s="1"/>
      <c r="ALR252" s="1"/>
      <c r="ALS252" s="1"/>
      <c r="ALT252" s="1"/>
      <c r="ALU252" s="1"/>
      <c r="ALV252" s="1"/>
      <c r="ALW252" s="1"/>
      <c r="ALX252" s="1"/>
      <c r="ALY252" s="1"/>
      <c r="ALZ252" s="1"/>
      <c r="AMA252" s="1"/>
      <c r="AMB252" s="1"/>
      <c r="AMC252" s="1"/>
      <c r="AMD252" s="1"/>
      <c r="AME252" s="1"/>
      <c r="AMF252" s="1"/>
      <c r="AMG252" s="1"/>
      <c r="AMH252" s="1"/>
      <c r="AMI252" s="1"/>
      <c r="AMJ252" s="1"/>
      <c r="AMK252" s="1"/>
      <c r="AML252" s="1"/>
      <c r="AMM252" s="1"/>
      <c r="AMN252" s="1"/>
      <c r="AMO252" s="1"/>
    </row>
    <row r="253" spans="1:1029" x14ac:dyDescent="0.2">
      <c r="A253" s="3" t="str">
        <f>CONCATENATE(B253,"_",C253)</f>
        <v>mtr1b_human_6ME6</v>
      </c>
      <c r="B253" s="3" t="s">
        <v>311</v>
      </c>
      <c r="C253" s="3" t="s">
        <v>1562</v>
      </c>
      <c r="D253" s="3" t="str">
        <f>IFERROR(MID(VLOOKUP($B253,Seqs!$A:$B,2,0),E253,1),"")</f>
        <v>W</v>
      </c>
      <c r="E253" s="3">
        <v>38</v>
      </c>
      <c r="F253" s="3" t="str">
        <f>IFERROR(MID(VLOOKUP($B253,Seqs!$A:$B,2,0),G253,1),"")</f>
        <v>R</v>
      </c>
      <c r="G253" s="3">
        <v>67</v>
      </c>
      <c r="H253" s="3" t="str">
        <f>IFERROR(MID(VLOOKUP($B253,Seqs!$A:$B,2,0),I253,1),"")</f>
        <v>R</v>
      </c>
      <c r="I253" s="23">
        <v>69</v>
      </c>
      <c r="J253" s="3" t="str">
        <f>IFERROR(MID(VLOOKUP($B253,Seqs!$A:$B,2,0),K253,1),"")</f>
        <v>R</v>
      </c>
      <c r="K253" s="23">
        <v>72</v>
      </c>
      <c r="L253" s="3" t="str">
        <f>IFERROR(MID(VLOOKUP($B253,Seqs!$A:$B,2,0),M253,1),"")</f>
        <v>N</v>
      </c>
      <c r="M253" s="3">
        <v>73</v>
      </c>
      <c r="N253" s="3" t="str">
        <f>IFERROR(MID(VLOOKUP($B253,Seqs!$A:$B,2,0),O253,1),"")</f>
        <v>D</v>
      </c>
      <c r="O253" s="3">
        <v>104</v>
      </c>
      <c r="P253" s="3" t="str">
        <f>IFERROR(MID(VLOOKUP($B253,Seqs!$A:$B,2,0),Q253,1),"")</f>
        <v>G</v>
      </c>
      <c r="Q253" s="3">
        <v>105</v>
      </c>
      <c r="R253" s="3" t="str">
        <f>IFERROR(MID(VLOOKUP($B253,Seqs!$A:$B,2,0),S253,1),"")</f>
        <v>L</v>
      </c>
      <c r="S253" s="3">
        <v>108</v>
      </c>
      <c r="T253" s="3" t="str">
        <f>IFERROR(MID(VLOOKUP($B253,Seqs!$A:$B,2,0),U253,1),"")</f>
        <v>E</v>
      </c>
      <c r="U253" s="3">
        <v>110</v>
      </c>
      <c r="V253" s="3" t="str">
        <f>IFERROR(MID(VLOOKUP($B253,Seqs!$A:$B,2,0),W253,1),"")</f>
        <v>H</v>
      </c>
      <c r="W253" s="3">
        <v>144</v>
      </c>
      <c r="X253" s="3" t="str">
        <f>IFERROR(MID(VLOOKUP($B253,Seqs!$A:$B,2,0),Y253,1),"")</f>
        <v>S</v>
      </c>
      <c r="Y253" s="3">
        <v>145</v>
      </c>
      <c r="Z253" s="3" t="str">
        <f>IFERROR(MID(VLOOKUP($B253,Seqs!$A:$B,2,0),AA253,1),"")</f>
        <v>Y</v>
      </c>
      <c r="AA253" s="3">
        <v>152</v>
      </c>
      <c r="AB253" s="3" t="str">
        <f>IFERROR(MID(VLOOKUP($B253,Seqs!$A:$B,2,0),AC253,1),"")</f>
        <v>R</v>
      </c>
      <c r="AC253" s="3">
        <v>153</v>
      </c>
      <c r="AD253" s="3" t="str">
        <f>IFERROR(MID(VLOOKUP($B253,Seqs!$A:$B,2,0),AE253,1),"")</f>
        <v>V</v>
      </c>
      <c r="AE253" s="3">
        <v>178</v>
      </c>
      <c r="AF253" s="3" t="str">
        <f>IFERROR(MID(VLOOKUP($B253,Seqs!$A:$B,2,0),AG253,1),"")</f>
        <v>C</v>
      </c>
      <c r="AG253" s="3">
        <v>190</v>
      </c>
      <c r="AH253" s="3" t="str">
        <f>IFERROR(MID(VLOOKUP($B253,Seqs!$A:$B,2,0),AI253,1),"")</f>
        <v>F</v>
      </c>
      <c r="AI253" s="3">
        <v>192</v>
      </c>
      <c r="AJ253" s="3" t="str">
        <f>IFERROR(MID(VLOOKUP($B253,Seqs!$A:$B,2,0),AK253,1),"")</f>
        <v>S</v>
      </c>
      <c r="AK253" s="3">
        <v>197</v>
      </c>
      <c r="AL253" s="3" t="str">
        <f>IFERROR(MID(VLOOKUP($B253,Seqs!$A:$B,2,0),AM253,1),"")</f>
        <v>R</v>
      </c>
      <c r="AM253" s="3">
        <v>231</v>
      </c>
      <c r="AN253" s="3" t="str">
        <f>IFERROR(MID(VLOOKUP($B253,Seqs!$A:$B,2,0),AO253,1),"")</f>
        <v>F</v>
      </c>
      <c r="AO253" s="3">
        <v>250</v>
      </c>
      <c r="AP253" s="3" t="str">
        <f>IFERROR(MID(VLOOKUP($B253,Seqs!$A:$B,2,0),AQ253,1),"")</f>
        <v>N</v>
      </c>
      <c r="AQ253" s="3">
        <v>277</v>
      </c>
      <c r="AR253" s="3" t="str">
        <f>IFERROR(MID(VLOOKUP($B253,Seqs!$A:$B,2,0),AS253,1),"")</f>
        <v>P</v>
      </c>
      <c r="AS253" s="3">
        <v>286</v>
      </c>
      <c r="AT253" s="3" t="str">
        <f>IFERROR(MID(VLOOKUP($B253,Seqs!$A:$B,2,0),AU253,1),"")</f>
        <v>L</v>
      </c>
      <c r="AU253" s="3">
        <v>311</v>
      </c>
      <c r="AV253" s="3" t="str">
        <f>IFERROR(MID(VLOOKUP($B253,Seqs!$A:$B,2,0),AW253,1),"")</f>
        <v>N</v>
      </c>
      <c r="AW253" s="3">
        <v>312</v>
      </c>
      <c r="AX253" s="3" t="str">
        <f>IFERROR(MID(VLOOKUP($B253,Seqs!$A:$B,2,0),AY253,1),"")</f>
        <v>N</v>
      </c>
      <c r="AY253" s="3">
        <v>328</v>
      </c>
      <c r="AZ253" s="77" t="str">
        <f>VLOOKUP(B253,Classification!A:D,2,0)</f>
        <v>A</v>
      </c>
      <c r="BA253" s="94" t="str">
        <f>VLOOKUP(B253,Classification!A:D,4,0)</f>
        <v>Melatonin</v>
      </c>
      <c r="BB253" s="27" t="b">
        <f t="shared" si="1082"/>
        <v>1</v>
      </c>
      <c r="BC253" s="23">
        <f t="shared" si="1083"/>
        <v>248</v>
      </c>
      <c r="BD253" s="5" t="s">
        <v>23</v>
      </c>
      <c r="BE253" s="3" t="s">
        <v>1368</v>
      </c>
      <c r="BF253" s="118">
        <v>2.8</v>
      </c>
      <c r="BG253" s="49" t="s">
        <v>1275</v>
      </c>
      <c r="BH253" s="49" t="s">
        <v>1275</v>
      </c>
      <c r="BI253" s="1"/>
      <c r="BJ253" s="70" t="s">
        <v>1281</v>
      </c>
      <c r="BK253" s="57" t="s">
        <v>1281</v>
      </c>
      <c r="BL253" s="57" t="s">
        <v>1281</v>
      </c>
      <c r="BM253" s="57" t="s">
        <v>1281</v>
      </c>
      <c r="BN253" s="57" t="s">
        <v>1281</v>
      </c>
      <c r="BO253" s="57" t="s">
        <v>1281</v>
      </c>
      <c r="BP253" s="57" t="s">
        <v>1281</v>
      </c>
      <c r="BQ253" s="57" t="s">
        <v>1281</v>
      </c>
      <c r="BR253" s="57" t="s">
        <v>1281</v>
      </c>
      <c r="BS253" s="57" t="s">
        <v>1281</v>
      </c>
      <c r="BT253" s="57" t="s">
        <v>1281</v>
      </c>
      <c r="BU253" s="57" t="s">
        <v>1281</v>
      </c>
      <c r="BV253" s="70">
        <f>E253</f>
        <v>38</v>
      </c>
      <c r="BW253" s="71">
        <f>I253</f>
        <v>69</v>
      </c>
      <c r="BX253" s="72">
        <f>M253</f>
        <v>73</v>
      </c>
      <c r="BY253" s="71">
        <f>Q253</f>
        <v>105</v>
      </c>
      <c r="BZ253" s="72">
        <f>U253</f>
        <v>110</v>
      </c>
      <c r="CA253" s="71">
        <f>Y253</f>
        <v>145</v>
      </c>
      <c r="CB253" s="72">
        <f>AC253</f>
        <v>153</v>
      </c>
      <c r="CC253" s="71">
        <f>AG253</f>
        <v>190</v>
      </c>
      <c r="CD253" s="72">
        <f>AK253</f>
        <v>197</v>
      </c>
      <c r="CE253" s="71">
        <f>AO253</f>
        <v>250</v>
      </c>
      <c r="CF253" s="72">
        <f>AS253</f>
        <v>286</v>
      </c>
      <c r="CG253" s="71">
        <f>AW253</f>
        <v>312</v>
      </c>
      <c r="CH253" s="70">
        <f>G253</f>
        <v>67</v>
      </c>
      <c r="CI253" s="71">
        <f>K253</f>
        <v>72</v>
      </c>
      <c r="CJ253" s="72">
        <f>O253</f>
        <v>104</v>
      </c>
      <c r="CK253" s="72">
        <f>S253</f>
        <v>108</v>
      </c>
      <c r="CL253" s="72">
        <f>W253</f>
        <v>144</v>
      </c>
      <c r="CM253" s="72">
        <f>AA253</f>
        <v>152</v>
      </c>
      <c r="CN253" s="72">
        <f>AE253</f>
        <v>178</v>
      </c>
      <c r="CO253" s="72">
        <f>AI253</f>
        <v>192</v>
      </c>
      <c r="CP253" s="72">
        <f>AM253</f>
        <v>231</v>
      </c>
      <c r="CQ253" s="72">
        <f>AQ253</f>
        <v>277</v>
      </c>
      <c r="CR253" s="72">
        <f>AU253</f>
        <v>311</v>
      </c>
      <c r="CS253" s="72">
        <f>AY253</f>
        <v>328</v>
      </c>
      <c r="CT253" s="23">
        <f>M253-K253</f>
        <v>1</v>
      </c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"/>
      <c r="WB253" s="1"/>
      <c r="WC253" s="1"/>
      <c r="WD253" s="1"/>
      <c r="WE253" s="1"/>
      <c r="WF253" s="1"/>
      <c r="WG253" s="1"/>
      <c r="WH253" s="1"/>
      <c r="WI253" s="1"/>
      <c r="WJ253" s="1"/>
      <c r="WK253" s="1"/>
      <c r="WL253" s="1"/>
      <c r="WM253" s="1"/>
      <c r="WN253" s="1"/>
      <c r="WO253" s="1"/>
      <c r="WP253" s="1"/>
      <c r="WQ253" s="1"/>
      <c r="WR253" s="1"/>
      <c r="WS253" s="1"/>
      <c r="WT253" s="1"/>
      <c r="WU253" s="1"/>
      <c r="WV253" s="1"/>
      <c r="WW253" s="1"/>
      <c r="WX253" s="1"/>
      <c r="WY253" s="1"/>
      <c r="WZ253" s="1"/>
      <c r="XA253" s="1"/>
      <c r="XB253" s="1"/>
      <c r="XC253" s="1"/>
      <c r="XD253" s="1"/>
      <c r="XE253" s="1"/>
      <c r="XF253" s="1"/>
      <c r="XG253" s="1"/>
      <c r="XH253" s="1"/>
      <c r="XI253" s="1"/>
      <c r="XJ253" s="1"/>
      <c r="XK253" s="1"/>
      <c r="XL253" s="1"/>
      <c r="XM253" s="1"/>
      <c r="XN253" s="1"/>
      <c r="XO253" s="1"/>
      <c r="XP253" s="1"/>
      <c r="XQ253" s="1"/>
      <c r="XR253" s="1"/>
      <c r="XS253" s="1"/>
      <c r="XT253" s="1"/>
      <c r="XU253" s="1"/>
      <c r="XV253" s="1"/>
      <c r="XW253" s="1"/>
      <c r="XX253" s="1"/>
      <c r="XY253" s="1"/>
      <c r="XZ253" s="1"/>
      <c r="YA253" s="1"/>
      <c r="YB253" s="1"/>
      <c r="YC253" s="1"/>
      <c r="YD253" s="1"/>
      <c r="YE253" s="1"/>
      <c r="YF253" s="1"/>
      <c r="YG253" s="1"/>
      <c r="YH253" s="1"/>
      <c r="YI253" s="1"/>
      <c r="YJ253" s="1"/>
      <c r="YK253" s="1"/>
      <c r="YL253" s="1"/>
      <c r="YM253" s="1"/>
      <c r="YN253" s="1"/>
      <c r="YO253" s="1"/>
      <c r="YP253" s="1"/>
      <c r="YQ253" s="1"/>
      <c r="YR253" s="1"/>
      <c r="YS253" s="1"/>
      <c r="YT253" s="1"/>
      <c r="YU253" s="1"/>
      <c r="YV253" s="1"/>
      <c r="YW253" s="1"/>
      <c r="YX253" s="1"/>
      <c r="YY253" s="1"/>
      <c r="YZ253" s="1"/>
      <c r="ZA253" s="1"/>
      <c r="ZB253" s="1"/>
      <c r="ZC253" s="1"/>
      <c r="ZD253" s="1"/>
      <c r="ZE253" s="1"/>
      <c r="ZF253" s="1"/>
      <c r="ZG253" s="1"/>
      <c r="ZH253" s="1"/>
      <c r="ZI253" s="1"/>
      <c r="ZJ253" s="1"/>
      <c r="ZK253" s="1"/>
      <c r="ZL253" s="1"/>
      <c r="ZM253" s="1"/>
      <c r="ZN253" s="1"/>
      <c r="ZO253" s="1"/>
      <c r="ZP253" s="1"/>
      <c r="ZQ253" s="1"/>
      <c r="ZR253" s="1"/>
      <c r="ZS253" s="1"/>
      <c r="ZT253" s="1"/>
      <c r="ZU253" s="1"/>
      <c r="ZV253" s="1"/>
      <c r="ZW253" s="1"/>
      <c r="ZX253" s="1"/>
      <c r="ZY253" s="1"/>
      <c r="ZZ253" s="1"/>
      <c r="AAA253" s="1"/>
      <c r="AAB253" s="1"/>
      <c r="AAC253" s="1"/>
      <c r="AAD253" s="1"/>
      <c r="AAE253" s="1"/>
      <c r="AAF253" s="1"/>
      <c r="AAG253" s="1"/>
      <c r="AAH253" s="1"/>
      <c r="AAI253" s="1"/>
      <c r="AAJ253" s="1"/>
      <c r="AAK253" s="1"/>
      <c r="AAL253" s="1"/>
      <c r="AAM253" s="1"/>
      <c r="AAN253" s="1"/>
      <c r="AAO253" s="1"/>
      <c r="AAP253" s="1"/>
      <c r="AAQ253" s="1"/>
      <c r="AAR253" s="1"/>
      <c r="AAS253" s="1"/>
      <c r="AAT253" s="1"/>
      <c r="AAU253" s="1"/>
      <c r="AAV253" s="1"/>
      <c r="AAW253" s="1"/>
      <c r="AAX253" s="1"/>
      <c r="AAY253" s="1"/>
      <c r="AAZ253" s="1"/>
      <c r="ABA253" s="1"/>
      <c r="ABB253" s="1"/>
      <c r="ABC253" s="1"/>
      <c r="ABD253" s="1"/>
      <c r="ABE253" s="1"/>
      <c r="ABF253" s="1"/>
      <c r="ABG253" s="1"/>
      <c r="ABH253" s="1"/>
      <c r="ABI253" s="1"/>
      <c r="ABJ253" s="1"/>
      <c r="ABK253" s="1"/>
      <c r="ABL253" s="1"/>
      <c r="ABM253" s="1"/>
      <c r="ABN253" s="1"/>
      <c r="ABO253" s="1"/>
      <c r="ABP253" s="1"/>
      <c r="ABQ253" s="1"/>
      <c r="ABR253" s="1"/>
      <c r="ABS253" s="1"/>
      <c r="ABT253" s="1"/>
      <c r="ABU253" s="1"/>
      <c r="ABV253" s="1"/>
      <c r="ABW253" s="1"/>
      <c r="ABX253" s="1"/>
      <c r="ABY253" s="1"/>
      <c r="ABZ253" s="1"/>
      <c r="ACA253" s="1"/>
      <c r="ACB253" s="1"/>
      <c r="ACC253" s="1"/>
      <c r="ACD253" s="1"/>
      <c r="ACE253" s="1"/>
      <c r="ACF253" s="1"/>
      <c r="ACG253" s="1"/>
      <c r="ACH253" s="1"/>
      <c r="ACI253" s="1"/>
      <c r="ACJ253" s="1"/>
      <c r="ACK253" s="1"/>
      <c r="ACL253" s="1"/>
      <c r="ACM253" s="1"/>
      <c r="ACN253" s="1"/>
      <c r="ACO253" s="1"/>
      <c r="ACP253" s="1"/>
      <c r="ACQ253" s="1"/>
      <c r="ACR253" s="1"/>
      <c r="ACS253" s="1"/>
      <c r="ACT253" s="1"/>
      <c r="ACU253" s="1"/>
      <c r="ACV253" s="1"/>
      <c r="ACW253" s="1"/>
      <c r="ACX253" s="1"/>
      <c r="ACY253" s="1"/>
      <c r="ACZ253" s="1"/>
      <c r="ADA253" s="1"/>
      <c r="ADB253" s="1"/>
      <c r="ADC253" s="1"/>
      <c r="ADD253" s="1"/>
      <c r="ADE253" s="1"/>
      <c r="ADF253" s="1"/>
      <c r="ADG253" s="1"/>
      <c r="ADH253" s="1"/>
      <c r="ADI253" s="1"/>
      <c r="ADJ253" s="1"/>
      <c r="ADK253" s="1"/>
      <c r="ADL253" s="1"/>
      <c r="ADM253" s="1"/>
      <c r="ADN253" s="1"/>
      <c r="ADO253" s="1"/>
      <c r="ADP253" s="1"/>
      <c r="ADQ253" s="1"/>
      <c r="ADR253" s="1"/>
      <c r="ADS253" s="1"/>
      <c r="ADT253" s="1"/>
      <c r="ADU253" s="1"/>
      <c r="ADV253" s="1"/>
      <c r="ADW253" s="1"/>
      <c r="ADX253" s="1"/>
      <c r="ADY253" s="1"/>
      <c r="ADZ253" s="1"/>
      <c r="AEA253" s="1"/>
      <c r="AEB253" s="1"/>
      <c r="AEC253" s="1"/>
      <c r="AED253" s="1"/>
      <c r="AEE253" s="1"/>
      <c r="AEF253" s="1"/>
      <c r="AEG253" s="1"/>
      <c r="AEH253" s="1"/>
      <c r="AEI253" s="1"/>
      <c r="AEJ253" s="1"/>
      <c r="AEK253" s="1"/>
      <c r="AEL253" s="1"/>
      <c r="AEM253" s="1"/>
      <c r="AEN253" s="1"/>
      <c r="AEO253" s="1"/>
      <c r="AEP253" s="1"/>
      <c r="AEQ253" s="1"/>
      <c r="AER253" s="1"/>
      <c r="AES253" s="1"/>
      <c r="AET253" s="1"/>
      <c r="AEU253" s="1"/>
      <c r="AEV253" s="1"/>
      <c r="AEW253" s="1"/>
      <c r="AEX253" s="1"/>
      <c r="AEY253" s="1"/>
      <c r="AEZ253" s="1"/>
      <c r="AFA253" s="1"/>
      <c r="AFB253" s="1"/>
      <c r="AFC253" s="1"/>
      <c r="AFD253" s="1"/>
      <c r="AFE253" s="1"/>
      <c r="AFF253" s="1"/>
      <c r="AFG253" s="1"/>
      <c r="AFH253" s="1"/>
      <c r="AFI253" s="1"/>
      <c r="AFJ253" s="1"/>
      <c r="AFK253" s="1"/>
      <c r="AFL253" s="1"/>
      <c r="AFM253" s="1"/>
      <c r="AFN253" s="1"/>
      <c r="AFO253" s="1"/>
      <c r="AFP253" s="1"/>
      <c r="AFQ253" s="1"/>
      <c r="AFR253" s="1"/>
      <c r="AFS253" s="1"/>
      <c r="AFT253" s="1"/>
      <c r="AFU253" s="1"/>
      <c r="AFV253" s="1"/>
      <c r="AFW253" s="1"/>
      <c r="AFX253" s="1"/>
      <c r="AFY253" s="1"/>
      <c r="AFZ253" s="1"/>
      <c r="AGA253" s="1"/>
      <c r="AGB253" s="1"/>
      <c r="AGC253" s="1"/>
      <c r="AGD253" s="1"/>
      <c r="AGE253" s="1"/>
      <c r="AGF253" s="1"/>
      <c r="AGG253" s="1"/>
      <c r="AGH253" s="1"/>
      <c r="AGI253" s="1"/>
      <c r="AGJ253" s="1"/>
      <c r="AGK253" s="1"/>
      <c r="AGL253" s="1"/>
      <c r="AGM253" s="1"/>
      <c r="AGN253" s="1"/>
      <c r="AGO253" s="1"/>
      <c r="AGP253" s="1"/>
      <c r="AGQ253" s="1"/>
      <c r="AGR253" s="1"/>
      <c r="AGS253" s="1"/>
      <c r="AGT253" s="1"/>
      <c r="AGU253" s="1"/>
      <c r="AGV253" s="1"/>
      <c r="AGW253" s="1"/>
      <c r="AGX253" s="1"/>
      <c r="AGY253" s="1"/>
      <c r="AGZ253" s="1"/>
      <c r="AHA253" s="1"/>
      <c r="AHB253" s="1"/>
      <c r="AHC253" s="1"/>
      <c r="AHD253" s="1"/>
      <c r="AHE253" s="1"/>
      <c r="AHF253" s="1"/>
      <c r="AHG253" s="1"/>
      <c r="AHH253" s="1"/>
      <c r="AHI253" s="1"/>
      <c r="AHJ253" s="1"/>
      <c r="AHK253" s="1"/>
      <c r="AHL253" s="1"/>
      <c r="AHM253" s="1"/>
      <c r="AHN253" s="1"/>
      <c r="AHO253" s="1"/>
      <c r="AHP253" s="1"/>
      <c r="AHQ253" s="1"/>
      <c r="AHR253" s="1"/>
      <c r="AHS253" s="1"/>
      <c r="AHT253" s="1"/>
      <c r="AHU253" s="1"/>
      <c r="AHV253" s="1"/>
      <c r="AHW253" s="1"/>
      <c r="AHX253" s="1"/>
      <c r="AHY253" s="1"/>
      <c r="AHZ253" s="1"/>
      <c r="AIA253" s="1"/>
      <c r="AIB253" s="1"/>
      <c r="AIC253" s="1"/>
      <c r="AID253" s="1"/>
      <c r="AIE253" s="1"/>
      <c r="AIF253" s="1"/>
      <c r="AIG253" s="1"/>
      <c r="AIH253" s="1"/>
      <c r="AII253" s="1"/>
      <c r="AIJ253" s="1"/>
      <c r="AIK253" s="1"/>
      <c r="AIL253" s="1"/>
      <c r="AIM253" s="1"/>
      <c r="AIN253" s="1"/>
      <c r="AIO253" s="1"/>
      <c r="AIP253" s="1"/>
      <c r="AIQ253" s="1"/>
      <c r="AIR253" s="1"/>
      <c r="AIS253" s="1"/>
      <c r="AIT253" s="1"/>
      <c r="AIU253" s="1"/>
      <c r="AIV253" s="1"/>
      <c r="AIW253" s="1"/>
      <c r="AIX253" s="1"/>
      <c r="AIY253" s="1"/>
      <c r="AIZ253" s="1"/>
      <c r="AJA253" s="1"/>
      <c r="AJB253" s="1"/>
      <c r="AJC253" s="1"/>
      <c r="AJD253" s="1"/>
      <c r="AJE253" s="1"/>
      <c r="AJF253" s="1"/>
      <c r="AJG253" s="1"/>
      <c r="AJH253" s="1"/>
      <c r="AJI253" s="1"/>
      <c r="AJJ253" s="1"/>
      <c r="AJK253" s="1"/>
      <c r="AJL253" s="1"/>
      <c r="AJM253" s="1"/>
      <c r="AJN253" s="1"/>
      <c r="AJO253" s="1"/>
      <c r="AJP253" s="1"/>
      <c r="AJQ253" s="1"/>
      <c r="AJR253" s="1"/>
      <c r="AJS253" s="1"/>
      <c r="AJT253" s="1"/>
      <c r="AJU253" s="1"/>
      <c r="AJV253" s="1"/>
      <c r="AJW253" s="1"/>
      <c r="AJX253" s="1"/>
      <c r="AJY253" s="1"/>
      <c r="AJZ253" s="1"/>
      <c r="AKA253" s="1"/>
      <c r="AKB253" s="1"/>
      <c r="AKC253" s="1"/>
      <c r="AKD253" s="1"/>
      <c r="AKE253" s="1"/>
      <c r="AKF253" s="1"/>
      <c r="AKG253" s="1"/>
      <c r="AKH253" s="1"/>
      <c r="AKI253" s="1"/>
      <c r="AKJ253" s="1"/>
      <c r="AKK253" s="1"/>
      <c r="AKL253" s="1"/>
      <c r="AKM253" s="1"/>
      <c r="AKN253" s="1"/>
      <c r="AKO253" s="1"/>
      <c r="AKP253" s="1"/>
      <c r="AKQ253" s="1"/>
      <c r="AKR253" s="1"/>
      <c r="AKS253" s="1"/>
      <c r="AKT253" s="1"/>
      <c r="AKU253" s="1"/>
      <c r="AKV253" s="1"/>
      <c r="AKW253" s="1"/>
      <c r="AKX253" s="1"/>
      <c r="AKY253" s="1"/>
      <c r="AKZ253" s="1"/>
      <c r="ALA253" s="1"/>
      <c r="ALB253" s="1"/>
      <c r="ALC253" s="1"/>
      <c r="ALD253" s="1"/>
      <c r="ALE253" s="1"/>
      <c r="ALF253" s="1"/>
      <c r="ALG253" s="1"/>
      <c r="ALH253" s="1"/>
      <c r="ALI253" s="1"/>
      <c r="ALJ253" s="1"/>
      <c r="ALK253" s="1"/>
      <c r="ALL253" s="1"/>
      <c r="ALM253" s="1"/>
      <c r="ALN253" s="1"/>
      <c r="ALO253" s="1"/>
      <c r="ALP253" s="1"/>
      <c r="ALQ253" s="1"/>
      <c r="ALR253" s="1"/>
      <c r="ALS253" s="1"/>
      <c r="ALT253" s="1"/>
      <c r="ALU253" s="1"/>
      <c r="ALV253" s="1"/>
      <c r="ALW253" s="1"/>
      <c r="ALX253" s="1"/>
      <c r="ALY253" s="1"/>
      <c r="ALZ253" s="1"/>
      <c r="AMA253" s="1"/>
      <c r="AMB253" s="1"/>
      <c r="AMC253" s="1"/>
      <c r="AMD253" s="1"/>
      <c r="AME253" s="1"/>
      <c r="AMF253" s="1"/>
      <c r="AMG253" s="1"/>
      <c r="AMH253" s="1"/>
      <c r="AMI253" s="1"/>
      <c r="AMJ253" s="1"/>
      <c r="AMK253" s="1"/>
      <c r="AML253" s="1"/>
      <c r="AMM253" s="1"/>
      <c r="AMN253" s="1"/>
      <c r="AMO253" s="1"/>
    </row>
    <row r="254" spans="1:1029" x14ac:dyDescent="0.2">
      <c r="A254" s="3" t="str">
        <f>CONCATENATE(B254,"_",C254)</f>
        <v>mtr1b_human_6ME7</v>
      </c>
      <c r="B254" s="3" t="s">
        <v>311</v>
      </c>
      <c r="C254" s="3" t="s">
        <v>1563</v>
      </c>
      <c r="D254" s="3" t="str">
        <f>IFERROR(MID(VLOOKUP($B254,Seqs!$A:$B,2,0),E254,1),"")</f>
        <v>W</v>
      </c>
      <c r="E254" s="3">
        <v>38</v>
      </c>
      <c r="F254" s="3" t="str">
        <f>IFERROR(MID(VLOOKUP($B254,Seqs!$A:$B,2,0),G254,1),"")</f>
        <v>N</v>
      </c>
      <c r="G254" s="3">
        <v>68</v>
      </c>
      <c r="H254" s="3" t="str">
        <f>IFERROR(MID(VLOOKUP($B254,Seqs!$A:$B,2,0),I254,1),"")</f>
        <v>R</v>
      </c>
      <c r="I254" s="23">
        <v>69</v>
      </c>
      <c r="J254" s="3" t="str">
        <f>IFERROR(MID(VLOOKUP($B254,Seqs!$A:$B,2,0),K254,1),"")</f>
        <v>R</v>
      </c>
      <c r="K254" s="23">
        <v>72</v>
      </c>
      <c r="L254" s="3" t="str">
        <f>IFERROR(MID(VLOOKUP($B254,Seqs!$A:$B,2,0),M254,1),"")</f>
        <v>G</v>
      </c>
      <c r="M254" s="3">
        <v>75</v>
      </c>
      <c r="N254" s="3" t="str">
        <f>IFERROR(MID(VLOOKUP($B254,Seqs!$A:$B,2,0),O254,1),"")</f>
        <v>D</v>
      </c>
      <c r="O254" s="3">
        <v>104</v>
      </c>
      <c r="P254" s="3" t="str">
        <f>IFERROR(MID(VLOOKUP($B254,Seqs!$A:$B,2,0),Q254,1),"")</f>
        <v>G</v>
      </c>
      <c r="Q254" s="3">
        <v>105</v>
      </c>
      <c r="R254" s="3" t="str">
        <f>IFERROR(MID(VLOOKUP($B254,Seqs!$A:$B,2,0),S254,1),"")</f>
        <v>L</v>
      </c>
      <c r="S254" s="3">
        <v>108</v>
      </c>
      <c r="T254" s="3" t="str">
        <f>IFERROR(MID(VLOOKUP($B254,Seqs!$A:$B,2,0),U254,1),"")</f>
        <v>G</v>
      </c>
      <c r="U254" s="3">
        <v>109</v>
      </c>
      <c r="V254" s="3" t="str">
        <f>IFERROR(MID(VLOOKUP($B254,Seqs!$A:$B,2,0),W254,1),"")</f>
        <v>H</v>
      </c>
      <c r="W254" s="3">
        <v>144</v>
      </c>
      <c r="X254" s="3" t="str">
        <f>IFERROR(MID(VLOOKUP($B254,Seqs!$A:$B,2,0),Y254,1),"")</f>
        <v>S</v>
      </c>
      <c r="Y254" s="3">
        <v>145</v>
      </c>
      <c r="Z254" s="3" t="str">
        <f>IFERROR(MID(VLOOKUP($B254,Seqs!$A:$B,2,0),AA254,1),"")</f>
        <v>Y</v>
      </c>
      <c r="AA254" s="3">
        <v>152</v>
      </c>
      <c r="AB254" s="3" t="str">
        <f>IFERROR(MID(VLOOKUP($B254,Seqs!$A:$B,2,0),AC254,1),"")</f>
        <v>R</v>
      </c>
      <c r="AC254" s="3">
        <v>153</v>
      </c>
      <c r="AD254" s="3" t="str">
        <f>IFERROR(MID(VLOOKUP($B254,Seqs!$A:$B,2,0),AE254,1),"")</f>
        <v>G</v>
      </c>
      <c r="AE254" s="3">
        <v>179</v>
      </c>
      <c r="AF254" s="3" t="str">
        <f>IFERROR(MID(VLOOKUP($B254,Seqs!$A:$B,2,0),AG254,1),"")</f>
        <v>C</v>
      </c>
      <c r="AG254" s="3">
        <v>190</v>
      </c>
      <c r="AH254" s="3" t="str">
        <f>IFERROR(MID(VLOOKUP($B254,Seqs!$A:$B,2,0),AI254,1),"")</f>
        <v>F</v>
      </c>
      <c r="AI254" s="3">
        <v>192</v>
      </c>
      <c r="AJ254" s="3" t="str">
        <f>IFERROR(MID(VLOOKUP($B254,Seqs!$A:$B,2,0),AK254,1),"")</f>
        <v>S</v>
      </c>
      <c r="AK254" s="3">
        <v>197</v>
      </c>
      <c r="AL254" s="3" t="str">
        <f>IFERROR(MID(VLOOKUP($B254,Seqs!$A:$B,2,0),AM254,1),"")</f>
        <v>A</v>
      </c>
      <c r="AM254" s="3">
        <v>230</v>
      </c>
      <c r="AN254" s="3" t="str">
        <f>IFERROR(MID(VLOOKUP($B254,Seqs!$A:$B,2,0),AO254,1),"")</f>
        <v>S</v>
      </c>
      <c r="AO254" s="3">
        <v>249</v>
      </c>
      <c r="AP254" s="3" t="str">
        <f>IFERROR(MID(VLOOKUP($B254,Seqs!$A:$B,2,0),AQ254,1),"")</f>
        <v>N</v>
      </c>
      <c r="AQ254" s="3">
        <v>277</v>
      </c>
      <c r="AR254" s="3" t="str">
        <f>IFERROR(MID(VLOOKUP($B254,Seqs!$A:$B,2,0),AS254,1),"")</f>
        <v>P</v>
      </c>
      <c r="AS254" s="3">
        <v>286</v>
      </c>
      <c r="AT254" s="3" t="str">
        <f>IFERROR(MID(VLOOKUP($B254,Seqs!$A:$B,2,0),AU254,1),"")</f>
        <v>L</v>
      </c>
      <c r="AU254" s="3">
        <v>311</v>
      </c>
      <c r="AV254" s="3" t="str">
        <f>IFERROR(MID(VLOOKUP($B254,Seqs!$A:$B,2,0),AW254,1),"")</f>
        <v>N</v>
      </c>
      <c r="AW254" s="3">
        <v>312</v>
      </c>
      <c r="AX254" s="3" t="str">
        <f>IFERROR(MID(VLOOKUP($B254,Seqs!$A:$B,2,0),AY254,1),"")</f>
        <v>N</v>
      </c>
      <c r="AY254" s="3">
        <v>328</v>
      </c>
      <c r="AZ254" s="77" t="str">
        <f>VLOOKUP(B254,Classification!A:D,2,0)</f>
        <v>A</v>
      </c>
      <c r="BA254" s="94" t="str">
        <f>VLOOKUP(B254,Classification!A:D,4,0)</f>
        <v>Melatonin</v>
      </c>
      <c r="BB254" s="27" t="b">
        <f t="shared" ref="BB254" si="1084">AND(E254&lt;G254,OR(G254&lt;I254,I254="-"),OR(I254&lt;K254,I254="-"),OR(K254&lt;M254,K254="-"),M254&lt;O254,OR(O254&lt;Q254,Q254="-"),OR(Q254&lt;S254,Q254="-"),OR(S254&lt;U254,S254="-"),U254&lt;W254,OR(W254&lt;Y254,Y254="-"),OR(Y254&lt;AA254,Y254="-"),OR(AA254&lt;AC254,AA254="-"),AC254&lt;AE254,OR(AE254&lt;AG254,AG254="-"),OR(AG254&lt;AI254,AG254="-"),OR(AI254&lt;AK254,AI254="-"),AK254&lt;AM254,AM254&lt;AO254,AO254&lt;AQ254,AQ254&lt;AS254,AS254&lt;AU254,OR(AU254&lt;AW254,AW254="-"),OR(AW254&lt;AY254,AW254="-"))</f>
        <v>1</v>
      </c>
      <c r="BC254" s="23">
        <f t="shared" ref="BC254" si="1085">_xlfn.AGGREGATE(9,6,CH254:CS254)-_xlfn.AGGREGATE(9,6,BV254:CG254)+12</f>
        <v>249</v>
      </c>
      <c r="BD254" s="5" t="s">
        <v>1370</v>
      </c>
      <c r="BE254" s="3" t="s">
        <v>1368</v>
      </c>
      <c r="BF254" s="118">
        <v>3.2</v>
      </c>
      <c r="BG254" s="49" t="s">
        <v>1</v>
      </c>
      <c r="BH254" s="49" t="s">
        <v>1</v>
      </c>
      <c r="BI254" s="1"/>
      <c r="BJ254" s="70" t="s">
        <v>1281</v>
      </c>
      <c r="BK254" s="57" t="s">
        <v>1281</v>
      </c>
      <c r="BL254" s="57" t="s">
        <v>1281</v>
      </c>
      <c r="BM254" s="57" t="s">
        <v>1281</v>
      </c>
      <c r="BN254" s="57" t="s">
        <v>1281</v>
      </c>
      <c r="BO254" s="57" t="s">
        <v>1281</v>
      </c>
      <c r="BP254" s="57" t="s">
        <v>1281</v>
      </c>
      <c r="BQ254" s="57" t="s">
        <v>1281</v>
      </c>
      <c r="BR254" s="57" t="s">
        <v>1281</v>
      </c>
      <c r="BS254" s="57" t="s">
        <v>1281</v>
      </c>
      <c r="BT254" s="57" t="s">
        <v>1281</v>
      </c>
      <c r="BU254" s="57" t="s">
        <v>1281</v>
      </c>
      <c r="BV254" s="70">
        <f>E254</f>
        <v>38</v>
      </c>
      <c r="BW254" s="71">
        <f>I254</f>
        <v>69</v>
      </c>
      <c r="BX254" s="72">
        <f>M254</f>
        <v>75</v>
      </c>
      <c r="BY254" s="71">
        <f>Q254</f>
        <v>105</v>
      </c>
      <c r="BZ254" s="72">
        <f>U254</f>
        <v>109</v>
      </c>
      <c r="CA254" s="71">
        <f>Y254</f>
        <v>145</v>
      </c>
      <c r="CB254" s="72">
        <f>AC254</f>
        <v>153</v>
      </c>
      <c r="CC254" s="71">
        <f>AG254</f>
        <v>190</v>
      </c>
      <c r="CD254" s="72">
        <f>AK254</f>
        <v>197</v>
      </c>
      <c r="CE254" s="71">
        <f>AO254</f>
        <v>249</v>
      </c>
      <c r="CF254" s="72">
        <f>AS254</f>
        <v>286</v>
      </c>
      <c r="CG254" s="71">
        <f>AW254</f>
        <v>312</v>
      </c>
      <c r="CH254" s="70">
        <f>G254</f>
        <v>68</v>
      </c>
      <c r="CI254" s="71">
        <f>K254</f>
        <v>72</v>
      </c>
      <c r="CJ254" s="72">
        <f>O254</f>
        <v>104</v>
      </c>
      <c r="CK254" s="72">
        <f>S254</f>
        <v>108</v>
      </c>
      <c r="CL254" s="72">
        <f>W254</f>
        <v>144</v>
      </c>
      <c r="CM254" s="72">
        <f>AA254</f>
        <v>152</v>
      </c>
      <c r="CN254" s="72">
        <f>AE254</f>
        <v>179</v>
      </c>
      <c r="CO254" s="72">
        <f>AI254</f>
        <v>192</v>
      </c>
      <c r="CP254" s="72">
        <f>AM254</f>
        <v>230</v>
      </c>
      <c r="CQ254" s="72">
        <f>AQ254</f>
        <v>277</v>
      </c>
      <c r="CR254" s="72">
        <f>AU254</f>
        <v>311</v>
      </c>
      <c r="CS254" s="72">
        <f>AY254</f>
        <v>328</v>
      </c>
      <c r="CT254" s="23">
        <f>M254-K254</f>
        <v>3</v>
      </c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  <c r="WP254" s="1"/>
      <c r="WQ254" s="1"/>
      <c r="WR254" s="1"/>
      <c r="WS254" s="1"/>
      <c r="WT254" s="1"/>
      <c r="WU254" s="1"/>
      <c r="WV254" s="1"/>
      <c r="WW254" s="1"/>
      <c r="WX254" s="1"/>
      <c r="WY254" s="1"/>
      <c r="WZ254" s="1"/>
      <c r="XA254" s="1"/>
      <c r="XB254" s="1"/>
      <c r="XC254" s="1"/>
      <c r="XD254" s="1"/>
      <c r="XE254" s="1"/>
      <c r="XF254" s="1"/>
      <c r="XG254" s="1"/>
      <c r="XH254" s="1"/>
      <c r="XI254" s="1"/>
      <c r="XJ254" s="1"/>
      <c r="XK254" s="1"/>
      <c r="XL254" s="1"/>
      <c r="XM254" s="1"/>
      <c r="XN254" s="1"/>
      <c r="XO254" s="1"/>
      <c r="XP254" s="1"/>
      <c r="XQ254" s="1"/>
      <c r="XR254" s="1"/>
      <c r="XS254" s="1"/>
      <c r="XT254" s="1"/>
      <c r="XU254" s="1"/>
      <c r="XV254" s="1"/>
      <c r="XW254" s="1"/>
      <c r="XX254" s="1"/>
      <c r="XY254" s="1"/>
      <c r="XZ254" s="1"/>
      <c r="YA254" s="1"/>
      <c r="YB254" s="1"/>
      <c r="YC254" s="1"/>
      <c r="YD254" s="1"/>
      <c r="YE254" s="1"/>
      <c r="YF254" s="1"/>
      <c r="YG254" s="1"/>
      <c r="YH254" s="1"/>
      <c r="YI254" s="1"/>
      <c r="YJ254" s="1"/>
      <c r="YK254" s="1"/>
      <c r="YL254" s="1"/>
      <c r="YM254" s="1"/>
      <c r="YN254" s="1"/>
      <c r="YO254" s="1"/>
      <c r="YP254" s="1"/>
      <c r="YQ254" s="1"/>
      <c r="YR254" s="1"/>
      <c r="YS254" s="1"/>
      <c r="YT254" s="1"/>
      <c r="YU254" s="1"/>
      <c r="YV254" s="1"/>
      <c r="YW254" s="1"/>
      <c r="YX254" s="1"/>
      <c r="YY254" s="1"/>
      <c r="YZ254" s="1"/>
      <c r="ZA254" s="1"/>
      <c r="ZB254" s="1"/>
      <c r="ZC254" s="1"/>
      <c r="ZD254" s="1"/>
      <c r="ZE254" s="1"/>
      <c r="ZF254" s="1"/>
      <c r="ZG254" s="1"/>
      <c r="ZH254" s="1"/>
      <c r="ZI254" s="1"/>
      <c r="ZJ254" s="1"/>
      <c r="ZK254" s="1"/>
      <c r="ZL254" s="1"/>
      <c r="ZM254" s="1"/>
      <c r="ZN254" s="1"/>
      <c r="ZO254" s="1"/>
      <c r="ZP254" s="1"/>
      <c r="ZQ254" s="1"/>
      <c r="ZR254" s="1"/>
      <c r="ZS254" s="1"/>
      <c r="ZT254" s="1"/>
      <c r="ZU254" s="1"/>
      <c r="ZV254" s="1"/>
      <c r="ZW254" s="1"/>
      <c r="ZX254" s="1"/>
      <c r="ZY254" s="1"/>
      <c r="ZZ254" s="1"/>
      <c r="AAA254" s="1"/>
      <c r="AAB254" s="1"/>
      <c r="AAC254" s="1"/>
      <c r="AAD254" s="1"/>
      <c r="AAE254" s="1"/>
      <c r="AAF254" s="1"/>
      <c r="AAG254" s="1"/>
      <c r="AAH254" s="1"/>
      <c r="AAI254" s="1"/>
      <c r="AAJ254" s="1"/>
      <c r="AAK254" s="1"/>
      <c r="AAL254" s="1"/>
      <c r="AAM254" s="1"/>
      <c r="AAN254" s="1"/>
      <c r="AAO254" s="1"/>
      <c r="AAP254" s="1"/>
      <c r="AAQ254" s="1"/>
      <c r="AAR254" s="1"/>
      <c r="AAS254" s="1"/>
      <c r="AAT254" s="1"/>
      <c r="AAU254" s="1"/>
      <c r="AAV254" s="1"/>
      <c r="AAW254" s="1"/>
      <c r="AAX254" s="1"/>
      <c r="AAY254" s="1"/>
      <c r="AAZ254" s="1"/>
      <c r="ABA254" s="1"/>
      <c r="ABB254" s="1"/>
      <c r="ABC254" s="1"/>
      <c r="ABD254" s="1"/>
      <c r="ABE254" s="1"/>
      <c r="ABF254" s="1"/>
      <c r="ABG254" s="1"/>
      <c r="ABH254" s="1"/>
      <c r="ABI254" s="1"/>
      <c r="ABJ254" s="1"/>
      <c r="ABK254" s="1"/>
      <c r="ABL254" s="1"/>
      <c r="ABM254" s="1"/>
      <c r="ABN254" s="1"/>
      <c r="ABO254" s="1"/>
      <c r="ABP254" s="1"/>
      <c r="ABQ254" s="1"/>
      <c r="ABR254" s="1"/>
      <c r="ABS254" s="1"/>
      <c r="ABT254" s="1"/>
      <c r="ABU254" s="1"/>
      <c r="ABV254" s="1"/>
      <c r="ABW254" s="1"/>
      <c r="ABX254" s="1"/>
      <c r="ABY254" s="1"/>
      <c r="ABZ254" s="1"/>
      <c r="ACA254" s="1"/>
      <c r="ACB254" s="1"/>
      <c r="ACC254" s="1"/>
      <c r="ACD254" s="1"/>
      <c r="ACE254" s="1"/>
      <c r="ACF254" s="1"/>
      <c r="ACG254" s="1"/>
      <c r="ACH254" s="1"/>
      <c r="ACI254" s="1"/>
      <c r="ACJ254" s="1"/>
      <c r="ACK254" s="1"/>
      <c r="ACL254" s="1"/>
      <c r="ACM254" s="1"/>
      <c r="ACN254" s="1"/>
      <c r="ACO254" s="1"/>
      <c r="ACP254" s="1"/>
      <c r="ACQ254" s="1"/>
      <c r="ACR254" s="1"/>
      <c r="ACS254" s="1"/>
      <c r="ACT254" s="1"/>
      <c r="ACU254" s="1"/>
      <c r="ACV254" s="1"/>
      <c r="ACW254" s="1"/>
      <c r="ACX254" s="1"/>
      <c r="ACY254" s="1"/>
      <c r="ACZ254" s="1"/>
      <c r="ADA254" s="1"/>
      <c r="ADB254" s="1"/>
      <c r="ADC254" s="1"/>
      <c r="ADD254" s="1"/>
      <c r="ADE254" s="1"/>
      <c r="ADF254" s="1"/>
      <c r="ADG254" s="1"/>
      <c r="ADH254" s="1"/>
      <c r="ADI254" s="1"/>
      <c r="ADJ254" s="1"/>
      <c r="ADK254" s="1"/>
      <c r="ADL254" s="1"/>
      <c r="ADM254" s="1"/>
      <c r="ADN254" s="1"/>
      <c r="ADO254" s="1"/>
      <c r="ADP254" s="1"/>
      <c r="ADQ254" s="1"/>
      <c r="ADR254" s="1"/>
      <c r="ADS254" s="1"/>
      <c r="ADT254" s="1"/>
      <c r="ADU254" s="1"/>
      <c r="ADV254" s="1"/>
      <c r="ADW254" s="1"/>
      <c r="ADX254" s="1"/>
      <c r="ADY254" s="1"/>
      <c r="ADZ254" s="1"/>
      <c r="AEA254" s="1"/>
      <c r="AEB254" s="1"/>
      <c r="AEC254" s="1"/>
      <c r="AED254" s="1"/>
      <c r="AEE254" s="1"/>
      <c r="AEF254" s="1"/>
      <c r="AEG254" s="1"/>
      <c r="AEH254" s="1"/>
      <c r="AEI254" s="1"/>
      <c r="AEJ254" s="1"/>
      <c r="AEK254" s="1"/>
      <c r="AEL254" s="1"/>
      <c r="AEM254" s="1"/>
      <c r="AEN254" s="1"/>
      <c r="AEO254" s="1"/>
      <c r="AEP254" s="1"/>
      <c r="AEQ254" s="1"/>
      <c r="AER254" s="1"/>
      <c r="AES254" s="1"/>
      <c r="AET254" s="1"/>
      <c r="AEU254" s="1"/>
      <c r="AEV254" s="1"/>
      <c r="AEW254" s="1"/>
      <c r="AEX254" s="1"/>
      <c r="AEY254" s="1"/>
      <c r="AEZ254" s="1"/>
      <c r="AFA254" s="1"/>
      <c r="AFB254" s="1"/>
      <c r="AFC254" s="1"/>
      <c r="AFD254" s="1"/>
      <c r="AFE254" s="1"/>
      <c r="AFF254" s="1"/>
      <c r="AFG254" s="1"/>
      <c r="AFH254" s="1"/>
      <c r="AFI254" s="1"/>
      <c r="AFJ254" s="1"/>
      <c r="AFK254" s="1"/>
      <c r="AFL254" s="1"/>
      <c r="AFM254" s="1"/>
      <c r="AFN254" s="1"/>
      <c r="AFO254" s="1"/>
      <c r="AFP254" s="1"/>
      <c r="AFQ254" s="1"/>
      <c r="AFR254" s="1"/>
      <c r="AFS254" s="1"/>
      <c r="AFT254" s="1"/>
      <c r="AFU254" s="1"/>
      <c r="AFV254" s="1"/>
      <c r="AFW254" s="1"/>
      <c r="AFX254" s="1"/>
      <c r="AFY254" s="1"/>
      <c r="AFZ254" s="1"/>
      <c r="AGA254" s="1"/>
      <c r="AGB254" s="1"/>
      <c r="AGC254" s="1"/>
      <c r="AGD254" s="1"/>
      <c r="AGE254" s="1"/>
      <c r="AGF254" s="1"/>
      <c r="AGG254" s="1"/>
      <c r="AGH254" s="1"/>
      <c r="AGI254" s="1"/>
      <c r="AGJ254" s="1"/>
      <c r="AGK254" s="1"/>
      <c r="AGL254" s="1"/>
      <c r="AGM254" s="1"/>
      <c r="AGN254" s="1"/>
      <c r="AGO254" s="1"/>
      <c r="AGP254" s="1"/>
      <c r="AGQ254" s="1"/>
      <c r="AGR254" s="1"/>
      <c r="AGS254" s="1"/>
      <c r="AGT254" s="1"/>
      <c r="AGU254" s="1"/>
      <c r="AGV254" s="1"/>
      <c r="AGW254" s="1"/>
      <c r="AGX254" s="1"/>
      <c r="AGY254" s="1"/>
      <c r="AGZ254" s="1"/>
      <c r="AHA254" s="1"/>
      <c r="AHB254" s="1"/>
      <c r="AHC254" s="1"/>
      <c r="AHD254" s="1"/>
      <c r="AHE254" s="1"/>
      <c r="AHF254" s="1"/>
      <c r="AHG254" s="1"/>
      <c r="AHH254" s="1"/>
      <c r="AHI254" s="1"/>
      <c r="AHJ254" s="1"/>
      <c r="AHK254" s="1"/>
      <c r="AHL254" s="1"/>
      <c r="AHM254" s="1"/>
      <c r="AHN254" s="1"/>
      <c r="AHO254" s="1"/>
      <c r="AHP254" s="1"/>
      <c r="AHQ254" s="1"/>
      <c r="AHR254" s="1"/>
      <c r="AHS254" s="1"/>
      <c r="AHT254" s="1"/>
      <c r="AHU254" s="1"/>
      <c r="AHV254" s="1"/>
      <c r="AHW254" s="1"/>
      <c r="AHX254" s="1"/>
      <c r="AHY254" s="1"/>
      <c r="AHZ254" s="1"/>
      <c r="AIA254" s="1"/>
      <c r="AIB254" s="1"/>
      <c r="AIC254" s="1"/>
      <c r="AID254" s="1"/>
      <c r="AIE254" s="1"/>
      <c r="AIF254" s="1"/>
      <c r="AIG254" s="1"/>
      <c r="AIH254" s="1"/>
      <c r="AII254" s="1"/>
      <c r="AIJ254" s="1"/>
      <c r="AIK254" s="1"/>
      <c r="AIL254" s="1"/>
      <c r="AIM254" s="1"/>
      <c r="AIN254" s="1"/>
      <c r="AIO254" s="1"/>
      <c r="AIP254" s="1"/>
      <c r="AIQ254" s="1"/>
      <c r="AIR254" s="1"/>
      <c r="AIS254" s="1"/>
      <c r="AIT254" s="1"/>
      <c r="AIU254" s="1"/>
      <c r="AIV254" s="1"/>
      <c r="AIW254" s="1"/>
      <c r="AIX254" s="1"/>
      <c r="AIY254" s="1"/>
      <c r="AIZ254" s="1"/>
      <c r="AJA254" s="1"/>
      <c r="AJB254" s="1"/>
      <c r="AJC254" s="1"/>
      <c r="AJD254" s="1"/>
      <c r="AJE254" s="1"/>
      <c r="AJF254" s="1"/>
      <c r="AJG254" s="1"/>
      <c r="AJH254" s="1"/>
      <c r="AJI254" s="1"/>
      <c r="AJJ254" s="1"/>
      <c r="AJK254" s="1"/>
      <c r="AJL254" s="1"/>
      <c r="AJM254" s="1"/>
      <c r="AJN254" s="1"/>
      <c r="AJO254" s="1"/>
      <c r="AJP254" s="1"/>
      <c r="AJQ254" s="1"/>
      <c r="AJR254" s="1"/>
      <c r="AJS254" s="1"/>
      <c r="AJT254" s="1"/>
      <c r="AJU254" s="1"/>
      <c r="AJV254" s="1"/>
      <c r="AJW254" s="1"/>
      <c r="AJX254" s="1"/>
      <c r="AJY254" s="1"/>
      <c r="AJZ254" s="1"/>
      <c r="AKA254" s="1"/>
      <c r="AKB254" s="1"/>
      <c r="AKC254" s="1"/>
      <c r="AKD254" s="1"/>
      <c r="AKE254" s="1"/>
      <c r="AKF254" s="1"/>
      <c r="AKG254" s="1"/>
      <c r="AKH254" s="1"/>
      <c r="AKI254" s="1"/>
      <c r="AKJ254" s="1"/>
      <c r="AKK254" s="1"/>
      <c r="AKL254" s="1"/>
      <c r="AKM254" s="1"/>
      <c r="AKN254" s="1"/>
      <c r="AKO254" s="1"/>
      <c r="AKP254" s="1"/>
      <c r="AKQ254" s="1"/>
      <c r="AKR254" s="1"/>
      <c r="AKS254" s="1"/>
      <c r="AKT254" s="1"/>
      <c r="AKU254" s="1"/>
      <c r="AKV254" s="1"/>
      <c r="AKW254" s="1"/>
      <c r="AKX254" s="1"/>
      <c r="AKY254" s="1"/>
      <c r="AKZ254" s="1"/>
      <c r="ALA254" s="1"/>
      <c r="ALB254" s="1"/>
      <c r="ALC254" s="1"/>
      <c r="ALD254" s="1"/>
      <c r="ALE254" s="1"/>
      <c r="ALF254" s="1"/>
      <c r="ALG254" s="1"/>
      <c r="ALH254" s="1"/>
      <c r="ALI254" s="1"/>
      <c r="ALJ254" s="1"/>
      <c r="ALK254" s="1"/>
      <c r="ALL254" s="1"/>
      <c r="ALM254" s="1"/>
      <c r="ALN254" s="1"/>
      <c r="ALO254" s="1"/>
      <c r="ALP254" s="1"/>
      <c r="ALQ254" s="1"/>
      <c r="ALR254" s="1"/>
      <c r="ALS254" s="1"/>
      <c r="ALT254" s="1"/>
      <c r="ALU254" s="1"/>
      <c r="ALV254" s="1"/>
      <c r="ALW254" s="1"/>
      <c r="ALX254" s="1"/>
      <c r="ALY254" s="1"/>
      <c r="ALZ254" s="1"/>
      <c r="AMA254" s="1"/>
      <c r="AMB254" s="1"/>
      <c r="AMC254" s="1"/>
      <c r="AMD254" s="1"/>
      <c r="AME254" s="1"/>
      <c r="AMF254" s="1"/>
      <c r="AMG254" s="1"/>
      <c r="AMH254" s="1"/>
      <c r="AMI254" s="1"/>
      <c r="AMJ254" s="1"/>
      <c r="AMK254" s="1"/>
      <c r="AML254" s="1"/>
      <c r="AMM254" s="1"/>
      <c r="AMN254" s="1"/>
      <c r="AMO254" s="1"/>
    </row>
    <row r="255" spans="1:1029" x14ac:dyDescent="0.2">
      <c r="A255" s="3" t="str">
        <f>CONCATENATE(B255,"_",C255)</f>
        <v>mtr1b_human_6ME8</v>
      </c>
      <c r="B255" s="3" t="s">
        <v>311</v>
      </c>
      <c r="C255" s="3" t="s">
        <v>1564</v>
      </c>
      <c r="D255" s="3" t="str">
        <f>IFERROR(MID(VLOOKUP($B255,Seqs!$A:$B,2,0),E255,1),"")</f>
        <v>W</v>
      </c>
      <c r="E255" s="3">
        <v>38</v>
      </c>
      <c r="F255" s="3" t="str">
        <f>IFERROR(MID(VLOOKUP($B255,Seqs!$A:$B,2,0),G255,1),"")</f>
        <v>R</v>
      </c>
      <c r="G255" s="3">
        <v>67</v>
      </c>
      <c r="H255" s="3" t="str">
        <f>IFERROR(MID(VLOOKUP($B255,Seqs!$A:$B,2,0),I255,1),"")</f>
        <v>R</v>
      </c>
      <c r="I255" s="23">
        <v>69</v>
      </c>
      <c r="J255" s="3" t="str">
        <f>IFERROR(MID(VLOOKUP($B255,Seqs!$A:$B,2,0),K255,1),"")</f>
        <v>R</v>
      </c>
      <c r="K255" s="23">
        <v>72</v>
      </c>
      <c r="L255" s="3" t="str">
        <f>IFERROR(MID(VLOOKUP($B255,Seqs!$A:$B,2,0),M255,1),"")</f>
        <v>N</v>
      </c>
      <c r="M255" s="3">
        <v>73</v>
      </c>
      <c r="N255" s="3" t="str">
        <f>IFERROR(MID(VLOOKUP($B255,Seqs!$A:$B,2,0),O255,1),"")</f>
        <v>D</v>
      </c>
      <c r="O255" s="3">
        <v>104</v>
      </c>
      <c r="P255" s="3" t="str">
        <f>IFERROR(MID(VLOOKUP($B255,Seqs!$A:$B,2,0),Q255,1),"")</f>
        <v>G</v>
      </c>
      <c r="Q255" s="3">
        <v>105</v>
      </c>
      <c r="R255" s="3" t="str">
        <f>IFERROR(MID(VLOOKUP($B255,Seqs!$A:$B,2,0),S255,1),"")</f>
        <v>L</v>
      </c>
      <c r="S255" s="3">
        <v>108</v>
      </c>
      <c r="T255" s="3" t="str">
        <f>IFERROR(MID(VLOOKUP($B255,Seqs!$A:$B,2,0),U255,1),"")</f>
        <v>G</v>
      </c>
      <c r="U255" s="3">
        <v>109</v>
      </c>
      <c r="V255" s="3" t="str">
        <f>IFERROR(MID(VLOOKUP($B255,Seqs!$A:$B,2,0),W255,1),"")</f>
        <v>C</v>
      </c>
      <c r="W255" s="3">
        <v>143</v>
      </c>
      <c r="X255" s="3" t="str">
        <f>IFERROR(MID(VLOOKUP($B255,Seqs!$A:$B,2,0),Y255,1),"")</f>
        <v>S</v>
      </c>
      <c r="Y255" s="3">
        <v>145</v>
      </c>
      <c r="Z255" s="3" t="str">
        <f>IFERROR(MID(VLOOKUP($B255,Seqs!$A:$B,2,0),AA255,1),"")</f>
        <v>Y</v>
      </c>
      <c r="AA255" s="3">
        <v>152</v>
      </c>
      <c r="AB255" s="3" t="str">
        <f>IFERROR(MID(VLOOKUP($B255,Seqs!$A:$B,2,0),AC255,1),"")</f>
        <v>H</v>
      </c>
      <c r="AC255" s="3">
        <v>156</v>
      </c>
      <c r="AD255" s="3" t="str">
        <f>IFERROR(MID(VLOOKUP($B255,Seqs!$A:$B,2,0),AE255,1),"")</f>
        <v>G</v>
      </c>
      <c r="AE255" s="3">
        <v>179</v>
      </c>
      <c r="AF255" s="3" t="str">
        <f>IFERROR(MID(VLOOKUP($B255,Seqs!$A:$B,2,0),AG255,1),"")</f>
        <v>C</v>
      </c>
      <c r="AG255" s="3">
        <v>190</v>
      </c>
      <c r="AH255" s="3" t="str">
        <f>IFERROR(MID(VLOOKUP($B255,Seqs!$A:$B,2,0),AI255,1),"")</f>
        <v>F</v>
      </c>
      <c r="AI255" s="3">
        <v>192</v>
      </c>
      <c r="AJ255" s="3" t="str">
        <f>IFERROR(MID(VLOOKUP($B255,Seqs!$A:$B,2,0),AK255,1),"")</f>
        <v>S</v>
      </c>
      <c r="AK255" s="3">
        <v>197</v>
      </c>
      <c r="AL255" s="3" t="str">
        <f>IFERROR(MID(VLOOKUP($B255,Seqs!$A:$B,2,0),AM255,1),"")</f>
        <v>A</v>
      </c>
      <c r="AM255" s="3">
        <v>230</v>
      </c>
      <c r="AN255" s="3" t="str">
        <f>IFERROR(MID(VLOOKUP($B255,Seqs!$A:$B,2,0),AO255,1),"")</f>
        <v>F</v>
      </c>
      <c r="AO255" s="3">
        <v>250</v>
      </c>
      <c r="AP255" s="3" t="str">
        <f>IFERROR(MID(VLOOKUP($B255,Seqs!$A:$B,2,0),AQ255,1),"")</f>
        <v>N</v>
      </c>
      <c r="AQ255" s="3">
        <v>277</v>
      </c>
      <c r="AR255" s="3" t="str">
        <f>IFERROR(MID(VLOOKUP($B255,Seqs!$A:$B,2,0),AS255,1),"")</f>
        <v>P</v>
      </c>
      <c r="AS255" s="3">
        <v>286</v>
      </c>
      <c r="AT255" s="3" t="str">
        <f>IFERROR(MID(VLOOKUP($B255,Seqs!$A:$B,2,0),AU255,1),"")</f>
        <v>L</v>
      </c>
      <c r="AU255" s="3">
        <v>311</v>
      </c>
      <c r="AV255" s="3" t="str">
        <f>IFERROR(MID(VLOOKUP($B255,Seqs!$A:$B,2,0),AW255,1),"")</f>
        <v>N</v>
      </c>
      <c r="AW255" s="3">
        <v>312</v>
      </c>
      <c r="AX255" s="3" t="str">
        <f>IFERROR(MID(VLOOKUP($B255,Seqs!$A:$B,2,0),AY255,1),"")</f>
        <v>N</v>
      </c>
      <c r="AY255" s="3">
        <v>328</v>
      </c>
      <c r="AZ255" s="77" t="str">
        <f>VLOOKUP(B255,Classification!A:D,2,0)</f>
        <v>A</v>
      </c>
      <c r="BA255" s="94" t="str">
        <f>VLOOKUP(B255,Classification!A:D,4,0)</f>
        <v>Melatonin</v>
      </c>
      <c r="BB255" s="27" t="b">
        <f t="shared" ref="BB255" si="1086">AND(E255&lt;G255,OR(G255&lt;I255,I255="-"),OR(I255&lt;K255,I255="-"),OR(K255&lt;M255,K255="-"),M255&lt;O255,OR(O255&lt;Q255,Q255="-"),OR(Q255&lt;S255,Q255="-"),OR(S255&lt;U255,S255="-"),U255&lt;W255,OR(W255&lt;Y255,Y255="-"),OR(Y255&lt;AA255,Y255="-"),OR(AA255&lt;AC255,AA255="-"),AC255&lt;AE255,OR(AE255&lt;AG255,AG255="-"),OR(AG255&lt;AI255,AG255="-"),OR(AI255&lt;AK255,AI255="-"),AK255&lt;AM255,AM255&lt;AO255,AO255&lt;AQ255,AQ255&lt;AS255,AS255&lt;AU255,OR(AU255&lt;AW255,AW255="-"),OR(AW255&lt;AY255,AW255="-"))</f>
        <v>1</v>
      </c>
      <c r="BC255" s="23">
        <f t="shared" ref="BC255" si="1087">_xlfn.AGGREGATE(9,6,CH255:CS255)-_xlfn.AGGREGATE(9,6,BV255:CG255)+12</f>
        <v>245</v>
      </c>
      <c r="BD255" s="5" t="s">
        <v>23</v>
      </c>
      <c r="BE255" s="3" t="s">
        <v>1368</v>
      </c>
      <c r="BF255" s="118">
        <v>3.1</v>
      </c>
      <c r="BG255" s="49" t="s">
        <v>1275</v>
      </c>
      <c r="BH255" s="49" t="s">
        <v>1275</v>
      </c>
      <c r="BI255" s="1"/>
      <c r="BJ255" s="70" t="s">
        <v>1281</v>
      </c>
      <c r="BK255" s="57" t="s">
        <v>1281</v>
      </c>
      <c r="BL255" s="57" t="s">
        <v>1281</v>
      </c>
      <c r="BM255" s="57" t="s">
        <v>1281</v>
      </c>
      <c r="BN255" s="57" t="s">
        <v>1281</v>
      </c>
      <c r="BO255" s="57" t="s">
        <v>1281</v>
      </c>
      <c r="BP255" s="57" t="s">
        <v>1281</v>
      </c>
      <c r="BQ255" s="57" t="s">
        <v>1281</v>
      </c>
      <c r="BR255" s="57" t="s">
        <v>1281</v>
      </c>
      <c r="BS255" s="57" t="s">
        <v>1281</v>
      </c>
      <c r="BT255" s="57" t="s">
        <v>1281</v>
      </c>
      <c r="BU255" s="57" t="s">
        <v>1281</v>
      </c>
      <c r="BV255" s="70">
        <f>E255</f>
        <v>38</v>
      </c>
      <c r="BW255" s="71">
        <f>I255</f>
        <v>69</v>
      </c>
      <c r="BX255" s="72">
        <f>M255</f>
        <v>73</v>
      </c>
      <c r="BY255" s="71">
        <f>Q255</f>
        <v>105</v>
      </c>
      <c r="BZ255" s="72">
        <f>U255</f>
        <v>109</v>
      </c>
      <c r="CA255" s="71">
        <f>Y255</f>
        <v>145</v>
      </c>
      <c r="CB255" s="72">
        <f>AC255</f>
        <v>156</v>
      </c>
      <c r="CC255" s="71">
        <f>AG255</f>
        <v>190</v>
      </c>
      <c r="CD255" s="72">
        <f>AK255</f>
        <v>197</v>
      </c>
      <c r="CE255" s="71">
        <f>AO255</f>
        <v>250</v>
      </c>
      <c r="CF255" s="72">
        <f>AS255</f>
        <v>286</v>
      </c>
      <c r="CG255" s="71">
        <f>AW255</f>
        <v>312</v>
      </c>
      <c r="CH255" s="70">
        <f>G255</f>
        <v>67</v>
      </c>
      <c r="CI255" s="71">
        <f>K255</f>
        <v>72</v>
      </c>
      <c r="CJ255" s="72">
        <f>O255</f>
        <v>104</v>
      </c>
      <c r="CK255" s="72">
        <f>S255</f>
        <v>108</v>
      </c>
      <c r="CL255" s="72">
        <f>W255</f>
        <v>143</v>
      </c>
      <c r="CM255" s="72">
        <f>AA255</f>
        <v>152</v>
      </c>
      <c r="CN255" s="72">
        <f>AE255</f>
        <v>179</v>
      </c>
      <c r="CO255" s="72">
        <f>AI255</f>
        <v>192</v>
      </c>
      <c r="CP255" s="72">
        <f>AM255</f>
        <v>230</v>
      </c>
      <c r="CQ255" s="72">
        <f>AQ255</f>
        <v>277</v>
      </c>
      <c r="CR255" s="72">
        <f>AU255</f>
        <v>311</v>
      </c>
      <c r="CS255" s="72">
        <f>AY255</f>
        <v>328</v>
      </c>
      <c r="CT255" s="23">
        <f>M255-K255</f>
        <v>1</v>
      </c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  <c r="VG255" s="1"/>
      <c r="VH255" s="1"/>
      <c r="VI255" s="1"/>
      <c r="VJ255" s="1"/>
      <c r="VK255" s="1"/>
      <c r="VL255" s="1"/>
      <c r="VM255" s="1"/>
      <c r="VN255" s="1"/>
      <c r="VO255" s="1"/>
      <c r="VP255" s="1"/>
      <c r="VQ255" s="1"/>
      <c r="VR255" s="1"/>
      <c r="VS255" s="1"/>
      <c r="VT255" s="1"/>
      <c r="VU255" s="1"/>
      <c r="VV255" s="1"/>
      <c r="VW255" s="1"/>
      <c r="VX255" s="1"/>
      <c r="VY255" s="1"/>
      <c r="VZ255" s="1"/>
      <c r="WA255" s="1"/>
      <c r="WB255" s="1"/>
      <c r="WC255" s="1"/>
      <c r="WD255" s="1"/>
      <c r="WE255" s="1"/>
      <c r="WF255" s="1"/>
      <c r="WG255" s="1"/>
      <c r="WH255" s="1"/>
      <c r="WI255" s="1"/>
      <c r="WJ255" s="1"/>
      <c r="WK255" s="1"/>
      <c r="WL255" s="1"/>
      <c r="WM255" s="1"/>
      <c r="WN255" s="1"/>
      <c r="WO255" s="1"/>
      <c r="WP255" s="1"/>
      <c r="WQ255" s="1"/>
      <c r="WR255" s="1"/>
      <c r="WS255" s="1"/>
      <c r="WT255" s="1"/>
      <c r="WU255" s="1"/>
      <c r="WV255" s="1"/>
      <c r="WW255" s="1"/>
      <c r="WX255" s="1"/>
      <c r="WY255" s="1"/>
      <c r="WZ255" s="1"/>
      <c r="XA255" s="1"/>
      <c r="XB255" s="1"/>
      <c r="XC255" s="1"/>
      <c r="XD255" s="1"/>
      <c r="XE255" s="1"/>
      <c r="XF255" s="1"/>
      <c r="XG255" s="1"/>
      <c r="XH255" s="1"/>
      <c r="XI255" s="1"/>
      <c r="XJ255" s="1"/>
      <c r="XK255" s="1"/>
      <c r="XL255" s="1"/>
      <c r="XM255" s="1"/>
      <c r="XN255" s="1"/>
      <c r="XO255" s="1"/>
      <c r="XP255" s="1"/>
      <c r="XQ255" s="1"/>
      <c r="XR255" s="1"/>
      <c r="XS255" s="1"/>
      <c r="XT255" s="1"/>
      <c r="XU255" s="1"/>
      <c r="XV255" s="1"/>
      <c r="XW255" s="1"/>
      <c r="XX255" s="1"/>
      <c r="XY255" s="1"/>
      <c r="XZ255" s="1"/>
      <c r="YA255" s="1"/>
      <c r="YB255" s="1"/>
      <c r="YC255" s="1"/>
      <c r="YD255" s="1"/>
      <c r="YE255" s="1"/>
      <c r="YF255" s="1"/>
      <c r="YG255" s="1"/>
      <c r="YH255" s="1"/>
      <c r="YI255" s="1"/>
      <c r="YJ255" s="1"/>
      <c r="YK255" s="1"/>
      <c r="YL255" s="1"/>
      <c r="YM255" s="1"/>
      <c r="YN255" s="1"/>
      <c r="YO255" s="1"/>
      <c r="YP255" s="1"/>
      <c r="YQ255" s="1"/>
      <c r="YR255" s="1"/>
      <c r="YS255" s="1"/>
      <c r="YT255" s="1"/>
      <c r="YU255" s="1"/>
      <c r="YV255" s="1"/>
      <c r="YW255" s="1"/>
      <c r="YX255" s="1"/>
      <c r="YY255" s="1"/>
      <c r="YZ255" s="1"/>
      <c r="ZA255" s="1"/>
      <c r="ZB255" s="1"/>
      <c r="ZC255" s="1"/>
      <c r="ZD255" s="1"/>
      <c r="ZE255" s="1"/>
      <c r="ZF255" s="1"/>
      <c r="ZG255" s="1"/>
      <c r="ZH255" s="1"/>
      <c r="ZI255" s="1"/>
      <c r="ZJ255" s="1"/>
      <c r="ZK255" s="1"/>
      <c r="ZL255" s="1"/>
      <c r="ZM255" s="1"/>
      <c r="ZN255" s="1"/>
      <c r="ZO255" s="1"/>
      <c r="ZP255" s="1"/>
      <c r="ZQ255" s="1"/>
      <c r="ZR255" s="1"/>
      <c r="ZS255" s="1"/>
      <c r="ZT255" s="1"/>
      <c r="ZU255" s="1"/>
      <c r="ZV255" s="1"/>
      <c r="ZW255" s="1"/>
      <c r="ZX255" s="1"/>
      <c r="ZY255" s="1"/>
      <c r="ZZ255" s="1"/>
      <c r="AAA255" s="1"/>
      <c r="AAB255" s="1"/>
      <c r="AAC255" s="1"/>
      <c r="AAD255" s="1"/>
      <c r="AAE255" s="1"/>
      <c r="AAF255" s="1"/>
      <c r="AAG255" s="1"/>
      <c r="AAH255" s="1"/>
      <c r="AAI255" s="1"/>
      <c r="AAJ255" s="1"/>
      <c r="AAK255" s="1"/>
      <c r="AAL255" s="1"/>
      <c r="AAM255" s="1"/>
      <c r="AAN255" s="1"/>
      <c r="AAO255" s="1"/>
      <c r="AAP255" s="1"/>
      <c r="AAQ255" s="1"/>
      <c r="AAR255" s="1"/>
      <c r="AAS255" s="1"/>
      <c r="AAT255" s="1"/>
      <c r="AAU255" s="1"/>
      <c r="AAV255" s="1"/>
      <c r="AAW255" s="1"/>
      <c r="AAX255" s="1"/>
      <c r="AAY255" s="1"/>
      <c r="AAZ255" s="1"/>
      <c r="ABA255" s="1"/>
      <c r="ABB255" s="1"/>
      <c r="ABC255" s="1"/>
      <c r="ABD255" s="1"/>
      <c r="ABE255" s="1"/>
      <c r="ABF255" s="1"/>
      <c r="ABG255" s="1"/>
      <c r="ABH255" s="1"/>
      <c r="ABI255" s="1"/>
      <c r="ABJ255" s="1"/>
      <c r="ABK255" s="1"/>
      <c r="ABL255" s="1"/>
      <c r="ABM255" s="1"/>
      <c r="ABN255" s="1"/>
      <c r="ABO255" s="1"/>
      <c r="ABP255" s="1"/>
      <c r="ABQ255" s="1"/>
      <c r="ABR255" s="1"/>
      <c r="ABS255" s="1"/>
      <c r="ABT255" s="1"/>
      <c r="ABU255" s="1"/>
      <c r="ABV255" s="1"/>
      <c r="ABW255" s="1"/>
      <c r="ABX255" s="1"/>
      <c r="ABY255" s="1"/>
      <c r="ABZ255" s="1"/>
      <c r="ACA255" s="1"/>
      <c r="ACB255" s="1"/>
      <c r="ACC255" s="1"/>
      <c r="ACD255" s="1"/>
      <c r="ACE255" s="1"/>
      <c r="ACF255" s="1"/>
      <c r="ACG255" s="1"/>
      <c r="ACH255" s="1"/>
      <c r="ACI255" s="1"/>
      <c r="ACJ255" s="1"/>
      <c r="ACK255" s="1"/>
      <c r="ACL255" s="1"/>
      <c r="ACM255" s="1"/>
      <c r="ACN255" s="1"/>
      <c r="ACO255" s="1"/>
      <c r="ACP255" s="1"/>
      <c r="ACQ255" s="1"/>
      <c r="ACR255" s="1"/>
      <c r="ACS255" s="1"/>
      <c r="ACT255" s="1"/>
      <c r="ACU255" s="1"/>
      <c r="ACV255" s="1"/>
      <c r="ACW255" s="1"/>
      <c r="ACX255" s="1"/>
      <c r="ACY255" s="1"/>
      <c r="ACZ255" s="1"/>
      <c r="ADA255" s="1"/>
      <c r="ADB255" s="1"/>
      <c r="ADC255" s="1"/>
      <c r="ADD255" s="1"/>
      <c r="ADE255" s="1"/>
      <c r="ADF255" s="1"/>
      <c r="ADG255" s="1"/>
      <c r="ADH255" s="1"/>
      <c r="ADI255" s="1"/>
      <c r="ADJ255" s="1"/>
      <c r="ADK255" s="1"/>
      <c r="ADL255" s="1"/>
      <c r="ADM255" s="1"/>
      <c r="ADN255" s="1"/>
      <c r="ADO255" s="1"/>
      <c r="ADP255" s="1"/>
      <c r="ADQ255" s="1"/>
      <c r="ADR255" s="1"/>
      <c r="ADS255" s="1"/>
      <c r="ADT255" s="1"/>
      <c r="ADU255" s="1"/>
      <c r="ADV255" s="1"/>
      <c r="ADW255" s="1"/>
      <c r="ADX255" s="1"/>
      <c r="ADY255" s="1"/>
      <c r="ADZ255" s="1"/>
      <c r="AEA255" s="1"/>
      <c r="AEB255" s="1"/>
      <c r="AEC255" s="1"/>
      <c r="AED255" s="1"/>
      <c r="AEE255" s="1"/>
      <c r="AEF255" s="1"/>
      <c r="AEG255" s="1"/>
      <c r="AEH255" s="1"/>
      <c r="AEI255" s="1"/>
      <c r="AEJ255" s="1"/>
      <c r="AEK255" s="1"/>
      <c r="AEL255" s="1"/>
      <c r="AEM255" s="1"/>
      <c r="AEN255" s="1"/>
      <c r="AEO255" s="1"/>
      <c r="AEP255" s="1"/>
      <c r="AEQ255" s="1"/>
      <c r="AER255" s="1"/>
      <c r="AES255" s="1"/>
      <c r="AET255" s="1"/>
      <c r="AEU255" s="1"/>
      <c r="AEV255" s="1"/>
      <c r="AEW255" s="1"/>
      <c r="AEX255" s="1"/>
      <c r="AEY255" s="1"/>
      <c r="AEZ255" s="1"/>
      <c r="AFA255" s="1"/>
      <c r="AFB255" s="1"/>
      <c r="AFC255" s="1"/>
      <c r="AFD255" s="1"/>
      <c r="AFE255" s="1"/>
      <c r="AFF255" s="1"/>
      <c r="AFG255" s="1"/>
      <c r="AFH255" s="1"/>
      <c r="AFI255" s="1"/>
      <c r="AFJ255" s="1"/>
      <c r="AFK255" s="1"/>
      <c r="AFL255" s="1"/>
      <c r="AFM255" s="1"/>
      <c r="AFN255" s="1"/>
      <c r="AFO255" s="1"/>
      <c r="AFP255" s="1"/>
      <c r="AFQ255" s="1"/>
      <c r="AFR255" s="1"/>
      <c r="AFS255" s="1"/>
      <c r="AFT255" s="1"/>
      <c r="AFU255" s="1"/>
      <c r="AFV255" s="1"/>
      <c r="AFW255" s="1"/>
      <c r="AFX255" s="1"/>
      <c r="AFY255" s="1"/>
      <c r="AFZ255" s="1"/>
      <c r="AGA255" s="1"/>
      <c r="AGB255" s="1"/>
      <c r="AGC255" s="1"/>
      <c r="AGD255" s="1"/>
      <c r="AGE255" s="1"/>
      <c r="AGF255" s="1"/>
      <c r="AGG255" s="1"/>
      <c r="AGH255" s="1"/>
      <c r="AGI255" s="1"/>
      <c r="AGJ255" s="1"/>
      <c r="AGK255" s="1"/>
      <c r="AGL255" s="1"/>
      <c r="AGM255" s="1"/>
      <c r="AGN255" s="1"/>
      <c r="AGO255" s="1"/>
      <c r="AGP255" s="1"/>
      <c r="AGQ255" s="1"/>
      <c r="AGR255" s="1"/>
      <c r="AGS255" s="1"/>
      <c r="AGT255" s="1"/>
      <c r="AGU255" s="1"/>
      <c r="AGV255" s="1"/>
      <c r="AGW255" s="1"/>
      <c r="AGX255" s="1"/>
      <c r="AGY255" s="1"/>
      <c r="AGZ255" s="1"/>
      <c r="AHA255" s="1"/>
      <c r="AHB255" s="1"/>
      <c r="AHC255" s="1"/>
      <c r="AHD255" s="1"/>
      <c r="AHE255" s="1"/>
      <c r="AHF255" s="1"/>
      <c r="AHG255" s="1"/>
      <c r="AHH255" s="1"/>
      <c r="AHI255" s="1"/>
      <c r="AHJ255" s="1"/>
      <c r="AHK255" s="1"/>
      <c r="AHL255" s="1"/>
      <c r="AHM255" s="1"/>
      <c r="AHN255" s="1"/>
      <c r="AHO255" s="1"/>
      <c r="AHP255" s="1"/>
      <c r="AHQ255" s="1"/>
      <c r="AHR255" s="1"/>
      <c r="AHS255" s="1"/>
      <c r="AHT255" s="1"/>
      <c r="AHU255" s="1"/>
      <c r="AHV255" s="1"/>
      <c r="AHW255" s="1"/>
      <c r="AHX255" s="1"/>
      <c r="AHY255" s="1"/>
      <c r="AHZ255" s="1"/>
      <c r="AIA255" s="1"/>
      <c r="AIB255" s="1"/>
      <c r="AIC255" s="1"/>
      <c r="AID255" s="1"/>
      <c r="AIE255" s="1"/>
      <c r="AIF255" s="1"/>
      <c r="AIG255" s="1"/>
      <c r="AIH255" s="1"/>
      <c r="AII255" s="1"/>
      <c r="AIJ255" s="1"/>
      <c r="AIK255" s="1"/>
      <c r="AIL255" s="1"/>
      <c r="AIM255" s="1"/>
      <c r="AIN255" s="1"/>
      <c r="AIO255" s="1"/>
      <c r="AIP255" s="1"/>
      <c r="AIQ255" s="1"/>
      <c r="AIR255" s="1"/>
      <c r="AIS255" s="1"/>
      <c r="AIT255" s="1"/>
      <c r="AIU255" s="1"/>
      <c r="AIV255" s="1"/>
      <c r="AIW255" s="1"/>
      <c r="AIX255" s="1"/>
      <c r="AIY255" s="1"/>
      <c r="AIZ255" s="1"/>
      <c r="AJA255" s="1"/>
      <c r="AJB255" s="1"/>
      <c r="AJC255" s="1"/>
      <c r="AJD255" s="1"/>
      <c r="AJE255" s="1"/>
      <c r="AJF255" s="1"/>
      <c r="AJG255" s="1"/>
      <c r="AJH255" s="1"/>
      <c r="AJI255" s="1"/>
      <c r="AJJ255" s="1"/>
      <c r="AJK255" s="1"/>
      <c r="AJL255" s="1"/>
      <c r="AJM255" s="1"/>
      <c r="AJN255" s="1"/>
      <c r="AJO255" s="1"/>
      <c r="AJP255" s="1"/>
      <c r="AJQ255" s="1"/>
      <c r="AJR255" s="1"/>
      <c r="AJS255" s="1"/>
      <c r="AJT255" s="1"/>
      <c r="AJU255" s="1"/>
      <c r="AJV255" s="1"/>
      <c r="AJW255" s="1"/>
      <c r="AJX255" s="1"/>
      <c r="AJY255" s="1"/>
      <c r="AJZ255" s="1"/>
      <c r="AKA255" s="1"/>
      <c r="AKB255" s="1"/>
      <c r="AKC255" s="1"/>
      <c r="AKD255" s="1"/>
      <c r="AKE255" s="1"/>
      <c r="AKF255" s="1"/>
      <c r="AKG255" s="1"/>
      <c r="AKH255" s="1"/>
      <c r="AKI255" s="1"/>
      <c r="AKJ255" s="1"/>
      <c r="AKK255" s="1"/>
      <c r="AKL255" s="1"/>
      <c r="AKM255" s="1"/>
      <c r="AKN255" s="1"/>
      <c r="AKO255" s="1"/>
      <c r="AKP255" s="1"/>
      <c r="AKQ255" s="1"/>
      <c r="AKR255" s="1"/>
      <c r="AKS255" s="1"/>
      <c r="AKT255" s="1"/>
      <c r="AKU255" s="1"/>
      <c r="AKV255" s="1"/>
      <c r="AKW255" s="1"/>
      <c r="AKX255" s="1"/>
      <c r="AKY255" s="1"/>
      <c r="AKZ255" s="1"/>
      <c r="ALA255" s="1"/>
      <c r="ALB255" s="1"/>
      <c r="ALC255" s="1"/>
      <c r="ALD255" s="1"/>
      <c r="ALE255" s="1"/>
      <c r="ALF255" s="1"/>
      <c r="ALG255" s="1"/>
      <c r="ALH255" s="1"/>
      <c r="ALI255" s="1"/>
      <c r="ALJ255" s="1"/>
      <c r="ALK255" s="1"/>
      <c r="ALL255" s="1"/>
      <c r="ALM255" s="1"/>
      <c r="ALN255" s="1"/>
      <c r="ALO255" s="1"/>
      <c r="ALP255" s="1"/>
      <c r="ALQ255" s="1"/>
      <c r="ALR255" s="1"/>
      <c r="ALS255" s="1"/>
      <c r="ALT255" s="1"/>
      <c r="ALU255" s="1"/>
      <c r="ALV255" s="1"/>
      <c r="ALW255" s="1"/>
      <c r="ALX255" s="1"/>
      <c r="ALY255" s="1"/>
      <c r="ALZ255" s="1"/>
      <c r="AMA255" s="1"/>
      <c r="AMB255" s="1"/>
      <c r="AMC255" s="1"/>
      <c r="AMD255" s="1"/>
      <c r="AME255" s="1"/>
      <c r="AMF255" s="1"/>
      <c r="AMG255" s="1"/>
      <c r="AMH255" s="1"/>
      <c r="AMI255" s="1"/>
      <c r="AMJ255" s="1"/>
      <c r="AMK255" s="1"/>
      <c r="AML255" s="1"/>
      <c r="AMM255" s="1"/>
      <c r="AMN255" s="1"/>
      <c r="AMO255" s="1"/>
    </row>
    <row r="256" spans="1:1029" x14ac:dyDescent="0.2">
      <c r="A256" s="3" t="str">
        <f>CONCATENATE(B256,"_",C256)</f>
        <v>mtr1b_human_6ME9</v>
      </c>
      <c r="B256" s="3" t="s">
        <v>311</v>
      </c>
      <c r="C256" s="3" t="s">
        <v>1565</v>
      </c>
      <c r="D256" s="3" t="str">
        <f>IFERROR(MID(VLOOKUP($B256,Seqs!$A:$B,2,0),E256,1),"")</f>
        <v>W</v>
      </c>
      <c r="E256" s="3">
        <v>38</v>
      </c>
      <c r="F256" s="3" t="str">
        <f>IFERROR(MID(VLOOKUP($B256,Seqs!$A:$B,2,0),G256,1),"")</f>
        <v>R</v>
      </c>
      <c r="G256" s="3">
        <v>67</v>
      </c>
      <c r="H256" s="3" t="str">
        <f>IFERROR(MID(VLOOKUP($B256,Seqs!$A:$B,2,0),I256,1),"")</f>
        <v>R</v>
      </c>
      <c r="I256" s="23">
        <v>69</v>
      </c>
      <c r="J256" s="3" t="str">
        <f>IFERROR(MID(VLOOKUP($B256,Seqs!$A:$B,2,0),K256,1),"")</f>
        <v>R</v>
      </c>
      <c r="K256" s="23">
        <v>72</v>
      </c>
      <c r="L256" s="3" t="str">
        <f>IFERROR(MID(VLOOKUP($B256,Seqs!$A:$B,2,0),M256,1),"")</f>
        <v>N</v>
      </c>
      <c r="M256" s="3">
        <v>73</v>
      </c>
      <c r="N256" s="3" t="str">
        <f>IFERROR(MID(VLOOKUP($B256,Seqs!$A:$B,2,0),O256,1),"")</f>
        <v>D</v>
      </c>
      <c r="O256" s="3">
        <v>104</v>
      </c>
      <c r="P256" s="3" t="str">
        <f>IFERROR(MID(VLOOKUP($B256,Seqs!$A:$B,2,0),Q256,1),"")</f>
        <v>G</v>
      </c>
      <c r="Q256" s="3">
        <v>105</v>
      </c>
      <c r="R256" s="3" t="str">
        <f>IFERROR(MID(VLOOKUP($B256,Seqs!$A:$B,2,0),S256,1),"")</f>
        <v>L</v>
      </c>
      <c r="S256" s="3">
        <v>108</v>
      </c>
      <c r="T256" s="3" t="str">
        <f>IFERROR(MID(VLOOKUP($B256,Seqs!$A:$B,2,0),U256,1),"")</f>
        <v>G</v>
      </c>
      <c r="U256" s="3">
        <v>109</v>
      </c>
      <c r="V256" s="3" t="str">
        <f>IFERROR(MID(VLOOKUP($B256,Seqs!$A:$B,2,0),W256,1),"")</f>
        <v>C</v>
      </c>
      <c r="W256" s="3">
        <v>143</v>
      </c>
      <c r="X256" s="3" t="str">
        <f>IFERROR(MID(VLOOKUP($B256,Seqs!$A:$B,2,0),Y256,1),"")</f>
        <v>S</v>
      </c>
      <c r="Y256" s="3">
        <v>145</v>
      </c>
      <c r="Z256" s="3" t="str">
        <f>IFERROR(MID(VLOOKUP($B256,Seqs!$A:$B,2,0),AA256,1),"")</f>
        <v>Y</v>
      </c>
      <c r="AA256" s="3">
        <v>152</v>
      </c>
      <c r="AB256" s="3" t="str">
        <f>IFERROR(MID(VLOOKUP($B256,Seqs!$A:$B,2,0),AC256,1),"")</f>
        <v>H</v>
      </c>
      <c r="AC256" s="3">
        <v>156</v>
      </c>
      <c r="AD256" s="3" t="str">
        <f>IFERROR(MID(VLOOKUP($B256,Seqs!$A:$B,2,0),AE256,1),"")</f>
        <v>G</v>
      </c>
      <c r="AE256" s="3">
        <v>179</v>
      </c>
      <c r="AF256" s="3" t="str">
        <f>IFERROR(MID(VLOOKUP($B256,Seqs!$A:$B,2,0),AG256,1),"")</f>
        <v>C</v>
      </c>
      <c r="AG256" s="3">
        <v>190</v>
      </c>
      <c r="AH256" s="3" t="str">
        <f>IFERROR(MID(VLOOKUP($B256,Seqs!$A:$B,2,0),AI256,1),"")</f>
        <v>F</v>
      </c>
      <c r="AI256" s="3">
        <v>192</v>
      </c>
      <c r="AJ256" s="3" t="str">
        <f>IFERROR(MID(VLOOKUP($B256,Seqs!$A:$B,2,0),AK256,1),"")</f>
        <v>S</v>
      </c>
      <c r="AK256" s="3">
        <v>197</v>
      </c>
      <c r="AL256" s="3" t="str">
        <f>IFERROR(MID(VLOOKUP($B256,Seqs!$A:$B,2,0),AM256,1),"")</f>
        <v>A</v>
      </c>
      <c r="AM256" s="3">
        <v>230</v>
      </c>
      <c r="AN256" s="3" t="str">
        <f>IFERROR(MID(VLOOKUP($B256,Seqs!$A:$B,2,0),AO256,1),"")</f>
        <v>F</v>
      </c>
      <c r="AO256" s="3">
        <v>250</v>
      </c>
      <c r="AP256" s="3" t="str">
        <f>IFERROR(MID(VLOOKUP($B256,Seqs!$A:$B,2,0),AQ256,1),"")</f>
        <v>N</v>
      </c>
      <c r="AQ256" s="3">
        <v>277</v>
      </c>
      <c r="AR256" s="3" t="str">
        <f>IFERROR(MID(VLOOKUP($B256,Seqs!$A:$B,2,0),AS256,1),"")</f>
        <v>P</v>
      </c>
      <c r="AS256" s="3">
        <v>286</v>
      </c>
      <c r="AT256" s="3" t="str">
        <f>IFERROR(MID(VLOOKUP($B256,Seqs!$A:$B,2,0),AU256,1),"")</f>
        <v>L</v>
      </c>
      <c r="AU256" s="3">
        <v>311</v>
      </c>
      <c r="AV256" s="3" t="str">
        <f>IFERROR(MID(VLOOKUP($B256,Seqs!$A:$B,2,0),AW256,1),"")</f>
        <v>N</v>
      </c>
      <c r="AW256" s="3">
        <v>312</v>
      </c>
      <c r="AX256" s="3" t="str">
        <f>IFERROR(MID(VLOOKUP($B256,Seqs!$A:$B,2,0),AY256,1),"")</f>
        <v>N</v>
      </c>
      <c r="AY256" s="3">
        <v>328</v>
      </c>
      <c r="AZ256" s="77" t="str">
        <f>VLOOKUP(B256,Classification!A:D,2,0)</f>
        <v>A</v>
      </c>
      <c r="BA256" s="94" t="str">
        <f>VLOOKUP(B256,Classification!A:D,4,0)</f>
        <v>Melatonin</v>
      </c>
      <c r="BB256" s="27" t="b">
        <f t="shared" ref="BB256" si="1088">AND(E256&lt;G256,OR(G256&lt;I256,I256="-"),OR(I256&lt;K256,I256="-"),OR(K256&lt;M256,K256="-"),M256&lt;O256,OR(O256&lt;Q256,Q256="-"),OR(Q256&lt;S256,Q256="-"),OR(S256&lt;U256,S256="-"),U256&lt;W256,OR(W256&lt;Y256,Y256="-"),OR(Y256&lt;AA256,Y256="-"),OR(AA256&lt;AC256,AA256="-"),AC256&lt;AE256,OR(AE256&lt;AG256,AG256="-"),OR(AG256&lt;AI256,AG256="-"),OR(AI256&lt;AK256,AI256="-"),AK256&lt;AM256,AM256&lt;AO256,AO256&lt;AQ256,AQ256&lt;AS256,AS256&lt;AU256,OR(AU256&lt;AW256,AW256="-"),OR(AW256&lt;AY256,AW256="-"))</f>
        <v>1</v>
      </c>
      <c r="BC256" s="23">
        <f t="shared" ref="BC256" si="1089">_xlfn.AGGREGATE(9,6,CH256:CS256)-_xlfn.AGGREGATE(9,6,BV256:CG256)+12</f>
        <v>245</v>
      </c>
      <c r="BD256" s="5" t="s">
        <v>23</v>
      </c>
      <c r="BE256" s="3" t="s">
        <v>1368</v>
      </c>
      <c r="BF256" s="118">
        <v>3.3</v>
      </c>
      <c r="BG256" s="49" t="s">
        <v>1275</v>
      </c>
      <c r="BH256" s="49" t="s">
        <v>1275</v>
      </c>
      <c r="BI256" s="1"/>
      <c r="BJ256" s="70" t="s">
        <v>1281</v>
      </c>
      <c r="BK256" s="57" t="s">
        <v>1281</v>
      </c>
      <c r="BL256" s="57" t="s">
        <v>1281</v>
      </c>
      <c r="BM256" s="57" t="s">
        <v>1281</v>
      </c>
      <c r="BN256" s="57" t="s">
        <v>1281</v>
      </c>
      <c r="BO256" s="57" t="s">
        <v>1281</v>
      </c>
      <c r="BP256" s="57" t="s">
        <v>1281</v>
      </c>
      <c r="BQ256" s="57" t="s">
        <v>1281</v>
      </c>
      <c r="BR256" s="57" t="s">
        <v>1281</v>
      </c>
      <c r="BS256" s="57" t="s">
        <v>1281</v>
      </c>
      <c r="BT256" s="57" t="s">
        <v>1281</v>
      </c>
      <c r="BU256" s="57" t="s">
        <v>1281</v>
      </c>
      <c r="BV256" s="70">
        <f>E256</f>
        <v>38</v>
      </c>
      <c r="BW256" s="71">
        <f>I256</f>
        <v>69</v>
      </c>
      <c r="BX256" s="72">
        <f>M256</f>
        <v>73</v>
      </c>
      <c r="BY256" s="71">
        <f>Q256</f>
        <v>105</v>
      </c>
      <c r="BZ256" s="72">
        <f>U256</f>
        <v>109</v>
      </c>
      <c r="CA256" s="71">
        <f>Y256</f>
        <v>145</v>
      </c>
      <c r="CB256" s="72">
        <f>AC256</f>
        <v>156</v>
      </c>
      <c r="CC256" s="71">
        <f>AG256</f>
        <v>190</v>
      </c>
      <c r="CD256" s="72">
        <f>AK256</f>
        <v>197</v>
      </c>
      <c r="CE256" s="71">
        <f>AO256</f>
        <v>250</v>
      </c>
      <c r="CF256" s="72">
        <f>AS256</f>
        <v>286</v>
      </c>
      <c r="CG256" s="71">
        <f>AW256</f>
        <v>312</v>
      </c>
      <c r="CH256" s="70">
        <f>G256</f>
        <v>67</v>
      </c>
      <c r="CI256" s="71">
        <f>K256</f>
        <v>72</v>
      </c>
      <c r="CJ256" s="72">
        <f>O256</f>
        <v>104</v>
      </c>
      <c r="CK256" s="72">
        <f>S256</f>
        <v>108</v>
      </c>
      <c r="CL256" s="72">
        <f>W256</f>
        <v>143</v>
      </c>
      <c r="CM256" s="72">
        <f>AA256</f>
        <v>152</v>
      </c>
      <c r="CN256" s="72">
        <f>AE256</f>
        <v>179</v>
      </c>
      <c r="CO256" s="72">
        <f>AI256</f>
        <v>192</v>
      </c>
      <c r="CP256" s="72">
        <f>AM256</f>
        <v>230</v>
      </c>
      <c r="CQ256" s="72">
        <f>AQ256</f>
        <v>277</v>
      </c>
      <c r="CR256" s="72">
        <f>AU256</f>
        <v>311</v>
      </c>
      <c r="CS256" s="72">
        <f>AY256</f>
        <v>328</v>
      </c>
      <c r="CT256" s="23">
        <f>M256-K256</f>
        <v>1</v>
      </c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  <c r="UX256" s="1"/>
      <c r="UY256" s="1"/>
      <c r="UZ256" s="1"/>
      <c r="VA256" s="1"/>
      <c r="VB256" s="1"/>
      <c r="VC256" s="1"/>
      <c r="VD256" s="1"/>
      <c r="VE256" s="1"/>
      <c r="VF256" s="1"/>
      <c r="VG256" s="1"/>
      <c r="VH256" s="1"/>
      <c r="VI256" s="1"/>
      <c r="VJ256" s="1"/>
      <c r="VK256" s="1"/>
      <c r="VL256" s="1"/>
      <c r="VM256" s="1"/>
      <c r="VN256" s="1"/>
      <c r="VO256" s="1"/>
      <c r="VP256" s="1"/>
      <c r="VQ256" s="1"/>
      <c r="VR256" s="1"/>
      <c r="VS256" s="1"/>
      <c r="VT256" s="1"/>
      <c r="VU256" s="1"/>
      <c r="VV256" s="1"/>
      <c r="VW256" s="1"/>
      <c r="VX256" s="1"/>
      <c r="VY256" s="1"/>
      <c r="VZ256" s="1"/>
      <c r="WA256" s="1"/>
      <c r="WB256" s="1"/>
      <c r="WC256" s="1"/>
      <c r="WD256" s="1"/>
      <c r="WE256" s="1"/>
      <c r="WF256" s="1"/>
      <c r="WG256" s="1"/>
      <c r="WH256" s="1"/>
      <c r="WI256" s="1"/>
      <c r="WJ256" s="1"/>
      <c r="WK256" s="1"/>
      <c r="WL256" s="1"/>
      <c r="WM256" s="1"/>
      <c r="WN256" s="1"/>
      <c r="WO256" s="1"/>
      <c r="WP256" s="1"/>
      <c r="WQ256" s="1"/>
      <c r="WR256" s="1"/>
      <c r="WS256" s="1"/>
      <c r="WT256" s="1"/>
      <c r="WU256" s="1"/>
      <c r="WV256" s="1"/>
      <c r="WW256" s="1"/>
      <c r="WX256" s="1"/>
      <c r="WY256" s="1"/>
      <c r="WZ256" s="1"/>
      <c r="XA256" s="1"/>
      <c r="XB256" s="1"/>
      <c r="XC256" s="1"/>
      <c r="XD256" s="1"/>
      <c r="XE256" s="1"/>
      <c r="XF256" s="1"/>
      <c r="XG256" s="1"/>
      <c r="XH256" s="1"/>
      <c r="XI256" s="1"/>
      <c r="XJ256" s="1"/>
      <c r="XK256" s="1"/>
      <c r="XL256" s="1"/>
      <c r="XM256" s="1"/>
      <c r="XN256" s="1"/>
      <c r="XO256" s="1"/>
      <c r="XP256" s="1"/>
      <c r="XQ256" s="1"/>
      <c r="XR256" s="1"/>
      <c r="XS256" s="1"/>
      <c r="XT256" s="1"/>
      <c r="XU256" s="1"/>
      <c r="XV256" s="1"/>
      <c r="XW256" s="1"/>
      <c r="XX256" s="1"/>
      <c r="XY256" s="1"/>
      <c r="XZ256" s="1"/>
      <c r="YA256" s="1"/>
      <c r="YB256" s="1"/>
      <c r="YC256" s="1"/>
      <c r="YD256" s="1"/>
      <c r="YE256" s="1"/>
      <c r="YF256" s="1"/>
      <c r="YG256" s="1"/>
      <c r="YH256" s="1"/>
      <c r="YI256" s="1"/>
      <c r="YJ256" s="1"/>
      <c r="YK256" s="1"/>
      <c r="YL256" s="1"/>
      <c r="YM256" s="1"/>
      <c r="YN256" s="1"/>
      <c r="YO256" s="1"/>
      <c r="YP256" s="1"/>
      <c r="YQ256" s="1"/>
      <c r="YR256" s="1"/>
      <c r="YS256" s="1"/>
      <c r="YT256" s="1"/>
      <c r="YU256" s="1"/>
      <c r="YV256" s="1"/>
      <c r="YW256" s="1"/>
      <c r="YX256" s="1"/>
      <c r="YY256" s="1"/>
      <c r="YZ256" s="1"/>
      <c r="ZA256" s="1"/>
      <c r="ZB256" s="1"/>
      <c r="ZC256" s="1"/>
      <c r="ZD256" s="1"/>
      <c r="ZE256" s="1"/>
      <c r="ZF256" s="1"/>
      <c r="ZG256" s="1"/>
      <c r="ZH256" s="1"/>
      <c r="ZI256" s="1"/>
      <c r="ZJ256" s="1"/>
      <c r="ZK256" s="1"/>
      <c r="ZL256" s="1"/>
      <c r="ZM256" s="1"/>
      <c r="ZN256" s="1"/>
      <c r="ZO256" s="1"/>
      <c r="ZP256" s="1"/>
      <c r="ZQ256" s="1"/>
      <c r="ZR256" s="1"/>
      <c r="ZS256" s="1"/>
      <c r="ZT256" s="1"/>
      <c r="ZU256" s="1"/>
      <c r="ZV256" s="1"/>
      <c r="ZW256" s="1"/>
      <c r="ZX256" s="1"/>
      <c r="ZY256" s="1"/>
      <c r="ZZ256" s="1"/>
      <c r="AAA256" s="1"/>
      <c r="AAB256" s="1"/>
      <c r="AAC256" s="1"/>
      <c r="AAD256" s="1"/>
      <c r="AAE256" s="1"/>
      <c r="AAF256" s="1"/>
      <c r="AAG256" s="1"/>
      <c r="AAH256" s="1"/>
      <c r="AAI256" s="1"/>
      <c r="AAJ256" s="1"/>
      <c r="AAK256" s="1"/>
      <c r="AAL256" s="1"/>
      <c r="AAM256" s="1"/>
      <c r="AAN256" s="1"/>
      <c r="AAO256" s="1"/>
      <c r="AAP256" s="1"/>
      <c r="AAQ256" s="1"/>
      <c r="AAR256" s="1"/>
      <c r="AAS256" s="1"/>
      <c r="AAT256" s="1"/>
      <c r="AAU256" s="1"/>
      <c r="AAV256" s="1"/>
      <c r="AAW256" s="1"/>
      <c r="AAX256" s="1"/>
      <c r="AAY256" s="1"/>
      <c r="AAZ256" s="1"/>
      <c r="ABA256" s="1"/>
      <c r="ABB256" s="1"/>
      <c r="ABC256" s="1"/>
      <c r="ABD256" s="1"/>
      <c r="ABE256" s="1"/>
      <c r="ABF256" s="1"/>
      <c r="ABG256" s="1"/>
      <c r="ABH256" s="1"/>
      <c r="ABI256" s="1"/>
      <c r="ABJ256" s="1"/>
      <c r="ABK256" s="1"/>
      <c r="ABL256" s="1"/>
      <c r="ABM256" s="1"/>
      <c r="ABN256" s="1"/>
      <c r="ABO256" s="1"/>
      <c r="ABP256" s="1"/>
      <c r="ABQ256" s="1"/>
      <c r="ABR256" s="1"/>
      <c r="ABS256" s="1"/>
      <c r="ABT256" s="1"/>
      <c r="ABU256" s="1"/>
      <c r="ABV256" s="1"/>
      <c r="ABW256" s="1"/>
      <c r="ABX256" s="1"/>
      <c r="ABY256" s="1"/>
      <c r="ABZ256" s="1"/>
      <c r="ACA256" s="1"/>
      <c r="ACB256" s="1"/>
      <c r="ACC256" s="1"/>
      <c r="ACD256" s="1"/>
      <c r="ACE256" s="1"/>
      <c r="ACF256" s="1"/>
      <c r="ACG256" s="1"/>
      <c r="ACH256" s="1"/>
      <c r="ACI256" s="1"/>
      <c r="ACJ256" s="1"/>
      <c r="ACK256" s="1"/>
      <c r="ACL256" s="1"/>
      <c r="ACM256" s="1"/>
      <c r="ACN256" s="1"/>
      <c r="ACO256" s="1"/>
      <c r="ACP256" s="1"/>
      <c r="ACQ256" s="1"/>
      <c r="ACR256" s="1"/>
      <c r="ACS256" s="1"/>
      <c r="ACT256" s="1"/>
      <c r="ACU256" s="1"/>
      <c r="ACV256" s="1"/>
      <c r="ACW256" s="1"/>
      <c r="ACX256" s="1"/>
      <c r="ACY256" s="1"/>
      <c r="ACZ256" s="1"/>
      <c r="ADA256" s="1"/>
      <c r="ADB256" s="1"/>
      <c r="ADC256" s="1"/>
      <c r="ADD256" s="1"/>
      <c r="ADE256" s="1"/>
      <c r="ADF256" s="1"/>
      <c r="ADG256" s="1"/>
      <c r="ADH256" s="1"/>
      <c r="ADI256" s="1"/>
      <c r="ADJ256" s="1"/>
      <c r="ADK256" s="1"/>
      <c r="ADL256" s="1"/>
      <c r="ADM256" s="1"/>
      <c r="ADN256" s="1"/>
      <c r="ADO256" s="1"/>
      <c r="ADP256" s="1"/>
      <c r="ADQ256" s="1"/>
      <c r="ADR256" s="1"/>
      <c r="ADS256" s="1"/>
      <c r="ADT256" s="1"/>
      <c r="ADU256" s="1"/>
      <c r="ADV256" s="1"/>
      <c r="ADW256" s="1"/>
      <c r="ADX256" s="1"/>
      <c r="ADY256" s="1"/>
      <c r="ADZ256" s="1"/>
      <c r="AEA256" s="1"/>
      <c r="AEB256" s="1"/>
      <c r="AEC256" s="1"/>
      <c r="AED256" s="1"/>
      <c r="AEE256" s="1"/>
      <c r="AEF256" s="1"/>
      <c r="AEG256" s="1"/>
      <c r="AEH256" s="1"/>
      <c r="AEI256" s="1"/>
      <c r="AEJ256" s="1"/>
      <c r="AEK256" s="1"/>
      <c r="AEL256" s="1"/>
      <c r="AEM256" s="1"/>
      <c r="AEN256" s="1"/>
      <c r="AEO256" s="1"/>
      <c r="AEP256" s="1"/>
      <c r="AEQ256" s="1"/>
      <c r="AER256" s="1"/>
      <c r="AES256" s="1"/>
      <c r="AET256" s="1"/>
      <c r="AEU256" s="1"/>
      <c r="AEV256" s="1"/>
      <c r="AEW256" s="1"/>
      <c r="AEX256" s="1"/>
      <c r="AEY256" s="1"/>
      <c r="AEZ256" s="1"/>
      <c r="AFA256" s="1"/>
      <c r="AFB256" s="1"/>
      <c r="AFC256" s="1"/>
      <c r="AFD256" s="1"/>
      <c r="AFE256" s="1"/>
      <c r="AFF256" s="1"/>
      <c r="AFG256" s="1"/>
      <c r="AFH256" s="1"/>
      <c r="AFI256" s="1"/>
      <c r="AFJ256" s="1"/>
      <c r="AFK256" s="1"/>
      <c r="AFL256" s="1"/>
      <c r="AFM256" s="1"/>
      <c r="AFN256" s="1"/>
      <c r="AFO256" s="1"/>
      <c r="AFP256" s="1"/>
      <c r="AFQ256" s="1"/>
      <c r="AFR256" s="1"/>
      <c r="AFS256" s="1"/>
      <c r="AFT256" s="1"/>
      <c r="AFU256" s="1"/>
      <c r="AFV256" s="1"/>
      <c r="AFW256" s="1"/>
      <c r="AFX256" s="1"/>
      <c r="AFY256" s="1"/>
      <c r="AFZ256" s="1"/>
      <c r="AGA256" s="1"/>
      <c r="AGB256" s="1"/>
      <c r="AGC256" s="1"/>
      <c r="AGD256" s="1"/>
      <c r="AGE256" s="1"/>
      <c r="AGF256" s="1"/>
      <c r="AGG256" s="1"/>
      <c r="AGH256" s="1"/>
      <c r="AGI256" s="1"/>
      <c r="AGJ256" s="1"/>
      <c r="AGK256" s="1"/>
      <c r="AGL256" s="1"/>
      <c r="AGM256" s="1"/>
      <c r="AGN256" s="1"/>
      <c r="AGO256" s="1"/>
      <c r="AGP256" s="1"/>
      <c r="AGQ256" s="1"/>
      <c r="AGR256" s="1"/>
      <c r="AGS256" s="1"/>
      <c r="AGT256" s="1"/>
      <c r="AGU256" s="1"/>
      <c r="AGV256" s="1"/>
      <c r="AGW256" s="1"/>
      <c r="AGX256" s="1"/>
      <c r="AGY256" s="1"/>
      <c r="AGZ256" s="1"/>
      <c r="AHA256" s="1"/>
      <c r="AHB256" s="1"/>
      <c r="AHC256" s="1"/>
      <c r="AHD256" s="1"/>
      <c r="AHE256" s="1"/>
      <c r="AHF256" s="1"/>
      <c r="AHG256" s="1"/>
      <c r="AHH256" s="1"/>
      <c r="AHI256" s="1"/>
      <c r="AHJ256" s="1"/>
      <c r="AHK256" s="1"/>
      <c r="AHL256" s="1"/>
      <c r="AHM256" s="1"/>
      <c r="AHN256" s="1"/>
      <c r="AHO256" s="1"/>
      <c r="AHP256" s="1"/>
      <c r="AHQ256" s="1"/>
      <c r="AHR256" s="1"/>
      <c r="AHS256" s="1"/>
      <c r="AHT256" s="1"/>
      <c r="AHU256" s="1"/>
      <c r="AHV256" s="1"/>
      <c r="AHW256" s="1"/>
      <c r="AHX256" s="1"/>
      <c r="AHY256" s="1"/>
      <c r="AHZ256" s="1"/>
      <c r="AIA256" s="1"/>
      <c r="AIB256" s="1"/>
      <c r="AIC256" s="1"/>
      <c r="AID256" s="1"/>
      <c r="AIE256" s="1"/>
      <c r="AIF256" s="1"/>
      <c r="AIG256" s="1"/>
      <c r="AIH256" s="1"/>
      <c r="AII256" s="1"/>
      <c r="AIJ256" s="1"/>
      <c r="AIK256" s="1"/>
      <c r="AIL256" s="1"/>
      <c r="AIM256" s="1"/>
      <c r="AIN256" s="1"/>
      <c r="AIO256" s="1"/>
      <c r="AIP256" s="1"/>
      <c r="AIQ256" s="1"/>
      <c r="AIR256" s="1"/>
      <c r="AIS256" s="1"/>
      <c r="AIT256" s="1"/>
      <c r="AIU256" s="1"/>
      <c r="AIV256" s="1"/>
      <c r="AIW256" s="1"/>
      <c r="AIX256" s="1"/>
      <c r="AIY256" s="1"/>
      <c r="AIZ256" s="1"/>
      <c r="AJA256" s="1"/>
      <c r="AJB256" s="1"/>
      <c r="AJC256" s="1"/>
      <c r="AJD256" s="1"/>
      <c r="AJE256" s="1"/>
      <c r="AJF256" s="1"/>
      <c r="AJG256" s="1"/>
      <c r="AJH256" s="1"/>
      <c r="AJI256" s="1"/>
      <c r="AJJ256" s="1"/>
      <c r="AJK256" s="1"/>
      <c r="AJL256" s="1"/>
      <c r="AJM256" s="1"/>
      <c r="AJN256" s="1"/>
      <c r="AJO256" s="1"/>
      <c r="AJP256" s="1"/>
      <c r="AJQ256" s="1"/>
      <c r="AJR256" s="1"/>
      <c r="AJS256" s="1"/>
      <c r="AJT256" s="1"/>
      <c r="AJU256" s="1"/>
      <c r="AJV256" s="1"/>
      <c r="AJW256" s="1"/>
      <c r="AJX256" s="1"/>
      <c r="AJY256" s="1"/>
      <c r="AJZ256" s="1"/>
      <c r="AKA256" s="1"/>
      <c r="AKB256" s="1"/>
      <c r="AKC256" s="1"/>
      <c r="AKD256" s="1"/>
      <c r="AKE256" s="1"/>
      <c r="AKF256" s="1"/>
      <c r="AKG256" s="1"/>
      <c r="AKH256" s="1"/>
      <c r="AKI256" s="1"/>
      <c r="AKJ256" s="1"/>
      <c r="AKK256" s="1"/>
      <c r="AKL256" s="1"/>
      <c r="AKM256" s="1"/>
      <c r="AKN256" s="1"/>
      <c r="AKO256" s="1"/>
      <c r="AKP256" s="1"/>
      <c r="AKQ256" s="1"/>
      <c r="AKR256" s="1"/>
      <c r="AKS256" s="1"/>
      <c r="AKT256" s="1"/>
      <c r="AKU256" s="1"/>
      <c r="AKV256" s="1"/>
      <c r="AKW256" s="1"/>
      <c r="AKX256" s="1"/>
      <c r="AKY256" s="1"/>
      <c r="AKZ256" s="1"/>
      <c r="ALA256" s="1"/>
      <c r="ALB256" s="1"/>
      <c r="ALC256" s="1"/>
      <c r="ALD256" s="1"/>
      <c r="ALE256" s="1"/>
      <c r="ALF256" s="1"/>
      <c r="ALG256" s="1"/>
      <c r="ALH256" s="1"/>
      <c r="ALI256" s="1"/>
      <c r="ALJ256" s="1"/>
      <c r="ALK256" s="1"/>
      <c r="ALL256" s="1"/>
      <c r="ALM256" s="1"/>
      <c r="ALN256" s="1"/>
      <c r="ALO256" s="1"/>
      <c r="ALP256" s="1"/>
      <c r="ALQ256" s="1"/>
      <c r="ALR256" s="1"/>
      <c r="ALS256" s="1"/>
      <c r="ALT256" s="1"/>
      <c r="ALU256" s="1"/>
      <c r="ALV256" s="1"/>
      <c r="ALW256" s="1"/>
      <c r="ALX256" s="1"/>
      <c r="ALY256" s="1"/>
      <c r="ALZ256" s="1"/>
      <c r="AMA256" s="1"/>
      <c r="AMB256" s="1"/>
      <c r="AMC256" s="1"/>
      <c r="AMD256" s="1"/>
      <c r="AME256" s="1"/>
      <c r="AMF256" s="1"/>
      <c r="AMG256" s="1"/>
      <c r="AMH256" s="1"/>
      <c r="AMI256" s="1"/>
      <c r="AMJ256" s="1"/>
      <c r="AMK256" s="1"/>
      <c r="AML256" s="1"/>
      <c r="AMM256" s="1"/>
      <c r="AMN256" s="1"/>
      <c r="AMO256" s="1"/>
    </row>
    <row r="257" spans="1:1029" x14ac:dyDescent="0.2">
      <c r="A257" s="3" t="str">
        <f>CONCATENATE(B257,"_",C257)</f>
        <v>nk1r_human__wt</v>
      </c>
      <c r="B257" s="3" t="s">
        <v>313</v>
      </c>
      <c r="C257" s="132" t="s">
        <v>100</v>
      </c>
      <c r="D257" s="3" t="str">
        <f>IFERROR(MID(VLOOKUP($B257,Seqs!$A:$B,2,0),E257,1),"")</f>
        <v>P</v>
      </c>
      <c r="E257" s="3">
        <v>28</v>
      </c>
      <c r="F257" s="3" t="str">
        <f>IFERROR(MID(VLOOKUP($B257,Seqs!$A:$B,2,0),G257,1),"")</f>
        <v>H</v>
      </c>
      <c r="G257" s="3">
        <v>60</v>
      </c>
      <c r="H257" s="3" t="str">
        <f>IFERROR(MID(VLOOKUP($B257,Seqs!$A:$B,2,0),I257,1),"")</f>
        <v>K</v>
      </c>
      <c r="I257" s="23">
        <v>61</v>
      </c>
      <c r="J257" s="3" t="str">
        <f>IFERROR(MID(VLOOKUP($B257,Seqs!$A:$B,2,0),K257,1),"")</f>
        <v>R</v>
      </c>
      <c r="K257" s="23">
        <v>64</v>
      </c>
      <c r="L257" s="3" t="str">
        <f>IFERROR(MID(VLOOKUP($B257,Seqs!$A:$B,2,0),M257,1),"")</f>
        <v>T</v>
      </c>
      <c r="M257" s="3">
        <v>65</v>
      </c>
      <c r="N257" s="3" t="str">
        <f>IFERROR(MID(VLOOKUP($B257,Seqs!$A:$B,2,0),O257,1),"")</f>
        <v>N</v>
      </c>
      <c r="O257" s="3">
        <v>96</v>
      </c>
      <c r="P257" s="3" t="str">
        <f>IFERROR(MID(VLOOKUP($B257,Seqs!$A:$B,2,0),Q257,1),"")</f>
        <v>E</v>
      </c>
      <c r="Q257" s="3">
        <v>97</v>
      </c>
      <c r="R257" s="3" t="str">
        <f>IFERROR(MID(VLOOKUP($B257,Seqs!$A:$B,2,0),S257,1),"")</f>
        <v>Y</v>
      </c>
      <c r="S257" s="3">
        <v>100</v>
      </c>
      <c r="T257" s="3" t="str">
        <f>IFERROR(MID(VLOOKUP($B257,Seqs!$A:$B,2,0),U257,1),"")</f>
        <v>G</v>
      </c>
      <c r="U257" s="3">
        <v>101</v>
      </c>
      <c r="V257" s="3" t="str">
        <f>IFERROR(MID(VLOOKUP($B257,Seqs!$A:$B,2,0),W257,1),"")</f>
        <v>H</v>
      </c>
      <c r="W257" s="3">
        <v>136</v>
      </c>
      <c r="X257" s="3" t="str">
        <f>IFERROR(MID(VLOOKUP($B257,Seqs!$A:$B,2,0),Y257,1),"")</f>
        <v/>
      </c>
      <c r="Y257" s="3" t="s">
        <v>23</v>
      </c>
      <c r="Z257" s="3" t="str">
        <f>IFERROR(MID(VLOOKUP($B257,Seqs!$A:$B,2,0),AA257,1),"")</f>
        <v/>
      </c>
      <c r="AA257" s="3" t="s">
        <v>23</v>
      </c>
      <c r="AB257" s="3" t="str">
        <f>IFERROR(MID(VLOOKUP($B257,Seqs!$A:$B,2,0),AC257,1),"")</f>
        <v>S</v>
      </c>
      <c r="AC257" s="3">
        <v>143</v>
      </c>
      <c r="AD257" s="3" t="str">
        <f>IFERROR(MID(VLOOKUP($B257,Seqs!$A:$B,2,0),AE257,1),"")</f>
        <v>S</v>
      </c>
      <c r="AE257" s="3">
        <v>169</v>
      </c>
      <c r="AF257" s="3" t="str">
        <f>IFERROR(MID(VLOOKUP($B257,Seqs!$A:$B,2,0),AG257,1),"")</f>
        <v>C</v>
      </c>
      <c r="AG257" s="3">
        <v>180</v>
      </c>
      <c r="AH257" s="3" t="str">
        <f>IFERROR(MID(VLOOKUP($B257,Seqs!$A:$B,2,0),AI257,1),"")</f>
        <v>I</v>
      </c>
      <c r="AI257" s="3">
        <v>182</v>
      </c>
      <c r="AJ257" s="3" t="str">
        <f>IFERROR(MID(VLOOKUP($B257,Seqs!$A:$B,2,0),AK257,1),"")</f>
        <v>P</v>
      </c>
      <c r="AK257" s="3">
        <v>188</v>
      </c>
      <c r="AL257" s="3" t="str">
        <f>IFERROR(MID(VLOOKUP($B257,Seqs!$A:$B,2,0),AM257,1),"")</f>
        <v>D</v>
      </c>
      <c r="AM257" s="3">
        <v>231</v>
      </c>
      <c r="AN257" s="3" t="str">
        <f>IFERROR(MID(VLOOKUP($B257,Seqs!$A:$B,2,0),AO257,1),"")</f>
        <v>R</v>
      </c>
      <c r="AO257" s="3">
        <v>235</v>
      </c>
      <c r="AP257" s="3" t="str">
        <f>IFERROR(MID(VLOOKUP($B257,Seqs!$A:$B,2,0),AQ257,1),"")</f>
        <v>N</v>
      </c>
      <c r="AQ257" s="3">
        <v>274</v>
      </c>
      <c r="AR257" s="3" t="str">
        <f>IFERROR(MID(VLOOKUP($B257,Seqs!$A:$B,2,0),AS257,1),"")</f>
        <v>F</v>
      </c>
      <c r="AS257" s="3">
        <v>282</v>
      </c>
      <c r="AT257" s="3" t="str">
        <f>IFERROR(MID(VLOOKUP($B257,Seqs!$A:$B,2,0),AU257,1),"")</f>
        <v>L</v>
      </c>
      <c r="AU257" s="3">
        <v>308</v>
      </c>
      <c r="AV257" s="3" t="str">
        <f>IFERROR(MID(VLOOKUP($B257,Seqs!$A:$B,2,0),AW257,1),"")</f>
        <v>N</v>
      </c>
      <c r="AW257" s="3">
        <v>309</v>
      </c>
      <c r="AX257" s="3" t="str">
        <f>IFERROR(MID(VLOOKUP($B257,Seqs!$A:$B,2,0),AY257,1),"")</f>
        <v>F</v>
      </c>
      <c r="AY257" s="3">
        <v>320</v>
      </c>
      <c r="AZ257" s="77" t="str">
        <f>VLOOKUP(B257,Classification!A:D,2,0)</f>
        <v>A</v>
      </c>
      <c r="BA257" s="94" t="str">
        <f>VLOOKUP(B257,Classification!A:D,4,0)</f>
        <v>Tachykinin</v>
      </c>
      <c r="BB257" s="27" t="b">
        <f t="shared" ref="BB257" si="1090">AND(E257&lt;G257,OR(G257&lt;I257,I257="-"),OR(I257&lt;K257,I257="-"),OR(K257&lt;M257,K257="-"),M257&lt;O257,OR(O257&lt;Q257,Q257="-"),OR(Q257&lt;S257,Q257="-"),OR(S257&lt;U257,S257="-"),U257&lt;W257,OR(W257&lt;Y257,Y257="-"),OR(Y257&lt;AA257,Y257="-"),OR(AA257&lt;AC257,AA257="-"),AC257&lt;AE257,OR(AE257&lt;AG257,AG257="-"),OR(AG257&lt;AI257,AG257="-"),OR(AI257&lt;AK257,AI257="-"),AK257&lt;AM257,AM257&lt;AO257,AO257&lt;AQ257,AQ257&lt;AS257,AS257&lt;AU257,OR(AU257&lt;AW257,AW257="-"),OR(AW257&lt;AY257,AW257="-"))</f>
        <v>1</v>
      </c>
      <c r="BC257" s="23">
        <f t="shared" ref="BC257" si="1091">_xlfn.AGGREGATE(9,6,CH257:CS257)-_xlfn.AGGREGATE(9,6,BV257:CG257)+12</f>
        <v>263</v>
      </c>
      <c r="BD257" s="5" t="s">
        <v>23</v>
      </c>
      <c r="BE257" s="3" t="s">
        <v>23</v>
      </c>
      <c r="BF257" s="118" t="s">
        <v>23</v>
      </c>
      <c r="BG257" s="49" t="s">
        <v>1371</v>
      </c>
      <c r="BH257" s="49" t="s">
        <v>1371</v>
      </c>
      <c r="BI257" s="1"/>
      <c r="BJ257" s="70" t="s">
        <v>1281</v>
      </c>
      <c r="BK257" s="57" t="s">
        <v>1281</v>
      </c>
      <c r="BL257" s="57" t="s">
        <v>1281</v>
      </c>
      <c r="BM257" s="57" t="s">
        <v>1281</v>
      </c>
      <c r="BN257" s="57" t="s">
        <v>1281</v>
      </c>
      <c r="BO257" s="57" t="s">
        <v>1281</v>
      </c>
      <c r="BP257" s="57" t="s">
        <v>1281</v>
      </c>
      <c r="BQ257" s="57" t="s">
        <v>1281</v>
      </c>
      <c r="BR257" s="57" t="s">
        <v>1281</v>
      </c>
      <c r="BS257" s="57" t="s">
        <v>1281</v>
      </c>
      <c r="BT257" s="57" t="s">
        <v>1281</v>
      </c>
      <c r="BU257" s="57" t="s">
        <v>1281</v>
      </c>
      <c r="BV257" s="70">
        <f>E257</f>
        <v>28</v>
      </c>
      <c r="BW257" s="71">
        <f>I257</f>
        <v>61</v>
      </c>
      <c r="BX257" s="72">
        <f>M257</f>
        <v>65</v>
      </c>
      <c r="BY257" s="71">
        <f>Q257</f>
        <v>97</v>
      </c>
      <c r="BZ257" s="72">
        <f>U257</f>
        <v>101</v>
      </c>
      <c r="CA257" s="71" t="str">
        <f>Y257</f>
        <v>-</v>
      </c>
      <c r="CB257" s="72">
        <f>AC257</f>
        <v>143</v>
      </c>
      <c r="CC257" s="71">
        <f>AG257</f>
        <v>180</v>
      </c>
      <c r="CD257" s="72">
        <f>AK257</f>
        <v>188</v>
      </c>
      <c r="CE257" s="71">
        <f>AO257</f>
        <v>235</v>
      </c>
      <c r="CF257" s="72">
        <f>AS257</f>
        <v>282</v>
      </c>
      <c r="CG257" s="71">
        <f>AW257</f>
        <v>309</v>
      </c>
      <c r="CH257" s="70">
        <f>G257</f>
        <v>60</v>
      </c>
      <c r="CI257" s="71">
        <f>K257</f>
        <v>64</v>
      </c>
      <c r="CJ257" s="72">
        <f>O257</f>
        <v>96</v>
      </c>
      <c r="CK257" s="72">
        <f>S257</f>
        <v>100</v>
      </c>
      <c r="CL257" s="72">
        <f>W257</f>
        <v>136</v>
      </c>
      <c r="CM257" s="72" t="str">
        <f>AA257</f>
        <v>-</v>
      </c>
      <c r="CN257" s="72">
        <f>AE257</f>
        <v>169</v>
      </c>
      <c r="CO257" s="72">
        <f>AI257</f>
        <v>182</v>
      </c>
      <c r="CP257" s="72">
        <f>AM257</f>
        <v>231</v>
      </c>
      <c r="CQ257" s="72">
        <f>AQ257</f>
        <v>274</v>
      </c>
      <c r="CR257" s="72">
        <f>AU257</f>
        <v>308</v>
      </c>
      <c r="CS257" s="72">
        <f>AY257</f>
        <v>320</v>
      </c>
      <c r="CT257" s="23">
        <f>M257-K257</f>
        <v>1</v>
      </c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  <c r="UU257" s="1"/>
      <c r="UV257" s="1"/>
      <c r="UW257" s="1"/>
      <c r="UX257" s="1"/>
      <c r="UY257" s="1"/>
      <c r="UZ257" s="1"/>
      <c r="VA257" s="1"/>
      <c r="VB257" s="1"/>
      <c r="VC257" s="1"/>
      <c r="VD257" s="1"/>
      <c r="VE257" s="1"/>
      <c r="VF257" s="1"/>
      <c r="VG257" s="1"/>
      <c r="VH257" s="1"/>
      <c r="VI257" s="1"/>
      <c r="VJ257" s="1"/>
      <c r="VK257" s="1"/>
      <c r="VL257" s="1"/>
      <c r="VM257" s="1"/>
      <c r="VN257" s="1"/>
      <c r="VO257" s="1"/>
      <c r="VP257" s="1"/>
      <c r="VQ257" s="1"/>
      <c r="VR257" s="1"/>
      <c r="VS257" s="1"/>
      <c r="VT257" s="1"/>
      <c r="VU257" s="1"/>
      <c r="VV257" s="1"/>
      <c r="VW257" s="1"/>
      <c r="VX257" s="1"/>
      <c r="VY257" s="1"/>
      <c r="VZ257" s="1"/>
      <c r="WA257" s="1"/>
      <c r="WB257" s="1"/>
      <c r="WC257" s="1"/>
      <c r="WD257" s="1"/>
      <c r="WE257" s="1"/>
      <c r="WF257" s="1"/>
      <c r="WG257" s="1"/>
      <c r="WH257" s="1"/>
      <c r="WI257" s="1"/>
      <c r="WJ257" s="1"/>
      <c r="WK257" s="1"/>
      <c r="WL257" s="1"/>
      <c r="WM257" s="1"/>
      <c r="WN257" s="1"/>
      <c r="WO257" s="1"/>
      <c r="WP257" s="1"/>
      <c r="WQ257" s="1"/>
      <c r="WR257" s="1"/>
      <c r="WS257" s="1"/>
      <c r="WT257" s="1"/>
      <c r="WU257" s="1"/>
      <c r="WV257" s="1"/>
      <c r="WW257" s="1"/>
      <c r="WX257" s="1"/>
      <c r="WY257" s="1"/>
      <c r="WZ257" s="1"/>
      <c r="XA257" s="1"/>
      <c r="XB257" s="1"/>
      <c r="XC257" s="1"/>
      <c r="XD257" s="1"/>
      <c r="XE257" s="1"/>
      <c r="XF257" s="1"/>
      <c r="XG257" s="1"/>
      <c r="XH257" s="1"/>
      <c r="XI257" s="1"/>
      <c r="XJ257" s="1"/>
      <c r="XK257" s="1"/>
      <c r="XL257" s="1"/>
      <c r="XM257" s="1"/>
      <c r="XN257" s="1"/>
      <c r="XO257" s="1"/>
      <c r="XP257" s="1"/>
      <c r="XQ257" s="1"/>
      <c r="XR257" s="1"/>
      <c r="XS257" s="1"/>
      <c r="XT257" s="1"/>
      <c r="XU257" s="1"/>
      <c r="XV257" s="1"/>
      <c r="XW257" s="1"/>
      <c r="XX257" s="1"/>
      <c r="XY257" s="1"/>
      <c r="XZ257" s="1"/>
      <c r="YA257" s="1"/>
      <c r="YB257" s="1"/>
      <c r="YC257" s="1"/>
      <c r="YD257" s="1"/>
      <c r="YE257" s="1"/>
      <c r="YF257" s="1"/>
      <c r="YG257" s="1"/>
      <c r="YH257" s="1"/>
      <c r="YI257" s="1"/>
      <c r="YJ257" s="1"/>
      <c r="YK257" s="1"/>
      <c r="YL257" s="1"/>
      <c r="YM257" s="1"/>
      <c r="YN257" s="1"/>
      <c r="YO257" s="1"/>
      <c r="YP257" s="1"/>
      <c r="YQ257" s="1"/>
      <c r="YR257" s="1"/>
      <c r="YS257" s="1"/>
      <c r="YT257" s="1"/>
      <c r="YU257" s="1"/>
      <c r="YV257" s="1"/>
      <c r="YW257" s="1"/>
      <c r="YX257" s="1"/>
      <c r="YY257" s="1"/>
      <c r="YZ257" s="1"/>
      <c r="ZA257" s="1"/>
      <c r="ZB257" s="1"/>
      <c r="ZC257" s="1"/>
      <c r="ZD257" s="1"/>
      <c r="ZE257" s="1"/>
      <c r="ZF257" s="1"/>
      <c r="ZG257" s="1"/>
      <c r="ZH257" s="1"/>
      <c r="ZI257" s="1"/>
      <c r="ZJ257" s="1"/>
      <c r="ZK257" s="1"/>
      <c r="ZL257" s="1"/>
      <c r="ZM257" s="1"/>
      <c r="ZN257" s="1"/>
      <c r="ZO257" s="1"/>
      <c r="ZP257" s="1"/>
      <c r="ZQ257" s="1"/>
      <c r="ZR257" s="1"/>
      <c r="ZS257" s="1"/>
      <c r="ZT257" s="1"/>
      <c r="ZU257" s="1"/>
      <c r="ZV257" s="1"/>
      <c r="ZW257" s="1"/>
      <c r="ZX257" s="1"/>
      <c r="ZY257" s="1"/>
      <c r="ZZ257" s="1"/>
      <c r="AAA257" s="1"/>
      <c r="AAB257" s="1"/>
      <c r="AAC257" s="1"/>
      <c r="AAD257" s="1"/>
      <c r="AAE257" s="1"/>
      <c r="AAF257" s="1"/>
      <c r="AAG257" s="1"/>
      <c r="AAH257" s="1"/>
      <c r="AAI257" s="1"/>
      <c r="AAJ257" s="1"/>
      <c r="AAK257" s="1"/>
      <c r="AAL257" s="1"/>
      <c r="AAM257" s="1"/>
      <c r="AAN257" s="1"/>
      <c r="AAO257" s="1"/>
      <c r="AAP257" s="1"/>
      <c r="AAQ257" s="1"/>
      <c r="AAR257" s="1"/>
      <c r="AAS257" s="1"/>
      <c r="AAT257" s="1"/>
      <c r="AAU257" s="1"/>
      <c r="AAV257" s="1"/>
      <c r="AAW257" s="1"/>
      <c r="AAX257" s="1"/>
      <c r="AAY257" s="1"/>
      <c r="AAZ257" s="1"/>
      <c r="ABA257" s="1"/>
      <c r="ABB257" s="1"/>
      <c r="ABC257" s="1"/>
      <c r="ABD257" s="1"/>
      <c r="ABE257" s="1"/>
      <c r="ABF257" s="1"/>
      <c r="ABG257" s="1"/>
      <c r="ABH257" s="1"/>
      <c r="ABI257" s="1"/>
      <c r="ABJ257" s="1"/>
      <c r="ABK257" s="1"/>
      <c r="ABL257" s="1"/>
      <c r="ABM257" s="1"/>
      <c r="ABN257" s="1"/>
      <c r="ABO257" s="1"/>
      <c r="ABP257" s="1"/>
      <c r="ABQ257" s="1"/>
      <c r="ABR257" s="1"/>
      <c r="ABS257" s="1"/>
      <c r="ABT257" s="1"/>
      <c r="ABU257" s="1"/>
      <c r="ABV257" s="1"/>
      <c r="ABW257" s="1"/>
      <c r="ABX257" s="1"/>
      <c r="ABY257" s="1"/>
      <c r="ABZ257" s="1"/>
      <c r="ACA257" s="1"/>
      <c r="ACB257" s="1"/>
      <c r="ACC257" s="1"/>
      <c r="ACD257" s="1"/>
      <c r="ACE257" s="1"/>
      <c r="ACF257" s="1"/>
      <c r="ACG257" s="1"/>
      <c r="ACH257" s="1"/>
      <c r="ACI257" s="1"/>
      <c r="ACJ257" s="1"/>
      <c r="ACK257" s="1"/>
      <c r="ACL257" s="1"/>
      <c r="ACM257" s="1"/>
      <c r="ACN257" s="1"/>
      <c r="ACO257" s="1"/>
      <c r="ACP257" s="1"/>
      <c r="ACQ257" s="1"/>
      <c r="ACR257" s="1"/>
      <c r="ACS257" s="1"/>
      <c r="ACT257" s="1"/>
      <c r="ACU257" s="1"/>
      <c r="ACV257" s="1"/>
      <c r="ACW257" s="1"/>
      <c r="ACX257" s="1"/>
      <c r="ACY257" s="1"/>
      <c r="ACZ257" s="1"/>
      <c r="ADA257" s="1"/>
      <c r="ADB257" s="1"/>
      <c r="ADC257" s="1"/>
      <c r="ADD257" s="1"/>
      <c r="ADE257" s="1"/>
      <c r="ADF257" s="1"/>
      <c r="ADG257" s="1"/>
      <c r="ADH257" s="1"/>
      <c r="ADI257" s="1"/>
      <c r="ADJ257" s="1"/>
      <c r="ADK257" s="1"/>
      <c r="ADL257" s="1"/>
      <c r="ADM257" s="1"/>
      <c r="ADN257" s="1"/>
      <c r="ADO257" s="1"/>
      <c r="ADP257" s="1"/>
      <c r="ADQ257" s="1"/>
      <c r="ADR257" s="1"/>
      <c r="ADS257" s="1"/>
      <c r="ADT257" s="1"/>
      <c r="ADU257" s="1"/>
      <c r="ADV257" s="1"/>
      <c r="ADW257" s="1"/>
      <c r="ADX257" s="1"/>
      <c r="ADY257" s="1"/>
      <c r="ADZ257" s="1"/>
      <c r="AEA257" s="1"/>
      <c r="AEB257" s="1"/>
      <c r="AEC257" s="1"/>
      <c r="AED257" s="1"/>
      <c r="AEE257" s="1"/>
      <c r="AEF257" s="1"/>
      <c r="AEG257" s="1"/>
      <c r="AEH257" s="1"/>
      <c r="AEI257" s="1"/>
      <c r="AEJ257" s="1"/>
      <c r="AEK257" s="1"/>
      <c r="AEL257" s="1"/>
      <c r="AEM257" s="1"/>
      <c r="AEN257" s="1"/>
      <c r="AEO257" s="1"/>
      <c r="AEP257" s="1"/>
      <c r="AEQ257" s="1"/>
      <c r="AER257" s="1"/>
      <c r="AES257" s="1"/>
      <c r="AET257" s="1"/>
      <c r="AEU257" s="1"/>
      <c r="AEV257" s="1"/>
      <c r="AEW257" s="1"/>
      <c r="AEX257" s="1"/>
      <c r="AEY257" s="1"/>
      <c r="AEZ257" s="1"/>
      <c r="AFA257" s="1"/>
      <c r="AFB257" s="1"/>
      <c r="AFC257" s="1"/>
      <c r="AFD257" s="1"/>
      <c r="AFE257" s="1"/>
      <c r="AFF257" s="1"/>
      <c r="AFG257" s="1"/>
      <c r="AFH257" s="1"/>
      <c r="AFI257" s="1"/>
      <c r="AFJ257" s="1"/>
      <c r="AFK257" s="1"/>
      <c r="AFL257" s="1"/>
      <c r="AFM257" s="1"/>
      <c r="AFN257" s="1"/>
      <c r="AFO257" s="1"/>
      <c r="AFP257" s="1"/>
      <c r="AFQ257" s="1"/>
      <c r="AFR257" s="1"/>
      <c r="AFS257" s="1"/>
      <c r="AFT257" s="1"/>
      <c r="AFU257" s="1"/>
      <c r="AFV257" s="1"/>
      <c r="AFW257" s="1"/>
      <c r="AFX257" s="1"/>
      <c r="AFY257" s="1"/>
      <c r="AFZ257" s="1"/>
      <c r="AGA257" s="1"/>
      <c r="AGB257" s="1"/>
      <c r="AGC257" s="1"/>
      <c r="AGD257" s="1"/>
      <c r="AGE257" s="1"/>
      <c r="AGF257" s="1"/>
      <c r="AGG257" s="1"/>
      <c r="AGH257" s="1"/>
      <c r="AGI257" s="1"/>
      <c r="AGJ257" s="1"/>
      <c r="AGK257" s="1"/>
      <c r="AGL257" s="1"/>
      <c r="AGM257" s="1"/>
      <c r="AGN257" s="1"/>
      <c r="AGO257" s="1"/>
      <c r="AGP257" s="1"/>
      <c r="AGQ257" s="1"/>
      <c r="AGR257" s="1"/>
      <c r="AGS257" s="1"/>
      <c r="AGT257" s="1"/>
      <c r="AGU257" s="1"/>
      <c r="AGV257" s="1"/>
      <c r="AGW257" s="1"/>
      <c r="AGX257" s="1"/>
      <c r="AGY257" s="1"/>
      <c r="AGZ257" s="1"/>
      <c r="AHA257" s="1"/>
      <c r="AHB257" s="1"/>
      <c r="AHC257" s="1"/>
      <c r="AHD257" s="1"/>
      <c r="AHE257" s="1"/>
      <c r="AHF257" s="1"/>
      <c r="AHG257" s="1"/>
      <c r="AHH257" s="1"/>
      <c r="AHI257" s="1"/>
      <c r="AHJ257" s="1"/>
      <c r="AHK257" s="1"/>
      <c r="AHL257" s="1"/>
      <c r="AHM257" s="1"/>
      <c r="AHN257" s="1"/>
      <c r="AHO257" s="1"/>
      <c r="AHP257" s="1"/>
      <c r="AHQ257" s="1"/>
      <c r="AHR257" s="1"/>
      <c r="AHS257" s="1"/>
      <c r="AHT257" s="1"/>
      <c r="AHU257" s="1"/>
      <c r="AHV257" s="1"/>
      <c r="AHW257" s="1"/>
      <c r="AHX257" s="1"/>
      <c r="AHY257" s="1"/>
      <c r="AHZ257" s="1"/>
      <c r="AIA257" s="1"/>
      <c r="AIB257" s="1"/>
      <c r="AIC257" s="1"/>
      <c r="AID257" s="1"/>
      <c r="AIE257" s="1"/>
      <c r="AIF257" s="1"/>
      <c r="AIG257" s="1"/>
      <c r="AIH257" s="1"/>
      <c r="AII257" s="1"/>
      <c r="AIJ257" s="1"/>
      <c r="AIK257" s="1"/>
      <c r="AIL257" s="1"/>
      <c r="AIM257" s="1"/>
      <c r="AIN257" s="1"/>
      <c r="AIO257" s="1"/>
      <c r="AIP257" s="1"/>
      <c r="AIQ257" s="1"/>
      <c r="AIR257" s="1"/>
      <c r="AIS257" s="1"/>
      <c r="AIT257" s="1"/>
      <c r="AIU257" s="1"/>
      <c r="AIV257" s="1"/>
      <c r="AIW257" s="1"/>
      <c r="AIX257" s="1"/>
      <c r="AIY257" s="1"/>
      <c r="AIZ257" s="1"/>
      <c r="AJA257" s="1"/>
      <c r="AJB257" s="1"/>
      <c r="AJC257" s="1"/>
      <c r="AJD257" s="1"/>
      <c r="AJE257" s="1"/>
      <c r="AJF257" s="1"/>
      <c r="AJG257" s="1"/>
      <c r="AJH257" s="1"/>
      <c r="AJI257" s="1"/>
      <c r="AJJ257" s="1"/>
      <c r="AJK257" s="1"/>
      <c r="AJL257" s="1"/>
      <c r="AJM257" s="1"/>
      <c r="AJN257" s="1"/>
      <c r="AJO257" s="1"/>
      <c r="AJP257" s="1"/>
      <c r="AJQ257" s="1"/>
      <c r="AJR257" s="1"/>
      <c r="AJS257" s="1"/>
      <c r="AJT257" s="1"/>
      <c r="AJU257" s="1"/>
      <c r="AJV257" s="1"/>
      <c r="AJW257" s="1"/>
      <c r="AJX257" s="1"/>
      <c r="AJY257" s="1"/>
      <c r="AJZ257" s="1"/>
      <c r="AKA257" s="1"/>
      <c r="AKB257" s="1"/>
      <c r="AKC257" s="1"/>
      <c r="AKD257" s="1"/>
      <c r="AKE257" s="1"/>
      <c r="AKF257" s="1"/>
      <c r="AKG257" s="1"/>
      <c r="AKH257" s="1"/>
      <c r="AKI257" s="1"/>
      <c r="AKJ257" s="1"/>
      <c r="AKK257" s="1"/>
      <c r="AKL257" s="1"/>
      <c r="AKM257" s="1"/>
      <c r="AKN257" s="1"/>
      <c r="AKO257" s="1"/>
      <c r="AKP257" s="1"/>
      <c r="AKQ257" s="1"/>
      <c r="AKR257" s="1"/>
      <c r="AKS257" s="1"/>
      <c r="AKT257" s="1"/>
      <c r="AKU257" s="1"/>
      <c r="AKV257" s="1"/>
      <c r="AKW257" s="1"/>
      <c r="AKX257" s="1"/>
      <c r="AKY257" s="1"/>
      <c r="AKZ257" s="1"/>
      <c r="ALA257" s="1"/>
      <c r="ALB257" s="1"/>
      <c r="ALC257" s="1"/>
      <c r="ALD257" s="1"/>
      <c r="ALE257" s="1"/>
      <c r="ALF257" s="1"/>
      <c r="ALG257" s="1"/>
      <c r="ALH257" s="1"/>
      <c r="ALI257" s="1"/>
      <c r="ALJ257" s="1"/>
      <c r="ALK257" s="1"/>
      <c r="ALL257" s="1"/>
      <c r="ALM257" s="1"/>
      <c r="ALN257" s="1"/>
      <c r="ALO257" s="1"/>
      <c r="ALP257" s="1"/>
      <c r="ALQ257" s="1"/>
      <c r="ALR257" s="1"/>
      <c r="ALS257" s="1"/>
      <c r="ALT257" s="1"/>
      <c r="ALU257" s="1"/>
      <c r="ALV257" s="1"/>
      <c r="ALW257" s="1"/>
      <c r="ALX257" s="1"/>
      <c r="ALY257" s="1"/>
      <c r="ALZ257" s="1"/>
      <c r="AMA257" s="1"/>
      <c r="AMB257" s="1"/>
      <c r="AMC257" s="1"/>
      <c r="AMD257" s="1"/>
      <c r="AME257" s="1"/>
      <c r="AMF257" s="1"/>
      <c r="AMG257" s="1"/>
      <c r="AMH257" s="1"/>
      <c r="AMI257" s="1"/>
      <c r="AMJ257" s="1"/>
      <c r="AMK257" s="1"/>
      <c r="AML257" s="1"/>
      <c r="AMM257" s="1"/>
      <c r="AMN257" s="1"/>
      <c r="AMO257" s="1"/>
    </row>
    <row r="258" spans="1:1029" x14ac:dyDescent="0.2">
      <c r="A258" s="3" t="str">
        <f>CONCATENATE(B258,"_",C258)</f>
        <v>nk1r_human_6E59</v>
      </c>
      <c r="B258" s="3" t="s">
        <v>313</v>
      </c>
      <c r="C258" s="133" t="s">
        <v>1529</v>
      </c>
      <c r="D258" s="3" t="str">
        <f>IFERROR(MID(VLOOKUP($B258,Seqs!$A:$B,2,0),E258,1),"")</f>
        <v>V</v>
      </c>
      <c r="E258" s="3">
        <v>33</v>
      </c>
      <c r="F258" s="3" t="str">
        <f>IFERROR(MID(VLOOKUP($B258,Seqs!$A:$B,2,0),G258,1),"")</f>
        <v>H</v>
      </c>
      <c r="G258" s="3">
        <v>60</v>
      </c>
      <c r="H258" s="3" t="str">
        <f>IFERROR(MID(VLOOKUP($B258,Seqs!$A:$B,2,0),I258,1),"")</f>
        <v/>
      </c>
      <c r="I258" s="23" t="s">
        <v>23</v>
      </c>
      <c r="J258" s="3" t="str">
        <f>IFERROR(MID(VLOOKUP($B258,Seqs!$A:$B,2,0),K258,1),"")</f>
        <v/>
      </c>
      <c r="K258" s="23" t="s">
        <v>23</v>
      </c>
      <c r="L258" s="3" t="str">
        <f>IFERROR(MID(VLOOKUP($B258,Seqs!$A:$B,2,0),M258,1),"")</f>
        <v>T</v>
      </c>
      <c r="M258" s="3">
        <v>65</v>
      </c>
      <c r="N258" s="3" t="str">
        <f>IFERROR(MID(VLOOKUP($B258,Seqs!$A:$B,2,0),O258,1),"")</f>
        <v>V</v>
      </c>
      <c r="O258" s="3">
        <v>94</v>
      </c>
      <c r="P258" s="3" t="str">
        <f>IFERROR(MID(VLOOKUP($B258,Seqs!$A:$B,2,0),Q258,1),"")</f>
        <v>E</v>
      </c>
      <c r="Q258" s="3">
        <v>97</v>
      </c>
      <c r="R258" s="3" t="str">
        <f>IFERROR(MID(VLOOKUP($B258,Seqs!$A:$B,2,0),S258,1),"")</f>
        <v>Y</v>
      </c>
      <c r="S258" s="3">
        <v>100</v>
      </c>
      <c r="T258" s="3" t="str">
        <f>IFERROR(MID(VLOOKUP($B258,Seqs!$A:$B,2,0),U258,1),"")</f>
        <v>F</v>
      </c>
      <c r="U258" s="3">
        <v>103</v>
      </c>
      <c r="V258" s="3" t="str">
        <f>IFERROR(MID(VLOOKUP($B258,Seqs!$A:$B,2,0),W258,1),"")</f>
        <v>H</v>
      </c>
      <c r="W258" s="3">
        <v>136</v>
      </c>
      <c r="X258" s="3" t="str">
        <f>IFERROR(MID(VLOOKUP($B258,Seqs!$A:$B,2,0),Y258,1),"")</f>
        <v/>
      </c>
      <c r="Y258" s="3" t="s">
        <v>23</v>
      </c>
      <c r="Z258" s="3" t="str">
        <f>IFERROR(MID(VLOOKUP($B258,Seqs!$A:$B,2,0),AA258,1),"")</f>
        <v/>
      </c>
      <c r="AA258" s="3" t="s">
        <v>23</v>
      </c>
      <c r="AB258" s="3" t="str">
        <f>IFERROR(MID(VLOOKUP($B258,Seqs!$A:$B,2,0),AC258,1),"")</f>
        <v>S</v>
      </c>
      <c r="AC258" s="3">
        <v>143</v>
      </c>
      <c r="AD258" s="3" t="str">
        <f>IFERROR(MID(VLOOKUP($B258,Seqs!$A:$B,2,0),AE258,1),"")</f>
        <v>S</v>
      </c>
      <c r="AE258" s="3">
        <v>169</v>
      </c>
      <c r="AF258" s="3" t="str">
        <f>IFERROR(MID(VLOOKUP($B258,Seqs!$A:$B,2,0),AG258,1),"")</f>
        <v>C</v>
      </c>
      <c r="AG258" s="3">
        <v>180</v>
      </c>
      <c r="AH258" s="3" t="str">
        <f>IFERROR(MID(VLOOKUP($B258,Seqs!$A:$B,2,0),AI258,1),"")</f>
        <v>I</v>
      </c>
      <c r="AI258" s="3">
        <v>182</v>
      </c>
      <c r="AJ258" s="3" t="str">
        <f>IFERROR(MID(VLOOKUP($B258,Seqs!$A:$B,2,0),AK258,1),"")</f>
        <v>P</v>
      </c>
      <c r="AK258" s="3">
        <v>188</v>
      </c>
      <c r="AL258" s="3" t="str">
        <f>IFERROR(MID(VLOOKUP($B258,Seqs!$A:$B,2,0),AM258,1),"")</f>
        <v>W</v>
      </c>
      <c r="AM258" s="3">
        <v>224</v>
      </c>
      <c r="AN258" s="3" t="str">
        <f>IFERROR(MID(VLOOKUP($B258,Seqs!$A:$B,2,0),AO258,1),"")</f>
        <v>E</v>
      </c>
      <c r="AO258" s="3">
        <v>238</v>
      </c>
      <c r="AP258" s="3" t="str">
        <f>IFERROR(MID(VLOOKUP($B258,Seqs!$A:$B,2,0),AQ258,1),"")</f>
        <v>N</v>
      </c>
      <c r="AQ258" s="3">
        <v>274</v>
      </c>
      <c r="AR258" s="3" t="str">
        <f>IFERROR(MID(VLOOKUP($B258,Seqs!$A:$B,2,0),AS258,1),"")</f>
        <v>I</v>
      </c>
      <c r="AS258" s="3">
        <v>283</v>
      </c>
      <c r="AT258" s="3" t="str">
        <f>IFERROR(MID(VLOOKUP($B258,Seqs!$A:$B,2,0),AU258,1),"")</f>
        <v>L</v>
      </c>
      <c r="AU258" s="3">
        <v>308</v>
      </c>
      <c r="AV258" s="3" t="str">
        <f>IFERROR(MID(VLOOKUP($B258,Seqs!$A:$B,2,0),AW258,1),"")</f>
        <v>N</v>
      </c>
      <c r="AW258" s="3">
        <v>309</v>
      </c>
      <c r="AX258" s="3" t="str">
        <f>IFERROR(MID(VLOOKUP($B258,Seqs!$A:$B,2,0),AY258,1),"")</f>
        <v>H</v>
      </c>
      <c r="AY258" s="3">
        <v>318</v>
      </c>
      <c r="AZ258" s="77" t="str">
        <f>VLOOKUP(B258,Classification!A:D,2,0)</f>
        <v>A</v>
      </c>
      <c r="BA258" s="94" t="str">
        <f>VLOOKUP(B258,Classification!A:D,4,0)</f>
        <v>Tachykinin</v>
      </c>
      <c r="BB258" s="27" t="b">
        <f t="shared" ref="BB258" si="1092">AND(E258&lt;G258,OR(G258&lt;I258,I258="-"),OR(I258&lt;K258,I258="-"),OR(K258&lt;M258,K258="-"),M258&lt;O258,OR(O258&lt;Q258,Q258="-"),OR(Q258&lt;S258,Q258="-"),OR(S258&lt;U258,S258="-"),U258&lt;W258,OR(W258&lt;Y258,Y258="-"),OR(Y258&lt;AA258,Y258="-"),OR(AA258&lt;AC258,AA258="-"),AC258&lt;AE258,OR(AE258&lt;AG258,AG258="-"),OR(AG258&lt;AI258,AG258="-"),OR(AI258&lt;AK258,AI258="-"),AK258&lt;AM258,AM258&lt;AO258,AO258&lt;AQ258,AQ258&lt;AS258,AS258&lt;AU258,OR(AU258&lt;AW258,AW258="-"),OR(AW258&lt;AY258,AW258="-"))</f>
        <v>1</v>
      </c>
      <c r="BC258" s="23">
        <f t="shared" ref="BC258" si="1093">_xlfn.AGGREGATE(9,6,CH258:CS258)-_xlfn.AGGREGATE(9,6,BV258:CG258)+12</f>
        <v>238</v>
      </c>
      <c r="BD258" s="5" t="s">
        <v>23</v>
      </c>
      <c r="BE258" s="3" t="s">
        <v>1368</v>
      </c>
      <c r="BF258" s="118">
        <v>3.4</v>
      </c>
      <c r="BG258" s="49" t="s">
        <v>1</v>
      </c>
      <c r="BH258" s="49" t="s">
        <v>1</v>
      </c>
      <c r="BI258" s="1"/>
      <c r="BJ258" s="70" t="s">
        <v>1281</v>
      </c>
      <c r="BK258" s="57" t="s">
        <v>1281</v>
      </c>
      <c r="BL258" s="57" t="s">
        <v>1281</v>
      </c>
      <c r="BM258" s="57" t="s">
        <v>1281</v>
      </c>
      <c r="BN258" s="57" t="s">
        <v>1281</v>
      </c>
      <c r="BO258" s="57" t="s">
        <v>1281</v>
      </c>
      <c r="BP258" s="57" t="s">
        <v>1281</v>
      </c>
      <c r="BQ258" s="57" t="s">
        <v>1281</v>
      </c>
      <c r="BR258" s="57" t="s">
        <v>1281</v>
      </c>
      <c r="BS258" s="57" t="s">
        <v>1281</v>
      </c>
      <c r="BT258" s="57" t="s">
        <v>1281</v>
      </c>
      <c r="BU258" s="57" t="s">
        <v>1281</v>
      </c>
      <c r="BV258" s="70">
        <f>E258</f>
        <v>33</v>
      </c>
      <c r="BW258" s="71" t="str">
        <f>I258</f>
        <v>-</v>
      </c>
      <c r="BX258" s="72">
        <f>M258</f>
        <v>65</v>
      </c>
      <c r="BY258" s="71">
        <f>Q258</f>
        <v>97</v>
      </c>
      <c r="BZ258" s="72">
        <f>U258</f>
        <v>103</v>
      </c>
      <c r="CA258" s="71" t="str">
        <f>Y258</f>
        <v>-</v>
      </c>
      <c r="CB258" s="72">
        <f>AC258</f>
        <v>143</v>
      </c>
      <c r="CC258" s="71">
        <f>AG258</f>
        <v>180</v>
      </c>
      <c r="CD258" s="72">
        <f>AK258</f>
        <v>188</v>
      </c>
      <c r="CE258" s="71">
        <f>AO258</f>
        <v>238</v>
      </c>
      <c r="CF258" s="72">
        <f>AS258</f>
        <v>283</v>
      </c>
      <c r="CG258" s="71">
        <f>AW258</f>
        <v>309</v>
      </c>
      <c r="CH258" s="70">
        <f>G258</f>
        <v>60</v>
      </c>
      <c r="CI258" s="71" t="str">
        <f>K258</f>
        <v>-</v>
      </c>
      <c r="CJ258" s="72">
        <f>O258</f>
        <v>94</v>
      </c>
      <c r="CK258" s="72">
        <f>S258</f>
        <v>100</v>
      </c>
      <c r="CL258" s="72">
        <f>W258</f>
        <v>136</v>
      </c>
      <c r="CM258" s="72" t="str">
        <f>AA258</f>
        <v>-</v>
      </c>
      <c r="CN258" s="72">
        <f>AE258</f>
        <v>169</v>
      </c>
      <c r="CO258" s="72">
        <f>AI258</f>
        <v>182</v>
      </c>
      <c r="CP258" s="72">
        <f>AM258</f>
        <v>224</v>
      </c>
      <c r="CQ258" s="72">
        <f>AQ258</f>
        <v>274</v>
      </c>
      <c r="CR258" s="72">
        <f>AU258</f>
        <v>308</v>
      </c>
      <c r="CS258" s="72">
        <f>AY258</f>
        <v>318</v>
      </c>
      <c r="CT258" s="23" t="e">
        <f>M258-K258</f>
        <v>#VALUE!</v>
      </c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  <c r="UW258" s="1"/>
      <c r="UX258" s="1"/>
      <c r="UY258" s="1"/>
      <c r="UZ258" s="1"/>
      <c r="VA258" s="1"/>
      <c r="VB258" s="1"/>
      <c r="VC258" s="1"/>
      <c r="VD258" s="1"/>
      <c r="VE258" s="1"/>
      <c r="VF258" s="1"/>
      <c r="VG258" s="1"/>
      <c r="VH258" s="1"/>
      <c r="VI258" s="1"/>
      <c r="VJ258" s="1"/>
      <c r="VK258" s="1"/>
      <c r="VL258" s="1"/>
      <c r="VM258" s="1"/>
      <c r="VN258" s="1"/>
      <c r="VO258" s="1"/>
      <c r="VP258" s="1"/>
      <c r="VQ258" s="1"/>
      <c r="VR258" s="1"/>
      <c r="VS258" s="1"/>
      <c r="VT258" s="1"/>
      <c r="VU258" s="1"/>
      <c r="VV258" s="1"/>
      <c r="VW258" s="1"/>
      <c r="VX258" s="1"/>
      <c r="VY258" s="1"/>
      <c r="VZ258" s="1"/>
      <c r="WA258" s="1"/>
      <c r="WB258" s="1"/>
      <c r="WC258" s="1"/>
      <c r="WD258" s="1"/>
      <c r="WE258" s="1"/>
      <c r="WF258" s="1"/>
      <c r="WG258" s="1"/>
      <c r="WH258" s="1"/>
      <c r="WI258" s="1"/>
      <c r="WJ258" s="1"/>
      <c r="WK258" s="1"/>
      <c r="WL258" s="1"/>
      <c r="WM258" s="1"/>
      <c r="WN258" s="1"/>
      <c r="WO258" s="1"/>
      <c r="WP258" s="1"/>
      <c r="WQ258" s="1"/>
      <c r="WR258" s="1"/>
      <c r="WS258" s="1"/>
      <c r="WT258" s="1"/>
      <c r="WU258" s="1"/>
      <c r="WV258" s="1"/>
      <c r="WW258" s="1"/>
      <c r="WX258" s="1"/>
      <c r="WY258" s="1"/>
      <c r="WZ258" s="1"/>
      <c r="XA258" s="1"/>
      <c r="XB258" s="1"/>
      <c r="XC258" s="1"/>
      <c r="XD258" s="1"/>
      <c r="XE258" s="1"/>
      <c r="XF258" s="1"/>
      <c r="XG258" s="1"/>
      <c r="XH258" s="1"/>
      <c r="XI258" s="1"/>
      <c r="XJ258" s="1"/>
      <c r="XK258" s="1"/>
      <c r="XL258" s="1"/>
      <c r="XM258" s="1"/>
      <c r="XN258" s="1"/>
      <c r="XO258" s="1"/>
      <c r="XP258" s="1"/>
      <c r="XQ258" s="1"/>
      <c r="XR258" s="1"/>
      <c r="XS258" s="1"/>
      <c r="XT258" s="1"/>
      <c r="XU258" s="1"/>
      <c r="XV258" s="1"/>
      <c r="XW258" s="1"/>
      <c r="XX258" s="1"/>
      <c r="XY258" s="1"/>
      <c r="XZ258" s="1"/>
      <c r="YA258" s="1"/>
      <c r="YB258" s="1"/>
      <c r="YC258" s="1"/>
      <c r="YD258" s="1"/>
      <c r="YE258" s="1"/>
      <c r="YF258" s="1"/>
      <c r="YG258" s="1"/>
      <c r="YH258" s="1"/>
      <c r="YI258" s="1"/>
      <c r="YJ258" s="1"/>
      <c r="YK258" s="1"/>
      <c r="YL258" s="1"/>
      <c r="YM258" s="1"/>
      <c r="YN258" s="1"/>
      <c r="YO258" s="1"/>
      <c r="YP258" s="1"/>
      <c r="YQ258" s="1"/>
      <c r="YR258" s="1"/>
      <c r="YS258" s="1"/>
      <c r="YT258" s="1"/>
      <c r="YU258" s="1"/>
      <c r="YV258" s="1"/>
      <c r="YW258" s="1"/>
      <c r="YX258" s="1"/>
      <c r="YY258" s="1"/>
      <c r="YZ258" s="1"/>
      <c r="ZA258" s="1"/>
      <c r="ZB258" s="1"/>
      <c r="ZC258" s="1"/>
      <c r="ZD258" s="1"/>
      <c r="ZE258" s="1"/>
      <c r="ZF258" s="1"/>
      <c r="ZG258" s="1"/>
      <c r="ZH258" s="1"/>
      <c r="ZI258" s="1"/>
      <c r="ZJ258" s="1"/>
      <c r="ZK258" s="1"/>
      <c r="ZL258" s="1"/>
      <c r="ZM258" s="1"/>
      <c r="ZN258" s="1"/>
      <c r="ZO258" s="1"/>
      <c r="ZP258" s="1"/>
      <c r="ZQ258" s="1"/>
      <c r="ZR258" s="1"/>
      <c r="ZS258" s="1"/>
      <c r="ZT258" s="1"/>
      <c r="ZU258" s="1"/>
      <c r="ZV258" s="1"/>
      <c r="ZW258" s="1"/>
      <c r="ZX258" s="1"/>
      <c r="ZY258" s="1"/>
      <c r="ZZ258" s="1"/>
      <c r="AAA258" s="1"/>
      <c r="AAB258" s="1"/>
      <c r="AAC258" s="1"/>
      <c r="AAD258" s="1"/>
      <c r="AAE258" s="1"/>
      <c r="AAF258" s="1"/>
      <c r="AAG258" s="1"/>
      <c r="AAH258" s="1"/>
      <c r="AAI258" s="1"/>
      <c r="AAJ258" s="1"/>
      <c r="AAK258" s="1"/>
      <c r="AAL258" s="1"/>
      <c r="AAM258" s="1"/>
      <c r="AAN258" s="1"/>
      <c r="AAO258" s="1"/>
      <c r="AAP258" s="1"/>
      <c r="AAQ258" s="1"/>
      <c r="AAR258" s="1"/>
      <c r="AAS258" s="1"/>
      <c r="AAT258" s="1"/>
      <c r="AAU258" s="1"/>
      <c r="AAV258" s="1"/>
      <c r="AAW258" s="1"/>
      <c r="AAX258" s="1"/>
      <c r="AAY258" s="1"/>
      <c r="AAZ258" s="1"/>
      <c r="ABA258" s="1"/>
      <c r="ABB258" s="1"/>
      <c r="ABC258" s="1"/>
      <c r="ABD258" s="1"/>
      <c r="ABE258" s="1"/>
      <c r="ABF258" s="1"/>
      <c r="ABG258" s="1"/>
      <c r="ABH258" s="1"/>
      <c r="ABI258" s="1"/>
      <c r="ABJ258" s="1"/>
      <c r="ABK258" s="1"/>
      <c r="ABL258" s="1"/>
      <c r="ABM258" s="1"/>
      <c r="ABN258" s="1"/>
      <c r="ABO258" s="1"/>
      <c r="ABP258" s="1"/>
      <c r="ABQ258" s="1"/>
      <c r="ABR258" s="1"/>
      <c r="ABS258" s="1"/>
      <c r="ABT258" s="1"/>
      <c r="ABU258" s="1"/>
      <c r="ABV258" s="1"/>
      <c r="ABW258" s="1"/>
      <c r="ABX258" s="1"/>
      <c r="ABY258" s="1"/>
      <c r="ABZ258" s="1"/>
      <c r="ACA258" s="1"/>
      <c r="ACB258" s="1"/>
      <c r="ACC258" s="1"/>
      <c r="ACD258" s="1"/>
      <c r="ACE258" s="1"/>
      <c r="ACF258" s="1"/>
      <c r="ACG258" s="1"/>
      <c r="ACH258" s="1"/>
      <c r="ACI258" s="1"/>
      <c r="ACJ258" s="1"/>
      <c r="ACK258" s="1"/>
      <c r="ACL258" s="1"/>
      <c r="ACM258" s="1"/>
      <c r="ACN258" s="1"/>
      <c r="ACO258" s="1"/>
      <c r="ACP258" s="1"/>
      <c r="ACQ258" s="1"/>
      <c r="ACR258" s="1"/>
      <c r="ACS258" s="1"/>
      <c r="ACT258" s="1"/>
      <c r="ACU258" s="1"/>
      <c r="ACV258" s="1"/>
      <c r="ACW258" s="1"/>
      <c r="ACX258" s="1"/>
      <c r="ACY258" s="1"/>
      <c r="ACZ258" s="1"/>
      <c r="ADA258" s="1"/>
      <c r="ADB258" s="1"/>
      <c r="ADC258" s="1"/>
      <c r="ADD258" s="1"/>
      <c r="ADE258" s="1"/>
      <c r="ADF258" s="1"/>
      <c r="ADG258" s="1"/>
      <c r="ADH258" s="1"/>
      <c r="ADI258" s="1"/>
      <c r="ADJ258" s="1"/>
      <c r="ADK258" s="1"/>
      <c r="ADL258" s="1"/>
      <c r="ADM258" s="1"/>
      <c r="ADN258" s="1"/>
      <c r="ADO258" s="1"/>
      <c r="ADP258" s="1"/>
      <c r="ADQ258" s="1"/>
      <c r="ADR258" s="1"/>
      <c r="ADS258" s="1"/>
      <c r="ADT258" s="1"/>
      <c r="ADU258" s="1"/>
      <c r="ADV258" s="1"/>
      <c r="ADW258" s="1"/>
      <c r="ADX258" s="1"/>
      <c r="ADY258" s="1"/>
      <c r="ADZ258" s="1"/>
      <c r="AEA258" s="1"/>
      <c r="AEB258" s="1"/>
      <c r="AEC258" s="1"/>
      <c r="AED258" s="1"/>
      <c r="AEE258" s="1"/>
      <c r="AEF258" s="1"/>
      <c r="AEG258" s="1"/>
      <c r="AEH258" s="1"/>
      <c r="AEI258" s="1"/>
      <c r="AEJ258" s="1"/>
      <c r="AEK258" s="1"/>
      <c r="AEL258" s="1"/>
      <c r="AEM258" s="1"/>
      <c r="AEN258" s="1"/>
      <c r="AEO258" s="1"/>
      <c r="AEP258" s="1"/>
      <c r="AEQ258" s="1"/>
      <c r="AER258" s="1"/>
      <c r="AES258" s="1"/>
      <c r="AET258" s="1"/>
      <c r="AEU258" s="1"/>
      <c r="AEV258" s="1"/>
      <c r="AEW258" s="1"/>
      <c r="AEX258" s="1"/>
      <c r="AEY258" s="1"/>
      <c r="AEZ258" s="1"/>
      <c r="AFA258" s="1"/>
      <c r="AFB258" s="1"/>
      <c r="AFC258" s="1"/>
      <c r="AFD258" s="1"/>
      <c r="AFE258" s="1"/>
      <c r="AFF258" s="1"/>
      <c r="AFG258" s="1"/>
      <c r="AFH258" s="1"/>
      <c r="AFI258" s="1"/>
      <c r="AFJ258" s="1"/>
      <c r="AFK258" s="1"/>
      <c r="AFL258" s="1"/>
      <c r="AFM258" s="1"/>
      <c r="AFN258" s="1"/>
      <c r="AFO258" s="1"/>
      <c r="AFP258" s="1"/>
      <c r="AFQ258" s="1"/>
      <c r="AFR258" s="1"/>
      <c r="AFS258" s="1"/>
      <c r="AFT258" s="1"/>
      <c r="AFU258" s="1"/>
      <c r="AFV258" s="1"/>
      <c r="AFW258" s="1"/>
      <c r="AFX258" s="1"/>
      <c r="AFY258" s="1"/>
      <c r="AFZ258" s="1"/>
      <c r="AGA258" s="1"/>
      <c r="AGB258" s="1"/>
      <c r="AGC258" s="1"/>
      <c r="AGD258" s="1"/>
      <c r="AGE258" s="1"/>
      <c r="AGF258" s="1"/>
      <c r="AGG258" s="1"/>
      <c r="AGH258" s="1"/>
      <c r="AGI258" s="1"/>
      <c r="AGJ258" s="1"/>
      <c r="AGK258" s="1"/>
      <c r="AGL258" s="1"/>
      <c r="AGM258" s="1"/>
      <c r="AGN258" s="1"/>
      <c r="AGO258" s="1"/>
      <c r="AGP258" s="1"/>
      <c r="AGQ258" s="1"/>
      <c r="AGR258" s="1"/>
      <c r="AGS258" s="1"/>
      <c r="AGT258" s="1"/>
      <c r="AGU258" s="1"/>
      <c r="AGV258" s="1"/>
      <c r="AGW258" s="1"/>
      <c r="AGX258" s="1"/>
      <c r="AGY258" s="1"/>
      <c r="AGZ258" s="1"/>
      <c r="AHA258" s="1"/>
      <c r="AHB258" s="1"/>
      <c r="AHC258" s="1"/>
      <c r="AHD258" s="1"/>
      <c r="AHE258" s="1"/>
      <c r="AHF258" s="1"/>
      <c r="AHG258" s="1"/>
      <c r="AHH258" s="1"/>
      <c r="AHI258" s="1"/>
      <c r="AHJ258" s="1"/>
      <c r="AHK258" s="1"/>
      <c r="AHL258" s="1"/>
      <c r="AHM258" s="1"/>
      <c r="AHN258" s="1"/>
      <c r="AHO258" s="1"/>
      <c r="AHP258" s="1"/>
      <c r="AHQ258" s="1"/>
      <c r="AHR258" s="1"/>
      <c r="AHS258" s="1"/>
      <c r="AHT258" s="1"/>
      <c r="AHU258" s="1"/>
      <c r="AHV258" s="1"/>
      <c r="AHW258" s="1"/>
      <c r="AHX258" s="1"/>
      <c r="AHY258" s="1"/>
      <c r="AHZ258" s="1"/>
      <c r="AIA258" s="1"/>
      <c r="AIB258" s="1"/>
      <c r="AIC258" s="1"/>
      <c r="AID258" s="1"/>
      <c r="AIE258" s="1"/>
      <c r="AIF258" s="1"/>
      <c r="AIG258" s="1"/>
      <c r="AIH258" s="1"/>
      <c r="AII258" s="1"/>
      <c r="AIJ258" s="1"/>
      <c r="AIK258" s="1"/>
      <c r="AIL258" s="1"/>
      <c r="AIM258" s="1"/>
      <c r="AIN258" s="1"/>
      <c r="AIO258" s="1"/>
      <c r="AIP258" s="1"/>
      <c r="AIQ258" s="1"/>
      <c r="AIR258" s="1"/>
      <c r="AIS258" s="1"/>
      <c r="AIT258" s="1"/>
      <c r="AIU258" s="1"/>
      <c r="AIV258" s="1"/>
      <c r="AIW258" s="1"/>
      <c r="AIX258" s="1"/>
      <c r="AIY258" s="1"/>
      <c r="AIZ258" s="1"/>
      <c r="AJA258" s="1"/>
      <c r="AJB258" s="1"/>
      <c r="AJC258" s="1"/>
      <c r="AJD258" s="1"/>
      <c r="AJE258" s="1"/>
      <c r="AJF258" s="1"/>
      <c r="AJG258" s="1"/>
      <c r="AJH258" s="1"/>
      <c r="AJI258" s="1"/>
      <c r="AJJ258" s="1"/>
      <c r="AJK258" s="1"/>
      <c r="AJL258" s="1"/>
      <c r="AJM258" s="1"/>
      <c r="AJN258" s="1"/>
      <c r="AJO258" s="1"/>
      <c r="AJP258" s="1"/>
      <c r="AJQ258" s="1"/>
      <c r="AJR258" s="1"/>
      <c r="AJS258" s="1"/>
      <c r="AJT258" s="1"/>
      <c r="AJU258" s="1"/>
      <c r="AJV258" s="1"/>
      <c r="AJW258" s="1"/>
      <c r="AJX258" s="1"/>
      <c r="AJY258" s="1"/>
      <c r="AJZ258" s="1"/>
      <c r="AKA258" s="1"/>
      <c r="AKB258" s="1"/>
      <c r="AKC258" s="1"/>
      <c r="AKD258" s="1"/>
      <c r="AKE258" s="1"/>
      <c r="AKF258" s="1"/>
      <c r="AKG258" s="1"/>
      <c r="AKH258" s="1"/>
      <c r="AKI258" s="1"/>
      <c r="AKJ258" s="1"/>
      <c r="AKK258" s="1"/>
      <c r="AKL258" s="1"/>
      <c r="AKM258" s="1"/>
      <c r="AKN258" s="1"/>
      <c r="AKO258" s="1"/>
      <c r="AKP258" s="1"/>
      <c r="AKQ258" s="1"/>
      <c r="AKR258" s="1"/>
      <c r="AKS258" s="1"/>
      <c r="AKT258" s="1"/>
      <c r="AKU258" s="1"/>
      <c r="AKV258" s="1"/>
      <c r="AKW258" s="1"/>
      <c r="AKX258" s="1"/>
      <c r="AKY258" s="1"/>
      <c r="AKZ258" s="1"/>
      <c r="ALA258" s="1"/>
      <c r="ALB258" s="1"/>
      <c r="ALC258" s="1"/>
      <c r="ALD258" s="1"/>
      <c r="ALE258" s="1"/>
      <c r="ALF258" s="1"/>
      <c r="ALG258" s="1"/>
      <c r="ALH258" s="1"/>
      <c r="ALI258" s="1"/>
      <c r="ALJ258" s="1"/>
      <c r="ALK258" s="1"/>
      <c r="ALL258" s="1"/>
      <c r="ALM258" s="1"/>
      <c r="ALN258" s="1"/>
      <c r="ALO258" s="1"/>
      <c r="ALP258" s="1"/>
      <c r="ALQ258" s="1"/>
      <c r="ALR258" s="1"/>
      <c r="ALS258" s="1"/>
      <c r="ALT258" s="1"/>
      <c r="ALU258" s="1"/>
      <c r="ALV258" s="1"/>
      <c r="ALW258" s="1"/>
      <c r="ALX258" s="1"/>
      <c r="ALY258" s="1"/>
      <c r="ALZ258" s="1"/>
      <c r="AMA258" s="1"/>
      <c r="AMB258" s="1"/>
      <c r="AMC258" s="1"/>
      <c r="AMD258" s="1"/>
      <c r="AME258" s="1"/>
      <c r="AMF258" s="1"/>
      <c r="AMG258" s="1"/>
      <c r="AMH258" s="1"/>
      <c r="AMI258" s="1"/>
      <c r="AMJ258" s="1"/>
      <c r="AMK258" s="1"/>
      <c r="AML258" s="1"/>
      <c r="AMM258" s="1"/>
      <c r="AMN258" s="1"/>
      <c r="AMO258" s="1"/>
    </row>
    <row r="259" spans="1:1029" x14ac:dyDescent="0.2">
      <c r="A259" s="3" t="str">
        <f>CONCATENATE(B259,"_",C259)</f>
        <v>nk1r_human_6HLL</v>
      </c>
      <c r="B259" s="3" t="s">
        <v>313</v>
      </c>
      <c r="C259" s="133" t="s">
        <v>1537</v>
      </c>
      <c r="D259" s="3" t="str">
        <f>IFERROR(MID(VLOOKUP($B259,Seqs!$A:$B,2,0),E259,1),"")</f>
        <v>P</v>
      </c>
      <c r="E259" s="3">
        <v>28</v>
      </c>
      <c r="F259" s="3" t="str">
        <f>IFERROR(MID(VLOOKUP($B259,Seqs!$A:$B,2,0),G259,1),"")</f>
        <v>A</v>
      </c>
      <c r="G259" s="3">
        <v>59</v>
      </c>
      <c r="H259" s="3" t="str">
        <f>IFERROR(MID(VLOOKUP($B259,Seqs!$A:$B,2,0),I259,1),"")</f>
        <v>K</v>
      </c>
      <c r="I259" s="23">
        <v>61</v>
      </c>
      <c r="J259" s="3" t="str">
        <f>IFERROR(MID(VLOOKUP($B259,Seqs!$A:$B,2,0),K259,1),"")</f>
        <v>R</v>
      </c>
      <c r="K259" s="23">
        <v>64</v>
      </c>
      <c r="L259" s="3" t="str">
        <f>IFERROR(MID(VLOOKUP($B259,Seqs!$A:$B,2,0),M259,1),"")</f>
        <v>T</v>
      </c>
      <c r="M259" s="3">
        <v>65</v>
      </c>
      <c r="N259" s="3" t="str">
        <f>IFERROR(MID(VLOOKUP($B259,Seqs!$A:$B,2,0),O259,1),"")</f>
        <v>N</v>
      </c>
      <c r="O259" s="3">
        <v>96</v>
      </c>
      <c r="P259" s="3" t="str">
        <f>IFERROR(MID(VLOOKUP($B259,Seqs!$A:$B,2,0),Q259,1),"")</f>
        <v>E</v>
      </c>
      <c r="Q259" s="3">
        <v>97</v>
      </c>
      <c r="R259" s="3" t="str">
        <f>IFERROR(MID(VLOOKUP($B259,Seqs!$A:$B,2,0),S259,1),"")</f>
        <v>Y</v>
      </c>
      <c r="S259" s="3">
        <v>100</v>
      </c>
      <c r="T259" s="3" t="str">
        <f>IFERROR(MID(VLOOKUP($B259,Seqs!$A:$B,2,0),U259,1),"")</f>
        <v>G</v>
      </c>
      <c r="U259" s="3">
        <v>101</v>
      </c>
      <c r="V259" s="3" t="str">
        <f>IFERROR(MID(VLOOKUP($B259,Seqs!$A:$B,2,0),W259,1),"")</f>
        <v>H</v>
      </c>
      <c r="W259" s="3">
        <v>136</v>
      </c>
      <c r="X259" s="3" t="str">
        <f>IFERROR(MID(VLOOKUP($B259,Seqs!$A:$B,2,0),Y259,1),"")</f>
        <v/>
      </c>
      <c r="Y259" s="3" t="s">
        <v>23</v>
      </c>
      <c r="Z259" s="3" t="str">
        <f>IFERROR(MID(VLOOKUP($B259,Seqs!$A:$B,2,0),AA259,1),"")</f>
        <v/>
      </c>
      <c r="AA259" s="3" t="s">
        <v>23</v>
      </c>
      <c r="AB259" s="3" t="str">
        <f>IFERROR(MID(VLOOKUP($B259,Seqs!$A:$B,2,0),AC259,1),"")</f>
        <v>S</v>
      </c>
      <c r="AC259" s="3">
        <v>143</v>
      </c>
      <c r="AD259" s="3" t="str">
        <f>IFERROR(MID(VLOOKUP($B259,Seqs!$A:$B,2,0),AE259,1),"")</f>
        <v>S</v>
      </c>
      <c r="AE259" s="3">
        <v>169</v>
      </c>
      <c r="AF259" s="3" t="str">
        <f>IFERROR(MID(VLOOKUP($B259,Seqs!$A:$B,2,0),AG259,1),"")</f>
        <v>C</v>
      </c>
      <c r="AG259" s="3">
        <v>180</v>
      </c>
      <c r="AH259" s="3" t="str">
        <f>IFERROR(MID(VLOOKUP($B259,Seqs!$A:$B,2,0),AI259,1),"")</f>
        <v>I</v>
      </c>
      <c r="AI259" s="3">
        <v>182</v>
      </c>
      <c r="AJ259" s="3" t="str">
        <f>IFERROR(MID(VLOOKUP($B259,Seqs!$A:$B,2,0),AK259,1),"")</f>
        <v>K</v>
      </c>
      <c r="AK259" s="3">
        <v>190</v>
      </c>
      <c r="AL259" s="3" t="str">
        <f>IFERROR(MID(VLOOKUP($B259,Seqs!$A:$B,2,0),AM259,1),"")</f>
        <v>S</v>
      </c>
      <c r="AM259" s="3">
        <v>226</v>
      </c>
      <c r="AN259" s="3" t="str">
        <f>IFERROR(MID(VLOOKUP($B259,Seqs!$A:$B,2,0),AO259,1),"")</f>
        <v>E</v>
      </c>
      <c r="AO259" s="3">
        <v>238</v>
      </c>
      <c r="AP259" s="3" t="str">
        <f>IFERROR(MID(VLOOKUP($B259,Seqs!$A:$B,2,0),AQ259,1),"")</f>
        <v>L</v>
      </c>
      <c r="AQ259" s="3">
        <v>270</v>
      </c>
      <c r="AR259" s="3" t="str">
        <f>IFERROR(MID(VLOOKUP($B259,Seqs!$A:$B,2,0),AS259,1),"")</f>
        <v>I</v>
      </c>
      <c r="AS259" s="3">
        <v>283</v>
      </c>
      <c r="AT259" s="3" t="str">
        <f>IFERROR(MID(VLOOKUP($B259,Seqs!$A:$B,2,0),AU259,1),"")</f>
        <v>L</v>
      </c>
      <c r="AU259" s="3">
        <v>308</v>
      </c>
      <c r="AV259" s="3" t="str">
        <f>IFERROR(MID(VLOOKUP($B259,Seqs!$A:$B,2,0),AW259,1),"")</f>
        <v>N</v>
      </c>
      <c r="AW259" s="3">
        <v>309</v>
      </c>
      <c r="AX259" s="3" t="str">
        <f>IFERROR(MID(VLOOKUP($B259,Seqs!$A:$B,2,0),AY259,1),"")</f>
        <v>F</v>
      </c>
      <c r="AY259" s="3">
        <v>320</v>
      </c>
      <c r="AZ259" s="77" t="str">
        <f>VLOOKUP(B259,Classification!A:D,2,0)</f>
        <v>A</v>
      </c>
      <c r="BA259" s="94" t="str">
        <f>VLOOKUP(B259,Classification!A:D,4,0)</f>
        <v>Tachykinin</v>
      </c>
      <c r="BB259" s="27" t="b">
        <f t="shared" ref="BB259" si="1094">AND(E259&lt;G259,OR(G259&lt;I259,I259="-"),OR(I259&lt;K259,I259="-"),OR(K259&lt;M259,K259="-"),M259&lt;O259,OR(O259&lt;Q259,Q259="-"),OR(Q259&lt;S259,Q259="-"),OR(S259&lt;U259,S259="-"),U259&lt;W259,OR(W259&lt;Y259,Y259="-"),OR(Y259&lt;AA259,Y259="-"),OR(AA259&lt;AC259,AA259="-"),AC259&lt;AE259,OR(AE259&lt;AG259,AG259="-"),OR(AG259&lt;AI259,AG259="-"),OR(AI259&lt;AK259,AI259="-"),AK259&lt;AM259,AM259&lt;AO259,AO259&lt;AQ259,AQ259&lt;AS259,AS259&lt;AU259,OR(AU259&lt;AW259,AW259="-"),OR(AW259&lt;AY259,AW259="-"))</f>
        <v>1</v>
      </c>
      <c r="BC259" s="23">
        <f t="shared" ref="BC259" si="1095">_xlfn.AGGREGATE(9,6,CH259:CS259)-_xlfn.AGGREGATE(9,6,BV259:CG259)+12</f>
        <v>247</v>
      </c>
      <c r="BD259" s="5" t="s">
        <v>23</v>
      </c>
      <c r="BE259" s="3" t="s">
        <v>1368</v>
      </c>
      <c r="BF259" s="118">
        <v>3.27</v>
      </c>
      <c r="BG259" s="49" t="s">
        <v>1</v>
      </c>
      <c r="BH259" s="49" t="s">
        <v>1</v>
      </c>
      <c r="BI259" s="1"/>
      <c r="BJ259" s="70" t="s">
        <v>1281</v>
      </c>
      <c r="BK259" s="57" t="s">
        <v>1281</v>
      </c>
      <c r="BL259" s="57" t="s">
        <v>1281</v>
      </c>
      <c r="BM259" s="57" t="s">
        <v>1281</v>
      </c>
      <c r="BN259" s="57" t="s">
        <v>1281</v>
      </c>
      <c r="BO259" s="57" t="s">
        <v>1281</v>
      </c>
      <c r="BP259" s="57" t="s">
        <v>1281</v>
      </c>
      <c r="BQ259" s="57" t="s">
        <v>1281</v>
      </c>
      <c r="BR259" s="57" t="s">
        <v>1281</v>
      </c>
      <c r="BS259" s="57" t="s">
        <v>1281</v>
      </c>
      <c r="BT259" s="57" t="s">
        <v>1281</v>
      </c>
      <c r="BU259" s="57" t="s">
        <v>1281</v>
      </c>
      <c r="BV259" s="70">
        <f>E259</f>
        <v>28</v>
      </c>
      <c r="BW259" s="71">
        <f>I259</f>
        <v>61</v>
      </c>
      <c r="BX259" s="72">
        <f>M259</f>
        <v>65</v>
      </c>
      <c r="BY259" s="71">
        <f>Q259</f>
        <v>97</v>
      </c>
      <c r="BZ259" s="72">
        <f>U259</f>
        <v>101</v>
      </c>
      <c r="CA259" s="71" t="str">
        <f>Y259</f>
        <v>-</v>
      </c>
      <c r="CB259" s="72">
        <f>AC259</f>
        <v>143</v>
      </c>
      <c r="CC259" s="71">
        <f>AG259</f>
        <v>180</v>
      </c>
      <c r="CD259" s="72">
        <f>AK259</f>
        <v>190</v>
      </c>
      <c r="CE259" s="71">
        <f>AO259</f>
        <v>238</v>
      </c>
      <c r="CF259" s="72">
        <f>AS259</f>
        <v>283</v>
      </c>
      <c r="CG259" s="71">
        <f>AW259</f>
        <v>309</v>
      </c>
      <c r="CH259" s="70">
        <f>G259</f>
        <v>59</v>
      </c>
      <c r="CI259" s="71">
        <f>K259</f>
        <v>64</v>
      </c>
      <c r="CJ259" s="72">
        <f>O259</f>
        <v>96</v>
      </c>
      <c r="CK259" s="72">
        <f>S259</f>
        <v>100</v>
      </c>
      <c r="CL259" s="72">
        <f>W259</f>
        <v>136</v>
      </c>
      <c r="CM259" s="72" t="str">
        <f>AA259</f>
        <v>-</v>
      </c>
      <c r="CN259" s="72">
        <f>AE259</f>
        <v>169</v>
      </c>
      <c r="CO259" s="72">
        <f>AI259</f>
        <v>182</v>
      </c>
      <c r="CP259" s="72">
        <f>AM259</f>
        <v>226</v>
      </c>
      <c r="CQ259" s="72">
        <f>AQ259</f>
        <v>270</v>
      </c>
      <c r="CR259" s="72">
        <f>AU259</f>
        <v>308</v>
      </c>
      <c r="CS259" s="72">
        <f>AY259</f>
        <v>320</v>
      </c>
      <c r="CT259" s="23">
        <f>M259-K259</f>
        <v>1</v>
      </c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  <c r="UU259" s="1"/>
      <c r="UV259" s="1"/>
      <c r="UW259" s="1"/>
      <c r="UX259" s="1"/>
      <c r="UY259" s="1"/>
      <c r="UZ259" s="1"/>
      <c r="VA259" s="1"/>
      <c r="VB259" s="1"/>
      <c r="VC259" s="1"/>
      <c r="VD259" s="1"/>
      <c r="VE259" s="1"/>
      <c r="VF259" s="1"/>
      <c r="VG259" s="1"/>
      <c r="VH259" s="1"/>
      <c r="VI259" s="1"/>
      <c r="VJ259" s="1"/>
      <c r="VK259" s="1"/>
      <c r="VL259" s="1"/>
      <c r="VM259" s="1"/>
      <c r="VN259" s="1"/>
      <c r="VO259" s="1"/>
      <c r="VP259" s="1"/>
      <c r="VQ259" s="1"/>
      <c r="VR259" s="1"/>
      <c r="VS259" s="1"/>
      <c r="VT259" s="1"/>
      <c r="VU259" s="1"/>
      <c r="VV259" s="1"/>
      <c r="VW259" s="1"/>
      <c r="VX259" s="1"/>
      <c r="VY259" s="1"/>
      <c r="VZ259" s="1"/>
      <c r="WA259" s="1"/>
      <c r="WB259" s="1"/>
      <c r="WC259" s="1"/>
      <c r="WD259" s="1"/>
      <c r="WE259" s="1"/>
      <c r="WF259" s="1"/>
      <c r="WG259" s="1"/>
      <c r="WH259" s="1"/>
      <c r="WI259" s="1"/>
      <c r="WJ259" s="1"/>
      <c r="WK259" s="1"/>
      <c r="WL259" s="1"/>
      <c r="WM259" s="1"/>
      <c r="WN259" s="1"/>
      <c r="WO259" s="1"/>
      <c r="WP259" s="1"/>
      <c r="WQ259" s="1"/>
      <c r="WR259" s="1"/>
      <c r="WS259" s="1"/>
      <c r="WT259" s="1"/>
      <c r="WU259" s="1"/>
      <c r="WV259" s="1"/>
      <c r="WW259" s="1"/>
      <c r="WX259" s="1"/>
      <c r="WY259" s="1"/>
      <c r="WZ259" s="1"/>
      <c r="XA259" s="1"/>
      <c r="XB259" s="1"/>
      <c r="XC259" s="1"/>
      <c r="XD259" s="1"/>
      <c r="XE259" s="1"/>
      <c r="XF259" s="1"/>
      <c r="XG259" s="1"/>
      <c r="XH259" s="1"/>
      <c r="XI259" s="1"/>
      <c r="XJ259" s="1"/>
      <c r="XK259" s="1"/>
      <c r="XL259" s="1"/>
      <c r="XM259" s="1"/>
      <c r="XN259" s="1"/>
      <c r="XO259" s="1"/>
      <c r="XP259" s="1"/>
      <c r="XQ259" s="1"/>
      <c r="XR259" s="1"/>
      <c r="XS259" s="1"/>
      <c r="XT259" s="1"/>
      <c r="XU259" s="1"/>
      <c r="XV259" s="1"/>
      <c r="XW259" s="1"/>
      <c r="XX259" s="1"/>
      <c r="XY259" s="1"/>
      <c r="XZ259" s="1"/>
      <c r="YA259" s="1"/>
      <c r="YB259" s="1"/>
      <c r="YC259" s="1"/>
      <c r="YD259" s="1"/>
      <c r="YE259" s="1"/>
      <c r="YF259" s="1"/>
      <c r="YG259" s="1"/>
      <c r="YH259" s="1"/>
      <c r="YI259" s="1"/>
      <c r="YJ259" s="1"/>
      <c r="YK259" s="1"/>
      <c r="YL259" s="1"/>
      <c r="YM259" s="1"/>
      <c r="YN259" s="1"/>
      <c r="YO259" s="1"/>
      <c r="YP259" s="1"/>
      <c r="YQ259" s="1"/>
      <c r="YR259" s="1"/>
      <c r="YS259" s="1"/>
      <c r="YT259" s="1"/>
      <c r="YU259" s="1"/>
      <c r="YV259" s="1"/>
      <c r="YW259" s="1"/>
      <c r="YX259" s="1"/>
      <c r="YY259" s="1"/>
      <c r="YZ259" s="1"/>
      <c r="ZA259" s="1"/>
      <c r="ZB259" s="1"/>
      <c r="ZC259" s="1"/>
      <c r="ZD259" s="1"/>
      <c r="ZE259" s="1"/>
      <c r="ZF259" s="1"/>
      <c r="ZG259" s="1"/>
      <c r="ZH259" s="1"/>
      <c r="ZI259" s="1"/>
      <c r="ZJ259" s="1"/>
      <c r="ZK259" s="1"/>
      <c r="ZL259" s="1"/>
      <c r="ZM259" s="1"/>
      <c r="ZN259" s="1"/>
      <c r="ZO259" s="1"/>
      <c r="ZP259" s="1"/>
      <c r="ZQ259" s="1"/>
      <c r="ZR259" s="1"/>
      <c r="ZS259" s="1"/>
      <c r="ZT259" s="1"/>
      <c r="ZU259" s="1"/>
      <c r="ZV259" s="1"/>
      <c r="ZW259" s="1"/>
      <c r="ZX259" s="1"/>
      <c r="ZY259" s="1"/>
      <c r="ZZ259" s="1"/>
      <c r="AAA259" s="1"/>
      <c r="AAB259" s="1"/>
      <c r="AAC259" s="1"/>
      <c r="AAD259" s="1"/>
      <c r="AAE259" s="1"/>
      <c r="AAF259" s="1"/>
      <c r="AAG259" s="1"/>
      <c r="AAH259" s="1"/>
      <c r="AAI259" s="1"/>
      <c r="AAJ259" s="1"/>
      <c r="AAK259" s="1"/>
      <c r="AAL259" s="1"/>
      <c r="AAM259" s="1"/>
      <c r="AAN259" s="1"/>
      <c r="AAO259" s="1"/>
      <c r="AAP259" s="1"/>
      <c r="AAQ259" s="1"/>
      <c r="AAR259" s="1"/>
      <c r="AAS259" s="1"/>
      <c r="AAT259" s="1"/>
      <c r="AAU259" s="1"/>
      <c r="AAV259" s="1"/>
      <c r="AAW259" s="1"/>
      <c r="AAX259" s="1"/>
      <c r="AAY259" s="1"/>
      <c r="AAZ259" s="1"/>
      <c r="ABA259" s="1"/>
      <c r="ABB259" s="1"/>
      <c r="ABC259" s="1"/>
      <c r="ABD259" s="1"/>
      <c r="ABE259" s="1"/>
      <c r="ABF259" s="1"/>
      <c r="ABG259" s="1"/>
      <c r="ABH259" s="1"/>
      <c r="ABI259" s="1"/>
      <c r="ABJ259" s="1"/>
      <c r="ABK259" s="1"/>
      <c r="ABL259" s="1"/>
      <c r="ABM259" s="1"/>
      <c r="ABN259" s="1"/>
      <c r="ABO259" s="1"/>
      <c r="ABP259" s="1"/>
      <c r="ABQ259" s="1"/>
      <c r="ABR259" s="1"/>
      <c r="ABS259" s="1"/>
      <c r="ABT259" s="1"/>
      <c r="ABU259" s="1"/>
      <c r="ABV259" s="1"/>
      <c r="ABW259" s="1"/>
      <c r="ABX259" s="1"/>
      <c r="ABY259" s="1"/>
      <c r="ABZ259" s="1"/>
      <c r="ACA259" s="1"/>
      <c r="ACB259" s="1"/>
      <c r="ACC259" s="1"/>
      <c r="ACD259" s="1"/>
      <c r="ACE259" s="1"/>
      <c r="ACF259" s="1"/>
      <c r="ACG259" s="1"/>
      <c r="ACH259" s="1"/>
      <c r="ACI259" s="1"/>
      <c r="ACJ259" s="1"/>
      <c r="ACK259" s="1"/>
      <c r="ACL259" s="1"/>
      <c r="ACM259" s="1"/>
      <c r="ACN259" s="1"/>
      <c r="ACO259" s="1"/>
      <c r="ACP259" s="1"/>
      <c r="ACQ259" s="1"/>
      <c r="ACR259" s="1"/>
      <c r="ACS259" s="1"/>
      <c r="ACT259" s="1"/>
      <c r="ACU259" s="1"/>
      <c r="ACV259" s="1"/>
      <c r="ACW259" s="1"/>
      <c r="ACX259" s="1"/>
      <c r="ACY259" s="1"/>
      <c r="ACZ259" s="1"/>
      <c r="ADA259" s="1"/>
      <c r="ADB259" s="1"/>
      <c r="ADC259" s="1"/>
      <c r="ADD259" s="1"/>
      <c r="ADE259" s="1"/>
      <c r="ADF259" s="1"/>
      <c r="ADG259" s="1"/>
      <c r="ADH259" s="1"/>
      <c r="ADI259" s="1"/>
      <c r="ADJ259" s="1"/>
      <c r="ADK259" s="1"/>
      <c r="ADL259" s="1"/>
      <c r="ADM259" s="1"/>
      <c r="ADN259" s="1"/>
      <c r="ADO259" s="1"/>
      <c r="ADP259" s="1"/>
      <c r="ADQ259" s="1"/>
      <c r="ADR259" s="1"/>
      <c r="ADS259" s="1"/>
      <c r="ADT259" s="1"/>
      <c r="ADU259" s="1"/>
      <c r="ADV259" s="1"/>
      <c r="ADW259" s="1"/>
      <c r="ADX259" s="1"/>
      <c r="ADY259" s="1"/>
      <c r="ADZ259" s="1"/>
      <c r="AEA259" s="1"/>
      <c r="AEB259" s="1"/>
      <c r="AEC259" s="1"/>
      <c r="AED259" s="1"/>
      <c r="AEE259" s="1"/>
      <c r="AEF259" s="1"/>
      <c r="AEG259" s="1"/>
      <c r="AEH259" s="1"/>
      <c r="AEI259" s="1"/>
      <c r="AEJ259" s="1"/>
      <c r="AEK259" s="1"/>
      <c r="AEL259" s="1"/>
      <c r="AEM259" s="1"/>
      <c r="AEN259" s="1"/>
      <c r="AEO259" s="1"/>
      <c r="AEP259" s="1"/>
      <c r="AEQ259" s="1"/>
      <c r="AER259" s="1"/>
      <c r="AES259" s="1"/>
      <c r="AET259" s="1"/>
      <c r="AEU259" s="1"/>
      <c r="AEV259" s="1"/>
      <c r="AEW259" s="1"/>
      <c r="AEX259" s="1"/>
      <c r="AEY259" s="1"/>
      <c r="AEZ259" s="1"/>
      <c r="AFA259" s="1"/>
      <c r="AFB259" s="1"/>
      <c r="AFC259" s="1"/>
      <c r="AFD259" s="1"/>
      <c r="AFE259" s="1"/>
      <c r="AFF259" s="1"/>
      <c r="AFG259" s="1"/>
      <c r="AFH259" s="1"/>
      <c r="AFI259" s="1"/>
      <c r="AFJ259" s="1"/>
      <c r="AFK259" s="1"/>
      <c r="AFL259" s="1"/>
      <c r="AFM259" s="1"/>
      <c r="AFN259" s="1"/>
      <c r="AFO259" s="1"/>
      <c r="AFP259" s="1"/>
      <c r="AFQ259" s="1"/>
      <c r="AFR259" s="1"/>
      <c r="AFS259" s="1"/>
      <c r="AFT259" s="1"/>
      <c r="AFU259" s="1"/>
      <c r="AFV259" s="1"/>
      <c r="AFW259" s="1"/>
      <c r="AFX259" s="1"/>
      <c r="AFY259" s="1"/>
      <c r="AFZ259" s="1"/>
      <c r="AGA259" s="1"/>
      <c r="AGB259" s="1"/>
      <c r="AGC259" s="1"/>
      <c r="AGD259" s="1"/>
      <c r="AGE259" s="1"/>
      <c r="AGF259" s="1"/>
      <c r="AGG259" s="1"/>
      <c r="AGH259" s="1"/>
      <c r="AGI259" s="1"/>
      <c r="AGJ259" s="1"/>
      <c r="AGK259" s="1"/>
      <c r="AGL259" s="1"/>
      <c r="AGM259" s="1"/>
      <c r="AGN259" s="1"/>
      <c r="AGO259" s="1"/>
      <c r="AGP259" s="1"/>
      <c r="AGQ259" s="1"/>
      <c r="AGR259" s="1"/>
      <c r="AGS259" s="1"/>
      <c r="AGT259" s="1"/>
      <c r="AGU259" s="1"/>
      <c r="AGV259" s="1"/>
      <c r="AGW259" s="1"/>
      <c r="AGX259" s="1"/>
      <c r="AGY259" s="1"/>
      <c r="AGZ259" s="1"/>
      <c r="AHA259" s="1"/>
      <c r="AHB259" s="1"/>
      <c r="AHC259" s="1"/>
      <c r="AHD259" s="1"/>
      <c r="AHE259" s="1"/>
      <c r="AHF259" s="1"/>
      <c r="AHG259" s="1"/>
      <c r="AHH259" s="1"/>
      <c r="AHI259" s="1"/>
      <c r="AHJ259" s="1"/>
      <c r="AHK259" s="1"/>
      <c r="AHL259" s="1"/>
      <c r="AHM259" s="1"/>
      <c r="AHN259" s="1"/>
      <c r="AHO259" s="1"/>
      <c r="AHP259" s="1"/>
      <c r="AHQ259" s="1"/>
      <c r="AHR259" s="1"/>
      <c r="AHS259" s="1"/>
      <c r="AHT259" s="1"/>
      <c r="AHU259" s="1"/>
      <c r="AHV259" s="1"/>
      <c r="AHW259" s="1"/>
      <c r="AHX259" s="1"/>
      <c r="AHY259" s="1"/>
      <c r="AHZ259" s="1"/>
      <c r="AIA259" s="1"/>
      <c r="AIB259" s="1"/>
      <c r="AIC259" s="1"/>
      <c r="AID259" s="1"/>
      <c r="AIE259" s="1"/>
      <c r="AIF259" s="1"/>
      <c r="AIG259" s="1"/>
      <c r="AIH259" s="1"/>
      <c r="AII259" s="1"/>
      <c r="AIJ259" s="1"/>
      <c r="AIK259" s="1"/>
      <c r="AIL259" s="1"/>
      <c r="AIM259" s="1"/>
      <c r="AIN259" s="1"/>
      <c r="AIO259" s="1"/>
      <c r="AIP259" s="1"/>
      <c r="AIQ259" s="1"/>
      <c r="AIR259" s="1"/>
      <c r="AIS259" s="1"/>
      <c r="AIT259" s="1"/>
      <c r="AIU259" s="1"/>
      <c r="AIV259" s="1"/>
      <c r="AIW259" s="1"/>
      <c r="AIX259" s="1"/>
      <c r="AIY259" s="1"/>
      <c r="AIZ259" s="1"/>
      <c r="AJA259" s="1"/>
      <c r="AJB259" s="1"/>
      <c r="AJC259" s="1"/>
      <c r="AJD259" s="1"/>
      <c r="AJE259" s="1"/>
      <c r="AJF259" s="1"/>
      <c r="AJG259" s="1"/>
      <c r="AJH259" s="1"/>
      <c r="AJI259" s="1"/>
      <c r="AJJ259" s="1"/>
      <c r="AJK259" s="1"/>
      <c r="AJL259" s="1"/>
      <c r="AJM259" s="1"/>
      <c r="AJN259" s="1"/>
      <c r="AJO259" s="1"/>
      <c r="AJP259" s="1"/>
      <c r="AJQ259" s="1"/>
      <c r="AJR259" s="1"/>
      <c r="AJS259" s="1"/>
      <c r="AJT259" s="1"/>
      <c r="AJU259" s="1"/>
      <c r="AJV259" s="1"/>
      <c r="AJW259" s="1"/>
      <c r="AJX259" s="1"/>
      <c r="AJY259" s="1"/>
      <c r="AJZ259" s="1"/>
      <c r="AKA259" s="1"/>
      <c r="AKB259" s="1"/>
      <c r="AKC259" s="1"/>
      <c r="AKD259" s="1"/>
      <c r="AKE259" s="1"/>
      <c r="AKF259" s="1"/>
      <c r="AKG259" s="1"/>
      <c r="AKH259" s="1"/>
      <c r="AKI259" s="1"/>
      <c r="AKJ259" s="1"/>
      <c r="AKK259" s="1"/>
      <c r="AKL259" s="1"/>
      <c r="AKM259" s="1"/>
      <c r="AKN259" s="1"/>
      <c r="AKO259" s="1"/>
      <c r="AKP259" s="1"/>
      <c r="AKQ259" s="1"/>
      <c r="AKR259" s="1"/>
      <c r="AKS259" s="1"/>
      <c r="AKT259" s="1"/>
      <c r="AKU259" s="1"/>
      <c r="AKV259" s="1"/>
      <c r="AKW259" s="1"/>
      <c r="AKX259" s="1"/>
      <c r="AKY259" s="1"/>
      <c r="AKZ259" s="1"/>
      <c r="ALA259" s="1"/>
      <c r="ALB259" s="1"/>
      <c r="ALC259" s="1"/>
      <c r="ALD259" s="1"/>
      <c r="ALE259" s="1"/>
      <c r="ALF259" s="1"/>
      <c r="ALG259" s="1"/>
      <c r="ALH259" s="1"/>
      <c r="ALI259" s="1"/>
      <c r="ALJ259" s="1"/>
      <c r="ALK259" s="1"/>
      <c r="ALL259" s="1"/>
      <c r="ALM259" s="1"/>
      <c r="ALN259" s="1"/>
      <c r="ALO259" s="1"/>
      <c r="ALP259" s="1"/>
      <c r="ALQ259" s="1"/>
      <c r="ALR259" s="1"/>
      <c r="ALS259" s="1"/>
      <c r="ALT259" s="1"/>
      <c r="ALU259" s="1"/>
      <c r="ALV259" s="1"/>
      <c r="ALW259" s="1"/>
      <c r="ALX259" s="1"/>
      <c r="ALY259" s="1"/>
      <c r="ALZ259" s="1"/>
      <c r="AMA259" s="1"/>
      <c r="AMB259" s="1"/>
      <c r="AMC259" s="1"/>
      <c r="AMD259" s="1"/>
      <c r="AME259" s="1"/>
      <c r="AMF259" s="1"/>
      <c r="AMG259" s="1"/>
      <c r="AMH259" s="1"/>
      <c r="AMI259" s="1"/>
      <c r="AMJ259" s="1"/>
      <c r="AMK259" s="1"/>
      <c r="AML259" s="1"/>
      <c r="AMM259" s="1"/>
      <c r="AMN259" s="1"/>
      <c r="AMO259" s="1"/>
    </row>
    <row r="260" spans="1:1029" x14ac:dyDescent="0.2">
      <c r="A260" s="3" t="str">
        <f>CONCATENATE(B260,"_",C260)</f>
        <v>nk1r_human_6HLO</v>
      </c>
      <c r="B260" s="3" t="s">
        <v>313</v>
      </c>
      <c r="C260" s="133" t="s">
        <v>1538</v>
      </c>
      <c r="D260" s="3" t="str">
        <f>IFERROR(MID(VLOOKUP($B260,Seqs!$A:$B,2,0),E260,1),"")</f>
        <v>P</v>
      </c>
      <c r="E260" s="3">
        <v>28</v>
      </c>
      <c r="F260" s="3" t="str">
        <f>IFERROR(MID(VLOOKUP($B260,Seqs!$A:$B,2,0),G260,1),"")</f>
        <v>H</v>
      </c>
      <c r="G260" s="3">
        <v>60</v>
      </c>
      <c r="H260" s="3" t="str">
        <f>IFERROR(MID(VLOOKUP($B260,Seqs!$A:$B,2,0),I260,1),"")</f>
        <v>K</v>
      </c>
      <c r="I260" s="23">
        <v>61</v>
      </c>
      <c r="J260" s="3" t="str">
        <f>IFERROR(MID(VLOOKUP($B260,Seqs!$A:$B,2,0),K260,1),"")</f>
        <v>R</v>
      </c>
      <c r="K260" s="23">
        <v>64</v>
      </c>
      <c r="L260" s="3" t="str">
        <f>IFERROR(MID(VLOOKUP($B260,Seqs!$A:$B,2,0),M260,1),"")</f>
        <v>T</v>
      </c>
      <c r="M260" s="3">
        <v>65</v>
      </c>
      <c r="N260" s="3" t="str">
        <f>IFERROR(MID(VLOOKUP($B260,Seqs!$A:$B,2,0),O260,1),"")</f>
        <v>H</v>
      </c>
      <c r="O260" s="3">
        <v>95</v>
      </c>
      <c r="P260" s="3" t="str">
        <f>IFERROR(MID(VLOOKUP($B260,Seqs!$A:$B,2,0),Q260,1),"")</f>
        <v>E</v>
      </c>
      <c r="Q260" s="3">
        <v>97</v>
      </c>
      <c r="R260" s="3" t="str">
        <f>IFERROR(MID(VLOOKUP($B260,Seqs!$A:$B,2,0),S260,1),"")</f>
        <v>Y</v>
      </c>
      <c r="S260" s="3">
        <v>100</v>
      </c>
      <c r="T260" s="3" t="str">
        <f>IFERROR(MID(VLOOKUP($B260,Seqs!$A:$B,2,0),U260,1),"")</f>
        <v>G</v>
      </c>
      <c r="U260" s="3">
        <v>101</v>
      </c>
      <c r="V260" s="3" t="str">
        <f>IFERROR(MID(VLOOKUP($B260,Seqs!$A:$B,2,0),W260,1),"")</f>
        <v>H</v>
      </c>
      <c r="W260" s="3">
        <v>136</v>
      </c>
      <c r="X260" s="3" t="str">
        <f>IFERROR(MID(VLOOKUP($B260,Seqs!$A:$B,2,0),Y260,1),"")</f>
        <v/>
      </c>
      <c r="Y260" s="3" t="s">
        <v>23</v>
      </c>
      <c r="Z260" s="3" t="str">
        <f>IFERROR(MID(VLOOKUP($B260,Seqs!$A:$B,2,0),AA260,1),"")</f>
        <v/>
      </c>
      <c r="AA260" s="3" t="s">
        <v>23</v>
      </c>
      <c r="AB260" s="3" t="str">
        <f>IFERROR(MID(VLOOKUP($B260,Seqs!$A:$B,2,0),AC260,1),"")</f>
        <v>S</v>
      </c>
      <c r="AC260" s="3">
        <v>143</v>
      </c>
      <c r="AD260" s="3" t="str">
        <f>IFERROR(MID(VLOOKUP($B260,Seqs!$A:$B,2,0),AE260,1),"")</f>
        <v>S</v>
      </c>
      <c r="AE260" s="3">
        <v>169</v>
      </c>
      <c r="AF260" s="3" t="str">
        <f>IFERROR(MID(VLOOKUP($B260,Seqs!$A:$B,2,0),AG260,1),"")</f>
        <v>C</v>
      </c>
      <c r="AG260" s="3">
        <v>180</v>
      </c>
      <c r="AH260" s="3" t="str">
        <f>IFERROR(MID(VLOOKUP($B260,Seqs!$A:$B,2,0),AI260,1),"")</f>
        <v>I</v>
      </c>
      <c r="AI260" s="3">
        <v>182</v>
      </c>
      <c r="AJ260" s="3" t="str">
        <f>IFERROR(MID(VLOOKUP($B260,Seqs!$A:$B,2,0),AK260,1),"")</f>
        <v>K</v>
      </c>
      <c r="AK260" s="3">
        <v>190</v>
      </c>
      <c r="AL260" s="3" t="str">
        <f>IFERROR(MID(VLOOKUP($B260,Seqs!$A:$B,2,0),AM260,1),"")</f>
        <v>S</v>
      </c>
      <c r="AM260" s="3">
        <v>226</v>
      </c>
      <c r="AN260" s="3" t="str">
        <f>IFERROR(MID(VLOOKUP($B260,Seqs!$A:$B,2,0),AO260,1),"")</f>
        <v>E</v>
      </c>
      <c r="AO260" s="3">
        <v>238</v>
      </c>
      <c r="AP260" s="3" t="str">
        <f>IFERROR(MID(VLOOKUP($B260,Seqs!$A:$B,2,0),AQ260,1),"")</f>
        <v>N</v>
      </c>
      <c r="AQ260" s="3">
        <v>274</v>
      </c>
      <c r="AR260" s="3" t="str">
        <f>IFERROR(MID(VLOOKUP($B260,Seqs!$A:$B,2,0),AS260,1),"")</f>
        <v>F</v>
      </c>
      <c r="AS260" s="3">
        <v>282</v>
      </c>
      <c r="AT260" s="3" t="str">
        <f>IFERROR(MID(VLOOKUP($B260,Seqs!$A:$B,2,0),AU260,1),"")</f>
        <v>L</v>
      </c>
      <c r="AU260" s="3">
        <v>308</v>
      </c>
      <c r="AV260" s="3" t="str">
        <f>IFERROR(MID(VLOOKUP($B260,Seqs!$A:$B,2,0),AW260,1),"")</f>
        <v>N</v>
      </c>
      <c r="AW260" s="3">
        <v>309</v>
      </c>
      <c r="AX260" s="3" t="str">
        <f>IFERROR(MID(VLOOKUP($B260,Seqs!$A:$B,2,0),AY260,1),"")</f>
        <v>F</v>
      </c>
      <c r="AY260" s="3">
        <v>320</v>
      </c>
      <c r="AZ260" s="77" t="str">
        <f>VLOOKUP(B260,Classification!A:D,2,0)</f>
        <v>A</v>
      </c>
      <c r="BA260" s="94" t="str">
        <f>VLOOKUP(B260,Classification!A:D,4,0)</f>
        <v>Tachykinin</v>
      </c>
      <c r="BB260" s="27" t="b">
        <f t="shared" ref="BB260" si="1096">AND(E260&lt;G260,OR(G260&lt;I260,I260="-"),OR(I260&lt;K260,I260="-"),OR(K260&lt;M260,K260="-"),M260&lt;O260,OR(O260&lt;Q260,Q260="-"),OR(Q260&lt;S260,Q260="-"),OR(S260&lt;U260,S260="-"),U260&lt;W260,OR(W260&lt;Y260,Y260="-"),OR(Y260&lt;AA260,Y260="-"),OR(AA260&lt;AC260,AA260="-"),AC260&lt;AE260,OR(AE260&lt;AG260,AG260="-"),OR(AG260&lt;AI260,AG260="-"),OR(AI260&lt;AK260,AI260="-"),AK260&lt;AM260,AM260&lt;AO260,AO260&lt;AQ260,AQ260&lt;AS260,AS260&lt;AU260,OR(AU260&lt;AW260,AW260="-"),OR(AW260&lt;AY260,AW260="-"))</f>
        <v>1</v>
      </c>
      <c r="BC260" s="23">
        <f t="shared" ref="BC260" si="1097">_xlfn.AGGREGATE(9,6,CH260:CS260)-_xlfn.AGGREGATE(9,6,BV260:CG260)+12</f>
        <v>252</v>
      </c>
      <c r="BD260" s="5" t="s">
        <v>23</v>
      </c>
      <c r="BE260" s="3" t="s">
        <v>1368</v>
      </c>
      <c r="BF260" s="118">
        <v>2.4</v>
      </c>
      <c r="BG260" s="49" t="s">
        <v>1</v>
      </c>
      <c r="BH260" s="49" t="s">
        <v>1</v>
      </c>
      <c r="BI260" s="1"/>
      <c r="BJ260" s="70" t="s">
        <v>1281</v>
      </c>
      <c r="BK260" s="57" t="s">
        <v>1281</v>
      </c>
      <c r="BL260" s="57" t="s">
        <v>1281</v>
      </c>
      <c r="BM260" s="57" t="s">
        <v>1281</v>
      </c>
      <c r="BN260" s="57" t="s">
        <v>1281</v>
      </c>
      <c r="BO260" s="57" t="s">
        <v>1281</v>
      </c>
      <c r="BP260" s="57" t="s">
        <v>1281</v>
      </c>
      <c r="BQ260" s="57" t="s">
        <v>1281</v>
      </c>
      <c r="BR260" s="57" t="s">
        <v>1281</v>
      </c>
      <c r="BS260" s="57" t="s">
        <v>1281</v>
      </c>
      <c r="BT260" s="57" t="s">
        <v>1281</v>
      </c>
      <c r="BU260" s="57" t="s">
        <v>1281</v>
      </c>
      <c r="BV260" s="70">
        <f>E260</f>
        <v>28</v>
      </c>
      <c r="BW260" s="71">
        <f>I260</f>
        <v>61</v>
      </c>
      <c r="BX260" s="72">
        <f>M260</f>
        <v>65</v>
      </c>
      <c r="BY260" s="71">
        <f>Q260</f>
        <v>97</v>
      </c>
      <c r="BZ260" s="72">
        <f>U260</f>
        <v>101</v>
      </c>
      <c r="CA260" s="71" t="str">
        <f>Y260</f>
        <v>-</v>
      </c>
      <c r="CB260" s="72">
        <f>AC260</f>
        <v>143</v>
      </c>
      <c r="CC260" s="71">
        <f>AG260</f>
        <v>180</v>
      </c>
      <c r="CD260" s="72">
        <f>AK260</f>
        <v>190</v>
      </c>
      <c r="CE260" s="71">
        <f>AO260</f>
        <v>238</v>
      </c>
      <c r="CF260" s="72">
        <f>AS260</f>
        <v>282</v>
      </c>
      <c r="CG260" s="71">
        <f>AW260</f>
        <v>309</v>
      </c>
      <c r="CH260" s="70">
        <f>G260</f>
        <v>60</v>
      </c>
      <c r="CI260" s="71">
        <f>K260</f>
        <v>64</v>
      </c>
      <c r="CJ260" s="72">
        <f>O260</f>
        <v>95</v>
      </c>
      <c r="CK260" s="72">
        <f>S260</f>
        <v>100</v>
      </c>
      <c r="CL260" s="72">
        <f>W260</f>
        <v>136</v>
      </c>
      <c r="CM260" s="72" t="str">
        <f>AA260</f>
        <v>-</v>
      </c>
      <c r="CN260" s="72">
        <f>AE260</f>
        <v>169</v>
      </c>
      <c r="CO260" s="72">
        <f>AI260</f>
        <v>182</v>
      </c>
      <c r="CP260" s="72">
        <f>AM260</f>
        <v>226</v>
      </c>
      <c r="CQ260" s="72">
        <f>AQ260</f>
        <v>274</v>
      </c>
      <c r="CR260" s="72">
        <f>AU260</f>
        <v>308</v>
      </c>
      <c r="CS260" s="72">
        <f>AY260</f>
        <v>320</v>
      </c>
      <c r="CT260" s="23">
        <f>M260-K260</f>
        <v>1</v>
      </c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  <c r="UW260" s="1"/>
      <c r="UX260" s="1"/>
      <c r="UY260" s="1"/>
      <c r="UZ260" s="1"/>
      <c r="VA260" s="1"/>
      <c r="VB260" s="1"/>
      <c r="VC260" s="1"/>
      <c r="VD260" s="1"/>
      <c r="VE260" s="1"/>
      <c r="VF260" s="1"/>
      <c r="VG260" s="1"/>
      <c r="VH260" s="1"/>
      <c r="VI260" s="1"/>
      <c r="VJ260" s="1"/>
      <c r="VK260" s="1"/>
      <c r="VL260" s="1"/>
      <c r="VM260" s="1"/>
      <c r="VN260" s="1"/>
      <c r="VO260" s="1"/>
      <c r="VP260" s="1"/>
      <c r="VQ260" s="1"/>
      <c r="VR260" s="1"/>
      <c r="VS260" s="1"/>
      <c r="VT260" s="1"/>
      <c r="VU260" s="1"/>
      <c r="VV260" s="1"/>
      <c r="VW260" s="1"/>
      <c r="VX260" s="1"/>
      <c r="VY260" s="1"/>
      <c r="VZ260" s="1"/>
      <c r="WA260" s="1"/>
      <c r="WB260" s="1"/>
      <c r="WC260" s="1"/>
      <c r="WD260" s="1"/>
      <c r="WE260" s="1"/>
      <c r="WF260" s="1"/>
      <c r="WG260" s="1"/>
      <c r="WH260" s="1"/>
      <c r="WI260" s="1"/>
      <c r="WJ260" s="1"/>
      <c r="WK260" s="1"/>
      <c r="WL260" s="1"/>
      <c r="WM260" s="1"/>
      <c r="WN260" s="1"/>
      <c r="WO260" s="1"/>
      <c r="WP260" s="1"/>
      <c r="WQ260" s="1"/>
      <c r="WR260" s="1"/>
      <c r="WS260" s="1"/>
      <c r="WT260" s="1"/>
      <c r="WU260" s="1"/>
      <c r="WV260" s="1"/>
      <c r="WW260" s="1"/>
      <c r="WX260" s="1"/>
      <c r="WY260" s="1"/>
      <c r="WZ260" s="1"/>
      <c r="XA260" s="1"/>
      <c r="XB260" s="1"/>
      <c r="XC260" s="1"/>
      <c r="XD260" s="1"/>
      <c r="XE260" s="1"/>
      <c r="XF260" s="1"/>
      <c r="XG260" s="1"/>
      <c r="XH260" s="1"/>
      <c r="XI260" s="1"/>
      <c r="XJ260" s="1"/>
      <c r="XK260" s="1"/>
      <c r="XL260" s="1"/>
      <c r="XM260" s="1"/>
      <c r="XN260" s="1"/>
      <c r="XO260" s="1"/>
      <c r="XP260" s="1"/>
      <c r="XQ260" s="1"/>
      <c r="XR260" s="1"/>
      <c r="XS260" s="1"/>
      <c r="XT260" s="1"/>
      <c r="XU260" s="1"/>
      <c r="XV260" s="1"/>
      <c r="XW260" s="1"/>
      <c r="XX260" s="1"/>
      <c r="XY260" s="1"/>
      <c r="XZ260" s="1"/>
      <c r="YA260" s="1"/>
      <c r="YB260" s="1"/>
      <c r="YC260" s="1"/>
      <c r="YD260" s="1"/>
      <c r="YE260" s="1"/>
      <c r="YF260" s="1"/>
      <c r="YG260" s="1"/>
      <c r="YH260" s="1"/>
      <c r="YI260" s="1"/>
      <c r="YJ260" s="1"/>
      <c r="YK260" s="1"/>
      <c r="YL260" s="1"/>
      <c r="YM260" s="1"/>
      <c r="YN260" s="1"/>
      <c r="YO260" s="1"/>
      <c r="YP260" s="1"/>
      <c r="YQ260" s="1"/>
      <c r="YR260" s="1"/>
      <c r="YS260" s="1"/>
      <c r="YT260" s="1"/>
      <c r="YU260" s="1"/>
      <c r="YV260" s="1"/>
      <c r="YW260" s="1"/>
      <c r="YX260" s="1"/>
      <c r="YY260" s="1"/>
      <c r="YZ260" s="1"/>
      <c r="ZA260" s="1"/>
      <c r="ZB260" s="1"/>
      <c r="ZC260" s="1"/>
      <c r="ZD260" s="1"/>
      <c r="ZE260" s="1"/>
      <c r="ZF260" s="1"/>
      <c r="ZG260" s="1"/>
      <c r="ZH260" s="1"/>
      <c r="ZI260" s="1"/>
      <c r="ZJ260" s="1"/>
      <c r="ZK260" s="1"/>
      <c r="ZL260" s="1"/>
      <c r="ZM260" s="1"/>
      <c r="ZN260" s="1"/>
      <c r="ZO260" s="1"/>
      <c r="ZP260" s="1"/>
      <c r="ZQ260" s="1"/>
      <c r="ZR260" s="1"/>
      <c r="ZS260" s="1"/>
      <c r="ZT260" s="1"/>
      <c r="ZU260" s="1"/>
      <c r="ZV260" s="1"/>
      <c r="ZW260" s="1"/>
      <c r="ZX260" s="1"/>
      <c r="ZY260" s="1"/>
      <c r="ZZ260" s="1"/>
      <c r="AAA260" s="1"/>
      <c r="AAB260" s="1"/>
      <c r="AAC260" s="1"/>
      <c r="AAD260" s="1"/>
      <c r="AAE260" s="1"/>
      <c r="AAF260" s="1"/>
      <c r="AAG260" s="1"/>
      <c r="AAH260" s="1"/>
      <c r="AAI260" s="1"/>
      <c r="AAJ260" s="1"/>
      <c r="AAK260" s="1"/>
      <c r="AAL260" s="1"/>
      <c r="AAM260" s="1"/>
      <c r="AAN260" s="1"/>
      <c r="AAO260" s="1"/>
      <c r="AAP260" s="1"/>
      <c r="AAQ260" s="1"/>
      <c r="AAR260" s="1"/>
      <c r="AAS260" s="1"/>
      <c r="AAT260" s="1"/>
      <c r="AAU260" s="1"/>
      <c r="AAV260" s="1"/>
      <c r="AAW260" s="1"/>
      <c r="AAX260" s="1"/>
      <c r="AAY260" s="1"/>
      <c r="AAZ260" s="1"/>
      <c r="ABA260" s="1"/>
      <c r="ABB260" s="1"/>
      <c r="ABC260" s="1"/>
      <c r="ABD260" s="1"/>
      <c r="ABE260" s="1"/>
      <c r="ABF260" s="1"/>
      <c r="ABG260" s="1"/>
      <c r="ABH260" s="1"/>
      <c r="ABI260" s="1"/>
      <c r="ABJ260" s="1"/>
      <c r="ABK260" s="1"/>
      <c r="ABL260" s="1"/>
      <c r="ABM260" s="1"/>
      <c r="ABN260" s="1"/>
      <c r="ABO260" s="1"/>
      <c r="ABP260" s="1"/>
      <c r="ABQ260" s="1"/>
      <c r="ABR260" s="1"/>
      <c r="ABS260" s="1"/>
      <c r="ABT260" s="1"/>
      <c r="ABU260" s="1"/>
      <c r="ABV260" s="1"/>
      <c r="ABW260" s="1"/>
      <c r="ABX260" s="1"/>
      <c r="ABY260" s="1"/>
      <c r="ABZ260" s="1"/>
      <c r="ACA260" s="1"/>
      <c r="ACB260" s="1"/>
      <c r="ACC260" s="1"/>
      <c r="ACD260" s="1"/>
      <c r="ACE260" s="1"/>
      <c r="ACF260" s="1"/>
      <c r="ACG260" s="1"/>
      <c r="ACH260" s="1"/>
      <c r="ACI260" s="1"/>
      <c r="ACJ260" s="1"/>
      <c r="ACK260" s="1"/>
      <c r="ACL260" s="1"/>
      <c r="ACM260" s="1"/>
      <c r="ACN260" s="1"/>
      <c r="ACO260" s="1"/>
      <c r="ACP260" s="1"/>
      <c r="ACQ260" s="1"/>
      <c r="ACR260" s="1"/>
      <c r="ACS260" s="1"/>
      <c r="ACT260" s="1"/>
      <c r="ACU260" s="1"/>
      <c r="ACV260" s="1"/>
      <c r="ACW260" s="1"/>
      <c r="ACX260" s="1"/>
      <c r="ACY260" s="1"/>
      <c r="ACZ260" s="1"/>
      <c r="ADA260" s="1"/>
      <c r="ADB260" s="1"/>
      <c r="ADC260" s="1"/>
      <c r="ADD260" s="1"/>
      <c r="ADE260" s="1"/>
      <c r="ADF260" s="1"/>
      <c r="ADG260" s="1"/>
      <c r="ADH260" s="1"/>
      <c r="ADI260" s="1"/>
      <c r="ADJ260" s="1"/>
      <c r="ADK260" s="1"/>
      <c r="ADL260" s="1"/>
      <c r="ADM260" s="1"/>
      <c r="ADN260" s="1"/>
      <c r="ADO260" s="1"/>
      <c r="ADP260" s="1"/>
      <c r="ADQ260" s="1"/>
      <c r="ADR260" s="1"/>
      <c r="ADS260" s="1"/>
      <c r="ADT260" s="1"/>
      <c r="ADU260" s="1"/>
      <c r="ADV260" s="1"/>
      <c r="ADW260" s="1"/>
      <c r="ADX260" s="1"/>
      <c r="ADY260" s="1"/>
      <c r="ADZ260" s="1"/>
      <c r="AEA260" s="1"/>
      <c r="AEB260" s="1"/>
      <c r="AEC260" s="1"/>
      <c r="AED260" s="1"/>
      <c r="AEE260" s="1"/>
      <c r="AEF260" s="1"/>
      <c r="AEG260" s="1"/>
      <c r="AEH260" s="1"/>
      <c r="AEI260" s="1"/>
      <c r="AEJ260" s="1"/>
      <c r="AEK260" s="1"/>
      <c r="AEL260" s="1"/>
      <c r="AEM260" s="1"/>
      <c r="AEN260" s="1"/>
      <c r="AEO260" s="1"/>
      <c r="AEP260" s="1"/>
      <c r="AEQ260" s="1"/>
      <c r="AER260" s="1"/>
      <c r="AES260" s="1"/>
      <c r="AET260" s="1"/>
      <c r="AEU260" s="1"/>
      <c r="AEV260" s="1"/>
      <c r="AEW260" s="1"/>
      <c r="AEX260" s="1"/>
      <c r="AEY260" s="1"/>
      <c r="AEZ260" s="1"/>
      <c r="AFA260" s="1"/>
      <c r="AFB260" s="1"/>
      <c r="AFC260" s="1"/>
      <c r="AFD260" s="1"/>
      <c r="AFE260" s="1"/>
      <c r="AFF260" s="1"/>
      <c r="AFG260" s="1"/>
      <c r="AFH260" s="1"/>
      <c r="AFI260" s="1"/>
      <c r="AFJ260" s="1"/>
      <c r="AFK260" s="1"/>
      <c r="AFL260" s="1"/>
      <c r="AFM260" s="1"/>
      <c r="AFN260" s="1"/>
      <c r="AFO260" s="1"/>
      <c r="AFP260" s="1"/>
      <c r="AFQ260" s="1"/>
      <c r="AFR260" s="1"/>
      <c r="AFS260" s="1"/>
      <c r="AFT260" s="1"/>
      <c r="AFU260" s="1"/>
      <c r="AFV260" s="1"/>
      <c r="AFW260" s="1"/>
      <c r="AFX260" s="1"/>
      <c r="AFY260" s="1"/>
      <c r="AFZ260" s="1"/>
      <c r="AGA260" s="1"/>
      <c r="AGB260" s="1"/>
      <c r="AGC260" s="1"/>
      <c r="AGD260" s="1"/>
      <c r="AGE260" s="1"/>
      <c r="AGF260" s="1"/>
      <c r="AGG260" s="1"/>
      <c r="AGH260" s="1"/>
      <c r="AGI260" s="1"/>
      <c r="AGJ260" s="1"/>
      <c r="AGK260" s="1"/>
      <c r="AGL260" s="1"/>
      <c r="AGM260" s="1"/>
      <c r="AGN260" s="1"/>
      <c r="AGO260" s="1"/>
      <c r="AGP260" s="1"/>
      <c r="AGQ260" s="1"/>
      <c r="AGR260" s="1"/>
      <c r="AGS260" s="1"/>
      <c r="AGT260" s="1"/>
      <c r="AGU260" s="1"/>
      <c r="AGV260" s="1"/>
      <c r="AGW260" s="1"/>
      <c r="AGX260" s="1"/>
      <c r="AGY260" s="1"/>
      <c r="AGZ260" s="1"/>
      <c r="AHA260" s="1"/>
      <c r="AHB260" s="1"/>
      <c r="AHC260" s="1"/>
      <c r="AHD260" s="1"/>
      <c r="AHE260" s="1"/>
      <c r="AHF260" s="1"/>
      <c r="AHG260" s="1"/>
      <c r="AHH260" s="1"/>
      <c r="AHI260" s="1"/>
      <c r="AHJ260" s="1"/>
      <c r="AHK260" s="1"/>
      <c r="AHL260" s="1"/>
      <c r="AHM260" s="1"/>
      <c r="AHN260" s="1"/>
      <c r="AHO260" s="1"/>
      <c r="AHP260" s="1"/>
      <c r="AHQ260" s="1"/>
      <c r="AHR260" s="1"/>
      <c r="AHS260" s="1"/>
      <c r="AHT260" s="1"/>
      <c r="AHU260" s="1"/>
      <c r="AHV260" s="1"/>
      <c r="AHW260" s="1"/>
      <c r="AHX260" s="1"/>
      <c r="AHY260" s="1"/>
      <c r="AHZ260" s="1"/>
      <c r="AIA260" s="1"/>
      <c r="AIB260" s="1"/>
      <c r="AIC260" s="1"/>
      <c r="AID260" s="1"/>
      <c r="AIE260" s="1"/>
      <c r="AIF260" s="1"/>
      <c r="AIG260" s="1"/>
      <c r="AIH260" s="1"/>
      <c r="AII260" s="1"/>
      <c r="AIJ260" s="1"/>
      <c r="AIK260" s="1"/>
      <c r="AIL260" s="1"/>
      <c r="AIM260" s="1"/>
      <c r="AIN260" s="1"/>
      <c r="AIO260" s="1"/>
      <c r="AIP260" s="1"/>
      <c r="AIQ260" s="1"/>
      <c r="AIR260" s="1"/>
      <c r="AIS260" s="1"/>
      <c r="AIT260" s="1"/>
      <c r="AIU260" s="1"/>
      <c r="AIV260" s="1"/>
      <c r="AIW260" s="1"/>
      <c r="AIX260" s="1"/>
      <c r="AIY260" s="1"/>
      <c r="AIZ260" s="1"/>
      <c r="AJA260" s="1"/>
      <c r="AJB260" s="1"/>
      <c r="AJC260" s="1"/>
      <c r="AJD260" s="1"/>
      <c r="AJE260" s="1"/>
      <c r="AJF260" s="1"/>
      <c r="AJG260" s="1"/>
      <c r="AJH260" s="1"/>
      <c r="AJI260" s="1"/>
      <c r="AJJ260" s="1"/>
      <c r="AJK260" s="1"/>
      <c r="AJL260" s="1"/>
      <c r="AJM260" s="1"/>
      <c r="AJN260" s="1"/>
      <c r="AJO260" s="1"/>
      <c r="AJP260" s="1"/>
      <c r="AJQ260" s="1"/>
      <c r="AJR260" s="1"/>
      <c r="AJS260" s="1"/>
      <c r="AJT260" s="1"/>
      <c r="AJU260" s="1"/>
      <c r="AJV260" s="1"/>
      <c r="AJW260" s="1"/>
      <c r="AJX260" s="1"/>
      <c r="AJY260" s="1"/>
      <c r="AJZ260" s="1"/>
      <c r="AKA260" s="1"/>
      <c r="AKB260" s="1"/>
      <c r="AKC260" s="1"/>
      <c r="AKD260" s="1"/>
      <c r="AKE260" s="1"/>
      <c r="AKF260" s="1"/>
      <c r="AKG260" s="1"/>
      <c r="AKH260" s="1"/>
      <c r="AKI260" s="1"/>
      <c r="AKJ260" s="1"/>
      <c r="AKK260" s="1"/>
      <c r="AKL260" s="1"/>
      <c r="AKM260" s="1"/>
      <c r="AKN260" s="1"/>
      <c r="AKO260" s="1"/>
      <c r="AKP260" s="1"/>
      <c r="AKQ260" s="1"/>
      <c r="AKR260" s="1"/>
      <c r="AKS260" s="1"/>
      <c r="AKT260" s="1"/>
      <c r="AKU260" s="1"/>
      <c r="AKV260" s="1"/>
      <c r="AKW260" s="1"/>
      <c r="AKX260" s="1"/>
      <c r="AKY260" s="1"/>
      <c r="AKZ260" s="1"/>
      <c r="ALA260" s="1"/>
      <c r="ALB260" s="1"/>
      <c r="ALC260" s="1"/>
      <c r="ALD260" s="1"/>
      <c r="ALE260" s="1"/>
      <c r="ALF260" s="1"/>
      <c r="ALG260" s="1"/>
      <c r="ALH260" s="1"/>
      <c r="ALI260" s="1"/>
      <c r="ALJ260" s="1"/>
      <c r="ALK260" s="1"/>
      <c r="ALL260" s="1"/>
      <c r="ALM260" s="1"/>
      <c r="ALN260" s="1"/>
      <c r="ALO260" s="1"/>
      <c r="ALP260" s="1"/>
      <c r="ALQ260" s="1"/>
      <c r="ALR260" s="1"/>
      <c r="ALS260" s="1"/>
      <c r="ALT260" s="1"/>
      <c r="ALU260" s="1"/>
      <c r="ALV260" s="1"/>
      <c r="ALW260" s="1"/>
      <c r="ALX260" s="1"/>
      <c r="ALY260" s="1"/>
      <c r="ALZ260" s="1"/>
      <c r="AMA260" s="1"/>
      <c r="AMB260" s="1"/>
      <c r="AMC260" s="1"/>
      <c r="AMD260" s="1"/>
      <c r="AME260" s="1"/>
      <c r="AMF260" s="1"/>
      <c r="AMG260" s="1"/>
      <c r="AMH260" s="1"/>
      <c r="AMI260" s="1"/>
      <c r="AMJ260" s="1"/>
      <c r="AMK260" s="1"/>
      <c r="AML260" s="1"/>
      <c r="AMM260" s="1"/>
      <c r="AMN260" s="1"/>
      <c r="AMO260" s="1"/>
    </row>
    <row r="261" spans="1:1029" x14ac:dyDescent="0.2">
      <c r="A261" s="3" t="str">
        <f>CONCATENATE(B261,"_",C261)</f>
        <v>nk1r_human_6HLP</v>
      </c>
      <c r="B261" s="3" t="s">
        <v>313</v>
      </c>
      <c r="C261" s="133" t="s">
        <v>1539</v>
      </c>
      <c r="D261" s="3" t="str">
        <f>IFERROR(MID(VLOOKUP($B261,Seqs!$A:$B,2,0),E261,1),"")</f>
        <v>P</v>
      </c>
      <c r="E261" s="3">
        <v>28</v>
      </c>
      <c r="F261" s="3" t="str">
        <f>IFERROR(MID(VLOOKUP($B261,Seqs!$A:$B,2,0),G261,1),"")</f>
        <v>H</v>
      </c>
      <c r="G261" s="3">
        <v>60</v>
      </c>
      <c r="H261" s="3" t="str">
        <f>IFERROR(MID(VLOOKUP($B261,Seqs!$A:$B,2,0),I261,1),"")</f>
        <v>K</v>
      </c>
      <c r="I261" s="23">
        <v>61</v>
      </c>
      <c r="J261" s="3" t="str">
        <f>IFERROR(MID(VLOOKUP($B261,Seqs!$A:$B,2,0),K261,1),"")</f>
        <v>R</v>
      </c>
      <c r="K261" s="23">
        <v>64</v>
      </c>
      <c r="L261" s="3" t="str">
        <f>IFERROR(MID(VLOOKUP($B261,Seqs!$A:$B,2,0),M261,1),"")</f>
        <v>T</v>
      </c>
      <c r="M261" s="3">
        <v>65</v>
      </c>
      <c r="N261" s="3" t="str">
        <f>IFERROR(MID(VLOOKUP($B261,Seqs!$A:$B,2,0),O261,1),"")</f>
        <v>H</v>
      </c>
      <c r="O261" s="3">
        <v>95</v>
      </c>
      <c r="P261" s="3" t="str">
        <f>IFERROR(MID(VLOOKUP($B261,Seqs!$A:$B,2,0),Q261,1),"")</f>
        <v>E</v>
      </c>
      <c r="Q261" s="3">
        <v>97</v>
      </c>
      <c r="R261" s="3" t="str">
        <f>IFERROR(MID(VLOOKUP($B261,Seqs!$A:$B,2,0),S261,1),"")</f>
        <v>Y</v>
      </c>
      <c r="S261" s="3">
        <v>100</v>
      </c>
      <c r="T261" s="3" t="str">
        <f>IFERROR(MID(VLOOKUP($B261,Seqs!$A:$B,2,0),U261,1),"")</f>
        <v>G</v>
      </c>
      <c r="U261" s="3">
        <v>101</v>
      </c>
      <c r="V261" s="3" t="str">
        <f>IFERROR(MID(VLOOKUP($B261,Seqs!$A:$B,2,0),W261,1),"")</f>
        <v>H</v>
      </c>
      <c r="W261" s="3">
        <v>136</v>
      </c>
      <c r="X261" s="3" t="str">
        <f>IFERROR(MID(VLOOKUP($B261,Seqs!$A:$B,2,0),Y261,1),"")</f>
        <v/>
      </c>
      <c r="Y261" s="3" t="s">
        <v>23</v>
      </c>
      <c r="Z261" s="3" t="str">
        <f>IFERROR(MID(VLOOKUP($B261,Seqs!$A:$B,2,0),AA261,1),"")</f>
        <v/>
      </c>
      <c r="AA261" s="3" t="s">
        <v>23</v>
      </c>
      <c r="AB261" s="3" t="str">
        <f>IFERROR(MID(VLOOKUP($B261,Seqs!$A:$B,2,0),AC261,1),"")</f>
        <v>S</v>
      </c>
      <c r="AC261" s="3">
        <v>143</v>
      </c>
      <c r="AD261" s="3" t="str">
        <f>IFERROR(MID(VLOOKUP($B261,Seqs!$A:$B,2,0),AE261,1),"")</f>
        <v>S</v>
      </c>
      <c r="AE261" s="3">
        <v>169</v>
      </c>
      <c r="AF261" s="3" t="str">
        <f>IFERROR(MID(VLOOKUP($B261,Seqs!$A:$B,2,0),AG261,1),"")</f>
        <v>C</v>
      </c>
      <c r="AG261" s="3">
        <v>180</v>
      </c>
      <c r="AH261" s="3" t="str">
        <f>IFERROR(MID(VLOOKUP($B261,Seqs!$A:$B,2,0),AI261,1),"")</f>
        <v>I</v>
      </c>
      <c r="AI261" s="3">
        <v>182</v>
      </c>
      <c r="AJ261" s="3" t="str">
        <f>IFERROR(MID(VLOOKUP($B261,Seqs!$A:$B,2,0),AK261,1),"")</f>
        <v>K</v>
      </c>
      <c r="AK261" s="3">
        <v>190</v>
      </c>
      <c r="AL261" s="3" t="str">
        <f>IFERROR(MID(VLOOKUP($B261,Seqs!$A:$B,2,0),AM261,1),"")</f>
        <v>S</v>
      </c>
      <c r="AM261" s="3">
        <v>226</v>
      </c>
      <c r="AN261" s="3" t="str">
        <f>IFERROR(MID(VLOOKUP($B261,Seqs!$A:$B,2,0),AO261,1),"")</f>
        <v>E</v>
      </c>
      <c r="AO261" s="3">
        <v>238</v>
      </c>
      <c r="AP261" s="3" t="str">
        <f>IFERROR(MID(VLOOKUP($B261,Seqs!$A:$B,2,0),AQ261,1),"")</f>
        <v>N</v>
      </c>
      <c r="AQ261" s="3">
        <v>274</v>
      </c>
      <c r="AR261" s="3" t="str">
        <f>IFERROR(MID(VLOOKUP($B261,Seqs!$A:$B,2,0),AS261,1),"")</f>
        <v>F</v>
      </c>
      <c r="AS261" s="3">
        <v>282</v>
      </c>
      <c r="AT261" s="3" t="str">
        <f>IFERROR(MID(VLOOKUP($B261,Seqs!$A:$B,2,0),AU261,1),"")</f>
        <v>L</v>
      </c>
      <c r="AU261" s="3">
        <v>308</v>
      </c>
      <c r="AV261" s="3" t="str">
        <f>IFERROR(MID(VLOOKUP($B261,Seqs!$A:$B,2,0),AW261,1),"")</f>
        <v>N</v>
      </c>
      <c r="AW261" s="3">
        <v>309</v>
      </c>
      <c r="AX261" s="3" t="str">
        <f>IFERROR(MID(VLOOKUP($B261,Seqs!$A:$B,2,0),AY261,1),"")</f>
        <v>F</v>
      </c>
      <c r="AY261" s="3">
        <v>320</v>
      </c>
      <c r="AZ261" s="77" t="str">
        <f>VLOOKUP(B261,Classification!A:D,2,0)</f>
        <v>A</v>
      </c>
      <c r="BA261" s="94" t="str">
        <f>VLOOKUP(B261,Classification!A:D,4,0)</f>
        <v>Tachykinin</v>
      </c>
      <c r="BB261" s="27" t="b">
        <f t="shared" ref="BB261" si="1098">AND(E261&lt;G261,OR(G261&lt;I261,I261="-"),OR(I261&lt;K261,I261="-"),OR(K261&lt;M261,K261="-"),M261&lt;O261,OR(O261&lt;Q261,Q261="-"),OR(Q261&lt;S261,Q261="-"),OR(S261&lt;U261,S261="-"),U261&lt;W261,OR(W261&lt;Y261,Y261="-"),OR(Y261&lt;AA261,Y261="-"),OR(AA261&lt;AC261,AA261="-"),AC261&lt;AE261,OR(AE261&lt;AG261,AG261="-"),OR(AG261&lt;AI261,AG261="-"),OR(AI261&lt;AK261,AI261="-"),AK261&lt;AM261,AM261&lt;AO261,AO261&lt;AQ261,AQ261&lt;AS261,AS261&lt;AU261,OR(AU261&lt;AW261,AW261="-"),OR(AW261&lt;AY261,AW261="-"))</f>
        <v>1</v>
      </c>
      <c r="BC261" s="23">
        <f t="shared" ref="BC261" si="1099">_xlfn.AGGREGATE(9,6,CH261:CS261)-_xlfn.AGGREGATE(9,6,BV261:CG261)+12</f>
        <v>252</v>
      </c>
      <c r="BD261" s="5" t="s">
        <v>1370</v>
      </c>
      <c r="BE261" s="3" t="s">
        <v>1368</v>
      </c>
      <c r="BF261" s="118">
        <v>2.2000000000000002</v>
      </c>
      <c r="BG261" s="49" t="s">
        <v>1</v>
      </c>
      <c r="BH261" s="49" t="s">
        <v>1</v>
      </c>
      <c r="BI261" s="1"/>
      <c r="BJ261" s="70" t="s">
        <v>1281</v>
      </c>
      <c r="BK261" s="57" t="s">
        <v>1281</v>
      </c>
      <c r="BL261" s="57" t="s">
        <v>1281</v>
      </c>
      <c r="BM261" s="57" t="s">
        <v>1281</v>
      </c>
      <c r="BN261" s="57" t="s">
        <v>1281</v>
      </c>
      <c r="BO261" s="57" t="s">
        <v>1281</v>
      </c>
      <c r="BP261" s="57" t="s">
        <v>1281</v>
      </c>
      <c r="BQ261" s="57" t="s">
        <v>1281</v>
      </c>
      <c r="BR261" s="57" t="s">
        <v>1281</v>
      </c>
      <c r="BS261" s="57" t="s">
        <v>1281</v>
      </c>
      <c r="BT261" s="57" t="s">
        <v>1281</v>
      </c>
      <c r="BU261" s="57" t="s">
        <v>1281</v>
      </c>
      <c r="BV261" s="70">
        <f>E261</f>
        <v>28</v>
      </c>
      <c r="BW261" s="71">
        <f>I261</f>
        <v>61</v>
      </c>
      <c r="BX261" s="72">
        <f>M261</f>
        <v>65</v>
      </c>
      <c r="BY261" s="71">
        <f>Q261</f>
        <v>97</v>
      </c>
      <c r="BZ261" s="72">
        <f>U261</f>
        <v>101</v>
      </c>
      <c r="CA261" s="71" t="str">
        <f>Y261</f>
        <v>-</v>
      </c>
      <c r="CB261" s="72">
        <f>AC261</f>
        <v>143</v>
      </c>
      <c r="CC261" s="71">
        <f>AG261</f>
        <v>180</v>
      </c>
      <c r="CD261" s="72">
        <f>AK261</f>
        <v>190</v>
      </c>
      <c r="CE261" s="71">
        <f>AO261</f>
        <v>238</v>
      </c>
      <c r="CF261" s="72">
        <f>AS261</f>
        <v>282</v>
      </c>
      <c r="CG261" s="71">
        <f>AW261</f>
        <v>309</v>
      </c>
      <c r="CH261" s="70">
        <f>G261</f>
        <v>60</v>
      </c>
      <c r="CI261" s="71">
        <f>K261</f>
        <v>64</v>
      </c>
      <c r="CJ261" s="72">
        <f>O261</f>
        <v>95</v>
      </c>
      <c r="CK261" s="72">
        <f>S261</f>
        <v>100</v>
      </c>
      <c r="CL261" s="72">
        <f>W261</f>
        <v>136</v>
      </c>
      <c r="CM261" s="72" t="str">
        <f>AA261</f>
        <v>-</v>
      </c>
      <c r="CN261" s="72">
        <f>AE261</f>
        <v>169</v>
      </c>
      <c r="CO261" s="72">
        <f>AI261</f>
        <v>182</v>
      </c>
      <c r="CP261" s="72">
        <f>AM261</f>
        <v>226</v>
      </c>
      <c r="CQ261" s="72">
        <f>AQ261</f>
        <v>274</v>
      </c>
      <c r="CR261" s="72">
        <f>AU261</f>
        <v>308</v>
      </c>
      <c r="CS261" s="72">
        <f>AY261</f>
        <v>320</v>
      </c>
      <c r="CT261" s="23">
        <f>M261-K261</f>
        <v>1</v>
      </c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  <c r="WP261" s="1"/>
      <c r="WQ261" s="1"/>
      <c r="WR261" s="1"/>
      <c r="WS261" s="1"/>
      <c r="WT261" s="1"/>
      <c r="WU261" s="1"/>
      <c r="WV261" s="1"/>
      <c r="WW261" s="1"/>
      <c r="WX261" s="1"/>
      <c r="WY261" s="1"/>
      <c r="WZ261" s="1"/>
      <c r="XA261" s="1"/>
      <c r="XB261" s="1"/>
      <c r="XC261" s="1"/>
      <c r="XD261" s="1"/>
      <c r="XE261" s="1"/>
      <c r="XF261" s="1"/>
      <c r="XG261" s="1"/>
      <c r="XH261" s="1"/>
      <c r="XI261" s="1"/>
      <c r="XJ261" s="1"/>
      <c r="XK261" s="1"/>
      <c r="XL261" s="1"/>
      <c r="XM261" s="1"/>
      <c r="XN261" s="1"/>
      <c r="XO261" s="1"/>
      <c r="XP261" s="1"/>
      <c r="XQ261" s="1"/>
      <c r="XR261" s="1"/>
      <c r="XS261" s="1"/>
      <c r="XT261" s="1"/>
      <c r="XU261" s="1"/>
      <c r="XV261" s="1"/>
      <c r="XW261" s="1"/>
      <c r="XX261" s="1"/>
      <c r="XY261" s="1"/>
      <c r="XZ261" s="1"/>
      <c r="YA261" s="1"/>
      <c r="YB261" s="1"/>
      <c r="YC261" s="1"/>
      <c r="YD261" s="1"/>
      <c r="YE261" s="1"/>
      <c r="YF261" s="1"/>
      <c r="YG261" s="1"/>
      <c r="YH261" s="1"/>
      <c r="YI261" s="1"/>
      <c r="YJ261" s="1"/>
      <c r="YK261" s="1"/>
      <c r="YL261" s="1"/>
      <c r="YM261" s="1"/>
      <c r="YN261" s="1"/>
      <c r="YO261" s="1"/>
      <c r="YP261" s="1"/>
      <c r="YQ261" s="1"/>
      <c r="YR261" s="1"/>
      <c r="YS261" s="1"/>
      <c r="YT261" s="1"/>
      <c r="YU261" s="1"/>
      <c r="YV261" s="1"/>
      <c r="YW261" s="1"/>
      <c r="YX261" s="1"/>
      <c r="YY261" s="1"/>
      <c r="YZ261" s="1"/>
      <c r="ZA261" s="1"/>
      <c r="ZB261" s="1"/>
      <c r="ZC261" s="1"/>
      <c r="ZD261" s="1"/>
      <c r="ZE261" s="1"/>
      <c r="ZF261" s="1"/>
      <c r="ZG261" s="1"/>
      <c r="ZH261" s="1"/>
      <c r="ZI261" s="1"/>
      <c r="ZJ261" s="1"/>
      <c r="ZK261" s="1"/>
      <c r="ZL261" s="1"/>
      <c r="ZM261" s="1"/>
      <c r="ZN261" s="1"/>
      <c r="ZO261" s="1"/>
      <c r="ZP261" s="1"/>
      <c r="ZQ261" s="1"/>
      <c r="ZR261" s="1"/>
      <c r="ZS261" s="1"/>
      <c r="ZT261" s="1"/>
      <c r="ZU261" s="1"/>
      <c r="ZV261" s="1"/>
      <c r="ZW261" s="1"/>
      <c r="ZX261" s="1"/>
      <c r="ZY261" s="1"/>
      <c r="ZZ261" s="1"/>
      <c r="AAA261" s="1"/>
      <c r="AAB261" s="1"/>
      <c r="AAC261" s="1"/>
      <c r="AAD261" s="1"/>
      <c r="AAE261" s="1"/>
      <c r="AAF261" s="1"/>
      <c r="AAG261" s="1"/>
      <c r="AAH261" s="1"/>
      <c r="AAI261" s="1"/>
      <c r="AAJ261" s="1"/>
      <c r="AAK261" s="1"/>
      <c r="AAL261" s="1"/>
      <c r="AAM261" s="1"/>
      <c r="AAN261" s="1"/>
      <c r="AAO261" s="1"/>
      <c r="AAP261" s="1"/>
      <c r="AAQ261" s="1"/>
      <c r="AAR261" s="1"/>
      <c r="AAS261" s="1"/>
      <c r="AAT261" s="1"/>
      <c r="AAU261" s="1"/>
      <c r="AAV261" s="1"/>
      <c r="AAW261" s="1"/>
      <c r="AAX261" s="1"/>
      <c r="AAY261" s="1"/>
      <c r="AAZ261" s="1"/>
      <c r="ABA261" s="1"/>
      <c r="ABB261" s="1"/>
      <c r="ABC261" s="1"/>
      <c r="ABD261" s="1"/>
      <c r="ABE261" s="1"/>
      <c r="ABF261" s="1"/>
      <c r="ABG261" s="1"/>
      <c r="ABH261" s="1"/>
      <c r="ABI261" s="1"/>
      <c r="ABJ261" s="1"/>
      <c r="ABK261" s="1"/>
      <c r="ABL261" s="1"/>
      <c r="ABM261" s="1"/>
      <c r="ABN261" s="1"/>
      <c r="ABO261" s="1"/>
      <c r="ABP261" s="1"/>
      <c r="ABQ261" s="1"/>
      <c r="ABR261" s="1"/>
      <c r="ABS261" s="1"/>
      <c r="ABT261" s="1"/>
      <c r="ABU261" s="1"/>
      <c r="ABV261" s="1"/>
      <c r="ABW261" s="1"/>
      <c r="ABX261" s="1"/>
      <c r="ABY261" s="1"/>
      <c r="ABZ261" s="1"/>
      <c r="ACA261" s="1"/>
      <c r="ACB261" s="1"/>
      <c r="ACC261" s="1"/>
      <c r="ACD261" s="1"/>
      <c r="ACE261" s="1"/>
      <c r="ACF261" s="1"/>
      <c r="ACG261" s="1"/>
      <c r="ACH261" s="1"/>
      <c r="ACI261" s="1"/>
      <c r="ACJ261" s="1"/>
      <c r="ACK261" s="1"/>
      <c r="ACL261" s="1"/>
      <c r="ACM261" s="1"/>
      <c r="ACN261" s="1"/>
      <c r="ACO261" s="1"/>
      <c r="ACP261" s="1"/>
      <c r="ACQ261" s="1"/>
      <c r="ACR261" s="1"/>
      <c r="ACS261" s="1"/>
      <c r="ACT261" s="1"/>
      <c r="ACU261" s="1"/>
      <c r="ACV261" s="1"/>
      <c r="ACW261" s="1"/>
      <c r="ACX261" s="1"/>
      <c r="ACY261" s="1"/>
      <c r="ACZ261" s="1"/>
      <c r="ADA261" s="1"/>
      <c r="ADB261" s="1"/>
      <c r="ADC261" s="1"/>
      <c r="ADD261" s="1"/>
      <c r="ADE261" s="1"/>
      <c r="ADF261" s="1"/>
      <c r="ADG261" s="1"/>
      <c r="ADH261" s="1"/>
      <c r="ADI261" s="1"/>
      <c r="ADJ261" s="1"/>
      <c r="ADK261" s="1"/>
      <c r="ADL261" s="1"/>
      <c r="ADM261" s="1"/>
      <c r="ADN261" s="1"/>
      <c r="ADO261" s="1"/>
      <c r="ADP261" s="1"/>
      <c r="ADQ261" s="1"/>
      <c r="ADR261" s="1"/>
      <c r="ADS261" s="1"/>
      <c r="ADT261" s="1"/>
      <c r="ADU261" s="1"/>
      <c r="ADV261" s="1"/>
      <c r="ADW261" s="1"/>
      <c r="ADX261" s="1"/>
      <c r="ADY261" s="1"/>
      <c r="ADZ261" s="1"/>
      <c r="AEA261" s="1"/>
      <c r="AEB261" s="1"/>
      <c r="AEC261" s="1"/>
      <c r="AED261" s="1"/>
      <c r="AEE261" s="1"/>
      <c r="AEF261" s="1"/>
      <c r="AEG261" s="1"/>
      <c r="AEH261" s="1"/>
      <c r="AEI261" s="1"/>
      <c r="AEJ261" s="1"/>
      <c r="AEK261" s="1"/>
      <c r="AEL261" s="1"/>
      <c r="AEM261" s="1"/>
      <c r="AEN261" s="1"/>
      <c r="AEO261" s="1"/>
      <c r="AEP261" s="1"/>
      <c r="AEQ261" s="1"/>
      <c r="AER261" s="1"/>
      <c r="AES261" s="1"/>
      <c r="AET261" s="1"/>
      <c r="AEU261" s="1"/>
      <c r="AEV261" s="1"/>
      <c r="AEW261" s="1"/>
      <c r="AEX261" s="1"/>
      <c r="AEY261" s="1"/>
      <c r="AEZ261" s="1"/>
      <c r="AFA261" s="1"/>
      <c r="AFB261" s="1"/>
      <c r="AFC261" s="1"/>
      <c r="AFD261" s="1"/>
      <c r="AFE261" s="1"/>
      <c r="AFF261" s="1"/>
      <c r="AFG261" s="1"/>
      <c r="AFH261" s="1"/>
      <c r="AFI261" s="1"/>
      <c r="AFJ261" s="1"/>
      <c r="AFK261" s="1"/>
      <c r="AFL261" s="1"/>
      <c r="AFM261" s="1"/>
      <c r="AFN261" s="1"/>
      <c r="AFO261" s="1"/>
      <c r="AFP261" s="1"/>
      <c r="AFQ261" s="1"/>
      <c r="AFR261" s="1"/>
      <c r="AFS261" s="1"/>
      <c r="AFT261" s="1"/>
      <c r="AFU261" s="1"/>
      <c r="AFV261" s="1"/>
      <c r="AFW261" s="1"/>
      <c r="AFX261" s="1"/>
      <c r="AFY261" s="1"/>
      <c r="AFZ261" s="1"/>
      <c r="AGA261" s="1"/>
      <c r="AGB261" s="1"/>
      <c r="AGC261" s="1"/>
      <c r="AGD261" s="1"/>
      <c r="AGE261" s="1"/>
      <c r="AGF261" s="1"/>
      <c r="AGG261" s="1"/>
      <c r="AGH261" s="1"/>
      <c r="AGI261" s="1"/>
      <c r="AGJ261" s="1"/>
      <c r="AGK261" s="1"/>
      <c r="AGL261" s="1"/>
      <c r="AGM261" s="1"/>
      <c r="AGN261" s="1"/>
      <c r="AGO261" s="1"/>
      <c r="AGP261" s="1"/>
      <c r="AGQ261" s="1"/>
      <c r="AGR261" s="1"/>
      <c r="AGS261" s="1"/>
      <c r="AGT261" s="1"/>
      <c r="AGU261" s="1"/>
      <c r="AGV261" s="1"/>
      <c r="AGW261" s="1"/>
      <c r="AGX261" s="1"/>
      <c r="AGY261" s="1"/>
      <c r="AGZ261" s="1"/>
      <c r="AHA261" s="1"/>
      <c r="AHB261" s="1"/>
      <c r="AHC261" s="1"/>
      <c r="AHD261" s="1"/>
      <c r="AHE261" s="1"/>
      <c r="AHF261" s="1"/>
      <c r="AHG261" s="1"/>
      <c r="AHH261" s="1"/>
      <c r="AHI261" s="1"/>
      <c r="AHJ261" s="1"/>
      <c r="AHK261" s="1"/>
      <c r="AHL261" s="1"/>
      <c r="AHM261" s="1"/>
      <c r="AHN261" s="1"/>
      <c r="AHO261" s="1"/>
      <c r="AHP261" s="1"/>
      <c r="AHQ261" s="1"/>
      <c r="AHR261" s="1"/>
      <c r="AHS261" s="1"/>
      <c r="AHT261" s="1"/>
      <c r="AHU261" s="1"/>
      <c r="AHV261" s="1"/>
      <c r="AHW261" s="1"/>
      <c r="AHX261" s="1"/>
      <c r="AHY261" s="1"/>
      <c r="AHZ261" s="1"/>
      <c r="AIA261" s="1"/>
      <c r="AIB261" s="1"/>
      <c r="AIC261" s="1"/>
      <c r="AID261" s="1"/>
      <c r="AIE261" s="1"/>
      <c r="AIF261" s="1"/>
      <c r="AIG261" s="1"/>
      <c r="AIH261" s="1"/>
      <c r="AII261" s="1"/>
      <c r="AIJ261" s="1"/>
      <c r="AIK261" s="1"/>
      <c r="AIL261" s="1"/>
      <c r="AIM261" s="1"/>
      <c r="AIN261" s="1"/>
      <c r="AIO261" s="1"/>
      <c r="AIP261" s="1"/>
      <c r="AIQ261" s="1"/>
      <c r="AIR261" s="1"/>
      <c r="AIS261" s="1"/>
      <c r="AIT261" s="1"/>
      <c r="AIU261" s="1"/>
      <c r="AIV261" s="1"/>
      <c r="AIW261" s="1"/>
      <c r="AIX261" s="1"/>
      <c r="AIY261" s="1"/>
      <c r="AIZ261" s="1"/>
      <c r="AJA261" s="1"/>
      <c r="AJB261" s="1"/>
      <c r="AJC261" s="1"/>
      <c r="AJD261" s="1"/>
      <c r="AJE261" s="1"/>
      <c r="AJF261" s="1"/>
      <c r="AJG261" s="1"/>
      <c r="AJH261" s="1"/>
      <c r="AJI261" s="1"/>
      <c r="AJJ261" s="1"/>
      <c r="AJK261" s="1"/>
      <c r="AJL261" s="1"/>
      <c r="AJM261" s="1"/>
      <c r="AJN261" s="1"/>
      <c r="AJO261" s="1"/>
      <c r="AJP261" s="1"/>
      <c r="AJQ261" s="1"/>
      <c r="AJR261" s="1"/>
      <c r="AJS261" s="1"/>
      <c r="AJT261" s="1"/>
      <c r="AJU261" s="1"/>
      <c r="AJV261" s="1"/>
      <c r="AJW261" s="1"/>
      <c r="AJX261" s="1"/>
      <c r="AJY261" s="1"/>
      <c r="AJZ261" s="1"/>
      <c r="AKA261" s="1"/>
      <c r="AKB261" s="1"/>
      <c r="AKC261" s="1"/>
      <c r="AKD261" s="1"/>
      <c r="AKE261" s="1"/>
      <c r="AKF261" s="1"/>
      <c r="AKG261" s="1"/>
      <c r="AKH261" s="1"/>
      <c r="AKI261" s="1"/>
      <c r="AKJ261" s="1"/>
      <c r="AKK261" s="1"/>
      <c r="AKL261" s="1"/>
      <c r="AKM261" s="1"/>
      <c r="AKN261" s="1"/>
      <c r="AKO261" s="1"/>
      <c r="AKP261" s="1"/>
      <c r="AKQ261" s="1"/>
      <c r="AKR261" s="1"/>
      <c r="AKS261" s="1"/>
      <c r="AKT261" s="1"/>
      <c r="AKU261" s="1"/>
      <c r="AKV261" s="1"/>
      <c r="AKW261" s="1"/>
      <c r="AKX261" s="1"/>
      <c r="AKY261" s="1"/>
      <c r="AKZ261" s="1"/>
      <c r="ALA261" s="1"/>
      <c r="ALB261" s="1"/>
      <c r="ALC261" s="1"/>
      <c r="ALD261" s="1"/>
      <c r="ALE261" s="1"/>
      <c r="ALF261" s="1"/>
      <c r="ALG261" s="1"/>
      <c r="ALH261" s="1"/>
      <c r="ALI261" s="1"/>
      <c r="ALJ261" s="1"/>
      <c r="ALK261" s="1"/>
      <c r="ALL261" s="1"/>
      <c r="ALM261" s="1"/>
      <c r="ALN261" s="1"/>
      <c r="ALO261" s="1"/>
      <c r="ALP261" s="1"/>
      <c r="ALQ261" s="1"/>
      <c r="ALR261" s="1"/>
      <c r="ALS261" s="1"/>
      <c r="ALT261" s="1"/>
      <c r="ALU261" s="1"/>
      <c r="ALV261" s="1"/>
      <c r="ALW261" s="1"/>
      <c r="ALX261" s="1"/>
      <c r="ALY261" s="1"/>
      <c r="ALZ261" s="1"/>
      <c r="AMA261" s="1"/>
      <c r="AMB261" s="1"/>
      <c r="AMC261" s="1"/>
      <c r="AMD261" s="1"/>
      <c r="AME261" s="1"/>
      <c r="AMF261" s="1"/>
      <c r="AMG261" s="1"/>
      <c r="AMH261" s="1"/>
      <c r="AMI261" s="1"/>
      <c r="AMJ261" s="1"/>
      <c r="AMK261" s="1"/>
      <c r="AML261" s="1"/>
      <c r="AMM261" s="1"/>
      <c r="AMN261" s="1"/>
      <c r="AMO261" s="1"/>
    </row>
    <row r="262" spans="1:1029" x14ac:dyDescent="0.2">
      <c r="A262" s="3" t="str">
        <f>CONCATENATE(B262,"_",C262)</f>
        <v>nk1r_human_6J20</v>
      </c>
      <c r="B262" s="3" t="s">
        <v>313</v>
      </c>
      <c r="C262" s="133" t="s">
        <v>1556</v>
      </c>
      <c r="D262" s="3" t="str">
        <f>IFERROR(MID(VLOOKUP($B262,Seqs!$A:$B,2,0),E262,1),"")</f>
        <v>P</v>
      </c>
      <c r="E262" s="3">
        <v>28</v>
      </c>
      <c r="F262" s="3" t="str">
        <f>IFERROR(MID(VLOOKUP($B262,Seqs!$A:$B,2,0),G262,1),"")</f>
        <v>A</v>
      </c>
      <c r="G262" s="3">
        <v>59</v>
      </c>
      <c r="H262" s="3" t="str">
        <f>IFERROR(MID(VLOOKUP($B262,Seqs!$A:$B,2,0),I262,1),"")</f>
        <v/>
      </c>
      <c r="I262" s="23" t="s">
        <v>23</v>
      </c>
      <c r="J262" s="3" t="str">
        <f>IFERROR(MID(VLOOKUP($B262,Seqs!$A:$B,2,0),K262,1),"")</f>
        <v/>
      </c>
      <c r="K262" s="23" t="s">
        <v>23</v>
      </c>
      <c r="L262" s="3" t="str">
        <f>IFERROR(MID(VLOOKUP($B262,Seqs!$A:$B,2,0),M262,1),"")</f>
        <v>V</v>
      </c>
      <c r="M262" s="3">
        <v>66</v>
      </c>
      <c r="N262" s="3" t="str">
        <f>IFERROR(MID(VLOOKUP($B262,Seqs!$A:$B,2,0),O262,1),"")</f>
        <v>N</v>
      </c>
      <c r="O262" s="3">
        <v>96</v>
      </c>
      <c r="P262" s="3" t="str">
        <f>IFERROR(MID(VLOOKUP($B262,Seqs!$A:$B,2,0),Q262,1),"")</f>
        <v>E</v>
      </c>
      <c r="Q262" s="3">
        <v>97</v>
      </c>
      <c r="R262" s="3" t="str">
        <f>IFERROR(MID(VLOOKUP($B262,Seqs!$A:$B,2,0),S262,1),"")</f>
        <v>Y</v>
      </c>
      <c r="S262" s="3">
        <v>100</v>
      </c>
      <c r="T262" s="3" t="str">
        <f>IFERROR(MID(VLOOKUP($B262,Seqs!$A:$B,2,0),U262,1),"")</f>
        <v>G</v>
      </c>
      <c r="U262" s="3">
        <v>101</v>
      </c>
      <c r="V262" s="3" t="str">
        <f>IFERROR(MID(VLOOKUP($B262,Seqs!$A:$B,2,0),W262,1),"")</f>
        <v>H</v>
      </c>
      <c r="W262" s="3">
        <v>136</v>
      </c>
      <c r="X262" s="3" t="str">
        <f>IFERROR(MID(VLOOKUP($B262,Seqs!$A:$B,2,0),Y262,1),"")</f>
        <v/>
      </c>
      <c r="Y262" s="3" t="s">
        <v>23</v>
      </c>
      <c r="Z262" s="3" t="str">
        <f>IFERROR(MID(VLOOKUP($B262,Seqs!$A:$B,2,0),AA262,1),"")</f>
        <v/>
      </c>
      <c r="AA262" s="3" t="s">
        <v>23</v>
      </c>
      <c r="AB262" s="3" t="str">
        <f>IFERROR(MID(VLOOKUP($B262,Seqs!$A:$B,2,0),AC262,1),"")</f>
        <v>S</v>
      </c>
      <c r="AC262" s="3">
        <v>143</v>
      </c>
      <c r="AD262" s="3" t="str">
        <f>IFERROR(MID(VLOOKUP($B262,Seqs!$A:$B,2,0),AE262,1),"")</f>
        <v>S</v>
      </c>
      <c r="AE262" s="3">
        <v>169</v>
      </c>
      <c r="AF262" s="3" t="str">
        <f>IFERROR(MID(VLOOKUP($B262,Seqs!$A:$B,2,0),AG262,1),"")</f>
        <v>C</v>
      </c>
      <c r="AG262" s="3">
        <v>180</v>
      </c>
      <c r="AH262" s="3" t="str">
        <f>IFERROR(MID(VLOOKUP($B262,Seqs!$A:$B,2,0),AI262,1),"")</f>
        <v>I</v>
      </c>
      <c r="AI262" s="3">
        <v>182</v>
      </c>
      <c r="AJ262" s="3" t="str">
        <f>IFERROR(MID(VLOOKUP($B262,Seqs!$A:$B,2,0),AK262,1),"")</f>
        <v>K</v>
      </c>
      <c r="AK262" s="3">
        <v>190</v>
      </c>
      <c r="AL262" s="3" t="str">
        <f>IFERROR(MID(VLOOKUP($B262,Seqs!$A:$B,2,0),AM262,1),"")</f>
        <v>A</v>
      </c>
      <c r="AM262" s="3">
        <v>225</v>
      </c>
      <c r="AN262" s="3" t="str">
        <f>IFERROR(MID(VLOOKUP($B262,Seqs!$A:$B,2,0),AO262,1),"")</f>
        <v>S</v>
      </c>
      <c r="AO262" s="3">
        <v>241</v>
      </c>
      <c r="AP262" s="3" t="str">
        <f>IFERROR(MID(VLOOKUP($B262,Seqs!$A:$B,2,0),AQ262,1),"")</f>
        <v>N</v>
      </c>
      <c r="AQ262" s="3">
        <v>274</v>
      </c>
      <c r="AR262" s="3" t="str">
        <f>IFERROR(MID(VLOOKUP($B262,Seqs!$A:$B,2,0),AS262,1),"")</f>
        <v>I</v>
      </c>
      <c r="AS262" s="3">
        <v>283</v>
      </c>
      <c r="AT262" s="3" t="str">
        <f>IFERROR(MID(VLOOKUP($B262,Seqs!$A:$B,2,0),AU262,1),"")</f>
        <v>L</v>
      </c>
      <c r="AU262" s="3">
        <v>308</v>
      </c>
      <c r="AV262" s="3" t="str">
        <f>IFERROR(MID(VLOOKUP($B262,Seqs!$A:$B,2,0),AW262,1),"")</f>
        <v>N</v>
      </c>
      <c r="AW262" s="3">
        <v>309</v>
      </c>
      <c r="AX262" s="3" t="str">
        <f>IFERROR(MID(VLOOKUP($B262,Seqs!$A:$B,2,0),AY262,1),"")</f>
        <v>A</v>
      </c>
      <c r="AY262" s="3">
        <v>319</v>
      </c>
      <c r="AZ262" s="77" t="str">
        <f>VLOOKUP(B262,Classification!A:D,2,0)</f>
        <v>A</v>
      </c>
      <c r="BA262" s="94" t="str">
        <f>VLOOKUP(B262,Classification!A:D,4,0)</f>
        <v>Tachykinin</v>
      </c>
      <c r="BB262" s="27" t="b">
        <f t="shared" ref="BB262" si="1100">AND(E262&lt;G262,OR(G262&lt;I262,I262="-"),OR(I262&lt;K262,I262="-"),OR(K262&lt;M262,K262="-"),M262&lt;O262,OR(O262&lt;Q262,Q262="-"),OR(Q262&lt;S262,Q262="-"),OR(S262&lt;U262,S262="-"),U262&lt;W262,OR(W262&lt;Y262,Y262="-"),OR(Y262&lt;AA262,Y262="-"),OR(AA262&lt;AC262,AA262="-"),AC262&lt;AE262,OR(AE262&lt;AG262,AG262="-"),OR(AG262&lt;AI262,AG262="-"),OR(AI262&lt;AK262,AI262="-"),AK262&lt;AM262,AM262&lt;AO262,AO262&lt;AQ262,AQ262&lt;AS262,AS262&lt;AU262,OR(AU262&lt;AW262,AW262="-"),OR(AW262&lt;AY262,AW262="-"))</f>
        <v>1</v>
      </c>
      <c r="BC262" s="23">
        <f t="shared" ref="BC262" si="1101">_xlfn.AGGREGATE(9,6,CH262:CS262)-_xlfn.AGGREGATE(9,6,BV262:CG262)+12</f>
        <v>242</v>
      </c>
      <c r="BD262" s="5" t="s">
        <v>23</v>
      </c>
      <c r="BE262" s="3" t="s">
        <v>1368</v>
      </c>
      <c r="BF262" s="118">
        <v>2.7</v>
      </c>
      <c r="BG262" s="49" t="s">
        <v>1</v>
      </c>
      <c r="BH262" s="49" t="s">
        <v>1</v>
      </c>
      <c r="BI262" s="1"/>
      <c r="BJ262" s="70" t="s">
        <v>1281</v>
      </c>
      <c r="BK262" s="57" t="s">
        <v>1281</v>
      </c>
      <c r="BL262" s="57" t="s">
        <v>1281</v>
      </c>
      <c r="BM262" s="57" t="s">
        <v>1281</v>
      </c>
      <c r="BN262" s="57" t="s">
        <v>1281</v>
      </c>
      <c r="BO262" s="57" t="s">
        <v>1281</v>
      </c>
      <c r="BP262" s="57" t="s">
        <v>1281</v>
      </c>
      <c r="BQ262" s="57" t="s">
        <v>1281</v>
      </c>
      <c r="BR262" s="57" t="s">
        <v>1281</v>
      </c>
      <c r="BS262" s="57" t="s">
        <v>1281</v>
      </c>
      <c r="BT262" s="57" t="s">
        <v>1281</v>
      </c>
      <c r="BU262" s="57" t="s">
        <v>1281</v>
      </c>
      <c r="BV262" s="70">
        <f>E262</f>
        <v>28</v>
      </c>
      <c r="BW262" s="71" t="str">
        <f>I262</f>
        <v>-</v>
      </c>
      <c r="BX262" s="72">
        <f>M262</f>
        <v>66</v>
      </c>
      <c r="BY262" s="71">
        <f>Q262</f>
        <v>97</v>
      </c>
      <c r="BZ262" s="72">
        <f>U262</f>
        <v>101</v>
      </c>
      <c r="CA262" s="71" t="str">
        <f>Y262</f>
        <v>-</v>
      </c>
      <c r="CB262" s="72">
        <f>AC262</f>
        <v>143</v>
      </c>
      <c r="CC262" s="71">
        <f>AG262</f>
        <v>180</v>
      </c>
      <c r="CD262" s="72">
        <f>AK262</f>
        <v>190</v>
      </c>
      <c r="CE262" s="71">
        <f>AO262</f>
        <v>241</v>
      </c>
      <c r="CF262" s="72">
        <f>AS262</f>
        <v>283</v>
      </c>
      <c r="CG262" s="71">
        <f>AW262</f>
        <v>309</v>
      </c>
      <c r="CH262" s="70">
        <f>G262</f>
        <v>59</v>
      </c>
      <c r="CI262" s="71" t="str">
        <f>K262</f>
        <v>-</v>
      </c>
      <c r="CJ262" s="72">
        <f>O262</f>
        <v>96</v>
      </c>
      <c r="CK262" s="72">
        <f>S262</f>
        <v>100</v>
      </c>
      <c r="CL262" s="72">
        <f>W262</f>
        <v>136</v>
      </c>
      <c r="CM262" s="72" t="str">
        <f>AA262</f>
        <v>-</v>
      </c>
      <c r="CN262" s="72">
        <f>AE262</f>
        <v>169</v>
      </c>
      <c r="CO262" s="72">
        <f>AI262</f>
        <v>182</v>
      </c>
      <c r="CP262" s="72">
        <f>AM262</f>
        <v>225</v>
      </c>
      <c r="CQ262" s="72">
        <f>AQ262</f>
        <v>274</v>
      </c>
      <c r="CR262" s="72">
        <f>AU262</f>
        <v>308</v>
      </c>
      <c r="CS262" s="72">
        <f>AY262</f>
        <v>319</v>
      </c>
      <c r="CT262" s="23" t="e">
        <f>M262-K262</f>
        <v>#VALUE!</v>
      </c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  <c r="WP262" s="1"/>
      <c r="WQ262" s="1"/>
      <c r="WR262" s="1"/>
      <c r="WS262" s="1"/>
      <c r="WT262" s="1"/>
      <c r="WU262" s="1"/>
      <c r="WV262" s="1"/>
      <c r="WW262" s="1"/>
      <c r="WX262" s="1"/>
      <c r="WY262" s="1"/>
      <c r="WZ262" s="1"/>
      <c r="XA262" s="1"/>
      <c r="XB262" s="1"/>
      <c r="XC262" s="1"/>
      <c r="XD262" s="1"/>
      <c r="XE262" s="1"/>
      <c r="XF262" s="1"/>
      <c r="XG262" s="1"/>
      <c r="XH262" s="1"/>
      <c r="XI262" s="1"/>
      <c r="XJ262" s="1"/>
      <c r="XK262" s="1"/>
      <c r="XL262" s="1"/>
      <c r="XM262" s="1"/>
      <c r="XN262" s="1"/>
      <c r="XO262" s="1"/>
      <c r="XP262" s="1"/>
      <c r="XQ262" s="1"/>
      <c r="XR262" s="1"/>
      <c r="XS262" s="1"/>
      <c r="XT262" s="1"/>
      <c r="XU262" s="1"/>
      <c r="XV262" s="1"/>
      <c r="XW262" s="1"/>
      <c r="XX262" s="1"/>
      <c r="XY262" s="1"/>
      <c r="XZ262" s="1"/>
      <c r="YA262" s="1"/>
      <c r="YB262" s="1"/>
      <c r="YC262" s="1"/>
      <c r="YD262" s="1"/>
      <c r="YE262" s="1"/>
      <c r="YF262" s="1"/>
      <c r="YG262" s="1"/>
      <c r="YH262" s="1"/>
      <c r="YI262" s="1"/>
      <c r="YJ262" s="1"/>
      <c r="YK262" s="1"/>
      <c r="YL262" s="1"/>
      <c r="YM262" s="1"/>
      <c r="YN262" s="1"/>
      <c r="YO262" s="1"/>
      <c r="YP262" s="1"/>
      <c r="YQ262" s="1"/>
      <c r="YR262" s="1"/>
      <c r="YS262" s="1"/>
      <c r="YT262" s="1"/>
      <c r="YU262" s="1"/>
      <c r="YV262" s="1"/>
      <c r="YW262" s="1"/>
      <c r="YX262" s="1"/>
      <c r="YY262" s="1"/>
      <c r="YZ262" s="1"/>
      <c r="ZA262" s="1"/>
      <c r="ZB262" s="1"/>
      <c r="ZC262" s="1"/>
      <c r="ZD262" s="1"/>
      <c r="ZE262" s="1"/>
      <c r="ZF262" s="1"/>
      <c r="ZG262" s="1"/>
      <c r="ZH262" s="1"/>
      <c r="ZI262" s="1"/>
      <c r="ZJ262" s="1"/>
      <c r="ZK262" s="1"/>
      <c r="ZL262" s="1"/>
      <c r="ZM262" s="1"/>
      <c r="ZN262" s="1"/>
      <c r="ZO262" s="1"/>
      <c r="ZP262" s="1"/>
      <c r="ZQ262" s="1"/>
      <c r="ZR262" s="1"/>
      <c r="ZS262" s="1"/>
      <c r="ZT262" s="1"/>
      <c r="ZU262" s="1"/>
      <c r="ZV262" s="1"/>
      <c r="ZW262" s="1"/>
      <c r="ZX262" s="1"/>
      <c r="ZY262" s="1"/>
      <c r="ZZ262" s="1"/>
      <c r="AAA262" s="1"/>
      <c r="AAB262" s="1"/>
      <c r="AAC262" s="1"/>
      <c r="AAD262" s="1"/>
      <c r="AAE262" s="1"/>
      <c r="AAF262" s="1"/>
      <c r="AAG262" s="1"/>
      <c r="AAH262" s="1"/>
      <c r="AAI262" s="1"/>
      <c r="AAJ262" s="1"/>
      <c r="AAK262" s="1"/>
      <c r="AAL262" s="1"/>
      <c r="AAM262" s="1"/>
      <c r="AAN262" s="1"/>
      <c r="AAO262" s="1"/>
      <c r="AAP262" s="1"/>
      <c r="AAQ262" s="1"/>
      <c r="AAR262" s="1"/>
      <c r="AAS262" s="1"/>
      <c r="AAT262" s="1"/>
      <c r="AAU262" s="1"/>
      <c r="AAV262" s="1"/>
      <c r="AAW262" s="1"/>
      <c r="AAX262" s="1"/>
      <c r="AAY262" s="1"/>
      <c r="AAZ262" s="1"/>
      <c r="ABA262" s="1"/>
      <c r="ABB262" s="1"/>
      <c r="ABC262" s="1"/>
      <c r="ABD262" s="1"/>
      <c r="ABE262" s="1"/>
      <c r="ABF262" s="1"/>
      <c r="ABG262" s="1"/>
      <c r="ABH262" s="1"/>
      <c r="ABI262" s="1"/>
      <c r="ABJ262" s="1"/>
      <c r="ABK262" s="1"/>
      <c r="ABL262" s="1"/>
      <c r="ABM262" s="1"/>
      <c r="ABN262" s="1"/>
      <c r="ABO262" s="1"/>
      <c r="ABP262" s="1"/>
      <c r="ABQ262" s="1"/>
      <c r="ABR262" s="1"/>
      <c r="ABS262" s="1"/>
      <c r="ABT262" s="1"/>
      <c r="ABU262" s="1"/>
      <c r="ABV262" s="1"/>
      <c r="ABW262" s="1"/>
      <c r="ABX262" s="1"/>
      <c r="ABY262" s="1"/>
      <c r="ABZ262" s="1"/>
      <c r="ACA262" s="1"/>
      <c r="ACB262" s="1"/>
      <c r="ACC262" s="1"/>
      <c r="ACD262" s="1"/>
      <c r="ACE262" s="1"/>
      <c r="ACF262" s="1"/>
      <c r="ACG262" s="1"/>
      <c r="ACH262" s="1"/>
      <c r="ACI262" s="1"/>
      <c r="ACJ262" s="1"/>
      <c r="ACK262" s="1"/>
      <c r="ACL262" s="1"/>
      <c r="ACM262" s="1"/>
      <c r="ACN262" s="1"/>
      <c r="ACO262" s="1"/>
      <c r="ACP262" s="1"/>
      <c r="ACQ262" s="1"/>
      <c r="ACR262" s="1"/>
      <c r="ACS262" s="1"/>
      <c r="ACT262" s="1"/>
      <c r="ACU262" s="1"/>
      <c r="ACV262" s="1"/>
      <c r="ACW262" s="1"/>
      <c r="ACX262" s="1"/>
      <c r="ACY262" s="1"/>
      <c r="ACZ262" s="1"/>
      <c r="ADA262" s="1"/>
      <c r="ADB262" s="1"/>
      <c r="ADC262" s="1"/>
      <c r="ADD262" s="1"/>
      <c r="ADE262" s="1"/>
      <c r="ADF262" s="1"/>
      <c r="ADG262" s="1"/>
      <c r="ADH262" s="1"/>
      <c r="ADI262" s="1"/>
      <c r="ADJ262" s="1"/>
      <c r="ADK262" s="1"/>
      <c r="ADL262" s="1"/>
      <c r="ADM262" s="1"/>
      <c r="ADN262" s="1"/>
      <c r="ADO262" s="1"/>
      <c r="ADP262" s="1"/>
      <c r="ADQ262" s="1"/>
      <c r="ADR262" s="1"/>
      <c r="ADS262" s="1"/>
      <c r="ADT262" s="1"/>
      <c r="ADU262" s="1"/>
      <c r="ADV262" s="1"/>
      <c r="ADW262" s="1"/>
      <c r="ADX262" s="1"/>
      <c r="ADY262" s="1"/>
      <c r="ADZ262" s="1"/>
      <c r="AEA262" s="1"/>
      <c r="AEB262" s="1"/>
      <c r="AEC262" s="1"/>
      <c r="AED262" s="1"/>
      <c r="AEE262" s="1"/>
      <c r="AEF262" s="1"/>
      <c r="AEG262" s="1"/>
      <c r="AEH262" s="1"/>
      <c r="AEI262" s="1"/>
      <c r="AEJ262" s="1"/>
      <c r="AEK262" s="1"/>
      <c r="AEL262" s="1"/>
      <c r="AEM262" s="1"/>
      <c r="AEN262" s="1"/>
      <c r="AEO262" s="1"/>
      <c r="AEP262" s="1"/>
      <c r="AEQ262" s="1"/>
      <c r="AER262" s="1"/>
      <c r="AES262" s="1"/>
      <c r="AET262" s="1"/>
      <c r="AEU262" s="1"/>
      <c r="AEV262" s="1"/>
      <c r="AEW262" s="1"/>
      <c r="AEX262" s="1"/>
      <c r="AEY262" s="1"/>
      <c r="AEZ262" s="1"/>
      <c r="AFA262" s="1"/>
      <c r="AFB262" s="1"/>
      <c r="AFC262" s="1"/>
      <c r="AFD262" s="1"/>
      <c r="AFE262" s="1"/>
      <c r="AFF262" s="1"/>
      <c r="AFG262" s="1"/>
      <c r="AFH262" s="1"/>
      <c r="AFI262" s="1"/>
      <c r="AFJ262" s="1"/>
      <c r="AFK262" s="1"/>
      <c r="AFL262" s="1"/>
      <c r="AFM262" s="1"/>
      <c r="AFN262" s="1"/>
      <c r="AFO262" s="1"/>
      <c r="AFP262" s="1"/>
      <c r="AFQ262" s="1"/>
      <c r="AFR262" s="1"/>
      <c r="AFS262" s="1"/>
      <c r="AFT262" s="1"/>
      <c r="AFU262" s="1"/>
      <c r="AFV262" s="1"/>
      <c r="AFW262" s="1"/>
      <c r="AFX262" s="1"/>
      <c r="AFY262" s="1"/>
      <c r="AFZ262" s="1"/>
      <c r="AGA262" s="1"/>
      <c r="AGB262" s="1"/>
      <c r="AGC262" s="1"/>
      <c r="AGD262" s="1"/>
      <c r="AGE262" s="1"/>
      <c r="AGF262" s="1"/>
      <c r="AGG262" s="1"/>
      <c r="AGH262" s="1"/>
      <c r="AGI262" s="1"/>
      <c r="AGJ262" s="1"/>
      <c r="AGK262" s="1"/>
      <c r="AGL262" s="1"/>
      <c r="AGM262" s="1"/>
      <c r="AGN262" s="1"/>
      <c r="AGO262" s="1"/>
      <c r="AGP262" s="1"/>
      <c r="AGQ262" s="1"/>
      <c r="AGR262" s="1"/>
      <c r="AGS262" s="1"/>
      <c r="AGT262" s="1"/>
      <c r="AGU262" s="1"/>
      <c r="AGV262" s="1"/>
      <c r="AGW262" s="1"/>
      <c r="AGX262" s="1"/>
      <c r="AGY262" s="1"/>
      <c r="AGZ262" s="1"/>
      <c r="AHA262" s="1"/>
      <c r="AHB262" s="1"/>
      <c r="AHC262" s="1"/>
      <c r="AHD262" s="1"/>
      <c r="AHE262" s="1"/>
      <c r="AHF262" s="1"/>
      <c r="AHG262" s="1"/>
      <c r="AHH262" s="1"/>
      <c r="AHI262" s="1"/>
      <c r="AHJ262" s="1"/>
      <c r="AHK262" s="1"/>
      <c r="AHL262" s="1"/>
      <c r="AHM262" s="1"/>
      <c r="AHN262" s="1"/>
      <c r="AHO262" s="1"/>
      <c r="AHP262" s="1"/>
      <c r="AHQ262" s="1"/>
      <c r="AHR262" s="1"/>
      <c r="AHS262" s="1"/>
      <c r="AHT262" s="1"/>
      <c r="AHU262" s="1"/>
      <c r="AHV262" s="1"/>
      <c r="AHW262" s="1"/>
      <c r="AHX262" s="1"/>
      <c r="AHY262" s="1"/>
      <c r="AHZ262" s="1"/>
      <c r="AIA262" s="1"/>
      <c r="AIB262" s="1"/>
      <c r="AIC262" s="1"/>
      <c r="AID262" s="1"/>
      <c r="AIE262" s="1"/>
      <c r="AIF262" s="1"/>
      <c r="AIG262" s="1"/>
      <c r="AIH262" s="1"/>
      <c r="AII262" s="1"/>
      <c r="AIJ262" s="1"/>
      <c r="AIK262" s="1"/>
      <c r="AIL262" s="1"/>
      <c r="AIM262" s="1"/>
      <c r="AIN262" s="1"/>
      <c r="AIO262" s="1"/>
      <c r="AIP262" s="1"/>
      <c r="AIQ262" s="1"/>
      <c r="AIR262" s="1"/>
      <c r="AIS262" s="1"/>
      <c r="AIT262" s="1"/>
      <c r="AIU262" s="1"/>
      <c r="AIV262" s="1"/>
      <c r="AIW262" s="1"/>
      <c r="AIX262" s="1"/>
      <c r="AIY262" s="1"/>
      <c r="AIZ262" s="1"/>
      <c r="AJA262" s="1"/>
      <c r="AJB262" s="1"/>
      <c r="AJC262" s="1"/>
      <c r="AJD262" s="1"/>
      <c r="AJE262" s="1"/>
      <c r="AJF262" s="1"/>
      <c r="AJG262" s="1"/>
      <c r="AJH262" s="1"/>
      <c r="AJI262" s="1"/>
      <c r="AJJ262" s="1"/>
      <c r="AJK262" s="1"/>
      <c r="AJL262" s="1"/>
      <c r="AJM262" s="1"/>
      <c r="AJN262" s="1"/>
      <c r="AJO262" s="1"/>
      <c r="AJP262" s="1"/>
      <c r="AJQ262" s="1"/>
      <c r="AJR262" s="1"/>
      <c r="AJS262" s="1"/>
      <c r="AJT262" s="1"/>
      <c r="AJU262" s="1"/>
      <c r="AJV262" s="1"/>
      <c r="AJW262" s="1"/>
      <c r="AJX262" s="1"/>
      <c r="AJY262" s="1"/>
      <c r="AJZ262" s="1"/>
      <c r="AKA262" s="1"/>
      <c r="AKB262" s="1"/>
      <c r="AKC262" s="1"/>
      <c r="AKD262" s="1"/>
      <c r="AKE262" s="1"/>
      <c r="AKF262" s="1"/>
      <c r="AKG262" s="1"/>
      <c r="AKH262" s="1"/>
      <c r="AKI262" s="1"/>
      <c r="AKJ262" s="1"/>
      <c r="AKK262" s="1"/>
      <c r="AKL262" s="1"/>
      <c r="AKM262" s="1"/>
      <c r="AKN262" s="1"/>
      <c r="AKO262" s="1"/>
      <c r="AKP262" s="1"/>
      <c r="AKQ262" s="1"/>
      <c r="AKR262" s="1"/>
      <c r="AKS262" s="1"/>
      <c r="AKT262" s="1"/>
      <c r="AKU262" s="1"/>
      <c r="AKV262" s="1"/>
      <c r="AKW262" s="1"/>
      <c r="AKX262" s="1"/>
      <c r="AKY262" s="1"/>
      <c r="AKZ262" s="1"/>
      <c r="ALA262" s="1"/>
      <c r="ALB262" s="1"/>
      <c r="ALC262" s="1"/>
      <c r="ALD262" s="1"/>
      <c r="ALE262" s="1"/>
      <c r="ALF262" s="1"/>
      <c r="ALG262" s="1"/>
      <c r="ALH262" s="1"/>
      <c r="ALI262" s="1"/>
      <c r="ALJ262" s="1"/>
      <c r="ALK262" s="1"/>
      <c r="ALL262" s="1"/>
      <c r="ALM262" s="1"/>
      <c r="ALN262" s="1"/>
      <c r="ALO262" s="1"/>
      <c r="ALP262" s="1"/>
      <c r="ALQ262" s="1"/>
      <c r="ALR262" s="1"/>
      <c r="ALS262" s="1"/>
      <c r="ALT262" s="1"/>
      <c r="ALU262" s="1"/>
      <c r="ALV262" s="1"/>
      <c r="ALW262" s="1"/>
      <c r="ALX262" s="1"/>
      <c r="ALY262" s="1"/>
      <c r="ALZ262" s="1"/>
      <c r="AMA262" s="1"/>
      <c r="AMB262" s="1"/>
      <c r="AMC262" s="1"/>
      <c r="AMD262" s="1"/>
      <c r="AME262" s="1"/>
      <c r="AMF262" s="1"/>
      <c r="AMG262" s="1"/>
      <c r="AMH262" s="1"/>
      <c r="AMI262" s="1"/>
      <c r="AMJ262" s="1"/>
      <c r="AMK262" s="1"/>
      <c r="AML262" s="1"/>
      <c r="AMM262" s="1"/>
      <c r="AMN262" s="1"/>
      <c r="AMO262" s="1"/>
    </row>
    <row r="263" spans="1:1029" x14ac:dyDescent="0.2">
      <c r="A263" s="3" t="str">
        <f>CONCATENATE(B263,"_",C263)</f>
        <v>nk1r_human_6J21</v>
      </c>
      <c r="B263" s="3" t="s">
        <v>313</v>
      </c>
      <c r="C263" s="133" t="s">
        <v>1557</v>
      </c>
      <c r="D263" s="3" t="str">
        <f>IFERROR(MID(VLOOKUP($B263,Seqs!$A:$B,2,0),E263,1),"")</f>
        <v>P</v>
      </c>
      <c r="E263" s="3">
        <v>28</v>
      </c>
      <c r="F263" s="3" t="str">
        <f>IFERROR(MID(VLOOKUP($B263,Seqs!$A:$B,2,0),G263,1),"")</f>
        <v>A</v>
      </c>
      <c r="G263" s="3">
        <v>59</v>
      </c>
      <c r="H263" s="3" t="str">
        <f>IFERROR(MID(VLOOKUP($B263,Seqs!$A:$B,2,0),I263,1),"")</f>
        <v/>
      </c>
      <c r="I263" s="23" t="s">
        <v>23</v>
      </c>
      <c r="J263" s="3" t="str">
        <f>IFERROR(MID(VLOOKUP($B263,Seqs!$A:$B,2,0),K263,1),"")</f>
        <v/>
      </c>
      <c r="K263" s="23" t="s">
        <v>23</v>
      </c>
      <c r="L263" s="3" t="str">
        <f>IFERROR(MID(VLOOKUP($B263,Seqs!$A:$B,2,0),M263,1),"")</f>
        <v>T</v>
      </c>
      <c r="M263" s="3">
        <v>65</v>
      </c>
      <c r="N263" s="3" t="str">
        <f>IFERROR(MID(VLOOKUP($B263,Seqs!$A:$B,2,0),O263,1),"")</f>
        <v>N</v>
      </c>
      <c r="O263" s="3">
        <v>96</v>
      </c>
      <c r="P263" s="3" t="str">
        <f>IFERROR(MID(VLOOKUP($B263,Seqs!$A:$B,2,0),Q263,1),"")</f>
        <v>E</v>
      </c>
      <c r="Q263" s="3">
        <v>97</v>
      </c>
      <c r="R263" s="3" t="str">
        <f>IFERROR(MID(VLOOKUP($B263,Seqs!$A:$B,2,0),S263,1),"")</f>
        <v>Y</v>
      </c>
      <c r="S263" s="3">
        <v>100</v>
      </c>
      <c r="T263" s="3" t="str">
        <f>IFERROR(MID(VLOOKUP($B263,Seqs!$A:$B,2,0),U263,1),"")</f>
        <v>G</v>
      </c>
      <c r="U263" s="3">
        <v>101</v>
      </c>
      <c r="V263" s="3" t="str">
        <f>IFERROR(MID(VLOOKUP($B263,Seqs!$A:$B,2,0),W263,1),"")</f>
        <v>H</v>
      </c>
      <c r="W263" s="3">
        <v>136</v>
      </c>
      <c r="X263" s="3" t="str">
        <f>IFERROR(MID(VLOOKUP($B263,Seqs!$A:$B,2,0),Y263,1),"")</f>
        <v/>
      </c>
      <c r="Y263" s="3" t="s">
        <v>23</v>
      </c>
      <c r="Z263" s="3" t="str">
        <f>IFERROR(MID(VLOOKUP($B263,Seqs!$A:$B,2,0),AA263,1),"")</f>
        <v/>
      </c>
      <c r="AA263" s="3" t="s">
        <v>23</v>
      </c>
      <c r="AB263" s="3" t="str">
        <f>IFERROR(MID(VLOOKUP($B263,Seqs!$A:$B,2,0),AC263,1),"")</f>
        <v>S</v>
      </c>
      <c r="AC263" s="3">
        <v>143</v>
      </c>
      <c r="AD263" s="3" t="str">
        <f>IFERROR(MID(VLOOKUP($B263,Seqs!$A:$B,2,0),AE263,1),"")</f>
        <v>S</v>
      </c>
      <c r="AE263" s="3">
        <v>169</v>
      </c>
      <c r="AF263" s="3" t="str">
        <f>IFERROR(MID(VLOOKUP($B263,Seqs!$A:$B,2,0),AG263,1),"")</f>
        <v>C</v>
      </c>
      <c r="AG263" s="3">
        <v>180</v>
      </c>
      <c r="AH263" s="3" t="str">
        <f>IFERROR(MID(VLOOKUP($B263,Seqs!$A:$B,2,0),AI263,1),"")</f>
        <v>I</v>
      </c>
      <c r="AI263" s="3">
        <v>182</v>
      </c>
      <c r="AJ263" s="3" t="str">
        <f>IFERROR(MID(VLOOKUP($B263,Seqs!$A:$B,2,0),AK263,1),"")</f>
        <v>I</v>
      </c>
      <c r="AK263" s="3">
        <v>191</v>
      </c>
      <c r="AL263" s="3" t="str">
        <f>IFERROR(MID(VLOOKUP($B263,Seqs!$A:$B,2,0),AM263,1),"")</f>
        <v>A</v>
      </c>
      <c r="AM263" s="3">
        <v>225</v>
      </c>
      <c r="AN263" s="3" t="str">
        <f>IFERROR(MID(VLOOKUP($B263,Seqs!$A:$B,2,0),AO263,1),"")</f>
        <v>A</v>
      </c>
      <c r="AO263" s="3">
        <v>242</v>
      </c>
      <c r="AP263" s="3" t="str">
        <f>IFERROR(MID(VLOOKUP($B263,Seqs!$A:$B,2,0),AQ263,1),"")</f>
        <v>N</v>
      </c>
      <c r="AQ263" s="3">
        <v>274</v>
      </c>
      <c r="AR263" s="3" t="str">
        <f>IFERROR(MID(VLOOKUP($B263,Seqs!$A:$B,2,0),AS263,1),"")</f>
        <v>F</v>
      </c>
      <c r="AS263" s="3">
        <v>282</v>
      </c>
      <c r="AT263" s="3" t="str">
        <f>IFERROR(MID(VLOOKUP($B263,Seqs!$A:$B,2,0),AU263,1),"")</f>
        <v>L</v>
      </c>
      <c r="AU263" s="3">
        <v>308</v>
      </c>
      <c r="AV263" s="3" t="str">
        <f>IFERROR(MID(VLOOKUP($B263,Seqs!$A:$B,2,0),AW263,1),"")</f>
        <v>N</v>
      </c>
      <c r="AW263" s="3">
        <v>309</v>
      </c>
      <c r="AX263" s="3" t="str">
        <f>IFERROR(MID(VLOOKUP($B263,Seqs!$A:$B,2,0),AY263,1),"")</f>
        <v>A</v>
      </c>
      <c r="AY263" s="3">
        <v>319</v>
      </c>
      <c r="AZ263" s="77" t="str">
        <f>VLOOKUP(B263,Classification!A:D,2,0)</f>
        <v>A</v>
      </c>
      <c r="BA263" s="94" t="str">
        <f>VLOOKUP(B263,Classification!A:D,4,0)</f>
        <v>Tachykinin</v>
      </c>
      <c r="BB263" s="27" t="b">
        <f t="shared" ref="BB263" si="1102">AND(E263&lt;G263,OR(G263&lt;I263,I263="-"),OR(I263&lt;K263,I263="-"),OR(K263&lt;M263,K263="-"),M263&lt;O263,OR(O263&lt;Q263,Q263="-"),OR(Q263&lt;S263,Q263="-"),OR(S263&lt;U263,S263="-"),U263&lt;W263,OR(W263&lt;Y263,Y263="-"),OR(Y263&lt;AA263,Y263="-"),OR(AA263&lt;AC263,AA263="-"),AC263&lt;AE263,OR(AE263&lt;AG263,AG263="-"),OR(AG263&lt;AI263,AG263="-"),OR(AI263&lt;AK263,AI263="-"),AK263&lt;AM263,AM263&lt;AO263,AO263&lt;AQ263,AQ263&lt;AS263,AS263&lt;AU263,OR(AU263&lt;AW263,AW263="-"),OR(AW263&lt;AY263,AW263="-"))</f>
        <v>1</v>
      </c>
      <c r="BC263" s="23">
        <f t="shared" ref="BC263" si="1103">_xlfn.AGGREGATE(9,6,CH263:CS263)-_xlfn.AGGREGATE(9,6,BV263:CG263)+12</f>
        <v>242</v>
      </c>
      <c r="BD263" s="5" t="s">
        <v>23</v>
      </c>
      <c r="BE263" s="3" t="s">
        <v>1368</v>
      </c>
      <c r="BF263" s="118">
        <v>3.2</v>
      </c>
      <c r="BG263" s="49" t="s">
        <v>1</v>
      </c>
      <c r="BH263" s="49" t="s">
        <v>1</v>
      </c>
      <c r="BI263" s="1"/>
      <c r="BJ263" s="70" t="s">
        <v>1281</v>
      </c>
      <c r="BK263" s="57" t="s">
        <v>1281</v>
      </c>
      <c r="BL263" s="57" t="s">
        <v>1281</v>
      </c>
      <c r="BM263" s="57" t="s">
        <v>1281</v>
      </c>
      <c r="BN263" s="57" t="s">
        <v>1281</v>
      </c>
      <c r="BO263" s="57" t="s">
        <v>1281</v>
      </c>
      <c r="BP263" s="57" t="s">
        <v>1281</v>
      </c>
      <c r="BQ263" s="57" t="s">
        <v>1281</v>
      </c>
      <c r="BR263" s="57" t="s">
        <v>1281</v>
      </c>
      <c r="BS263" s="57" t="s">
        <v>1281</v>
      </c>
      <c r="BT263" s="57" t="s">
        <v>1281</v>
      </c>
      <c r="BU263" s="57" t="s">
        <v>1281</v>
      </c>
      <c r="BV263" s="70">
        <f>E263</f>
        <v>28</v>
      </c>
      <c r="BW263" s="71" t="str">
        <f>I263</f>
        <v>-</v>
      </c>
      <c r="BX263" s="72">
        <f>M263</f>
        <v>65</v>
      </c>
      <c r="BY263" s="71">
        <f>Q263</f>
        <v>97</v>
      </c>
      <c r="BZ263" s="72">
        <f>U263</f>
        <v>101</v>
      </c>
      <c r="CA263" s="71" t="str">
        <f>Y263</f>
        <v>-</v>
      </c>
      <c r="CB263" s="72">
        <f>AC263</f>
        <v>143</v>
      </c>
      <c r="CC263" s="71">
        <f>AG263</f>
        <v>180</v>
      </c>
      <c r="CD263" s="72">
        <f>AK263</f>
        <v>191</v>
      </c>
      <c r="CE263" s="71">
        <f>AO263</f>
        <v>242</v>
      </c>
      <c r="CF263" s="72">
        <f>AS263</f>
        <v>282</v>
      </c>
      <c r="CG263" s="71">
        <f>AW263</f>
        <v>309</v>
      </c>
      <c r="CH263" s="70">
        <f>G263</f>
        <v>59</v>
      </c>
      <c r="CI263" s="71" t="str">
        <f>K263</f>
        <v>-</v>
      </c>
      <c r="CJ263" s="72">
        <f>O263</f>
        <v>96</v>
      </c>
      <c r="CK263" s="72">
        <f>S263</f>
        <v>100</v>
      </c>
      <c r="CL263" s="72">
        <f>W263</f>
        <v>136</v>
      </c>
      <c r="CM263" s="72" t="str">
        <f>AA263</f>
        <v>-</v>
      </c>
      <c r="CN263" s="72">
        <f>AE263</f>
        <v>169</v>
      </c>
      <c r="CO263" s="72">
        <f>AI263</f>
        <v>182</v>
      </c>
      <c r="CP263" s="72">
        <f>AM263</f>
        <v>225</v>
      </c>
      <c r="CQ263" s="72">
        <f>AQ263</f>
        <v>274</v>
      </c>
      <c r="CR263" s="72">
        <f>AU263</f>
        <v>308</v>
      </c>
      <c r="CS263" s="72">
        <f>AY263</f>
        <v>319</v>
      </c>
      <c r="CT263" s="23" t="e">
        <f>M263-K263</f>
        <v>#VALUE!</v>
      </c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  <c r="VF263" s="1"/>
      <c r="VG263" s="1"/>
      <c r="VH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s="1"/>
      <c r="VU263" s="1"/>
      <c r="VV263" s="1"/>
      <c r="VW263" s="1"/>
      <c r="VX263" s="1"/>
      <c r="VY263" s="1"/>
      <c r="VZ263" s="1"/>
      <c r="WA263" s="1"/>
      <c r="WB263" s="1"/>
      <c r="WC263" s="1"/>
      <c r="WD263" s="1"/>
      <c r="WE263" s="1"/>
      <c r="WF263" s="1"/>
      <c r="WG263" s="1"/>
      <c r="WH263" s="1"/>
      <c r="WI263" s="1"/>
      <c r="WJ263" s="1"/>
      <c r="WK263" s="1"/>
      <c r="WL263" s="1"/>
      <c r="WM263" s="1"/>
      <c r="WN263" s="1"/>
      <c r="WO263" s="1"/>
      <c r="WP263" s="1"/>
      <c r="WQ263" s="1"/>
      <c r="WR263" s="1"/>
      <c r="WS263" s="1"/>
      <c r="WT263" s="1"/>
      <c r="WU263" s="1"/>
      <c r="WV263" s="1"/>
      <c r="WW263" s="1"/>
      <c r="WX263" s="1"/>
      <c r="WY263" s="1"/>
      <c r="WZ263" s="1"/>
      <c r="XA263" s="1"/>
      <c r="XB263" s="1"/>
      <c r="XC263" s="1"/>
      <c r="XD263" s="1"/>
      <c r="XE263" s="1"/>
      <c r="XF263" s="1"/>
      <c r="XG263" s="1"/>
      <c r="XH263" s="1"/>
      <c r="XI263" s="1"/>
      <c r="XJ263" s="1"/>
      <c r="XK263" s="1"/>
      <c r="XL263" s="1"/>
      <c r="XM263" s="1"/>
      <c r="XN263" s="1"/>
      <c r="XO263" s="1"/>
      <c r="XP263" s="1"/>
      <c r="XQ263" s="1"/>
      <c r="XR263" s="1"/>
      <c r="XS263" s="1"/>
      <c r="XT263" s="1"/>
      <c r="XU263" s="1"/>
      <c r="XV263" s="1"/>
      <c r="XW263" s="1"/>
      <c r="XX263" s="1"/>
      <c r="XY263" s="1"/>
      <c r="XZ263" s="1"/>
      <c r="YA263" s="1"/>
      <c r="YB263" s="1"/>
      <c r="YC263" s="1"/>
      <c r="YD263" s="1"/>
      <c r="YE263" s="1"/>
      <c r="YF263" s="1"/>
      <c r="YG263" s="1"/>
      <c r="YH263" s="1"/>
      <c r="YI263" s="1"/>
      <c r="YJ263" s="1"/>
      <c r="YK263" s="1"/>
      <c r="YL263" s="1"/>
      <c r="YM263" s="1"/>
      <c r="YN263" s="1"/>
      <c r="YO263" s="1"/>
      <c r="YP263" s="1"/>
      <c r="YQ263" s="1"/>
      <c r="YR263" s="1"/>
      <c r="YS263" s="1"/>
      <c r="YT263" s="1"/>
      <c r="YU263" s="1"/>
      <c r="YV263" s="1"/>
      <c r="YW263" s="1"/>
      <c r="YX263" s="1"/>
      <c r="YY263" s="1"/>
      <c r="YZ263" s="1"/>
      <c r="ZA263" s="1"/>
      <c r="ZB263" s="1"/>
      <c r="ZC263" s="1"/>
      <c r="ZD263" s="1"/>
      <c r="ZE263" s="1"/>
      <c r="ZF263" s="1"/>
      <c r="ZG263" s="1"/>
      <c r="ZH263" s="1"/>
      <c r="ZI263" s="1"/>
      <c r="ZJ263" s="1"/>
      <c r="ZK263" s="1"/>
      <c r="ZL263" s="1"/>
      <c r="ZM263" s="1"/>
      <c r="ZN263" s="1"/>
      <c r="ZO263" s="1"/>
      <c r="ZP263" s="1"/>
      <c r="ZQ263" s="1"/>
      <c r="ZR263" s="1"/>
      <c r="ZS263" s="1"/>
      <c r="ZT263" s="1"/>
      <c r="ZU263" s="1"/>
      <c r="ZV263" s="1"/>
      <c r="ZW263" s="1"/>
      <c r="ZX263" s="1"/>
      <c r="ZY263" s="1"/>
      <c r="ZZ263" s="1"/>
      <c r="AAA263" s="1"/>
      <c r="AAB263" s="1"/>
      <c r="AAC263" s="1"/>
      <c r="AAD263" s="1"/>
      <c r="AAE263" s="1"/>
      <c r="AAF263" s="1"/>
      <c r="AAG263" s="1"/>
      <c r="AAH263" s="1"/>
      <c r="AAI263" s="1"/>
      <c r="AAJ263" s="1"/>
      <c r="AAK263" s="1"/>
      <c r="AAL263" s="1"/>
      <c r="AAM263" s="1"/>
      <c r="AAN263" s="1"/>
      <c r="AAO263" s="1"/>
      <c r="AAP263" s="1"/>
      <c r="AAQ263" s="1"/>
      <c r="AAR263" s="1"/>
      <c r="AAS263" s="1"/>
      <c r="AAT263" s="1"/>
      <c r="AAU263" s="1"/>
      <c r="AAV263" s="1"/>
      <c r="AAW263" s="1"/>
      <c r="AAX263" s="1"/>
      <c r="AAY263" s="1"/>
      <c r="AAZ263" s="1"/>
      <c r="ABA263" s="1"/>
      <c r="ABB263" s="1"/>
      <c r="ABC263" s="1"/>
      <c r="ABD263" s="1"/>
      <c r="ABE263" s="1"/>
      <c r="ABF263" s="1"/>
      <c r="ABG263" s="1"/>
      <c r="ABH263" s="1"/>
      <c r="ABI263" s="1"/>
      <c r="ABJ263" s="1"/>
      <c r="ABK263" s="1"/>
      <c r="ABL263" s="1"/>
      <c r="ABM263" s="1"/>
      <c r="ABN263" s="1"/>
      <c r="ABO263" s="1"/>
      <c r="ABP263" s="1"/>
      <c r="ABQ263" s="1"/>
      <c r="ABR263" s="1"/>
      <c r="ABS263" s="1"/>
      <c r="ABT263" s="1"/>
      <c r="ABU263" s="1"/>
      <c r="ABV263" s="1"/>
      <c r="ABW263" s="1"/>
      <c r="ABX263" s="1"/>
      <c r="ABY263" s="1"/>
      <c r="ABZ263" s="1"/>
      <c r="ACA263" s="1"/>
      <c r="ACB263" s="1"/>
      <c r="ACC263" s="1"/>
      <c r="ACD263" s="1"/>
      <c r="ACE263" s="1"/>
      <c r="ACF263" s="1"/>
      <c r="ACG263" s="1"/>
      <c r="ACH263" s="1"/>
      <c r="ACI263" s="1"/>
      <c r="ACJ263" s="1"/>
      <c r="ACK263" s="1"/>
      <c r="ACL263" s="1"/>
      <c r="ACM263" s="1"/>
      <c r="ACN263" s="1"/>
      <c r="ACO263" s="1"/>
      <c r="ACP263" s="1"/>
      <c r="ACQ263" s="1"/>
      <c r="ACR263" s="1"/>
      <c r="ACS263" s="1"/>
      <c r="ACT263" s="1"/>
      <c r="ACU263" s="1"/>
      <c r="ACV263" s="1"/>
      <c r="ACW263" s="1"/>
      <c r="ACX263" s="1"/>
      <c r="ACY263" s="1"/>
      <c r="ACZ263" s="1"/>
      <c r="ADA263" s="1"/>
      <c r="ADB263" s="1"/>
      <c r="ADC263" s="1"/>
      <c r="ADD263" s="1"/>
      <c r="ADE263" s="1"/>
      <c r="ADF263" s="1"/>
      <c r="ADG263" s="1"/>
      <c r="ADH263" s="1"/>
      <c r="ADI263" s="1"/>
      <c r="ADJ263" s="1"/>
      <c r="ADK263" s="1"/>
      <c r="ADL263" s="1"/>
      <c r="ADM263" s="1"/>
      <c r="ADN263" s="1"/>
      <c r="ADO263" s="1"/>
      <c r="ADP263" s="1"/>
      <c r="ADQ263" s="1"/>
      <c r="ADR263" s="1"/>
      <c r="ADS263" s="1"/>
      <c r="ADT263" s="1"/>
      <c r="ADU263" s="1"/>
      <c r="ADV263" s="1"/>
      <c r="ADW263" s="1"/>
      <c r="ADX263" s="1"/>
      <c r="ADY263" s="1"/>
      <c r="ADZ263" s="1"/>
      <c r="AEA263" s="1"/>
      <c r="AEB263" s="1"/>
      <c r="AEC263" s="1"/>
      <c r="AED263" s="1"/>
      <c r="AEE263" s="1"/>
      <c r="AEF263" s="1"/>
      <c r="AEG263" s="1"/>
      <c r="AEH263" s="1"/>
      <c r="AEI263" s="1"/>
      <c r="AEJ263" s="1"/>
      <c r="AEK263" s="1"/>
      <c r="AEL263" s="1"/>
      <c r="AEM263" s="1"/>
      <c r="AEN263" s="1"/>
      <c r="AEO263" s="1"/>
      <c r="AEP263" s="1"/>
      <c r="AEQ263" s="1"/>
      <c r="AER263" s="1"/>
      <c r="AES263" s="1"/>
      <c r="AET263" s="1"/>
      <c r="AEU263" s="1"/>
      <c r="AEV263" s="1"/>
      <c r="AEW263" s="1"/>
      <c r="AEX263" s="1"/>
      <c r="AEY263" s="1"/>
      <c r="AEZ263" s="1"/>
      <c r="AFA263" s="1"/>
      <c r="AFB263" s="1"/>
      <c r="AFC263" s="1"/>
      <c r="AFD263" s="1"/>
      <c r="AFE263" s="1"/>
      <c r="AFF263" s="1"/>
      <c r="AFG263" s="1"/>
      <c r="AFH263" s="1"/>
      <c r="AFI263" s="1"/>
      <c r="AFJ263" s="1"/>
      <c r="AFK263" s="1"/>
      <c r="AFL263" s="1"/>
      <c r="AFM263" s="1"/>
      <c r="AFN263" s="1"/>
      <c r="AFO263" s="1"/>
      <c r="AFP263" s="1"/>
      <c r="AFQ263" s="1"/>
      <c r="AFR263" s="1"/>
      <c r="AFS263" s="1"/>
      <c r="AFT263" s="1"/>
      <c r="AFU263" s="1"/>
      <c r="AFV263" s="1"/>
      <c r="AFW263" s="1"/>
      <c r="AFX263" s="1"/>
      <c r="AFY263" s="1"/>
      <c r="AFZ263" s="1"/>
      <c r="AGA263" s="1"/>
      <c r="AGB263" s="1"/>
      <c r="AGC263" s="1"/>
      <c r="AGD263" s="1"/>
      <c r="AGE263" s="1"/>
      <c r="AGF263" s="1"/>
      <c r="AGG263" s="1"/>
      <c r="AGH263" s="1"/>
      <c r="AGI263" s="1"/>
      <c r="AGJ263" s="1"/>
      <c r="AGK263" s="1"/>
      <c r="AGL263" s="1"/>
      <c r="AGM263" s="1"/>
      <c r="AGN263" s="1"/>
      <c r="AGO263" s="1"/>
      <c r="AGP263" s="1"/>
      <c r="AGQ263" s="1"/>
      <c r="AGR263" s="1"/>
      <c r="AGS263" s="1"/>
      <c r="AGT263" s="1"/>
      <c r="AGU263" s="1"/>
      <c r="AGV263" s="1"/>
      <c r="AGW263" s="1"/>
      <c r="AGX263" s="1"/>
      <c r="AGY263" s="1"/>
      <c r="AGZ263" s="1"/>
      <c r="AHA263" s="1"/>
      <c r="AHB263" s="1"/>
      <c r="AHC263" s="1"/>
      <c r="AHD263" s="1"/>
      <c r="AHE263" s="1"/>
      <c r="AHF263" s="1"/>
      <c r="AHG263" s="1"/>
      <c r="AHH263" s="1"/>
      <c r="AHI263" s="1"/>
      <c r="AHJ263" s="1"/>
      <c r="AHK263" s="1"/>
      <c r="AHL263" s="1"/>
      <c r="AHM263" s="1"/>
      <c r="AHN263" s="1"/>
      <c r="AHO263" s="1"/>
      <c r="AHP263" s="1"/>
      <c r="AHQ263" s="1"/>
      <c r="AHR263" s="1"/>
      <c r="AHS263" s="1"/>
      <c r="AHT263" s="1"/>
      <c r="AHU263" s="1"/>
      <c r="AHV263" s="1"/>
      <c r="AHW263" s="1"/>
      <c r="AHX263" s="1"/>
      <c r="AHY263" s="1"/>
      <c r="AHZ263" s="1"/>
      <c r="AIA263" s="1"/>
      <c r="AIB263" s="1"/>
      <c r="AIC263" s="1"/>
      <c r="AID263" s="1"/>
      <c r="AIE263" s="1"/>
      <c r="AIF263" s="1"/>
      <c r="AIG263" s="1"/>
      <c r="AIH263" s="1"/>
      <c r="AII263" s="1"/>
      <c r="AIJ263" s="1"/>
      <c r="AIK263" s="1"/>
      <c r="AIL263" s="1"/>
      <c r="AIM263" s="1"/>
      <c r="AIN263" s="1"/>
      <c r="AIO263" s="1"/>
      <c r="AIP263" s="1"/>
      <c r="AIQ263" s="1"/>
      <c r="AIR263" s="1"/>
      <c r="AIS263" s="1"/>
      <c r="AIT263" s="1"/>
      <c r="AIU263" s="1"/>
      <c r="AIV263" s="1"/>
      <c r="AIW263" s="1"/>
      <c r="AIX263" s="1"/>
      <c r="AIY263" s="1"/>
      <c r="AIZ263" s="1"/>
      <c r="AJA263" s="1"/>
      <c r="AJB263" s="1"/>
      <c r="AJC263" s="1"/>
      <c r="AJD263" s="1"/>
      <c r="AJE263" s="1"/>
      <c r="AJF263" s="1"/>
      <c r="AJG263" s="1"/>
      <c r="AJH263" s="1"/>
      <c r="AJI263" s="1"/>
      <c r="AJJ263" s="1"/>
      <c r="AJK263" s="1"/>
      <c r="AJL263" s="1"/>
      <c r="AJM263" s="1"/>
      <c r="AJN263" s="1"/>
      <c r="AJO263" s="1"/>
      <c r="AJP263" s="1"/>
      <c r="AJQ263" s="1"/>
      <c r="AJR263" s="1"/>
      <c r="AJS263" s="1"/>
      <c r="AJT263" s="1"/>
      <c r="AJU263" s="1"/>
      <c r="AJV263" s="1"/>
      <c r="AJW263" s="1"/>
      <c r="AJX263" s="1"/>
      <c r="AJY263" s="1"/>
      <c r="AJZ263" s="1"/>
      <c r="AKA263" s="1"/>
      <c r="AKB263" s="1"/>
      <c r="AKC263" s="1"/>
      <c r="AKD263" s="1"/>
      <c r="AKE263" s="1"/>
      <c r="AKF263" s="1"/>
      <c r="AKG263" s="1"/>
      <c r="AKH263" s="1"/>
      <c r="AKI263" s="1"/>
      <c r="AKJ263" s="1"/>
      <c r="AKK263" s="1"/>
      <c r="AKL263" s="1"/>
      <c r="AKM263" s="1"/>
      <c r="AKN263" s="1"/>
      <c r="AKO263" s="1"/>
      <c r="AKP263" s="1"/>
      <c r="AKQ263" s="1"/>
      <c r="AKR263" s="1"/>
      <c r="AKS263" s="1"/>
      <c r="AKT263" s="1"/>
      <c r="AKU263" s="1"/>
      <c r="AKV263" s="1"/>
      <c r="AKW263" s="1"/>
      <c r="AKX263" s="1"/>
      <c r="AKY263" s="1"/>
      <c r="AKZ263" s="1"/>
      <c r="ALA263" s="1"/>
      <c r="ALB263" s="1"/>
      <c r="ALC263" s="1"/>
      <c r="ALD263" s="1"/>
      <c r="ALE263" s="1"/>
      <c r="ALF263" s="1"/>
      <c r="ALG263" s="1"/>
      <c r="ALH263" s="1"/>
      <c r="ALI263" s="1"/>
      <c r="ALJ263" s="1"/>
      <c r="ALK263" s="1"/>
      <c r="ALL263" s="1"/>
      <c r="ALM263" s="1"/>
      <c r="ALN263" s="1"/>
      <c r="ALO263" s="1"/>
      <c r="ALP263" s="1"/>
      <c r="ALQ263" s="1"/>
      <c r="ALR263" s="1"/>
      <c r="ALS263" s="1"/>
      <c r="ALT263" s="1"/>
      <c r="ALU263" s="1"/>
      <c r="ALV263" s="1"/>
      <c r="ALW263" s="1"/>
      <c r="ALX263" s="1"/>
      <c r="ALY263" s="1"/>
      <c r="ALZ263" s="1"/>
      <c r="AMA263" s="1"/>
      <c r="AMB263" s="1"/>
      <c r="AMC263" s="1"/>
      <c r="AMD263" s="1"/>
      <c r="AME263" s="1"/>
      <c r="AMF263" s="1"/>
      <c r="AMG263" s="1"/>
      <c r="AMH263" s="1"/>
      <c r="AMI263" s="1"/>
      <c r="AMJ263" s="1"/>
      <c r="AMK263" s="1"/>
      <c r="AML263" s="1"/>
      <c r="AMM263" s="1"/>
      <c r="AMN263" s="1"/>
      <c r="AMO263" s="1"/>
    </row>
    <row r="264" spans="1:1029" x14ac:dyDescent="0.2">
      <c r="A264" s="3" t="str">
        <f>CONCATENATE(B264,"_",C264)</f>
        <v>npy1r_human__wt</v>
      </c>
      <c r="B264" s="3" t="s">
        <v>324</v>
      </c>
      <c r="C264" s="3" t="s">
        <v>100</v>
      </c>
      <c r="D264" s="3" t="str">
        <f>IFERROR(MID(VLOOKUP($B264,Seqs!$A:$B,2,0),E264,1),"")</f>
        <v>P</v>
      </c>
      <c r="E264" s="3">
        <v>36</v>
      </c>
      <c r="F264" s="3" t="str">
        <f>IFERROR(MID(VLOOKUP($B264,Seqs!$A:$B,2,0),G264,1),"")</f>
        <v>Q</v>
      </c>
      <c r="G264" s="3">
        <v>68</v>
      </c>
      <c r="H264" s="3" t="str">
        <f>IFERROR(MID(VLOOKUP($B264,Seqs!$A:$B,2,0),I264,1),"")</f>
        <v>K</v>
      </c>
      <c r="I264" s="23">
        <v>69</v>
      </c>
      <c r="J264" s="3" t="str">
        <f>IFERROR(MID(VLOOKUP($B264,Seqs!$A:$B,2,0),K264,1),"")</f>
        <v>R</v>
      </c>
      <c r="K264" s="23">
        <v>72</v>
      </c>
      <c r="L264" s="3" t="str">
        <f>IFERROR(MID(VLOOKUP($B264,Seqs!$A:$B,2,0),M264,1),"")</f>
        <v>N</v>
      </c>
      <c r="M264" s="3">
        <v>73</v>
      </c>
      <c r="N264" s="3" t="str">
        <f>IFERROR(MID(VLOOKUP($B264,Seqs!$A:$B,2,0),O264,1),"")</f>
        <v>D</v>
      </c>
      <c r="O264" s="3">
        <v>104</v>
      </c>
      <c r="P264" s="3" t="str">
        <f>IFERROR(MID(VLOOKUP($B264,Seqs!$A:$B,2,0),Q264,1),"")</f>
        <v>H</v>
      </c>
      <c r="Q264" s="3">
        <v>105</v>
      </c>
      <c r="R264" s="3" t="str">
        <f>IFERROR(MID(VLOOKUP($B264,Seqs!$A:$B,2,0),S264,1),"")</f>
        <v>F</v>
      </c>
      <c r="S264" s="3">
        <v>108</v>
      </c>
      <c r="T264" s="3" t="str">
        <f>IFERROR(MID(VLOOKUP($B264,Seqs!$A:$B,2,0),U264,1),"")</f>
        <v>G</v>
      </c>
      <c r="U264" s="3">
        <v>109</v>
      </c>
      <c r="V264" s="3" t="str">
        <f>IFERROR(MID(VLOOKUP($B264,Seqs!$A:$B,2,0),W264,1),"")</f>
        <v>N</v>
      </c>
      <c r="W264" s="3">
        <v>144</v>
      </c>
      <c r="X264" s="3" t="str">
        <f>IFERROR(MID(VLOOKUP($B264,Seqs!$A:$B,2,0),Y264,1),"")</f>
        <v/>
      </c>
      <c r="Y264" s="3" t="s">
        <v>23</v>
      </c>
      <c r="Z264" s="3" t="str">
        <f>IFERROR(MID(VLOOKUP($B264,Seqs!$A:$B,2,0),AA264,1),"")</f>
        <v/>
      </c>
      <c r="AA264" s="3" t="s">
        <v>23</v>
      </c>
      <c r="AB264" s="3" t="str">
        <f>IFERROR(MID(VLOOKUP($B264,Seqs!$A:$B,2,0),AC264,1),"")</f>
        <v>N</v>
      </c>
      <c r="AC264" s="3">
        <v>151</v>
      </c>
      <c r="AD264" s="3" t="str">
        <f>IFERROR(MID(VLOOKUP($B264,Seqs!$A:$B,2,0),AE264,1),"")</f>
        <v>Q</v>
      </c>
      <c r="AE264" s="3">
        <v>177</v>
      </c>
      <c r="AF264" s="3" t="str">
        <f>IFERROR(MID(VLOOKUP($B264,Seqs!$A:$B,2,0),AG264,1),"")</f>
        <v>C</v>
      </c>
      <c r="AG264" s="3">
        <v>198</v>
      </c>
      <c r="AH264" s="3" t="str">
        <f>IFERROR(MID(VLOOKUP($B264,Seqs!$A:$B,2,0),AI264,1),"")</f>
        <v>D</v>
      </c>
      <c r="AI264" s="3">
        <v>200</v>
      </c>
      <c r="AJ264" s="3" t="str">
        <f>IFERROR(MID(VLOOKUP($B264,Seqs!$A:$B,2,0),AK264,1),"")</f>
        <v>S</v>
      </c>
      <c r="AK264" s="3">
        <v>204</v>
      </c>
      <c r="AL264" s="3" t="str">
        <f>IFERROR(MID(VLOOKUP($B264,Seqs!$A:$B,2,0),AM264,1),"")</f>
        <v>M</v>
      </c>
      <c r="AM264" s="3">
        <v>245</v>
      </c>
      <c r="AN264" s="3" t="str">
        <f>IFERROR(MID(VLOOKUP($B264,Seqs!$A:$B,2,0),AO264,1),"")</f>
        <v>D</v>
      </c>
      <c r="AO264" s="3">
        <v>250</v>
      </c>
      <c r="AP264" s="3" t="str">
        <f>IFERROR(MID(VLOOKUP($B264,Seqs!$A:$B,2,0),AQ264,1),"")</f>
        <v>N</v>
      </c>
      <c r="AQ264" s="3">
        <v>289</v>
      </c>
      <c r="AR264" s="3" t="str">
        <f>IFERROR(MID(VLOOKUP($B264,Seqs!$A:$B,2,0),AS264,1),"")</f>
        <v>T</v>
      </c>
      <c r="AS264" s="3">
        <v>295</v>
      </c>
      <c r="AT264" s="3" t="str">
        <f>IFERROR(MID(VLOOKUP($B264,Seqs!$A:$B,2,0),AU264,1),"")</f>
        <v>L</v>
      </c>
      <c r="AU264" s="3">
        <v>323</v>
      </c>
      <c r="AV264" s="3" t="str">
        <f>IFERROR(MID(VLOOKUP($B264,Seqs!$A:$B,2,0),AW264,1),"")</f>
        <v>N</v>
      </c>
      <c r="AW264" s="3">
        <v>324</v>
      </c>
      <c r="AX264" s="3" t="str">
        <f>IFERROR(MID(VLOOKUP($B264,Seqs!$A:$B,2,0),AY264,1),"")</f>
        <v>F</v>
      </c>
      <c r="AY264" s="3">
        <v>335</v>
      </c>
      <c r="AZ264" s="77" t="str">
        <f>VLOOKUP(B264,Classification!A:D,2,0)</f>
        <v>A</v>
      </c>
      <c r="BA264" s="94" t="str">
        <f>VLOOKUP(B264,Classification!A:D,4,0)</f>
        <v>NeuropeptideY</v>
      </c>
      <c r="BB264" s="27" t="b">
        <f>AND(E264&lt;G264,OR(G264&lt;I264,I264="-"),OR(I264&lt;K264,I264="-"),OR(K264&lt;M264,K264="-"),M264&lt;O264,OR(O264&lt;Q264,Q264="-"),OR(Q264&lt;S264,Q264="-"),OR(S264&lt;U264,S264="-"),U264&lt;W264,OR(W264&lt;Y264,Y264="-"),OR(Y264&lt;AA264,Y264="-"),OR(AA264&lt;AC264,AA264="-"),AC264&lt;AE264,OR(AE264&lt;AG264,AG264="-"),OR(AG264&lt;AI264,AG264="-"),OR(AI264&lt;AK264,AI264="-"),AK264&lt;AM264,AM264&lt;AO264,AO264&lt;AQ264,AQ264&lt;AS264,AS264&lt;AU264,OR(AU264&lt;AW264,AW264="-"),OR(AW264&lt;AY264,AW264="-"))</f>
        <v>1</v>
      </c>
      <c r="BC264" s="23">
        <f>_xlfn.AGGREGATE(9,6,CH264:CS264)-_xlfn.AGGREGATE(9,6,BV264:CG264)+12</f>
        <v>263</v>
      </c>
      <c r="BD264" s="5" t="s">
        <v>23</v>
      </c>
      <c r="BE264" s="3" t="s">
        <v>1368</v>
      </c>
      <c r="BF264" s="118" t="s">
        <v>23</v>
      </c>
      <c r="BG264" s="49" t="s">
        <v>1371</v>
      </c>
      <c r="BH264" s="49" t="s">
        <v>1371</v>
      </c>
      <c r="BI264" s="1"/>
      <c r="BJ264" s="70" t="s">
        <v>1281</v>
      </c>
      <c r="BK264" s="57" t="s">
        <v>1281</v>
      </c>
      <c r="BL264" s="57" t="s">
        <v>1281</v>
      </c>
      <c r="BM264" s="57" t="s">
        <v>1281</v>
      </c>
      <c r="BN264" s="57" t="s">
        <v>1281</v>
      </c>
      <c r="BO264" s="57" t="s">
        <v>1281</v>
      </c>
      <c r="BP264" s="57" t="s">
        <v>1281</v>
      </c>
      <c r="BQ264" s="57" t="s">
        <v>1281</v>
      </c>
      <c r="BR264" s="57" t="s">
        <v>1281</v>
      </c>
      <c r="BS264" s="57" t="s">
        <v>1281</v>
      </c>
      <c r="BT264" s="57" t="s">
        <v>1281</v>
      </c>
      <c r="BU264" s="57" t="s">
        <v>1281</v>
      </c>
      <c r="BV264" s="70">
        <f>E264</f>
        <v>36</v>
      </c>
      <c r="BW264" s="71">
        <f>I264</f>
        <v>69</v>
      </c>
      <c r="BX264" s="72">
        <f>M264</f>
        <v>73</v>
      </c>
      <c r="BY264" s="71">
        <f>Q264</f>
        <v>105</v>
      </c>
      <c r="BZ264" s="72">
        <f>U264</f>
        <v>109</v>
      </c>
      <c r="CA264" s="71" t="str">
        <f>Y264</f>
        <v>-</v>
      </c>
      <c r="CB264" s="72">
        <f>AC264</f>
        <v>151</v>
      </c>
      <c r="CC264" s="71">
        <f>AG264</f>
        <v>198</v>
      </c>
      <c r="CD264" s="72">
        <f>AK264</f>
        <v>204</v>
      </c>
      <c r="CE264" s="71">
        <f>AO264</f>
        <v>250</v>
      </c>
      <c r="CF264" s="72">
        <f>AS264</f>
        <v>295</v>
      </c>
      <c r="CG264" s="71">
        <f>AW264</f>
        <v>324</v>
      </c>
      <c r="CH264" s="70">
        <f>G264</f>
        <v>68</v>
      </c>
      <c r="CI264" s="71">
        <f>K264</f>
        <v>72</v>
      </c>
      <c r="CJ264" s="72">
        <f>O264</f>
        <v>104</v>
      </c>
      <c r="CK264" s="72">
        <f>S264</f>
        <v>108</v>
      </c>
      <c r="CL264" s="72">
        <f>W264</f>
        <v>144</v>
      </c>
      <c r="CM264" s="72" t="str">
        <f>AA264</f>
        <v>-</v>
      </c>
      <c r="CN264" s="72">
        <f>AE264</f>
        <v>177</v>
      </c>
      <c r="CO264" s="72">
        <f>AI264</f>
        <v>200</v>
      </c>
      <c r="CP264" s="72">
        <f>AM264</f>
        <v>245</v>
      </c>
      <c r="CQ264" s="72">
        <f>AQ264</f>
        <v>289</v>
      </c>
      <c r="CR264" s="72">
        <f>AU264</f>
        <v>323</v>
      </c>
      <c r="CS264" s="72">
        <f>AY264</f>
        <v>335</v>
      </c>
      <c r="CT264" s="23">
        <f>M264-K264</f>
        <v>1</v>
      </c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1"/>
      <c r="UZ264" s="1"/>
      <c r="VA264" s="1"/>
      <c r="VB264" s="1"/>
      <c r="VC264" s="1"/>
      <c r="VD264" s="1"/>
      <c r="VE264" s="1"/>
      <c r="VF264" s="1"/>
      <c r="VG264" s="1"/>
      <c r="VH264" s="1"/>
      <c r="VI264" s="1"/>
      <c r="VJ264" s="1"/>
      <c r="VK264" s="1"/>
      <c r="VL264" s="1"/>
      <c r="VM264" s="1"/>
      <c r="VN264" s="1"/>
      <c r="VO264" s="1"/>
      <c r="VP264" s="1"/>
      <c r="VQ264" s="1"/>
      <c r="VR264" s="1"/>
      <c r="VS264" s="1"/>
      <c r="VT264" s="1"/>
      <c r="VU264" s="1"/>
      <c r="VV264" s="1"/>
      <c r="VW264" s="1"/>
      <c r="VX264" s="1"/>
      <c r="VY264" s="1"/>
      <c r="VZ264" s="1"/>
      <c r="WA264" s="1"/>
      <c r="WB264" s="1"/>
      <c r="WC264" s="1"/>
      <c r="WD264" s="1"/>
      <c r="WE264" s="1"/>
      <c r="WF264" s="1"/>
      <c r="WG264" s="1"/>
      <c r="WH264" s="1"/>
      <c r="WI264" s="1"/>
      <c r="WJ264" s="1"/>
      <c r="WK264" s="1"/>
      <c r="WL264" s="1"/>
      <c r="WM264" s="1"/>
      <c r="WN264" s="1"/>
      <c r="WO264" s="1"/>
      <c r="WP264" s="1"/>
      <c r="WQ264" s="1"/>
      <c r="WR264" s="1"/>
      <c r="WS264" s="1"/>
      <c r="WT264" s="1"/>
      <c r="WU264" s="1"/>
      <c r="WV264" s="1"/>
      <c r="WW264" s="1"/>
      <c r="WX264" s="1"/>
      <c r="WY264" s="1"/>
      <c r="WZ264" s="1"/>
      <c r="XA264" s="1"/>
      <c r="XB264" s="1"/>
      <c r="XC264" s="1"/>
      <c r="XD264" s="1"/>
      <c r="XE264" s="1"/>
      <c r="XF264" s="1"/>
      <c r="XG264" s="1"/>
      <c r="XH264" s="1"/>
      <c r="XI264" s="1"/>
      <c r="XJ264" s="1"/>
      <c r="XK264" s="1"/>
      <c r="XL264" s="1"/>
      <c r="XM264" s="1"/>
      <c r="XN264" s="1"/>
      <c r="XO264" s="1"/>
      <c r="XP264" s="1"/>
      <c r="XQ264" s="1"/>
      <c r="XR264" s="1"/>
      <c r="XS264" s="1"/>
      <c r="XT264" s="1"/>
      <c r="XU264" s="1"/>
      <c r="XV264" s="1"/>
      <c r="XW264" s="1"/>
      <c r="XX264" s="1"/>
      <c r="XY264" s="1"/>
      <c r="XZ264" s="1"/>
      <c r="YA264" s="1"/>
      <c r="YB264" s="1"/>
      <c r="YC264" s="1"/>
      <c r="YD264" s="1"/>
      <c r="YE264" s="1"/>
      <c r="YF264" s="1"/>
      <c r="YG264" s="1"/>
      <c r="YH264" s="1"/>
      <c r="YI264" s="1"/>
      <c r="YJ264" s="1"/>
      <c r="YK264" s="1"/>
      <c r="YL264" s="1"/>
      <c r="YM264" s="1"/>
      <c r="YN264" s="1"/>
      <c r="YO264" s="1"/>
      <c r="YP264" s="1"/>
      <c r="YQ264" s="1"/>
      <c r="YR264" s="1"/>
      <c r="YS264" s="1"/>
      <c r="YT264" s="1"/>
      <c r="YU264" s="1"/>
      <c r="YV264" s="1"/>
      <c r="YW264" s="1"/>
      <c r="YX264" s="1"/>
      <c r="YY264" s="1"/>
      <c r="YZ264" s="1"/>
      <c r="ZA264" s="1"/>
      <c r="ZB264" s="1"/>
      <c r="ZC264" s="1"/>
      <c r="ZD264" s="1"/>
      <c r="ZE264" s="1"/>
      <c r="ZF264" s="1"/>
      <c r="ZG264" s="1"/>
      <c r="ZH264" s="1"/>
      <c r="ZI264" s="1"/>
      <c r="ZJ264" s="1"/>
      <c r="ZK264" s="1"/>
      <c r="ZL264" s="1"/>
      <c r="ZM264" s="1"/>
      <c r="ZN264" s="1"/>
      <c r="ZO264" s="1"/>
      <c r="ZP264" s="1"/>
      <c r="ZQ264" s="1"/>
      <c r="ZR264" s="1"/>
      <c r="ZS264" s="1"/>
      <c r="ZT264" s="1"/>
      <c r="ZU264" s="1"/>
      <c r="ZV264" s="1"/>
      <c r="ZW264" s="1"/>
      <c r="ZX264" s="1"/>
      <c r="ZY264" s="1"/>
      <c r="ZZ264" s="1"/>
      <c r="AAA264" s="1"/>
      <c r="AAB264" s="1"/>
      <c r="AAC264" s="1"/>
      <c r="AAD264" s="1"/>
      <c r="AAE264" s="1"/>
      <c r="AAF264" s="1"/>
      <c r="AAG264" s="1"/>
      <c r="AAH264" s="1"/>
      <c r="AAI264" s="1"/>
      <c r="AAJ264" s="1"/>
      <c r="AAK264" s="1"/>
      <c r="AAL264" s="1"/>
      <c r="AAM264" s="1"/>
      <c r="AAN264" s="1"/>
      <c r="AAO264" s="1"/>
      <c r="AAP264" s="1"/>
      <c r="AAQ264" s="1"/>
      <c r="AAR264" s="1"/>
      <c r="AAS264" s="1"/>
      <c r="AAT264" s="1"/>
      <c r="AAU264" s="1"/>
      <c r="AAV264" s="1"/>
      <c r="AAW264" s="1"/>
      <c r="AAX264" s="1"/>
      <c r="AAY264" s="1"/>
      <c r="AAZ264" s="1"/>
      <c r="ABA264" s="1"/>
      <c r="ABB264" s="1"/>
      <c r="ABC264" s="1"/>
      <c r="ABD264" s="1"/>
      <c r="ABE264" s="1"/>
      <c r="ABF264" s="1"/>
      <c r="ABG264" s="1"/>
      <c r="ABH264" s="1"/>
      <c r="ABI264" s="1"/>
      <c r="ABJ264" s="1"/>
      <c r="ABK264" s="1"/>
      <c r="ABL264" s="1"/>
      <c r="ABM264" s="1"/>
      <c r="ABN264" s="1"/>
      <c r="ABO264" s="1"/>
      <c r="ABP264" s="1"/>
      <c r="ABQ264" s="1"/>
      <c r="ABR264" s="1"/>
      <c r="ABS264" s="1"/>
      <c r="ABT264" s="1"/>
      <c r="ABU264" s="1"/>
      <c r="ABV264" s="1"/>
      <c r="ABW264" s="1"/>
      <c r="ABX264" s="1"/>
      <c r="ABY264" s="1"/>
      <c r="ABZ264" s="1"/>
      <c r="ACA264" s="1"/>
      <c r="ACB264" s="1"/>
      <c r="ACC264" s="1"/>
      <c r="ACD264" s="1"/>
      <c r="ACE264" s="1"/>
      <c r="ACF264" s="1"/>
      <c r="ACG264" s="1"/>
      <c r="ACH264" s="1"/>
      <c r="ACI264" s="1"/>
      <c r="ACJ264" s="1"/>
      <c r="ACK264" s="1"/>
      <c r="ACL264" s="1"/>
      <c r="ACM264" s="1"/>
      <c r="ACN264" s="1"/>
      <c r="ACO264" s="1"/>
      <c r="ACP264" s="1"/>
      <c r="ACQ264" s="1"/>
      <c r="ACR264" s="1"/>
      <c r="ACS264" s="1"/>
      <c r="ACT264" s="1"/>
      <c r="ACU264" s="1"/>
      <c r="ACV264" s="1"/>
      <c r="ACW264" s="1"/>
      <c r="ACX264" s="1"/>
      <c r="ACY264" s="1"/>
      <c r="ACZ264" s="1"/>
      <c r="ADA264" s="1"/>
      <c r="ADB264" s="1"/>
      <c r="ADC264" s="1"/>
      <c r="ADD264" s="1"/>
      <c r="ADE264" s="1"/>
      <c r="ADF264" s="1"/>
      <c r="ADG264" s="1"/>
      <c r="ADH264" s="1"/>
      <c r="ADI264" s="1"/>
      <c r="ADJ264" s="1"/>
      <c r="ADK264" s="1"/>
      <c r="ADL264" s="1"/>
      <c r="ADM264" s="1"/>
      <c r="ADN264" s="1"/>
      <c r="ADO264" s="1"/>
      <c r="ADP264" s="1"/>
      <c r="ADQ264" s="1"/>
      <c r="ADR264" s="1"/>
      <c r="ADS264" s="1"/>
      <c r="ADT264" s="1"/>
      <c r="ADU264" s="1"/>
      <c r="ADV264" s="1"/>
      <c r="ADW264" s="1"/>
      <c r="ADX264" s="1"/>
      <c r="ADY264" s="1"/>
      <c r="ADZ264" s="1"/>
      <c r="AEA264" s="1"/>
      <c r="AEB264" s="1"/>
      <c r="AEC264" s="1"/>
      <c r="AED264" s="1"/>
      <c r="AEE264" s="1"/>
      <c r="AEF264" s="1"/>
      <c r="AEG264" s="1"/>
      <c r="AEH264" s="1"/>
      <c r="AEI264" s="1"/>
      <c r="AEJ264" s="1"/>
      <c r="AEK264" s="1"/>
      <c r="AEL264" s="1"/>
      <c r="AEM264" s="1"/>
      <c r="AEN264" s="1"/>
      <c r="AEO264" s="1"/>
      <c r="AEP264" s="1"/>
      <c r="AEQ264" s="1"/>
      <c r="AER264" s="1"/>
      <c r="AES264" s="1"/>
      <c r="AET264" s="1"/>
      <c r="AEU264" s="1"/>
      <c r="AEV264" s="1"/>
      <c r="AEW264" s="1"/>
      <c r="AEX264" s="1"/>
      <c r="AEY264" s="1"/>
      <c r="AEZ264" s="1"/>
      <c r="AFA264" s="1"/>
      <c r="AFB264" s="1"/>
      <c r="AFC264" s="1"/>
      <c r="AFD264" s="1"/>
      <c r="AFE264" s="1"/>
      <c r="AFF264" s="1"/>
      <c r="AFG264" s="1"/>
      <c r="AFH264" s="1"/>
      <c r="AFI264" s="1"/>
      <c r="AFJ264" s="1"/>
      <c r="AFK264" s="1"/>
      <c r="AFL264" s="1"/>
      <c r="AFM264" s="1"/>
      <c r="AFN264" s="1"/>
      <c r="AFO264" s="1"/>
      <c r="AFP264" s="1"/>
      <c r="AFQ264" s="1"/>
      <c r="AFR264" s="1"/>
      <c r="AFS264" s="1"/>
      <c r="AFT264" s="1"/>
      <c r="AFU264" s="1"/>
      <c r="AFV264" s="1"/>
      <c r="AFW264" s="1"/>
      <c r="AFX264" s="1"/>
      <c r="AFY264" s="1"/>
      <c r="AFZ264" s="1"/>
      <c r="AGA264" s="1"/>
      <c r="AGB264" s="1"/>
      <c r="AGC264" s="1"/>
      <c r="AGD264" s="1"/>
      <c r="AGE264" s="1"/>
      <c r="AGF264" s="1"/>
      <c r="AGG264" s="1"/>
      <c r="AGH264" s="1"/>
      <c r="AGI264" s="1"/>
      <c r="AGJ264" s="1"/>
      <c r="AGK264" s="1"/>
      <c r="AGL264" s="1"/>
      <c r="AGM264" s="1"/>
      <c r="AGN264" s="1"/>
      <c r="AGO264" s="1"/>
      <c r="AGP264" s="1"/>
      <c r="AGQ264" s="1"/>
      <c r="AGR264" s="1"/>
      <c r="AGS264" s="1"/>
      <c r="AGT264" s="1"/>
      <c r="AGU264" s="1"/>
      <c r="AGV264" s="1"/>
      <c r="AGW264" s="1"/>
      <c r="AGX264" s="1"/>
      <c r="AGY264" s="1"/>
      <c r="AGZ264" s="1"/>
      <c r="AHA264" s="1"/>
      <c r="AHB264" s="1"/>
      <c r="AHC264" s="1"/>
      <c r="AHD264" s="1"/>
      <c r="AHE264" s="1"/>
      <c r="AHF264" s="1"/>
      <c r="AHG264" s="1"/>
      <c r="AHH264" s="1"/>
      <c r="AHI264" s="1"/>
      <c r="AHJ264" s="1"/>
      <c r="AHK264" s="1"/>
      <c r="AHL264" s="1"/>
      <c r="AHM264" s="1"/>
      <c r="AHN264" s="1"/>
      <c r="AHO264" s="1"/>
      <c r="AHP264" s="1"/>
      <c r="AHQ264" s="1"/>
      <c r="AHR264" s="1"/>
      <c r="AHS264" s="1"/>
      <c r="AHT264" s="1"/>
      <c r="AHU264" s="1"/>
      <c r="AHV264" s="1"/>
      <c r="AHW264" s="1"/>
      <c r="AHX264" s="1"/>
      <c r="AHY264" s="1"/>
      <c r="AHZ264" s="1"/>
      <c r="AIA264" s="1"/>
      <c r="AIB264" s="1"/>
      <c r="AIC264" s="1"/>
      <c r="AID264" s="1"/>
      <c r="AIE264" s="1"/>
      <c r="AIF264" s="1"/>
      <c r="AIG264" s="1"/>
      <c r="AIH264" s="1"/>
      <c r="AII264" s="1"/>
      <c r="AIJ264" s="1"/>
      <c r="AIK264" s="1"/>
      <c r="AIL264" s="1"/>
      <c r="AIM264" s="1"/>
      <c r="AIN264" s="1"/>
      <c r="AIO264" s="1"/>
      <c r="AIP264" s="1"/>
      <c r="AIQ264" s="1"/>
      <c r="AIR264" s="1"/>
      <c r="AIS264" s="1"/>
      <c r="AIT264" s="1"/>
      <c r="AIU264" s="1"/>
      <c r="AIV264" s="1"/>
      <c r="AIW264" s="1"/>
      <c r="AIX264" s="1"/>
      <c r="AIY264" s="1"/>
      <c r="AIZ264" s="1"/>
      <c r="AJA264" s="1"/>
      <c r="AJB264" s="1"/>
      <c r="AJC264" s="1"/>
      <c r="AJD264" s="1"/>
      <c r="AJE264" s="1"/>
      <c r="AJF264" s="1"/>
      <c r="AJG264" s="1"/>
      <c r="AJH264" s="1"/>
      <c r="AJI264" s="1"/>
      <c r="AJJ264" s="1"/>
      <c r="AJK264" s="1"/>
      <c r="AJL264" s="1"/>
      <c r="AJM264" s="1"/>
      <c r="AJN264" s="1"/>
      <c r="AJO264" s="1"/>
      <c r="AJP264" s="1"/>
      <c r="AJQ264" s="1"/>
      <c r="AJR264" s="1"/>
      <c r="AJS264" s="1"/>
      <c r="AJT264" s="1"/>
      <c r="AJU264" s="1"/>
      <c r="AJV264" s="1"/>
      <c r="AJW264" s="1"/>
      <c r="AJX264" s="1"/>
      <c r="AJY264" s="1"/>
      <c r="AJZ264" s="1"/>
      <c r="AKA264" s="1"/>
      <c r="AKB264" s="1"/>
      <c r="AKC264" s="1"/>
      <c r="AKD264" s="1"/>
      <c r="AKE264" s="1"/>
      <c r="AKF264" s="1"/>
      <c r="AKG264" s="1"/>
      <c r="AKH264" s="1"/>
      <c r="AKI264" s="1"/>
      <c r="AKJ264" s="1"/>
      <c r="AKK264" s="1"/>
      <c r="AKL264" s="1"/>
      <c r="AKM264" s="1"/>
      <c r="AKN264" s="1"/>
      <c r="AKO264" s="1"/>
      <c r="AKP264" s="1"/>
      <c r="AKQ264" s="1"/>
      <c r="AKR264" s="1"/>
      <c r="AKS264" s="1"/>
      <c r="AKT264" s="1"/>
      <c r="AKU264" s="1"/>
      <c r="AKV264" s="1"/>
      <c r="AKW264" s="1"/>
      <c r="AKX264" s="1"/>
      <c r="AKY264" s="1"/>
      <c r="AKZ264" s="1"/>
      <c r="ALA264" s="1"/>
      <c r="ALB264" s="1"/>
      <c r="ALC264" s="1"/>
      <c r="ALD264" s="1"/>
      <c r="ALE264" s="1"/>
      <c r="ALF264" s="1"/>
      <c r="ALG264" s="1"/>
      <c r="ALH264" s="1"/>
      <c r="ALI264" s="1"/>
      <c r="ALJ264" s="1"/>
      <c r="ALK264" s="1"/>
      <c r="ALL264" s="1"/>
      <c r="ALM264" s="1"/>
      <c r="ALN264" s="1"/>
      <c r="ALO264" s="1"/>
      <c r="ALP264" s="1"/>
      <c r="ALQ264" s="1"/>
      <c r="ALR264" s="1"/>
      <c r="ALS264" s="1"/>
      <c r="ALT264" s="1"/>
      <c r="ALU264" s="1"/>
      <c r="ALV264" s="1"/>
      <c r="ALW264" s="1"/>
      <c r="ALX264" s="1"/>
      <c r="ALY264" s="1"/>
      <c r="ALZ264" s="1"/>
      <c r="AMA264" s="1"/>
      <c r="AMB264" s="1"/>
      <c r="AMC264" s="1"/>
      <c r="AMD264" s="1"/>
      <c r="AME264" s="1"/>
      <c r="AMF264" s="1"/>
      <c r="AMG264" s="1"/>
      <c r="AMH264" s="1"/>
      <c r="AMI264" s="1"/>
      <c r="AMJ264" s="1"/>
      <c r="AMK264" s="1"/>
      <c r="AML264" s="1"/>
      <c r="AMM264" s="1"/>
      <c r="AMN264" s="1"/>
      <c r="AMO264" s="1"/>
    </row>
    <row r="265" spans="1:1029" x14ac:dyDescent="0.2">
      <c r="A265" s="3" t="str">
        <f>CONCATENATE(B265,"_",C265)</f>
        <v>npy1r_human_5ZBH</v>
      </c>
      <c r="B265" s="3" t="s">
        <v>324</v>
      </c>
      <c r="C265" s="3" t="s">
        <v>1484</v>
      </c>
      <c r="D265" s="3" t="str">
        <f>IFERROR(MID(VLOOKUP($B265,Seqs!$A:$B,2,0),E265,1),"")</f>
        <v>P</v>
      </c>
      <c r="E265" s="3">
        <v>36</v>
      </c>
      <c r="F265" s="3" t="str">
        <f>IFERROR(MID(VLOOKUP($B265,Seqs!$A:$B,2,0),G265,1),"")</f>
        <v>Q</v>
      </c>
      <c r="G265" s="3">
        <v>68</v>
      </c>
      <c r="H265" s="3" t="str">
        <f>IFERROR(MID(VLOOKUP($B265,Seqs!$A:$B,2,0),I265,1),"")</f>
        <v>K</v>
      </c>
      <c r="I265" s="23">
        <v>69</v>
      </c>
      <c r="J265" s="3" t="str">
        <f>IFERROR(MID(VLOOKUP($B265,Seqs!$A:$B,2,0),K265,1),"")</f>
        <v>R</v>
      </c>
      <c r="K265" s="23">
        <v>72</v>
      </c>
      <c r="L265" s="3" t="str">
        <f>IFERROR(MID(VLOOKUP($B265,Seqs!$A:$B,2,0),M265,1),"")</f>
        <v>N</v>
      </c>
      <c r="M265" s="3">
        <v>73</v>
      </c>
      <c r="N265" s="3" t="str">
        <f>IFERROR(MID(VLOOKUP($B265,Seqs!$A:$B,2,0),O265,1),"")</f>
        <v>M</v>
      </c>
      <c r="O265" s="3">
        <v>103</v>
      </c>
      <c r="P265" s="3" t="str">
        <f>IFERROR(MID(VLOOKUP($B265,Seqs!$A:$B,2,0),Q265,1),"")</f>
        <v>H</v>
      </c>
      <c r="Q265" s="3">
        <v>105</v>
      </c>
      <c r="R265" s="3" t="str">
        <f>IFERROR(MID(VLOOKUP($B265,Seqs!$A:$B,2,0),S265,1),"")</f>
        <v>F</v>
      </c>
      <c r="S265" s="3">
        <v>108</v>
      </c>
      <c r="T265" s="3" t="str">
        <f>IFERROR(MID(VLOOKUP($B265,Seqs!$A:$B,2,0),U265,1),"")</f>
        <v>G</v>
      </c>
      <c r="U265" s="3">
        <v>109</v>
      </c>
      <c r="V265" s="3" t="str">
        <f>IFERROR(MID(VLOOKUP($B265,Seqs!$A:$B,2,0),W265,1),"")</f>
        <v>N</v>
      </c>
      <c r="W265" s="3">
        <v>144</v>
      </c>
      <c r="X265" s="3" t="str">
        <f>IFERROR(MID(VLOOKUP($B265,Seqs!$A:$B,2,0),Y265,1),"")</f>
        <v/>
      </c>
      <c r="Y265" s="3" t="s">
        <v>23</v>
      </c>
      <c r="Z265" s="3" t="str">
        <f>IFERROR(MID(VLOOKUP($B265,Seqs!$A:$B,2,0),AA265,1),"")</f>
        <v/>
      </c>
      <c r="AA265" s="3" t="s">
        <v>23</v>
      </c>
      <c r="AB265" s="3" t="str">
        <f>IFERROR(MID(VLOOKUP($B265,Seqs!$A:$B,2,0),AC265,1),"")</f>
        <v>N</v>
      </c>
      <c r="AC265" s="3">
        <v>151</v>
      </c>
      <c r="AD265" s="3" t="str">
        <f>IFERROR(MID(VLOOKUP($B265,Seqs!$A:$B,2,0),AE265,1),"")</f>
        <v>Y</v>
      </c>
      <c r="AE265" s="3">
        <v>176</v>
      </c>
      <c r="AF265" s="3" t="str">
        <f>IFERROR(MID(VLOOKUP($B265,Seqs!$A:$B,2,0),AG265,1),"")</f>
        <v>C</v>
      </c>
      <c r="AG265" s="3">
        <v>198</v>
      </c>
      <c r="AH265" s="3" t="str">
        <f>IFERROR(MID(VLOOKUP($B265,Seqs!$A:$B,2,0),AI265,1),"")</f>
        <v>D</v>
      </c>
      <c r="AI265" s="3">
        <v>200</v>
      </c>
      <c r="AJ265" s="3" t="str">
        <f>IFERROR(MID(VLOOKUP($B265,Seqs!$A:$B,2,0),AK265,1),"")</f>
        <v>S</v>
      </c>
      <c r="AK265" s="3">
        <v>204</v>
      </c>
      <c r="AL265" s="3" t="str">
        <f>IFERROR(MID(VLOOKUP($B265,Seqs!$A:$B,2,0),AM265,1),"")</f>
        <v>R</v>
      </c>
      <c r="AM265" s="3">
        <v>241</v>
      </c>
      <c r="AN265" s="3" t="str">
        <f>IFERROR(MID(VLOOKUP($B265,Seqs!$A:$B,2,0),AO265,1),"")</f>
        <v>Y</v>
      </c>
      <c r="AO265" s="3">
        <v>253</v>
      </c>
      <c r="AP265" s="3" t="str">
        <f>IFERROR(MID(VLOOKUP($B265,Seqs!$A:$B,2,0),AQ265,1),"")</f>
        <v>N</v>
      </c>
      <c r="AQ265" s="3">
        <v>289</v>
      </c>
      <c r="AR265" s="3" t="str">
        <f>IFERROR(MID(VLOOKUP($B265,Seqs!$A:$B,2,0),AS265,1),"")</f>
        <v>T</v>
      </c>
      <c r="AS265" s="3">
        <v>295</v>
      </c>
      <c r="AT265" s="3" t="str">
        <f>IFERROR(MID(VLOOKUP($B265,Seqs!$A:$B,2,0),AU265,1),"")</f>
        <v>L</v>
      </c>
      <c r="AU265" s="3">
        <v>323</v>
      </c>
      <c r="AV265" s="3" t="str">
        <f>IFERROR(MID(VLOOKUP($B265,Seqs!$A:$B,2,0),AW265,1),"")</f>
        <v>N</v>
      </c>
      <c r="AW265" s="3">
        <v>324</v>
      </c>
      <c r="AX265" s="3" t="str">
        <f>IFERROR(MID(VLOOKUP($B265,Seqs!$A:$B,2,0),AY265,1),"")</f>
        <v>F</v>
      </c>
      <c r="AY265" s="3">
        <v>335</v>
      </c>
      <c r="AZ265" s="77" t="str">
        <f>VLOOKUP(B265,Classification!A:D,2,0)</f>
        <v>A</v>
      </c>
      <c r="BA265" s="94" t="str">
        <f>VLOOKUP(B265,Classification!A:D,4,0)</f>
        <v>NeuropeptideY</v>
      </c>
      <c r="BB265" s="27" t="b">
        <f>AND(E265&lt;G265,OR(G265&lt;I265,I265="-"),OR(I265&lt;K265,I265="-"),OR(K265&lt;M265,K265="-"),M265&lt;O265,OR(O265&lt;Q265,Q265="-"),OR(Q265&lt;S265,Q265="-"),OR(S265&lt;U265,S265="-"),U265&lt;W265,OR(W265&lt;Y265,Y265="-"),OR(Y265&lt;AA265,Y265="-"),OR(AA265&lt;AC265,AA265="-"),AC265&lt;AE265,OR(AE265&lt;AG265,AG265="-"),OR(AG265&lt;AI265,AG265="-"),OR(AI265&lt;AK265,AI265="-"),AK265&lt;AM265,AM265&lt;AO265,AO265&lt;AQ265,AQ265&lt;AS265,AS265&lt;AU265,OR(AU265&lt;AW265,AW265="-"),OR(AW265&lt;AY265,AW265="-"))</f>
        <v>1</v>
      </c>
      <c r="BC265" s="23">
        <f>_xlfn.AGGREGATE(9,6,CH265:CS265)-_xlfn.AGGREGATE(9,6,BV265:CG265)+12</f>
        <v>254</v>
      </c>
      <c r="BD265" s="5" t="s">
        <v>1370</v>
      </c>
      <c r="BE265" s="3" t="s">
        <v>1368</v>
      </c>
      <c r="BF265" s="118">
        <v>3</v>
      </c>
      <c r="BG265" s="49" t="s">
        <v>1</v>
      </c>
      <c r="BH265" s="49" t="s">
        <v>1</v>
      </c>
      <c r="BI265" s="1"/>
      <c r="BJ265" s="70" t="s">
        <v>1281</v>
      </c>
      <c r="BK265" s="57" t="s">
        <v>1281</v>
      </c>
      <c r="BL265" s="57" t="s">
        <v>1281</v>
      </c>
      <c r="BM265" s="57" t="s">
        <v>1281</v>
      </c>
      <c r="BN265" s="57" t="s">
        <v>1281</v>
      </c>
      <c r="BO265" s="57" t="s">
        <v>1281</v>
      </c>
      <c r="BP265" s="57" t="s">
        <v>1281</v>
      </c>
      <c r="BQ265" s="57" t="s">
        <v>1281</v>
      </c>
      <c r="BR265" s="57" t="s">
        <v>1281</v>
      </c>
      <c r="BS265" s="57" t="s">
        <v>1281</v>
      </c>
      <c r="BT265" s="57" t="s">
        <v>1281</v>
      </c>
      <c r="BU265" s="57" t="s">
        <v>1281</v>
      </c>
      <c r="BV265" s="70">
        <f>E265</f>
        <v>36</v>
      </c>
      <c r="BW265" s="71">
        <f>I265</f>
        <v>69</v>
      </c>
      <c r="BX265" s="72">
        <f>M265</f>
        <v>73</v>
      </c>
      <c r="BY265" s="71">
        <f>Q265</f>
        <v>105</v>
      </c>
      <c r="BZ265" s="72">
        <f>U265</f>
        <v>109</v>
      </c>
      <c r="CA265" s="71" t="str">
        <f>Y265</f>
        <v>-</v>
      </c>
      <c r="CB265" s="72">
        <f>AC265</f>
        <v>151</v>
      </c>
      <c r="CC265" s="71">
        <f>AG265</f>
        <v>198</v>
      </c>
      <c r="CD265" s="72">
        <f>AK265</f>
        <v>204</v>
      </c>
      <c r="CE265" s="71">
        <f>AO265</f>
        <v>253</v>
      </c>
      <c r="CF265" s="72">
        <f>AS265</f>
        <v>295</v>
      </c>
      <c r="CG265" s="71">
        <f>AW265</f>
        <v>324</v>
      </c>
      <c r="CH265" s="70">
        <f>G265</f>
        <v>68</v>
      </c>
      <c r="CI265" s="71">
        <f>K265</f>
        <v>72</v>
      </c>
      <c r="CJ265" s="72">
        <f>O265</f>
        <v>103</v>
      </c>
      <c r="CK265" s="72">
        <f>S265</f>
        <v>108</v>
      </c>
      <c r="CL265" s="72">
        <f>W265</f>
        <v>144</v>
      </c>
      <c r="CM265" s="72" t="str">
        <f>AA265</f>
        <v>-</v>
      </c>
      <c r="CN265" s="72">
        <f>AE265</f>
        <v>176</v>
      </c>
      <c r="CO265" s="72">
        <f>AI265</f>
        <v>200</v>
      </c>
      <c r="CP265" s="72">
        <f>AM265</f>
        <v>241</v>
      </c>
      <c r="CQ265" s="72">
        <f>AQ265</f>
        <v>289</v>
      </c>
      <c r="CR265" s="72">
        <f>AU265</f>
        <v>323</v>
      </c>
      <c r="CS265" s="72">
        <f>AY265</f>
        <v>335</v>
      </c>
      <c r="CT265" s="23">
        <f>M265-K265</f>
        <v>1</v>
      </c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s="1"/>
      <c r="UZ265" s="1"/>
      <c r="VA265" s="1"/>
      <c r="VB265" s="1"/>
      <c r="VC265" s="1"/>
      <c r="VD265" s="1"/>
      <c r="VE265" s="1"/>
      <c r="VF265" s="1"/>
      <c r="VG265" s="1"/>
      <c r="VH265" s="1"/>
      <c r="VI265" s="1"/>
      <c r="VJ265" s="1"/>
      <c r="VK265" s="1"/>
      <c r="VL265" s="1"/>
      <c r="VM265" s="1"/>
      <c r="VN265" s="1"/>
      <c r="VO265" s="1"/>
      <c r="VP265" s="1"/>
      <c r="VQ265" s="1"/>
      <c r="VR265" s="1"/>
      <c r="VS265" s="1"/>
      <c r="VT265" s="1"/>
      <c r="VU265" s="1"/>
      <c r="VV265" s="1"/>
      <c r="VW265" s="1"/>
      <c r="VX265" s="1"/>
      <c r="VY265" s="1"/>
      <c r="VZ265" s="1"/>
      <c r="WA265" s="1"/>
      <c r="WB265" s="1"/>
      <c r="WC265" s="1"/>
      <c r="WD265" s="1"/>
      <c r="WE265" s="1"/>
      <c r="WF265" s="1"/>
      <c r="WG265" s="1"/>
      <c r="WH265" s="1"/>
      <c r="WI265" s="1"/>
      <c r="WJ265" s="1"/>
      <c r="WK265" s="1"/>
      <c r="WL265" s="1"/>
      <c r="WM265" s="1"/>
      <c r="WN265" s="1"/>
      <c r="WO265" s="1"/>
      <c r="WP265" s="1"/>
      <c r="WQ265" s="1"/>
      <c r="WR265" s="1"/>
      <c r="WS265" s="1"/>
      <c r="WT265" s="1"/>
      <c r="WU265" s="1"/>
      <c r="WV265" s="1"/>
      <c r="WW265" s="1"/>
      <c r="WX265" s="1"/>
      <c r="WY265" s="1"/>
      <c r="WZ265" s="1"/>
      <c r="XA265" s="1"/>
      <c r="XB265" s="1"/>
      <c r="XC265" s="1"/>
      <c r="XD265" s="1"/>
      <c r="XE265" s="1"/>
      <c r="XF265" s="1"/>
      <c r="XG265" s="1"/>
      <c r="XH265" s="1"/>
      <c r="XI265" s="1"/>
      <c r="XJ265" s="1"/>
      <c r="XK265" s="1"/>
      <c r="XL265" s="1"/>
      <c r="XM265" s="1"/>
      <c r="XN265" s="1"/>
      <c r="XO265" s="1"/>
      <c r="XP265" s="1"/>
      <c r="XQ265" s="1"/>
      <c r="XR265" s="1"/>
      <c r="XS265" s="1"/>
      <c r="XT265" s="1"/>
      <c r="XU265" s="1"/>
      <c r="XV265" s="1"/>
      <c r="XW265" s="1"/>
      <c r="XX265" s="1"/>
      <c r="XY265" s="1"/>
      <c r="XZ265" s="1"/>
      <c r="YA265" s="1"/>
      <c r="YB265" s="1"/>
      <c r="YC265" s="1"/>
      <c r="YD265" s="1"/>
      <c r="YE265" s="1"/>
      <c r="YF265" s="1"/>
      <c r="YG265" s="1"/>
      <c r="YH265" s="1"/>
      <c r="YI265" s="1"/>
      <c r="YJ265" s="1"/>
      <c r="YK265" s="1"/>
      <c r="YL265" s="1"/>
      <c r="YM265" s="1"/>
      <c r="YN265" s="1"/>
      <c r="YO265" s="1"/>
      <c r="YP265" s="1"/>
      <c r="YQ265" s="1"/>
      <c r="YR265" s="1"/>
      <c r="YS265" s="1"/>
      <c r="YT265" s="1"/>
      <c r="YU265" s="1"/>
      <c r="YV265" s="1"/>
      <c r="YW265" s="1"/>
      <c r="YX265" s="1"/>
      <c r="YY265" s="1"/>
      <c r="YZ265" s="1"/>
      <c r="ZA265" s="1"/>
      <c r="ZB265" s="1"/>
      <c r="ZC265" s="1"/>
      <c r="ZD265" s="1"/>
      <c r="ZE265" s="1"/>
      <c r="ZF265" s="1"/>
      <c r="ZG265" s="1"/>
      <c r="ZH265" s="1"/>
      <c r="ZI265" s="1"/>
      <c r="ZJ265" s="1"/>
      <c r="ZK265" s="1"/>
      <c r="ZL265" s="1"/>
      <c r="ZM265" s="1"/>
      <c r="ZN265" s="1"/>
      <c r="ZO265" s="1"/>
      <c r="ZP265" s="1"/>
      <c r="ZQ265" s="1"/>
      <c r="ZR265" s="1"/>
      <c r="ZS265" s="1"/>
      <c r="ZT265" s="1"/>
      <c r="ZU265" s="1"/>
      <c r="ZV265" s="1"/>
      <c r="ZW265" s="1"/>
      <c r="ZX265" s="1"/>
      <c r="ZY265" s="1"/>
      <c r="ZZ265" s="1"/>
      <c r="AAA265" s="1"/>
      <c r="AAB265" s="1"/>
      <c r="AAC265" s="1"/>
      <c r="AAD265" s="1"/>
      <c r="AAE265" s="1"/>
      <c r="AAF265" s="1"/>
      <c r="AAG265" s="1"/>
      <c r="AAH265" s="1"/>
      <c r="AAI265" s="1"/>
      <c r="AAJ265" s="1"/>
      <c r="AAK265" s="1"/>
      <c r="AAL265" s="1"/>
      <c r="AAM265" s="1"/>
      <c r="AAN265" s="1"/>
      <c r="AAO265" s="1"/>
      <c r="AAP265" s="1"/>
      <c r="AAQ265" s="1"/>
      <c r="AAR265" s="1"/>
      <c r="AAS265" s="1"/>
      <c r="AAT265" s="1"/>
      <c r="AAU265" s="1"/>
      <c r="AAV265" s="1"/>
      <c r="AAW265" s="1"/>
      <c r="AAX265" s="1"/>
      <c r="AAY265" s="1"/>
      <c r="AAZ265" s="1"/>
      <c r="ABA265" s="1"/>
      <c r="ABB265" s="1"/>
      <c r="ABC265" s="1"/>
      <c r="ABD265" s="1"/>
      <c r="ABE265" s="1"/>
      <c r="ABF265" s="1"/>
      <c r="ABG265" s="1"/>
      <c r="ABH265" s="1"/>
      <c r="ABI265" s="1"/>
      <c r="ABJ265" s="1"/>
      <c r="ABK265" s="1"/>
      <c r="ABL265" s="1"/>
      <c r="ABM265" s="1"/>
      <c r="ABN265" s="1"/>
      <c r="ABO265" s="1"/>
      <c r="ABP265" s="1"/>
      <c r="ABQ265" s="1"/>
      <c r="ABR265" s="1"/>
      <c r="ABS265" s="1"/>
      <c r="ABT265" s="1"/>
      <c r="ABU265" s="1"/>
      <c r="ABV265" s="1"/>
      <c r="ABW265" s="1"/>
      <c r="ABX265" s="1"/>
      <c r="ABY265" s="1"/>
      <c r="ABZ265" s="1"/>
      <c r="ACA265" s="1"/>
      <c r="ACB265" s="1"/>
      <c r="ACC265" s="1"/>
      <c r="ACD265" s="1"/>
      <c r="ACE265" s="1"/>
      <c r="ACF265" s="1"/>
      <c r="ACG265" s="1"/>
      <c r="ACH265" s="1"/>
      <c r="ACI265" s="1"/>
      <c r="ACJ265" s="1"/>
      <c r="ACK265" s="1"/>
      <c r="ACL265" s="1"/>
      <c r="ACM265" s="1"/>
      <c r="ACN265" s="1"/>
      <c r="ACO265" s="1"/>
      <c r="ACP265" s="1"/>
      <c r="ACQ265" s="1"/>
      <c r="ACR265" s="1"/>
      <c r="ACS265" s="1"/>
      <c r="ACT265" s="1"/>
      <c r="ACU265" s="1"/>
      <c r="ACV265" s="1"/>
      <c r="ACW265" s="1"/>
      <c r="ACX265" s="1"/>
      <c r="ACY265" s="1"/>
      <c r="ACZ265" s="1"/>
      <c r="ADA265" s="1"/>
      <c r="ADB265" s="1"/>
      <c r="ADC265" s="1"/>
      <c r="ADD265" s="1"/>
      <c r="ADE265" s="1"/>
      <c r="ADF265" s="1"/>
      <c r="ADG265" s="1"/>
      <c r="ADH265" s="1"/>
      <c r="ADI265" s="1"/>
      <c r="ADJ265" s="1"/>
      <c r="ADK265" s="1"/>
      <c r="ADL265" s="1"/>
      <c r="ADM265" s="1"/>
      <c r="ADN265" s="1"/>
      <c r="ADO265" s="1"/>
      <c r="ADP265" s="1"/>
      <c r="ADQ265" s="1"/>
      <c r="ADR265" s="1"/>
      <c r="ADS265" s="1"/>
      <c r="ADT265" s="1"/>
      <c r="ADU265" s="1"/>
      <c r="ADV265" s="1"/>
      <c r="ADW265" s="1"/>
      <c r="ADX265" s="1"/>
      <c r="ADY265" s="1"/>
      <c r="ADZ265" s="1"/>
      <c r="AEA265" s="1"/>
      <c r="AEB265" s="1"/>
      <c r="AEC265" s="1"/>
      <c r="AED265" s="1"/>
      <c r="AEE265" s="1"/>
      <c r="AEF265" s="1"/>
      <c r="AEG265" s="1"/>
      <c r="AEH265" s="1"/>
      <c r="AEI265" s="1"/>
      <c r="AEJ265" s="1"/>
      <c r="AEK265" s="1"/>
      <c r="AEL265" s="1"/>
      <c r="AEM265" s="1"/>
      <c r="AEN265" s="1"/>
      <c r="AEO265" s="1"/>
      <c r="AEP265" s="1"/>
      <c r="AEQ265" s="1"/>
      <c r="AER265" s="1"/>
      <c r="AES265" s="1"/>
      <c r="AET265" s="1"/>
      <c r="AEU265" s="1"/>
      <c r="AEV265" s="1"/>
      <c r="AEW265" s="1"/>
      <c r="AEX265" s="1"/>
      <c r="AEY265" s="1"/>
      <c r="AEZ265" s="1"/>
      <c r="AFA265" s="1"/>
      <c r="AFB265" s="1"/>
      <c r="AFC265" s="1"/>
      <c r="AFD265" s="1"/>
      <c r="AFE265" s="1"/>
      <c r="AFF265" s="1"/>
      <c r="AFG265" s="1"/>
      <c r="AFH265" s="1"/>
      <c r="AFI265" s="1"/>
      <c r="AFJ265" s="1"/>
      <c r="AFK265" s="1"/>
      <c r="AFL265" s="1"/>
      <c r="AFM265" s="1"/>
      <c r="AFN265" s="1"/>
      <c r="AFO265" s="1"/>
      <c r="AFP265" s="1"/>
      <c r="AFQ265" s="1"/>
      <c r="AFR265" s="1"/>
      <c r="AFS265" s="1"/>
      <c r="AFT265" s="1"/>
      <c r="AFU265" s="1"/>
      <c r="AFV265" s="1"/>
      <c r="AFW265" s="1"/>
      <c r="AFX265" s="1"/>
      <c r="AFY265" s="1"/>
      <c r="AFZ265" s="1"/>
      <c r="AGA265" s="1"/>
      <c r="AGB265" s="1"/>
      <c r="AGC265" s="1"/>
      <c r="AGD265" s="1"/>
      <c r="AGE265" s="1"/>
      <c r="AGF265" s="1"/>
      <c r="AGG265" s="1"/>
      <c r="AGH265" s="1"/>
      <c r="AGI265" s="1"/>
      <c r="AGJ265" s="1"/>
      <c r="AGK265" s="1"/>
      <c r="AGL265" s="1"/>
      <c r="AGM265" s="1"/>
      <c r="AGN265" s="1"/>
      <c r="AGO265" s="1"/>
      <c r="AGP265" s="1"/>
      <c r="AGQ265" s="1"/>
      <c r="AGR265" s="1"/>
      <c r="AGS265" s="1"/>
      <c r="AGT265" s="1"/>
      <c r="AGU265" s="1"/>
      <c r="AGV265" s="1"/>
      <c r="AGW265" s="1"/>
      <c r="AGX265" s="1"/>
      <c r="AGY265" s="1"/>
      <c r="AGZ265" s="1"/>
      <c r="AHA265" s="1"/>
      <c r="AHB265" s="1"/>
      <c r="AHC265" s="1"/>
      <c r="AHD265" s="1"/>
      <c r="AHE265" s="1"/>
      <c r="AHF265" s="1"/>
      <c r="AHG265" s="1"/>
      <c r="AHH265" s="1"/>
      <c r="AHI265" s="1"/>
      <c r="AHJ265" s="1"/>
      <c r="AHK265" s="1"/>
      <c r="AHL265" s="1"/>
      <c r="AHM265" s="1"/>
      <c r="AHN265" s="1"/>
      <c r="AHO265" s="1"/>
      <c r="AHP265" s="1"/>
      <c r="AHQ265" s="1"/>
      <c r="AHR265" s="1"/>
      <c r="AHS265" s="1"/>
      <c r="AHT265" s="1"/>
      <c r="AHU265" s="1"/>
      <c r="AHV265" s="1"/>
      <c r="AHW265" s="1"/>
      <c r="AHX265" s="1"/>
      <c r="AHY265" s="1"/>
      <c r="AHZ265" s="1"/>
      <c r="AIA265" s="1"/>
      <c r="AIB265" s="1"/>
      <c r="AIC265" s="1"/>
      <c r="AID265" s="1"/>
      <c r="AIE265" s="1"/>
      <c r="AIF265" s="1"/>
      <c r="AIG265" s="1"/>
      <c r="AIH265" s="1"/>
      <c r="AII265" s="1"/>
      <c r="AIJ265" s="1"/>
      <c r="AIK265" s="1"/>
      <c r="AIL265" s="1"/>
      <c r="AIM265" s="1"/>
      <c r="AIN265" s="1"/>
      <c r="AIO265" s="1"/>
      <c r="AIP265" s="1"/>
      <c r="AIQ265" s="1"/>
      <c r="AIR265" s="1"/>
      <c r="AIS265" s="1"/>
      <c r="AIT265" s="1"/>
      <c r="AIU265" s="1"/>
      <c r="AIV265" s="1"/>
      <c r="AIW265" s="1"/>
      <c r="AIX265" s="1"/>
      <c r="AIY265" s="1"/>
      <c r="AIZ265" s="1"/>
      <c r="AJA265" s="1"/>
      <c r="AJB265" s="1"/>
      <c r="AJC265" s="1"/>
      <c r="AJD265" s="1"/>
      <c r="AJE265" s="1"/>
      <c r="AJF265" s="1"/>
      <c r="AJG265" s="1"/>
      <c r="AJH265" s="1"/>
      <c r="AJI265" s="1"/>
      <c r="AJJ265" s="1"/>
      <c r="AJK265" s="1"/>
      <c r="AJL265" s="1"/>
      <c r="AJM265" s="1"/>
      <c r="AJN265" s="1"/>
      <c r="AJO265" s="1"/>
      <c r="AJP265" s="1"/>
      <c r="AJQ265" s="1"/>
      <c r="AJR265" s="1"/>
      <c r="AJS265" s="1"/>
      <c r="AJT265" s="1"/>
      <c r="AJU265" s="1"/>
      <c r="AJV265" s="1"/>
      <c r="AJW265" s="1"/>
      <c r="AJX265" s="1"/>
      <c r="AJY265" s="1"/>
      <c r="AJZ265" s="1"/>
      <c r="AKA265" s="1"/>
      <c r="AKB265" s="1"/>
      <c r="AKC265" s="1"/>
      <c r="AKD265" s="1"/>
      <c r="AKE265" s="1"/>
      <c r="AKF265" s="1"/>
      <c r="AKG265" s="1"/>
      <c r="AKH265" s="1"/>
      <c r="AKI265" s="1"/>
      <c r="AKJ265" s="1"/>
      <c r="AKK265" s="1"/>
      <c r="AKL265" s="1"/>
      <c r="AKM265" s="1"/>
      <c r="AKN265" s="1"/>
      <c r="AKO265" s="1"/>
      <c r="AKP265" s="1"/>
      <c r="AKQ265" s="1"/>
      <c r="AKR265" s="1"/>
      <c r="AKS265" s="1"/>
      <c r="AKT265" s="1"/>
      <c r="AKU265" s="1"/>
      <c r="AKV265" s="1"/>
      <c r="AKW265" s="1"/>
      <c r="AKX265" s="1"/>
      <c r="AKY265" s="1"/>
      <c r="AKZ265" s="1"/>
      <c r="ALA265" s="1"/>
      <c r="ALB265" s="1"/>
      <c r="ALC265" s="1"/>
      <c r="ALD265" s="1"/>
      <c r="ALE265" s="1"/>
      <c r="ALF265" s="1"/>
      <c r="ALG265" s="1"/>
      <c r="ALH265" s="1"/>
      <c r="ALI265" s="1"/>
      <c r="ALJ265" s="1"/>
      <c r="ALK265" s="1"/>
      <c r="ALL265" s="1"/>
      <c r="ALM265" s="1"/>
      <c r="ALN265" s="1"/>
      <c r="ALO265" s="1"/>
      <c r="ALP265" s="1"/>
      <c r="ALQ265" s="1"/>
      <c r="ALR265" s="1"/>
      <c r="ALS265" s="1"/>
      <c r="ALT265" s="1"/>
      <c r="ALU265" s="1"/>
      <c r="ALV265" s="1"/>
      <c r="ALW265" s="1"/>
      <c r="ALX265" s="1"/>
      <c r="ALY265" s="1"/>
      <c r="ALZ265" s="1"/>
      <c r="AMA265" s="1"/>
      <c r="AMB265" s="1"/>
      <c r="AMC265" s="1"/>
      <c r="AMD265" s="1"/>
      <c r="AME265" s="1"/>
      <c r="AMF265" s="1"/>
      <c r="AMG265" s="1"/>
      <c r="AMH265" s="1"/>
      <c r="AMI265" s="1"/>
      <c r="AMJ265" s="1"/>
      <c r="AMK265" s="1"/>
      <c r="AML265" s="1"/>
      <c r="AMM265" s="1"/>
      <c r="AMN265" s="1"/>
      <c r="AMO265" s="1"/>
    </row>
    <row r="266" spans="1:1029" x14ac:dyDescent="0.2">
      <c r="A266" s="3" t="str">
        <f>CONCATENATE(B266,"_",C266)</f>
        <v>npy1r_human_5ZBQ</v>
      </c>
      <c r="B266" s="3" t="s">
        <v>324</v>
      </c>
      <c r="C266" s="3" t="s">
        <v>1483</v>
      </c>
      <c r="D266" s="3" t="str">
        <f>IFERROR(MID(VLOOKUP($B266,Seqs!$A:$B,2,0),E266,1),"")</f>
        <v>P</v>
      </c>
      <c r="E266" s="3">
        <v>36</v>
      </c>
      <c r="F266" s="3" t="str">
        <f>IFERROR(MID(VLOOKUP($B266,Seqs!$A:$B,2,0),G266,1),"")</f>
        <v>Q</v>
      </c>
      <c r="G266" s="3">
        <v>68</v>
      </c>
      <c r="H266" s="3" t="str">
        <f>IFERROR(MID(VLOOKUP($B266,Seqs!$A:$B,2,0),I266,1),"")</f>
        <v/>
      </c>
      <c r="I266" s="23" t="s">
        <v>23</v>
      </c>
      <c r="J266" s="3" t="str">
        <f>IFERROR(MID(VLOOKUP($B266,Seqs!$A:$B,2,0),K266,1),"")</f>
        <v/>
      </c>
      <c r="K266" s="23" t="s">
        <v>23</v>
      </c>
      <c r="L266" s="3" t="str">
        <f>IFERROR(MID(VLOOKUP($B266,Seqs!$A:$B,2,0),M266,1),"")</f>
        <v>V</v>
      </c>
      <c r="M266" s="3">
        <v>74</v>
      </c>
      <c r="N266" s="3" t="str">
        <f>IFERROR(MID(VLOOKUP($B266,Seqs!$A:$B,2,0),O266,1),"")</f>
        <v>D</v>
      </c>
      <c r="O266" s="3">
        <v>104</v>
      </c>
      <c r="P266" s="3" t="str">
        <f>IFERROR(MID(VLOOKUP($B266,Seqs!$A:$B,2,0),Q266,1),"")</f>
        <v>W</v>
      </c>
      <c r="Q266" s="3">
        <v>106</v>
      </c>
      <c r="R266" s="3" t="str">
        <f>IFERROR(MID(VLOOKUP($B266,Seqs!$A:$B,2,0),S266,1),"")</f>
        <v>F</v>
      </c>
      <c r="S266" s="3">
        <v>108</v>
      </c>
      <c r="T266" s="3" t="str">
        <f>IFERROR(MID(VLOOKUP($B266,Seqs!$A:$B,2,0),U266,1),"")</f>
        <v>G</v>
      </c>
      <c r="U266" s="3">
        <v>109</v>
      </c>
      <c r="V266" s="3" t="str">
        <f>IFERROR(MID(VLOOKUP($B266,Seqs!$A:$B,2,0),W266,1),"")</f>
        <v>I</v>
      </c>
      <c r="W266" s="3">
        <v>143</v>
      </c>
      <c r="X266" s="3" t="str">
        <f>IFERROR(MID(VLOOKUP($B266,Seqs!$A:$B,2,0),Y266,1),"")</f>
        <v/>
      </c>
      <c r="Y266" s="3" t="s">
        <v>23</v>
      </c>
      <c r="Z266" s="3" t="str">
        <f>IFERROR(MID(VLOOKUP($B266,Seqs!$A:$B,2,0),AA266,1),"")</f>
        <v/>
      </c>
      <c r="AA266" s="3" t="s">
        <v>23</v>
      </c>
      <c r="AB266" s="3" t="str">
        <f>IFERROR(MID(VLOOKUP($B266,Seqs!$A:$B,2,0),AC266,1),"")</f>
        <v>N</v>
      </c>
      <c r="AC266" s="3">
        <v>151</v>
      </c>
      <c r="AD266" s="3" t="str">
        <f>IFERROR(MID(VLOOKUP($B266,Seqs!$A:$B,2,0),AE266,1),"")</f>
        <v>Q</v>
      </c>
      <c r="AE266" s="3">
        <v>177</v>
      </c>
      <c r="AF266" s="3" t="str">
        <f>IFERROR(MID(VLOOKUP($B266,Seqs!$A:$B,2,0),AG266,1),"")</f>
        <v>C</v>
      </c>
      <c r="AG266" s="3">
        <v>198</v>
      </c>
      <c r="AH266" s="3" t="str">
        <f>IFERROR(MID(VLOOKUP($B266,Seqs!$A:$B,2,0),AI266,1),"")</f>
        <v>D</v>
      </c>
      <c r="AI266" s="3">
        <v>200</v>
      </c>
      <c r="AJ266" s="3" t="str">
        <f>IFERROR(MID(VLOOKUP($B266,Seqs!$A:$B,2,0),AK266,1),"")</f>
        <v>S</v>
      </c>
      <c r="AK266" s="3">
        <v>204</v>
      </c>
      <c r="AL266" s="3" t="str">
        <f>IFERROR(MID(VLOOKUP($B266,Seqs!$A:$B,2,0),AM266,1),"")</f>
        <v>R</v>
      </c>
      <c r="AM266" s="3">
        <v>241</v>
      </c>
      <c r="AN266" s="3" t="str">
        <f>IFERROR(MID(VLOOKUP($B266,Seqs!$A:$B,2,0),AO266,1),"")</f>
        <v>T</v>
      </c>
      <c r="AO266" s="3">
        <v>258</v>
      </c>
      <c r="AP266" s="3" t="str">
        <f>IFERROR(MID(VLOOKUP($B266,Seqs!$A:$B,2,0),AQ266,1),"")</f>
        <v>N</v>
      </c>
      <c r="AQ266" s="3">
        <v>289</v>
      </c>
      <c r="AR266" s="3" t="str">
        <f>IFERROR(MID(VLOOKUP($B266,Seqs!$A:$B,2,0),AS266,1),"")</f>
        <v>T</v>
      </c>
      <c r="AS266" s="3">
        <v>295</v>
      </c>
      <c r="AT266" s="3" t="str">
        <f>IFERROR(MID(VLOOKUP($B266,Seqs!$A:$B,2,0),AU266,1),"")</f>
        <v>L</v>
      </c>
      <c r="AU266" s="3">
        <v>323</v>
      </c>
      <c r="AV266" s="3" t="str">
        <f>IFERROR(MID(VLOOKUP($B266,Seqs!$A:$B,2,0),AW266,1),"")</f>
        <v>N</v>
      </c>
      <c r="AW266" s="3">
        <v>324</v>
      </c>
      <c r="AX266" s="3" t="str">
        <f>IFERROR(MID(VLOOKUP($B266,Seqs!$A:$B,2,0),AY266,1),"")</f>
        <v>F</v>
      </c>
      <c r="AY266" s="3">
        <v>335</v>
      </c>
      <c r="AZ266" s="77" t="str">
        <f>VLOOKUP(B266,Classification!A:D,2,0)</f>
        <v>A</v>
      </c>
      <c r="BA266" s="94" t="str">
        <f>VLOOKUP(B266,Classification!A:D,4,0)</f>
        <v>NeuropeptideY</v>
      </c>
      <c r="BB266" s="27" t="b">
        <f>AND(E266&lt;G266,OR(G266&lt;I266,I266="-"),OR(I266&lt;K266,I266="-"),OR(K266&lt;M266,K266="-"),M266&lt;O266,OR(O266&lt;Q266,Q266="-"),OR(Q266&lt;S266,Q266="-"),OR(S266&lt;U266,S266="-"),U266&lt;W266,OR(W266&lt;Y266,Y266="-"),OR(Y266&lt;AA266,Y266="-"),OR(AA266&lt;AC266,AA266="-"),AC266&lt;AE266,OR(AE266&lt;AG266,AG266="-"),OR(AG266&lt;AI266,AG266="-"),OR(AI266&lt;AK266,AI266="-"),AK266&lt;AM266,AM266&lt;AO266,AO266&lt;AQ266,AQ266&lt;AS266,AS266&lt;AU266,OR(AU266&lt;AW266,AW266="-"),OR(AW266&lt;AY266,AW266="-"))</f>
        <v>1</v>
      </c>
      <c r="BC266" s="23">
        <f>_xlfn.AGGREGATE(9,6,CH266:CS266)-_xlfn.AGGREGATE(9,6,BV266:CG266)+12</f>
        <v>245</v>
      </c>
      <c r="BD266" s="5" t="s">
        <v>23</v>
      </c>
      <c r="BE266" s="3" t="s">
        <v>1368</v>
      </c>
      <c r="BF266" s="118">
        <v>2.7</v>
      </c>
      <c r="BG266" s="49" t="s">
        <v>1</v>
      </c>
      <c r="BH266" s="49" t="s">
        <v>1</v>
      </c>
      <c r="BI266" s="1"/>
      <c r="BJ266" s="70" t="s">
        <v>1281</v>
      </c>
      <c r="BK266" s="57" t="s">
        <v>1281</v>
      </c>
      <c r="BL266" s="57" t="s">
        <v>1281</v>
      </c>
      <c r="BM266" s="57" t="s">
        <v>1281</v>
      </c>
      <c r="BN266" s="57" t="s">
        <v>1281</v>
      </c>
      <c r="BO266" s="57" t="s">
        <v>1281</v>
      </c>
      <c r="BP266" s="57" t="s">
        <v>1281</v>
      </c>
      <c r="BQ266" s="57" t="s">
        <v>1281</v>
      </c>
      <c r="BR266" s="57" t="s">
        <v>1281</v>
      </c>
      <c r="BS266" s="57" t="s">
        <v>1281</v>
      </c>
      <c r="BT266" s="57" t="s">
        <v>1281</v>
      </c>
      <c r="BU266" s="57" t="s">
        <v>1281</v>
      </c>
      <c r="BV266" s="70">
        <f>E266</f>
        <v>36</v>
      </c>
      <c r="BW266" s="71" t="str">
        <f>I266</f>
        <v>-</v>
      </c>
      <c r="BX266" s="72">
        <f>M266</f>
        <v>74</v>
      </c>
      <c r="BY266" s="71">
        <f>Q266</f>
        <v>106</v>
      </c>
      <c r="BZ266" s="72">
        <f>U266</f>
        <v>109</v>
      </c>
      <c r="CA266" s="71" t="str">
        <f>Y266</f>
        <v>-</v>
      </c>
      <c r="CB266" s="72">
        <f>AC266</f>
        <v>151</v>
      </c>
      <c r="CC266" s="71">
        <f>AG266</f>
        <v>198</v>
      </c>
      <c r="CD266" s="72">
        <f>AK266</f>
        <v>204</v>
      </c>
      <c r="CE266" s="71">
        <f>AO266</f>
        <v>258</v>
      </c>
      <c r="CF266" s="72">
        <f>AS266</f>
        <v>295</v>
      </c>
      <c r="CG266" s="71">
        <f>AW266</f>
        <v>324</v>
      </c>
      <c r="CH266" s="70">
        <f>G266</f>
        <v>68</v>
      </c>
      <c r="CI266" s="71" t="str">
        <f>K266</f>
        <v>-</v>
      </c>
      <c r="CJ266" s="72">
        <f>O266</f>
        <v>104</v>
      </c>
      <c r="CK266" s="72">
        <f>S266</f>
        <v>108</v>
      </c>
      <c r="CL266" s="72">
        <f>W266</f>
        <v>143</v>
      </c>
      <c r="CM266" s="72" t="str">
        <f>AA266</f>
        <v>-</v>
      </c>
      <c r="CN266" s="72">
        <f>AE266</f>
        <v>177</v>
      </c>
      <c r="CO266" s="72">
        <f>AI266</f>
        <v>200</v>
      </c>
      <c r="CP266" s="72">
        <f>AM266</f>
        <v>241</v>
      </c>
      <c r="CQ266" s="72">
        <f>AQ266</f>
        <v>289</v>
      </c>
      <c r="CR266" s="72">
        <f>AU266</f>
        <v>323</v>
      </c>
      <c r="CS266" s="72">
        <f>AY266</f>
        <v>335</v>
      </c>
      <c r="CT266" s="23" t="e">
        <f>M266-K266</f>
        <v>#VALUE!</v>
      </c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  <c r="UW266" s="1"/>
      <c r="UX266" s="1"/>
      <c r="UY266" s="1"/>
      <c r="UZ266" s="1"/>
      <c r="VA266" s="1"/>
      <c r="VB266" s="1"/>
      <c r="VC266" s="1"/>
      <c r="VD266" s="1"/>
      <c r="VE266" s="1"/>
      <c r="VF266" s="1"/>
      <c r="VG266" s="1"/>
      <c r="VH266" s="1"/>
      <c r="VI266" s="1"/>
      <c r="VJ266" s="1"/>
      <c r="VK266" s="1"/>
      <c r="VL266" s="1"/>
      <c r="VM266" s="1"/>
      <c r="VN266" s="1"/>
      <c r="VO266" s="1"/>
      <c r="VP266" s="1"/>
      <c r="VQ266" s="1"/>
      <c r="VR266" s="1"/>
      <c r="VS266" s="1"/>
      <c r="VT266" s="1"/>
      <c r="VU266" s="1"/>
      <c r="VV266" s="1"/>
      <c r="VW266" s="1"/>
      <c r="VX266" s="1"/>
      <c r="VY266" s="1"/>
      <c r="VZ266" s="1"/>
      <c r="WA266" s="1"/>
      <c r="WB266" s="1"/>
      <c r="WC266" s="1"/>
      <c r="WD266" s="1"/>
      <c r="WE266" s="1"/>
      <c r="WF266" s="1"/>
      <c r="WG266" s="1"/>
      <c r="WH266" s="1"/>
      <c r="WI266" s="1"/>
      <c r="WJ266" s="1"/>
      <c r="WK266" s="1"/>
      <c r="WL266" s="1"/>
      <c r="WM266" s="1"/>
      <c r="WN266" s="1"/>
      <c r="WO266" s="1"/>
      <c r="WP266" s="1"/>
      <c r="WQ266" s="1"/>
      <c r="WR266" s="1"/>
      <c r="WS266" s="1"/>
      <c r="WT266" s="1"/>
      <c r="WU266" s="1"/>
      <c r="WV266" s="1"/>
      <c r="WW266" s="1"/>
      <c r="WX266" s="1"/>
      <c r="WY266" s="1"/>
      <c r="WZ266" s="1"/>
      <c r="XA266" s="1"/>
      <c r="XB266" s="1"/>
      <c r="XC266" s="1"/>
      <c r="XD266" s="1"/>
      <c r="XE266" s="1"/>
      <c r="XF266" s="1"/>
      <c r="XG266" s="1"/>
      <c r="XH266" s="1"/>
      <c r="XI266" s="1"/>
      <c r="XJ266" s="1"/>
      <c r="XK266" s="1"/>
      <c r="XL266" s="1"/>
      <c r="XM266" s="1"/>
      <c r="XN266" s="1"/>
      <c r="XO266" s="1"/>
      <c r="XP266" s="1"/>
      <c r="XQ266" s="1"/>
      <c r="XR266" s="1"/>
      <c r="XS266" s="1"/>
      <c r="XT266" s="1"/>
      <c r="XU266" s="1"/>
      <c r="XV266" s="1"/>
      <c r="XW266" s="1"/>
      <c r="XX266" s="1"/>
      <c r="XY266" s="1"/>
      <c r="XZ266" s="1"/>
      <c r="YA266" s="1"/>
      <c r="YB266" s="1"/>
      <c r="YC266" s="1"/>
      <c r="YD266" s="1"/>
      <c r="YE266" s="1"/>
      <c r="YF266" s="1"/>
      <c r="YG266" s="1"/>
      <c r="YH266" s="1"/>
      <c r="YI266" s="1"/>
      <c r="YJ266" s="1"/>
      <c r="YK266" s="1"/>
      <c r="YL266" s="1"/>
      <c r="YM266" s="1"/>
      <c r="YN266" s="1"/>
      <c r="YO266" s="1"/>
      <c r="YP266" s="1"/>
      <c r="YQ266" s="1"/>
      <c r="YR266" s="1"/>
      <c r="YS266" s="1"/>
      <c r="YT266" s="1"/>
      <c r="YU266" s="1"/>
      <c r="YV266" s="1"/>
      <c r="YW266" s="1"/>
      <c r="YX266" s="1"/>
      <c r="YY266" s="1"/>
      <c r="YZ266" s="1"/>
      <c r="ZA266" s="1"/>
      <c r="ZB266" s="1"/>
      <c r="ZC266" s="1"/>
      <c r="ZD266" s="1"/>
      <c r="ZE266" s="1"/>
      <c r="ZF266" s="1"/>
      <c r="ZG266" s="1"/>
      <c r="ZH266" s="1"/>
      <c r="ZI266" s="1"/>
      <c r="ZJ266" s="1"/>
      <c r="ZK266" s="1"/>
      <c r="ZL266" s="1"/>
      <c r="ZM266" s="1"/>
      <c r="ZN266" s="1"/>
      <c r="ZO266" s="1"/>
      <c r="ZP266" s="1"/>
      <c r="ZQ266" s="1"/>
      <c r="ZR266" s="1"/>
      <c r="ZS266" s="1"/>
      <c r="ZT266" s="1"/>
      <c r="ZU266" s="1"/>
      <c r="ZV266" s="1"/>
      <c r="ZW266" s="1"/>
      <c r="ZX266" s="1"/>
      <c r="ZY266" s="1"/>
      <c r="ZZ266" s="1"/>
      <c r="AAA266" s="1"/>
      <c r="AAB266" s="1"/>
      <c r="AAC266" s="1"/>
      <c r="AAD266" s="1"/>
      <c r="AAE266" s="1"/>
      <c r="AAF266" s="1"/>
      <c r="AAG266" s="1"/>
      <c r="AAH266" s="1"/>
      <c r="AAI266" s="1"/>
      <c r="AAJ266" s="1"/>
      <c r="AAK266" s="1"/>
      <c r="AAL266" s="1"/>
      <c r="AAM266" s="1"/>
      <c r="AAN266" s="1"/>
      <c r="AAO266" s="1"/>
      <c r="AAP266" s="1"/>
      <c r="AAQ266" s="1"/>
      <c r="AAR266" s="1"/>
      <c r="AAS266" s="1"/>
      <c r="AAT266" s="1"/>
      <c r="AAU266" s="1"/>
      <c r="AAV266" s="1"/>
      <c r="AAW266" s="1"/>
      <c r="AAX266" s="1"/>
      <c r="AAY266" s="1"/>
      <c r="AAZ266" s="1"/>
      <c r="ABA266" s="1"/>
      <c r="ABB266" s="1"/>
      <c r="ABC266" s="1"/>
      <c r="ABD266" s="1"/>
      <c r="ABE266" s="1"/>
      <c r="ABF266" s="1"/>
      <c r="ABG266" s="1"/>
      <c r="ABH266" s="1"/>
      <c r="ABI266" s="1"/>
      <c r="ABJ266" s="1"/>
      <c r="ABK266" s="1"/>
      <c r="ABL266" s="1"/>
      <c r="ABM266" s="1"/>
      <c r="ABN266" s="1"/>
      <c r="ABO266" s="1"/>
      <c r="ABP266" s="1"/>
      <c r="ABQ266" s="1"/>
      <c r="ABR266" s="1"/>
      <c r="ABS266" s="1"/>
      <c r="ABT266" s="1"/>
      <c r="ABU266" s="1"/>
      <c r="ABV266" s="1"/>
      <c r="ABW266" s="1"/>
      <c r="ABX266" s="1"/>
      <c r="ABY266" s="1"/>
      <c r="ABZ266" s="1"/>
      <c r="ACA266" s="1"/>
      <c r="ACB266" s="1"/>
      <c r="ACC266" s="1"/>
      <c r="ACD266" s="1"/>
      <c r="ACE266" s="1"/>
      <c r="ACF266" s="1"/>
      <c r="ACG266" s="1"/>
      <c r="ACH266" s="1"/>
      <c r="ACI266" s="1"/>
      <c r="ACJ266" s="1"/>
      <c r="ACK266" s="1"/>
      <c r="ACL266" s="1"/>
      <c r="ACM266" s="1"/>
      <c r="ACN266" s="1"/>
      <c r="ACO266" s="1"/>
      <c r="ACP266" s="1"/>
      <c r="ACQ266" s="1"/>
      <c r="ACR266" s="1"/>
      <c r="ACS266" s="1"/>
      <c r="ACT266" s="1"/>
      <c r="ACU266" s="1"/>
      <c r="ACV266" s="1"/>
      <c r="ACW266" s="1"/>
      <c r="ACX266" s="1"/>
      <c r="ACY266" s="1"/>
      <c r="ACZ266" s="1"/>
      <c r="ADA266" s="1"/>
      <c r="ADB266" s="1"/>
      <c r="ADC266" s="1"/>
      <c r="ADD266" s="1"/>
      <c r="ADE266" s="1"/>
      <c r="ADF266" s="1"/>
      <c r="ADG266" s="1"/>
      <c r="ADH266" s="1"/>
      <c r="ADI266" s="1"/>
      <c r="ADJ266" s="1"/>
      <c r="ADK266" s="1"/>
      <c r="ADL266" s="1"/>
      <c r="ADM266" s="1"/>
      <c r="ADN266" s="1"/>
      <c r="ADO266" s="1"/>
      <c r="ADP266" s="1"/>
      <c r="ADQ266" s="1"/>
      <c r="ADR266" s="1"/>
      <c r="ADS266" s="1"/>
      <c r="ADT266" s="1"/>
      <c r="ADU266" s="1"/>
      <c r="ADV266" s="1"/>
      <c r="ADW266" s="1"/>
      <c r="ADX266" s="1"/>
      <c r="ADY266" s="1"/>
      <c r="ADZ266" s="1"/>
      <c r="AEA266" s="1"/>
      <c r="AEB266" s="1"/>
      <c r="AEC266" s="1"/>
      <c r="AED266" s="1"/>
      <c r="AEE266" s="1"/>
      <c r="AEF266" s="1"/>
      <c r="AEG266" s="1"/>
      <c r="AEH266" s="1"/>
      <c r="AEI266" s="1"/>
      <c r="AEJ266" s="1"/>
      <c r="AEK266" s="1"/>
      <c r="AEL266" s="1"/>
      <c r="AEM266" s="1"/>
      <c r="AEN266" s="1"/>
      <c r="AEO266" s="1"/>
      <c r="AEP266" s="1"/>
      <c r="AEQ266" s="1"/>
      <c r="AER266" s="1"/>
      <c r="AES266" s="1"/>
      <c r="AET266" s="1"/>
      <c r="AEU266" s="1"/>
      <c r="AEV266" s="1"/>
      <c r="AEW266" s="1"/>
      <c r="AEX266" s="1"/>
      <c r="AEY266" s="1"/>
      <c r="AEZ266" s="1"/>
      <c r="AFA266" s="1"/>
      <c r="AFB266" s="1"/>
      <c r="AFC266" s="1"/>
      <c r="AFD266" s="1"/>
      <c r="AFE266" s="1"/>
      <c r="AFF266" s="1"/>
      <c r="AFG266" s="1"/>
      <c r="AFH266" s="1"/>
      <c r="AFI266" s="1"/>
      <c r="AFJ266" s="1"/>
      <c r="AFK266" s="1"/>
      <c r="AFL266" s="1"/>
      <c r="AFM266" s="1"/>
      <c r="AFN266" s="1"/>
      <c r="AFO266" s="1"/>
      <c r="AFP266" s="1"/>
      <c r="AFQ266" s="1"/>
      <c r="AFR266" s="1"/>
      <c r="AFS266" s="1"/>
      <c r="AFT266" s="1"/>
      <c r="AFU266" s="1"/>
      <c r="AFV266" s="1"/>
      <c r="AFW266" s="1"/>
      <c r="AFX266" s="1"/>
      <c r="AFY266" s="1"/>
      <c r="AFZ266" s="1"/>
      <c r="AGA266" s="1"/>
      <c r="AGB266" s="1"/>
      <c r="AGC266" s="1"/>
      <c r="AGD266" s="1"/>
      <c r="AGE266" s="1"/>
      <c r="AGF266" s="1"/>
      <c r="AGG266" s="1"/>
      <c r="AGH266" s="1"/>
      <c r="AGI266" s="1"/>
      <c r="AGJ266" s="1"/>
      <c r="AGK266" s="1"/>
      <c r="AGL266" s="1"/>
      <c r="AGM266" s="1"/>
      <c r="AGN266" s="1"/>
      <c r="AGO266" s="1"/>
      <c r="AGP266" s="1"/>
      <c r="AGQ266" s="1"/>
      <c r="AGR266" s="1"/>
      <c r="AGS266" s="1"/>
      <c r="AGT266" s="1"/>
      <c r="AGU266" s="1"/>
      <c r="AGV266" s="1"/>
      <c r="AGW266" s="1"/>
      <c r="AGX266" s="1"/>
      <c r="AGY266" s="1"/>
      <c r="AGZ266" s="1"/>
      <c r="AHA266" s="1"/>
      <c r="AHB266" s="1"/>
      <c r="AHC266" s="1"/>
      <c r="AHD266" s="1"/>
      <c r="AHE266" s="1"/>
      <c r="AHF266" s="1"/>
      <c r="AHG266" s="1"/>
      <c r="AHH266" s="1"/>
      <c r="AHI266" s="1"/>
      <c r="AHJ266" s="1"/>
      <c r="AHK266" s="1"/>
      <c r="AHL266" s="1"/>
      <c r="AHM266" s="1"/>
      <c r="AHN266" s="1"/>
      <c r="AHO266" s="1"/>
      <c r="AHP266" s="1"/>
      <c r="AHQ266" s="1"/>
      <c r="AHR266" s="1"/>
      <c r="AHS266" s="1"/>
      <c r="AHT266" s="1"/>
      <c r="AHU266" s="1"/>
      <c r="AHV266" s="1"/>
      <c r="AHW266" s="1"/>
      <c r="AHX266" s="1"/>
      <c r="AHY266" s="1"/>
      <c r="AHZ266" s="1"/>
      <c r="AIA266" s="1"/>
      <c r="AIB266" s="1"/>
      <c r="AIC266" s="1"/>
      <c r="AID266" s="1"/>
      <c r="AIE266" s="1"/>
      <c r="AIF266" s="1"/>
      <c r="AIG266" s="1"/>
      <c r="AIH266" s="1"/>
      <c r="AII266" s="1"/>
      <c r="AIJ266" s="1"/>
      <c r="AIK266" s="1"/>
      <c r="AIL266" s="1"/>
      <c r="AIM266" s="1"/>
      <c r="AIN266" s="1"/>
      <c r="AIO266" s="1"/>
      <c r="AIP266" s="1"/>
      <c r="AIQ266" s="1"/>
      <c r="AIR266" s="1"/>
      <c r="AIS266" s="1"/>
      <c r="AIT266" s="1"/>
      <c r="AIU266" s="1"/>
      <c r="AIV266" s="1"/>
      <c r="AIW266" s="1"/>
      <c r="AIX266" s="1"/>
      <c r="AIY266" s="1"/>
      <c r="AIZ266" s="1"/>
      <c r="AJA266" s="1"/>
      <c r="AJB266" s="1"/>
      <c r="AJC266" s="1"/>
      <c r="AJD266" s="1"/>
      <c r="AJE266" s="1"/>
      <c r="AJF266" s="1"/>
      <c r="AJG266" s="1"/>
      <c r="AJH266" s="1"/>
      <c r="AJI266" s="1"/>
      <c r="AJJ266" s="1"/>
      <c r="AJK266" s="1"/>
      <c r="AJL266" s="1"/>
      <c r="AJM266" s="1"/>
      <c r="AJN266" s="1"/>
      <c r="AJO266" s="1"/>
      <c r="AJP266" s="1"/>
      <c r="AJQ266" s="1"/>
      <c r="AJR266" s="1"/>
      <c r="AJS266" s="1"/>
      <c r="AJT266" s="1"/>
      <c r="AJU266" s="1"/>
      <c r="AJV266" s="1"/>
      <c r="AJW266" s="1"/>
      <c r="AJX266" s="1"/>
      <c r="AJY266" s="1"/>
      <c r="AJZ266" s="1"/>
      <c r="AKA266" s="1"/>
      <c r="AKB266" s="1"/>
      <c r="AKC266" s="1"/>
      <c r="AKD266" s="1"/>
      <c r="AKE266" s="1"/>
      <c r="AKF266" s="1"/>
      <c r="AKG266" s="1"/>
      <c r="AKH266" s="1"/>
      <c r="AKI266" s="1"/>
      <c r="AKJ266" s="1"/>
      <c r="AKK266" s="1"/>
      <c r="AKL266" s="1"/>
      <c r="AKM266" s="1"/>
      <c r="AKN266" s="1"/>
      <c r="AKO266" s="1"/>
      <c r="AKP266" s="1"/>
      <c r="AKQ266" s="1"/>
      <c r="AKR266" s="1"/>
      <c r="AKS266" s="1"/>
      <c r="AKT266" s="1"/>
      <c r="AKU266" s="1"/>
      <c r="AKV266" s="1"/>
      <c r="AKW266" s="1"/>
      <c r="AKX266" s="1"/>
      <c r="AKY266" s="1"/>
      <c r="AKZ266" s="1"/>
      <c r="ALA266" s="1"/>
      <c r="ALB266" s="1"/>
      <c r="ALC266" s="1"/>
      <c r="ALD266" s="1"/>
      <c r="ALE266" s="1"/>
      <c r="ALF266" s="1"/>
      <c r="ALG266" s="1"/>
      <c r="ALH266" s="1"/>
      <c r="ALI266" s="1"/>
      <c r="ALJ266" s="1"/>
      <c r="ALK266" s="1"/>
      <c r="ALL266" s="1"/>
      <c r="ALM266" s="1"/>
      <c r="ALN266" s="1"/>
      <c r="ALO266" s="1"/>
      <c r="ALP266" s="1"/>
      <c r="ALQ266" s="1"/>
      <c r="ALR266" s="1"/>
      <c r="ALS266" s="1"/>
      <c r="ALT266" s="1"/>
      <c r="ALU266" s="1"/>
      <c r="ALV266" s="1"/>
      <c r="ALW266" s="1"/>
      <c r="ALX266" s="1"/>
      <c r="ALY266" s="1"/>
      <c r="ALZ266" s="1"/>
      <c r="AMA266" s="1"/>
      <c r="AMB266" s="1"/>
      <c r="AMC266" s="1"/>
      <c r="AMD266" s="1"/>
      <c r="AME266" s="1"/>
      <c r="AMF266" s="1"/>
      <c r="AMG266" s="1"/>
      <c r="AMH266" s="1"/>
      <c r="AMI266" s="1"/>
      <c r="AMJ266" s="1"/>
      <c r="AMK266" s="1"/>
      <c r="AML266" s="1"/>
      <c r="AMM266" s="1"/>
      <c r="AMN266" s="1"/>
      <c r="AMO266" s="1"/>
    </row>
    <row r="267" spans="1:1029" s="12" customFormat="1" x14ac:dyDescent="0.2">
      <c r="A267" s="9" t="str">
        <f>CONCATENATE(B267,"_",C267)</f>
        <v>ntr1_human__wt</v>
      </c>
      <c r="B267" s="9" t="s">
        <v>127</v>
      </c>
      <c r="C267" s="9" t="s">
        <v>100</v>
      </c>
      <c r="D267" s="9" t="str">
        <f>IFERROR(MID(VLOOKUP($B267,Seqs!$A:$B,2,0),E267,1),"")</f>
        <v>D</v>
      </c>
      <c r="E267" s="9">
        <v>59</v>
      </c>
      <c r="F267" s="9" t="str">
        <f>IFERROR(MID(VLOOKUP($B267,Seqs!$A:$B,2,0),G267,1),"")</f>
        <v>K</v>
      </c>
      <c r="G267" s="9">
        <v>91</v>
      </c>
      <c r="H267" s="9" t="str">
        <f>IFERROR(MID(VLOOKUP($B267,Seqs!$A:$B,2,0),I267,1),"")</f>
        <v>K</v>
      </c>
      <c r="I267" s="109">
        <v>92</v>
      </c>
      <c r="J267" s="9" t="str">
        <f>IFERROR(MID(VLOOKUP($B267,Seqs!$A:$B,2,0),K267,1),"")</f>
        <v>Q</v>
      </c>
      <c r="K267" s="109">
        <v>95</v>
      </c>
      <c r="L267" s="9" t="str">
        <f>IFERROR(MID(VLOOKUP($B267,Seqs!$A:$B,2,0),M267,1),"")</f>
        <v>S</v>
      </c>
      <c r="M267" s="9">
        <v>96</v>
      </c>
      <c r="N267" s="9" t="str">
        <f>IFERROR(MID(VLOOKUP($B267,Seqs!$A:$B,2,0),O267,1),"")</f>
        <v>V</v>
      </c>
      <c r="O267" s="9">
        <v>130</v>
      </c>
      <c r="P267" s="9" t="str">
        <f>IFERROR(MID(VLOOKUP($B267,Seqs!$A:$B,2,0),Q267,1),"")</f>
        <v>P</v>
      </c>
      <c r="Q267" s="9">
        <v>133</v>
      </c>
      <c r="R267" s="9" t="str">
        <f>IFERROR(MID(VLOOKUP($B267,Seqs!$A:$B,2,0),S267,1),"")</f>
        <v>F</v>
      </c>
      <c r="S267" s="9">
        <v>136</v>
      </c>
      <c r="T267" s="9" t="str">
        <f>IFERROR(MID(VLOOKUP($B267,Seqs!$A:$B,2,0),U267,1),"")</f>
        <v>G</v>
      </c>
      <c r="U267" s="9">
        <v>137</v>
      </c>
      <c r="V267" s="9" t="str">
        <f>IFERROR(MID(VLOOKUP($B267,Seqs!$A:$B,2,0),W267,1),"")</f>
        <v>H</v>
      </c>
      <c r="W267" s="9">
        <v>172</v>
      </c>
      <c r="X267" s="9" t="str">
        <f>IFERROR(MID(VLOOKUP($B267,Seqs!$A:$B,2,0),Y267,1),"")</f>
        <v>P</v>
      </c>
      <c r="Y267" s="9">
        <v>173</v>
      </c>
      <c r="Z267" s="9" t="str">
        <f>IFERROR(MID(VLOOKUP($B267,Seqs!$A:$B,2,0),AA267,1),"")</f>
        <v>M</v>
      </c>
      <c r="AA267" s="9">
        <v>180</v>
      </c>
      <c r="AB267" s="9" t="str">
        <f>IFERROR(MID(VLOOKUP($B267,Seqs!$A:$B,2,0),AC267,1),"")</f>
        <v>S</v>
      </c>
      <c r="AC267" s="9">
        <v>181</v>
      </c>
      <c r="AD267" s="9" t="str">
        <f>IFERROR(MID(VLOOKUP($B267,Seqs!$A:$B,2,0),AE267,1),"")</f>
        <v>M</v>
      </c>
      <c r="AE267" s="9">
        <v>207</v>
      </c>
      <c r="AF267" s="9" t="str">
        <f>IFERROR(MID(VLOOKUP($B267,Seqs!$A:$B,2,0),AG267,1),"")</f>
        <v>C</v>
      </c>
      <c r="AG267" s="9">
        <v>224</v>
      </c>
      <c r="AH267" s="9" t="str">
        <f>IFERROR(MID(VLOOKUP($B267,Seqs!$A:$B,2,0),AI267,1),"")</f>
        <v>P</v>
      </c>
      <c r="AI267" s="9">
        <v>226</v>
      </c>
      <c r="AJ267" s="9" t="str">
        <f>IFERROR(MID(VLOOKUP($B267,Seqs!$A:$B,2,0),AK267,1),"")</f>
        <v>H</v>
      </c>
      <c r="AK267" s="9">
        <v>229</v>
      </c>
      <c r="AL267" s="9" t="str">
        <f>IFERROR(MID(VLOOKUP($B267,Seqs!$A:$B,2,0),AM267,1),"")</f>
        <v>G</v>
      </c>
      <c r="AM267" s="9">
        <v>274</v>
      </c>
      <c r="AN267" s="9" t="str">
        <f>IFERROR(MID(VLOOKUP($B267,Seqs!$A:$B,2,0),AO267,1),"")</f>
        <v>P</v>
      </c>
      <c r="AO267" s="9">
        <v>292</v>
      </c>
      <c r="AP267" s="9" t="str">
        <f>IFERROR(MID(VLOOKUP($B267,Seqs!$A:$B,2,0),AQ267,1),"")</f>
        <v>I</v>
      </c>
      <c r="AQ267" s="9">
        <v>329</v>
      </c>
      <c r="AR267" s="9" t="str">
        <f>IFERROR(MID(VLOOKUP($B267,Seqs!$A:$B,2,0),AS267,1),"")</f>
        <v>T</v>
      </c>
      <c r="AS267" s="9">
        <v>335</v>
      </c>
      <c r="AT267" s="9" t="str">
        <f>IFERROR(MID(VLOOKUP($B267,Seqs!$A:$B,2,0),AU267,1),"")</f>
        <v>V</v>
      </c>
      <c r="AU267" s="9">
        <v>367</v>
      </c>
      <c r="AV267" s="9" t="str">
        <f>IFERROR(MID(VLOOKUP($B267,Seqs!$A:$B,2,0),AW267,1),"")</f>
        <v>S</v>
      </c>
      <c r="AW267" s="9">
        <v>368</v>
      </c>
      <c r="AX267" s="9" t="str">
        <f>IFERROR(MID(VLOOKUP($B267,Seqs!$A:$B,2,0),AY267,1),"")</f>
        <v>C</v>
      </c>
      <c r="AY267" s="9">
        <v>383</v>
      </c>
      <c r="AZ267" s="110" t="str">
        <f>VLOOKUP(B267,Classification!A:D,2,0)</f>
        <v>A</v>
      </c>
      <c r="BA267" s="98" t="str">
        <f>VLOOKUP(B267,Classification!A:D,4,0)</f>
        <v>Neurotensin</v>
      </c>
      <c r="BB267" s="36" t="b">
        <f t="shared" ref="BB267" si="1104">AND(E267&lt;G267,OR(G267&lt;I267,I267="-"),OR(I267&lt;K267,I267="-"),OR(K267&lt;M267,K267="-"),M267&lt;O267,OR(O267&lt;Q267,Q267="-"),OR(Q267&lt;S267,Q267="-"),OR(S267&lt;U267,S267="-"),U267&lt;W267,OR(W267&lt;Y267,Y267="-"),OR(Y267&lt;AA267,Y267="-"),OR(AA267&lt;AC267,AA267="-"),AC267&lt;AE267,OR(AE267&lt;AG267,AG267="-"),OR(AG267&lt;AI267,AG267="-"),OR(AI267&lt;AK267,AI267="-"),AK267&lt;AM267,AM267&lt;AO267,AO267&lt;AQ267,AQ267&lt;AS267,AS267&lt;AU267,OR(AU267&lt;AW267,AW267="-"),OR(AW267&lt;AY267,AW267="-"))</f>
        <v>1</v>
      </c>
      <c r="BC267" s="109" t="s">
        <v>23</v>
      </c>
      <c r="BD267" s="129" t="s">
        <v>23</v>
      </c>
      <c r="BE267" s="9" t="s">
        <v>23</v>
      </c>
      <c r="BF267" s="119" t="s">
        <v>23</v>
      </c>
      <c r="BG267" s="51" t="s">
        <v>1366</v>
      </c>
      <c r="BH267" s="51" t="s">
        <v>1371</v>
      </c>
      <c r="BI267" s="9"/>
      <c r="BJ267" s="111" t="s">
        <v>1281</v>
      </c>
      <c r="BK267" s="112" t="s">
        <v>1281</v>
      </c>
      <c r="BL267" s="112" t="s">
        <v>1281</v>
      </c>
      <c r="BM267" s="112" t="s">
        <v>1281</v>
      </c>
      <c r="BN267" s="112" t="s">
        <v>1281</v>
      </c>
      <c r="BO267" s="112" t="s">
        <v>1281</v>
      </c>
      <c r="BP267" s="112" t="s">
        <v>1281</v>
      </c>
      <c r="BQ267" s="112" t="s">
        <v>1281</v>
      </c>
      <c r="BR267" s="112" t="s">
        <v>1281</v>
      </c>
      <c r="BS267" s="112" t="s">
        <v>1281</v>
      </c>
      <c r="BT267" s="112" t="s">
        <v>1281</v>
      </c>
      <c r="BU267" s="112" t="s">
        <v>1281</v>
      </c>
      <c r="BV267" s="111">
        <f>E267</f>
        <v>59</v>
      </c>
      <c r="BW267" s="113">
        <f>I267</f>
        <v>92</v>
      </c>
      <c r="BX267" s="114">
        <f>M267</f>
        <v>96</v>
      </c>
      <c r="BY267" s="113">
        <f>Q267</f>
        <v>133</v>
      </c>
      <c r="BZ267" s="114">
        <f>U267</f>
        <v>137</v>
      </c>
      <c r="CA267" s="113">
        <f>Y267</f>
        <v>173</v>
      </c>
      <c r="CB267" s="114">
        <f>AC267</f>
        <v>181</v>
      </c>
      <c r="CC267" s="113">
        <f>AG267</f>
        <v>224</v>
      </c>
      <c r="CD267" s="114">
        <f>AK267</f>
        <v>229</v>
      </c>
      <c r="CE267" s="113">
        <f>AO267</f>
        <v>292</v>
      </c>
      <c r="CF267" s="114">
        <f>AS267</f>
        <v>335</v>
      </c>
      <c r="CG267" s="113">
        <f>AW267</f>
        <v>368</v>
      </c>
      <c r="CH267" s="111">
        <f>G267</f>
        <v>91</v>
      </c>
      <c r="CI267" s="113">
        <f>K267</f>
        <v>95</v>
      </c>
      <c r="CJ267" s="114">
        <f>O267</f>
        <v>130</v>
      </c>
      <c r="CK267" s="114">
        <f>S267</f>
        <v>136</v>
      </c>
      <c r="CL267" s="114">
        <f>W267</f>
        <v>172</v>
      </c>
      <c r="CM267" s="114">
        <f>AA267</f>
        <v>180</v>
      </c>
      <c r="CN267" s="114">
        <f>AE267</f>
        <v>207</v>
      </c>
      <c r="CO267" s="114">
        <f>AI267</f>
        <v>226</v>
      </c>
      <c r="CP267" s="114">
        <f>AM267</f>
        <v>274</v>
      </c>
      <c r="CQ267" s="114">
        <f>AQ267</f>
        <v>329</v>
      </c>
      <c r="CR267" s="114">
        <f>AU267</f>
        <v>367</v>
      </c>
      <c r="CS267" s="114">
        <f>AY267</f>
        <v>383</v>
      </c>
      <c r="CT267" s="109">
        <f>M267-K267</f>
        <v>1</v>
      </c>
    </row>
    <row r="268" spans="1:1029" s="12" customFormat="1" x14ac:dyDescent="0.2">
      <c r="A268" s="9" t="str">
        <f>CONCATENATE(B268,"_",C268)</f>
        <v>ntr1_human_6OS9</v>
      </c>
      <c r="B268" s="9" t="s">
        <v>127</v>
      </c>
      <c r="C268" s="9" t="s">
        <v>1577</v>
      </c>
      <c r="D268" s="9" t="str">
        <f>IFERROR(MID(VLOOKUP($B268,Seqs!$A:$B,2,0),E268,1),"")</f>
        <v>D</v>
      </c>
      <c r="E268" s="9">
        <v>59</v>
      </c>
      <c r="F268" s="9" t="str">
        <f>IFERROR(MID(VLOOKUP($B268,Seqs!$A:$B,2,0),G268,1),"")</f>
        <v>K</v>
      </c>
      <c r="G268" s="9">
        <v>91</v>
      </c>
      <c r="H268" s="9" t="str">
        <f>IFERROR(MID(VLOOKUP($B268,Seqs!$A:$B,2,0),I268,1),"")</f>
        <v/>
      </c>
      <c r="I268" s="109" t="s">
        <v>23</v>
      </c>
      <c r="J268" s="9" t="str">
        <f>IFERROR(MID(VLOOKUP($B268,Seqs!$A:$B,2,0),K268,1),"")</f>
        <v/>
      </c>
      <c r="K268" s="109" t="s">
        <v>23</v>
      </c>
      <c r="L268" s="9" t="str">
        <f>IFERROR(MID(VLOOKUP($B268,Seqs!$A:$B,2,0),M268,1),"")</f>
        <v>Q</v>
      </c>
      <c r="M268" s="9">
        <v>98</v>
      </c>
      <c r="N268" s="9" t="str">
        <f>IFERROR(MID(VLOOKUP($B268,Seqs!$A:$B,2,0),O268,1),"")</f>
        <v>V</v>
      </c>
      <c r="O268" s="9">
        <v>130</v>
      </c>
      <c r="P268" s="9" t="str">
        <f>IFERROR(MID(VLOOKUP($B268,Seqs!$A:$B,2,0),Q268,1),"")</f>
        <v>P</v>
      </c>
      <c r="Q268" s="9">
        <v>133</v>
      </c>
      <c r="R268" s="9" t="str">
        <f>IFERROR(MID(VLOOKUP($B268,Seqs!$A:$B,2,0),S268,1),"")</f>
        <v>F</v>
      </c>
      <c r="S268" s="9">
        <v>136</v>
      </c>
      <c r="T268" s="9" t="str">
        <f>IFERROR(MID(VLOOKUP($B268,Seqs!$A:$B,2,0),U268,1),"")</f>
        <v>G</v>
      </c>
      <c r="U268" s="9">
        <v>137</v>
      </c>
      <c r="V268" s="9" t="str">
        <f>IFERROR(MID(VLOOKUP($B268,Seqs!$A:$B,2,0),W268,1),"")</f>
        <v>H</v>
      </c>
      <c r="W268" s="9">
        <v>172</v>
      </c>
      <c r="X268" s="9" t="str">
        <f>IFERROR(MID(VLOOKUP($B268,Seqs!$A:$B,2,0),Y268,1),"")</f>
        <v>P</v>
      </c>
      <c r="Y268" s="9">
        <v>173</v>
      </c>
      <c r="Z268" s="9" t="str">
        <f>IFERROR(MID(VLOOKUP($B268,Seqs!$A:$B,2,0),AA268,1),"")</f>
        <v>M</v>
      </c>
      <c r="AA268" s="9">
        <v>180</v>
      </c>
      <c r="AB268" s="9" t="str">
        <f>IFERROR(MID(VLOOKUP($B268,Seqs!$A:$B,2,0),AC268,1),"")</f>
        <v>S</v>
      </c>
      <c r="AC268" s="9">
        <v>181</v>
      </c>
      <c r="AD268" s="9" t="str">
        <f>IFERROR(MID(VLOOKUP($B268,Seqs!$A:$B,2,0),AE268,1),"")</f>
        <v>L</v>
      </c>
      <c r="AE268" s="9">
        <v>204</v>
      </c>
      <c r="AF268" s="9" t="str">
        <f>IFERROR(MID(VLOOKUP($B268,Seqs!$A:$B,2,0),AG268,1),"")</f>
        <v>C</v>
      </c>
      <c r="AG268" s="9">
        <v>224</v>
      </c>
      <c r="AH268" s="9" t="str">
        <f>IFERROR(MID(VLOOKUP($B268,Seqs!$A:$B,2,0),AI268,1),"")</f>
        <v>P</v>
      </c>
      <c r="AI268" s="9">
        <v>226</v>
      </c>
      <c r="AJ268" s="9" t="str">
        <f>IFERROR(MID(VLOOKUP($B268,Seqs!$A:$B,2,0),AK268,1),"")</f>
        <v>H</v>
      </c>
      <c r="AK268" s="9">
        <v>229</v>
      </c>
      <c r="AL268" s="9" t="str">
        <f>IFERROR(MID(VLOOKUP($B268,Seqs!$A:$B,2,0),AM268,1),"")</f>
        <v>E</v>
      </c>
      <c r="AM268" s="9">
        <v>272</v>
      </c>
      <c r="AN268" s="9" t="str">
        <f>IFERROR(MID(VLOOKUP($B268,Seqs!$A:$B,2,0),AO268,1),"")</f>
        <v>V</v>
      </c>
      <c r="AO268" s="9">
        <v>295</v>
      </c>
      <c r="AP268" s="9" t="str">
        <f>IFERROR(MID(VLOOKUP($B268,Seqs!$A:$B,2,0),AQ268,1),"")</f>
        <v>I</v>
      </c>
      <c r="AQ268" s="9">
        <v>329</v>
      </c>
      <c r="AR268" s="9" t="str">
        <f>IFERROR(MID(VLOOKUP($B268,Seqs!$A:$B,2,0),AS268,1),"")</f>
        <v>T</v>
      </c>
      <c r="AS268" s="9">
        <v>335</v>
      </c>
      <c r="AT268" s="9" t="str">
        <f>IFERROR(MID(VLOOKUP($B268,Seqs!$A:$B,2,0),AU268,1),"")</f>
        <v>L</v>
      </c>
      <c r="AU268" s="9">
        <v>366</v>
      </c>
      <c r="AV268" s="9" t="str">
        <f>IFERROR(MID(VLOOKUP($B268,Seqs!$A:$B,2,0),AW268,1),"")</f>
        <v/>
      </c>
      <c r="AW268" s="9" t="s">
        <v>23</v>
      </c>
      <c r="AX268" s="9" t="str">
        <f>IFERROR(MID(VLOOKUP($B268,Seqs!$A:$B,2,0),AY268,1),"")</f>
        <v/>
      </c>
      <c r="AY268" s="9" t="s">
        <v>23</v>
      </c>
      <c r="AZ268" s="110" t="str">
        <f>VLOOKUP(B268,Classification!A:D,2,0)</f>
        <v>A</v>
      </c>
      <c r="BA268" s="98" t="str">
        <f>VLOOKUP(B268,Classification!A:D,4,0)</f>
        <v>Neurotensin</v>
      </c>
      <c r="BB268" s="36" t="b">
        <f t="shared" ref="BB268" si="1105">AND(E268&lt;G268,OR(G268&lt;I268,I268="-"),OR(I268&lt;K268,I268="-"),OR(K268&lt;M268,K268="-"),M268&lt;O268,OR(O268&lt;Q268,Q268="-"),OR(Q268&lt;S268,Q268="-"),OR(S268&lt;U268,S268="-"),U268&lt;W268,OR(W268&lt;Y268,Y268="-"),OR(Y268&lt;AA268,Y268="-"),OR(AA268&lt;AC268,AA268="-"),AC268&lt;AE268,OR(AE268&lt;AG268,AG268="-"),OR(AG268&lt;AI268,AG268="-"),OR(AI268&lt;AK268,AI268="-"),AK268&lt;AM268,AM268&lt;AO268,AO268&lt;AQ268,AQ268&lt;AS268,AS268&lt;AU268,OR(AU268&lt;AW268,AW268="-"),OR(AW268&lt;AY268,AW268="-"))</f>
        <v>1</v>
      </c>
      <c r="BC268" s="109">
        <f t="shared" ref="BC268" si="1106">_xlfn.AGGREGATE(9,6,CH268:CS268)-_xlfn.AGGREGATE(9,6,BV268:CG268)+12</f>
        <v>254</v>
      </c>
      <c r="BD268" s="129" t="s">
        <v>23</v>
      </c>
      <c r="BE268" s="9" t="s">
        <v>1422</v>
      </c>
      <c r="BF268" s="119">
        <v>3</v>
      </c>
      <c r="BG268" s="51" t="s">
        <v>1416</v>
      </c>
      <c r="BH268" s="51" t="s">
        <v>1416</v>
      </c>
      <c r="BI268" s="9"/>
      <c r="BJ268" s="111" t="s">
        <v>1281</v>
      </c>
      <c r="BK268" s="112" t="s">
        <v>1281</v>
      </c>
      <c r="BL268" s="112" t="s">
        <v>1281</v>
      </c>
      <c r="BM268" s="112" t="s">
        <v>1281</v>
      </c>
      <c r="BN268" s="112" t="s">
        <v>1281</v>
      </c>
      <c r="BO268" s="112" t="s">
        <v>1281</v>
      </c>
      <c r="BP268" s="112" t="s">
        <v>1281</v>
      </c>
      <c r="BQ268" s="112" t="s">
        <v>1281</v>
      </c>
      <c r="BR268" s="112" t="s">
        <v>1281</v>
      </c>
      <c r="BS268" s="112" t="s">
        <v>1281</v>
      </c>
      <c r="BT268" s="112" t="s">
        <v>1281</v>
      </c>
      <c r="BU268" s="112" t="s">
        <v>1281</v>
      </c>
      <c r="BV268" s="111">
        <f>E268</f>
        <v>59</v>
      </c>
      <c r="BW268" s="113" t="str">
        <f>I268</f>
        <v>-</v>
      </c>
      <c r="BX268" s="114">
        <f>M268</f>
        <v>98</v>
      </c>
      <c r="BY268" s="113">
        <f>Q268</f>
        <v>133</v>
      </c>
      <c r="BZ268" s="114">
        <f>U268</f>
        <v>137</v>
      </c>
      <c r="CA268" s="113">
        <f>Y268</f>
        <v>173</v>
      </c>
      <c r="CB268" s="114">
        <f>AC268</f>
        <v>181</v>
      </c>
      <c r="CC268" s="113">
        <f>AG268</f>
        <v>224</v>
      </c>
      <c r="CD268" s="114">
        <f>AK268</f>
        <v>229</v>
      </c>
      <c r="CE268" s="113">
        <f>AO268</f>
        <v>295</v>
      </c>
      <c r="CF268" s="114">
        <f>AS268</f>
        <v>335</v>
      </c>
      <c r="CG268" s="113" t="str">
        <f>AW268</f>
        <v>-</v>
      </c>
      <c r="CH268" s="111">
        <f>G268</f>
        <v>91</v>
      </c>
      <c r="CI268" s="113" t="str">
        <f>K268</f>
        <v>-</v>
      </c>
      <c r="CJ268" s="114">
        <f>O268</f>
        <v>130</v>
      </c>
      <c r="CK268" s="114">
        <f>S268</f>
        <v>136</v>
      </c>
      <c r="CL268" s="114">
        <f>W268</f>
        <v>172</v>
      </c>
      <c r="CM268" s="114">
        <f>AA268</f>
        <v>180</v>
      </c>
      <c r="CN268" s="114">
        <f>AE268</f>
        <v>204</v>
      </c>
      <c r="CO268" s="114">
        <f>AI268</f>
        <v>226</v>
      </c>
      <c r="CP268" s="114">
        <f>AM268</f>
        <v>272</v>
      </c>
      <c r="CQ268" s="114">
        <f>AQ268</f>
        <v>329</v>
      </c>
      <c r="CR268" s="114">
        <f>AU268</f>
        <v>366</v>
      </c>
      <c r="CS268" s="114" t="str">
        <f>AY268</f>
        <v>-</v>
      </c>
      <c r="CT268" s="109" t="e">
        <f>M268-K268</f>
        <v>#VALUE!</v>
      </c>
    </row>
    <row r="269" spans="1:1029" s="12" customFormat="1" x14ac:dyDescent="0.2">
      <c r="A269" s="9" t="str">
        <f>CONCATENATE(B269,"_",C269)</f>
        <v>ntr1_human_6OSA</v>
      </c>
      <c r="B269" s="9" t="s">
        <v>127</v>
      </c>
      <c r="C269" s="9" t="s">
        <v>1578</v>
      </c>
      <c r="D269" s="9" t="str">
        <f>IFERROR(MID(VLOOKUP($B269,Seqs!$A:$B,2,0),E269,1),"")</f>
        <v>D</v>
      </c>
      <c r="E269" s="9">
        <v>59</v>
      </c>
      <c r="F269" s="9" t="str">
        <f>IFERROR(MID(VLOOKUP($B269,Seqs!$A:$B,2,0),G269,1),"")</f>
        <v>K</v>
      </c>
      <c r="G269" s="9">
        <v>91</v>
      </c>
      <c r="H269" s="9" t="str">
        <f>IFERROR(MID(VLOOKUP($B269,Seqs!$A:$B,2,0),I269,1),"")</f>
        <v/>
      </c>
      <c r="I269" s="109" t="s">
        <v>23</v>
      </c>
      <c r="J269" s="9" t="str">
        <f>IFERROR(MID(VLOOKUP($B269,Seqs!$A:$B,2,0),K269,1),"")</f>
        <v/>
      </c>
      <c r="K269" s="109" t="s">
        <v>23</v>
      </c>
      <c r="L269" s="9" t="str">
        <f>IFERROR(MID(VLOOKUP($B269,Seqs!$A:$B,2,0),M269,1),"")</f>
        <v>L</v>
      </c>
      <c r="M269" s="9">
        <v>97</v>
      </c>
      <c r="N269" s="9" t="str">
        <f>IFERROR(MID(VLOOKUP($B269,Seqs!$A:$B,2,0),O269,1),"")</f>
        <v>V</v>
      </c>
      <c r="O269" s="9">
        <v>130</v>
      </c>
      <c r="P269" s="9" t="str">
        <f>IFERROR(MID(VLOOKUP($B269,Seqs!$A:$B,2,0),Q269,1),"")</f>
        <v>P</v>
      </c>
      <c r="Q269" s="9">
        <v>133</v>
      </c>
      <c r="R269" s="9" t="str">
        <f>IFERROR(MID(VLOOKUP($B269,Seqs!$A:$B,2,0),S269,1),"")</f>
        <v>F</v>
      </c>
      <c r="S269" s="9">
        <v>136</v>
      </c>
      <c r="T269" s="9" t="str">
        <f>IFERROR(MID(VLOOKUP($B269,Seqs!$A:$B,2,0),U269,1),"")</f>
        <v>A</v>
      </c>
      <c r="U269" s="9">
        <v>139</v>
      </c>
      <c r="V269" s="9" t="str">
        <f>IFERROR(MID(VLOOKUP($B269,Seqs!$A:$B,2,0),W269,1),"")</f>
        <v>C</v>
      </c>
      <c r="W269" s="9">
        <v>171</v>
      </c>
      <c r="X269" s="9" t="str">
        <f>IFERROR(MID(VLOOKUP($B269,Seqs!$A:$B,2,0),Y269,1),"")</f>
        <v>P</v>
      </c>
      <c r="Y269" s="9">
        <v>173</v>
      </c>
      <c r="Z269" s="9" t="str">
        <f>IFERROR(MID(VLOOKUP($B269,Seqs!$A:$B,2,0),AA269,1),"")</f>
        <v>M</v>
      </c>
      <c r="AA269" s="9">
        <v>180</v>
      </c>
      <c r="AB269" s="9" t="str">
        <f>IFERROR(MID(VLOOKUP($B269,Seqs!$A:$B,2,0),AC269,1),"")</f>
        <v>S</v>
      </c>
      <c r="AC269" s="9">
        <v>181</v>
      </c>
      <c r="AD269" s="9" t="str">
        <f>IFERROR(MID(VLOOKUP($B269,Seqs!$A:$B,2,0),AE269,1),"")</f>
        <v>M</v>
      </c>
      <c r="AE269" s="9">
        <v>207</v>
      </c>
      <c r="AF269" s="9" t="str">
        <f>IFERROR(MID(VLOOKUP($B269,Seqs!$A:$B,2,0),AG269,1),"")</f>
        <v>C</v>
      </c>
      <c r="AG269" s="9">
        <v>224</v>
      </c>
      <c r="AH269" s="9" t="str">
        <f>IFERROR(MID(VLOOKUP($B269,Seqs!$A:$B,2,0),AI269,1),"")</f>
        <v>P</v>
      </c>
      <c r="AI269" s="9">
        <v>226</v>
      </c>
      <c r="AJ269" s="9" t="str">
        <f>IFERROR(MID(VLOOKUP($B269,Seqs!$A:$B,2,0),AK269,1),"")</f>
        <v>H</v>
      </c>
      <c r="AK269" s="9">
        <v>229</v>
      </c>
      <c r="AL269" s="9" t="str">
        <f>IFERROR(MID(VLOOKUP($B269,Seqs!$A:$B,2,0),AM269,1),"")</f>
        <v>Q</v>
      </c>
      <c r="AM269" s="9">
        <v>273</v>
      </c>
      <c r="AN269" s="9" t="str">
        <f>IFERROR(MID(VLOOKUP($B269,Seqs!$A:$B,2,0),AO269,1),"")</f>
        <v>G</v>
      </c>
      <c r="AO269" s="9">
        <v>280</v>
      </c>
      <c r="AP269" s="9" t="str">
        <f>IFERROR(MID(VLOOKUP($B269,Seqs!$A:$B,2,0),AQ269,1),"")</f>
        <v>Y</v>
      </c>
      <c r="AQ269" s="9">
        <v>328</v>
      </c>
      <c r="AR269" s="9" t="str">
        <f>IFERROR(MID(VLOOKUP($B269,Seqs!$A:$B,2,0),AS269,1),"")</f>
        <v>T</v>
      </c>
      <c r="AS269" s="9">
        <v>335</v>
      </c>
      <c r="AT269" s="9" t="str">
        <f>IFERROR(MID(VLOOKUP($B269,Seqs!$A:$B,2,0),AU269,1),"")</f>
        <v>V</v>
      </c>
      <c r="AU269" s="9">
        <v>367</v>
      </c>
      <c r="AV269" s="9" t="str">
        <f>IFERROR(MID(VLOOKUP($B269,Seqs!$A:$B,2,0),AW269,1),"")</f>
        <v>S</v>
      </c>
      <c r="AW269" s="9">
        <v>368</v>
      </c>
      <c r="AX269" s="9" t="str">
        <f>IFERROR(MID(VLOOKUP($B269,Seqs!$A:$B,2,0),AY269,1),"")</f>
        <v>C</v>
      </c>
      <c r="AY269" s="9">
        <v>383</v>
      </c>
      <c r="AZ269" s="110" t="str">
        <f>VLOOKUP(B269,Classification!A:D,2,0)</f>
        <v>A</v>
      </c>
      <c r="BA269" s="98" t="str">
        <f>VLOOKUP(B269,Classification!A:D,4,0)</f>
        <v>Neurotensin</v>
      </c>
      <c r="BB269" s="36" t="b">
        <f t="shared" ref="BB269" si="1107">AND(E269&lt;G269,OR(G269&lt;I269,I269="-"),OR(I269&lt;K269,I269="-"),OR(K269&lt;M269,K269="-"),M269&lt;O269,OR(O269&lt;Q269,Q269="-"),OR(Q269&lt;S269,Q269="-"),OR(S269&lt;U269,S269="-"),U269&lt;W269,OR(W269&lt;Y269,Y269="-"),OR(Y269&lt;AA269,Y269="-"),OR(AA269&lt;AC269,AA269="-"),AC269&lt;AE269,OR(AE269&lt;AG269,AG269="-"),OR(AG269&lt;AI269,AG269="-"),OR(AI269&lt;AK269,AI269="-"),AK269&lt;AM269,AM269&lt;AO269,AO269&lt;AQ269,AQ269&lt;AS269,AS269&lt;AU269,OR(AU269&lt;AW269,AW269="-"),OR(AW269&lt;AY269,AW269="-"))</f>
        <v>1</v>
      </c>
      <c r="BC269" s="109">
        <f t="shared" ref="BC269" si="1108">_xlfn.AGGREGATE(9,6,CH269:CS269)-_xlfn.AGGREGATE(9,6,BV269:CG269)+12</f>
        <v>286</v>
      </c>
      <c r="BD269" s="129" t="s">
        <v>1423</v>
      </c>
      <c r="BE269" s="9" t="s">
        <v>1422</v>
      </c>
      <c r="BF269" s="119">
        <v>3</v>
      </c>
      <c r="BG269" s="51" t="s">
        <v>1416</v>
      </c>
      <c r="BH269" s="51" t="s">
        <v>1416</v>
      </c>
      <c r="BI269" s="9"/>
      <c r="BJ269" s="111" t="s">
        <v>1281</v>
      </c>
      <c r="BK269" s="112" t="s">
        <v>1281</v>
      </c>
      <c r="BL269" s="112" t="s">
        <v>1281</v>
      </c>
      <c r="BM269" s="112" t="s">
        <v>1281</v>
      </c>
      <c r="BN269" s="112" t="s">
        <v>1281</v>
      </c>
      <c r="BO269" s="112" t="s">
        <v>1281</v>
      </c>
      <c r="BP269" s="112" t="s">
        <v>1281</v>
      </c>
      <c r="BQ269" s="112" t="s">
        <v>1281</v>
      </c>
      <c r="BR269" s="112" t="s">
        <v>1281</v>
      </c>
      <c r="BS269" s="112" t="s">
        <v>1281</v>
      </c>
      <c r="BT269" s="112" t="s">
        <v>1281</v>
      </c>
      <c r="BU269" s="112" t="s">
        <v>1281</v>
      </c>
      <c r="BV269" s="111">
        <f>E269</f>
        <v>59</v>
      </c>
      <c r="BW269" s="113" t="str">
        <f>I269</f>
        <v>-</v>
      </c>
      <c r="BX269" s="114">
        <f>M269</f>
        <v>97</v>
      </c>
      <c r="BY269" s="113">
        <f>Q269</f>
        <v>133</v>
      </c>
      <c r="BZ269" s="114">
        <f>U269</f>
        <v>139</v>
      </c>
      <c r="CA269" s="113">
        <f>Y269</f>
        <v>173</v>
      </c>
      <c r="CB269" s="114">
        <f>AC269</f>
        <v>181</v>
      </c>
      <c r="CC269" s="113">
        <f>AG269</f>
        <v>224</v>
      </c>
      <c r="CD269" s="114">
        <f>AK269</f>
        <v>229</v>
      </c>
      <c r="CE269" s="113">
        <f>AO269</f>
        <v>280</v>
      </c>
      <c r="CF269" s="114">
        <f>AS269</f>
        <v>335</v>
      </c>
      <c r="CG269" s="113">
        <f>AW269</f>
        <v>368</v>
      </c>
      <c r="CH269" s="111">
        <f>G269</f>
        <v>91</v>
      </c>
      <c r="CI269" s="113" t="str">
        <f>K269</f>
        <v>-</v>
      </c>
      <c r="CJ269" s="114">
        <f>O269</f>
        <v>130</v>
      </c>
      <c r="CK269" s="114">
        <f>S269</f>
        <v>136</v>
      </c>
      <c r="CL269" s="114">
        <f>W269</f>
        <v>171</v>
      </c>
      <c r="CM269" s="114">
        <f>AA269</f>
        <v>180</v>
      </c>
      <c r="CN269" s="114">
        <f>AE269</f>
        <v>207</v>
      </c>
      <c r="CO269" s="114">
        <f>AI269</f>
        <v>226</v>
      </c>
      <c r="CP269" s="114">
        <f>AM269</f>
        <v>273</v>
      </c>
      <c r="CQ269" s="114">
        <f>AQ269</f>
        <v>328</v>
      </c>
      <c r="CR269" s="114">
        <f>AU269</f>
        <v>367</v>
      </c>
      <c r="CS269" s="114">
        <f>AY269</f>
        <v>383</v>
      </c>
      <c r="CT269" s="109" t="e">
        <f>M269-K269</f>
        <v>#VALUE!</v>
      </c>
    </row>
    <row r="270" spans="1:1029" s="12" customFormat="1" x14ac:dyDescent="0.2">
      <c r="A270" s="9" t="str">
        <f>CONCATENATE(B270,"_",C270)</f>
        <v>ntr1_human_6PWC</v>
      </c>
      <c r="B270" s="9" t="s">
        <v>127</v>
      </c>
      <c r="C270" s="9" t="s">
        <v>1612</v>
      </c>
      <c r="D270" s="9" t="str">
        <f>IFERROR(MID(VLOOKUP($B270,Seqs!$A:$B,2,0),E270,1),"")</f>
        <v>D</v>
      </c>
      <c r="E270" s="9">
        <v>59</v>
      </c>
      <c r="F270" s="9" t="str">
        <f>IFERROR(MID(VLOOKUP($B270,Seqs!$A:$B,2,0),G270,1),"")</f>
        <v>K</v>
      </c>
      <c r="G270" s="9">
        <v>91</v>
      </c>
      <c r="H270" s="9" t="str">
        <f>IFERROR(MID(VLOOKUP($B270,Seqs!$A:$B,2,0),I270,1),"")</f>
        <v/>
      </c>
      <c r="I270" s="109" t="s">
        <v>23</v>
      </c>
      <c r="J270" s="9" t="str">
        <f>IFERROR(MID(VLOOKUP($B270,Seqs!$A:$B,2,0),K270,1),"")</f>
        <v/>
      </c>
      <c r="K270" s="109" t="s">
        <v>23</v>
      </c>
      <c r="L270" s="9" t="str">
        <f>IFERROR(MID(VLOOKUP($B270,Seqs!$A:$B,2,0),M270,1),"")</f>
        <v>Q</v>
      </c>
      <c r="M270" s="9">
        <v>98</v>
      </c>
      <c r="N270" s="9" t="str">
        <f>IFERROR(MID(VLOOKUP($B270,Seqs!$A:$B,2,0),O270,1),"")</f>
        <v>W</v>
      </c>
      <c r="O270" s="9">
        <v>129</v>
      </c>
      <c r="P270" s="9" t="str">
        <f>IFERROR(MID(VLOOKUP($B270,Seqs!$A:$B,2,0),Q270,1),"")</f>
        <v>P</v>
      </c>
      <c r="Q270" s="9">
        <v>133</v>
      </c>
      <c r="R270" s="9" t="str">
        <f>IFERROR(MID(VLOOKUP($B270,Seqs!$A:$B,2,0),S270,1),"")</f>
        <v>F</v>
      </c>
      <c r="S270" s="9">
        <v>136</v>
      </c>
      <c r="T270" s="9" t="str">
        <f>IFERROR(MID(VLOOKUP($B270,Seqs!$A:$B,2,0),U270,1),"")</f>
        <v>G</v>
      </c>
      <c r="U270" s="9">
        <v>137</v>
      </c>
      <c r="V270" s="9" t="str">
        <f>IFERROR(MID(VLOOKUP($B270,Seqs!$A:$B,2,0),W270,1),"")</f>
        <v>H</v>
      </c>
      <c r="W270" s="9">
        <v>172</v>
      </c>
      <c r="X270" s="9" t="str">
        <f>IFERROR(MID(VLOOKUP($B270,Seqs!$A:$B,2,0),Y270,1),"")</f>
        <v>P</v>
      </c>
      <c r="Y270" s="9">
        <v>173</v>
      </c>
      <c r="Z270" s="9" t="str">
        <f>IFERROR(MID(VLOOKUP($B270,Seqs!$A:$B,2,0),AA270,1),"")</f>
        <v>M</v>
      </c>
      <c r="AA270" s="9">
        <v>180</v>
      </c>
      <c r="AB270" s="9" t="str">
        <f>IFERROR(MID(VLOOKUP($B270,Seqs!$A:$B,2,0),AC270,1),"")</f>
        <v>S</v>
      </c>
      <c r="AC270" s="9">
        <v>181</v>
      </c>
      <c r="AD270" s="9" t="str">
        <f>IFERROR(MID(VLOOKUP($B270,Seqs!$A:$B,2,0),AE270,1),"")</f>
        <v>T</v>
      </c>
      <c r="AE270" s="9">
        <v>206</v>
      </c>
      <c r="AF270" s="9" t="str">
        <f>IFERROR(MID(VLOOKUP($B270,Seqs!$A:$B,2,0),AG270,1),"")</f>
        <v>C</v>
      </c>
      <c r="AG270" s="9">
        <v>224</v>
      </c>
      <c r="AH270" s="9" t="str">
        <f>IFERROR(MID(VLOOKUP($B270,Seqs!$A:$B,2,0),AI270,1),"")</f>
        <v>P</v>
      </c>
      <c r="AI270" s="9">
        <v>226</v>
      </c>
      <c r="AJ270" s="9" t="str">
        <f>IFERROR(MID(VLOOKUP($B270,Seqs!$A:$B,2,0),AK270,1),"")</f>
        <v>H</v>
      </c>
      <c r="AK270" s="9">
        <v>229</v>
      </c>
      <c r="AL270" s="9" t="str">
        <f>IFERROR(MID(VLOOKUP($B270,Seqs!$A:$B,2,0),AM270,1),"")</f>
        <v>Q</v>
      </c>
      <c r="AM270" s="9">
        <v>269</v>
      </c>
      <c r="AN270" s="9" t="str">
        <f>IFERROR(MID(VLOOKUP($B270,Seqs!$A:$B,2,0),AO270,1),"")</f>
        <v>G</v>
      </c>
      <c r="AO270" s="9">
        <v>293</v>
      </c>
      <c r="AP270" s="9" t="str">
        <f>IFERROR(MID(VLOOKUP($B270,Seqs!$A:$B,2,0),AQ270,1),"")</f>
        <v>I</v>
      </c>
      <c r="AQ270" s="9">
        <v>329</v>
      </c>
      <c r="AR270" s="9" t="str">
        <f>IFERROR(MID(VLOOKUP($B270,Seqs!$A:$B,2,0),AS270,1),"")</f>
        <v>T</v>
      </c>
      <c r="AS270" s="9">
        <v>335</v>
      </c>
      <c r="AT270" s="9" t="str">
        <f>IFERROR(MID(VLOOKUP($B270,Seqs!$A:$B,2,0),AU270,1),"")</f>
        <v>V</v>
      </c>
      <c r="AU270" s="9">
        <v>367</v>
      </c>
      <c r="AV270" s="9" t="str">
        <f>IFERROR(MID(VLOOKUP($B270,Seqs!$A:$B,2,0),AW270,1),"")</f>
        <v>S</v>
      </c>
      <c r="AW270" s="9">
        <v>368</v>
      </c>
      <c r="AX270" s="9" t="str">
        <f>IFERROR(MID(VLOOKUP($B270,Seqs!$A:$B,2,0),AY270,1),"")</f>
        <v>C</v>
      </c>
      <c r="AY270" s="9">
        <v>383</v>
      </c>
      <c r="AZ270" s="110" t="str">
        <f>VLOOKUP(B270,Classification!A:D,2,0)</f>
        <v>A</v>
      </c>
      <c r="BA270" s="98" t="str">
        <f>VLOOKUP(B270,Classification!A:D,4,0)</f>
        <v>Neurotensin</v>
      </c>
      <c r="BB270" s="36" t="b">
        <f t="shared" ref="BB270" si="1109">AND(E270&lt;G270,OR(G270&lt;I270,I270="-"),OR(I270&lt;K270,I270="-"),OR(K270&lt;M270,K270="-"),M270&lt;O270,OR(O270&lt;Q270,Q270="-"),OR(Q270&lt;S270,Q270="-"),OR(S270&lt;U270,S270="-"),U270&lt;W270,OR(W270&lt;Y270,Y270="-"),OR(Y270&lt;AA270,Y270="-"),OR(AA270&lt;AC270,AA270="-"),AC270&lt;AE270,OR(AE270&lt;AG270,AG270="-"),OR(AG270&lt;AI270,AG270="-"),OR(AI270&lt;AK270,AI270="-"),AK270&lt;AM270,AM270&lt;AO270,AO270&lt;AQ270,AQ270&lt;AS270,AS270&lt;AU270,OR(AU270&lt;AW270,AW270="-"),OR(AW270&lt;AY270,AW270="-"))</f>
        <v>1</v>
      </c>
      <c r="BC270" s="109">
        <f t="shared" ref="BC270" si="1110">_xlfn.AGGREGATE(9,6,CH270:CS270)-_xlfn.AGGREGATE(9,6,BV270:CG270)+12</f>
        <v>270</v>
      </c>
      <c r="BD270" s="129" t="s">
        <v>1369</v>
      </c>
      <c r="BE270" s="9" t="s">
        <v>1285</v>
      </c>
      <c r="BF270" s="119">
        <v>4.9000000000000004</v>
      </c>
      <c r="BG270" s="51" t="s">
        <v>1416</v>
      </c>
      <c r="BH270" s="51" t="s">
        <v>1416</v>
      </c>
      <c r="BI270" s="9"/>
      <c r="BJ270" s="111" t="s">
        <v>1281</v>
      </c>
      <c r="BK270" s="112" t="s">
        <v>1281</v>
      </c>
      <c r="BL270" s="112" t="s">
        <v>1281</v>
      </c>
      <c r="BM270" s="112" t="s">
        <v>1281</v>
      </c>
      <c r="BN270" s="112" t="s">
        <v>1281</v>
      </c>
      <c r="BO270" s="112" t="s">
        <v>1281</v>
      </c>
      <c r="BP270" s="112" t="s">
        <v>1281</v>
      </c>
      <c r="BQ270" s="112" t="s">
        <v>1281</v>
      </c>
      <c r="BR270" s="112" t="s">
        <v>1281</v>
      </c>
      <c r="BS270" s="112" t="s">
        <v>1281</v>
      </c>
      <c r="BT270" s="112" t="s">
        <v>1281</v>
      </c>
      <c r="BU270" s="112" t="s">
        <v>1281</v>
      </c>
      <c r="BV270" s="111">
        <f>E270</f>
        <v>59</v>
      </c>
      <c r="BW270" s="113" t="str">
        <f>I270</f>
        <v>-</v>
      </c>
      <c r="BX270" s="114">
        <f>M270</f>
        <v>98</v>
      </c>
      <c r="BY270" s="113">
        <f>Q270</f>
        <v>133</v>
      </c>
      <c r="BZ270" s="114">
        <f>U270</f>
        <v>137</v>
      </c>
      <c r="CA270" s="113">
        <f>Y270</f>
        <v>173</v>
      </c>
      <c r="CB270" s="114">
        <f>AC270</f>
        <v>181</v>
      </c>
      <c r="CC270" s="113">
        <f>AG270</f>
        <v>224</v>
      </c>
      <c r="CD270" s="114">
        <f>AK270</f>
        <v>229</v>
      </c>
      <c r="CE270" s="113">
        <f>AO270</f>
        <v>293</v>
      </c>
      <c r="CF270" s="114">
        <f>AS270</f>
        <v>335</v>
      </c>
      <c r="CG270" s="113">
        <f>AW270</f>
        <v>368</v>
      </c>
      <c r="CH270" s="111">
        <f>G270</f>
        <v>91</v>
      </c>
      <c r="CI270" s="113" t="str">
        <f>K270</f>
        <v>-</v>
      </c>
      <c r="CJ270" s="114">
        <f>O270</f>
        <v>129</v>
      </c>
      <c r="CK270" s="114">
        <f>S270</f>
        <v>136</v>
      </c>
      <c r="CL270" s="114">
        <f>W270</f>
        <v>172</v>
      </c>
      <c r="CM270" s="114">
        <f>AA270</f>
        <v>180</v>
      </c>
      <c r="CN270" s="114">
        <f>AE270</f>
        <v>206</v>
      </c>
      <c r="CO270" s="114">
        <f>AI270</f>
        <v>226</v>
      </c>
      <c r="CP270" s="114">
        <f>AM270</f>
        <v>269</v>
      </c>
      <c r="CQ270" s="114">
        <f>AQ270</f>
        <v>329</v>
      </c>
      <c r="CR270" s="114">
        <f>AU270</f>
        <v>367</v>
      </c>
      <c r="CS270" s="114">
        <f>AY270</f>
        <v>383</v>
      </c>
      <c r="CT270" s="109" t="e">
        <f>M270-K270</f>
        <v>#VALUE!</v>
      </c>
    </row>
    <row r="271" spans="1:1029" s="12" customFormat="1" x14ac:dyDescent="0.2">
      <c r="A271" s="9" t="str">
        <f>CONCATENATE(B271,"_",C271)</f>
        <v>ntr1_human_6UP7</v>
      </c>
      <c r="B271" s="9" t="s">
        <v>127</v>
      </c>
      <c r="C271" s="9" t="s">
        <v>1658</v>
      </c>
      <c r="D271" s="9" t="str">
        <f>IFERROR(MID(VLOOKUP($B271,Seqs!$A:$B,2,0),E271,1),"")</f>
        <v>D</v>
      </c>
      <c r="E271" s="9">
        <v>59</v>
      </c>
      <c r="F271" s="9" t="str">
        <f>IFERROR(MID(VLOOKUP($B271,Seqs!$A:$B,2,0),G271,1),"")</f>
        <v>S</v>
      </c>
      <c r="G271" s="9">
        <v>93</v>
      </c>
      <c r="H271" s="9" t="str">
        <f>IFERROR(MID(VLOOKUP($B271,Seqs!$A:$B,2,0),I271,1),"")</f>
        <v/>
      </c>
      <c r="I271" s="109" t="s">
        <v>23</v>
      </c>
      <c r="J271" s="9" t="str">
        <f>IFERROR(MID(VLOOKUP($B271,Seqs!$A:$B,2,0),K271,1),"")</f>
        <v/>
      </c>
      <c r="K271" s="109" t="s">
        <v>23</v>
      </c>
      <c r="L271" s="9" t="str">
        <f>IFERROR(MID(VLOOKUP($B271,Seqs!$A:$B,2,0),M271,1),"")</f>
        <v>V</v>
      </c>
      <c r="M271" s="9">
        <v>101</v>
      </c>
      <c r="N271" s="9" t="str">
        <f>IFERROR(MID(VLOOKUP($B271,Seqs!$A:$B,2,0),O271,1),"")</f>
        <v>V</v>
      </c>
      <c r="O271" s="9">
        <v>130</v>
      </c>
      <c r="P271" s="9" t="str">
        <f>IFERROR(MID(VLOOKUP($B271,Seqs!$A:$B,2,0),Q271,1),"")</f>
        <v>P</v>
      </c>
      <c r="Q271" s="9">
        <v>133</v>
      </c>
      <c r="R271" s="9" t="str">
        <f>IFERROR(MID(VLOOKUP($B271,Seqs!$A:$B,2,0),S271,1),"")</f>
        <v>F</v>
      </c>
      <c r="S271" s="9">
        <v>136</v>
      </c>
      <c r="T271" s="9" t="str">
        <f>IFERROR(MID(VLOOKUP($B271,Seqs!$A:$B,2,0),U271,1),"")</f>
        <v>G</v>
      </c>
      <c r="U271" s="9">
        <v>137</v>
      </c>
      <c r="V271" s="9" t="str">
        <f>IFERROR(MID(VLOOKUP($B271,Seqs!$A:$B,2,0),W271,1),"")</f>
        <v>H</v>
      </c>
      <c r="W271" s="9">
        <v>172</v>
      </c>
      <c r="X271" s="9" t="str">
        <f>IFERROR(MID(VLOOKUP($B271,Seqs!$A:$B,2,0),Y271,1),"")</f>
        <v>P</v>
      </c>
      <c r="Y271" s="9">
        <v>173</v>
      </c>
      <c r="Z271" s="9" t="str">
        <f>IFERROR(MID(VLOOKUP($B271,Seqs!$A:$B,2,0),AA271,1),"")</f>
        <v>M</v>
      </c>
      <c r="AA271" s="9">
        <v>180</v>
      </c>
      <c r="AB271" s="9" t="str">
        <f>IFERROR(MID(VLOOKUP($B271,Seqs!$A:$B,2,0),AC271,1),"")</f>
        <v>S</v>
      </c>
      <c r="AC271" s="9">
        <v>181</v>
      </c>
      <c r="AD271" s="9" t="str">
        <f>IFERROR(MID(VLOOKUP($B271,Seqs!$A:$B,2,0),AE271,1),"")</f>
        <v>M</v>
      </c>
      <c r="AE271" s="9">
        <v>207</v>
      </c>
      <c r="AF271" s="9" t="str">
        <f>IFERROR(MID(VLOOKUP($B271,Seqs!$A:$B,2,0),AG271,1),"")</f>
        <v>C</v>
      </c>
      <c r="AG271" s="9">
        <v>224</v>
      </c>
      <c r="AH271" s="9" t="str">
        <f>IFERROR(MID(VLOOKUP($B271,Seqs!$A:$B,2,0),AI271,1),"")</f>
        <v>P</v>
      </c>
      <c r="AI271" s="9">
        <v>226</v>
      </c>
      <c r="AJ271" s="9" t="str">
        <f>IFERROR(MID(VLOOKUP($B271,Seqs!$A:$B,2,0),AK271,1),"")</f>
        <v>H</v>
      </c>
      <c r="AK271" s="9">
        <v>229</v>
      </c>
      <c r="AL271" s="9" t="str">
        <f>IFERROR(MID(VLOOKUP($B271,Seqs!$A:$B,2,0),AM271,1),"")</f>
        <v>A</v>
      </c>
      <c r="AM271" s="9">
        <v>270</v>
      </c>
      <c r="AN271" s="9" t="str">
        <f>IFERROR(MID(VLOOKUP($B271,Seqs!$A:$B,2,0),AO271,1),"")</f>
        <v>G</v>
      </c>
      <c r="AO271" s="9">
        <v>293</v>
      </c>
      <c r="AP271" s="9" t="str">
        <f>IFERROR(MID(VLOOKUP($B271,Seqs!$A:$B,2,0),AQ271,1),"")</f>
        <v>Y</v>
      </c>
      <c r="AQ271" s="9">
        <v>328</v>
      </c>
      <c r="AR271" s="9" t="str">
        <f>IFERROR(MID(VLOOKUP($B271,Seqs!$A:$B,2,0),AS271,1),"")</f>
        <v>P</v>
      </c>
      <c r="AS271" s="9">
        <v>336</v>
      </c>
      <c r="AT271" s="9" t="str">
        <f>IFERROR(MID(VLOOKUP($B271,Seqs!$A:$B,2,0),AU271,1),"")</f>
        <v>N</v>
      </c>
      <c r="AU271" s="9">
        <v>365</v>
      </c>
      <c r="AV271" s="9" t="str">
        <f>IFERROR(MID(VLOOKUP($B271,Seqs!$A:$B,2,0),AW271,1),"")</f>
        <v>S</v>
      </c>
      <c r="AW271" s="9">
        <v>368</v>
      </c>
      <c r="AX271" s="9" t="str">
        <f>IFERROR(MID(VLOOKUP($B271,Seqs!$A:$B,2,0),AY271,1),"")</f>
        <v>L</v>
      </c>
      <c r="AY271" s="9">
        <v>382</v>
      </c>
      <c r="AZ271" s="110" t="str">
        <f>VLOOKUP(B271,Classification!A:D,2,0)</f>
        <v>A</v>
      </c>
      <c r="BA271" s="98" t="str">
        <f>VLOOKUP(B271,Classification!A:D,4,0)</f>
        <v>Neurotensin</v>
      </c>
      <c r="BB271" s="36" t="b">
        <f t="shared" ref="BB271" si="1111">AND(E271&lt;G271,OR(G271&lt;I271,I271="-"),OR(I271&lt;K271,I271="-"),OR(K271&lt;M271,K271="-"),M271&lt;O271,OR(O271&lt;Q271,Q271="-"),OR(Q271&lt;S271,Q271="-"),OR(S271&lt;U271,S271="-"),U271&lt;W271,OR(W271&lt;Y271,Y271="-"),OR(Y271&lt;AA271,Y271="-"),OR(AA271&lt;AC271,AA271="-"),AC271&lt;AE271,OR(AE271&lt;AG271,AG271="-"),OR(AG271&lt;AI271,AG271="-"),OR(AI271&lt;AK271,AI271="-"),AK271&lt;AM271,AM271&lt;AO271,AO271&lt;AQ271,AQ271&lt;AS271,AS271&lt;AU271,OR(AU271&lt;AW271,AW271="-"),OR(AW271&lt;AY271,AW271="-"))</f>
        <v>1</v>
      </c>
      <c r="BC271" s="109">
        <f t="shared" ref="BC271" si="1112">_xlfn.AGGREGATE(9,6,CH271:CS271)-_xlfn.AGGREGATE(9,6,BV271:CG271)+12</f>
        <v>267</v>
      </c>
      <c r="BD271" s="129" t="s">
        <v>23</v>
      </c>
      <c r="BE271" s="9" t="s">
        <v>1285</v>
      </c>
      <c r="BF271" s="119">
        <v>4.2</v>
      </c>
      <c r="BG271" s="51" t="s">
        <v>1416</v>
      </c>
      <c r="BH271" s="51" t="s">
        <v>1416</v>
      </c>
      <c r="BI271" s="9"/>
      <c r="BJ271" s="111" t="s">
        <v>1281</v>
      </c>
      <c r="BK271" s="112" t="s">
        <v>1281</v>
      </c>
      <c r="BL271" s="112" t="s">
        <v>1281</v>
      </c>
      <c r="BM271" s="112" t="s">
        <v>1281</v>
      </c>
      <c r="BN271" s="112" t="s">
        <v>1281</v>
      </c>
      <c r="BO271" s="112" t="s">
        <v>1281</v>
      </c>
      <c r="BP271" s="112" t="s">
        <v>1281</v>
      </c>
      <c r="BQ271" s="112" t="s">
        <v>1281</v>
      </c>
      <c r="BR271" s="112" t="s">
        <v>1281</v>
      </c>
      <c r="BS271" s="112" t="s">
        <v>1281</v>
      </c>
      <c r="BT271" s="112" t="s">
        <v>1281</v>
      </c>
      <c r="BU271" s="112" t="s">
        <v>1281</v>
      </c>
      <c r="BV271" s="111">
        <f>E271</f>
        <v>59</v>
      </c>
      <c r="BW271" s="113" t="str">
        <f>I271</f>
        <v>-</v>
      </c>
      <c r="BX271" s="114">
        <f>M271</f>
        <v>101</v>
      </c>
      <c r="BY271" s="113">
        <f>Q271</f>
        <v>133</v>
      </c>
      <c r="BZ271" s="114">
        <f>U271</f>
        <v>137</v>
      </c>
      <c r="CA271" s="113">
        <f>Y271</f>
        <v>173</v>
      </c>
      <c r="CB271" s="114">
        <f>AC271</f>
        <v>181</v>
      </c>
      <c r="CC271" s="113">
        <f>AG271</f>
        <v>224</v>
      </c>
      <c r="CD271" s="114">
        <f>AK271</f>
        <v>229</v>
      </c>
      <c r="CE271" s="113">
        <f>AO271</f>
        <v>293</v>
      </c>
      <c r="CF271" s="114">
        <f>AS271</f>
        <v>336</v>
      </c>
      <c r="CG271" s="113">
        <f>AW271</f>
        <v>368</v>
      </c>
      <c r="CH271" s="111">
        <f>G271</f>
        <v>93</v>
      </c>
      <c r="CI271" s="113" t="str">
        <f>K271</f>
        <v>-</v>
      </c>
      <c r="CJ271" s="114">
        <f>O271</f>
        <v>130</v>
      </c>
      <c r="CK271" s="114">
        <f>S271</f>
        <v>136</v>
      </c>
      <c r="CL271" s="114">
        <f>W271</f>
        <v>172</v>
      </c>
      <c r="CM271" s="114">
        <f>AA271</f>
        <v>180</v>
      </c>
      <c r="CN271" s="114">
        <f>AE271</f>
        <v>207</v>
      </c>
      <c r="CO271" s="114">
        <f>AI271</f>
        <v>226</v>
      </c>
      <c r="CP271" s="114">
        <f>AM271</f>
        <v>270</v>
      </c>
      <c r="CQ271" s="114">
        <f>AQ271</f>
        <v>328</v>
      </c>
      <c r="CR271" s="114">
        <f>AU271</f>
        <v>365</v>
      </c>
      <c r="CS271" s="114">
        <f>AY271</f>
        <v>382</v>
      </c>
      <c r="CT271" s="109" t="e">
        <f>M271-K271</f>
        <v>#VALUE!</v>
      </c>
    </row>
    <row r="272" spans="1:1029" x14ac:dyDescent="0.2">
      <c r="A272" s="3" t="str">
        <f>CONCATENATE(B272,"_",C272)</f>
        <v>ntr1_rat__wt</v>
      </c>
      <c r="B272" s="3" t="s">
        <v>907</v>
      </c>
      <c r="C272" s="3" t="s">
        <v>100</v>
      </c>
      <c r="D272" s="3" t="str">
        <f>IFERROR(MID(VLOOKUP($B272,Seqs!$A:$B,2,0),E272,1),"")</f>
        <v>I</v>
      </c>
      <c r="E272" s="3">
        <v>61</v>
      </c>
      <c r="F272" s="3" t="str">
        <f>IFERROR(MID(VLOOKUP($B272,Seqs!$A:$B,2,0),G272,1),"")</f>
        <v>K</v>
      </c>
      <c r="G272" s="3">
        <v>92</v>
      </c>
      <c r="H272" s="3" t="str">
        <f>IFERROR(MID(VLOOKUP($B272,Seqs!$A:$B,2,0),I272,1),"")</f>
        <v>K</v>
      </c>
      <c r="I272" s="23">
        <v>93</v>
      </c>
      <c r="J272" s="3" t="str">
        <f>IFERROR(MID(VLOOKUP($B272,Seqs!$A:$B,2,0),K272,1),"")</f>
        <v>Q</v>
      </c>
      <c r="K272" s="23">
        <v>96</v>
      </c>
      <c r="L272" s="3" t="str">
        <f>IFERROR(MID(VLOOKUP($B272,Seqs!$A:$B,2,0),M272,1),"")</f>
        <v>S</v>
      </c>
      <c r="M272" s="3">
        <v>97</v>
      </c>
      <c r="N272" s="3" t="str">
        <f>IFERROR(MID(VLOOKUP($B272,Seqs!$A:$B,2,0),O272,1),"")</f>
        <v>V</v>
      </c>
      <c r="O272" s="3">
        <v>131</v>
      </c>
      <c r="P272" s="3" t="str">
        <f>IFERROR(MID(VLOOKUP($B272,Seqs!$A:$B,2,0),Q272,1),"")</f>
        <v>P</v>
      </c>
      <c r="Q272" s="3">
        <v>134</v>
      </c>
      <c r="R272" s="3" t="str">
        <f>IFERROR(MID(VLOOKUP($B272,Seqs!$A:$B,2,0),S272,1),"")</f>
        <v>F</v>
      </c>
      <c r="S272" s="3">
        <v>137</v>
      </c>
      <c r="T272" s="3" t="str">
        <f>IFERROR(MID(VLOOKUP($B272,Seqs!$A:$B,2,0),U272,1),"")</f>
        <v>G</v>
      </c>
      <c r="U272" s="3">
        <v>138</v>
      </c>
      <c r="V272" s="3" t="str">
        <f>IFERROR(MID(VLOOKUP($B272,Seqs!$A:$B,2,0),W272,1),"")</f>
        <v>H</v>
      </c>
      <c r="W272" s="3">
        <v>173</v>
      </c>
      <c r="X272" s="3" t="str">
        <f>IFERROR(MID(VLOOKUP($B272,Seqs!$A:$B,2,0),Y272,1),"")</f>
        <v>P</v>
      </c>
      <c r="Y272" s="3">
        <v>174</v>
      </c>
      <c r="Z272" s="3" t="str">
        <f>IFERROR(MID(VLOOKUP($B272,Seqs!$A:$B,2,0),AA272,1),"")</f>
        <v>M</v>
      </c>
      <c r="AA272" s="3">
        <v>181</v>
      </c>
      <c r="AB272" s="3" t="str">
        <f>IFERROR(MID(VLOOKUP($B272,Seqs!$A:$B,2,0),AC272,1),"")</f>
        <v>S</v>
      </c>
      <c r="AC272" s="9">
        <v>182</v>
      </c>
      <c r="AD272" s="3" t="str">
        <f>IFERROR(MID(VLOOKUP($B272,Seqs!$A:$B,2,0),AE272,1),"")</f>
        <v>M</v>
      </c>
      <c r="AE272" s="3">
        <v>208</v>
      </c>
      <c r="AF272" s="3" t="str">
        <f>IFERROR(MID(VLOOKUP($B272,Seqs!$A:$B,2,0),AG272,1),"")</f>
        <v>C</v>
      </c>
      <c r="AG272" s="3">
        <v>225</v>
      </c>
      <c r="AH272" s="3" t="str">
        <f>IFERROR(MID(VLOOKUP($B272,Seqs!$A:$B,2,0),AI272,1),"")</f>
        <v>P</v>
      </c>
      <c r="AI272" s="3">
        <v>227</v>
      </c>
      <c r="AJ272" s="3" t="str">
        <f>IFERROR(MID(VLOOKUP($B272,Seqs!$A:$B,2,0),AK272,1),"")</f>
        <v>T</v>
      </c>
      <c r="AK272" s="3">
        <v>231</v>
      </c>
      <c r="AL272" s="3" t="str">
        <f>IFERROR(MID(VLOOKUP($B272,Seqs!$A:$B,2,0),AM272,1),"")</f>
        <v>G</v>
      </c>
      <c r="AM272" s="3">
        <v>275</v>
      </c>
      <c r="AN272" s="3" t="str">
        <f>IFERROR(MID(VLOOKUP($B272,Seqs!$A:$B,2,0),AO272,1),"")</f>
        <v>P</v>
      </c>
      <c r="AO272" s="3">
        <v>297</v>
      </c>
      <c r="AP272" s="3" t="str">
        <f>IFERROR(MID(VLOOKUP($B272,Seqs!$A:$B,2,0),AQ272,1),"")</f>
        <v>I</v>
      </c>
      <c r="AQ272" s="3">
        <v>334</v>
      </c>
      <c r="AR272" s="3" t="str">
        <f>IFERROR(MID(VLOOKUP($B272,Seqs!$A:$B,2,0),AS272,1),"")</f>
        <v>T</v>
      </c>
      <c r="AS272" s="3">
        <v>340</v>
      </c>
      <c r="AT272" s="3" t="str">
        <f>IFERROR(MID(VLOOKUP($B272,Seqs!$A:$B,2,0),AU272,1),"")</f>
        <v>V</v>
      </c>
      <c r="AU272" s="3">
        <v>372</v>
      </c>
      <c r="AV272" s="3" t="str">
        <f>IFERROR(MID(VLOOKUP($B272,Seqs!$A:$B,2,0),AW272,1),"")</f>
        <v>S</v>
      </c>
      <c r="AW272" s="3">
        <v>373</v>
      </c>
      <c r="AX272" s="3" t="str">
        <f>IFERROR(MID(VLOOKUP($B272,Seqs!$A:$B,2,0),AY272,1),"")</f>
        <v>C</v>
      </c>
      <c r="AY272" s="105">
        <v>388</v>
      </c>
      <c r="AZ272" s="77" t="str">
        <f>VLOOKUP(B272,Classification!A:D,2,0)</f>
        <v>A</v>
      </c>
      <c r="BA272" s="94" t="str">
        <f>VLOOKUP(B272,Classification!A:D,4,0)</f>
        <v>Neurotensin</v>
      </c>
      <c r="BB272" s="27" t="b">
        <f t="shared" si="1074"/>
        <v>1</v>
      </c>
      <c r="BC272" s="23">
        <f t="shared" si="1057"/>
        <v>281</v>
      </c>
      <c r="BD272" s="56" t="s">
        <v>23</v>
      </c>
      <c r="BE272" s="3" t="s">
        <v>23</v>
      </c>
      <c r="BF272" s="118" t="s">
        <v>23</v>
      </c>
      <c r="BG272" s="49" t="s">
        <v>1366</v>
      </c>
      <c r="BH272" s="49" t="s">
        <v>1371</v>
      </c>
      <c r="BI272" s="3" t="s">
        <v>1163</v>
      </c>
      <c r="BJ272" s="70" t="s">
        <v>1281</v>
      </c>
      <c r="BK272" s="57" t="s">
        <v>1281</v>
      </c>
      <c r="BL272" s="57" t="s">
        <v>1281</v>
      </c>
      <c r="BM272" s="57" t="s">
        <v>1281</v>
      </c>
      <c r="BN272" s="57" t="s">
        <v>1281</v>
      </c>
      <c r="BO272" s="57" t="s">
        <v>1281</v>
      </c>
      <c r="BP272" s="57" t="s">
        <v>1281</v>
      </c>
      <c r="BQ272" s="57" t="s">
        <v>1281</v>
      </c>
      <c r="BR272" s="57" t="s">
        <v>1281</v>
      </c>
      <c r="BS272" s="57" t="s">
        <v>1281</v>
      </c>
      <c r="BT272" s="57" t="s">
        <v>1281</v>
      </c>
      <c r="BU272" s="57" t="s">
        <v>1281</v>
      </c>
      <c r="BV272" s="70">
        <f>E272</f>
        <v>61</v>
      </c>
      <c r="BW272" s="71">
        <f>I272</f>
        <v>93</v>
      </c>
      <c r="BX272" s="72">
        <f>M272</f>
        <v>97</v>
      </c>
      <c r="BY272" s="71">
        <f>Q272</f>
        <v>134</v>
      </c>
      <c r="BZ272" s="72">
        <f>U272</f>
        <v>138</v>
      </c>
      <c r="CA272" s="71">
        <f>Y272</f>
        <v>174</v>
      </c>
      <c r="CB272" s="72">
        <f>AC272</f>
        <v>182</v>
      </c>
      <c r="CC272" s="71">
        <f>AG272</f>
        <v>225</v>
      </c>
      <c r="CD272" s="72">
        <f>AK272</f>
        <v>231</v>
      </c>
      <c r="CE272" s="71">
        <f>AO272</f>
        <v>297</v>
      </c>
      <c r="CF272" s="72">
        <f>AS272</f>
        <v>340</v>
      </c>
      <c r="CG272" s="71">
        <f>AW272</f>
        <v>373</v>
      </c>
      <c r="CH272" s="70">
        <f>G272</f>
        <v>92</v>
      </c>
      <c r="CI272" s="71">
        <f>K272</f>
        <v>96</v>
      </c>
      <c r="CJ272" s="72">
        <f>O272</f>
        <v>131</v>
      </c>
      <c r="CK272" s="72">
        <f>S272</f>
        <v>137</v>
      </c>
      <c r="CL272" s="72">
        <f>W272</f>
        <v>173</v>
      </c>
      <c r="CM272" s="72">
        <f>AA272</f>
        <v>181</v>
      </c>
      <c r="CN272" s="72">
        <f>AE272</f>
        <v>208</v>
      </c>
      <c r="CO272" s="72">
        <f>AI272</f>
        <v>227</v>
      </c>
      <c r="CP272" s="72">
        <f>AM272</f>
        <v>275</v>
      </c>
      <c r="CQ272" s="72">
        <f>AQ272</f>
        <v>334</v>
      </c>
      <c r="CR272" s="72">
        <f>AU272</f>
        <v>372</v>
      </c>
      <c r="CS272" s="72">
        <f>AY272</f>
        <v>388</v>
      </c>
      <c r="CT272" s="23">
        <f>M272-K272</f>
        <v>1</v>
      </c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/>
      <c r="UU272" s="1"/>
      <c r="UV272" s="1"/>
      <c r="UW272" s="1"/>
      <c r="UX272" s="1"/>
      <c r="UY272" s="1"/>
      <c r="UZ272" s="1"/>
      <c r="VA272" s="1"/>
      <c r="VB272" s="1"/>
      <c r="VC272" s="1"/>
      <c r="VD272" s="1"/>
      <c r="VE272" s="1"/>
      <c r="VF272" s="1"/>
      <c r="VG272" s="1"/>
      <c r="VH272" s="1"/>
      <c r="VI272" s="1"/>
      <c r="VJ272" s="1"/>
      <c r="VK272" s="1"/>
      <c r="VL272" s="1"/>
      <c r="VM272" s="1"/>
      <c r="VN272" s="1"/>
      <c r="VO272" s="1"/>
      <c r="VP272" s="1"/>
      <c r="VQ272" s="1"/>
      <c r="VR272" s="1"/>
      <c r="VS272" s="1"/>
      <c r="VT272" s="1"/>
      <c r="VU272" s="1"/>
      <c r="VV272" s="1"/>
      <c r="VW272" s="1"/>
      <c r="VX272" s="1"/>
      <c r="VY272" s="1"/>
      <c r="VZ272" s="1"/>
      <c r="WA272" s="1"/>
      <c r="WB272" s="1"/>
      <c r="WC272" s="1"/>
      <c r="WD272" s="1"/>
      <c r="WE272" s="1"/>
      <c r="WF272" s="1"/>
      <c r="WG272" s="1"/>
      <c r="WH272" s="1"/>
      <c r="WI272" s="1"/>
      <c r="WJ272" s="1"/>
      <c r="WK272" s="1"/>
      <c r="WL272" s="1"/>
      <c r="WM272" s="1"/>
      <c r="WN272" s="1"/>
      <c r="WO272" s="1"/>
      <c r="WP272" s="1"/>
      <c r="WQ272" s="1"/>
      <c r="WR272" s="1"/>
      <c r="WS272" s="1"/>
      <c r="WT272" s="1"/>
      <c r="WU272" s="1"/>
      <c r="WV272" s="1"/>
      <c r="WW272" s="1"/>
      <c r="WX272" s="1"/>
      <c r="WY272" s="1"/>
      <c r="WZ272" s="1"/>
      <c r="XA272" s="1"/>
      <c r="XB272" s="1"/>
      <c r="XC272" s="1"/>
      <c r="XD272" s="1"/>
      <c r="XE272" s="1"/>
      <c r="XF272" s="1"/>
      <c r="XG272" s="1"/>
      <c r="XH272" s="1"/>
      <c r="XI272" s="1"/>
      <c r="XJ272" s="1"/>
      <c r="XK272" s="1"/>
      <c r="XL272" s="1"/>
      <c r="XM272" s="1"/>
      <c r="XN272" s="1"/>
      <c r="XO272" s="1"/>
      <c r="XP272" s="1"/>
      <c r="XQ272" s="1"/>
      <c r="XR272" s="1"/>
      <c r="XS272" s="1"/>
      <c r="XT272" s="1"/>
      <c r="XU272" s="1"/>
      <c r="XV272" s="1"/>
      <c r="XW272" s="1"/>
      <c r="XX272" s="1"/>
      <c r="XY272" s="1"/>
      <c r="XZ272" s="1"/>
      <c r="YA272" s="1"/>
      <c r="YB272" s="1"/>
      <c r="YC272" s="1"/>
      <c r="YD272" s="1"/>
      <c r="YE272" s="1"/>
      <c r="YF272" s="1"/>
      <c r="YG272" s="1"/>
      <c r="YH272" s="1"/>
      <c r="YI272" s="1"/>
      <c r="YJ272" s="1"/>
      <c r="YK272" s="1"/>
      <c r="YL272" s="1"/>
      <c r="YM272" s="1"/>
      <c r="YN272" s="1"/>
      <c r="YO272" s="1"/>
      <c r="YP272" s="1"/>
      <c r="YQ272" s="1"/>
      <c r="YR272" s="1"/>
      <c r="YS272" s="1"/>
      <c r="YT272" s="1"/>
      <c r="YU272" s="1"/>
      <c r="YV272" s="1"/>
      <c r="YW272" s="1"/>
      <c r="YX272" s="1"/>
      <c r="YY272" s="1"/>
      <c r="YZ272" s="1"/>
      <c r="ZA272" s="1"/>
      <c r="ZB272" s="1"/>
      <c r="ZC272" s="1"/>
      <c r="ZD272" s="1"/>
      <c r="ZE272" s="1"/>
      <c r="ZF272" s="1"/>
      <c r="ZG272" s="1"/>
      <c r="ZH272" s="1"/>
      <c r="ZI272" s="1"/>
      <c r="ZJ272" s="1"/>
      <c r="ZK272" s="1"/>
      <c r="ZL272" s="1"/>
      <c r="ZM272" s="1"/>
      <c r="ZN272" s="1"/>
      <c r="ZO272" s="1"/>
      <c r="ZP272" s="1"/>
      <c r="ZQ272" s="1"/>
      <c r="ZR272" s="1"/>
      <c r="ZS272" s="1"/>
      <c r="ZT272" s="1"/>
      <c r="ZU272" s="1"/>
      <c r="ZV272" s="1"/>
      <c r="ZW272" s="1"/>
      <c r="ZX272" s="1"/>
      <c r="ZY272" s="1"/>
      <c r="ZZ272" s="1"/>
      <c r="AAA272" s="1"/>
      <c r="AAB272" s="1"/>
      <c r="AAC272" s="1"/>
      <c r="AAD272" s="1"/>
      <c r="AAE272" s="1"/>
      <c r="AAF272" s="1"/>
      <c r="AAG272" s="1"/>
      <c r="AAH272" s="1"/>
      <c r="AAI272" s="1"/>
      <c r="AAJ272" s="1"/>
      <c r="AAK272" s="1"/>
      <c r="AAL272" s="1"/>
      <c r="AAM272" s="1"/>
      <c r="AAN272" s="1"/>
      <c r="AAO272" s="1"/>
      <c r="AAP272" s="1"/>
      <c r="AAQ272" s="1"/>
      <c r="AAR272" s="1"/>
      <c r="AAS272" s="1"/>
      <c r="AAT272" s="1"/>
      <c r="AAU272" s="1"/>
      <c r="AAV272" s="1"/>
      <c r="AAW272" s="1"/>
      <c r="AAX272" s="1"/>
      <c r="AAY272" s="1"/>
      <c r="AAZ272" s="1"/>
      <c r="ABA272" s="1"/>
      <c r="ABB272" s="1"/>
      <c r="ABC272" s="1"/>
      <c r="ABD272" s="1"/>
      <c r="ABE272" s="1"/>
      <c r="ABF272" s="1"/>
      <c r="ABG272" s="1"/>
      <c r="ABH272" s="1"/>
      <c r="ABI272" s="1"/>
      <c r="ABJ272" s="1"/>
      <c r="ABK272" s="1"/>
      <c r="ABL272" s="1"/>
      <c r="ABM272" s="1"/>
      <c r="ABN272" s="1"/>
      <c r="ABO272" s="1"/>
      <c r="ABP272" s="1"/>
      <c r="ABQ272" s="1"/>
      <c r="ABR272" s="1"/>
      <c r="ABS272" s="1"/>
      <c r="ABT272" s="1"/>
      <c r="ABU272" s="1"/>
      <c r="ABV272" s="1"/>
      <c r="ABW272" s="1"/>
      <c r="ABX272" s="1"/>
      <c r="ABY272" s="1"/>
      <c r="ABZ272" s="1"/>
      <c r="ACA272" s="1"/>
      <c r="ACB272" s="1"/>
      <c r="ACC272" s="1"/>
      <c r="ACD272" s="1"/>
      <c r="ACE272" s="1"/>
      <c r="ACF272" s="1"/>
      <c r="ACG272" s="1"/>
      <c r="ACH272" s="1"/>
      <c r="ACI272" s="1"/>
      <c r="ACJ272" s="1"/>
      <c r="ACK272" s="1"/>
      <c r="ACL272" s="1"/>
      <c r="ACM272" s="1"/>
      <c r="ACN272" s="1"/>
      <c r="ACO272" s="1"/>
      <c r="ACP272" s="1"/>
      <c r="ACQ272" s="1"/>
      <c r="ACR272" s="1"/>
      <c r="ACS272" s="1"/>
      <c r="ACT272" s="1"/>
      <c r="ACU272" s="1"/>
      <c r="ACV272" s="1"/>
      <c r="ACW272" s="1"/>
      <c r="ACX272" s="1"/>
      <c r="ACY272" s="1"/>
      <c r="ACZ272" s="1"/>
      <c r="ADA272" s="1"/>
      <c r="ADB272" s="1"/>
      <c r="ADC272" s="1"/>
      <c r="ADD272" s="1"/>
      <c r="ADE272" s="1"/>
      <c r="ADF272" s="1"/>
      <c r="ADG272" s="1"/>
      <c r="ADH272" s="1"/>
      <c r="ADI272" s="1"/>
      <c r="ADJ272" s="1"/>
      <c r="ADK272" s="1"/>
      <c r="ADL272" s="1"/>
      <c r="ADM272" s="1"/>
      <c r="ADN272" s="1"/>
      <c r="ADO272" s="1"/>
      <c r="ADP272" s="1"/>
      <c r="ADQ272" s="1"/>
      <c r="ADR272" s="1"/>
      <c r="ADS272" s="1"/>
      <c r="ADT272" s="1"/>
      <c r="ADU272" s="1"/>
      <c r="ADV272" s="1"/>
      <c r="ADW272" s="1"/>
      <c r="ADX272" s="1"/>
      <c r="ADY272" s="1"/>
      <c r="ADZ272" s="1"/>
      <c r="AEA272" s="1"/>
      <c r="AEB272" s="1"/>
      <c r="AEC272" s="1"/>
      <c r="AED272" s="1"/>
      <c r="AEE272" s="1"/>
      <c r="AEF272" s="1"/>
      <c r="AEG272" s="1"/>
      <c r="AEH272" s="1"/>
      <c r="AEI272" s="1"/>
      <c r="AEJ272" s="1"/>
      <c r="AEK272" s="1"/>
      <c r="AEL272" s="1"/>
      <c r="AEM272" s="1"/>
      <c r="AEN272" s="1"/>
      <c r="AEO272" s="1"/>
      <c r="AEP272" s="1"/>
      <c r="AEQ272" s="1"/>
      <c r="AER272" s="1"/>
      <c r="AES272" s="1"/>
      <c r="AET272" s="1"/>
      <c r="AEU272" s="1"/>
      <c r="AEV272" s="1"/>
      <c r="AEW272" s="1"/>
      <c r="AEX272" s="1"/>
      <c r="AEY272" s="1"/>
      <c r="AEZ272" s="1"/>
      <c r="AFA272" s="1"/>
      <c r="AFB272" s="1"/>
      <c r="AFC272" s="1"/>
      <c r="AFD272" s="1"/>
      <c r="AFE272" s="1"/>
      <c r="AFF272" s="1"/>
      <c r="AFG272" s="1"/>
      <c r="AFH272" s="1"/>
      <c r="AFI272" s="1"/>
      <c r="AFJ272" s="1"/>
      <c r="AFK272" s="1"/>
      <c r="AFL272" s="1"/>
      <c r="AFM272" s="1"/>
      <c r="AFN272" s="1"/>
      <c r="AFO272" s="1"/>
      <c r="AFP272" s="1"/>
      <c r="AFQ272" s="1"/>
      <c r="AFR272" s="1"/>
      <c r="AFS272" s="1"/>
      <c r="AFT272" s="1"/>
      <c r="AFU272" s="1"/>
      <c r="AFV272" s="1"/>
      <c r="AFW272" s="1"/>
      <c r="AFX272" s="1"/>
      <c r="AFY272" s="1"/>
      <c r="AFZ272" s="1"/>
      <c r="AGA272" s="1"/>
      <c r="AGB272" s="1"/>
      <c r="AGC272" s="1"/>
      <c r="AGD272" s="1"/>
      <c r="AGE272" s="1"/>
      <c r="AGF272" s="1"/>
      <c r="AGG272" s="1"/>
      <c r="AGH272" s="1"/>
      <c r="AGI272" s="1"/>
      <c r="AGJ272" s="1"/>
      <c r="AGK272" s="1"/>
      <c r="AGL272" s="1"/>
      <c r="AGM272" s="1"/>
      <c r="AGN272" s="1"/>
      <c r="AGO272" s="1"/>
      <c r="AGP272" s="1"/>
      <c r="AGQ272" s="1"/>
      <c r="AGR272" s="1"/>
      <c r="AGS272" s="1"/>
      <c r="AGT272" s="1"/>
      <c r="AGU272" s="1"/>
      <c r="AGV272" s="1"/>
      <c r="AGW272" s="1"/>
      <c r="AGX272" s="1"/>
      <c r="AGY272" s="1"/>
      <c r="AGZ272" s="1"/>
      <c r="AHA272" s="1"/>
      <c r="AHB272" s="1"/>
      <c r="AHC272" s="1"/>
      <c r="AHD272" s="1"/>
      <c r="AHE272" s="1"/>
      <c r="AHF272" s="1"/>
      <c r="AHG272" s="1"/>
      <c r="AHH272" s="1"/>
      <c r="AHI272" s="1"/>
      <c r="AHJ272" s="1"/>
      <c r="AHK272" s="1"/>
      <c r="AHL272" s="1"/>
      <c r="AHM272" s="1"/>
      <c r="AHN272" s="1"/>
      <c r="AHO272" s="1"/>
      <c r="AHP272" s="1"/>
      <c r="AHQ272" s="1"/>
      <c r="AHR272" s="1"/>
      <c r="AHS272" s="1"/>
      <c r="AHT272" s="1"/>
      <c r="AHU272" s="1"/>
      <c r="AHV272" s="1"/>
      <c r="AHW272" s="1"/>
      <c r="AHX272" s="1"/>
      <c r="AHY272" s="1"/>
      <c r="AHZ272" s="1"/>
      <c r="AIA272" s="1"/>
      <c r="AIB272" s="1"/>
      <c r="AIC272" s="1"/>
      <c r="AID272" s="1"/>
      <c r="AIE272" s="1"/>
      <c r="AIF272" s="1"/>
      <c r="AIG272" s="1"/>
      <c r="AIH272" s="1"/>
      <c r="AII272" s="1"/>
      <c r="AIJ272" s="1"/>
      <c r="AIK272" s="1"/>
      <c r="AIL272" s="1"/>
      <c r="AIM272" s="1"/>
      <c r="AIN272" s="1"/>
      <c r="AIO272" s="1"/>
      <c r="AIP272" s="1"/>
      <c r="AIQ272" s="1"/>
      <c r="AIR272" s="1"/>
      <c r="AIS272" s="1"/>
      <c r="AIT272" s="1"/>
      <c r="AIU272" s="1"/>
      <c r="AIV272" s="1"/>
      <c r="AIW272" s="1"/>
      <c r="AIX272" s="1"/>
      <c r="AIY272" s="1"/>
      <c r="AIZ272" s="1"/>
      <c r="AJA272" s="1"/>
      <c r="AJB272" s="1"/>
      <c r="AJC272" s="1"/>
      <c r="AJD272" s="1"/>
      <c r="AJE272" s="1"/>
      <c r="AJF272" s="1"/>
      <c r="AJG272" s="1"/>
      <c r="AJH272" s="1"/>
      <c r="AJI272" s="1"/>
      <c r="AJJ272" s="1"/>
      <c r="AJK272" s="1"/>
      <c r="AJL272" s="1"/>
      <c r="AJM272" s="1"/>
      <c r="AJN272" s="1"/>
      <c r="AJO272" s="1"/>
      <c r="AJP272" s="1"/>
      <c r="AJQ272" s="1"/>
      <c r="AJR272" s="1"/>
      <c r="AJS272" s="1"/>
      <c r="AJT272" s="1"/>
      <c r="AJU272" s="1"/>
      <c r="AJV272" s="1"/>
      <c r="AJW272" s="1"/>
      <c r="AJX272" s="1"/>
      <c r="AJY272" s="1"/>
      <c r="AJZ272" s="1"/>
      <c r="AKA272" s="1"/>
      <c r="AKB272" s="1"/>
      <c r="AKC272" s="1"/>
      <c r="AKD272" s="1"/>
      <c r="AKE272" s="1"/>
      <c r="AKF272" s="1"/>
      <c r="AKG272" s="1"/>
      <c r="AKH272" s="1"/>
      <c r="AKI272" s="1"/>
      <c r="AKJ272" s="1"/>
      <c r="AKK272" s="1"/>
      <c r="AKL272" s="1"/>
      <c r="AKM272" s="1"/>
      <c r="AKN272" s="1"/>
      <c r="AKO272" s="1"/>
      <c r="AKP272" s="1"/>
      <c r="AKQ272" s="1"/>
      <c r="AKR272" s="1"/>
      <c r="AKS272" s="1"/>
      <c r="AKT272" s="1"/>
      <c r="AKU272" s="1"/>
      <c r="AKV272" s="1"/>
      <c r="AKW272" s="1"/>
      <c r="AKX272" s="1"/>
      <c r="AKY272" s="1"/>
      <c r="AKZ272" s="1"/>
      <c r="ALA272" s="1"/>
      <c r="ALB272" s="1"/>
      <c r="ALC272" s="1"/>
      <c r="ALD272" s="1"/>
      <c r="ALE272" s="1"/>
      <c r="ALF272" s="1"/>
      <c r="ALG272" s="1"/>
      <c r="ALH272" s="1"/>
      <c r="ALI272" s="1"/>
      <c r="ALJ272" s="1"/>
      <c r="ALK272" s="1"/>
      <c r="ALL272" s="1"/>
      <c r="ALM272" s="1"/>
      <c r="ALN272" s="1"/>
      <c r="ALO272" s="1"/>
      <c r="ALP272" s="1"/>
      <c r="ALQ272" s="1"/>
      <c r="ALR272" s="1"/>
      <c r="ALS272" s="1"/>
      <c r="ALT272" s="1"/>
      <c r="ALU272" s="1"/>
      <c r="ALV272" s="1"/>
      <c r="ALW272" s="1"/>
      <c r="ALX272" s="1"/>
      <c r="ALY272" s="1"/>
      <c r="ALZ272" s="1"/>
      <c r="AMA272" s="1"/>
      <c r="AMB272" s="1"/>
      <c r="AMC272" s="1"/>
      <c r="AMD272" s="1"/>
      <c r="AME272" s="1"/>
      <c r="AMF272" s="1"/>
      <c r="AMG272" s="1"/>
      <c r="AMH272" s="1"/>
      <c r="AMI272" s="1"/>
      <c r="AMJ272" s="1"/>
      <c r="AMK272" s="1"/>
      <c r="AML272" s="1"/>
      <c r="AMM272" s="1"/>
      <c r="AMN272" s="1"/>
      <c r="AMO272" s="1"/>
    </row>
    <row r="273" spans="1:1030" x14ac:dyDescent="0.2">
      <c r="A273" s="3" t="str">
        <f>CONCATENATE(B273,"_",C273)</f>
        <v>ntr1_rat_4BUO</v>
      </c>
      <c r="B273" s="3" t="s">
        <v>907</v>
      </c>
      <c r="C273" s="3" t="s">
        <v>1326</v>
      </c>
      <c r="D273" s="3" t="str">
        <f>IFERROR(MID(VLOOKUP($B273,Seqs!$A:$B,2,0),E273,1),"")</f>
        <v>I</v>
      </c>
      <c r="E273" s="3">
        <v>61</v>
      </c>
      <c r="F273" s="3" t="str">
        <f>IFERROR(MID(VLOOKUP($B273,Seqs!$A:$B,2,0),G273,1),"")</f>
        <v>R</v>
      </c>
      <c r="G273" s="3">
        <v>91</v>
      </c>
      <c r="H273" s="3" t="str">
        <f>IFERROR(MID(VLOOKUP($B273,Seqs!$A:$B,2,0),I273,1),"")</f>
        <v/>
      </c>
      <c r="I273" s="23" t="s">
        <v>23</v>
      </c>
      <c r="J273" s="3" t="str">
        <f>IFERROR(MID(VLOOKUP($B273,Seqs!$A:$B,2,0),K273,1),"")</f>
        <v/>
      </c>
      <c r="K273" s="23" t="s">
        <v>23</v>
      </c>
      <c r="L273" s="3" t="str">
        <f>IFERROR(MID(VLOOKUP($B273,Seqs!$A:$B,2,0),M273,1),"")</f>
        <v>S</v>
      </c>
      <c r="M273" s="3">
        <v>97</v>
      </c>
      <c r="N273" s="3" t="str">
        <f>IFERROR(MID(VLOOKUP($B273,Seqs!$A:$B,2,0),O273,1),"")</f>
        <v>V</v>
      </c>
      <c r="O273" s="3">
        <v>131</v>
      </c>
      <c r="P273" s="3" t="str">
        <f>IFERROR(MID(VLOOKUP($B273,Seqs!$A:$B,2,0),Q273,1),"")</f>
        <v>P</v>
      </c>
      <c r="Q273" s="3">
        <v>134</v>
      </c>
      <c r="R273" s="3" t="str">
        <f>IFERROR(MID(VLOOKUP($B273,Seqs!$A:$B,2,0),S273,1),"")</f>
        <v>F</v>
      </c>
      <c r="S273" s="3">
        <v>137</v>
      </c>
      <c r="T273" s="3" t="str">
        <f>IFERROR(MID(VLOOKUP($B273,Seqs!$A:$B,2,0),U273,1),"")</f>
        <v>G</v>
      </c>
      <c r="U273" s="3">
        <v>138</v>
      </c>
      <c r="V273" s="3" t="str">
        <f>IFERROR(MID(VLOOKUP($B273,Seqs!$A:$B,2,0),W273,1),"")</f>
        <v>H</v>
      </c>
      <c r="W273" s="3">
        <v>173</v>
      </c>
      <c r="X273" s="3" t="str">
        <f>IFERROR(MID(VLOOKUP($B273,Seqs!$A:$B,2,0),Y273,1),"")</f>
        <v/>
      </c>
      <c r="Y273" s="3" t="s">
        <v>23</v>
      </c>
      <c r="Z273" s="3" t="str">
        <f>IFERROR(MID(VLOOKUP($B273,Seqs!$A:$B,2,0),AA273,1),"")</f>
        <v/>
      </c>
      <c r="AA273" s="3" t="s">
        <v>23</v>
      </c>
      <c r="AB273" s="3" t="str">
        <f>IFERROR(MID(VLOOKUP($B273,Seqs!$A:$B,2,0),AC273,1),"")</f>
        <v>S</v>
      </c>
      <c r="AC273" s="9">
        <v>182</v>
      </c>
      <c r="AD273" s="3" t="str">
        <f>IFERROR(MID(VLOOKUP($B273,Seqs!$A:$B,2,0),AE273,1),"")</f>
        <v>M</v>
      </c>
      <c r="AE273" s="3">
        <v>208</v>
      </c>
      <c r="AF273" s="3" t="str">
        <f>IFERROR(MID(VLOOKUP($B273,Seqs!$A:$B,2,0),AG273,1),"")</f>
        <v>C</v>
      </c>
      <c r="AG273" s="3">
        <v>225</v>
      </c>
      <c r="AH273" s="3" t="str">
        <f>IFERROR(MID(VLOOKUP($B273,Seqs!$A:$B,2,0),AI273,1),"")</f>
        <v>P</v>
      </c>
      <c r="AI273" s="3">
        <v>227</v>
      </c>
      <c r="AJ273" s="3" t="str">
        <f>IFERROR(MID(VLOOKUP($B273,Seqs!$A:$B,2,0),AK273,1),"")</f>
        <v>T</v>
      </c>
      <c r="AK273" s="3">
        <v>231</v>
      </c>
      <c r="AL273" s="3" t="str">
        <f>IFERROR(MID(VLOOKUP($B273,Seqs!$A:$B,2,0),AM273,1),"")</f>
        <v>Q</v>
      </c>
      <c r="AM273" s="3">
        <v>270</v>
      </c>
      <c r="AN273" s="3" t="str">
        <f>IFERROR(MID(VLOOKUP($B273,Seqs!$A:$B,2,0),AO273,1),"")</f>
        <v>G</v>
      </c>
      <c r="AO273" s="3">
        <v>298</v>
      </c>
      <c r="AP273" s="3" t="str">
        <f>IFERROR(MID(VLOOKUP($B273,Seqs!$A:$B,2,0),AQ273,1),"")</f>
        <v>I</v>
      </c>
      <c r="AQ273" s="3">
        <v>334</v>
      </c>
      <c r="AR273" s="3" t="str">
        <f>IFERROR(MID(VLOOKUP($B273,Seqs!$A:$B,2,0),AS273,1),"")</f>
        <v>T</v>
      </c>
      <c r="AS273" s="3">
        <v>340</v>
      </c>
      <c r="AT273" s="3" t="str">
        <f>IFERROR(MID(VLOOKUP($B273,Seqs!$A:$B,2,0),AU273,1),"")</f>
        <v>V</v>
      </c>
      <c r="AU273" s="3">
        <v>372</v>
      </c>
      <c r="AV273" s="3" t="str">
        <f>IFERROR(MID(VLOOKUP($B273,Seqs!$A:$B,2,0),AW273,1),"")</f>
        <v>S</v>
      </c>
      <c r="AW273" s="3">
        <v>373</v>
      </c>
      <c r="AX273" s="3" t="str">
        <f>IFERROR(MID(VLOOKUP($B273,Seqs!$A:$B,2,0),AY273,1),"")</f>
        <v>L</v>
      </c>
      <c r="AY273" s="3">
        <v>384</v>
      </c>
      <c r="AZ273" s="77" t="str">
        <f>VLOOKUP(B273,Classification!A:D,2,0)</f>
        <v>A</v>
      </c>
      <c r="BA273" s="94" t="str">
        <f>VLOOKUP(B273,Classification!A:D,4,0)</f>
        <v>Neurotensin</v>
      </c>
      <c r="BB273" s="27" t="b">
        <f t="shared" si="1074"/>
        <v>1</v>
      </c>
      <c r="BC273" s="23">
        <f t="shared" si="1057"/>
        <v>260</v>
      </c>
      <c r="BD273" s="16" t="s">
        <v>1370</v>
      </c>
      <c r="BE273" s="3" t="s">
        <v>1368</v>
      </c>
      <c r="BF273" s="118">
        <v>2.75</v>
      </c>
      <c r="BG273" s="49" t="s">
        <v>1371</v>
      </c>
      <c r="BH273" s="49" t="s">
        <v>1371</v>
      </c>
      <c r="BI273" s="1"/>
      <c r="BJ273" s="70" t="s">
        <v>1281</v>
      </c>
      <c r="BK273" s="57" t="s">
        <v>1281</v>
      </c>
      <c r="BL273" s="57" t="s">
        <v>1281</v>
      </c>
      <c r="BM273" s="57" t="s">
        <v>1281</v>
      </c>
      <c r="BN273" s="57" t="s">
        <v>1281</v>
      </c>
      <c r="BO273" s="57" t="s">
        <v>1281</v>
      </c>
      <c r="BP273" s="57" t="s">
        <v>1281</v>
      </c>
      <c r="BQ273" s="57" t="s">
        <v>1281</v>
      </c>
      <c r="BR273" s="57" t="s">
        <v>1281</v>
      </c>
      <c r="BS273" s="57" t="s">
        <v>1281</v>
      </c>
      <c r="BT273" s="57" t="s">
        <v>1281</v>
      </c>
      <c r="BU273" s="57" t="s">
        <v>1281</v>
      </c>
      <c r="BV273" s="70">
        <f>E273</f>
        <v>61</v>
      </c>
      <c r="BW273" s="71" t="str">
        <f>I273</f>
        <v>-</v>
      </c>
      <c r="BX273" s="72">
        <f>M273</f>
        <v>97</v>
      </c>
      <c r="BY273" s="71">
        <f>Q273</f>
        <v>134</v>
      </c>
      <c r="BZ273" s="72">
        <f>U273</f>
        <v>138</v>
      </c>
      <c r="CA273" s="71" t="str">
        <f>Y273</f>
        <v>-</v>
      </c>
      <c r="CB273" s="72">
        <f>AC273</f>
        <v>182</v>
      </c>
      <c r="CC273" s="71">
        <f>AG273</f>
        <v>225</v>
      </c>
      <c r="CD273" s="72">
        <f>AK273</f>
        <v>231</v>
      </c>
      <c r="CE273" s="71">
        <f>AO273</f>
        <v>298</v>
      </c>
      <c r="CF273" s="72">
        <f>AS273</f>
        <v>340</v>
      </c>
      <c r="CG273" s="71">
        <f>AW273</f>
        <v>373</v>
      </c>
      <c r="CH273" s="70">
        <f>G273</f>
        <v>91</v>
      </c>
      <c r="CI273" s="71" t="str">
        <f>K273</f>
        <v>-</v>
      </c>
      <c r="CJ273" s="72">
        <f>O273</f>
        <v>131</v>
      </c>
      <c r="CK273" s="72">
        <f>S273</f>
        <v>137</v>
      </c>
      <c r="CL273" s="72">
        <f>W273</f>
        <v>173</v>
      </c>
      <c r="CM273" s="72" t="str">
        <f>AA273</f>
        <v>-</v>
      </c>
      <c r="CN273" s="72">
        <f>AE273</f>
        <v>208</v>
      </c>
      <c r="CO273" s="72">
        <f>AI273</f>
        <v>227</v>
      </c>
      <c r="CP273" s="72">
        <f>AM273</f>
        <v>270</v>
      </c>
      <c r="CQ273" s="72">
        <f>AQ273</f>
        <v>334</v>
      </c>
      <c r="CR273" s="72">
        <f>AU273</f>
        <v>372</v>
      </c>
      <c r="CS273" s="72">
        <f>AY273</f>
        <v>384</v>
      </c>
      <c r="CT273" s="23" t="e">
        <f>M273-K273</f>
        <v>#VALUE!</v>
      </c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  <c r="US273" s="1"/>
      <c r="UT273" s="1"/>
      <c r="UU273" s="1"/>
      <c r="UV273" s="1"/>
      <c r="UW273" s="1"/>
      <c r="UX273" s="1"/>
      <c r="UY273" s="1"/>
      <c r="UZ273" s="1"/>
      <c r="VA273" s="1"/>
      <c r="VB273" s="1"/>
      <c r="VC273" s="1"/>
      <c r="VD273" s="1"/>
      <c r="VE273" s="1"/>
      <c r="VF273" s="1"/>
      <c r="VG273" s="1"/>
      <c r="VH273" s="1"/>
      <c r="VI273" s="1"/>
      <c r="VJ273" s="1"/>
      <c r="VK273" s="1"/>
      <c r="VL273" s="1"/>
      <c r="VM273" s="1"/>
      <c r="VN273" s="1"/>
      <c r="VO273" s="1"/>
      <c r="VP273" s="1"/>
      <c r="VQ273" s="1"/>
      <c r="VR273" s="1"/>
      <c r="VS273" s="1"/>
      <c r="VT273" s="1"/>
      <c r="VU273" s="1"/>
      <c r="VV273" s="1"/>
      <c r="VW273" s="1"/>
      <c r="VX273" s="1"/>
      <c r="VY273" s="1"/>
      <c r="VZ273" s="1"/>
      <c r="WA273" s="1"/>
      <c r="WB273" s="1"/>
      <c r="WC273" s="1"/>
      <c r="WD273" s="1"/>
      <c r="WE273" s="1"/>
      <c r="WF273" s="1"/>
      <c r="WG273" s="1"/>
      <c r="WH273" s="1"/>
      <c r="WI273" s="1"/>
      <c r="WJ273" s="1"/>
      <c r="WK273" s="1"/>
      <c r="WL273" s="1"/>
      <c r="WM273" s="1"/>
      <c r="WN273" s="1"/>
      <c r="WO273" s="1"/>
      <c r="WP273" s="1"/>
      <c r="WQ273" s="1"/>
      <c r="WR273" s="1"/>
      <c r="WS273" s="1"/>
      <c r="WT273" s="1"/>
      <c r="WU273" s="1"/>
      <c r="WV273" s="1"/>
      <c r="WW273" s="1"/>
      <c r="WX273" s="1"/>
      <c r="WY273" s="1"/>
      <c r="WZ273" s="1"/>
      <c r="XA273" s="1"/>
      <c r="XB273" s="1"/>
      <c r="XC273" s="1"/>
      <c r="XD273" s="1"/>
      <c r="XE273" s="1"/>
      <c r="XF273" s="1"/>
      <c r="XG273" s="1"/>
      <c r="XH273" s="1"/>
      <c r="XI273" s="1"/>
      <c r="XJ273" s="1"/>
      <c r="XK273" s="1"/>
      <c r="XL273" s="1"/>
      <c r="XM273" s="1"/>
      <c r="XN273" s="1"/>
      <c r="XO273" s="1"/>
      <c r="XP273" s="1"/>
      <c r="XQ273" s="1"/>
      <c r="XR273" s="1"/>
      <c r="XS273" s="1"/>
      <c r="XT273" s="1"/>
      <c r="XU273" s="1"/>
      <c r="XV273" s="1"/>
      <c r="XW273" s="1"/>
      <c r="XX273" s="1"/>
      <c r="XY273" s="1"/>
      <c r="XZ273" s="1"/>
      <c r="YA273" s="1"/>
      <c r="YB273" s="1"/>
      <c r="YC273" s="1"/>
      <c r="YD273" s="1"/>
      <c r="YE273" s="1"/>
      <c r="YF273" s="1"/>
      <c r="YG273" s="1"/>
      <c r="YH273" s="1"/>
      <c r="YI273" s="1"/>
      <c r="YJ273" s="1"/>
      <c r="YK273" s="1"/>
      <c r="YL273" s="1"/>
      <c r="YM273" s="1"/>
      <c r="YN273" s="1"/>
      <c r="YO273" s="1"/>
      <c r="YP273" s="1"/>
      <c r="YQ273" s="1"/>
      <c r="YR273" s="1"/>
      <c r="YS273" s="1"/>
      <c r="YT273" s="1"/>
      <c r="YU273" s="1"/>
      <c r="YV273" s="1"/>
      <c r="YW273" s="1"/>
      <c r="YX273" s="1"/>
      <c r="YY273" s="1"/>
      <c r="YZ273" s="1"/>
      <c r="ZA273" s="1"/>
      <c r="ZB273" s="1"/>
      <c r="ZC273" s="1"/>
      <c r="ZD273" s="1"/>
      <c r="ZE273" s="1"/>
      <c r="ZF273" s="1"/>
      <c r="ZG273" s="1"/>
      <c r="ZH273" s="1"/>
      <c r="ZI273" s="1"/>
      <c r="ZJ273" s="1"/>
      <c r="ZK273" s="1"/>
      <c r="ZL273" s="1"/>
      <c r="ZM273" s="1"/>
      <c r="ZN273" s="1"/>
      <c r="ZO273" s="1"/>
      <c r="ZP273" s="1"/>
      <c r="ZQ273" s="1"/>
      <c r="ZR273" s="1"/>
      <c r="ZS273" s="1"/>
      <c r="ZT273" s="1"/>
      <c r="ZU273" s="1"/>
      <c r="ZV273" s="1"/>
      <c r="ZW273" s="1"/>
      <c r="ZX273" s="1"/>
      <c r="ZY273" s="1"/>
      <c r="ZZ273" s="1"/>
      <c r="AAA273" s="1"/>
      <c r="AAB273" s="1"/>
      <c r="AAC273" s="1"/>
      <c r="AAD273" s="1"/>
      <c r="AAE273" s="1"/>
      <c r="AAF273" s="1"/>
      <c r="AAG273" s="1"/>
      <c r="AAH273" s="1"/>
      <c r="AAI273" s="1"/>
      <c r="AAJ273" s="1"/>
      <c r="AAK273" s="1"/>
      <c r="AAL273" s="1"/>
      <c r="AAM273" s="1"/>
      <c r="AAN273" s="1"/>
      <c r="AAO273" s="1"/>
      <c r="AAP273" s="1"/>
      <c r="AAQ273" s="1"/>
      <c r="AAR273" s="1"/>
      <c r="AAS273" s="1"/>
      <c r="AAT273" s="1"/>
      <c r="AAU273" s="1"/>
      <c r="AAV273" s="1"/>
      <c r="AAW273" s="1"/>
      <c r="AAX273" s="1"/>
      <c r="AAY273" s="1"/>
      <c r="AAZ273" s="1"/>
      <c r="ABA273" s="1"/>
      <c r="ABB273" s="1"/>
      <c r="ABC273" s="1"/>
      <c r="ABD273" s="1"/>
      <c r="ABE273" s="1"/>
      <c r="ABF273" s="1"/>
      <c r="ABG273" s="1"/>
      <c r="ABH273" s="1"/>
      <c r="ABI273" s="1"/>
      <c r="ABJ273" s="1"/>
      <c r="ABK273" s="1"/>
      <c r="ABL273" s="1"/>
      <c r="ABM273" s="1"/>
      <c r="ABN273" s="1"/>
      <c r="ABO273" s="1"/>
      <c r="ABP273" s="1"/>
      <c r="ABQ273" s="1"/>
      <c r="ABR273" s="1"/>
      <c r="ABS273" s="1"/>
      <c r="ABT273" s="1"/>
      <c r="ABU273" s="1"/>
      <c r="ABV273" s="1"/>
      <c r="ABW273" s="1"/>
      <c r="ABX273" s="1"/>
      <c r="ABY273" s="1"/>
      <c r="ABZ273" s="1"/>
      <c r="ACA273" s="1"/>
      <c r="ACB273" s="1"/>
      <c r="ACC273" s="1"/>
      <c r="ACD273" s="1"/>
      <c r="ACE273" s="1"/>
      <c r="ACF273" s="1"/>
      <c r="ACG273" s="1"/>
      <c r="ACH273" s="1"/>
      <c r="ACI273" s="1"/>
      <c r="ACJ273" s="1"/>
      <c r="ACK273" s="1"/>
      <c r="ACL273" s="1"/>
      <c r="ACM273" s="1"/>
      <c r="ACN273" s="1"/>
      <c r="ACO273" s="1"/>
      <c r="ACP273" s="1"/>
      <c r="ACQ273" s="1"/>
      <c r="ACR273" s="1"/>
      <c r="ACS273" s="1"/>
      <c r="ACT273" s="1"/>
      <c r="ACU273" s="1"/>
      <c r="ACV273" s="1"/>
      <c r="ACW273" s="1"/>
      <c r="ACX273" s="1"/>
      <c r="ACY273" s="1"/>
      <c r="ACZ273" s="1"/>
      <c r="ADA273" s="1"/>
      <c r="ADB273" s="1"/>
      <c r="ADC273" s="1"/>
      <c r="ADD273" s="1"/>
      <c r="ADE273" s="1"/>
      <c r="ADF273" s="1"/>
      <c r="ADG273" s="1"/>
      <c r="ADH273" s="1"/>
      <c r="ADI273" s="1"/>
      <c r="ADJ273" s="1"/>
      <c r="ADK273" s="1"/>
      <c r="ADL273" s="1"/>
      <c r="ADM273" s="1"/>
      <c r="ADN273" s="1"/>
      <c r="ADO273" s="1"/>
      <c r="ADP273" s="1"/>
      <c r="ADQ273" s="1"/>
      <c r="ADR273" s="1"/>
      <c r="ADS273" s="1"/>
      <c r="ADT273" s="1"/>
      <c r="ADU273" s="1"/>
      <c r="ADV273" s="1"/>
      <c r="ADW273" s="1"/>
      <c r="ADX273" s="1"/>
      <c r="ADY273" s="1"/>
      <c r="ADZ273" s="1"/>
      <c r="AEA273" s="1"/>
      <c r="AEB273" s="1"/>
      <c r="AEC273" s="1"/>
      <c r="AED273" s="1"/>
      <c r="AEE273" s="1"/>
      <c r="AEF273" s="1"/>
      <c r="AEG273" s="1"/>
      <c r="AEH273" s="1"/>
      <c r="AEI273" s="1"/>
      <c r="AEJ273" s="1"/>
      <c r="AEK273" s="1"/>
      <c r="AEL273" s="1"/>
      <c r="AEM273" s="1"/>
      <c r="AEN273" s="1"/>
      <c r="AEO273" s="1"/>
      <c r="AEP273" s="1"/>
      <c r="AEQ273" s="1"/>
      <c r="AER273" s="1"/>
      <c r="AES273" s="1"/>
      <c r="AET273" s="1"/>
      <c r="AEU273" s="1"/>
      <c r="AEV273" s="1"/>
      <c r="AEW273" s="1"/>
      <c r="AEX273" s="1"/>
      <c r="AEY273" s="1"/>
      <c r="AEZ273" s="1"/>
      <c r="AFA273" s="1"/>
      <c r="AFB273" s="1"/>
      <c r="AFC273" s="1"/>
      <c r="AFD273" s="1"/>
      <c r="AFE273" s="1"/>
      <c r="AFF273" s="1"/>
      <c r="AFG273" s="1"/>
      <c r="AFH273" s="1"/>
      <c r="AFI273" s="1"/>
      <c r="AFJ273" s="1"/>
      <c r="AFK273" s="1"/>
      <c r="AFL273" s="1"/>
      <c r="AFM273" s="1"/>
      <c r="AFN273" s="1"/>
      <c r="AFO273" s="1"/>
      <c r="AFP273" s="1"/>
      <c r="AFQ273" s="1"/>
      <c r="AFR273" s="1"/>
      <c r="AFS273" s="1"/>
      <c r="AFT273" s="1"/>
      <c r="AFU273" s="1"/>
      <c r="AFV273" s="1"/>
      <c r="AFW273" s="1"/>
      <c r="AFX273" s="1"/>
      <c r="AFY273" s="1"/>
      <c r="AFZ273" s="1"/>
      <c r="AGA273" s="1"/>
      <c r="AGB273" s="1"/>
      <c r="AGC273" s="1"/>
      <c r="AGD273" s="1"/>
      <c r="AGE273" s="1"/>
      <c r="AGF273" s="1"/>
      <c r="AGG273" s="1"/>
      <c r="AGH273" s="1"/>
      <c r="AGI273" s="1"/>
      <c r="AGJ273" s="1"/>
      <c r="AGK273" s="1"/>
      <c r="AGL273" s="1"/>
      <c r="AGM273" s="1"/>
      <c r="AGN273" s="1"/>
      <c r="AGO273" s="1"/>
      <c r="AGP273" s="1"/>
      <c r="AGQ273" s="1"/>
      <c r="AGR273" s="1"/>
      <c r="AGS273" s="1"/>
      <c r="AGT273" s="1"/>
      <c r="AGU273" s="1"/>
      <c r="AGV273" s="1"/>
      <c r="AGW273" s="1"/>
      <c r="AGX273" s="1"/>
      <c r="AGY273" s="1"/>
      <c r="AGZ273" s="1"/>
      <c r="AHA273" s="1"/>
      <c r="AHB273" s="1"/>
      <c r="AHC273" s="1"/>
      <c r="AHD273" s="1"/>
      <c r="AHE273" s="1"/>
      <c r="AHF273" s="1"/>
      <c r="AHG273" s="1"/>
      <c r="AHH273" s="1"/>
      <c r="AHI273" s="1"/>
      <c r="AHJ273" s="1"/>
      <c r="AHK273" s="1"/>
      <c r="AHL273" s="1"/>
      <c r="AHM273" s="1"/>
      <c r="AHN273" s="1"/>
      <c r="AHO273" s="1"/>
      <c r="AHP273" s="1"/>
      <c r="AHQ273" s="1"/>
      <c r="AHR273" s="1"/>
      <c r="AHS273" s="1"/>
      <c r="AHT273" s="1"/>
      <c r="AHU273" s="1"/>
      <c r="AHV273" s="1"/>
      <c r="AHW273" s="1"/>
      <c r="AHX273" s="1"/>
      <c r="AHY273" s="1"/>
      <c r="AHZ273" s="1"/>
      <c r="AIA273" s="1"/>
      <c r="AIB273" s="1"/>
      <c r="AIC273" s="1"/>
      <c r="AID273" s="1"/>
      <c r="AIE273" s="1"/>
      <c r="AIF273" s="1"/>
      <c r="AIG273" s="1"/>
      <c r="AIH273" s="1"/>
      <c r="AII273" s="1"/>
      <c r="AIJ273" s="1"/>
      <c r="AIK273" s="1"/>
      <c r="AIL273" s="1"/>
      <c r="AIM273" s="1"/>
      <c r="AIN273" s="1"/>
      <c r="AIO273" s="1"/>
      <c r="AIP273" s="1"/>
      <c r="AIQ273" s="1"/>
      <c r="AIR273" s="1"/>
      <c r="AIS273" s="1"/>
      <c r="AIT273" s="1"/>
      <c r="AIU273" s="1"/>
      <c r="AIV273" s="1"/>
      <c r="AIW273" s="1"/>
      <c r="AIX273" s="1"/>
      <c r="AIY273" s="1"/>
      <c r="AIZ273" s="1"/>
      <c r="AJA273" s="1"/>
      <c r="AJB273" s="1"/>
      <c r="AJC273" s="1"/>
      <c r="AJD273" s="1"/>
      <c r="AJE273" s="1"/>
      <c r="AJF273" s="1"/>
      <c r="AJG273" s="1"/>
      <c r="AJH273" s="1"/>
      <c r="AJI273" s="1"/>
      <c r="AJJ273" s="1"/>
      <c r="AJK273" s="1"/>
      <c r="AJL273" s="1"/>
      <c r="AJM273" s="1"/>
      <c r="AJN273" s="1"/>
      <c r="AJO273" s="1"/>
      <c r="AJP273" s="1"/>
      <c r="AJQ273" s="1"/>
      <c r="AJR273" s="1"/>
      <c r="AJS273" s="1"/>
      <c r="AJT273" s="1"/>
      <c r="AJU273" s="1"/>
      <c r="AJV273" s="1"/>
      <c r="AJW273" s="1"/>
      <c r="AJX273" s="1"/>
      <c r="AJY273" s="1"/>
      <c r="AJZ273" s="1"/>
      <c r="AKA273" s="1"/>
      <c r="AKB273" s="1"/>
      <c r="AKC273" s="1"/>
      <c r="AKD273" s="1"/>
      <c r="AKE273" s="1"/>
      <c r="AKF273" s="1"/>
      <c r="AKG273" s="1"/>
      <c r="AKH273" s="1"/>
      <c r="AKI273" s="1"/>
      <c r="AKJ273" s="1"/>
      <c r="AKK273" s="1"/>
      <c r="AKL273" s="1"/>
      <c r="AKM273" s="1"/>
      <c r="AKN273" s="1"/>
      <c r="AKO273" s="1"/>
      <c r="AKP273" s="1"/>
      <c r="AKQ273" s="1"/>
      <c r="AKR273" s="1"/>
      <c r="AKS273" s="1"/>
      <c r="AKT273" s="1"/>
      <c r="AKU273" s="1"/>
      <c r="AKV273" s="1"/>
      <c r="AKW273" s="1"/>
      <c r="AKX273" s="1"/>
      <c r="AKY273" s="1"/>
      <c r="AKZ273" s="1"/>
      <c r="ALA273" s="1"/>
      <c r="ALB273" s="1"/>
      <c r="ALC273" s="1"/>
      <c r="ALD273" s="1"/>
      <c r="ALE273" s="1"/>
      <c r="ALF273" s="1"/>
      <c r="ALG273" s="1"/>
      <c r="ALH273" s="1"/>
      <c r="ALI273" s="1"/>
      <c r="ALJ273" s="1"/>
      <c r="ALK273" s="1"/>
      <c r="ALL273" s="1"/>
      <c r="ALM273" s="1"/>
      <c r="ALN273" s="1"/>
      <c r="ALO273" s="1"/>
      <c r="ALP273" s="1"/>
      <c r="ALQ273" s="1"/>
      <c r="ALR273" s="1"/>
      <c r="ALS273" s="1"/>
      <c r="ALT273" s="1"/>
      <c r="ALU273" s="1"/>
      <c r="ALV273" s="1"/>
      <c r="ALW273" s="1"/>
      <c r="ALX273" s="1"/>
      <c r="ALY273" s="1"/>
      <c r="ALZ273" s="1"/>
      <c r="AMA273" s="1"/>
      <c r="AMB273" s="1"/>
      <c r="AMC273" s="1"/>
      <c r="AMD273" s="1"/>
      <c r="AME273" s="1"/>
      <c r="AMF273" s="1"/>
      <c r="AMG273" s="1"/>
      <c r="AMH273" s="1"/>
      <c r="AMI273" s="1"/>
      <c r="AMJ273" s="1"/>
      <c r="AMK273" s="1"/>
      <c r="AML273" s="1"/>
      <c r="AMM273" s="1"/>
      <c r="AMN273" s="1"/>
      <c r="AMO273" s="1"/>
    </row>
    <row r="274" spans="1:1030" x14ac:dyDescent="0.2">
      <c r="A274" s="3" t="str">
        <f>CONCATENATE(B274,"_",C274)</f>
        <v>ntr1_rat_4GRV</v>
      </c>
      <c r="B274" s="3" t="s">
        <v>907</v>
      </c>
      <c r="C274" s="3" t="s">
        <v>50</v>
      </c>
      <c r="D274" s="3" t="str">
        <f>IFERROR(MID(VLOOKUP($B274,Seqs!$A:$B,2,0),E274,1),"")</f>
        <v>I</v>
      </c>
      <c r="E274" s="3">
        <v>61</v>
      </c>
      <c r="F274" s="3" t="str">
        <f>IFERROR(MID(VLOOKUP($B274,Seqs!$A:$B,2,0),G274,1),"")</f>
        <v>T</v>
      </c>
      <c r="G274" s="3">
        <v>88</v>
      </c>
      <c r="H274" s="3" t="str">
        <f>IFERROR(MID(VLOOKUP($B274,Seqs!$A:$B,2,0),I274,1),"")</f>
        <v/>
      </c>
      <c r="I274" s="23" t="s">
        <v>23</v>
      </c>
      <c r="J274" s="3" t="str">
        <f>IFERROR(MID(VLOOKUP($B274,Seqs!$A:$B,2,0),K274,1),"")</f>
        <v/>
      </c>
      <c r="K274" s="23" t="s">
        <v>23</v>
      </c>
      <c r="L274" s="3" t="str">
        <f>IFERROR(MID(VLOOKUP($B274,Seqs!$A:$B,2,0),M274,1),"")</f>
        <v>Q</v>
      </c>
      <c r="M274" s="3">
        <v>99</v>
      </c>
      <c r="N274" s="3" t="str">
        <f>IFERROR(MID(VLOOKUP($B274,Seqs!$A:$B,2,0),O274,1),"")</f>
        <v>V</v>
      </c>
      <c r="O274" s="3">
        <v>131</v>
      </c>
      <c r="P274" s="3" t="str">
        <f>IFERROR(MID(VLOOKUP($B274,Seqs!$A:$B,2,0),Q274,1),"")</f>
        <v>P</v>
      </c>
      <c r="Q274" s="3">
        <v>134</v>
      </c>
      <c r="R274" s="3" t="str">
        <f>IFERROR(MID(VLOOKUP($B274,Seqs!$A:$B,2,0),S274,1),"")</f>
        <v>F</v>
      </c>
      <c r="S274" s="3">
        <v>137</v>
      </c>
      <c r="T274" s="3" t="str">
        <f>IFERROR(MID(VLOOKUP($B274,Seqs!$A:$B,2,0),U274,1),"")</f>
        <v>G</v>
      </c>
      <c r="U274" s="3">
        <v>138</v>
      </c>
      <c r="V274" s="3" t="str">
        <f>IFERROR(MID(VLOOKUP($B274,Seqs!$A:$B,2,0),W274,1),"")</f>
        <v>H</v>
      </c>
      <c r="W274" s="3">
        <v>173</v>
      </c>
      <c r="X274" s="3" t="str">
        <f>IFERROR(MID(VLOOKUP($B274,Seqs!$A:$B,2,0),Y274,1),"")</f>
        <v/>
      </c>
      <c r="Y274" s="3" t="s">
        <v>23</v>
      </c>
      <c r="Z274" s="3" t="str">
        <f>IFERROR(MID(VLOOKUP($B274,Seqs!$A:$B,2,0),AA274,1),"")</f>
        <v/>
      </c>
      <c r="AA274" s="3" t="s">
        <v>23</v>
      </c>
      <c r="AB274" s="3" t="str">
        <f>IFERROR(MID(VLOOKUP($B274,Seqs!$A:$B,2,0),AC274,1),"")</f>
        <v>T</v>
      </c>
      <c r="AC274" s="9">
        <v>186</v>
      </c>
      <c r="AD274" s="3" t="str">
        <f>IFERROR(MID(VLOOKUP($B274,Seqs!$A:$B,2,0),AE274,1),"")</f>
        <v>M</v>
      </c>
      <c r="AE274" s="3">
        <v>208</v>
      </c>
      <c r="AF274" s="3" t="str">
        <f>IFERROR(MID(VLOOKUP($B274,Seqs!$A:$B,2,0),AG274,1),"")</f>
        <v>C</v>
      </c>
      <c r="AG274" s="3">
        <v>225</v>
      </c>
      <c r="AH274" s="3" t="str">
        <f>IFERROR(MID(VLOOKUP($B274,Seqs!$A:$B,2,0),AI274,1),"")</f>
        <v>P</v>
      </c>
      <c r="AI274" s="3">
        <v>227</v>
      </c>
      <c r="AJ274" s="3" t="str">
        <f>IFERROR(MID(VLOOKUP($B274,Seqs!$A:$B,2,0),AK274,1),"")</f>
        <v>T</v>
      </c>
      <c r="AK274" s="3">
        <v>231</v>
      </c>
      <c r="AL274" s="3" t="str">
        <f>IFERROR(MID(VLOOKUP($B274,Seqs!$A:$B,2,0),AM274,1),"")</f>
        <v>T</v>
      </c>
      <c r="AM274" s="3">
        <v>265</v>
      </c>
      <c r="AN274" s="3" t="str">
        <f>IFERROR(MID(VLOOKUP($B274,Seqs!$A:$B,2,0),AO274,1),"")</f>
        <v>A</v>
      </c>
      <c r="AO274" s="3">
        <v>302</v>
      </c>
      <c r="AP274" s="3" t="str">
        <f>IFERROR(MID(VLOOKUP($B274,Seqs!$A:$B,2,0),AQ274,1),"")</f>
        <v>I</v>
      </c>
      <c r="AQ274" s="3">
        <v>334</v>
      </c>
      <c r="AR274" s="3" t="str">
        <f>IFERROR(MID(VLOOKUP($B274,Seqs!$A:$B,2,0),AS274,1),"")</f>
        <v>T</v>
      </c>
      <c r="AS274" s="3">
        <v>340</v>
      </c>
      <c r="AT274" s="3" t="str">
        <f>IFERROR(MID(VLOOKUP($B274,Seqs!$A:$B,2,0),AU274,1),"")</f>
        <v>S</v>
      </c>
      <c r="AU274" s="3">
        <v>361</v>
      </c>
      <c r="AV274" s="3" t="str">
        <f>IFERROR(MID(VLOOKUP($B274,Seqs!$A:$B,2,0),AW274,1),"")</f>
        <v/>
      </c>
      <c r="AW274" s="3" t="s">
        <v>23</v>
      </c>
      <c r="AX274" s="3" t="str">
        <f>IFERROR(MID(VLOOKUP($B274,Seqs!$A:$B,2,0),AY274,1),"")</f>
        <v/>
      </c>
      <c r="AY274" s="3" t="s">
        <v>23</v>
      </c>
      <c r="AZ274" s="77" t="str">
        <f>VLOOKUP(B274,Classification!A:D,2,0)</f>
        <v>A</v>
      </c>
      <c r="BA274" s="94" t="str">
        <f>VLOOKUP(B274,Classification!A:D,4,0)</f>
        <v>Neurotensin</v>
      </c>
      <c r="BB274" s="27" t="b">
        <f t="shared" si="1074"/>
        <v>1</v>
      </c>
      <c r="BC274" s="23">
        <f t="shared" si="1057"/>
        <v>220</v>
      </c>
      <c r="BD274" s="5" t="s">
        <v>23</v>
      </c>
      <c r="BE274" s="3" t="s">
        <v>1422</v>
      </c>
      <c r="BF274" s="118">
        <v>2.8</v>
      </c>
      <c r="BG274" s="49" t="s">
        <v>1371</v>
      </c>
      <c r="BH274" s="49" t="s">
        <v>1371</v>
      </c>
      <c r="BI274" s="1"/>
      <c r="BJ274" s="70" t="s">
        <v>1281</v>
      </c>
      <c r="BK274" s="57" t="s">
        <v>1281</v>
      </c>
      <c r="BL274" s="57" t="s">
        <v>1281</v>
      </c>
      <c r="BM274" s="57" t="s">
        <v>1281</v>
      </c>
      <c r="BN274" s="57" t="s">
        <v>1281</v>
      </c>
      <c r="BO274" s="57" t="s">
        <v>1281</v>
      </c>
      <c r="BP274" s="57" t="s">
        <v>1281</v>
      </c>
      <c r="BQ274" s="57" t="s">
        <v>1281</v>
      </c>
      <c r="BR274" s="57" t="s">
        <v>1281</v>
      </c>
      <c r="BS274" s="57" t="s">
        <v>1281</v>
      </c>
      <c r="BT274" s="57" t="s">
        <v>1281</v>
      </c>
      <c r="BU274" s="57" t="s">
        <v>1281</v>
      </c>
      <c r="BV274" s="70">
        <f>E274</f>
        <v>61</v>
      </c>
      <c r="BW274" s="71" t="str">
        <f>I274</f>
        <v>-</v>
      </c>
      <c r="BX274" s="72">
        <f>M274</f>
        <v>99</v>
      </c>
      <c r="BY274" s="71">
        <f>Q274</f>
        <v>134</v>
      </c>
      <c r="BZ274" s="72">
        <f>U274</f>
        <v>138</v>
      </c>
      <c r="CA274" s="71" t="str">
        <f>Y274</f>
        <v>-</v>
      </c>
      <c r="CB274" s="72">
        <f>AC274</f>
        <v>186</v>
      </c>
      <c r="CC274" s="71">
        <f>AG274</f>
        <v>225</v>
      </c>
      <c r="CD274" s="72">
        <f>AK274</f>
        <v>231</v>
      </c>
      <c r="CE274" s="71">
        <f>AO274</f>
        <v>302</v>
      </c>
      <c r="CF274" s="72">
        <f>AS274</f>
        <v>340</v>
      </c>
      <c r="CG274" s="71" t="str">
        <f>AW274</f>
        <v>-</v>
      </c>
      <c r="CH274" s="70">
        <f>G274</f>
        <v>88</v>
      </c>
      <c r="CI274" s="71" t="str">
        <f>K274</f>
        <v>-</v>
      </c>
      <c r="CJ274" s="72">
        <f>O274</f>
        <v>131</v>
      </c>
      <c r="CK274" s="72">
        <f>S274</f>
        <v>137</v>
      </c>
      <c r="CL274" s="72">
        <f>W274</f>
        <v>173</v>
      </c>
      <c r="CM274" s="72" t="str">
        <f>AA274</f>
        <v>-</v>
      </c>
      <c r="CN274" s="72">
        <f>AE274</f>
        <v>208</v>
      </c>
      <c r="CO274" s="72">
        <f>AI274</f>
        <v>227</v>
      </c>
      <c r="CP274" s="72">
        <f>AM274</f>
        <v>265</v>
      </c>
      <c r="CQ274" s="72">
        <f>AQ274</f>
        <v>334</v>
      </c>
      <c r="CR274" s="72">
        <f>AU274</f>
        <v>361</v>
      </c>
      <c r="CS274" s="72" t="str">
        <f>AY274</f>
        <v>-</v>
      </c>
      <c r="CT274" s="23" t="e">
        <f>M274-K274</f>
        <v>#VALUE!</v>
      </c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  <c r="UX274" s="1"/>
      <c r="UY274" s="1"/>
      <c r="UZ274" s="1"/>
      <c r="VA274" s="1"/>
      <c r="VB274" s="1"/>
      <c r="VC274" s="1"/>
      <c r="VD274" s="1"/>
      <c r="VE274" s="1"/>
      <c r="VF274" s="1"/>
      <c r="VG274" s="1"/>
      <c r="VH274" s="1"/>
      <c r="VI274" s="1"/>
      <c r="VJ274" s="1"/>
      <c r="VK274" s="1"/>
      <c r="VL274" s="1"/>
      <c r="VM274" s="1"/>
      <c r="VN274" s="1"/>
      <c r="VO274" s="1"/>
      <c r="VP274" s="1"/>
      <c r="VQ274" s="1"/>
      <c r="VR274" s="1"/>
      <c r="VS274" s="1"/>
      <c r="VT274" s="1"/>
      <c r="VU274" s="1"/>
      <c r="VV274" s="1"/>
      <c r="VW274" s="1"/>
      <c r="VX274" s="1"/>
      <c r="VY274" s="1"/>
      <c r="VZ274" s="1"/>
      <c r="WA274" s="1"/>
      <c r="WB274" s="1"/>
      <c r="WC274" s="1"/>
      <c r="WD274" s="1"/>
      <c r="WE274" s="1"/>
      <c r="WF274" s="1"/>
      <c r="WG274" s="1"/>
      <c r="WH274" s="1"/>
      <c r="WI274" s="1"/>
      <c r="WJ274" s="1"/>
      <c r="WK274" s="1"/>
      <c r="WL274" s="1"/>
      <c r="WM274" s="1"/>
      <c r="WN274" s="1"/>
      <c r="WO274" s="1"/>
      <c r="WP274" s="1"/>
      <c r="WQ274" s="1"/>
      <c r="WR274" s="1"/>
      <c r="WS274" s="1"/>
      <c r="WT274" s="1"/>
      <c r="WU274" s="1"/>
      <c r="WV274" s="1"/>
      <c r="WW274" s="1"/>
      <c r="WX274" s="1"/>
      <c r="WY274" s="1"/>
      <c r="WZ274" s="1"/>
      <c r="XA274" s="1"/>
      <c r="XB274" s="1"/>
      <c r="XC274" s="1"/>
      <c r="XD274" s="1"/>
      <c r="XE274" s="1"/>
      <c r="XF274" s="1"/>
      <c r="XG274" s="1"/>
      <c r="XH274" s="1"/>
      <c r="XI274" s="1"/>
      <c r="XJ274" s="1"/>
      <c r="XK274" s="1"/>
      <c r="XL274" s="1"/>
      <c r="XM274" s="1"/>
      <c r="XN274" s="1"/>
      <c r="XO274" s="1"/>
      <c r="XP274" s="1"/>
      <c r="XQ274" s="1"/>
      <c r="XR274" s="1"/>
      <c r="XS274" s="1"/>
      <c r="XT274" s="1"/>
      <c r="XU274" s="1"/>
      <c r="XV274" s="1"/>
      <c r="XW274" s="1"/>
      <c r="XX274" s="1"/>
      <c r="XY274" s="1"/>
      <c r="XZ274" s="1"/>
      <c r="YA274" s="1"/>
      <c r="YB274" s="1"/>
      <c r="YC274" s="1"/>
      <c r="YD274" s="1"/>
      <c r="YE274" s="1"/>
      <c r="YF274" s="1"/>
      <c r="YG274" s="1"/>
      <c r="YH274" s="1"/>
      <c r="YI274" s="1"/>
      <c r="YJ274" s="1"/>
      <c r="YK274" s="1"/>
      <c r="YL274" s="1"/>
      <c r="YM274" s="1"/>
      <c r="YN274" s="1"/>
      <c r="YO274" s="1"/>
      <c r="YP274" s="1"/>
      <c r="YQ274" s="1"/>
      <c r="YR274" s="1"/>
      <c r="YS274" s="1"/>
      <c r="YT274" s="1"/>
      <c r="YU274" s="1"/>
      <c r="YV274" s="1"/>
      <c r="YW274" s="1"/>
      <c r="YX274" s="1"/>
      <c r="YY274" s="1"/>
      <c r="YZ274" s="1"/>
      <c r="ZA274" s="1"/>
      <c r="ZB274" s="1"/>
      <c r="ZC274" s="1"/>
      <c r="ZD274" s="1"/>
      <c r="ZE274" s="1"/>
      <c r="ZF274" s="1"/>
      <c r="ZG274" s="1"/>
      <c r="ZH274" s="1"/>
      <c r="ZI274" s="1"/>
      <c r="ZJ274" s="1"/>
      <c r="ZK274" s="1"/>
      <c r="ZL274" s="1"/>
      <c r="ZM274" s="1"/>
      <c r="ZN274" s="1"/>
      <c r="ZO274" s="1"/>
      <c r="ZP274" s="1"/>
      <c r="ZQ274" s="1"/>
      <c r="ZR274" s="1"/>
      <c r="ZS274" s="1"/>
      <c r="ZT274" s="1"/>
      <c r="ZU274" s="1"/>
      <c r="ZV274" s="1"/>
      <c r="ZW274" s="1"/>
      <c r="ZX274" s="1"/>
      <c r="ZY274" s="1"/>
      <c r="ZZ274" s="1"/>
      <c r="AAA274" s="1"/>
      <c r="AAB274" s="1"/>
      <c r="AAC274" s="1"/>
      <c r="AAD274" s="1"/>
      <c r="AAE274" s="1"/>
      <c r="AAF274" s="1"/>
      <c r="AAG274" s="1"/>
      <c r="AAH274" s="1"/>
      <c r="AAI274" s="1"/>
      <c r="AAJ274" s="1"/>
      <c r="AAK274" s="1"/>
      <c r="AAL274" s="1"/>
      <c r="AAM274" s="1"/>
      <c r="AAN274" s="1"/>
      <c r="AAO274" s="1"/>
      <c r="AAP274" s="1"/>
      <c r="AAQ274" s="1"/>
      <c r="AAR274" s="1"/>
      <c r="AAS274" s="1"/>
      <c r="AAT274" s="1"/>
      <c r="AAU274" s="1"/>
      <c r="AAV274" s="1"/>
      <c r="AAW274" s="1"/>
      <c r="AAX274" s="1"/>
      <c r="AAY274" s="1"/>
      <c r="AAZ274" s="1"/>
      <c r="ABA274" s="1"/>
      <c r="ABB274" s="1"/>
      <c r="ABC274" s="1"/>
      <c r="ABD274" s="1"/>
      <c r="ABE274" s="1"/>
      <c r="ABF274" s="1"/>
      <c r="ABG274" s="1"/>
      <c r="ABH274" s="1"/>
      <c r="ABI274" s="1"/>
      <c r="ABJ274" s="1"/>
      <c r="ABK274" s="1"/>
      <c r="ABL274" s="1"/>
      <c r="ABM274" s="1"/>
      <c r="ABN274" s="1"/>
      <c r="ABO274" s="1"/>
      <c r="ABP274" s="1"/>
      <c r="ABQ274" s="1"/>
      <c r="ABR274" s="1"/>
      <c r="ABS274" s="1"/>
      <c r="ABT274" s="1"/>
      <c r="ABU274" s="1"/>
      <c r="ABV274" s="1"/>
      <c r="ABW274" s="1"/>
      <c r="ABX274" s="1"/>
      <c r="ABY274" s="1"/>
      <c r="ABZ274" s="1"/>
      <c r="ACA274" s="1"/>
      <c r="ACB274" s="1"/>
      <c r="ACC274" s="1"/>
      <c r="ACD274" s="1"/>
      <c r="ACE274" s="1"/>
      <c r="ACF274" s="1"/>
      <c r="ACG274" s="1"/>
      <c r="ACH274" s="1"/>
      <c r="ACI274" s="1"/>
      <c r="ACJ274" s="1"/>
      <c r="ACK274" s="1"/>
      <c r="ACL274" s="1"/>
      <c r="ACM274" s="1"/>
      <c r="ACN274" s="1"/>
      <c r="ACO274" s="1"/>
      <c r="ACP274" s="1"/>
      <c r="ACQ274" s="1"/>
      <c r="ACR274" s="1"/>
      <c r="ACS274" s="1"/>
      <c r="ACT274" s="1"/>
      <c r="ACU274" s="1"/>
      <c r="ACV274" s="1"/>
      <c r="ACW274" s="1"/>
      <c r="ACX274" s="1"/>
      <c r="ACY274" s="1"/>
      <c r="ACZ274" s="1"/>
      <c r="ADA274" s="1"/>
      <c r="ADB274" s="1"/>
      <c r="ADC274" s="1"/>
      <c r="ADD274" s="1"/>
      <c r="ADE274" s="1"/>
      <c r="ADF274" s="1"/>
      <c r="ADG274" s="1"/>
      <c r="ADH274" s="1"/>
      <c r="ADI274" s="1"/>
      <c r="ADJ274" s="1"/>
      <c r="ADK274" s="1"/>
      <c r="ADL274" s="1"/>
      <c r="ADM274" s="1"/>
      <c r="ADN274" s="1"/>
      <c r="ADO274" s="1"/>
      <c r="ADP274" s="1"/>
      <c r="ADQ274" s="1"/>
      <c r="ADR274" s="1"/>
      <c r="ADS274" s="1"/>
      <c r="ADT274" s="1"/>
      <c r="ADU274" s="1"/>
      <c r="ADV274" s="1"/>
      <c r="ADW274" s="1"/>
      <c r="ADX274" s="1"/>
      <c r="ADY274" s="1"/>
      <c r="ADZ274" s="1"/>
      <c r="AEA274" s="1"/>
      <c r="AEB274" s="1"/>
      <c r="AEC274" s="1"/>
      <c r="AED274" s="1"/>
      <c r="AEE274" s="1"/>
      <c r="AEF274" s="1"/>
      <c r="AEG274" s="1"/>
      <c r="AEH274" s="1"/>
      <c r="AEI274" s="1"/>
      <c r="AEJ274" s="1"/>
      <c r="AEK274" s="1"/>
      <c r="AEL274" s="1"/>
      <c r="AEM274" s="1"/>
      <c r="AEN274" s="1"/>
      <c r="AEO274" s="1"/>
      <c r="AEP274" s="1"/>
      <c r="AEQ274" s="1"/>
      <c r="AER274" s="1"/>
      <c r="AES274" s="1"/>
      <c r="AET274" s="1"/>
      <c r="AEU274" s="1"/>
      <c r="AEV274" s="1"/>
      <c r="AEW274" s="1"/>
      <c r="AEX274" s="1"/>
      <c r="AEY274" s="1"/>
      <c r="AEZ274" s="1"/>
      <c r="AFA274" s="1"/>
      <c r="AFB274" s="1"/>
      <c r="AFC274" s="1"/>
      <c r="AFD274" s="1"/>
      <c r="AFE274" s="1"/>
      <c r="AFF274" s="1"/>
      <c r="AFG274" s="1"/>
      <c r="AFH274" s="1"/>
      <c r="AFI274" s="1"/>
      <c r="AFJ274" s="1"/>
      <c r="AFK274" s="1"/>
      <c r="AFL274" s="1"/>
      <c r="AFM274" s="1"/>
      <c r="AFN274" s="1"/>
      <c r="AFO274" s="1"/>
      <c r="AFP274" s="1"/>
      <c r="AFQ274" s="1"/>
      <c r="AFR274" s="1"/>
      <c r="AFS274" s="1"/>
      <c r="AFT274" s="1"/>
      <c r="AFU274" s="1"/>
      <c r="AFV274" s="1"/>
      <c r="AFW274" s="1"/>
      <c r="AFX274" s="1"/>
      <c r="AFY274" s="1"/>
      <c r="AFZ274" s="1"/>
      <c r="AGA274" s="1"/>
      <c r="AGB274" s="1"/>
      <c r="AGC274" s="1"/>
      <c r="AGD274" s="1"/>
      <c r="AGE274" s="1"/>
      <c r="AGF274" s="1"/>
      <c r="AGG274" s="1"/>
      <c r="AGH274" s="1"/>
      <c r="AGI274" s="1"/>
      <c r="AGJ274" s="1"/>
      <c r="AGK274" s="1"/>
      <c r="AGL274" s="1"/>
      <c r="AGM274" s="1"/>
      <c r="AGN274" s="1"/>
      <c r="AGO274" s="1"/>
      <c r="AGP274" s="1"/>
      <c r="AGQ274" s="1"/>
      <c r="AGR274" s="1"/>
      <c r="AGS274" s="1"/>
      <c r="AGT274" s="1"/>
      <c r="AGU274" s="1"/>
      <c r="AGV274" s="1"/>
      <c r="AGW274" s="1"/>
      <c r="AGX274" s="1"/>
      <c r="AGY274" s="1"/>
      <c r="AGZ274" s="1"/>
      <c r="AHA274" s="1"/>
      <c r="AHB274" s="1"/>
      <c r="AHC274" s="1"/>
      <c r="AHD274" s="1"/>
      <c r="AHE274" s="1"/>
      <c r="AHF274" s="1"/>
      <c r="AHG274" s="1"/>
      <c r="AHH274" s="1"/>
      <c r="AHI274" s="1"/>
      <c r="AHJ274" s="1"/>
      <c r="AHK274" s="1"/>
      <c r="AHL274" s="1"/>
      <c r="AHM274" s="1"/>
      <c r="AHN274" s="1"/>
      <c r="AHO274" s="1"/>
      <c r="AHP274" s="1"/>
      <c r="AHQ274" s="1"/>
      <c r="AHR274" s="1"/>
      <c r="AHS274" s="1"/>
      <c r="AHT274" s="1"/>
      <c r="AHU274" s="1"/>
      <c r="AHV274" s="1"/>
      <c r="AHW274" s="1"/>
      <c r="AHX274" s="1"/>
      <c r="AHY274" s="1"/>
      <c r="AHZ274" s="1"/>
      <c r="AIA274" s="1"/>
      <c r="AIB274" s="1"/>
      <c r="AIC274" s="1"/>
      <c r="AID274" s="1"/>
      <c r="AIE274" s="1"/>
      <c r="AIF274" s="1"/>
      <c r="AIG274" s="1"/>
      <c r="AIH274" s="1"/>
      <c r="AII274" s="1"/>
      <c r="AIJ274" s="1"/>
      <c r="AIK274" s="1"/>
      <c r="AIL274" s="1"/>
      <c r="AIM274" s="1"/>
      <c r="AIN274" s="1"/>
      <c r="AIO274" s="1"/>
      <c r="AIP274" s="1"/>
      <c r="AIQ274" s="1"/>
      <c r="AIR274" s="1"/>
      <c r="AIS274" s="1"/>
      <c r="AIT274" s="1"/>
      <c r="AIU274" s="1"/>
      <c r="AIV274" s="1"/>
      <c r="AIW274" s="1"/>
      <c r="AIX274" s="1"/>
      <c r="AIY274" s="1"/>
      <c r="AIZ274" s="1"/>
      <c r="AJA274" s="1"/>
      <c r="AJB274" s="1"/>
      <c r="AJC274" s="1"/>
      <c r="AJD274" s="1"/>
      <c r="AJE274" s="1"/>
      <c r="AJF274" s="1"/>
      <c r="AJG274" s="1"/>
      <c r="AJH274" s="1"/>
      <c r="AJI274" s="1"/>
      <c r="AJJ274" s="1"/>
      <c r="AJK274" s="1"/>
      <c r="AJL274" s="1"/>
      <c r="AJM274" s="1"/>
      <c r="AJN274" s="1"/>
      <c r="AJO274" s="1"/>
      <c r="AJP274" s="1"/>
      <c r="AJQ274" s="1"/>
      <c r="AJR274" s="1"/>
      <c r="AJS274" s="1"/>
      <c r="AJT274" s="1"/>
      <c r="AJU274" s="1"/>
      <c r="AJV274" s="1"/>
      <c r="AJW274" s="1"/>
      <c r="AJX274" s="1"/>
      <c r="AJY274" s="1"/>
      <c r="AJZ274" s="1"/>
      <c r="AKA274" s="1"/>
      <c r="AKB274" s="1"/>
      <c r="AKC274" s="1"/>
      <c r="AKD274" s="1"/>
      <c r="AKE274" s="1"/>
      <c r="AKF274" s="1"/>
      <c r="AKG274" s="1"/>
      <c r="AKH274" s="1"/>
      <c r="AKI274" s="1"/>
      <c r="AKJ274" s="1"/>
      <c r="AKK274" s="1"/>
      <c r="AKL274" s="1"/>
      <c r="AKM274" s="1"/>
      <c r="AKN274" s="1"/>
      <c r="AKO274" s="1"/>
      <c r="AKP274" s="1"/>
      <c r="AKQ274" s="1"/>
      <c r="AKR274" s="1"/>
      <c r="AKS274" s="1"/>
      <c r="AKT274" s="1"/>
      <c r="AKU274" s="1"/>
      <c r="AKV274" s="1"/>
      <c r="AKW274" s="1"/>
      <c r="AKX274" s="1"/>
      <c r="AKY274" s="1"/>
      <c r="AKZ274" s="1"/>
      <c r="ALA274" s="1"/>
      <c r="ALB274" s="1"/>
      <c r="ALC274" s="1"/>
      <c r="ALD274" s="1"/>
      <c r="ALE274" s="1"/>
      <c r="ALF274" s="1"/>
      <c r="ALG274" s="1"/>
      <c r="ALH274" s="1"/>
      <c r="ALI274" s="1"/>
      <c r="ALJ274" s="1"/>
      <c r="ALK274" s="1"/>
      <c r="ALL274" s="1"/>
      <c r="ALM274" s="1"/>
      <c r="ALN274" s="1"/>
      <c r="ALO274" s="1"/>
      <c r="ALP274" s="1"/>
      <c r="ALQ274" s="1"/>
      <c r="ALR274" s="1"/>
      <c r="ALS274" s="1"/>
      <c r="ALT274" s="1"/>
      <c r="ALU274" s="1"/>
      <c r="ALV274" s="1"/>
      <c r="ALW274" s="1"/>
      <c r="ALX274" s="1"/>
      <c r="ALY274" s="1"/>
      <c r="ALZ274" s="1"/>
      <c r="AMA274" s="1"/>
      <c r="AMB274" s="1"/>
      <c r="AMC274" s="1"/>
      <c r="AMD274" s="1"/>
      <c r="AME274" s="1"/>
      <c r="AMF274" s="1"/>
      <c r="AMG274" s="1"/>
      <c r="AMH274" s="1"/>
      <c r="AMI274" s="1"/>
      <c r="AMJ274" s="1"/>
      <c r="AMK274" s="1"/>
      <c r="AML274" s="1"/>
      <c r="AMM274" s="1"/>
      <c r="AMN274" s="1"/>
      <c r="AMO274" s="1"/>
    </row>
    <row r="275" spans="1:1030" x14ac:dyDescent="0.2">
      <c r="A275" s="3" t="str">
        <f>CONCATENATE(B275,"_",C275)</f>
        <v>ntr1_rat_4XEE</v>
      </c>
      <c r="B275" s="3" t="s">
        <v>907</v>
      </c>
      <c r="C275" s="3" t="s">
        <v>1344</v>
      </c>
      <c r="D275" s="3" t="str">
        <f>IFERROR(MID(VLOOKUP($B275,Seqs!$A:$B,2,0),E275,1),"")</f>
        <v>I</v>
      </c>
      <c r="E275" s="3">
        <v>61</v>
      </c>
      <c r="F275" s="3" t="str">
        <f>IFERROR(MID(VLOOKUP($B275,Seqs!$A:$B,2,0),G275,1),"")</f>
        <v>R</v>
      </c>
      <c r="G275" s="3">
        <v>91</v>
      </c>
      <c r="H275" s="3" t="str">
        <f>IFERROR(MID(VLOOKUP($B275,Seqs!$A:$B,2,0),I275,1),"")</f>
        <v/>
      </c>
      <c r="I275" s="23" t="s">
        <v>23</v>
      </c>
      <c r="J275" s="3" t="str">
        <f>IFERROR(MID(VLOOKUP($B275,Seqs!$A:$B,2,0),K275,1),"")</f>
        <v/>
      </c>
      <c r="K275" s="23" t="s">
        <v>23</v>
      </c>
      <c r="L275" s="3" t="str">
        <f>IFERROR(MID(VLOOKUP($B275,Seqs!$A:$B,2,0),M275,1),"")</f>
        <v>S</v>
      </c>
      <c r="M275" s="3">
        <v>100</v>
      </c>
      <c r="N275" s="3" t="str">
        <f>IFERROR(MID(VLOOKUP($B275,Seqs!$A:$B,2,0),O275,1),"")</f>
        <v>V</v>
      </c>
      <c r="O275" s="3">
        <v>131</v>
      </c>
      <c r="P275" s="3" t="str">
        <f>IFERROR(MID(VLOOKUP($B275,Seqs!$A:$B,2,0),Q275,1),"")</f>
        <v>P</v>
      </c>
      <c r="Q275" s="3">
        <v>134</v>
      </c>
      <c r="R275" s="3" t="str">
        <f>IFERROR(MID(VLOOKUP($B275,Seqs!$A:$B,2,0),S275,1),"")</f>
        <v>F</v>
      </c>
      <c r="S275" s="3">
        <v>137</v>
      </c>
      <c r="T275" s="3" t="str">
        <f>IFERROR(MID(VLOOKUP($B275,Seqs!$A:$B,2,0),U275,1),"")</f>
        <v>G</v>
      </c>
      <c r="U275" s="3">
        <v>138</v>
      </c>
      <c r="V275" s="3" t="str">
        <f>IFERROR(MID(VLOOKUP($B275,Seqs!$A:$B,2,0),W275,1),"")</f>
        <v>H</v>
      </c>
      <c r="W275" s="3">
        <v>173</v>
      </c>
      <c r="X275" s="3" t="str">
        <f>IFERROR(MID(VLOOKUP($B275,Seqs!$A:$B,2,0),Y275,1),"")</f>
        <v>P</v>
      </c>
      <c r="Y275" s="3">
        <v>174</v>
      </c>
      <c r="Z275" s="3" t="str">
        <f>IFERROR(MID(VLOOKUP($B275,Seqs!$A:$B,2,0),AA275,1),"")</f>
        <v>M</v>
      </c>
      <c r="AA275" s="3">
        <v>181</v>
      </c>
      <c r="AB275" s="3" t="str">
        <f>IFERROR(MID(VLOOKUP($B275,Seqs!$A:$B,2,0),AC275,1),"")</f>
        <v>S</v>
      </c>
      <c r="AC275" s="9">
        <v>182</v>
      </c>
      <c r="AD275" s="3" t="str">
        <f>IFERROR(MID(VLOOKUP($B275,Seqs!$A:$B,2,0),AE275,1),"")</f>
        <v>M</v>
      </c>
      <c r="AE275" s="3">
        <v>208</v>
      </c>
      <c r="AF275" s="3" t="str">
        <f>IFERROR(MID(VLOOKUP($B275,Seqs!$A:$B,2,0),AG275,1),"")</f>
        <v>C</v>
      </c>
      <c r="AG275" s="3">
        <v>225</v>
      </c>
      <c r="AH275" s="3" t="str">
        <f>IFERROR(MID(VLOOKUP($B275,Seqs!$A:$B,2,0),AI275,1),"")</f>
        <v>P</v>
      </c>
      <c r="AI275" s="3">
        <v>227</v>
      </c>
      <c r="AJ275" s="3" t="str">
        <f>IFERROR(MID(VLOOKUP($B275,Seqs!$A:$B,2,0),AK275,1),"")</f>
        <v>T</v>
      </c>
      <c r="AK275" s="3">
        <v>231</v>
      </c>
      <c r="AL275" s="3" t="str">
        <f>IFERROR(MID(VLOOKUP($B275,Seqs!$A:$B,2,0),AM275,1),"")</f>
        <v>V</v>
      </c>
      <c r="AM275" s="3">
        <v>268</v>
      </c>
      <c r="AN275" s="3" t="str">
        <f>IFERROR(MID(VLOOKUP($B275,Seqs!$A:$B,2,0),AO275,1),"")</f>
        <v>Q</v>
      </c>
      <c r="AO275" s="3">
        <v>301</v>
      </c>
      <c r="AP275" s="3" t="str">
        <f>IFERROR(MID(VLOOKUP($B275,Seqs!$A:$B,2,0),AQ275,1),"")</f>
        <v>I</v>
      </c>
      <c r="AQ275" s="3">
        <v>334</v>
      </c>
      <c r="AR275" s="3" t="str">
        <f>IFERROR(MID(VLOOKUP($B275,Seqs!$A:$B,2,0),AS275,1),"")</f>
        <v>T</v>
      </c>
      <c r="AS275" s="3">
        <v>340</v>
      </c>
      <c r="AT275" s="3" t="str">
        <f>IFERROR(MID(VLOOKUP($B275,Seqs!$A:$B,2,0),AU275,1),"")</f>
        <v>I</v>
      </c>
      <c r="AU275" s="3">
        <v>364</v>
      </c>
      <c r="AV275" s="3" t="str">
        <f>IFERROR(MID(VLOOKUP($B275,Seqs!$A:$B,2,0),AW275,1),"")</f>
        <v/>
      </c>
      <c r="AW275" s="3" t="s">
        <v>23</v>
      </c>
      <c r="AX275" s="3" t="str">
        <f>IFERROR(MID(VLOOKUP($B275,Seqs!$A:$B,2,0),AY275,1),"")</f>
        <v/>
      </c>
      <c r="AY275" s="3" t="s">
        <v>23</v>
      </c>
      <c r="AZ275" s="77" t="str">
        <f>VLOOKUP(B275,Classification!A:D,2,0)</f>
        <v>A</v>
      </c>
      <c r="BA275" s="94" t="str">
        <f>VLOOKUP(B275,Classification!A:D,4,0)</f>
        <v>Neurotensin</v>
      </c>
      <c r="BB275" s="27" t="b">
        <f t="shared" si="1074"/>
        <v>1</v>
      </c>
      <c r="BC275" s="23">
        <f t="shared" si="1057"/>
        <v>240</v>
      </c>
      <c r="BD275" s="4" t="s">
        <v>23</v>
      </c>
      <c r="BE275" s="3" t="s">
        <v>1422</v>
      </c>
      <c r="BF275" s="118">
        <v>2.9</v>
      </c>
      <c r="BG275" s="49" t="s">
        <v>1371</v>
      </c>
      <c r="BH275" s="49" t="s">
        <v>1371</v>
      </c>
      <c r="BI275" s="1"/>
      <c r="BJ275" s="70" t="s">
        <v>1281</v>
      </c>
      <c r="BK275" s="57" t="s">
        <v>1281</v>
      </c>
      <c r="BL275" s="57" t="s">
        <v>1281</v>
      </c>
      <c r="BM275" s="57" t="s">
        <v>1281</v>
      </c>
      <c r="BN275" s="57" t="s">
        <v>1281</v>
      </c>
      <c r="BO275" s="57" t="s">
        <v>1281</v>
      </c>
      <c r="BP275" s="57" t="s">
        <v>1281</v>
      </c>
      <c r="BQ275" s="57" t="s">
        <v>1281</v>
      </c>
      <c r="BR275" s="57" t="s">
        <v>1281</v>
      </c>
      <c r="BS275" s="57" t="s">
        <v>1281</v>
      </c>
      <c r="BT275" s="57" t="s">
        <v>1281</v>
      </c>
      <c r="BU275" s="57" t="s">
        <v>1281</v>
      </c>
      <c r="BV275" s="70">
        <f>E275</f>
        <v>61</v>
      </c>
      <c r="BW275" s="71" t="str">
        <f>I275</f>
        <v>-</v>
      </c>
      <c r="BX275" s="72">
        <f>M275</f>
        <v>100</v>
      </c>
      <c r="BY275" s="71">
        <f>Q275</f>
        <v>134</v>
      </c>
      <c r="BZ275" s="72">
        <f>U275</f>
        <v>138</v>
      </c>
      <c r="CA275" s="71">
        <f>Y275</f>
        <v>174</v>
      </c>
      <c r="CB275" s="72">
        <f>AC275</f>
        <v>182</v>
      </c>
      <c r="CC275" s="71">
        <f>AG275</f>
        <v>225</v>
      </c>
      <c r="CD275" s="72">
        <f>AK275</f>
        <v>231</v>
      </c>
      <c r="CE275" s="71">
        <f>AO275</f>
        <v>301</v>
      </c>
      <c r="CF275" s="72">
        <f>AS275</f>
        <v>340</v>
      </c>
      <c r="CG275" s="71" t="str">
        <f>AW275</f>
        <v>-</v>
      </c>
      <c r="CH275" s="70">
        <f>G275</f>
        <v>91</v>
      </c>
      <c r="CI275" s="71" t="str">
        <f>K275</f>
        <v>-</v>
      </c>
      <c r="CJ275" s="72">
        <f>O275</f>
        <v>131</v>
      </c>
      <c r="CK275" s="72">
        <f>S275</f>
        <v>137</v>
      </c>
      <c r="CL275" s="72">
        <f>W275</f>
        <v>173</v>
      </c>
      <c r="CM275" s="72">
        <f>AA275</f>
        <v>181</v>
      </c>
      <c r="CN275" s="72">
        <f>AE275</f>
        <v>208</v>
      </c>
      <c r="CO275" s="72">
        <f>AI275</f>
        <v>227</v>
      </c>
      <c r="CP275" s="72">
        <f>AM275</f>
        <v>268</v>
      </c>
      <c r="CQ275" s="72">
        <f>AQ275</f>
        <v>334</v>
      </c>
      <c r="CR275" s="72">
        <f>AU275</f>
        <v>364</v>
      </c>
      <c r="CS275" s="72" t="str">
        <f>AY275</f>
        <v>-</v>
      </c>
      <c r="CT275" s="23" t="e">
        <f>M275-K275</f>
        <v>#VALUE!</v>
      </c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  <c r="UW275" s="1"/>
      <c r="UX275" s="1"/>
      <c r="UY275" s="1"/>
      <c r="UZ275" s="1"/>
      <c r="VA275" s="1"/>
      <c r="VB275" s="1"/>
      <c r="VC275" s="1"/>
      <c r="VD275" s="1"/>
      <c r="VE275" s="1"/>
      <c r="VF275" s="1"/>
      <c r="VG275" s="1"/>
      <c r="VH275" s="1"/>
      <c r="VI275" s="1"/>
      <c r="VJ275" s="1"/>
      <c r="VK275" s="1"/>
      <c r="VL275" s="1"/>
      <c r="VM275" s="1"/>
      <c r="VN275" s="1"/>
      <c r="VO275" s="1"/>
      <c r="VP275" s="1"/>
      <c r="VQ275" s="1"/>
      <c r="VR275" s="1"/>
      <c r="VS275" s="1"/>
      <c r="VT275" s="1"/>
      <c r="VU275" s="1"/>
      <c r="VV275" s="1"/>
      <c r="VW275" s="1"/>
      <c r="VX275" s="1"/>
      <c r="VY275" s="1"/>
      <c r="VZ275" s="1"/>
      <c r="WA275" s="1"/>
      <c r="WB275" s="1"/>
      <c r="WC275" s="1"/>
      <c r="WD275" s="1"/>
      <c r="WE275" s="1"/>
      <c r="WF275" s="1"/>
      <c r="WG275" s="1"/>
      <c r="WH275" s="1"/>
      <c r="WI275" s="1"/>
      <c r="WJ275" s="1"/>
      <c r="WK275" s="1"/>
      <c r="WL275" s="1"/>
      <c r="WM275" s="1"/>
      <c r="WN275" s="1"/>
      <c r="WO275" s="1"/>
      <c r="WP275" s="1"/>
      <c r="WQ275" s="1"/>
      <c r="WR275" s="1"/>
      <c r="WS275" s="1"/>
      <c r="WT275" s="1"/>
      <c r="WU275" s="1"/>
      <c r="WV275" s="1"/>
      <c r="WW275" s="1"/>
      <c r="WX275" s="1"/>
      <c r="WY275" s="1"/>
      <c r="WZ275" s="1"/>
      <c r="XA275" s="1"/>
      <c r="XB275" s="1"/>
      <c r="XC275" s="1"/>
      <c r="XD275" s="1"/>
      <c r="XE275" s="1"/>
      <c r="XF275" s="1"/>
      <c r="XG275" s="1"/>
      <c r="XH275" s="1"/>
      <c r="XI275" s="1"/>
      <c r="XJ275" s="1"/>
      <c r="XK275" s="1"/>
      <c r="XL275" s="1"/>
      <c r="XM275" s="1"/>
      <c r="XN275" s="1"/>
      <c r="XO275" s="1"/>
      <c r="XP275" s="1"/>
      <c r="XQ275" s="1"/>
      <c r="XR275" s="1"/>
      <c r="XS275" s="1"/>
      <c r="XT275" s="1"/>
      <c r="XU275" s="1"/>
      <c r="XV275" s="1"/>
      <c r="XW275" s="1"/>
      <c r="XX275" s="1"/>
      <c r="XY275" s="1"/>
      <c r="XZ275" s="1"/>
      <c r="YA275" s="1"/>
      <c r="YB275" s="1"/>
      <c r="YC275" s="1"/>
      <c r="YD275" s="1"/>
      <c r="YE275" s="1"/>
      <c r="YF275" s="1"/>
      <c r="YG275" s="1"/>
      <c r="YH275" s="1"/>
      <c r="YI275" s="1"/>
      <c r="YJ275" s="1"/>
      <c r="YK275" s="1"/>
      <c r="YL275" s="1"/>
      <c r="YM275" s="1"/>
      <c r="YN275" s="1"/>
      <c r="YO275" s="1"/>
      <c r="YP275" s="1"/>
      <c r="YQ275" s="1"/>
      <c r="YR275" s="1"/>
      <c r="YS275" s="1"/>
      <c r="YT275" s="1"/>
      <c r="YU275" s="1"/>
      <c r="YV275" s="1"/>
      <c r="YW275" s="1"/>
      <c r="YX275" s="1"/>
      <c r="YY275" s="1"/>
      <c r="YZ275" s="1"/>
      <c r="ZA275" s="1"/>
      <c r="ZB275" s="1"/>
      <c r="ZC275" s="1"/>
      <c r="ZD275" s="1"/>
      <c r="ZE275" s="1"/>
      <c r="ZF275" s="1"/>
      <c r="ZG275" s="1"/>
      <c r="ZH275" s="1"/>
      <c r="ZI275" s="1"/>
      <c r="ZJ275" s="1"/>
      <c r="ZK275" s="1"/>
      <c r="ZL275" s="1"/>
      <c r="ZM275" s="1"/>
      <c r="ZN275" s="1"/>
      <c r="ZO275" s="1"/>
      <c r="ZP275" s="1"/>
      <c r="ZQ275" s="1"/>
      <c r="ZR275" s="1"/>
      <c r="ZS275" s="1"/>
      <c r="ZT275" s="1"/>
      <c r="ZU275" s="1"/>
      <c r="ZV275" s="1"/>
      <c r="ZW275" s="1"/>
      <c r="ZX275" s="1"/>
      <c r="ZY275" s="1"/>
      <c r="ZZ275" s="1"/>
      <c r="AAA275" s="1"/>
      <c r="AAB275" s="1"/>
      <c r="AAC275" s="1"/>
      <c r="AAD275" s="1"/>
      <c r="AAE275" s="1"/>
      <c r="AAF275" s="1"/>
      <c r="AAG275" s="1"/>
      <c r="AAH275" s="1"/>
      <c r="AAI275" s="1"/>
      <c r="AAJ275" s="1"/>
      <c r="AAK275" s="1"/>
      <c r="AAL275" s="1"/>
      <c r="AAM275" s="1"/>
      <c r="AAN275" s="1"/>
      <c r="AAO275" s="1"/>
      <c r="AAP275" s="1"/>
      <c r="AAQ275" s="1"/>
      <c r="AAR275" s="1"/>
      <c r="AAS275" s="1"/>
      <c r="AAT275" s="1"/>
      <c r="AAU275" s="1"/>
      <c r="AAV275" s="1"/>
      <c r="AAW275" s="1"/>
      <c r="AAX275" s="1"/>
      <c r="AAY275" s="1"/>
      <c r="AAZ275" s="1"/>
      <c r="ABA275" s="1"/>
      <c r="ABB275" s="1"/>
      <c r="ABC275" s="1"/>
      <c r="ABD275" s="1"/>
      <c r="ABE275" s="1"/>
      <c r="ABF275" s="1"/>
      <c r="ABG275" s="1"/>
      <c r="ABH275" s="1"/>
      <c r="ABI275" s="1"/>
      <c r="ABJ275" s="1"/>
      <c r="ABK275" s="1"/>
      <c r="ABL275" s="1"/>
      <c r="ABM275" s="1"/>
      <c r="ABN275" s="1"/>
      <c r="ABO275" s="1"/>
      <c r="ABP275" s="1"/>
      <c r="ABQ275" s="1"/>
      <c r="ABR275" s="1"/>
      <c r="ABS275" s="1"/>
      <c r="ABT275" s="1"/>
      <c r="ABU275" s="1"/>
      <c r="ABV275" s="1"/>
      <c r="ABW275" s="1"/>
      <c r="ABX275" s="1"/>
      <c r="ABY275" s="1"/>
      <c r="ABZ275" s="1"/>
      <c r="ACA275" s="1"/>
      <c r="ACB275" s="1"/>
      <c r="ACC275" s="1"/>
      <c r="ACD275" s="1"/>
      <c r="ACE275" s="1"/>
      <c r="ACF275" s="1"/>
      <c r="ACG275" s="1"/>
      <c r="ACH275" s="1"/>
      <c r="ACI275" s="1"/>
      <c r="ACJ275" s="1"/>
      <c r="ACK275" s="1"/>
      <c r="ACL275" s="1"/>
      <c r="ACM275" s="1"/>
      <c r="ACN275" s="1"/>
      <c r="ACO275" s="1"/>
      <c r="ACP275" s="1"/>
      <c r="ACQ275" s="1"/>
      <c r="ACR275" s="1"/>
      <c r="ACS275" s="1"/>
      <c r="ACT275" s="1"/>
      <c r="ACU275" s="1"/>
      <c r="ACV275" s="1"/>
      <c r="ACW275" s="1"/>
      <c r="ACX275" s="1"/>
      <c r="ACY275" s="1"/>
      <c r="ACZ275" s="1"/>
      <c r="ADA275" s="1"/>
      <c r="ADB275" s="1"/>
      <c r="ADC275" s="1"/>
      <c r="ADD275" s="1"/>
      <c r="ADE275" s="1"/>
      <c r="ADF275" s="1"/>
      <c r="ADG275" s="1"/>
      <c r="ADH275" s="1"/>
      <c r="ADI275" s="1"/>
      <c r="ADJ275" s="1"/>
      <c r="ADK275" s="1"/>
      <c r="ADL275" s="1"/>
      <c r="ADM275" s="1"/>
      <c r="ADN275" s="1"/>
      <c r="ADO275" s="1"/>
      <c r="ADP275" s="1"/>
      <c r="ADQ275" s="1"/>
      <c r="ADR275" s="1"/>
      <c r="ADS275" s="1"/>
      <c r="ADT275" s="1"/>
      <c r="ADU275" s="1"/>
      <c r="ADV275" s="1"/>
      <c r="ADW275" s="1"/>
      <c r="ADX275" s="1"/>
      <c r="ADY275" s="1"/>
      <c r="ADZ275" s="1"/>
      <c r="AEA275" s="1"/>
      <c r="AEB275" s="1"/>
      <c r="AEC275" s="1"/>
      <c r="AED275" s="1"/>
      <c r="AEE275" s="1"/>
      <c r="AEF275" s="1"/>
      <c r="AEG275" s="1"/>
      <c r="AEH275" s="1"/>
      <c r="AEI275" s="1"/>
      <c r="AEJ275" s="1"/>
      <c r="AEK275" s="1"/>
      <c r="AEL275" s="1"/>
      <c r="AEM275" s="1"/>
      <c r="AEN275" s="1"/>
      <c r="AEO275" s="1"/>
      <c r="AEP275" s="1"/>
      <c r="AEQ275" s="1"/>
      <c r="AER275" s="1"/>
      <c r="AES275" s="1"/>
      <c r="AET275" s="1"/>
      <c r="AEU275" s="1"/>
      <c r="AEV275" s="1"/>
      <c r="AEW275" s="1"/>
      <c r="AEX275" s="1"/>
      <c r="AEY275" s="1"/>
      <c r="AEZ275" s="1"/>
      <c r="AFA275" s="1"/>
      <c r="AFB275" s="1"/>
      <c r="AFC275" s="1"/>
      <c r="AFD275" s="1"/>
      <c r="AFE275" s="1"/>
      <c r="AFF275" s="1"/>
      <c r="AFG275" s="1"/>
      <c r="AFH275" s="1"/>
      <c r="AFI275" s="1"/>
      <c r="AFJ275" s="1"/>
      <c r="AFK275" s="1"/>
      <c r="AFL275" s="1"/>
      <c r="AFM275" s="1"/>
      <c r="AFN275" s="1"/>
      <c r="AFO275" s="1"/>
      <c r="AFP275" s="1"/>
      <c r="AFQ275" s="1"/>
      <c r="AFR275" s="1"/>
      <c r="AFS275" s="1"/>
      <c r="AFT275" s="1"/>
      <c r="AFU275" s="1"/>
      <c r="AFV275" s="1"/>
      <c r="AFW275" s="1"/>
      <c r="AFX275" s="1"/>
      <c r="AFY275" s="1"/>
      <c r="AFZ275" s="1"/>
      <c r="AGA275" s="1"/>
      <c r="AGB275" s="1"/>
      <c r="AGC275" s="1"/>
      <c r="AGD275" s="1"/>
      <c r="AGE275" s="1"/>
      <c r="AGF275" s="1"/>
      <c r="AGG275" s="1"/>
      <c r="AGH275" s="1"/>
      <c r="AGI275" s="1"/>
      <c r="AGJ275" s="1"/>
      <c r="AGK275" s="1"/>
      <c r="AGL275" s="1"/>
      <c r="AGM275" s="1"/>
      <c r="AGN275" s="1"/>
      <c r="AGO275" s="1"/>
      <c r="AGP275" s="1"/>
      <c r="AGQ275" s="1"/>
      <c r="AGR275" s="1"/>
      <c r="AGS275" s="1"/>
      <c r="AGT275" s="1"/>
      <c r="AGU275" s="1"/>
      <c r="AGV275" s="1"/>
      <c r="AGW275" s="1"/>
      <c r="AGX275" s="1"/>
      <c r="AGY275" s="1"/>
      <c r="AGZ275" s="1"/>
      <c r="AHA275" s="1"/>
      <c r="AHB275" s="1"/>
      <c r="AHC275" s="1"/>
      <c r="AHD275" s="1"/>
      <c r="AHE275" s="1"/>
      <c r="AHF275" s="1"/>
      <c r="AHG275" s="1"/>
      <c r="AHH275" s="1"/>
      <c r="AHI275" s="1"/>
      <c r="AHJ275" s="1"/>
      <c r="AHK275" s="1"/>
      <c r="AHL275" s="1"/>
      <c r="AHM275" s="1"/>
      <c r="AHN275" s="1"/>
      <c r="AHO275" s="1"/>
      <c r="AHP275" s="1"/>
      <c r="AHQ275" s="1"/>
      <c r="AHR275" s="1"/>
      <c r="AHS275" s="1"/>
      <c r="AHT275" s="1"/>
      <c r="AHU275" s="1"/>
      <c r="AHV275" s="1"/>
      <c r="AHW275" s="1"/>
      <c r="AHX275" s="1"/>
      <c r="AHY275" s="1"/>
      <c r="AHZ275" s="1"/>
      <c r="AIA275" s="1"/>
      <c r="AIB275" s="1"/>
      <c r="AIC275" s="1"/>
      <c r="AID275" s="1"/>
      <c r="AIE275" s="1"/>
      <c r="AIF275" s="1"/>
      <c r="AIG275" s="1"/>
      <c r="AIH275" s="1"/>
      <c r="AII275" s="1"/>
      <c r="AIJ275" s="1"/>
      <c r="AIK275" s="1"/>
      <c r="AIL275" s="1"/>
      <c r="AIM275" s="1"/>
      <c r="AIN275" s="1"/>
      <c r="AIO275" s="1"/>
      <c r="AIP275" s="1"/>
      <c r="AIQ275" s="1"/>
      <c r="AIR275" s="1"/>
      <c r="AIS275" s="1"/>
      <c r="AIT275" s="1"/>
      <c r="AIU275" s="1"/>
      <c r="AIV275" s="1"/>
      <c r="AIW275" s="1"/>
      <c r="AIX275" s="1"/>
      <c r="AIY275" s="1"/>
      <c r="AIZ275" s="1"/>
      <c r="AJA275" s="1"/>
      <c r="AJB275" s="1"/>
      <c r="AJC275" s="1"/>
      <c r="AJD275" s="1"/>
      <c r="AJE275" s="1"/>
      <c r="AJF275" s="1"/>
      <c r="AJG275" s="1"/>
      <c r="AJH275" s="1"/>
      <c r="AJI275" s="1"/>
      <c r="AJJ275" s="1"/>
      <c r="AJK275" s="1"/>
      <c r="AJL275" s="1"/>
      <c r="AJM275" s="1"/>
      <c r="AJN275" s="1"/>
      <c r="AJO275" s="1"/>
      <c r="AJP275" s="1"/>
      <c r="AJQ275" s="1"/>
      <c r="AJR275" s="1"/>
      <c r="AJS275" s="1"/>
      <c r="AJT275" s="1"/>
      <c r="AJU275" s="1"/>
      <c r="AJV275" s="1"/>
      <c r="AJW275" s="1"/>
      <c r="AJX275" s="1"/>
      <c r="AJY275" s="1"/>
      <c r="AJZ275" s="1"/>
      <c r="AKA275" s="1"/>
      <c r="AKB275" s="1"/>
      <c r="AKC275" s="1"/>
      <c r="AKD275" s="1"/>
      <c r="AKE275" s="1"/>
      <c r="AKF275" s="1"/>
      <c r="AKG275" s="1"/>
      <c r="AKH275" s="1"/>
      <c r="AKI275" s="1"/>
      <c r="AKJ275" s="1"/>
      <c r="AKK275" s="1"/>
      <c r="AKL275" s="1"/>
      <c r="AKM275" s="1"/>
      <c r="AKN275" s="1"/>
      <c r="AKO275" s="1"/>
      <c r="AKP275" s="1"/>
      <c r="AKQ275" s="1"/>
      <c r="AKR275" s="1"/>
      <c r="AKS275" s="1"/>
      <c r="AKT275" s="1"/>
      <c r="AKU275" s="1"/>
      <c r="AKV275" s="1"/>
      <c r="AKW275" s="1"/>
      <c r="AKX275" s="1"/>
      <c r="AKY275" s="1"/>
      <c r="AKZ275" s="1"/>
      <c r="ALA275" s="1"/>
      <c r="ALB275" s="1"/>
      <c r="ALC275" s="1"/>
      <c r="ALD275" s="1"/>
      <c r="ALE275" s="1"/>
      <c r="ALF275" s="1"/>
      <c r="ALG275" s="1"/>
      <c r="ALH275" s="1"/>
      <c r="ALI275" s="1"/>
      <c r="ALJ275" s="1"/>
      <c r="ALK275" s="1"/>
      <c r="ALL275" s="1"/>
      <c r="ALM275" s="1"/>
      <c r="ALN275" s="1"/>
      <c r="ALO275" s="1"/>
      <c r="ALP275" s="1"/>
      <c r="ALQ275" s="1"/>
      <c r="ALR275" s="1"/>
      <c r="ALS275" s="1"/>
      <c r="ALT275" s="1"/>
      <c r="ALU275" s="1"/>
      <c r="ALV275" s="1"/>
      <c r="ALW275" s="1"/>
      <c r="ALX275" s="1"/>
      <c r="ALY275" s="1"/>
      <c r="ALZ275" s="1"/>
      <c r="AMA275" s="1"/>
      <c r="AMB275" s="1"/>
      <c r="AMC275" s="1"/>
      <c r="AMD275" s="1"/>
      <c r="AME275" s="1"/>
      <c r="AMF275" s="1"/>
      <c r="AMG275" s="1"/>
      <c r="AMH275" s="1"/>
      <c r="AMI275" s="1"/>
      <c r="AMJ275" s="1"/>
      <c r="AMK275" s="1"/>
      <c r="AML275" s="1"/>
      <c r="AMM275" s="1"/>
      <c r="AMN275" s="1"/>
      <c r="AMO275" s="1"/>
    </row>
    <row r="276" spans="1:1030" x14ac:dyDescent="0.2">
      <c r="A276" s="3" t="str">
        <f>CONCATENATE(B276,"_",C276)</f>
        <v>ntr1_rat_4XES</v>
      </c>
      <c r="B276" s="3" t="s">
        <v>907</v>
      </c>
      <c r="C276" s="3" t="s">
        <v>1345</v>
      </c>
      <c r="D276" s="3" t="str">
        <f>IFERROR(MID(VLOOKUP($B276,Seqs!$A:$B,2,0),E276,1),"")</f>
        <v>I</v>
      </c>
      <c r="E276" s="3">
        <v>61</v>
      </c>
      <c r="F276" s="3" t="str">
        <f>IFERROR(MID(VLOOKUP($B276,Seqs!$A:$B,2,0),G276,1),"")</f>
        <v>K</v>
      </c>
      <c r="G276" s="3">
        <v>92</v>
      </c>
      <c r="H276" s="3" t="str">
        <f>IFERROR(MID(VLOOKUP($B276,Seqs!$A:$B,2,0),I276,1),"")</f>
        <v/>
      </c>
      <c r="I276" s="23" t="s">
        <v>23</v>
      </c>
      <c r="J276" s="3" t="str">
        <f>IFERROR(MID(VLOOKUP($B276,Seqs!$A:$B,2,0),K276,1),"")</f>
        <v/>
      </c>
      <c r="K276" s="23" t="s">
        <v>23</v>
      </c>
      <c r="L276" s="3" t="str">
        <f>IFERROR(MID(VLOOKUP($B276,Seqs!$A:$B,2,0),M276,1),"")</f>
        <v>S</v>
      </c>
      <c r="M276" s="3">
        <v>97</v>
      </c>
      <c r="N276" s="3" t="str">
        <f>IFERROR(MID(VLOOKUP($B276,Seqs!$A:$B,2,0),O276,1),"")</f>
        <v>V</v>
      </c>
      <c r="O276" s="3">
        <v>131</v>
      </c>
      <c r="P276" s="3" t="str">
        <f>IFERROR(MID(VLOOKUP($B276,Seqs!$A:$B,2,0),Q276,1),"")</f>
        <v>P</v>
      </c>
      <c r="Q276" s="3">
        <v>134</v>
      </c>
      <c r="R276" s="3" t="str">
        <f>IFERROR(MID(VLOOKUP($B276,Seqs!$A:$B,2,0),S276,1),"")</f>
        <v>F</v>
      </c>
      <c r="S276" s="3">
        <v>137</v>
      </c>
      <c r="T276" s="3" t="str">
        <f>IFERROR(MID(VLOOKUP($B276,Seqs!$A:$B,2,0),U276,1),"")</f>
        <v>G</v>
      </c>
      <c r="U276" s="3">
        <v>138</v>
      </c>
      <c r="V276" s="3" t="str">
        <f>IFERROR(MID(VLOOKUP($B276,Seqs!$A:$B,2,0),W276,1),"")</f>
        <v>H</v>
      </c>
      <c r="W276" s="3">
        <v>173</v>
      </c>
      <c r="X276" s="3" t="str">
        <f>IFERROR(MID(VLOOKUP($B276,Seqs!$A:$B,2,0),Y276,1),"")</f>
        <v>P</v>
      </c>
      <c r="Y276" s="3">
        <v>174</v>
      </c>
      <c r="Z276" s="3" t="str">
        <f>IFERROR(MID(VLOOKUP($B276,Seqs!$A:$B,2,0),AA276,1),"")</f>
        <v>M</v>
      </c>
      <c r="AA276" s="3">
        <v>181</v>
      </c>
      <c r="AB276" s="3" t="str">
        <f>IFERROR(MID(VLOOKUP($B276,Seqs!$A:$B,2,0),AC276,1),"")</f>
        <v>S</v>
      </c>
      <c r="AC276" s="9">
        <v>182</v>
      </c>
      <c r="AD276" s="3" t="str">
        <f>IFERROR(MID(VLOOKUP($B276,Seqs!$A:$B,2,0),AE276,1),"")</f>
        <v>M</v>
      </c>
      <c r="AE276" s="3">
        <v>208</v>
      </c>
      <c r="AF276" s="3" t="str">
        <f>IFERROR(MID(VLOOKUP($B276,Seqs!$A:$B,2,0),AG276,1),"")</f>
        <v>C</v>
      </c>
      <c r="AG276" s="3">
        <v>225</v>
      </c>
      <c r="AH276" s="3" t="str">
        <f>IFERROR(MID(VLOOKUP($B276,Seqs!$A:$B,2,0),AI276,1),"")</f>
        <v>P</v>
      </c>
      <c r="AI276" s="3">
        <v>227</v>
      </c>
      <c r="AJ276" s="3" t="str">
        <f>IFERROR(MID(VLOOKUP($B276,Seqs!$A:$B,2,0),AK276,1),"")</f>
        <v>T</v>
      </c>
      <c r="AK276" s="3">
        <v>231</v>
      </c>
      <c r="AL276" s="3" t="str">
        <f>IFERROR(MID(VLOOKUP($B276,Seqs!$A:$B,2,0),AM276,1),"")</f>
        <v>V</v>
      </c>
      <c r="AM276" s="3">
        <v>268</v>
      </c>
      <c r="AN276" s="3" t="str">
        <f>IFERROR(MID(VLOOKUP($B276,Seqs!$A:$B,2,0),AO276,1),"")</f>
        <v>A</v>
      </c>
      <c r="AO276" s="3">
        <v>302</v>
      </c>
      <c r="AP276" s="3" t="str">
        <f>IFERROR(MID(VLOOKUP($B276,Seqs!$A:$B,2,0),AQ276,1),"")</f>
        <v>I</v>
      </c>
      <c r="AQ276" s="3">
        <v>334</v>
      </c>
      <c r="AR276" s="3" t="str">
        <f>IFERROR(MID(VLOOKUP($B276,Seqs!$A:$B,2,0),AS276,1),"")</f>
        <v>T</v>
      </c>
      <c r="AS276" s="3">
        <v>340</v>
      </c>
      <c r="AT276" s="3" t="str">
        <f>IFERROR(MID(VLOOKUP($B276,Seqs!$A:$B,2,0),AU276,1),"")</f>
        <v>I</v>
      </c>
      <c r="AU276" s="3">
        <v>364</v>
      </c>
      <c r="AV276" s="3" t="str">
        <f>IFERROR(MID(VLOOKUP($B276,Seqs!$A:$B,2,0),AW276,1),"")</f>
        <v/>
      </c>
      <c r="AW276" s="3" t="s">
        <v>23</v>
      </c>
      <c r="AX276" s="3" t="str">
        <f>IFERROR(MID(VLOOKUP($B276,Seqs!$A:$B,2,0),AY276,1),"")</f>
        <v/>
      </c>
      <c r="AY276" s="3" t="s">
        <v>23</v>
      </c>
      <c r="AZ276" s="77" t="str">
        <f>VLOOKUP(B276,Classification!A:D,2,0)</f>
        <v>A</v>
      </c>
      <c r="BA276" s="94" t="str">
        <f>VLOOKUP(B276,Classification!A:D,4,0)</f>
        <v>Neurotensin</v>
      </c>
      <c r="BB276" s="27" t="b">
        <f t="shared" si="1074"/>
        <v>1</v>
      </c>
      <c r="BC276" s="23">
        <f t="shared" si="1057"/>
        <v>243</v>
      </c>
      <c r="BD276" s="5" t="s">
        <v>23</v>
      </c>
      <c r="BE276" s="3" t="s">
        <v>1422</v>
      </c>
      <c r="BF276" s="118">
        <v>2.6</v>
      </c>
      <c r="BG276" s="49" t="s">
        <v>1371</v>
      </c>
      <c r="BH276" s="49" t="s">
        <v>1371</v>
      </c>
      <c r="BI276" s="1"/>
      <c r="BJ276" s="70" t="s">
        <v>1281</v>
      </c>
      <c r="BK276" s="57" t="s">
        <v>1281</v>
      </c>
      <c r="BL276" s="57" t="s">
        <v>1281</v>
      </c>
      <c r="BM276" s="57" t="s">
        <v>1281</v>
      </c>
      <c r="BN276" s="57" t="s">
        <v>1281</v>
      </c>
      <c r="BO276" s="57" t="s">
        <v>1281</v>
      </c>
      <c r="BP276" s="57" t="s">
        <v>1281</v>
      </c>
      <c r="BQ276" s="57" t="s">
        <v>1281</v>
      </c>
      <c r="BR276" s="57" t="s">
        <v>1281</v>
      </c>
      <c r="BS276" s="57" t="s">
        <v>1281</v>
      </c>
      <c r="BT276" s="57" t="s">
        <v>1281</v>
      </c>
      <c r="BU276" s="57" t="s">
        <v>1281</v>
      </c>
      <c r="BV276" s="70">
        <f>E276</f>
        <v>61</v>
      </c>
      <c r="BW276" s="71" t="str">
        <f>I276</f>
        <v>-</v>
      </c>
      <c r="BX276" s="72">
        <f>M276</f>
        <v>97</v>
      </c>
      <c r="BY276" s="71">
        <f>Q276</f>
        <v>134</v>
      </c>
      <c r="BZ276" s="72">
        <f>U276</f>
        <v>138</v>
      </c>
      <c r="CA276" s="71">
        <f>Y276</f>
        <v>174</v>
      </c>
      <c r="CB276" s="72">
        <f>AC276</f>
        <v>182</v>
      </c>
      <c r="CC276" s="71">
        <f>AG276</f>
        <v>225</v>
      </c>
      <c r="CD276" s="72">
        <f>AK276</f>
        <v>231</v>
      </c>
      <c r="CE276" s="71">
        <f>AO276</f>
        <v>302</v>
      </c>
      <c r="CF276" s="72">
        <f>AS276</f>
        <v>340</v>
      </c>
      <c r="CG276" s="71" t="str">
        <f>AW276</f>
        <v>-</v>
      </c>
      <c r="CH276" s="70">
        <f>G276</f>
        <v>92</v>
      </c>
      <c r="CI276" s="71" t="str">
        <f>K276</f>
        <v>-</v>
      </c>
      <c r="CJ276" s="72">
        <f>O276</f>
        <v>131</v>
      </c>
      <c r="CK276" s="72">
        <f>S276</f>
        <v>137</v>
      </c>
      <c r="CL276" s="72">
        <f>W276</f>
        <v>173</v>
      </c>
      <c r="CM276" s="72">
        <f>AA276</f>
        <v>181</v>
      </c>
      <c r="CN276" s="72">
        <f>AE276</f>
        <v>208</v>
      </c>
      <c r="CO276" s="72">
        <f>AI276</f>
        <v>227</v>
      </c>
      <c r="CP276" s="72">
        <f>AM276</f>
        <v>268</v>
      </c>
      <c r="CQ276" s="72">
        <f>AQ276</f>
        <v>334</v>
      </c>
      <c r="CR276" s="72">
        <f>AU276</f>
        <v>364</v>
      </c>
      <c r="CS276" s="72" t="str">
        <f>AY276</f>
        <v>-</v>
      </c>
      <c r="CT276" s="23" t="e">
        <f>M276-K276</f>
        <v>#VALUE!</v>
      </c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  <c r="UU276" s="1"/>
      <c r="UV276" s="1"/>
      <c r="UW276" s="1"/>
      <c r="UX276" s="1"/>
      <c r="UY276" s="1"/>
      <c r="UZ276" s="1"/>
      <c r="VA276" s="1"/>
      <c r="VB276" s="1"/>
      <c r="VC276" s="1"/>
      <c r="VD276" s="1"/>
      <c r="VE276" s="1"/>
      <c r="VF276" s="1"/>
      <c r="VG276" s="1"/>
      <c r="VH276" s="1"/>
      <c r="VI276" s="1"/>
      <c r="VJ276" s="1"/>
      <c r="VK276" s="1"/>
      <c r="VL276" s="1"/>
      <c r="VM276" s="1"/>
      <c r="VN276" s="1"/>
      <c r="VO276" s="1"/>
      <c r="VP276" s="1"/>
      <c r="VQ276" s="1"/>
      <c r="VR276" s="1"/>
      <c r="VS276" s="1"/>
      <c r="VT276" s="1"/>
      <c r="VU276" s="1"/>
      <c r="VV276" s="1"/>
      <c r="VW276" s="1"/>
      <c r="VX276" s="1"/>
      <c r="VY276" s="1"/>
      <c r="VZ276" s="1"/>
      <c r="WA276" s="1"/>
      <c r="WB276" s="1"/>
      <c r="WC276" s="1"/>
      <c r="WD276" s="1"/>
      <c r="WE276" s="1"/>
      <c r="WF276" s="1"/>
      <c r="WG276" s="1"/>
      <c r="WH276" s="1"/>
      <c r="WI276" s="1"/>
      <c r="WJ276" s="1"/>
      <c r="WK276" s="1"/>
      <c r="WL276" s="1"/>
      <c r="WM276" s="1"/>
      <c r="WN276" s="1"/>
      <c r="WO276" s="1"/>
      <c r="WP276" s="1"/>
      <c r="WQ276" s="1"/>
      <c r="WR276" s="1"/>
      <c r="WS276" s="1"/>
      <c r="WT276" s="1"/>
      <c r="WU276" s="1"/>
      <c r="WV276" s="1"/>
      <c r="WW276" s="1"/>
      <c r="WX276" s="1"/>
      <c r="WY276" s="1"/>
      <c r="WZ276" s="1"/>
      <c r="XA276" s="1"/>
      <c r="XB276" s="1"/>
      <c r="XC276" s="1"/>
      <c r="XD276" s="1"/>
      <c r="XE276" s="1"/>
      <c r="XF276" s="1"/>
      <c r="XG276" s="1"/>
      <c r="XH276" s="1"/>
      <c r="XI276" s="1"/>
      <c r="XJ276" s="1"/>
      <c r="XK276" s="1"/>
      <c r="XL276" s="1"/>
      <c r="XM276" s="1"/>
      <c r="XN276" s="1"/>
      <c r="XO276" s="1"/>
      <c r="XP276" s="1"/>
      <c r="XQ276" s="1"/>
      <c r="XR276" s="1"/>
      <c r="XS276" s="1"/>
      <c r="XT276" s="1"/>
      <c r="XU276" s="1"/>
      <c r="XV276" s="1"/>
      <c r="XW276" s="1"/>
      <c r="XX276" s="1"/>
      <c r="XY276" s="1"/>
      <c r="XZ276" s="1"/>
      <c r="YA276" s="1"/>
      <c r="YB276" s="1"/>
      <c r="YC276" s="1"/>
      <c r="YD276" s="1"/>
      <c r="YE276" s="1"/>
      <c r="YF276" s="1"/>
      <c r="YG276" s="1"/>
      <c r="YH276" s="1"/>
      <c r="YI276" s="1"/>
      <c r="YJ276" s="1"/>
      <c r="YK276" s="1"/>
      <c r="YL276" s="1"/>
      <c r="YM276" s="1"/>
      <c r="YN276" s="1"/>
      <c r="YO276" s="1"/>
      <c r="YP276" s="1"/>
      <c r="YQ276" s="1"/>
      <c r="YR276" s="1"/>
      <c r="YS276" s="1"/>
      <c r="YT276" s="1"/>
      <c r="YU276" s="1"/>
      <c r="YV276" s="1"/>
      <c r="YW276" s="1"/>
      <c r="YX276" s="1"/>
      <c r="YY276" s="1"/>
      <c r="YZ276" s="1"/>
      <c r="ZA276" s="1"/>
      <c r="ZB276" s="1"/>
      <c r="ZC276" s="1"/>
      <c r="ZD276" s="1"/>
      <c r="ZE276" s="1"/>
      <c r="ZF276" s="1"/>
      <c r="ZG276" s="1"/>
      <c r="ZH276" s="1"/>
      <c r="ZI276" s="1"/>
      <c r="ZJ276" s="1"/>
      <c r="ZK276" s="1"/>
      <c r="ZL276" s="1"/>
      <c r="ZM276" s="1"/>
      <c r="ZN276" s="1"/>
      <c r="ZO276" s="1"/>
      <c r="ZP276" s="1"/>
      <c r="ZQ276" s="1"/>
      <c r="ZR276" s="1"/>
      <c r="ZS276" s="1"/>
      <c r="ZT276" s="1"/>
      <c r="ZU276" s="1"/>
      <c r="ZV276" s="1"/>
      <c r="ZW276" s="1"/>
      <c r="ZX276" s="1"/>
      <c r="ZY276" s="1"/>
      <c r="ZZ276" s="1"/>
      <c r="AAA276" s="1"/>
      <c r="AAB276" s="1"/>
      <c r="AAC276" s="1"/>
      <c r="AAD276" s="1"/>
      <c r="AAE276" s="1"/>
      <c r="AAF276" s="1"/>
      <c r="AAG276" s="1"/>
      <c r="AAH276" s="1"/>
      <c r="AAI276" s="1"/>
      <c r="AAJ276" s="1"/>
      <c r="AAK276" s="1"/>
      <c r="AAL276" s="1"/>
      <c r="AAM276" s="1"/>
      <c r="AAN276" s="1"/>
      <c r="AAO276" s="1"/>
      <c r="AAP276" s="1"/>
      <c r="AAQ276" s="1"/>
      <c r="AAR276" s="1"/>
      <c r="AAS276" s="1"/>
      <c r="AAT276" s="1"/>
      <c r="AAU276" s="1"/>
      <c r="AAV276" s="1"/>
      <c r="AAW276" s="1"/>
      <c r="AAX276" s="1"/>
      <c r="AAY276" s="1"/>
      <c r="AAZ276" s="1"/>
      <c r="ABA276" s="1"/>
      <c r="ABB276" s="1"/>
      <c r="ABC276" s="1"/>
      <c r="ABD276" s="1"/>
      <c r="ABE276" s="1"/>
      <c r="ABF276" s="1"/>
      <c r="ABG276" s="1"/>
      <c r="ABH276" s="1"/>
      <c r="ABI276" s="1"/>
      <c r="ABJ276" s="1"/>
      <c r="ABK276" s="1"/>
      <c r="ABL276" s="1"/>
      <c r="ABM276" s="1"/>
      <c r="ABN276" s="1"/>
      <c r="ABO276" s="1"/>
      <c r="ABP276" s="1"/>
      <c r="ABQ276" s="1"/>
      <c r="ABR276" s="1"/>
      <c r="ABS276" s="1"/>
      <c r="ABT276" s="1"/>
      <c r="ABU276" s="1"/>
      <c r="ABV276" s="1"/>
      <c r="ABW276" s="1"/>
      <c r="ABX276" s="1"/>
      <c r="ABY276" s="1"/>
      <c r="ABZ276" s="1"/>
      <c r="ACA276" s="1"/>
      <c r="ACB276" s="1"/>
      <c r="ACC276" s="1"/>
      <c r="ACD276" s="1"/>
      <c r="ACE276" s="1"/>
      <c r="ACF276" s="1"/>
      <c r="ACG276" s="1"/>
      <c r="ACH276" s="1"/>
      <c r="ACI276" s="1"/>
      <c r="ACJ276" s="1"/>
      <c r="ACK276" s="1"/>
      <c r="ACL276" s="1"/>
      <c r="ACM276" s="1"/>
      <c r="ACN276" s="1"/>
      <c r="ACO276" s="1"/>
      <c r="ACP276" s="1"/>
      <c r="ACQ276" s="1"/>
      <c r="ACR276" s="1"/>
      <c r="ACS276" s="1"/>
      <c r="ACT276" s="1"/>
      <c r="ACU276" s="1"/>
      <c r="ACV276" s="1"/>
      <c r="ACW276" s="1"/>
      <c r="ACX276" s="1"/>
      <c r="ACY276" s="1"/>
      <c r="ACZ276" s="1"/>
      <c r="ADA276" s="1"/>
      <c r="ADB276" s="1"/>
      <c r="ADC276" s="1"/>
      <c r="ADD276" s="1"/>
      <c r="ADE276" s="1"/>
      <c r="ADF276" s="1"/>
      <c r="ADG276" s="1"/>
      <c r="ADH276" s="1"/>
      <c r="ADI276" s="1"/>
      <c r="ADJ276" s="1"/>
      <c r="ADK276" s="1"/>
      <c r="ADL276" s="1"/>
      <c r="ADM276" s="1"/>
      <c r="ADN276" s="1"/>
      <c r="ADO276" s="1"/>
      <c r="ADP276" s="1"/>
      <c r="ADQ276" s="1"/>
      <c r="ADR276" s="1"/>
      <c r="ADS276" s="1"/>
      <c r="ADT276" s="1"/>
      <c r="ADU276" s="1"/>
      <c r="ADV276" s="1"/>
      <c r="ADW276" s="1"/>
      <c r="ADX276" s="1"/>
      <c r="ADY276" s="1"/>
      <c r="ADZ276" s="1"/>
      <c r="AEA276" s="1"/>
      <c r="AEB276" s="1"/>
      <c r="AEC276" s="1"/>
      <c r="AED276" s="1"/>
      <c r="AEE276" s="1"/>
      <c r="AEF276" s="1"/>
      <c r="AEG276" s="1"/>
      <c r="AEH276" s="1"/>
      <c r="AEI276" s="1"/>
      <c r="AEJ276" s="1"/>
      <c r="AEK276" s="1"/>
      <c r="AEL276" s="1"/>
      <c r="AEM276" s="1"/>
      <c r="AEN276" s="1"/>
      <c r="AEO276" s="1"/>
      <c r="AEP276" s="1"/>
      <c r="AEQ276" s="1"/>
      <c r="AER276" s="1"/>
      <c r="AES276" s="1"/>
      <c r="AET276" s="1"/>
      <c r="AEU276" s="1"/>
      <c r="AEV276" s="1"/>
      <c r="AEW276" s="1"/>
      <c r="AEX276" s="1"/>
      <c r="AEY276" s="1"/>
      <c r="AEZ276" s="1"/>
      <c r="AFA276" s="1"/>
      <c r="AFB276" s="1"/>
      <c r="AFC276" s="1"/>
      <c r="AFD276" s="1"/>
      <c r="AFE276" s="1"/>
      <c r="AFF276" s="1"/>
      <c r="AFG276" s="1"/>
      <c r="AFH276" s="1"/>
      <c r="AFI276" s="1"/>
      <c r="AFJ276" s="1"/>
      <c r="AFK276" s="1"/>
      <c r="AFL276" s="1"/>
      <c r="AFM276" s="1"/>
      <c r="AFN276" s="1"/>
      <c r="AFO276" s="1"/>
      <c r="AFP276" s="1"/>
      <c r="AFQ276" s="1"/>
      <c r="AFR276" s="1"/>
      <c r="AFS276" s="1"/>
      <c r="AFT276" s="1"/>
      <c r="AFU276" s="1"/>
      <c r="AFV276" s="1"/>
      <c r="AFW276" s="1"/>
      <c r="AFX276" s="1"/>
      <c r="AFY276" s="1"/>
      <c r="AFZ276" s="1"/>
      <c r="AGA276" s="1"/>
      <c r="AGB276" s="1"/>
      <c r="AGC276" s="1"/>
      <c r="AGD276" s="1"/>
      <c r="AGE276" s="1"/>
      <c r="AGF276" s="1"/>
      <c r="AGG276" s="1"/>
      <c r="AGH276" s="1"/>
      <c r="AGI276" s="1"/>
      <c r="AGJ276" s="1"/>
      <c r="AGK276" s="1"/>
      <c r="AGL276" s="1"/>
      <c r="AGM276" s="1"/>
      <c r="AGN276" s="1"/>
      <c r="AGO276" s="1"/>
      <c r="AGP276" s="1"/>
      <c r="AGQ276" s="1"/>
      <c r="AGR276" s="1"/>
      <c r="AGS276" s="1"/>
      <c r="AGT276" s="1"/>
      <c r="AGU276" s="1"/>
      <c r="AGV276" s="1"/>
      <c r="AGW276" s="1"/>
      <c r="AGX276" s="1"/>
      <c r="AGY276" s="1"/>
      <c r="AGZ276" s="1"/>
      <c r="AHA276" s="1"/>
      <c r="AHB276" s="1"/>
      <c r="AHC276" s="1"/>
      <c r="AHD276" s="1"/>
      <c r="AHE276" s="1"/>
      <c r="AHF276" s="1"/>
      <c r="AHG276" s="1"/>
      <c r="AHH276" s="1"/>
      <c r="AHI276" s="1"/>
      <c r="AHJ276" s="1"/>
      <c r="AHK276" s="1"/>
      <c r="AHL276" s="1"/>
      <c r="AHM276" s="1"/>
      <c r="AHN276" s="1"/>
      <c r="AHO276" s="1"/>
      <c r="AHP276" s="1"/>
      <c r="AHQ276" s="1"/>
      <c r="AHR276" s="1"/>
      <c r="AHS276" s="1"/>
      <c r="AHT276" s="1"/>
      <c r="AHU276" s="1"/>
      <c r="AHV276" s="1"/>
      <c r="AHW276" s="1"/>
      <c r="AHX276" s="1"/>
      <c r="AHY276" s="1"/>
      <c r="AHZ276" s="1"/>
      <c r="AIA276" s="1"/>
      <c r="AIB276" s="1"/>
      <c r="AIC276" s="1"/>
      <c r="AID276" s="1"/>
      <c r="AIE276" s="1"/>
      <c r="AIF276" s="1"/>
      <c r="AIG276" s="1"/>
      <c r="AIH276" s="1"/>
      <c r="AII276" s="1"/>
      <c r="AIJ276" s="1"/>
      <c r="AIK276" s="1"/>
      <c r="AIL276" s="1"/>
      <c r="AIM276" s="1"/>
      <c r="AIN276" s="1"/>
      <c r="AIO276" s="1"/>
      <c r="AIP276" s="1"/>
      <c r="AIQ276" s="1"/>
      <c r="AIR276" s="1"/>
      <c r="AIS276" s="1"/>
      <c r="AIT276" s="1"/>
      <c r="AIU276" s="1"/>
      <c r="AIV276" s="1"/>
      <c r="AIW276" s="1"/>
      <c r="AIX276" s="1"/>
      <c r="AIY276" s="1"/>
      <c r="AIZ276" s="1"/>
      <c r="AJA276" s="1"/>
      <c r="AJB276" s="1"/>
      <c r="AJC276" s="1"/>
      <c r="AJD276" s="1"/>
      <c r="AJE276" s="1"/>
      <c r="AJF276" s="1"/>
      <c r="AJG276" s="1"/>
      <c r="AJH276" s="1"/>
      <c r="AJI276" s="1"/>
      <c r="AJJ276" s="1"/>
      <c r="AJK276" s="1"/>
      <c r="AJL276" s="1"/>
      <c r="AJM276" s="1"/>
      <c r="AJN276" s="1"/>
      <c r="AJO276" s="1"/>
      <c r="AJP276" s="1"/>
      <c r="AJQ276" s="1"/>
      <c r="AJR276" s="1"/>
      <c r="AJS276" s="1"/>
      <c r="AJT276" s="1"/>
      <c r="AJU276" s="1"/>
      <c r="AJV276" s="1"/>
      <c r="AJW276" s="1"/>
      <c r="AJX276" s="1"/>
      <c r="AJY276" s="1"/>
      <c r="AJZ276" s="1"/>
      <c r="AKA276" s="1"/>
      <c r="AKB276" s="1"/>
      <c r="AKC276" s="1"/>
      <c r="AKD276" s="1"/>
      <c r="AKE276" s="1"/>
      <c r="AKF276" s="1"/>
      <c r="AKG276" s="1"/>
      <c r="AKH276" s="1"/>
      <c r="AKI276" s="1"/>
      <c r="AKJ276" s="1"/>
      <c r="AKK276" s="1"/>
      <c r="AKL276" s="1"/>
      <c r="AKM276" s="1"/>
      <c r="AKN276" s="1"/>
      <c r="AKO276" s="1"/>
      <c r="AKP276" s="1"/>
      <c r="AKQ276" s="1"/>
      <c r="AKR276" s="1"/>
      <c r="AKS276" s="1"/>
      <c r="AKT276" s="1"/>
      <c r="AKU276" s="1"/>
      <c r="AKV276" s="1"/>
      <c r="AKW276" s="1"/>
      <c r="AKX276" s="1"/>
      <c r="AKY276" s="1"/>
      <c r="AKZ276" s="1"/>
      <c r="ALA276" s="1"/>
      <c r="ALB276" s="1"/>
      <c r="ALC276" s="1"/>
      <c r="ALD276" s="1"/>
      <c r="ALE276" s="1"/>
      <c r="ALF276" s="1"/>
      <c r="ALG276" s="1"/>
      <c r="ALH276" s="1"/>
      <c r="ALI276" s="1"/>
      <c r="ALJ276" s="1"/>
      <c r="ALK276" s="1"/>
      <c r="ALL276" s="1"/>
      <c r="ALM276" s="1"/>
      <c r="ALN276" s="1"/>
      <c r="ALO276" s="1"/>
      <c r="ALP276" s="1"/>
      <c r="ALQ276" s="1"/>
      <c r="ALR276" s="1"/>
      <c r="ALS276" s="1"/>
      <c r="ALT276" s="1"/>
      <c r="ALU276" s="1"/>
      <c r="ALV276" s="1"/>
      <c r="ALW276" s="1"/>
      <c r="ALX276" s="1"/>
      <c r="ALY276" s="1"/>
      <c r="ALZ276" s="1"/>
      <c r="AMA276" s="1"/>
      <c r="AMB276" s="1"/>
      <c r="AMC276" s="1"/>
      <c r="AMD276" s="1"/>
      <c r="AME276" s="1"/>
      <c r="AMF276" s="1"/>
      <c r="AMG276" s="1"/>
      <c r="AMH276" s="1"/>
      <c r="AMI276" s="1"/>
      <c r="AMJ276" s="1"/>
      <c r="AMK276" s="1"/>
      <c r="AML276" s="1"/>
      <c r="AMM276" s="1"/>
      <c r="AMN276" s="1"/>
      <c r="AMO276" s="1"/>
    </row>
    <row r="277" spans="1:1030" x14ac:dyDescent="0.2">
      <c r="A277" s="3" t="str">
        <f>CONCATENATE(B277,"_",C277)</f>
        <v>ntr1_rat_5T04</v>
      </c>
      <c r="B277" s="3" t="s">
        <v>907</v>
      </c>
      <c r="C277" s="3" t="s">
        <v>1379</v>
      </c>
      <c r="D277" s="3" t="str">
        <f>IFERROR(MID(VLOOKUP($B277,Seqs!$A:$B,2,0),E277,1),"")</f>
        <v>I</v>
      </c>
      <c r="E277" s="3">
        <v>61</v>
      </c>
      <c r="F277" s="3" t="str">
        <f>IFERROR(MID(VLOOKUP($B277,Seqs!$A:$B,2,0),G277,1),"")</f>
        <v>T</v>
      </c>
      <c r="G277" s="3">
        <v>88</v>
      </c>
      <c r="H277" s="3" t="str">
        <f>IFERROR(MID(VLOOKUP($B277,Seqs!$A:$B,2,0),I277,1),"")</f>
        <v/>
      </c>
      <c r="I277" s="23" t="s">
        <v>23</v>
      </c>
      <c r="J277" s="3" t="str">
        <f>IFERROR(MID(VLOOKUP($B277,Seqs!$A:$B,2,0),K277,1),"")</f>
        <v/>
      </c>
      <c r="K277" s="23" t="s">
        <v>23</v>
      </c>
      <c r="L277" s="3" t="str">
        <f>IFERROR(MID(VLOOKUP($B277,Seqs!$A:$B,2,0),M277,1),"")</f>
        <v>H</v>
      </c>
      <c r="M277" s="3">
        <v>103</v>
      </c>
      <c r="N277" s="3" t="str">
        <f>IFERROR(MID(VLOOKUP($B277,Seqs!$A:$B,2,0),O277,1),"")</f>
        <v>V</v>
      </c>
      <c r="O277" s="3">
        <v>131</v>
      </c>
      <c r="P277" s="3" t="str">
        <f>IFERROR(MID(VLOOKUP($B277,Seqs!$A:$B,2,0),Q277,1),"")</f>
        <v>P</v>
      </c>
      <c r="Q277" s="3">
        <v>134</v>
      </c>
      <c r="R277" s="3" t="str">
        <f>IFERROR(MID(VLOOKUP($B277,Seqs!$A:$B,2,0),S277,1),"")</f>
        <v>F</v>
      </c>
      <c r="S277" s="3">
        <v>137</v>
      </c>
      <c r="T277" s="3" t="str">
        <f>IFERROR(MID(VLOOKUP($B277,Seqs!$A:$B,2,0),U277,1),"")</f>
        <v>G</v>
      </c>
      <c r="U277" s="3">
        <v>138</v>
      </c>
      <c r="V277" s="3" t="str">
        <f>IFERROR(MID(VLOOKUP($B277,Seqs!$A:$B,2,0),W277,1),"")</f>
        <v>H</v>
      </c>
      <c r="W277" s="3">
        <v>173</v>
      </c>
      <c r="X277" s="3" t="str">
        <f>IFERROR(MID(VLOOKUP($B277,Seqs!$A:$B,2,0),Y277,1),"")</f>
        <v>P</v>
      </c>
      <c r="Y277" s="3">
        <v>174</v>
      </c>
      <c r="Z277" s="3" t="str">
        <f>IFERROR(MID(VLOOKUP($B277,Seqs!$A:$B,2,0),AA277,1),"")</f>
        <v>M</v>
      </c>
      <c r="AA277" s="3">
        <v>181</v>
      </c>
      <c r="AB277" s="3" t="str">
        <f>IFERROR(MID(VLOOKUP($B277,Seqs!$A:$B,2,0),AC277,1),"")</f>
        <v>S</v>
      </c>
      <c r="AC277" s="3">
        <v>182</v>
      </c>
      <c r="AD277" s="3" t="str">
        <f>IFERROR(MID(VLOOKUP($B277,Seqs!$A:$B,2,0),AE277,1),"")</f>
        <v>M</v>
      </c>
      <c r="AE277" s="3">
        <v>208</v>
      </c>
      <c r="AF277" s="3" t="str">
        <f>IFERROR(MID(VLOOKUP($B277,Seqs!$A:$B,2,0),AG277,1),"")</f>
        <v>C</v>
      </c>
      <c r="AG277" s="3">
        <v>225</v>
      </c>
      <c r="AH277" s="3" t="str">
        <f>IFERROR(MID(VLOOKUP($B277,Seqs!$A:$B,2,0),AI277,1),"")</f>
        <v>P</v>
      </c>
      <c r="AI277" s="3">
        <v>227</v>
      </c>
      <c r="AJ277" s="3" t="str">
        <f>IFERROR(MID(VLOOKUP($B277,Seqs!$A:$B,2,0),AK277,1),"")</f>
        <v>T</v>
      </c>
      <c r="AK277" s="3">
        <v>231</v>
      </c>
      <c r="AL277" s="3" t="str">
        <f>IFERROR(MID(VLOOKUP($B277,Seqs!$A:$B,2,0),AM277,1),"")</f>
        <v>V</v>
      </c>
      <c r="AM277" s="3">
        <v>268</v>
      </c>
      <c r="AN277" s="3" t="str">
        <f>IFERROR(MID(VLOOKUP($B277,Seqs!$A:$B,2,0),AO277,1),"")</f>
        <v>P</v>
      </c>
      <c r="AO277" s="3">
        <v>297</v>
      </c>
      <c r="AP277" s="3" t="str">
        <f>IFERROR(MID(VLOOKUP($B277,Seqs!$A:$B,2,0),AQ277,1),"")</f>
        <v>I</v>
      </c>
      <c r="AQ277" s="3">
        <v>334</v>
      </c>
      <c r="AR277" s="3" t="str">
        <f>IFERROR(MID(VLOOKUP($B277,Seqs!$A:$B,2,0),AS277,1),"")</f>
        <v>T</v>
      </c>
      <c r="AS277" s="3">
        <v>340</v>
      </c>
      <c r="AT277" s="3" t="str">
        <f>IFERROR(MID(VLOOKUP($B277,Seqs!$A:$B,2,0),AU277,1),"")</f>
        <v>I</v>
      </c>
      <c r="AU277" s="3">
        <v>364</v>
      </c>
      <c r="AV277" s="3" t="str">
        <f>IFERROR(MID(VLOOKUP($B277,Seqs!$A:$B,2,0),AW277,1),"")</f>
        <v/>
      </c>
      <c r="AW277" s="3" t="s">
        <v>23</v>
      </c>
      <c r="AX277" s="3" t="str">
        <f>IFERROR(MID(VLOOKUP($B277,Seqs!$A:$B,2,0),AY277,1),"")</f>
        <v/>
      </c>
      <c r="AY277" s="3" t="s">
        <v>23</v>
      </c>
      <c r="AZ277" s="77" t="str">
        <f>VLOOKUP(B277,Classification!A:D,2,0)</f>
        <v>A</v>
      </c>
      <c r="BA277" s="94" t="str">
        <f>VLOOKUP(B277,Classification!A:D,4,0)</f>
        <v>Neurotensin</v>
      </c>
      <c r="BB277" s="27" t="b">
        <f>AND(E277&lt;G277,OR(G277&lt;I277,I277="-"),OR(I277&lt;K277,I277="-"),OR(K277&lt;M277,K277="-"),M277&lt;O277,OR(O277&lt;Q277,Q277="-"),OR(Q277&lt;S277,Q277="-"),OR(S277&lt;U277,S277="-"),U277&lt;W277,OR(W277&lt;Y277,Y277="-"),OR(Y277&lt;AA277,Y277="-"),OR(AA277&lt;AC277,AA277="-"),AC277&lt;AE277,OR(AE277&lt;AG277,AG277="-"),OR(AG277&lt;AI277,AG277="-"),OR(AI277&lt;AK277,AI277="-"),AK277&lt;AM277,AM277&lt;AO277,AO277&lt;AQ277,AQ277&lt;AS277,AS277&lt;AU277,OR(AU277&lt;AW277,AW277="-"),OR(AW277&lt;AY277,AW277="-"))</f>
        <v>1</v>
      </c>
      <c r="BC277" s="23">
        <f>_xlfn.AGGREGATE(9,6,CH277:CS277)-_xlfn.AGGREGATE(9,6,BV277:CG277)+12</f>
        <v>238</v>
      </c>
      <c r="BD277" s="5" t="s">
        <v>23</v>
      </c>
      <c r="BE277" s="3" t="s">
        <v>1285</v>
      </c>
      <c r="BF277" s="118">
        <v>3.3</v>
      </c>
      <c r="BG277" s="49" t="s">
        <v>1371</v>
      </c>
      <c r="BH277" s="49" t="s">
        <v>1371</v>
      </c>
      <c r="BI277" s="1"/>
      <c r="BJ277" s="70" t="s">
        <v>1281</v>
      </c>
      <c r="BK277" s="57" t="s">
        <v>1281</v>
      </c>
      <c r="BL277" s="57" t="s">
        <v>1281</v>
      </c>
      <c r="BM277" s="57" t="s">
        <v>1281</v>
      </c>
      <c r="BN277" s="57" t="s">
        <v>1281</v>
      </c>
      <c r="BO277" s="57" t="s">
        <v>1281</v>
      </c>
      <c r="BP277" s="57" t="s">
        <v>1281</v>
      </c>
      <c r="BQ277" s="57" t="s">
        <v>1281</v>
      </c>
      <c r="BR277" s="57" t="s">
        <v>1281</v>
      </c>
      <c r="BS277" s="57" t="s">
        <v>1281</v>
      </c>
      <c r="BT277" s="57" t="s">
        <v>1281</v>
      </c>
      <c r="BU277" s="57" t="s">
        <v>1281</v>
      </c>
      <c r="BV277" s="70">
        <f>E277</f>
        <v>61</v>
      </c>
      <c r="BW277" s="71" t="str">
        <f>I277</f>
        <v>-</v>
      </c>
      <c r="BX277" s="72">
        <f>M277</f>
        <v>103</v>
      </c>
      <c r="BY277" s="71">
        <f>Q277</f>
        <v>134</v>
      </c>
      <c r="BZ277" s="72">
        <f>U277</f>
        <v>138</v>
      </c>
      <c r="CA277" s="71">
        <f>Y277</f>
        <v>174</v>
      </c>
      <c r="CB277" s="72">
        <f>AC277</f>
        <v>182</v>
      </c>
      <c r="CC277" s="71">
        <f>AG277</f>
        <v>225</v>
      </c>
      <c r="CD277" s="72">
        <f>AK277</f>
        <v>231</v>
      </c>
      <c r="CE277" s="71">
        <f>AO277</f>
        <v>297</v>
      </c>
      <c r="CF277" s="72">
        <f>AS277</f>
        <v>340</v>
      </c>
      <c r="CG277" s="71" t="str">
        <f>AW277</f>
        <v>-</v>
      </c>
      <c r="CH277" s="70">
        <f>G277</f>
        <v>88</v>
      </c>
      <c r="CI277" s="71" t="str">
        <f>K277</f>
        <v>-</v>
      </c>
      <c r="CJ277" s="72">
        <f>O277</f>
        <v>131</v>
      </c>
      <c r="CK277" s="72">
        <f>S277</f>
        <v>137</v>
      </c>
      <c r="CL277" s="72">
        <f>W277</f>
        <v>173</v>
      </c>
      <c r="CM277" s="72">
        <f>AA277</f>
        <v>181</v>
      </c>
      <c r="CN277" s="72">
        <f>AE277</f>
        <v>208</v>
      </c>
      <c r="CO277" s="72">
        <f>AI277</f>
        <v>227</v>
      </c>
      <c r="CP277" s="72">
        <f>AM277</f>
        <v>268</v>
      </c>
      <c r="CQ277" s="72">
        <f>AQ277</f>
        <v>334</v>
      </c>
      <c r="CR277" s="72">
        <f>AU277</f>
        <v>364</v>
      </c>
      <c r="CS277" s="72" t="str">
        <f>AY277</f>
        <v>-</v>
      </c>
      <c r="CT277" s="23" t="e">
        <f>M277-K277</f>
        <v>#VALUE!</v>
      </c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  <c r="VF277" s="1"/>
      <c r="VG277" s="1"/>
      <c r="VH277" s="1"/>
      <c r="VI277" s="1"/>
      <c r="VJ277" s="1"/>
      <c r="VK277" s="1"/>
      <c r="VL277" s="1"/>
      <c r="VM277" s="1"/>
      <c r="VN277" s="1"/>
      <c r="VO277" s="1"/>
      <c r="VP277" s="1"/>
      <c r="VQ277" s="1"/>
      <c r="VR277" s="1"/>
      <c r="VS277" s="1"/>
      <c r="VT277" s="1"/>
      <c r="VU277" s="1"/>
      <c r="VV277" s="1"/>
      <c r="VW277" s="1"/>
      <c r="VX277" s="1"/>
      <c r="VY277" s="1"/>
      <c r="VZ277" s="1"/>
      <c r="WA277" s="1"/>
      <c r="WB277" s="1"/>
      <c r="WC277" s="1"/>
      <c r="WD277" s="1"/>
      <c r="WE277" s="1"/>
      <c r="WF277" s="1"/>
      <c r="WG277" s="1"/>
      <c r="WH277" s="1"/>
      <c r="WI277" s="1"/>
      <c r="WJ277" s="1"/>
      <c r="WK277" s="1"/>
      <c r="WL277" s="1"/>
      <c r="WM277" s="1"/>
      <c r="WN277" s="1"/>
      <c r="WO277" s="1"/>
      <c r="WP277" s="1"/>
      <c r="WQ277" s="1"/>
      <c r="WR277" s="1"/>
      <c r="WS277" s="1"/>
      <c r="WT277" s="1"/>
      <c r="WU277" s="1"/>
      <c r="WV277" s="1"/>
      <c r="WW277" s="1"/>
      <c r="WX277" s="1"/>
      <c r="WY277" s="1"/>
      <c r="WZ277" s="1"/>
      <c r="XA277" s="1"/>
      <c r="XB277" s="1"/>
      <c r="XC277" s="1"/>
      <c r="XD277" s="1"/>
      <c r="XE277" s="1"/>
      <c r="XF277" s="1"/>
      <c r="XG277" s="1"/>
      <c r="XH277" s="1"/>
      <c r="XI277" s="1"/>
      <c r="XJ277" s="1"/>
      <c r="XK277" s="1"/>
      <c r="XL277" s="1"/>
      <c r="XM277" s="1"/>
      <c r="XN277" s="1"/>
      <c r="XO277" s="1"/>
      <c r="XP277" s="1"/>
      <c r="XQ277" s="1"/>
      <c r="XR277" s="1"/>
      <c r="XS277" s="1"/>
      <c r="XT277" s="1"/>
      <c r="XU277" s="1"/>
      <c r="XV277" s="1"/>
      <c r="XW277" s="1"/>
      <c r="XX277" s="1"/>
      <c r="XY277" s="1"/>
      <c r="XZ277" s="1"/>
      <c r="YA277" s="1"/>
      <c r="YB277" s="1"/>
      <c r="YC277" s="1"/>
      <c r="YD277" s="1"/>
      <c r="YE277" s="1"/>
      <c r="YF277" s="1"/>
      <c r="YG277" s="1"/>
      <c r="YH277" s="1"/>
      <c r="YI277" s="1"/>
      <c r="YJ277" s="1"/>
      <c r="YK277" s="1"/>
      <c r="YL277" s="1"/>
      <c r="YM277" s="1"/>
      <c r="YN277" s="1"/>
      <c r="YO277" s="1"/>
      <c r="YP277" s="1"/>
      <c r="YQ277" s="1"/>
      <c r="YR277" s="1"/>
      <c r="YS277" s="1"/>
      <c r="YT277" s="1"/>
      <c r="YU277" s="1"/>
      <c r="YV277" s="1"/>
      <c r="YW277" s="1"/>
      <c r="YX277" s="1"/>
      <c r="YY277" s="1"/>
      <c r="YZ277" s="1"/>
      <c r="ZA277" s="1"/>
      <c r="ZB277" s="1"/>
      <c r="ZC277" s="1"/>
      <c r="ZD277" s="1"/>
      <c r="ZE277" s="1"/>
      <c r="ZF277" s="1"/>
      <c r="ZG277" s="1"/>
      <c r="ZH277" s="1"/>
      <c r="ZI277" s="1"/>
      <c r="ZJ277" s="1"/>
      <c r="ZK277" s="1"/>
      <c r="ZL277" s="1"/>
      <c r="ZM277" s="1"/>
      <c r="ZN277" s="1"/>
      <c r="ZO277" s="1"/>
      <c r="ZP277" s="1"/>
      <c r="ZQ277" s="1"/>
      <c r="ZR277" s="1"/>
      <c r="ZS277" s="1"/>
      <c r="ZT277" s="1"/>
      <c r="ZU277" s="1"/>
      <c r="ZV277" s="1"/>
      <c r="ZW277" s="1"/>
      <c r="ZX277" s="1"/>
      <c r="ZY277" s="1"/>
      <c r="ZZ277" s="1"/>
      <c r="AAA277" s="1"/>
      <c r="AAB277" s="1"/>
      <c r="AAC277" s="1"/>
      <c r="AAD277" s="1"/>
      <c r="AAE277" s="1"/>
      <c r="AAF277" s="1"/>
      <c r="AAG277" s="1"/>
      <c r="AAH277" s="1"/>
      <c r="AAI277" s="1"/>
      <c r="AAJ277" s="1"/>
      <c r="AAK277" s="1"/>
      <c r="AAL277" s="1"/>
      <c r="AAM277" s="1"/>
      <c r="AAN277" s="1"/>
      <c r="AAO277" s="1"/>
      <c r="AAP277" s="1"/>
      <c r="AAQ277" s="1"/>
      <c r="AAR277" s="1"/>
      <c r="AAS277" s="1"/>
      <c r="AAT277" s="1"/>
      <c r="AAU277" s="1"/>
      <c r="AAV277" s="1"/>
      <c r="AAW277" s="1"/>
      <c r="AAX277" s="1"/>
      <c r="AAY277" s="1"/>
      <c r="AAZ277" s="1"/>
      <c r="ABA277" s="1"/>
      <c r="ABB277" s="1"/>
      <c r="ABC277" s="1"/>
      <c r="ABD277" s="1"/>
      <c r="ABE277" s="1"/>
      <c r="ABF277" s="1"/>
      <c r="ABG277" s="1"/>
      <c r="ABH277" s="1"/>
      <c r="ABI277" s="1"/>
      <c r="ABJ277" s="1"/>
      <c r="ABK277" s="1"/>
      <c r="ABL277" s="1"/>
      <c r="ABM277" s="1"/>
      <c r="ABN277" s="1"/>
      <c r="ABO277" s="1"/>
      <c r="ABP277" s="1"/>
      <c r="ABQ277" s="1"/>
      <c r="ABR277" s="1"/>
      <c r="ABS277" s="1"/>
      <c r="ABT277" s="1"/>
      <c r="ABU277" s="1"/>
      <c r="ABV277" s="1"/>
      <c r="ABW277" s="1"/>
      <c r="ABX277" s="1"/>
      <c r="ABY277" s="1"/>
      <c r="ABZ277" s="1"/>
      <c r="ACA277" s="1"/>
      <c r="ACB277" s="1"/>
      <c r="ACC277" s="1"/>
      <c r="ACD277" s="1"/>
      <c r="ACE277" s="1"/>
      <c r="ACF277" s="1"/>
      <c r="ACG277" s="1"/>
      <c r="ACH277" s="1"/>
      <c r="ACI277" s="1"/>
      <c r="ACJ277" s="1"/>
      <c r="ACK277" s="1"/>
      <c r="ACL277" s="1"/>
      <c r="ACM277" s="1"/>
      <c r="ACN277" s="1"/>
      <c r="ACO277" s="1"/>
      <c r="ACP277" s="1"/>
      <c r="ACQ277" s="1"/>
      <c r="ACR277" s="1"/>
      <c r="ACS277" s="1"/>
      <c r="ACT277" s="1"/>
      <c r="ACU277" s="1"/>
      <c r="ACV277" s="1"/>
      <c r="ACW277" s="1"/>
      <c r="ACX277" s="1"/>
      <c r="ACY277" s="1"/>
      <c r="ACZ277" s="1"/>
      <c r="ADA277" s="1"/>
      <c r="ADB277" s="1"/>
      <c r="ADC277" s="1"/>
      <c r="ADD277" s="1"/>
      <c r="ADE277" s="1"/>
      <c r="ADF277" s="1"/>
      <c r="ADG277" s="1"/>
      <c r="ADH277" s="1"/>
      <c r="ADI277" s="1"/>
      <c r="ADJ277" s="1"/>
      <c r="ADK277" s="1"/>
      <c r="ADL277" s="1"/>
      <c r="ADM277" s="1"/>
      <c r="ADN277" s="1"/>
      <c r="ADO277" s="1"/>
      <c r="ADP277" s="1"/>
      <c r="ADQ277" s="1"/>
      <c r="ADR277" s="1"/>
      <c r="ADS277" s="1"/>
      <c r="ADT277" s="1"/>
      <c r="ADU277" s="1"/>
      <c r="ADV277" s="1"/>
      <c r="ADW277" s="1"/>
      <c r="ADX277" s="1"/>
      <c r="ADY277" s="1"/>
      <c r="ADZ277" s="1"/>
      <c r="AEA277" s="1"/>
      <c r="AEB277" s="1"/>
      <c r="AEC277" s="1"/>
      <c r="AED277" s="1"/>
      <c r="AEE277" s="1"/>
      <c r="AEF277" s="1"/>
      <c r="AEG277" s="1"/>
      <c r="AEH277" s="1"/>
      <c r="AEI277" s="1"/>
      <c r="AEJ277" s="1"/>
      <c r="AEK277" s="1"/>
      <c r="AEL277" s="1"/>
      <c r="AEM277" s="1"/>
      <c r="AEN277" s="1"/>
      <c r="AEO277" s="1"/>
      <c r="AEP277" s="1"/>
      <c r="AEQ277" s="1"/>
      <c r="AER277" s="1"/>
      <c r="AES277" s="1"/>
      <c r="AET277" s="1"/>
      <c r="AEU277" s="1"/>
      <c r="AEV277" s="1"/>
      <c r="AEW277" s="1"/>
      <c r="AEX277" s="1"/>
      <c r="AEY277" s="1"/>
      <c r="AEZ277" s="1"/>
      <c r="AFA277" s="1"/>
      <c r="AFB277" s="1"/>
      <c r="AFC277" s="1"/>
      <c r="AFD277" s="1"/>
      <c r="AFE277" s="1"/>
      <c r="AFF277" s="1"/>
      <c r="AFG277" s="1"/>
      <c r="AFH277" s="1"/>
      <c r="AFI277" s="1"/>
      <c r="AFJ277" s="1"/>
      <c r="AFK277" s="1"/>
      <c r="AFL277" s="1"/>
      <c r="AFM277" s="1"/>
      <c r="AFN277" s="1"/>
      <c r="AFO277" s="1"/>
      <c r="AFP277" s="1"/>
      <c r="AFQ277" s="1"/>
      <c r="AFR277" s="1"/>
      <c r="AFS277" s="1"/>
      <c r="AFT277" s="1"/>
      <c r="AFU277" s="1"/>
      <c r="AFV277" s="1"/>
      <c r="AFW277" s="1"/>
      <c r="AFX277" s="1"/>
      <c r="AFY277" s="1"/>
      <c r="AFZ277" s="1"/>
      <c r="AGA277" s="1"/>
      <c r="AGB277" s="1"/>
      <c r="AGC277" s="1"/>
      <c r="AGD277" s="1"/>
      <c r="AGE277" s="1"/>
      <c r="AGF277" s="1"/>
      <c r="AGG277" s="1"/>
      <c r="AGH277" s="1"/>
      <c r="AGI277" s="1"/>
      <c r="AGJ277" s="1"/>
      <c r="AGK277" s="1"/>
      <c r="AGL277" s="1"/>
      <c r="AGM277" s="1"/>
      <c r="AGN277" s="1"/>
      <c r="AGO277" s="1"/>
      <c r="AGP277" s="1"/>
      <c r="AGQ277" s="1"/>
      <c r="AGR277" s="1"/>
      <c r="AGS277" s="1"/>
      <c r="AGT277" s="1"/>
      <c r="AGU277" s="1"/>
      <c r="AGV277" s="1"/>
      <c r="AGW277" s="1"/>
      <c r="AGX277" s="1"/>
      <c r="AGY277" s="1"/>
      <c r="AGZ277" s="1"/>
      <c r="AHA277" s="1"/>
      <c r="AHB277" s="1"/>
      <c r="AHC277" s="1"/>
      <c r="AHD277" s="1"/>
      <c r="AHE277" s="1"/>
      <c r="AHF277" s="1"/>
      <c r="AHG277" s="1"/>
      <c r="AHH277" s="1"/>
      <c r="AHI277" s="1"/>
      <c r="AHJ277" s="1"/>
      <c r="AHK277" s="1"/>
      <c r="AHL277" s="1"/>
      <c r="AHM277" s="1"/>
      <c r="AHN277" s="1"/>
      <c r="AHO277" s="1"/>
      <c r="AHP277" s="1"/>
      <c r="AHQ277" s="1"/>
      <c r="AHR277" s="1"/>
      <c r="AHS277" s="1"/>
      <c r="AHT277" s="1"/>
      <c r="AHU277" s="1"/>
      <c r="AHV277" s="1"/>
      <c r="AHW277" s="1"/>
      <c r="AHX277" s="1"/>
      <c r="AHY277" s="1"/>
      <c r="AHZ277" s="1"/>
      <c r="AIA277" s="1"/>
      <c r="AIB277" s="1"/>
      <c r="AIC277" s="1"/>
      <c r="AID277" s="1"/>
      <c r="AIE277" s="1"/>
      <c r="AIF277" s="1"/>
      <c r="AIG277" s="1"/>
      <c r="AIH277" s="1"/>
      <c r="AII277" s="1"/>
      <c r="AIJ277" s="1"/>
      <c r="AIK277" s="1"/>
      <c r="AIL277" s="1"/>
      <c r="AIM277" s="1"/>
      <c r="AIN277" s="1"/>
      <c r="AIO277" s="1"/>
      <c r="AIP277" s="1"/>
      <c r="AIQ277" s="1"/>
      <c r="AIR277" s="1"/>
      <c r="AIS277" s="1"/>
      <c r="AIT277" s="1"/>
      <c r="AIU277" s="1"/>
      <c r="AIV277" s="1"/>
      <c r="AIW277" s="1"/>
      <c r="AIX277" s="1"/>
      <c r="AIY277" s="1"/>
      <c r="AIZ277" s="1"/>
      <c r="AJA277" s="1"/>
      <c r="AJB277" s="1"/>
      <c r="AJC277" s="1"/>
      <c r="AJD277" s="1"/>
      <c r="AJE277" s="1"/>
      <c r="AJF277" s="1"/>
      <c r="AJG277" s="1"/>
      <c r="AJH277" s="1"/>
      <c r="AJI277" s="1"/>
      <c r="AJJ277" s="1"/>
      <c r="AJK277" s="1"/>
      <c r="AJL277" s="1"/>
      <c r="AJM277" s="1"/>
      <c r="AJN277" s="1"/>
      <c r="AJO277" s="1"/>
      <c r="AJP277" s="1"/>
      <c r="AJQ277" s="1"/>
      <c r="AJR277" s="1"/>
      <c r="AJS277" s="1"/>
      <c r="AJT277" s="1"/>
      <c r="AJU277" s="1"/>
      <c r="AJV277" s="1"/>
      <c r="AJW277" s="1"/>
      <c r="AJX277" s="1"/>
      <c r="AJY277" s="1"/>
      <c r="AJZ277" s="1"/>
      <c r="AKA277" s="1"/>
      <c r="AKB277" s="1"/>
      <c r="AKC277" s="1"/>
      <c r="AKD277" s="1"/>
      <c r="AKE277" s="1"/>
      <c r="AKF277" s="1"/>
      <c r="AKG277" s="1"/>
      <c r="AKH277" s="1"/>
      <c r="AKI277" s="1"/>
      <c r="AKJ277" s="1"/>
      <c r="AKK277" s="1"/>
      <c r="AKL277" s="1"/>
      <c r="AKM277" s="1"/>
      <c r="AKN277" s="1"/>
      <c r="AKO277" s="1"/>
      <c r="AKP277" s="1"/>
      <c r="AKQ277" s="1"/>
      <c r="AKR277" s="1"/>
      <c r="AKS277" s="1"/>
      <c r="AKT277" s="1"/>
      <c r="AKU277" s="1"/>
      <c r="AKV277" s="1"/>
      <c r="AKW277" s="1"/>
      <c r="AKX277" s="1"/>
      <c r="AKY277" s="1"/>
      <c r="AKZ277" s="1"/>
      <c r="ALA277" s="1"/>
      <c r="ALB277" s="1"/>
      <c r="ALC277" s="1"/>
      <c r="ALD277" s="1"/>
      <c r="ALE277" s="1"/>
      <c r="ALF277" s="1"/>
      <c r="ALG277" s="1"/>
      <c r="ALH277" s="1"/>
      <c r="ALI277" s="1"/>
      <c r="ALJ277" s="1"/>
      <c r="ALK277" s="1"/>
      <c r="ALL277" s="1"/>
      <c r="ALM277" s="1"/>
      <c r="ALN277" s="1"/>
      <c r="ALO277" s="1"/>
      <c r="ALP277" s="1"/>
      <c r="ALQ277" s="1"/>
      <c r="ALR277" s="1"/>
      <c r="ALS277" s="1"/>
      <c r="ALT277" s="1"/>
      <c r="ALU277" s="1"/>
      <c r="ALV277" s="1"/>
      <c r="ALW277" s="1"/>
      <c r="ALX277" s="1"/>
      <c r="ALY277" s="1"/>
      <c r="ALZ277" s="1"/>
      <c r="AMA277" s="1"/>
      <c r="AMB277" s="1"/>
      <c r="AMC277" s="1"/>
      <c r="AMD277" s="1"/>
      <c r="AME277" s="1"/>
      <c r="AMF277" s="1"/>
      <c r="AMG277" s="1"/>
      <c r="AMH277" s="1"/>
      <c r="AMI277" s="1"/>
      <c r="AMJ277" s="1"/>
      <c r="AMK277" s="1"/>
      <c r="AML277" s="1"/>
      <c r="AMM277" s="1"/>
      <c r="AMN277" s="1"/>
      <c r="AMO277" s="1"/>
    </row>
    <row r="278" spans="1:1030" x14ac:dyDescent="0.2">
      <c r="A278" s="3" t="str">
        <f>CONCATENATE(B278,"_",C278)</f>
        <v>oprd_human__wt</v>
      </c>
      <c r="B278" s="3" t="s">
        <v>334</v>
      </c>
      <c r="C278" s="3" t="s">
        <v>100</v>
      </c>
      <c r="D278" s="3" t="str">
        <f>IFERROR(MID(VLOOKUP($B278,Seqs!$A:$B,2,0),E278,1),"")</f>
        <v>G</v>
      </c>
      <c r="E278" s="3">
        <v>39</v>
      </c>
      <c r="F278" s="3" t="str">
        <f>IFERROR(MID(VLOOKUP($B278,Seqs!$A:$B,2,0),G278,1),"")</f>
        <v>Y</v>
      </c>
      <c r="G278" s="3">
        <v>77</v>
      </c>
      <c r="H278" s="3" t="str">
        <f>IFERROR(MID(VLOOKUP($B278,Seqs!$A:$B,2,0),I278,1),"")</f>
        <v>T</v>
      </c>
      <c r="I278" s="23">
        <v>78</v>
      </c>
      <c r="J278" s="3" t="str">
        <f>IFERROR(MID(VLOOKUP($B278,Seqs!$A:$B,2,0),K278,1),"")</f>
        <v>K</v>
      </c>
      <c r="K278" s="23">
        <v>81</v>
      </c>
      <c r="L278" s="3" t="str">
        <f>IFERROR(MID(VLOOKUP($B278,Seqs!$A:$B,2,0),M278,1),"")</f>
        <v>T</v>
      </c>
      <c r="M278" s="3">
        <v>82</v>
      </c>
      <c r="N278" s="3" t="str">
        <f>IFERROR(MID(VLOOKUP($B278,Seqs!$A:$B,2,0),O278,1),"")</f>
        <v>M</v>
      </c>
      <c r="O278" s="3">
        <v>111</v>
      </c>
      <c r="P278" s="3" t="str">
        <f>IFERROR(MID(VLOOKUP($B278,Seqs!$A:$B,2,0),Q278,1),"")</f>
        <v>T</v>
      </c>
      <c r="Q278" s="3">
        <v>113</v>
      </c>
      <c r="R278" s="3" t="str">
        <f>IFERROR(MID(VLOOKUP($B278,Seqs!$A:$B,2,0),S278,1),"")</f>
        <v>F</v>
      </c>
      <c r="S278" s="3">
        <v>116</v>
      </c>
      <c r="T278" s="3" t="str">
        <f>IFERROR(MID(VLOOKUP($B278,Seqs!$A:$B,2,0),U278,1),"")</f>
        <v>G</v>
      </c>
      <c r="U278" s="3">
        <v>117</v>
      </c>
      <c r="V278" s="3" t="str">
        <f>IFERROR(MID(VLOOKUP($B278,Seqs!$A:$B,2,0),W278,1),"")</f>
        <v>H</v>
      </c>
      <c r="W278" s="3">
        <v>152</v>
      </c>
      <c r="X278" s="3" t="str">
        <f>IFERROR(MID(VLOOKUP($B278,Seqs!$A:$B,2,0),Y278,1),"")</f>
        <v>P</v>
      </c>
      <c r="Y278" s="3">
        <v>153</v>
      </c>
      <c r="Z278" s="3" t="str">
        <f>IFERROR(MID(VLOOKUP($B278,Seqs!$A:$B,2,0),AA278,1),"")</f>
        <v>R</v>
      </c>
      <c r="AA278" s="3">
        <v>160</v>
      </c>
      <c r="AB278" s="3" t="str">
        <f>IFERROR(MID(VLOOKUP($B278,Seqs!$A:$B,2,0),AC278,1),"")</f>
        <v>T</v>
      </c>
      <c r="AC278" s="9">
        <v>161</v>
      </c>
      <c r="AD278" s="3" t="str">
        <f>IFERROR(MID(VLOOKUP($B278,Seqs!$A:$B,2,0),AE278,1),"")</f>
        <v>A</v>
      </c>
      <c r="AE278" s="3">
        <v>187</v>
      </c>
      <c r="AF278" s="3" t="str">
        <f>IFERROR(MID(VLOOKUP($B278,Seqs!$A:$B,2,0),AG278,1),"")</f>
        <v>C</v>
      </c>
      <c r="AG278" s="3">
        <v>198</v>
      </c>
      <c r="AH278" s="3" t="str">
        <f>IFERROR(MID(VLOOKUP($B278,Seqs!$A:$B,2,0),AI278,1),"")</f>
        <v>L</v>
      </c>
      <c r="AI278" s="3">
        <v>200</v>
      </c>
      <c r="AJ278" s="3" t="str">
        <f>IFERROR(MID(VLOOKUP($B278,Seqs!$A:$B,2,0),AK278,1),"")</f>
        <v>S</v>
      </c>
      <c r="AK278" s="3">
        <v>206</v>
      </c>
      <c r="AL278" s="3" t="str">
        <f>IFERROR(MID(VLOOKUP($B278,Seqs!$A:$B,2,0),AM278,1),"")</f>
        <v>V</v>
      </c>
      <c r="AM278" s="3">
        <v>243</v>
      </c>
      <c r="AN278" s="3" t="str">
        <f>IFERROR(MID(VLOOKUP($B278,Seqs!$A:$B,2,0),AO278,1),"")</f>
        <v>S</v>
      </c>
      <c r="AO278" s="3">
        <v>249</v>
      </c>
      <c r="AP278" s="3" t="str">
        <f>IFERROR(MID(VLOOKUP($B278,Seqs!$A:$B,2,0),AQ278,1),"")</f>
        <v>V</v>
      </c>
      <c r="AQ278" s="3">
        <v>287</v>
      </c>
      <c r="AR278" s="3" t="str">
        <f>IFERROR(MID(VLOOKUP($B278,Seqs!$A:$B,2,0),AS278,1),"")</f>
        <v>D</v>
      </c>
      <c r="AS278" s="3">
        <v>293</v>
      </c>
      <c r="AT278" s="3" t="str">
        <f>IFERROR(MID(VLOOKUP($B278,Seqs!$A:$B,2,0),AU278,1),"")</f>
        <v>L</v>
      </c>
      <c r="AU278" s="3">
        <v>321</v>
      </c>
      <c r="AV278" s="3" t="str">
        <f>IFERROR(MID(VLOOKUP($B278,Seqs!$A:$B,2,0),AW278,1),"")</f>
        <v>D</v>
      </c>
      <c r="AW278" s="3">
        <v>322</v>
      </c>
      <c r="AX278" s="3" t="str">
        <f>IFERROR(MID(VLOOKUP($B278,Seqs!$A:$B,2,0),AY278,1),"")</f>
        <v>K</v>
      </c>
      <c r="AY278" s="3">
        <v>335</v>
      </c>
      <c r="AZ278" s="77" t="str">
        <f>VLOOKUP(B278,Classification!A:D,2,0)</f>
        <v>A</v>
      </c>
      <c r="BA278" s="94" t="str">
        <f>VLOOKUP(B278,Classification!A:D,4,0)</f>
        <v>Opioid</v>
      </c>
      <c r="BB278" s="27" t="b">
        <f t="shared" si="1074"/>
        <v>1</v>
      </c>
      <c r="BC278" s="23">
        <f t="shared" si="1057"/>
        <v>271</v>
      </c>
      <c r="BD278" s="56" t="s">
        <v>23</v>
      </c>
      <c r="BE278" s="3" t="s">
        <v>23</v>
      </c>
      <c r="BF278" s="118" t="s">
        <v>23</v>
      </c>
      <c r="BG278" s="49" t="s">
        <v>1366</v>
      </c>
      <c r="BH278" s="49" t="s">
        <v>1371</v>
      </c>
      <c r="BI278" s="1"/>
      <c r="BJ278" s="70" t="s">
        <v>1281</v>
      </c>
      <c r="BK278" s="57" t="s">
        <v>1281</v>
      </c>
      <c r="BL278" s="57" t="s">
        <v>1281</v>
      </c>
      <c r="BM278" s="57" t="s">
        <v>1281</v>
      </c>
      <c r="BN278" s="57" t="s">
        <v>1281</v>
      </c>
      <c r="BO278" s="57" t="s">
        <v>1281</v>
      </c>
      <c r="BP278" s="57" t="s">
        <v>1281</v>
      </c>
      <c r="BQ278" s="57" t="s">
        <v>1281</v>
      </c>
      <c r="BR278" s="57" t="s">
        <v>1281</v>
      </c>
      <c r="BS278" s="57" t="s">
        <v>1281</v>
      </c>
      <c r="BT278" s="57" t="s">
        <v>1281</v>
      </c>
      <c r="BU278" s="57" t="s">
        <v>1281</v>
      </c>
      <c r="BV278" s="70">
        <f>E278</f>
        <v>39</v>
      </c>
      <c r="BW278" s="71">
        <f>I278</f>
        <v>78</v>
      </c>
      <c r="BX278" s="72">
        <f>M278</f>
        <v>82</v>
      </c>
      <c r="BY278" s="71">
        <f>Q278</f>
        <v>113</v>
      </c>
      <c r="BZ278" s="72">
        <f>U278</f>
        <v>117</v>
      </c>
      <c r="CA278" s="71">
        <f>Y278</f>
        <v>153</v>
      </c>
      <c r="CB278" s="72">
        <f>AC278</f>
        <v>161</v>
      </c>
      <c r="CC278" s="71">
        <f>AG278</f>
        <v>198</v>
      </c>
      <c r="CD278" s="72">
        <f>AK278</f>
        <v>206</v>
      </c>
      <c r="CE278" s="71">
        <f>AO278</f>
        <v>249</v>
      </c>
      <c r="CF278" s="72">
        <f>AS278</f>
        <v>293</v>
      </c>
      <c r="CG278" s="71">
        <f>AW278</f>
        <v>322</v>
      </c>
      <c r="CH278" s="70">
        <f>G278</f>
        <v>77</v>
      </c>
      <c r="CI278" s="71">
        <f>K278</f>
        <v>81</v>
      </c>
      <c r="CJ278" s="72">
        <f>O278</f>
        <v>111</v>
      </c>
      <c r="CK278" s="72">
        <f>S278</f>
        <v>116</v>
      </c>
      <c r="CL278" s="72">
        <f>W278</f>
        <v>152</v>
      </c>
      <c r="CM278" s="72">
        <f>AA278</f>
        <v>160</v>
      </c>
      <c r="CN278" s="72">
        <f>AE278</f>
        <v>187</v>
      </c>
      <c r="CO278" s="72">
        <f>AI278</f>
        <v>200</v>
      </c>
      <c r="CP278" s="72">
        <f>AM278</f>
        <v>243</v>
      </c>
      <c r="CQ278" s="72">
        <f>AQ278</f>
        <v>287</v>
      </c>
      <c r="CR278" s="72">
        <f>AU278</f>
        <v>321</v>
      </c>
      <c r="CS278" s="72">
        <f>AY278</f>
        <v>335</v>
      </c>
      <c r="CT278" s="23">
        <f>M278-K278</f>
        <v>1</v>
      </c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  <c r="VF278" s="1"/>
      <c r="VG278" s="1"/>
      <c r="VH278" s="1"/>
      <c r="VI278" s="1"/>
      <c r="VJ278" s="1"/>
      <c r="VK278" s="1"/>
      <c r="VL278" s="1"/>
      <c r="VM278" s="1"/>
      <c r="VN278" s="1"/>
      <c r="VO278" s="1"/>
      <c r="VP278" s="1"/>
      <c r="VQ278" s="1"/>
      <c r="VR278" s="1"/>
      <c r="VS278" s="1"/>
      <c r="VT278" s="1"/>
      <c r="VU278" s="1"/>
      <c r="VV278" s="1"/>
      <c r="VW278" s="1"/>
      <c r="VX278" s="1"/>
      <c r="VY278" s="1"/>
      <c r="VZ278" s="1"/>
      <c r="WA278" s="1"/>
      <c r="WB278" s="1"/>
      <c r="WC278" s="1"/>
      <c r="WD278" s="1"/>
      <c r="WE278" s="1"/>
      <c r="WF278" s="1"/>
      <c r="WG278" s="1"/>
      <c r="WH278" s="1"/>
      <c r="WI278" s="1"/>
      <c r="WJ278" s="1"/>
      <c r="WK278" s="1"/>
      <c r="WL278" s="1"/>
      <c r="WM278" s="1"/>
      <c r="WN278" s="1"/>
      <c r="WO278" s="1"/>
      <c r="WP278" s="1"/>
      <c r="WQ278" s="1"/>
      <c r="WR278" s="1"/>
      <c r="WS278" s="1"/>
      <c r="WT278" s="1"/>
      <c r="WU278" s="1"/>
      <c r="WV278" s="1"/>
      <c r="WW278" s="1"/>
      <c r="WX278" s="1"/>
      <c r="WY278" s="1"/>
      <c r="WZ278" s="1"/>
      <c r="XA278" s="1"/>
      <c r="XB278" s="1"/>
      <c r="XC278" s="1"/>
      <c r="XD278" s="1"/>
      <c r="XE278" s="1"/>
      <c r="XF278" s="1"/>
      <c r="XG278" s="1"/>
      <c r="XH278" s="1"/>
      <c r="XI278" s="1"/>
      <c r="XJ278" s="1"/>
      <c r="XK278" s="1"/>
      <c r="XL278" s="1"/>
      <c r="XM278" s="1"/>
      <c r="XN278" s="1"/>
      <c r="XO278" s="1"/>
      <c r="XP278" s="1"/>
      <c r="XQ278" s="1"/>
      <c r="XR278" s="1"/>
      <c r="XS278" s="1"/>
      <c r="XT278" s="1"/>
      <c r="XU278" s="1"/>
      <c r="XV278" s="1"/>
      <c r="XW278" s="1"/>
      <c r="XX278" s="1"/>
      <c r="XY278" s="1"/>
      <c r="XZ278" s="1"/>
      <c r="YA278" s="1"/>
      <c r="YB278" s="1"/>
      <c r="YC278" s="1"/>
      <c r="YD278" s="1"/>
      <c r="YE278" s="1"/>
      <c r="YF278" s="1"/>
      <c r="YG278" s="1"/>
      <c r="YH278" s="1"/>
      <c r="YI278" s="1"/>
      <c r="YJ278" s="1"/>
      <c r="YK278" s="1"/>
      <c r="YL278" s="1"/>
      <c r="YM278" s="1"/>
      <c r="YN278" s="1"/>
      <c r="YO278" s="1"/>
      <c r="YP278" s="1"/>
      <c r="YQ278" s="1"/>
      <c r="YR278" s="1"/>
      <c r="YS278" s="1"/>
      <c r="YT278" s="1"/>
      <c r="YU278" s="1"/>
      <c r="YV278" s="1"/>
      <c r="YW278" s="1"/>
      <c r="YX278" s="1"/>
      <c r="YY278" s="1"/>
      <c r="YZ278" s="1"/>
      <c r="ZA278" s="1"/>
      <c r="ZB278" s="1"/>
      <c r="ZC278" s="1"/>
      <c r="ZD278" s="1"/>
      <c r="ZE278" s="1"/>
      <c r="ZF278" s="1"/>
      <c r="ZG278" s="1"/>
      <c r="ZH278" s="1"/>
      <c r="ZI278" s="1"/>
      <c r="ZJ278" s="1"/>
      <c r="ZK278" s="1"/>
      <c r="ZL278" s="1"/>
      <c r="ZM278" s="1"/>
      <c r="ZN278" s="1"/>
      <c r="ZO278" s="1"/>
      <c r="ZP278" s="1"/>
      <c r="ZQ278" s="1"/>
      <c r="ZR278" s="1"/>
      <c r="ZS278" s="1"/>
      <c r="ZT278" s="1"/>
      <c r="ZU278" s="1"/>
      <c r="ZV278" s="1"/>
      <c r="ZW278" s="1"/>
      <c r="ZX278" s="1"/>
      <c r="ZY278" s="1"/>
      <c r="ZZ278" s="1"/>
      <c r="AAA278" s="1"/>
      <c r="AAB278" s="1"/>
      <c r="AAC278" s="1"/>
      <c r="AAD278" s="1"/>
      <c r="AAE278" s="1"/>
      <c r="AAF278" s="1"/>
      <c r="AAG278" s="1"/>
      <c r="AAH278" s="1"/>
      <c r="AAI278" s="1"/>
      <c r="AAJ278" s="1"/>
      <c r="AAK278" s="1"/>
      <c r="AAL278" s="1"/>
      <c r="AAM278" s="1"/>
      <c r="AAN278" s="1"/>
      <c r="AAO278" s="1"/>
      <c r="AAP278" s="1"/>
      <c r="AAQ278" s="1"/>
      <c r="AAR278" s="1"/>
      <c r="AAS278" s="1"/>
      <c r="AAT278" s="1"/>
      <c r="AAU278" s="1"/>
      <c r="AAV278" s="1"/>
      <c r="AAW278" s="1"/>
      <c r="AAX278" s="1"/>
      <c r="AAY278" s="1"/>
      <c r="AAZ278" s="1"/>
      <c r="ABA278" s="1"/>
      <c r="ABB278" s="1"/>
      <c r="ABC278" s="1"/>
      <c r="ABD278" s="1"/>
      <c r="ABE278" s="1"/>
      <c r="ABF278" s="1"/>
      <c r="ABG278" s="1"/>
      <c r="ABH278" s="1"/>
      <c r="ABI278" s="1"/>
      <c r="ABJ278" s="1"/>
      <c r="ABK278" s="1"/>
      <c r="ABL278" s="1"/>
      <c r="ABM278" s="1"/>
      <c r="ABN278" s="1"/>
      <c r="ABO278" s="1"/>
      <c r="ABP278" s="1"/>
      <c r="ABQ278" s="1"/>
      <c r="ABR278" s="1"/>
      <c r="ABS278" s="1"/>
      <c r="ABT278" s="1"/>
      <c r="ABU278" s="1"/>
      <c r="ABV278" s="1"/>
      <c r="ABW278" s="1"/>
      <c r="ABX278" s="1"/>
      <c r="ABY278" s="1"/>
      <c r="ABZ278" s="1"/>
      <c r="ACA278" s="1"/>
      <c r="ACB278" s="1"/>
      <c r="ACC278" s="1"/>
      <c r="ACD278" s="1"/>
      <c r="ACE278" s="1"/>
      <c r="ACF278" s="1"/>
      <c r="ACG278" s="1"/>
      <c r="ACH278" s="1"/>
      <c r="ACI278" s="1"/>
      <c r="ACJ278" s="1"/>
      <c r="ACK278" s="1"/>
      <c r="ACL278" s="1"/>
      <c r="ACM278" s="1"/>
      <c r="ACN278" s="1"/>
      <c r="ACO278" s="1"/>
      <c r="ACP278" s="1"/>
      <c r="ACQ278" s="1"/>
      <c r="ACR278" s="1"/>
      <c r="ACS278" s="1"/>
      <c r="ACT278" s="1"/>
      <c r="ACU278" s="1"/>
      <c r="ACV278" s="1"/>
      <c r="ACW278" s="1"/>
      <c r="ACX278" s="1"/>
      <c r="ACY278" s="1"/>
      <c r="ACZ278" s="1"/>
      <c r="ADA278" s="1"/>
      <c r="ADB278" s="1"/>
      <c r="ADC278" s="1"/>
      <c r="ADD278" s="1"/>
      <c r="ADE278" s="1"/>
      <c r="ADF278" s="1"/>
      <c r="ADG278" s="1"/>
      <c r="ADH278" s="1"/>
      <c r="ADI278" s="1"/>
      <c r="ADJ278" s="1"/>
      <c r="ADK278" s="1"/>
      <c r="ADL278" s="1"/>
      <c r="ADM278" s="1"/>
      <c r="ADN278" s="1"/>
      <c r="ADO278" s="1"/>
      <c r="ADP278" s="1"/>
      <c r="ADQ278" s="1"/>
      <c r="ADR278" s="1"/>
      <c r="ADS278" s="1"/>
      <c r="ADT278" s="1"/>
      <c r="ADU278" s="1"/>
      <c r="ADV278" s="1"/>
      <c r="ADW278" s="1"/>
      <c r="ADX278" s="1"/>
      <c r="ADY278" s="1"/>
      <c r="ADZ278" s="1"/>
      <c r="AEA278" s="1"/>
      <c r="AEB278" s="1"/>
      <c r="AEC278" s="1"/>
      <c r="AED278" s="1"/>
      <c r="AEE278" s="1"/>
      <c r="AEF278" s="1"/>
      <c r="AEG278" s="1"/>
      <c r="AEH278" s="1"/>
      <c r="AEI278" s="1"/>
      <c r="AEJ278" s="1"/>
      <c r="AEK278" s="1"/>
      <c r="AEL278" s="1"/>
      <c r="AEM278" s="1"/>
      <c r="AEN278" s="1"/>
      <c r="AEO278" s="1"/>
      <c r="AEP278" s="1"/>
      <c r="AEQ278" s="1"/>
      <c r="AER278" s="1"/>
      <c r="AES278" s="1"/>
      <c r="AET278" s="1"/>
      <c r="AEU278" s="1"/>
      <c r="AEV278" s="1"/>
      <c r="AEW278" s="1"/>
      <c r="AEX278" s="1"/>
      <c r="AEY278" s="1"/>
      <c r="AEZ278" s="1"/>
      <c r="AFA278" s="1"/>
      <c r="AFB278" s="1"/>
      <c r="AFC278" s="1"/>
      <c r="AFD278" s="1"/>
      <c r="AFE278" s="1"/>
      <c r="AFF278" s="1"/>
      <c r="AFG278" s="1"/>
      <c r="AFH278" s="1"/>
      <c r="AFI278" s="1"/>
      <c r="AFJ278" s="1"/>
      <c r="AFK278" s="1"/>
      <c r="AFL278" s="1"/>
      <c r="AFM278" s="1"/>
      <c r="AFN278" s="1"/>
      <c r="AFO278" s="1"/>
      <c r="AFP278" s="1"/>
      <c r="AFQ278" s="1"/>
      <c r="AFR278" s="1"/>
      <c r="AFS278" s="1"/>
      <c r="AFT278" s="1"/>
      <c r="AFU278" s="1"/>
      <c r="AFV278" s="1"/>
      <c r="AFW278" s="1"/>
      <c r="AFX278" s="1"/>
      <c r="AFY278" s="1"/>
      <c r="AFZ278" s="1"/>
      <c r="AGA278" s="1"/>
      <c r="AGB278" s="1"/>
      <c r="AGC278" s="1"/>
      <c r="AGD278" s="1"/>
      <c r="AGE278" s="1"/>
      <c r="AGF278" s="1"/>
      <c r="AGG278" s="1"/>
      <c r="AGH278" s="1"/>
      <c r="AGI278" s="1"/>
      <c r="AGJ278" s="1"/>
      <c r="AGK278" s="1"/>
      <c r="AGL278" s="1"/>
      <c r="AGM278" s="1"/>
      <c r="AGN278" s="1"/>
      <c r="AGO278" s="1"/>
      <c r="AGP278" s="1"/>
      <c r="AGQ278" s="1"/>
      <c r="AGR278" s="1"/>
      <c r="AGS278" s="1"/>
      <c r="AGT278" s="1"/>
      <c r="AGU278" s="1"/>
      <c r="AGV278" s="1"/>
      <c r="AGW278" s="1"/>
      <c r="AGX278" s="1"/>
      <c r="AGY278" s="1"/>
      <c r="AGZ278" s="1"/>
      <c r="AHA278" s="1"/>
      <c r="AHB278" s="1"/>
      <c r="AHC278" s="1"/>
      <c r="AHD278" s="1"/>
      <c r="AHE278" s="1"/>
      <c r="AHF278" s="1"/>
      <c r="AHG278" s="1"/>
      <c r="AHH278" s="1"/>
      <c r="AHI278" s="1"/>
      <c r="AHJ278" s="1"/>
      <c r="AHK278" s="1"/>
      <c r="AHL278" s="1"/>
      <c r="AHM278" s="1"/>
      <c r="AHN278" s="1"/>
      <c r="AHO278" s="1"/>
      <c r="AHP278" s="1"/>
      <c r="AHQ278" s="1"/>
      <c r="AHR278" s="1"/>
      <c r="AHS278" s="1"/>
      <c r="AHT278" s="1"/>
      <c r="AHU278" s="1"/>
      <c r="AHV278" s="1"/>
      <c r="AHW278" s="1"/>
      <c r="AHX278" s="1"/>
      <c r="AHY278" s="1"/>
      <c r="AHZ278" s="1"/>
      <c r="AIA278" s="1"/>
      <c r="AIB278" s="1"/>
      <c r="AIC278" s="1"/>
      <c r="AID278" s="1"/>
      <c r="AIE278" s="1"/>
      <c r="AIF278" s="1"/>
      <c r="AIG278" s="1"/>
      <c r="AIH278" s="1"/>
      <c r="AII278" s="1"/>
      <c r="AIJ278" s="1"/>
      <c r="AIK278" s="1"/>
      <c r="AIL278" s="1"/>
      <c r="AIM278" s="1"/>
      <c r="AIN278" s="1"/>
      <c r="AIO278" s="1"/>
      <c r="AIP278" s="1"/>
      <c r="AIQ278" s="1"/>
      <c r="AIR278" s="1"/>
      <c r="AIS278" s="1"/>
      <c r="AIT278" s="1"/>
      <c r="AIU278" s="1"/>
      <c r="AIV278" s="1"/>
      <c r="AIW278" s="1"/>
      <c r="AIX278" s="1"/>
      <c r="AIY278" s="1"/>
      <c r="AIZ278" s="1"/>
      <c r="AJA278" s="1"/>
      <c r="AJB278" s="1"/>
      <c r="AJC278" s="1"/>
      <c r="AJD278" s="1"/>
      <c r="AJE278" s="1"/>
      <c r="AJF278" s="1"/>
      <c r="AJG278" s="1"/>
      <c r="AJH278" s="1"/>
      <c r="AJI278" s="1"/>
      <c r="AJJ278" s="1"/>
      <c r="AJK278" s="1"/>
      <c r="AJL278" s="1"/>
      <c r="AJM278" s="1"/>
      <c r="AJN278" s="1"/>
      <c r="AJO278" s="1"/>
      <c r="AJP278" s="1"/>
      <c r="AJQ278" s="1"/>
      <c r="AJR278" s="1"/>
      <c r="AJS278" s="1"/>
      <c r="AJT278" s="1"/>
      <c r="AJU278" s="1"/>
      <c r="AJV278" s="1"/>
      <c r="AJW278" s="1"/>
      <c r="AJX278" s="1"/>
      <c r="AJY278" s="1"/>
      <c r="AJZ278" s="1"/>
      <c r="AKA278" s="1"/>
      <c r="AKB278" s="1"/>
      <c r="AKC278" s="1"/>
      <c r="AKD278" s="1"/>
      <c r="AKE278" s="1"/>
      <c r="AKF278" s="1"/>
      <c r="AKG278" s="1"/>
      <c r="AKH278" s="1"/>
      <c r="AKI278" s="1"/>
      <c r="AKJ278" s="1"/>
      <c r="AKK278" s="1"/>
      <c r="AKL278" s="1"/>
      <c r="AKM278" s="1"/>
      <c r="AKN278" s="1"/>
      <c r="AKO278" s="1"/>
      <c r="AKP278" s="1"/>
      <c r="AKQ278" s="1"/>
      <c r="AKR278" s="1"/>
      <c r="AKS278" s="1"/>
      <c r="AKT278" s="1"/>
      <c r="AKU278" s="1"/>
      <c r="AKV278" s="1"/>
      <c r="AKW278" s="1"/>
      <c r="AKX278" s="1"/>
      <c r="AKY278" s="1"/>
      <c r="AKZ278" s="1"/>
      <c r="ALA278" s="1"/>
      <c r="ALB278" s="1"/>
      <c r="ALC278" s="1"/>
      <c r="ALD278" s="1"/>
      <c r="ALE278" s="1"/>
      <c r="ALF278" s="1"/>
      <c r="ALG278" s="1"/>
      <c r="ALH278" s="1"/>
      <c r="ALI278" s="1"/>
      <c r="ALJ278" s="1"/>
      <c r="ALK278" s="1"/>
      <c r="ALL278" s="1"/>
      <c r="ALM278" s="1"/>
      <c r="ALN278" s="1"/>
      <c r="ALO278" s="1"/>
      <c r="ALP278" s="1"/>
      <c r="ALQ278" s="1"/>
      <c r="ALR278" s="1"/>
      <c r="ALS278" s="1"/>
      <c r="ALT278" s="1"/>
      <c r="ALU278" s="1"/>
      <c r="ALV278" s="1"/>
      <c r="ALW278" s="1"/>
      <c r="ALX278" s="1"/>
      <c r="ALY278" s="1"/>
      <c r="ALZ278" s="1"/>
      <c r="AMA278" s="1"/>
      <c r="AMB278" s="1"/>
      <c r="AMC278" s="1"/>
      <c r="AMD278" s="1"/>
      <c r="AME278" s="1"/>
      <c r="AMF278" s="1"/>
      <c r="AMG278" s="1"/>
      <c r="AMH278" s="1"/>
      <c r="AMI278" s="1"/>
      <c r="AMJ278" s="1"/>
      <c r="AMK278" s="1"/>
      <c r="AML278" s="1"/>
      <c r="AMM278" s="1"/>
      <c r="AMN278" s="1"/>
      <c r="AMO278" s="1"/>
    </row>
    <row r="279" spans="1:1030" x14ac:dyDescent="0.2">
      <c r="A279" s="3" t="str">
        <f>CONCATENATE(B279,"_",C279)</f>
        <v>oprd_human_4N6H</v>
      </c>
      <c r="B279" s="3" t="s">
        <v>334</v>
      </c>
      <c r="C279" s="3" t="s">
        <v>87</v>
      </c>
      <c r="D279" s="3" t="str">
        <f>IFERROR(MID(VLOOKUP($B279,Seqs!$A:$B,2,0),E279,1),"")</f>
        <v>G</v>
      </c>
      <c r="E279" s="3">
        <v>39</v>
      </c>
      <c r="F279" s="3" t="str">
        <f>IFERROR(MID(VLOOKUP($B279,Seqs!$A:$B,2,0),G279,1),"")</f>
        <v>Y</v>
      </c>
      <c r="G279" s="3">
        <v>77</v>
      </c>
      <c r="H279" s="3" t="str">
        <f>IFERROR(MID(VLOOKUP($B279,Seqs!$A:$B,2,0),I279,1),"")</f>
        <v>T</v>
      </c>
      <c r="I279" s="23">
        <v>78</v>
      </c>
      <c r="J279" s="3" t="str">
        <f>IFERROR(MID(VLOOKUP($B279,Seqs!$A:$B,2,0),K279,1),"")</f>
        <v>K</v>
      </c>
      <c r="K279" s="23">
        <v>81</v>
      </c>
      <c r="L279" s="3" t="str">
        <f>IFERROR(MID(VLOOKUP($B279,Seqs!$A:$B,2,0),M279,1),"")</f>
        <v>T</v>
      </c>
      <c r="M279" s="3">
        <v>82</v>
      </c>
      <c r="N279" s="3" t="str">
        <f>IFERROR(MID(VLOOKUP($B279,Seqs!$A:$B,2,0),O279,1),"")</f>
        <v>M</v>
      </c>
      <c r="O279" s="3">
        <v>111</v>
      </c>
      <c r="P279" s="3" t="str">
        <f>IFERROR(MID(VLOOKUP($B279,Seqs!$A:$B,2,0),Q279,1),"")</f>
        <v>T</v>
      </c>
      <c r="Q279" s="3">
        <v>113</v>
      </c>
      <c r="R279" s="3" t="str">
        <f>IFERROR(MID(VLOOKUP($B279,Seqs!$A:$B,2,0),S279,1),"")</f>
        <v>F</v>
      </c>
      <c r="S279" s="3">
        <v>116</v>
      </c>
      <c r="T279" s="3" t="str">
        <f>IFERROR(MID(VLOOKUP($B279,Seqs!$A:$B,2,0),U279,1),"")</f>
        <v>G</v>
      </c>
      <c r="U279" s="3">
        <v>117</v>
      </c>
      <c r="V279" s="3" t="str">
        <f>IFERROR(MID(VLOOKUP($B279,Seqs!$A:$B,2,0),W279,1),"")</f>
        <v>H</v>
      </c>
      <c r="W279" s="3">
        <v>152</v>
      </c>
      <c r="X279" s="3" t="str">
        <f>IFERROR(MID(VLOOKUP($B279,Seqs!$A:$B,2,0),Y279,1),"")</f>
        <v>P</v>
      </c>
      <c r="Y279" s="3">
        <v>153</v>
      </c>
      <c r="Z279" s="3" t="str">
        <f>IFERROR(MID(VLOOKUP($B279,Seqs!$A:$B,2,0),AA279,1),"")</f>
        <v>R</v>
      </c>
      <c r="AA279" s="3">
        <v>160</v>
      </c>
      <c r="AB279" s="3" t="str">
        <f>IFERROR(MID(VLOOKUP($B279,Seqs!$A:$B,2,0),AC279,1),"")</f>
        <v>T</v>
      </c>
      <c r="AC279" s="9">
        <v>161</v>
      </c>
      <c r="AD279" s="3" t="str">
        <f>IFERROR(MID(VLOOKUP($B279,Seqs!$A:$B,2,0),AE279,1),"")</f>
        <v>A</v>
      </c>
      <c r="AE279" s="3">
        <v>187</v>
      </c>
      <c r="AF279" s="3" t="str">
        <f>IFERROR(MID(VLOOKUP($B279,Seqs!$A:$B,2,0),AG279,1),"")</f>
        <v>C</v>
      </c>
      <c r="AG279" s="3">
        <v>198</v>
      </c>
      <c r="AH279" s="3" t="str">
        <f>IFERROR(MID(VLOOKUP($B279,Seqs!$A:$B,2,0),AI279,1),"")</f>
        <v>L</v>
      </c>
      <c r="AI279" s="3">
        <v>200</v>
      </c>
      <c r="AJ279" s="3" t="str">
        <f>IFERROR(MID(VLOOKUP($B279,Seqs!$A:$B,2,0),AK279,1),"")</f>
        <v>S</v>
      </c>
      <c r="AK279" s="3">
        <v>206</v>
      </c>
      <c r="AL279" s="3" t="str">
        <f>IFERROR(MID(VLOOKUP($B279,Seqs!$A:$B,2,0),AM279,1),"")</f>
        <v>V</v>
      </c>
      <c r="AM279" s="3">
        <v>243</v>
      </c>
      <c r="AN279" s="3" t="str">
        <f>IFERROR(MID(VLOOKUP($B279,Seqs!$A:$B,2,0),AO279,1),"")</f>
        <v>S</v>
      </c>
      <c r="AO279" s="3">
        <v>249</v>
      </c>
      <c r="AP279" s="3" t="str">
        <f>IFERROR(MID(VLOOKUP($B279,Seqs!$A:$B,2,0),AQ279,1),"")</f>
        <v>V</v>
      </c>
      <c r="AQ279" s="3">
        <v>287</v>
      </c>
      <c r="AR279" s="3" t="str">
        <f>IFERROR(MID(VLOOKUP($B279,Seqs!$A:$B,2,0),AS279,1),"")</f>
        <v>D</v>
      </c>
      <c r="AS279" s="3">
        <v>293</v>
      </c>
      <c r="AT279" s="3" t="str">
        <f>IFERROR(MID(VLOOKUP($B279,Seqs!$A:$B,2,0),AU279,1),"")</f>
        <v>L</v>
      </c>
      <c r="AU279" s="3">
        <v>321</v>
      </c>
      <c r="AV279" s="3" t="str">
        <f>IFERROR(MID(VLOOKUP($B279,Seqs!$A:$B,2,0),AW279,1),"")</f>
        <v>D</v>
      </c>
      <c r="AW279" s="3">
        <v>322</v>
      </c>
      <c r="AX279" s="3" t="str">
        <f>IFERROR(MID(VLOOKUP($B279,Seqs!$A:$B,2,0),AY279,1),"")</f>
        <v>K</v>
      </c>
      <c r="AY279" s="3">
        <v>335</v>
      </c>
      <c r="AZ279" s="77" t="str">
        <f>VLOOKUP(B279,Classification!A:D,2,0)</f>
        <v>A</v>
      </c>
      <c r="BA279" s="94" t="str">
        <f>VLOOKUP(B279,Classification!A:D,4,0)</f>
        <v>Opioid</v>
      </c>
      <c r="BB279" s="27" t="b">
        <f t="shared" si="1074"/>
        <v>1</v>
      </c>
      <c r="BC279" s="23">
        <f t="shared" si="1057"/>
        <v>271</v>
      </c>
      <c r="BD279" s="16" t="s">
        <v>1370</v>
      </c>
      <c r="BE279" s="3" t="s">
        <v>1368</v>
      </c>
      <c r="BF279" s="118">
        <v>1.8</v>
      </c>
      <c r="BG279" s="49" t="s">
        <v>1371</v>
      </c>
      <c r="BH279" s="49" t="s">
        <v>1371</v>
      </c>
      <c r="BJ279" s="70" t="s">
        <v>1281</v>
      </c>
      <c r="BK279" s="57" t="s">
        <v>1281</v>
      </c>
      <c r="BL279" s="57" t="s">
        <v>1281</v>
      </c>
      <c r="BM279" s="57" t="s">
        <v>1281</v>
      </c>
      <c r="BN279" s="57" t="s">
        <v>1281</v>
      </c>
      <c r="BO279" s="57" t="s">
        <v>1281</v>
      </c>
      <c r="BP279" s="57" t="s">
        <v>1281</v>
      </c>
      <c r="BQ279" s="57" t="s">
        <v>1281</v>
      </c>
      <c r="BR279" s="57" t="s">
        <v>1281</v>
      </c>
      <c r="BS279" s="57" t="s">
        <v>1281</v>
      </c>
      <c r="BT279" s="57" t="s">
        <v>1281</v>
      </c>
      <c r="BU279" s="57" t="s">
        <v>1281</v>
      </c>
      <c r="BV279" s="70">
        <f>E279</f>
        <v>39</v>
      </c>
      <c r="BW279" s="71">
        <f>I279</f>
        <v>78</v>
      </c>
      <c r="BX279" s="72">
        <f>M279</f>
        <v>82</v>
      </c>
      <c r="BY279" s="71">
        <f>Q279</f>
        <v>113</v>
      </c>
      <c r="BZ279" s="72">
        <f>U279</f>
        <v>117</v>
      </c>
      <c r="CA279" s="71">
        <f>Y279</f>
        <v>153</v>
      </c>
      <c r="CB279" s="72">
        <f>AC279</f>
        <v>161</v>
      </c>
      <c r="CC279" s="71">
        <f>AG279</f>
        <v>198</v>
      </c>
      <c r="CD279" s="72">
        <f>AK279</f>
        <v>206</v>
      </c>
      <c r="CE279" s="71">
        <f>AO279</f>
        <v>249</v>
      </c>
      <c r="CF279" s="72">
        <f>AS279</f>
        <v>293</v>
      </c>
      <c r="CG279" s="71">
        <f>AW279</f>
        <v>322</v>
      </c>
      <c r="CH279" s="70">
        <f>G279</f>
        <v>77</v>
      </c>
      <c r="CI279" s="71">
        <f>K279</f>
        <v>81</v>
      </c>
      <c r="CJ279" s="72">
        <f>O279</f>
        <v>111</v>
      </c>
      <c r="CK279" s="72">
        <f>S279</f>
        <v>116</v>
      </c>
      <c r="CL279" s="72">
        <f>W279</f>
        <v>152</v>
      </c>
      <c r="CM279" s="72">
        <f>AA279</f>
        <v>160</v>
      </c>
      <c r="CN279" s="72">
        <f>AE279</f>
        <v>187</v>
      </c>
      <c r="CO279" s="72">
        <f>AI279</f>
        <v>200</v>
      </c>
      <c r="CP279" s="72">
        <f>AM279</f>
        <v>243</v>
      </c>
      <c r="CQ279" s="72">
        <f>AQ279</f>
        <v>287</v>
      </c>
      <c r="CR279" s="72">
        <f>AU279</f>
        <v>321</v>
      </c>
      <c r="CS279" s="72">
        <f>AY279</f>
        <v>335</v>
      </c>
      <c r="CT279" s="23">
        <f>M279-K279</f>
        <v>1</v>
      </c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  <c r="VF279" s="1"/>
      <c r="VG279" s="1"/>
      <c r="VH279" s="1"/>
      <c r="VI279" s="1"/>
      <c r="VJ279" s="1"/>
      <c r="VK279" s="1"/>
      <c r="VL279" s="1"/>
      <c r="VM279" s="1"/>
      <c r="VN279" s="1"/>
      <c r="VO279" s="1"/>
      <c r="VP279" s="1"/>
      <c r="VQ279" s="1"/>
      <c r="VR279" s="1"/>
      <c r="VS279" s="1"/>
      <c r="VT279" s="1"/>
      <c r="VU279" s="1"/>
      <c r="VV279" s="1"/>
      <c r="VW279" s="1"/>
      <c r="VX279" s="1"/>
      <c r="VY279" s="1"/>
      <c r="VZ279" s="1"/>
      <c r="WA279" s="1"/>
      <c r="WB279" s="1"/>
      <c r="WC279" s="1"/>
      <c r="WD279" s="1"/>
      <c r="WE279" s="1"/>
      <c r="WF279" s="1"/>
      <c r="WG279" s="1"/>
      <c r="WH279" s="1"/>
      <c r="WI279" s="1"/>
      <c r="WJ279" s="1"/>
      <c r="WK279" s="1"/>
      <c r="WL279" s="1"/>
      <c r="WM279" s="1"/>
      <c r="WN279" s="1"/>
      <c r="WO279" s="1"/>
      <c r="WP279" s="1"/>
      <c r="WQ279" s="1"/>
      <c r="WR279" s="1"/>
      <c r="WS279" s="1"/>
      <c r="WT279" s="1"/>
      <c r="WU279" s="1"/>
      <c r="WV279" s="1"/>
      <c r="WW279" s="1"/>
      <c r="WX279" s="1"/>
      <c r="WY279" s="1"/>
      <c r="WZ279" s="1"/>
      <c r="XA279" s="1"/>
      <c r="XB279" s="1"/>
      <c r="XC279" s="1"/>
      <c r="XD279" s="1"/>
      <c r="XE279" s="1"/>
      <c r="XF279" s="1"/>
      <c r="XG279" s="1"/>
      <c r="XH279" s="1"/>
      <c r="XI279" s="1"/>
      <c r="XJ279" s="1"/>
      <c r="XK279" s="1"/>
      <c r="XL279" s="1"/>
      <c r="XM279" s="1"/>
      <c r="XN279" s="1"/>
      <c r="XO279" s="1"/>
      <c r="XP279" s="1"/>
      <c r="XQ279" s="1"/>
      <c r="XR279" s="1"/>
      <c r="XS279" s="1"/>
      <c r="XT279" s="1"/>
      <c r="XU279" s="1"/>
      <c r="XV279" s="1"/>
      <c r="XW279" s="1"/>
      <c r="XX279" s="1"/>
      <c r="XY279" s="1"/>
      <c r="XZ279" s="1"/>
      <c r="YA279" s="1"/>
      <c r="YB279" s="1"/>
      <c r="YC279" s="1"/>
      <c r="YD279" s="1"/>
      <c r="YE279" s="1"/>
      <c r="YF279" s="1"/>
      <c r="YG279" s="1"/>
      <c r="YH279" s="1"/>
      <c r="YI279" s="1"/>
      <c r="YJ279" s="1"/>
      <c r="YK279" s="1"/>
      <c r="YL279" s="1"/>
      <c r="YM279" s="1"/>
      <c r="YN279" s="1"/>
      <c r="YO279" s="1"/>
      <c r="YP279" s="1"/>
      <c r="YQ279" s="1"/>
      <c r="YR279" s="1"/>
      <c r="YS279" s="1"/>
      <c r="YT279" s="1"/>
      <c r="YU279" s="1"/>
      <c r="YV279" s="1"/>
      <c r="YW279" s="1"/>
      <c r="YX279" s="1"/>
      <c r="YY279" s="1"/>
      <c r="YZ279" s="1"/>
      <c r="ZA279" s="1"/>
      <c r="ZB279" s="1"/>
      <c r="ZC279" s="1"/>
      <c r="ZD279" s="1"/>
      <c r="ZE279" s="1"/>
      <c r="ZF279" s="1"/>
      <c r="ZG279" s="1"/>
      <c r="ZH279" s="1"/>
      <c r="ZI279" s="1"/>
      <c r="ZJ279" s="1"/>
      <c r="ZK279" s="1"/>
      <c r="ZL279" s="1"/>
      <c r="ZM279" s="1"/>
      <c r="ZN279" s="1"/>
      <c r="ZO279" s="1"/>
      <c r="ZP279" s="1"/>
      <c r="ZQ279" s="1"/>
      <c r="ZR279" s="1"/>
      <c r="ZS279" s="1"/>
      <c r="ZT279" s="1"/>
      <c r="ZU279" s="1"/>
      <c r="ZV279" s="1"/>
      <c r="ZW279" s="1"/>
      <c r="ZX279" s="1"/>
      <c r="ZY279" s="1"/>
      <c r="ZZ279" s="1"/>
      <c r="AAA279" s="1"/>
      <c r="AAB279" s="1"/>
      <c r="AAC279" s="1"/>
      <c r="AAD279" s="1"/>
      <c r="AAE279" s="1"/>
      <c r="AAF279" s="1"/>
      <c r="AAG279" s="1"/>
      <c r="AAH279" s="1"/>
      <c r="AAI279" s="1"/>
      <c r="AAJ279" s="1"/>
      <c r="AAK279" s="1"/>
      <c r="AAL279" s="1"/>
      <c r="AAM279" s="1"/>
      <c r="AAN279" s="1"/>
      <c r="AAO279" s="1"/>
      <c r="AAP279" s="1"/>
      <c r="AAQ279" s="1"/>
      <c r="AAR279" s="1"/>
      <c r="AAS279" s="1"/>
      <c r="AAT279" s="1"/>
      <c r="AAU279" s="1"/>
      <c r="AAV279" s="1"/>
      <c r="AAW279" s="1"/>
      <c r="AAX279" s="1"/>
      <c r="AAY279" s="1"/>
      <c r="AAZ279" s="1"/>
      <c r="ABA279" s="1"/>
      <c r="ABB279" s="1"/>
      <c r="ABC279" s="1"/>
      <c r="ABD279" s="1"/>
      <c r="ABE279" s="1"/>
      <c r="ABF279" s="1"/>
      <c r="ABG279" s="1"/>
      <c r="ABH279" s="1"/>
      <c r="ABI279" s="1"/>
      <c r="ABJ279" s="1"/>
      <c r="ABK279" s="1"/>
      <c r="ABL279" s="1"/>
      <c r="ABM279" s="1"/>
      <c r="ABN279" s="1"/>
      <c r="ABO279" s="1"/>
      <c r="ABP279" s="1"/>
      <c r="ABQ279" s="1"/>
      <c r="ABR279" s="1"/>
      <c r="ABS279" s="1"/>
      <c r="ABT279" s="1"/>
      <c r="ABU279" s="1"/>
      <c r="ABV279" s="1"/>
      <c r="ABW279" s="1"/>
      <c r="ABX279" s="1"/>
      <c r="ABY279" s="1"/>
      <c r="ABZ279" s="1"/>
      <c r="ACA279" s="1"/>
      <c r="ACB279" s="1"/>
      <c r="ACC279" s="1"/>
      <c r="ACD279" s="1"/>
      <c r="ACE279" s="1"/>
      <c r="ACF279" s="1"/>
      <c r="ACG279" s="1"/>
      <c r="ACH279" s="1"/>
      <c r="ACI279" s="1"/>
      <c r="ACJ279" s="1"/>
      <c r="ACK279" s="1"/>
      <c r="ACL279" s="1"/>
      <c r="ACM279" s="1"/>
      <c r="ACN279" s="1"/>
      <c r="ACO279" s="1"/>
      <c r="ACP279" s="1"/>
      <c r="ACQ279" s="1"/>
      <c r="ACR279" s="1"/>
      <c r="ACS279" s="1"/>
      <c r="ACT279" s="1"/>
      <c r="ACU279" s="1"/>
      <c r="ACV279" s="1"/>
      <c r="ACW279" s="1"/>
      <c r="ACX279" s="1"/>
      <c r="ACY279" s="1"/>
      <c r="ACZ279" s="1"/>
      <c r="ADA279" s="1"/>
      <c r="ADB279" s="1"/>
      <c r="ADC279" s="1"/>
      <c r="ADD279" s="1"/>
      <c r="ADE279" s="1"/>
      <c r="ADF279" s="1"/>
      <c r="ADG279" s="1"/>
      <c r="ADH279" s="1"/>
      <c r="ADI279" s="1"/>
      <c r="ADJ279" s="1"/>
      <c r="ADK279" s="1"/>
      <c r="ADL279" s="1"/>
      <c r="ADM279" s="1"/>
      <c r="ADN279" s="1"/>
      <c r="ADO279" s="1"/>
      <c r="ADP279" s="1"/>
      <c r="ADQ279" s="1"/>
      <c r="ADR279" s="1"/>
      <c r="ADS279" s="1"/>
      <c r="ADT279" s="1"/>
      <c r="ADU279" s="1"/>
      <c r="ADV279" s="1"/>
      <c r="ADW279" s="1"/>
      <c r="ADX279" s="1"/>
      <c r="ADY279" s="1"/>
      <c r="ADZ279" s="1"/>
      <c r="AEA279" s="1"/>
      <c r="AEB279" s="1"/>
      <c r="AEC279" s="1"/>
      <c r="AED279" s="1"/>
      <c r="AEE279" s="1"/>
      <c r="AEF279" s="1"/>
      <c r="AEG279" s="1"/>
      <c r="AEH279" s="1"/>
      <c r="AEI279" s="1"/>
      <c r="AEJ279" s="1"/>
      <c r="AEK279" s="1"/>
      <c r="AEL279" s="1"/>
      <c r="AEM279" s="1"/>
      <c r="AEN279" s="1"/>
      <c r="AEO279" s="1"/>
      <c r="AEP279" s="1"/>
      <c r="AEQ279" s="1"/>
      <c r="AER279" s="1"/>
      <c r="AES279" s="1"/>
      <c r="AET279" s="1"/>
      <c r="AEU279" s="1"/>
      <c r="AEV279" s="1"/>
      <c r="AEW279" s="1"/>
      <c r="AEX279" s="1"/>
      <c r="AEY279" s="1"/>
      <c r="AEZ279" s="1"/>
      <c r="AFA279" s="1"/>
      <c r="AFB279" s="1"/>
      <c r="AFC279" s="1"/>
      <c r="AFD279" s="1"/>
      <c r="AFE279" s="1"/>
      <c r="AFF279" s="1"/>
      <c r="AFG279" s="1"/>
      <c r="AFH279" s="1"/>
      <c r="AFI279" s="1"/>
      <c r="AFJ279" s="1"/>
      <c r="AFK279" s="1"/>
      <c r="AFL279" s="1"/>
      <c r="AFM279" s="1"/>
      <c r="AFN279" s="1"/>
      <c r="AFO279" s="1"/>
      <c r="AFP279" s="1"/>
      <c r="AFQ279" s="1"/>
      <c r="AFR279" s="1"/>
      <c r="AFS279" s="1"/>
      <c r="AFT279" s="1"/>
      <c r="AFU279" s="1"/>
      <c r="AFV279" s="1"/>
      <c r="AFW279" s="1"/>
      <c r="AFX279" s="1"/>
      <c r="AFY279" s="1"/>
      <c r="AFZ279" s="1"/>
      <c r="AGA279" s="1"/>
      <c r="AGB279" s="1"/>
      <c r="AGC279" s="1"/>
      <c r="AGD279" s="1"/>
      <c r="AGE279" s="1"/>
      <c r="AGF279" s="1"/>
      <c r="AGG279" s="1"/>
      <c r="AGH279" s="1"/>
      <c r="AGI279" s="1"/>
      <c r="AGJ279" s="1"/>
      <c r="AGK279" s="1"/>
      <c r="AGL279" s="1"/>
      <c r="AGM279" s="1"/>
      <c r="AGN279" s="1"/>
      <c r="AGO279" s="1"/>
      <c r="AGP279" s="1"/>
      <c r="AGQ279" s="1"/>
      <c r="AGR279" s="1"/>
      <c r="AGS279" s="1"/>
      <c r="AGT279" s="1"/>
      <c r="AGU279" s="1"/>
      <c r="AGV279" s="1"/>
      <c r="AGW279" s="1"/>
      <c r="AGX279" s="1"/>
      <c r="AGY279" s="1"/>
      <c r="AGZ279" s="1"/>
      <c r="AHA279" s="1"/>
      <c r="AHB279" s="1"/>
      <c r="AHC279" s="1"/>
      <c r="AHD279" s="1"/>
      <c r="AHE279" s="1"/>
      <c r="AHF279" s="1"/>
      <c r="AHG279" s="1"/>
      <c r="AHH279" s="1"/>
      <c r="AHI279" s="1"/>
      <c r="AHJ279" s="1"/>
      <c r="AHK279" s="1"/>
      <c r="AHL279" s="1"/>
      <c r="AHM279" s="1"/>
      <c r="AHN279" s="1"/>
      <c r="AHO279" s="1"/>
      <c r="AHP279" s="1"/>
      <c r="AHQ279" s="1"/>
      <c r="AHR279" s="1"/>
      <c r="AHS279" s="1"/>
      <c r="AHT279" s="1"/>
      <c r="AHU279" s="1"/>
      <c r="AHV279" s="1"/>
      <c r="AHW279" s="1"/>
      <c r="AHX279" s="1"/>
      <c r="AHY279" s="1"/>
      <c r="AHZ279" s="1"/>
      <c r="AIA279" s="1"/>
      <c r="AIB279" s="1"/>
      <c r="AIC279" s="1"/>
      <c r="AID279" s="1"/>
      <c r="AIE279" s="1"/>
      <c r="AIF279" s="1"/>
      <c r="AIG279" s="1"/>
      <c r="AIH279" s="1"/>
      <c r="AII279" s="1"/>
      <c r="AIJ279" s="1"/>
      <c r="AIK279" s="1"/>
      <c r="AIL279" s="1"/>
      <c r="AIM279" s="1"/>
      <c r="AIN279" s="1"/>
      <c r="AIO279" s="1"/>
      <c r="AIP279" s="1"/>
      <c r="AIQ279" s="1"/>
      <c r="AIR279" s="1"/>
      <c r="AIS279" s="1"/>
      <c r="AIT279" s="1"/>
      <c r="AIU279" s="1"/>
      <c r="AIV279" s="1"/>
      <c r="AIW279" s="1"/>
      <c r="AIX279" s="1"/>
      <c r="AIY279" s="1"/>
      <c r="AIZ279" s="1"/>
      <c r="AJA279" s="1"/>
      <c r="AJB279" s="1"/>
      <c r="AJC279" s="1"/>
      <c r="AJD279" s="1"/>
      <c r="AJE279" s="1"/>
      <c r="AJF279" s="1"/>
      <c r="AJG279" s="1"/>
      <c r="AJH279" s="1"/>
      <c r="AJI279" s="1"/>
      <c r="AJJ279" s="1"/>
      <c r="AJK279" s="1"/>
      <c r="AJL279" s="1"/>
      <c r="AJM279" s="1"/>
      <c r="AJN279" s="1"/>
      <c r="AJO279" s="1"/>
      <c r="AJP279" s="1"/>
      <c r="AJQ279" s="1"/>
      <c r="AJR279" s="1"/>
      <c r="AJS279" s="1"/>
      <c r="AJT279" s="1"/>
      <c r="AJU279" s="1"/>
      <c r="AJV279" s="1"/>
      <c r="AJW279" s="1"/>
      <c r="AJX279" s="1"/>
      <c r="AJY279" s="1"/>
      <c r="AJZ279" s="1"/>
      <c r="AKA279" s="1"/>
      <c r="AKB279" s="1"/>
      <c r="AKC279" s="1"/>
      <c r="AKD279" s="1"/>
      <c r="AKE279" s="1"/>
      <c r="AKF279" s="1"/>
      <c r="AKG279" s="1"/>
      <c r="AKH279" s="1"/>
      <c r="AKI279" s="1"/>
      <c r="AKJ279" s="1"/>
      <c r="AKK279" s="1"/>
      <c r="AKL279" s="1"/>
      <c r="AKM279" s="1"/>
      <c r="AKN279" s="1"/>
      <c r="AKO279" s="1"/>
      <c r="AKP279" s="1"/>
      <c r="AKQ279" s="1"/>
      <c r="AKR279" s="1"/>
      <c r="AKS279" s="1"/>
      <c r="AKT279" s="1"/>
      <c r="AKU279" s="1"/>
      <c r="AKV279" s="1"/>
      <c r="AKW279" s="1"/>
      <c r="AKX279" s="1"/>
      <c r="AKY279" s="1"/>
      <c r="AKZ279" s="1"/>
      <c r="ALA279" s="1"/>
      <c r="ALB279" s="1"/>
      <c r="ALC279" s="1"/>
      <c r="ALD279" s="1"/>
      <c r="ALE279" s="1"/>
      <c r="ALF279" s="1"/>
      <c r="ALG279" s="1"/>
      <c r="ALH279" s="1"/>
      <c r="ALI279" s="1"/>
      <c r="ALJ279" s="1"/>
      <c r="ALK279" s="1"/>
      <c r="ALL279" s="1"/>
      <c r="ALM279" s="1"/>
      <c r="ALN279" s="1"/>
      <c r="ALO279" s="1"/>
      <c r="ALP279" s="1"/>
      <c r="ALQ279" s="1"/>
      <c r="ALR279" s="1"/>
      <c r="ALS279" s="1"/>
      <c r="ALT279" s="1"/>
      <c r="ALU279" s="1"/>
      <c r="ALV279" s="1"/>
      <c r="ALW279" s="1"/>
      <c r="ALX279" s="1"/>
      <c r="ALY279" s="1"/>
      <c r="ALZ279" s="1"/>
      <c r="AMA279" s="1"/>
      <c r="AMB279" s="1"/>
      <c r="AMC279" s="1"/>
      <c r="AMD279" s="1"/>
      <c r="AME279" s="1"/>
      <c r="AMF279" s="1"/>
      <c r="AMG279" s="1"/>
      <c r="AMH279" s="1"/>
      <c r="AMI279" s="1"/>
      <c r="AMJ279" s="1"/>
      <c r="AMK279" s="1"/>
      <c r="AML279" s="1"/>
      <c r="AMM279" s="1"/>
      <c r="AMN279" s="1"/>
      <c r="AMO279" s="1"/>
    </row>
    <row r="280" spans="1:1030" s="2" customFormat="1" x14ac:dyDescent="0.2">
      <c r="A280" s="3" t="str">
        <f>CONCATENATE(B280,"_",C280)</f>
        <v>oprd_human_4RWD</v>
      </c>
      <c r="B280" s="1" t="s">
        <v>334</v>
      </c>
      <c r="C280" s="1" t="s">
        <v>1332</v>
      </c>
      <c r="D280" s="3" t="str">
        <f>IFERROR(MID(VLOOKUP($B280,Seqs!$A:$B,2,0),E280,1),"")</f>
        <v>A</v>
      </c>
      <c r="E280" s="3">
        <v>43</v>
      </c>
      <c r="F280" s="3" t="str">
        <f>IFERROR(MID(VLOOKUP($B280,Seqs!$A:$B,2,0),G280,1),"")</f>
        <v>Y</v>
      </c>
      <c r="G280" s="3">
        <v>77</v>
      </c>
      <c r="H280" s="3" t="str">
        <f>IFERROR(MID(VLOOKUP($B280,Seqs!$A:$B,2,0),I280,1),"")</f>
        <v>T</v>
      </c>
      <c r="I280" s="23">
        <v>78</v>
      </c>
      <c r="J280" s="3" t="str">
        <f>IFERROR(MID(VLOOKUP($B280,Seqs!$A:$B,2,0),K280,1),"")</f>
        <v>K</v>
      </c>
      <c r="K280" s="23">
        <v>81</v>
      </c>
      <c r="L280" s="3" t="str">
        <f>IFERROR(MID(VLOOKUP($B280,Seqs!$A:$B,2,0),M280,1),"")</f>
        <v>T</v>
      </c>
      <c r="M280" s="3">
        <v>82</v>
      </c>
      <c r="N280" s="3" t="str">
        <f>IFERROR(MID(VLOOKUP($B280,Seqs!$A:$B,2,0),O280,1),"")</f>
        <v>M</v>
      </c>
      <c r="O280" s="3">
        <v>111</v>
      </c>
      <c r="P280" s="3" t="str">
        <f>IFERROR(MID(VLOOKUP($B280,Seqs!$A:$B,2,0),Q280,1),"")</f>
        <v>T</v>
      </c>
      <c r="Q280" s="3">
        <v>113</v>
      </c>
      <c r="R280" s="3" t="str">
        <f>IFERROR(MID(VLOOKUP($B280,Seqs!$A:$B,2,0),S280,1),"")</f>
        <v>F</v>
      </c>
      <c r="S280" s="3">
        <v>116</v>
      </c>
      <c r="T280" s="3" t="str">
        <f>IFERROR(MID(VLOOKUP($B280,Seqs!$A:$B,2,0),U280,1),"")</f>
        <v>G</v>
      </c>
      <c r="U280" s="3">
        <v>117</v>
      </c>
      <c r="V280" s="3" t="str">
        <f>IFERROR(MID(VLOOKUP($B280,Seqs!$A:$B,2,0),W280,1),"")</f>
        <v>H</v>
      </c>
      <c r="W280" s="3">
        <v>152</v>
      </c>
      <c r="X280" s="3" t="str">
        <f>IFERROR(MID(VLOOKUP($B280,Seqs!$A:$B,2,0),Y280,1),"")</f>
        <v>P</v>
      </c>
      <c r="Y280" s="3">
        <v>153</v>
      </c>
      <c r="Z280" s="3" t="str">
        <f>IFERROR(MID(VLOOKUP($B280,Seqs!$A:$B,2,0),AA280,1),"")</f>
        <v>R</v>
      </c>
      <c r="AA280" s="3">
        <v>160</v>
      </c>
      <c r="AB280" s="3" t="str">
        <f>IFERROR(MID(VLOOKUP($B280,Seqs!$A:$B,2,0),AC280,1),"")</f>
        <v>T</v>
      </c>
      <c r="AC280" s="9">
        <v>161</v>
      </c>
      <c r="AD280" s="3" t="str">
        <f>IFERROR(MID(VLOOKUP($B280,Seqs!$A:$B,2,0),AE280,1),"")</f>
        <v>A</v>
      </c>
      <c r="AE280" s="3">
        <v>187</v>
      </c>
      <c r="AF280" s="3" t="str">
        <f>IFERROR(MID(VLOOKUP($B280,Seqs!$A:$B,2,0),AG280,1),"")</f>
        <v>C</v>
      </c>
      <c r="AG280" s="3">
        <v>198</v>
      </c>
      <c r="AH280" s="3" t="str">
        <f>IFERROR(MID(VLOOKUP($B280,Seqs!$A:$B,2,0),AI280,1),"")</f>
        <v>L</v>
      </c>
      <c r="AI280" s="3">
        <v>200</v>
      </c>
      <c r="AJ280" s="3" t="str">
        <f>IFERROR(MID(VLOOKUP($B280,Seqs!$A:$B,2,0),AK280,1),"")</f>
        <v>S</v>
      </c>
      <c r="AK280" s="3">
        <v>206</v>
      </c>
      <c r="AL280" s="3" t="str">
        <f>IFERROR(MID(VLOOKUP($B280,Seqs!$A:$B,2,0),AM280,1),"")</f>
        <v>V</v>
      </c>
      <c r="AM280" s="3">
        <v>243</v>
      </c>
      <c r="AN280" s="3" t="str">
        <f>IFERROR(MID(VLOOKUP($B280,Seqs!$A:$B,2,0),AO280,1),"")</f>
        <v>S</v>
      </c>
      <c r="AO280" s="3">
        <v>249</v>
      </c>
      <c r="AP280" s="3" t="str">
        <f>IFERROR(MID(VLOOKUP($B280,Seqs!$A:$B,2,0),AQ280,1),"")</f>
        <v>V</v>
      </c>
      <c r="AQ280" s="3">
        <v>287</v>
      </c>
      <c r="AR280" s="3" t="str">
        <f>IFERROR(MID(VLOOKUP($B280,Seqs!$A:$B,2,0),AS280,1),"")</f>
        <v>D</v>
      </c>
      <c r="AS280" s="3">
        <v>293</v>
      </c>
      <c r="AT280" s="3" t="str">
        <f>IFERROR(MID(VLOOKUP($B280,Seqs!$A:$B,2,0),AU280,1),"")</f>
        <v>L</v>
      </c>
      <c r="AU280" s="3">
        <v>321</v>
      </c>
      <c r="AV280" s="3" t="str">
        <f>IFERROR(MID(VLOOKUP($B280,Seqs!$A:$B,2,0),AW280,1),"")</f>
        <v>D</v>
      </c>
      <c r="AW280" s="3">
        <v>322</v>
      </c>
      <c r="AX280" s="3" t="str">
        <f>IFERROR(MID(VLOOKUP($B280,Seqs!$A:$B,2,0),AY280,1),"")</f>
        <v>C</v>
      </c>
      <c r="AY280" s="3">
        <v>333</v>
      </c>
      <c r="AZ280" s="77" t="str">
        <f>VLOOKUP(B280,Classification!A:D,2,0)</f>
        <v>A</v>
      </c>
      <c r="BA280" s="94" t="str">
        <f>VLOOKUP(B280,Classification!A:D,4,0)</f>
        <v>Opioid</v>
      </c>
      <c r="BB280" s="27" t="b">
        <f t="shared" si="1074"/>
        <v>1</v>
      </c>
      <c r="BC280" s="23">
        <f t="shared" si="1057"/>
        <v>265</v>
      </c>
      <c r="BD280" s="16" t="s">
        <v>23</v>
      </c>
      <c r="BE280" s="3" t="s">
        <v>1368</v>
      </c>
      <c r="BF280" s="118">
        <v>2.7</v>
      </c>
      <c r="BG280" s="49" t="s">
        <v>1371</v>
      </c>
      <c r="BH280" s="49" t="s">
        <v>1371</v>
      </c>
      <c r="BI280" s="3"/>
      <c r="BJ280" s="70" t="s">
        <v>1281</v>
      </c>
      <c r="BK280" s="57" t="s">
        <v>1281</v>
      </c>
      <c r="BL280" s="57" t="s">
        <v>1281</v>
      </c>
      <c r="BM280" s="57" t="s">
        <v>1281</v>
      </c>
      <c r="BN280" s="57" t="s">
        <v>1281</v>
      </c>
      <c r="BO280" s="57" t="s">
        <v>1281</v>
      </c>
      <c r="BP280" s="57" t="s">
        <v>1281</v>
      </c>
      <c r="BQ280" s="57" t="s">
        <v>1281</v>
      </c>
      <c r="BR280" s="57" t="s">
        <v>1281</v>
      </c>
      <c r="BS280" s="57" t="s">
        <v>1281</v>
      </c>
      <c r="BT280" s="57" t="s">
        <v>1281</v>
      </c>
      <c r="BU280" s="57" t="s">
        <v>1281</v>
      </c>
      <c r="BV280" s="70">
        <f>E280</f>
        <v>43</v>
      </c>
      <c r="BW280" s="71">
        <f>I280</f>
        <v>78</v>
      </c>
      <c r="BX280" s="72">
        <f>M280</f>
        <v>82</v>
      </c>
      <c r="BY280" s="71">
        <f>Q280</f>
        <v>113</v>
      </c>
      <c r="BZ280" s="72">
        <f>U280</f>
        <v>117</v>
      </c>
      <c r="CA280" s="71">
        <f>Y280</f>
        <v>153</v>
      </c>
      <c r="CB280" s="72">
        <f>AC280</f>
        <v>161</v>
      </c>
      <c r="CC280" s="71">
        <f>AG280</f>
        <v>198</v>
      </c>
      <c r="CD280" s="72">
        <f>AK280</f>
        <v>206</v>
      </c>
      <c r="CE280" s="71">
        <f>AO280</f>
        <v>249</v>
      </c>
      <c r="CF280" s="72">
        <f>AS280</f>
        <v>293</v>
      </c>
      <c r="CG280" s="71">
        <f>AW280</f>
        <v>322</v>
      </c>
      <c r="CH280" s="70">
        <f>G280</f>
        <v>77</v>
      </c>
      <c r="CI280" s="71">
        <f>K280</f>
        <v>81</v>
      </c>
      <c r="CJ280" s="72">
        <f>O280</f>
        <v>111</v>
      </c>
      <c r="CK280" s="72">
        <f>S280</f>
        <v>116</v>
      </c>
      <c r="CL280" s="72">
        <f>W280</f>
        <v>152</v>
      </c>
      <c r="CM280" s="72">
        <f>AA280</f>
        <v>160</v>
      </c>
      <c r="CN280" s="72">
        <f>AE280</f>
        <v>187</v>
      </c>
      <c r="CO280" s="72">
        <f>AI280</f>
        <v>200</v>
      </c>
      <c r="CP280" s="72">
        <f>AM280</f>
        <v>243</v>
      </c>
      <c r="CQ280" s="72">
        <f>AQ280</f>
        <v>287</v>
      </c>
      <c r="CR280" s="72">
        <f>AU280</f>
        <v>321</v>
      </c>
      <c r="CS280" s="72">
        <f>AY280</f>
        <v>333</v>
      </c>
      <c r="CT280" s="23">
        <f>M280-K280</f>
        <v>1</v>
      </c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  <c r="UX280" s="1"/>
      <c r="UY280" s="1"/>
      <c r="UZ280" s="1"/>
      <c r="VA280" s="1"/>
      <c r="VB280" s="1"/>
      <c r="VC280" s="1"/>
      <c r="VD280" s="1"/>
      <c r="VE280" s="1"/>
      <c r="VF280" s="1"/>
      <c r="VG280" s="1"/>
      <c r="VH280" s="1"/>
      <c r="VI280" s="1"/>
      <c r="VJ280" s="1"/>
      <c r="VK280" s="1"/>
      <c r="VL280" s="1"/>
      <c r="VM280" s="1"/>
      <c r="VN280" s="1"/>
      <c r="VO280" s="1"/>
      <c r="VP280" s="1"/>
      <c r="VQ280" s="1"/>
      <c r="VR280" s="1"/>
      <c r="VS280" s="1"/>
      <c r="VT280" s="1"/>
      <c r="VU280" s="1"/>
      <c r="VV280" s="1"/>
      <c r="VW280" s="1"/>
      <c r="VX280" s="1"/>
      <c r="VY280" s="1"/>
      <c r="VZ280" s="1"/>
      <c r="WA280" s="1"/>
      <c r="WB280" s="1"/>
      <c r="WC280" s="1"/>
      <c r="WD280" s="1"/>
      <c r="WE280" s="1"/>
      <c r="WF280" s="1"/>
      <c r="WG280" s="1"/>
      <c r="WH280" s="1"/>
      <c r="WI280" s="1"/>
      <c r="WJ280" s="1"/>
      <c r="WK280" s="1"/>
      <c r="WL280" s="1"/>
      <c r="WM280" s="1"/>
      <c r="WN280" s="1"/>
      <c r="WO280" s="1"/>
      <c r="WP280" s="1"/>
      <c r="WQ280" s="1"/>
      <c r="WR280" s="1"/>
      <c r="WS280" s="1"/>
      <c r="WT280" s="1"/>
      <c r="WU280" s="1"/>
      <c r="WV280" s="1"/>
      <c r="WW280" s="1"/>
      <c r="WX280" s="1"/>
      <c r="WY280" s="1"/>
      <c r="WZ280" s="1"/>
      <c r="XA280" s="1"/>
      <c r="XB280" s="1"/>
      <c r="XC280" s="1"/>
      <c r="XD280" s="1"/>
      <c r="XE280" s="1"/>
      <c r="XF280" s="1"/>
      <c r="XG280" s="1"/>
      <c r="XH280" s="1"/>
      <c r="XI280" s="1"/>
      <c r="XJ280" s="1"/>
      <c r="XK280" s="1"/>
      <c r="XL280" s="1"/>
      <c r="XM280" s="1"/>
      <c r="XN280" s="1"/>
      <c r="XO280" s="1"/>
      <c r="XP280" s="1"/>
      <c r="XQ280" s="1"/>
      <c r="XR280" s="1"/>
      <c r="XS280" s="1"/>
      <c r="XT280" s="1"/>
      <c r="XU280" s="1"/>
      <c r="XV280" s="1"/>
      <c r="XW280" s="1"/>
      <c r="XX280" s="1"/>
      <c r="XY280" s="1"/>
      <c r="XZ280" s="1"/>
      <c r="YA280" s="1"/>
      <c r="YB280" s="1"/>
      <c r="YC280" s="1"/>
      <c r="YD280" s="1"/>
      <c r="YE280" s="1"/>
      <c r="YF280" s="1"/>
      <c r="YG280" s="1"/>
      <c r="YH280" s="1"/>
      <c r="YI280" s="1"/>
      <c r="YJ280" s="1"/>
      <c r="YK280" s="1"/>
      <c r="YL280" s="1"/>
      <c r="YM280" s="1"/>
      <c r="YN280" s="1"/>
      <c r="YO280" s="1"/>
      <c r="YP280" s="1"/>
      <c r="YQ280" s="1"/>
      <c r="YR280" s="1"/>
      <c r="YS280" s="1"/>
      <c r="YT280" s="1"/>
      <c r="YU280" s="1"/>
      <c r="YV280" s="1"/>
      <c r="YW280" s="1"/>
      <c r="YX280" s="1"/>
      <c r="YY280" s="1"/>
      <c r="YZ280" s="1"/>
      <c r="ZA280" s="1"/>
      <c r="ZB280" s="1"/>
      <c r="ZC280" s="1"/>
      <c r="ZD280" s="1"/>
      <c r="ZE280" s="1"/>
      <c r="ZF280" s="1"/>
      <c r="ZG280" s="1"/>
      <c r="ZH280" s="1"/>
      <c r="ZI280" s="1"/>
      <c r="ZJ280" s="1"/>
      <c r="ZK280" s="1"/>
      <c r="ZL280" s="1"/>
      <c r="ZM280" s="1"/>
      <c r="ZN280" s="1"/>
      <c r="ZO280" s="1"/>
      <c r="ZP280" s="1"/>
      <c r="ZQ280" s="1"/>
      <c r="ZR280" s="1"/>
      <c r="ZS280" s="1"/>
      <c r="ZT280" s="1"/>
      <c r="ZU280" s="1"/>
      <c r="ZV280" s="1"/>
      <c r="ZW280" s="1"/>
      <c r="ZX280" s="1"/>
      <c r="ZY280" s="1"/>
      <c r="ZZ280" s="1"/>
      <c r="AAA280" s="1"/>
      <c r="AAB280" s="1"/>
      <c r="AAC280" s="1"/>
      <c r="AAD280" s="1"/>
      <c r="AAE280" s="1"/>
      <c r="AAF280" s="1"/>
      <c r="AAG280" s="1"/>
      <c r="AAH280" s="1"/>
      <c r="AAI280" s="1"/>
      <c r="AAJ280" s="1"/>
      <c r="AAK280" s="1"/>
      <c r="AAL280" s="1"/>
      <c r="AAM280" s="1"/>
      <c r="AAN280" s="1"/>
      <c r="AAO280" s="1"/>
      <c r="AAP280" s="1"/>
      <c r="AAQ280" s="1"/>
      <c r="AAR280" s="1"/>
      <c r="AAS280" s="1"/>
      <c r="AAT280" s="1"/>
      <c r="AAU280" s="1"/>
      <c r="AAV280" s="1"/>
      <c r="AAW280" s="1"/>
      <c r="AAX280" s="1"/>
      <c r="AAY280" s="1"/>
      <c r="AAZ280" s="1"/>
      <c r="ABA280" s="1"/>
      <c r="ABB280" s="1"/>
      <c r="ABC280" s="1"/>
      <c r="ABD280" s="1"/>
      <c r="ABE280" s="1"/>
      <c r="ABF280" s="1"/>
      <c r="ABG280" s="1"/>
      <c r="ABH280" s="1"/>
      <c r="ABI280" s="1"/>
      <c r="ABJ280" s="1"/>
      <c r="ABK280" s="1"/>
      <c r="ABL280" s="1"/>
      <c r="ABM280" s="1"/>
      <c r="ABN280" s="1"/>
      <c r="ABO280" s="1"/>
      <c r="ABP280" s="1"/>
      <c r="ABQ280" s="1"/>
      <c r="ABR280" s="1"/>
      <c r="ABS280" s="1"/>
      <c r="ABT280" s="1"/>
      <c r="ABU280" s="1"/>
      <c r="ABV280" s="1"/>
      <c r="ABW280" s="1"/>
      <c r="ABX280" s="1"/>
      <c r="ABY280" s="1"/>
      <c r="ABZ280" s="1"/>
      <c r="ACA280" s="1"/>
      <c r="ACB280" s="1"/>
      <c r="ACC280" s="1"/>
      <c r="ACD280" s="1"/>
      <c r="ACE280" s="1"/>
      <c r="ACF280" s="1"/>
      <c r="ACG280" s="1"/>
      <c r="ACH280" s="1"/>
      <c r="ACI280" s="1"/>
      <c r="ACJ280" s="1"/>
      <c r="ACK280" s="1"/>
      <c r="ACL280" s="1"/>
      <c r="ACM280" s="1"/>
      <c r="ACN280" s="1"/>
      <c r="ACO280" s="1"/>
      <c r="ACP280" s="1"/>
      <c r="ACQ280" s="1"/>
      <c r="ACR280" s="1"/>
      <c r="ACS280" s="1"/>
      <c r="ACT280" s="1"/>
      <c r="ACU280" s="1"/>
      <c r="ACV280" s="1"/>
      <c r="ACW280" s="1"/>
      <c r="ACX280" s="1"/>
      <c r="ACY280" s="1"/>
      <c r="ACZ280" s="1"/>
      <c r="ADA280" s="1"/>
      <c r="ADB280" s="1"/>
      <c r="ADC280" s="1"/>
      <c r="ADD280" s="1"/>
      <c r="ADE280" s="1"/>
      <c r="ADF280" s="1"/>
      <c r="ADG280" s="1"/>
      <c r="ADH280" s="1"/>
      <c r="ADI280" s="1"/>
      <c r="ADJ280" s="1"/>
      <c r="ADK280" s="1"/>
      <c r="ADL280" s="1"/>
      <c r="ADM280" s="1"/>
      <c r="ADN280" s="1"/>
      <c r="ADO280" s="1"/>
      <c r="ADP280" s="1"/>
      <c r="ADQ280" s="1"/>
      <c r="ADR280" s="1"/>
      <c r="ADS280" s="1"/>
      <c r="ADT280" s="1"/>
      <c r="ADU280" s="1"/>
      <c r="ADV280" s="1"/>
      <c r="ADW280" s="1"/>
      <c r="ADX280" s="1"/>
      <c r="ADY280" s="1"/>
      <c r="ADZ280" s="1"/>
      <c r="AEA280" s="1"/>
      <c r="AEB280" s="1"/>
      <c r="AEC280" s="1"/>
      <c r="AED280" s="1"/>
      <c r="AEE280" s="1"/>
      <c r="AEF280" s="1"/>
      <c r="AEG280" s="1"/>
      <c r="AEH280" s="1"/>
      <c r="AEI280" s="1"/>
      <c r="AEJ280" s="1"/>
      <c r="AEK280" s="1"/>
      <c r="AEL280" s="1"/>
      <c r="AEM280" s="1"/>
      <c r="AEN280" s="1"/>
      <c r="AEO280" s="1"/>
      <c r="AEP280" s="1"/>
      <c r="AEQ280" s="1"/>
      <c r="AER280" s="1"/>
      <c r="AES280" s="1"/>
      <c r="AET280" s="1"/>
      <c r="AEU280" s="1"/>
      <c r="AEV280" s="1"/>
      <c r="AEW280" s="1"/>
      <c r="AEX280" s="1"/>
      <c r="AEY280" s="1"/>
      <c r="AEZ280" s="1"/>
      <c r="AFA280" s="1"/>
      <c r="AFB280" s="1"/>
      <c r="AFC280" s="1"/>
      <c r="AFD280" s="1"/>
      <c r="AFE280" s="1"/>
      <c r="AFF280" s="1"/>
      <c r="AFG280" s="1"/>
      <c r="AFH280" s="1"/>
      <c r="AFI280" s="1"/>
      <c r="AFJ280" s="1"/>
      <c r="AFK280" s="1"/>
      <c r="AFL280" s="1"/>
      <c r="AFM280" s="1"/>
      <c r="AFN280" s="1"/>
      <c r="AFO280" s="1"/>
      <c r="AFP280" s="1"/>
      <c r="AFQ280" s="1"/>
      <c r="AFR280" s="1"/>
      <c r="AFS280" s="1"/>
      <c r="AFT280" s="1"/>
      <c r="AFU280" s="1"/>
      <c r="AFV280" s="1"/>
      <c r="AFW280" s="1"/>
      <c r="AFX280" s="1"/>
      <c r="AFY280" s="1"/>
      <c r="AFZ280" s="1"/>
      <c r="AGA280" s="1"/>
      <c r="AGB280" s="1"/>
      <c r="AGC280" s="1"/>
      <c r="AGD280" s="1"/>
      <c r="AGE280" s="1"/>
      <c r="AGF280" s="1"/>
      <c r="AGG280" s="1"/>
      <c r="AGH280" s="1"/>
      <c r="AGI280" s="1"/>
      <c r="AGJ280" s="1"/>
      <c r="AGK280" s="1"/>
      <c r="AGL280" s="1"/>
      <c r="AGM280" s="1"/>
      <c r="AGN280" s="1"/>
      <c r="AGO280" s="1"/>
      <c r="AGP280" s="1"/>
      <c r="AGQ280" s="1"/>
      <c r="AGR280" s="1"/>
      <c r="AGS280" s="1"/>
      <c r="AGT280" s="1"/>
      <c r="AGU280" s="1"/>
      <c r="AGV280" s="1"/>
      <c r="AGW280" s="1"/>
      <c r="AGX280" s="1"/>
      <c r="AGY280" s="1"/>
      <c r="AGZ280" s="1"/>
      <c r="AHA280" s="1"/>
      <c r="AHB280" s="1"/>
      <c r="AHC280" s="1"/>
      <c r="AHD280" s="1"/>
      <c r="AHE280" s="1"/>
      <c r="AHF280" s="1"/>
      <c r="AHG280" s="1"/>
      <c r="AHH280" s="1"/>
      <c r="AHI280" s="1"/>
      <c r="AHJ280" s="1"/>
      <c r="AHK280" s="1"/>
      <c r="AHL280" s="1"/>
      <c r="AHM280" s="1"/>
      <c r="AHN280" s="1"/>
      <c r="AHO280" s="1"/>
      <c r="AHP280" s="1"/>
      <c r="AHQ280" s="1"/>
      <c r="AHR280" s="1"/>
      <c r="AHS280" s="1"/>
      <c r="AHT280" s="1"/>
      <c r="AHU280" s="1"/>
      <c r="AHV280" s="1"/>
      <c r="AHW280" s="1"/>
      <c r="AHX280" s="1"/>
      <c r="AHY280" s="1"/>
      <c r="AHZ280" s="1"/>
      <c r="AIA280" s="1"/>
      <c r="AIB280" s="1"/>
      <c r="AIC280" s="1"/>
      <c r="AID280" s="1"/>
      <c r="AIE280" s="1"/>
      <c r="AIF280" s="1"/>
      <c r="AIG280" s="1"/>
      <c r="AIH280" s="1"/>
      <c r="AII280" s="1"/>
      <c r="AIJ280" s="1"/>
      <c r="AIK280" s="1"/>
      <c r="AIL280" s="1"/>
      <c r="AIM280" s="1"/>
      <c r="AIN280" s="1"/>
      <c r="AIO280" s="1"/>
      <c r="AIP280" s="1"/>
      <c r="AIQ280" s="1"/>
      <c r="AIR280" s="1"/>
      <c r="AIS280" s="1"/>
      <c r="AIT280" s="1"/>
      <c r="AIU280" s="1"/>
      <c r="AIV280" s="1"/>
      <c r="AIW280" s="1"/>
      <c r="AIX280" s="1"/>
      <c r="AIY280" s="1"/>
      <c r="AIZ280" s="1"/>
      <c r="AJA280" s="1"/>
      <c r="AJB280" s="1"/>
      <c r="AJC280" s="1"/>
      <c r="AJD280" s="1"/>
      <c r="AJE280" s="1"/>
      <c r="AJF280" s="1"/>
      <c r="AJG280" s="1"/>
      <c r="AJH280" s="1"/>
      <c r="AJI280" s="1"/>
      <c r="AJJ280" s="1"/>
      <c r="AJK280" s="1"/>
      <c r="AJL280" s="1"/>
      <c r="AJM280" s="1"/>
      <c r="AJN280" s="1"/>
      <c r="AJO280" s="1"/>
      <c r="AJP280" s="1"/>
      <c r="AJQ280" s="1"/>
      <c r="AJR280" s="1"/>
      <c r="AJS280" s="1"/>
      <c r="AJT280" s="1"/>
      <c r="AJU280" s="1"/>
      <c r="AJV280" s="1"/>
      <c r="AJW280" s="1"/>
      <c r="AJX280" s="1"/>
      <c r="AJY280" s="1"/>
      <c r="AJZ280" s="1"/>
      <c r="AKA280" s="1"/>
      <c r="AKB280" s="1"/>
      <c r="AKC280" s="1"/>
      <c r="AKD280" s="1"/>
      <c r="AKE280" s="1"/>
      <c r="AKF280" s="1"/>
      <c r="AKG280" s="1"/>
      <c r="AKH280" s="1"/>
      <c r="AKI280" s="1"/>
      <c r="AKJ280" s="1"/>
      <c r="AKK280" s="1"/>
      <c r="AKL280" s="1"/>
      <c r="AKM280" s="1"/>
      <c r="AKN280" s="1"/>
      <c r="AKO280" s="1"/>
      <c r="AKP280" s="1"/>
      <c r="AKQ280" s="1"/>
      <c r="AKR280" s="1"/>
      <c r="AKS280" s="1"/>
      <c r="AKT280" s="1"/>
      <c r="AKU280" s="1"/>
      <c r="AKV280" s="1"/>
      <c r="AKW280" s="1"/>
      <c r="AKX280" s="1"/>
      <c r="AKY280" s="1"/>
      <c r="AKZ280" s="1"/>
      <c r="ALA280" s="1"/>
      <c r="ALB280" s="1"/>
      <c r="ALC280" s="1"/>
      <c r="ALD280" s="1"/>
      <c r="ALE280" s="1"/>
      <c r="ALF280" s="1"/>
      <c r="ALG280" s="1"/>
      <c r="ALH280" s="1"/>
      <c r="ALI280" s="1"/>
      <c r="ALJ280" s="1"/>
      <c r="ALK280" s="1"/>
      <c r="ALL280" s="1"/>
      <c r="ALM280" s="1"/>
      <c r="ALN280" s="1"/>
      <c r="ALO280" s="1"/>
      <c r="ALP280" s="1"/>
      <c r="ALQ280" s="1"/>
      <c r="ALR280" s="1"/>
      <c r="ALS280" s="1"/>
      <c r="ALT280" s="1"/>
      <c r="ALU280" s="1"/>
      <c r="ALV280" s="1"/>
      <c r="ALW280" s="1"/>
      <c r="ALX280" s="1"/>
      <c r="ALY280" s="1"/>
      <c r="ALZ280" s="1"/>
      <c r="AMA280" s="1"/>
      <c r="AMB280" s="1"/>
      <c r="AMC280" s="1"/>
      <c r="AMD280" s="1"/>
      <c r="AME280" s="1"/>
      <c r="AMF280" s="1"/>
      <c r="AMG280" s="1"/>
      <c r="AMH280" s="1"/>
      <c r="AMI280" s="1"/>
      <c r="AMJ280" s="1"/>
      <c r="AMK280" s="1"/>
      <c r="AML280" s="1"/>
      <c r="AMM280" s="1"/>
      <c r="AMN280" s="1"/>
      <c r="AMO280" s="1"/>
      <c r="AMP280" s="1"/>
    </row>
    <row r="281" spans="1:1030" s="2" customFormat="1" x14ac:dyDescent="0.2">
      <c r="A281" s="3" t="str">
        <f>CONCATENATE(B281,"_",C281)</f>
        <v>oprd_mouse__wt</v>
      </c>
      <c r="B281" s="3" t="s">
        <v>909</v>
      </c>
      <c r="C281" s="3" t="s">
        <v>100</v>
      </c>
      <c r="D281" s="3" t="str">
        <f>IFERROR(MID(VLOOKUP($B281,Seqs!$A:$B,2,0),E281,1),"")</f>
        <v>R</v>
      </c>
      <c r="E281" s="3">
        <v>41</v>
      </c>
      <c r="F281" s="3" t="str">
        <f>IFERROR(MID(VLOOKUP($B281,Seqs!$A:$B,2,0),G281,1),"")</f>
        <v>Y</v>
      </c>
      <c r="G281" s="3">
        <v>77</v>
      </c>
      <c r="H281" s="3" t="str">
        <f>IFERROR(MID(VLOOKUP($B281,Seqs!$A:$B,2,0),I281,1),"")</f>
        <v>T</v>
      </c>
      <c r="I281" s="23">
        <v>78</v>
      </c>
      <c r="J281" s="3" t="str">
        <f>IFERROR(MID(VLOOKUP($B281,Seqs!$A:$B,2,0),K281,1),"")</f>
        <v>K</v>
      </c>
      <c r="K281" s="23">
        <v>81</v>
      </c>
      <c r="L281" s="3" t="str">
        <f>IFERROR(MID(VLOOKUP($B281,Seqs!$A:$B,2,0),M281,1),"")</f>
        <v>T</v>
      </c>
      <c r="M281" s="3">
        <v>82</v>
      </c>
      <c r="N281" s="3" t="str">
        <f>IFERROR(MID(VLOOKUP($B281,Seqs!$A:$B,2,0),O281,1),"")</f>
        <v>M</v>
      </c>
      <c r="O281" s="3">
        <v>111</v>
      </c>
      <c r="P281" s="3" t="str">
        <f>IFERROR(MID(VLOOKUP($B281,Seqs!$A:$B,2,0),Q281,1),"")</f>
        <v>T</v>
      </c>
      <c r="Q281" s="3">
        <v>113</v>
      </c>
      <c r="R281" s="3" t="str">
        <f>IFERROR(MID(VLOOKUP($B281,Seqs!$A:$B,2,0),S281,1),"")</f>
        <v>F</v>
      </c>
      <c r="S281" s="3">
        <v>116</v>
      </c>
      <c r="T281" s="3" t="str">
        <f>IFERROR(MID(VLOOKUP($B281,Seqs!$A:$B,2,0),U281,1),"")</f>
        <v>G</v>
      </c>
      <c r="U281" s="3">
        <v>117</v>
      </c>
      <c r="V281" s="3" t="str">
        <f>IFERROR(MID(VLOOKUP($B281,Seqs!$A:$B,2,0),W281,1),"")</f>
        <v>H</v>
      </c>
      <c r="W281" s="3">
        <v>152</v>
      </c>
      <c r="X281" s="3" t="str">
        <f>IFERROR(MID(VLOOKUP($B281,Seqs!$A:$B,2,0),Y281,1),"")</f>
        <v>P</v>
      </c>
      <c r="Y281" s="3">
        <v>153</v>
      </c>
      <c r="Z281" s="3" t="str">
        <f>IFERROR(MID(VLOOKUP($B281,Seqs!$A:$B,2,0),AA281,1),"")</f>
        <v>R</v>
      </c>
      <c r="AA281" s="3">
        <v>160</v>
      </c>
      <c r="AB281" s="3" t="str">
        <f>IFERROR(MID(VLOOKUP($B281,Seqs!$A:$B,2,0),AC281,1),"")</f>
        <v>T</v>
      </c>
      <c r="AC281" s="9">
        <v>161</v>
      </c>
      <c r="AD281" s="3" t="str">
        <f>IFERROR(MID(VLOOKUP($B281,Seqs!$A:$B,2,0),AE281,1),"")</f>
        <v>A</v>
      </c>
      <c r="AE281" s="3">
        <v>187</v>
      </c>
      <c r="AF281" s="3" t="str">
        <f>IFERROR(MID(VLOOKUP($B281,Seqs!$A:$B,2,0),AG281,1),"")</f>
        <v>C</v>
      </c>
      <c r="AG281" s="3">
        <v>198</v>
      </c>
      <c r="AH281" s="3" t="str">
        <f>IFERROR(MID(VLOOKUP($B281,Seqs!$A:$B,2,0),AI281,1),"")</f>
        <v>L</v>
      </c>
      <c r="AI281" s="3">
        <v>200</v>
      </c>
      <c r="AJ281" s="3" t="str">
        <f>IFERROR(MID(VLOOKUP($B281,Seqs!$A:$B,2,0),AK281,1),"")</f>
        <v>S</v>
      </c>
      <c r="AK281" s="3">
        <v>206</v>
      </c>
      <c r="AL281" s="3" t="str">
        <f>IFERROR(MID(VLOOKUP($B281,Seqs!$A:$B,2,0),AM281,1),"")</f>
        <v>V</v>
      </c>
      <c r="AM281" s="3">
        <v>243</v>
      </c>
      <c r="AN281" s="3" t="str">
        <f>IFERROR(MID(VLOOKUP($B281,Seqs!$A:$B,2,0),AO281,1),"")</f>
        <v>S</v>
      </c>
      <c r="AO281" s="3">
        <v>249</v>
      </c>
      <c r="AP281" s="3" t="str">
        <f>IFERROR(MID(VLOOKUP($B281,Seqs!$A:$B,2,0),AQ281,1),"")</f>
        <v>V</v>
      </c>
      <c r="AQ281" s="3">
        <v>287</v>
      </c>
      <c r="AR281" s="3" t="str">
        <f>IFERROR(MID(VLOOKUP($B281,Seqs!$A:$B,2,0),AS281,1),"")</f>
        <v>D</v>
      </c>
      <c r="AS281" s="3">
        <v>293</v>
      </c>
      <c r="AT281" s="3" t="str">
        <f>IFERROR(MID(VLOOKUP($B281,Seqs!$A:$B,2,0),AU281,1),"")</f>
        <v>L</v>
      </c>
      <c r="AU281" s="3">
        <v>321</v>
      </c>
      <c r="AV281" s="3" t="str">
        <f>IFERROR(MID(VLOOKUP($B281,Seqs!$A:$B,2,0),AW281,1),"")</f>
        <v>D</v>
      </c>
      <c r="AW281" s="3">
        <v>322</v>
      </c>
      <c r="AX281" s="3" t="str">
        <f>IFERROR(MID(VLOOKUP($B281,Seqs!$A:$B,2,0),AY281,1),"")</f>
        <v>T</v>
      </c>
      <c r="AY281" s="3">
        <v>335</v>
      </c>
      <c r="AZ281" s="77" t="str">
        <f>VLOOKUP(B281,Classification!A:D,2,0)</f>
        <v>A</v>
      </c>
      <c r="BA281" s="94" t="str">
        <f>VLOOKUP(B281,Classification!A:D,4,0)</f>
        <v>Opioid</v>
      </c>
      <c r="BB281" s="27" t="b">
        <f t="shared" si="1074"/>
        <v>1</v>
      </c>
      <c r="BC281" s="23">
        <f t="shared" si="1057"/>
        <v>269</v>
      </c>
      <c r="BD281" s="56" t="s">
        <v>23</v>
      </c>
      <c r="BE281" s="3" t="s">
        <v>23</v>
      </c>
      <c r="BF281" s="118" t="s">
        <v>23</v>
      </c>
      <c r="BG281" s="49" t="s">
        <v>1366</v>
      </c>
      <c r="BH281" s="49" t="s">
        <v>1371</v>
      </c>
      <c r="BI281" s="1"/>
      <c r="BJ281" s="70" t="s">
        <v>1281</v>
      </c>
      <c r="BK281" s="57" t="s">
        <v>1281</v>
      </c>
      <c r="BL281" s="57" t="s">
        <v>1281</v>
      </c>
      <c r="BM281" s="57" t="s">
        <v>1281</v>
      </c>
      <c r="BN281" s="57" t="s">
        <v>1281</v>
      </c>
      <c r="BO281" s="57" t="s">
        <v>1281</v>
      </c>
      <c r="BP281" s="57" t="s">
        <v>1281</v>
      </c>
      <c r="BQ281" s="57" t="s">
        <v>1281</v>
      </c>
      <c r="BR281" s="57" t="s">
        <v>1281</v>
      </c>
      <c r="BS281" s="57" t="s">
        <v>1281</v>
      </c>
      <c r="BT281" s="57" t="s">
        <v>1281</v>
      </c>
      <c r="BU281" s="57" t="s">
        <v>1281</v>
      </c>
      <c r="BV281" s="70">
        <f>E281</f>
        <v>41</v>
      </c>
      <c r="BW281" s="71">
        <f>I281</f>
        <v>78</v>
      </c>
      <c r="BX281" s="72">
        <f>M281</f>
        <v>82</v>
      </c>
      <c r="BY281" s="71">
        <f>Q281</f>
        <v>113</v>
      </c>
      <c r="BZ281" s="72">
        <f>U281</f>
        <v>117</v>
      </c>
      <c r="CA281" s="71">
        <f>Y281</f>
        <v>153</v>
      </c>
      <c r="CB281" s="72">
        <f>AC281</f>
        <v>161</v>
      </c>
      <c r="CC281" s="71">
        <f>AG281</f>
        <v>198</v>
      </c>
      <c r="CD281" s="72">
        <f>AK281</f>
        <v>206</v>
      </c>
      <c r="CE281" s="71">
        <f>AO281</f>
        <v>249</v>
      </c>
      <c r="CF281" s="72">
        <f>AS281</f>
        <v>293</v>
      </c>
      <c r="CG281" s="71">
        <f>AW281</f>
        <v>322</v>
      </c>
      <c r="CH281" s="70">
        <f>G281</f>
        <v>77</v>
      </c>
      <c r="CI281" s="71">
        <f>K281</f>
        <v>81</v>
      </c>
      <c r="CJ281" s="72">
        <f>O281</f>
        <v>111</v>
      </c>
      <c r="CK281" s="72">
        <f>S281</f>
        <v>116</v>
      </c>
      <c r="CL281" s="72">
        <f>W281</f>
        <v>152</v>
      </c>
      <c r="CM281" s="72">
        <f>AA281</f>
        <v>160</v>
      </c>
      <c r="CN281" s="72">
        <f>AE281</f>
        <v>187</v>
      </c>
      <c r="CO281" s="72">
        <f>AI281</f>
        <v>200</v>
      </c>
      <c r="CP281" s="72">
        <f>AM281</f>
        <v>243</v>
      </c>
      <c r="CQ281" s="72">
        <f>AQ281</f>
        <v>287</v>
      </c>
      <c r="CR281" s="72">
        <f>AU281</f>
        <v>321</v>
      </c>
      <c r="CS281" s="72">
        <f>AY281</f>
        <v>335</v>
      </c>
      <c r="CT281" s="23">
        <f>M281-K281</f>
        <v>1</v>
      </c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  <c r="US281" s="1"/>
      <c r="UT281" s="1"/>
      <c r="UU281" s="1"/>
      <c r="UV281" s="1"/>
      <c r="UW281" s="1"/>
      <c r="UX281" s="1"/>
      <c r="UY281" s="1"/>
      <c r="UZ281" s="1"/>
      <c r="VA281" s="1"/>
      <c r="VB281" s="1"/>
      <c r="VC281" s="1"/>
      <c r="VD281" s="1"/>
      <c r="VE281" s="1"/>
      <c r="VF281" s="1"/>
      <c r="VG281" s="1"/>
      <c r="VH281" s="1"/>
      <c r="VI281" s="1"/>
      <c r="VJ281" s="1"/>
      <c r="VK281" s="1"/>
      <c r="VL281" s="1"/>
      <c r="VM281" s="1"/>
      <c r="VN281" s="1"/>
      <c r="VO281" s="1"/>
      <c r="VP281" s="1"/>
      <c r="VQ281" s="1"/>
      <c r="VR281" s="1"/>
      <c r="VS281" s="1"/>
      <c r="VT281" s="1"/>
      <c r="VU281" s="1"/>
      <c r="VV281" s="1"/>
      <c r="VW281" s="1"/>
      <c r="VX281" s="1"/>
      <c r="VY281" s="1"/>
      <c r="VZ281" s="1"/>
      <c r="WA281" s="1"/>
      <c r="WB281" s="1"/>
      <c r="WC281" s="1"/>
      <c r="WD281" s="1"/>
      <c r="WE281" s="1"/>
      <c r="WF281" s="1"/>
      <c r="WG281" s="1"/>
      <c r="WH281" s="1"/>
      <c r="WI281" s="1"/>
      <c r="WJ281" s="1"/>
      <c r="WK281" s="1"/>
      <c r="WL281" s="1"/>
      <c r="WM281" s="1"/>
      <c r="WN281" s="1"/>
      <c r="WO281" s="1"/>
      <c r="WP281" s="1"/>
      <c r="WQ281" s="1"/>
      <c r="WR281" s="1"/>
      <c r="WS281" s="1"/>
      <c r="WT281" s="1"/>
      <c r="WU281" s="1"/>
      <c r="WV281" s="1"/>
      <c r="WW281" s="1"/>
      <c r="WX281" s="1"/>
      <c r="WY281" s="1"/>
      <c r="WZ281" s="1"/>
      <c r="XA281" s="1"/>
      <c r="XB281" s="1"/>
      <c r="XC281" s="1"/>
      <c r="XD281" s="1"/>
      <c r="XE281" s="1"/>
      <c r="XF281" s="1"/>
      <c r="XG281" s="1"/>
      <c r="XH281" s="1"/>
      <c r="XI281" s="1"/>
      <c r="XJ281" s="1"/>
      <c r="XK281" s="1"/>
      <c r="XL281" s="1"/>
      <c r="XM281" s="1"/>
      <c r="XN281" s="1"/>
      <c r="XO281" s="1"/>
      <c r="XP281" s="1"/>
      <c r="XQ281" s="1"/>
      <c r="XR281" s="1"/>
      <c r="XS281" s="1"/>
      <c r="XT281" s="1"/>
      <c r="XU281" s="1"/>
      <c r="XV281" s="1"/>
      <c r="XW281" s="1"/>
      <c r="XX281" s="1"/>
      <c r="XY281" s="1"/>
      <c r="XZ281" s="1"/>
      <c r="YA281" s="1"/>
      <c r="YB281" s="1"/>
      <c r="YC281" s="1"/>
      <c r="YD281" s="1"/>
      <c r="YE281" s="1"/>
      <c r="YF281" s="1"/>
      <c r="YG281" s="1"/>
      <c r="YH281" s="1"/>
      <c r="YI281" s="1"/>
      <c r="YJ281" s="1"/>
      <c r="YK281" s="1"/>
      <c r="YL281" s="1"/>
      <c r="YM281" s="1"/>
      <c r="YN281" s="1"/>
      <c r="YO281" s="1"/>
      <c r="YP281" s="1"/>
      <c r="YQ281" s="1"/>
      <c r="YR281" s="1"/>
      <c r="YS281" s="1"/>
      <c r="YT281" s="1"/>
      <c r="YU281" s="1"/>
      <c r="YV281" s="1"/>
      <c r="YW281" s="1"/>
      <c r="YX281" s="1"/>
      <c r="YY281" s="1"/>
      <c r="YZ281" s="1"/>
      <c r="ZA281" s="1"/>
      <c r="ZB281" s="1"/>
      <c r="ZC281" s="1"/>
      <c r="ZD281" s="1"/>
      <c r="ZE281" s="1"/>
      <c r="ZF281" s="1"/>
      <c r="ZG281" s="1"/>
      <c r="ZH281" s="1"/>
      <c r="ZI281" s="1"/>
      <c r="ZJ281" s="1"/>
      <c r="ZK281" s="1"/>
      <c r="ZL281" s="1"/>
      <c r="ZM281" s="1"/>
      <c r="ZN281" s="1"/>
      <c r="ZO281" s="1"/>
      <c r="ZP281" s="1"/>
      <c r="ZQ281" s="1"/>
      <c r="ZR281" s="1"/>
      <c r="ZS281" s="1"/>
      <c r="ZT281" s="1"/>
      <c r="ZU281" s="1"/>
      <c r="ZV281" s="1"/>
      <c r="ZW281" s="1"/>
      <c r="ZX281" s="1"/>
      <c r="ZY281" s="1"/>
      <c r="ZZ281" s="1"/>
      <c r="AAA281" s="1"/>
      <c r="AAB281" s="1"/>
      <c r="AAC281" s="1"/>
      <c r="AAD281" s="1"/>
      <c r="AAE281" s="1"/>
      <c r="AAF281" s="1"/>
      <c r="AAG281" s="1"/>
      <c r="AAH281" s="1"/>
      <c r="AAI281" s="1"/>
      <c r="AAJ281" s="1"/>
      <c r="AAK281" s="1"/>
      <c r="AAL281" s="1"/>
      <c r="AAM281" s="1"/>
      <c r="AAN281" s="1"/>
      <c r="AAO281" s="1"/>
      <c r="AAP281" s="1"/>
      <c r="AAQ281" s="1"/>
      <c r="AAR281" s="1"/>
      <c r="AAS281" s="1"/>
      <c r="AAT281" s="1"/>
      <c r="AAU281" s="1"/>
      <c r="AAV281" s="1"/>
      <c r="AAW281" s="1"/>
      <c r="AAX281" s="1"/>
      <c r="AAY281" s="1"/>
      <c r="AAZ281" s="1"/>
      <c r="ABA281" s="1"/>
      <c r="ABB281" s="1"/>
      <c r="ABC281" s="1"/>
      <c r="ABD281" s="1"/>
      <c r="ABE281" s="1"/>
      <c r="ABF281" s="1"/>
      <c r="ABG281" s="1"/>
      <c r="ABH281" s="1"/>
      <c r="ABI281" s="1"/>
      <c r="ABJ281" s="1"/>
      <c r="ABK281" s="1"/>
      <c r="ABL281" s="1"/>
      <c r="ABM281" s="1"/>
      <c r="ABN281" s="1"/>
      <c r="ABO281" s="1"/>
      <c r="ABP281" s="1"/>
      <c r="ABQ281" s="1"/>
      <c r="ABR281" s="1"/>
      <c r="ABS281" s="1"/>
      <c r="ABT281" s="1"/>
      <c r="ABU281" s="1"/>
      <c r="ABV281" s="1"/>
      <c r="ABW281" s="1"/>
      <c r="ABX281" s="1"/>
      <c r="ABY281" s="1"/>
      <c r="ABZ281" s="1"/>
      <c r="ACA281" s="1"/>
      <c r="ACB281" s="1"/>
      <c r="ACC281" s="1"/>
      <c r="ACD281" s="1"/>
      <c r="ACE281" s="1"/>
      <c r="ACF281" s="1"/>
      <c r="ACG281" s="1"/>
      <c r="ACH281" s="1"/>
      <c r="ACI281" s="1"/>
      <c r="ACJ281" s="1"/>
      <c r="ACK281" s="1"/>
      <c r="ACL281" s="1"/>
      <c r="ACM281" s="1"/>
      <c r="ACN281" s="1"/>
      <c r="ACO281" s="1"/>
      <c r="ACP281" s="1"/>
      <c r="ACQ281" s="1"/>
      <c r="ACR281" s="1"/>
      <c r="ACS281" s="1"/>
      <c r="ACT281" s="1"/>
      <c r="ACU281" s="1"/>
      <c r="ACV281" s="1"/>
      <c r="ACW281" s="1"/>
      <c r="ACX281" s="1"/>
      <c r="ACY281" s="1"/>
      <c r="ACZ281" s="1"/>
      <c r="ADA281" s="1"/>
      <c r="ADB281" s="1"/>
      <c r="ADC281" s="1"/>
      <c r="ADD281" s="1"/>
      <c r="ADE281" s="1"/>
      <c r="ADF281" s="1"/>
      <c r="ADG281" s="1"/>
      <c r="ADH281" s="1"/>
      <c r="ADI281" s="1"/>
      <c r="ADJ281" s="1"/>
      <c r="ADK281" s="1"/>
      <c r="ADL281" s="1"/>
      <c r="ADM281" s="1"/>
      <c r="ADN281" s="1"/>
      <c r="ADO281" s="1"/>
      <c r="ADP281" s="1"/>
      <c r="ADQ281" s="1"/>
      <c r="ADR281" s="1"/>
      <c r="ADS281" s="1"/>
      <c r="ADT281" s="1"/>
      <c r="ADU281" s="1"/>
      <c r="ADV281" s="1"/>
      <c r="ADW281" s="1"/>
      <c r="ADX281" s="1"/>
      <c r="ADY281" s="1"/>
      <c r="ADZ281" s="1"/>
      <c r="AEA281" s="1"/>
      <c r="AEB281" s="1"/>
      <c r="AEC281" s="1"/>
      <c r="AED281" s="1"/>
      <c r="AEE281" s="1"/>
      <c r="AEF281" s="1"/>
      <c r="AEG281" s="1"/>
      <c r="AEH281" s="1"/>
      <c r="AEI281" s="1"/>
      <c r="AEJ281" s="1"/>
      <c r="AEK281" s="1"/>
      <c r="AEL281" s="1"/>
      <c r="AEM281" s="1"/>
      <c r="AEN281" s="1"/>
      <c r="AEO281" s="1"/>
      <c r="AEP281" s="1"/>
      <c r="AEQ281" s="1"/>
      <c r="AER281" s="1"/>
      <c r="AES281" s="1"/>
      <c r="AET281" s="1"/>
      <c r="AEU281" s="1"/>
      <c r="AEV281" s="1"/>
      <c r="AEW281" s="1"/>
      <c r="AEX281" s="1"/>
      <c r="AEY281" s="1"/>
      <c r="AEZ281" s="1"/>
      <c r="AFA281" s="1"/>
      <c r="AFB281" s="1"/>
      <c r="AFC281" s="1"/>
      <c r="AFD281" s="1"/>
      <c r="AFE281" s="1"/>
      <c r="AFF281" s="1"/>
      <c r="AFG281" s="1"/>
      <c r="AFH281" s="1"/>
      <c r="AFI281" s="1"/>
      <c r="AFJ281" s="1"/>
      <c r="AFK281" s="1"/>
      <c r="AFL281" s="1"/>
      <c r="AFM281" s="1"/>
      <c r="AFN281" s="1"/>
      <c r="AFO281" s="1"/>
      <c r="AFP281" s="1"/>
      <c r="AFQ281" s="1"/>
      <c r="AFR281" s="1"/>
      <c r="AFS281" s="1"/>
      <c r="AFT281" s="1"/>
      <c r="AFU281" s="1"/>
      <c r="AFV281" s="1"/>
      <c r="AFW281" s="1"/>
      <c r="AFX281" s="1"/>
      <c r="AFY281" s="1"/>
      <c r="AFZ281" s="1"/>
      <c r="AGA281" s="1"/>
      <c r="AGB281" s="1"/>
      <c r="AGC281" s="1"/>
      <c r="AGD281" s="1"/>
      <c r="AGE281" s="1"/>
      <c r="AGF281" s="1"/>
      <c r="AGG281" s="1"/>
      <c r="AGH281" s="1"/>
      <c r="AGI281" s="1"/>
      <c r="AGJ281" s="1"/>
      <c r="AGK281" s="1"/>
      <c r="AGL281" s="1"/>
      <c r="AGM281" s="1"/>
      <c r="AGN281" s="1"/>
      <c r="AGO281" s="1"/>
      <c r="AGP281" s="1"/>
      <c r="AGQ281" s="1"/>
      <c r="AGR281" s="1"/>
      <c r="AGS281" s="1"/>
      <c r="AGT281" s="1"/>
      <c r="AGU281" s="1"/>
      <c r="AGV281" s="1"/>
      <c r="AGW281" s="1"/>
      <c r="AGX281" s="1"/>
      <c r="AGY281" s="1"/>
      <c r="AGZ281" s="1"/>
      <c r="AHA281" s="1"/>
      <c r="AHB281" s="1"/>
      <c r="AHC281" s="1"/>
      <c r="AHD281" s="1"/>
      <c r="AHE281" s="1"/>
      <c r="AHF281" s="1"/>
      <c r="AHG281" s="1"/>
      <c r="AHH281" s="1"/>
      <c r="AHI281" s="1"/>
      <c r="AHJ281" s="1"/>
      <c r="AHK281" s="1"/>
      <c r="AHL281" s="1"/>
      <c r="AHM281" s="1"/>
      <c r="AHN281" s="1"/>
      <c r="AHO281" s="1"/>
      <c r="AHP281" s="1"/>
      <c r="AHQ281" s="1"/>
      <c r="AHR281" s="1"/>
      <c r="AHS281" s="1"/>
      <c r="AHT281" s="1"/>
      <c r="AHU281" s="1"/>
      <c r="AHV281" s="1"/>
      <c r="AHW281" s="1"/>
      <c r="AHX281" s="1"/>
      <c r="AHY281" s="1"/>
      <c r="AHZ281" s="1"/>
      <c r="AIA281" s="1"/>
      <c r="AIB281" s="1"/>
      <c r="AIC281" s="1"/>
      <c r="AID281" s="1"/>
      <c r="AIE281" s="1"/>
      <c r="AIF281" s="1"/>
      <c r="AIG281" s="1"/>
      <c r="AIH281" s="1"/>
      <c r="AII281" s="1"/>
      <c r="AIJ281" s="1"/>
      <c r="AIK281" s="1"/>
      <c r="AIL281" s="1"/>
      <c r="AIM281" s="1"/>
      <c r="AIN281" s="1"/>
      <c r="AIO281" s="1"/>
      <c r="AIP281" s="1"/>
      <c r="AIQ281" s="1"/>
      <c r="AIR281" s="1"/>
      <c r="AIS281" s="1"/>
      <c r="AIT281" s="1"/>
      <c r="AIU281" s="1"/>
      <c r="AIV281" s="1"/>
      <c r="AIW281" s="1"/>
      <c r="AIX281" s="1"/>
      <c r="AIY281" s="1"/>
      <c r="AIZ281" s="1"/>
      <c r="AJA281" s="1"/>
      <c r="AJB281" s="1"/>
      <c r="AJC281" s="1"/>
      <c r="AJD281" s="1"/>
      <c r="AJE281" s="1"/>
      <c r="AJF281" s="1"/>
      <c r="AJG281" s="1"/>
      <c r="AJH281" s="1"/>
      <c r="AJI281" s="1"/>
      <c r="AJJ281" s="1"/>
      <c r="AJK281" s="1"/>
      <c r="AJL281" s="1"/>
      <c r="AJM281" s="1"/>
      <c r="AJN281" s="1"/>
      <c r="AJO281" s="1"/>
      <c r="AJP281" s="1"/>
      <c r="AJQ281" s="1"/>
      <c r="AJR281" s="1"/>
      <c r="AJS281" s="1"/>
      <c r="AJT281" s="1"/>
      <c r="AJU281" s="1"/>
      <c r="AJV281" s="1"/>
      <c r="AJW281" s="1"/>
      <c r="AJX281" s="1"/>
      <c r="AJY281" s="1"/>
      <c r="AJZ281" s="1"/>
      <c r="AKA281" s="1"/>
      <c r="AKB281" s="1"/>
      <c r="AKC281" s="1"/>
      <c r="AKD281" s="1"/>
      <c r="AKE281" s="1"/>
      <c r="AKF281" s="1"/>
      <c r="AKG281" s="1"/>
      <c r="AKH281" s="1"/>
      <c r="AKI281" s="1"/>
      <c r="AKJ281" s="1"/>
      <c r="AKK281" s="1"/>
      <c r="AKL281" s="1"/>
      <c r="AKM281" s="1"/>
      <c r="AKN281" s="1"/>
      <c r="AKO281" s="1"/>
      <c r="AKP281" s="1"/>
      <c r="AKQ281" s="1"/>
      <c r="AKR281" s="1"/>
      <c r="AKS281" s="1"/>
      <c r="AKT281" s="1"/>
      <c r="AKU281" s="1"/>
      <c r="AKV281" s="1"/>
      <c r="AKW281" s="1"/>
      <c r="AKX281" s="1"/>
      <c r="AKY281" s="1"/>
      <c r="AKZ281" s="1"/>
      <c r="ALA281" s="1"/>
      <c r="ALB281" s="1"/>
      <c r="ALC281" s="1"/>
      <c r="ALD281" s="1"/>
      <c r="ALE281" s="1"/>
      <c r="ALF281" s="1"/>
      <c r="ALG281" s="1"/>
      <c r="ALH281" s="1"/>
      <c r="ALI281" s="1"/>
      <c r="ALJ281" s="1"/>
      <c r="ALK281" s="1"/>
      <c r="ALL281" s="1"/>
      <c r="ALM281" s="1"/>
      <c r="ALN281" s="1"/>
      <c r="ALO281" s="1"/>
      <c r="ALP281" s="1"/>
      <c r="ALQ281" s="1"/>
      <c r="ALR281" s="1"/>
      <c r="ALS281" s="1"/>
      <c r="ALT281" s="1"/>
      <c r="ALU281" s="1"/>
      <c r="ALV281" s="1"/>
      <c r="ALW281" s="1"/>
      <c r="ALX281" s="1"/>
      <c r="ALY281" s="1"/>
      <c r="ALZ281" s="1"/>
      <c r="AMA281" s="1"/>
      <c r="AMB281" s="1"/>
      <c r="AMC281" s="1"/>
      <c r="AMD281" s="1"/>
      <c r="AME281" s="1"/>
      <c r="AMF281" s="1"/>
      <c r="AMG281" s="1"/>
      <c r="AMH281" s="1"/>
      <c r="AMI281" s="1"/>
      <c r="AMJ281" s="1"/>
      <c r="AMK281" s="1"/>
      <c r="AML281" s="1"/>
      <c r="AMM281" s="1"/>
      <c r="AMN281" s="1"/>
      <c r="AMO281" s="1"/>
      <c r="AMP281" s="1"/>
    </row>
    <row r="282" spans="1:1030" s="2" customFormat="1" x14ac:dyDescent="0.2">
      <c r="A282" s="3" t="str">
        <f>CONCATENATE(B282,"_",C282)</f>
        <v>oprd_mouse_4EJ4</v>
      </c>
      <c r="B282" s="3" t="s">
        <v>909</v>
      </c>
      <c r="C282" s="3" t="s">
        <v>64</v>
      </c>
      <c r="D282" s="3" t="str">
        <f>IFERROR(MID(VLOOKUP($B282,Seqs!$A:$B,2,0),E282,1),"")</f>
        <v>R</v>
      </c>
      <c r="E282" s="3">
        <v>41</v>
      </c>
      <c r="F282" s="3" t="str">
        <f>IFERROR(MID(VLOOKUP($B282,Seqs!$A:$B,2,0),G282,1),"")</f>
        <v>Y</v>
      </c>
      <c r="G282" s="3">
        <v>77</v>
      </c>
      <c r="H282" s="3" t="str">
        <f>IFERROR(MID(VLOOKUP($B282,Seqs!$A:$B,2,0),I282,1),"")</f>
        <v>T</v>
      </c>
      <c r="I282" s="23">
        <v>78</v>
      </c>
      <c r="J282" s="3" t="str">
        <f>IFERROR(MID(VLOOKUP($B282,Seqs!$A:$B,2,0),K282,1),"")</f>
        <v>K</v>
      </c>
      <c r="K282" s="23">
        <v>81</v>
      </c>
      <c r="L282" s="3" t="str">
        <f>IFERROR(MID(VLOOKUP($B282,Seqs!$A:$B,2,0),M282,1),"")</f>
        <v>T</v>
      </c>
      <c r="M282" s="3">
        <v>82</v>
      </c>
      <c r="N282" s="3" t="str">
        <f>IFERROR(MID(VLOOKUP($B282,Seqs!$A:$B,2,0),O282,1),"")</f>
        <v>M</v>
      </c>
      <c r="O282" s="3">
        <v>111</v>
      </c>
      <c r="P282" s="3" t="str">
        <f>IFERROR(MID(VLOOKUP($B282,Seqs!$A:$B,2,0),Q282,1),"")</f>
        <v>T</v>
      </c>
      <c r="Q282" s="3">
        <v>113</v>
      </c>
      <c r="R282" s="3" t="str">
        <f>IFERROR(MID(VLOOKUP($B282,Seqs!$A:$B,2,0),S282,1),"")</f>
        <v>F</v>
      </c>
      <c r="S282" s="3">
        <v>116</v>
      </c>
      <c r="T282" s="3" t="str">
        <f>IFERROR(MID(VLOOKUP($B282,Seqs!$A:$B,2,0),U282,1),"")</f>
        <v>G</v>
      </c>
      <c r="U282" s="3">
        <v>117</v>
      </c>
      <c r="V282" s="3" t="str">
        <f>IFERROR(MID(VLOOKUP($B282,Seqs!$A:$B,2,0),W282,1),"")</f>
        <v>H</v>
      </c>
      <c r="W282" s="3">
        <v>152</v>
      </c>
      <c r="X282" s="3" t="str">
        <f>IFERROR(MID(VLOOKUP($B282,Seqs!$A:$B,2,0),Y282,1),"")</f>
        <v>P</v>
      </c>
      <c r="Y282" s="3">
        <v>153</v>
      </c>
      <c r="Z282" s="3" t="str">
        <f>IFERROR(MID(VLOOKUP($B282,Seqs!$A:$B,2,0),AA282,1),"")</f>
        <v>R</v>
      </c>
      <c r="AA282" s="3">
        <v>160</v>
      </c>
      <c r="AB282" s="3" t="str">
        <f>IFERROR(MID(VLOOKUP($B282,Seqs!$A:$B,2,0),AC282,1),"")</f>
        <v>T</v>
      </c>
      <c r="AC282" s="9">
        <v>161</v>
      </c>
      <c r="AD282" s="3" t="str">
        <f>IFERROR(MID(VLOOKUP($B282,Seqs!$A:$B,2,0),AE282,1),"")</f>
        <v>A</v>
      </c>
      <c r="AE282" s="3">
        <v>187</v>
      </c>
      <c r="AF282" s="3" t="str">
        <f>IFERROR(MID(VLOOKUP($B282,Seqs!$A:$B,2,0),AG282,1),"")</f>
        <v>C</v>
      </c>
      <c r="AG282" s="3">
        <v>198</v>
      </c>
      <c r="AH282" s="3" t="str">
        <f>IFERROR(MID(VLOOKUP($B282,Seqs!$A:$B,2,0),AI282,1),"")</f>
        <v>L</v>
      </c>
      <c r="AI282" s="3">
        <v>200</v>
      </c>
      <c r="AJ282" s="3" t="str">
        <f>IFERROR(MID(VLOOKUP($B282,Seqs!$A:$B,2,0),AK282,1),"")</f>
        <v>S</v>
      </c>
      <c r="AK282" s="3">
        <v>206</v>
      </c>
      <c r="AL282" s="3" t="str">
        <f>IFERROR(MID(VLOOKUP($B282,Seqs!$A:$B,2,0),AM282,1),"")</f>
        <v>L</v>
      </c>
      <c r="AM282" s="3">
        <v>238</v>
      </c>
      <c r="AN282" s="3" t="str">
        <f>IFERROR(MID(VLOOKUP($B282,Seqs!$A:$B,2,0),AO282,1),"")</f>
        <v>R</v>
      </c>
      <c r="AO282" s="3">
        <v>258</v>
      </c>
      <c r="AP282" s="3" t="str">
        <f>IFERROR(MID(VLOOKUP($B282,Seqs!$A:$B,2,0),AQ282,1),"")</f>
        <v>V</v>
      </c>
      <c r="AQ282" s="3">
        <v>287</v>
      </c>
      <c r="AR282" s="3" t="str">
        <f>IFERROR(MID(VLOOKUP($B282,Seqs!$A:$B,2,0),AS282,1),"")</f>
        <v>D</v>
      </c>
      <c r="AS282" s="3">
        <v>293</v>
      </c>
      <c r="AT282" s="3" t="str">
        <f>IFERROR(MID(VLOOKUP($B282,Seqs!$A:$B,2,0),AU282,1),"")</f>
        <v>L</v>
      </c>
      <c r="AU282" s="3">
        <v>321</v>
      </c>
      <c r="AV282" s="3" t="str">
        <f>IFERROR(MID(VLOOKUP($B282,Seqs!$A:$B,2,0),AW282,1),"")</f>
        <v>D</v>
      </c>
      <c r="AW282" s="3">
        <v>322</v>
      </c>
      <c r="AX282" s="3" t="str">
        <f>IFERROR(MID(VLOOKUP($B282,Seqs!$A:$B,2,0),AY282,1),"")</f>
        <v>C</v>
      </c>
      <c r="AY282" s="3">
        <v>328</v>
      </c>
      <c r="AZ282" s="77" t="str">
        <f>VLOOKUP(B282,Classification!A:D,2,0)</f>
        <v>A</v>
      </c>
      <c r="BA282" s="94" t="str">
        <f>VLOOKUP(B282,Classification!A:D,4,0)</f>
        <v>Opioid</v>
      </c>
      <c r="BB282" s="27" t="b">
        <f t="shared" si="1074"/>
        <v>1</v>
      </c>
      <c r="BC282" s="23">
        <f t="shared" si="1057"/>
        <v>248</v>
      </c>
      <c r="BD282" s="2" t="s">
        <v>23</v>
      </c>
      <c r="BE282" s="3" t="s">
        <v>1368</v>
      </c>
      <c r="BF282" s="118">
        <v>3.4</v>
      </c>
      <c r="BG282" s="49" t="s">
        <v>1371</v>
      </c>
      <c r="BH282" s="49" t="s">
        <v>1371</v>
      </c>
      <c r="BI282" s="1"/>
      <c r="BJ282" s="70" t="s">
        <v>1281</v>
      </c>
      <c r="BK282" s="57" t="s">
        <v>1281</v>
      </c>
      <c r="BL282" s="57" t="s">
        <v>1281</v>
      </c>
      <c r="BM282" s="57" t="s">
        <v>1281</v>
      </c>
      <c r="BN282" s="57" t="s">
        <v>1281</v>
      </c>
      <c r="BO282" s="57" t="s">
        <v>1281</v>
      </c>
      <c r="BP282" s="57" t="s">
        <v>1281</v>
      </c>
      <c r="BQ282" s="57" t="s">
        <v>1281</v>
      </c>
      <c r="BR282" s="57" t="s">
        <v>1281</v>
      </c>
      <c r="BS282" s="57" t="s">
        <v>1281</v>
      </c>
      <c r="BT282" s="57" t="s">
        <v>1281</v>
      </c>
      <c r="BU282" s="57" t="s">
        <v>1281</v>
      </c>
      <c r="BV282" s="70">
        <f>E282</f>
        <v>41</v>
      </c>
      <c r="BW282" s="71">
        <f>I282</f>
        <v>78</v>
      </c>
      <c r="BX282" s="72">
        <f>M282</f>
        <v>82</v>
      </c>
      <c r="BY282" s="71">
        <f>Q282</f>
        <v>113</v>
      </c>
      <c r="BZ282" s="72">
        <f>U282</f>
        <v>117</v>
      </c>
      <c r="CA282" s="71">
        <f>Y282</f>
        <v>153</v>
      </c>
      <c r="CB282" s="72">
        <f>AC282</f>
        <v>161</v>
      </c>
      <c r="CC282" s="71">
        <f>AG282</f>
        <v>198</v>
      </c>
      <c r="CD282" s="72">
        <f>AK282</f>
        <v>206</v>
      </c>
      <c r="CE282" s="71">
        <f>AO282</f>
        <v>258</v>
      </c>
      <c r="CF282" s="72">
        <f>AS282</f>
        <v>293</v>
      </c>
      <c r="CG282" s="71">
        <f>AW282</f>
        <v>322</v>
      </c>
      <c r="CH282" s="70">
        <f>G282</f>
        <v>77</v>
      </c>
      <c r="CI282" s="71">
        <f>K282</f>
        <v>81</v>
      </c>
      <c r="CJ282" s="72">
        <f>O282</f>
        <v>111</v>
      </c>
      <c r="CK282" s="72">
        <f>S282</f>
        <v>116</v>
      </c>
      <c r="CL282" s="72">
        <f>W282</f>
        <v>152</v>
      </c>
      <c r="CM282" s="72">
        <f>AA282</f>
        <v>160</v>
      </c>
      <c r="CN282" s="72">
        <f>AE282</f>
        <v>187</v>
      </c>
      <c r="CO282" s="72">
        <f>AI282</f>
        <v>200</v>
      </c>
      <c r="CP282" s="72">
        <f>AM282</f>
        <v>238</v>
      </c>
      <c r="CQ282" s="72">
        <f>AQ282</f>
        <v>287</v>
      </c>
      <c r="CR282" s="72">
        <f>AU282</f>
        <v>321</v>
      </c>
      <c r="CS282" s="72">
        <f>AY282</f>
        <v>328</v>
      </c>
      <c r="CT282" s="23">
        <f>M282-K282</f>
        <v>1</v>
      </c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  <c r="UU282" s="1"/>
      <c r="UV282" s="1"/>
      <c r="UW282" s="1"/>
      <c r="UX282" s="1"/>
      <c r="UY282" s="1"/>
      <c r="UZ282" s="1"/>
      <c r="VA282" s="1"/>
      <c r="VB282" s="1"/>
      <c r="VC282" s="1"/>
      <c r="VD282" s="1"/>
      <c r="VE282" s="1"/>
      <c r="VF282" s="1"/>
      <c r="VG282" s="1"/>
      <c r="VH282" s="1"/>
      <c r="VI282" s="1"/>
      <c r="VJ282" s="1"/>
      <c r="VK282" s="1"/>
      <c r="VL282" s="1"/>
      <c r="VM282" s="1"/>
      <c r="VN282" s="1"/>
      <c r="VO282" s="1"/>
      <c r="VP282" s="1"/>
      <c r="VQ282" s="1"/>
      <c r="VR282" s="1"/>
      <c r="VS282" s="1"/>
      <c r="VT282" s="1"/>
      <c r="VU282" s="1"/>
      <c r="VV282" s="1"/>
      <c r="VW282" s="1"/>
      <c r="VX282" s="1"/>
      <c r="VY282" s="1"/>
      <c r="VZ282" s="1"/>
      <c r="WA282" s="1"/>
      <c r="WB282" s="1"/>
      <c r="WC282" s="1"/>
      <c r="WD282" s="1"/>
      <c r="WE282" s="1"/>
      <c r="WF282" s="1"/>
      <c r="WG282" s="1"/>
      <c r="WH282" s="1"/>
      <c r="WI282" s="1"/>
      <c r="WJ282" s="1"/>
      <c r="WK282" s="1"/>
      <c r="WL282" s="1"/>
      <c r="WM282" s="1"/>
      <c r="WN282" s="1"/>
      <c r="WO282" s="1"/>
      <c r="WP282" s="1"/>
      <c r="WQ282" s="1"/>
      <c r="WR282" s="1"/>
      <c r="WS282" s="1"/>
      <c r="WT282" s="1"/>
      <c r="WU282" s="1"/>
      <c r="WV282" s="1"/>
      <c r="WW282" s="1"/>
      <c r="WX282" s="1"/>
      <c r="WY282" s="1"/>
      <c r="WZ282" s="1"/>
      <c r="XA282" s="1"/>
      <c r="XB282" s="1"/>
      <c r="XC282" s="1"/>
      <c r="XD282" s="1"/>
      <c r="XE282" s="1"/>
      <c r="XF282" s="1"/>
      <c r="XG282" s="1"/>
      <c r="XH282" s="1"/>
      <c r="XI282" s="1"/>
      <c r="XJ282" s="1"/>
      <c r="XK282" s="1"/>
      <c r="XL282" s="1"/>
      <c r="XM282" s="1"/>
      <c r="XN282" s="1"/>
      <c r="XO282" s="1"/>
      <c r="XP282" s="1"/>
      <c r="XQ282" s="1"/>
      <c r="XR282" s="1"/>
      <c r="XS282" s="1"/>
      <c r="XT282" s="1"/>
      <c r="XU282" s="1"/>
      <c r="XV282" s="1"/>
      <c r="XW282" s="1"/>
      <c r="XX282" s="1"/>
      <c r="XY282" s="1"/>
      <c r="XZ282" s="1"/>
      <c r="YA282" s="1"/>
      <c r="YB282" s="1"/>
      <c r="YC282" s="1"/>
      <c r="YD282" s="1"/>
      <c r="YE282" s="1"/>
      <c r="YF282" s="1"/>
      <c r="YG282" s="1"/>
      <c r="YH282" s="1"/>
      <c r="YI282" s="1"/>
      <c r="YJ282" s="1"/>
      <c r="YK282" s="1"/>
      <c r="YL282" s="1"/>
      <c r="YM282" s="1"/>
      <c r="YN282" s="1"/>
      <c r="YO282" s="1"/>
      <c r="YP282" s="1"/>
      <c r="YQ282" s="1"/>
      <c r="YR282" s="1"/>
      <c r="YS282" s="1"/>
      <c r="YT282" s="1"/>
      <c r="YU282" s="1"/>
      <c r="YV282" s="1"/>
      <c r="YW282" s="1"/>
      <c r="YX282" s="1"/>
      <c r="YY282" s="1"/>
      <c r="YZ282" s="1"/>
      <c r="ZA282" s="1"/>
      <c r="ZB282" s="1"/>
      <c r="ZC282" s="1"/>
      <c r="ZD282" s="1"/>
      <c r="ZE282" s="1"/>
      <c r="ZF282" s="1"/>
      <c r="ZG282" s="1"/>
      <c r="ZH282" s="1"/>
      <c r="ZI282" s="1"/>
      <c r="ZJ282" s="1"/>
      <c r="ZK282" s="1"/>
      <c r="ZL282" s="1"/>
      <c r="ZM282" s="1"/>
      <c r="ZN282" s="1"/>
      <c r="ZO282" s="1"/>
      <c r="ZP282" s="1"/>
      <c r="ZQ282" s="1"/>
      <c r="ZR282" s="1"/>
      <c r="ZS282" s="1"/>
      <c r="ZT282" s="1"/>
      <c r="ZU282" s="1"/>
      <c r="ZV282" s="1"/>
      <c r="ZW282" s="1"/>
      <c r="ZX282" s="1"/>
      <c r="ZY282" s="1"/>
      <c r="ZZ282" s="1"/>
      <c r="AAA282" s="1"/>
      <c r="AAB282" s="1"/>
      <c r="AAC282" s="1"/>
      <c r="AAD282" s="1"/>
      <c r="AAE282" s="1"/>
      <c r="AAF282" s="1"/>
      <c r="AAG282" s="1"/>
      <c r="AAH282" s="1"/>
      <c r="AAI282" s="1"/>
      <c r="AAJ282" s="1"/>
      <c r="AAK282" s="1"/>
      <c r="AAL282" s="1"/>
      <c r="AAM282" s="1"/>
      <c r="AAN282" s="1"/>
      <c r="AAO282" s="1"/>
      <c r="AAP282" s="1"/>
      <c r="AAQ282" s="1"/>
      <c r="AAR282" s="1"/>
      <c r="AAS282" s="1"/>
      <c r="AAT282" s="1"/>
      <c r="AAU282" s="1"/>
      <c r="AAV282" s="1"/>
      <c r="AAW282" s="1"/>
      <c r="AAX282" s="1"/>
      <c r="AAY282" s="1"/>
      <c r="AAZ282" s="1"/>
      <c r="ABA282" s="1"/>
      <c r="ABB282" s="1"/>
      <c r="ABC282" s="1"/>
      <c r="ABD282" s="1"/>
      <c r="ABE282" s="1"/>
      <c r="ABF282" s="1"/>
      <c r="ABG282" s="1"/>
      <c r="ABH282" s="1"/>
      <c r="ABI282" s="1"/>
      <c r="ABJ282" s="1"/>
      <c r="ABK282" s="1"/>
      <c r="ABL282" s="1"/>
      <c r="ABM282" s="1"/>
      <c r="ABN282" s="1"/>
      <c r="ABO282" s="1"/>
      <c r="ABP282" s="1"/>
      <c r="ABQ282" s="1"/>
      <c r="ABR282" s="1"/>
      <c r="ABS282" s="1"/>
      <c r="ABT282" s="1"/>
      <c r="ABU282" s="1"/>
      <c r="ABV282" s="1"/>
      <c r="ABW282" s="1"/>
      <c r="ABX282" s="1"/>
      <c r="ABY282" s="1"/>
      <c r="ABZ282" s="1"/>
      <c r="ACA282" s="1"/>
      <c r="ACB282" s="1"/>
      <c r="ACC282" s="1"/>
      <c r="ACD282" s="1"/>
      <c r="ACE282" s="1"/>
      <c r="ACF282" s="1"/>
      <c r="ACG282" s="1"/>
      <c r="ACH282" s="1"/>
      <c r="ACI282" s="1"/>
      <c r="ACJ282" s="1"/>
      <c r="ACK282" s="1"/>
      <c r="ACL282" s="1"/>
      <c r="ACM282" s="1"/>
      <c r="ACN282" s="1"/>
      <c r="ACO282" s="1"/>
      <c r="ACP282" s="1"/>
      <c r="ACQ282" s="1"/>
      <c r="ACR282" s="1"/>
      <c r="ACS282" s="1"/>
      <c r="ACT282" s="1"/>
      <c r="ACU282" s="1"/>
      <c r="ACV282" s="1"/>
      <c r="ACW282" s="1"/>
      <c r="ACX282" s="1"/>
      <c r="ACY282" s="1"/>
      <c r="ACZ282" s="1"/>
      <c r="ADA282" s="1"/>
      <c r="ADB282" s="1"/>
      <c r="ADC282" s="1"/>
      <c r="ADD282" s="1"/>
      <c r="ADE282" s="1"/>
      <c r="ADF282" s="1"/>
      <c r="ADG282" s="1"/>
      <c r="ADH282" s="1"/>
      <c r="ADI282" s="1"/>
      <c r="ADJ282" s="1"/>
      <c r="ADK282" s="1"/>
      <c r="ADL282" s="1"/>
      <c r="ADM282" s="1"/>
      <c r="ADN282" s="1"/>
      <c r="ADO282" s="1"/>
      <c r="ADP282" s="1"/>
      <c r="ADQ282" s="1"/>
      <c r="ADR282" s="1"/>
      <c r="ADS282" s="1"/>
      <c r="ADT282" s="1"/>
      <c r="ADU282" s="1"/>
      <c r="ADV282" s="1"/>
      <c r="ADW282" s="1"/>
      <c r="ADX282" s="1"/>
      <c r="ADY282" s="1"/>
      <c r="ADZ282" s="1"/>
      <c r="AEA282" s="1"/>
      <c r="AEB282" s="1"/>
      <c r="AEC282" s="1"/>
      <c r="AED282" s="1"/>
      <c r="AEE282" s="1"/>
      <c r="AEF282" s="1"/>
      <c r="AEG282" s="1"/>
      <c r="AEH282" s="1"/>
      <c r="AEI282" s="1"/>
      <c r="AEJ282" s="1"/>
      <c r="AEK282" s="1"/>
      <c r="AEL282" s="1"/>
      <c r="AEM282" s="1"/>
      <c r="AEN282" s="1"/>
      <c r="AEO282" s="1"/>
      <c r="AEP282" s="1"/>
      <c r="AEQ282" s="1"/>
      <c r="AER282" s="1"/>
      <c r="AES282" s="1"/>
      <c r="AET282" s="1"/>
      <c r="AEU282" s="1"/>
      <c r="AEV282" s="1"/>
      <c r="AEW282" s="1"/>
      <c r="AEX282" s="1"/>
      <c r="AEY282" s="1"/>
      <c r="AEZ282" s="1"/>
      <c r="AFA282" s="1"/>
      <c r="AFB282" s="1"/>
      <c r="AFC282" s="1"/>
      <c r="AFD282" s="1"/>
      <c r="AFE282" s="1"/>
      <c r="AFF282" s="1"/>
      <c r="AFG282" s="1"/>
      <c r="AFH282" s="1"/>
      <c r="AFI282" s="1"/>
      <c r="AFJ282" s="1"/>
      <c r="AFK282" s="1"/>
      <c r="AFL282" s="1"/>
      <c r="AFM282" s="1"/>
      <c r="AFN282" s="1"/>
      <c r="AFO282" s="1"/>
      <c r="AFP282" s="1"/>
      <c r="AFQ282" s="1"/>
      <c r="AFR282" s="1"/>
      <c r="AFS282" s="1"/>
      <c r="AFT282" s="1"/>
      <c r="AFU282" s="1"/>
      <c r="AFV282" s="1"/>
      <c r="AFW282" s="1"/>
      <c r="AFX282" s="1"/>
      <c r="AFY282" s="1"/>
      <c r="AFZ282" s="1"/>
      <c r="AGA282" s="1"/>
      <c r="AGB282" s="1"/>
      <c r="AGC282" s="1"/>
      <c r="AGD282" s="1"/>
      <c r="AGE282" s="1"/>
      <c r="AGF282" s="1"/>
      <c r="AGG282" s="1"/>
      <c r="AGH282" s="1"/>
      <c r="AGI282" s="1"/>
      <c r="AGJ282" s="1"/>
      <c r="AGK282" s="1"/>
      <c r="AGL282" s="1"/>
      <c r="AGM282" s="1"/>
      <c r="AGN282" s="1"/>
      <c r="AGO282" s="1"/>
      <c r="AGP282" s="1"/>
      <c r="AGQ282" s="1"/>
      <c r="AGR282" s="1"/>
      <c r="AGS282" s="1"/>
      <c r="AGT282" s="1"/>
      <c r="AGU282" s="1"/>
      <c r="AGV282" s="1"/>
      <c r="AGW282" s="1"/>
      <c r="AGX282" s="1"/>
      <c r="AGY282" s="1"/>
      <c r="AGZ282" s="1"/>
      <c r="AHA282" s="1"/>
      <c r="AHB282" s="1"/>
      <c r="AHC282" s="1"/>
      <c r="AHD282" s="1"/>
      <c r="AHE282" s="1"/>
      <c r="AHF282" s="1"/>
      <c r="AHG282" s="1"/>
      <c r="AHH282" s="1"/>
      <c r="AHI282" s="1"/>
      <c r="AHJ282" s="1"/>
      <c r="AHK282" s="1"/>
      <c r="AHL282" s="1"/>
      <c r="AHM282" s="1"/>
      <c r="AHN282" s="1"/>
      <c r="AHO282" s="1"/>
      <c r="AHP282" s="1"/>
      <c r="AHQ282" s="1"/>
      <c r="AHR282" s="1"/>
      <c r="AHS282" s="1"/>
      <c r="AHT282" s="1"/>
      <c r="AHU282" s="1"/>
      <c r="AHV282" s="1"/>
      <c r="AHW282" s="1"/>
      <c r="AHX282" s="1"/>
      <c r="AHY282" s="1"/>
      <c r="AHZ282" s="1"/>
      <c r="AIA282" s="1"/>
      <c r="AIB282" s="1"/>
      <c r="AIC282" s="1"/>
      <c r="AID282" s="1"/>
      <c r="AIE282" s="1"/>
      <c r="AIF282" s="1"/>
      <c r="AIG282" s="1"/>
      <c r="AIH282" s="1"/>
      <c r="AII282" s="1"/>
      <c r="AIJ282" s="1"/>
      <c r="AIK282" s="1"/>
      <c r="AIL282" s="1"/>
      <c r="AIM282" s="1"/>
      <c r="AIN282" s="1"/>
      <c r="AIO282" s="1"/>
      <c r="AIP282" s="1"/>
      <c r="AIQ282" s="1"/>
      <c r="AIR282" s="1"/>
      <c r="AIS282" s="1"/>
      <c r="AIT282" s="1"/>
      <c r="AIU282" s="1"/>
      <c r="AIV282" s="1"/>
      <c r="AIW282" s="1"/>
      <c r="AIX282" s="1"/>
      <c r="AIY282" s="1"/>
      <c r="AIZ282" s="1"/>
      <c r="AJA282" s="1"/>
      <c r="AJB282" s="1"/>
      <c r="AJC282" s="1"/>
      <c r="AJD282" s="1"/>
      <c r="AJE282" s="1"/>
      <c r="AJF282" s="1"/>
      <c r="AJG282" s="1"/>
      <c r="AJH282" s="1"/>
      <c r="AJI282" s="1"/>
      <c r="AJJ282" s="1"/>
      <c r="AJK282" s="1"/>
      <c r="AJL282" s="1"/>
      <c r="AJM282" s="1"/>
      <c r="AJN282" s="1"/>
      <c r="AJO282" s="1"/>
      <c r="AJP282" s="1"/>
      <c r="AJQ282" s="1"/>
      <c r="AJR282" s="1"/>
      <c r="AJS282" s="1"/>
      <c r="AJT282" s="1"/>
      <c r="AJU282" s="1"/>
      <c r="AJV282" s="1"/>
      <c r="AJW282" s="1"/>
      <c r="AJX282" s="1"/>
      <c r="AJY282" s="1"/>
      <c r="AJZ282" s="1"/>
      <c r="AKA282" s="1"/>
      <c r="AKB282" s="1"/>
      <c r="AKC282" s="1"/>
      <c r="AKD282" s="1"/>
      <c r="AKE282" s="1"/>
      <c r="AKF282" s="1"/>
      <c r="AKG282" s="1"/>
      <c r="AKH282" s="1"/>
      <c r="AKI282" s="1"/>
      <c r="AKJ282" s="1"/>
      <c r="AKK282" s="1"/>
      <c r="AKL282" s="1"/>
      <c r="AKM282" s="1"/>
      <c r="AKN282" s="1"/>
      <c r="AKO282" s="1"/>
      <c r="AKP282" s="1"/>
      <c r="AKQ282" s="1"/>
      <c r="AKR282" s="1"/>
      <c r="AKS282" s="1"/>
      <c r="AKT282" s="1"/>
      <c r="AKU282" s="1"/>
      <c r="AKV282" s="1"/>
      <c r="AKW282" s="1"/>
      <c r="AKX282" s="1"/>
      <c r="AKY282" s="1"/>
      <c r="AKZ282" s="1"/>
      <c r="ALA282" s="1"/>
      <c r="ALB282" s="1"/>
      <c r="ALC282" s="1"/>
      <c r="ALD282" s="1"/>
      <c r="ALE282" s="1"/>
      <c r="ALF282" s="1"/>
      <c r="ALG282" s="1"/>
      <c r="ALH282" s="1"/>
      <c r="ALI282" s="1"/>
      <c r="ALJ282" s="1"/>
      <c r="ALK282" s="1"/>
      <c r="ALL282" s="1"/>
      <c r="ALM282" s="1"/>
      <c r="ALN282" s="1"/>
      <c r="ALO282" s="1"/>
      <c r="ALP282" s="1"/>
      <c r="ALQ282" s="1"/>
      <c r="ALR282" s="1"/>
      <c r="ALS282" s="1"/>
      <c r="ALT282" s="1"/>
      <c r="ALU282" s="1"/>
      <c r="ALV282" s="1"/>
      <c r="ALW282" s="1"/>
      <c r="ALX282" s="1"/>
      <c r="ALY282" s="1"/>
      <c r="ALZ282" s="1"/>
      <c r="AMA282" s="1"/>
      <c r="AMB282" s="1"/>
      <c r="AMC282" s="1"/>
      <c r="AMD282" s="1"/>
      <c r="AME282" s="1"/>
      <c r="AMF282" s="1"/>
      <c r="AMG282" s="1"/>
      <c r="AMH282" s="1"/>
      <c r="AMI282" s="1"/>
      <c r="AMJ282" s="1"/>
      <c r="AMK282" s="1"/>
      <c r="AML282" s="1"/>
      <c r="AMM282" s="1"/>
      <c r="AMN282" s="1"/>
      <c r="AMO282" s="1"/>
      <c r="AMP282" s="1"/>
    </row>
    <row r="283" spans="1:1030" x14ac:dyDescent="0.2">
      <c r="A283" s="3" t="str">
        <f>CONCATENATE(B283,"_",C283)</f>
        <v>oprk_human__wt</v>
      </c>
      <c r="B283" s="3" t="s">
        <v>335</v>
      </c>
      <c r="C283" s="3" t="s">
        <v>100</v>
      </c>
      <c r="D283" s="3" t="str">
        <f>IFERROR(MID(VLOOKUP($B283,Seqs!$A:$B,2,0),E283,1),"")</f>
        <v>A</v>
      </c>
      <c r="E283" s="3">
        <v>57</v>
      </c>
      <c r="F283" s="3" t="str">
        <f>IFERROR(MID(VLOOKUP($B283,Seqs!$A:$B,2,0),G283,1),"")</f>
        <v>Y</v>
      </c>
      <c r="G283" s="3">
        <v>87</v>
      </c>
      <c r="H283" s="3" t="str">
        <f>IFERROR(MID(VLOOKUP($B283,Seqs!$A:$B,2,0),I283,1),"")</f>
        <v>T</v>
      </c>
      <c r="I283" s="23">
        <v>88</v>
      </c>
      <c r="J283" s="3" t="str">
        <f>IFERROR(MID(VLOOKUP($B283,Seqs!$A:$B,2,0),K283,1),"")</f>
        <v>K</v>
      </c>
      <c r="K283" s="23">
        <v>91</v>
      </c>
      <c r="L283" s="3" t="str">
        <f>IFERROR(MID(VLOOKUP($B283,Seqs!$A:$B,2,0),M283,1),"")</f>
        <v>T</v>
      </c>
      <c r="M283" s="3">
        <v>92</v>
      </c>
      <c r="N283" s="3" t="str">
        <f>IFERROR(MID(VLOOKUP($B283,Seqs!$A:$B,2,0),O283,1),"")</f>
        <v>N</v>
      </c>
      <c r="O283" s="105">
        <v>122</v>
      </c>
      <c r="P283" s="3" t="str">
        <f>IFERROR(MID(VLOOKUP($B283,Seqs!$A:$B,2,0),Q283,1),"")</f>
        <v>S</v>
      </c>
      <c r="Q283" s="3">
        <v>123</v>
      </c>
      <c r="R283" s="3" t="str">
        <f>IFERROR(MID(VLOOKUP($B283,Seqs!$A:$B,2,0),S283,1),"")</f>
        <v>F</v>
      </c>
      <c r="S283" s="3">
        <v>126</v>
      </c>
      <c r="T283" s="3" t="str">
        <f>IFERROR(MID(VLOOKUP($B283,Seqs!$A:$B,2,0),U283,1),"")</f>
        <v>G</v>
      </c>
      <c r="U283" s="3">
        <v>127</v>
      </c>
      <c r="V283" s="3" t="str">
        <f>IFERROR(MID(VLOOKUP($B283,Seqs!$A:$B,2,0),W283,1),"")</f>
        <v>H</v>
      </c>
      <c r="W283" s="3">
        <v>162</v>
      </c>
      <c r="X283" s="3" t="str">
        <f>IFERROR(MID(VLOOKUP($B283,Seqs!$A:$B,2,0),Y283,1),"")</f>
        <v>P</v>
      </c>
      <c r="Y283" s="3">
        <v>163</v>
      </c>
      <c r="Z283" s="3" t="str">
        <f>IFERROR(MID(VLOOKUP($B283,Seqs!$A:$B,2,0),AA283,1),"")</f>
        <v>R</v>
      </c>
      <c r="AA283" s="3">
        <v>170</v>
      </c>
      <c r="AB283" s="3" t="str">
        <f>IFERROR(MID(VLOOKUP($B283,Seqs!$A:$B,2,0),AC283,1),"")</f>
        <v>T</v>
      </c>
      <c r="AC283" s="9">
        <v>171</v>
      </c>
      <c r="AD283" s="3" t="str">
        <f>IFERROR(MID(VLOOKUP($B283,Seqs!$A:$B,2,0),AE283,1),"")</f>
        <v>G</v>
      </c>
      <c r="AE283" s="3">
        <v>197</v>
      </c>
      <c r="AF283" s="3" t="str">
        <f>IFERROR(MID(VLOOKUP($B283,Seqs!$A:$B,2,0),AG283,1),"")</f>
        <v>C</v>
      </c>
      <c r="AG283" s="3">
        <v>210</v>
      </c>
      <c r="AH283" s="3" t="str">
        <f>IFERROR(MID(VLOOKUP($B283,Seqs!$A:$B,2,0),AI283,1),"")</f>
        <v>L</v>
      </c>
      <c r="AI283" s="3">
        <v>212</v>
      </c>
      <c r="AJ283" s="3" t="str">
        <f>IFERROR(MID(VLOOKUP($B283,Seqs!$A:$B,2,0),AK283,1),"")</f>
        <v>D</v>
      </c>
      <c r="AK283" s="105">
        <v>218</v>
      </c>
      <c r="AL283" s="3" t="str">
        <f>IFERROR(MID(VLOOKUP($B283,Seqs!$A:$B,2,0),AM283,1),"")</f>
        <v>V</v>
      </c>
      <c r="AM283" s="3">
        <v>256</v>
      </c>
      <c r="AN283" s="3" t="str">
        <f>IFERROR(MID(VLOOKUP($B283,Seqs!$A:$B,2,0),AO283,1),"")</f>
        <v>S</v>
      </c>
      <c r="AO283" s="3">
        <v>262</v>
      </c>
      <c r="AP283" s="3" t="str">
        <f>IFERROR(MID(VLOOKUP($B283,Seqs!$A:$B,2,0),AQ283,1),"")</f>
        <v>G</v>
      </c>
      <c r="AQ283" s="3">
        <v>300</v>
      </c>
      <c r="AR283" s="3" t="str">
        <f>IFERROR(MID(VLOOKUP($B283,Seqs!$A:$B,2,0),AS283,1),"")</f>
        <v>S</v>
      </c>
      <c r="AS283" s="3">
        <v>305</v>
      </c>
      <c r="AT283" s="3" t="str">
        <f>IFERROR(MID(VLOOKUP($B283,Seqs!$A:$B,2,0),AU283,1),"")</f>
        <v>L</v>
      </c>
      <c r="AU283" s="3">
        <v>333</v>
      </c>
      <c r="AV283" s="3" t="str">
        <f>IFERROR(MID(VLOOKUP($B283,Seqs!$A:$B,2,0),AW283,1),"")</f>
        <v>D</v>
      </c>
      <c r="AW283" s="3">
        <v>334</v>
      </c>
      <c r="AX283" s="3" t="str">
        <f>IFERROR(MID(VLOOKUP($B283,Seqs!$A:$B,2,0),AY283,1),"")</f>
        <v>F</v>
      </c>
      <c r="AY283" s="3">
        <v>346</v>
      </c>
      <c r="AZ283" s="77" t="str">
        <f>VLOOKUP(B283,Classification!A:D,2,0)</f>
        <v>A</v>
      </c>
      <c r="BA283" s="94" t="str">
        <f>VLOOKUP(B283,Classification!A:D,4,0)</f>
        <v>Opioid</v>
      </c>
      <c r="BB283" s="27" t="b">
        <f t="shared" si="1074"/>
        <v>1</v>
      </c>
      <c r="BC283" s="23">
        <f t="shared" si="1057"/>
        <v>264</v>
      </c>
      <c r="BD283" s="56" t="s">
        <v>23</v>
      </c>
      <c r="BE283" s="3" t="s">
        <v>23</v>
      </c>
      <c r="BF283" s="118" t="s">
        <v>23</v>
      </c>
      <c r="BG283" s="49" t="s">
        <v>1366</v>
      </c>
      <c r="BH283" s="49" t="s">
        <v>1371</v>
      </c>
      <c r="BI283" s="1"/>
      <c r="BJ283" s="70" t="s">
        <v>1281</v>
      </c>
      <c r="BK283" s="57" t="s">
        <v>1281</v>
      </c>
      <c r="BL283" s="57" t="s">
        <v>1281</v>
      </c>
      <c r="BM283" s="57" t="s">
        <v>1281</v>
      </c>
      <c r="BN283" s="57" t="s">
        <v>1281</v>
      </c>
      <c r="BO283" s="57" t="s">
        <v>1281</v>
      </c>
      <c r="BP283" s="57" t="s">
        <v>1281</v>
      </c>
      <c r="BQ283" s="57" t="s">
        <v>1281</v>
      </c>
      <c r="BR283" s="57" t="s">
        <v>1281</v>
      </c>
      <c r="BS283" s="57" t="s">
        <v>1281</v>
      </c>
      <c r="BT283" s="57" t="s">
        <v>1281</v>
      </c>
      <c r="BU283" s="57" t="s">
        <v>1281</v>
      </c>
      <c r="BV283" s="70">
        <f>E283</f>
        <v>57</v>
      </c>
      <c r="BW283" s="71">
        <f>I283</f>
        <v>88</v>
      </c>
      <c r="BX283" s="72">
        <f>M283</f>
        <v>92</v>
      </c>
      <c r="BY283" s="71">
        <f>Q283</f>
        <v>123</v>
      </c>
      <c r="BZ283" s="72">
        <f>U283</f>
        <v>127</v>
      </c>
      <c r="CA283" s="71">
        <f>Y283</f>
        <v>163</v>
      </c>
      <c r="CB283" s="72">
        <f>AC283</f>
        <v>171</v>
      </c>
      <c r="CC283" s="71">
        <f>AG283</f>
        <v>210</v>
      </c>
      <c r="CD283" s="72">
        <f>AK283</f>
        <v>218</v>
      </c>
      <c r="CE283" s="71">
        <f>AO283</f>
        <v>262</v>
      </c>
      <c r="CF283" s="72">
        <f>AS283</f>
        <v>305</v>
      </c>
      <c r="CG283" s="71">
        <f>AW283</f>
        <v>334</v>
      </c>
      <c r="CH283" s="70">
        <f>G283</f>
        <v>87</v>
      </c>
      <c r="CI283" s="71">
        <f>K283</f>
        <v>91</v>
      </c>
      <c r="CJ283" s="72">
        <f>O283</f>
        <v>122</v>
      </c>
      <c r="CK283" s="72">
        <f>S283</f>
        <v>126</v>
      </c>
      <c r="CL283" s="72">
        <f>W283</f>
        <v>162</v>
      </c>
      <c r="CM283" s="72">
        <f>AA283</f>
        <v>170</v>
      </c>
      <c r="CN283" s="72">
        <f>AE283</f>
        <v>197</v>
      </c>
      <c r="CO283" s="72">
        <f>AI283</f>
        <v>212</v>
      </c>
      <c r="CP283" s="72">
        <f>AM283</f>
        <v>256</v>
      </c>
      <c r="CQ283" s="72">
        <f>AQ283</f>
        <v>300</v>
      </c>
      <c r="CR283" s="72">
        <f>AU283</f>
        <v>333</v>
      </c>
      <c r="CS283" s="72">
        <f>AY283</f>
        <v>346</v>
      </c>
      <c r="CT283" s="23">
        <f>M283-K283</f>
        <v>1</v>
      </c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  <c r="VF283" s="1"/>
      <c r="VG283" s="1"/>
      <c r="VH283" s="1"/>
      <c r="VI283" s="1"/>
      <c r="VJ283" s="1"/>
      <c r="VK283" s="1"/>
      <c r="VL283" s="1"/>
      <c r="VM283" s="1"/>
      <c r="VN283" s="1"/>
      <c r="VO283" s="1"/>
      <c r="VP283" s="1"/>
      <c r="VQ283" s="1"/>
      <c r="VR283" s="1"/>
      <c r="VS283" s="1"/>
      <c r="VT283" s="1"/>
      <c r="VU283" s="1"/>
      <c r="VV283" s="1"/>
      <c r="VW283" s="1"/>
      <c r="VX283" s="1"/>
      <c r="VY283" s="1"/>
      <c r="VZ283" s="1"/>
      <c r="WA283" s="1"/>
      <c r="WB283" s="1"/>
      <c r="WC283" s="1"/>
      <c r="WD283" s="1"/>
      <c r="WE283" s="1"/>
      <c r="WF283" s="1"/>
      <c r="WG283" s="1"/>
      <c r="WH283" s="1"/>
      <c r="WI283" s="1"/>
      <c r="WJ283" s="1"/>
      <c r="WK283" s="1"/>
      <c r="WL283" s="1"/>
      <c r="WM283" s="1"/>
      <c r="WN283" s="1"/>
      <c r="WO283" s="1"/>
      <c r="WP283" s="1"/>
      <c r="WQ283" s="1"/>
      <c r="WR283" s="1"/>
      <c r="WS283" s="1"/>
      <c r="WT283" s="1"/>
      <c r="WU283" s="1"/>
      <c r="WV283" s="1"/>
      <c r="WW283" s="1"/>
      <c r="WX283" s="1"/>
      <c r="WY283" s="1"/>
      <c r="WZ283" s="1"/>
      <c r="XA283" s="1"/>
      <c r="XB283" s="1"/>
      <c r="XC283" s="1"/>
      <c r="XD283" s="1"/>
      <c r="XE283" s="1"/>
      <c r="XF283" s="1"/>
      <c r="XG283" s="1"/>
      <c r="XH283" s="1"/>
      <c r="XI283" s="1"/>
      <c r="XJ283" s="1"/>
      <c r="XK283" s="1"/>
      <c r="XL283" s="1"/>
      <c r="XM283" s="1"/>
      <c r="XN283" s="1"/>
      <c r="XO283" s="1"/>
      <c r="XP283" s="1"/>
      <c r="XQ283" s="1"/>
      <c r="XR283" s="1"/>
      <c r="XS283" s="1"/>
      <c r="XT283" s="1"/>
      <c r="XU283" s="1"/>
      <c r="XV283" s="1"/>
      <c r="XW283" s="1"/>
      <c r="XX283" s="1"/>
      <c r="XY283" s="1"/>
      <c r="XZ283" s="1"/>
      <c r="YA283" s="1"/>
      <c r="YB283" s="1"/>
      <c r="YC283" s="1"/>
      <c r="YD283" s="1"/>
      <c r="YE283" s="1"/>
      <c r="YF283" s="1"/>
      <c r="YG283" s="1"/>
      <c r="YH283" s="1"/>
      <c r="YI283" s="1"/>
      <c r="YJ283" s="1"/>
      <c r="YK283" s="1"/>
      <c r="YL283" s="1"/>
      <c r="YM283" s="1"/>
      <c r="YN283" s="1"/>
      <c r="YO283" s="1"/>
      <c r="YP283" s="1"/>
      <c r="YQ283" s="1"/>
      <c r="YR283" s="1"/>
      <c r="YS283" s="1"/>
      <c r="YT283" s="1"/>
      <c r="YU283" s="1"/>
      <c r="YV283" s="1"/>
      <c r="YW283" s="1"/>
      <c r="YX283" s="1"/>
      <c r="YY283" s="1"/>
      <c r="YZ283" s="1"/>
      <c r="ZA283" s="1"/>
      <c r="ZB283" s="1"/>
      <c r="ZC283" s="1"/>
      <c r="ZD283" s="1"/>
      <c r="ZE283" s="1"/>
      <c r="ZF283" s="1"/>
      <c r="ZG283" s="1"/>
      <c r="ZH283" s="1"/>
      <c r="ZI283" s="1"/>
      <c r="ZJ283" s="1"/>
      <c r="ZK283" s="1"/>
      <c r="ZL283" s="1"/>
      <c r="ZM283" s="1"/>
      <c r="ZN283" s="1"/>
      <c r="ZO283" s="1"/>
      <c r="ZP283" s="1"/>
      <c r="ZQ283" s="1"/>
      <c r="ZR283" s="1"/>
      <c r="ZS283" s="1"/>
      <c r="ZT283" s="1"/>
      <c r="ZU283" s="1"/>
      <c r="ZV283" s="1"/>
      <c r="ZW283" s="1"/>
      <c r="ZX283" s="1"/>
      <c r="ZY283" s="1"/>
      <c r="ZZ283" s="1"/>
      <c r="AAA283" s="1"/>
      <c r="AAB283" s="1"/>
      <c r="AAC283" s="1"/>
      <c r="AAD283" s="1"/>
      <c r="AAE283" s="1"/>
      <c r="AAF283" s="1"/>
      <c r="AAG283" s="1"/>
      <c r="AAH283" s="1"/>
      <c r="AAI283" s="1"/>
      <c r="AAJ283" s="1"/>
      <c r="AAK283" s="1"/>
      <c r="AAL283" s="1"/>
      <c r="AAM283" s="1"/>
      <c r="AAN283" s="1"/>
      <c r="AAO283" s="1"/>
      <c r="AAP283" s="1"/>
      <c r="AAQ283" s="1"/>
      <c r="AAR283" s="1"/>
      <c r="AAS283" s="1"/>
      <c r="AAT283" s="1"/>
      <c r="AAU283" s="1"/>
      <c r="AAV283" s="1"/>
      <c r="AAW283" s="1"/>
      <c r="AAX283" s="1"/>
      <c r="AAY283" s="1"/>
      <c r="AAZ283" s="1"/>
      <c r="ABA283" s="1"/>
      <c r="ABB283" s="1"/>
      <c r="ABC283" s="1"/>
      <c r="ABD283" s="1"/>
      <c r="ABE283" s="1"/>
      <c r="ABF283" s="1"/>
      <c r="ABG283" s="1"/>
      <c r="ABH283" s="1"/>
      <c r="ABI283" s="1"/>
      <c r="ABJ283" s="1"/>
      <c r="ABK283" s="1"/>
      <c r="ABL283" s="1"/>
      <c r="ABM283" s="1"/>
      <c r="ABN283" s="1"/>
      <c r="ABO283" s="1"/>
      <c r="ABP283" s="1"/>
      <c r="ABQ283" s="1"/>
      <c r="ABR283" s="1"/>
      <c r="ABS283" s="1"/>
      <c r="ABT283" s="1"/>
      <c r="ABU283" s="1"/>
      <c r="ABV283" s="1"/>
      <c r="ABW283" s="1"/>
      <c r="ABX283" s="1"/>
      <c r="ABY283" s="1"/>
      <c r="ABZ283" s="1"/>
      <c r="ACA283" s="1"/>
      <c r="ACB283" s="1"/>
      <c r="ACC283" s="1"/>
      <c r="ACD283" s="1"/>
      <c r="ACE283" s="1"/>
      <c r="ACF283" s="1"/>
      <c r="ACG283" s="1"/>
      <c r="ACH283" s="1"/>
      <c r="ACI283" s="1"/>
      <c r="ACJ283" s="1"/>
      <c r="ACK283" s="1"/>
      <c r="ACL283" s="1"/>
      <c r="ACM283" s="1"/>
      <c r="ACN283" s="1"/>
      <c r="ACO283" s="1"/>
      <c r="ACP283" s="1"/>
      <c r="ACQ283" s="1"/>
      <c r="ACR283" s="1"/>
      <c r="ACS283" s="1"/>
      <c r="ACT283" s="1"/>
      <c r="ACU283" s="1"/>
      <c r="ACV283" s="1"/>
      <c r="ACW283" s="1"/>
      <c r="ACX283" s="1"/>
      <c r="ACY283" s="1"/>
      <c r="ACZ283" s="1"/>
      <c r="ADA283" s="1"/>
      <c r="ADB283" s="1"/>
      <c r="ADC283" s="1"/>
      <c r="ADD283" s="1"/>
      <c r="ADE283" s="1"/>
      <c r="ADF283" s="1"/>
      <c r="ADG283" s="1"/>
      <c r="ADH283" s="1"/>
      <c r="ADI283" s="1"/>
      <c r="ADJ283" s="1"/>
      <c r="ADK283" s="1"/>
      <c r="ADL283" s="1"/>
      <c r="ADM283" s="1"/>
      <c r="ADN283" s="1"/>
      <c r="ADO283" s="1"/>
      <c r="ADP283" s="1"/>
      <c r="ADQ283" s="1"/>
      <c r="ADR283" s="1"/>
      <c r="ADS283" s="1"/>
      <c r="ADT283" s="1"/>
      <c r="ADU283" s="1"/>
      <c r="ADV283" s="1"/>
      <c r="ADW283" s="1"/>
      <c r="ADX283" s="1"/>
      <c r="ADY283" s="1"/>
      <c r="ADZ283" s="1"/>
      <c r="AEA283" s="1"/>
      <c r="AEB283" s="1"/>
      <c r="AEC283" s="1"/>
      <c r="AED283" s="1"/>
      <c r="AEE283" s="1"/>
      <c r="AEF283" s="1"/>
      <c r="AEG283" s="1"/>
      <c r="AEH283" s="1"/>
      <c r="AEI283" s="1"/>
      <c r="AEJ283" s="1"/>
      <c r="AEK283" s="1"/>
      <c r="AEL283" s="1"/>
      <c r="AEM283" s="1"/>
      <c r="AEN283" s="1"/>
      <c r="AEO283" s="1"/>
      <c r="AEP283" s="1"/>
      <c r="AEQ283" s="1"/>
      <c r="AER283" s="1"/>
      <c r="AES283" s="1"/>
      <c r="AET283" s="1"/>
      <c r="AEU283" s="1"/>
      <c r="AEV283" s="1"/>
      <c r="AEW283" s="1"/>
      <c r="AEX283" s="1"/>
      <c r="AEY283" s="1"/>
      <c r="AEZ283" s="1"/>
      <c r="AFA283" s="1"/>
      <c r="AFB283" s="1"/>
      <c r="AFC283" s="1"/>
      <c r="AFD283" s="1"/>
      <c r="AFE283" s="1"/>
      <c r="AFF283" s="1"/>
      <c r="AFG283" s="1"/>
      <c r="AFH283" s="1"/>
      <c r="AFI283" s="1"/>
      <c r="AFJ283" s="1"/>
      <c r="AFK283" s="1"/>
      <c r="AFL283" s="1"/>
      <c r="AFM283" s="1"/>
      <c r="AFN283" s="1"/>
      <c r="AFO283" s="1"/>
      <c r="AFP283" s="1"/>
      <c r="AFQ283" s="1"/>
      <c r="AFR283" s="1"/>
      <c r="AFS283" s="1"/>
      <c r="AFT283" s="1"/>
      <c r="AFU283" s="1"/>
      <c r="AFV283" s="1"/>
      <c r="AFW283" s="1"/>
      <c r="AFX283" s="1"/>
      <c r="AFY283" s="1"/>
      <c r="AFZ283" s="1"/>
      <c r="AGA283" s="1"/>
      <c r="AGB283" s="1"/>
      <c r="AGC283" s="1"/>
      <c r="AGD283" s="1"/>
      <c r="AGE283" s="1"/>
      <c r="AGF283" s="1"/>
      <c r="AGG283" s="1"/>
      <c r="AGH283" s="1"/>
      <c r="AGI283" s="1"/>
      <c r="AGJ283" s="1"/>
      <c r="AGK283" s="1"/>
      <c r="AGL283" s="1"/>
      <c r="AGM283" s="1"/>
      <c r="AGN283" s="1"/>
      <c r="AGO283" s="1"/>
      <c r="AGP283" s="1"/>
      <c r="AGQ283" s="1"/>
      <c r="AGR283" s="1"/>
      <c r="AGS283" s="1"/>
      <c r="AGT283" s="1"/>
      <c r="AGU283" s="1"/>
      <c r="AGV283" s="1"/>
      <c r="AGW283" s="1"/>
      <c r="AGX283" s="1"/>
      <c r="AGY283" s="1"/>
      <c r="AGZ283" s="1"/>
      <c r="AHA283" s="1"/>
      <c r="AHB283" s="1"/>
      <c r="AHC283" s="1"/>
      <c r="AHD283" s="1"/>
      <c r="AHE283" s="1"/>
      <c r="AHF283" s="1"/>
      <c r="AHG283" s="1"/>
      <c r="AHH283" s="1"/>
      <c r="AHI283" s="1"/>
      <c r="AHJ283" s="1"/>
      <c r="AHK283" s="1"/>
      <c r="AHL283" s="1"/>
      <c r="AHM283" s="1"/>
      <c r="AHN283" s="1"/>
      <c r="AHO283" s="1"/>
      <c r="AHP283" s="1"/>
      <c r="AHQ283" s="1"/>
      <c r="AHR283" s="1"/>
      <c r="AHS283" s="1"/>
      <c r="AHT283" s="1"/>
      <c r="AHU283" s="1"/>
      <c r="AHV283" s="1"/>
      <c r="AHW283" s="1"/>
      <c r="AHX283" s="1"/>
      <c r="AHY283" s="1"/>
      <c r="AHZ283" s="1"/>
      <c r="AIA283" s="1"/>
      <c r="AIB283" s="1"/>
      <c r="AIC283" s="1"/>
      <c r="AID283" s="1"/>
      <c r="AIE283" s="1"/>
      <c r="AIF283" s="1"/>
      <c r="AIG283" s="1"/>
      <c r="AIH283" s="1"/>
      <c r="AII283" s="1"/>
      <c r="AIJ283" s="1"/>
      <c r="AIK283" s="1"/>
      <c r="AIL283" s="1"/>
      <c r="AIM283" s="1"/>
      <c r="AIN283" s="1"/>
      <c r="AIO283" s="1"/>
      <c r="AIP283" s="1"/>
      <c r="AIQ283" s="1"/>
      <c r="AIR283" s="1"/>
      <c r="AIS283" s="1"/>
      <c r="AIT283" s="1"/>
      <c r="AIU283" s="1"/>
      <c r="AIV283" s="1"/>
      <c r="AIW283" s="1"/>
      <c r="AIX283" s="1"/>
      <c r="AIY283" s="1"/>
      <c r="AIZ283" s="1"/>
      <c r="AJA283" s="1"/>
      <c r="AJB283" s="1"/>
      <c r="AJC283" s="1"/>
      <c r="AJD283" s="1"/>
      <c r="AJE283" s="1"/>
      <c r="AJF283" s="1"/>
      <c r="AJG283" s="1"/>
      <c r="AJH283" s="1"/>
      <c r="AJI283" s="1"/>
      <c r="AJJ283" s="1"/>
      <c r="AJK283" s="1"/>
      <c r="AJL283" s="1"/>
      <c r="AJM283" s="1"/>
      <c r="AJN283" s="1"/>
      <c r="AJO283" s="1"/>
      <c r="AJP283" s="1"/>
      <c r="AJQ283" s="1"/>
      <c r="AJR283" s="1"/>
      <c r="AJS283" s="1"/>
      <c r="AJT283" s="1"/>
      <c r="AJU283" s="1"/>
      <c r="AJV283" s="1"/>
      <c r="AJW283" s="1"/>
      <c r="AJX283" s="1"/>
      <c r="AJY283" s="1"/>
      <c r="AJZ283" s="1"/>
      <c r="AKA283" s="1"/>
      <c r="AKB283" s="1"/>
      <c r="AKC283" s="1"/>
      <c r="AKD283" s="1"/>
      <c r="AKE283" s="1"/>
      <c r="AKF283" s="1"/>
      <c r="AKG283" s="1"/>
      <c r="AKH283" s="1"/>
      <c r="AKI283" s="1"/>
      <c r="AKJ283" s="1"/>
      <c r="AKK283" s="1"/>
      <c r="AKL283" s="1"/>
      <c r="AKM283" s="1"/>
      <c r="AKN283" s="1"/>
      <c r="AKO283" s="1"/>
      <c r="AKP283" s="1"/>
      <c r="AKQ283" s="1"/>
      <c r="AKR283" s="1"/>
      <c r="AKS283" s="1"/>
      <c r="AKT283" s="1"/>
      <c r="AKU283" s="1"/>
      <c r="AKV283" s="1"/>
      <c r="AKW283" s="1"/>
      <c r="AKX283" s="1"/>
      <c r="AKY283" s="1"/>
      <c r="AKZ283" s="1"/>
      <c r="ALA283" s="1"/>
      <c r="ALB283" s="1"/>
      <c r="ALC283" s="1"/>
      <c r="ALD283" s="1"/>
      <c r="ALE283" s="1"/>
      <c r="ALF283" s="1"/>
      <c r="ALG283" s="1"/>
      <c r="ALH283" s="1"/>
      <c r="ALI283" s="1"/>
      <c r="ALJ283" s="1"/>
      <c r="ALK283" s="1"/>
      <c r="ALL283" s="1"/>
      <c r="ALM283" s="1"/>
      <c r="ALN283" s="1"/>
      <c r="ALO283" s="1"/>
      <c r="ALP283" s="1"/>
      <c r="ALQ283" s="1"/>
      <c r="ALR283" s="1"/>
      <c r="ALS283" s="1"/>
      <c r="ALT283" s="1"/>
      <c r="ALU283" s="1"/>
      <c r="ALV283" s="1"/>
      <c r="ALW283" s="1"/>
      <c r="ALX283" s="1"/>
      <c r="ALY283" s="1"/>
      <c r="ALZ283" s="1"/>
      <c r="AMA283" s="1"/>
      <c r="AMB283" s="1"/>
      <c r="AMC283" s="1"/>
      <c r="AMD283" s="1"/>
      <c r="AME283" s="1"/>
      <c r="AMF283" s="1"/>
      <c r="AMG283" s="1"/>
      <c r="AMH283" s="1"/>
      <c r="AMI283" s="1"/>
      <c r="AMJ283" s="1"/>
      <c r="AMK283" s="1"/>
      <c r="AML283" s="1"/>
      <c r="AMM283" s="1"/>
      <c r="AMN283" s="1"/>
      <c r="AMO283" s="1"/>
    </row>
    <row r="284" spans="1:1030" x14ac:dyDescent="0.2">
      <c r="A284" s="3" t="str">
        <f>CONCATENATE(B284,"_",C284)</f>
        <v>oprk_human_4DJH</v>
      </c>
      <c r="B284" s="3" t="s">
        <v>335</v>
      </c>
      <c r="C284" s="3" t="s">
        <v>88</v>
      </c>
      <c r="D284" s="3" t="str">
        <f>IFERROR(MID(VLOOKUP($B284,Seqs!$A:$B,2,0),E284,1),"")</f>
        <v>A</v>
      </c>
      <c r="E284" s="3">
        <v>57</v>
      </c>
      <c r="F284" s="3" t="str">
        <f>IFERROR(MID(VLOOKUP($B284,Seqs!$A:$B,2,0),G284,1),"")</f>
        <v>Y</v>
      </c>
      <c r="G284" s="3">
        <v>87</v>
      </c>
      <c r="H284" s="3" t="str">
        <f>IFERROR(MID(VLOOKUP($B284,Seqs!$A:$B,2,0),I284,1),"")</f>
        <v>T</v>
      </c>
      <c r="I284" s="23">
        <v>88</v>
      </c>
      <c r="J284" s="3" t="str">
        <f>IFERROR(MID(VLOOKUP($B284,Seqs!$A:$B,2,0),K284,1),"")</f>
        <v>K</v>
      </c>
      <c r="K284" s="23">
        <v>91</v>
      </c>
      <c r="L284" s="3" t="str">
        <f>IFERROR(MID(VLOOKUP($B284,Seqs!$A:$B,2,0),M284,1),"")</f>
        <v>T</v>
      </c>
      <c r="M284" s="3">
        <v>92</v>
      </c>
      <c r="N284" s="3" t="str">
        <f>IFERROR(MID(VLOOKUP($B284,Seqs!$A:$B,2,0),O284,1),"")</f>
        <v>N</v>
      </c>
      <c r="O284" s="3">
        <v>122</v>
      </c>
      <c r="P284" s="3" t="str">
        <f>IFERROR(MID(VLOOKUP($B284,Seqs!$A:$B,2,0),Q284,1),"")</f>
        <v>S</v>
      </c>
      <c r="Q284" s="3">
        <v>123</v>
      </c>
      <c r="R284" s="3" t="str">
        <f>IFERROR(MID(VLOOKUP($B284,Seqs!$A:$B,2,0),S284,1),"")</f>
        <v>F</v>
      </c>
      <c r="S284" s="3">
        <v>126</v>
      </c>
      <c r="T284" s="3" t="str">
        <f>IFERROR(MID(VLOOKUP($B284,Seqs!$A:$B,2,0),U284,1),"")</f>
        <v>G</v>
      </c>
      <c r="U284" s="3">
        <v>127</v>
      </c>
      <c r="V284" s="3" t="str">
        <f>IFERROR(MID(VLOOKUP($B284,Seqs!$A:$B,2,0),W284,1),"")</f>
        <v>H</v>
      </c>
      <c r="W284" s="3">
        <v>162</v>
      </c>
      <c r="X284" s="3" t="str">
        <f>IFERROR(MID(VLOOKUP($B284,Seqs!$A:$B,2,0),Y284,1),"")</f>
        <v/>
      </c>
      <c r="Y284" s="3" t="s">
        <v>23</v>
      </c>
      <c r="Z284" s="3" t="str">
        <f>IFERROR(MID(VLOOKUP($B284,Seqs!$A:$B,2,0),AA284,1),"")</f>
        <v/>
      </c>
      <c r="AA284" s="3" t="s">
        <v>23</v>
      </c>
      <c r="AB284" s="3" t="str">
        <f>IFERROR(MID(VLOOKUP($B284,Seqs!$A:$B,2,0),AC284,1),"")</f>
        <v>R</v>
      </c>
      <c r="AC284" s="9">
        <v>170</v>
      </c>
      <c r="AD284" s="3" t="str">
        <f>IFERROR(MID(VLOOKUP($B284,Seqs!$A:$B,2,0),AE284,1),"")</f>
        <v>G</v>
      </c>
      <c r="AE284" s="3">
        <v>197</v>
      </c>
      <c r="AF284" s="3" t="str">
        <f>IFERROR(MID(VLOOKUP($B284,Seqs!$A:$B,2,0),AG284,1),"")</f>
        <v>C</v>
      </c>
      <c r="AG284" s="3">
        <v>210</v>
      </c>
      <c r="AH284" s="3" t="str">
        <f>IFERROR(MID(VLOOKUP($B284,Seqs!$A:$B,2,0),AI284,1),"")</f>
        <v>L</v>
      </c>
      <c r="AI284" s="3">
        <v>212</v>
      </c>
      <c r="AJ284" s="3" t="str">
        <f>IFERROR(MID(VLOOKUP($B284,Seqs!$A:$B,2,0),AK284,1),"")</f>
        <v>D</v>
      </c>
      <c r="AK284" s="3">
        <v>218</v>
      </c>
      <c r="AL284" s="3" t="str">
        <f>IFERROR(MID(VLOOKUP($B284,Seqs!$A:$B,2,0),AM284,1),"")</f>
        <v>V</v>
      </c>
      <c r="AM284" s="3">
        <v>256</v>
      </c>
      <c r="AN284" s="3" t="str">
        <f>IFERROR(MID(VLOOKUP($B284,Seqs!$A:$B,2,0),AO284,1),"")</f>
        <v>R</v>
      </c>
      <c r="AO284" s="3">
        <v>267</v>
      </c>
      <c r="AP284" s="3" t="str">
        <f>IFERROR(MID(VLOOKUP($B284,Seqs!$A:$B,2,0),AQ284,1),"")</f>
        <v>G</v>
      </c>
      <c r="AQ284" s="3">
        <v>300</v>
      </c>
      <c r="AR284" s="3" t="str">
        <f>IFERROR(MID(VLOOKUP($B284,Seqs!$A:$B,2,0),AS284,1),"")</f>
        <v>A</v>
      </c>
      <c r="AS284" s="3">
        <v>308</v>
      </c>
      <c r="AT284" s="3" t="str">
        <f>IFERROR(MID(VLOOKUP($B284,Seqs!$A:$B,2,0),AU284,1),"")</f>
        <v>L</v>
      </c>
      <c r="AU284" s="3">
        <v>333</v>
      </c>
      <c r="AV284" s="3" t="str">
        <f>IFERROR(MID(VLOOKUP($B284,Seqs!$A:$B,2,0),AW284,1),"")</f>
        <v>D</v>
      </c>
      <c r="AW284" s="3">
        <v>334</v>
      </c>
      <c r="AX284" s="3" t="str">
        <f>IFERROR(MID(VLOOKUP($B284,Seqs!$A:$B,2,0),AY284,1),"")</f>
        <v>F</v>
      </c>
      <c r="AY284" s="3">
        <v>346</v>
      </c>
      <c r="AZ284" s="77" t="str">
        <f>VLOOKUP(B284,Classification!A:D,2,0)</f>
        <v>A</v>
      </c>
      <c r="BA284" s="94" t="str">
        <f>VLOOKUP(B284,Classification!A:D,4,0)</f>
        <v>Opioid</v>
      </c>
      <c r="BB284" s="27" t="b">
        <f t="shared" si="1074"/>
        <v>1</v>
      </c>
      <c r="BC284" s="23">
        <f t="shared" si="1057"/>
        <v>250</v>
      </c>
      <c r="BD284" s="2" t="s">
        <v>23</v>
      </c>
      <c r="BE284" s="3" t="s">
        <v>1368</v>
      </c>
      <c r="BF284" s="118">
        <v>2.9</v>
      </c>
      <c r="BG284" s="49" t="s">
        <v>1371</v>
      </c>
      <c r="BH284" s="49" t="s">
        <v>1371</v>
      </c>
      <c r="BI284" s="1"/>
      <c r="BJ284" s="70" t="s">
        <v>1281</v>
      </c>
      <c r="BK284" s="57" t="s">
        <v>1281</v>
      </c>
      <c r="BL284" s="57" t="s">
        <v>1281</v>
      </c>
      <c r="BM284" s="57" t="s">
        <v>1281</v>
      </c>
      <c r="BN284" s="57" t="s">
        <v>1281</v>
      </c>
      <c r="BO284" s="57" t="s">
        <v>1281</v>
      </c>
      <c r="BP284" s="57" t="s">
        <v>1281</v>
      </c>
      <c r="BQ284" s="57" t="s">
        <v>1281</v>
      </c>
      <c r="BR284" s="57" t="s">
        <v>1281</v>
      </c>
      <c r="BS284" s="57" t="s">
        <v>1281</v>
      </c>
      <c r="BT284" s="57" t="s">
        <v>1281</v>
      </c>
      <c r="BU284" s="57" t="s">
        <v>1281</v>
      </c>
      <c r="BV284" s="70">
        <f>E284</f>
        <v>57</v>
      </c>
      <c r="BW284" s="71">
        <f>I284</f>
        <v>88</v>
      </c>
      <c r="BX284" s="72">
        <f>M284</f>
        <v>92</v>
      </c>
      <c r="BY284" s="71">
        <f>Q284</f>
        <v>123</v>
      </c>
      <c r="BZ284" s="72">
        <f>U284</f>
        <v>127</v>
      </c>
      <c r="CA284" s="71" t="str">
        <f>Y284</f>
        <v>-</v>
      </c>
      <c r="CB284" s="72">
        <f>AC284</f>
        <v>170</v>
      </c>
      <c r="CC284" s="71">
        <f>AG284</f>
        <v>210</v>
      </c>
      <c r="CD284" s="72">
        <f>AK284</f>
        <v>218</v>
      </c>
      <c r="CE284" s="71">
        <f>AO284</f>
        <v>267</v>
      </c>
      <c r="CF284" s="72">
        <f>AS284</f>
        <v>308</v>
      </c>
      <c r="CG284" s="71">
        <f>AW284</f>
        <v>334</v>
      </c>
      <c r="CH284" s="70">
        <f>G284</f>
        <v>87</v>
      </c>
      <c r="CI284" s="71">
        <f>K284</f>
        <v>91</v>
      </c>
      <c r="CJ284" s="72">
        <f>O284</f>
        <v>122</v>
      </c>
      <c r="CK284" s="72">
        <f>S284</f>
        <v>126</v>
      </c>
      <c r="CL284" s="72">
        <f>W284</f>
        <v>162</v>
      </c>
      <c r="CM284" s="72" t="str">
        <f>AA284</f>
        <v>-</v>
      </c>
      <c r="CN284" s="72">
        <f>AE284</f>
        <v>197</v>
      </c>
      <c r="CO284" s="72">
        <f>AI284</f>
        <v>212</v>
      </c>
      <c r="CP284" s="72">
        <f>AM284</f>
        <v>256</v>
      </c>
      <c r="CQ284" s="72">
        <f>AQ284</f>
        <v>300</v>
      </c>
      <c r="CR284" s="72">
        <f>AU284</f>
        <v>333</v>
      </c>
      <c r="CS284" s="72">
        <f>AY284</f>
        <v>346</v>
      </c>
      <c r="CT284" s="23">
        <f>M284-K284</f>
        <v>1</v>
      </c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  <c r="UX284" s="1"/>
      <c r="UY284" s="1"/>
      <c r="UZ284" s="1"/>
      <c r="VA284" s="1"/>
      <c r="VB284" s="1"/>
      <c r="VC284" s="1"/>
      <c r="VD284" s="1"/>
      <c r="VE284" s="1"/>
      <c r="VF284" s="1"/>
      <c r="VG284" s="1"/>
      <c r="VH284" s="1"/>
      <c r="VI284" s="1"/>
      <c r="VJ284" s="1"/>
      <c r="VK284" s="1"/>
      <c r="VL284" s="1"/>
      <c r="VM284" s="1"/>
      <c r="VN284" s="1"/>
      <c r="VO284" s="1"/>
      <c r="VP284" s="1"/>
      <c r="VQ284" s="1"/>
      <c r="VR284" s="1"/>
      <c r="VS284" s="1"/>
      <c r="VT284" s="1"/>
      <c r="VU284" s="1"/>
      <c r="VV284" s="1"/>
      <c r="VW284" s="1"/>
      <c r="VX284" s="1"/>
      <c r="VY284" s="1"/>
      <c r="VZ284" s="1"/>
      <c r="WA284" s="1"/>
      <c r="WB284" s="1"/>
      <c r="WC284" s="1"/>
      <c r="WD284" s="1"/>
      <c r="WE284" s="1"/>
      <c r="WF284" s="1"/>
      <c r="WG284" s="1"/>
      <c r="WH284" s="1"/>
      <c r="WI284" s="1"/>
      <c r="WJ284" s="1"/>
      <c r="WK284" s="1"/>
      <c r="WL284" s="1"/>
      <c r="WM284" s="1"/>
      <c r="WN284" s="1"/>
      <c r="WO284" s="1"/>
      <c r="WP284" s="1"/>
      <c r="WQ284" s="1"/>
      <c r="WR284" s="1"/>
      <c r="WS284" s="1"/>
      <c r="WT284" s="1"/>
      <c r="WU284" s="1"/>
      <c r="WV284" s="1"/>
      <c r="WW284" s="1"/>
      <c r="WX284" s="1"/>
      <c r="WY284" s="1"/>
      <c r="WZ284" s="1"/>
      <c r="XA284" s="1"/>
      <c r="XB284" s="1"/>
      <c r="XC284" s="1"/>
      <c r="XD284" s="1"/>
      <c r="XE284" s="1"/>
      <c r="XF284" s="1"/>
      <c r="XG284" s="1"/>
      <c r="XH284" s="1"/>
      <c r="XI284" s="1"/>
      <c r="XJ284" s="1"/>
      <c r="XK284" s="1"/>
      <c r="XL284" s="1"/>
      <c r="XM284" s="1"/>
      <c r="XN284" s="1"/>
      <c r="XO284" s="1"/>
      <c r="XP284" s="1"/>
      <c r="XQ284" s="1"/>
      <c r="XR284" s="1"/>
      <c r="XS284" s="1"/>
      <c r="XT284" s="1"/>
      <c r="XU284" s="1"/>
      <c r="XV284" s="1"/>
      <c r="XW284" s="1"/>
      <c r="XX284" s="1"/>
      <c r="XY284" s="1"/>
      <c r="XZ284" s="1"/>
      <c r="YA284" s="1"/>
      <c r="YB284" s="1"/>
      <c r="YC284" s="1"/>
      <c r="YD284" s="1"/>
      <c r="YE284" s="1"/>
      <c r="YF284" s="1"/>
      <c r="YG284" s="1"/>
      <c r="YH284" s="1"/>
      <c r="YI284" s="1"/>
      <c r="YJ284" s="1"/>
      <c r="YK284" s="1"/>
      <c r="YL284" s="1"/>
      <c r="YM284" s="1"/>
      <c r="YN284" s="1"/>
      <c r="YO284" s="1"/>
      <c r="YP284" s="1"/>
      <c r="YQ284" s="1"/>
      <c r="YR284" s="1"/>
      <c r="YS284" s="1"/>
      <c r="YT284" s="1"/>
      <c r="YU284" s="1"/>
      <c r="YV284" s="1"/>
      <c r="YW284" s="1"/>
      <c r="YX284" s="1"/>
      <c r="YY284" s="1"/>
      <c r="YZ284" s="1"/>
      <c r="ZA284" s="1"/>
      <c r="ZB284" s="1"/>
      <c r="ZC284" s="1"/>
      <c r="ZD284" s="1"/>
      <c r="ZE284" s="1"/>
      <c r="ZF284" s="1"/>
      <c r="ZG284" s="1"/>
      <c r="ZH284" s="1"/>
      <c r="ZI284" s="1"/>
      <c r="ZJ284" s="1"/>
      <c r="ZK284" s="1"/>
      <c r="ZL284" s="1"/>
      <c r="ZM284" s="1"/>
      <c r="ZN284" s="1"/>
      <c r="ZO284" s="1"/>
      <c r="ZP284" s="1"/>
      <c r="ZQ284" s="1"/>
      <c r="ZR284" s="1"/>
      <c r="ZS284" s="1"/>
      <c r="ZT284" s="1"/>
      <c r="ZU284" s="1"/>
      <c r="ZV284" s="1"/>
      <c r="ZW284" s="1"/>
      <c r="ZX284" s="1"/>
      <c r="ZY284" s="1"/>
      <c r="ZZ284" s="1"/>
      <c r="AAA284" s="1"/>
      <c r="AAB284" s="1"/>
      <c r="AAC284" s="1"/>
      <c r="AAD284" s="1"/>
      <c r="AAE284" s="1"/>
      <c r="AAF284" s="1"/>
      <c r="AAG284" s="1"/>
      <c r="AAH284" s="1"/>
      <c r="AAI284" s="1"/>
      <c r="AAJ284" s="1"/>
      <c r="AAK284" s="1"/>
      <c r="AAL284" s="1"/>
      <c r="AAM284" s="1"/>
      <c r="AAN284" s="1"/>
      <c r="AAO284" s="1"/>
      <c r="AAP284" s="1"/>
      <c r="AAQ284" s="1"/>
      <c r="AAR284" s="1"/>
      <c r="AAS284" s="1"/>
      <c r="AAT284" s="1"/>
      <c r="AAU284" s="1"/>
      <c r="AAV284" s="1"/>
      <c r="AAW284" s="1"/>
      <c r="AAX284" s="1"/>
      <c r="AAY284" s="1"/>
      <c r="AAZ284" s="1"/>
      <c r="ABA284" s="1"/>
      <c r="ABB284" s="1"/>
      <c r="ABC284" s="1"/>
      <c r="ABD284" s="1"/>
      <c r="ABE284" s="1"/>
      <c r="ABF284" s="1"/>
      <c r="ABG284" s="1"/>
      <c r="ABH284" s="1"/>
      <c r="ABI284" s="1"/>
      <c r="ABJ284" s="1"/>
      <c r="ABK284" s="1"/>
      <c r="ABL284" s="1"/>
      <c r="ABM284" s="1"/>
      <c r="ABN284" s="1"/>
      <c r="ABO284" s="1"/>
      <c r="ABP284" s="1"/>
      <c r="ABQ284" s="1"/>
      <c r="ABR284" s="1"/>
      <c r="ABS284" s="1"/>
      <c r="ABT284" s="1"/>
      <c r="ABU284" s="1"/>
      <c r="ABV284" s="1"/>
      <c r="ABW284" s="1"/>
      <c r="ABX284" s="1"/>
      <c r="ABY284" s="1"/>
      <c r="ABZ284" s="1"/>
      <c r="ACA284" s="1"/>
      <c r="ACB284" s="1"/>
      <c r="ACC284" s="1"/>
      <c r="ACD284" s="1"/>
      <c r="ACE284" s="1"/>
      <c r="ACF284" s="1"/>
      <c r="ACG284" s="1"/>
      <c r="ACH284" s="1"/>
      <c r="ACI284" s="1"/>
      <c r="ACJ284" s="1"/>
      <c r="ACK284" s="1"/>
      <c r="ACL284" s="1"/>
      <c r="ACM284" s="1"/>
      <c r="ACN284" s="1"/>
      <c r="ACO284" s="1"/>
      <c r="ACP284" s="1"/>
      <c r="ACQ284" s="1"/>
      <c r="ACR284" s="1"/>
      <c r="ACS284" s="1"/>
      <c r="ACT284" s="1"/>
      <c r="ACU284" s="1"/>
      <c r="ACV284" s="1"/>
      <c r="ACW284" s="1"/>
      <c r="ACX284" s="1"/>
      <c r="ACY284" s="1"/>
      <c r="ACZ284" s="1"/>
      <c r="ADA284" s="1"/>
      <c r="ADB284" s="1"/>
      <c r="ADC284" s="1"/>
      <c r="ADD284" s="1"/>
      <c r="ADE284" s="1"/>
      <c r="ADF284" s="1"/>
      <c r="ADG284" s="1"/>
      <c r="ADH284" s="1"/>
      <c r="ADI284" s="1"/>
      <c r="ADJ284" s="1"/>
      <c r="ADK284" s="1"/>
      <c r="ADL284" s="1"/>
      <c r="ADM284" s="1"/>
      <c r="ADN284" s="1"/>
      <c r="ADO284" s="1"/>
      <c r="ADP284" s="1"/>
      <c r="ADQ284" s="1"/>
      <c r="ADR284" s="1"/>
      <c r="ADS284" s="1"/>
      <c r="ADT284" s="1"/>
      <c r="ADU284" s="1"/>
      <c r="ADV284" s="1"/>
      <c r="ADW284" s="1"/>
      <c r="ADX284" s="1"/>
      <c r="ADY284" s="1"/>
      <c r="ADZ284" s="1"/>
      <c r="AEA284" s="1"/>
      <c r="AEB284" s="1"/>
      <c r="AEC284" s="1"/>
      <c r="AED284" s="1"/>
      <c r="AEE284" s="1"/>
      <c r="AEF284" s="1"/>
      <c r="AEG284" s="1"/>
      <c r="AEH284" s="1"/>
      <c r="AEI284" s="1"/>
      <c r="AEJ284" s="1"/>
      <c r="AEK284" s="1"/>
      <c r="AEL284" s="1"/>
      <c r="AEM284" s="1"/>
      <c r="AEN284" s="1"/>
      <c r="AEO284" s="1"/>
      <c r="AEP284" s="1"/>
      <c r="AEQ284" s="1"/>
      <c r="AER284" s="1"/>
      <c r="AES284" s="1"/>
      <c r="AET284" s="1"/>
      <c r="AEU284" s="1"/>
      <c r="AEV284" s="1"/>
      <c r="AEW284" s="1"/>
      <c r="AEX284" s="1"/>
      <c r="AEY284" s="1"/>
      <c r="AEZ284" s="1"/>
      <c r="AFA284" s="1"/>
      <c r="AFB284" s="1"/>
      <c r="AFC284" s="1"/>
      <c r="AFD284" s="1"/>
      <c r="AFE284" s="1"/>
      <c r="AFF284" s="1"/>
      <c r="AFG284" s="1"/>
      <c r="AFH284" s="1"/>
      <c r="AFI284" s="1"/>
      <c r="AFJ284" s="1"/>
      <c r="AFK284" s="1"/>
      <c r="AFL284" s="1"/>
      <c r="AFM284" s="1"/>
      <c r="AFN284" s="1"/>
      <c r="AFO284" s="1"/>
      <c r="AFP284" s="1"/>
      <c r="AFQ284" s="1"/>
      <c r="AFR284" s="1"/>
      <c r="AFS284" s="1"/>
      <c r="AFT284" s="1"/>
      <c r="AFU284" s="1"/>
      <c r="AFV284" s="1"/>
      <c r="AFW284" s="1"/>
      <c r="AFX284" s="1"/>
      <c r="AFY284" s="1"/>
      <c r="AFZ284" s="1"/>
      <c r="AGA284" s="1"/>
      <c r="AGB284" s="1"/>
      <c r="AGC284" s="1"/>
      <c r="AGD284" s="1"/>
      <c r="AGE284" s="1"/>
      <c r="AGF284" s="1"/>
      <c r="AGG284" s="1"/>
      <c r="AGH284" s="1"/>
      <c r="AGI284" s="1"/>
      <c r="AGJ284" s="1"/>
      <c r="AGK284" s="1"/>
      <c r="AGL284" s="1"/>
      <c r="AGM284" s="1"/>
      <c r="AGN284" s="1"/>
      <c r="AGO284" s="1"/>
      <c r="AGP284" s="1"/>
      <c r="AGQ284" s="1"/>
      <c r="AGR284" s="1"/>
      <c r="AGS284" s="1"/>
      <c r="AGT284" s="1"/>
      <c r="AGU284" s="1"/>
      <c r="AGV284" s="1"/>
      <c r="AGW284" s="1"/>
      <c r="AGX284" s="1"/>
      <c r="AGY284" s="1"/>
      <c r="AGZ284" s="1"/>
      <c r="AHA284" s="1"/>
      <c r="AHB284" s="1"/>
      <c r="AHC284" s="1"/>
      <c r="AHD284" s="1"/>
      <c r="AHE284" s="1"/>
      <c r="AHF284" s="1"/>
      <c r="AHG284" s="1"/>
      <c r="AHH284" s="1"/>
      <c r="AHI284" s="1"/>
      <c r="AHJ284" s="1"/>
      <c r="AHK284" s="1"/>
      <c r="AHL284" s="1"/>
      <c r="AHM284" s="1"/>
      <c r="AHN284" s="1"/>
      <c r="AHO284" s="1"/>
      <c r="AHP284" s="1"/>
      <c r="AHQ284" s="1"/>
      <c r="AHR284" s="1"/>
      <c r="AHS284" s="1"/>
      <c r="AHT284" s="1"/>
      <c r="AHU284" s="1"/>
      <c r="AHV284" s="1"/>
      <c r="AHW284" s="1"/>
      <c r="AHX284" s="1"/>
      <c r="AHY284" s="1"/>
      <c r="AHZ284" s="1"/>
      <c r="AIA284" s="1"/>
      <c r="AIB284" s="1"/>
      <c r="AIC284" s="1"/>
      <c r="AID284" s="1"/>
      <c r="AIE284" s="1"/>
      <c r="AIF284" s="1"/>
      <c r="AIG284" s="1"/>
      <c r="AIH284" s="1"/>
      <c r="AII284" s="1"/>
      <c r="AIJ284" s="1"/>
      <c r="AIK284" s="1"/>
      <c r="AIL284" s="1"/>
      <c r="AIM284" s="1"/>
      <c r="AIN284" s="1"/>
      <c r="AIO284" s="1"/>
      <c r="AIP284" s="1"/>
      <c r="AIQ284" s="1"/>
      <c r="AIR284" s="1"/>
      <c r="AIS284" s="1"/>
      <c r="AIT284" s="1"/>
      <c r="AIU284" s="1"/>
      <c r="AIV284" s="1"/>
      <c r="AIW284" s="1"/>
      <c r="AIX284" s="1"/>
      <c r="AIY284" s="1"/>
      <c r="AIZ284" s="1"/>
      <c r="AJA284" s="1"/>
      <c r="AJB284" s="1"/>
      <c r="AJC284" s="1"/>
      <c r="AJD284" s="1"/>
      <c r="AJE284" s="1"/>
      <c r="AJF284" s="1"/>
      <c r="AJG284" s="1"/>
      <c r="AJH284" s="1"/>
      <c r="AJI284" s="1"/>
      <c r="AJJ284" s="1"/>
      <c r="AJK284" s="1"/>
      <c r="AJL284" s="1"/>
      <c r="AJM284" s="1"/>
      <c r="AJN284" s="1"/>
      <c r="AJO284" s="1"/>
      <c r="AJP284" s="1"/>
      <c r="AJQ284" s="1"/>
      <c r="AJR284" s="1"/>
      <c r="AJS284" s="1"/>
      <c r="AJT284" s="1"/>
      <c r="AJU284" s="1"/>
      <c r="AJV284" s="1"/>
      <c r="AJW284" s="1"/>
      <c r="AJX284" s="1"/>
      <c r="AJY284" s="1"/>
      <c r="AJZ284" s="1"/>
      <c r="AKA284" s="1"/>
      <c r="AKB284" s="1"/>
      <c r="AKC284" s="1"/>
      <c r="AKD284" s="1"/>
      <c r="AKE284" s="1"/>
      <c r="AKF284" s="1"/>
      <c r="AKG284" s="1"/>
      <c r="AKH284" s="1"/>
      <c r="AKI284" s="1"/>
      <c r="AKJ284" s="1"/>
      <c r="AKK284" s="1"/>
      <c r="AKL284" s="1"/>
      <c r="AKM284" s="1"/>
      <c r="AKN284" s="1"/>
      <c r="AKO284" s="1"/>
      <c r="AKP284" s="1"/>
      <c r="AKQ284" s="1"/>
      <c r="AKR284" s="1"/>
      <c r="AKS284" s="1"/>
      <c r="AKT284" s="1"/>
      <c r="AKU284" s="1"/>
      <c r="AKV284" s="1"/>
      <c r="AKW284" s="1"/>
      <c r="AKX284" s="1"/>
      <c r="AKY284" s="1"/>
      <c r="AKZ284" s="1"/>
      <c r="ALA284" s="1"/>
      <c r="ALB284" s="1"/>
      <c r="ALC284" s="1"/>
      <c r="ALD284" s="1"/>
      <c r="ALE284" s="1"/>
      <c r="ALF284" s="1"/>
      <c r="ALG284" s="1"/>
      <c r="ALH284" s="1"/>
      <c r="ALI284" s="1"/>
      <c r="ALJ284" s="1"/>
      <c r="ALK284" s="1"/>
      <c r="ALL284" s="1"/>
      <c r="ALM284" s="1"/>
      <c r="ALN284" s="1"/>
      <c r="ALO284" s="1"/>
      <c r="ALP284" s="1"/>
      <c r="ALQ284" s="1"/>
      <c r="ALR284" s="1"/>
      <c r="ALS284" s="1"/>
      <c r="ALT284" s="1"/>
      <c r="ALU284" s="1"/>
      <c r="ALV284" s="1"/>
      <c r="ALW284" s="1"/>
      <c r="ALX284" s="1"/>
      <c r="ALY284" s="1"/>
      <c r="ALZ284" s="1"/>
      <c r="AMA284" s="1"/>
      <c r="AMB284" s="1"/>
      <c r="AMC284" s="1"/>
      <c r="AMD284" s="1"/>
      <c r="AME284" s="1"/>
      <c r="AMF284" s="1"/>
      <c r="AMG284" s="1"/>
      <c r="AMH284" s="1"/>
      <c r="AMI284" s="1"/>
      <c r="AMJ284" s="1"/>
      <c r="AMK284" s="1"/>
      <c r="AML284" s="1"/>
      <c r="AMM284" s="1"/>
      <c r="AMN284" s="1"/>
      <c r="AMO284" s="1"/>
    </row>
    <row r="285" spans="1:1030" x14ac:dyDescent="0.2">
      <c r="A285" s="3" t="str">
        <f>CONCATENATE(B285,"_",C285)</f>
        <v>oprk_human_6B73</v>
      </c>
      <c r="B285" s="3" t="s">
        <v>335</v>
      </c>
      <c r="C285" s="3" t="s">
        <v>1457</v>
      </c>
      <c r="D285" s="3" t="str">
        <f>IFERROR(MID(VLOOKUP($B285,Seqs!$A:$B,2,0),E285,1),"")</f>
        <v>A</v>
      </c>
      <c r="E285" s="3">
        <v>57</v>
      </c>
      <c r="F285" s="3" t="str">
        <f>IFERROR(MID(VLOOKUP($B285,Seqs!$A:$B,2,0),G285,1),"")</f>
        <v>Y</v>
      </c>
      <c r="G285" s="3">
        <v>87</v>
      </c>
      <c r="H285" s="3" t="str">
        <f>IFERROR(MID(VLOOKUP($B285,Seqs!$A:$B,2,0),I285,1),"")</f>
        <v/>
      </c>
      <c r="I285" s="23" t="s">
        <v>23</v>
      </c>
      <c r="J285" s="3" t="str">
        <f>IFERROR(MID(VLOOKUP($B285,Seqs!$A:$B,2,0),K285,1),"")</f>
        <v/>
      </c>
      <c r="K285" s="23" t="s">
        <v>23</v>
      </c>
      <c r="L285" s="3" t="str">
        <f>IFERROR(MID(VLOOKUP($B285,Seqs!$A:$B,2,0),M285,1),"")</f>
        <v>T</v>
      </c>
      <c r="M285" s="3">
        <v>92</v>
      </c>
      <c r="N285" s="3" t="str">
        <f>IFERROR(MID(VLOOKUP($B285,Seqs!$A:$B,2,0),O285,1),"")</f>
        <v>N</v>
      </c>
      <c r="O285" s="3">
        <v>122</v>
      </c>
      <c r="P285" s="3" t="str">
        <f>IFERROR(MID(VLOOKUP($B285,Seqs!$A:$B,2,0),Q285,1),"")</f>
        <v>S</v>
      </c>
      <c r="Q285" s="3">
        <v>123</v>
      </c>
      <c r="R285" s="3" t="str">
        <f>IFERROR(MID(VLOOKUP($B285,Seqs!$A:$B,2,0),S285,1),"")</f>
        <v>F</v>
      </c>
      <c r="S285" s="3">
        <v>126</v>
      </c>
      <c r="T285" s="3" t="str">
        <f>IFERROR(MID(VLOOKUP($B285,Seqs!$A:$B,2,0),U285,1),"")</f>
        <v>G</v>
      </c>
      <c r="U285" s="3">
        <v>127</v>
      </c>
      <c r="V285" s="3" t="str">
        <f>IFERROR(MID(VLOOKUP($B285,Seqs!$A:$B,2,0),W285,1),"")</f>
        <v>H</v>
      </c>
      <c r="W285" s="3">
        <v>162</v>
      </c>
      <c r="X285" s="3" t="str">
        <f>IFERROR(MID(VLOOKUP($B285,Seqs!$A:$B,2,0),Y285,1),"")</f>
        <v>P</v>
      </c>
      <c r="Y285" s="3">
        <v>163</v>
      </c>
      <c r="Z285" s="3" t="str">
        <f>IFERROR(MID(VLOOKUP($B285,Seqs!$A:$B,2,0),AA285,1),"")</f>
        <v>R</v>
      </c>
      <c r="AA285" s="3">
        <v>170</v>
      </c>
      <c r="AB285" s="3" t="str">
        <f>IFERROR(MID(VLOOKUP($B285,Seqs!$A:$B,2,0),AC285,1),"")</f>
        <v>T</v>
      </c>
      <c r="AC285" s="3">
        <v>171</v>
      </c>
      <c r="AD285" s="3" t="str">
        <f>IFERROR(MID(VLOOKUP($B285,Seqs!$A:$B,2,0),AE285,1),"")</f>
        <v>G</v>
      </c>
      <c r="AE285" s="3">
        <v>197</v>
      </c>
      <c r="AF285" s="3" t="str">
        <f>IFERROR(MID(VLOOKUP($B285,Seqs!$A:$B,2,0),AG285,1),"")</f>
        <v>C</v>
      </c>
      <c r="AG285" s="3">
        <v>210</v>
      </c>
      <c r="AH285" s="3" t="str">
        <f>IFERROR(MID(VLOOKUP($B285,Seqs!$A:$B,2,0),AI285,1),"")</f>
        <v>L</v>
      </c>
      <c r="AI285" s="3">
        <v>212</v>
      </c>
      <c r="AJ285" s="3" t="str">
        <f>IFERROR(MID(VLOOKUP($B285,Seqs!$A:$B,2,0),AK285,1),"")</f>
        <v>W</v>
      </c>
      <c r="AK285" s="3">
        <v>221</v>
      </c>
      <c r="AL285" s="3" t="str">
        <f>IFERROR(MID(VLOOKUP($B285,Seqs!$A:$B,2,0),AM285,1),"")</f>
        <v>S</v>
      </c>
      <c r="AM285" s="3">
        <v>255</v>
      </c>
      <c r="AN285" s="3" t="str">
        <f>IFERROR(MID(VLOOKUP($B285,Seqs!$A:$B,2,0),AO285,1),"")</f>
        <v>S</v>
      </c>
      <c r="AO285" s="3">
        <v>262</v>
      </c>
      <c r="AP285" s="3" t="str">
        <f>IFERROR(MID(VLOOKUP($B285,Seqs!$A:$B,2,0),AQ285,1),"")</f>
        <v>G</v>
      </c>
      <c r="AQ285" s="3">
        <v>300</v>
      </c>
      <c r="AR285" s="3" t="str">
        <f>IFERROR(MID(VLOOKUP($B285,Seqs!$A:$B,2,0),AS285,1),"")</f>
        <v>S</v>
      </c>
      <c r="AS285" s="3">
        <v>305</v>
      </c>
      <c r="AT285" s="3" t="str">
        <f>IFERROR(MID(VLOOKUP($B285,Seqs!$A:$B,2,0),AU285,1),"")</f>
        <v>I</v>
      </c>
      <c r="AU285" s="3">
        <v>328</v>
      </c>
      <c r="AV285" s="3" t="str">
        <f>IFERROR(MID(VLOOKUP($B285,Seqs!$A:$B,2,0),AW285,1),"")</f>
        <v/>
      </c>
      <c r="AW285" s="3" t="s">
        <v>23</v>
      </c>
      <c r="AX285" s="3" t="str">
        <f>IFERROR(MID(VLOOKUP($B285,Seqs!$A:$B,2,0),AY285,1),"")</f>
        <v/>
      </c>
      <c r="AY285" s="3" t="s">
        <v>23</v>
      </c>
      <c r="AZ285" s="77" t="str">
        <f>VLOOKUP(B285,Classification!A:D,2,0)</f>
        <v>A</v>
      </c>
      <c r="BA285" s="94" t="str">
        <f>VLOOKUP(B285,Classification!A:D,4,0)</f>
        <v>Opioid</v>
      </c>
      <c r="BB285" s="27" t="b">
        <f>AND(E285&lt;G285,OR(G285&lt;I285,I285="-"),OR(I285&lt;K285,I285="-"),OR(K285&lt;M285,K285="-"),M285&lt;O285,OR(O285&lt;Q285,Q285="-"),OR(Q285&lt;S285,Q285="-"),OR(S285&lt;U285,S285="-"),U285&lt;W285,OR(W285&lt;Y285,Y285="-"),OR(Y285&lt;AA285,Y285="-"),OR(AA285&lt;AC285,AA285="-"),AC285&lt;AE285,OR(AE285&lt;AG285,AG285="-"),OR(AG285&lt;AI285,AG285="-"),OR(AI285&lt;AK285,AI285="-"),AK285&lt;AM285,AM285&lt;AO285,AO285&lt;AQ285,AQ285&lt;AS285,AS285&lt;AU285,OR(AU285&lt;AW285,AW285="-"),OR(AW285&lt;AY285,AW285="-"))</f>
        <v>1</v>
      </c>
      <c r="BC285" s="23">
        <f>_xlfn.AGGREGATE(9,6,CH285:CS285)-_xlfn.AGGREGATE(9,6,BV285:CG285)+12</f>
        <v>240</v>
      </c>
      <c r="BD285" s="2" t="s">
        <v>1369</v>
      </c>
      <c r="BE285" s="3" t="s">
        <v>1285</v>
      </c>
      <c r="BF285" s="118">
        <v>3.1</v>
      </c>
      <c r="BG285" s="49" t="s">
        <v>1</v>
      </c>
      <c r="BH285" s="49" t="s">
        <v>1</v>
      </c>
      <c r="BI285" s="1"/>
      <c r="BJ285" s="70" t="s">
        <v>1281</v>
      </c>
      <c r="BK285" s="57" t="s">
        <v>1281</v>
      </c>
      <c r="BL285" s="57" t="s">
        <v>1281</v>
      </c>
      <c r="BM285" s="57" t="s">
        <v>1281</v>
      </c>
      <c r="BN285" s="57" t="s">
        <v>1281</v>
      </c>
      <c r="BO285" s="57" t="s">
        <v>1281</v>
      </c>
      <c r="BP285" s="57" t="s">
        <v>1281</v>
      </c>
      <c r="BQ285" s="57" t="s">
        <v>1281</v>
      </c>
      <c r="BR285" s="57" t="s">
        <v>1281</v>
      </c>
      <c r="BS285" s="57" t="s">
        <v>1281</v>
      </c>
      <c r="BT285" s="57" t="s">
        <v>1281</v>
      </c>
      <c r="BU285" s="57" t="s">
        <v>1281</v>
      </c>
      <c r="BV285" s="70">
        <f>E285</f>
        <v>57</v>
      </c>
      <c r="BW285" s="71" t="str">
        <f>I285</f>
        <v>-</v>
      </c>
      <c r="BX285" s="72">
        <f>M285</f>
        <v>92</v>
      </c>
      <c r="BY285" s="71">
        <f>Q285</f>
        <v>123</v>
      </c>
      <c r="BZ285" s="72">
        <f>U285</f>
        <v>127</v>
      </c>
      <c r="CA285" s="71">
        <f>Y285</f>
        <v>163</v>
      </c>
      <c r="CB285" s="72">
        <f>AC285</f>
        <v>171</v>
      </c>
      <c r="CC285" s="71">
        <f>AG285</f>
        <v>210</v>
      </c>
      <c r="CD285" s="72">
        <f>AK285</f>
        <v>221</v>
      </c>
      <c r="CE285" s="71">
        <f>AO285</f>
        <v>262</v>
      </c>
      <c r="CF285" s="72">
        <f>AS285</f>
        <v>305</v>
      </c>
      <c r="CG285" s="71" t="str">
        <f>AW285</f>
        <v>-</v>
      </c>
      <c r="CH285" s="70">
        <f>G285</f>
        <v>87</v>
      </c>
      <c r="CI285" s="71" t="str">
        <f>K285</f>
        <v>-</v>
      </c>
      <c r="CJ285" s="72">
        <f>O285</f>
        <v>122</v>
      </c>
      <c r="CK285" s="72">
        <f>S285</f>
        <v>126</v>
      </c>
      <c r="CL285" s="72">
        <f>W285</f>
        <v>162</v>
      </c>
      <c r="CM285" s="72">
        <f>AA285</f>
        <v>170</v>
      </c>
      <c r="CN285" s="72">
        <f>AE285</f>
        <v>197</v>
      </c>
      <c r="CO285" s="72">
        <f>AI285</f>
        <v>212</v>
      </c>
      <c r="CP285" s="72">
        <f>AM285</f>
        <v>255</v>
      </c>
      <c r="CQ285" s="72">
        <f>AQ285</f>
        <v>300</v>
      </c>
      <c r="CR285" s="72">
        <f>AU285</f>
        <v>328</v>
      </c>
      <c r="CS285" s="72" t="str">
        <f>AY285</f>
        <v>-</v>
      </c>
      <c r="CT285" s="23" t="e">
        <f>M285-K285</f>
        <v>#VALUE!</v>
      </c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  <c r="WP285" s="1"/>
      <c r="WQ285" s="1"/>
      <c r="WR285" s="1"/>
      <c r="WS285" s="1"/>
      <c r="WT285" s="1"/>
      <c r="WU285" s="1"/>
      <c r="WV285" s="1"/>
      <c r="WW285" s="1"/>
      <c r="WX285" s="1"/>
      <c r="WY285" s="1"/>
      <c r="WZ285" s="1"/>
      <c r="XA285" s="1"/>
      <c r="XB285" s="1"/>
      <c r="XC285" s="1"/>
      <c r="XD285" s="1"/>
      <c r="XE285" s="1"/>
      <c r="XF285" s="1"/>
      <c r="XG285" s="1"/>
      <c r="XH285" s="1"/>
      <c r="XI285" s="1"/>
      <c r="XJ285" s="1"/>
      <c r="XK285" s="1"/>
      <c r="XL285" s="1"/>
      <c r="XM285" s="1"/>
      <c r="XN285" s="1"/>
      <c r="XO285" s="1"/>
      <c r="XP285" s="1"/>
      <c r="XQ285" s="1"/>
      <c r="XR285" s="1"/>
      <c r="XS285" s="1"/>
      <c r="XT285" s="1"/>
      <c r="XU285" s="1"/>
      <c r="XV285" s="1"/>
      <c r="XW285" s="1"/>
      <c r="XX285" s="1"/>
      <c r="XY285" s="1"/>
      <c r="XZ285" s="1"/>
      <c r="YA285" s="1"/>
      <c r="YB285" s="1"/>
      <c r="YC285" s="1"/>
      <c r="YD285" s="1"/>
      <c r="YE285" s="1"/>
      <c r="YF285" s="1"/>
      <c r="YG285" s="1"/>
      <c r="YH285" s="1"/>
      <c r="YI285" s="1"/>
      <c r="YJ285" s="1"/>
      <c r="YK285" s="1"/>
      <c r="YL285" s="1"/>
      <c r="YM285" s="1"/>
      <c r="YN285" s="1"/>
      <c r="YO285" s="1"/>
      <c r="YP285" s="1"/>
      <c r="YQ285" s="1"/>
      <c r="YR285" s="1"/>
      <c r="YS285" s="1"/>
      <c r="YT285" s="1"/>
      <c r="YU285" s="1"/>
      <c r="YV285" s="1"/>
      <c r="YW285" s="1"/>
      <c r="YX285" s="1"/>
      <c r="YY285" s="1"/>
      <c r="YZ285" s="1"/>
      <c r="ZA285" s="1"/>
      <c r="ZB285" s="1"/>
      <c r="ZC285" s="1"/>
      <c r="ZD285" s="1"/>
      <c r="ZE285" s="1"/>
      <c r="ZF285" s="1"/>
      <c r="ZG285" s="1"/>
      <c r="ZH285" s="1"/>
      <c r="ZI285" s="1"/>
      <c r="ZJ285" s="1"/>
      <c r="ZK285" s="1"/>
      <c r="ZL285" s="1"/>
      <c r="ZM285" s="1"/>
      <c r="ZN285" s="1"/>
      <c r="ZO285" s="1"/>
      <c r="ZP285" s="1"/>
      <c r="ZQ285" s="1"/>
      <c r="ZR285" s="1"/>
      <c r="ZS285" s="1"/>
      <c r="ZT285" s="1"/>
      <c r="ZU285" s="1"/>
      <c r="ZV285" s="1"/>
      <c r="ZW285" s="1"/>
      <c r="ZX285" s="1"/>
      <c r="ZY285" s="1"/>
      <c r="ZZ285" s="1"/>
      <c r="AAA285" s="1"/>
      <c r="AAB285" s="1"/>
      <c r="AAC285" s="1"/>
      <c r="AAD285" s="1"/>
      <c r="AAE285" s="1"/>
      <c r="AAF285" s="1"/>
      <c r="AAG285" s="1"/>
      <c r="AAH285" s="1"/>
      <c r="AAI285" s="1"/>
      <c r="AAJ285" s="1"/>
      <c r="AAK285" s="1"/>
      <c r="AAL285" s="1"/>
      <c r="AAM285" s="1"/>
      <c r="AAN285" s="1"/>
      <c r="AAO285" s="1"/>
      <c r="AAP285" s="1"/>
      <c r="AAQ285" s="1"/>
      <c r="AAR285" s="1"/>
      <c r="AAS285" s="1"/>
      <c r="AAT285" s="1"/>
      <c r="AAU285" s="1"/>
      <c r="AAV285" s="1"/>
      <c r="AAW285" s="1"/>
      <c r="AAX285" s="1"/>
      <c r="AAY285" s="1"/>
      <c r="AAZ285" s="1"/>
      <c r="ABA285" s="1"/>
      <c r="ABB285" s="1"/>
      <c r="ABC285" s="1"/>
      <c r="ABD285" s="1"/>
      <c r="ABE285" s="1"/>
      <c r="ABF285" s="1"/>
      <c r="ABG285" s="1"/>
      <c r="ABH285" s="1"/>
      <c r="ABI285" s="1"/>
      <c r="ABJ285" s="1"/>
      <c r="ABK285" s="1"/>
      <c r="ABL285" s="1"/>
      <c r="ABM285" s="1"/>
      <c r="ABN285" s="1"/>
      <c r="ABO285" s="1"/>
      <c r="ABP285" s="1"/>
      <c r="ABQ285" s="1"/>
      <c r="ABR285" s="1"/>
      <c r="ABS285" s="1"/>
      <c r="ABT285" s="1"/>
      <c r="ABU285" s="1"/>
      <c r="ABV285" s="1"/>
      <c r="ABW285" s="1"/>
      <c r="ABX285" s="1"/>
      <c r="ABY285" s="1"/>
      <c r="ABZ285" s="1"/>
      <c r="ACA285" s="1"/>
      <c r="ACB285" s="1"/>
      <c r="ACC285" s="1"/>
      <c r="ACD285" s="1"/>
      <c r="ACE285" s="1"/>
      <c r="ACF285" s="1"/>
      <c r="ACG285" s="1"/>
      <c r="ACH285" s="1"/>
      <c r="ACI285" s="1"/>
      <c r="ACJ285" s="1"/>
      <c r="ACK285" s="1"/>
      <c r="ACL285" s="1"/>
      <c r="ACM285" s="1"/>
      <c r="ACN285" s="1"/>
      <c r="ACO285" s="1"/>
      <c r="ACP285" s="1"/>
      <c r="ACQ285" s="1"/>
      <c r="ACR285" s="1"/>
      <c r="ACS285" s="1"/>
      <c r="ACT285" s="1"/>
      <c r="ACU285" s="1"/>
      <c r="ACV285" s="1"/>
      <c r="ACW285" s="1"/>
      <c r="ACX285" s="1"/>
      <c r="ACY285" s="1"/>
      <c r="ACZ285" s="1"/>
      <c r="ADA285" s="1"/>
      <c r="ADB285" s="1"/>
      <c r="ADC285" s="1"/>
      <c r="ADD285" s="1"/>
      <c r="ADE285" s="1"/>
      <c r="ADF285" s="1"/>
      <c r="ADG285" s="1"/>
      <c r="ADH285" s="1"/>
      <c r="ADI285" s="1"/>
      <c r="ADJ285" s="1"/>
      <c r="ADK285" s="1"/>
      <c r="ADL285" s="1"/>
      <c r="ADM285" s="1"/>
      <c r="ADN285" s="1"/>
      <c r="ADO285" s="1"/>
      <c r="ADP285" s="1"/>
      <c r="ADQ285" s="1"/>
      <c r="ADR285" s="1"/>
      <c r="ADS285" s="1"/>
      <c r="ADT285" s="1"/>
      <c r="ADU285" s="1"/>
      <c r="ADV285" s="1"/>
      <c r="ADW285" s="1"/>
      <c r="ADX285" s="1"/>
      <c r="ADY285" s="1"/>
      <c r="ADZ285" s="1"/>
      <c r="AEA285" s="1"/>
      <c r="AEB285" s="1"/>
      <c r="AEC285" s="1"/>
      <c r="AED285" s="1"/>
      <c r="AEE285" s="1"/>
      <c r="AEF285" s="1"/>
      <c r="AEG285" s="1"/>
      <c r="AEH285" s="1"/>
      <c r="AEI285" s="1"/>
      <c r="AEJ285" s="1"/>
      <c r="AEK285" s="1"/>
      <c r="AEL285" s="1"/>
      <c r="AEM285" s="1"/>
      <c r="AEN285" s="1"/>
      <c r="AEO285" s="1"/>
      <c r="AEP285" s="1"/>
      <c r="AEQ285" s="1"/>
      <c r="AER285" s="1"/>
      <c r="AES285" s="1"/>
      <c r="AET285" s="1"/>
      <c r="AEU285" s="1"/>
      <c r="AEV285" s="1"/>
      <c r="AEW285" s="1"/>
      <c r="AEX285" s="1"/>
      <c r="AEY285" s="1"/>
      <c r="AEZ285" s="1"/>
      <c r="AFA285" s="1"/>
      <c r="AFB285" s="1"/>
      <c r="AFC285" s="1"/>
      <c r="AFD285" s="1"/>
      <c r="AFE285" s="1"/>
      <c r="AFF285" s="1"/>
      <c r="AFG285" s="1"/>
      <c r="AFH285" s="1"/>
      <c r="AFI285" s="1"/>
      <c r="AFJ285" s="1"/>
      <c r="AFK285" s="1"/>
      <c r="AFL285" s="1"/>
      <c r="AFM285" s="1"/>
      <c r="AFN285" s="1"/>
      <c r="AFO285" s="1"/>
      <c r="AFP285" s="1"/>
      <c r="AFQ285" s="1"/>
      <c r="AFR285" s="1"/>
      <c r="AFS285" s="1"/>
      <c r="AFT285" s="1"/>
      <c r="AFU285" s="1"/>
      <c r="AFV285" s="1"/>
      <c r="AFW285" s="1"/>
      <c r="AFX285" s="1"/>
      <c r="AFY285" s="1"/>
      <c r="AFZ285" s="1"/>
      <c r="AGA285" s="1"/>
      <c r="AGB285" s="1"/>
      <c r="AGC285" s="1"/>
      <c r="AGD285" s="1"/>
      <c r="AGE285" s="1"/>
      <c r="AGF285" s="1"/>
      <c r="AGG285" s="1"/>
      <c r="AGH285" s="1"/>
      <c r="AGI285" s="1"/>
      <c r="AGJ285" s="1"/>
      <c r="AGK285" s="1"/>
      <c r="AGL285" s="1"/>
      <c r="AGM285" s="1"/>
      <c r="AGN285" s="1"/>
      <c r="AGO285" s="1"/>
      <c r="AGP285" s="1"/>
      <c r="AGQ285" s="1"/>
      <c r="AGR285" s="1"/>
      <c r="AGS285" s="1"/>
      <c r="AGT285" s="1"/>
      <c r="AGU285" s="1"/>
      <c r="AGV285" s="1"/>
      <c r="AGW285" s="1"/>
      <c r="AGX285" s="1"/>
      <c r="AGY285" s="1"/>
      <c r="AGZ285" s="1"/>
      <c r="AHA285" s="1"/>
      <c r="AHB285" s="1"/>
      <c r="AHC285" s="1"/>
      <c r="AHD285" s="1"/>
      <c r="AHE285" s="1"/>
      <c r="AHF285" s="1"/>
      <c r="AHG285" s="1"/>
      <c r="AHH285" s="1"/>
      <c r="AHI285" s="1"/>
      <c r="AHJ285" s="1"/>
      <c r="AHK285" s="1"/>
      <c r="AHL285" s="1"/>
      <c r="AHM285" s="1"/>
      <c r="AHN285" s="1"/>
      <c r="AHO285" s="1"/>
      <c r="AHP285" s="1"/>
      <c r="AHQ285" s="1"/>
      <c r="AHR285" s="1"/>
      <c r="AHS285" s="1"/>
      <c r="AHT285" s="1"/>
      <c r="AHU285" s="1"/>
      <c r="AHV285" s="1"/>
      <c r="AHW285" s="1"/>
      <c r="AHX285" s="1"/>
      <c r="AHY285" s="1"/>
      <c r="AHZ285" s="1"/>
      <c r="AIA285" s="1"/>
      <c r="AIB285" s="1"/>
      <c r="AIC285" s="1"/>
      <c r="AID285" s="1"/>
      <c r="AIE285" s="1"/>
      <c r="AIF285" s="1"/>
      <c r="AIG285" s="1"/>
      <c r="AIH285" s="1"/>
      <c r="AII285" s="1"/>
      <c r="AIJ285" s="1"/>
      <c r="AIK285" s="1"/>
      <c r="AIL285" s="1"/>
      <c r="AIM285" s="1"/>
      <c r="AIN285" s="1"/>
      <c r="AIO285" s="1"/>
      <c r="AIP285" s="1"/>
      <c r="AIQ285" s="1"/>
      <c r="AIR285" s="1"/>
      <c r="AIS285" s="1"/>
      <c r="AIT285" s="1"/>
      <c r="AIU285" s="1"/>
      <c r="AIV285" s="1"/>
      <c r="AIW285" s="1"/>
      <c r="AIX285" s="1"/>
      <c r="AIY285" s="1"/>
      <c r="AIZ285" s="1"/>
      <c r="AJA285" s="1"/>
      <c r="AJB285" s="1"/>
      <c r="AJC285" s="1"/>
      <c r="AJD285" s="1"/>
      <c r="AJE285" s="1"/>
      <c r="AJF285" s="1"/>
      <c r="AJG285" s="1"/>
      <c r="AJH285" s="1"/>
      <c r="AJI285" s="1"/>
      <c r="AJJ285" s="1"/>
      <c r="AJK285" s="1"/>
      <c r="AJL285" s="1"/>
      <c r="AJM285" s="1"/>
      <c r="AJN285" s="1"/>
      <c r="AJO285" s="1"/>
      <c r="AJP285" s="1"/>
      <c r="AJQ285" s="1"/>
      <c r="AJR285" s="1"/>
      <c r="AJS285" s="1"/>
      <c r="AJT285" s="1"/>
      <c r="AJU285" s="1"/>
      <c r="AJV285" s="1"/>
      <c r="AJW285" s="1"/>
      <c r="AJX285" s="1"/>
      <c r="AJY285" s="1"/>
      <c r="AJZ285" s="1"/>
      <c r="AKA285" s="1"/>
      <c r="AKB285" s="1"/>
      <c r="AKC285" s="1"/>
      <c r="AKD285" s="1"/>
      <c r="AKE285" s="1"/>
      <c r="AKF285" s="1"/>
      <c r="AKG285" s="1"/>
      <c r="AKH285" s="1"/>
      <c r="AKI285" s="1"/>
      <c r="AKJ285" s="1"/>
      <c r="AKK285" s="1"/>
      <c r="AKL285" s="1"/>
      <c r="AKM285" s="1"/>
      <c r="AKN285" s="1"/>
      <c r="AKO285" s="1"/>
      <c r="AKP285" s="1"/>
      <c r="AKQ285" s="1"/>
      <c r="AKR285" s="1"/>
      <c r="AKS285" s="1"/>
      <c r="AKT285" s="1"/>
      <c r="AKU285" s="1"/>
      <c r="AKV285" s="1"/>
      <c r="AKW285" s="1"/>
      <c r="AKX285" s="1"/>
      <c r="AKY285" s="1"/>
      <c r="AKZ285" s="1"/>
      <c r="ALA285" s="1"/>
      <c r="ALB285" s="1"/>
      <c r="ALC285" s="1"/>
      <c r="ALD285" s="1"/>
      <c r="ALE285" s="1"/>
      <c r="ALF285" s="1"/>
      <c r="ALG285" s="1"/>
      <c r="ALH285" s="1"/>
      <c r="ALI285" s="1"/>
      <c r="ALJ285" s="1"/>
      <c r="ALK285" s="1"/>
      <c r="ALL285" s="1"/>
      <c r="ALM285" s="1"/>
      <c r="ALN285" s="1"/>
      <c r="ALO285" s="1"/>
      <c r="ALP285" s="1"/>
      <c r="ALQ285" s="1"/>
      <c r="ALR285" s="1"/>
      <c r="ALS285" s="1"/>
      <c r="ALT285" s="1"/>
      <c r="ALU285" s="1"/>
      <c r="ALV285" s="1"/>
      <c r="ALW285" s="1"/>
      <c r="ALX285" s="1"/>
      <c r="ALY285" s="1"/>
      <c r="ALZ285" s="1"/>
      <c r="AMA285" s="1"/>
      <c r="AMB285" s="1"/>
      <c r="AMC285" s="1"/>
      <c r="AMD285" s="1"/>
      <c r="AME285" s="1"/>
      <c r="AMF285" s="1"/>
      <c r="AMG285" s="1"/>
      <c r="AMH285" s="1"/>
      <c r="AMI285" s="1"/>
      <c r="AMJ285" s="1"/>
      <c r="AMK285" s="1"/>
      <c r="AML285" s="1"/>
      <c r="AMM285" s="1"/>
      <c r="AMN285" s="1"/>
      <c r="AMO285" s="1"/>
    </row>
    <row r="286" spans="1:1030" s="12" customFormat="1" x14ac:dyDescent="0.2">
      <c r="A286" s="9" t="str">
        <f>CONCATENATE(B286,"_",C286)</f>
        <v>oprk_human_6VI4</v>
      </c>
      <c r="B286" s="9" t="s">
        <v>335</v>
      </c>
      <c r="C286" s="9" t="s">
        <v>1659</v>
      </c>
      <c r="D286" s="9" t="str">
        <f>IFERROR(MID(VLOOKUP($B286,Seqs!$A:$B,2,0),E286,1),"")</f>
        <v>T</v>
      </c>
      <c r="E286" s="9">
        <v>63</v>
      </c>
      <c r="F286" s="9" t="str">
        <f>IFERROR(MID(VLOOKUP($B286,Seqs!$A:$B,2,0),G286,1),"")</f>
        <v>Y</v>
      </c>
      <c r="G286" s="9">
        <v>87</v>
      </c>
      <c r="H286" s="9" t="str">
        <f>IFERROR(MID(VLOOKUP($B286,Seqs!$A:$B,2,0),I286,1),"")</f>
        <v>T</v>
      </c>
      <c r="I286" s="109">
        <v>88</v>
      </c>
      <c r="J286" s="9" t="str">
        <f>IFERROR(MID(VLOOKUP($B286,Seqs!$A:$B,2,0),K286,1),"")</f>
        <v>K</v>
      </c>
      <c r="K286" s="109">
        <v>91</v>
      </c>
      <c r="L286" s="9" t="str">
        <f>IFERROR(MID(VLOOKUP($B286,Seqs!$A:$B,2,0),M286,1),"")</f>
        <v>T</v>
      </c>
      <c r="M286" s="9">
        <v>92</v>
      </c>
      <c r="N286" s="9" t="str">
        <f>IFERROR(MID(VLOOKUP($B286,Seqs!$A:$B,2,0),O286,1),"")</f>
        <v>N</v>
      </c>
      <c r="O286" s="9">
        <v>122</v>
      </c>
      <c r="P286" s="9" t="str">
        <f>IFERROR(MID(VLOOKUP($B286,Seqs!$A:$B,2,0),Q286,1),"")</f>
        <v>S</v>
      </c>
      <c r="Q286" s="9">
        <v>123</v>
      </c>
      <c r="R286" s="9" t="str">
        <f>IFERROR(MID(VLOOKUP($B286,Seqs!$A:$B,2,0),S286,1),"")</f>
        <v>F</v>
      </c>
      <c r="S286" s="9">
        <v>126</v>
      </c>
      <c r="T286" s="9" t="str">
        <f>IFERROR(MID(VLOOKUP($B286,Seqs!$A:$B,2,0),U286,1),"")</f>
        <v>D</v>
      </c>
      <c r="U286" s="9">
        <v>128</v>
      </c>
      <c r="V286" s="9" t="str">
        <f>IFERROR(MID(VLOOKUP($B286,Seqs!$A:$B,2,0),W286,1),"")</f>
        <v>H</v>
      </c>
      <c r="W286" s="9">
        <v>162</v>
      </c>
      <c r="X286" s="9" t="str">
        <f>IFERROR(MID(VLOOKUP($B286,Seqs!$A:$B,2,0),Y286,1),"")</f>
        <v>P</v>
      </c>
      <c r="Y286" s="9">
        <v>163</v>
      </c>
      <c r="Z286" s="9" t="str">
        <f>IFERROR(MID(VLOOKUP($B286,Seqs!$A:$B,2,0),AA286,1),"")</f>
        <v>R</v>
      </c>
      <c r="AA286" s="9">
        <v>170</v>
      </c>
      <c r="AB286" s="9" t="str">
        <f>IFERROR(MID(VLOOKUP($B286,Seqs!$A:$B,2,0),AC286,1),"")</f>
        <v>T</v>
      </c>
      <c r="AC286" s="9">
        <v>171</v>
      </c>
      <c r="AD286" s="9" t="str">
        <f>IFERROR(MID(VLOOKUP($B286,Seqs!$A:$B,2,0),AE286,1),"")</f>
        <v>G</v>
      </c>
      <c r="AE286" s="9">
        <v>197</v>
      </c>
      <c r="AF286" s="9" t="str">
        <f>IFERROR(MID(VLOOKUP($B286,Seqs!$A:$B,2,0),AG286,1),"")</f>
        <v>C</v>
      </c>
      <c r="AG286" s="9">
        <v>210</v>
      </c>
      <c r="AH286" s="9" t="str">
        <f>IFERROR(MID(VLOOKUP($B286,Seqs!$A:$B,2,0),AI286,1),"")</f>
        <v>L</v>
      </c>
      <c r="AI286" s="9">
        <v>212</v>
      </c>
      <c r="AJ286" s="9" t="str">
        <f>IFERROR(MID(VLOOKUP($B286,Seqs!$A:$B,2,0),AK286,1),"")</f>
        <v>Y</v>
      </c>
      <c r="AK286" s="9">
        <v>219</v>
      </c>
      <c r="AL286" s="9" t="str">
        <f>IFERROR(MID(VLOOKUP($B286,Seqs!$A:$B,2,0),AM286,1),"")</f>
        <v>V</v>
      </c>
      <c r="AM286" s="9">
        <v>256</v>
      </c>
      <c r="AN286" s="9" t="str">
        <f>IFERROR(MID(VLOOKUP($B286,Seqs!$A:$B,2,0),AO286,1),"")</f>
        <v>S</v>
      </c>
      <c r="AO286" s="9">
        <v>262</v>
      </c>
      <c r="AP286" s="9" t="str">
        <f>IFERROR(MID(VLOOKUP($B286,Seqs!$A:$B,2,0),AQ286,1),"")</f>
        <v>L</v>
      </c>
      <c r="AQ286" s="9">
        <v>299</v>
      </c>
      <c r="AR286" s="9" t="str">
        <f>IFERROR(MID(VLOOKUP($B286,Seqs!$A:$B,2,0),AS286,1),"")</f>
        <v>A</v>
      </c>
      <c r="AS286" s="9">
        <v>308</v>
      </c>
      <c r="AT286" s="9" t="str">
        <f>IFERROR(MID(VLOOKUP($B286,Seqs!$A:$B,2,0),AU286,1),"")</f>
        <v>L</v>
      </c>
      <c r="AU286" s="9">
        <v>333</v>
      </c>
      <c r="AV286" s="9" t="str">
        <f>IFERROR(MID(VLOOKUP($B286,Seqs!$A:$B,2,0),AW286,1),"")</f>
        <v>D</v>
      </c>
      <c r="AW286" s="9">
        <v>334</v>
      </c>
      <c r="AX286" s="9" t="str">
        <f>IFERROR(MID(VLOOKUP($B286,Seqs!$A:$B,2,0),AY286,1),"")</f>
        <v>F</v>
      </c>
      <c r="AY286" s="9">
        <v>346</v>
      </c>
      <c r="AZ286" s="110" t="str">
        <f>VLOOKUP(B286,Classification!A:D,2,0)</f>
        <v>A</v>
      </c>
      <c r="BA286" s="98" t="str">
        <f>VLOOKUP(B286,Classification!A:D,4,0)</f>
        <v>Opioid</v>
      </c>
      <c r="BB286" s="36" t="b">
        <f>AND(E286&lt;G286,OR(G286&lt;I286,I286="-"),OR(I286&lt;K286,I286="-"),OR(K286&lt;M286,K286="-"),M286&lt;O286,OR(O286&lt;Q286,Q286="-"),OR(Q286&lt;S286,Q286="-"),OR(S286&lt;U286,S286="-"),U286&lt;W286,OR(W286&lt;Y286,Y286="-"),OR(Y286&lt;AA286,Y286="-"),OR(AA286&lt;AC286,AA286="-"),AC286&lt;AE286,OR(AE286&lt;AG286,AG286="-"),OR(AG286&lt;AI286,AG286="-"),OR(AI286&lt;AK286,AI286="-"),AK286&lt;AM286,AM286&lt;AO286,AO286&lt;AQ286,AQ286&lt;AS286,AS286&lt;AU286,OR(AU286&lt;AW286,AW286="-"),OR(AW286&lt;AY286,AW286="-"))</f>
        <v>1</v>
      </c>
      <c r="BC286" s="109">
        <f>_xlfn.AGGREGATE(9,6,CH286:CS286)-_xlfn.AGGREGATE(9,6,BV286:CG286)+12</f>
        <v>252</v>
      </c>
      <c r="BD286" s="40" t="s">
        <v>1370</v>
      </c>
      <c r="BE286" s="9" t="s">
        <v>1368</v>
      </c>
      <c r="BF286" s="119">
        <v>3.3</v>
      </c>
      <c r="BG286" s="51" t="s">
        <v>1275</v>
      </c>
      <c r="BH286" s="51" t="s">
        <v>1275</v>
      </c>
      <c r="BJ286" s="111" t="s">
        <v>1281</v>
      </c>
      <c r="BK286" s="112" t="s">
        <v>1281</v>
      </c>
      <c r="BL286" s="112" t="s">
        <v>1281</v>
      </c>
      <c r="BM286" s="112" t="s">
        <v>1281</v>
      </c>
      <c r="BN286" s="112" t="s">
        <v>1281</v>
      </c>
      <c r="BO286" s="112" t="s">
        <v>1281</v>
      </c>
      <c r="BP286" s="112" t="s">
        <v>1281</v>
      </c>
      <c r="BQ286" s="112" t="s">
        <v>1281</v>
      </c>
      <c r="BR286" s="112" t="s">
        <v>1281</v>
      </c>
      <c r="BS286" s="112" t="s">
        <v>1281</v>
      </c>
      <c r="BT286" s="112" t="s">
        <v>1281</v>
      </c>
      <c r="BU286" s="112" t="s">
        <v>1281</v>
      </c>
      <c r="BV286" s="111">
        <f>E286</f>
        <v>63</v>
      </c>
      <c r="BW286" s="113">
        <f>I286</f>
        <v>88</v>
      </c>
      <c r="BX286" s="114">
        <f>M286</f>
        <v>92</v>
      </c>
      <c r="BY286" s="113">
        <f>Q286</f>
        <v>123</v>
      </c>
      <c r="BZ286" s="114">
        <f>U286</f>
        <v>128</v>
      </c>
      <c r="CA286" s="113">
        <f>Y286</f>
        <v>163</v>
      </c>
      <c r="CB286" s="114">
        <f>AC286</f>
        <v>171</v>
      </c>
      <c r="CC286" s="113">
        <f>AG286</f>
        <v>210</v>
      </c>
      <c r="CD286" s="114">
        <f>AK286</f>
        <v>219</v>
      </c>
      <c r="CE286" s="113">
        <f>AO286</f>
        <v>262</v>
      </c>
      <c r="CF286" s="114">
        <f>AS286</f>
        <v>308</v>
      </c>
      <c r="CG286" s="113">
        <f>AW286</f>
        <v>334</v>
      </c>
      <c r="CH286" s="111">
        <f>G286</f>
        <v>87</v>
      </c>
      <c r="CI286" s="113">
        <f>K286</f>
        <v>91</v>
      </c>
      <c r="CJ286" s="114">
        <f>O286</f>
        <v>122</v>
      </c>
      <c r="CK286" s="114">
        <f>S286</f>
        <v>126</v>
      </c>
      <c r="CL286" s="114">
        <f>W286</f>
        <v>162</v>
      </c>
      <c r="CM286" s="114">
        <f>AA286</f>
        <v>170</v>
      </c>
      <c r="CN286" s="114">
        <f>AE286</f>
        <v>197</v>
      </c>
      <c r="CO286" s="114">
        <f>AI286</f>
        <v>212</v>
      </c>
      <c r="CP286" s="114">
        <f>AM286</f>
        <v>256</v>
      </c>
      <c r="CQ286" s="114">
        <f>AQ286</f>
        <v>299</v>
      </c>
      <c r="CR286" s="114">
        <f>AU286</f>
        <v>333</v>
      </c>
      <c r="CS286" s="114">
        <f>AY286</f>
        <v>346</v>
      </c>
      <c r="CT286" s="109">
        <f>M286-K286</f>
        <v>1</v>
      </c>
    </row>
    <row r="287" spans="1:1030" x14ac:dyDescent="0.2">
      <c r="A287" s="3" t="str">
        <f>CONCATENATE(B287,"_",C287)</f>
        <v>oprm_mouse__wt</v>
      </c>
      <c r="B287" s="3" t="s">
        <v>911</v>
      </c>
      <c r="C287" s="3" t="s">
        <v>100</v>
      </c>
      <c r="D287" s="3" t="str">
        <f>IFERROR(MID(VLOOKUP($B287,Seqs!$A:$B,2,0),E287,1),"")</f>
        <v>M</v>
      </c>
      <c r="E287" s="3">
        <v>65</v>
      </c>
      <c r="F287" s="3" t="str">
        <f>IFERROR(MID(VLOOKUP($B287,Seqs!$A:$B,2,0),G287,1),"")</f>
        <v>Y</v>
      </c>
      <c r="G287" s="3">
        <v>96</v>
      </c>
      <c r="H287" s="3" t="str">
        <f>IFERROR(MID(VLOOKUP($B287,Seqs!$A:$B,2,0),I287,1),"")</f>
        <v>T</v>
      </c>
      <c r="I287" s="23">
        <v>97</v>
      </c>
      <c r="J287" s="3" t="str">
        <f>IFERROR(MID(VLOOKUP($B287,Seqs!$A:$B,2,0),K287,1),"")</f>
        <v>K</v>
      </c>
      <c r="K287" s="23">
        <v>100</v>
      </c>
      <c r="L287" s="3" t="str">
        <f>IFERROR(MID(VLOOKUP($B287,Seqs!$A:$B,2,0),M287,1),"")</f>
        <v>T</v>
      </c>
      <c r="M287" s="3">
        <v>101</v>
      </c>
      <c r="N287" s="3" t="str">
        <f>IFERROR(MID(VLOOKUP($B287,Seqs!$A:$B,2,0),O287,1),"")</f>
        <v>M</v>
      </c>
      <c r="O287" s="3">
        <v>130</v>
      </c>
      <c r="P287" s="3" t="str">
        <f>IFERROR(MID(VLOOKUP($B287,Seqs!$A:$B,2,0),Q287,1),"")</f>
        <v>T</v>
      </c>
      <c r="Q287" s="3">
        <v>132</v>
      </c>
      <c r="R287" s="3" t="str">
        <f>IFERROR(MID(VLOOKUP($B287,Seqs!$A:$B,2,0),S287,1),"")</f>
        <v>F</v>
      </c>
      <c r="S287" s="3">
        <v>135</v>
      </c>
      <c r="T287" s="3" t="str">
        <f>IFERROR(MID(VLOOKUP($B287,Seqs!$A:$B,2,0),U287,1),"")</f>
        <v>G</v>
      </c>
      <c r="U287" s="3">
        <v>136</v>
      </c>
      <c r="V287" s="3" t="str">
        <f>IFERROR(MID(VLOOKUP($B287,Seqs!$A:$B,2,0),W287,1),"")</f>
        <v>H</v>
      </c>
      <c r="W287" s="3">
        <v>171</v>
      </c>
      <c r="X287" s="3" t="str">
        <f>IFERROR(MID(VLOOKUP($B287,Seqs!$A:$B,2,0),Y287,1),"")</f>
        <v>P</v>
      </c>
      <c r="Y287" s="3">
        <v>172</v>
      </c>
      <c r="Z287" s="3" t="str">
        <f>IFERROR(MID(VLOOKUP($B287,Seqs!$A:$B,2,0),AA287,1),"")</f>
        <v>R</v>
      </c>
      <c r="AA287" s="3">
        <v>179</v>
      </c>
      <c r="AB287" s="3" t="str">
        <f>IFERROR(MID(VLOOKUP($B287,Seqs!$A:$B,2,0),AC287,1),"")</f>
        <v>T</v>
      </c>
      <c r="AC287" s="3">
        <v>180</v>
      </c>
      <c r="AD287" s="3" t="str">
        <f>IFERROR(MID(VLOOKUP($B287,Seqs!$A:$B,2,0),AE287,1),"")</f>
        <v>A</v>
      </c>
      <c r="AE287" s="3">
        <v>206</v>
      </c>
      <c r="AF287" s="3" t="str">
        <f>IFERROR(MID(VLOOKUP($B287,Seqs!$A:$B,2,0),AG287,1),"")</f>
        <v>C</v>
      </c>
      <c r="AG287" s="3">
        <v>217</v>
      </c>
      <c r="AH287" s="3" t="str">
        <f>IFERROR(MID(VLOOKUP($B287,Seqs!$A:$B,2,0),AI287,1),"")</f>
        <v>L</v>
      </c>
      <c r="AI287" s="3">
        <v>219</v>
      </c>
      <c r="AJ287" s="3" t="str">
        <f>IFERROR(MID(VLOOKUP($B287,Seqs!$A:$B,2,0),AK287,1),"")</f>
        <v>T</v>
      </c>
      <c r="AK287" s="3">
        <v>225</v>
      </c>
      <c r="AL287" s="3" t="str">
        <f>IFERROR(MID(VLOOKUP($B287,Seqs!$A:$B,2,0),AM287,1),"")</f>
        <v>V</v>
      </c>
      <c r="AM287" s="3">
        <v>262</v>
      </c>
      <c r="AN287" s="3" t="str">
        <f>IFERROR(MID(VLOOKUP($B287,Seqs!$A:$B,2,0),AO287,1),"")</f>
        <v>S</v>
      </c>
      <c r="AO287" s="3">
        <v>268</v>
      </c>
      <c r="AP287" s="3" t="str">
        <f>IFERROR(MID(VLOOKUP($B287,Seqs!$A:$B,2,0),AQ287,1),"")</f>
        <v>I</v>
      </c>
      <c r="AQ287" s="3">
        <v>306</v>
      </c>
      <c r="AR287" s="3" t="str">
        <f>IFERROR(MID(VLOOKUP($B287,Seqs!$A:$B,2,0),AS287,1),"")</f>
        <v>T</v>
      </c>
      <c r="AS287" s="3">
        <v>311</v>
      </c>
      <c r="AT287" s="3" t="str">
        <f>IFERROR(MID(VLOOKUP($B287,Seqs!$A:$B,2,0),AU287,1),"")</f>
        <v>L</v>
      </c>
      <c r="AU287" s="3">
        <v>339</v>
      </c>
      <c r="AV287" s="3" t="str">
        <f>IFERROR(MID(VLOOKUP($B287,Seqs!$A:$B,2,0),AW287,1),"")</f>
        <v>D</v>
      </c>
      <c r="AW287" s="3">
        <v>340</v>
      </c>
      <c r="AX287" s="3" t="str">
        <f>IFERROR(MID(VLOOKUP($B287,Seqs!$A:$B,2,0),AY287,1),"")</f>
        <v>I</v>
      </c>
      <c r="AY287" s="3">
        <v>352</v>
      </c>
      <c r="AZ287" s="77" t="str">
        <f>VLOOKUP(B287,Classification!A:D,2,0)</f>
        <v>A</v>
      </c>
      <c r="BA287" s="94" t="str">
        <f>VLOOKUP(B287,Classification!A:D,4,0)</f>
        <v>Opioid</v>
      </c>
      <c r="BB287" s="27" t="b">
        <f t="shared" si="1074"/>
        <v>1</v>
      </c>
      <c r="BC287" s="23">
        <f t="shared" si="1057"/>
        <v>263</v>
      </c>
      <c r="BD287" s="56" t="s">
        <v>23</v>
      </c>
      <c r="BE287" s="3" t="s">
        <v>23</v>
      </c>
      <c r="BF287" s="118" t="s">
        <v>23</v>
      </c>
      <c r="BG287" s="49" t="s">
        <v>1366</v>
      </c>
      <c r="BH287" s="49" t="s">
        <v>1371</v>
      </c>
      <c r="BI287" s="1"/>
      <c r="BJ287" s="70" t="s">
        <v>1281</v>
      </c>
      <c r="BK287" s="57" t="s">
        <v>1281</v>
      </c>
      <c r="BL287" s="57" t="s">
        <v>1281</v>
      </c>
      <c r="BM287" s="57" t="s">
        <v>1281</v>
      </c>
      <c r="BN287" s="57" t="s">
        <v>1281</v>
      </c>
      <c r="BO287" s="57" t="s">
        <v>1281</v>
      </c>
      <c r="BP287" s="57" t="s">
        <v>1281</v>
      </c>
      <c r="BQ287" s="57" t="s">
        <v>1281</v>
      </c>
      <c r="BR287" s="57" t="s">
        <v>1281</v>
      </c>
      <c r="BS287" s="57" t="s">
        <v>1281</v>
      </c>
      <c r="BT287" s="57" t="s">
        <v>1281</v>
      </c>
      <c r="BU287" s="57" t="s">
        <v>1281</v>
      </c>
      <c r="BV287" s="70">
        <f>E287</f>
        <v>65</v>
      </c>
      <c r="BW287" s="71">
        <f>I287</f>
        <v>97</v>
      </c>
      <c r="BX287" s="72">
        <f>M287</f>
        <v>101</v>
      </c>
      <c r="BY287" s="71">
        <f>Q287</f>
        <v>132</v>
      </c>
      <c r="BZ287" s="72">
        <f>U287</f>
        <v>136</v>
      </c>
      <c r="CA287" s="71">
        <f>Y287</f>
        <v>172</v>
      </c>
      <c r="CB287" s="72">
        <f>AC287</f>
        <v>180</v>
      </c>
      <c r="CC287" s="71">
        <f>AG287</f>
        <v>217</v>
      </c>
      <c r="CD287" s="72">
        <f>AK287</f>
        <v>225</v>
      </c>
      <c r="CE287" s="71">
        <f>AO287</f>
        <v>268</v>
      </c>
      <c r="CF287" s="72">
        <f>AS287</f>
        <v>311</v>
      </c>
      <c r="CG287" s="71">
        <f>AW287</f>
        <v>340</v>
      </c>
      <c r="CH287" s="70">
        <f>G287</f>
        <v>96</v>
      </c>
      <c r="CI287" s="71">
        <f>K287</f>
        <v>100</v>
      </c>
      <c r="CJ287" s="72">
        <f>O287</f>
        <v>130</v>
      </c>
      <c r="CK287" s="72">
        <f>S287</f>
        <v>135</v>
      </c>
      <c r="CL287" s="72">
        <f>W287</f>
        <v>171</v>
      </c>
      <c r="CM287" s="72">
        <f>AA287</f>
        <v>179</v>
      </c>
      <c r="CN287" s="72">
        <f>AE287</f>
        <v>206</v>
      </c>
      <c r="CO287" s="72">
        <f>AI287</f>
        <v>219</v>
      </c>
      <c r="CP287" s="72">
        <f>AM287</f>
        <v>262</v>
      </c>
      <c r="CQ287" s="72">
        <f>AQ287</f>
        <v>306</v>
      </c>
      <c r="CR287" s="72">
        <f>AU287</f>
        <v>339</v>
      </c>
      <c r="CS287" s="72">
        <f>AY287</f>
        <v>352</v>
      </c>
      <c r="CT287" s="23">
        <f>M287-K287</f>
        <v>1</v>
      </c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  <c r="UU287" s="1"/>
      <c r="UV287" s="1"/>
      <c r="UW287" s="1"/>
      <c r="UX287" s="1"/>
      <c r="UY287" s="1"/>
      <c r="UZ287" s="1"/>
      <c r="VA287" s="1"/>
      <c r="VB287" s="1"/>
      <c r="VC287" s="1"/>
      <c r="VD287" s="1"/>
      <c r="VE287" s="1"/>
      <c r="VF287" s="1"/>
      <c r="VG287" s="1"/>
      <c r="VH287" s="1"/>
      <c r="VI287" s="1"/>
      <c r="VJ287" s="1"/>
      <c r="VK287" s="1"/>
      <c r="VL287" s="1"/>
      <c r="VM287" s="1"/>
      <c r="VN287" s="1"/>
      <c r="VO287" s="1"/>
      <c r="VP287" s="1"/>
      <c r="VQ287" s="1"/>
      <c r="VR287" s="1"/>
      <c r="VS287" s="1"/>
      <c r="VT287" s="1"/>
      <c r="VU287" s="1"/>
      <c r="VV287" s="1"/>
      <c r="VW287" s="1"/>
      <c r="VX287" s="1"/>
      <c r="VY287" s="1"/>
      <c r="VZ287" s="1"/>
      <c r="WA287" s="1"/>
      <c r="WB287" s="1"/>
      <c r="WC287" s="1"/>
      <c r="WD287" s="1"/>
      <c r="WE287" s="1"/>
      <c r="WF287" s="1"/>
      <c r="WG287" s="1"/>
      <c r="WH287" s="1"/>
      <c r="WI287" s="1"/>
      <c r="WJ287" s="1"/>
      <c r="WK287" s="1"/>
      <c r="WL287" s="1"/>
      <c r="WM287" s="1"/>
      <c r="WN287" s="1"/>
      <c r="WO287" s="1"/>
      <c r="WP287" s="1"/>
      <c r="WQ287" s="1"/>
      <c r="WR287" s="1"/>
      <c r="WS287" s="1"/>
      <c r="WT287" s="1"/>
      <c r="WU287" s="1"/>
      <c r="WV287" s="1"/>
      <c r="WW287" s="1"/>
      <c r="WX287" s="1"/>
      <c r="WY287" s="1"/>
      <c r="WZ287" s="1"/>
      <c r="XA287" s="1"/>
      <c r="XB287" s="1"/>
      <c r="XC287" s="1"/>
      <c r="XD287" s="1"/>
      <c r="XE287" s="1"/>
      <c r="XF287" s="1"/>
      <c r="XG287" s="1"/>
      <c r="XH287" s="1"/>
      <c r="XI287" s="1"/>
      <c r="XJ287" s="1"/>
      <c r="XK287" s="1"/>
      <c r="XL287" s="1"/>
      <c r="XM287" s="1"/>
      <c r="XN287" s="1"/>
      <c r="XO287" s="1"/>
      <c r="XP287" s="1"/>
      <c r="XQ287" s="1"/>
      <c r="XR287" s="1"/>
      <c r="XS287" s="1"/>
      <c r="XT287" s="1"/>
      <c r="XU287" s="1"/>
      <c r="XV287" s="1"/>
      <c r="XW287" s="1"/>
      <c r="XX287" s="1"/>
      <c r="XY287" s="1"/>
      <c r="XZ287" s="1"/>
      <c r="YA287" s="1"/>
      <c r="YB287" s="1"/>
      <c r="YC287" s="1"/>
      <c r="YD287" s="1"/>
      <c r="YE287" s="1"/>
      <c r="YF287" s="1"/>
      <c r="YG287" s="1"/>
      <c r="YH287" s="1"/>
      <c r="YI287" s="1"/>
      <c r="YJ287" s="1"/>
      <c r="YK287" s="1"/>
      <c r="YL287" s="1"/>
      <c r="YM287" s="1"/>
      <c r="YN287" s="1"/>
      <c r="YO287" s="1"/>
      <c r="YP287" s="1"/>
      <c r="YQ287" s="1"/>
      <c r="YR287" s="1"/>
      <c r="YS287" s="1"/>
      <c r="YT287" s="1"/>
      <c r="YU287" s="1"/>
      <c r="YV287" s="1"/>
      <c r="YW287" s="1"/>
      <c r="YX287" s="1"/>
      <c r="YY287" s="1"/>
      <c r="YZ287" s="1"/>
      <c r="ZA287" s="1"/>
      <c r="ZB287" s="1"/>
      <c r="ZC287" s="1"/>
      <c r="ZD287" s="1"/>
      <c r="ZE287" s="1"/>
      <c r="ZF287" s="1"/>
      <c r="ZG287" s="1"/>
      <c r="ZH287" s="1"/>
      <c r="ZI287" s="1"/>
      <c r="ZJ287" s="1"/>
      <c r="ZK287" s="1"/>
      <c r="ZL287" s="1"/>
      <c r="ZM287" s="1"/>
      <c r="ZN287" s="1"/>
      <c r="ZO287" s="1"/>
      <c r="ZP287" s="1"/>
      <c r="ZQ287" s="1"/>
      <c r="ZR287" s="1"/>
      <c r="ZS287" s="1"/>
      <c r="ZT287" s="1"/>
      <c r="ZU287" s="1"/>
      <c r="ZV287" s="1"/>
      <c r="ZW287" s="1"/>
      <c r="ZX287" s="1"/>
      <c r="ZY287" s="1"/>
      <c r="ZZ287" s="1"/>
      <c r="AAA287" s="1"/>
      <c r="AAB287" s="1"/>
      <c r="AAC287" s="1"/>
      <c r="AAD287" s="1"/>
      <c r="AAE287" s="1"/>
      <c r="AAF287" s="1"/>
      <c r="AAG287" s="1"/>
      <c r="AAH287" s="1"/>
      <c r="AAI287" s="1"/>
      <c r="AAJ287" s="1"/>
      <c r="AAK287" s="1"/>
      <c r="AAL287" s="1"/>
      <c r="AAM287" s="1"/>
      <c r="AAN287" s="1"/>
      <c r="AAO287" s="1"/>
      <c r="AAP287" s="1"/>
      <c r="AAQ287" s="1"/>
      <c r="AAR287" s="1"/>
      <c r="AAS287" s="1"/>
      <c r="AAT287" s="1"/>
      <c r="AAU287" s="1"/>
      <c r="AAV287" s="1"/>
      <c r="AAW287" s="1"/>
      <c r="AAX287" s="1"/>
      <c r="AAY287" s="1"/>
      <c r="AAZ287" s="1"/>
      <c r="ABA287" s="1"/>
      <c r="ABB287" s="1"/>
      <c r="ABC287" s="1"/>
      <c r="ABD287" s="1"/>
      <c r="ABE287" s="1"/>
      <c r="ABF287" s="1"/>
      <c r="ABG287" s="1"/>
      <c r="ABH287" s="1"/>
      <c r="ABI287" s="1"/>
      <c r="ABJ287" s="1"/>
      <c r="ABK287" s="1"/>
      <c r="ABL287" s="1"/>
      <c r="ABM287" s="1"/>
      <c r="ABN287" s="1"/>
      <c r="ABO287" s="1"/>
      <c r="ABP287" s="1"/>
      <c r="ABQ287" s="1"/>
      <c r="ABR287" s="1"/>
      <c r="ABS287" s="1"/>
      <c r="ABT287" s="1"/>
      <c r="ABU287" s="1"/>
      <c r="ABV287" s="1"/>
      <c r="ABW287" s="1"/>
      <c r="ABX287" s="1"/>
      <c r="ABY287" s="1"/>
      <c r="ABZ287" s="1"/>
      <c r="ACA287" s="1"/>
      <c r="ACB287" s="1"/>
      <c r="ACC287" s="1"/>
      <c r="ACD287" s="1"/>
      <c r="ACE287" s="1"/>
      <c r="ACF287" s="1"/>
      <c r="ACG287" s="1"/>
      <c r="ACH287" s="1"/>
      <c r="ACI287" s="1"/>
      <c r="ACJ287" s="1"/>
      <c r="ACK287" s="1"/>
      <c r="ACL287" s="1"/>
      <c r="ACM287" s="1"/>
      <c r="ACN287" s="1"/>
      <c r="ACO287" s="1"/>
      <c r="ACP287" s="1"/>
      <c r="ACQ287" s="1"/>
      <c r="ACR287" s="1"/>
      <c r="ACS287" s="1"/>
      <c r="ACT287" s="1"/>
      <c r="ACU287" s="1"/>
      <c r="ACV287" s="1"/>
      <c r="ACW287" s="1"/>
      <c r="ACX287" s="1"/>
      <c r="ACY287" s="1"/>
      <c r="ACZ287" s="1"/>
      <c r="ADA287" s="1"/>
      <c r="ADB287" s="1"/>
      <c r="ADC287" s="1"/>
      <c r="ADD287" s="1"/>
      <c r="ADE287" s="1"/>
      <c r="ADF287" s="1"/>
      <c r="ADG287" s="1"/>
      <c r="ADH287" s="1"/>
      <c r="ADI287" s="1"/>
      <c r="ADJ287" s="1"/>
      <c r="ADK287" s="1"/>
      <c r="ADL287" s="1"/>
      <c r="ADM287" s="1"/>
      <c r="ADN287" s="1"/>
      <c r="ADO287" s="1"/>
      <c r="ADP287" s="1"/>
      <c r="ADQ287" s="1"/>
      <c r="ADR287" s="1"/>
      <c r="ADS287" s="1"/>
      <c r="ADT287" s="1"/>
      <c r="ADU287" s="1"/>
      <c r="ADV287" s="1"/>
      <c r="ADW287" s="1"/>
      <c r="ADX287" s="1"/>
      <c r="ADY287" s="1"/>
      <c r="ADZ287" s="1"/>
      <c r="AEA287" s="1"/>
      <c r="AEB287" s="1"/>
      <c r="AEC287" s="1"/>
      <c r="AED287" s="1"/>
      <c r="AEE287" s="1"/>
      <c r="AEF287" s="1"/>
      <c r="AEG287" s="1"/>
      <c r="AEH287" s="1"/>
      <c r="AEI287" s="1"/>
      <c r="AEJ287" s="1"/>
      <c r="AEK287" s="1"/>
      <c r="AEL287" s="1"/>
      <c r="AEM287" s="1"/>
      <c r="AEN287" s="1"/>
      <c r="AEO287" s="1"/>
      <c r="AEP287" s="1"/>
      <c r="AEQ287" s="1"/>
      <c r="AER287" s="1"/>
      <c r="AES287" s="1"/>
      <c r="AET287" s="1"/>
      <c r="AEU287" s="1"/>
      <c r="AEV287" s="1"/>
      <c r="AEW287" s="1"/>
      <c r="AEX287" s="1"/>
      <c r="AEY287" s="1"/>
      <c r="AEZ287" s="1"/>
      <c r="AFA287" s="1"/>
      <c r="AFB287" s="1"/>
      <c r="AFC287" s="1"/>
      <c r="AFD287" s="1"/>
      <c r="AFE287" s="1"/>
      <c r="AFF287" s="1"/>
      <c r="AFG287" s="1"/>
      <c r="AFH287" s="1"/>
      <c r="AFI287" s="1"/>
      <c r="AFJ287" s="1"/>
      <c r="AFK287" s="1"/>
      <c r="AFL287" s="1"/>
      <c r="AFM287" s="1"/>
      <c r="AFN287" s="1"/>
      <c r="AFO287" s="1"/>
      <c r="AFP287" s="1"/>
      <c r="AFQ287" s="1"/>
      <c r="AFR287" s="1"/>
      <c r="AFS287" s="1"/>
      <c r="AFT287" s="1"/>
      <c r="AFU287" s="1"/>
      <c r="AFV287" s="1"/>
      <c r="AFW287" s="1"/>
      <c r="AFX287" s="1"/>
      <c r="AFY287" s="1"/>
      <c r="AFZ287" s="1"/>
      <c r="AGA287" s="1"/>
      <c r="AGB287" s="1"/>
      <c r="AGC287" s="1"/>
      <c r="AGD287" s="1"/>
      <c r="AGE287" s="1"/>
      <c r="AGF287" s="1"/>
      <c r="AGG287" s="1"/>
      <c r="AGH287" s="1"/>
      <c r="AGI287" s="1"/>
      <c r="AGJ287" s="1"/>
      <c r="AGK287" s="1"/>
      <c r="AGL287" s="1"/>
      <c r="AGM287" s="1"/>
      <c r="AGN287" s="1"/>
      <c r="AGO287" s="1"/>
      <c r="AGP287" s="1"/>
      <c r="AGQ287" s="1"/>
      <c r="AGR287" s="1"/>
      <c r="AGS287" s="1"/>
      <c r="AGT287" s="1"/>
      <c r="AGU287" s="1"/>
      <c r="AGV287" s="1"/>
      <c r="AGW287" s="1"/>
      <c r="AGX287" s="1"/>
      <c r="AGY287" s="1"/>
      <c r="AGZ287" s="1"/>
      <c r="AHA287" s="1"/>
      <c r="AHB287" s="1"/>
      <c r="AHC287" s="1"/>
      <c r="AHD287" s="1"/>
      <c r="AHE287" s="1"/>
      <c r="AHF287" s="1"/>
      <c r="AHG287" s="1"/>
      <c r="AHH287" s="1"/>
      <c r="AHI287" s="1"/>
      <c r="AHJ287" s="1"/>
      <c r="AHK287" s="1"/>
      <c r="AHL287" s="1"/>
      <c r="AHM287" s="1"/>
      <c r="AHN287" s="1"/>
      <c r="AHO287" s="1"/>
      <c r="AHP287" s="1"/>
      <c r="AHQ287" s="1"/>
      <c r="AHR287" s="1"/>
      <c r="AHS287" s="1"/>
      <c r="AHT287" s="1"/>
      <c r="AHU287" s="1"/>
      <c r="AHV287" s="1"/>
      <c r="AHW287" s="1"/>
      <c r="AHX287" s="1"/>
      <c r="AHY287" s="1"/>
      <c r="AHZ287" s="1"/>
      <c r="AIA287" s="1"/>
      <c r="AIB287" s="1"/>
      <c r="AIC287" s="1"/>
      <c r="AID287" s="1"/>
      <c r="AIE287" s="1"/>
      <c r="AIF287" s="1"/>
      <c r="AIG287" s="1"/>
      <c r="AIH287" s="1"/>
      <c r="AII287" s="1"/>
      <c r="AIJ287" s="1"/>
      <c r="AIK287" s="1"/>
      <c r="AIL287" s="1"/>
      <c r="AIM287" s="1"/>
      <c r="AIN287" s="1"/>
      <c r="AIO287" s="1"/>
      <c r="AIP287" s="1"/>
      <c r="AIQ287" s="1"/>
      <c r="AIR287" s="1"/>
      <c r="AIS287" s="1"/>
      <c r="AIT287" s="1"/>
      <c r="AIU287" s="1"/>
      <c r="AIV287" s="1"/>
      <c r="AIW287" s="1"/>
      <c r="AIX287" s="1"/>
      <c r="AIY287" s="1"/>
      <c r="AIZ287" s="1"/>
      <c r="AJA287" s="1"/>
      <c r="AJB287" s="1"/>
      <c r="AJC287" s="1"/>
      <c r="AJD287" s="1"/>
      <c r="AJE287" s="1"/>
      <c r="AJF287" s="1"/>
      <c r="AJG287" s="1"/>
      <c r="AJH287" s="1"/>
      <c r="AJI287" s="1"/>
      <c r="AJJ287" s="1"/>
      <c r="AJK287" s="1"/>
      <c r="AJL287" s="1"/>
      <c r="AJM287" s="1"/>
      <c r="AJN287" s="1"/>
      <c r="AJO287" s="1"/>
      <c r="AJP287" s="1"/>
      <c r="AJQ287" s="1"/>
      <c r="AJR287" s="1"/>
      <c r="AJS287" s="1"/>
      <c r="AJT287" s="1"/>
      <c r="AJU287" s="1"/>
      <c r="AJV287" s="1"/>
      <c r="AJW287" s="1"/>
      <c r="AJX287" s="1"/>
      <c r="AJY287" s="1"/>
      <c r="AJZ287" s="1"/>
      <c r="AKA287" s="1"/>
      <c r="AKB287" s="1"/>
      <c r="AKC287" s="1"/>
      <c r="AKD287" s="1"/>
      <c r="AKE287" s="1"/>
      <c r="AKF287" s="1"/>
      <c r="AKG287" s="1"/>
      <c r="AKH287" s="1"/>
      <c r="AKI287" s="1"/>
      <c r="AKJ287" s="1"/>
      <c r="AKK287" s="1"/>
      <c r="AKL287" s="1"/>
      <c r="AKM287" s="1"/>
      <c r="AKN287" s="1"/>
      <c r="AKO287" s="1"/>
      <c r="AKP287" s="1"/>
      <c r="AKQ287" s="1"/>
      <c r="AKR287" s="1"/>
      <c r="AKS287" s="1"/>
      <c r="AKT287" s="1"/>
      <c r="AKU287" s="1"/>
      <c r="AKV287" s="1"/>
      <c r="AKW287" s="1"/>
      <c r="AKX287" s="1"/>
      <c r="AKY287" s="1"/>
      <c r="AKZ287" s="1"/>
      <c r="ALA287" s="1"/>
      <c r="ALB287" s="1"/>
      <c r="ALC287" s="1"/>
      <c r="ALD287" s="1"/>
      <c r="ALE287" s="1"/>
      <c r="ALF287" s="1"/>
      <c r="ALG287" s="1"/>
      <c r="ALH287" s="1"/>
      <c r="ALI287" s="1"/>
      <c r="ALJ287" s="1"/>
      <c r="ALK287" s="1"/>
      <c r="ALL287" s="1"/>
      <c r="ALM287" s="1"/>
      <c r="ALN287" s="1"/>
      <c r="ALO287" s="1"/>
      <c r="ALP287" s="1"/>
      <c r="ALQ287" s="1"/>
      <c r="ALR287" s="1"/>
      <c r="ALS287" s="1"/>
      <c r="ALT287" s="1"/>
      <c r="ALU287" s="1"/>
      <c r="ALV287" s="1"/>
      <c r="ALW287" s="1"/>
      <c r="ALX287" s="1"/>
      <c r="ALY287" s="1"/>
      <c r="ALZ287" s="1"/>
      <c r="AMA287" s="1"/>
      <c r="AMB287" s="1"/>
      <c r="AMC287" s="1"/>
      <c r="AMD287" s="1"/>
      <c r="AME287" s="1"/>
      <c r="AMF287" s="1"/>
      <c r="AMG287" s="1"/>
      <c r="AMH287" s="1"/>
      <c r="AMI287" s="1"/>
      <c r="AMJ287" s="1"/>
      <c r="AMK287" s="1"/>
      <c r="AML287" s="1"/>
      <c r="AMM287" s="1"/>
      <c r="AMN287" s="1"/>
      <c r="AMO287" s="1"/>
    </row>
    <row r="288" spans="1:1030" x14ac:dyDescent="0.2">
      <c r="A288" s="3" t="str">
        <f>CONCATENATE(B288,"_",C288)</f>
        <v>oprm_mouse_4DKL</v>
      </c>
      <c r="B288" s="3" t="s">
        <v>911</v>
      </c>
      <c r="C288" s="3" t="s">
        <v>65</v>
      </c>
      <c r="D288" s="3" t="str">
        <f>IFERROR(MID(VLOOKUP($B288,Seqs!$A:$B,2,0),E288,1),"")</f>
        <v>M</v>
      </c>
      <c r="E288" s="3">
        <v>65</v>
      </c>
      <c r="F288" s="3" t="str">
        <f>IFERROR(MID(VLOOKUP($B288,Seqs!$A:$B,2,0),G288,1),"")</f>
        <v>Y</v>
      </c>
      <c r="G288" s="3">
        <v>96</v>
      </c>
      <c r="H288" s="3" t="str">
        <f>IFERROR(MID(VLOOKUP($B288,Seqs!$A:$B,2,0),I288,1),"")</f>
        <v>T</v>
      </c>
      <c r="I288" s="23">
        <v>97</v>
      </c>
      <c r="J288" s="3" t="str">
        <f>IFERROR(MID(VLOOKUP($B288,Seqs!$A:$B,2,0),K288,1),"")</f>
        <v>K</v>
      </c>
      <c r="K288" s="23">
        <v>100</v>
      </c>
      <c r="L288" s="3" t="str">
        <f>IFERROR(MID(VLOOKUP($B288,Seqs!$A:$B,2,0),M288,1),"")</f>
        <v>T</v>
      </c>
      <c r="M288" s="3">
        <v>101</v>
      </c>
      <c r="N288" s="3" t="str">
        <f>IFERROR(MID(VLOOKUP($B288,Seqs!$A:$B,2,0),O288,1),"")</f>
        <v>M</v>
      </c>
      <c r="O288" s="3">
        <v>130</v>
      </c>
      <c r="P288" s="3" t="str">
        <f>IFERROR(MID(VLOOKUP($B288,Seqs!$A:$B,2,0),Q288,1),"")</f>
        <v>T</v>
      </c>
      <c r="Q288" s="3">
        <v>132</v>
      </c>
      <c r="R288" s="3" t="str">
        <f>IFERROR(MID(VLOOKUP($B288,Seqs!$A:$B,2,0),S288,1),"")</f>
        <v>F</v>
      </c>
      <c r="S288" s="3">
        <v>135</v>
      </c>
      <c r="T288" s="3" t="str">
        <f>IFERROR(MID(VLOOKUP($B288,Seqs!$A:$B,2,0),U288,1),"")</f>
        <v>G</v>
      </c>
      <c r="U288" s="3">
        <v>136</v>
      </c>
      <c r="V288" s="3" t="str">
        <f>IFERROR(MID(VLOOKUP($B288,Seqs!$A:$B,2,0),W288,1),"")</f>
        <v>H</v>
      </c>
      <c r="W288" s="3">
        <v>171</v>
      </c>
      <c r="X288" s="3" t="str">
        <f>IFERROR(MID(VLOOKUP($B288,Seqs!$A:$B,2,0),Y288,1),"")</f>
        <v>P</v>
      </c>
      <c r="Y288" s="3">
        <v>172</v>
      </c>
      <c r="Z288" s="3" t="str">
        <f>IFERROR(MID(VLOOKUP($B288,Seqs!$A:$B,2,0),AA288,1),"")</f>
        <v>R</v>
      </c>
      <c r="AA288" s="3">
        <v>179</v>
      </c>
      <c r="AB288" s="3" t="str">
        <f>IFERROR(MID(VLOOKUP($B288,Seqs!$A:$B,2,0),AC288,1),"")</f>
        <v>T</v>
      </c>
      <c r="AC288" s="3">
        <v>180</v>
      </c>
      <c r="AD288" s="3" t="str">
        <f>IFERROR(MID(VLOOKUP($B288,Seqs!$A:$B,2,0),AE288,1),"")</f>
        <v>A</v>
      </c>
      <c r="AE288" s="3">
        <v>206</v>
      </c>
      <c r="AF288" s="3" t="str">
        <f>IFERROR(MID(VLOOKUP($B288,Seqs!$A:$B,2,0),AG288,1),"")</f>
        <v>C</v>
      </c>
      <c r="AG288" s="3">
        <v>217</v>
      </c>
      <c r="AH288" s="3" t="str">
        <f>IFERROR(MID(VLOOKUP($B288,Seqs!$A:$B,2,0),AI288,1),"")</f>
        <v>L</v>
      </c>
      <c r="AI288" s="3">
        <v>219</v>
      </c>
      <c r="AJ288" s="3" t="str">
        <f>IFERROR(MID(VLOOKUP($B288,Seqs!$A:$B,2,0),AK288,1),"")</f>
        <v>T</v>
      </c>
      <c r="AK288" s="3">
        <v>225</v>
      </c>
      <c r="AL288" s="3" t="str">
        <f>IFERROR(MID(VLOOKUP($B288,Seqs!$A:$B,2,0),AM288,1),"")</f>
        <v>L</v>
      </c>
      <c r="AM288" s="3">
        <v>257</v>
      </c>
      <c r="AN288" s="3" t="str">
        <f>IFERROR(MID(VLOOKUP($B288,Seqs!$A:$B,2,0),AO288,1),"")</f>
        <v>N</v>
      </c>
      <c r="AO288" s="3">
        <v>274</v>
      </c>
      <c r="AP288" s="3" t="str">
        <f>IFERROR(MID(VLOOKUP($B288,Seqs!$A:$B,2,0),AQ288,1),"")</f>
        <v>I</v>
      </c>
      <c r="AQ288" s="3">
        <v>306</v>
      </c>
      <c r="AR288" s="3" t="str">
        <f>IFERROR(MID(VLOOKUP($B288,Seqs!$A:$B,2,0),AS288,1),"")</f>
        <v>T</v>
      </c>
      <c r="AS288" s="3">
        <v>311</v>
      </c>
      <c r="AT288" s="3" t="str">
        <f>IFERROR(MID(VLOOKUP($B288,Seqs!$A:$B,2,0),AU288,1),"")</f>
        <v>L</v>
      </c>
      <c r="AU288" s="3">
        <v>339</v>
      </c>
      <c r="AV288" s="3" t="str">
        <f>IFERROR(MID(VLOOKUP($B288,Seqs!$A:$B,2,0),AW288,1),"")</f>
        <v>D</v>
      </c>
      <c r="AW288" s="3">
        <v>340</v>
      </c>
      <c r="AX288" s="3" t="str">
        <f>IFERROR(MID(VLOOKUP($B288,Seqs!$A:$B,2,0),AY288,1),"")</f>
        <v>I</v>
      </c>
      <c r="AY288" s="3">
        <v>352</v>
      </c>
      <c r="AZ288" s="77" t="str">
        <f>VLOOKUP(B288,Classification!A:D,2,0)</f>
        <v>A</v>
      </c>
      <c r="BA288" s="94" t="str">
        <f>VLOOKUP(B288,Classification!A:D,4,0)</f>
        <v>Opioid</v>
      </c>
      <c r="BB288" s="27" t="b">
        <f t="shared" si="1074"/>
        <v>1</v>
      </c>
      <c r="BC288" s="23">
        <f t="shared" si="1057"/>
        <v>252</v>
      </c>
      <c r="BD288" s="2" t="s">
        <v>1370</v>
      </c>
      <c r="BE288" s="3" t="s">
        <v>1368</v>
      </c>
      <c r="BF288" s="118">
        <v>2.8</v>
      </c>
      <c r="BG288" s="49" t="s">
        <v>1371</v>
      </c>
      <c r="BH288" s="49" t="s">
        <v>1371</v>
      </c>
      <c r="BI288" s="1"/>
      <c r="BJ288" s="70" t="s">
        <v>1281</v>
      </c>
      <c r="BK288" s="57" t="s">
        <v>1281</v>
      </c>
      <c r="BL288" s="57" t="s">
        <v>1281</v>
      </c>
      <c r="BM288" s="57" t="s">
        <v>1281</v>
      </c>
      <c r="BN288" s="57" t="s">
        <v>1281</v>
      </c>
      <c r="BO288" s="57" t="s">
        <v>1281</v>
      </c>
      <c r="BP288" s="57" t="s">
        <v>1281</v>
      </c>
      <c r="BQ288" s="57" t="s">
        <v>1281</v>
      </c>
      <c r="BR288" s="57" t="s">
        <v>1281</v>
      </c>
      <c r="BS288" s="57" t="s">
        <v>1281</v>
      </c>
      <c r="BT288" s="57" t="s">
        <v>1281</v>
      </c>
      <c r="BU288" s="57" t="s">
        <v>1281</v>
      </c>
      <c r="BV288" s="70">
        <f>E288</f>
        <v>65</v>
      </c>
      <c r="BW288" s="71">
        <f>I288</f>
        <v>97</v>
      </c>
      <c r="BX288" s="72">
        <f>M288</f>
        <v>101</v>
      </c>
      <c r="BY288" s="71">
        <f>Q288</f>
        <v>132</v>
      </c>
      <c r="BZ288" s="72">
        <f>U288</f>
        <v>136</v>
      </c>
      <c r="CA288" s="71">
        <f>Y288</f>
        <v>172</v>
      </c>
      <c r="CB288" s="72">
        <f>AC288</f>
        <v>180</v>
      </c>
      <c r="CC288" s="71">
        <f>AG288</f>
        <v>217</v>
      </c>
      <c r="CD288" s="72">
        <f>AK288</f>
        <v>225</v>
      </c>
      <c r="CE288" s="71">
        <f>AO288</f>
        <v>274</v>
      </c>
      <c r="CF288" s="72">
        <f>AS288</f>
        <v>311</v>
      </c>
      <c r="CG288" s="71">
        <f>AW288</f>
        <v>340</v>
      </c>
      <c r="CH288" s="70">
        <f>G288</f>
        <v>96</v>
      </c>
      <c r="CI288" s="71">
        <f>K288</f>
        <v>100</v>
      </c>
      <c r="CJ288" s="72">
        <f>O288</f>
        <v>130</v>
      </c>
      <c r="CK288" s="72">
        <f>S288</f>
        <v>135</v>
      </c>
      <c r="CL288" s="72">
        <f>W288</f>
        <v>171</v>
      </c>
      <c r="CM288" s="72">
        <f>AA288</f>
        <v>179</v>
      </c>
      <c r="CN288" s="72">
        <f>AE288</f>
        <v>206</v>
      </c>
      <c r="CO288" s="72">
        <f>AI288</f>
        <v>219</v>
      </c>
      <c r="CP288" s="72">
        <f>AM288</f>
        <v>257</v>
      </c>
      <c r="CQ288" s="72">
        <f>AQ288</f>
        <v>306</v>
      </c>
      <c r="CR288" s="72">
        <f>AU288</f>
        <v>339</v>
      </c>
      <c r="CS288" s="72">
        <f>AY288</f>
        <v>352</v>
      </c>
      <c r="CT288" s="23">
        <f>M288-K288</f>
        <v>1</v>
      </c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  <c r="UW288" s="1"/>
      <c r="UX288" s="1"/>
      <c r="UY288" s="1"/>
      <c r="UZ288" s="1"/>
      <c r="VA288" s="1"/>
      <c r="VB288" s="1"/>
      <c r="VC288" s="1"/>
      <c r="VD288" s="1"/>
      <c r="VE288" s="1"/>
      <c r="VF288" s="1"/>
      <c r="VG288" s="1"/>
      <c r="VH288" s="1"/>
      <c r="VI288" s="1"/>
      <c r="VJ288" s="1"/>
      <c r="VK288" s="1"/>
      <c r="VL288" s="1"/>
      <c r="VM288" s="1"/>
      <c r="VN288" s="1"/>
      <c r="VO288" s="1"/>
      <c r="VP288" s="1"/>
      <c r="VQ288" s="1"/>
      <c r="VR288" s="1"/>
      <c r="VS288" s="1"/>
      <c r="VT288" s="1"/>
      <c r="VU288" s="1"/>
      <c r="VV288" s="1"/>
      <c r="VW288" s="1"/>
      <c r="VX288" s="1"/>
      <c r="VY288" s="1"/>
      <c r="VZ288" s="1"/>
      <c r="WA288" s="1"/>
      <c r="WB288" s="1"/>
      <c r="WC288" s="1"/>
      <c r="WD288" s="1"/>
      <c r="WE288" s="1"/>
      <c r="WF288" s="1"/>
      <c r="WG288" s="1"/>
      <c r="WH288" s="1"/>
      <c r="WI288" s="1"/>
      <c r="WJ288" s="1"/>
      <c r="WK288" s="1"/>
      <c r="WL288" s="1"/>
      <c r="WM288" s="1"/>
      <c r="WN288" s="1"/>
      <c r="WO288" s="1"/>
      <c r="WP288" s="1"/>
      <c r="WQ288" s="1"/>
      <c r="WR288" s="1"/>
      <c r="WS288" s="1"/>
      <c r="WT288" s="1"/>
      <c r="WU288" s="1"/>
      <c r="WV288" s="1"/>
      <c r="WW288" s="1"/>
      <c r="WX288" s="1"/>
      <c r="WY288" s="1"/>
      <c r="WZ288" s="1"/>
      <c r="XA288" s="1"/>
      <c r="XB288" s="1"/>
      <c r="XC288" s="1"/>
      <c r="XD288" s="1"/>
      <c r="XE288" s="1"/>
      <c r="XF288" s="1"/>
      <c r="XG288" s="1"/>
      <c r="XH288" s="1"/>
      <c r="XI288" s="1"/>
      <c r="XJ288" s="1"/>
      <c r="XK288" s="1"/>
      <c r="XL288" s="1"/>
      <c r="XM288" s="1"/>
      <c r="XN288" s="1"/>
      <c r="XO288" s="1"/>
      <c r="XP288" s="1"/>
      <c r="XQ288" s="1"/>
      <c r="XR288" s="1"/>
      <c r="XS288" s="1"/>
      <c r="XT288" s="1"/>
      <c r="XU288" s="1"/>
      <c r="XV288" s="1"/>
      <c r="XW288" s="1"/>
      <c r="XX288" s="1"/>
      <c r="XY288" s="1"/>
      <c r="XZ288" s="1"/>
      <c r="YA288" s="1"/>
      <c r="YB288" s="1"/>
      <c r="YC288" s="1"/>
      <c r="YD288" s="1"/>
      <c r="YE288" s="1"/>
      <c r="YF288" s="1"/>
      <c r="YG288" s="1"/>
      <c r="YH288" s="1"/>
      <c r="YI288" s="1"/>
      <c r="YJ288" s="1"/>
      <c r="YK288" s="1"/>
      <c r="YL288" s="1"/>
      <c r="YM288" s="1"/>
      <c r="YN288" s="1"/>
      <c r="YO288" s="1"/>
      <c r="YP288" s="1"/>
      <c r="YQ288" s="1"/>
      <c r="YR288" s="1"/>
      <c r="YS288" s="1"/>
      <c r="YT288" s="1"/>
      <c r="YU288" s="1"/>
      <c r="YV288" s="1"/>
      <c r="YW288" s="1"/>
      <c r="YX288" s="1"/>
      <c r="YY288" s="1"/>
      <c r="YZ288" s="1"/>
      <c r="ZA288" s="1"/>
      <c r="ZB288" s="1"/>
      <c r="ZC288" s="1"/>
      <c r="ZD288" s="1"/>
      <c r="ZE288" s="1"/>
      <c r="ZF288" s="1"/>
      <c r="ZG288" s="1"/>
      <c r="ZH288" s="1"/>
      <c r="ZI288" s="1"/>
      <c r="ZJ288" s="1"/>
      <c r="ZK288" s="1"/>
      <c r="ZL288" s="1"/>
      <c r="ZM288" s="1"/>
      <c r="ZN288" s="1"/>
      <c r="ZO288" s="1"/>
      <c r="ZP288" s="1"/>
      <c r="ZQ288" s="1"/>
      <c r="ZR288" s="1"/>
      <c r="ZS288" s="1"/>
      <c r="ZT288" s="1"/>
      <c r="ZU288" s="1"/>
      <c r="ZV288" s="1"/>
      <c r="ZW288" s="1"/>
      <c r="ZX288" s="1"/>
      <c r="ZY288" s="1"/>
      <c r="ZZ288" s="1"/>
      <c r="AAA288" s="1"/>
      <c r="AAB288" s="1"/>
      <c r="AAC288" s="1"/>
      <c r="AAD288" s="1"/>
      <c r="AAE288" s="1"/>
      <c r="AAF288" s="1"/>
      <c r="AAG288" s="1"/>
      <c r="AAH288" s="1"/>
      <c r="AAI288" s="1"/>
      <c r="AAJ288" s="1"/>
      <c r="AAK288" s="1"/>
      <c r="AAL288" s="1"/>
      <c r="AAM288" s="1"/>
      <c r="AAN288" s="1"/>
      <c r="AAO288" s="1"/>
      <c r="AAP288" s="1"/>
      <c r="AAQ288" s="1"/>
      <c r="AAR288" s="1"/>
      <c r="AAS288" s="1"/>
      <c r="AAT288" s="1"/>
      <c r="AAU288" s="1"/>
      <c r="AAV288" s="1"/>
      <c r="AAW288" s="1"/>
      <c r="AAX288" s="1"/>
      <c r="AAY288" s="1"/>
      <c r="AAZ288" s="1"/>
      <c r="ABA288" s="1"/>
      <c r="ABB288" s="1"/>
      <c r="ABC288" s="1"/>
      <c r="ABD288" s="1"/>
      <c r="ABE288" s="1"/>
      <c r="ABF288" s="1"/>
      <c r="ABG288" s="1"/>
      <c r="ABH288" s="1"/>
      <c r="ABI288" s="1"/>
      <c r="ABJ288" s="1"/>
      <c r="ABK288" s="1"/>
      <c r="ABL288" s="1"/>
      <c r="ABM288" s="1"/>
      <c r="ABN288" s="1"/>
      <c r="ABO288" s="1"/>
      <c r="ABP288" s="1"/>
      <c r="ABQ288" s="1"/>
      <c r="ABR288" s="1"/>
      <c r="ABS288" s="1"/>
      <c r="ABT288" s="1"/>
      <c r="ABU288" s="1"/>
      <c r="ABV288" s="1"/>
      <c r="ABW288" s="1"/>
      <c r="ABX288" s="1"/>
      <c r="ABY288" s="1"/>
      <c r="ABZ288" s="1"/>
      <c r="ACA288" s="1"/>
      <c r="ACB288" s="1"/>
      <c r="ACC288" s="1"/>
      <c r="ACD288" s="1"/>
      <c r="ACE288" s="1"/>
      <c r="ACF288" s="1"/>
      <c r="ACG288" s="1"/>
      <c r="ACH288" s="1"/>
      <c r="ACI288" s="1"/>
      <c r="ACJ288" s="1"/>
      <c r="ACK288" s="1"/>
      <c r="ACL288" s="1"/>
      <c r="ACM288" s="1"/>
      <c r="ACN288" s="1"/>
      <c r="ACO288" s="1"/>
      <c r="ACP288" s="1"/>
      <c r="ACQ288" s="1"/>
      <c r="ACR288" s="1"/>
      <c r="ACS288" s="1"/>
      <c r="ACT288" s="1"/>
      <c r="ACU288" s="1"/>
      <c r="ACV288" s="1"/>
      <c r="ACW288" s="1"/>
      <c r="ACX288" s="1"/>
      <c r="ACY288" s="1"/>
      <c r="ACZ288" s="1"/>
      <c r="ADA288" s="1"/>
      <c r="ADB288" s="1"/>
      <c r="ADC288" s="1"/>
      <c r="ADD288" s="1"/>
      <c r="ADE288" s="1"/>
      <c r="ADF288" s="1"/>
      <c r="ADG288" s="1"/>
      <c r="ADH288" s="1"/>
      <c r="ADI288" s="1"/>
      <c r="ADJ288" s="1"/>
      <c r="ADK288" s="1"/>
      <c r="ADL288" s="1"/>
      <c r="ADM288" s="1"/>
      <c r="ADN288" s="1"/>
      <c r="ADO288" s="1"/>
      <c r="ADP288" s="1"/>
      <c r="ADQ288" s="1"/>
      <c r="ADR288" s="1"/>
      <c r="ADS288" s="1"/>
      <c r="ADT288" s="1"/>
      <c r="ADU288" s="1"/>
      <c r="ADV288" s="1"/>
      <c r="ADW288" s="1"/>
      <c r="ADX288" s="1"/>
      <c r="ADY288" s="1"/>
      <c r="ADZ288" s="1"/>
      <c r="AEA288" s="1"/>
      <c r="AEB288" s="1"/>
      <c r="AEC288" s="1"/>
      <c r="AED288" s="1"/>
      <c r="AEE288" s="1"/>
      <c r="AEF288" s="1"/>
      <c r="AEG288" s="1"/>
      <c r="AEH288" s="1"/>
      <c r="AEI288" s="1"/>
      <c r="AEJ288" s="1"/>
      <c r="AEK288" s="1"/>
      <c r="AEL288" s="1"/>
      <c r="AEM288" s="1"/>
      <c r="AEN288" s="1"/>
      <c r="AEO288" s="1"/>
      <c r="AEP288" s="1"/>
      <c r="AEQ288" s="1"/>
      <c r="AER288" s="1"/>
      <c r="AES288" s="1"/>
      <c r="AET288" s="1"/>
      <c r="AEU288" s="1"/>
      <c r="AEV288" s="1"/>
      <c r="AEW288" s="1"/>
      <c r="AEX288" s="1"/>
      <c r="AEY288" s="1"/>
      <c r="AEZ288" s="1"/>
      <c r="AFA288" s="1"/>
      <c r="AFB288" s="1"/>
      <c r="AFC288" s="1"/>
      <c r="AFD288" s="1"/>
      <c r="AFE288" s="1"/>
      <c r="AFF288" s="1"/>
      <c r="AFG288" s="1"/>
      <c r="AFH288" s="1"/>
      <c r="AFI288" s="1"/>
      <c r="AFJ288" s="1"/>
      <c r="AFK288" s="1"/>
      <c r="AFL288" s="1"/>
      <c r="AFM288" s="1"/>
      <c r="AFN288" s="1"/>
      <c r="AFO288" s="1"/>
      <c r="AFP288" s="1"/>
      <c r="AFQ288" s="1"/>
      <c r="AFR288" s="1"/>
      <c r="AFS288" s="1"/>
      <c r="AFT288" s="1"/>
      <c r="AFU288" s="1"/>
      <c r="AFV288" s="1"/>
      <c r="AFW288" s="1"/>
      <c r="AFX288" s="1"/>
      <c r="AFY288" s="1"/>
      <c r="AFZ288" s="1"/>
      <c r="AGA288" s="1"/>
      <c r="AGB288" s="1"/>
      <c r="AGC288" s="1"/>
      <c r="AGD288" s="1"/>
      <c r="AGE288" s="1"/>
      <c r="AGF288" s="1"/>
      <c r="AGG288" s="1"/>
      <c r="AGH288" s="1"/>
      <c r="AGI288" s="1"/>
      <c r="AGJ288" s="1"/>
      <c r="AGK288" s="1"/>
      <c r="AGL288" s="1"/>
      <c r="AGM288" s="1"/>
      <c r="AGN288" s="1"/>
      <c r="AGO288" s="1"/>
      <c r="AGP288" s="1"/>
      <c r="AGQ288" s="1"/>
      <c r="AGR288" s="1"/>
      <c r="AGS288" s="1"/>
      <c r="AGT288" s="1"/>
      <c r="AGU288" s="1"/>
      <c r="AGV288" s="1"/>
      <c r="AGW288" s="1"/>
      <c r="AGX288" s="1"/>
      <c r="AGY288" s="1"/>
      <c r="AGZ288" s="1"/>
      <c r="AHA288" s="1"/>
      <c r="AHB288" s="1"/>
      <c r="AHC288" s="1"/>
      <c r="AHD288" s="1"/>
      <c r="AHE288" s="1"/>
      <c r="AHF288" s="1"/>
      <c r="AHG288" s="1"/>
      <c r="AHH288" s="1"/>
      <c r="AHI288" s="1"/>
      <c r="AHJ288" s="1"/>
      <c r="AHK288" s="1"/>
      <c r="AHL288" s="1"/>
      <c r="AHM288" s="1"/>
      <c r="AHN288" s="1"/>
      <c r="AHO288" s="1"/>
      <c r="AHP288" s="1"/>
      <c r="AHQ288" s="1"/>
      <c r="AHR288" s="1"/>
      <c r="AHS288" s="1"/>
      <c r="AHT288" s="1"/>
      <c r="AHU288" s="1"/>
      <c r="AHV288" s="1"/>
      <c r="AHW288" s="1"/>
      <c r="AHX288" s="1"/>
      <c r="AHY288" s="1"/>
      <c r="AHZ288" s="1"/>
      <c r="AIA288" s="1"/>
      <c r="AIB288" s="1"/>
      <c r="AIC288" s="1"/>
      <c r="AID288" s="1"/>
      <c r="AIE288" s="1"/>
      <c r="AIF288" s="1"/>
      <c r="AIG288" s="1"/>
      <c r="AIH288" s="1"/>
      <c r="AII288" s="1"/>
      <c r="AIJ288" s="1"/>
      <c r="AIK288" s="1"/>
      <c r="AIL288" s="1"/>
      <c r="AIM288" s="1"/>
      <c r="AIN288" s="1"/>
      <c r="AIO288" s="1"/>
      <c r="AIP288" s="1"/>
      <c r="AIQ288" s="1"/>
      <c r="AIR288" s="1"/>
      <c r="AIS288" s="1"/>
      <c r="AIT288" s="1"/>
      <c r="AIU288" s="1"/>
      <c r="AIV288" s="1"/>
      <c r="AIW288" s="1"/>
      <c r="AIX288" s="1"/>
      <c r="AIY288" s="1"/>
      <c r="AIZ288" s="1"/>
      <c r="AJA288" s="1"/>
      <c r="AJB288" s="1"/>
      <c r="AJC288" s="1"/>
      <c r="AJD288" s="1"/>
      <c r="AJE288" s="1"/>
      <c r="AJF288" s="1"/>
      <c r="AJG288" s="1"/>
      <c r="AJH288" s="1"/>
      <c r="AJI288" s="1"/>
      <c r="AJJ288" s="1"/>
      <c r="AJK288" s="1"/>
      <c r="AJL288" s="1"/>
      <c r="AJM288" s="1"/>
      <c r="AJN288" s="1"/>
      <c r="AJO288" s="1"/>
      <c r="AJP288" s="1"/>
      <c r="AJQ288" s="1"/>
      <c r="AJR288" s="1"/>
      <c r="AJS288" s="1"/>
      <c r="AJT288" s="1"/>
      <c r="AJU288" s="1"/>
      <c r="AJV288" s="1"/>
      <c r="AJW288" s="1"/>
      <c r="AJX288" s="1"/>
      <c r="AJY288" s="1"/>
      <c r="AJZ288" s="1"/>
      <c r="AKA288" s="1"/>
      <c r="AKB288" s="1"/>
      <c r="AKC288" s="1"/>
      <c r="AKD288" s="1"/>
      <c r="AKE288" s="1"/>
      <c r="AKF288" s="1"/>
      <c r="AKG288" s="1"/>
      <c r="AKH288" s="1"/>
      <c r="AKI288" s="1"/>
      <c r="AKJ288" s="1"/>
      <c r="AKK288" s="1"/>
      <c r="AKL288" s="1"/>
      <c r="AKM288" s="1"/>
      <c r="AKN288" s="1"/>
      <c r="AKO288" s="1"/>
      <c r="AKP288" s="1"/>
      <c r="AKQ288" s="1"/>
      <c r="AKR288" s="1"/>
      <c r="AKS288" s="1"/>
      <c r="AKT288" s="1"/>
      <c r="AKU288" s="1"/>
      <c r="AKV288" s="1"/>
      <c r="AKW288" s="1"/>
      <c r="AKX288" s="1"/>
      <c r="AKY288" s="1"/>
      <c r="AKZ288" s="1"/>
      <c r="ALA288" s="1"/>
      <c r="ALB288" s="1"/>
      <c r="ALC288" s="1"/>
      <c r="ALD288" s="1"/>
      <c r="ALE288" s="1"/>
      <c r="ALF288" s="1"/>
      <c r="ALG288" s="1"/>
      <c r="ALH288" s="1"/>
      <c r="ALI288" s="1"/>
      <c r="ALJ288" s="1"/>
      <c r="ALK288" s="1"/>
      <c r="ALL288" s="1"/>
      <c r="ALM288" s="1"/>
      <c r="ALN288" s="1"/>
      <c r="ALO288" s="1"/>
      <c r="ALP288" s="1"/>
      <c r="ALQ288" s="1"/>
      <c r="ALR288" s="1"/>
      <c r="ALS288" s="1"/>
      <c r="ALT288" s="1"/>
      <c r="ALU288" s="1"/>
      <c r="ALV288" s="1"/>
      <c r="ALW288" s="1"/>
      <c r="ALX288" s="1"/>
      <c r="ALY288" s="1"/>
      <c r="ALZ288" s="1"/>
      <c r="AMA288" s="1"/>
      <c r="AMB288" s="1"/>
      <c r="AMC288" s="1"/>
      <c r="AMD288" s="1"/>
      <c r="AME288" s="1"/>
      <c r="AMF288" s="1"/>
      <c r="AMG288" s="1"/>
      <c r="AMH288" s="1"/>
      <c r="AMI288" s="1"/>
      <c r="AMJ288" s="1"/>
      <c r="AMK288" s="1"/>
      <c r="AML288" s="1"/>
      <c r="AMM288" s="1"/>
      <c r="AMN288" s="1"/>
      <c r="AMO288" s="1"/>
    </row>
    <row r="289" spans="1:1030" x14ac:dyDescent="0.2">
      <c r="A289" s="3" t="str">
        <f>CONCATENATE(B289,"_",C289)</f>
        <v>oprm_mouse_5C1M</v>
      </c>
      <c r="B289" s="3" t="s">
        <v>911</v>
      </c>
      <c r="C289" s="3" t="s">
        <v>84</v>
      </c>
      <c r="D289" s="3" t="str">
        <f>IFERROR(MID(VLOOKUP($B289,Seqs!$A:$B,2,0),E289,1),"")</f>
        <v>M</v>
      </c>
      <c r="E289" s="3">
        <v>65</v>
      </c>
      <c r="F289" s="3" t="str">
        <f>IFERROR(MID(VLOOKUP($B289,Seqs!$A:$B,2,0),G289,1),"")</f>
        <v>Y</v>
      </c>
      <c r="G289" s="3">
        <v>96</v>
      </c>
      <c r="H289" s="3" t="str">
        <f>IFERROR(MID(VLOOKUP($B289,Seqs!$A:$B,2,0),I289,1),"")</f>
        <v/>
      </c>
      <c r="I289" s="23" t="s">
        <v>23</v>
      </c>
      <c r="J289" s="3" t="str">
        <f>IFERROR(MID(VLOOKUP($B289,Seqs!$A:$B,2,0),K289,1),"")</f>
        <v/>
      </c>
      <c r="K289" s="23" t="s">
        <v>23</v>
      </c>
      <c r="L289" s="3" t="str">
        <f>IFERROR(MID(VLOOKUP($B289,Seqs!$A:$B,2,0),M289,1),"")</f>
        <v>T</v>
      </c>
      <c r="M289" s="3">
        <v>101</v>
      </c>
      <c r="N289" s="3" t="str">
        <f>IFERROR(MID(VLOOKUP($B289,Seqs!$A:$B,2,0),O289,1),"")</f>
        <v>M</v>
      </c>
      <c r="O289" s="3">
        <v>130</v>
      </c>
      <c r="P289" s="3" t="str">
        <f>IFERROR(MID(VLOOKUP($B289,Seqs!$A:$B,2,0),Q289,1),"")</f>
        <v>T</v>
      </c>
      <c r="Q289" s="3">
        <v>132</v>
      </c>
      <c r="R289" s="3" t="str">
        <f>IFERROR(MID(VLOOKUP($B289,Seqs!$A:$B,2,0),S289,1),"")</f>
        <v>F</v>
      </c>
      <c r="S289" s="3">
        <v>135</v>
      </c>
      <c r="T289" s="3" t="str">
        <f>IFERROR(MID(VLOOKUP($B289,Seqs!$A:$B,2,0),U289,1),"")</f>
        <v>G</v>
      </c>
      <c r="U289" s="3">
        <v>136</v>
      </c>
      <c r="V289" s="3" t="str">
        <f>IFERROR(MID(VLOOKUP($B289,Seqs!$A:$B,2,0),W289,1),"")</f>
        <v>H</v>
      </c>
      <c r="W289" s="3">
        <v>171</v>
      </c>
      <c r="X289" s="3" t="str">
        <f>IFERROR(MID(VLOOKUP($B289,Seqs!$A:$B,2,0),Y289,1),"")</f>
        <v>P</v>
      </c>
      <c r="Y289" s="3">
        <v>172</v>
      </c>
      <c r="Z289" s="3" t="str">
        <f>IFERROR(MID(VLOOKUP($B289,Seqs!$A:$B,2,0),AA289,1),"")</f>
        <v>R</v>
      </c>
      <c r="AA289" s="3">
        <v>179</v>
      </c>
      <c r="AB289" s="3" t="str">
        <f>IFERROR(MID(VLOOKUP($B289,Seqs!$A:$B,2,0),AC289,1),"")</f>
        <v>T</v>
      </c>
      <c r="AC289" s="3">
        <v>180</v>
      </c>
      <c r="AD289" s="3" t="str">
        <f>IFERROR(MID(VLOOKUP($B289,Seqs!$A:$B,2,0),AE289,1),"")</f>
        <v>A</v>
      </c>
      <c r="AE289" s="3">
        <v>206</v>
      </c>
      <c r="AF289" s="3" t="str">
        <f>IFERROR(MID(VLOOKUP($B289,Seqs!$A:$B,2,0),AG289,1),"")</f>
        <v>C</v>
      </c>
      <c r="AG289" s="3">
        <v>217</v>
      </c>
      <c r="AH289" s="3" t="str">
        <f>IFERROR(MID(VLOOKUP($B289,Seqs!$A:$B,2,0),AI289,1),"")</f>
        <v>L</v>
      </c>
      <c r="AI289" s="3">
        <v>219</v>
      </c>
      <c r="AJ289" s="3" t="str">
        <f>IFERROR(MID(VLOOKUP($B289,Seqs!$A:$B,2,0),AK289,1),"")</f>
        <v>T</v>
      </c>
      <c r="AK289" s="3">
        <v>225</v>
      </c>
      <c r="AL289" s="3" t="str">
        <f>IFERROR(MID(VLOOKUP($B289,Seqs!$A:$B,2,0),AM289,1),"")</f>
        <v>V</v>
      </c>
      <c r="AM289" s="3">
        <v>262</v>
      </c>
      <c r="AN289" s="3" t="str">
        <f>IFERROR(MID(VLOOKUP($B289,Seqs!$A:$B,2,0),AO289,1),"")</f>
        <v>S</v>
      </c>
      <c r="AO289" s="3">
        <v>268</v>
      </c>
      <c r="AP289" s="3" t="str">
        <f>IFERROR(MID(VLOOKUP($B289,Seqs!$A:$B,2,0),AQ289,1),"")</f>
        <v>I</v>
      </c>
      <c r="AQ289" s="3">
        <v>306</v>
      </c>
      <c r="AR289" s="3" t="str">
        <f>IFERROR(MID(VLOOKUP($B289,Seqs!$A:$B,2,0),AS289,1),"")</f>
        <v>T</v>
      </c>
      <c r="AS289" s="3">
        <v>311</v>
      </c>
      <c r="AT289" s="3" t="str">
        <f>IFERROR(MID(VLOOKUP($B289,Seqs!$A:$B,2,0),AU289,1),"")</f>
        <v>P</v>
      </c>
      <c r="AU289" s="3">
        <v>333</v>
      </c>
      <c r="AV289" s="3" t="str">
        <f>IFERROR(MID(VLOOKUP($B289,Seqs!$A:$B,2,0),AW289,1),"")</f>
        <v/>
      </c>
      <c r="AW289" s="3" t="s">
        <v>23</v>
      </c>
      <c r="AX289" s="3" t="str">
        <f>IFERROR(MID(VLOOKUP($B289,Seqs!$A:$B,2,0),AY289,1),"")</f>
        <v/>
      </c>
      <c r="AY289" s="3" t="s">
        <v>23</v>
      </c>
      <c r="AZ289" s="77" t="str">
        <f>VLOOKUP(B289,Classification!A:D,2,0)</f>
        <v>A</v>
      </c>
      <c r="BA289" s="94" t="str">
        <f>VLOOKUP(B289,Classification!A:D,4,0)</f>
        <v>Opioid</v>
      </c>
      <c r="BB289" s="27" t="b">
        <f t="shared" si="1074"/>
        <v>1</v>
      </c>
      <c r="BC289" s="23">
        <f t="shared" si="1057"/>
        <v>242</v>
      </c>
      <c r="BD289" s="5" t="s">
        <v>1369</v>
      </c>
      <c r="BE289" s="3" t="s">
        <v>1285</v>
      </c>
      <c r="BF289" s="118">
        <v>2.1</v>
      </c>
      <c r="BG289" s="49" t="s">
        <v>1371</v>
      </c>
      <c r="BH289" s="49" t="s">
        <v>1371</v>
      </c>
      <c r="BI289" s="1"/>
      <c r="BJ289" s="70" t="s">
        <v>1281</v>
      </c>
      <c r="BK289" s="57" t="s">
        <v>1281</v>
      </c>
      <c r="BL289" s="57" t="s">
        <v>1281</v>
      </c>
      <c r="BM289" s="57" t="s">
        <v>1281</v>
      </c>
      <c r="BN289" s="57" t="s">
        <v>1281</v>
      </c>
      <c r="BO289" s="57" t="s">
        <v>1281</v>
      </c>
      <c r="BP289" s="57" t="s">
        <v>1281</v>
      </c>
      <c r="BQ289" s="57" t="s">
        <v>1281</v>
      </c>
      <c r="BR289" s="57" t="s">
        <v>1281</v>
      </c>
      <c r="BS289" s="57" t="s">
        <v>1281</v>
      </c>
      <c r="BT289" s="57" t="s">
        <v>1281</v>
      </c>
      <c r="BU289" s="57" t="s">
        <v>1281</v>
      </c>
      <c r="BV289" s="70">
        <f>E289</f>
        <v>65</v>
      </c>
      <c r="BW289" s="71" t="str">
        <f>I289</f>
        <v>-</v>
      </c>
      <c r="BX289" s="72">
        <f>M289</f>
        <v>101</v>
      </c>
      <c r="BY289" s="71">
        <f>Q289</f>
        <v>132</v>
      </c>
      <c r="BZ289" s="72">
        <f>U289</f>
        <v>136</v>
      </c>
      <c r="CA289" s="71">
        <f>Y289</f>
        <v>172</v>
      </c>
      <c r="CB289" s="72">
        <f>AC289</f>
        <v>180</v>
      </c>
      <c r="CC289" s="71">
        <f>AG289</f>
        <v>217</v>
      </c>
      <c r="CD289" s="72">
        <f>AK289</f>
        <v>225</v>
      </c>
      <c r="CE289" s="71">
        <f>AO289</f>
        <v>268</v>
      </c>
      <c r="CF289" s="72">
        <f>AS289</f>
        <v>311</v>
      </c>
      <c r="CG289" s="71" t="str">
        <f>AW289</f>
        <v>-</v>
      </c>
      <c r="CH289" s="70">
        <f>G289</f>
        <v>96</v>
      </c>
      <c r="CI289" s="71" t="str">
        <f>K289</f>
        <v>-</v>
      </c>
      <c r="CJ289" s="72">
        <f>O289</f>
        <v>130</v>
      </c>
      <c r="CK289" s="72">
        <f>S289</f>
        <v>135</v>
      </c>
      <c r="CL289" s="72">
        <f>W289</f>
        <v>171</v>
      </c>
      <c r="CM289" s="72">
        <f>AA289</f>
        <v>179</v>
      </c>
      <c r="CN289" s="72">
        <f>AE289</f>
        <v>206</v>
      </c>
      <c r="CO289" s="72">
        <f>AI289</f>
        <v>219</v>
      </c>
      <c r="CP289" s="72">
        <f>AM289</f>
        <v>262</v>
      </c>
      <c r="CQ289" s="72">
        <f>AQ289</f>
        <v>306</v>
      </c>
      <c r="CR289" s="72">
        <f>AU289</f>
        <v>333</v>
      </c>
      <c r="CS289" s="72" t="str">
        <f>AY289</f>
        <v>-</v>
      </c>
      <c r="CT289" s="23" t="e">
        <f>M289-K289</f>
        <v>#VALUE!</v>
      </c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  <c r="UX289" s="1"/>
      <c r="UY289" s="1"/>
      <c r="UZ289" s="1"/>
      <c r="VA289" s="1"/>
      <c r="VB289" s="1"/>
      <c r="VC289" s="1"/>
      <c r="VD289" s="1"/>
      <c r="VE289" s="1"/>
      <c r="VF289" s="1"/>
      <c r="VG289" s="1"/>
      <c r="VH289" s="1"/>
      <c r="VI289" s="1"/>
      <c r="VJ289" s="1"/>
      <c r="VK289" s="1"/>
      <c r="VL289" s="1"/>
      <c r="VM289" s="1"/>
      <c r="VN289" s="1"/>
      <c r="VO289" s="1"/>
      <c r="VP289" s="1"/>
      <c r="VQ289" s="1"/>
      <c r="VR289" s="1"/>
      <c r="VS289" s="1"/>
      <c r="VT289" s="1"/>
      <c r="VU289" s="1"/>
      <c r="VV289" s="1"/>
      <c r="VW289" s="1"/>
      <c r="VX289" s="1"/>
      <c r="VY289" s="1"/>
      <c r="VZ289" s="1"/>
      <c r="WA289" s="1"/>
      <c r="WB289" s="1"/>
      <c r="WC289" s="1"/>
      <c r="WD289" s="1"/>
      <c r="WE289" s="1"/>
      <c r="WF289" s="1"/>
      <c r="WG289" s="1"/>
      <c r="WH289" s="1"/>
      <c r="WI289" s="1"/>
      <c r="WJ289" s="1"/>
      <c r="WK289" s="1"/>
      <c r="WL289" s="1"/>
      <c r="WM289" s="1"/>
      <c r="WN289" s="1"/>
      <c r="WO289" s="1"/>
      <c r="WP289" s="1"/>
      <c r="WQ289" s="1"/>
      <c r="WR289" s="1"/>
      <c r="WS289" s="1"/>
      <c r="WT289" s="1"/>
      <c r="WU289" s="1"/>
      <c r="WV289" s="1"/>
      <c r="WW289" s="1"/>
      <c r="WX289" s="1"/>
      <c r="WY289" s="1"/>
      <c r="WZ289" s="1"/>
      <c r="XA289" s="1"/>
      <c r="XB289" s="1"/>
      <c r="XC289" s="1"/>
      <c r="XD289" s="1"/>
      <c r="XE289" s="1"/>
      <c r="XF289" s="1"/>
      <c r="XG289" s="1"/>
      <c r="XH289" s="1"/>
      <c r="XI289" s="1"/>
      <c r="XJ289" s="1"/>
      <c r="XK289" s="1"/>
      <c r="XL289" s="1"/>
      <c r="XM289" s="1"/>
      <c r="XN289" s="1"/>
      <c r="XO289" s="1"/>
      <c r="XP289" s="1"/>
      <c r="XQ289" s="1"/>
      <c r="XR289" s="1"/>
      <c r="XS289" s="1"/>
      <c r="XT289" s="1"/>
      <c r="XU289" s="1"/>
      <c r="XV289" s="1"/>
      <c r="XW289" s="1"/>
      <c r="XX289" s="1"/>
      <c r="XY289" s="1"/>
      <c r="XZ289" s="1"/>
      <c r="YA289" s="1"/>
      <c r="YB289" s="1"/>
      <c r="YC289" s="1"/>
      <c r="YD289" s="1"/>
      <c r="YE289" s="1"/>
      <c r="YF289" s="1"/>
      <c r="YG289" s="1"/>
      <c r="YH289" s="1"/>
      <c r="YI289" s="1"/>
      <c r="YJ289" s="1"/>
      <c r="YK289" s="1"/>
      <c r="YL289" s="1"/>
      <c r="YM289" s="1"/>
      <c r="YN289" s="1"/>
      <c r="YO289" s="1"/>
      <c r="YP289" s="1"/>
      <c r="YQ289" s="1"/>
      <c r="YR289" s="1"/>
      <c r="YS289" s="1"/>
      <c r="YT289" s="1"/>
      <c r="YU289" s="1"/>
      <c r="YV289" s="1"/>
      <c r="YW289" s="1"/>
      <c r="YX289" s="1"/>
      <c r="YY289" s="1"/>
      <c r="YZ289" s="1"/>
      <c r="ZA289" s="1"/>
      <c r="ZB289" s="1"/>
      <c r="ZC289" s="1"/>
      <c r="ZD289" s="1"/>
      <c r="ZE289" s="1"/>
      <c r="ZF289" s="1"/>
      <c r="ZG289" s="1"/>
      <c r="ZH289" s="1"/>
      <c r="ZI289" s="1"/>
      <c r="ZJ289" s="1"/>
      <c r="ZK289" s="1"/>
      <c r="ZL289" s="1"/>
      <c r="ZM289" s="1"/>
      <c r="ZN289" s="1"/>
      <c r="ZO289" s="1"/>
      <c r="ZP289" s="1"/>
      <c r="ZQ289" s="1"/>
      <c r="ZR289" s="1"/>
      <c r="ZS289" s="1"/>
      <c r="ZT289" s="1"/>
      <c r="ZU289" s="1"/>
      <c r="ZV289" s="1"/>
      <c r="ZW289" s="1"/>
      <c r="ZX289" s="1"/>
      <c r="ZY289" s="1"/>
      <c r="ZZ289" s="1"/>
      <c r="AAA289" s="1"/>
      <c r="AAB289" s="1"/>
      <c r="AAC289" s="1"/>
      <c r="AAD289" s="1"/>
      <c r="AAE289" s="1"/>
      <c r="AAF289" s="1"/>
      <c r="AAG289" s="1"/>
      <c r="AAH289" s="1"/>
      <c r="AAI289" s="1"/>
      <c r="AAJ289" s="1"/>
      <c r="AAK289" s="1"/>
      <c r="AAL289" s="1"/>
      <c r="AAM289" s="1"/>
      <c r="AAN289" s="1"/>
      <c r="AAO289" s="1"/>
      <c r="AAP289" s="1"/>
      <c r="AAQ289" s="1"/>
      <c r="AAR289" s="1"/>
      <c r="AAS289" s="1"/>
      <c r="AAT289" s="1"/>
      <c r="AAU289" s="1"/>
      <c r="AAV289" s="1"/>
      <c r="AAW289" s="1"/>
      <c r="AAX289" s="1"/>
      <c r="AAY289" s="1"/>
      <c r="AAZ289" s="1"/>
      <c r="ABA289" s="1"/>
      <c r="ABB289" s="1"/>
      <c r="ABC289" s="1"/>
      <c r="ABD289" s="1"/>
      <c r="ABE289" s="1"/>
      <c r="ABF289" s="1"/>
      <c r="ABG289" s="1"/>
      <c r="ABH289" s="1"/>
      <c r="ABI289" s="1"/>
      <c r="ABJ289" s="1"/>
      <c r="ABK289" s="1"/>
      <c r="ABL289" s="1"/>
      <c r="ABM289" s="1"/>
      <c r="ABN289" s="1"/>
      <c r="ABO289" s="1"/>
      <c r="ABP289" s="1"/>
      <c r="ABQ289" s="1"/>
      <c r="ABR289" s="1"/>
      <c r="ABS289" s="1"/>
      <c r="ABT289" s="1"/>
      <c r="ABU289" s="1"/>
      <c r="ABV289" s="1"/>
      <c r="ABW289" s="1"/>
      <c r="ABX289" s="1"/>
      <c r="ABY289" s="1"/>
      <c r="ABZ289" s="1"/>
      <c r="ACA289" s="1"/>
      <c r="ACB289" s="1"/>
      <c r="ACC289" s="1"/>
      <c r="ACD289" s="1"/>
      <c r="ACE289" s="1"/>
      <c r="ACF289" s="1"/>
      <c r="ACG289" s="1"/>
      <c r="ACH289" s="1"/>
      <c r="ACI289" s="1"/>
      <c r="ACJ289" s="1"/>
      <c r="ACK289" s="1"/>
      <c r="ACL289" s="1"/>
      <c r="ACM289" s="1"/>
      <c r="ACN289" s="1"/>
      <c r="ACO289" s="1"/>
      <c r="ACP289" s="1"/>
      <c r="ACQ289" s="1"/>
      <c r="ACR289" s="1"/>
      <c r="ACS289" s="1"/>
      <c r="ACT289" s="1"/>
      <c r="ACU289" s="1"/>
      <c r="ACV289" s="1"/>
      <c r="ACW289" s="1"/>
      <c r="ACX289" s="1"/>
      <c r="ACY289" s="1"/>
      <c r="ACZ289" s="1"/>
      <c r="ADA289" s="1"/>
      <c r="ADB289" s="1"/>
      <c r="ADC289" s="1"/>
      <c r="ADD289" s="1"/>
      <c r="ADE289" s="1"/>
      <c r="ADF289" s="1"/>
      <c r="ADG289" s="1"/>
      <c r="ADH289" s="1"/>
      <c r="ADI289" s="1"/>
      <c r="ADJ289" s="1"/>
      <c r="ADK289" s="1"/>
      <c r="ADL289" s="1"/>
      <c r="ADM289" s="1"/>
      <c r="ADN289" s="1"/>
      <c r="ADO289" s="1"/>
      <c r="ADP289" s="1"/>
      <c r="ADQ289" s="1"/>
      <c r="ADR289" s="1"/>
      <c r="ADS289" s="1"/>
      <c r="ADT289" s="1"/>
      <c r="ADU289" s="1"/>
      <c r="ADV289" s="1"/>
      <c r="ADW289" s="1"/>
      <c r="ADX289" s="1"/>
      <c r="ADY289" s="1"/>
      <c r="ADZ289" s="1"/>
      <c r="AEA289" s="1"/>
      <c r="AEB289" s="1"/>
      <c r="AEC289" s="1"/>
      <c r="AED289" s="1"/>
      <c r="AEE289" s="1"/>
      <c r="AEF289" s="1"/>
      <c r="AEG289" s="1"/>
      <c r="AEH289" s="1"/>
      <c r="AEI289" s="1"/>
      <c r="AEJ289" s="1"/>
      <c r="AEK289" s="1"/>
      <c r="AEL289" s="1"/>
      <c r="AEM289" s="1"/>
      <c r="AEN289" s="1"/>
      <c r="AEO289" s="1"/>
      <c r="AEP289" s="1"/>
      <c r="AEQ289" s="1"/>
      <c r="AER289" s="1"/>
      <c r="AES289" s="1"/>
      <c r="AET289" s="1"/>
      <c r="AEU289" s="1"/>
      <c r="AEV289" s="1"/>
      <c r="AEW289" s="1"/>
      <c r="AEX289" s="1"/>
      <c r="AEY289" s="1"/>
      <c r="AEZ289" s="1"/>
      <c r="AFA289" s="1"/>
      <c r="AFB289" s="1"/>
      <c r="AFC289" s="1"/>
      <c r="AFD289" s="1"/>
      <c r="AFE289" s="1"/>
      <c r="AFF289" s="1"/>
      <c r="AFG289" s="1"/>
      <c r="AFH289" s="1"/>
      <c r="AFI289" s="1"/>
      <c r="AFJ289" s="1"/>
      <c r="AFK289" s="1"/>
      <c r="AFL289" s="1"/>
      <c r="AFM289" s="1"/>
      <c r="AFN289" s="1"/>
      <c r="AFO289" s="1"/>
      <c r="AFP289" s="1"/>
      <c r="AFQ289" s="1"/>
      <c r="AFR289" s="1"/>
      <c r="AFS289" s="1"/>
      <c r="AFT289" s="1"/>
      <c r="AFU289" s="1"/>
      <c r="AFV289" s="1"/>
      <c r="AFW289" s="1"/>
      <c r="AFX289" s="1"/>
      <c r="AFY289" s="1"/>
      <c r="AFZ289" s="1"/>
      <c r="AGA289" s="1"/>
      <c r="AGB289" s="1"/>
      <c r="AGC289" s="1"/>
      <c r="AGD289" s="1"/>
      <c r="AGE289" s="1"/>
      <c r="AGF289" s="1"/>
      <c r="AGG289" s="1"/>
      <c r="AGH289" s="1"/>
      <c r="AGI289" s="1"/>
      <c r="AGJ289" s="1"/>
      <c r="AGK289" s="1"/>
      <c r="AGL289" s="1"/>
      <c r="AGM289" s="1"/>
      <c r="AGN289" s="1"/>
      <c r="AGO289" s="1"/>
      <c r="AGP289" s="1"/>
      <c r="AGQ289" s="1"/>
      <c r="AGR289" s="1"/>
      <c r="AGS289" s="1"/>
      <c r="AGT289" s="1"/>
      <c r="AGU289" s="1"/>
      <c r="AGV289" s="1"/>
      <c r="AGW289" s="1"/>
      <c r="AGX289" s="1"/>
      <c r="AGY289" s="1"/>
      <c r="AGZ289" s="1"/>
      <c r="AHA289" s="1"/>
      <c r="AHB289" s="1"/>
      <c r="AHC289" s="1"/>
      <c r="AHD289" s="1"/>
      <c r="AHE289" s="1"/>
      <c r="AHF289" s="1"/>
      <c r="AHG289" s="1"/>
      <c r="AHH289" s="1"/>
      <c r="AHI289" s="1"/>
      <c r="AHJ289" s="1"/>
      <c r="AHK289" s="1"/>
      <c r="AHL289" s="1"/>
      <c r="AHM289" s="1"/>
      <c r="AHN289" s="1"/>
      <c r="AHO289" s="1"/>
      <c r="AHP289" s="1"/>
      <c r="AHQ289" s="1"/>
      <c r="AHR289" s="1"/>
      <c r="AHS289" s="1"/>
      <c r="AHT289" s="1"/>
      <c r="AHU289" s="1"/>
      <c r="AHV289" s="1"/>
      <c r="AHW289" s="1"/>
      <c r="AHX289" s="1"/>
      <c r="AHY289" s="1"/>
      <c r="AHZ289" s="1"/>
      <c r="AIA289" s="1"/>
      <c r="AIB289" s="1"/>
      <c r="AIC289" s="1"/>
      <c r="AID289" s="1"/>
      <c r="AIE289" s="1"/>
      <c r="AIF289" s="1"/>
      <c r="AIG289" s="1"/>
      <c r="AIH289" s="1"/>
      <c r="AII289" s="1"/>
      <c r="AIJ289" s="1"/>
      <c r="AIK289" s="1"/>
      <c r="AIL289" s="1"/>
      <c r="AIM289" s="1"/>
      <c r="AIN289" s="1"/>
      <c r="AIO289" s="1"/>
      <c r="AIP289" s="1"/>
      <c r="AIQ289" s="1"/>
      <c r="AIR289" s="1"/>
      <c r="AIS289" s="1"/>
      <c r="AIT289" s="1"/>
      <c r="AIU289" s="1"/>
      <c r="AIV289" s="1"/>
      <c r="AIW289" s="1"/>
      <c r="AIX289" s="1"/>
      <c r="AIY289" s="1"/>
      <c r="AIZ289" s="1"/>
      <c r="AJA289" s="1"/>
      <c r="AJB289" s="1"/>
      <c r="AJC289" s="1"/>
      <c r="AJD289" s="1"/>
      <c r="AJE289" s="1"/>
      <c r="AJF289" s="1"/>
      <c r="AJG289" s="1"/>
      <c r="AJH289" s="1"/>
      <c r="AJI289" s="1"/>
      <c r="AJJ289" s="1"/>
      <c r="AJK289" s="1"/>
      <c r="AJL289" s="1"/>
      <c r="AJM289" s="1"/>
      <c r="AJN289" s="1"/>
      <c r="AJO289" s="1"/>
      <c r="AJP289" s="1"/>
      <c r="AJQ289" s="1"/>
      <c r="AJR289" s="1"/>
      <c r="AJS289" s="1"/>
      <c r="AJT289" s="1"/>
      <c r="AJU289" s="1"/>
      <c r="AJV289" s="1"/>
      <c r="AJW289" s="1"/>
      <c r="AJX289" s="1"/>
      <c r="AJY289" s="1"/>
      <c r="AJZ289" s="1"/>
      <c r="AKA289" s="1"/>
      <c r="AKB289" s="1"/>
      <c r="AKC289" s="1"/>
      <c r="AKD289" s="1"/>
      <c r="AKE289" s="1"/>
      <c r="AKF289" s="1"/>
      <c r="AKG289" s="1"/>
      <c r="AKH289" s="1"/>
      <c r="AKI289" s="1"/>
      <c r="AKJ289" s="1"/>
      <c r="AKK289" s="1"/>
      <c r="AKL289" s="1"/>
      <c r="AKM289" s="1"/>
      <c r="AKN289" s="1"/>
      <c r="AKO289" s="1"/>
      <c r="AKP289" s="1"/>
      <c r="AKQ289" s="1"/>
      <c r="AKR289" s="1"/>
      <c r="AKS289" s="1"/>
      <c r="AKT289" s="1"/>
      <c r="AKU289" s="1"/>
      <c r="AKV289" s="1"/>
      <c r="AKW289" s="1"/>
      <c r="AKX289" s="1"/>
      <c r="AKY289" s="1"/>
      <c r="AKZ289" s="1"/>
      <c r="ALA289" s="1"/>
      <c r="ALB289" s="1"/>
      <c r="ALC289" s="1"/>
      <c r="ALD289" s="1"/>
      <c r="ALE289" s="1"/>
      <c r="ALF289" s="1"/>
      <c r="ALG289" s="1"/>
      <c r="ALH289" s="1"/>
      <c r="ALI289" s="1"/>
      <c r="ALJ289" s="1"/>
      <c r="ALK289" s="1"/>
      <c r="ALL289" s="1"/>
      <c r="ALM289" s="1"/>
      <c r="ALN289" s="1"/>
      <c r="ALO289" s="1"/>
      <c r="ALP289" s="1"/>
      <c r="ALQ289" s="1"/>
      <c r="ALR289" s="1"/>
      <c r="ALS289" s="1"/>
      <c r="ALT289" s="1"/>
      <c r="ALU289" s="1"/>
      <c r="ALV289" s="1"/>
      <c r="ALW289" s="1"/>
      <c r="ALX289" s="1"/>
      <c r="ALY289" s="1"/>
      <c r="ALZ289" s="1"/>
      <c r="AMA289" s="1"/>
      <c r="AMB289" s="1"/>
      <c r="AMC289" s="1"/>
      <c r="AMD289" s="1"/>
      <c r="AME289" s="1"/>
      <c r="AMF289" s="1"/>
      <c r="AMG289" s="1"/>
      <c r="AMH289" s="1"/>
      <c r="AMI289" s="1"/>
      <c r="AMJ289" s="1"/>
      <c r="AMK289" s="1"/>
      <c r="AML289" s="1"/>
      <c r="AMM289" s="1"/>
      <c r="AMN289" s="1"/>
      <c r="AMO289" s="1"/>
    </row>
    <row r="290" spans="1:1030" x14ac:dyDescent="0.2">
      <c r="A290" s="3" t="str">
        <f>CONCATENATE(B290,"_",C290)</f>
        <v>oprm_mouse_6DDE</v>
      </c>
      <c r="B290" s="3" t="s">
        <v>911</v>
      </c>
      <c r="C290" s="3" t="s">
        <v>1494</v>
      </c>
      <c r="D290" s="3" t="str">
        <f>IFERROR(MID(VLOOKUP($B290,Seqs!$A:$B,2,0),E290,1),"")</f>
        <v>T</v>
      </c>
      <c r="E290" s="3">
        <v>67</v>
      </c>
      <c r="F290" s="3" t="str">
        <f>IFERROR(MID(VLOOKUP($B290,Seqs!$A:$B,2,0),G290,1),"")</f>
        <v>K</v>
      </c>
      <c r="G290" s="3">
        <v>98</v>
      </c>
      <c r="H290" s="3" t="str">
        <f>IFERROR(MID(VLOOKUP($B290,Seqs!$A:$B,2,0),I290,1),"")</f>
        <v/>
      </c>
      <c r="I290" s="23" t="s">
        <v>23</v>
      </c>
      <c r="J290" s="3" t="str">
        <f>IFERROR(MID(VLOOKUP($B290,Seqs!$A:$B,2,0),K290,1),"")</f>
        <v/>
      </c>
      <c r="K290" s="23" t="s">
        <v>23</v>
      </c>
      <c r="L290" s="3" t="str">
        <f>IFERROR(MID(VLOOKUP($B290,Seqs!$A:$B,2,0),M290,1),"")</f>
        <v>A</v>
      </c>
      <c r="M290" s="3">
        <v>102</v>
      </c>
      <c r="N290" s="3" t="str">
        <f>IFERROR(MID(VLOOKUP($B290,Seqs!$A:$B,2,0),O290,1),"")</f>
        <v>G</v>
      </c>
      <c r="O290" s="3">
        <v>131</v>
      </c>
      <c r="P290" s="3" t="str">
        <f>IFERROR(MID(VLOOKUP($B290,Seqs!$A:$B,2,0),Q290,1),"")</f>
        <v>T</v>
      </c>
      <c r="Q290" s="3">
        <v>132</v>
      </c>
      <c r="R290" s="3" t="str">
        <f>IFERROR(MID(VLOOKUP($B290,Seqs!$A:$B,2,0),S290,1),"")</f>
        <v>F</v>
      </c>
      <c r="S290" s="3">
        <v>135</v>
      </c>
      <c r="T290" s="3" t="str">
        <f>IFERROR(MID(VLOOKUP($B290,Seqs!$A:$B,2,0),U290,1),"")</f>
        <v>G</v>
      </c>
      <c r="U290" s="3">
        <v>136</v>
      </c>
      <c r="V290" s="3" t="str">
        <f>IFERROR(MID(VLOOKUP($B290,Seqs!$A:$B,2,0),W290,1),"")</f>
        <v>H</v>
      </c>
      <c r="W290" s="3">
        <v>171</v>
      </c>
      <c r="X290" s="3" t="str">
        <f>IFERROR(MID(VLOOKUP($B290,Seqs!$A:$B,2,0),Y290,1),"")</f>
        <v>P</v>
      </c>
      <c r="Y290" s="3">
        <v>172</v>
      </c>
      <c r="Z290" s="3" t="str">
        <f>IFERROR(MID(VLOOKUP($B290,Seqs!$A:$B,2,0),AA290,1),"")</f>
        <v>R</v>
      </c>
      <c r="AA290" s="3">
        <v>179</v>
      </c>
      <c r="AB290" s="3" t="str">
        <f>IFERROR(MID(VLOOKUP($B290,Seqs!$A:$B,2,0),AC290,1),"")</f>
        <v>T</v>
      </c>
      <c r="AC290" s="3">
        <v>180</v>
      </c>
      <c r="AD290" s="3" t="str">
        <f>IFERROR(MID(VLOOKUP($B290,Seqs!$A:$B,2,0),AE290,1),"")</f>
        <v>F</v>
      </c>
      <c r="AE290" s="3">
        <v>204</v>
      </c>
      <c r="AF290" s="3" t="str">
        <f>IFERROR(MID(VLOOKUP($B290,Seqs!$A:$B,2,0),AG290,1),"")</f>
        <v>C</v>
      </c>
      <c r="AG290" s="3">
        <v>217</v>
      </c>
      <c r="AH290" s="3" t="str">
        <f>IFERROR(MID(VLOOKUP($B290,Seqs!$A:$B,2,0),AI290,1),"")</f>
        <v>L</v>
      </c>
      <c r="AI290" s="3">
        <v>219</v>
      </c>
      <c r="AJ290" s="3" t="str">
        <f>IFERROR(MID(VLOOKUP($B290,Seqs!$A:$B,2,0),AK290,1),"")</f>
        <v>Y</v>
      </c>
      <c r="AK290" s="3">
        <v>227</v>
      </c>
      <c r="AL290" s="3" t="str">
        <f>IFERROR(MID(VLOOKUP($B290,Seqs!$A:$B,2,0),AM290,1),"")</f>
        <v>V</v>
      </c>
      <c r="AM290" s="3">
        <v>262</v>
      </c>
      <c r="AN290" s="3" t="str">
        <f>IFERROR(MID(VLOOKUP($B290,Seqs!$A:$B,2,0),AO290,1),"")</f>
        <v>S</v>
      </c>
      <c r="AO290" s="3">
        <v>268</v>
      </c>
      <c r="AP290" s="3" t="str">
        <f>IFERROR(MID(VLOOKUP($B290,Seqs!$A:$B,2,0),AQ290,1),"")</f>
        <v>I</v>
      </c>
      <c r="AQ290" s="3">
        <v>306</v>
      </c>
      <c r="AR290" s="3" t="str">
        <f>IFERROR(MID(VLOOKUP($B290,Seqs!$A:$B,2,0),AS290,1),"")</f>
        <v>F</v>
      </c>
      <c r="AS290" s="3">
        <v>313</v>
      </c>
      <c r="AT290" s="3" t="str">
        <f>IFERROR(MID(VLOOKUP($B290,Seqs!$A:$B,2,0),AU290,1),"")</f>
        <v>Y</v>
      </c>
      <c r="AU290" s="3">
        <v>336</v>
      </c>
      <c r="AV290" s="3" t="str">
        <f>IFERROR(MID(VLOOKUP($B290,Seqs!$A:$B,2,0),AW290,1),"")</f>
        <v/>
      </c>
      <c r="AW290" s="3" t="s">
        <v>23</v>
      </c>
      <c r="AX290" s="3" t="str">
        <f>IFERROR(MID(VLOOKUP($B290,Seqs!$A:$B,2,0),AY290,1),"")</f>
        <v/>
      </c>
      <c r="AY290" s="3" t="s">
        <v>23</v>
      </c>
      <c r="AZ290" s="77" t="str">
        <f>VLOOKUP(B290,Classification!A:D,2,0)</f>
        <v>A</v>
      </c>
      <c r="BA290" s="94" t="str">
        <f>VLOOKUP(B290,Classification!A:D,4,0)</f>
        <v>Opioid</v>
      </c>
      <c r="BB290" s="27" t="b">
        <f>AND(E290&lt;G290,OR(G290&lt;I290,I290="-"),OR(I290&lt;K290,I290="-"),OR(K290&lt;M290,K290="-"),M290&lt;O290,OR(O290&lt;Q290,Q290="-"),OR(Q290&lt;S290,Q290="-"),OR(S290&lt;U290,S290="-"),U290&lt;W290,OR(W290&lt;Y290,Y290="-"),OR(Y290&lt;AA290,Y290="-"),OR(AA290&lt;AC290,AA290="-"),AC290&lt;AE290,OR(AE290&lt;AG290,AG290="-"),OR(AG290&lt;AI290,AG290="-"),OR(AI290&lt;AK290,AI290="-"),AK290&lt;AM290,AM290&lt;AO290,AO290&lt;AQ290,AQ290&lt;AS290,AS290&lt;AU290,OR(AU290&lt;AW290,AW290="-"),OR(AW290&lt;AY290,AW290="-"))</f>
        <v>1</v>
      </c>
      <c r="BC290" s="23">
        <f>_xlfn.AGGREGATE(9,6,CH290:CS290)-_xlfn.AGGREGATE(9,6,BV290:CG290)+12</f>
        <v>239</v>
      </c>
      <c r="BD290" s="5" t="s">
        <v>23</v>
      </c>
      <c r="BE290" s="3" t="s">
        <v>1285</v>
      </c>
      <c r="BF290" s="118">
        <v>3.5</v>
      </c>
      <c r="BG290" s="49" t="s">
        <v>1416</v>
      </c>
      <c r="BH290" s="49" t="s">
        <v>1416</v>
      </c>
      <c r="BI290" s="1"/>
      <c r="BJ290" s="70" t="s">
        <v>1281</v>
      </c>
      <c r="BK290" s="57" t="s">
        <v>1281</v>
      </c>
      <c r="BL290" s="57" t="s">
        <v>1281</v>
      </c>
      <c r="BM290" s="57" t="s">
        <v>1281</v>
      </c>
      <c r="BN290" s="57" t="s">
        <v>1281</v>
      </c>
      <c r="BO290" s="57" t="s">
        <v>1281</v>
      </c>
      <c r="BP290" s="57" t="s">
        <v>1281</v>
      </c>
      <c r="BQ290" s="57" t="s">
        <v>1281</v>
      </c>
      <c r="BR290" s="57" t="s">
        <v>1281</v>
      </c>
      <c r="BS290" s="57" t="s">
        <v>1281</v>
      </c>
      <c r="BT290" s="57" t="s">
        <v>1281</v>
      </c>
      <c r="BU290" s="57" t="s">
        <v>1281</v>
      </c>
      <c r="BV290" s="70">
        <f>E290</f>
        <v>67</v>
      </c>
      <c r="BW290" s="71" t="str">
        <f>I290</f>
        <v>-</v>
      </c>
      <c r="BX290" s="72">
        <f>M290</f>
        <v>102</v>
      </c>
      <c r="BY290" s="71">
        <f>Q290</f>
        <v>132</v>
      </c>
      <c r="BZ290" s="72">
        <f>U290</f>
        <v>136</v>
      </c>
      <c r="CA290" s="71">
        <f>Y290</f>
        <v>172</v>
      </c>
      <c r="CB290" s="72">
        <f>AC290</f>
        <v>180</v>
      </c>
      <c r="CC290" s="71">
        <f>AG290</f>
        <v>217</v>
      </c>
      <c r="CD290" s="72">
        <f>AK290</f>
        <v>227</v>
      </c>
      <c r="CE290" s="71">
        <f>AO290</f>
        <v>268</v>
      </c>
      <c r="CF290" s="72">
        <f>AS290</f>
        <v>313</v>
      </c>
      <c r="CG290" s="71" t="str">
        <f>AW290</f>
        <v>-</v>
      </c>
      <c r="CH290" s="70">
        <f>G290</f>
        <v>98</v>
      </c>
      <c r="CI290" s="71" t="str">
        <f>K290</f>
        <v>-</v>
      </c>
      <c r="CJ290" s="72">
        <f>O290</f>
        <v>131</v>
      </c>
      <c r="CK290" s="72">
        <f>S290</f>
        <v>135</v>
      </c>
      <c r="CL290" s="72">
        <f>W290</f>
        <v>171</v>
      </c>
      <c r="CM290" s="72">
        <f>AA290</f>
        <v>179</v>
      </c>
      <c r="CN290" s="72">
        <f>AE290</f>
        <v>204</v>
      </c>
      <c r="CO290" s="72">
        <f>AI290</f>
        <v>219</v>
      </c>
      <c r="CP290" s="72">
        <f>AM290</f>
        <v>262</v>
      </c>
      <c r="CQ290" s="72">
        <f>AQ290</f>
        <v>306</v>
      </c>
      <c r="CR290" s="72">
        <f>AU290</f>
        <v>336</v>
      </c>
      <c r="CS290" s="72" t="str">
        <f>AY290</f>
        <v>-</v>
      </c>
      <c r="CT290" s="23" t="e">
        <f>M290-K290</f>
        <v>#VALUE!</v>
      </c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  <c r="UX290" s="1"/>
      <c r="UY290" s="1"/>
      <c r="UZ290" s="1"/>
      <c r="VA290" s="1"/>
      <c r="VB290" s="1"/>
      <c r="VC290" s="1"/>
      <c r="VD290" s="1"/>
      <c r="VE290" s="1"/>
      <c r="VF290" s="1"/>
      <c r="VG290" s="1"/>
      <c r="VH290" s="1"/>
      <c r="VI290" s="1"/>
      <c r="VJ290" s="1"/>
      <c r="VK290" s="1"/>
      <c r="VL290" s="1"/>
      <c r="VM290" s="1"/>
      <c r="VN290" s="1"/>
      <c r="VO290" s="1"/>
      <c r="VP290" s="1"/>
      <c r="VQ290" s="1"/>
      <c r="VR290" s="1"/>
      <c r="VS290" s="1"/>
      <c r="VT290" s="1"/>
      <c r="VU290" s="1"/>
      <c r="VV290" s="1"/>
      <c r="VW290" s="1"/>
      <c r="VX290" s="1"/>
      <c r="VY290" s="1"/>
      <c r="VZ290" s="1"/>
      <c r="WA290" s="1"/>
      <c r="WB290" s="1"/>
      <c r="WC290" s="1"/>
      <c r="WD290" s="1"/>
      <c r="WE290" s="1"/>
      <c r="WF290" s="1"/>
      <c r="WG290" s="1"/>
      <c r="WH290" s="1"/>
      <c r="WI290" s="1"/>
      <c r="WJ290" s="1"/>
      <c r="WK290" s="1"/>
      <c r="WL290" s="1"/>
      <c r="WM290" s="1"/>
      <c r="WN290" s="1"/>
      <c r="WO290" s="1"/>
      <c r="WP290" s="1"/>
      <c r="WQ290" s="1"/>
      <c r="WR290" s="1"/>
      <c r="WS290" s="1"/>
      <c r="WT290" s="1"/>
      <c r="WU290" s="1"/>
      <c r="WV290" s="1"/>
      <c r="WW290" s="1"/>
      <c r="WX290" s="1"/>
      <c r="WY290" s="1"/>
      <c r="WZ290" s="1"/>
      <c r="XA290" s="1"/>
      <c r="XB290" s="1"/>
      <c r="XC290" s="1"/>
      <c r="XD290" s="1"/>
      <c r="XE290" s="1"/>
      <c r="XF290" s="1"/>
      <c r="XG290" s="1"/>
      <c r="XH290" s="1"/>
      <c r="XI290" s="1"/>
      <c r="XJ290" s="1"/>
      <c r="XK290" s="1"/>
      <c r="XL290" s="1"/>
      <c r="XM290" s="1"/>
      <c r="XN290" s="1"/>
      <c r="XO290" s="1"/>
      <c r="XP290" s="1"/>
      <c r="XQ290" s="1"/>
      <c r="XR290" s="1"/>
      <c r="XS290" s="1"/>
      <c r="XT290" s="1"/>
      <c r="XU290" s="1"/>
      <c r="XV290" s="1"/>
      <c r="XW290" s="1"/>
      <c r="XX290" s="1"/>
      <c r="XY290" s="1"/>
      <c r="XZ290" s="1"/>
      <c r="YA290" s="1"/>
      <c r="YB290" s="1"/>
      <c r="YC290" s="1"/>
      <c r="YD290" s="1"/>
      <c r="YE290" s="1"/>
      <c r="YF290" s="1"/>
      <c r="YG290" s="1"/>
      <c r="YH290" s="1"/>
      <c r="YI290" s="1"/>
      <c r="YJ290" s="1"/>
      <c r="YK290" s="1"/>
      <c r="YL290" s="1"/>
      <c r="YM290" s="1"/>
      <c r="YN290" s="1"/>
      <c r="YO290" s="1"/>
      <c r="YP290" s="1"/>
      <c r="YQ290" s="1"/>
      <c r="YR290" s="1"/>
      <c r="YS290" s="1"/>
      <c r="YT290" s="1"/>
      <c r="YU290" s="1"/>
      <c r="YV290" s="1"/>
      <c r="YW290" s="1"/>
      <c r="YX290" s="1"/>
      <c r="YY290" s="1"/>
      <c r="YZ290" s="1"/>
      <c r="ZA290" s="1"/>
      <c r="ZB290" s="1"/>
      <c r="ZC290" s="1"/>
      <c r="ZD290" s="1"/>
      <c r="ZE290" s="1"/>
      <c r="ZF290" s="1"/>
      <c r="ZG290" s="1"/>
      <c r="ZH290" s="1"/>
      <c r="ZI290" s="1"/>
      <c r="ZJ290" s="1"/>
      <c r="ZK290" s="1"/>
      <c r="ZL290" s="1"/>
      <c r="ZM290" s="1"/>
      <c r="ZN290" s="1"/>
      <c r="ZO290" s="1"/>
      <c r="ZP290" s="1"/>
      <c r="ZQ290" s="1"/>
      <c r="ZR290" s="1"/>
      <c r="ZS290" s="1"/>
      <c r="ZT290" s="1"/>
      <c r="ZU290" s="1"/>
      <c r="ZV290" s="1"/>
      <c r="ZW290" s="1"/>
      <c r="ZX290" s="1"/>
      <c r="ZY290" s="1"/>
      <c r="ZZ290" s="1"/>
      <c r="AAA290" s="1"/>
      <c r="AAB290" s="1"/>
      <c r="AAC290" s="1"/>
      <c r="AAD290" s="1"/>
      <c r="AAE290" s="1"/>
      <c r="AAF290" s="1"/>
      <c r="AAG290" s="1"/>
      <c r="AAH290" s="1"/>
      <c r="AAI290" s="1"/>
      <c r="AAJ290" s="1"/>
      <c r="AAK290" s="1"/>
      <c r="AAL290" s="1"/>
      <c r="AAM290" s="1"/>
      <c r="AAN290" s="1"/>
      <c r="AAO290" s="1"/>
      <c r="AAP290" s="1"/>
      <c r="AAQ290" s="1"/>
      <c r="AAR290" s="1"/>
      <c r="AAS290" s="1"/>
      <c r="AAT290" s="1"/>
      <c r="AAU290" s="1"/>
      <c r="AAV290" s="1"/>
      <c r="AAW290" s="1"/>
      <c r="AAX290" s="1"/>
      <c r="AAY290" s="1"/>
      <c r="AAZ290" s="1"/>
      <c r="ABA290" s="1"/>
      <c r="ABB290" s="1"/>
      <c r="ABC290" s="1"/>
      <c r="ABD290" s="1"/>
      <c r="ABE290" s="1"/>
      <c r="ABF290" s="1"/>
      <c r="ABG290" s="1"/>
      <c r="ABH290" s="1"/>
      <c r="ABI290" s="1"/>
      <c r="ABJ290" s="1"/>
      <c r="ABK290" s="1"/>
      <c r="ABL290" s="1"/>
      <c r="ABM290" s="1"/>
      <c r="ABN290" s="1"/>
      <c r="ABO290" s="1"/>
      <c r="ABP290" s="1"/>
      <c r="ABQ290" s="1"/>
      <c r="ABR290" s="1"/>
      <c r="ABS290" s="1"/>
      <c r="ABT290" s="1"/>
      <c r="ABU290" s="1"/>
      <c r="ABV290" s="1"/>
      <c r="ABW290" s="1"/>
      <c r="ABX290" s="1"/>
      <c r="ABY290" s="1"/>
      <c r="ABZ290" s="1"/>
      <c r="ACA290" s="1"/>
      <c r="ACB290" s="1"/>
      <c r="ACC290" s="1"/>
      <c r="ACD290" s="1"/>
      <c r="ACE290" s="1"/>
      <c r="ACF290" s="1"/>
      <c r="ACG290" s="1"/>
      <c r="ACH290" s="1"/>
      <c r="ACI290" s="1"/>
      <c r="ACJ290" s="1"/>
      <c r="ACK290" s="1"/>
      <c r="ACL290" s="1"/>
      <c r="ACM290" s="1"/>
      <c r="ACN290" s="1"/>
      <c r="ACO290" s="1"/>
      <c r="ACP290" s="1"/>
      <c r="ACQ290" s="1"/>
      <c r="ACR290" s="1"/>
      <c r="ACS290" s="1"/>
      <c r="ACT290" s="1"/>
      <c r="ACU290" s="1"/>
      <c r="ACV290" s="1"/>
      <c r="ACW290" s="1"/>
      <c r="ACX290" s="1"/>
      <c r="ACY290" s="1"/>
      <c r="ACZ290" s="1"/>
      <c r="ADA290" s="1"/>
      <c r="ADB290" s="1"/>
      <c r="ADC290" s="1"/>
      <c r="ADD290" s="1"/>
      <c r="ADE290" s="1"/>
      <c r="ADF290" s="1"/>
      <c r="ADG290" s="1"/>
      <c r="ADH290" s="1"/>
      <c r="ADI290" s="1"/>
      <c r="ADJ290" s="1"/>
      <c r="ADK290" s="1"/>
      <c r="ADL290" s="1"/>
      <c r="ADM290" s="1"/>
      <c r="ADN290" s="1"/>
      <c r="ADO290" s="1"/>
      <c r="ADP290" s="1"/>
      <c r="ADQ290" s="1"/>
      <c r="ADR290" s="1"/>
      <c r="ADS290" s="1"/>
      <c r="ADT290" s="1"/>
      <c r="ADU290" s="1"/>
      <c r="ADV290" s="1"/>
      <c r="ADW290" s="1"/>
      <c r="ADX290" s="1"/>
      <c r="ADY290" s="1"/>
      <c r="ADZ290" s="1"/>
      <c r="AEA290" s="1"/>
      <c r="AEB290" s="1"/>
      <c r="AEC290" s="1"/>
      <c r="AED290" s="1"/>
      <c r="AEE290" s="1"/>
      <c r="AEF290" s="1"/>
      <c r="AEG290" s="1"/>
      <c r="AEH290" s="1"/>
      <c r="AEI290" s="1"/>
      <c r="AEJ290" s="1"/>
      <c r="AEK290" s="1"/>
      <c r="AEL290" s="1"/>
      <c r="AEM290" s="1"/>
      <c r="AEN290" s="1"/>
      <c r="AEO290" s="1"/>
      <c r="AEP290" s="1"/>
      <c r="AEQ290" s="1"/>
      <c r="AER290" s="1"/>
      <c r="AES290" s="1"/>
      <c r="AET290" s="1"/>
      <c r="AEU290" s="1"/>
      <c r="AEV290" s="1"/>
      <c r="AEW290" s="1"/>
      <c r="AEX290" s="1"/>
      <c r="AEY290" s="1"/>
      <c r="AEZ290" s="1"/>
      <c r="AFA290" s="1"/>
      <c r="AFB290" s="1"/>
      <c r="AFC290" s="1"/>
      <c r="AFD290" s="1"/>
      <c r="AFE290" s="1"/>
      <c r="AFF290" s="1"/>
      <c r="AFG290" s="1"/>
      <c r="AFH290" s="1"/>
      <c r="AFI290" s="1"/>
      <c r="AFJ290" s="1"/>
      <c r="AFK290" s="1"/>
      <c r="AFL290" s="1"/>
      <c r="AFM290" s="1"/>
      <c r="AFN290" s="1"/>
      <c r="AFO290" s="1"/>
      <c r="AFP290" s="1"/>
      <c r="AFQ290" s="1"/>
      <c r="AFR290" s="1"/>
      <c r="AFS290" s="1"/>
      <c r="AFT290" s="1"/>
      <c r="AFU290" s="1"/>
      <c r="AFV290" s="1"/>
      <c r="AFW290" s="1"/>
      <c r="AFX290" s="1"/>
      <c r="AFY290" s="1"/>
      <c r="AFZ290" s="1"/>
      <c r="AGA290" s="1"/>
      <c r="AGB290" s="1"/>
      <c r="AGC290" s="1"/>
      <c r="AGD290" s="1"/>
      <c r="AGE290" s="1"/>
      <c r="AGF290" s="1"/>
      <c r="AGG290" s="1"/>
      <c r="AGH290" s="1"/>
      <c r="AGI290" s="1"/>
      <c r="AGJ290" s="1"/>
      <c r="AGK290" s="1"/>
      <c r="AGL290" s="1"/>
      <c r="AGM290" s="1"/>
      <c r="AGN290" s="1"/>
      <c r="AGO290" s="1"/>
      <c r="AGP290" s="1"/>
      <c r="AGQ290" s="1"/>
      <c r="AGR290" s="1"/>
      <c r="AGS290" s="1"/>
      <c r="AGT290" s="1"/>
      <c r="AGU290" s="1"/>
      <c r="AGV290" s="1"/>
      <c r="AGW290" s="1"/>
      <c r="AGX290" s="1"/>
      <c r="AGY290" s="1"/>
      <c r="AGZ290" s="1"/>
      <c r="AHA290" s="1"/>
      <c r="AHB290" s="1"/>
      <c r="AHC290" s="1"/>
      <c r="AHD290" s="1"/>
      <c r="AHE290" s="1"/>
      <c r="AHF290" s="1"/>
      <c r="AHG290" s="1"/>
      <c r="AHH290" s="1"/>
      <c r="AHI290" s="1"/>
      <c r="AHJ290" s="1"/>
      <c r="AHK290" s="1"/>
      <c r="AHL290" s="1"/>
      <c r="AHM290" s="1"/>
      <c r="AHN290" s="1"/>
      <c r="AHO290" s="1"/>
      <c r="AHP290" s="1"/>
      <c r="AHQ290" s="1"/>
      <c r="AHR290" s="1"/>
      <c r="AHS290" s="1"/>
      <c r="AHT290" s="1"/>
      <c r="AHU290" s="1"/>
      <c r="AHV290" s="1"/>
      <c r="AHW290" s="1"/>
      <c r="AHX290" s="1"/>
      <c r="AHY290" s="1"/>
      <c r="AHZ290" s="1"/>
      <c r="AIA290" s="1"/>
      <c r="AIB290" s="1"/>
      <c r="AIC290" s="1"/>
      <c r="AID290" s="1"/>
      <c r="AIE290" s="1"/>
      <c r="AIF290" s="1"/>
      <c r="AIG290" s="1"/>
      <c r="AIH290" s="1"/>
      <c r="AII290" s="1"/>
      <c r="AIJ290" s="1"/>
      <c r="AIK290" s="1"/>
      <c r="AIL290" s="1"/>
      <c r="AIM290" s="1"/>
      <c r="AIN290" s="1"/>
      <c r="AIO290" s="1"/>
      <c r="AIP290" s="1"/>
      <c r="AIQ290" s="1"/>
      <c r="AIR290" s="1"/>
      <c r="AIS290" s="1"/>
      <c r="AIT290" s="1"/>
      <c r="AIU290" s="1"/>
      <c r="AIV290" s="1"/>
      <c r="AIW290" s="1"/>
      <c r="AIX290" s="1"/>
      <c r="AIY290" s="1"/>
      <c r="AIZ290" s="1"/>
      <c r="AJA290" s="1"/>
      <c r="AJB290" s="1"/>
      <c r="AJC290" s="1"/>
      <c r="AJD290" s="1"/>
      <c r="AJE290" s="1"/>
      <c r="AJF290" s="1"/>
      <c r="AJG290" s="1"/>
      <c r="AJH290" s="1"/>
      <c r="AJI290" s="1"/>
      <c r="AJJ290" s="1"/>
      <c r="AJK290" s="1"/>
      <c r="AJL290" s="1"/>
      <c r="AJM290" s="1"/>
      <c r="AJN290" s="1"/>
      <c r="AJO290" s="1"/>
      <c r="AJP290" s="1"/>
      <c r="AJQ290" s="1"/>
      <c r="AJR290" s="1"/>
      <c r="AJS290" s="1"/>
      <c r="AJT290" s="1"/>
      <c r="AJU290" s="1"/>
      <c r="AJV290" s="1"/>
      <c r="AJW290" s="1"/>
      <c r="AJX290" s="1"/>
      <c r="AJY290" s="1"/>
      <c r="AJZ290" s="1"/>
      <c r="AKA290" s="1"/>
      <c r="AKB290" s="1"/>
      <c r="AKC290" s="1"/>
      <c r="AKD290" s="1"/>
      <c r="AKE290" s="1"/>
      <c r="AKF290" s="1"/>
      <c r="AKG290" s="1"/>
      <c r="AKH290" s="1"/>
      <c r="AKI290" s="1"/>
      <c r="AKJ290" s="1"/>
      <c r="AKK290" s="1"/>
      <c r="AKL290" s="1"/>
      <c r="AKM290" s="1"/>
      <c r="AKN290" s="1"/>
      <c r="AKO290" s="1"/>
      <c r="AKP290" s="1"/>
      <c r="AKQ290" s="1"/>
      <c r="AKR290" s="1"/>
      <c r="AKS290" s="1"/>
      <c r="AKT290" s="1"/>
      <c r="AKU290" s="1"/>
      <c r="AKV290" s="1"/>
      <c r="AKW290" s="1"/>
      <c r="AKX290" s="1"/>
      <c r="AKY290" s="1"/>
      <c r="AKZ290" s="1"/>
      <c r="ALA290" s="1"/>
      <c r="ALB290" s="1"/>
      <c r="ALC290" s="1"/>
      <c r="ALD290" s="1"/>
      <c r="ALE290" s="1"/>
      <c r="ALF290" s="1"/>
      <c r="ALG290" s="1"/>
      <c r="ALH290" s="1"/>
      <c r="ALI290" s="1"/>
      <c r="ALJ290" s="1"/>
      <c r="ALK290" s="1"/>
      <c r="ALL290" s="1"/>
      <c r="ALM290" s="1"/>
      <c r="ALN290" s="1"/>
      <c r="ALO290" s="1"/>
      <c r="ALP290" s="1"/>
      <c r="ALQ290" s="1"/>
      <c r="ALR290" s="1"/>
      <c r="ALS290" s="1"/>
      <c r="ALT290" s="1"/>
      <c r="ALU290" s="1"/>
      <c r="ALV290" s="1"/>
      <c r="ALW290" s="1"/>
      <c r="ALX290" s="1"/>
      <c r="ALY290" s="1"/>
      <c r="ALZ290" s="1"/>
      <c r="AMA290" s="1"/>
      <c r="AMB290" s="1"/>
      <c r="AMC290" s="1"/>
      <c r="AMD290" s="1"/>
      <c r="AME290" s="1"/>
      <c r="AMF290" s="1"/>
      <c r="AMG290" s="1"/>
      <c r="AMH290" s="1"/>
      <c r="AMI290" s="1"/>
      <c r="AMJ290" s="1"/>
      <c r="AMK290" s="1"/>
      <c r="AML290" s="1"/>
      <c r="AMM290" s="1"/>
      <c r="AMN290" s="1"/>
      <c r="AMO290" s="1"/>
    </row>
    <row r="291" spans="1:1030" x14ac:dyDescent="0.2">
      <c r="A291" s="3" t="str">
        <f>CONCATENATE(B291,"_",C291)</f>
        <v>oprm_mouse_6DDF</v>
      </c>
      <c r="B291" s="3" t="s">
        <v>911</v>
      </c>
      <c r="C291" s="3" t="s">
        <v>1495</v>
      </c>
      <c r="D291" s="3" t="str">
        <f>IFERROR(MID(VLOOKUP($B291,Seqs!$A:$B,2,0),E291,1),"")</f>
        <v>T</v>
      </c>
      <c r="E291" s="3">
        <v>67</v>
      </c>
      <c r="F291" s="3" t="str">
        <f>IFERROR(MID(VLOOKUP($B291,Seqs!$A:$B,2,0),G291,1),"")</f>
        <v>K</v>
      </c>
      <c r="G291" s="3">
        <v>98</v>
      </c>
      <c r="H291" s="3" t="str">
        <f>IFERROR(MID(VLOOKUP($B291,Seqs!$A:$B,2,0),I291,1),"")</f>
        <v/>
      </c>
      <c r="I291" s="23" t="s">
        <v>23</v>
      </c>
      <c r="J291" s="3" t="str">
        <f>IFERROR(MID(VLOOKUP($B291,Seqs!$A:$B,2,0),K291,1),"")</f>
        <v/>
      </c>
      <c r="K291" s="23" t="s">
        <v>23</v>
      </c>
      <c r="L291" s="3" t="str">
        <f>IFERROR(MID(VLOOKUP($B291,Seqs!$A:$B,2,0),M291,1),"")</f>
        <v>A</v>
      </c>
      <c r="M291" s="3">
        <v>102</v>
      </c>
      <c r="N291" s="3" t="str">
        <f>IFERROR(MID(VLOOKUP($B291,Seqs!$A:$B,2,0),O291,1),"")</f>
        <v>G</v>
      </c>
      <c r="O291" s="3">
        <v>131</v>
      </c>
      <c r="P291" s="3" t="str">
        <f>IFERROR(MID(VLOOKUP($B291,Seqs!$A:$B,2,0),Q291,1),"")</f>
        <v>T</v>
      </c>
      <c r="Q291" s="3">
        <v>132</v>
      </c>
      <c r="R291" s="3" t="str">
        <f>IFERROR(MID(VLOOKUP($B291,Seqs!$A:$B,2,0),S291,1),"")</f>
        <v>F</v>
      </c>
      <c r="S291" s="3">
        <v>135</v>
      </c>
      <c r="T291" s="3" t="str">
        <f>IFERROR(MID(VLOOKUP($B291,Seqs!$A:$B,2,0),U291,1),"")</f>
        <v>G</v>
      </c>
      <c r="U291" s="3">
        <v>136</v>
      </c>
      <c r="V291" s="3" t="str">
        <f>IFERROR(MID(VLOOKUP($B291,Seqs!$A:$B,2,0),W291,1),"")</f>
        <v>H</v>
      </c>
      <c r="W291" s="3">
        <v>171</v>
      </c>
      <c r="X291" s="3" t="str">
        <f>IFERROR(MID(VLOOKUP($B291,Seqs!$A:$B,2,0),Y291,1),"")</f>
        <v>P</v>
      </c>
      <c r="Y291" s="3">
        <v>172</v>
      </c>
      <c r="Z291" s="3" t="str">
        <f>IFERROR(MID(VLOOKUP($B291,Seqs!$A:$B,2,0),AA291,1),"")</f>
        <v>R</v>
      </c>
      <c r="AA291" s="3">
        <v>179</v>
      </c>
      <c r="AB291" s="3" t="str">
        <f>IFERROR(MID(VLOOKUP($B291,Seqs!$A:$B,2,0),AC291,1),"")</f>
        <v>T</v>
      </c>
      <c r="AC291" s="3">
        <v>180</v>
      </c>
      <c r="AD291" s="3" t="str">
        <f>IFERROR(MID(VLOOKUP($B291,Seqs!$A:$B,2,0),AE291,1),"")</f>
        <v>F</v>
      </c>
      <c r="AE291" s="3">
        <v>204</v>
      </c>
      <c r="AF291" s="3" t="str">
        <f>IFERROR(MID(VLOOKUP($B291,Seqs!$A:$B,2,0),AG291,1),"")</f>
        <v>C</v>
      </c>
      <c r="AG291" s="3">
        <v>217</v>
      </c>
      <c r="AH291" s="3" t="str">
        <f>IFERROR(MID(VLOOKUP($B291,Seqs!$A:$B,2,0),AI291,1),"")</f>
        <v>L</v>
      </c>
      <c r="AI291" s="3">
        <v>219</v>
      </c>
      <c r="AJ291" s="3" t="str">
        <f>IFERROR(MID(VLOOKUP($B291,Seqs!$A:$B,2,0),AK291,1),"")</f>
        <v>Y</v>
      </c>
      <c r="AK291" s="3">
        <v>227</v>
      </c>
      <c r="AL291" s="3" t="str">
        <f>IFERROR(MID(VLOOKUP($B291,Seqs!$A:$B,2,0),AM291,1),"")</f>
        <v>V</v>
      </c>
      <c r="AM291" s="3">
        <v>262</v>
      </c>
      <c r="AN291" s="3" t="str">
        <f>IFERROR(MID(VLOOKUP($B291,Seqs!$A:$B,2,0),AO291,1),"")</f>
        <v>S</v>
      </c>
      <c r="AO291" s="3">
        <v>268</v>
      </c>
      <c r="AP291" s="3" t="str">
        <f>IFERROR(MID(VLOOKUP($B291,Seqs!$A:$B,2,0),AQ291,1),"")</f>
        <v>I</v>
      </c>
      <c r="AQ291" s="3">
        <v>306</v>
      </c>
      <c r="AR291" s="3" t="str">
        <f>IFERROR(MID(VLOOKUP($B291,Seqs!$A:$B,2,0),AS291,1),"")</f>
        <v>F</v>
      </c>
      <c r="AS291" s="3">
        <v>313</v>
      </c>
      <c r="AT291" s="3" t="str">
        <f>IFERROR(MID(VLOOKUP($B291,Seqs!$A:$B,2,0),AU291,1),"")</f>
        <v>Y</v>
      </c>
      <c r="AU291" s="3">
        <v>336</v>
      </c>
      <c r="AV291" s="3" t="str">
        <f>IFERROR(MID(VLOOKUP($B291,Seqs!$A:$B,2,0),AW291,1),"")</f>
        <v/>
      </c>
      <c r="AW291" s="3" t="s">
        <v>23</v>
      </c>
      <c r="AX291" s="3" t="str">
        <f>IFERROR(MID(VLOOKUP($B291,Seqs!$A:$B,2,0),AY291,1),"")</f>
        <v/>
      </c>
      <c r="AY291" s="3" t="s">
        <v>23</v>
      </c>
      <c r="AZ291" s="77" t="str">
        <f>VLOOKUP(B291,Classification!A:D,2,0)</f>
        <v>A</v>
      </c>
      <c r="BA291" s="94" t="str">
        <f>VLOOKUP(B291,Classification!A:D,4,0)</f>
        <v>Opioid</v>
      </c>
      <c r="BB291" s="27" t="b">
        <f>AND(E291&lt;G291,OR(G291&lt;I291,I291="-"),OR(I291&lt;K291,I291="-"),OR(K291&lt;M291,K291="-"),M291&lt;O291,OR(O291&lt;Q291,Q291="-"),OR(Q291&lt;S291,Q291="-"),OR(S291&lt;U291,S291="-"),U291&lt;W291,OR(W291&lt;Y291,Y291="-"),OR(Y291&lt;AA291,Y291="-"),OR(AA291&lt;AC291,AA291="-"),AC291&lt;AE291,OR(AE291&lt;AG291,AG291="-"),OR(AG291&lt;AI291,AG291="-"),OR(AI291&lt;AK291,AI291="-"),AK291&lt;AM291,AM291&lt;AO291,AO291&lt;AQ291,AQ291&lt;AS291,AS291&lt;AU291,OR(AU291&lt;AW291,AW291="-"),OR(AW291&lt;AY291,AW291="-"))</f>
        <v>1</v>
      </c>
      <c r="BC291" s="23">
        <f>_xlfn.AGGREGATE(9,6,CH291:CS291)-_xlfn.AGGREGATE(9,6,BV291:CG291)+12</f>
        <v>239</v>
      </c>
      <c r="BD291" s="5" t="s">
        <v>23</v>
      </c>
      <c r="BE291" s="3" t="s">
        <v>1285</v>
      </c>
      <c r="BF291" s="118">
        <v>4.5</v>
      </c>
      <c r="BG291" s="49" t="s">
        <v>1416</v>
      </c>
      <c r="BH291" s="49" t="s">
        <v>1416</v>
      </c>
      <c r="BI291" s="1"/>
      <c r="BJ291" s="70" t="s">
        <v>1281</v>
      </c>
      <c r="BK291" s="57" t="s">
        <v>1281</v>
      </c>
      <c r="BL291" s="57" t="s">
        <v>1281</v>
      </c>
      <c r="BM291" s="57" t="s">
        <v>1281</v>
      </c>
      <c r="BN291" s="57" t="s">
        <v>1281</v>
      </c>
      <c r="BO291" s="57" t="s">
        <v>1281</v>
      </c>
      <c r="BP291" s="57" t="s">
        <v>1281</v>
      </c>
      <c r="BQ291" s="57" t="s">
        <v>1281</v>
      </c>
      <c r="BR291" s="57" t="s">
        <v>1281</v>
      </c>
      <c r="BS291" s="57" t="s">
        <v>1281</v>
      </c>
      <c r="BT291" s="57" t="s">
        <v>1281</v>
      </c>
      <c r="BU291" s="57" t="s">
        <v>1281</v>
      </c>
      <c r="BV291" s="70">
        <f>E291</f>
        <v>67</v>
      </c>
      <c r="BW291" s="71" t="str">
        <f>I291</f>
        <v>-</v>
      </c>
      <c r="BX291" s="72">
        <f>M291</f>
        <v>102</v>
      </c>
      <c r="BY291" s="71">
        <f>Q291</f>
        <v>132</v>
      </c>
      <c r="BZ291" s="72">
        <f>U291</f>
        <v>136</v>
      </c>
      <c r="CA291" s="71">
        <f>Y291</f>
        <v>172</v>
      </c>
      <c r="CB291" s="72">
        <f>AC291</f>
        <v>180</v>
      </c>
      <c r="CC291" s="71">
        <f>AG291</f>
        <v>217</v>
      </c>
      <c r="CD291" s="72">
        <f>AK291</f>
        <v>227</v>
      </c>
      <c r="CE291" s="71">
        <f>AO291</f>
        <v>268</v>
      </c>
      <c r="CF291" s="72">
        <f>AS291</f>
        <v>313</v>
      </c>
      <c r="CG291" s="71" t="str">
        <f>AW291</f>
        <v>-</v>
      </c>
      <c r="CH291" s="70">
        <f>G291</f>
        <v>98</v>
      </c>
      <c r="CI291" s="71" t="str">
        <f>K291</f>
        <v>-</v>
      </c>
      <c r="CJ291" s="72">
        <f>O291</f>
        <v>131</v>
      </c>
      <c r="CK291" s="72">
        <f>S291</f>
        <v>135</v>
      </c>
      <c r="CL291" s="72">
        <f>W291</f>
        <v>171</v>
      </c>
      <c r="CM291" s="72">
        <f>AA291</f>
        <v>179</v>
      </c>
      <c r="CN291" s="72">
        <f>AE291</f>
        <v>204</v>
      </c>
      <c r="CO291" s="72">
        <f>AI291</f>
        <v>219</v>
      </c>
      <c r="CP291" s="72">
        <f>AM291</f>
        <v>262</v>
      </c>
      <c r="CQ291" s="72">
        <f>AQ291</f>
        <v>306</v>
      </c>
      <c r="CR291" s="72">
        <f>AU291</f>
        <v>336</v>
      </c>
      <c r="CS291" s="72" t="str">
        <f>AY291</f>
        <v>-</v>
      </c>
      <c r="CT291" s="23" t="e">
        <f>M291-K291</f>
        <v>#VALUE!</v>
      </c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  <c r="US291" s="1"/>
      <c r="UT291" s="1"/>
      <c r="UU291" s="1"/>
      <c r="UV291" s="1"/>
      <c r="UW291" s="1"/>
      <c r="UX291" s="1"/>
      <c r="UY291" s="1"/>
      <c r="UZ291" s="1"/>
      <c r="VA291" s="1"/>
      <c r="VB291" s="1"/>
      <c r="VC291" s="1"/>
      <c r="VD291" s="1"/>
      <c r="VE291" s="1"/>
      <c r="VF291" s="1"/>
      <c r="VG291" s="1"/>
      <c r="VH291" s="1"/>
      <c r="VI291" s="1"/>
      <c r="VJ291" s="1"/>
      <c r="VK291" s="1"/>
      <c r="VL291" s="1"/>
      <c r="VM291" s="1"/>
      <c r="VN291" s="1"/>
      <c r="VO291" s="1"/>
      <c r="VP291" s="1"/>
      <c r="VQ291" s="1"/>
      <c r="VR291" s="1"/>
      <c r="VS291" s="1"/>
      <c r="VT291" s="1"/>
      <c r="VU291" s="1"/>
      <c r="VV291" s="1"/>
      <c r="VW291" s="1"/>
      <c r="VX291" s="1"/>
      <c r="VY291" s="1"/>
      <c r="VZ291" s="1"/>
      <c r="WA291" s="1"/>
      <c r="WB291" s="1"/>
      <c r="WC291" s="1"/>
      <c r="WD291" s="1"/>
      <c r="WE291" s="1"/>
      <c r="WF291" s="1"/>
      <c r="WG291" s="1"/>
      <c r="WH291" s="1"/>
      <c r="WI291" s="1"/>
      <c r="WJ291" s="1"/>
      <c r="WK291" s="1"/>
      <c r="WL291" s="1"/>
      <c r="WM291" s="1"/>
      <c r="WN291" s="1"/>
      <c r="WO291" s="1"/>
      <c r="WP291" s="1"/>
      <c r="WQ291" s="1"/>
      <c r="WR291" s="1"/>
      <c r="WS291" s="1"/>
      <c r="WT291" s="1"/>
      <c r="WU291" s="1"/>
      <c r="WV291" s="1"/>
      <c r="WW291" s="1"/>
      <c r="WX291" s="1"/>
      <c r="WY291" s="1"/>
      <c r="WZ291" s="1"/>
      <c r="XA291" s="1"/>
      <c r="XB291" s="1"/>
      <c r="XC291" s="1"/>
      <c r="XD291" s="1"/>
      <c r="XE291" s="1"/>
      <c r="XF291" s="1"/>
      <c r="XG291" s="1"/>
      <c r="XH291" s="1"/>
      <c r="XI291" s="1"/>
      <c r="XJ291" s="1"/>
      <c r="XK291" s="1"/>
      <c r="XL291" s="1"/>
      <c r="XM291" s="1"/>
      <c r="XN291" s="1"/>
      <c r="XO291" s="1"/>
      <c r="XP291" s="1"/>
      <c r="XQ291" s="1"/>
      <c r="XR291" s="1"/>
      <c r="XS291" s="1"/>
      <c r="XT291" s="1"/>
      <c r="XU291" s="1"/>
      <c r="XV291" s="1"/>
      <c r="XW291" s="1"/>
      <c r="XX291" s="1"/>
      <c r="XY291" s="1"/>
      <c r="XZ291" s="1"/>
      <c r="YA291" s="1"/>
      <c r="YB291" s="1"/>
      <c r="YC291" s="1"/>
      <c r="YD291" s="1"/>
      <c r="YE291" s="1"/>
      <c r="YF291" s="1"/>
      <c r="YG291" s="1"/>
      <c r="YH291" s="1"/>
      <c r="YI291" s="1"/>
      <c r="YJ291" s="1"/>
      <c r="YK291" s="1"/>
      <c r="YL291" s="1"/>
      <c r="YM291" s="1"/>
      <c r="YN291" s="1"/>
      <c r="YO291" s="1"/>
      <c r="YP291" s="1"/>
      <c r="YQ291" s="1"/>
      <c r="YR291" s="1"/>
      <c r="YS291" s="1"/>
      <c r="YT291" s="1"/>
      <c r="YU291" s="1"/>
      <c r="YV291" s="1"/>
      <c r="YW291" s="1"/>
      <c r="YX291" s="1"/>
      <c r="YY291" s="1"/>
      <c r="YZ291" s="1"/>
      <c r="ZA291" s="1"/>
      <c r="ZB291" s="1"/>
      <c r="ZC291" s="1"/>
      <c r="ZD291" s="1"/>
      <c r="ZE291" s="1"/>
      <c r="ZF291" s="1"/>
      <c r="ZG291" s="1"/>
      <c r="ZH291" s="1"/>
      <c r="ZI291" s="1"/>
      <c r="ZJ291" s="1"/>
      <c r="ZK291" s="1"/>
      <c r="ZL291" s="1"/>
      <c r="ZM291" s="1"/>
      <c r="ZN291" s="1"/>
      <c r="ZO291" s="1"/>
      <c r="ZP291" s="1"/>
      <c r="ZQ291" s="1"/>
      <c r="ZR291" s="1"/>
      <c r="ZS291" s="1"/>
      <c r="ZT291" s="1"/>
      <c r="ZU291" s="1"/>
      <c r="ZV291" s="1"/>
      <c r="ZW291" s="1"/>
      <c r="ZX291" s="1"/>
      <c r="ZY291" s="1"/>
      <c r="ZZ291" s="1"/>
      <c r="AAA291" s="1"/>
      <c r="AAB291" s="1"/>
      <c r="AAC291" s="1"/>
      <c r="AAD291" s="1"/>
      <c r="AAE291" s="1"/>
      <c r="AAF291" s="1"/>
      <c r="AAG291" s="1"/>
      <c r="AAH291" s="1"/>
      <c r="AAI291" s="1"/>
      <c r="AAJ291" s="1"/>
      <c r="AAK291" s="1"/>
      <c r="AAL291" s="1"/>
      <c r="AAM291" s="1"/>
      <c r="AAN291" s="1"/>
      <c r="AAO291" s="1"/>
      <c r="AAP291" s="1"/>
      <c r="AAQ291" s="1"/>
      <c r="AAR291" s="1"/>
      <c r="AAS291" s="1"/>
      <c r="AAT291" s="1"/>
      <c r="AAU291" s="1"/>
      <c r="AAV291" s="1"/>
      <c r="AAW291" s="1"/>
      <c r="AAX291" s="1"/>
      <c r="AAY291" s="1"/>
      <c r="AAZ291" s="1"/>
      <c r="ABA291" s="1"/>
      <c r="ABB291" s="1"/>
      <c r="ABC291" s="1"/>
      <c r="ABD291" s="1"/>
      <c r="ABE291" s="1"/>
      <c r="ABF291" s="1"/>
      <c r="ABG291" s="1"/>
      <c r="ABH291" s="1"/>
      <c r="ABI291" s="1"/>
      <c r="ABJ291" s="1"/>
      <c r="ABK291" s="1"/>
      <c r="ABL291" s="1"/>
      <c r="ABM291" s="1"/>
      <c r="ABN291" s="1"/>
      <c r="ABO291" s="1"/>
      <c r="ABP291" s="1"/>
      <c r="ABQ291" s="1"/>
      <c r="ABR291" s="1"/>
      <c r="ABS291" s="1"/>
      <c r="ABT291" s="1"/>
      <c r="ABU291" s="1"/>
      <c r="ABV291" s="1"/>
      <c r="ABW291" s="1"/>
      <c r="ABX291" s="1"/>
      <c r="ABY291" s="1"/>
      <c r="ABZ291" s="1"/>
      <c r="ACA291" s="1"/>
      <c r="ACB291" s="1"/>
      <c r="ACC291" s="1"/>
      <c r="ACD291" s="1"/>
      <c r="ACE291" s="1"/>
      <c r="ACF291" s="1"/>
      <c r="ACG291" s="1"/>
      <c r="ACH291" s="1"/>
      <c r="ACI291" s="1"/>
      <c r="ACJ291" s="1"/>
      <c r="ACK291" s="1"/>
      <c r="ACL291" s="1"/>
      <c r="ACM291" s="1"/>
      <c r="ACN291" s="1"/>
      <c r="ACO291" s="1"/>
      <c r="ACP291" s="1"/>
      <c r="ACQ291" s="1"/>
      <c r="ACR291" s="1"/>
      <c r="ACS291" s="1"/>
      <c r="ACT291" s="1"/>
      <c r="ACU291" s="1"/>
      <c r="ACV291" s="1"/>
      <c r="ACW291" s="1"/>
      <c r="ACX291" s="1"/>
      <c r="ACY291" s="1"/>
      <c r="ACZ291" s="1"/>
      <c r="ADA291" s="1"/>
      <c r="ADB291" s="1"/>
      <c r="ADC291" s="1"/>
      <c r="ADD291" s="1"/>
      <c r="ADE291" s="1"/>
      <c r="ADF291" s="1"/>
      <c r="ADG291" s="1"/>
      <c r="ADH291" s="1"/>
      <c r="ADI291" s="1"/>
      <c r="ADJ291" s="1"/>
      <c r="ADK291" s="1"/>
      <c r="ADL291" s="1"/>
      <c r="ADM291" s="1"/>
      <c r="ADN291" s="1"/>
      <c r="ADO291" s="1"/>
      <c r="ADP291" s="1"/>
      <c r="ADQ291" s="1"/>
      <c r="ADR291" s="1"/>
      <c r="ADS291" s="1"/>
      <c r="ADT291" s="1"/>
      <c r="ADU291" s="1"/>
      <c r="ADV291" s="1"/>
      <c r="ADW291" s="1"/>
      <c r="ADX291" s="1"/>
      <c r="ADY291" s="1"/>
      <c r="ADZ291" s="1"/>
      <c r="AEA291" s="1"/>
      <c r="AEB291" s="1"/>
      <c r="AEC291" s="1"/>
      <c r="AED291" s="1"/>
      <c r="AEE291" s="1"/>
      <c r="AEF291" s="1"/>
      <c r="AEG291" s="1"/>
      <c r="AEH291" s="1"/>
      <c r="AEI291" s="1"/>
      <c r="AEJ291" s="1"/>
      <c r="AEK291" s="1"/>
      <c r="AEL291" s="1"/>
      <c r="AEM291" s="1"/>
      <c r="AEN291" s="1"/>
      <c r="AEO291" s="1"/>
      <c r="AEP291" s="1"/>
      <c r="AEQ291" s="1"/>
      <c r="AER291" s="1"/>
      <c r="AES291" s="1"/>
      <c r="AET291" s="1"/>
      <c r="AEU291" s="1"/>
      <c r="AEV291" s="1"/>
      <c r="AEW291" s="1"/>
      <c r="AEX291" s="1"/>
      <c r="AEY291" s="1"/>
      <c r="AEZ291" s="1"/>
      <c r="AFA291" s="1"/>
      <c r="AFB291" s="1"/>
      <c r="AFC291" s="1"/>
      <c r="AFD291" s="1"/>
      <c r="AFE291" s="1"/>
      <c r="AFF291" s="1"/>
      <c r="AFG291" s="1"/>
      <c r="AFH291" s="1"/>
      <c r="AFI291" s="1"/>
      <c r="AFJ291" s="1"/>
      <c r="AFK291" s="1"/>
      <c r="AFL291" s="1"/>
      <c r="AFM291" s="1"/>
      <c r="AFN291" s="1"/>
      <c r="AFO291" s="1"/>
      <c r="AFP291" s="1"/>
      <c r="AFQ291" s="1"/>
      <c r="AFR291" s="1"/>
      <c r="AFS291" s="1"/>
      <c r="AFT291" s="1"/>
      <c r="AFU291" s="1"/>
      <c r="AFV291" s="1"/>
      <c r="AFW291" s="1"/>
      <c r="AFX291" s="1"/>
      <c r="AFY291" s="1"/>
      <c r="AFZ291" s="1"/>
      <c r="AGA291" s="1"/>
      <c r="AGB291" s="1"/>
      <c r="AGC291" s="1"/>
      <c r="AGD291" s="1"/>
      <c r="AGE291" s="1"/>
      <c r="AGF291" s="1"/>
      <c r="AGG291" s="1"/>
      <c r="AGH291" s="1"/>
      <c r="AGI291" s="1"/>
      <c r="AGJ291" s="1"/>
      <c r="AGK291" s="1"/>
      <c r="AGL291" s="1"/>
      <c r="AGM291" s="1"/>
      <c r="AGN291" s="1"/>
      <c r="AGO291" s="1"/>
      <c r="AGP291" s="1"/>
      <c r="AGQ291" s="1"/>
      <c r="AGR291" s="1"/>
      <c r="AGS291" s="1"/>
      <c r="AGT291" s="1"/>
      <c r="AGU291" s="1"/>
      <c r="AGV291" s="1"/>
      <c r="AGW291" s="1"/>
      <c r="AGX291" s="1"/>
      <c r="AGY291" s="1"/>
      <c r="AGZ291" s="1"/>
      <c r="AHA291" s="1"/>
      <c r="AHB291" s="1"/>
      <c r="AHC291" s="1"/>
      <c r="AHD291" s="1"/>
      <c r="AHE291" s="1"/>
      <c r="AHF291" s="1"/>
      <c r="AHG291" s="1"/>
      <c r="AHH291" s="1"/>
      <c r="AHI291" s="1"/>
      <c r="AHJ291" s="1"/>
      <c r="AHK291" s="1"/>
      <c r="AHL291" s="1"/>
      <c r="AHM291" s="1"/>
      <c r="AHN291" s="1"/>
      <c r="AHO291" s="1"/>
      <c r="AHP291" s="1"/>
      <c r="AHQ291" s="1"/>
      <c r="AHR291" s="1"/>
      <c r="AHS291" s="1"/>
      <c r="AHT291" s="1"/>
      <c r="AHU291" s="1"/>
      <c r="AHV291" s="1"/>
      <c r="AHW291" s="1"/>
      <c r="AHX291" s="1"/>
      <c r="AHY291" s="1"/>
      <c r="AHZ291" s="1"/>
      <c r="AIA291" s="1"/>
      <c r="AIB291" s="1"/>
      <c r="AIC291" s="1"/>
      <c r="AID291" s="1"/>
      <c r="AIE291" s="1"/>
      <c r="AIF291" s="1"/>
      <c r="AIG291" s="1"/>
      <c r="AIH291" s="1"/>
      <c r="AII291" s="1"/>
      <c r="AIJ291" s="1"/>
      <c r="AIK291" s="1"/>
      <c r="AIL291" s="1"/>
      <c r="AIM291" s="1"/>
      <c r="AIN291" s="1"/>
      <c r="AIO291" s="1"/>
      <c r="AIP291" s="1"/>
      <c r="AIQ291" s="1"/>
      <c r="AIR291" s="1"/>
      <c r="AIS291" s="1"/>
      <c r="AIT291" s="1"/>
      <c r="AIU291" s="1"/>
      <c r="AIV291" s="1"/>
      <c r="AIW291" s="1"/>
      <c r="AIX291" s="1"/>
      <c r="AIY291" s="1"/>
      <c r="AIZ291" s="1"/>
      <c r="AJA291" s="1"/>
      <c r="AJB291" s="1"/>
      <c r="AJC291" s="1"/>
      <c r="AJD291" s="1"/>
      <c r="AJE291" s="1"/>
      <c r="AJF291" s="1"/>
      <c r="AJG291" s="1"/>
      <c r="AJH291" s="1"/>
      <c r="AJI291" s="1"/>
      <c r="AJJ291" s="1"/>
      <c r="AJK291" s="1"/>
      <c r="AJL291" s="1"/>
      <c r="AJM291" s="1"/>
      <c r="AJN291" s="1"/>
      <c r="AJO291" s="1"/>
      <c r="AJP291" s="1"/>
      <c r="AJQ291" s="1"/>
      <c r="AJR291" s="1"/>
      <c r="AJS291" s="1"/>
      <c r="AJT291" s="1"/>
      <c r="AJU291" s="1"/>
      <c r="AJV291" s="1"/>
      <c r="AJW291" s="1"/>
      <c r="AJX291" s="1"/>
      <c r="AJY291" s="1"/>
      <c r="AJZ291" s="1"/>
      <c r="AKA291" s="1"/>
      <c r="AKB291" s="1"/>
      <c r="AKC291" s="1"/>
      <c r="AKD291" s="1"/>
      <c r="AKE291" s="1"/>
      <c r="AKF291" s="1"/>
      <c r="AKG291" s="1"/>
      <c r="AKH291" s="1"/>
      <c r="AKI291" s="1"/>
      <c r="AKJ291" s="1"/>
      <c r="AKK291" s="1"/>
      <c r="AKL291" s="1"/>
      <c r="AKM291" s="1"/>
      <c r="AKN291" s="1"/>
      <c r="AKO291" s="1"/>
      <c r="AKP291" s="1"/>
      <c r="AKQ291" s="1"/>
      <c r="AKR291" s="1"/>
      <c r="AKS291" s="1"/>
      <c r="AKT291" s="1"/>
      <c r="AKU291" s="1"/>
      <c r="AKV291" s="1"/>
      <c r="AKW291" s="1"/>
      <c r="AKX291" s="1"/>
      <c r="AKY291" s="1"/>
      <c r="AKZ291" s="1"/>
      <c r="ALA291" s="1"/>
      <c r="ALB291" s="1"/>
      <c r="ALC291" s="1"/>
      <c r="ALD291" s="1"/>
      <c r="ALE291" s="1"/>
      <c r="ALF291" s="1"/>
      <c r="ALG291" s="1"/>
      <c r="ALH291" s="1"/>
      <c r="ALI291" s="1"/>
      <c r="ALJ291" s="1"/>
      <c r="ALK291" s="1"/>
      <c r="ALL291" s="1"/>
      <c r="ALM291" s="1"/>
      <c r="ALN291" s="1"/>
      <c r="ALO291" s="1"/>
      <c r="ALP291" s="1"/>
      <c r="ALQ291" s="1"/>
      <c r="ALR291" s="1"/>
      <c r="ALS291" s="1"/>
      <c r="ALT291" s="1"/>
      <c r="ALU291" s="1"/>
      <c r="ALV291" s="1"/>
      <c r="ALW291" s="1"/>
      <c r="ALX291" s="1"/>
      <c r="ALY291" s="1"/>
      <c r="ALZ291" s="1"/>
      <c r="AMA291" s="1"/>
      <c r="AMB291" s="1"/>
      <c r="AMC291" s="1"/>
      <c r="AMD291" s="1"/>
      <c r="AME291" s="1"/>
      <c r="AMF291" s="1"/>
      <c r="AMG291" s="1"/>
      <c r="AMH291" s="1"/>
      <c r="AMI291" s="1"/>
      <c r="AMJ291" s="1"/>
      <c r="AMK291" s="1"/>
      <c r="AML291" s="1"/>
      <c r="AMM291" s="1"/>
      <c r="AMN291" s="1"/>
      <c r="AMO291" s="1"/>
    </row>
    <row r="292" spans="1:1030" x14ac:dyDescent="0.2">
      <c r="A292" s="3" t="str">
        <f>CONCATENATE(B292,"_",C292)</f>
        <v>oprx_human__wt</v>
      </c>
      <c r="B292" s="3" t="s">
        <v>1167</v>
      </c>
      <c r="C292" s="3" t="s">
        <v>100</v>
      </c>
      <c r="D292" s="3" t="str">
        <f>IFERROR(MID(VLOOKUP($B292,Seqs!$A:$B,2,0),E292,1),"")</f>
        <v>L</v>
      </c>
      <c r="E292" s="3">
        <v>48</v>
      </c>
      <c r="F292" s="3" t="str">
        <f>IFERROR(MID(VLOOKUP($B292,Seqs!$A:$B,2,0),G292,1),"")</f>
        <v>H</v>
      </c>
      <c r="G292" s="3">
        <v>79</v>
      </c>
      <c r="H292" s="3" t="str">
        <f>IFERROR(MID(VLOOKUP($B292,Seqs!$A:$B,2,0),I292,1),"")</f>
        <v>T</v>
      </c>
      <c r="I292" s="23">
        <v>80</v>
      </c>
      <c r="J292" s="3" t="str">
        <f>IFERROR(MID(VLOOKUP($B292,Seqs!$A:$B,2,0),K292,1),"")</f>
        <v>K</v>
      </c>
      <c r="K292" s="23">
        <v>83</v>
      </c>
      <c r="L292" s="3" t="str">
        <f>IFERROR(MID(VLOOKUP($B292,Seqs!$A:$B,2,0),M292,1),"")</f>
        <v>T</v>
      </c>
      <c r="M292" s="3">
        <v>84</v>
      </c>
      <c r="N292" s="3" t="str">
        <f>IFERROR(MID(VLOOKUP($B292,Seqs!$A:$B,2,0),O292,1),"")</f>
        <v>L</v>
      </c>
      <c r="O292" s="3">
        <v>113</v>
      </c>
      <c r="P292" s="3" t="str">
        <f>IFERROR(MID(VLOOKUP($B292,Seqs!$A:$B,2,0),Q292,1),"")</f>
        <v>F</v>
      </c>
      <c r="Q292" s="3">
        <v>115</v>
      </c>
      <c r="R292" s="3" t="str">
        <f>IFERROR(MID(VLOOKUP($B292,Seqs!$A:$B,2,0),S292,1),"")</f>
        <v>F</v>
      </c>
      <c r="S292" s="3">
        <v>118</v>
      </c>
      <c r="T292" s="3" t="str">
        <f>IFERROR(MID(VLOOKUP($B292,Seqs!$A:$B,2,0),U292,1),"")</f>
        <v>G</v>
      </c>
      <c r="U292" s="3">
        <v>119</v>
      </c>
      <c r="V292" s="3" t="str">
        <f>IFERROR(MID(VLOOKUP($B292,Seqs!$A:$B,2,0),W292,1),"")</f>
        <v>H</v>
      </c>
      <c r="W292" s="3">
        <v>154</v>
      </c>
      <c r="X292" s="3" t="str">
        <f>IFERROR(MID(VLOOKUP($B292,Seqs!$A:$B,2,0),Y292,1),"")</f>
        <v>P</v>
      </c>
      <c r="Y292" s="3">
        <v>155</v>
      </c>
      <c r="Z292" s="3" t="str">
        <f>IFERROR(MID(VLOOKUP($B292,Seqs!$A:$B,2,0),AA292,1),"")</f>
        <v>R</v>
      </c>
      <c r="AA292" s="3">
        <v>162</v>
      </c>
      <c r="AB292" s="3" t="str">
        <f>IFERROR(MID(VLOOKUP($B292,Seqs!$A:$B,2,0),AC292,1),"")</f>
        <v>T</v>
      </c>
      <c r="AC292" s="9">
        <v>163</v>
      </c>
      <c r="AD292" s="3" t="str">
        <f>IFERROR(MID(VLOOKUP($B292,Seqs!$A:$B,2,0),AE292,1),"")</f>
        <v>G</v>
      </c>
      <c r="AE292" s="3">
        <v>189</v>
      </c>
      <c r="AF292" s="3" t="str">
        <f>IFERROR(MID(VLOOKUP($B292,Seqs!$A:$B,2,0),AG292,1),"")</f>
        <v>C</v>
      </c>
      <c r="AG292" s="3">
        <v>200</v>
      </c>
      <c r="AH292" s="3" t="str">
        <f>IFERROR(MID(VLOOKUP($B292,Seqs!$A:$B,2,0),AI292,1),"")</f>
        <v>V</v>
      </c>
      <c r="AI292" s="3">
        <v>202</v>
      </c>
      <c r="AJ292" s="3" t="str">
        <f>IFERROR(MID(VLOOKUP($B292,Seqs!$A:$B,2,0),AK292,1),"")</f>
        <v>Q</v>
      </c>
      <c r="AK292" s="3">
        <v>208</v>
      </c>
      <c r="AL292" s="3" t="str">
        <f>IFERROR(MID(VLOOKUP($B292,Seqs!$A:$B,2,0),AM292,1),"")</f>
        <v>V</v>
      </c>
      <c r="AM292" s="3">
        <v>245</v>
      </c>
      <c r="AN292" s="3" t="str">
        <f>IFERROR(MID(VLOOKUP($B292,Seqs!$A:$B,2,0),AO292,1),"")</f>
        <v>S</v>
      </c>
      <c r="AO292" s="3">
        <v>251</v>
      </c>
      <c r="AP292" s="3" t="str">
        <f>IFERROR(MID(VLOOKUP($B292,Seqs!$A:$B,2,0),AQ292,1),"")</f>
        <v>G</v>
      </c>
      <c r="AQ292" s="3">
        <v>289</v>
      </c>
      <c r="AR292" s="3" t="str">
        <f>IFERROR(MID(VLOOKUP($B292,Seqs!$A:$B,2,0),AS292,1),"")</f>
        <v>S</v>
      </c>
      <c r="AS292" s="3">
        <v>294</v>
      </c>
      <c r="AT292" s="3" t="str">
        <f>IFERROR(MID(VLOOKUP($B292,Seqs!$A:$B,2,0),AU292,1),"")</f>
        <v>L</v>
      </c>
      <c r="AU292" s="3">
        <v>322</v>
      </c>
      <c r="AV292" s="3" t="str">
        <f>IFERROR(MID(VLOOKUP($B292,Seqs!$A:$B,2,0),AW292,1),"")</f>
        <v>D</v>
      </c>
      <c r="AW292" s="3">
        <v>323</v>
      </c>
      <c r="AX292" s="3" t="str">
        <f>IFERROR(MID(VLOOKUP($B292,Seqs!$A:$B,2,0),AY292,1),"")</f>
        <v>C</v>
      </c>
      <c r="AY292" s="3">
        <v>335</v>
      </c>
      <c r="AZ292" s="77" t="str">
        <f>VLOOKUP(B292,Classification!A:D,2,0)</f>
        <v>A</v>
      </c>
      <c r="BA292" s="94" t="str">
        <f>VLOOKUP(B292,Classification!A:D,4,0)</f>
        <v>Opioid</v>
      </c>
      <c r="BB292" s="27" t="b">
        <f t="shared" si="1074"/>
        <v>1</v>
      </c>
      <c r="BC292" s="23">
        <f t="shared" si="1057"/>
        <v>263</v>
      </c>
      <c r="BD292" s="56" t="s">
        <v>23</v>
      </c>
      <c r="BE292" s="3" t="s">
        <v>23</v>
      </c>
      <c r="BF292" s="118" t="s">
        <v>23</v>
      </c>
      <c r="BG292" s="49" t="s">
        <v>1366</v>
      </c>
      <c r="BH292" s="49" t="s">
        <v>1371</v>
      </c>
      <c r="BI292" s="1"/>
      <c r="BJ292" s="70" t="s">
        <v>1281</v>
      </c>
      <c r="BK292" s="57" t="s">
        <v>1281</v>
      </c>
      <c r="BL292" s="57" t="s">
        <v>1281</v>
      </c>
      <c r="BM292" s="57" t="s">
        <v>1281</v>
      </c>
      <c r="BN292" s="57" t="s">
        <v>1281</v>
      </c>
      <c r="BO292" s="57" t="s">
        <v>1281</v>
      </c>
      <c r="BP292" s="57" t="s">
        <v>1281</v>
      </c>
      <c r="BQ292" s="57" t="s">
        <v>1281</v>
      </c>
      <c r="BR292" s="57" t="s">
        <v>1281</v>
      </c>
      <c r="BS292" s="57" t="s">
        <v>1281</v>
      </c>
      <c r="BT292" s="57" t="s">
        <v>1281</v>
      </c>
      <c r="BU292" s="57" t="s">
        <v>1281</v>
      </c>
      <c r="BV292" s="70">
        <f>E292</f>
        <v>48</v>
      </c>
      <c r="BW292" s="71">
        <f>I292</f>
        <v>80</v>
      </c>
      <c r="BX292" s="72">
        <f>M292</f>
        <v>84</v>
      </c>
      <c r="BY292" s="71">
        <f>Q292</f>
        <v>115</v>
      </c>
      <c r="BZ292" s="72">
        <f>U292</f>
        <v>119</v>
      </c>
      <c r="CA292" s="71">
        <f>Y292</f>
        <v>155</v>
      </c>
      <c r="CB292" s="72">
        <f>AC292</f>
        <v>163</v>
      </c>
      <c r="CC292" s="71">
        <f>AG292</f>
        <v>200</v>
      </c>
      <c r="CD292" s="72">
        <f>AK292</f>
        <v>208</v>
      </c>
      <c r="CE292" s="71">
        <f>AO292</f>
        <v>251</v>
      </c>
      <c r="CF292" s="72">
        <f>AS292</f>
        <v>294</v>
      </c>
      <c r="CG292" s="71">
        <f>AW292</f>
        <v>323</v>
      </c>
      <c r="CH292" s="70">
        <f>G292</f>
        <v>79</v>
      </c>
      <c r="CI292" s="71">
        <f>K292</f>
        <v>83</v>
      </c>
      <c r="CJ292" s="72">
        <f>O292</f>
        <v>113</v>
      </c>
      <c r="CK292" s="72">
        <f>S292</f>
        <v>118</v>
      </c>
      <c r="CL292" s="72">
        <f>W292</f>
        <v>154</v>
      </c>
      <c r="CM292" s="72">
        <f>AA292</f>
        <v>162</v>
      </c>
      <c r="CN292" s="72">
        <f>AE292</f>
        <v>189</v>
      </c>
      <c r="CO292" s="72">
        <f>AI292</f>
        <v>202</v>
      </c>
      <c r="CP292" s="72">
        <f>AM292</f>
        <v>245</v>
      </c>
      <c r="CQ292" s="72">
        <f>AQ292</f>
        <v>289</v>
      </c>
      <c r="CR292" s="72">
        <f>AU292</f>
        <v>322</v>
      </c>
      <c r="CS292" s="72">
        <f>AY292</f>
        <v>335</v>
      </c>
      <c r="CT292" s="23">
        <f>M292-K292</f>
        <v>1</v>
      </c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  <c r="US292" s="1"/>
      <c r="UT292" s="1"/>
      <c r="UU292" s="1"/>
      <c r="UV292" s="1"/>
      <c r="UW292" s="1"/>
      <c r="UX292" s="1"/>
      <c r="UY292" s="1"/>
      <c r="UZ292" s="1"/>
      <c r="VA292" s="1"/>
      <c r="VB292" s="1"/>
      <c r="VC292" s="1"/>
      <c r="VD292" s="1"/>
      <c r="VE292" s="1"/>
      <c r="VF292" s="1"/>
      <c r="VG292" s="1"/>
      <c r="VH292" s="1"/>
      <c r="VI292" s="1"/>
      <c r="VJ292" s="1"/>
      <c r="VK292" s="1"/>
      <c r="VL292" s="1"/>
      <c r="VM292" s="1"/>
      <c r="VN292" s="1"/>
      <c r="VO292" s="1"/>
      <c r="VP292" s="1"/>
      <c r="VQ292" s="1"/>
      <c r="VR292" s="1"/>
      <c r="VS292" s="1"/>
      <c r="VT292" s="1"/>
      <c r="VU292" s="1"/>
      <c r="VV292" s="1"/>
      <c r="VW292" s="1"/>
      <c r="VX292" s="1"/>
      <c r="VY292" s="1"/>
      <c r="VZ292" s="1"/>
      <c r="WA292" s="1"/>
      <c r="WB292" s="1"/>
      <c r="WC292" s="1"/>
      <c r="WD292" s="1"/>
      <c r="WE292" s="1"/>
      <c r="WF292" s="1"/>
      <c r="WG292" s="1"/>
      <c r="WH292" s="1"/>
      <c r="WI292" s="1"/>
      <c r="WJ292" s="1"/>
      <c r="WK292" s="1"/>
      <c r="WL292" s="1"/>
      <c r="WM292" s="1"/>
      <c r="WN292" s="1"/>
      <c r="WO292" s="1"/>
      <c r="WP292" s="1"/>
      <c r="WQ292" s="1"/>
      <c r="WR292" s="1"/>
      <c r="WS292" s="1"/>
      <c r="WT292" s="1"/>
      <c r="WU292" s="1"/>
      <c r="WV292" s="1"/>
      <c r="WW292" s="1"/>
      <c r="WX292" s="1"/>
      <c r="WY292" s="1"/>
      <c r="WZ292" s="1"/>
      <c r="XA292" s="1"/>
      <c r="XB292" s="1"/>
      <c r="XC292" s="1"/>
      <c r="XD292" s="1"/>
      <c r="XE292" s="1"/>
      <c r="XF292" s="1"/>
      <c r="XG292" s="1"/>
      <c r="XH292" s="1"/>
      <c r="XI292" s="1"/>
      <c r="XJ292" s="1"/>
      <c r="XK292" s="1"/>
      <c r="XL292" s="1"/>
      <c r="XM292" s="1"/>
      <c r="XN292" s="1"/>
      <c r="XO292" s="1"/>
      <c r="XP292" s="1"/>
      <c r="XQ292" s="1"/>
      <c r="XR292" s="1"/>
      <c r="XS292" s="1"/>
      <c r="XT292" s="1"/>
      <c r="XU292" s="1"/>
      <c r="XV292" s="1"/>
      <c r="XW292" s="1"/>
      <c r="XX292" s="1"/>
      <c r="XY292" s="1"/>
      <c r="XZ292" s="1"/>
      <c r="YA292" s="1"/>
      <c r="YB292" s="1"/>
      <c r="YC292" s="1"/>
      <c r="YD292" s="1"/>
      <c r="YE292" s="1"/>
      <c r="YF292" s="1"/>
      <c r="YG292" s="1"/>
      <c r="YH292" s="1"/>
      <c r="YI292" s="1"/>
      <c r="YJ292" s="1"/>
      <c r="YK292" s="1"/>
      <c r="YL292" s="1"/>
      <c r="YM292" s="1"/>
      <c r="YN292" s="1"/>
      <c r="YO292" s="1"/>
      <c r="YP292" s="1"/>
      <c r="YQ292" s="1"/>
      <c r="YR292" s="1"/>
      <c r="YS292" s="1"/>
      <c r="YT292" s="1"/>
      <c r="YU292" s="1"/>
      <c r="YV292" s="1"/>
      <c r="YW292" s="1"/>
      <c r="YX292" s="1"/>
      <c r="YY292" s="1"/>
      <c r="YZ292" s="1"/>
      <c r="ZA292" s="1"/>
      <c r="ZB292" s="1"/>
      <c r="ZC292" s="1"/>
      <c r="ZD292" s="1"/>
      <c r="ZE292" s="1"/>
      <c r="ZF292" s="1"/>
      <c r="ZG292" s="1"/>
      <c r="ZH292" s="1"/>
      <c r="ZI292" s="1"/>
      <c r="ZJ292" s="1"/>
      <c r="ZK292" s="1"/>
      <c r="ZL292" s="1"/>
      <c r="ZM292" s="1"/>
      <c r="ZN292" s="1"/>
      <c r="ZO292" s="1"/>
      <c r="ZP292" s="1"/>
      <c r="ZQ292" s="1"/>
      <c r="ZR292" s="1"/>
      <c r="ZS292" s="1"/>
      <c r="ZT292" s="1"/>
      <c r="ZU292" s="1"/>
      <c r="ZV292" s="1"/>
      <c r="ZW292" s="1"/>
      <c r="ZX292" s="1"/>
      <c r="ZY292" s="1"/>
      <c r="ZZ292" s="1"/>
      <c r="AAA292" s="1"/>
      <c r="AAB292" s="1"/>
      <c r="AAC292" s="1"/>
      <c r="AAD292" s="1"/>
      <c r="AAE292" s="1"/>
      <c r="AAF292" s="1"/>
      <c r="AAG292" s="1"/>
      <c r="AAH292" s="1"/>
      <c r="AAI292" s="1"/>
      <c r="AAJ292" s="1"/>
      <c r="AAK292" s="1"/>
      <c r="AAL292" s="1"/>
      <c r="AAM292" s="1"/>
      <c r="AAN292" s="1"/>
      <c r="AAO292" s="1"/>
      <c r="AAP292" s="1"/>
      <c r="AAQ292" s="1"/>
      <c r="AAR292" s="1"/>
      <c r="AAS292" s="1"/>
      <c r="AAT292" s="1"/>
      <c r="AAU292" s="1"/>
      <c r="AAV292" s="1"/>
      <c r="AAW292" s="1"/>
      <c r="AAX292" s="1"/>
      <c r="AAY292" s="1"/>
      <c r="AAZ292" s="1"/>
      <c r="ABA292" s="1"/>
      <c r="ABB292" s="1"/>
      <c r="ABC292" s="1"/>
      <c r="ABD292" s="1"/>
      <c r="ABE292" s="1"/>
      <c r="ABF292" s="1"/>
      <c r="ABG292" s="1"/>
      <c r="ABH292" s="1"/>
      <c r="ABI292" s="1"/>
      <c r="ABJ292" s="1"/>
      <c r="ABK292" s="1"/>
      <c r="ABL292" s="1"/>
      <c r="ABM292" s="1"/>
      <c r="ABN292" s="1"/>
      <c r="ABO292" s="1"/>
      <c r="ABP292" s="1"/>
      <c r="ABQ292" s="1"/>
      <c r="ABR292" s="1"/>
      <c r="ABS292" s="1"/>
      <c r="ABT292" s="1"/>
      <c r="ABU292" s="1"/>
      <c r="ABV292" s="1"/>
      <c r="ABW292" s="1"/>
      <c r="ABX292" s="1"/>
      <c r="ABY292" s="1"/>
      <c r="ABZ292" s="1"/>
      <c r="ACA292" s="1"/>
      <c r="ACB292" s="1"/>
      <c r="ACC292" s="1"/>
      <c r="ACD292" s="1"/>
      <c r="ACE292" s="1"/>
      <c r="ACF292" s="1"/>
      <c r="ACG292" s="1"/>
      <c r="ACH292" s="1"/>
      <c r="ACI292" s="1"/>
      <c r="ACJ292" s="1"/>
      <c r="ACK292" s="1"/>
      <c r="ACL292" s="1"/>
      <c r="ACM292" s="1"/>
      <c r="ACN292" s="1"/>
      <c r="ACO292" s="1"/>
      <c r="ACP292" s="1"/>
      <c r="ACQ292" s="1"/>
      <c r="ACR292" s="1"/>
      <c r="ACS292" s="1"/>
      <c r="ACT292" s="1"/>
      <c r="ACU292" s="1"/>
      <c r="ACV292" s="1"/>
      <c r="ACW292" s="1"/>
      <c r="ACX292" s="1"/>
      <c r="ACY292" s="1"/>
      <c r="ACZ292" s="1"/>
      <c r="ADA292" s="1"/>
      <c r="ADB292" s="1"/>
      <c r="ADC292" s="1"/>
      <c r="ADD292" s="1"/>
      <c r="ADE292" s="1"/>
      <c r="ADF292" s="1"/>
      <c r="ADG292" s="1"/>
      <c r="ADH292" s="1"/>
      <c r="ADI292" s="1"/>
      <c r="ADJ292" s="1"/>
      <c r="ADK292" s="1"/>
      <c r="ADL292" s="1"/>
      <c r="ADM292" s="1"/>
      <c r="ADN292" s="1"/>
      <c r="ADO292" s="1"/>
      <c r="ADP292" s="1"/>
      <c r="ADQ292" s="1"/>
      <c r="ADR292" s="1"/>
      <c r="ADS292" s="1"/>
      <c r="ADT292" s="1"/>
      <c r="ADU292" s="1"/>
      <c r="ADV292" s="1"/>
      <c r="ADW292" s="1"/>
      <c r="ADX292" s="1"/>
      <c r="ADY292" s="1"/>
      <c r="ADZ292" s="1"/>
      <c r="AEA292" s="1"/>
      <c r="AEB292" s="1"/>
      <c r="AEC292" s="1"/>
      <c r="AED292" s="1"/>
      <c r="AEE292" s="1"/>
      <c r="AEF292" s="1"/>
      <c r="AEG292" s="1"/>
      <c r="AEH292" s="1"/>
      <c r="AEI292" s="1"/>
      <c r="AEJ292" s="1"/>
      <c r="AEK292" s="1"/>
      <c r="AEL292" s="1"/>
      <c r="AEM292" s="1"/>
      <c r="AEN292" s="1"/>
      <c r="AEO292" s="1"/>
      <c r="AEP292" s="1"/>
      <c r="AEQ292" s="1"/>
      <c r="AER292" s="1"/>
      <c r="AES292" s="1"/>
      <c r="AET292" s="1"/>
      <c r="AEU292" s="1"/>
      <c r="AEV292" s="1"/>
      <c r="AEW292" s="1"/>
      <c r="AEX292" s="1"/>
      <c r="AEY292" s="1"/>
      <c r="AEZ292" s="1"/>
      <c r="AFA292" s="1"/>
      <c r="AFB292" s="1"/>
      <c r="AFC292" s="1"/>
      <c r="AFD292" s="1"/>
      <c r="AFE292" s="1"/>
      <c r="AFF292" s="1"/>
      <c r="AFG292" s="1"/>
      <c r="AFH292" s="1"/>
      <c r="AFI292" s="1"/>
      <c r="AFJ292" s="1"/>
      <c r="AFK292" s="1"/>
      <c r="AFL292" s="1"/>
      <c r="AFM292" s="1"/>
      <c r="AFN292" s="1"/>
      <c r="AFO292" s="1"/>
      <c r="AFP292" s="1"/>
      <c r="AFQ292" s="1"/>
      <c r="AFR292" s="1"/>
      <c r="AFS292" s="1"/>
      <c r="AFT292" s="1"/>
      <c r="AFU292" s="1"/>
      <c r="AFV292" s="1"/>
      <c r="AFW292" s="1"/>
      <c r="AFX292" s="1"/>
      <c r="AFY292" s="1"/>
      <c r="AFZ292" s="1"/>
      <c r="AGA292" s="1"/>
      <c r="AGB292" s="1"/>
      <c r="AGC292" s="1"/>
      <c r="AGD292" s="1"/>
      <c r="AGE292" s="1"/>
      <c r="AGF292" s="1"/>
      <c r="AGG292" s="1"/>
      <c r="AGH292" s="1"/>
      <c r="AGI292" s="1"/>
      <c r="AGJ292" s="1"/>
      <c r="AGK292" s="1"/>
      <c r="AGL292" s="1"/>
      <c r="AGM292" s="1"/>
      <c r="AGN292" s="1"/>
      <c r="AGO292" s="1"/>
      <c r="AGP292" s="1"/>
      <c r="AGQ292" s="1"/>
      <c r="AGR292" s="1"/>
      <c r="AGS292" s="1"/>
      <c r="AGT292" s="1"/>
      <c r="AGU292" s="1"/>
      <c r="AGV292" s="1"/>
      <c r="AGW292" s="1"/>
      <c r="AGX292" s="1"/>
      <c r="AGY292" s="1"/>
      <c r="AGZ292" s="1"/>
      <c r="AHA292" s="1"/>
      <c r="AHB292" s="1"/>
      <c r="AHC292" s="1"/>
      <c r="AHD292" s="1"/>
      <c r="AHE292" s="1"/>
      <c r="AHF292" s="1"/>
      <c r="AHG292" s="1"/>
      <c r="AHH292" s="1"/>
      <c r="AHI292" s="1"/>
      <c r="AHJ292" s="1"/>
      <c r="AHK292" s="1"/>
      <c r="AHL292" s="1"/>
      <c r="AHM292" s="1"/>
      <c r="AHN292" s="1"/>
      <c r="AHO292" s="1"/>
      <c r="AHP292" s="1"/>
      <c r="AHQ292" s="1"/>
      <c r="AHR292" s="1"/>
      <c r="AHS292" s="1"/>
      <c r="AHT292" s="1"/>
      <c r="AHU292" s="1"/>
      <c r="AHV292" s="1"/>
      <c r="AHW292" s="1"/>
      <c r="AHX292" s="1"/>
      <c r="AHY292" s="1"/>
      <c r="AHZ292" s="1"/>
      <c r="AIA292" s="1"/>
      <c r="AIB292" s="1"/>
      <c r="AIC292" s="1"/>
      <c r="AID292" s="1"/>
      <c r="AIE292" s="1"/>
      <c r="AIF292" s="1"/>
      <c r="AIG292" s="1"/>
      <c r="AIH292" s="1"/>
      <c r="AII292" s="1"/>
      <c r="AIJ292" s="1"/>
      <c r="AIK292" s="1"/>
      <c r="AIL292" s="1"/>
      <c r="AIM292" s="1"/>
      <c r="AIN292" s="1"/>
      <c r="AIO292" s="1"/>
      <c r="AIP292" s="1"/>
      <c r="AIQ292" s="1"/>
      <c r="AIR292" s="1"/>
      <c r="AIS292" s="1"/>
      <c r="AIT292" s="1"/>
      <c r="AIU292" s="1"/>
      <c r="AIV292" s="1"/>
      <c r="AIW292" s="1"/>
      <c r="AIX292" s="1"/>
      <c r="AIY292" s="1"/>
      <c r="AIZ292" s="1"/>
      <c r="AJA292" s="1"/>
      <c r="AJB292" s="1"/>
      <c r="AJC292" s="1"/>
      <c r="AJD292" s="1"/>
      <c r="AJE292" s="1"/>
      <c r="AJF292" s="1"/>
      <c r="AJG292" s="1"/>
      <c r="AJH292" s="1"/>
      <c r="AJI292" s="1"/>
      <c r="AJJ292" s="1"/>
      <c r="AJK292" s="1"/>
      <c r="AJL292" s="1"/>
      <c r="AJM292" s="1"/>
      <c r="AJN292" s="1"/>
      <c r="AJO292" s="1"/>
      <c r="AJP292" s="1"/>
      <c r="AJQ292" s="1"/>
      <c r="AJR292" s="1"/>
      <c r="AJS292" s="1"/>
      <c r="AJT292" s="1"/>
      <c r="AJU292" s="1"/>
      <c r="AJV292" s="1"/>
      <c r="AJW292" s="1"/>
      <c r="AJX292" s="1"/>
      <c r="AJY292" s="1"/>
      <c r="AJZ292" s="1"/>
      <c r="AKA292" s="1"/>
      <c r="AKB292" s="1"/>
      <c r="AKC292" s="1"/>
      <c r="AKD292" s="1"/>
      <c r="AKE292" s="1"/>
      <c r="AKF292" s="1"/>
      <c r="AKG292" s="1"/>
      <c r="AKH292" s="1"/>
      <c r="AKI292" s="1"/>
      <c r="AKJ292" s="1"/>
      <c r="AKK292" s="1"/>
      <c r="AKL292" s="1"/>
      <c r="AKM292" s="1"/>
      <c r="AKN292" s="1"/>
      <c r="AKO292" s="1"/>
      <c r="AKP292" s="1"/>
      <c r="AKQ292" s="1"/>
      <c r="AKR292" s="1"/>
      <c r="AKS292" s="1"/>
      <c r="AKT292" s="1"/>
      <c r="AKU292" s="1"/>
      <c r="AKV292" s="1"/>
      <c r="AKW292" s="1"/>
      <c r="AKX292" s="1"/>
      <c r="AKY292" s="1"/>
      <c r="AKZ292" s="1"/>
      <c r="ALA292" s="1"/>
      <c r="ALB292" s="1"/>
      <c r="ALC292" s="1"/>
      <c r="ALD292" s="1"/>
      <c r="ALE292" s="1"/>
      <c r="ALF292" s="1"/>
      <c r="ALG292" s="1"/>
      <c r="ALH292" s="1"/>
      <c r="ALI292" s="1"/>
      <c r="ALJ292" s="1"/>
      <c r="ALK292" s="1"/>
      <c r="ALL292" s="1"/>
      <c r="ALM292" s="1"/>
      <c r="ALN292" s="1"/>
      <c r="ALO292" s="1"/>
      <c r="ALP292" s="1"/>
      <c r="ALQ292" s="1"/>
      <c r="ALR292" s="1"/>
      <c r="ALS292" s="1"/>
      <c r="ALT292" s="1"/>
      <c r="ALU292" s="1"/>
      <c r="ALV292" s="1"/>
      <c r="ALW292" s="1"/>
      <c r="ALX292" s="1"/>
      <c r="ALY292" s="1"/>
      <c r="ALZ292" s="1"/>
      <c r="AMA292" s="1"/>
      <c r="AMB292" s="1"/>
      <c r="AMC292" s="1"/>
      <c r="AMD292" s="1"/>
      <c r="AME292" s="1"/>
      <c r="AMF292" s="1"/>
      <c r="AMG292" s="1"/>
      <c r="AMH292" s="1"/>
      <c r="AMI292" s="1"/>
      <c r="AMJ292" s="1"/>
      <c r="AMK292" s="1"/>
      <c r="AML292" s="1"/>
      <c r="AMM292" s="1"/>
      <c r="AMN292" s="1"/>
      <c r="AMO292" s="1"/>
    </row>
    <row r="293" spans="1:1030" x14ac:dyDescent="0.2">
      <c r="A293" s="3" t="str">
        <f>CONCATENATE(B293,"_",C293)</f>
        <v>oprx_human_4EA3</v>
      </c>
      <c r="B293" s="3" t="s">
        <v>1167</v>
      </c>
      <c r="C293" s="3" t="s">
        <v>67</v>
      </c>
      <c r="D293" s="3" t="str">
        <f>IFERROR(MID(VLOOKUP($B293,Seqs!$A:$B,2,0),E293,1),"")</f>
        <v>L</v>
      </c>
      <c r="E293" s="3">
        <v>48</v>
      </c>
      <c r="F293" s="3" t="str">
        <f>IFERROR(MID(VLOOKUP($B293,Seqs!$A:$B,2,0),G293,1),"")</f>
        <v>H</v>
      </c>
      <c r="G293" s="3">
        <v>79</v>
      </c>
      <c r="H293" s="3" t="str">
        <f>IFERROR(MID(VLOOKUP($B293,Seqs!$A:$B,2,0),I293,1),"")</f>
        <v/>
      </c>
      <c r="I293" s="23" t="s">
        <v>23</v>
      </c>
      <c r="J293" s="3" t="str">
        <f>IFERROR(MID(VLOOKUP($B293,Seqs!$A:$B,2,0),K293,1),"")</f>
        <v/>
      </c>
      <c r="K293" s="23" t="s">
        <v>23</v>
      </c>
      <c r="L293" s="3" t="str">
        <f>IFERROR(MID(VLOOKUP($B293,Seqs!$A:$B,2,0),M293,1),"")</f>
        <v>T</v>
      </c>
      <c r="M293" s="3">
        <v>84</v>
      </c>
      <c r="N293" s="3" t="str">
        <f>IFERROR(MID(VLOOKUP($B293,Seqs!$A:$B,2,0),O293,1),"")</f>
        <v>L</v>
      </c>
      <c r="O293" s="3">
        <v>113</v>
      </c>
      <c r="P293" s="3" t="str">
        <f>IFERROR(MID(VLOOKUP($B293,Seqs!$A:$B,2,0),Q293,1),"")</f>
        <v>F</v>
      </c>
      <c r="Q293" s="3">
        <v>115</v>
      </c>
      <c r="R293" s="3" t="str">
        <f>IFERROR(MID(VLOOKUP($B293,Seqs!$A:$B,2,0),S293,1),"")</f>
        <v>F</v>
      </c>
      <c r="S293" s="3">
        <v>118</v>
      </c>
      <c r="T293" s="3" t="str">
        <f>IFERROR(MID(VLOOKUP($B293,Seqs!$A:$B,2,0),U293,1),"")</f>
        <v>G</v>
      </c>
      <c r="U293" s="3">
        <v>119</v>
      </c>
      <c r="V293" s="3" t="str">
        <f>IFERROR(MID(VLOOKUP($B293,Seqs!$A:$B,2,0),W293,1),"")</f>
        <v>H</v>
      </c>
      <c r="W293" s="3">
        <v>154</v>
      </c>
      <c r="X293" s="3" t="str">
        <f>IFERROR(MID(VLOOKUP($B293,Seqs!$A:$B,2,0),Y293,1),"")</f>
        <v/>
      </c>
      <c r="Y293" s="3" t="s">
        <v>23</v>
      </c>
      <c r="Z293" s="3" t="str">
        <f>IFERROR(MID(VLOOKUP($B293,Seqs!$A:$B,2,0),AA293,1),"")</f>
        <v/>
      </c>
      <c r="AA293" s="3" t="s">
        <v>23</v>
      </c>
      <c r="AB293" s="3" t="str">
        <f>IFERROR(MID(VLOOKUP($B293,Seqs!$A:$B,2,0),AC293,1),"")</f>
        <v>T</v>
      </c>
      <c r="AC293" s="9">
        <v>163</v>
      </c>
      <c r="AD293" s="3" t="str">
        <f>IFERROR(MID(VLOOKUP($B293,Seqs!$A:$B,2,0),AE293,1),"")</f>
        <v>G</v>
      </c>
      <c r="AE293" s="3">
        <v>189</v>
      </c>
      <c r="AF293" s="3" t="str">
        <f>IFERROR(MID(VLOOKUP($B293,Seqs!$A:$B,2,0),AG293,1),"")</f>
        <v>C</v>
      </c>
      <c r="AG293" s="3">
        <v>200</v>
      </c>
      <c r="AH293" s="3" t="str">
        <f>IFERROR(MID(VLOOKUP($B293,Seqs!$A:$B,2,0),AI293,1),"")</f>
        <v>V</v>
      </c>
      <c r="AI293" s="3">
        <v>202</v>
      </c>
      <c r="AJ293" s="3" t="str">
        <f>IFERROR(MID(VLOOKUP($B293,Seqs!$A:$B,2,0),AK293,1),"")</f>
        <v>Q</v>
      </c>
      <c r="AK293" s="3">
        <v>208</v>
      </c>
      <c r="AL293" s="3" t="str">
        <f>IFERROR(MID(VLOOKUP($B293,Seqs!$A:$B,2,0),AM293,1),"")</f>
        <v>L</v>
      </c>
      <c r="AM293" s="3">
        <v>242</v>
      </c>
      <c r="AN293" s="3" t="str">
        <f>IFERROR(MID(VLOOKUP($B293,Seqs!$A:$B,2,0),AO293,1),"")</f>
        <v>S</v>
      </c>
      <c r="AO293" s="3">
        <v>251</v>
      </c>
      <c r="AP293" s="3" t="str">
        <f>IFERROR(MID(VLOOKUP($B293,Seqs!$A:$B,2,0),AQ293,1),"")</f>
        <v>G</v>
      </c>
      <c r="AQ293" s="3">
        <v>289</v>
      </c>
      <c r="AR293" s="3" t="str">
        <f>IFERROR(MID(VLOOKUP($B293,Seqs!$A:$B,2,0),AS293,1),"")</f>
        <v>S</v>
      </c>
      <c r="AS293" s="3">
        <v>294</v>
      </c>
      <c r="AT293" s="3" t="str">
        <f>IFERROR(MID(VLOOKUP($B293,Seqs!$A:$B,2,0),AU293,1),"")</f>
        <v>L</v>
      </c>
      <c r="AU293" s="3">
        <v>322</v>
      </c>
      <c r="AV293" s="3" t="str">
        <f>IFERROR(MID(VLOOKUP($B293,Seqs!$A:$B,2,0),AW293,1),"")</f>
        <v>D</v>
      </c>
      <c r="AW293" s="3">
        <v>323</v>
      </c>
      <c r="AX293" s="3" t="str">
        <f>IFERROR(MID(VLOOKUP($B293,Seqs!$A:$B,2,0),AY293,1),"")</f>
        <v>R</v>
      </c>
      <c r="AY293" s="3">
        <v>331</v>
      </c>
      <c r="AZ293" s="77" t="str">
        <f>VLOOKUP(B293,Classification!A:D,2,0)</f>
        <v>A</v>
      </c>
      <c r="BA293" s="94" t="str">
        <f>VLOOKUP(B293,Classification!A:D,4,0)</f>
        <v>Opioid</v>
      </c>
      <c r="BB293" s="27" t="b">
        <f t="shared" si="1074"/>
        <v>1</v>
      </c>
      <c r="BC293" s="23">
        <f t="shared" si="1057"/>
        <v>246</v>
      </c>
      <c r="BD293" s="5" t="s">
        <v>23</v>
      </c>
      <c r="BE293" s="3" t="s">
        <v>1368</v>
      </c>
      <c r="BF293" s="118">
        <v>3.01</v>
      </c>
      <c r="BG293" s="49" t="s">
        <v>1371</v>
      </c>
      <c r="BH293" s="49" t="s">
        <v>1371</v>
      </c>
      <c r="BI293" s="1"/>
      <c r="BJ293" s="70" t="s">
        <v>1281</v>
      </c>
      <c r="BK293" s="57" t="s">
        <v>1281</v>
      </c>
      <c r="BL293" s="57" t="s">
        <v>1281</v>
      </c>
      <c r="BM293" s="57" t="s">
        <v>1281</v>
      </c>
      <c r="BN293" s="57" t="s">
        <v>1281</v>
      </c>
      <c r="BO293" s="57" t="s">
        <v>1281</v>
      </c>
      <c r="BP293" s="57" t="s">
        <v>1281</v>
      </c>
      <c r="BQ293" s="57" t="s">
        <v>1281</v>
      </c>
      <c r="BR293" s="57" t="s">
        <v>1281</v>
      </c>
      <c r="BS293" s="57" t="s">
        <v>1281</v>
      </c>
      <c r="BT293" s="57" t="s">
        <v>1281</v>
      </c>
      <c r="BU293" s="57" t="s">
        <v>1281</v>
      </c>
      <c r="BV293" s="70">
        <f>E293</f>
        <v>48</v>
      </c>
      <c r="BW293" s="71" t="str">
        <f>I293</f>
        <v>-</v>
      </c>
      <c r="BX293" s="72">
        <f>M293</f>
        <v>84</v>
      </c>
      <c r="BY293" s="71">
        <f>Q293</f>
        <v>115</v>
      </c>
      <c r="BZ293" s="72">
        <f>U293</f>
        <v>119</v>
      </c>
      <c r="CA293" s="71" t="str">
        <f>Y293</f>
        <v>-</v>
      </c>
      <c r="CB293" s="72">
        <f>AC293</f>
        <v>163</v>
      </c>
      <c r="CC293" s="71">
        <f>AG293</f>
        <v>200</v>
      </c>
      <c r="CD293" s="72">
        <f>AK293</f>
        <v>208</v>
      </c>
      <c r="CE293" s="71">
        <f>AO293</f>
        <v>251</v>
      </c>
      <c r="CF293" s="72">
        <f>AS293</f>
        <v>294</v>
      </c>
      <c r="CG293" s="71">
        <f>AW293</f>
        <v>323</v>
      </c>
      <c r="CH293" s="70">
        <f>G293</f>
        <v>79</v>
      </c>
      <c r="CI293" s="71" t="str">
        <f>K293</f>
        <v>-</v>
      </c>
      <c r="CJ293" s="72">
        <f>O293</f>
        <v>113</v>
      </c>
      <c r="CK293" s="72">
        <f>S293</f>
        <v>118</v>
      </c>
      <c r="CL293" s="72">
        <f>W293</f>
        <v>154</v>
      </c>
      <c r="CM293" s="72" t="str">
        <f>AA293</f>
        <v>-</v>
      </c>
      <c r="CN293" s="72">
        <f>AE293</f>
        <v>189</v>
      </c>
      <c r="CO293" s="72">
        <f>AI293</f>
        <v>202</v>
      </c>
      <c r="CP293" s="72">
        <f>AM293</f>
        <v>242</v>
      </c>
      <c r="CQ293" s="72">
        <f>AQ293</f>
        <v>289</v>
      </c>
      <c r="CR293" s="72">
        <f>AU293</f>
        <v>322</v>
      </c>
      <c r="CS293" s="72">
        <f>AY293</f>
        <v>331</v>
      </c>
      <c r="CT293" s="23" t="e">
        <f>M293-K293</f>
        <v>#VALUE!</v>
      </c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  <c r="UX293" s="1"/>
      <c r="UY293" s="1"/>
      <c r="UZ293" s="1"/>
      <c r="VA293" s="1"/>
      <c r="VB293" s="1"/>
      <c r="VC293" s="1"/>
      <c r="VD293" s="1"/>
      <c r="VE293" s="1"/>
      <c r="VF293" s="1"/>
      <c r="VG293" s="1"/>
      <c r="VH293" s="1"/>
      <c r="VI293" s="1"/>
      <c r="VJ293" s="1"/>
      <c r="VK293" s="1"/>
      <c r="VL293" s="1"/>
      <c r="VM293" s="1"/>
      <c r="VN293" s="1"/>
      <c r="VO293" s="1"/>
      <c r="VP293" s="1"/>
      <c r="VQ293" s="1"/>
      <c r="VR293" s="1"/>
      <c r="VS293" s="1"/>
      <c r="VT293" s="1"/>
      <c r="VU293" s="1"/>
      <c r="VV293" s="1"/>
      <c r="VW293" s="1"/>
      <c r="VX293" s="1"/>
      <c r="VY293" s="1"/>
      <c r="VZ293" s="1"/>
      <c r="WA293" s="1"/>
      <c r="WB293" s="1"/>
      <c r="WC293" s="1"/>
      <c r="WD293" s="1"/>
      <c r="WE293" s="1"/>
      <c r="WF293" s="1"/>
      <c r="WG293" s="1"/>
      <c r="WH293" s="1"/>
      <c r="WI293" s="1"/>
      <c r="WJ293" s="1"/>
      <c r="WK293" s="1"/>
      <c r="WL293" s="1"/>
      <c r="WM293" s="1"/>
      <c r="WN293" s="1"/>
      <c r="WO293" s="1"/>
      <c r="WP293" s="1"/>
      <c r="WQ293" s="1"/>
      <c r="WR293" s="1"/>
      <c r="WS293" s="1"/>
      <c r="WT293" s="1"/>
      <c r="WU293" s="1"/>
      <c r="WV293" s="1"/>
      <c r="WW293" s="1"/>
      <c r="WX293" s="1"/>
      <c r="WY293" s="1"/>
      <c r="WZ293" s="1"/>
      <c r="XA293" s="1"/>
      <c r="XB293" s="1"/>
      <c r="XC293" s="1"/>
      <c r="XD293" s="1"/>
      <c r="XE293" s="1"/>
      <c r="XF293" s="1"/>
      <c r="XG293" s="1"/>
      <c r="XH293" s="1"/>
      <c r="XI293" s="1"/>
      <c r="XJ293" s="1"/>
      <c r="XK293" s="1"/>
      <c r="XL293" s="1"/>
      <c r="XM293" s="1"/>
      <c r="XN293" s="1"/>
      <c r="XO293" s="1"/>
      <c r="XP293" s="1"/>
      <c r="XQ293" s="1"/>
      <c r="XR293" s="1"/>
      <c r="XS293" s="1"/>
      <c r="XT293" s="1"/>
      <c r="XU293" s="1"/>
      <c r="XV293" s="1"/>
      <c r="XW293" s="1"/>
      <c r="XX293" s="1"/>
      <c r="XY293" s="1"/>
      <c r="XZ293" s="1"/>
      <c r="YA293" s="1"/>
      <c r="YB293" s="1"/>
      <c r="YC293" s="1"/>
      <c r="YD293" s="1"/>
      <c r="YE293" s="1"/>
      <c r="YF293" s="1"/>
      <c r="YG293" s="1"/>
      <c r="YH293" s="1"/>
      <c r="YI293" s="1"/>
      <c r="YJ293" s="1"/>
      <c r="YK293" s="1"/>
      <c r="YL293" s="1"/>
      <c r="YM293" s="1"/>
      <c r="YN293" s="1"/>
      <c r="YO293" s="1"/>
      <c r="YP293" s="1"/>
      <c r="YQ293" s="1"/>
      <c r="YR293" s="1"/>
      <c r="YS293" s="1"/>
      <c r="YT293" s="1"/>
      <c r="YU293" s="1"/>
      <c r="YV293" s="1"/>
      <c r="YW293" s="1"/>
      <c r="YX293" s="1"/>
      <c r="YY293" s="1"/>
      <c r="YZ293" s="1"/>
      <c r="ZA293" s="1"/>
      <c r="ZB293" s="1"/>
      <c r="ZC293" s="1"/>
      <c r="ZD293" s="1"/>
      <c r="ZE293" s="1"/>
      <c r="ZF293" s="1"/>
      <c r="ZG293" s="1"/>
      <c r="ZH293" s="1"/>
      <c r="ZI293" s="1"/>
      <c r="ZJ293" s="1"/>
      <c r="ZK293" s="1"/>
      <c r="ZL293" s="1"/>
      <c r="ZM293" s="1"/>
      <c r="ZN293" s="1"/>
      <c r="ZO293" s="1"/>
      <c r="ZP293" s="1"/>
      <c r="ZQ293" s="1"/>
      <c r="ZR293" s="1"/>
      <c r="ZS293" s="1"/>
      <c r="ZT293" s="1"/>
      <c r="ZU293" s="1"/>
      <c r="ZV293" s="1"/>
      <c r="ZW293" s="1"/>
      <c r="ZX293" s="1"/>
      <c r="ZY293" s="1"/>
      <c r="ZZ293" s="1"/>
      <c r="AAA293" s="1"/>
      <c r="AAB293" s="1"/>
      <c r="AAC293" s="1"/>
      <c r="AAD293" s="1"/>
      <c r="AAE293" s="1"/>
      <c r="AAF293" s="1"/>
      <c r="AAG293" s="1"/>
      <c r="AAH293" s="1"/>
      <c r="AAI293" s="1"/>
      <c r="AAJ293" s="1"/>
      <c r="AAK293" s="1"/>
      <c r="AAL293" s="1"/>
      <c r="AAM293" s="1"/>
      <c r="AAN293" s="1"/>
      <c r="AAO293" s="1"/>
      <c r="AAP293" s="1"/>
      <c r="AAQ293" s="1"/>
      <c r="AAR293" s="1"/>
      <c r="AAS293" s="1"/>
      <c r="AAT293" s="1"/>
      <c r="AAU293" s="1"/>
      <c r="AAV293" s="1"/>
      <c r="AAW293" s="1"/>
      <c r="AAX293" s="1"/>
      <c r="AAY293" s="1"/>
      <c r="AAZ293" s="1"/>
      <c r="ABA293" s="1"/>
      <c r="ABB293" s="1"/>
      <c r="ABC293" s="1"/>
      <c r="ABD293" s="1"/>
      <c r="ABE293" s="1"/>
      <c r="ABF293" s="1"/>
      <c r="ABG293" s="1"/>
      <c r="ABH293" s="1"/>
      <c r="ABI293" s="1"/>
      <c r="ABJ293" s="1"/>
      <c r="ABK293" s="1"/>
      <c r="ABL293" s="1"/>
      <c r="ABM293" s="1"/>
      <c r="ABN293" s="1"/>
      <c r="ABO293" s="1"/>
      <c r="ABP293" s="1"/>
      <c r="ABQ293" s="1"/>
      <c r="ABR293" s="1"/>
      <c r="ABS293" s="1"/>
      <c r="ABT293" s="1"/>
      <c r="ABU293" s="1"/>
      <c r="ABV293" s="1"/>
      <c r="ABW293" s="1"/>
      <c r="ABX293" s="1"/>
      <c r="ABY293" s="1"/>
      <c r="ABZ293" s="1"/>
      <c r="ACA293" s="1"/>
      <c r="ACB293" s="1"/>
      <c r="ACC293" s="1"/>
      <c r="ACD293" s="1"/>
      <c r="ACE293" s="1"/>
      <c r="ACF293" s="1"/>
      <c r="ACG293" s="1"/>
      <c r="ACH293" s="1"/>
      <c r="ACI293" s="1"/>
      <c r="ACJ293" s="1"/>
      <c r="ACK293" s="1"/>
      <c r="ACL293" s="1"/>
      <c r="ACM293" s="1"/>
      <c r="ACN293" s="1"/>
      <c r="ACO293" s="1"/>
      <c r="ACP293" s="1"/>
      <c r="ACQ293" s="1"/>
      <c r="ACR293" s="1"/>
      <c r="ACS293" s="1"/>
      <c r="ACT293" s="1"/>
      <c r="ACU293" s="1"/>
      <c r="ACV293" s="1"/>
      <c r="ACW293" s="1"/>
      <c r="ACX293" s="1"/>
      <c r="ACY293" s="1"/>
      <c r="ACZ293" s="1"/>
      <c r="ADA293" s="1"/>
      <c r="ADB293" s="1"/>
      <c r="ADC293" s="1"/>
      <c r="ADD293" s="1"/>
      <c r="ADE293" s="1"/>
      <c r="ADF293" s="1"/>
      <c r="ADG293" s="1"/>
      <c r="ADH293" s="1"/>
      <c r="ADI293" s="1"/>
      <c r="ADJ293" s="1"/>
      <c r="ADK293" s="1"/>
      <c r="ADL293" s="1"/>
      <c r="ADM293" s="1"/>
      <c r="ADN293" s="1"/>
      <c r="ADO293" s="1"/>
      <c r="ADP293" s="1"/>
      <c r="ADQ293" s="1"/>
      <c r="ADR293" s="1"/>
      <c r="ADS293" s="1"/>
      <c r="ADT293" s="1"/>
      <c r="ADU293" s="1"/>
      <c r="ADV293" s="1"/>
      <c r="ADW293" s="1"/>
      <c r="ADX293" s="1"/>
      <c r="ADY293" s="1"/>
      <c r="ADZ293" s="1"/>
      <c r="AEA293" s="1"/>
      <c r="AEB293" s="1"/>
      <c r="AEC293" s="1"/>
      <c r="AED293" s="1"/>
      <c r="AEE293" s="1"/>
      <c r="AEF293" s="1"/>
      <c r="AEG293" s="1"/>
      <c r="AEH293" s="1"/>
      <c r="AEI293" s="1"/>
      <c r="AEJ293" s="1"/>
      <c r="AEK293" s="1"/>
      <c r="AEL293" s="1"/>
      <c r="AEM293" s="1"/>
      <c r="AEN293" s="1"/>
      <c r="AEO293" s="1"/>
      <c r="AEP293" s="1"/>
      <c r="AEQ293" s="1"/>
      <c r="AER293" s="1"/>
      <c r="AES293" s="1"/>
      <c r="AET293" s="1"/>
      <c r="AEU293" s="1"/>
      <c r="AEV293" s="1"/>
      <c r="AEW293" s="1"/>
      <c r="AEX293" s="1"/>
      <c r="AEY293" s="1"/>
      <c r="AEZ293" s="1"/>
      <c r="AFA293" s="1"/>
      <c r="AFB293" s="1"/>
      <c r="AFC293" s="1"/>
      <c r="AFD293" s="1"/>
      <c r="AFE293" s="1"/>
      <c r="AFF293" s="1"/>
      <c r="AFG293" s="1"/>
      <c r="AFH293" s="1"/>
      <c r="AFI293" s="1"/>
      <c r="AFJ293" s="1"/>
      <c r="AFK293" s="1"/>
      <c r="AFL293" s="1"/>
      <c r="AFM293" s="1"/>
      <c r="AFN293" s="1"/>
      <c r="AFO293" s="1"/>
      <c r="AFP293" s="1"/>
      <c r="AFQ293" s="1"/>
      <c r="AFR293" s="1"/>
      <c r="AFS293" s="1"/>
      <c r="AFT293" s="1"/>
      <c r="AFU293" s="1"/>
      <c r="AFV293" s="1"/>
      <c r="AFW293" s="1"/>
      <c r="AFX293" s="1"/>
      <c r="AFY293" s="1"/>
      <c r="AFZ293" s="1"/>
      <c r="AGA293" s="1"/>
      <c r="AGB293" s="1"/>
      <c r="AGC293" s="1"/>
      <c r="AGD293" s="1"/>
      <c r="AGE293" s="1"/>
      <c r="AGF293" s="1"/>
      <c r="AGG293" s="1"/>
      <c r="AGH293" s="1"/>
      <c r="AGI293" s="1"/>
      <c r="AGJ293" s="1"/>
      <c r="AGK293" s="1"/>
      <c r="AGL293" s="1"/>
      <c r="AGM293" s="1"/>
      <c r="AGN293" s="1"/>
      <c r="AGO293" s="1"/>
      <c r="AGP293" s="1"/>
      <c r="AGQ293" s="1"/>
      <c r="AGR293" s="1"/>
      <c r="AGS293" s="1"/>
      <c r="AGT293" s="1"/>
      <c r="AGU293" s="1"/>
      <c r="AGV293" s="1"/>
      <c r="AGW293" s="1"/>
      <c r="AGX293" s="1"/>
      <c r="AGY293" s="1"/>
      <c r="AGZ293" s="1"/>
      <c r="AHA293" s="1"/>
      <c r="AHB293" s="1"/>
      <c r="AHC293" s="1"/>
      <c r="AHD293" s="1"/>
      <c r="AHE293" s="1"/>
      <c r="AHF293" s="1"/>
      <c r="AHG293" s="1"/>
      <c r="AHH293" s="1"/>
      <c r="AHI293" s="1"/>
      <c r="AHJ293" s="1"/>
      <c r="AHK293" s="1"/>
      <c r="AHL293" s="1"/>
      <c r="AHM293" s="1"/>
      <c r="AHN293" s="1"/>
      <c r="AHO293" s="1"/>
      <c r="AHP293" s="1"/>
      <c r="AHQ293" s="1"/>
      <c r="AHR293" s="1"/>
      <c r="AHS293" s="1"/>
      <c r="AHT293" s="1"/>
      <c r="AHU293" s="1"/>
      <c r="AHV293" s="1"/>
      <c r="AHW293" s="1"/>
      <c r="AHX293" s="1"/>
      <c r="AHY293" s="1"/>
      <c r="AHZ293" s="1"/>
      <c r="AIA293" s="1"/>
      <c r="AIB293" s="1"/>
      <c r="AIC293" s="1"/>
      <c r="AID293" s="1"/>
      <c r="AIE293" s="1"/>
      <c r="AIF293" s="1"/>
      <c r="AIG293" s="1"/>
      <c r="AIH293" s="1"/>
      <c r="AII293" s="1"/>
      <c r="AIJ293" s="1"/>
      <c r="AIK293" s="1"/>
      <c r="AIL293" s="1"/>
      <c r="AIM293" s="1"/>
      <c r="AIN293" s="1"/>
      <c r="AIO293" s="1"/>
      <c r="AIP293" s="1"/>
      <c r="AIQ293" s="1"/>
      <c r="AIR293" s="1"/>
      <c r="AIS293" s="1"/>
      <c r="AIT293" s="1"/>
      <c r="AIU293" s="1"/>
      <c r="AIV293" s="1"/>
      <c r="AIW293" s="1"/>
      <c r="AIX293" s="1"/>
      <c r="AIY293" s="1"/>
      <c r="AIZ293" s="1"/>
      <c r="AJA293" s="1"/>
      <c r="AJB293" s="1"/>
      <c r="AJC293" s="1"/>
      <c r="AJD293" s="1"/>
      <c r="AJE293" s="1"/>
      <c r="AJF293" s="1"/>
      <c r="AJG293" s="1"/>
      <c r="AJH293" s="1"/>
      <c r="AJI293" s="1"/>
      <c r="AJJ293" s="1"/>
      <c r="AJK293" s="1"/>
      <c r="AJL293" s="1"/>
      <c r="AJM293" s="1"/>
      <c r="AJN293" s="1"/>
      <c r="AJO293" s="1"/>
      <c r="AJP293" s="1"/>
      <c r="AJQ293" s="1"/>
      <c r="AJR293" s="1"/>
      <c r="AJS293" s="1"/>
      <c r="AJT293" s="1"/>
      <c r="AJU293" s="1"/>
      <c r="AJV293" s="1"/>
      <c r="AJW293" s="1"/>
      <c r="AJX293" s="1"/>
      <c r="AJY293" s="1"/>
      <c r="AJZ293" s="1"/>
      <c r="AKA293" s="1"/>
      <c r="AKB293" s="1"/>
      <c r="AKC293" s="1"/>
      <c r="AKD293" s="1"/>
      <c r="AKE293" s="1"/>
      <c r="AKF293" s="1"/>
      <c r="AKG293" s="1"/>
      <c r="AKH293" s="1"/>
      <c r="AKI293" s="1"/>
      <c r="AKJ293" s="1"/>
      <c r="AKK293" s="1"/>
      <c r="AKL293" s="1"/>
      <c r="AKM293" s="1"/>
      <c r="AKN293" s="1"/>
      <c r="AKO293" s="1"/>
      <c r="AKP293" s="1"/>
      <c r="AKQ293" s="1"/>
      <c r="AKR293" s="1"/>
      <c r="AKS293" s="1"/>
      <c r="AKT293" s="1"/>
      <c r="AKU293" s="1"/>
      <c r="AKV293" s="1"/>
      <c r="AKW293" s="1"/>
      <c r="AKX293" s="1"/>
      <c r="AKY293" s="1"/>
      <c r="AKZ293" s="1"/>
      <c r="ALA293" s="1"/>
      <c r="ALB293" s="1"/>
      <c r="ALC293" s="1"/>
      <c r="ALD293" s="1"/>
      <c r="ALE293" s="1"/>
      <c r="ALF293" s="1"/>
      <c r="ALG293" s="1"/>
      <c r="ALH293" s="1"/>
      <c r="ALI293" s="1"/>
      <c r="ALJ293" s="1"/>
      <c r="ALK293" s="1"/>
      <c r="ALL293" s="1"/>
      <c r="ALM293" s="1"/>
      <c r="ALN293" s="1"/>
      <c r="ALO293" s="1"/>
      <c r="ALP293" s="1"/>
      <c r="ALQ293" s="1"/>
      <c r="ALR293" s="1"/>
      <c r="ALS293" s="1"/>
      <c r="ALT293" s="1"/>
      <c r="ALU293" s="1"/>
      <c r="ALV293" s="1"/>
      <c r="ALW293" s="1"/>
      <c r="ALX293" s="1"/>
      <c r="ALY293" s="1"/>
      <c r="ALZ293" s="1"/>
      <c r="AMA293" s="1"/>
      <c r="AMB293" s="1"/>
      <c r="AMC293" s="1"/>
      <c r="AMD293" s="1"/>
      <c r="AME293" s="1"/>
      <c r="AMF293" s="1"/>
      <c r="AMG293" s="1"/>
      <c r="AMH293" s="1"/>
      <c r="AMI293" s="1"/>
      <c r="AMJ293" s="1"/>
      <c r="AMK293" s="1"/>
      <c r="AML293" s="1"/>
      <c r="AMM293" s="1"/>
      <c r="AMN293" s="1"/>
      <c r="AMO293" s="1"/>
    </row>
    <row r="294" spans="1:1030" x14ac:dyDescent="0.2">
      <c r="A294" s="3" t="str">
        <f>CONCATENATE(B294,"_",C294)</f>
        <v>oprx_human_5DHG</v>
      </c>
      <c r="B294" s="3" t="s">
        <v>1167</v>
      </c>
      <c r="C294" s="3" t="s">
        <v>1349</v>
      </c>
      <c r="D294" s="3" t="str">
        <f>IFERROR(MID(VLOOKUP($B294,Seqs!$A:$B,2,0),E294,1),"")</f>
        <v>L</v>
      </c>
      <c r="E294" s="3">
        <v>48</v>
      </c>
      <c r="F294" s="3" t="str">
        <f>IFERROR(MID(VLOOKUP($B294,Seqs!$A:$B,2,0),G294,1),"")</f>
        <v>H</v>
      </c>
      <c r="G294" s="3">
        <v>79</v>
      </c>
      <c r="H294" s="3" t="str">
        <f>IFERROR(MID(VLOOKUP($B294,Seqs!$A:$B,2,0),I294,1),"")</f>
        <v/>
      </c>
      <c r="I294" s="23" t="s">
        <v>23</v>
      </c>
      <c r="J294" s="3" t="str">
        <f>IFERROR(MID(VLOOKUP($B294,Seqs!$A:$B,2,0),K294,1),"")</f>
        <v/>
      </c>
      <c r="K294" s="23" t="s">
        <v>23</v>
      </c>
      <c r="L294" s="3" t="str">
        <f>IFERROR(MID(VLOOKUP($B294,Seqs!$A:$B,2,0),M294,1),"")</f>
        <v>T</v>
      </c>
      <c r="M294" s="3">
        <v>84</v>
      </c>
      <c r="N294" s="3" t="str">
        <f>IFERROR(MID(VLOOKUP($B294,Seqs!$A:$B,2,0),O294,1),"")</f>
        <v>L</v>
      </c>
      <c r="O294" s="3">
        <v>113</v>
      </c>
      <c r="P294" s="3" t="str">
        <f>IFERROR(MID(VLOOKUP($B294,Seqs!$A:$B,2,0),Q294,1),"")</f>
        <v>F</v>
      </c>
      <c r="Q294" s="3">
        <v>115</v>
      </c>
      <c r="R294" s="3" t="str">
        <f>IFERROR(MID(VLOOKUP($B294,Seqs!$A:$B,2,0),S294,1),"")</f>
        <v>F</v>
      </c>
      <c r="S294" s="3">
        <v>118</v>
      </c>
      <c r="T294" s="3" t="str">
        <f>IFERROR(MID(VLOOKUP($B294,Seqs!$A:$B,2,0),U294,1),"")</f>
        <v>G</v>
      </c>
      <c r="U294" s="3">
        <v>119</v>
      </c>
      <c r="V294" s="3" t="str">
        <f>IFERROR(MID(VLOOKUP($B294,Seqs!$A:$B,2,0),W294,1),"")</f>
        <v>H</v>
      </c>
      <c r="W294" s="3">
        <v>154</v>
      </c>
      <c r="X294" s="3" t="str">
        <f>IFERROR(MID(VLOOKUP($B294,Seqs!$A:$B,2,0),Y294,1),"")</f>
        <v/>
      </c>
      <c r="Y294" s="3" t="s">
        <v>23</v>
      </c>
      <c r="Z294" s="3" t="str">
        <f>IFERROR(MID(VLOOKUP($B294,Seqs!$A:$B,2,0),AA294,1),"")</f>
        <v/>
      </c>
      <c r="AA294" s="3" t="s">
        <v>23</v>
      </c>
      <c r="AB294" s="3" t="str">
        <f>IFERROR(MID(VLOOKUP($B294,Seqs!$A:$B,2,0),AC294,1),"")</f>
        <v>T</v>
      </c>
      <c r="AC294" s="9">
        <v>163</v>
      </c>
      <c r="AD294" s="3" t="str">
        <f>IFERROR(MID(VLOOKUP($B294,Seqs!$A:$B,2,0),AE294,1),"")</f>
        <v>G</v>
      </c>
      <c r="AE294" s="3">
        <v>189</v>
      </c>
      <c r="AF294" s="3" t="str">
        <f>IFERROR(MID(VLOOKUP($B294,Seqs!$A:$B,2,0),AG294,1),"")</f>
        <v>C</v>
      </c>
      <c r="AG294" s="3">
        <v>200</v>
      </c>
      <c r="AH294" s="3" t="str">
        <f>IFERROR(MID(VLOOKUP($B294,Seqs!$A:$B,2,0),AI294,1),"")</f>
        <v>V</v>
      </c>
      <c r="AI294" s="3">
        <v>202</v>
      </c>
      <c r="AJ294" s="3" t="str">
        <f>IFERROR(MID(VLOOKUP($B294,Seqs!$A:$B,2,0),AK294,1),"")</f>
        <v>Q</v>
      </c>
      <c r="AK294" s="3">
        <v>208</v>
      </c>
      <c r="AL294" s="3" t="str">
        <f>IFERROR(MID(VLOOKUP($B294,Seqs!$A:$B,2,0),AM294,1),"")</f>
        <v>L</v>
      </c>
      <c r="AM294" s="3">
        <v>242</v>
      </c>
      <c r="AN294" s="3" t="str">
        <f>IFERROR(MID(VLOOKUP($B294,Seqs!$A:$B,2,0),AO294,1),"")</f>
        <v>S</v>
      </c>
      <c r="AO294" s="3">
        <v>251</v>
      </c>
      <c r="AP294" s="3" t="str">
        <f>IFERROR(MID(VLOOKUP($B294,Seqs!$A:$B,2,0),AQ294,1),"")</f>
        <v>G</v>
      </c>
      <c r="AQ294" s="3">
        <v>289</v>
      </c>
      <c r="AR294" s="3" t="str">
        <f>IFERROR(MID(VLOOKUP($B294,Seqs!$A:$B,2,0),AS294,1),"")</f>
        <v>S</v>
      </c>
      <c r="AS294" s="3">
        <v>294</v>
      </c>
      <c r="AT294" s="3" t="str">
        <f>IFERROR(MID(VLOOKUP($B294,Seqs!$A:$B,2,0),AU294,1),"")</f>
        <v>L</v>
      </c>
      <c r="AU294" s="3">
        <v>322</v>
      </c>
      <c r="AV294" s="3" t="str">
        <f>IFERROR(MID(VLOOKUP($B294,Seqs!$A:$B,2,0),AW294,1),"")</f>
        <v>D</v>
      </c>
      <c r="AW294" s="3">
        <v>323</v>
      </c>
      <c r="AX294" s="3" t="str">
        <f>IFERROR(MID(VLOOKUP($B294,Seqs!$A:$B,2,0),AY294,1),"")</f>
        <v>F</v>
      </c>
      <c r="AY294" s="3">
        <v>333</v>
      </c>
      <c r="AZ294" s="77" t="str">
        <f>VLOOKUP(B294,Classification!A:D,2,0)</f>
        <v>A</v>
      </c>
      <c r="BA294" s="94" t="str">
        <f>VLOOKUP(B294,Classification!A:D,4,0)</f>
        <v>Opioid</v>
      </c>
      <c r="BB294" s="27" t="b">
        <f t="shared" si="1074"/>
        <v>1</v>
      </c>
      <c r="BC294" s="23">
        <f t="shared" si="1057"/>
        <v>248</v>
      </c>
      <c r="BD294" s="16" t="s">
        <v>1370</v>
      </c>
      <c r="BE294" s="3" t="s">
        <v>1368</v>
      </c>
      <c r="BF294" s="118">
        <v>3</v>
      </c>
      <c r="BG294" s="49" t="s">
        <v>1275</v>
      </c>
      <c r="BH294" s="49" t="s">
        <v>1371</v>
      </c>
      <c r="BI294" s="1"/>
      <c r="BJ294" s="70" t="s">
        <v>1281</v>
      </c>
      <c r="BK294" s="57" t="s">
        <v>1281</v>
      </c>
      <c r="BL294" s="57" t="s">
        <v>1281</v>
      </c>
      <c r="BM294" s="57" t="s">
        <v>1281</v>
      </c>
      <c r="BN294" s="57" t="s">
        <v>1281</v>
      </c>
      <c r="BO294" s="57" t="s">
        <v>1281</v>
      </c>
      <c r="BP294" s="57" t="s">
        <v>1281</v>
      </c>
      <c r="BQ294" s="57" t="s">
        <v>1281</v>
      </c>
      <c r="BR294" s="57" t="s">
        <v>1281</v>
      </c>
      <c r="BS294" s="57" t="s">
        <v>1281</v>
      </c>
      <c r="BT294" s="57" t="s">
        <v>1281</v>
      </c>
      <c r="BU294" s="57" t="s">
        <v>1281</v>
      </c>
      <c r="BV294" s="70">
        <f>E294</f>
        <v>48</v>
      </c>
      <c r="BW294" s="71" t="str">
        <f>I294</f>
        <v>-</v>
      </c>
      <c r="BX294" s="72">
        <f>M294</f>
        <v>84</v>
      </c>
      <c r="BY294" s="71">
        <f>Q294</f>
        <v>115</v>
      </c>
      <c r="BZ294" s="72">
        <f>U294</f>
        <v>119</v>
      </c>
      <c r="CA294" s="71" t="str">
        <f>Y294</f>
        <v>-</v>
      </c>
      <c r="CB294" s="72">
        <f>AC294</f>
        <v>163</v>
      </c>
      <c r="CC294" s="71">
        <f>AG294</f>
        <v>200</v>
      </c>
      <c r="CD294" s="72">
        <f>AK294</f>
        <v>208</v>
      </c>
      <c r="CE294" s="71">
        <f>AO294</f>
        <v>251</v>
      </c>
      <c r="CF294" s="72">
        <f>AS294</f>
        <v>294</v>
      </c>
      <c r="CG294" s="71">
        <f>AW294</f>
        <v>323</v>
      </c>
      <c r="CH294" s="70">
        <f>G294</f>
        <v>79</v>
      </c>
      <c r="CI294" s="71" t="str">
        <f>K294</f>
        <v>-</v>
      </c>
      <c r="CJ294" s="72">
        <f>O294</f>
        <v>113</v>
      </c>
      <c r="CK294" s="72">
        <f>S294</f>
        <v>118</v>
      </c>
      <c r="CL294" s="72">
        <f>W294</f>
        <v>154</v>
      </c>
      <c r="CM294" s="72" t="str">
        <f>AA294</f>
        <v>-</v>
      </c>
      <c r="CN294" s="72">
        <f>AE294</f>
        <v>189</v>
      </c>
      <c r="CO294" s="72">
        <f>AI294</f>
        <v>202</v>
      </c>
      <c r="CP294" s="72">
        <f>AM294</f>
        <v>242</v>
      </c>
      <c r="CQ294" s="72">
        <f>AQ294</f>
        <v>289</v>
      </c>
      <c r="CR294" s="72">
        <f>AU294</f>
        <v>322</v>
      </c>
      <c r="CS294" s="72">
        <f>AY294</f>
        <v>333</v>
      </c>
      <c r="CT294" s="23" t="e">
        <f>M294-K294</f>
        <v>#VALUE!</v>
      </c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  <c r="VC294" s="1"/>
      <c r="VD294" s="1"/>
      <c r="VE294" s="1"/>
      <c r="VF294" s="1"/>
      <c r="VG294" s="1"/>
      <c r="VH294" s="1"/>
      <c r="VI294" s="1"/>
      <c r="VJ294" s="1"/>
      <c r="VK294" s="1"/>
      <c r="VL294" s="1"/>
      <c r="VM294" s="1"/>
      <c r="VN294" s="1"/>
      <c r="VO294" s="1"/>
      <c r="VP294" s="1"/>
      <c r="VQ294" s="1"/>
      <c r="VR294" s="1"/>
      <c r="VS294" s="1"/>
      <c r="VT294" s="1"/>
      <c r="VU294" s="1"/>
      <c r="VV294" s="1"/>
      <c r="VW294" s="1"/>
      <c r="VX294" s="1"/>
      <c r="VY294" s="1"/>
      <c r="VZ294" s="1"/>
      <c r="WA294" s="1"/>
      <c r="WB294" s="1"/>
      <c r="WC294" s="1"/>
      <c r="WD294" s="1"/>
      <c r="WE294" s="1"/>
      <c r="WF294" s="1"/>
      <c r="WG294" s="1"/>
      <c r="WH294" s="1"/>
      <c r="WI294" s="1"/>
      <c r="WJ294" s="1"/>
      <c r="WK294" s="1"/>
      <c r="WL294" s="1"/>
      <c r="WM294" s="1"/>
      <c r="WN294" s="1"/>
      <c r="WO294" s="1"/>
      <c r="WP294" s="1"/>
      <c r="WQ294" s="1"/>
      <c r="WR294" s="1"/>
      <c r="WS294" s="1"/>
      <c r="WT294" s="1"/>
      <c r="WU294" s="1"/>
      <c r="WV294" s="1"/>
      <c r="WW294" s="1"/>
      <c r="WX294" s="1"/>
      <c r="WY294" s="1"/>
      <c r="WZ294" s="1"/>
      <c r="XA294" s="1"/>
      <c r="XB294" s="1"/>
      <c r="XC294" s="1"/>
      <c r="XD294" s="1"/>
      <c r="XE294" s="1"/>
      <c r="XF294" s="1"/>
      <c r="XG294" s="1"/>
      <c r="XH294" s="1"/>
      <c r="XI294" s="1"/>
      <c r="XJ294" s="1"/>
      <c r="XK294" s="1"/>
      <c r="XL294" s="1"/>
      <c r="XM294" s="1"/>
      <c r="XN294" s="1"/>
      <c r="XO294" s="1"/>
      <c r="XP294" s="1"/>
      <c r="XQ294" s="1"/>
      <c r="XR294" s="1"/>
      <c r="XS294" s="1"/>
      <c r="XT294" s="1"/>
      <c r="XU294" s="1"/>
      <c r="XV294" s="1"/>
      <c r="XW294" s="1"/>
      <c r="XX294" s="1"/>
      <c r="XY294" s="1"/>
      <c r="XZ294" s="1"/>
      <c r="YA294" s="1"/>
      <c r="YB294" s="1"/>
      <c r="YC294" s="1"/>
      <c r="YD294" s="1"/>
      <c r="YE294" s="1"/>
      <c r="YF294" s="1"/>
      <c r="YG294" s="1"/>
      <c r="YH294" s="1"/>
      <c r="YI294" s="1"/>
      <c r="YJ294" s="1"/>
      <c r="YK294" s="1"/>
      <c r="YL294" s="1"/>
      <c r="YM294" s="1"/>
      <c r="YN294" s="1"/>
      <c r="YO294" s="1"/>
      <c r="YP294" s="1"/>
      <c r="YQ294" s="1"/>
      <c r="YR294" s="1"/>
      <c r="YS294" s="1"/>
      <c r="YT294" s="1"/>
      <c r="YU294" s="1"/>
      <c r="YV294" s="1"/>
      <c r="YW294" s="1"/>
      <c r="YX294" s="1"/>
      <c r="YY294" s="1"/>
      <c r="YZ294" s="1"/>
      <c r="ZA294" s="1"/>
      <c r="ZB294" s="1"/>
      <c r="ZC294" s="1"/>
      <c r="ZD294" s="1"/>
      <c r="ZE294" s="1"/>
      <c r="ZF294" s="1"/>
      <c r="ZG294" s="1"/>
      <c r="ZH294" s="1"/>
      <c r="ZI294" s="1"/>
      <c r="ZJ294" s="1"/>
      <c r="ZK294" s="1"/>
      <c r="ZL294" s="1"/>
      <c r="ZM294" s="1"/>
      <c r="ZN294" s="1"/>
      <c r="ZO294" s="1"/>
      <c r="ZP294" s="1"/>
      <c r="ZQ294" s="1"/>
      <c r="ZR294" s="1"/>
      <c r="ZS294" s="1"/>
      <c r="ZT294" s="1"/>
      <c r="ZU294" s="1"/>
      <c r="ZV294" s="1"/>
      <c r="ZW294" s="1"/>
      <c r="ZX294" s="1"/>
      <c r="ZY294" s="1"/>
      <c r="ZZ294" s="1"/>
      <c r="AAA294" s="1"/>
      <c r="AAB294" s="1"/>
      <c r="AAC294" s="1"/>
      <c r="AAD294" s="1"/>
      <c r="AAE294" s="1"/>
      <c r="AAF294" s="1"/>
      <c r="AAG294" s="1"/>
      <c r="AAH294" s="1"/>
      <c r="AAI294" s="1"/>
      <c r="AAJ294" s="1"/>
      <c r="AAK294" s="1"/>
      <c r="AAL294" s="1"/>
      <c r="AAM294" s="1"/>
      <c r="AAN294" s="1"/>
      <c r="AAO294" s="1"/>
      <c r="AAP294" s="1"/>
      <c r="AAQ294" s="1"/>
      <c r="AAR294" s="1"/>
      <c r="AAS294" s="1"/>
      <c r="AAT294" s="1"/>
      <c r="AAU294" s="1"/>
      <c r="AAV294" s="1"/>
      <c r="AAW294" s="1"/>
      <c r="AAX294" s="1"/>
      <c r="AAY294" s="1"/>
      <c r="AAZ294" s="1"/>
      <c r="ABA294" s="1"/>
      <c r="ABB294" s="1"/>
      <c r="ABC294" s="1"/>
      <c r="ABD294" s="1"/>
      <c r="ABE294" s="1"/>
      <c r="ABF294" s="1"/>
      <c r="ABG294" s="1"/>
      <c r="ABH294" s="1"/>
      <c r="ABI294" s="1"/>
      <c r="ABJ294" s="1"/>
      <c r="ABK294" s="1"/>
      <c r="ABL294" s="1"/>
      <c r="ABM294" s="1"/>
      <c r="ABN294" s="1"/>
      <c r="ABO294" s="1"/>
      <c r="ABP294" s="1"/>
      <c r="ABQ294" s="1"/>
      <c r="ABR294" s="1"/>
      <c r="ABS294" s="1"/>
      <c r="ABT294" s="1"/>
      <c r="ABU294" s="1"/>
      <c r="ABV294" s="1"/>
      <c r="ABW294" s="1"/>
      <c r="ABX294" s="1"/>
      <c r="ABY294" s="1"/>
      <c r="ABZ294" s="1"/>
      <c r="ACA294" s="1"/>
      <c r="ACB294" s="1"/>
      <c r="ACC294" s="1"/>
      <c r="ACD294" s="1"/>
      <c r="ACE294" s="1"/>
      <c r="ACF294" s="1"/>
      <c r="ACG294" s="1"/>
      <c r="ACH294" s="1"/>
      <c r="ACI294" s="1"/>
      <c r="ACJ294" s="1"/>
      <c r="ACK294" s="1"/>
      <c r="ACL294" s="1"/>
      <c r="ACM294" s="1"/>
      <c r="ACN294" s="1"/>
      <c r="ACO294" s="1"/>
      <c r="ACP294" s="1"/>
      <c r="ACQ294" s="1"/>
      <c r="ACR294" s="1"/>
      <c r="ACS294" s="1"/>
      <c r="ACT294" s="1"/>
      <c r="ACU294" s="1"/>
      <c r="ACV294" s="1"/>
      <c r="ACW294" s="1"/>
      <c r="ACX294" s="1"/>
      <c r="ACY294" s="1"/>
      <c r="ACZ294" s="1"/>
      <c r="ADA294" s="1"/>
      <c r="ADB294" s="1"/>
      <c r="ADC294" s="1"/>
      <c r="ADD294" s="1"/>
      <c r="ADE294" s="1"/>
      <c r="ADF294" s="1"/>
      <c r="ADG294" s="1"/>
      <c r="ADH294" s="1"/>
      <c r="ADI294" s="1"/>
      <c r="ADJ294" s="1"/>
      <c r="ADK294" s="1"/>
      <c r="ADL294" s="1"/>
      <c r="ADM294" s="1"/>
      <c r="ADN294" s="1"/>
      <c r="ADO294" s="1"/>
      <c r="ADP294" s="1"/>
      <c r="ADQ294" s="1"/>
      <c r="ADR294" s="1"/>
      <c r="ADS294" s="1"/>
      <c r="ADT294" s="1"/>
      <c r="ADU294" s="1"/>
      <c r="ADV294" s="1"/>
      <c r="ADW294" s="1"/>
      <c r="ADX294" s="1"/>
      <c r="ADY294" s="1"/>
      <c r="ADZ294" s="1"/>
      <c r="AEA294" s="1"/>
      <c r="AEB294" s="1"/>
      <c r="AEC294" s="1"/>
      <c r="AED294" s="1"/>
      <c r="AEE294" s="1"/>
      <c r="AEF294" s="1"/>
      <c r="AEG294" s="1"/>
      <c r="AEH294" s="1"/>
      <c r="AEI294" s="1"/>
      <c r="AEJ294" s="1"/>
      <c r="AEK294" s="1"/>
      <c r="AEL294" s="1"/>
      <c r="AEM294" s="1"/>
      <c r="AEN294" s="1"/>
      <c r="AEO294" s="1"/>
      <c r="AEP294" s="1"/>
      <c r="AEQ294" s="1"/>
      <c r="AER294" s="1"/>
      <c r="AES294" s="1"/>
      <c r="AET294" s="1"/>
      <c r="AEU294" s="1"/>
      <c r="AEV294" s="1"/>
      <c r="AEW294" s="1"/>
      <c r="AEX294" s="1"/>
      <c r="AEY294" s="1"/>
      <c r="AEZ294" s="1"/>
      <c r="AFA294" s="1"/>
      <c r="AFB294" s="1"/>
      <c r="AFC294" s="1"/>
      <c r="AFD294" s="1"/>
      <c r="AFE294" s="1"/>
      <c r="AFF294" s="1"/>
      <c r="AFG294" s="1"/>
      <c r="AFH294" s="1"/>
      <c r="AFI294" s="1"/>
      <c r="AFJ294" s="1"/>
      <c r="AFK294" s="1"/>
      <c r="AFL294" s="1"/>
      <c r="AFM294" s="1"/>
      <c r="AFN294" s="1"/>
      <c r="AFO294" s="1"/>
      <c r="AFP294" s="1"/>
      <c r="AFQ294" s="1"/>
      <c r="AFR294" s="1"/>
      <c r="AFS294" s="1"/>
      <c r="AFT294" s="1"/>
      <c r="AFU294" s="1"/>
      <c r="AFV294" s="1"/>
      <c r="AFW294" s="1"/>
      <c r="AFX294" s="1"/>
      <c r="AFY294" s="1"/>
      <c r="AFZ294" s="1"/>
      <c r="AGA294" s="1"/>
      <c r="AGB294" s="1"/>
      <c r="AGC294" s="1"/>
      <c r="AGD294" s="1"/>
      <c r="AGE294" s="1"/>
      <c r="AGF294" s="1"/>
      <c r="AGG294" s="1"/>
      <c r="AGH294" s="1"/>
      <c r="AGI294" s="1"/>
      <c r="AGJ294" s="1"/>
      <c r="AGK294" s="1"/>
      <c r="AGL294" s="1"/>
      <c r="AGM294" s="1"/>
      <c r="AGN294" s="1"/>
      <c r="AGO294" s="1"/>
      <c r="AGP294" s="1"/>
      <c r="AGQ294" s="1"/>
      <c r="AGR294" s="1"/>
      <c r="AGS294" s="1"/>
      <c r="AGT294" s="1"/>
      <c r="AGU294" s="1"/>
      <c r="AGV294" s="1"/>
      <c r="AGW294" s="1"/>
      <c r="AGX294" s="1"/>
      <c r="AGY294" s="1"/>
      <c r="AGZ294" s="1"/>
      <c r="AHA294" s="1"/>
      <c r="AHB294" s="1"/>
      <c r="AHC294" s="1"/>
      <c r="AHD294" s="1"/>
      <c r="AHE294" s="1"/>
      <c r="AHF294" s="1"/>
      <c r="AHG294" s="1"/>
      <c r="AHH294" s="1"/>
      <c r="AHI294" s="1"/>
      <c r="AHJ294" s="1"/>
      <c r="AHK294" s="1"/>
      <c r="AHL294" s="1"/>
      <c r="AHM294" s="1"/>
      <c r="AHN294" s="1"/>
      <c r="AHO294" s="1"/>
      <c r="AHP294" s="1"/>
      <c r="AHQ294" s="1"/>
      <c r="AHR294" s="1"/>
      <c r="AHS294" s="1"/>
      <c r="AHT294" s="1"/>
      <c r="AHU294" s="1"/>
      <c r="AHV294" s="1"/>
      <c r="AHW294" s="1"/>
      <c r="AHX294" s="1"/>
      <c r="AHY294" s="1"/>
      <c r="AHZ294" s="1"/>
      <c r="AIA294" s="1"/>
      <c r="AIB294" s="1"/>
      <c r="AIC294" s="1"/>
      <c r="AID294" s="1"/>
      <c r="AIE294" s="1"/>
      <c r="AIF294" s="1"/>
      <c r="AIG294" s="1"/>
      <c r="AIH294" s="1"/>
      <c r="AII294" s="1"/>
      <c r="AIJ294" s="1"/>
      <c r="AIK294" s="1"/>
      <c r="AIL294" s="1"/>
      <c r="AIM294" s="1"/>
      <c r="AIN294" s="1"/>
      <c r="AIO294" s="1"/>
      <c r="AIP294" s="1"/>
      <c r="AIQ294" s="1"/>
      <c r="AIR294" s="1"/>
      <c r="AIS294" s="1"/>
      <c r="AIT294" s="1"/>
      <c r="AIU294" s="1"/>
      <c r="AIV294" s="1"/>
      <c r="AIW294" s="1"/>
      <c r="AIX294" s="1"/>
      <c r="AIY294" s="1"/>
      <c r="AIZ294" s="1"/>
      <c r="AJA294" s="1"/>
      <c r="AJB294" s="1"/>
      <c r="AJC294" s="1"/>
      <c r="AJD294" s="1"/>
      <c r="AJE294" s="1"/>
      <c r="AJF294" s="1"/>
      <c r="AJG294" s="1"/>
      <c r="AJH294" s="1"/>
      <c r="AJI294" s="1"/>
      <c r="AJJ294" s="1"/>
      <c r="AJK294" s="1"/>
      <c r="AJL294" s="1"/>
      <c r="AJM294" s="1"/>
      <c r="AJN294" s="1"/>
      <c r="AJO294" s="1"/>
      <c r="AJP294" s="1"/>
      <c r="AJQ294" s="1"/>
      <c r="AJR294" s="1"/>
      <c r="AJS294" s="1"/>
      <c r="AJT294" s="1"/>
      <c r="AJU294" s="1"/>
      <c r="AJV294" s="1"/>
      <c r="AJW294" s="1"/>
      <c r="AJX294" s="1"/>
      <c r="AJY294" s="1"/>
      <c r="AJZ294" s="1"/>
      <c r="AKA294" s="1"/>
      <c r="AKB294" s="1"/>
      <c r="AKC294" s="1"/>
      <c r="AKD294" s="1"/>
      <c r="AKE294" s="1"/>
      <c r="AKF294" s="1"/>
      <c r="AKG294" s="1"/>
      <c r="AKH294" s="1"/>
      <c r="AKI294" s="1"/>
      <c r="AKJ294" s="1"/>
      <c r="AKK294" s="1"/>
      <c r="AKL294" s="1"/>
      <c r="AKM294" s="1"/>
      <c r="AKN294" s="1"/>
      <c r="AKO294" s="1"/>
      <c r="AKP294" s="1"/>
      <c r="AKQ294" s="1"/>
      <c r="AKR294" s="1"/>
      <c r="AKS294" s="1"/>
      <c r="AKT294" s="1"/>
      <c r="AKU294" s="1"/>
      <c r="AKV294" s="1"/>
      <c r="AKW294" s="1"/>
      <c r="AKX294" s="1"/>
      <c r="AKY294" s="1"/>
      <c r="AKZ294" s="1"/>
      <c r="ALA294" s="1"/>
      <c r="ALB294" s="1"/>
      <c r="ALC294" s="1"/>
      <c r="ALD294" s="1"/>
      <c r="ALE294" s="1"/>
      <c r="ALF294" s="1"/>
      <c r="ALG294" s="1"/>
      <c r="ALH294" s="1"/>
      <c r="ALI294" s="1"/>
      <c r="ALJ294" s="1"/>
      <c r="ALK294" s="1"/>
      <c r="ALL294" s="1"/>
      <c r="ALM294" s="1"/>
      <c r="ALN294" s="1"/>
      <c r="ALO294" s="1"/>
      <c r="ALP294" s="1"/>
      <c r="ALQ294" s="1"/>
      <c r="ALR294" s="1"/>
      <c r="ALS294" s="1"/>
      <c r="ALT294" s="1"/>
      <c r="ALU294" s="1"/>
      <c r="ALV294" s="1"/>
      <c r="ALW294" s="1"/>
      <c r="ALX294" s="1"/>
      <c r="ALY294" s="1"/>
      <c r="ALZ294" s="1"/>
      <c r="AMA294" s="1"/>
      <c r="AMB294" s="1"/>
      <c r="AMC294" s="1"/>
      <c r="AMD294" s="1"/>
      <c r="AME294" s="1"/>
      <c r="AMF294" s="1"/>
      <c r="AMG294" s="1"/>
      <c r="AMH294" s="1"/>
      <c r="AMI294" s="1"/>
      <c r="AMJ294" s="1"/>
      <c r="AMK294" s="1"/>
      <c r="AML294" s="1"/>
      <c r="AMM294" s="1"/>
      <c r="AMN294" s="1"/>
      <c r="AMO294" s="1"/>
    </row>
    <row r="295" spans="1:1030" x14ac:dyDescent="0.2">
      <c r="A295" s="3" t="str">
        <f>CONCATENATE(B295,"_",C295)</f>
        <v>oprx_human_5DHH</v>
      </c>
      <c r="B295" s="3" t="s">
        <v>1167</v>
      </c>
      <c r="C295" s="3" t="s">
        <v>1350</v>
      </c>
      <c r="D295" s="3" t="str">
        <f>IFERROR(MID(VLOOKUP($B295,Seqs!$A:$B,2,0),E295,1),"")</f>
        <v>L</v>
      </c>
      <c r="E295" s="3">
        <v>48</v>
      </c>
      <c r="F295" s="3" t="str">
        <f>IFERROR(MID(VLOOKUP($B295,Seqs!$A:$B,2,0),G295,1),"")</f>
        <v>H</v>
      </c>
      <c r="G295" s="3">
        <v>79</v>
      </c>
      <c r="H295" s="3" t="str">
        <f>IFERROR(MID(VLOOKUP($B295,Seqs!$A:$B,2,0),I295,1),"")</f>
        <v/>
      </c>
      <c r="I295" s="23" t="s">
        <v>23</v>
      </c>
      <c r="J295" s="3" t="str">
        <f>IFERROR(MID(VLOOKUP($B295,Seqs!$A:$B,2,0),K295,1),"")</f>
        <v/>
      </c>
      <c r="K295" s="23" t="s">
        <v>23</v>
      </c>
      <c r="L295" s="3" t="str">
        <f>IFERROR(MID(VLOOKUP($B295,Seqs!$A:$B,2,0),M295,1),"")</f>
        <v>T</v>
      </c>
      <c r="M295" s="3">
        <v>84</v>
      </c>
      <c r="N295" s="3" t="str">
        <f>IFERROR(MID(VLOOKUP($B295,Seqs!$A:$B,2,0),O295,1),"")</f>
        <v>L</v>
      </c>
      <c r="O295" s="3">
        <v>113</v>
      </c>
      <c r="P295" s="3" t="str">
        <f>IFERROR(MID(VLOOKUP($B295,Seqs!$A:$B,2,0),Q295,1),"")</f>
        <v>F</v>
      </c>
      <c r="Q295" s="3">
        <v>115</v>
      </c>
      <c r="R295" s="3" t="str">
        <f>IFERROR(MID(VLOOKUP($B295,Seqs!$A:$B,2,0),S295,1),"")</f>
        <v>F</v>
      </c>
      <c r="S295" s="3">
        <v>118</v>
      </c>
      <c r="T295" s="3" t="str">
        <f>IFERROR(MID(VLOOKUP($B295,Seqs!$A:$B,2,0),U295,1),"")</f>
        <v>G</v>
      </c>
      <c r="U295" s="3">
        <v>119</v>
      </c>
      <c r="V295" s="3" t="str">
        <f>IFERROR(MID(VLOOKUP($B295,Seqs!$A:$B,2,0),W295,1),"")</f>
        <v>H</v>
      </c>
      <c r="W295" s="3">
        <v>154</v>
      </c>
      <c r="X295" s="3" t="str">
        <f>IFERROR(MID(VLOOKUP($B295,Seqs!$A:$B,2,0),Y295,1),"")</f>
        <v/>
      </c>
      <c r="Y295" s="3" t="s">
        <v>23</v>
      </c>
      <c r="Z295" s="3" t="str">
        <f>IFERROR(MID(VLOOKUP($B295,Seqs!$A:$B,2,0),AA295,1),"")</f>
        <v/>
      </c>
      <c r="AA295" s="3" t="s">
        <v>23</v>
      </c>
      <c r="AB295" s="3" t="str">
        <f>IFERROR(MID(VLOOKUP($B295,Seqs!$A:$B,2,0),AC295,1),"")</f>
        <v>T</v>
      </c>
      <c r="AC295" s="9">
        <v>163</v>
      </c>
      <c r="AD295" s="3" t="str">
        <f>IFERROR(MID(VLOOKUP($B295,Seqs!$A:$B,2,0),AE295,1),"")</f>
        <v>G</v>
      </c>
      <c r="AE295" s="3">
        <v>189</v>
      </c>
      <c r="AF295" s="3" t="str">
        <f>IFERROR(MID(VLOOKUP($B295,Seqs!$A:$B,2,0),AG295,1),"")</f>
        <v>C</v>
      </c>
      <c r="AG295" s="3">
        <v>200</v>
      </c>
      <c r="AH295" s="3" t="str">
        <f>IFERROR(MID(VLOOKUP($B295,Seqs!$A:$B,2,0),AI295,1),"")</f>
        <v>V</v>
      </c>
      <c r="AI295" s="3">
        <v>202</v>
      </c>
      <c r="AJ295" s="3" t="str">
        <f>IFERROR(MID(VLOOKUP($B295,Seqs!$A:$B,2,0),AK295,1),"")</f>
        <v>Q</v>
      </c>
      <c r="AK295" s="3">
        <v>208</v>
      </c>
      <c r="AL295" s="3" t="str">
        <f>IFERROR(MID(VLOOKUP($B295,Seqs!$A:$B,2,0),AM295,1),"")</f>
        <v>L</v>
      </c>
      <c r="AM295" s="3">
        <v>242</v>
      </c>
      <c r="AN295" s="3" t="str">
        <f>IFERROR(MID(VLOOKUP($B295,Seqs!$A:$B,2,0),AO295,1),"")</f>
        <v>S</v>
      </c>
      <c r="AO295" s="3">
        <v>251</v>
      </c>
      <c r="AP295" s="3" t="str">
        <f>IFERROR(MID(VLOOKUP($B295,Seqs!$A:$B,2,0),AQ295,1),"")</f>
        <v>G</v>
      </c>
      <c r="AQ295" s="3">
        <v>289</v>
      </c>
      <c r="AR295" s="3" t="str">
        <f>IFERROR(MID(VLOOKUP($B295,Seqs!$A:$B,2,0),AS295,1),"")</f>
        <v>S</v>
      </c>
      <c r="AS295" s="3">
        <v>294</v>
      </c>
      <c r="AT295" s="3" t="str">
        <f>IFERROR(MID(VLOOKUP($B295,Seqs!$A:$B,2,0),AU295,1),"")</f>
        <v>L</v>
      </c>
      <c r="AU295" s="3">
        <v>322</v>
      </c>
      <c r="AV295" s="3" t="str">
        <f>IFERROR(MID(VLOOKUP($B295,Seqs!$A:$B,2,0),AW295,1),"")</f>
        <v>D</v>
      </c>
      <c r="AW295" s="3">
        <v>323</v>
      </c>
      <c r="AX295" s="3" t="str">
        <f>IFERROR(MID(VLOOKUP($B295,Seqs!$A:$B,2,0),AY295,1),"")</f>
        <v>R</v>
      </c>
      <c r="AY295" s="3">
        <v>331</v>
      </c>
      <c r="AZ295" s="77" t="str">
        <f>VLOOKUP(B295,Classification!A:D,2,0)</f>
        <v>A</v>
      </c>
      <c r="BA295" s="94" t="str">
        <f>VLOOKUP(B295,Classification!A:D,4,0)</f>
        <v>Opioid</v>
      </c>
      <c r="BB295" s="27" t="b">
        <f t="shared" si="1074"/>
        <v>1</v>
      </c>
      <c r="BC295" s="23">
        <f t="shared" si="1057"/>
        <v>246</v>
      </c>
      <c r="BD295" s="5" t="s">
        <v>23</v>
      </c>
      <c r="BE295" s="3" t="s">
        <v>1368</v>
      </c>
      <c r="BF295" s="118">
        <v>3</v>
      </c>
      <c r="BG295" s="49" t="s">
        <v>1</v>
      </c>
      <c r="BH295" s="49" t="s">
        <v>1371</v>
      </c>
      <c r="BI295" s="1" t="s">
        <v>1354</v>
      </c>
      <c r="BJ295" s="70" t="s">
        <v>1281</v>
      </c>
      <c r="BK295" s="57" t="s">
        <v>1281</v>
      </c>
      <c r="BL295" s="57" t="s">
        <v>1281</v>
      </c>
      <c r="BM295" s="57" t="s">
        <v>1281</v>
      </c>
      <c r="BN295" s="57" t="s">
        <v>1281</v>
      </c>
      <c r="BO295" s="57" t="s">
        <v>1281</v>
      </c>
      <c r="BP295" s="57" t="s">
        <v>1281</v>
      </c>
      <c r="BQ295" s="57" t="s">
        <v>1281</v>
      </c>
      <c r="BR295" s="57" t="s">
        <v>1281</v>
      </c>
      <c r="BS295" s="57" t="s">
        <v>1281</v>
      </c>
      <c r="BT295" s="57" t="s">
        <v>1281</v>
      </c>
      <c r="BU295" s="57" t="s">
        <v>1281</v>
      </c>
      <c r="BV295" s="70">
        <f>E295</f>
        <v>48</v>
      </c>
      <c r="BW295" s="71" t="str">
        <f>I295</f>
        <v>-</v>
      </c>
      <c r="BX295" s="72">
        <f>M295</f>
        <v>84</v>
      </c>
      <c r="BY295" s="71">
        <f>Q295</f>
        <v>115</v>
      </c>
      <c r="BZ295" s="72">
        <f>U295</f>
        <v>119</v>
      </c>
      <c r="CA295" s="71" t="str">
        <f>Y295</f>
        <v>-</v>
      </c>
      <c r="CB295" s="72">
        <f>AC295</f>
        <v>163</v>
      </c>
      <c r="CC295" s="71">
        <f>AG295</f>
        <v>200</v>
      </c>
      <c r="CD295" s="72">
        <f>AK295</f>
        <v>208</v>
      </c>
      <c r="CE295" s="71">
        <f>AO295</f>
        <v>251</v>
      </c>
      <c r="CF295" s="72">
        <f>AS295</f>
        <v>294</v>
      </c>
      <c r="CG295" s="71">
        <f>AW295</f>
        <v>323</v>
      </c>
      <c r="CH295" s="70">
        <f>G295</f>
        <v>79</v>
      </c>
      <c r="CI295" s="71" t="str">
        <f>K295</f>
        <v>-</v>
      </c>
      <c r="CJ295" s="72">
        <f>O295</f>
        <v>113</v>
      </c>
      <c r="CK295" s="72">
        <f>S295</f>
        <v>118</v>
      </c>
      <c r="CL295" s="72">
        <f>W295</f>
        <v>154</v>
      </c>
      <c r="CM295" s="72" t="str">
        <f>AA295</f>
        <v>-</v>
      </c>
      <c r="CN295" s="72">
        <f>AE295</f>
        <v>189</v>
      </c>
      <c r="CO295" s="72">
        <f>AI295</f>
        <v>202</v>
      </c>
      <c r="CP295" s="72">
        <f>AM295</f>
        <v>242</v>
      </c>
      <c r="CQ295" s="72">
        <f>AQ295</f>
        <v>289</v>
      </c>
      <c r="CR295" s="72">
        <f>AU295</f>
        <v>322</v>
      </c>
      <c r="CS295" s="72">
        <f>AY295</f>
        <v>331</v>
      </c>
      <c r="CT295" s="23" t="e">
        <f>M295-K295</f>
        <v>#VALUE!</v>
      </c>
    </row>
    <row r="296" spans="1:1030" x14ac:dyDescent="0.2">
      <c r="A296" s="3" t="str">
        <f>CONCATENATE(B296,"_",C296)</f>
        <v>opsd_bovin__wt</v>
      </c>
      <c r="B296" s="3" t="s">
        <v>913</v>
      </c>
      <c r="C296" s="3" t="s">
        <v>100</v>
      </c>
      <c r="D296" s="3" t="str">
        <f>IFERROR(MID(VLOOKUP($B296,Seqs!$A:$B,2,0),E296,1),"")</f>
        <v>E</v>
      </c>
      <c r="E296" s="105">
        <v>33</v>
      </c>
      <c r="F296" s="3" t="str">
        <f>IFERROR(MID(VLOOKUP($B296,Seqs!$A:$B,2,0),G296,1),"")</f>
        <v>H</v>
      </c>
      <c r="G296" s="3">
        <v>65</v>
      </c>
      <c r="H296" s="3" t="str">
        <f>IFERROR(MID(VLOOKUP($B296,Seqs!$A:$B,2,0),I296,1),"")</f>
        <v>K</v>
      </c>
      <c r="I296" s="23">
        <v>66</v>
      </c>
      <c r="J296" s="3" t="str">
        <f>IFERROR(MID(VLOOKUP($B296,Seqs!$A:$B,2,0),K296,1),"")</f>
        <v>R</v>
      </c>
      <c r="K296" s="23">
        <v>69</v>
      </c>
      <c r="L296" s="3" t="str">
        <f>IFERROR(MID(VLOOKUP($B296,Seqs!$A:$B,2,0),M296,1),"")</f>
        <v>T</v>
      </c>
      <c r="M296" s="3">
        <v>70</v>
      </c>
      <c r="N296" s="3" t="str">
        <f>IFERROR(MID(VLOOKUP($B296,Seqs!$A:$B,2,0),O296,1),"")</f>
        <v>H</v>
      </c>
      <c r="O296" s="3">
        <v>100</v>
      </c>
      <c r="P296" s="3" t="str">
        <f>IFERROR(MID(VLOOKUP($B296,Seqs!$A:$B,2,0),Q296,1),"")</f>
        <v>Y</v>
      </c>
      <c r="Q296" s="3">
        <v>102</v>
      </c>
      <c r="R296" s="3" t="str">
        <f>IFERROR(MID(VLOOKUP($B296,Seqs!$A:$B,2,0),S296,1),"")</f>
        <v>F</v>
      </c>
      <c r="S296" s="3">
        <v>105</v>
      </c>
      <c r="T296" s="3" t="str">
        <f>IFERROR(MID(VLOOKUP($B296,Seqs!$A:$B,2,0),U296,1),"")</f>
        <v>G</v>
      </c>
      <c r="U296" s="3">
        <v>106</v>
      </c>
      <c r="V296" s="3" t="str">
        <f>IFERROR(MID(VLOOKUP($B296,Seqs!$A:$B,2,0),W296,1),"")</f>
        <v>K</v>
      </c>
      <c r="W296" s="3">
        <v>141</v>
      </c>
      <c r="X296" s="3" t="str">
        <f>IFERROR(MID(VLOOKUP($B296,Seqs!$A:$B,2,0),Y296,1),"")</f>
        <v>P</v>
      </c>
      <c r="Y296" s="3">
        <v>142</v>
      </c>
      <c r="Z296" s="3" t="str">
        <f>IFERROR(MID(VLOOKUP($B296,Seqs!$A:$B,2,0),AA296,1),"")</f>
        <v>F</v>
      </c>
      <c r="AA296" s="105">
        <v>148</v>
      </c>
      <c r="AB296" s="3" t="str">
        <f>IFERROR(MID(VLOOKUP($B296,Seqs!$A:$B,2,0),AC296,1),"")</f>
        <v>G</v>
      </c>
      <c r="AC296" s="105">
        <v>149</v>
      </c>
      <c r="AD296" s="3" t="str">
        <f>IFERROR(MID(VLOOKUP($B296,Seqs!$A:$B,2,0),AE296,1),"")</f>
        <v>V</v>
      </c>
      <c r="AE296" s="3">
        <v>173</v>
      </c>
      <c r="AF296" s="3" t="str">
        <f>IFERROR(MID(VLOOKUP($B296,Seqs!$A:$B,2,0),AG296,1),"")</f>
        <v>C</v>
      </c>
      <c r="AG296" s="3">
        <v>187</v>
      </c>
      <c r="AH296" s="3" t="str">
        <f>IFERROR(MID(VLOOKUP($B296,Seqs!$A:$B,2,0),AI296,1),"")</f>
        <v>I</v>
      </c>
      <c r="AI296" s="3">
        <v>189</v>
      </c>
      <c r="AJ296" s="3" t="str">
        <f>IFERROR(MID(VLOOKUP($B296,Seqs!$A:$B,2,0),AK296,1),"")</f>
        <v>N</v>
      </c>
      <c r="AK296" s="3">
        <v>199</v>
      </c>
      <c r="AL296" s="3" t="str">
        <f>IFERROR(MID(VLOOKUP($B296,Seqs!$A:$B,2,0),AM296,1),"")</f>
        <v>Q</v>
      </c>
      <c r="AM296" s="3">
        <v>237</v>
      </c>
      <c r="AN296" s="3" t="str">
        <f>IFERROR(MID(VLOOKUP($B296,Seqs!$A:$B,2,0),AO296,1),"")</f>
        <v>S</v>
      </c>
      <c r="AO296" s="105">
        <v>240</v>
      </c>
      <c r="AP296" s="3" t="str">
        <f>IFERROR(MID(VLOOKUP($B296,Seqs!$A:$B,2,0),AQ296,1),"")</f>
        <v>H</v>
      </c>
      <c r="AQ296" s="3">
        <v>278</v>
      </c>
      <c r="AR296" s="3" t="str">
        <f>IFERROR(MID(VLOOKUP($B296,Seqs!$A:$B,2,0),AS296,1),"")</f>
        <v>G</v>
      </c>
      <c r="AS296" s="3">
        <v>284</v>
      </c>
      <c r="AT296" s="3" t="str">
        <f>IFERROR(MID(VLOOKUP($B296,Seqs!$A:$B,2,0),AU296,1),"")</f>
        <v>M</v>
      </c>
      <c r="AU296" s="3">
        <v>309</v>
      </c>
      <c r="AV296" s="3" t="str">
        <f>IFERROR(MID(VLOOKUP($B296,Seqs!$A:$B,2,0),AW296,1),"")</f>
        <v>N</v>
      </c>
      <c r="AW296" s="3">
        <v>310</v>
      </c>
      <c r="AX296" s="3" t="str">
        <f>IFERROR(MID(VLOOKUP($B296,Seqs!$A:$B,2,0),AY296,1),"")</f>
        <v>C</v>
      </c>
      <c r="AY296" s="3">
        <v>322</v>
      </c>
      <c r="AZ296" s="77" t="str">
        <f>VLOOKUP(B296,Classification!A:D,2,0)</f>
        <v>A</v>
      </c>
      <c r="BA296" s="94" t="str">
        <f>VLOOKUP(B296,Classification!A:D,4,0)</f>
        <v>Opsins</v>
      </c>
      <c r="BB296" s="27" t="b">
        <f t="shared" si="1074"/>
        <v>1</v>
      </c>
      <c r="BC296" s="23">
        <f t="shared" si="1057"/>
        <v>260</v>
      </c>
      <c r="BD296" s="34" t="s">
        <v>23</v>
      </c>
      <c r="BE296" s="3" t="s">
        <v>23</v>
      </c>
      <c r="BF296" s="118" t="s">
        <v>23</v>
      </c>
      <c r="BG296" s="49" t="s">
        <v>1366</v>
      </c>
      <c r="BH296" s="49" t="s">
        <v>1371</v>
      </c>
      <c r="BI296" s="1"/>
      <c r="BJ296" s="70" t="s">
        <v>1281</v>
      </c>
      <c r="BK296" s="57" t="s">
        <v>1281</v>
      </c>
      <c r="BL296" s="57" t="s">
        <v>1281</v>
      </c>
      <c r="BM296" s="57" t="s">
        <v>1281</v>
      </c>
      <c r="BN296" s="57" t="s">
        <v>1281</v>
      </c>
      <c r="BO296" s="57" t="s">
        <v>1281</v>
      </c>
      <c r="BP296" s="57" t="s">
        <v>1281</v>
      </c>
      <c r="BQ296" s="57" t="s">
        <v>1281</v>
      </c>
      <c r="BR296" s="57" t="s">
        <v>1281</v>
      </c>
      <c r="BS296" s="57" t="s">
        <v>1281</v>
      </c>
      <c r="BT296" s="57" t="s">
        <v>1281</v>
      </c>
      <c r="BU296" s="57" t="s">
        <v>1281</v>
      </c>
      <c r="BV296" s="70">
        <f>E296</f>
        <v>33</v>
      </c>
      <c r="BW296" s="71">
        <f>I296</f>
        <v>66</v>
      </c>
      <c r="BX296" s="72">
        <f>M296</f>
        <v>70</v>
      </c>
      <c r="BY296" s="71">
        <f>Q296</f>
        <v>102</v>
      </c>
      <c r="BZ296" s="72">
        <f>U296</f>
        <v>106</v>
      </c>
      <c r="CA296" s="71">
        <f>Y296</f>
        <v>142</v>
      </c>
      <c r="CB296" s="72">
        <f>AC296</f>
        <v>149</v>
      </c>
      <c r="CC296" s="71">
        <f>AG296</f>
        <v>187</v>
      </c>
      <c r="CD296" s="72">
        <f>AK296</f>
        <v>199</v>
      </c>
      <c r="CE296" s="71">
        <f>AO296</f>
        <v>240</v>
      </c>
      <c r="CF296" s="72">
        <f>AS296</f>
        <v>284</v>
      </c>
      <c r="CG296" s="71">
        <f>AW296</f>
        <v>310</v>
      </c>
      <c r="CH296" s="70">
        <f>G296</f>
        <v>65</v>
      </c>
      <c r="CI296" s="71">
        <f>K296</f>
        <v>69</v>
      </c>
      <c r="CJ296" s="72">
        <f>O296</f>
        <v>100</v>
      </c>
      <c r="CK296" s="72">
        <f>S296</f>
        <v>105</v>
      </c>
      <c r="CL296" s="72">
        <f>W296</f>
        <v>141</v>
      </c>
      <c r="CM296" s="72">
        <f>AA296</f>
        <v>148</v>
      </c>
      <c r="CN296" s="72">
        <f>AE296</f>
        <v>173</v>
      </c>
      <c r="CO296" s="72">
        <f>AI296</f>
        <v>189</v>
      </c>
      <c r="CP296" s="72">
        <f>AM296</f>
        <v>237</v>
      </c>
      <c r="CQ296" s="72">
        <f>AQ296</f>
        <v>278</v>
      </c>
      <c r="CR296" s="72">
        <f>AU296</f>
        <v>309</v>
      </c>
      <c r="CS296" s="72">
        <f>AY296</f>
        <v>322</v>
      </c>
      <c r="CT296" s="23">
        <f>M296-K296</f>
        <v>1</v>
      </c>
    </row>
    <row r="297" spans="1:1030" x14ac:dyDescent="0.2">
      <c r="A297" s="3" t="str">
        <f>CONCATENATE(B297,"_",C297)</f>
        <v>opsd_bovin_1GZM</v>
      </c>
      <c r="B297" s="3" t="s">
        <v>913</v>
      </c>
      <c r="C297" s="3" t="s">
        <v>1331</v>
      </c>
      <c r="D297" s="3" t="str">
        <f>IFERROR(MID(VLOOKUP($B297,Seqs!$A:$B,2,0),E297,1),"")</f>
        <v>E</v>
      </c>
      <c r="E297" s="105">
        <v>33</v>
      </c>
      <c r="F297" s="3" t="str">
        <f>IFERROR(MID(VLOOKUP($B297,Seqs!$A:$B,2,0),G297,1),"")</f>
        <v>H</v>
      </c>
      <c r="G297" s="3">
        <v>65</v>
      </c>
      <c r="H297" s="3" t="str">
        <f>IFERROR(MID(VLOOKUP($B297,Seqs!$A:$B,2,0),I297,1),"")</f>
        <v>K</v>
      </c>
      <c r="I297" s="23">
        <v>66</v>
      </c>
      <c r="J297" s="3" t="str">
        <f>IFERROR(MID(VLOOKUP($B297,Seqs!$A:$B,2,0),K297,1),"")</f>
        <v>R</v>
      </c>
      <c r="K297" s="23">
        <v>69</v>
      </c>
      <c r="L297" s="3" t="str">
        <f>IFERROR(MID(VLOOKUP($B297,Seqs!$A:$B,2,0),M297,1),"")</f>
        <v>T</v>
      </c>
      <c r="M297" s="3">
        <v>70</v>
      </c>
      <c r="N297" s="3" t="str">
        <f>IFERROR(MID(VLOOKUP($B297,Seqs!$A:$B,2,0),O297,1),"")</f>
        <v>H</v>
      </c>
      <c r="O297" s="3">
        <v>100</v>
      </c>
      <c r="P297" s="3" t="str">
        <f>IFERROR(MID(VLOOKUP($B297,Seqs!$A:$B,2,0),Q297,1),"")</f>
        <v>Y</v>
      </c>
      <c r="Q297" s="3">
        <v>102</v>
      </c>
      <c r="R297" s="3" t="str">
        <f>IFERROR(MID(VLOOKUP($B297,Seqs!$A:$B,2,0),S297,1),"")</f>
        <v>F</v>
      </c>
      <c r="S297" s="3">
        <v>105</v>
      </c>
      <c r="T297" s="3" t="str">
        <f>IFERROR(MID(VLOOKUP($B297,Seqs!$A:$B,2,0),U297,1),"")</f>
        <v>G</v>
      </c>
      <c r="U297" s="3">
        <v>106</v>
      </c>
      <c r="V297" s="3" t="str">
        <f>IFERROR(MID(VLOOKUP($B297,Seqs!$A:$B,2,0),W297,1),"")</f>
        <v>K</v>
      </c>
      <c r="W297" s="3">
        <v>141</v>
      </c>
      <c r="X297" s="3" t="str">
        <f>IFERROR(MID(VLOOKUP($B297,Seqs!$A:$B,2,0),Y297,1),"")</f>
        <v/>
      </c>
      <c r="Y297" s="3" t="s">
        <v>23</v>
      </c>
      <c r="Z297" s="3" t="str">
        <f>IFERROR(MID(VLOOKUP($B297,Seqs!$A:$B,2,0),AA297,1),"")</f>
        <v/>
      </c>
      <c r="AA297" s="3" t="s">
        <v>23</v>
      </c>
      <c r="AB297" s="3" t="str">
        <f>IFERROR(MID(VLOOKUP($B297,Seqs!$A:$B,2,0),AC297,1),"")</f>
        <v>G</v>
      </c>
      <c r="AC297" s="9">
        <v>149</v>
      </c>
      <c r="AD297" s="3" t="str">
        <f>IFERROR(MID(VLOOKUP($B297,Seqs!$A:$B,2,0),AE297,1),"")</f>
        <v>V</v>
      </c>
      <c r="AE297" s="3">
        <v>173</v>
      </c>
      <c r="AF297" s="3" t="str">
        <f>IFERROR(MID(VLOOKUP($B297,Seqs!$A:$B,2,0),AG297,1),"")</f>
        <v>C</v>
      </c>
      <c r="AG297" s="3">
        <v>187</v>
      </c>
      <c r="AH297" s="3" t="str">
        <f>IFERROR(MID(VLOOKUP($B297,Seqs!$A:$B,2,0),AI297,1),"")</f>
        <v>I</v>
      </c>
      <c r="AI297" s="3">
        <v>189</v>
      </c>
      <c r="AJ297" s="3" t="str">
        <f>IFERROR(MID(VLOOKUP($B297,Seqs!$A:$B,2,0),AK297,1),"")</f>
        <v>N</v>
      </c>
      <c r="AK297" s="3">
        <v>199</v>
      </c>
      <c r="AL297" s="3" t="str">
        <f>IFERROR(MID(VLOOKUP($B297,Seqs!$A:$B,2,0),AM297,1),"")</f>
        <v>A</v>
      </c>
      <c r="AM297" s="3">
        <v>233</v>
      </c>
      <c r="AN297" s="3" t="str">
        <f>IFERROR(MID(VLOOKUP($B297,Seqs!$A:$B,2,0),AO297,1),"")</f>
        <v>A</v>
      </c>
      <c r="AO297" s="3">
        <v>241</v>
      </c>
      <c r="AP297" s="3" t="str">
        <f>IFERROR(MID(VLOOKUP($B297,Seqs!$A:$B,2,0),AQ297,1),"")</f>
        <v>H</v>
      </c>
      <c r="AQ297" s="3">
        <v>278</v>
      </c>
      <c r="AR297" s="3" t="str">
        <f>IFERROR(MID(VLOOKUP($B297,Seqs!$A:$B,2,0),AS297,1),"")</f>
        <v>G</v>
      </c>
      <c r="AS297" s="3">
        <v>284</v>
      </c>
      <c r="AT297" s="3" t="str">
        <f>IFERROR(MID(VLOOKUP($B297,Seqs!$A:$B,2,0),AU297,1),"")</f>
        <v>M</v>
      </c>
      <c r="AU297" s="3">
        <v>309</v>
      </c>
      <c r="AV297" s="3" t="str">
        <f>IFERROR(MID(VLOOKUP($B297,Seqs!$A:$B,2,0),AW297,1),"")</f>
        <v>N</v>
      </c>
      <c r="AW297" s="3">
        <v>310</v>
      </c>
      <c r="AX297" s="3" t="str">
        <f>IFERROR(MID(VLOOKUP($B297,Seqs!$A:$B,2,0),AY297,1),"")</f>
        <v>C</v>
      </c>
      <c r="AY297" s="3">
        <v>322</v>
      </c>
      <c r="AZ297" s="77" t="str">
        <f>VLOOKUP(B297,Classification!A:D,2,0)</f>
        <v>A</v>
      </c>
      <c r="BA297" s="94" t="str">
        <f>VLOOKUP(B297,Classification!A:D,4,0)</f>
        <v>Opsins</v>
      </c>
      <c r="BB297" s="27" t="b">
        <f t="shared" si="1074"/>
        <v>1</v>
      </c>
      <c r="BC297" s="23">
        <f t="shared" si="1057"/>
        <v>249</v>
      </c>
      <c r="BD297" s="56" t="s">
        <v>1370</v>
      </c>
      <c r="BE297" s="3" t="s">
        <v>1368</v>
      </c>
      <c r="BF297" s="118">
        <v>2.65</v>
      </c>
      <c r="BG297" s="49" t="s">
        <v>1371</v>
      </c>
      <c r="BH297" s="49" t="s">
        <v>1371</v>
      </c>
      <c r="BI297" s="1"/>
      <c r="BJ297" s="70" t="s">
        <v>1281</v>
      </c>
      <c r="BK297" s="57" t="s">
        <v>1281</v>
      </c>
      <c r="BL297" s="57" t="s">
        <v>1281</v>
      </c>
      <c r="BM297" s="57" t="s">
        <v>1281</v>
      </c>
      <c r="BN297" s="57" t="s">
        <v>1281</v>
      </c>
      <c r="BO297" s="57" t="s">
        <v>1281</v>
      </c>
      <c r="BP297" s="57" t="s">
        <v>1281</v>
      </c>
      <c r="BQ297" s="57" t="s">
        <v>1281</v>
      </c>
      <c r="BR297" s="57" t="s">
        <v>1281</v>
      </c>
      <c r="BS297" s="57" t="s">
        <v>1281</v>
      </c>
      <c r="BT297" s="57" t="s">
        <v>1281</v>
      </c>
      <c r="BU297" s="57" t="s">
        <v>1281</v>
      </c>
      <c r="BV297" s="70">
        <f>E297</f>
        <v>33</v>
      </c>
      <c r="BW297" s="71">
        <f>I297</f>
        <v>66</v>
      </c>
      <c r="BX297" s="72">
        <f>M297</f>
        <v>70</v>
      </c>
      <c r="BY297" s="71">
        <f>Q297</f>
        <v>102</v>
      </c>
      <c r="BZ297" s="72">
        <f>U297</f>
        <v>106</v>
      </c>
      <c r="CA297" s="71" t="str">
        <f>Y297</f>
        <v>-</v>
      </c>
      <c r="CB297" s="72">
        <f>AC297</f>
        <v>149</v>
      </c>
      <c r="CC297" s="71">
        <f>AG297</f>
        <v>187</v>
      </c>
      <c r="CD297" s="72">
        <f>AK297</f>
        <v>199</v>
      </c>
      <c r="CE297" s="71">
        <f>AO297</f>
        <v>241</v>
      </c>
      <c r="CF297" s="72">
        <f>AS297</f>
        <v>284</v>
      </c>
      <c r="CG297" s="71">
        <f>AW297</f>
        <v>310</v>
      </c>
      <c r="CH297" s="70">
        <f>G297</f>
        <v>65</v>
      </c>
      <c r="CI297" s="71">
        <f>K297</f>
        <v>69</v>
      </c>
      <c r="CJ297" s="72">
        <f>O297</f>
        <v>100</v>
      </c>
      <c r="CK297" s="72">
        <f>S297</f>
        <v>105</v>
      </c>
      <c r="CL297" s="72">
        <f>W297</f>
        <v>141</v>
      </c>
      <c r="CM297" s="72" t="str">
        <f>AA297</f>
        <v>-</v>
      </c>
      <c r="CN297" s="72">
        <f>AE297</f>
        <v>173</v>
      </c>
      <c r="CO297" s="72">
        <f>AI297</f>
        <v>189</v>
      </c>
      <c r="CP297" s="72">
        <f>AM297</f>
        <v>233</v>
      </c>
      <c r="CQ297" s="72">
        <f>AQ297</f>
        <v>278</v>
      </c>
      <c r="CR297" s="72">
        <f>AU297</f>
        <v>309</v>
      </c>
      <c r="CS297" s="72">
        <f>AY297</f>
        <v>322</v>
      </c>
      <c r="CT297" s="23">
        <f>M297-K297</f>
        <v>1</v>
      </c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  <c r="SR297" s="1"/>
      <c r="SS297" s="1"/>
      <c r="ST297" s="1"/>
      <c r="SU297" s="1"/>
      <c r="SV297" s="1"/>
      <c r="SW297" s="1"/>
      <c r="SX297" s="1"/>
      <c r="SY297" s="1"/>
      <c r="SZ297" s="1"/>
      <c r="TA297" s="1"/>
      <c r="TB297" s="1"/>
      <c r="TC297" s="1"/>
      <c r="TD297" s="1"/>
      <c r="TE297" s="1"/>
      <c r="TF297" s="1"/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  <c r="UN297" s="1"/>
      <c r="UO297" s="1"/>
      <c r="UP297" s="1"/>
      <c r="UQ297" s="1"/>
      <c r="UR297" s="1"/>
      <c r="US297" s="1"/>
      <c r="UT297" s="1"/>
      <c r="UU297" s="1"/>
      <c r="UV297" s="1"/>
      <c r="UW297" s="1"/>
      <c r="UX297" s="1"/>
      <c r="UY297" s="1"/>
      <c r="UZ297" s="1"/>
      <c r="VA297" s="1"/>
      <c r="VB297" s="1"/>
      <c r="VC297" s="1"/>
      <c r="VD297" s="1"/>
      <c r="VE297" s="1"/>
      <c r="VF297" s="1"/>
      <c r="VG297" s="1"/>
      <c r="VH297" s="1"/>
      <c r="VI297" s="1"/>
      <c r="VJ297" s="1"/>
      <c r="VK297" s="1"/>
      <c r="VL297" s="1"/>
      <c r="VM297" s="1"/>
      <c r="VN297" s="1"/>
      <c r="VO297" s="1"/>
      <c r="VP297" s="1"/>
      <c r="VQ297" s="1"/>
      <c r="VR297" s="1"/>
      <c r="VS297" s="1"/>
      <c r="VT297" s="1"/>
      <c r="VU297" s="1"/>
      <c r="VV297" s="1"/>
      <c r="VW297" s="1"/>
      <c r="VX297" s="1"/>
      <c r="VY297" s="1"/>
      <c r="VZ297" s="1"/>
      <c r="WA297" s="1"/>
      <c r="WB297" s="1"/>
      <c r="WC297" s="1"/>
      <c r="WD297" s="1"/>
      <c r="WE297" s="1"/>
      <c r="WF297" s="1"/>
      <c r="WG297" s="1"/>
      <c r="WH297" s="1"/>
      <c r="WI297" s="1"/>
      <c r="WJ297" s="1"/>
      <c r="WK297" s="1"/>
      <c r="WL297" s="1"/>
      <c r="WM297" s="1"/>
      <c r="WN297" s="1"/>
      <c r="WO297" s="1"/>
      <c r="WP297" s="1"/>
      <c r="WQ297" s="1"/>
      <c r="WR297" s="1"/>
      <c r="WS297" s="1"/>
      <c r="WT297" s="1"/>
      <c r="WU297" s="1"/>
      <c r="WV297" s="1"/>
      <c r="WW297" s="1"/>
      <c r="WX297" s="1"/>
      <c r="WY297" s="1"/>
      <c r="WZ297" s="1"/>
      <c r="XA297" s="1"/>
      <c r="XB297" s="1"/>
      <c r="XC297" s="1"/>
      <c r="XD297" s="1"/>
      <c r="XE297" s="1"/>
      <c r="XF297" s="1"/>
      <c r="XG297" s="1"/>
      <c r="XH297" s="1"/>
      <c r="XI297" s="1"/>
      <c r="XJ297" s="1"/>
      <c r="XK297" s="1"/>
      <c r="XL297" s="1"/>
      <c r="XM297" s="1"/>
      <c r="XN297" s="1"/>
      <c r="XO297" s="1"/>
      <c r="XP297" s="1"/>
      <c r="XQ297" s="1"/>
      <c r="XR297" s="1"/>
      <c r="XS297" s="1"/>
      <c r="XT297" s="1"/>
      <c r="XU297" s="1"/>
      <c r="XV297" s="1"/>
      <c r="XW297" s="1"/>
      <c r="XX297" s="1"/>
      <c r="XY297" s="1"/>
      <c r="XZ297" s="1"/>
      <c r="YA297" s="1"/>
      <c r="YB297" s="1"/>
      <c r="YC297" s="1"/>
      <c r="YD297" s="1"/>
      <c r="YE297" s="1"/>
      <c r="YF297" s="1"/>
      <c r="YG297" s="1"/>
      <c r="YH297" s="1"/>
      <c r="YI297" s="1"/>
      <c r="YJ297" s="1"/>
      <c r="YK297" s="1"/>
      <c r="YL297" s="1"/>
      <c r="YM297" s="1"/>
      <c r="YN297" s="1"/>
      <c r="YO297" s="1"/>
      <c r="YP297" s="1"/>
      <c r="YQ297" s="1"/>
      <c r="YR297" s="1"/>
      <c r="YS297" s="1"/>
      <c r="YT297" s="1"/>
      <c r="YU297" s="1"/>
      <c r="YV297" s="1"/>
      <c r="YW297" s="1"/>
      <c r="YX297" s="1"/>
      <c r="YY297" s="1"/>
      <c r="YZ297" s="1"/>
      <c r="ZA297" s="1"/>
      <c r="ZB297" s="1"/>
      <c r="ZC297" s="1"/>
      <c r="ZD297" s="1"/>
      <c r="ZE297" s="1"/>
      <c r="ZF297" s="1"/>
      <c r="ZG297" s="1"/>
      <c r="ZH297" s="1"/>
      <c r="ZI297" s="1"/>
      <c r="ZJ297" s="1"/>
      <c r="ZK297" s="1"/>
      <c r="ZL297" s="1"/>
      <c r="ZM297" s="1"/>
      <c r="ZN297" s="1"/>
      <c r="ZO297" s="1"/>
      <c r="ZP297" s="1"/>
      <c r="ZQ297" s="1"/>
      <c r="ZR297" s="1"/>
      <c r="ZS297" s="1"/>
      <c r="ZT297" s="1"/>
      <c r="ZU297" s="1"/>
      <c r="ZV297" s="1"/>
      <c r="ZW297" s="1"/>
      <c r="ZX297" s="1"/>
      <c r="ZY297" s="1"/>
      <c r="ZZ297" s="1"/>
      <c r="AAA297" s="1"/>
      <c r="AAB297" s="1"/>
      <c r="AAC297" s="1"/>
      <c r="AAD297" s="1"/>
      <c r="AAE297" s="1"/>
      <c r="AAF297" s="1"/>
      <c r="AAG297" s="1"/>
      <c r="AAH297" s="1"/>
      <c r="AAI297" s="1"/>
      <c r="AAJ297" s="1"/>
      <c r="AAK297" s="1"/>
      <c r="AAL297" s="1"/>
      <c r="AAM297" s="1"/>
      <c r="AAN297" s="1"/>
      <c r="AAO297" s="1"/>
      <c r="AAP297" s="1"/>
      <c r="AAQ297" s="1"/>
      <c r="AAR297" s="1"/>
      <c r="AAS297" s="1"/>
      <c r="AAT297" s="1"/>
      <c r="AAU297" s="1"/>
      <c r="AAV297" s="1"/>
      <c r="AAW297" s="1"/>
      <c r="AAX297" s="1"/>
      <c r="AAY297" s="1"/>
      <c r="AAZ297" s="1"/>
      <c r="ABA297" s="1"/>
      <c r="ABB297" s="1"/>
      <c r="ABC297" s="1"/>
      <c r="ABD297" s="1"/>
      <c r="ABE297" s="1"/>
      <c r="ABF297" s="1"/>
      <c r="ABG297" s="1"/>
      <c r="ABH297" s="1"/>
      <c r="ABI297" s="1"/>
      <c r="ABJ297" s="1"/>
      <c r="ABK297" s="1"/>
      <c r="ABL297" s="1"/>
      <c r="ABM297" s="1"/>
      <c r="ABN297" s="1"/>
      <c r="ABO297" s="1"/>
      <c r="ABP297" s="1"/>
      <c r="ABQ297" s="1"/>
      <c r="ABR297" s="1"/>
      <c r="ABS297" s="1"/>
      <c r="ABT297" s="1"/>
      <c r="ABU297" s="1"/>
      <c r="ABV297" s="1"/>
      <c r="ABW297" s="1"/>
      <c r="ABX297" s="1"/>
      <c r="ABY297" s="1"/>
      <c r="ABZ297" s="1"/>
      <c r="ACA297" s="1"/>
      <c r="ACB297" s="1"/>
      <c r="ACC297" s="1"/>
      <c r="ACD297" s="1"/>
      <c r="ACE297" s="1"/>
      <c r="ACF297" s="1"/>
      <c r="ACG297" s="1"/>
      <c r="ACH297" s="1"/>
      <c r="ACI297" s="1"/>
      <c r="ACJ297" s="1"/>
      <c r="ACK297" s="1"/>
      <c r="ACL297" s="1"/>
      <c r="ACM297" s="1"/>
      <c r="ACN297" s="1"/>
      <c r="ACO297" s="1"/>
      <c r="ACP297" s="1"/>
      <c r="ACQ297" s="1"/>
      <c r="ACR297" s="1"/>
      <c r="ACS297" s="1"/>
      <c r="ACT297" s="1"/>
      <c r="ACU297" s="1"/>
      <c r="ACV297" s="1"/>
      <c r="ACW297" s="1"/>
      <c r="ACX297" s="1"/>
      <c r="ACY297" s="1"/>
      <c r="ACZ297" s="1"/>
      <c r="ADA297" s="1"/>
      <c r="ADB297" s="1"/>
      <c r="ADC297" s="1"/>
      <c r="ADD297" s="1"/>
      <c r="ADE297" s="1"/>
      <c r="ADF297" s="1"/>
      <c r="ADG297" s="1"/>
      <c r="ADH297" s="1"/>
      <c r="ADI297" s="1"/>
      <c r="ADJ297" s="1"/>
      <c r="ADK297" s="1"/>
      <c r="ADL297" s="1"/>
      <c r="ADM297" s="1"/>
      <c r="ADN297" s="1"/>
      <c r="ADO297" s="1"/>
      <c r="ADP297" s="1"/>
      <c r="ADQ297" s="1"/>
      <c r="ADR297" s="1"/>
      <c r="ADS297" s="1"/>
      <c r="ADT297" s="1"/>
      <c r="ADU297" s="1"/>
      <c r="ADV297" s="1"/>
      <c r="ADW297" s="1"/>
      <c r="ADX297" s="1"/>
      <c r="ADY297" s="1"/>
      <c r="ADZ297" s="1"/>
      <c r="AEA297" s="1"/>
      <c r="AEB297" s="1"/>
      <c r="AEC297" s="1"/>
      <c r="AED297" s="1"/>
      <c r="AEE297" s="1"/>
      <c r="AEF297" s="1"/>
      <c r="AEG297" s="1"/>
      <c r="AEH297" s="1"/>
      <c r="AEI297" s="1"/>
      <c r="AEJ297" s="1"/>
      <c r="AEK297" s="1"/>
      <c r="AEL297" s="1"/>
      <c r="AEM297" s="1"/>
      <c r="AEN297" s="1"/>
      <c r="AEO297" s="1"/>
      <c r="AEP297" s="1"/>
      <c r="AEQ297" s="1"/>
      <c r="AER297" s="1"/>
      <c r="AES297" s="1"/>
      <c r="AET297" s="1"/>
      <c r="AEU297" s="1"/>
      <c r="AEV297" s="1"/>
      <c r="AEW297" s="1"/>
      <c r="AEX297" s="1"/>
      <c r="AEY297" s="1"/>
      <c r="AEZ297" s="1"/>
      <c r="AFA297" s="1"/>
      <c r="AFB297" s="1"/>
      <c r="AFC297" s="1"/>
      <c r="AFD297" s="1"/>
      <c r="AFE297" s="1"/>
      <c r="AFF297" s="1"/>
      <c r="AFG297" s="1"/>
      <c r="AFH297" s="1"/>
      <c r="AFI297" s="1"/>
      <c r="AFJ297" s="1"/>
      <c r="AFK297" s="1"/>
      <c r="AFL297" s="1"/>
      <c r="AFM297" s="1"/>
      <c r="AFN297" s="1"/>
      <c r="AFO297" s="1"/>
      <c r="AFP297" s="1"/>
      <c r="AFQ297" s="1"/>
      <c r="AFR297" s="1"/>
      <c r="AFS297" s="1"/>
      <c r="AFT297" s="1"/>
      <c r="AFU297" s="1"/>
      <c r="AFV297" s="1"/>
      <c r="AFW297" s="1"/>
      <c r="AFX297" s="1"/>
      <c r="AFY297" s="1"/>
      <c r="AFZ297" s="1"/>
      <c r="AGA297" s="1"/>
      <c r="AGB297" s="1"/>
      <c r="AGC297" s="1"/>
      <c r="AGD297" s="1"/>
      <c r="AGE297" s="1"/>
      <c r="AGF297" s="1"/>
      <c r="AGG297" s="1"/>
      <c r="AGH297" s="1"/>
      <c r="AGI297" s="1"/>
      <c r="AGJ297" s="1"/>
      <c r="AGK297" s="1"/>
      <c r="AGL297" s="1"/>
      <c r="AGM297" s="1"/>
      <c r="AGN297" s="1"/>
      <c r="AGO297" s="1"/>
      <c r="AGP297" s="1"/>
      <c r="AGQ297" s="1"/>
      <c r="AGR297" s="1"/>
      <c r="AGS297" s="1"/>
      <c r="AGT297" s="1"/>
      <c r="AGU297" s="1"/>
      <c r="AGV297" s="1"/>
      <c r="AGW297" s="1"/>
      <c r="AGX297" s="1"/>
      <c r="AGY297" s="1"/>
      <c r="AGZ297" s="1"/>
      <c r="AHA297" s="1"/>
      <c r="AHB297" s="1"/>
      <c r="AHC297" s="1"/>
      <c r="AHD297" s="1"/>
      <c r="AHE297" s="1"/>
      <c r="AHF297" s="1"/>
      <c r="AHG297" s="1"/>
      <c r="AHH297" s="1"/>
      <c r="AHI297" s="1"/>
      <c r="AHJ297" s="1"/>
      <c r="AHK297" s="1"/>
      <c r="AHL297" s="1"/>
      <c r="AHM297" s="1"/>
      <c r="AHN297" s="1"/>
      <c r="AHO297" s="1"/>
      <c r="AHP297" s="1"/>
      <c r="AHQ297" s="1"/>
      <c r="AHR297" s="1"/>
      <c r="AHS297" s="1"/>
      <c r="AHT297" s="1"/>
      <c r="AHU297" s="1"/>
      <c r="AHV297" s="1"/>
      <c r="AHW297" s="1"/>
      <c r="AHX297" s="1"/>
      <c r="AHY297" s="1"/>
      <c r="AHZ297" s="1"/>
      <c r="AIA297" s="1"/>
      <c r="AIB297" s="1"/>
      <c r="AIC297" s="1"/>
      <c r="AID297" s="1"/>
      <c r="AIE297" s="1"/>
      <c r="AIF297" s="1"/>
      <c r="AIG297" s="1"/>
      <c r="AIH297" s="1"/>
      <c r="AII297" s="1"/>
      <c r="AIJ297" s="1"/>
      <c r="AIK297" s="1"/>
      <c r="AIL297" s="1"/>
      <c r="AIM297" s="1"/>
      <c r="AIN297" s="1"/>
      <c r="AIO297" s="1"/>
      <c r="AIP297" s="1"/>
      <c r="AIQ297" s="1"/>
      <c r="AIR297" s="1"/>
      <c r="AIS297" s="1"/>
      <c r="AIT297" s="1"/>
      <c r="AIU297" s="1"/>
      <c r="AIV297" s="1"/>
      <c r="AIW297" s="1"/>
      <c r="AIX297" s="1"/>
      <c r="AIY297" s="1"/>
      <c r="AIZ297" s="1"/>
      <c r="AJA297" s="1"/>
      <c r="AJB297" s="1"/>
      <c r="AJC297" s="1"/>
      <c r="AJD297" s="1"/>
      <c r="AJE297" s="1"/>
      <c r="AJF297" s="1"/>
      <c r="AJG297" s="1"/>
      <c r="AJH297" s="1"/>
      <c r="AJI297" s="1"/>
      <c r="AJJ297" s="1"/>
      <c r="AJK297" s="1"/>
      <c r="AJL297" s="1"/>
      <c r="AJM297" s="1"/>
      <c r="AJN297" s="1"/>
      <c r="AJO297" s="1"/>
      <c r="AJP297" s="1"/>
      <c r="AJQ297" s="1"/>
      <c r="AJR297" s="1"/>
      <c r="AJS297" s="1"/>
      <c r="AJT297" s="1"/>
      <c r="AJU297" s="1"/>
      <c r="AJV297" s="1"/>
      <c r="AJW297" s="1"/>
      <c r="AJX297" s="1"/>
      <c r="AJY297" s="1"/>
      <c r="AJZ297" s="1"/>
      <c r="AKA297" s="1"/>
      <c r="AKB297" s="1"/>
      <c r="AKC297" s="1"/>
      <c r="AKD297" s="1"/>
      <c r="AKE297" s="1"/>
      <c r="AKF297" s="1"/>
      <c r="AKG297" s="1"/>
      <c r="AKH297" s="1"/>
      <c r="AKI297" s="1"/>
      <c r="AKJ297" s="1"/>
      <c r="AKK297" s="1"/>
      <c r="AKL297" s="1"/>
      <c r="AKM297" s="1"/>
      <c r="AKN297" s="1"/>
      <c r="AKO297" s="1"/>
      <c r="AKP297" s="1"/>
      <c r="AKQ297" s="1"/>
      <c r="AKR297" s="1"/>
      <c r="AKS297" s="1"/>
      <c r="AKT297" s="1"/>
      <c r="AKU297" s="1"/>
      <c r="AKV297" s="1"/>
      <c r="AKW297" s="1"/>
      <c r="AKX297" s="1"/>
      <c r="AKY297" s="1"/>
      <c r="AKZ297" s="1"/>
      <c r="ALA297" s="1"/>
      <c r="ALB297" s="1"/>
      <c r="ALC297" s="1"/>
      <c r="ALD297" s="1"/>
      <c r="ALE297" s="1"/>
      <c r="ALF297" s="1"/>
      <c r="ALG297" s="1"/>
      <c r="ALH297" s="1"/>
      <c r="ALI297" s="1"/>
      <c r="ALJ297" s="1"/>
      <c r="ALK297" s="1"/>
      <c r="ALL297" s="1"/>
      <c r="ALM297" s="1"/>
      <c r="ALN297" s="1"/>
      <c r="ALO297" s="1"/>
      <c r="ALP297" s="1"/>
      <c r="ALQ297" s="1"/>
      <c r="ALR297" s="1"/>
      <c r="ALS297" s="1"/>
      <c r="ALT297" s="1"/>
      <c r="ALU297" s="1"/>
      <c r="ALV297" s="1"/>
      <c r="ALW297" s="1"/>
      <c r="ALX297" s="1"/>
      <c r="ALY297" s="1"/>
      <c r="ALZ297" s="1"/>
      <c r="AMA297" s="1"/>
      <c r="AMB297" s="1"/>
      <c r="AMC297" s="1"/>
      <c r="AMD297" s="1"/>
      <c r="AME297" s="1"/>
      <c r="AMF297" s="1"/>
      <c r="AMG297" s="1"/>
      <c r="AMH297" s="1"/>
      <c r="AMI297" s="1"/>
      <c r="AMJ297" s="1"/>
      <c r="AMK297" s="1"/>
      <c r="AML297" s="1"/>
      <c r="AMM297" s="1"/>
      <c r="AMN297" s="1"/>
      <c r="AMO297" s="1"/>
    </row>
    <row r="298" spans="1:1030" x14ac:dyDescent="0.2">
      <c r="A298" s="3" t="str">
        <f>CONCATENATE(B298,"_",C298)</f>
        <v>opsd_bovin_1U19</v>
      </c>
      <c r="B298" s="3" t="s">
        <v>913</v>
      </c>
      <c r="C298" s="3" t="s">
        <v>53</v>
      </c>
      <c r="D298" s="3" t="str">
        <f>IFERROR(MID(VLOOKUP($B298,Seqs!$A:$B,2,0),E298,1),"")</f>
        <v>E</v>
      </c>
      <c r="E298" s="105">
        <v>33</v>
      </c>
      <c r="F298" s="3" t="str">
        <f>IFERROR(MID(VLOOKUP($B298,Seqs!$A:$B,2,0),G298,1),"")</f>
        <v>H</v>
      </c>
      <c r="G298" s="3">
        <v>65</v>
      </c>
      <c r="H298" s="3" t="str">
        <f>IFERROR(MID(VLOOKUP($B298,Seqs!$A:$B,2,0),I298,1),"")</f>
        <v>K</v>
      </c>
      <c r="I298" s="23">
        <v>66</v>
      </c>
      <c r="J298" s="3" t="str">
        <f>IFERROR(MID(VLOOKUP($B298,Seqs!$A:$B,2,0),K298,1),"")</f>
        <v>R</v>
      </c>
      <c r="K298" s="23">
        <v>69</v>
      </c>
      <c r="L298" s="3" t="str">
        <f>IFERROR(MID(VLOOKUP($B298,Seqs!$A:$B,2,0),M298,1),"")</f>
        <v>T</v>
      </c>
      <c r="M298" s="3">
        <v>70</v>
      </c>
      <c r="N298" s="3" t="str">
        <f>IFERROR(MID(VLOOKUP($B298,Seqs!$A:$B,2,0),O298,1),"")</f>
        <v>H</v>
      </c>
      <c r="O298" s="3">
        <v>100</v>
      </c>
      <c r="P298" s="3" t="str">
        <f>IFERROR(MID(VLOOKUP($B298,Seqs!$A:$B,2,0),Q298,1),"")</f>
        <v>Y</v>
      </c>
      <c r="Q298" s="3">
        <v>102</v>
      </c>
      <c r="R298" s="3" t="str">
        <f>IFERROR(MID(VLOOKUP($B298,Seqs!$A:$B,2,0),S298,1),"")</f>
        <v>F</v>
      </c>
      <c r="S298" s="3">
        <v>105</v>
      </c>
      <c r="T298" s="3" t="str">
        <f>IFERROR(MID(VLOOKUP($B298,Seqs!$A:$B,2,0),U298,1),"")</f>
        <v>G</v>
      </c>
      <c r="U298" s="3">
        <v>106</v>
      </c>
      <c r="V298" s="3" t="str">
        <f>IFERROR(MID(VLOOKUP($B298,Seqs!$A:$B,2,0),W298,1),"")</f>
        <v>K</v>
      </c>
      <c r="W298" s="3">
        <v>141</v>
      </c>
      <c r="X298" s="3" t="str">
        <f>IFERROR(MID(VLOOKUP($B298,Seqs!$A:$B,2,0),Y298,1),"")</f>
        <v/>
      </c>
      <c r="Y298" s="3" t="s">
        <v>23</v>
      </c>
      <c r="Z298" s="3" t="str">
        <f>IFERROR(MID(VLOOKUP($B298,Seqs!$A:$B,2,0),AA298,1),"")</f>
        <v/>
      </c>
      <c r="AA298" s="3" t="s">
        <v>23</v>
      </c>
      <c r="AB298" s="3" t="str">
        <f>IFERROR(MID(VLOOKUP($B298,Seqs!$A:$B,2,0),AC298,1),"")</f>
        <v>G</v>
      </c>
      <c r="AC298" s="9">
        <v>149</v>
      </c>
      <c r="AD298" s="3" t="str">
        <f>IFERROR(MID(VLOOKUP($B298,Seqs!$A:$B,2,0),AE298,1),"")</f>
        <v>V</v>
      </c>
      <c r="AE298" s="3">
        <v>173</v>
      </c>
      <c r="AF298" s="3" t="str">
        <f>IFERROR(MID(VLOOKUP($B298,Seqs!$A:$B,2,0),AG298,1),"")</f>
        <v>C</v>
      </c>
      <c r="AG298" s="3">
        <v>187</v>
      </c>
      <c r="AH298" s="3" t="str">
        <f>IFERROR(MID(VLOOKUP($B298,Seqs!$A:$B,2,0),AI298,1),"")</f>
        <v>I</v>
      </c>
      <c r="AI298" s="3">
        <v>189</v>
      </c>
      <c r="AJ298" s="3" t="str">
        <f>IFERROR(MID(VLOOKUP($B298,Seqs!$A:$B,2,0),AK298,1),"")</f>
        <v>N</v>
      </c>
      <c r="AK298" s="3">
        <v>199</v>
      </c>
      <c r="AL298" s="3" t="str">
        <f>IFERROR(MID(VLOOKUP($B298,Seqs!$A:$B,2,0),AM298,1),"")</f>
        <v>Q</v>
      </c>
      <c r="AM298" s="3">
        <v>225</v>
      </c>
      <c r="AN298" s="3" t="str">
        <f>IFERROR(MID(VLOOKUP($B298,Seqs!$A:$B,2,0),AO298,1),"")</f>
        <v>T</v>
      </c>
      <c r="AO298" s="3">
        <v>243</v>
      </c>
      <c r="AP298" s="3" t="str">
        <f>IFERROR(MID(VLOOKUP($B298,Seqs!$A:$B,2,0),AQ298,1),"")</f>
        <v>H</v>
      </c>
      <c r="AQ298" s="3">
        <v>278</v>
      </c>
      <c r="AR298" s="3" t="str">
        <f>IFERROR(MID(VLOOKUP($B298,Seqs!$A:$B,2,0),AS298,1),"")</f>
        <v>G</v>
      </c>
      <c r="AS298" s="3">
        <v>284</v>
      </c>
      <c r="AT298" s="3" t="str">
        <f>IFERROR(MID(VLOOKUP($B298,Seqs!$A:$B,2,0),AU298,1),"")</f>
        <v>M</v>
      </c>
      <c r="AU298" s="3">
        <v>309</v>
      </c>
      <c r="AV298" s="3" t="str">
        <f>IFERROR(MID(VLOOKUP($B298,Seqs!$A:$B,2,0),AW298,1),"")</f>
        <v>N</v>
      </c>
      <c r="AW298" s="3">
        <v>310</v>
      </c>
      <c r="AX298" s="3" t="str">
        <f>IFERROR(MID(VLOOKUP($B298,Seqs!$A:$B,2,0),AY298,1),"")</f>
        <v>C</v>
      </c>
      <c r="AY298" s="3">
        <v>322</v>
      </c>
      <c r="AZ298" s="77" t="str">
        <f>VLOOKUP(B298,Classification!A:D,2,0)</f>
        <v>A</v>
      </c>
      <c r="BA298" s="94" t="str">
        <f>VLOOKUP(B298,Classification!A:D,4,0)</f>
        <v>Opsins</v>
      </c>
      <c r="BB298" s="27" t="b">
        <f t="shared" si="1074"/>
        <v>1</v>
      </c>
      <c r="BC298" s="23">
        <f t="shared" si="1057"/>
        <v>239</v>
      </c>
      <c r="BD298" s="74" t="s">
        <v>23</v>
      </c>
      <c r="BE298" s="3" t="s">
        <v>1368</v>
      </c>
      <c r="BF298" s="118">
        <v>2.2000000000000002</v>
      </c>
      <c r="BG298" s="49" t="s">
        <v>1</v>
      </c>
      <c r="BH298" s="49" t="s">
        <v>1371</v>
      </c>
      <c r="BI298" s="1"/>
      <c r="BJ298" s="70" t="s">
        <v>1281</v>
      </c>
      <c r="BK298" s="57" t="s">
        <v>1281</v>
      </c>
      <c r="BL298" s="57" t="s">
        <v>1281</v>
      </c>
      <c r="BM298" s="57" t="s">
        <v>1281</v>
      </c>
      <c r="BN298" s="57" t="s">
        <v>1281</v>
      </c>
      <c r="BO298" s="57" t="s">
        <v>1281</v>
      </c>
      <c r="BP298" s="57" t="s">
        <v>1281</v>
      </c>
      <c r="BQ298" s="57" t="s">
        <v>1281</v>
      </c>
      <c r="BR298" s="57" t="s">
        <v>1281</v>
      </c>
      <c r="BS298" s="57" t="s">
        <v>1281</v>
      </c>
      <c r="BT298" s="57" t="s">
        <v>1281</v>
      </c>
      <c r="BU298" s="57" t="s">
        <v>1281</v>
      </c>
      <c r="BV298" s="70">
        <f>E298</f>
        <v>33</v>
      </c>
      <c r="BW298" s="71">
        <f>I298</f>
        <v>66</v>
      </c>
      <c r="BX298" s="72">
        <f>M298</f>
        <v>70</v>
      </c>
      <c r="BY298" s="71">
        <f>Q298</f>
        <v>102</v>
      </c>
      <c r="BZ298" s="72">
        <f>U298</f>
        <v>106</v>
      </c>
      <c r="CA298" s="71" t="str">
        <f>Y298</f>
        <v>-</v>
      </c>
      <c r="CB298" s="72">
        <f>AC298</f>
        <v>149</v>
      </c>
      <c r="CC298" s="71">
        <f>AG298</f>
        <v>187</v>
      </c>
      <c r="CD298" s="72">
        <f>AK298</f>
        <v>199</v>
      </c>
      <c r="CE298" s="71">
        <f>AO298</f>
        <v>243</v>
      </c>
      <c r="CF298" s="72">
        <f>AS298</f>
        <v>284</v>
      </c>
      <c r="CG298" s="71">
        <f>AW298</f>
        <v>310</v>
      </c>
      <c r="CH298" s="70">
        <f>G298</f>
        <v>65</v>
      </c>
      <c r="CI298" s="71">
        <f>K298</f>
        <v>69</v>
      </c>
      <c r="CJ298" s="72">
        <f>O298</f>
        <v>100</v>
      </c>
      <c r="CK298" s="72">
        <f>S298</f>
        <v>105</v>
      </c>
      <c r="CL298" s="72">
        <f>W298</f>
        <v>141</v>
      </c>
      <c r="CM298" s="72" t="str">
        <f>AA298</f>
        <v>-</v>
      </c>
      <c r="CN298" s="72">
        <f>AE298</f>
        <v>173</v>
      </c>
      <c r="CO298" s="72">
        <f>AI298</f>
        <v>189</v>
      </c>
      <c r="CP298" s="72">
        <f>AM298</f>
        <v>225</v>
      </c>
      <c r="CQ298" s="72">
        <f>AQ298</f>
        <v>278</v>
      </c>
      <c r="CR298" s="72">
        <f>AU298</f>
        <v>309</v>
      </c>
      <c r="CS298" s="72">
        <f>AY298</f>
        <v>322</v>
      </c>
      <c r="CT298" s="23">
        <f>M298-K298</f>
        <v>1</v>
      </c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  <c r="TB298" s="1"/>
      <c r="TC298" s="1"/>
      <c r="TD298" s="1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  <c r="UN298" s="1"/>
      <c r="UO298" s="1"/>
      <c r="UP298" s="1"/>
      <c r="UQ298" s="1"/>
      <c r="UR298" s="1"/>
      <c r="US298" s="1"/>
      <c r="UT298" s="1"/>
      <c r="UU298" s="1"/>
      <c r="UV298" s="1"/>
      <c r="UW298" s="1"/>
      <c r="UX298" s="1"/>
      <c r="UY298" s="1"/>
      <c r="UZ298" s="1"/>
      <c r="VA298" s="1"/>
      <c r="VB298" s="1"/>
      <c r="VC298" s="1"/>
      <c r="VD298" s="1"/>
      <c r="VE298" s="1"/>
      <c r="VF298" s="1"/>
      <c r="VG298" s="1"/>
      <c r="VH298" s="1"/>
      <c r="VI298" s="1"/>
      <c r="VJ298" s="1"/>
      <c r="VK298" s="1"/>
      <c r="VL298" s="1"/>
      <c r="VM298" s="1"/>
      <c r="VN298" s="1"/>
      <c r="VO298" s="1"/>
      <c r="VP298" s="1"/>
      <c r="VQ298" s="1"/>
      <c r="VR298" s="1"/>
      <c r="VS298" s="1"/>
      <c r="VT298" s="1"/>
      <c r="VU298" s="1"/>
      <c r="VV298" s="1"/>
      <c r="VW298" s="1"/>
      <c r="VX298" s="1"/>
      <c r="VY298" s="1"/>
      <c r="VZ298" s="1"/>
      <c r="WA298" s="1"/>
      <c r="WB298" s="1"/>
      <c r="WC298" s="1"/>
      <c r="WD298" s="1"/>
      <c r="WE298" s="1"/>
      <c r="WF298" s="1"/>
      <c r="WG298" s="1"/>
      <c r="WH298" s="1"/>
      <c r="WI298" s="1"/>
      <c r="WJ298" s="1"/>
      <c r="WK298" s="1"/>
      <c r="WL298" s="1"/>
      <c r="WM298" s="1"/>
      <c r="WN298" s="1"/>
      <c r="WO298" s="1"/>
      <c r="WP298" s="1"/>
      <c r="WQ298" s="1"/>
      <c r="WR298" s="1"/>
      <c r="WS298" s="1"/>
      <c r="WT298" s="1"/>
      <c r="WU298" s="1"/>
      <c r="WV298" s="1"/>
      <c r="WW298" s="1"/>
      <c r="WX298" s="1"/>
      <c r="WY298" s="1"/>
      <c r="WZ298" s="1"/>
      <c r="XA298" s="1"/>
      <c r="XB298" s="1"/>
      <c r="XC298" s="1"/>
      <c r="XD298" s="1"/>
      <c r="XE298" s="1"/>
      <c r="XF298" s="1"/>
      <c r="XG298" s="1"/>
      <c r="XH298" s="1"/>
      <c r="XI298" s="1"/>
      <c r="XJ298" s="1"/>
      <c r="XK298" s="1"/>
      <c r="XL298" s="1"/>
      <c r="XM298" s="1"/>
      <c r="XN298" s="1"/>
      <c r="XO298" s="1"/>
      <c r="XP298" s="1"/>
      <c r="XQ298" s="1"/>
      <c r="XR298" s="1"/>
      <c r="XS298" s="1"/>
      <c r="XT298" s="1"/>
      <c r="XU298" s="1"/>
      <c r="XV298" s="1"/>
      <c r="XW298" s="1"/>
      <c r="XX298" s="1"/>
      <c r="XY298" s="1"/>
      <c r="XZ298" s="1"/>
      <c r="YA298" s="1"/>
      <c r="YB298" s="1"/>
      <c r="YC298" s="1"/>
      <c r="YD298" s="1"/>
      <c r="YE298" s="1"/>
      <c r="YF298" s="1"/>
      <c r="YG298" s="1"/>
      <c r="YH298" s="1"/>
      <c r="YI298" s="1"/>
      <c r="YJ298" s="1"/>
      <c r="YK298" s="1"/>
      <c r="YL298" s="1"/>
      <c r="YM298" s="1"/>
      <c r="YN298" s="1"/>
      <c r="YO298" s="1"/>
      <c r="YP298" s="1"/>
      <c r="YQ298" s="1"/>
      <c r="YR298" s="1"/>
      <c r="YS298" s="1"/>
      <c r="YT298" s="1"/>
      <c r="YU298" s="1"/>
      <c r="YV298" s="1"/>
      <c r="YW298" s="1"/>
      <c r="YX298" s="1"/>
      <c r="YY298" s="1"/>
      <c r="YZ298" s="1"/>
      <c r="ZA298" s="1"/>
      <c r="ZB298" s="1"/>
      <c r="ZC298" s="1"/>
      <c r="ZD298" s="1"/>
      <c r="ZE298" s="1"/>
      <c r="ZF298" s="1"/>
      <c r="ZG298" s="1"/>
      <c r="ZH298" s="1"/>
      <c r="ZI298" s="1"/>
      <c r="ZJ298" s="1"/>
      <c r="ZK298" s="1"/>
      <c r="ZL298" s="1"/>
      <c r="ZM298" s="1"/>
      <c r="ZN298" s="1"/>
      <c r="ZO298" s="1"/>
      <c r="ZP298" s="1"/>
      <c r="ZQ298" s="1"/>
      <c r="ZR298" s="1"/>
      <c r="ZS298" s="1"/>
      <c r="ZT298" s="1"/>
      <c r="ZU298" s="1"/>
      <c r="ZV298" s="1"/>
      <c r="ZW298" s="1"/>
      <c r="ZX298" s="1"/>
      <c r="ZY298" s="1"/>
      <c r="ZZ298" s="1"/>
      <c r="AAA298" s="1"/>
      <c r="AAB298" s="1"/>
      <c r="AAC298" s="1"/>
      <c r="AAD298" s="1"/>
      <c r="AAE298" s="1"/>
      <c r="AAF298" s="1"/>
      <c r="AAG298" s="1"/>
      <c r="AAH298" s="1"/>
      <c r="AAI298" s="1"/>
      <c r="AAJ298" s="1"/>
      <c r="AAK298" s="1"/>
      <c r="AAL298" s="1"/>
      <c r="AAM298" s="1"/>
      <c r="AAN298" s="1"/>
      <c r="AAO298" s="1"/>
      <c r="AAP298" s="1"/>
      <c r="AAQ298" s="1"/>
      <c r="AAR298" s="1"/>
      <c r="AAS298" s="1"/>
      <c r="AAT298" s="1"/>
      <c r="AAU298" s="1"/>
      <c r="AAV298" s="1"/>
      <c r="AAW298" s="1"/>
      <c r="AAX298" s="1"/>
      <c r="AAY298" s="1"/>
      <c r="AAZ298" s="1"/>
      <c r="ABA298" s="1"/>
      <c r="ABB298" s="1"/>
      <c r="ABC298" s="1"/>
      <c r="ABD298" s="1"/>
      <c r="ABE298" s="1"/>
      <c r="ABF298" s="1"/>
      <c r="ABG298" s="1"/>
      <c r="ABH298" s="1"/>
      <c r="ABI298" s="1"/>
      <c r="ABJ298" s="1"/>
      <c r="ABK298" s="1"/>
      <c r="ABL298" s="1"/>
      <c r="ABM298" s="1"/>
      <c r="ABN298" s="1"/>
      <c r="ABO298" s="1"/>
      <c r="ABP298" s="1"/>
      <c r="ABQ298" s="1"/>
      <c r="ABR298" s="1"/>
      <c r="ABS298" s="1"/>
      <c r="ABT298" s="1"/>
      <c r="ABU298" s="1"/>
      <c r="ABV298" s="1"/>
      <c r="ABW298" s="1"/>
      <c r="ABX298" s="1"/>
      <c r="ABY298" s="1"/>
      <c r="ABZ298" s="1"/>
      <c r="ACA298" s="1"/>
      <c r="ACB298" s="1"/>
      <c r="ACC298" s="1"/>
      <c r="ACD298" s="1"/>
      <c r="ACE298" s="1"/>
      <c r="ACF298" s="1"/>
      <c r="ACG298" s="1"/>
      <c r="ACH298" s="1"/>
      <c r="ACI298" s="1"/>
      <c r="ACJ298" s="1"/>
      <c r="ACK298" s="1"/>
      <c r="ACL298" s="1"/>
      <c r="ACM298" s="1"/>
      <c r="ACN298" s="1"/>
      <c r="ACO298" s="1"/>
      <c r="ACP298" s="1"/>
      <c r="ACQ298" s="1"/>
      <c r="ACR298" s="1"/>
      <c r="ACS298" s="1"/>
      <c r="ACT298" s="1"/>
      <c r="ACU298" s="1"/>
      <c r="ACV298" s="1"/>
      <c r="ACW298" s="1"/>
      <c r="ACX298" s="1"/>
      <c r="ACY298" s="1"/>
      <c r="ACZ298" s="1"/>
      <c r="ADA298" s="1"/>
      <c r="ADB298" s="1"/>
      <c r="ADC298" s="1"/>
      <c r="ADD298" s="1"/>
      <c r="ADE298" s="1"/>
      <c r="ADF298" s="1"/>
      <c r="ADG298" s="1"/>
      <c r="ADH298" s="1"/>
      <c r="ADI298" s="1"/>
      <c r="ADJ298" s="1"/>
      <c r="ADK298" s="1"/>
      <c r="ADL298" s="1"/>
      <c r="ADM298" s="1"/>
      <c r="ADN298" s="1"/>
      <c r="ADO298" s="1"/>
      <c r="ADP298" s="1"/>
      <c r="ADQ298" s="1"/>
      <c r="ADR298" s="1"/>
      <c r="ADS298" s="1"/>
      <c r="ADT298" s="1"/>
      <c r="ADU298" s="1"/>
      <c r="ADV298" s="1"/>
      <c r="ADW298" s="1"/>
      <c r="ADX298" s="1"/>
      <c r="ADY298" s="1"/>
      <c r="ADZ298" s="1"/>
      <c r="AEA298" s="1"/>
      <c r="AEB298" s="1"/>
      <c r="AEC298" s="1"/>
      <c r="AED298" s="1"/>
      <c r="AEE298" s="1"/>
      <c r="AEF298" s="1"/>
      <c r="AEG298" s="1"/>
      <c r="AEH298" s="1"/>
      <c r="AEI298" s="1"/>
      <c r="AEJ298" s="1"/>
      <c r="AEK298" s="1"/>
      <c r="AEL298" s="1"/>
      <c r="AEM298" s="1"/>
      <c r="AEN298" s="1"/>
      <c r="AEO298" s="1"/>
      <c r="AEP298" s="1"/>
      <c r="AEQ298" s="1"/>
      <c r="AER298" s="1"/>
      <c r="AES298" s="1"/>
      <c r="AET298" s="1"/>
      <c r="AEU298" s="1"/>
      <c r="AEV298" s="1"/>
      <c r="AEW298" s="1"/>
      <c r="AEX298" s="1"/>
      <c r="AEY298" s="1"/>
      <c r="AEZ298" s="1"/>
      <c r="AFA298" s="1"/>
      <c r="AFB298" s="1"/>
      <c r="AFC298" s="1"/>
      <c r="AFD298" s="1"/>
      <c r="AFE298" s="1"/>
      <c r="AFF298" s="1"/>
      <c r="AFG298" s="1"/>
      <c r="AFH298" s="1"/>
      <c r="AFI298" s="1"/>
      <c r="AFJ298" s="1"/>
      <c r="AFK298" s="1"/>
      <c r="AFL298" s="1"/>
      <c r="AFM298" s="1"/>
      <c r="AFN298" s="1"/>
      <c r="AFO298" s="1"/>
      <c r="AFP298" s="1"/>
      <c r="AFQ298" s="1"/>
      <c r="AFR298" s="1"/>
      <c r="AFS298" s="1"/>
      <c r="AFT298" s="1"/>
      <c r="AFU298" s="1"/>
      <c r="AFV298" s="1"/>
      <c r="AFW298" s="1"/>
      <c r="AFX298" s="1"/>
      <c r="AFY298" s="1"/>
      <c r="AFZ298" s="1"/>
      <c r="AGA298" s="1"/>
      <c r="AGB298" s="1"/>
      <c r="AGC298" s="1"/>
      <c r="AGD298" s="1"/>
      <c r="AGE298" s="1"/>
      <c r="AGF298" s="1"/>
      <c r="AGG298" s="1"/>
      <c r="AGH298" s="1"/>
      <c r="AGI298" s="1"/>
      <c r="AGJ298" s="1"/>
      <c r="AGK298" s="1"/>
      <c r="AGL298" s="1"/>
      <c r="AGM298" s="1"/>
      <c r="AGN298" s="1"/>
      <c r="AGO298" s="1"/>
      <c r="AGP298" s="1"/>
      <c r="AGQ298" s="1"/>
      <c r="AGR298" s="1"/>
      <c r="AGS298" s="1"/>
      <c r="AGT298" s="1"/>
      <c r="AGU298" s="1"/>
      <c r="AGV298" s="1"/>
      <c r="AGW298" s="1"/>
      <c r="AGX298" s="1"/>
      <c r="AGY298" s="1"/>
      <c r="AGZ298" s="1"/>
      <c r="AHA298" s="1"/>
      <c r="AHB298" s="1"/>
      <c r="AHC298" s="1"/>
      <c r="AHD298" s="1"/>
      <c r="AHE298" s="1"/>
      <c r="AHF298" s="1"/>
      <c r="AHG298" s="1"/>
      <c r="AHH298" s="1"/>
      <c r="AHI298" s="1"/>
      <c r="AHJ298" s="1"/>
      <c r="AHK298" s="1"/>
      <c r="AHL298" s="1"/>
      <c r="AHM298" s="1"/>
      <c r="AHN298" s="1"/>
      <c r="AHO298" s="1"/>
      <c r="AHP298" s="1"/>
      <c r="AHQ298" s="1"/>
      <c r="AHR298" s="1"/>
      <c r="AHS298" s="1"/>
      <c r="AHT298" s="1"/>
      <c r="AHU298" s="1"/>
      <c r="AHV298" s="1"/>
      <c r="AHW298" s="1"/>
      <c r="AHX298" s="1"/>
      <c r="AHY298" s="1"/>
      <c r="AHZ298" s="1"/>
      <c r="AIA298" s="1"/>
      <c r="AIB298" s="1"/>
      <c r="AIC298" s="1"/>
      <c r="AID298" s="1"/>
      <c r="AIE298" s="1"/>
      <c r="AIF298" s="1"/>
      <c r="AIG298" s="1"/>
      <c r="AIH298" s="1"/>
      <c r="AII298" s="1"/>
      <c r="AIJ298" s="1"/>
      <c r="AIK298" s="1"/>
      <c r="AIL298" s="1"/>
      <c r="AIM298" s="1"/>
      <c r="AIN298" s="1"/>
      <c r="AIO298" s="1"/>
      <c r="AIP298" s="1"/>
      <c r="AIQ298" s="1"/>
      <c r="AIR298" s="1"/>
      <c r="AIS298" s="1"/>
      <c r="AIT298" s="1"/>
      <c r="AIU298" s="1"/>
      <c r="AIV298" s="1"/>
      <c r="AIW298" s="1"/>
      <c r="AIX298" s="1"/>
      <c r="AIY298" s="1"/>
      <c r="AIZ298" s="1"/>
      <c r="AJA298" s="1"/>
      <c r="AJB298" s="1"/>
      <c r="AJC298" s="1"/>
      <c r="AJD298" s="1"/>
      <c r="AJE298" s="1"/>
      <c r="AJF298" s="1"/>
      <c r="AJG298" s="1"/>
      <c r="AJH298" s="1"/>
      <c r="AJI298" s="1"/>
      <c r="AJJ298" s="1"/>
      <c r="AJK298" s="1"/>
      <c r="AJL298" s="1"/>
      <c r="AJM298" s="1"/>
      <c r="AJN298" s="1"/>
      <c r="AJO298" s="1"/>
      <c r="AJP298" s="1"/>
      <c r="AJQ298" s="1"/>
      <c r="AJR298" s="1"/>
      <c r="AJS298" s="1"/>
      <c r="AJT298" s="1"/>
      <c r="AJU298" s="1"/>
      <c r="AJV298" s="1"/>
      <c r="AJW298" s="1"/>
      <c r="AJX298" s="1"/>
      <c r="AJY298" s="1"/>
      <c r="AJZ298" s="1"/>
      <c r="AKA298" s="1"/>
      <c r="AKB298" s="1"/>
      <c r="AKC298" s="1"/>
      <c r="AKD298" s="1"/>
      <c r="AKE298" s="1"/>
      <c r="AKF298" s="1"/>
      <c r="AKG298" s="1"/>
      <c r="AKH298" s="1"/>
      <c r="AKI298" s="1"/>
      <c r="AKJ298" s="1"/>
      <c r="AKK298" s="1"/>
      <c r="AKL298" s="1"/>
      <c r="AKM298" s="1"/>
      <c r="AKN298" s="1"/>
      <c r="AKO298" s="1"/>
      <c r="AKP298" s="1"/>
      <c r="AKQ298" s="1"/>
      <c r="AKR298" s="1"/>
      <c r="AKS298" s="1"/>
      <c r="AKT298" s="1"/>
      <c r="AKU298" s="1"/>
      <c r="AKV298" s="1"/>
      <c r="AKW298" s="1"/>
      <c r="AKX298" s="1"/>
      <c r="AKY298" s="1"/>
      <c r="AKZ298" s="1"/>
      <c r="ALA298" s="1"/>
      <c r="ALB298" s="1"/>
      <c r="ALC298" s="1"/>
      <c r="ALD298" s="1"/>
      <c r="ALE298" s="1"/>
      <c r="ALF298" s="1"/>
      <c r="ALG298" s="1"/>
      <c r="ALH298" s="1"/>
      <c r="ALI298" s="1"/>
      <c r="ALJ298" s="1"/>
      <c r="ALK298" s="1"/>
      <c r="ALL298" s="1"/>
      <c r="ALM298" s="1"/>
      <c r="ALN298" s="1"/>
      <c r="ALO298" s="1"/>
      <c r="ALP298" s="1"/>
      <c r="ALQ298" s="1"/>
      <c r="ALR298" s="1"/>
      <c r="ALS298" s="1"/>
      <c r="ALT298" s="1"/>
      <c r="ALU298" s="1"/>
      <c r="ALV298" s="1"/>
      <c r="ALW298" s="1"/>
      <c r="ALX298" s="1"/>
      <c r="ALY298" s="1"/>
      <c r="ALZ298" s="1"/>
      <c r="AMA298" s="1"/>
      <c r="AMB298" s="1"/>
      <c r="AMC298" s="1"/>
      <c r="AMD298" s="1"/>
      <c r="AME298" s="1"/>
      <c r="AMF298" s="1"/>
      <c r="AMG298" s="1"/>
      <c r="AMH298" s="1"/>
      <c r="AMI298" s="1"/>
      <c r="AMJ298" s="1"/>
      <c r="AMK298" s="1"/>
      <c r="AML298" s="1"/>
      <c r="AMM298" s="1"/>
      <c r="AMN298" s="1"/>
      <c r="AMO298" s="1"/>
    </row>
    <row r="299" spans="1:1030" x14ac:dyDescent="0.2">
      <c r="A299" s="3" t="str">
        <f>CONCATENATE(B299,"_",C299)</f>
        <v>opsd_bovin_2X72</v>
      </c>
      <c r="B299" s="2" t="s">
        <v>913</v>
      </c>
      <c r="C299" s="3" t="s">
        <v>1363</v>
      </c>
      <c r="D299" s="3" t="str">
        <f>IFERROR(MID(VLOOKUP($B299,Seqs!$A:$B,2,0),E299,1),"")</f>
        <v>E</v>
      </c>
      <c r="E299" s="105">
        <v>33</v>
      </c>
      <c r="F299" s="3" t="str">
        <f>IFERROR(MID(VLOOKUP($B299,Seqs!$A:$B,2,0),G299,1),"")</f>
        <v>H</v>
      </c>
      <c r="G299" s="3">
        <v>65</v>
      </c>
      <c r="H299" s="3" t="str">
        <f>IFERROR(MID(VLOOKUP($B299,Seqs!$A:$B,2,0),I299,1),"")</f>
        <v>K</v>
      </c>
      <c r="I299" s="23">
        <v>66</v>
      </c>
      <c r="J299" s="3" t="str">
        <f>IFERROR(MID(VLOOKUP($B299,Seqs!$A:$B,2,0),K299,1),"")</f>
        <v>R</v>
      </c>
      <c r="K299" s="23">
        <v>69</v>
      </c>
      <c r="L299" s="3" t="str">
        <f>IFERROR(MID(VLOOKUP($B299,Seqs!$A:$B,2,0),M299,1),"")</f>
        <v>T</v>
      </c>
      <c r="M299" s="3">
        <v>70</v>
      </c>
      <c r="N299" s="3" t="str">
        <f>IFERROR(MID(VLOOKUP($B299,Seqs!$A:$B,2,0),O299,1),"")</f>
        <v>H</v>
      </c>
      <c r="O299" s="3">
        <v>100</v>
      </c>
      <c r="P299" s="3" t="str">
        <f>IFERROR(MID(VLOOKUP($B299,Seqs!$A:$B,2,0),Q299,1),"")</f>
        <v>Y</v>
      </c>
      <c r="Q299" s="3">
        <v>102</v>
      </c>
      <c r="R299" s="3" t="str">
        <f>IFERROR(MID(VLOOKUP($B299,Seqs!$A:$B,2,0),S299,1),"")</f>
        <v>F</v>
      </c>
      <c r="S299" s="3">
        <v>105</v>
      </c>
      <c r="T299" s="3" t="str">
        <f>IFERROR(MID(VLOOKUP($B299,Seqs!$A:$B,2,0),U299,1),"")</f>
        <v>G</v>
      </c>
      <c r="U299" s="3">
        <v>106</v>
      </c>
      <c r="V299" s="3" t="str">
        <f>IFERROR(MID(VLOOKUP($B299,Seqs!$A:$B,2,0),W299,1),"")</f>
        <v>K</v>
      </c>
      <c r="W299" s="3">
        <v>141</v>
      </c>
      <c r="X299" s="3" t="str">
        <f>IFERROR(MID(VLOOKUP($B299,Seqs!$A:$B,2,0),Y299,1),"")</f>
        <v/>
      </c>
      <c r="Y299" s="3" t="s">
        <v>23</v>
      </c>
      <c r="Z299" s="3" t="str">
        <f>IFERROR(MID(VLOOKUP($B299,Seqs!$A:$B,2,0),AA299,1),"")</f>
        <v/>
      </c>
      <c r="AA299" s="3" t="s">
        <v>23</v>
      </c>
      <c r="AB299" s="3" t="str">
        <f>IFERROR(MID(VLOOKUP($B299,Seqs!$A:$B,2,0),AC299,1),"")</f>
        <v>G</v>
      </c>
      <c r="AC299" s="9">
        <v>149</v>
      </c>
      <c r="AD299" s="3" t="str">
        <f>IFERROR(MID(VLOOKUP($B299,Seqs!$A:$B,2,0),AE299,1),"")</f>
        <v>V</v>
      </c>
      <c r="AE299" s="3">
        <v>173</v>
      </c>
      <c r="AF299" s="3" t="str">
        <f>IFERROR(MID(VLOOKUP($B299,Seqs!$A:$B,2,0),AG299,1),"")</f>
        <v>C</v>
      </c>
      <c r="AG299" s="3">
        <v>187</v>
      </c>
      <c r="AH299" s="3" t="str">
        <f>IFERROR(MID(VLOOKUP($B299,Seqs!$A:$B,2,0),AI299,1),"")</f>
        <v>I</v>
      </c>
      <c r="AI299" s="3">
        <v>189</v>
      </c>
      <c r="AJ299" s="3" t="str">
        <f>IFERROR(MID(VLOOKUP($B299,Seqs!$A:$B,2,0),AK299,1),"")</f>
        <v>N</v>
      </c>
      <c r="AK299" s="3">
        <v>199</v>
      </c>
      <c r="AL299" s="3" t="str">
        <f>IFERROR(MID(VLOOKUP($B299,Seqs!$A:$B,2,0),AM299,1),"")</f>
        <v>Q</v>
      </c>
      <c r="AM299" s="3">
        <v>237</v>
      </c>
      <c r="AN299" s="3" t="str">
        <f>IFERROR(MID(VLOOKUP($B299,Seqs!$A:$B,2,0),AO299,1),"")</f>
        <v>A</v>
      </c>
      <c r="AO299" s="3">
        <v>241</v>
      </c>
      <c r="AP299" s="3" t="str">
        <f>IFERROR(MID(VLOOKUP($B299,Seqs!$A:$B,2,0),AQ299,1),"")</f>
        <v>H</v>
      </c>
      <c r="AQ299" s="3">
        <v>278</v>
      </c>
      <c r="AR299" s="3" t="str">
        <f>IFERROR(MID(VLOOKUP($B299,Seqs!$A:$B,2,0),AS299,1),"")</f>
        <v>G</v>
      </c>
      <c r="AS299" s="3">
        <v>284</v>
      </c>
      <c r="AT299" s="3" t="str">
        <f>IFERROR(MID(VLOOKUP($B299,Seqs!$A:$B,2,0),AU299,1),"")</f>
        <v>M</v>
      </c>
      <c r="AU299" s="3">
        <v>309</v>
      </c>
      <c r="AV299" s="3" t="str">
        <f>IFERROR(MID(VLOOKUP($B299,Seqs!$A:$B,2,0),AW299,1),"")</f>
        <v>N</v>
      </c>
      <c r="AW299" s="3">
        <v>310</v>
      </c>
      <c r="AX299" s="3" t="str">
        <f>IFERROR(MID(VLOOKUP($B299,Seqs!$A:$B,2,0),AY299,1),"")</f>
        <v>C</v>
      </c>
      <c r="AY299" s="3">
        <v>322</v>
      </c>
      <c r="AZ299" s="77" t="str">
        <f>VLOOKUP(B299,Classification!A:D,2,0)</f>
        <v>A</v>
      </c>
      <c r="BA299" s="94" t="str">
        <f>VLOOKUP(B299,Classification!A:D,4,0)</f>
        <v>Opsins</v>
      </c>
      <c r="BB299" s="27" t="b">
        <f>AND(E299&lt;G299,OR(G299&lt;I299,I299="-"),OR(I299&lt;K299,I299="-"),OR(K299&lt;M299,K299="-"),M299&lt;O299,OR(O299&lt;Q299,Q299="-"),OR(Q299&lt;S299,Q299="-"),OR(S299&lt;U299,S299="-"),U299&lt;W299,OR(W299&lt;Y299,Y299="-"),OR(Y299&lt;AA299,Y299="-"),OR(AA299&lt;AC299,AA299="-"),AC299&lt;AE299,OR(AE299&lt;AG299,AG299="-"),OR(AG299&lt;AI299,AG299="-"),OR(AI299&lt;AK299,AI299="-"),AK299&lt;AM299,AM299&lt;AO299,AO299&lt;AQ299,AQ299&lt;AS299,AS299&lt;AU299,OR(AU299&lt;AW299,AW299="-"),OR(AW299&lt;AY299,AW299="-"))</f>
        <v>1</v>
      </c>
      <c r="BC299" s="23">
        <f>_xlfn.AGGREGATE(9,6,CH299:CS299)-_xlfn.AGGREGATE(9,6,BV299:CG299)+12</f>
        <v>253</v>
      </c>
      <c r="BD299" s="56" t="s">
        <v>23</v>
      </c>
      <c r="BE299" s="3" t="s">
        <v>1285</v>
      </c>
      <c r="BF299" s="118">
        <v>3</v>
      </c>
      <c r="BG299" s="49" t="s">
        <v>1371</v>
      </c>
      <c r="BH299" s="49" t="s">
        <v>1371</v>
      </c>
      <c r="BI299" s="1"/>
      <c r="BJ299" s="70" t="s">
        <v>1281</v>
      </c>
      <c r="BK299" s="57" t="s">
        <v>1281</v>
      </c>
      <c r="BL299" s="57" t="s">
        <v>1281</v>
      </c>
      <c r="BM299" s="57" t="s">
        <v>1281</v>
      </c>
      <c r="BN299" s="57" t="s">
        <v>1281</v>
      </c>
      <c r="BO299" s="57" t="s">
        <v>1281</v>
      </c>
      <c r="BP299" s="57" t="s">
        <v>1281</v>
      </c>
      <c r="BQ299" s="57" t="s">
        <v>1281</v>
      </c>
      <c r="BR299" s="57" t="s">
        <v>1281</v>
      </c>
      <c r="BS299" s="57" t="s">
        <v>1281</v>
      </c>
      <c r="BT299" s="57" t="s">
        <v>1281</v>
      </c>
      <c r="BU299" s="57" t="s">
        <v>1281</v>
      </c>
      <c r="BV299" s="70">
        <f>E299</f>
        <v>33</v>
      </c>
      <c r="BW299" s="71">
        <f>I299</f>
        <v>66</v>
      </c>
      <c r="BX299" s="72">
        <f>M299</f>
        <v>70</v>
      </c>
      <c r="BY299" s="71">
        <f>Q299</f>
        <v>102</v>
      </c>
      <c r="BZ299" s="72">
        <f>U299</f>
        <v>106</v>
      </c>
      <c r="CA299" s="71" t="str">
        <f>Y299</f>
        <v>-</v>
      </c>
      <c r="CB299" s="72">
        <f>AC299</f>
        <v>149</v>
      </c>
      <c r="CC299" s="71">
        <f>AG299</f>
        <v>187</v>
      </c>
      <c r="CD299" s="72">
        <f>AK299</f>
        <v>199</v>
      </c>
      <c r="CE299" s="71">
        <f>AO299</f>
        <v>241</v>
      </c>
      <c r="CF299" s="72">
        <f>AS299</f>
        <v>284</v>
      </c>
      <c r="CG299" s="71">
        <f>AW299</f>
        <v>310</v>
      </c>
      <c r="CH299" s="70">
        <f>G299</f>
        <v>65</v>
      </c>
      <c r="CI299" s="71">
        <f>K299</f>
        <v>69</v>
      </c>
      <c r="CJ299" s="72">
        <f>O299</f>
        <v>100</v>
      </c>
      <c r="CK299" s="72">
        <f>S299</f>
        <v>105</v>
      </c>
      <c r="CL299" s="72">
        <f>W299</f>
        <v>141</v>
      </c>
      <c r="CM299" s="72" t="str">
        <f>AA299</f>
        <v>-</v>
      </c>
      <c r="CN299" s="72">
        <f>AE299</f>
        <v>173</v>
      </c>
      <c r="CO299" s="72">
        <f>AI299</f>
        <v>189</v>
      </c>
      <c r="CP299" s="72">
        <f>AM299</f>
        <v>237</v>
      </c>
      <c r="CQ299" s="72">
        <f>AQ299</f>
        <v>278</v>
      </c>
      <c r="CR299" s="72">
        <f>AU299</f>
        <v>309</v>
      </c>
      <c r="CS299" s="72">
        <f>AY299</f>
        <v>322</v>
      </c>
      <c r="CT299" s="23">
        <f>M299-K299</f>
        <v>1</v>
      </c>
      <c r="CU299" s="6"/>
      <c r="CV299" s="6"/>
      <c r="CW299" s="6"/>
      <c r="CX299" s="6"/>
      <c r="CY299" s="6"/>
      <c r="CZ299" s="6"/>
      <c r="DA299" s="6"/>
      <c r="DB299" s="6"/>
      <c r="DC299" s="6"/>
      <c r="DD299" s="6"/>
      <c r="DE299" s="6"/>
      <c r="DF299" s="6"/>
      <c r="DG299" s="6"/>
      <c r="DH299" s="6"/>
      <c r="DI299" s="6"/>
      <c r="DJ299" s="6"/>
      <c r="DK299" s="6"/>
      <c r="DL299" s="6"/>
      <c r="DM299" s="6"/>
      <c r="DN299" s="6"/>
      <c r="DO299" s="6"/>
      <c r="DP299" s="6"/>
      <c r="DQ299" s="6"/>
      <c r="DR299" s="6"/>
      <c r="DS299" s="6"/>
      <c r="DT299" s="6"/>
      <c r="DU299" s="6"/>
      <c r="DV299" s="6"/>
      <c r="DW299" s="6"/>
      <c r="DX299" s="6"/>
      <c r="DY299" s="6"/>
      <c r="DZ299" s="6"/>
      <c r="EA299" s="6"/>
      <c r="EB299" s="6"/>
      <c r="EC299" s="6"/>
      <c r="ED299" s="6"/>
      <c r="EE299" s="6"/>
      <c r="EF299" s="6"/>
      <c r="EG299" s="6"/>
      <c r="EH299" s="6"/>
      <c r="EI299" s="6"/>
      <c r="EJ299" s="6"/>
      <c r="EK299" s="6"/>
      <c r="EL299" s="6"/>
      <c r="EM299" s="6"/>
      <c r="EN299" s="6"/>
      <c r="EO299" s="6"/>
      <c r="EP299" s="6"/>
      <c r="EQ299" s="6"/>
      <c r="ER299" s="6"/>
      <c r="ES299" s="6"/>
      <c r="ET299" s="6"/>
      <c r="EU299" s="6"/>
      <c r="EV299" s="6"/>
      <c r="EW299" s="6"/>
      <c r="EX299" s="6"/>
      <c r="EY299" s="6"/>
      <c r="EZ299" s="6"/>
      <c r="FA299" s="6"/>
      <c r="FB299" s="6"/>
      <c r="FC299" s="6"/>
      <c r="FD299" s="6"/>
      <c r="FE299" s="6"/>
      <c r="FF299" s="6"/>
      <c r="FG299" s="6"/>
      <c r="FH299" s="6"/>
      <c r="FI299" s="6"/>
      <c r="FJ299" s="6"/>
      <c r="FK299" s="6"/>
      <c r="FL299" s="6"/>
      <c r="FM299" s="6"/>
      <c r="FN299" s="6"/>
      <c r="FO299" s="6"/>
      <c r="FP299" s="6"/>
      <c r="FQ299" s="6"/>
      <c r="FR299" s="6"/>
      <c r="FS299" s="6"/>
      <c r="FT299" s="6"/>
      <c r="FU299" s="6"/>
      <c r="FV299" s="6"/>
      <c r="FW299" s="6"/>
      <c r="FX299" s="6"/>
      <c r="FY299" s="6"/>
      <c r="FZ299" s="6"/>
      <c r="GA299" s="6"/>
      <c r="GB299" s="6"/>
      <c r="GC299" s="6"/>
      <c r="GD299" s="6"/>
      <c r="GE299" s="6"/>
      <c r="GF299" s="6"/>
      <c r="GG299" s="6"/>
      <c r="GH299" s="6"/>
      <c r="GI299" s="6"/>
      <c r="GJ299" s="6"/>
      <c r="GK299" s="6"/>
      <c r="GL299" s="6"/>
      <c r="GM299" s="6"/>
      <c r="GN299" s="6"/>
      <c r="GO299" s="6"/>
      <c r="GP299" s="6"/>
      <c r="GQ299" s="6"/>
      <c r="GR299" s="6"/>
      <c r="GS299" s="6"/>
      <c r="GT299" s="6"/>
      <c r="GU299" s="6"/>
      <c r="GV299" s="6"/>
      <c r="GW299" s="6"/>
      <c r="GX299" s="6"/>
      <c r="GY299" s="6"/>
      <c r="GZ299" s="6"/>
      <c r="HA299" s="6"/>
      <c r="HB299" s="6"/>
      <c r="HC299" s="6"/>
      <c r="HD299" s="6"/>
      <c r="HE299" s="6"/>
      <c r="HF299" s="6"/>
      <c r="HG299" s="6"/>
      <c r="HH299" s="6"/>
      <c r="HI299" s="6"/>
      <c r="HJ299" s="6"/>
      <c r="HK299" s="6"/>
      <c r="HL299" s="6"/>
      <c r="HM299" s="6"/>
      <c r="HN299" s="6"/>
      <c r="HO299" s="6"/>
      <c r="HP299" s="6"/>
      <c r="HQ299" s="6"/>
      <c r="HR299" s="6"/>
      <c r="HS299" s="6"/>
      <c r="HT299" s="6"/>
      <c r="HU299" s="6"/>
      <c r="HV299" s="6"/>
      <c r="HW299" s="6"/>
      <c r="HX299" s="6"/>
      <c r="HY299" s="6"/>
      <c r="HZ299" s="6"/>
      <c r="IA299" s="6"/>
      <c r="IB299" s="6"/>
      <c r="IC299" s="6"/>
      <c r="ID299" s="6"/>
      <c r="IE299" s="6"/>
      <c r="IF299" s="6"/>
      <c r="IG299" s="6"/>
      <c r="IH299" s="6"/>
      <c r="II299" s="6"/>
      <c r="IJ299" s="6"/>
      <c r="IK299" s="6"/>
      <c r="IL299" s="6"/>
      <c r="IM299" s="6"/>
      <c r="IN299" s="6"/>
      <c r="IO299" s="6"/>
      <c r="IP299" s="6"/>
      <c r="IQ299" s="6"/>
      <c r="IR299" s="6"/>
      <c r="IS299" s="6"/>
      <c r="IT299" s="6"/>
      <c r="IU299" s="6"/>
      <c r="IV299" s="6"/>
      <c r="IW299" s="6"/>
      <c r="IX299" s="6"/>
      <c r="IY299" s="6"/>
      <c r="IZ299" s="6"/>
      <c r="JA299" s="6"/>
      <c r="JB299" s="6"/>
      <c r="JC299" s="6"/>
      <c r="JD299" s="6"/>
      <c r="JE299" s="6"/>
      <c r="JF299" s="6"/>
      <c r="JG299" s="6"/>
      <c r="JH299" s="6"/>
      <c r="JI299" s="6"/>
      <c r="JJ299" s="6"/>
      <c r="JK299" s="6"/>
      <c r="JL299" s="6"/>
      <c r="JM299" s="6"/>
      <c r="JN299" s="6"/>
      <c r="JO299" s="6"/>
      <c r="JP299" s="6"/>
      <c r="JQ299" s="6"/>
      <c r="JR299" s="6"/>
      <c r="JS299" s="6"/>
      <c r="JT299" s="6"/>
      <c r="JU299" s="6"/>
      <c r="JV299" s="6"/>
      <c r="JW299" s="6"/>
      <c r="JX299" s="6"/>
      <c r="JY299" s="6"/>
      <c r="JZ299" s="6"/>
      <c r="KA299" s="6"/>
      <c r="KB299" s="6"/>
      <c r="KC299" s="6"/>
      <c r="KD299" s="6"/>
      <c r="KE299" s="6"/>
      <c r="KF299" s="6"/>
      <c r="KG299" s="6"/>
      <c r="KH299" s="6"/>
      <c r="KI299" s="6"/>
      <c r="KJ299" s="6"/>
      <c r="KK299" s="6"/>
      <c r="KL299" s="6"/>
      <c r="KM299" s="6"/>
      <c r="KN299" s="6"/>
      <c r="KO299" s="6"/>
      <c r="KP299" s="6"/>
      <c r="KQ299" s="6"/>
      <c r="KR299" s="6"/>
      <c r="KS299" s="6"/>
      <c r="KT299" s="6"/>
      <c r="KU299" s="6"/>
      <c r="KV299" s="6"/>
      <c r="KW299" s="6"/>
      <c r="KX299" s="6"/>
      <c r="KY299" s="6"/>
      <c r="KZ299" s="6"/>
      <c r="LA299" s="6"/>
      <c r="LB299" s="6"/>
      <c r="LC299" s="6"/>
      <c r="LD299" s="6"/>
      <c r="LE299" s="6"/>
      <c r="LF299" s="6"/>
      <c r="LG299" s="6"/>
      <c r="LH299" s="6"/>
      <c r="LI299" s="6"/>
      <c r="LJ299" s="6"/>
      <c r="LK299" s="6"/>
      <c r="LL299" s="6"/>
      <c r="LM299" s="6"/>
      <c r="LN299" s="6"/>
      <c r="LO299" s="6"/>
      <c r="LP299" s="6"/>
      <c r="LQ299" s="6"/>
      <c r="LR299" s="6"/>
      <c r="LS299" s="6"/>
      <c r="LT299" s="6"/>
      <c r="LU299" s="6"/>
      <c r="LV299" s="6"/>
      <c r="LW299" s="6"/>
      <c r="LX299" s="6"/>
      <c r="LY299" s="6"/>
      <c r="LZ299" s="6"/>
      <c r="MA299" s="6"/>
      <c r="MB299" s="6"/>
      <c r="MC299" s="6"/>
      <c r="MD299" s="6"/>
      <c r="ME299" s="6"/>
      <c r="MF299" s="6"/>
      <c r="MG299" s="6"/>
      <c r="MH299" s="6"/>
      <c r="MI299" s="6"/>
      <c r="MJ299" s="6"/>
      <c r="MK299" s="6"/>
      <c r="ML299" s="6"/>
      <c r="MM299" s="6"/>
      <c r="MN299" s="6"/>
      <c r="MO299" s="6"/>
      <c r="MP299" s="6"/>
      <c r="MQ299" s="6"/>
      <c r="MR299" s="6"/>
      <c r="MS299" s="6"/>
      <c r="MT299" s="6"/>
      <c r="MU299" s="6"/>
      <c r="MV299" s="6"/>
      <c r="MW299" s="6"/>
      <c r="MX299" s="6"/>
      <c r="MY299" s="6"/>
      <c r="MZ299" s="6"/>
      <c r="NA299" s="6"/>
      <c r="NB299" s="6"/>
      <c r="NC299" s="6"/>
      <c r="ND299" s="6"/>
      <c r="NE299" s="6"/>
      <c r="NF299" s="6"/>
      <c r="NG299" s="6"/>
      <c r="NH299" s="6"/>
      <c r="NI299" s="6"/>
      <c r="NJ299" s="6"/>
      <c r="NK299" s="6"/>
      <c r="NL299" s="6"/>
      <c r="NM299" s="6"/>
      <c r="NN299" s="6"/>
      <c r="NO299" s="6"/>
      <c r="NP299" s="6"/>
      <c r="NQ299" s="6"/>
      <c r="NR299" s="6"/>
      <c r="NS299" s="6"/>
      <c r="NT299" s="6"/>
      <c r="NU299" s="6"/>
      <c r="NV299" s="6"/>
      <c r="NW299" s="6"/>
      <c r="NX299" s="6"/>
      <c r="NY299" s="6"/>
      <c r="NZ299" s="6"/>
      <c r="OA299" s="6"/>
      <c r="OB299" s="6"/>
      <c r="OC299" s="6"/>
      <c r="OD299" s="6"/>
      <c r="OE299" s="6"/>
      <c r="OF299" s="6"/>
      <c r="OG299" s="6"/>
      <c r="OH299" s="6"/>
      <c r="OI299" s="6"/>
      <c r="OJ299" s="6"/>
      <c r="OK299" s="6"/>
      <c r="OL299" s="6"/>
      <c r="OM299" s="6"/>
      <c r="ON299" s="6"/>
      <c r="OO299" s="6"/>
      <c r="OP299" s="6"/>
      <c r="OQ299" s="6"/>
      <c r="OR299" s="6"/>
      <c r="OS299" s="6"/>
      <c r="OT299" s="6"/>
      <c r="OU299" s="6"/>
      <c r="OV299" s="6"/>
      <c r="OW299" s="6"/>
      <c r="OX299" s="6"/>
      <c r="OY299" s="6"/>
      <c r="OZ299" s="6"/>
      <c r="PA299" s="6"/>
      <c r="PB299" s="6"/>
      <c r="PC299" s="6"/>
      <c r="PD299" s="6"/>
      <c r="PE299" s="6"/>
      <c r="PF299" s="6"/>
      <c r="PG299" s="6"/>
      <c r="PH299" s="6"/>
      <c r="PI299" s="6"/>
      <c r="PJ299" s="6"/>
      <c r="PK299" s="6"/>
      <c r="PL299" s="6"/>
      <c r="PM299" s="6"/>
      <c r="PN299" s="6"/>
      <c r="PO299" s="6"/>
      <c r="PP299" s="6"/>
      <c r="PQ299" s="6"/>
      <c r="PR299" s="6"/>
      <c r="PS299" s="6"/>
      <c r="PT299" s="6"/>
      <c r="PU299" s="6"/>
      <c r="PV299" s="6"/>
      <c r="PW299" s="6"/>
      <c r="PX299" s="6"/>
      <c r="PY299" s="6"/>
      <c r="PZ299" s="6"/>
      <c r="QA299" s="6"/>
      <c r="QB299" s="6"/>
      <c r="QC299" s="6"/>
      <c r="QD299" s="6"/>
      <c r="QE299" s="6"/>
      <c r="QF299" s="6"/>
      <c r="QG299" s="6"/>
      <c r="QH299" s="6"/>
      <c r="QI299" s="6"/>
      <c r="QJ299" s="6"/>
      <c r="QK299" s="6"/>
      <c r="QL299" s="6"/>
      <c r="QM299" s="6"/>
      <c r="QN299" s="6"/>
      <c r="QO299" s="6"/>
      <c r="QP299" s="6"/>
      <c r="QQ299" s="6"/>
      <c r="QR299" s="6"/>
      <c r="QS299" s="6"/>
      <c r="QT299" s="6"/>
      <c r="QU299" s="6"/>
      <c r="QV299" s="6"/>
      <c r="QW299" s="6"/>
      <c r="QX299" s="6"/>
      <c r="QY299" s="6"/>
      <c r="QZ299" s="6"/>
      <c r="RA299" s="6"/>
      <c r="RB299" s="6"/>
      <c r="RC299" s="6"/>
      <c r="RD299" s="6"/>
      <c r="RE299" s="6"/>
      <c r="RF299" s="6"/>
      <c r="RG299" s="6"/>
      <c r="RH299" s="6"/>
      <c r="RI299" s="6"/>
      <c r="RJ299" s="6"/>
      <c r="RK299" s="6"/>
      <c r="RL299" s="6"/>
      <c r="RM299" s="6"/>
      <c r="RN299" s="6"/>
      <c r="RO299" s="6"/>
      <c r="RP299" s="6"/>
      <c r="RQ299" s="6"/>
      <c r="RR299" s="6"/>
      <c r="RS299" s="6"/>
      <c r="RT299" s="6"/>
      <c r="RU299" s="6"/>
      <c r="RV299" s="6"/>
      <c r="RW299" s="6"/>
      <c r="RX299" s="6"/>
      <c r="RY299" s="6"/>
      <c r="RZ299" s="6"/>
      <c r="SA299" s="6"/>
      <c r="SB299" s="6"/>
      <c r="SC299" s="6"/>
      <c r="SD299" s="6"/>
      <c r="SE299" s="6"/>
      <c r="SF299" s="6"/>
      <c r="SG299" s="6"/>
      <c r="SH299" s="6"/>
      <c r="SI299" s="6"/>
      <c r="SJ299" s="6"/>
      <c r="SK299" s="6"/>
      <c r="SL299" s="6"/>
      <c r="SM299" s="6"/>
      <c r="SN299" s="6"/>
      <c r="SO299" s="6"/>
      <c r="SP299" s="6"/>
      <c r="SQ299" s="6"/>
      <c r="SR299" s="6"/>
      <c r="SS299" s="6"/>
      <c r="ST299" s="6"/>
      <c r="SU299" s="6"/>
      <c r="SV299" s="6"/>
      <c r="SW299" s="6"/>
      <c r="SX299" s="6"/>
      <c r="SY299" s="6"/>
      <c r="SZ299" s="6"/>
      <c r="TA299" s="6"/>
      <c r="TB299" s="6"/>
      <c r="TC299" s="6"/>
      <c r="TD299" s="6"/>
      <c r="TE299" s="6"/>
      <c r="TF299" s="6"/>
      <c r="TG299" s="6"/>
      <c r="TH299" s="6"/>
      <c r="TI299" s="6"/>
      <c r="TJ299" s="6"/>
      <c r="TK299" s="6"/>
      <c r="TL299" s="6"/>
      <c r="TM299" s="6"/>
      <c r="TN299" s="6"/>
      <c r="TO299" s="6"/>
      <c r="TP299" s="6"/>
      <c r="TQ299" s="6"/>
      <c r="TR299" s="6"/>
      <c r="TS299" s="6"/>
      <c r="TT299" s="6"/>
      <c r="TU299" s="6"/>
      <c r="TV299" s="6"/>
      <c r="TW299" s="6"/>
      <c r="TX299" s="6"/>
      <c r="TY299" s="6"/>
      <c r="TZ299" s="6"/>
      <c r="UA299" s="6"/>
      <c r="UB299" s="6"/>
      <c r="UC299" s="6"/>
      <c r="UD299" s="6"/>
      <c r="UE299" s="6"/>
      <c r="UF299" s="6"/>
      <c r="UG299" s="6"/>
      <c r="UH299" s="6"/>
      <c r="UI299" s="6"/>
      <c r="UJ299" s="6"/>
      <c r="UK299" s="6"/>
      <c r="UL299" s="6"/>
      <c r="UM299" s="6"/>
      <c r="UN299" s="6"/>
      <c r="UO299" s="6"/>
      <c r="UP299" s="6"/>
      <c r="UQ299" s="6"/>
      <c r="UR299" s="6"/>
      <c r="US299" s="6"/>
      <c r="UT299" s="6"/>
      <c r="UU299" s="6"/>
      <c r="UV299" s="6"/>
      <c r="UW299" s="6"/>
      <c r="UX299" s="6"/>
      <c r="UY299" s="6"/>
      <c r="UZ299" s="6"/>
      <c r="VA299" s="6"/>
      <c r="VB299" s="6"/>
      <c r="VC299" s="6"/>
      <c r="VD299" s="6"/>
      <c r="VE299" s="6"/>
      <c r="VF299" s="6"/>
      <c r="VG299" s="6"/>
      <c r="VH299" s="6"/>
      <c r="VI299" s="6"/>
      <c r="VJ299" s="6"/>
      <c r="VK299" s="6"/>
      <c r="VL299" s="6"/>
      <c r="VM299" s="6"/>
      <c r="VN299" s="6"/>
      <c r="VO299" s="6"/>
      <c r="VP299" s="6"/>
      <c r="VQ299" s="6"/>
      <c r="VR299" s="6"/>
      <c r="VS299" s="6"/>
      <c r="VT299" s="6"/>
      <c r="VU299" s="6"/>
      <c r="VV299" s="6"/>
      <c r="VW299" s="6"/>
      <c r="VX299" s="6"/>
      <c r="VY299" s="6"/>
      <c r="VZ299" s="6"/>
      <c r="WA299" s="6"/>
      <c r="WB299" s="6"/>
      <c r="WC299" s="6"/>
      <c r="WD299" s="6"/>
      <c r="WE299" s="6"/>
      <c r="WF299" s="6"/>
      <c r="WG299" s="6"/>
      <c r="WH299" s="6"/>
      <c r="WI299" s="6"/>
      <c r="WJ299" s="6"/>
      <c r="WK299" s="6"/>
      <c r="WL299" s="6"/>
      <c r="WM299" s="6"/>
      <c r="WN299" s="6"/>
      <c r="WO299" s="6"/>
      <c r="WP299" s="6"/>
      <c r="WQ299" s="6"/>
      <c r="WR299" s="6"/>
      <c r="WS299" s="6"/>
      <c r="WT299" s="6"/>
      <c r="WU299" s="6"/>
      <c r="WV299" s="6"/>
      <c r="WW299" s="6"/>
      <c r="WX299" s="6"/>
      <c r="WY299" s="6"/>
      <c r="WZ299" s="6"/>
      <c r="XA299" s="6"/>
      <c r="XB299" s="6"/>
      <c r="XC299" s="6"/>
      <c r="XD299" s="6"/>
      <c r="XE299" s="6"/>
      <c r="XF299" s="6"/>
      <c r="XG299" s="6"/>
      <c r="XH299" s="6"/>
      <c r="XI299" s="6"/>
      <c r="XJ299" s="6"/>
      <c r="XK299" s="6"/>
      <c r="XL299" s="6"/>
      <c r="XM299" s="6"/>
      <c r="XN299" s="6"/>
      <c r="XO299" s="6"/>
      <c r="XP299" s="6"/>
      <c r="XQ299" s="6"/>
      <c r="XR299" s="6"/>
      <c r="XS299" s="6"/>
      <c r="XT299" s="6"/>
      <c r="XU299" s="6"/>
      <c r="XV299" s="6"/>
      <c r="XW299" s="6"/>
      <c r="XX299" s="6"/>
      <c r="XY299" s="6"/>
      <c r="XZ299" s="6"/>
      <c r="YA299" s="6"/>
      <c r="YB299" s="6"/>
      <c r="YC299" s="6"/>
      <c r="YD299" s="6"/>
      <c r="YE299" s="6"/>
      <c r="YF299" s="6"/>
      <c r="YG299" s="6"/>
      <c r="YH299" s="6"/>
      <c r="YI299" s="6"/>
      <c r="YJ299" s="6"/>
      <c r="YK299" s="6"/>
      <c r="YL299" s="6"/>
      <c r="YM299" s="6"/>
      <c r="YN299" s="6"/>
      <c r="YO299" s="6"/>
      <c r="YP299" s="6"/>
      <c r="YQ299" s="6"/>
      <c r="YR299" s="6"/>
      <c r="YS299" s="6"/>
      <c r="YT299" s="6"/>
      <c r="YU299" s="6"/>
      <c r="YV299" s="6"/>
      <c r="YW299" s="6"/>
      <c r="YX299" s="6"/>
      <c r="YY299" s="6"/>
      <c r="YZ299" s="6"/>
      <c r="ZA299" s="6"/>
      <c r="ZB299" s="6"/>
      <c r="ZC299" s="6"/>
      <c r="ZD299" s="6"/>
      <c r="ZE299" s="6"/>
      <c r="ZF299" s="6"/>
      <c r="ZG299" s="6"/>
      <c r="ZH299" s="6"/>
      <c r="ZI299" s="6"/>
      <c r="ZJ299" s="6"/>
      <c r="ZK299" s="6"/>
      <c r="ZL299" s="6"/>
      <c r="ZM299" s="6"/>
      <c r="ZN299" s="6"/>
      <c r="ZO299" s="6"/>
      <c r="ZP299" s="6"/>
      <c r="ZQ299" s="6"/>
      <c r="ZR299" s="6"/>
      <c r="ZS299" s="6"/>
      <c r="ZT299" s="6"/>
      <c r="ZU299" s="6"/>
      <c r="ZV299" s="6"/>
      <c r="ZW299" s="6"/>
      <c r="ZX299" s="6"/>
      <c r="ZY299" s="6"/>
      <c r="ZZ299" s="6"/>
      <c r="AAA299" s="6"/>
      <c r="AAB299" s="6"/>
      <c r="AAC299" s="6"/>
      <c r="AAD299" s="6"/>
      <c r="AAE299" s="6"/>
      <c r="AAF299" s="6"/>
      <c r="AAG299" s="6"/>
      <c r="AAH299" s="6"/>
      <c r="AAI299" s="6"/>
      <c r="AAJ299" s="6"/>
      <c r="AAK299" s="6"/>
      <c r="AAL299" s="6"/>
      <c r="AAM299" s="6"/>
      <c r="AAN299" s="6"/>
      <c r="AAO299" s="6"/>
      <c r="AAP299" s="6"/>
      <c r="AAQ299" s="6"/>
      <c r="AAR299" s="6"/>
      <c r="AAS299" s="6"/>
      <c r="AAT299" s="6"/>
      <c r="AAU299" s="6"/>
      <c r="AAV299" s="6"/>
      <c r="AAW299" s="6"/>
      <c r="AAX299" s="6"/>
      <c r="AAY299" s="6"/>
      <c r="AAZ299" s="6"/>
      <c r="ABA299" s="6"/>
      <c r="ABB299" s="6"/>
      <c r="ABC299" s="6"/>
      <c r="ABD299" s="6"/>
      <c r="ABE299" s="6"/>
      <c r="ABF299" s="6"/>
      <c r="ABG299" s="6"/>
      <c r="ABH299" s="6"/>
      <c r="ABI299" s="6"/>
      <c r="ABJ299" s="6"/>
      <c r="ABK299" s="6"/>
      <c r="ABL299" s="6"/>
      <c r="ABM299" s="6"/>
      <c r="ABN299" s="6"/>
      <c r="ABO299" s="6"/>
      <c r="ABP299" s="6"/>
      <c r="ABQ299" s="6"/>
      <c r="ABR299" s="6"/>
      <c r="ABS299" s="6"/>
      <c r="ABT299" s="6"/>
      <c r="ABU299" s="6"/>
      <c r="ABV299" s="6"/>
      <c r="ABW299" s="6"/>
      <c r="ABX299" s="6"/>
      <c r="ABY299" s="6"/>
      <c r="ABZ299" s="6"/>
      <c r="ACA299" s="6"/>
      <c r="ACB299" s="6"/>
      <c r="ACC299" s="6"/>
      <c r="ACD299" s="6"/>
      <c r="ACE299" s="6"/>
      <c r="ACF299" s="6"/>
      <c r="ACG299" s="6"/>
      <c r="ACH299" s="6"/>
      <c r="ACI299" s="6"/>
      <c r="ACJ299" s="6"/>
      <c r="ACK299" s="6"/>
      <c r="ACL299" s="6"/>
      <c r="ACM299" s="6"/>
      <c r="ACN299" s="6"/>
      <c r="ACO299" s="6"/>
      <c r="ACP299" s="6"/>
      <c r="ACQ299" s="6"/>
      <c r="ACR299" s="6"/>
      <c r="ACS299" s="6"/>
      <c r="ACT299" s="6"/>
      <c r="ACU299" s="6"/>
      <c r="ACV299" s="6"/>
      <c r="ACW299" s="6"/>
      <c r="ACX299" s="6"/>
      <c r="ACY299" s="6"/>
      <c r="ACZ299" s="6"/>
      <c r="ADA299" s="6"/>
      <c r="ADB299" s="6"/>
      <c r="ADC299" s="6"/>
      <c r="ADD299" s="6"/>
      <c r="ADE299" s="6"/>
      <c r="ADF299" s="6"/>
      <c r="ADG299" s="6"/>
      <c r="ADH299" s="6"/>
      <c r="ADI299" s="6"/>
      <c r="ADJ299" s="6"/>
      <c r="ADK299" s="6"/>
      <c r="ADL299" s="6"/>
      <c r="ADM299" s="6"/>
      <c r="ADN299" s="6"/>
      <c r="ADO299" s="6"/>
      <c r="ADP299" s="6"/>
      <c r="ADQ299" s="6"/>
      <c r="ADR299" s="6"/>
      <c r="ADS299" s="6"/>
      <c r="ADT299" s="6"/>
      <c r="ADU299" s="6"/>
      <c r="ADV299" s="6"/>
      <c r="ADW299" s="6"/>
      <c r="ADX299" s="6"/>
      <c r="ADY299" s="6"/>
      <c r="ADZ299" s="6"/>
      <c r="AEA299" s="6"/>
      <c r="AEB299" s="6"/>
      <c r="AEC299" s="6"/>
      <c r="AED299" s="6"/>
      <c r="AEE299" s="6"/>
      <c r="AEF299" s="6"/>
      <c r="AEG299" s="6"/>
      <c r="AEH299" s="6"/>
      <c r="AEI299" s="6"/>
      <c r="AEJ299" s="6"/>
      <c r="AEK299" s="6"/>
      <c r="AEL299" s="6"/>
      <c r="AEM299" s="6"/>
      <c r="AEN299" s="6"/>
      <c r="AEO299" s="6"/>
      <c r="AEP299" s="6"/>
      <c r="AEQ299" s="6"/>
      <c r="AER299" s="6"/>
      <c r="AES299" s="6"/>
      <c r="AET299" s="6"/>
      <c r="AEU299" s="6"/>
      <c r="AEV299" s="6"/>
      <c r="AEW299" s="6"/>
      <c r="AEX299" s="6"/>
      <c r="AEY299" s="6"/>
      <c r="AEZ299" s="6"/>
      <c r="AFA299" s="6"/>
      <c r="AFB299" s="6"/>
      <c r="AFC299" s="6"/>
      <c r="AFD299" s="6"/>
      <c r="AFE299" s="6"/>
      <c r="AFF299" s="6"/>
      <c r="AFG299" s="6"/>
      <c r="AFH299" s="6"/>
      <c r="AFI299" s="6"/>
      <c r="AFJ299" s="6"/>
      <c r="AFK299" s="6"/>
      <c r="AFL299" s="6"/>
      <c r="AFM299" s="6"/>
      <c r="AFN299" s="6"/>
      <c r="AFO299" s="6"/>
      <c r="AFP299" s="6"/>
      <c r="AFQ299" s="6"/>
      <c r="AFR299" s="6"/>
      <c r="AFS299" s="6"/>
      <c r="AFT299" s="6"/>
      <c r="AFU299" s="6"/>
      <c r="AFV299" s="6"/>
      <c r="AFW299" s="6"/>
      <c r="AFX299" s="6"/>
      <c r="AFY299" s="6"/>
      <c r="AFZ299" s="6"/>
      <c r="AGA299" s="6"/>
      <c r="AGB299" s="6"/>
      <c r="AGC299" s="6"/>
      <c r="AGD299" s="6"/>
      <c r="AGE299" s="6"/>
      <c r="AGF299" s="6"/>
      <c r="AGG299" s="6"/>
      <c r="AGH299" s="6"/>
      <c r="AGI299" s="6"/>
      <c r="AGJ299" s="6"/>
      <c r="AGK299" s="6"/>
      <c r="AGL299" s="6"/>
      <c r="AGM299" s="6"/>
      <c r="AGN299" s="6"/>
      <c r="AGO299" s="6"/>
      <c r="AGP299" s="6"/>
      <c r="AGQ299" s="6"/>
      <c r="AGR299" s="6"/>
      <c r="AGS299" s="6"/>
      <c r="AGT299" s="6"/>
      <c r="AGU299" s="6"/>
      <c r="AGV299" s="6"/>
      <c r="AGW299" s="6"/>
      <c r="AGX299" s="6"/>
      <c r="AGY299" s="6"/>
      <c r="AGZ299" s="6"/>
      <c r="AHA299" s="6"/>
      <c r="AHB299" s="6"/>
      <c r="AHC299" s="6"/>
      <c r="AHD299" s="6"/>
      <c r="AHE299" s="6"/>
      <c r="AHF299" s="6"/>
      <c r="AHG299" s="6"/>
      <c r="AHH299" s="6"/>
      <c r="AHI299" s="6"/>
      <c r="AHJ299" s="6"/>
      <c r="AHK299" s="6"/>
      <c r="AHL299" s="6"/>
      <c r="AHM299" s="6"/>
      <c r="AHN299" s="6"/>
      <c r="AHO299" s="6"/>
      <c r="AHP299" s="6"/>
      <c r="AHQ299" s="6"/>
      <c r="AHR299" s="6"/>
      <c r="AHS299" s="6"/>
      <c r="AHT299" s="6"/>
      <c r="AHU299" s="6"/>
      <c r="AHV299" s="6"/>
      <c r="AHW299" s="6"/>
      <c r="AHX299" s="6"/>
      <c r="AHY299" s="6"/>
      <c r="AHZ299" s="6"/>
      <c r="AIA299" s="6"/>
      <c r="AIB299" s="6"/>
      <c r="AIC299" s="6"/>
      <c r="AID299" s="6"/>
      <c r="AIE299" s="6"/>
      <c r="AIF299" s="6"/>
      <c r="AIG299" s="6"/>
      <c r="AIH299" s="6"/>
      <c r="AII299" s="6"/>
      <c r="AIJ299" s="6"/>
      <c r="AIK299" s="6"/>
      <c r="AIL299" s="6"/>
      <c r="AIM299" s="6"/>
      <c r="AIN299" s="6"/>
      <c r="AIO299" s="6"/>
      <c r="AIP299" s="6"/>
      <c r="AIQ299" s="6"/>
      <c r="AIR299" s="6"/>
      <c r="AIS299" s="6"/>
      <c r="AIT299" s="6"/>
      <c r="AIU299" s="6"/>
      <c r="AIV299" s="6"/>
      <c r="AIW299" s="6"/>
      <c r="AIX299" s="6"/>
      <c r="AIY299" s="6"/>
      <c r="AIZ299" s="6"/>
      <c r="AJA299" s="6"/>
      <c r="AJB299" s="6"/>
      <c r="AJC299" s="6"/>
      <c r="AJD299" s="6"/>
      <c r="AJE299" s="6"/>
      <c r="AJF299" s="6"/>
      <c r="AJG299" s="6"/>
      <c r="AJH299" s="6"/>
      <c r="AJI299" s="6"/>
      <c r="AJJ299" s="6"/>
      <c r="AJK299" s="6"/>
      <c r="AJL299" s="6"/>
      <c r="AJM299" s="6"/>
      <c r="AJN299" s="6"/>
      <c r="AJO299" s="6"/>
      <c r="AJP299" s="6"/>
      <c r="AJQ299" s="6"/>
      <c r="AJR299" s="6"/>
      <c r="AJS299" s="6"/>
      <c r="AJT299" s="6"/>
      <c r="AJU299" s="6"/>
      <c r="AJV299" s="6"/>
      <c r="AJW299" s="6"/>
      <c r="AJX299" s="6"/>
      <c r="AJY299" s="6"/>
      <c r="AJZ299" s="6"/>
      <c r="AKA299" s="6"/>
      <c r="AKB299" s="6"/>
      <c r="AKC299" s="6"/>
      <c r="AKD299" s="6"/>
      <c r="AKE299" s="6"/>
      <c r="AKF299" s="6"/>
      <c r="AKG299" s="6"/>
      <c r="AKH299" s="6"/>
      <c r="AKI299" s="6"/>
      <c r="AKJ299" s="6"/>
      <c r="AKK299" s="6"/>
      <c r="AKL299" s="6"/>
      <c r="AKM299" s="6"/>
      <c r="AKN299" s="6"/>
      <c r="AKO299" s="6"/>
      <c r="AKP299" s="6"/>
      <c r="AKQ299" s="6"/>
      <c r="AKR299" s="6"/>
      <c r="AKS299" s="6"/>
      <c r="AKT299" s="6"/>
      <c r="AKU299" s="6"/>
      <c r="AKV299" s="6"/>
      <c r="AKW299" s="6"/>
      <c r="AKX299" s="6"/>
      <c r="AKY299" s="6"/>
      <c r="AKZ299" s="6"/>
      <c r="ALA299" s="6"/>
      <c r="ALB299" s="6"/>
      <c r="ALC299" s="6"/>
      <c r="ALD299" s="6"/>
      <c r="ALE299" s="6"/>
      <c r="ALF299" s="6"/>
      <c r="ALG299" s="6"/>
      <c r="ALH299" s="6"/>
      <c r="ALI299" s="6"/>
      <c r="ALJ299" s="6"/>
      <c r="ALK299" s="6"/>
      <c r="ALL299" s="6"/>
      <c r="ALM299" s="6"/>
      <c r="ALN299" s="6"/>
      <c r="ALO299" s="6"/>
      <c r="ALP299" s="6"/>
      <c r="ALQ299" s="6"/>
      <c r="ALR299" s="6"/>
      <c r="ALS299" s="6"/>
      <c r="ALT299" s="6"/>
      <c r="ALU299" s="6"/>
      <c r="ALV299" s="6"/>
      <c r="ALW299" s="6"/>
      <c r="ALX299" s="6"/>
      <c r="ALY299" s="6"/>
      <c r="ALZ299" s="6"/>
      <c r="AMA299" s="6"/>
      <c r="AMB299" s="6"/>
      <c r="AMC299" s="6"/>
      <c r="AMD299" s="6"/>
      <c r="AME299" s="6"/>
      <c r="AMF299" s="6"/>
      <c r="AMG299" s="6"/>
      <c r="AMH299" s="6"/>
      <c r="AMI299" s="6"/>
      <c r="AMJ299" s="6"/>
      <c r="AMK299" s="6"/>
      <c r="AML299" s="6"/>
      <c r="AMM299" s="6"/>
      <c r="AMN299" s="6"/>
      <c r="AMO299" s="6"/>
      <c r="AMP299" s="6"/>
    </row>
    <row r="300" spans="1:1030" x14ac:dyDescent="0.2">
      <c r="A300" s="3" t="str">
        <f>CONCATENATE(B300,"_",C300)</f>
        <v>opsd_bovin_3DQB</v>
      </c>
      <c r="B300" s="3" t="s">
        <v>913</v>
      </c>
      <c r="C300" s="3" t="s">
        <v>54</v>
      </c>
      <c r="D300" s="3" t="str">
        <f>IFERROR(MID(VLOOKUP($B300,Seqs!$A:$B,2,0),E300,1),"")</f>
        <v>E</v>
      </c>
      <c r="E300" s="105">
        <v>33</v>
      </c>
      <c r="F300" s="3" t="str">
        <f>IFERROR(MID(VLOOKUP($B300,Seqs!$A:$B,2,0),G300,1),"")</f>
        <v>H</v>
      </c>
      <c r="G300" s="3">
        <v>65</v>
      </c>
      <c r="H300" s="3" t="str">
        <f>IFERROR(MID(VLOOKUP($B300,Seqs!$A:$B,2,0),I300,1),"")</f>
        <v>K</v>
      </c>
      <c r="I300" s="23">
        <v>66</v>
      </c>
      <c r="J300" s="3" t="str">
        <f>IFERROR(MID(VLOOKUP($B300,Seqs!$A:$B,2,0),K300,1),"")</f>
        <v>R</v>
      </c>
      <c r="K300" s="23">
        <v>69</v>
      </c>
      <c r="L300" s="3" t="str">
        <f>IFERROR(MID(VLOOKUP($B300,Seqs!$A:$B,2,0),M300,1),"")</f>
        <v>T</v>
      </c>
      <c r="M300" s="3">
        <v>70</v>
      </c>
      <c r="N300" s="3" t="str">
        <f>IFERROR(MID(VLOOKUP($B300,Seqs!$A:$B,2,0),O300,1),"")</f>
        <v>H</v>
      </c>
      <c r="O300" s="3">
        <v>100</v>
      </c>
      <c r="P300" s="3" t="str">
        <f>IFERROR(MID(VLOOKUP($B300,Seqs!$A:$B,2,0),Q300,1),"")</f>
        <v>Y</v>
      </c>
      <c r="Q300" s="3">
        <v>102</v>
      </c>
      <c r="R300" s="3" t="str">
        <f>IFERROR(MID(VLOOKUP($B300,Seqs!$A:$B,2,0),S300,1),"")</f>
        <v>F</v>
      </c>
      <c r="S300" s="3">
        <v>105</v>
      </c>
      <c r="T300" s="3" t="str">
        <f>IFERROR(MID(VLOOKUP($B300,Seqs!$A:$B,2,0),U300,1),"")</f>
        <v>G</v>
      </c>
      <c r="U300" s="3">
        <v>106</v>
      </c>
      <c r="V300" s="3" t="str">
        <f>IFERROR(MID(VLOOKUP($B300,Seqs!$A:$B,2,0),W300,1),"")</f>
        <v>K</v>
      </c>
      <c r="W300" s="3">
        <v>141</v>
      </c>
      <c r="X300" s="3" t="str">
        <f>IFERROR(MID(VLOOKUP($B300,Seqs!$A:$B,2,0),Y300,1),"")</f>
        <v/>
      </c>
      <c r="Y300" s="3" t="s">
        <v>23</v>
      </c>
      <c r="Z300" s="3" t="str">
        <f>IFERROR(MID(VLOOKUP($B300,Seqs!$A:$B,2,0),AA300,1),"")</f>
        <v/>
      </c>
      <c r="AA300" s="3" t="s">
        <v>23</v>
      </c>
      <c r="AB300" s="3" t="str">
        <f>IFERROR(MID(VLOOKUP($B300,Seqs!$A:$B,2,0),AC300,1),"")</f>
        <v>G</v>
      </c>
      <c r="AC300" s="9">
        <v>149</v>
      </c>
      <c r="AD300" s="3" t="str">
        <f>IFERROR(MID(VLOOKUP($B300,Seqs!$A:$B,2,0),AE300,1),"")</f>
        <v>V</v>
      </c>
      <c r="AE300" s="3">
        <v>173</v>
      </c>
      <c r="AF300" s="3" t="str">
        <f>IFERROR(MID(VLOOKUP($B300,Seqs!$A:$B,2,0),AG300,1),"")</f>
        <v>C</v>
      </c>
      <c r="AG300" s="3">
        <v>187</v>
      </c>
      <c r="AH300" s="3" t="str">
        <f>IFERROR(MID(VLOOKUP($B300,Seqs!$A:$B,2,0),AI300,1),"")</f>
        <v>I</v>
      </c>
      <c r="AI300" s="3">
        <v>189</v>
      </c>
      <c r="AJ300" s="3" t="str">
        <f>IFERROR(MID(VLOOKUP($B300,Seqs!$A:$B,2,0),AK300,1),"")</f>
        <v>N</v>
      </c>
      <c r="AK300" s="3">
        <v>199</v>
      </c>
      <c r="AL300" s="3" t="str">
        <f>IFERROR(MID(VLOOKUP($B300,Seqs!$A:$B,2,0),AM300,1),"")</f>
        <v>Q</v>
      </c>
      <c r="AM300" s="3">
        <v>237</v>
      </c>
      <c r="AN300" s="3" t="str">
        <f>IFERROR(MID(VLOOKUP($B300,Seqs!$A:$B,2,0),AO300,1),"")</f>
        <v>A</v>
      </c>
      <c r="AO300" s="3">
        <v>241</v>
      </c>
      <c r="AP300" s="3" t="str">
        <f>IFERROR(MID(VLOOKUP($B300,Seqs!$A:$B,2,0),AQ300,1),"")</f>
        <v>H</v>
      </c>
      <c r="AQ300" s="3">
        <v>278</v>
      </c>
      <c r="AR300" s="3" t="str">
        <f>IFERROR(MID(VLOOKUP($B300,Seqs!$A:$B,2,0),AS300,1),"")</f>
        <v>G</v>
      </c>
      <c r="AS300" s="3">
        <v>284</v>
      </c>
      <c r="AT300" s="3" t="str">
        <f>IFERROR(MID(VLOOKUP($B300,Seqs!$A:$B,2,0),AU300,1),"")</f>
        <v>M</v>
      </c>
      <c r="AU300" s="3">
        <v>309</v>
      </c>
      <c r="AV300" s="3" t="str">
        <f>IFERROR(MID(VLOOKUP($B300,Seqs!$A:$B,2,0),AW300,1),"")</f>
        <v>N</v>
      </c>
      <c r="AW300" s="3">
        <v>310</v>
      </c>
      <c r="AX300" s="3" t="str">
        <f>IFERROR(MID(VLOOKUP($B300,Seqs!$A:$B,2,0),AY300,1),"")</f>
        <v>C</v>
      </c>
      <c r="AY300" s="3">
        <v>322</v>
      </c>
      <c r="AZ300" s="77" t="str">
        <f>VLOOKUP(B300,Classification!A:D,2,0)</f>
        <v>A</v>
      </c>
      <c r="BA300" s="94" t="str">
        <f>VLOOKUP(B300,Classification!A:D,4,0)</f>
        <v>Opsins</v>
      </c>
      <c r="BB300" s="27" t="b">
        <f t="shared" si="1074"/>
        <v>1</v>
      </c>
      <c r="BC300" s="23">
        <f>_xlfn.AGGREGATE(9,6,CH300:CS300)-_xlfn.AGGREGATE(9,6,BV300:CG300)+12</f>
        <v>253</v>
      </c>
      <c r="BD300" s="74" t="s">
        <v>23</v>
      </c>
      <c r="BE300" s="3" t="s">
        <v>1285</v>
      </c>
      <c r="BF300" s="118">
        <v>3.2</v>
      </c>
      <c r="BG300" s="49" t="s">
        <v>1371</v>
      </c>
      <c r="BH300" s="49" t="s">
        <v>1371</v>
      </c>
      <c r="BI300" s="1"/>
      <c r="BJ300" s="70" t="s">
        <v>1281</v>
      </c>
      <c r="BK300" s="57" t="s">
        <v>1281</v>
      </c>
      <c r="BL300" s="57" t="s">
        <v>1281</v>
      </c>
      <c r="BM300" s="57" t="s">
        <v>1281</v>
      </c>
      <c r="BN300" s="57" t="s">
        <v>1281</v>
      </c>
      <c r="BO300" s="57" t="s">
        <v>1281</v>
      </c>
      <c r="BP300" s="57" t="s">
        <v>1281</v>
      </c>
      <c r="BQ300" s="57" t="s">
        <v>1281</v>
      </c>
      <c r="BR300" s="57" t="s">
        <v>1281</v>
      </c>
      <c r="BS300" s="57" t="s">
        <v>1281</v>
      </c>
      <c r="BT300" s="57" t="s">
        <v>1281</v>
      </c>
      <c r="BU300" s="57" t="s">
        <v>1281</v>
      </c>
      <c r="BV300" s="70">
        <f>E300</f>
        <v>33</v>
      </c>
      <c r="BW300" s="71">
        <f>I300</f>
        <v>66</v>
      </c>
      <c r="BX300" s="72">
        <f>M300</f>
        <v>70</v>
      </c>
      <c r="BY300" s="71">
        <f>Q300</f>
        <v>102</v>
      </c>
      <c r="BZ300" s="72">
        <f>U300</f>
        <v>106</v>
      </c>
      <c r="CA300" s="71" t="str">
        <f>Y300</f>
        <v>-</v>
      </c>
      <c r="CB300" s="72">
        <f>AC300</f>
        <v>149</v>
      </c>
      <c r="CC300" s="71">
        <f>AG300</f>
        <v>187</v>
      </c>
      <c r="CD300" s="72">
        <f>AK300</f>
        <v>199</v>
      </c>
      <c r="CE300" s="71">
        <f>AO300</f>
        <v>241</v>
      </c>
      <c r="CF300" s="72">
        <f>AS300</f>
        <v>284</v>
      </c>
      <c r="CG300" s="71">
        <f>AW300</f>
        <v>310</v>
      </c>
      <c r="CH300" s="70">
        <f>G300</f>
        <v>65</v>
      </c>
      <c r="CI300" s="71">
        <f>K300</f>
        <v>69</v>
      </c>
      <c r="CJ300" s="72">
        <f>O300</f>
        <v>100</v>
      </c>
      <c r="CK300" s="72">
        <f>S300</f>
        <v>105</v>
      </c>
      <c r="CL300" s="72">
        <f>W300</f>
        <v>141</v>
      </c>
      <c r="CM300" s="72" t="str">
        <f>AA300</f>
        <v>-</v>
      </c>
      <c r="CN300" s="72">
        <f>AE300</f>
        <v>173</v>
      </c>
      <c r="CO300" s="72">
        <f>AI300</f>
        <v>189</v>
      </c>
      <c r="CP300" s="72">
        <f>AM300</f>
        <v>237</v>
      </c>
      <c r="CQ300" s="72">
        <f>AQ300</f>
        <v>278</v>
      </c>
      <c r="CR300" s="72">
        <f>AU300</f>
        <v>309</v>
      </c>
      <c r="CS300" s="72">
        <f>AY300</f>
        <v>322</v>
      </c>
      <c r="CT300" s="23">
        <f>M300-K300</f>
        <v>1</v>
      </c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  <c r="UW300" s="1"/>
      <c r="UX300" s="1"/>
      <c r="UY300" s="1"/>
      <c r="UZ300" s="1"/>
      <c r="VA300" s="1"/>
      <c r="VB300" s="1"/>
      <c r="VC300" s="1"/>
      <c r="VD300" s="1"/>
      <c r="VE300" s="1"/>
      <c r="VF300" s="1"/>
      <c r="VG300" s="1"/>
      <c r="VH300" s="1"/>
      <c r="VI300" s="1"/>
      <c r="VJ300" s="1"/>
      <c r="VK300" s="1"/>
      <c r="VL300" s="1"/>
      <c r="VM300" s="1"/>
      <c r="VN300" s="1"/>
      <c r="VO300" s="1"/>
      <c r="VP300" s="1"/>
      <c r="VQ300" s="1"/>
      <c r="VR300" s="1"/>
      <c r="VS300" s="1"/>
      <c r="VT300" s="1"/>
      <c r="VU300" s="1"/>
      <c r="VV300" s="1"/>
      <c r="VW300" s="1"/>
      <c r="VX300" s="1"/>
      <c r="VY300" s="1"/>
      <c r="VZ300" s="1"/>
      <c r="WA300" s="1"/>
      <c r="WB300" s="1"/>
      <c r="WC300" s="1"/>
      <c r="WD300" s="1"/>
      <c r="WE300" s="1"/>
      <c r="WF300" s="1"/>
      <c r="WG300" s="1"/>
      <c r="WH300" s="1"/>
      <c r="WI300" s="1"/>
      <c r="WJ300" s="1"/>
      <c r="WK300" s="1"/>
      <c r="WL300" s="1"/>
      <c r="WM300" s="1"/>
      <c r="WN300" s="1"/>
      <c r="WO300" s="1"/>
      <c r="WP300" s="1"/>
      <c r="WQ300" s="1"/>
      <c r="WR300" s="1"/>
      <c r="WS300" s="1"/>
      <c r="WT300" s="1"/>
      <c r="WU300" s="1"/>
      <c r="WV300" s="1"/>
      <c r="WW300" s="1"/>
      <c r="WX300" s="1"/>
      <c r="WY300" s="1"/>
      <c r="WZ300" s="1"/>
      <c r="XA300" s="1"/>
      <c r="XB300" s="1"/>
      <c r="XC300" s="1"/>
      <c r="XD300" s="1"/>
      <c r="XE300" s="1"/>
      <c r="XF300" s="1"/>
      <c r="XG300" s="1"/>
      <c r="XH300" s="1"/>
      <c r="XI300" s="1"/>
      <c r="XJ300" s="1"/>
      <c r="XK300" s="1"/>
      <c r="XL300" s="1"/>
      <c r="XM300" s="1"/>
      <c r="XN300" s="1"/>
      <c r="XO300" s="1"/>
      <c r="XP300" s="1"/>
      <c r="XQ300" s="1"/>
      <c r="XR300" s="1"/>
      <c r="XS300" s="1"/>
      <c r="XT300" s="1"/>
      <c r="XU300" s="1"/>
      <c r="XV300" s="1"/>
      <c r="XW300" s="1"/>
      <c r="XX300" s="1"/>
      <c r="XY300" s="1"/>
      <c r="XZ300" s="1"/>
      <c r="YA300" s="1"/>
      <c r="YB300" s="1"/>
      <c r="YC300" s="1"/>
      <c r="YD300" s="1"/>
      <c r="YE300" s="1"/>
      <c r="YF300" s="1"/>
      <c r="YG300" s="1"/>
      <c r="YH300" s="1"/>
      <c r="YI300" s="1"/>
      <c r="YJ300" s="1"/>
      <c r="YK300" s="1"/>
      <c r="YL300" s="1"/>
      <c r="YM300" s="1"/>
      <c r="YN300" s="1"/>
      <c r="YO300" s="1"/>
      <c r="YP300" s="1"/>
      <c r="YQ300" s="1"/>
      <c r="YR300" s="1"/>
      <c r="YS300" s="1"/>
      <c r="YT300" s="1"/>
      <c r="YU300" s="1"/>
      <c r="YV300" s="1"/>
      <c r="YW300" s="1"/>
      <c r="YX300" s="1"/>
      <c r="YY300" s="1"/>
      <c r="YZ300" s="1"/>
      <c r="ZA300" s="1"/>
      <c r="ZB300" s="1"/>
      <c r="ZC300" s="1"/>
      <c r="ZD300" s="1"/>
      <c r="ZE300" s="1"/>
      <c r="ZF300" s="1"/>
      <c r="ZG300" s="1"/>
      <c r="ZH300" s="1"/>
      <c r="ZI300" s="1"/>
      <c r="ZJ300" s="1"/>
      <c r="ZK300" s="1"/>
      <c r="ZL300" s="1"/>
      <c r="ZM300" s="1"/>
      <c r="ZN300" s="1"/>
      <c r="ZO300" s="1"/>
      <c r="ZP300" s="1"/>
      <c r="ZQ300" s="1"/>
      <c r="ZR300" s="1"/>
      <c r="ZS300" s="1"/>
      <c r="ZT300" s="1"/>
      <c r="ZU300" s="1"/>
      <c r="ZV300" s="1"/>
      <c r="ZW300" s="1"/>
      <c r="ZX300" s="1"/>
      <c r="ZY300" s="1"/>
      <c r="ZZ300" s="1"/>
      <c r="AAA300" s="1"/>
      <c r="AAB300" s="1"/>
      <c r="AAC300" s="1"/>
      <c r="AAD300" s="1"/>
      <c r="AAE300" s="1"/>
      <c r="AAF300" s="1"/>
      <c r="AAG300" s="1"/>
      <c r="AAH300" s="1"/>
      <c r="AAI300" s="1"/>
      <c r="AAJ300" s="1"/>
      <c r="AAK300" s="1"/>
      <c r="AAL300" s="1"/>
      <c r="AAM300" s="1"/>
      <c r="AAN300" s="1"/>
      <c r="AAO300" s="1"/>
      <c r="AAP300" s="1"/>
      <c r="AAQ300" s="1"/>
      <c r="AAR300" s="1"/>
      <c r="AAS300" s="1"/>
      <c r="AAT300" s="1"/>
      <c r="AAU300" s="1"/>
      <c r="AAV300" s="1"/>
      <c r="AAW300" s="1"/>
      <c r="AAX300" s="1"/>
      <c r="AAY300" s="1"/>
      <c r="AAZ300" s="1"/>
      <c r="ABA300" s="1"/>
      <c r="ABB300" s="1"/>
      <c r="ABC300" s="1"/>
      <c r="ABD300" s="1"/>
      <c r="ABE300" s="1"/>
      <c r="ABF300" s="1"/>
      <c r="ABG300" s="1"/>
      <c r="ABH300" s="1"/>
      <c r="ABI300" s="1"/>
      <c r="ABJ300" s="1"/>
      <c r="ABK300" s="1"/>
      <c r="ABL300" s="1"/>
      <c r="ABM300" s="1"/>
      <c r="ABN300" s="1"/>
      <c r="ABO300" s="1"/>
      <c r="ABP300" s="1"/>
      <c r="ABQ300" s="1"/>
      <c r="ABR300" s="1"/>
      <c r="ABS300" s="1"/>
      <c r="ABT300" s="1"/>
      <c r="ABU300" s="1"/>
      <c r="ABV300" s="1"/>
      <c r="ABW300" s="1"/>
      <c r="ABX300" s="1"/>
      <c r="ABY300" s="1"/>
      <c r="ABZ300" s="1"/>
      <c r="ACA300" s="1"/>
      <c r="ACB300" s="1"/>
      <c r="ACC300" s="1"/>
      <c r="ACD300" s="1"/>
      <c r="ACE300" s="1"/>
      <c r="ACF300" s="1"/>
      <c r="ACG300" s="1"/>
      <c r="ACH300" s="1"/>
      <c r="ACI300" s="1"/>
      <c r="ACJ300" s="1"/>
      <c r="ACK300" s="1"/>
      <c r="ACL300" s="1"/>
      <c r="ACM300" s="1"/>
      <c r="ACN300" s="1"/>
      <c r="ACO300" s="1"/>
      <c r="ACP300" s="1"/>
      <c r="ACQ300" s="1"/>
      <c r="ACR300" s="1"/>
      <c r="ACS300" s="1"/>
      <c r="ACT300" s="1"/>
      <c r="ACU300" s="1"/>
      <c r="ACV300" s="1"/>
      <c r="ACW300" s="1"/>
      <c r="ACX300" s="1"/>
      <c r="ACY300" s="1"/>
      <c r="ACZ300" s="1"/>
      <c r="ADA300" s="1"/>
      <c r="ADB300" s="1"/>
      <c r="ADC300" s="1"/>
      <c r="ADD300" s="1"/>
      <c r="ADE300" s="1"/>
      <c r="ADF300" s="1"/>
      <c r="ADG300" s="1"/>
      <c r="ADH300" s="1"/>
      <c r="ADI300" s="1"/>
      <c r="ADJ300" s="1"/>
      <c r="ADK300" s="1"/>
      <c r="ADL300" s="1"/>
      <c r="ADM300" s="1"/>
      <c r="ADN300" s="1"/>
      <c r="ADO300" s="1"/>
      <c r="ADP300" s="1"/>
      <c r="ADQ300" s="1"/>
      <c r="ADR300" s="1"/>
      <c r="ADS300" s="1"/>
      <c r="ADT300" s="1"/>
      <c r="ADU300" s="1"/>
      <c r="ADV300" s="1"/>
      <c r="ADW300" s="1"/>
      <c r="ADX300" s="1"/>
      <c r="ADY300" s="1"/>
      <c r="ADZ300" s="1"/>
      <c r="AEA300" s="1"/>
      <c r="AEB300" s="1"/>
      <c r="AEC300" s="1"/>
      <c r="AED300" s="1"/>
      <c r="AEE300" s="1"/>
      <c r="AEF300" s="1"/>
      <c r="AEG300" s="1"/>
      <c r="AEH300" s="1"/>
      <c r="AEI300" s="1"/>
      <c r="AEJ300" s="1"/>
      <c r="AEK300" s="1"/>
      <c r="AEL300" s="1"/>
      <c r="AEM300" s="1"/>
      <c r="AEN300" s="1"/>
      <c r="AEO300" s="1"/>
      <c r="AEP300" s="1"/>
      <c r="AEQ300" s="1"/>
      <c r="AER300" s="1"/>
      <c r="AES300" s="1"/>
      <c r="AET300" s="1"/>
      <c r="AEU300" s="1"/>
      <c r="AEV300" s="1"/>
      <c r="AEW300" s="1"/>
      <c r="AEX300" s="1"/>
      <c r="AEY300" s="1"/>
      <c r="AEZ300" s="1"/>
      <c r="AFA300" s="1"/>
      <c r="AFB300" s="1"/>
      <c r="AFC300" s="1"/>
      <c r="AFD300" s="1"/>
      <c r="AFE300" s="1"/>
      <c r="AFF300" s="1"/>
      <c r="AFG300" s="1"/>
      <c r="AFH300" s="1"/>
      <c r="AFI300" s="1"/>
      <c r="AFJ300" s="1"/>
      <c r="AFK300" s="1"/>
      <c r="AFL300" s="1"/>
      <c r="AFM300" s="1"/>
      <c r="AFN300" s="1"/>
      <c r="AFO300" s="1"/>
      <c r="AFP300" s="1"/>
      <c r="AFQ300" s="1"/>
      <c r="AFR300" s="1"/>
      <c r="AFS300" s="1"/>
      <c r="AFT300" s="1"/>
      <c r="AFU300" s="1"/>
      <c r="AFV300" s="1"/>
      <c r="AFW300" s="1"/>
      <c r="AFX300" s="1"/>
      <c r="AFY300" s="1"/>
      <c r="AFZ300" s="1"/>
      <c r="AGA300" s="1"/>
      <c r="AGB300" s="1"/>
      <c r="AGC300" s="1"/>
      <c r="AGD300" s="1"/>
      <c r="AGE300" s="1"/>
      <c r="AGF300" s="1"/>
      <c r="AGG300" s="1"/>
      <c r="AGH300" s="1"/>
      <c r="AGI300" s="1"/>
      <c r="AGJ300" s="1"/>
      <c r="AGK300" s="1"/>
      <c r="AGL300" s="1"/>
      <c r="AGM300" s="1"/>
      <c r="AGN300" s="1"/>
      <c r="AGO300" s="1"/>
      <c r="AGP300" s="1"/>
      <c r="AGQ300" s="1"/>
      <c r="AGR300" s="1"/>
      <c r="AGS300" s="1"/>
      <c r="AGT300" s="1"/>
      <c r="AGU300" s="1"/>
      <c r="AGV300" s="1"/>
      <c r="AGW300" s="1"/>
      <c r="AGX300" s="1"/>
      <c r="AGY300" s="1"/>
      <c r="AGZ300" s="1"/>
      <c r="AHA300" s="1"/>
      <c r="AHB300" s="1"/>
      <c r="AHC300" s="1"/>
      <c r="AHD300" s="1"/>
      <c r="AHE300" s="1"/>
      <c r="AHF300" s="1"/>
      <c r="AHG300" s="1"/>
      <c r="AHH300" s="1"/>
      <c r="AHI300" s="1"/>
      <c r="AHJ300" s="1"/>
      <c r="AHK300" s="1"/>
      <c r="AHL300" s="1"/>
      <c r="AHM300" s="1"/>
      <c r="AHN300" s="1"/>
      <c r="AHO300" s="1"/>
      <c r="AHP300" s="1"/>
      <c r="AHQ300" s="1"/>
      <c r="AHR300" s="1"/>
      <c r="AHS300" s="1"/>
      <c r="AHT300" s="1"/>
      <c r="AHU300" s="1"/>
      <c r="AHV300" s="1"/>
      <c r="AHW300" s="1"/>
      <c r="AHX300" s="1"/>
      <c r="AHY300" s="1"/>
      <c r="AHZ300" s="1"/>
      <c r="AIA300" s="1"/>
      <c r="AIB300" s="1"/>
      <c r="AIC300" s="1"/>
      <c r="AID300" s="1"/>
      <c r="AIE300" s="1"/>
      <c r="AIF300" s="1"/>
      <c r="AIG300" s="1"/>
      <c r="AIH300" s="1"/>
      <c r="AII300" s="1"/>
      <c r="AIJ300" s="1"/>
      <c r="AIK300" s="1"/>
      <c r="AIL300" s="1"/>
      <c r="AIM300" s="1"/>
      <c r="AIN300" s="1"/>
      <c r="AIO300" s="1"/>
      <c r="AIP300" s="1"/>
      <c r="AIQ300" s="1"/>
      <c r="AIR300" s="1"/>
      <c r="AIS300" s="1"/>
      <c r="AIT300" s="1"/>
      <c r="AIU300" s="1"/>
      <c r="AIV300" s="1"/>
      <c r="AIW300" s="1"/>
      <c r="AIX300" s="1"/>
      <c r="AIY300" s="1"/>
      <c r="AIZ300" s="1"/>
      <c r="AJA300" s="1"/>
      <c r="AJB300" s="1"/>
      <c r="AJC300" s="1"/>
      <c r="AJD300" s="1"/>
      <c r="AJE300" s="1"/>
      <c r="AJF300" s="1"/>
      <c r="AJG300" s="1"/>
      <c r="AJH300" s="1"/>
      <c r="AJI300" s="1"/>
      <c r="AJJ300" s="1"/>
      <c r="AJK300" s="1"/>
      <c r="AJL300" s="1"/>
      <c r="AJM300" s="1"/>
      <c r="AJN300" s="1"/>
      <c r="AJO300" s="1"/>
      <c r="AJP300" s="1"/>
      <c r="AJQ300" s="1"/>
      <c r="AJR300" s="1"/>
      <c r="AJS300" s="1"/>
      <c r="AJT300" s="1"/>
      <c r="AJU300" s="1"/>
      <c r="AJV300" s="1"/>
      <c r="AJW300" s="1"/>
      <c r="AJX300" s="1"/>
      <c r="AJY300" s="1"/>
      <c r="AJZ300" s="1"/>
      <c r="AKA300" s="1"/>
      <c r="AKB300" s="1"/>
      <c r="AKC300" s="1"/>
      <c r="AKD300" s="1"/>
      <c r="AKE300" s="1"/>
      <c r="AKF300" s="1"/>
      <c r="AKG300" s="1"/>
      <c r="AKH300" s="1"/>
      <c r="AKI300" s="1"/>
      <c r="AKJ300" s="1"/>
      <c r="AKK300" s="1"/>
      <c r="AKL300" s="1"/>
      <c r="AKM300" s="1"/>
      <c r="AKN300" s="1"/>
      <c r="AKO300" s="1"/>
      <c r="AKP300" s="1"/>
      <c r="AKQ300" s="1"/>
      <c r="AKR300" s="1"/>
      <c r="AKS300" s="1"/>
      <c r="AKT300" s="1"/>
      <c r="AKU300" s="1"/>
      <c r="AKV300" s="1"/>
      <c r="AKW300" s="1"/>
      <c r="AKX300" s="1"/>
      <c r="AKY300" s="1"/>
      <c r="AKZ300" s="1"/>
      <c r="ALA300" s="1"/>
      <c r="ALB300" s="1"/>
      <c r="ALC300" s="1"/>
      <c r="ALD300" s="1"/>
      <c r="ALE300" s="1"/>
      <c r="ALF300" s="1"/>
      <c r="ALG300" s="1"/>
      <c r="ALH300" s="1"/>
      <c r="ALI300" s="1"/>
      <c r="ALJ300" s="1"/>
      <c r="ALK300" s="1"/>
      <c r="ALL300" s="1"/>
      <c r="ALM300" s="1"/>
      <c r="ALN300" s="1"/>
      <c r="ALO300" s="1"/>
      <c r="ALP300" s="1"/>
      <c r="ALQ300" s="1"/>
      <c r="ALR300" s="1"/>
      <c r="ALS300" s="1"/>
      <c r="ALT300" s="1"/>
      <c r="ALU300" s="1"/>
      <c r="ALV300" s="1"/>
      <c r="ALW300" s="1"/>
      <c r="ALX300" s="1"/>
      <c r="ALY300" s="1"/>
      <c r="ALZ300" s="1"/>
      <c r="AMA300" s="1"/>
      <c r="AMB300" s="1"/>
      <c r="AMC300" s="1"/>
      <c r="AMD300" s="1"/>
      <c r="AME300" s="1"/>
      <c r="AMF300" s="1"/>
      <c r="AMG300" s="1"/>
      <c r="AMH300" s="1"/>
      <c r="AMI300" s="1"/>
      <c r="AMJ300" s="1"/>
      <c r="AMK300" s="1"/>
      <c r="AML300" s="1"/>
      <c r="AMM300" s="1"/>
      <c r="AMN300" s="1"/>
      <c r="AMO300" s="1"/>
    </row>
    <row r="301" spans="1:1030" x14ac:dyDescent="0.2">
      <c r="A301" s="3" t="str">
        <f>CONCATENATE(B301,"_",C301)</f>
        <v>opsd_bovin_3PQR</v>
      </c>
      <c r="B301" s="3" t="s">
        <v>913</v>
      </c>
      <c r="C301" s="3" t="s">
        <v>1026</v>
      </c>
      <c r="D301" s="3" t="str">
        <f>IFERROR(MID(VLOOKUP($B301,Seqs!$A:$B,2,0),E301,1),"")</f>
        <v>E</v>
      </c>
      <c r="E301" s="105">
        <v>33</v>
      </c>
      <c r="F301" s="3" t="str">
        <f>IFERROR(MID(VLOOKUP($B301,Seqs!$A:$B,2,0),G301,1),"")</f>
        <v>H</v>
      </c>
      <c r="G301" s="3">
        <v>65</v>
      </c>
      <c r="H301" s="3" t="str">
        <f>IFERROR(MID(VLOOKUP($B301,Seqs!$A:$B,2,0),I301,1),"")</f>
        <v>K</v>
      </c>
      <c r="I301" s="23">
        <v>66</v>
      </c>
      <c r="J301" s="3" t="str">
        <f>IFERROR(MID(VLOOKUP($B301,Seqs!$A:$B,2,0),K301,1),"")</f>
        <v>R</v>
      </c>
      <c r="K301" s="23">
        <v>69</v>
      </c>
      <c r="L301" s="3" t="str">
        <f>IFERROR(MID(VLOOKUP($B301,Seqs!$A:$B,2,0),M301,1),"")</f>
        <v>T</v>
      </c>
      <c r="M301" s="3">
        <v>70</v>
      </c>
      <c r="N301" s="3" t="str">
        <f>IFERROR(MID(VLOOKUP($B301,Seqs!$A:$B,2,0),O301,1),"")</f>
        <v>H</v>
      </c>
      <c r="O301" s="3">
        <v>100</v>
      </c>
      <c r="P301" s="3" t="str">
        <f>IFERROR(MID(VLOOKUP($B301,Seqs!$A:$B,2,0),Q301,1),"")</f>
        <v>Y</v>
      </c>
      <c r="Q301" s="3">
        <v>102</v>
      </c>
      <c r="R301" s="3" t="str">
        <f>IFERROR(MID(VLOOKUP($B301,Seqs!$A:$B,2,0),S301,1),"")</f>
        <v>F</v>
      </c>
      <c r="S301" s="3">
        <v>105</v>
      </c>
      <c r="T301" s="3" t="str">
        <f>IFERROR(MID(VLOOKUP($B301,Seqs!$A:$B,2,0),U301,1),"")</f>
        <v>G</v>
      </c>
      <c r="U301" s="3">
        <v>106</v>
      </c>
      <c r="V301" s="3" t="str">
        <f>IFERROR(MID(VLOOKUP($B301,Seqs!$A:$B,2,0),W301,1),"")</f>
        <v>K</v>
      </c>
      <c r="W301" s="3">
        <v>141</v>
      </c>
      <c r="X301" s="3" t="str">
        <f>IFERROR(MID(VLOOKUP($B301,Seqs!$A:$B,2,0),Y301,1),"")</f>
        <v/>
      </c>
      <c r="Y301" s="3" t="s">
        <v>23</v>
      </c>
      <c r="Z301" s="3" t="str">
        <f>IFERROR(MID(VLOOKUP($B301,Seqs!$A:$B,2,0),AA301,1),"")</f>
        <v/>
      </c>
      <c r="AA301" s="3" t="s">
        <v>23</v>
      </c>
      <c r="AB301" s="3" t="str">
        <f>IFERROR(MID(VLOOKUP($B301,Seqs!$A:$B,2,0),AC301,1),"")</f>
        <v>G</v>
      </c>
      <c r="AC301" s="9">
        <v>149</v>
      </c>
      <c r="AD301" s="3" t="str">
        <f>IFERROR(MID(VLOOKUP($B301,Seqs!$A:$B,2,0),AE301,1),"")</f>
        <v>V</v>
      </c>
      <c r="AE301" s="3">
        <v>173</v>
      </c>
      <c r="AF301" s="3" t="str">
        <f>IFERROR(MID(VLOOKUP($B301,Seqs!$A:$B,2,0),AG301,1),"")</f>
        <v>C</v>
      </c>
      <c r="AG301" s="3">
        <v>187</v>
      </c>
      <c r="AH301" s="3" t="str">
        <f>IFERROR(MID(VLOOKUP($B301,Seqs!$A:$B,2,0),AI301,1),"")</f>
        <v>I</v>
      </c>
      <c r="AI301" s="3">
        <v>189</v>
      </c>
      <c r="AJ301" s="3" t="str">
        <f>IFERROR(MID(VLOOKUP($B301,Seqs!$A:$B,2,0),AK301,1),"")</f>
        <v>N</v>
      </c>
      <c r="AK301" s="3">
        <v>199</v>
      </c>
      <c r="AL301" s="3" t="str">
        <f>IFERROR(MID(VLOOKUP($B301,Seqs!$A:$B,2,0),AM301,1),"")</f>
        <v>Q</v>
      </c>
      <c r="AM301" s="3">
        <v>237</v>
      </c>
      <c r="AN301" s="3" t="str">
        <f>IFERROR(MID(VLOOKUP($B301,Seqs!$A:$B,2,0),AO301,1),"")</f>
        <v>A</v>
      </c>
      <c r="AO301" s="3">
        <v>241</v>
      </c>
      <c r="AP301" s="3" t="str">
        <f>IFERROR(MID(VLOOKUP($B301,Seqs!$A:$B,2,0),AQ301,1),"")</f>
        <v>H</v>
      </c>
      <c r="AQ301" s="3">
        <v>278</v>
      </c>
      <c r="AR301" s="3" t="str">
        <f>IFERROR(MID(VLOOKUP($B301,Seqs!$A:$B,2,0),AS301,1),"")</f>
        <v>G</v>
      </c>
      <c r="AS301" s="3">
        <v>284</v>
      </c>
      <c r="AT301" s="3" t="str">
        <f>IFERROR(MID(VLOOKUP($B301,Seqs!$A:$B,2,0),AU301,1),"")</f>
        <v>M</v>
      </c>
      <c r="AU301" s="3">
        <v>309</v>
      </c>
      <c r="AV301" s="3" t="str">
        <f>IFERROR(MID(VLOOKUP($B301,Seqs!$A:$B,2,0),AW301,1),"")</f>
        <v>N</v>
      </c>
      <c r="AW301" s="3">
        <v>310</v>
      </c>
      <c r="AX301" s="3" t="str">
        <f>IFERROR(MID(VLOOKUP($B301,Seqs!$A:$B,2,0),AY301,1),"")</f>
        <v>C</v>
      </c>
      <c r="AY301" s="3">
        <v>322</v>
      </c>
      <c r="AZ301" s="77" t="str">
        <f>VLOOKUP(B301,Classification!A:D,2,0)</f>
        <v>A</v>
      </c>
      <c r="BA301" s="94" t="str">
        <f>VLOOKUP(B301,Classification!A:D,4,0)</f>
        <v>Opsins</v>
      </c>
      <c r="BB301" s="27" t="b">
        <f t="shared" si="1074"/>
        <v>1</v>
      </c>
      <c r="BC301" s="23">
        <f>_xlfn.AGGREGATE(9,6,CH301:CS301)-_xlfn.AGGREGATE(9,6,BV301:CG301)+12</f>
        <v>253</v>
      </c>
      <c r="BD301" s="4" t="s">
        <v>23</v>
      </c>
      <c r="BE301" s="3" t="s">
        <v>1285</v>
      </c>
      <c r="BF301" s="118">
        <v>2.85</v>
      </c>
      <c r="BG301" s="49" t="s">
        <v>1371</v>
      </c>
      <c r="BH301" s="49" t="s">
        <v>1371</v>
      </c>
      <c r="BI301" s="1"/>
      <c r="BJ301" s="70" t="s">
        <v>1281</v>
      </c>
      <c r="BK301" s="57" t="s">
        <v>1281</v>
      </c>
      <c r="BL301" s="57" t="s">
        <v>1281</v>
      </c>
      <c r="BM301" s="57" t="s">
        <v>1281</v>
      </c>
      <c r="BN301" s="57" t="s">
        <v>1281</v>
      </c>
      <c r="BO301" s="57" t="s">
        <v>1281</v>
      </c>
      <c r="BP301" s="57" t="s">
        <v>1281</v>
      </c>
      <c r="BQ301" s="57" t="s">
        <v>1281</v>
      </c>
      <c r="BR301" s="57" t="s">
        <v>1281</v>
      </c>
      <c r="BS301" s="57" t="s">
        <v>1281</v>
      </c>
      <c r="BT301" s="57" t="s">
        <v>1281</v>
      </c>
      <c r="BU301" s="57" t="s">
        <v>1281</v>
      </c>
      <c r="BV301" s="70">
        <f>E301</f>
        <v>33</v>
      </c>
      <c r="BW301" s="71">
        <f>I301</f>
        <v>66</v>
      </c>
      <c r="BX301" s="72">
        <f>M301</f>
        <v>70</v>
      </c>
      <c r="BY301" s="71">
        <f>Q301</f>
        <v>102</v>
      </c>
      <c r="BZ301" s="72">
        <f>U301</f>
        <v>106</v>
      </c>
      <c r="CA301" s="71" t="str">
        <f>Y301</f>
        <v>-</v>
      </c>
      <c r="CB301" s="72">
        <f>AC301</f>
        <v>149</v>
      </c>
      <c r="CC301" s="71">
        <f>AG301</f>
        <v>187</v>
      </c>
      <c r="CD301" s="72">
        <f>AK301</f>
        <v>199</v>
      </c>
      <c r="CE301" s="71">
        <f>AO301</f>
        <v>241</v>
      </c>
      <c r="CF301" s="72">
        <f>AS301</f>
        <v>284</v>
      </c>
      <c r="CG301" s="71">
        <f>AW301</f>
        <v>310</v>
      </c>
      <c r="CH301" s="70">
        <f>G301</f>
        <v>65</v>
      </c>
      <c r="CI301" s="71">
        <f>K301</f>
        <v>69</v>
      </c>
      <c r="CJ301" s="72">
        <f>O301</f>
        <v>100</v>
      </c>
      <c r="CK301" s="72">
        <f>S301</f>
        <v>105</v>
      </c>
      <c r="CL301" s="72">
        <f>W301</f>
        <v>141</v>
      </c>
      <c r="CM301" s="72" t="str">
        <f>AA301</f>
        <v>-</v>
      </c>
      <c r="CN301" s="72">
        <f>AE301</f>
        <v>173</v>
      </c>
      <c r="CO301" s="72">
        <f>AI301</f>
        <v>189</v>
      </c>
      <c r="CP301" s="72">
        <f>AM301</f>
        <v>237</v>
      </c>
      <c r="CQ301" s="72">
        <f>AQ301</f>
        <v>278</v>
      </c>
      <c r="CR301" s="72">
        <f>AU301</f>
        <v>309</v>
      </c>
      <c r="CS301" s="72">
        <f>AY301</f>
        <v>322</v>
      </c>
      <c r="CT301" s="23">
        <f>M301-K301</f>
        <v>1</v>
      </c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  <c r="UX301" s="1"/>
      <c r="UY301" s="1"/>
      <c r="UZ301" s="1"/>
      <c r="VA301" s="1"/>
      <c r="VB301" s="1"/>
      <c r="VC301" s="1"/>
      <c r="VD301" s="1"/>
      <c r="VE301" s="1"/>
      <c r="VF301" s="1"/>
      <c r="VG301" s="1"/>
      <c r="VH301" s="1"/>
      <c r="VI301" s="1"/>
      <c r="VJ301" s="1"/>
      <c r="VK301" s="1"/>
      <c r="VL301" s="1"/>
      <c r="VM301" s="1"/>
      <c r="VN301" s="1"/>
      <c r="VO301" s="1"/>
      <c r="VP301" s="1"/>
      <c r="VQ301" s="1"/>
      <c r="VR301" s="1"/>
      <c r="VS301" s="1"/>
      <c r="VT301" s="1"/>
      <c r="VU301" s="1"/>
      <c r="VV301" s="1"/>
      <c r="VW301" s="1"/>
      <c r="VX301" s="1"/>
      <c r="VY301" s="1"/>
      <c r="VZ301" s="1"/>
      <c r="WA301" s="1"/>
      <c r="WB301" s="1"/>
      <c r="WC301" s="1"/>
      <c r="WD301" s="1"/>
      <c r="WE301" s="1"/>
      <c r="WF301" s="1"/>
      <c r="WG301" s="1"/>
      <c r="WH301" s="1"/>
      <c r="WI301" s="1"/>
      <c r="WJ301" s="1"/>
      <c r="WK301" s="1"/>
      <c r="WL301" s="1"/>
      <c r="WM301" s="1"/>
      <c r="WN301" s="1"/>
      <c r="WO301" s="1"/>
      <c r="WP301" s="1"/>
      <c r="WQ301" s="1"/>
      <c r="WR301" s="1"/>
      <c r="WS301" s="1"/>
      <c r="WT301" s="1"/>
      <c r="WU301" s="1"/>
      <c r="WV301" s="1"/>
      <c r="WW301" s="1"/>
      <c r="WX301" s="1"/>
      <c r="WY301" s="1"/>
      <c r="WZ301" s="1"/>
      <c r="XA301" s="1"/>
      <c r="XB301" s="1"/>
      <c r="XC301" s="1"/>
      <c r="XD301" s="1"/>
      <c r="XE301" s="1"/>
      <c r="XF301" s="1"/>
      <c r="XG301" s="1"/>
      <c r="XH301" s="1"/>
      <c r="XI301" s="1"/>
      <c r="XJ301" s="1"/>
      <c r="XK301" s="1"/>
      <c r="XL301" s="1"/>
      <c r="XM301" s="1"/>
      <c r="XN301" s="1"/>
      <c r="XO301" s="1"/>
      <c r="XP301" s="1"/>
      <c r="XQ301" s="1"/>
      <c r="XR301" s="1"/>
      <c r="XS301" s="1"/>
      <c r="XT301" s="1"/>
      <c r="XU301" s="1"/>
      <c r="XV301" s="1"/>
      <c r="XW301" s="1"/>
      <c r="XX301" s="1"/>
      <c r="XY301" s="1"/>
      <c r="XZ301" s="1"/>
      <c r="YA301" s="1"/>
      <c r="YB301" s="1"/>
      <c r="YC301" s="1"/>
      <c r="YD301" s="1"/>
      <c r="YE301" s="1"/>
      <c r="YF301" s="1"/>
      <c r="YG301" s="1"/>
      <c r="YH301" s="1"/>
      <c r="YI301" s="1"/>
      <c r="YJ301" s="1"/>
      <c r="YK301" s="1"/>
      <c r="YL301" s="1"/>
      <c r="YM301" s="1"/>
      <c r="YN301" s="1"/>
      <c r="YO301" s="1"/>
      <c r="YP301" s="1"/>
      <c r="YQ301" s="1"/>
      <c r="YR301" s="1"/>
      <c r="YS301" s="1"/>
      <c r="YT301" s="1"/>
      <c r="YU301" s="1"/>
      <c r="YV301" s="1"/>
      <c r="YW301" s="1"/>
      <c r="YX301" s="1"/>
      <c r="YY301" s="1"/>
      <c r="YZ301" s="1"/>
      <c r="ZA301" s="1"/>
      <c r="ZB301" s="1"/>
      <c r="ZC301" s="1"/>
      <c r="ZD301" s="1"/>
      <c r="ZE301" s="1"/>
      <c r="ZF301" s="1"/>
      <c r="ZG301" s="1"/>
      <c r="ZH301" s="1"/>
      <c r="ZI301" s="1"/>
      <c r="ZJ301" s="1"/>
      <c r="ZK301" s="1"/>
      <c r="ZL301" s="1"/>
      <c r="ZM301" s="1"/>
      <c r="ZN301" s="1"/>
      <c r="ZO301" s="1"/>
      <c r="ZP301" s="1"/>
      <c r="ZQ301" s="1"/>
      <c r="ZR301" s="1"/>
      <c r="ZS301" s="1"/>
      <c r="ZT301" s="1"/>
      <c r="ZU301" s="1"/>
      <c r="ZV301" s="1"/>
      <c r="ZW301" s="1"/>
      <c r="ZX301" s="1"/>
      <c r="ZY301" s="1"/>
      <c r="ZZ301" s="1"/>
      <c r="AAA301" s="1"/>
      <c r="AAB301" s="1"/>
      <c r="AAC301" s="1"/>
      <c r="AAD301" s="1"/>
      <c r="AAE301" s="1"/>
      <c r="AAF301" s="1"/>
      <c r="AAG301" s="1"/>
      <c r="AAH301" s="1"/>
      <c r="AAI301" s="1"/>
      <c r="AAJ301" s="1"/>
      <c r="AAK301" s="1"/>
      <c r="AAL301" s="1"/>
      <c r="AAM301" s="1"/>
      <c r="AAN301" s="1"/>
      <c r="AAO301" s="1"/>
      <c r="AAP301" s="1"/>
      <c r="AAQ301" s="1"/>
      <c r="AAR301" s="1"/>
      <c r="AAS301" s="1"/>
      <c r="AAT301" s="1"/>
      <c r="AAU301" s="1"/>
      <c r="AAV301" s="1"/>
      <c r="AAW301" s="1"/>
      <c r="AAX301" s="1"/>
      <c r="AAY301" s="1"/>
      <c r="AAZ301" s="1"/>
      <c r="ABA301" s="1"/>
      <c r="ABB301" s="1"/>
      <c r="ABC301" s="1"/>
      <c r="ABD301" s="1"/>
      <c r="ABE301" s="1"/>
      <c r="ABF301" s="1"/>
      <c r="ABG301" s="1"/>
      <c r="ABH301" s="1"/>
      <c r="ABI301" s="1"/>
      <c r="ABJ301" s="1"/>
      <c r="ABK301" s="1"/>
      <c r="ABL301" s="1"/>
      <c r="ABM301" s="1"/>
      <c r="ABN301" s="1"/>
      <c r="ABO301" s="1"/>
      <c r="ABP301" s="1"/>
      <c r="ABQ301" s="1"/>
      <c r="ABR301" s="1"/>
      <c r="ABS301" s="1"/>
      <c r="ABT301" s="1"/>
      <c r="ABU301" s="1"/>
      <c r="ABV301" s="1"/>
      <c r="ABW301" s="1"/>
      <c r="ABX301" s="1"/>
      <c r="ABY301" s="1"/>
      <c r="ABZ301" s="1"/>
      <c r="ACA301" s="1"/>
      <c r="ACB301" s="1"/>
      <c r="ACC301" s="1"/>
      <c r="ACD301" s="1"/>
      <c r="ACE301" s="1"/>
      <c r="ACF301" s="1"/>
      <c r="ACG301" s="1"/>
      <c r="ACH301" s="1"/>
      <c r="ACI301" s="1"/>
      <c r="ACJ301" s="1"/>
      <c r="ACK301" s="1"/>
      <c r="ACL301" s="1"/>
      <c r="ACM301" s="1"/>
      <c r="ACN301" s="1"/>
      <c r="ACO301" s="1"/>
      <c r="ACP301" s="1"/>
      <c r="ACQ301" s="1"/>
      <c r="ACR301" s="1"/>
      <c r="ACS301" s="1"/>
      <c r="ACT301" s="1"/>
      <c r="ACU301" s="1"/>
      <c r="ACV301" s="1"/>
      <c r="ACW301" s="1"/>
      <c r="ACX301" s="1"/>
      <c r="ACY301" s="1"/>
      <c r="ACZ301" s="1"/>
      <c r="ADA301" s="1"/>
      <c r="ADB301" s="1"/>
      <c r="ADC301" s="1"/>
      <c r="ADD301" s="1"/>
      <c r="ADE301" s="1"/>
      <c r="ADF301" s="1"/>
      <c r="ADG301" s="1"/>
      <c r="ADH301" s="1"/>
      <c r="ADI301" s="1"/>
      <c r="ADJ301" s="1"/>
      <c r="ADK301" s="1"/>
      <c r="ADL301" s="1"/>
      <c r="ADM301" s="1"/>
      <c r="ADN301" s="1"/>
      <c r="ADO301" s="1"/>
      <c r="ADP301" s="1"/>
      <c r="ADQ301" s="1"/>
      <c r="ADR301" s="1"/>
      <c r="ADS301" s="1"/>
      <c r="ADT301" s="1"/>
      <c r="ADU301" s="1"/>
      <c r="ADV301" s="1"/>
      <c r="ADW301" s="1"/>
      <c r="ADX301" s="1"/>
      <c r="ADY301" s="1"/>
      <c r="ADZ301" s="1"/>
      <c r="AEA301" s="1"/>
      <c r="AEB301" s="1"/>
      <c r="AEC301" s="1"/>
      <c r="AED301" s="1"/>
      <c r="AEE301" s="1"/>
      <c r="AEF301" s="1"/>
      <c r="AEG301" s="1"/>
      <c r="AEH301" s="1"/>
      <c r="AEI301" s="1"/>
      <c r="AEJ301" s="1"/>
      <c r="AEK301" s="1"/>
      <c r="AEL301" s="1"/>
      <c r="AEM301" s="1"/>
      <c r="AEN301" s="1"/>
      <c r="AEO301" s="1"/>
      <c r="AEP301" s="1"/>
      <c r="AEQ301" s="1"/>
      <c r="AER301" s="1"/>
      <c r="AES301" s="1"/>
      <c r="AET301" s="1"/>
      <c r="AEU301" s="1"/>
      <c r="AEV301" s="1"/>
      <c r="AEW301" s="1"/>
      <c r="AEX301" s="1"/>
      <c r="AEY301" s="1"/>
      <c r="AEZ301" s="1"/>
      <c r="AFA301" s="1"/>
      <c r="AFB301" s="1"/>
      <c r="AFC301" s="1"/>
      <c r="AFD301" s="1"/>
      <c r="AFE301" s="1"/>
      <c r="AFF301" s="1"/>
      <c r="AFG301" s="1"/>
      <c r="AFH301" s="1"/>
      <c r="AFI301" s="1"/>
      <c r="AFJ301" s="1"/>
      <c r="AFK301" s="1"/>
      <c r="AFL301" s="1"/>
      <c r="AFM301" s="1"/>
      <c r="AFN301" s="1"/>
      <c r="AFO301" s="1"/>
      <c r="AFP301" s="1"/>
      <c r="AFQ301" s="1"/>
      <c r="AFR301" s="1"/>
      <c r="AFS301" s="1"/>
      <c r="AFT301" s="1"/>
      <c r="AFU301" s="1"/>
      <c r="AFV301" s="1"/>
      <c r="AFW301" s="1"/>
      <c r="AFX301" s="1"/>
      <c r="AFY301" s="1"/>
      <c r="AFZ301" s="1"/>
      <c r="AGA301" s="1"/>
      <c r="AGB301" s="1"/>
      <c r="AGC301" s="1"/>
      <c r="AGD301" s="1"/>
      <c r="AGE301" s="1"/>
      <c r="AGF301" s="1"/>
      <c r="AGG301" s="1"/>
      <c r="AGH301" s="1"/>
      <c r="AGI301" s="1"/>
      <c r="AGJ301" s="1"/>
      <c r="AGK301" s="1"/>
      <c r="AGL301" s="1"/>
      <c r="AGM301" s="1"/>
      <c r="AGN301" s="1"/>
      <c r="AGO301" s="1"/>
      <c r="AGP301" s="1"/>
      <c r="AGQ301" s="1"/>
      <c r="AGR301" s="1"/>
      <c r="AGS301" s="1"/>
      <c r="AGT301" s="1"/>
      <c r="AGU301" s="1"/>
      <c r="AGV301" s="1"/>
      <c r="AGW301" s="1"/>
      <c r="AGX301" s="1"/>
      <c r="AGY301" s="1"/>
      <c r="AGZ301" s="1"/>
      <c r="AHA301" s="1"/>
      <c r="AHB301" s="1"/>
      <c r="AHC301" s="1"/>
      <c r="AHD301" s="1"/>
      <c r="AHE301" s="1"/>
      <c r="AHF301" s="1"/>
      <c r="AHG301" s="1"/>
      <c r="AHH301" s="1"/>
      <c r="AHI301" s="1"/>
      <c r="AHJ301" s="1"/>
      <c r="AHK301" s="1"/>
      <c r="AHL301" s="1"/>
      <c r="AHM301" s="1"/>
      <c r="AHN301" s="1"/>
      <c r="AHO301" s="1"/>
      <c r="AHP301" s="1"/>
      <c r="AHQ301" s="1"/>
      <c r="AHR301" s="1"/>
      <c r="AHS301" s="1"/>
      <c r="AHT301" s="1"/>
      <c r="AHU301" s="1"/>
      <c r="AHV301" s="1"/>
      <c r="AHW301" s="1"/>
      <c r="AHX301" s="1"/>
      <c r="AHY301" s="1"/>
      <c r="AHZ301" s="1"/>
      <c r="AIA301" s="1"/>
      <c r="AIB301" s="1"/>
      <c r="AIC301" s="1"/>
      <c r="AID301" s="1"/>
      <c r="AIE301" s="1"/>
      <c r="AIF301" s="1"/>
      <c r="AIG301" s="1"/>
      <c r="AIH301" s="1"/>
      <c r="AII301" s="1"/>
      <c r="AIJ301" s="1"/>
      <c r="AIK301" s="1"/>
      <c r="AIL301" s="1"/>
      <c r="AIM301" s="1"/>
      <c r="AIN301" s="1"/>
      <c r="AIO301" s="1"/>
      <c r="AIP301" s="1"/>
      <c r="AIQ301" s="1"/>
      <c r="AIR301" s="1"/>
      <c r="AIS301" s="1"/>
      <c r="AIT301" s="1"/>
      <c r="AIU301" s="1"/>
      <c r="AIV301" s="1"/>
      <c r="AIW301" s="1"/>
      <c r="AIX301" s="1"/>
      <c r="AIY301" s="1"/>
      <c r="AIZ301" s="1"/>
      <c r="AJA301" s="1"/>
      <c r="AJB301" s="1"/>
      <c r="AJC301" s="1"/>
      <c r="AJD301" s="1"/>
      <c r="AJE301" s="1"/>
      <c r="AJF301" s="1"/>
      <c r="AJG301" s="1"/>
      <c r="AJH301" s="1"/>
      <c r="AJI301" s="1"/>
      <c r="AJJ301" s="1"/>
      <c r="AJK301" s="1"/>
      <c r="AJL301" s="1"/>
      <c r="AJM301" s="1"/>
      <c r="AJN301" s="1"/>
      <c r="AJO301" s="1"/>
      <c r="AJP301" s="1"/>
      <c r="AJQ301" s="1"/>
      <c r="AJR301" s="1"/>
      <c r="AJS301" s="1"/>
      <c r="AJT301" s="1"/>
      <c r="AJU301" s="1"/>
      <c r="AJV301" s="1"/>
      <c r="AJW301" s="1"/>
      <c r="AJX301" s="1"/>
      <c r="AJY301" s="1"/>
      <c r="AJZ301" s="1"/>
      <c r="AKA301" s="1"/>
      <c r="AKB301" s="1"/>
      <c r="AKC301" s="1"/>
      <c r="AKD301" s="1"/>
      <c r="AKE301" s="1"/>
      <c r="AKF301" s="1"/>
      <c r="AKG301" s="1"/>
      <c r="AKH301" s="1"/>
      <c r="AKI301" s="1"/>
      <c r="AKJ301" s="1"/>
      <c r="AKK301" s="1"/>
      <c r="AKL301" s="1"/>
      <c r="AKM301" s="1"/>
      <c r="AKN301" s="1"/>
      <c r="AKO301" s="1"/>
      <c r="AKP301" s="1"/>
      <c r="AKQ301" s="1"/>
      <c r="AKR301" s="1"/>
      <c r="AKS301" s="1"/>
      <c r="AKT301" s="1"/>
      <c r="AKU301" s="1"/>
      <c r="AKV301" s="1"/>
      <c r="AKW301" s="1"/>
      <c r="AKX301" s="1"/>
      <c r="AKY301" s="1"/>
      <c r="AKZ301" s="1"/>
      <c r="ALA301" s="1"/>
      <c r="ALB301" s="1"/>
      <c r="ALC301" s="1"/>
      <c r="ALD301" s="1"/>
      <c r="ALE301" s="1"/>
      <c r="ALF301" s="1"/>
      <c r="ALG301" s="1"/>
      <c r="ALH301" s="1"/>
      <c r="ALI301" s="1"/>
      <c r="ALJ301" s="1"/>
      <c r="ALK301" s="1"/>
      <c r="ALL301" s="1"/>
      <c r="ALM301" s="1"/>
      <c r="ALN301" s="1"/>
      <c r="ALO301" s="1"/>
      <c r="ALP301" s="1"/>
      <c r="ALQ301" s="1"/>
      <c r="ALR301" s="1"/>
      <c r="ALS301" s="1"/>
      <c r="ALT301" s="1"/>
      <c r="ALU301" s="1"/>
      <c r="ALV301" s="1"/>
      <c r="ALW301" s="1"/>
      <c r="ALX301" s="1"/>
      <c r="ALY301" s="1"/>
      <c r="ALZ301" s="1"/>
      <c r="AMA301" s="1"/>
      <c r="AMB301" s="1"/>
      <c r="AMC301" s="1"/>
      <c r="AMD301" s="1"/>
      <c r="AME301" s="1"/>
      <c r="AMF301" s="1"/>
      <c r="AMG301" s="1"/>
      <c r="AMH301" s="1"/>
      <c r="AMI301" s="1"/>
      <c r="AMJ301" s="1"/>
      <c r="AMK301" s="1"/>
      <c r="AML301" s="1"/>
      <c r="AMM301" s="1"/>
      <c r="AMN301" s="1"/>
      <c r="AMO301" s="1"/>
    </row>
    <row r="302" spans="1:1030" x14ac:dyDescent="0.2">
      <c r="A302" s="3" t="str">
        <f>CONCATENATE(B302,"_",C302)</f>
        <v>opsd_bovin_4A4M</v>
      </c>
      <c r="B302" s="2" t="s">
        <v>913</v>
      </c>
      <c r="C302" s="3" t="s">
        <v>1364</v>
      </c>
      <c r="D302" s="3" t="str">
        <f>IFERROR(MID(VLOOKUP($B302,Seqs!$A:$B,2,0),E302,1),"")</f>
        <v>E</v>
      </c>
      <c r="E302" s="105">
        <v>33</v>
      </c>
      <c r="F302" s="3" t="str">
        <f>IFERROR(MID(VLOOKUP($B302,Seqs!$A:$B,2,0),G302,1),"")</f>
        <v>H</v>
      </c>
      <c r="G302" s="3">
        <v>65</v>
      </c>
      <c r="H302" s="3" t="str">
        <f>IFERROR(MID(VLOOKUP($B302,Seqs!$A:$B,2,0),I302,1),"")</f>
        <v>K</v>
      </c>
      <c r="I302" s="23">
        <v>66</v>
      </c>
      <c r="J302" s="3" t="str">
        <f>IFERROR(MID(VLOOKUP($B302,Seqs!$A:$B,2,0),K302,1),"")</f>
        <v>R</v>
      </c>
      <c r="K302" s="23">
        <v>69</v>
      </c>
      <c r="L302" s="3" t="str">
        <f>IFERROR(MID(VLOOKUP($B302,Seqs!$A:$B,2,0),M302,1),"")</f>
        <v>T</v>
      </c>
      <c r="M302" s="3">
        <v>70</v>
      </c>
      <c r="N302" s="3" t="str">
        <f>IFERROR(MID(VLOOKUP($B302,Seqs!$A:$B,2,0),O302,1),"")</f>
        <v>H</v>
      </c>
      <c r="O302" s="3">
        <v>100</v>
      </c>
      <c r="P302" s="3" t="str">
        <f>IFERROR(MID(VLOOKUP($B302,Seqs!$A:$B,2,0),Q302,1),"")</f>
        <v>Y</v>
      </c>
      <c r="Q302" s="3">
        <v>102</v>
      </c>
      <c r="R302" s="3" t="str">
        <f>IFERROR(MID(VLOOKUP($B302,Seqs!$A:$B,2,0),S302,1),"")</f>
        <v>F</v>
      </c>
      <c r="S302" s="3">
        <v>105</v>
      </c>
      <c r="T302" s="3" t="str">
        <f>IFERROR(MID(VLOOKUP($B302,Seqs!$A:$B,2,0),U302,1),"")</f>
        <v>G</v>
      </c>
      <c r="U302" s="3">
        <v>106</v>
      </c>
      <c r="V302" s="3" t="str">
        <f>IFERROR(MID(VLOOKUP($B302,Seqs!$A:$B,2,0),W302,1),"")</f>
        <v>K</v>
      </c>
      <c r="W302" s="3">
        <v>141</v>
      </c>
      <c r="X302" s="3" t="str">
        <f>IFERROR(MID(VLOOKUP($B302,Seqs!$A:$B,2,0),Y302,1),"")</f>
        <v/>
      </c>
      <c r="Y302" s="3" t="s">
        <v>23</v>
      </c>
      <c r="Z302" s="3" t="str">
        <f>IFERROR(MID(VLOOKUP($B302,Seqs!$A:$B,2,0),AA302,1),"")</f>
        <v/>
      </c>
      <c r="AA302" s="3" t="s">
        <v>23</v>
      </c>
      <c r="AB302" s="3" t="str">
        <f>IFERROR(MID(VLOOKUP($B302,Seqs!$A:$B,2,0),AC302,1),"")</f>
        <v>G</v>
      </c>
      <c r="AC302" s="9">
        <v>149</v>
      </c>
      <c r="AD302" s="3" t="str">
        <f>IFERROR(MID(VLOOKUP($B302,Seqs!$A:$B,2,0),AE302,1),"")</f>
        <v>V</v>
      </c>
      <c r="AE302" s="3">
        <v>173</v>
      </c>
      <c r="AF302" s="3" t="str">
        <f>IFERROR(MID(VLOOKUP($B302,Seqs!$A:$B,2,0),AG302,1),"")</f>
        <v>C</v>
      </c>
      <c r="AG302" s="3">
        <v>187</v>
      </c>
      <c r="AH302" s="3" t="str">
        <f>IFERROR(MID(VLOOKUP($B302,Seqs!$A:$B,2,0),AI302,1),"")</f>
        <v>I</v>
      </c>
      <c r="AI302" s="3">
        <v>189</v>
      </c>
      <c r="AJ302" s="3" t="str">
        <f>IFERROR(MID(VLOOKUP($B302,Seqs!$A:$B,2,0),AK302,1),"")</f>
        <v>N</v>
      </c>
      <c r="AK302" s="3">
        <v>199</v>
      </c>
      <c r="AL302" s="3" t="str">
        <f>IFERROR(MID(VLOOKUP($B302,Seqs!$A:$B,2,0),AM302,1),"")</f>
        <v>Q</v>
      </c>
      <c r="AM302" s="3">
        <v>237</v>
      </c>
      <c r="AN302" s="3" t="str">
        <f>IFERROR(MID(VLOOKUP($B302,Seqs!$A:$B,2,0),AO302,1),"")</f>
        <v>A</v>
      </c>
      <c r="AO302" s="3">
        <v>241</v>
      </c>
      <c r="AP302" s="3" t="str">
        <f>IFERROR(MID(VLOOKUP($B302,Seqs!$A:$B,2,0),AQ302,1),"")</f>
        <v>H</v>
      </c>
      <c r="AQ302" s="3">
        <v>278</v>
      </c>
      <c r="AR302" s="3" t="str">
        <f>IFERROR(MID(VLOOKUP($B302,Seqs!$A:$B,2,0),AS302,1),"")</f>
        <v>G</v>
      </c>
      <c r="AS302" s="3">
        <v>284</v>
      </c>
      <c r="AT302" s="3" t="str">
        <f>IFERROR(MID(VLOOKUP($B302,Seqs!$A:$B,2,0),AU302,1),"")</f>
        <v>M</v>
      </c>
      <c r="AU302" s="3">
        <v>309</v>
      </c>
      <c r="AV302" s="3" t="str">
        <f>IFERROR(MID(VLOOKUP($B302,Seqs!$A:$B,2,0),AW302,1),"")</f>
        <v>N</v>
      </c>
      <c r="AW302" s="3">
        <v>310</v>
      </c>
      <c r="AX302" s="3" t="str">
        <f>IFERROR(MID(VLOOKUP($B302,Seqs!$A:$B,2,0),AY302,1),"")</f>
        <v>C</v>
      </c>
      <c r="AY302" s="3">
        <v>322</v>
      </c>
      <c r="AZ302" s="77" t="str">
        <f>VLOOKUP(B302,Classification!A:D,2,0)</f>
        <v>A</v>
      </c>
      <c r="BA302" s="94" t="str">
        <f>VLOOKUP(B302,Classification!A:D,4,0)</f>
        <v>Opsins</v>
      </c>
      <c r="BB302" s="27" t="b">
        <f>AND(E302&lt;G302,OR(G302&lt;I302,I302="-"),OR(I302&lt;K302,I302="-"),OR(K302&lt;M302,K302="-"),M302&lt;O302,OR(O302&lt;Q302,Q302="-"),OR(Q302&lt;S302,Q302="-"),OR(S302&lt;U302,S302="-"),U302&lt;W302,OR(W302&lt;Y302,Y302="-"),OR(Y302&lt;AA302,Y302="-"),OR(AA302&lt;AC302,AA302="-"),AC302&lt;AE302,OR(AE302&lt;AG302,AG302="-"),OR(AG302&lt;AI302,AG302="-"),OR(AI302&lt;AK302,AI302="-"),AK302&lt;AM302,AM302&lt;AO302,AO302&lt;AQ302,AQ302&lt;AS302,AS302&lt;AU302,OR(AU302&lt;AW302,AW302="-"),OR(AW302&lt;AY302,AW302="-"))</f>
        <v>1</v>
      </c>
      <c r="BC302" s="23">
        <f>_xlfn.AGGREGATE(9,6,CH302:CS302)-_xlfn.AGGREGATE(9,6,BV302:CG302)+12</f>
        <v>253</v>
      </c>
      <c r="BD302" s="4" t="s">
        <v>23</v>
      </c>
      <c r="BE302" s="3" t="s">
        <v>1285</v>
      </c>
      <c r="BF302" s="118">
        <v>3.3</v>
      </c>
      <c r="BG302" s="49" t="s">
        <v>1371</v>
      </c>
      <c r="BH302" s="49" t="s">
        <v>1371</v>
      </c>
      <c r="BI302" s="1"/>
      <c r="BJ302" s="70" t="s">
        <v>1281</v>
      </c>
      <c r="BK302" s="57" t="s">
        <v>1281</v>
      </c>
      <c r="BL302" s="57" t="s">
        <v>1281</v>
      </c>
      <c r="BM302" s="57" t="s">
        <v>1281</v>
      </c>
      <c r="BN302" s="57" t="s">
        <v>1281</v>
      </c>
      <c r="BO302" s="57" t="s">
        <v>1281</v>
      </c>
      <c r="BP302" s="57" t="s">
        <v>1281</v>
      </c>
      <c r="BQ302" s="57" t="s">
        <v>1281</v>
      </c>
      <c r="BR302" s="57" t="s">
        <v>1281</v>
      </c>
      <c r="BS302" s="57" t="s">
        <v>1281</v>
      </c>
      <c r="BT302" s="57" t="s">
        <v>1281</v>
      </c>
      <c r="BU302" s="57" t="s">
        <v>1281</v>
      </c>
      <c r="BV302" s="70">
        <f>E302</f>
        <v>33</v>
      </c>
      <c r="BW302" s="71">
        <f>I302</f>
        <v>66</v>
      </c>
      <c r="BX302" s="72">
        <f>M302</f>
        <v>70</v>
      </c>
      <c r="BY302" s="71">
        <f>Q302</f>
        <v>102</v>
      </c>
      <c r="BZ302" s="72">
        <f>U302</f>
        <v>106</v>
      </c>
      <c r="CA302" s="71" t="str">
        <f>Y302</f>
        <v>-</v>
      </c>
      <c r="CB302" s="72">
        <f>AC302</f>
        <v>149</v>
      </c>
      <c r="CC302" s="71">
        <f>AG302</f>
        <v>187</v>
      </c>
      <c r="CD302" s="72">
        <f>AK302</f>
        <v>199</v>
      </c>
      <c r="CE302" s="71">
        <f>AO302</f>
        <v>241</v>
      </c>
      <c r="CF302" s="72">
        <f>AS302</f>
        <v>284</v>
      </c>
      <c r="CG302" s="71">
        <f>AW302</f>
        <v>310</v>
      </c>
      <c r="CH302" s="70">
        <f>G302</f>
        <v>65</v>
      </c>
      <c r="CI302" s="71">
        <f>K302</f>
        <v>69</v>
      </c>
      <c r="CJ302" s="72">
        <f>O302</f>
        <v>100</v>
      </c>
      <c r="CK302" s="72">
        <f>S302</f>
        <v>105</v>
      </c>
      <c r="CL302" s="72">
        <f>W302</f>
        <v>141</v>
      </c>
      <c r="CM302" s="72" t="str">
        <f>AA302</f>
        <v>-</v>
      </c>
      <c r="CN302" s="72">
        <f>AE302</f>
        <v>173</v>
      </c>
      <c r="CO302" s="72">
        <f>AI302</f>
        <v>189</v>
      </c>
      <c r="CP302" s="72">
        <f>AM302</f>
        <v>237</v>
      </c>
      <c r="CQ302" s="72">
        <f>AQ302</f>
        <v>278</v>
      </c>
      <c r="CR302" s="72">
        <f>AU302</f>
        <v>309</v>
      </c>
      <c r="CS302" s="72">
        <f>AY302</f>
        <v>322</v>
      </c>
      <c r="CT302" s="23">
        <f>M302-K302</f>
        <v>1</v>
      </c>
      <c r="CU302" s="6"/>
      <c r="CV302" s="6"/>
      <c r="CW302" s="6"/>
      <c r="CX302" s="6"/>
      <c r="CY302" s="6"/>
      <c r="CZ302" s="6"/>
      <c r="DA302" s="6"/>
      <c r="DB302" s="6"/>
      <c r="DC302" s="6"/>
      <c r="DD302" s="6"/>
      <c r="DE302" s="6"/>
      <c r="DF302" s="6"/>
      <c r="DG302" s="6"/>
      <c r="DH302" s="6"/>
      <c r="DI302" s="6"/>
      <c r="DJ302" s="6"/>
      <c r="DK302" s="6"/>
      <c r="DL302" s="6"/>
      <c r="DM302" s="6"/>
      <c r="DN302" s="6"/>
      <c r="DO302" s="6"/>
      <c r="DP302" s="6"/>
      <c r="DQ302" s="6"/>
      <c r="DR302" s="6"/>
      <c r="DS302" s="6"/>
      <c r="DT302" s="6"/>
      <c r="DU302" s="6"/>
      <c r="DV302" s="6"/>
      <c r="DW302" s="6"/>
      <c r="DX302" s="6"/>
      <c r="DY302" s="6"/>
      <c r="DZ302" s="6"/>
      <c r="EA302" s="6"/>
      <c r="EB302" s="6"/>
      <c r="EC302" s="6"/>
      <c r="ED302" s="6"/>
      <c r="EE302" s="6"/>
      <c r="EF302" s="6"/>
      <c r="EG302" s="6"/>
      <c r="EH302" s="6"/>
      <c r="EI302" s="6"/>
      <c r="EJ302" s="6"/>
      <c r="EK302" s="6"/>
      <c r="EL302" s="6"/>
      <c r="EM302" s="6"/>
      <c r="EN302" s="6"/>
      <c r="EO302" s="6"/>
      <c r="EP302" s="6"/>
      <c r="EQ302" s="6"/>
      <c r="ER302" s="6"/>
      <c r="ES302" s="6"/>
      <c r="ET302" s="6"/>
      <c r="EU302" s="6"/>
      <c r="EV302" s="6"/>
      <c r="EW302" s="6"/>
      <c r="EX302" s="6"/>
      <c r="EY302" s="6"/>
      <c r="EZ302" s="6"/>
      <c r="FA302" s="6"/>
      <c r="FB302" s="6"/>
      <c r="FC302" s="6"/>
      <c r="FD302" s="6"/>
      <c r="FE302" s="6"/>
      <c r="FF302" s="6"/>
      <c r="FG302" s="6"/>
      <c r="FH302" s="6"/>
      <c r="FI302" s="6"/>
      <c r="FJ302" s="6"/>
      <c r="FK302" s="6"/>
      <c r="FL302" s="6"/>
      <c r="FM302" s="6"/>
      <c r="FN302" s="6"/>
      <c r="FO302" s="6"/>
      <c r="FP302" s="6"/>
      <c r="FQ302" s="6"/>
      <c r="FR302" s="6"/>
      <c r="FS302" s="6"/>
      <c r="FT302" s="6"/>
      <c r="FU302" s="6"/>
      <c r="FV302" s="6"/>
      <c r="FW302" s="6"/>
      <c r="FX302" s="6"/>
      <c r="FY302" s="6"/>
      <c r="FZ302" s="6"/>
      <c r="GA302" s="6"/>
      <c r="GB302" s="6"/>
      <c r="GC302" s="6"/>
      <c r="GD302" s="6"/>
      <c r="GE302" s="6"/>
      <c r="GF302" s="6"/>
      <c r="GG302" s="6"/>
      <c r="GH302" s="6"/>
      <c r="GI302" s="6"/>
      <c r="GJ302" s="6"/>
      <c r="GK302" s="6"/>
      <c r="GL302" s="6"/>
      <c r="GM302" s="6"/>
      <c r="GN302" s="6"/>
      <c r="GO302" s="6"/>
      <c r="GP302" s="6"/>
      <c r="GQ302" s="6"/>
      <c r="GR302" s="6"/>
      <c r="GS302" s="6"/>
      <c r="GT302" s="6"/>
      <c r="GU302" s="6"/>
      <c r="GV302" s="6"/>
      <c r="GW302" s="6"/>
      <c r="GX302" s="6"/>
      <c r="GY302" s="6"/>
      <c r="GZ302" s="6"/>
      <c r="HA302" s="6"/>
      <c r="HB302" s="6"/>
      <c r="HC302" s="6"/>
      <c r="HD302" s="6"/>
      <c r="HE302" s="6"/>
      <c r="HF302" s="6"/>
      <c r="HG302" s="6"/>
      <c r="HH302" s="6"/>
      <c r="HI302" s="6"/>
      <c r="HJ302" s="6"/>
      <c r="HK302" s="6"/>
      <c r="HL302" s="6"/>
      <c r="HM302" s="6"/>
      <c r="HN302" s="6"/>
      <c r="HO302" s="6"/>
      <c r="HP302" s="6"/>
      <c r="HQ302" s="6"/>
      <c r="HR302" s="6"/>
      <c r="HS302" s="6"/>
      <c r="HT302" s="6"/>
      <c r="HU302" s="6"/>
      <c r="HV302" s="6"/>
      <c r="HW302" s="6"/>
      <c r="HX302" s="6"/>
      <c r="HY302" s="6"/>
      <c r="HZ302" s="6"/>
      <c r="IA302" s="6"/>
      <c r="IB302" s="6"/>
      <c r="IC302" s="6"/>
      <c r="ID302" s="6"/>
      <c r="IE302" s="6"/>
      <c r="IF302" s="6"/>
      <c r="IG302" s="6"/>
      <c r="IH302" s="6"/>
      <c r="II302" s="6"/>
      <c r="IJ302" s="6"/>
      <c r="IK302" s="6"/>
      <c r="IL302" s="6"/>
      <c r="IM302" s="6"/>
      <c r="IN302" s="6"/>
      <c r="IO302" s="6"/>
      <c r="IP302" s="6"/>
      <c r="IQ302" s="6"/>
      <c r="IR302" s="6"/>
      <c r="IS302" s="6"/>
      <c r="IT302" s="6"/>
      <c r="IU302" s="6"/>
      <c r="IV302" s="6"/>
      <c r="IW302" s="6"/>
      <c r="IX302" s="6"/>
      <c r="IY302" s="6"/>
      <c r="IZ302" s="6"/>
      <c r="JA302" s="6"/>
      <c r="JB302" s="6"/>
      <c r="JC302" s="6"/>
      <c r="JD302" s="6"/>
      <c r="JE302" s="6"/>
      <c r="JF302" s="6"/>
      <c r="JG302" s="6"/>
      <c r="JH302" s="6"/>
      <c r="JI302" s="6"/>
      <c r="JJ302" s="6"/>
      <c r="JK302" s="6"/>
      <c r="JL302" s="6"/>
      <c r="JM302" s="6"/>
      <c r="JN302" s="6"/>
      <c r="JO302" s="6"/>
      <c r="JP302" s="6"/>
      <c r="JQ302" s="6"/>
      <c r="JR302" s="6"/>
      <c r="JS302" s="6"/>
      <c r="JT302" s="6"/>
      <c r="JU302" s="6"/>
      <c r="JV302" s="6"/>
      <c r="JW302" s="6"/>
      <c r="JX302" s="6"/>
      <c r="JY302" s="6"/>
      <c r="JZ302" s="6"/>
      <c r="KA302" s="6"/>
      <c r="KB302" s="6"/>
      <c r="KC302" s="6"/>
      <c r="KD302" s="6"/>
      <c r="KE302" s="6"/>
      <c r="KF302" s="6"/>
      <c r="KG302" s="6"/>
      <c r="KH302" s="6"/>
      <c r="KI302" s="6"/>
      <c r="KJ302" s="6"/>
      <c r="KK302" s="6"/>
      <c r="KL302" s="6"/>
      <c r="KM302" s="6"/>
      <c r="KN302" s="6"/>
      <c r="KO302" s="6"/>
      <c r="KP302" s="6"/>
      <c r="KQ302" s="6"/>
      <c r="KR302" s="6"/>
      <c r="KS302" s="6"/>
      <c r="KT302" s="6"/>
      <c r="KU302" s="6"/>
      <c r="KV302" s="6"/>
      <c r="KW302" s="6"/>
      <c r="KX302" s="6"/>
      <c r="KY302" s="6"/>
      <c r="KZ302" s="6"/>
      <c r="LA302" s="6"/>
      <c r="LB302" s="6"/>
      <c r="LC302" s="6"/>
      <c r="LD302" s="6"/>
      <c r="LE302" s="6"/>
      <c r="LF302" s="6"/>
      <c r="LG302" s="6"/>
      <c r="LH302" s="6"/>
      <c r="LI302" s="6"/>
      <c r="LJ302" s="6"/>
      <c r="LK302" s="6"/>
      <c r="LL302" s="6"/>
      <c r="LM302" s="6"/>
      <c r="LN302" s="6"/>
      <c r="LO302" s="6"/>
      <c r="LP302" s="6"/>
      <c r="LQ302" s="6"/>
      <c r="LR302" s="6"/>
      <c r="LS302" s="6"/>
      <c r="LT302" s="6"/>
      <c r="LU302" s="6"/>
      <c r="LV302" s="6"/>
      <c r="LW302" s="6"/>
      <c r="LX302" s="6"/>
      <c r="LY302" s="6"/>
      <c r="LZ302" s="6"/>
      <c r="MA302" s="6"/>
      <c r="MB302" s="6"/>
      <c r="MC302" s="6"/>
      <c r="MD302" s="6"/>
      <c r="ME302" s="6"/>
      <c r="MF302" s="6"/>
      <c r="MG302" s="6"/>
      <c r="MH302" s="6"/>
      <c r="MI302" s="6"/>
      <c r="MJ302" s="6"/>
      <c r="MK302" s="6"/>
      <c r="ML302" s="6"/>
      <c r="MM302" s="6"/>
      <c r="MN302" s="6"/>
      <c r="MO302" s="6"/>
      <c r="MP302" s="6"/>
      <c r="MQ302" s="6"/>
      <c r="MR302" s="6"/>
      <c r="MS302" s="6"/>
      <c r="MT302" s="6"/>
      <c r="MU302" s="6"/>
      <c r="MV302" s="6"/>
      <c r="MW302" s="6"/>
      <c r="MX302" s="6"/>
      <c r="MY302" s="6"/>
      <c r="MZ302" s="6"/>
      <c r="NA302" s="6"/>
      <c r="NB302" s="6"/>
      <c r="NC302" s="6"/>
      <c r="ND302" s="6"/>
      <c r="NE302" s="6"/>
      <c r="NF302" s="6"/>
      <c r="NG302" s="6"/>
      <c r="NH302" s="6"/>
      <c r="NI302" s="6"/>
      <c r="NJ302" s="6"/>
      <c r="NK302" s="6"/>
      <c r="NL302" s="6"/>
      <c r="NM302" s="6"/>
      <c r="NN302" s="6"/>
      <c r="NO302" s="6"/>
      <c r="NP302" s="6"/>
      <c r="NQ302" s="6"/>
      <c r="NR302" s="6"/>
      <c r="NS302" s="6"/>
      <c r="NT302" s="6"/>
      <c r="NU302" s="6"/>
      <c r="NV302" s="6"/>
      <c r="NW302" s="6"/>
      <c r="NX302" s="6"/>
      <c r="NY302" s="6"/>
      <c r="NZ302" s="6"/>
      <c r="OA302" s="6"/>
      <c r="OB302" s="6"/>
      <c r="OC302" s="6"/>
      <c r="OD302" s="6"/>
      <c r="OE302" s="6"/>
      <c r="OF302" s="6"/>
      <c r="OG302" s="6"/>
      <c r="OH302" s="6"/>
      <c r="OI302" s="6"/>
      <c r="OJ302" s="6"/>
      <c r="OK302" s="6"/>
      <c r="OL302" s="6"/>
      <c r="OM302" s="6"/>
      <c r="ON302" s="6"/>
      <c r="OO302" s="6"/>
      <c r="OP302" s="6"/>
      <c r="OQ302" s="6"/>
      <c r="OR302" s="6"/>
      <c r="OS302" s="6"/>
      <c r="OT302" s="6"/>
      <c r="OU302" s="6"/>
      <c r="OV302" s="6"/>
      <c r="OW302" s="6"/>
      <c r="OX302" s="6"/>
      <c r="OY302" s="6"/>
      <c r="OZ302" s="6"/>
      <c r="PA302" s="6"/>
      <c r="PB302" s="6"/>
      <c r="PC302" s="6"/>
      <c r="PD302" s="6"/>
      <c r="PE302" s="6"/>
      <c r="PF302" s="6"/>
      <c r="PG302" s="6"/>
      <c r="PH302" s="6"/>
      <c r="PI302" s="6"/>
      <c r="PJ302" s="6"/>
      <c r="PK302" s="6"/>
      <c r="PL302" s="6"/>
      <c r="PM302" s="6"/>
      <c r="PN302" s="6"/>
      <c r="PO302" s="6"/>
      <c r="PP302" s="6"/>
      <c r="PQ302" s="6"/>
      <c r="PR302" s="6"/>
      <c r="PS302" s="6"/>
      <c r="PT302" s="6"/>
      <c r="PU302" s="6"/>
      <c r="PV302" s="6"/>
      <c r="PW302" s="6"/>
      <c r="PX302" s="6"/>
      <c r="PY302" s="6"/>
      <c r="PZ302" s="6"/>
      <c r="QA302" s="6"/>
      <c r="QB302" s="6"/>
      <c r="QC302" s="6"/>
      <c r="QD302" s="6"/>
      <c r="QE302" s="6"/>
      <c r="QF302" s="6"/>
      <c r="QG302" s="6"/>
      <c r="QH302" s="6"/>
      <c r="QI302" s="6"/>
      <c r="QJ302" s="6"/>
      <c r="QK302" s="6"/>
      <c r="QL302" s="6"/>
      <c r="QM302" s="6"/>
      <c r="QN302" s="6"/>
      <c r="QO302" s="6"/>
      <c r="QP302" s="6"/>
      <c r="QQ302" s="6"/>
      <c r="QR302" s="6"/>
      <c r="QS302" s="6"/>
      <c r="QT302" s="6"/>
      <c r="QU302" s="6"/>
      <c r="QV302" s="6"/>
      <c r="QW302" s="6"/>
      <c r="QX302" s="6"/>
      <c r="QY302" s="6"/>
      <c r="QZ302" s="6"/>
      <c r="RA302" s="6"/>
      <c r="RB302" s="6"/>
      <c r="RC302" s="6"/>
      <c r="RD302" s="6"/>
      <c r="RE302" s="6"/>
      <c r="RF302" s="6"/>
      <c r="RG302" s="6"/>
      <c r="RH302" s="6"/>
      <c r="RI302" s="6"/>
      <c r="RJ302" s="6"/>
      <c r="RK302" s="6"/>
      <c r="RL302" s="6"/>
      <c r="RM302" s="6"/>
      <c r="RN302" s="6"/>
      <c r="RO302" s="6"/>
      <c r="RP302" s="6"/>
      <c r="RQ302" s="6"/>
      <c r="RR302" s="6"/>
      <c r="RS302" s="6"/>
      <c r="RT302" s="6"/>
      <c r="RU302" s="6"/>
      <c r="RV302" s="6"/>
      <c r="RW302" s="6"/>
      <c r="RX302" s="6"/>
      <c r="RY302" s="6"/>
      <c r="RZ302" s="6"/>
      <c r="SA302" s="6"/>
      <c r="SB302" s="6"/>
      <c r="SC302" s="6"/>
      <c r="SD302" s="6"/>
      <c r="SE302" s="6"/>
      <c r="SF302" s="6"/>
      <c r="SG302" s="6"/>
      <c r="SH302" s="6"/>
      <c r="SI302" s="6"/>
      <c r="SJ302" s="6"/>
      <c r="SK302" s="6"/>
      <c r="SL302" s="6"/>
      <c r="SM302" s="6"/>
      <c r="SN302" s="6"/>
      <c r="SO302" s="6"/>
      <c r="SP302" s="6"/>
      <c r="SQ302" s="6"/>
      <c r="SR302" s="6"/>
      <c r="SS302" s="6"/>
      <c r="ST302" s="6"/>
      <c r="SU302" s="6"/>
      <c r="SV302" s="6"/>
      <c r="SW302" s="6"/>
      <c r="SX302" s="6"/>
      <c r="SY302" s="6"/>
      <c r="SZ302" s="6"/>
      <c r="TA302" s="6"/>
      <c r="TB302" s="6"/>
      <c r="TC302" s="6"/>
      <c r="TD302" s="6"/>
      <c r="TE302" s="6"/>
      <c r="TF302" s="6"/>
      <c r="TG302" s="6"/>
      <c r="TH302" s="6"/>
      <c r="TI302" s="6"/>
      <c r="TJ302" s="6"/>
      <c r="TK302" s="6"/>
      <c r="TL302" s="6"/>
      <c r="TM302" s="6"/>
      <c r="TN302" s="6"/>
      <c r="TO302" s="6"/>
      <c r="TP302" s="6"/>
      <c r="TQ302" s="6"/>
      <c r="TR302" s="6"/>
      <c r="TS302" s="6"/>
      <c r="TT302" s="6"/>
      <c r="TU302" s="6"/>
      <c r="TV302" s="6"/>
      <c r="TW302" s="6"/>
      <c r="TX302" s="6"/>
      <c r="TY302" s="6"/>
      <c r="TZ302" s="6"/>
      <c r="UA302" s="6"/>
      <c r="UB302" s="6"/>
      <c r="UC302" s="6"/>
      <c r="UD302" s="6"/>
      <c r="UE302" s="6"/>
      <c r="UF302" s="6"/>
      <c r="UG302" s="6"/>
      <c r="UH302" s="6"/>
      <c r="UI302" s="6"/>
      <c r="UJ302" s="6"/>
      <c r="UK302" s="6"/>
      <c r="UL302" s="6"/>
      <c r="UM302" s="6"/>
      <c r="UN302" s="6"/>
      <c r="UO302" s="6"/>
      <c r="UP302" s="6"/>
      <c r="UQ302" s="6"/>
      <c r="UR302" s="6"/>
      <c r="US302" s="6"/>
      <c r="UT302" s="6"/>
      <c r="UU302" s="6"/>
      <c r="UV302" s="6"/>
      <c r="UW302" s="6"/>
      <c r="UX302" s="6"/>
      <c r="UY302" s="6"/>
      <c r="UZ302" s="6"/>
      <c r="VA302" s="6"/>
      <c r="VB302" s="6"/>
      <c r="VC302" s="6"/>
      <c r="VD302" s="6"/>
      <c r="VE302" s="6"/>
      <c r="VF302" s="6"/>
      <c r="VG302" s="6"/>
      <c r="VH302" s="6"/>
      <c r="VI302" s="6"/>
      <c r="VJ302" s="6"/>
      <c r="VK302" s="6"/>
      <c r="VL302" s="6"/>
      <c r="VM302" s="6"/>
      <c r="VN302" s="6"/>
      <c r="VO302" s="6"/>
      <c r="VP302" s="6"/>
      <c r="VQ302" s="6"/>
      <c r="VR302" s="6"/>
      <c r="VS302" s="6"/>
      <c r="VT302" s="6"/>
      <c r="VU302" s="6"/>
      <c r="VV302" s="6"/>
      <c r="VW302" s="6"/>
      <c r="VX302" s="6"/>
      <c r="VY302" s="6"/>
      <c r="VZ302" s="6"/>
      <c r="WA302" s="6"/>
      <c r="WB302" s="6"/>
      <c r="WC302" s="6"/>
      <c r="WD302" s="6"/>
      <c r="WE302" s="6"/>
      <c r="WF302" s="6"/>
      <c r="WG302" s="6"/>
      <c r="WH302" s="6"/>
      <c r="WI302" s="6"/>
      <c r="WJ302" s="6"/>
      <c r="WK302" s="6"/>
      <c r="WL302" s="6"/>
      <c r="WM302" s="6"/>
      <c r="WN302" s="6"/>
      <c r="WO302" s="6"/>
      <c r="WP302" s="6"/>
      <c r="WQ302" s="6"/>
      <c r="WR302" s="6"/>
      <c r="WS302" s="6"/>
      <c r="WT302" s="6"/>
      <c r="WU302" s="6"/>
      <c r="WV302" s="6"/>
      <c r="WW302" s="6"/>
      <c r="WX302" s="6"/>
      <c r="WY302" s="6"/>
      <c r="WZ302" s="6"/>
      <c r="XA302" s="6"/>
      <c r="XB302" s="6"/>
      <c r="XC302" s="6"/>
      <c r="XD302" s="6"/>
      <c r="XE302" s="6"/>
      <c r="XF302" s="6"/>
      <c r="XG302" s="6"/>
      <c r="XH302" s="6"/>
      <c r="XI302" s="6"/>
      <c r="XJ302" s="6"/>
      <c r="XK302" s="6"/>
      <c r="XL302" s="6"/>
      <c r="XM302" s="6"/>
      <c r="XN302" s="6"/>
      <c r="XO302" s="6"/>
      <c r="XP302" s="6"/>
      <c r="XQ302" s="6"/>
      <c r="XR302" s="6"/>
      <c r="XS302" s="6"/>
      <c r="XT302" s="6"/>
      <c r="XU302" s="6"/>
      <c r="XV302" s="6"/>
      <c r="XW302" s="6"/>
      <c r="XX302" s="6"/>
      <c r="XY302" s="6"/>
      <c r="XZ302" s="6"/>
      <c r="YA302" s="6"/>
      <c r="YB302" s="6"/>
      <c r="YC302" s="6"/>
      <c r="YD302" s="6"/>
      <c r="YE302" s="6"/>
      <c r="YF302" s="6"/>
      <c r="YG302" s="6"/>
      <c r="YH302" s="6"/>
      <c r="YI302" s="6"/>
      <c r="YJ302" s="6"/>
      <c r="YK302" s="6"/>
      <c r="YL302" s="6"/>
      <c r="YM302" s="6"/>
      <c r="YN302" s="6"/>
      <c r="YO302" s="6"/>
      <c r="YP302" s="6"/>
      <c r="YQ302" s="6"/>
      <c r="YR302" s="6"/>
      <c r="YS302" s="6"/>
      <c r="YT302" s="6"/>
      <c r="YU302" s="6"/>
      <c r="YV302" s="6"/>
      <c r="YW302" s="6"/>
      <c r="YX302" s="6"/>
      <c r="YY302" s="6"/>
      <c r="YZ302" s="6"/>
      <c r="ZA302" s="6"/>
      <c r="ZB302" s="6"/>
      <c r="ZC302" s="6"/>
      <c r="ZD302" s="6"/>
      <c r="ZE302" s="6"/>
      <c r="ZF302" s="6"/>
      <c r="ZG302" s="6"/>
      <c r="ZH302" s="6"/>
      <c r="ZI302" s="6"/>
      <c r="ZJ302" s="6"/>
      <c r="ZK302" s="6"/>
      <c r="ZL302" s="6"/>
      <c r="ZM302" s="6"/>
      <c r="ZN302" s="6"/>
      <c r="ZO302" s="6"/>
      <c r="ZP302" s="6"/>
      <c r="ZQ302" s="6"/>
      <c r="ZR302" s="6"/>
      <c r="ZS302" s="6"/>
      <c r="ZT302" s="6"/>
      <c r="ZU302" s="6"/>
      <c r="ZV302" s="6"/>
      <c r="ZW302" s="6"/>
      <c r="ZX302" s="6"/>
      <c r="ZY302" s="6"/>
      <c r="ZZ302" s="6"/>
      <c r="AAA302" s="6"/>
      <c r="AAB302" s="6"/>
      <c r="AAC302" s="6"/>
      <c r="AAD302" s="6"/>
      <c r="AAE302" s="6"/>
      <c r="AAF302" s="6"/>
      <c r="AAG302" s="6"/>
      <c r="AAH302" s="6"/>
      <c r="AAI302" s="6"/>
      <c r="AAJ302" s="6"/>
      <c r="AAK302" s="6"/>
      <c r="AAL302" s="6"/>
      <c r="AAM302" s="6"/>
      <c r="AAN302" s="6"/>
      <c r="AAO302" s="6"/>
      <c r="AAP302" s="6"/>
      <c r="AAQ302" s="6"/>
      <c r="AAR302" s="6"/>
      <c r="AAS302" s="6"/>
      <c r="AAT302" s="6"/>
      <c r="AAU302" s="6"/>
      <c r="AAV302" s="6"/>
      <c r="AAW302" s="6"/>
      <c r="AAX302" s="6"/>
      <c r="AAY302" s="6"/>
      <c r="AAZ302" s="6"/>
      <c r="ABA302" s="6"/>
      <c r="ABB302" s="6"/>
      <c r="ABC302" s="6"/>
      <c r="ABD302" s="6"/>
      <c r="ABE302" s="6"/>
      <c r="ABF302" s="6"/>
      <c r="ABG302" s="6"/>
      <c r="ABH302" s="6"/>
      <c r="ABI302" s="6"/>
      <c r="ABJ302" s="6"/>
      <c r="ABK302" s="6"/>
      <c r="ABL302" s="6"/>
      <c r="ABM302" s="6"/>
      <c r="ABN302" s="6"/>
      <c r="ABO302" s="6"/>
      <c r="ABP302" s="6"/>
      <c r="ABQ302" s="6"/>
      <c r="ABR302" s="6"/>
      <c r="ABS302" s="6"/>
      <c r="ABT302" s="6"/>
      <c r="ABU302" s="6"/>
      <c r="ABV302" s="6"/>
      <c r="ABW302" s="6"/>
      <c r="ABX302" s="6"/>
      <c r="ABY302" s="6"/>
      <c r="ABZ302" s="6"/>
      <c r="ACA302" s="6"/>
      <c r="ACB302" s="6"/>
      <c r="ACC302" s="6"/>
      <c r="ACD302" s="6"/>
      <c r="ACE302" s="6"/>
      <c r="ACF302" s="6"/>
      <c r="ACG302" s="6"/>
      <c r="ACH302" s="6"/>
      <c r="ACI302" s="6"/>
      <c r="ACJ302" s="6"/>
      <c r="ACK302" s="6"/>
      <c r="ACL302" s="6"/>
      <c r="ACM302" s="6"/>
      <c r="ACN302" s="6"/>
      <c r="ACO302" s="6"/>
      <c r="ACP302" s="6"/>
      <c r="ACQ302" s="6"/>
      <c r="ACR302" s="6"/>
      <c r="ACS302" s="6"/>
      <c r="ACT302" s="6"/>
      <c r="ACU302" s="6"/>
      <c r="ACV302" s="6"/>
      <c r="ACW302" s="6"/>
      <c r="ACX302" s="6"/>
      <c r="ACY302" s="6"/>
      <c r="ACZ302" s="6"/>
      <c r="ADA302" s="6"/>
      <c r="ADB302" s="6"/>
      <c r="ADC302" s="6"/>
      <c r="ADD302" s="6"/>
      <c r="ADE302" s="6"/>
      <c r="ADF302" s="6"/>
      <c r="ADG302" s="6"/>
      <c r="ADH302" s="6"/>
      <c r="ADI302" s="6"/>
      <c r="ADJ302" s="6"/>
      <c r="ADK302" s="6"/>
      <c r="ADL302" s="6"/>
      <c r="ADM302" s="6"/>
      <c r="ADN302" s="6"/>
      <c r="ADO302" s="6"/>
      <c r="ADP302" s="6"/>
      <c r="ADQ302" s="6"/>
      <c r="ADR302" s="6"/>
      <c r="ADS302" s="6"/>
      <c r="ADT302" s="6"/>
      <c r="ADU302" s="6"/>
      <c r="ADV302" s="6"/>
      <c r="ADW302" s="6"/>
      <c r="ADX302" s="6"/>
      <c r="ADY302" s="6"/>
      <c r="ADZ302" s="6"/>
      <c r="AEA302" s="6"/>
      <c r="AEB302" s="6"/>
      <c r="AEC302" s="6"/>
      <c r="AED302" s="6"/>
      <c r="AEE302" s="6"/>
      <c r="AEF302" s="6"/>
      <c r="AEG302" s="6"/>
      <c r="AEH302" s="6"/>
      <c r="AEI302" s="6"/>
      <c r="AEJ302" s="6"/>
      <c r="AEK302" s="6"/>
      <c r="AEL302" s="6"/>
      <c r="AEM302" s="6"/>
      <c r="AEN302" s="6"/>
      <c r="AEO302" s="6"/>
      <c r="AEP302" s="6"/>
      <c r="AEQ302" s="6"/>
      <c r="AER302" s="6"/>
      <c r="AES302" s="6"/>
      <c r="AET302" s="6"/>
      <c r="AEU302" s="6"/>
      <c r="AEV302" s="6"/>
      <c r="AEW302" s="6"/>
      <c r="AEX302" s="6"/>
      <c r="AEY302" s="6"/>
      <c r="AEZ302" s="6"/>
      <c r="AFA302" s="6"/>
      <c r="AFB302" s="6"/>
      <c r="AFC302" s="6"/>
      <c r="AFD302" s="6"/>
      <c r="AFE302" s="6"/>
      <c r="AFF302" s="6"/>
      <c r="AFG302" s="6"/>
      <c r="AFH302" s="6"/>
      <c r="AFI302" s="6"/>
      <c r="AFJ302" s="6"/>
      <c r="AFK302" s="6"/>
      <c r="AFL302" s="6"/>
      <c r="AFM302" s="6"/>
      <c r="AFN302" s="6"/>
      <c r="AFO302" s="6"/>
      <c r="AFP302" s="6"/>
      <c r="AFQ302" s="6"/>
      <c r="AFR302" s="6"/>
      <c r="AFS302" s="6"/>
      <c r="AFT302" s="6"/>
      <c r="AFU302" s="6"/>
      <c r="AFV302" s="6"/>
      <c r="AFW302" s="6"/>
      <c r="AFX302" s="6"/>
      <c r="AFY302" s="6"/>
      <c r="AFZ302" s="6"/>
      <c r="AGA302" s="6"/>
      <c r="AGB302" s="6"/>
      <c r="AGC302" s="6"/>
      <c r="AGD302" s="6"/>
      <c r="AGE302" s="6"/>
      <c r="AGF302" s="6"/>
      <c r="AGG302" s="6"/>
      <c r="AGH302" s="6"/>
      <c r="AGI302" s="6"/>
      <c r="AGJ302" s="6"/>
      <c r="AGK302" s="6"/>
      <c r="AGL302" s="6"/>
      <c r="AGM302" s="6"/>
      <c r="AGN302" s="6"/>
      <c r="AGO302" s="6"/>
      <c r="AGP302" s="6"/>
      <c r="AGQ302" s="6"/>
      <c r="AGR302" s="6"/>
      <c r="AGS302" s="6"/>
      <c r="AGT302" s="6"/>
      <c r="AGU302" s="6"/>
      <c r="AGV302" s="6"/>
      <c r="AGW302" s="6"/>
      <c r="AGX302" s="6"/>
      <c r="AGY302" s="6"/>
      <c r="AGZ302" s="6"/>
      <c r="AHA302" s="6"/>
      <c r="AHB302" s="6"/>
      <c r="AHC302" s="6"/>
      <c r="AHD302" s="6"/>
      <c r="AHE302" s="6"/>
      <c r="AHF302" s="6"/>
      <c r="AHG302" s="6"/>
      <c r="AHH302" s="6"/>
      <c r="AHI302" s="6"/>
      <c r="AHJ302" s="6"/>
      <c r="AHK302" s="6"/>
      <c r="AHL302" s="6"/>
      <c r="AHM302" s="6"/>
      <c r="AHN302" s="6"/>
      <c r="AHO302" s="6"/>
      <c r="AHP302" s="6"/>
      <c r="AHQ302" s="6"/>
      <c r="AHR302" s="6"/>
      <c r="AHS302" s="6"/>
      <c r="AHT302" s="6"/>
      <c r="AHU302" s="6"/>
      <c r="AHV302" s="6"/>
      <c r="AHW302" s="6"/>
      <c r="AHX302" s="6"/>
      <c r="AHY302" s="6"/>
      <c r="AHZ302" s="6"/>
      <c r="AIA302" s="6"/>
      <c r="AIB302" s="6"/>
      <c r="AIC302" s="6"/>
      <c r="AID302" s="6"/>
      <c r="AIE302" s="6"/>
      <c r="AIF302" s="6"/>
      <c r="AIG302" s="6"/>
      <c r="AIH302" s="6"/>
      <c r="AII302" s="6"/>
      <c r="AIJ302" s="6"/>
      <c r="AIK302" s="6"/>
      <c r="AIL302" s="6"/>
      <c r="AIM302" s="6"/>
      <c r="AIN302" s="6"/>
      <c r="AIO302" s="6"/>
      <c r="AIP302" s="6"/>
      <c r="AIQ302" s="6"/>
      <c r="AIR302" s="6"/>
      <c r="AIS302" s="6"/>
      <c r="AIT302" s="6"/>
      <c r="AIU302" s="6"/>
      <c r="AIV302" s="6"/>
      <c r="AIW302" s="6"/>
      <c r="AIX302" s="6"/>
      <c r="AIY302" s="6"/>
      <c r="AIZ302" s="6"/>
      <c r="AJA302" s="6"/>
      <c r="AJB302" s="6"/>
      <c r="AJC302" s="6"/>
      <c r="AJD302" s="6"/>
      <c r="AJE302" s="6"/>
      <c r="AJF302" s="6"/>
      <c r="AJG302" s="6"/>
      <c r="AJH302" s="6"/>
      <c r="AJI302" s="6"/>
      <c r="AJJ302" s="6"/>
      <c r="AJK302" s="6"/>
      <c r="AJL302" s="6"/>
      <c r="AJM302" s="6"/>
      <c r="AJN302" s="6"/>
      <c r="AJO302" s="6"/>
      <c r="AJP302" s="6"/>
      <c r="AJQ302" s="6"/>
      <c r="AJR302" s="6"/>
      <c r="AJS302" s="6"/>
      <c r="AJT302" s="6"/>
      <c r="AJU302" s="6"/>
      <c r="AJV302" s="6"/>
      <c r="AJW302" s="6"/>
      <c r="AJX302" s="6"/>
      <c r="AJY302" s="6"/>
      <c r="AJZ302" s="6"/>
      <c r="AKA302" s="6"/>
      <c r="AKB302" s="6"/>
      <c r="AKC302" s="6"/>
      <c r="AKD302" s="6"/>
      <c r="AKE302" s="6"/>
      <c r="AKF302" s="6"/>
      <c r="AKG302" s="6"/>
      <c r="AKH302" s="6"/>
      <c r="AKI302" s="6"/>
      <c r="AKJ302" s="6"/>
      <c r="AKK302" s="6"/>
      <c r="AKL302" s="6"/>
      <c r="AKM302" s="6"/>
      <c r="AKN302" s="6"/>
      <c r="AKO302" s="6"/>
      <c r="AKP302" s="6"/>
      <c r="AKQ302" s="6"/>
      <c r="AKR302" s="6"/>
      <c r="AKS302" s="6"/>
      <c r="AKT302" s="6"/>
      <c r="AKU302" s="6"/>
      <c r="AKV302" s="6"/>
      <c r="AKW302" s="6"/>
      <c r="AKX302" s="6"/>
      <c r="AKY302" s="6"/>
      <c r="AKZ302" s="6"/>
      <c r="ALA302" s="6"/>
      <c r="ALB302" s="6"/>
      <c r="ALC302" s="6"/>
      <c r="ALD302" s="6"/>
      <c r="ALE302" s="6"/>
      <c r="ALF302" s="6"/>
      <c r="ALG302" s="6"/>
      <c r="ALH302" s="6"/>
      <c r="ALI302" s="6"/>
      <c r="ALJ302" s="6"/>
      <c r="ALK302" s="6"/>
      <c r="ALL302" s="6"/>
      <c r="ALM302" s="6"/>
      <c r="ALN302" s="6"/>
      <c r="ALO302" s="6"/>
      <c r="ALP302" s="6"/>
      <c r="ALQ302" s="6"/>
      <c r="ALR302" s="6"/>
      <c r="ALS302" s="6"/>
      <c r="ALT302" s="6"/>
      <c r="ALU302" s="6"/>
      <c r="ALV302" s="6"/>
      <c r="ALW302" s="6"/>
      <c r="ALX302" s="6"/>
      <c r="ALY302" s="6"/>
      <c r="ALZ302" s="6"/>
      <c r="AMA302" s="6"/>
      <c r="AMB302" s="6"/>
      <c r="AMC302" s="6"/>
      <c r="AMD302" s="6"/>
      <c r="AME302" s="6"/>
      <c r="AMF302" s="6"/>
      <c r="AMG302" s="6"/>
      <c r="AMH302" s="6"/>
      <c r="AMI302" s="6"/>
      <c r="AMJ302" s="6"/>
      <c r="AMK302" s="6"/>
      <c r="AML302" s="6"/>
      <c r="AMM302" s="6"/>
      <c r="AMN302" s="6"/>
      <c r="AMO302" s="6"/>
      <c r="AMP302" s="6"/>
    </row>
    <row r="303" spans="1:1030" x14ac:dyDescent="0.2">
      <c r="A303" s="3" t="str">
        <f>CONCATENATE(B303,"_",C303)</f>
        <v>opsd_bovin_4J4Q</v>
      </c>
      <c r="B303" s="3" t="s">
        <v>913</v>
      </c>
      <c r="C303" s="3" t="s">
        <v>1037</v>
      </c>
      <c r="D303" s="3" t="str">
        <f>IFERROR(MID(VLOOKUP($B303,Seqs!$A:$B,2,0),E303,1),"")</f>
        <v>E</v>
      </c>
      <c r="E303" s="105">
        <v>33</v>
      </c>
      <c r="F303" s="3" t="str">
        <f>IFERROR(MID(VLOOKUP($B303,Seqs!$A:$B,2,0),G303,1),"")</f>
        <v>H</v>
      </c>
      <c r="G303" s="3">
        <v>65</v>
      </c>
      <c r="H303" s="3" t="str">
        <f>IFERROR(MID(VLOOKUP($B303,Seqs!$A:$B,2,0),I303,1),"")</f>
        <v>K</v>
      </c>
      <c r="I303" s="23">
        <v>66</v>
      </c>
      <c r="J303" s="3" t="str">
        <f>IFERROR(MID(VLOOKUP($B303,Seqs!$A:$B,2,0),K303,1),"")</f>
        <v>R</v>
      </c>
      <c r="K303" s="23">
        <v>69</v>
      </c>
      <c r="L303" s="3" t="str">
        <f>IFERROR(MID(VLOOKUP($B303,Seqs!$A:$B,2,0),M303,1),"")</f>
        <v>T</v>
      </c>
      <c r="M303" s="3">
        <v>70</v>
      </c>
      <c r="N303" s="3" t="str">
        <f>IFERROR(MID(VLOOKUP($B303,Seqs!$A:$B,2,0),O303,1),"")</f>
        <v>H</v>
      </c>
      <c r="O303" s="3">
        <v>100</v>
      </c>
      <c r="P303" s="3" t="str">
        <f>IFERROR(MID(VLOOKUP($B303,Seqs!$A:$B,2,0),Q303,1),"")</f>
        <v>Y</v>
      </c>
      <c r="Q303" s="3">
        <v>102</v>
      </c>
      <c r="R303" s="3" t="str">
        <f>IFERROR(MID(VLOOKUP($B303,Seqs!$A:$B,2,0),S303,1),"")</f>
        <v>F</v>
      </c>
      <c r="S303" s="3">
        <v>105</v>
      </c>
      <c r="T303" s="3" t="str">
        <f>IFERROR(MID(VLOOKUP($B303,Seqs!$A:$B,2,0),U303,1),"")</f>
        <v>G</v>
      </c>
      <c r="U303" s="3">
        <v>106</v>
      </c>
      <c r="V303" s="3" t="str">
        <f>IFERROR(MID(VLOOKUP($B303,Seqs!$A:$B,2,0),W303,1),"")</f>
        <v>K</v>
      </c>
      <c r="W303" s="3">
        <v>141</v>
      </c>
      <c r="X303" s="3" t="str">
        <f>IFERROR(MID(VLOOKUP($B303,Seqs!$A:$B,2,0),Y303,1),"")</f>
        <v/>
      </c>
      <c r="Y303" s="3" t="s">
        <v>23</v>
      </c>
      <c r="Z303" s="3" t="str">
        <f>IFERROR(MID(VLOOKUP($B303,Seqs!$A:$B,2,0),AA303,1),"")</f>
        <v/>
      </c>
      <c r="AA303" s="3" t="s">
        <v>23</v>
      </c>
      <c r="AB303" s="3" t="str">
        <f>IFERROR(MID(VLOOKUP($B303,Seqs!$A:$B,2,0),AC303,1),"")</f>
        <v>G</v>
      </c>
      <c r="AC303" s="9">
        <v>149</v>
      </c>
      <c r="AD303" s="3" t="str">
        <f>IFERROR(MID(VLOOKUP($B303,Seqs!$A:$B,2,0),AE303,1),"")</f>
        <v>V</v>
      </c>
      <c r="AE303" s="3">
        <v>173</v>
      </c>
      <c r="AF303" s="3" t="str">
        <f>IFERROR(MID(VLOOKUP($B303,Seqs!$A:$B,2,0),AG303,1),"")</f>
        <v>C</v>
      </c>
      <c r="AG303" s="3">
        <v>187</v>
      </c>
      <c r="AH303" s="3" t="str">
        <f>IFERROR(MID(VLOOKUP($B303,Seqs!$A:$B,2,0),AI303,1),"")</f>
        <v>I</v>
      </c>
      <c r="AI303" s="3">
        <v>189</v>
      </c>
      <c r="AJ303" s="3" t="str">
        <f>IFERROR(MID(VLOOKUP($B303,Seqs!$A:$B,2,0),AK303,1),"")</f>
        <v>N</v>
      </c>
      <c r="AK303" s="3">
        <v>199</v>
      </c>
      <c r="AL303" s="3" t="str">
        <f>IFERROR(MID(VLOOKUP($B303,Seqs!$A:$B,2,0),AM303,1),"")</f>
        <v>Q</v>
      </c>
      <c r="AM303" s="3">
        <v>237</v>
      </c>
      <c r="AN303" s="3" t="str">
        <f>IFERROR(MID(VLOOKUP($B303,Seqs!$A:$B,2,0),AO303,1),"")</f>
        <v>A</v>
      </c>
      <c r="AO303" s="3">
        <v>241</v>
      </c>
      <c r="AP303" s="3" t="str">
        <f>IFERROR(MID(VLOOKUP($B303,Seqs!$A:$B,2,0),AQ303,1),"")</f>
        <v>H</v>
      </c>
      <c r="AQ303" s="3">
        <v>278</v>
      </c>
      <c r="AR303" s="3" t="str">
        <f>IFERROR(MID(VLOOKUP($B303,Seqs!$A:$B,2,0),AS303,1),"")</f>
        <v>G</v>
      </c>
      <c r="AS303" s="3">
        <v>284</v>
      </c>
      <c r="AT303" s="3" t="str">
        <f>IFERROR(MID(VLOOKUP($B303,Seqs!$A:$B,2,0),AU303,1),"")</f>
        <v>M</v>
      </c>
      <c r="AU303" s="3">
        <v>309</v>
      </c>
      <c r="AV303" s="3" t="str">
        <f>IFERROR(MID(VLOOKUP($B303,Seqs!$A:$B,2,0),AW303,1),"")</f>
        <v>N</v>
      </c>
      <c r="AW303" s="3">
        <v>310</v>
      </c>
      <c r="AX303" s="3" t="str">
        <f>IFERROR(MID(VLOOKUP($B303,Seqs!$A:$B,2,0),AY303,1),"")</f>
        <v>C</v>
      </c>
      <c r="AY303" s="3">
        <v>322</v>
      </c>
      <c r="AZ303" s="77" t="str">
        <f>VLOOKUP(B303,Classification!A:D,2,0)</f>
        <v>A</v>
      </c>
      <c r="BA303" s="94" t="str">
        <f>VLOOKUP(B303,Classification!A:D,4,0)</f>
        <v>Opsins</v>
      </c>
      <c r="BB303" s="27" t="b">
        <f t="shared" si="1074"/>
        <v>1</v>
      </c>
      <c r="BC303" s="23">
        <f t="shared" ref="BC303:BC386" si="1113">_xlfn.AGGREGATE(9,6,CH303:CS303)-_xlfn.AGGREGATE(9,6,BV303:CG303)+12</f>
        <v>253</v>
      </c>
      <c r="BD303" s="4" t="s">
        <v>23</v>
      </c>
      <c r="BE303" s="3" t="s">
        <v>1285</v>
      </c>
      <c r="BF303" s="118">
        <v>2.65</v>
      </c>
      <c r="BG303" s="49" t="s">
        <v>1371</v>
      </c>
      <c r="BH303" s="49" t="s">
        <v>1371</v>
      </c>
      <c r="BI303" s="1"/>
      <c r="BJ303" s="70" t="s">
        <v>1281</v>
      </c>
      <c r="BK303" s="57" t="s">
        <v>1281</v>
      </c>
      <c r="BL303" s="57" t="s">
        <v>1281</v>
      </c>
      <c r="BM303" s="57" t="s">
        <v>1281</v>
      </c>
      <c r="BN303" s="57" t="s">
        <v>1281</v>
      </c>
      <c r="BO303" s="57" t="s">
        <v>1281</v>
      </c>
      <c r="BP303" s="57" t="s">
        <v>1281</v>
      </c>
      <c r="BQ303" s="57" t="s">
        <v>1281</v>
      </c>
      <c r="BR303" s="57" t="s">
        <v>1281</v>
      </c>
      <c r="BS303" s="57" t="s">
        <v>1281</v>
      </c>
      <c r="BT303" s="57" t="s">
        <v>1281</v>
      </c>
      <c r="BU303" s="57" t="s">
        <v>1281</v>
      </c>
      <c r="BV303" s="70">
        <f>E303</f>
        <v>33</v>
      </c>
      <c r="BW303" s="71">
        <f>I303</f>
        <v>66</v>
      </c>
      <c r="BX303" s="72">
        <f>M303</f>
        <v>70</v>
      </c>
      <c r="BY303" s="71">
        <f>Q303</f>
        <v>102</v>
      </c>
      <c r="BZ303" s="72">
        <f>U303</f>
        <v>106</v>
      </c>
      <c r="CA303" s="71" t="str">
        <f>Y303</f>
        <v>-</v>
      </c>
      <c r="CB303" s="72">
        <f>AC303</f>
        <v>149</v>
      </c>
      <c r="CC303" s="71">
        <f>AG303</f>
        <v>187</v>
      </c>
      <c r="CD303" s="72">
        <f>AK303</f>
        <v>199</v>
      </c>
      <c r="CE303" s="71">
        <f>AO303</f>
        <v>241</v>
      </c>
      <c r="CF303" s="72">
        <f>AS303</f>
        <v>284</v>
      </c>
      <c r="CG303" s="71">
        <f>AW303</f>
        <v>310</v>
      </c>
      <c r="CH303" s="70">
        <f>G303</f>
        <v>65</v>
      </c>
      <c r="CI303" s="71">
        <f>K303</f>
        <v>69</v>
      </c>
      <c r="CJ303" s="72">
        <f>O303</f>
        <v>100</v>
      </c>
      <c r="CK303" s="72">
        <f>S303</f>
        <v>105</v>
      </c>
      <c r="CL303" s="72">
        <f>W303</f>
        <v>141</v>
      </c>
      <c r="CM303" s="72" t="str">
        <f>AA303</f>
        <v>-</v>
      </c>
      <c r="CN303" s="72">
        <f>AE303</f>
        <v>173</v>
      </c>
      <c r="CO303" s="72">
        <f>AI303</f>
        <v>189</v>
      </c>
      <c r="CP303" s="72">
        <f>AM303</f>
        <v>237</v>
      </c>
      <c r="CQ303" s="72">
        <f>AQ303</f>
        <v>278</v>
      </c>
      <c r="CR303" s="72">
        <f>AU303</f>
        <v>309</v>
      </c>
      <c r="CS303" s="72">
        <f>AY303</f>
        <v>322</v>
      </c>
      <c r="CT303" s="23">
        <f>M303-K303</f>
        <v>1</v>
      </c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  <c r="SR303" s="1"/>
      <c r="SS303" s="1"/>
      <c r="ST303" s="1"/>
      <c r="SU303" s="1"/>
      <c r="SV303" s="1"/>
      <c r="SW303" s="1"/>
      <c r="SX303" s="1"/>
      <c r="SY303" s="1"/>
      <c r="SZ303" s="1"/>
      <c r="TA303" s="1"/>
      <c r="TB303" s="1"/>
      <c r="TC303" s="1"/>
      <c r="TD303" s="1"/>
      <c r="TE303" s="1"/>
      <c r="TF303" s="1"/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s="1"/>
      <c r="UI303" s="1"/>
      <c r="UJ303" s="1"/>
      <c r="UK303" s="1"/>
      <c r="UL303" s="1"/>
      <c r="UM303" s="1"/>
      <c r="UN303" s="1"/>
      <c r="UO303" s="1"/>
      <c r="UP303" s="1"/>
      <c r="UQ303" s="1"/>
      <c r="UR303" s="1"/>
      <c r="US303" s="1"/>
      <c r="UT303" s="1"/>
      <c r="UU303" s="1"/>
      <c r="UV303" s="1"/>
      <c r="UW303" s="1"/>
      <c r="UX303" s="1"/>
      <c r="UY303" s="1"/>
      <c r="UZ303" s="1"/>
      <c r="VA303" s="1"/>
      <c r="VB303" s="1"/>
      <c r="VC303" s="1"/>
      <c r="VD303" s="1"/>
      <c r="VE303" s="1"/>
      <c r="VF303" s="1"/>
      <c r="VG303" s="1"/>
      <c r="VH303" s="1"/>
      <c r="VI303" s="1"/>
      <c r="VJ303" s="1"/>
      <c r="VK303" s="1"/>
      <c r="VL303" s="1"/>
      <c r="VM303" s="1"/>
      <c r="VN303" s="1"/>
      <c r="VO303" s="1"/>
      <c r="VP303" s="1"/>
      <c r="VQ303" s="1"/>
      <c r="VR303" s="1"/>
      <c r="VS303" s="1"/>
      <c r="VT303" s="1"/>
      <c r="VU303" s="1"/>
      <c r="VV303" s="1"/>
      <c r="VW303" s="1"/>
      <c r="VX303" s="1"/>
      <c r="VY303" s="1"/>
      <c r="VZ303" s="1"/>
      <c r="WA303" s="1"/>
      <c r="WB303" s="1"/>
      <c r="WC303" s="1"/>
      <c r="WD303" s="1"/>
      <c r="WE303" s="1"/>
      <c r="WF303" s="1"/>
      <c r="WG303" s="1"/>
      <c r="WH303" s="1"/>
      <c r="WI303" s="1"/>
      <c r="WJ303" s="1"/>
      <c r="WK303" s="1"/>
      <c r="WL303" s="1"/>
      <c r="WM303" s="1"/>
      <c r="WN303" s="1"/>
      <c r="WO303" s="1"/>
      <c r="WP303" s="1"/>
      <c r="WQ303" s="1"/>
      <c r="WR303" s="1"/>
      <c r="WS303" s="1"/>
      <c r="WT303" s="1"/>
      <c r="WU303" s="1"/>
      <c r="WV303" s="1"/>
      <c r="WW303" s="1"/>
      <c r="WX303" s="1"/>
      <c r="WY303" s="1"/>
      <c r="WZ303" s="1"/>
      <c r="XA303" s="1"/>
      <c r="XB303" s="1"/>
      <c r="XC303" s="1"/>
      <c r="XD303" s="1"/>
      <c r="XE303" s="1"/>
      <c r="XF303" s="1"/>
      <c r="XG303" s="1"/>
      <c r="XH303" s="1"/>
      <c r="XI303" s="1"/>
      <c r="XJ303" s="1"/>
      <c r="XK303" s="1"/>
      <c r="XL303" s="1"/>
      <c r="XM303" s="1"/>
      <c r="XN303" s="1"/>
      <c r="XO303" s="1"/>
      <c r="XP303" s="1"/>
      <c r="XQ303" s="1"/>
      <c r="XR303" s="1"/>
      <c r="XS303" s="1"/>
      <c r="XT303" s="1"/>
      <c r="XU303" s="1"/>
      <c r="XV303" s="1"/>
      <c r="XW303" s="1"/>
      <c r="XX303" s="1"/>
      <c r="XY303" s="1"/>
      <c r="XZ303" s="1"/>
      <c r="YA303" s="1"/>
      <c r="YB303" s="1"/>
      <c r="YC303" s="1"/>
      <c r="YD303" s="1"/>
      <c r="YE303" s="1"/>
      <c r="YF303" s="1"/>
      <c r="YG303" s="1"/>
      <c r="YH303" s="1"/>
      <c r="YI303" s="1"/>
      <c r="YJ303" s="1"/>
      <c r="YK303" s="1"/>
      <c r="YL303" s="1"/>
      <c r="YM303" s="1"/>
      <c r="YN303" s="1"/>
      <c r="YO303" s="1"/>
      <c r="YP303" s="1"/>
      <c r="YQ303" s="1"/>
      <c r="YR303" s="1"/>
      <c r="YS303" s="1"/>
      <c r="YT303" s="1"/>
      <c r="YU303" s="1"/>
      <c r="YV303" s="1"/>
      <c r="YW303" s="1"/>
      <c r="YX303" s="1"/>
      <c r="YY303" s="1"/>
      <c r="YZ303" s="1"/>
      <c r="ZA303" s="1"/>
      <c r="ZB303" s="1"/>
      <c r="ZC303" s="1"/>
      <c r="ZD303" s="1"/>
      <c r="ZE303" s="1"/>
      <c r="ZF303" s="1"/>
      <c r="ZG303" s="1"/>
      <c r="ZH303" s="1"/>
      <c r="ZI303" s="1"/>
      <c r="ZJ303" s="1"/>
      <c r="ZK303" s="1"/>
      <c r="ZL303" s="1"/>
      <c r="ZM303" s="1"/>
      <c r="ZN303" s="1"/>
      <c r="ZO303" s="1"/>
      <c r="ZP303" s="1"/>
      <c r="ZQ303" s="1"/>
      <c r="ZR303" s="1"/>
      <c r="ZS303" s="1"/>
      <c r="ZT303" s="1"/>
      <c r="ZU303" s="1"/>
      <c r="ZV303" s="1"/>
      <c r="ZW303" s="1"/>
      <c r="ZX303" s="1"/>
      <c r="ZY303" s="1"/>
      <c r="ZZ303" s="1"/>
      <c r="AAA303" s="1"/>
      <c r="AAB303" s="1"/>
      <c r="AAC303" s="1"/>
      <c r="AAD303" s="1"/>
      <c r="AAE303" s="1"/>
      <c r="AAF303" s="1"/>
      <c r="AAG303" s="1"/>
      <c r="AAH303" s="1"/>
      <c r="AAI303" s="1"/>
      <c r="AAJ303" s="1"/>
      <c r="AAK303" s="1"/>
      <c r="AAL303" s="1"/>
      <c r="AAM303" s="1"/>
      <c r="AAN303" s="1"/>
      <c r="AAO303" s="1"/>
      <c r="AAP303" s="1"/>
      <c r="AAQ303" s="1"/>
      <c r="AAR303" s="1"/>
      <c r="AAS303" s="1"/>
      <c r="AAT303" s="1"/>
      <c r="AAU303" s="1"/>
      <c r="AAV303" s="1"/>
      <c r="AAW303" s="1"/>
      <c r="AAX303" s="1"/>
      <c r="AAY303" s="1"/>
      <c r="AAZ303" s="1"/>
      <c r="ABA303" s="1"/>
      <c r="ABB303" s="1"/>
      <c r="ABC303" s="1"/>
      <c r="ABD303" s="1"/>
      <c r="ABE303" s="1"/>
      <c r="ABF303" s="1"/>
      <c r="ABG303" s="1"/>
      <c r="ABH303" s="1"/>
      <c r="ABI303" s="1"/>
      <c r="ABJ303" s="1"/>
      <c r="ABK303" s="1"/>
      <c r="ABL303" s="1"/>
      <c r="ABM303" s="1"/>
      <c r="ABN303" s="1"/>
      <c r="ABO303" s="1"/>
      <c r="ABP303" s="1"/>
      <c r="ABQ303" s="1"/>
      <c r="ABR303" s="1"/>
      <c r="ABS303" s="1"/>
      <c r="ABT303" s="1"/>
      <c r="ABU303" s="1"/>
      <c r="ABV303" s="1"/>
      <c r="ABW303" s="1"/>
      <c r="ABX303" s="1"/>
      <c r="ABY303" s="1"/>
      <c r="ABZ303" s="1"/>
      <c r="ACA303" s="1"/>
      <c r="ACB303" s="1"/>
      <c r="ACC303" s="1"/>
      <c r="ACD303" s="1"/>
      <c r="ACE303" s="1"/>
      <c r="ACF303" s="1"/>
      <c r="ACG303" s="1"/>
      <c r="ACH303" s="1"/>
      <c r="ACI303" s="1"/>
      <c r="ACJ303" s="1"/>
      <c r="ACK303" s="1"/>
      <c r="ACL303" s="1"/>
      <c r="ACM303" s="1"/>
      <c r="ACN303" s="1"/>
      <c r="ACO303" s="1"/>
      <c r="ACP303" s="1"/>
      <c r="ACQ303" s="1"/>
      <c r="ACR303" s="1"/>
      <c r="ACS303" s="1"/>
      <c r="ACT303" s="1"/>
      <c r="ACU303" s="1"/>
      <c r="ACV303" s="1"/>
      <c r="ACW303" s="1"/>
      <c r="ACX303" s="1"/>
      <c r="ACY303" s="1"/>
      <c r="ACZ303" s="1"/>
      <c r="ADA303" s="1"/>
      <c r="ADB303" s="1"/>
      <c r="ADC303" s="1"/>
      <c r="ADD303" s="1"/>
      <c r="ADE303" s="1"/>
      <c r="ADF303" s="1"/>
      <c r="ADG303" s="1"/>
      <c r="ADH303" s="1"/>
      <c r="ADI303" s="1"/>
      <c r="ADJ303" s="1"/>
      <c r="ADK303" s="1"/>
      <c r="ADL303" s="1"/>
      <c r="ADM303" s="1"/>
      <c r="ADN303" s="1"/>
      <c r="ADO303" s="1"/>
      <c r="ADP303" s="1"/>
      <c r="ADQ303" s="1"/>
      <c r="ADR303" s="1"/>
      <c r="ADS303" s="1"/>
      <c r="ADT303" s="1"/>
      <c r="ADU303" s="1"/>
      <c r="ADV303" s="1"/>
      <c r="ADW303" s="1"/>
      <c r="ADX303" s="1"/>
      <c r="ADY303" s="1"/>
      <c r="ADZ303" s="1"/>
      <c r="AEA303" s="1"/>
      <c r="AEB303" s="1"/>
      <c r="AEC303" s="1"/>
      <c r="AED303" s="1"/>
      <c r="AEE303" s="1"/>
      <c r="AEF303" s="1"/>
      <c r="AEG303" s="1"/>
      <c r="AEH303" s="1"/>
      <c r="AEI303" s="1"/>
      <c r="AEJ303" s="1"/>
      <c r="AEK303" s="1"/>
      <c r="AEL303" s="1"/>
      <c r="AEM303" s="1"/>
      <c r="AEN303" s="1"/>
      <c r="AEO303" s="1"/>
      <c r="AEP303" s="1"/>
      <c r="AEQ303" s="1"/>
      <c r="AER303" s="1"/>
      <c r="AES303" s="1"/>
      <c r="AET303" s="1"/>
      <c r="AEU303" s="1"/>
      <c r="AEV303" s="1"/>
      <c r="AEW303" s="1"/>
      <c r="AEX303" s="1"/>
      <c r="AEY303" s="1"/>
      <c r="AEZ303" s="1"/>
      <c r="AFA303" s="1"/>
      <c r="AFB303" s="1"/>
      <c r="AFC303" s="1"/>
      <c r="AFD303" s="1"/>
      <c r="AFE303" s="1"/>
      <c r="AFF303" s="1"/>
      <c r="AFG303" s="1"/>
      <c r="AFH303" s="1"/>
      <c r="AFI303" s="1"/>
      <c r="AFJ303" s="1"/>
      <c r="AFK303" s="1"/>
      <c r="AFL303" s="1"/>
      <c r="AFM303" s="1"/>
      <c r="AFN303" s="1"/>
      <c r="AFO303" s="1"/>
      <c r="AFP303" s="1"/>
      <c r="AFQ303" s="1"/>
      <c r="AFR303" s="1"/>
      <c r="AFS303" s="1"/>
      <c r="AFT303" s="1"/>
      <c r="AFU303" s="1"/>
      <c r="AFV303" s="1"/>
      <c r="AFW303" s="1"/>
      <c r="AFX303" s="1"/>
      <c r="AFY303" s="1"/>
      <c r="AFZ303" s="1"/>
      <c r="AGA303" s="1"/>
      <c r="AGB303" s="1"/>
      <c r="AGC303" s="1"/>
      <c r="AGD303" s="1"/>
      <c r="AGE303" s="1"/>
      <c r="AGF303" s="1"/>
      <c r="AGG303" s="1"/>
      <c r="AGH303" s="1"/>
      <c r="AGI303" s="1"/>
      <c r="AGJ303" s="1"/>
      <c r="AGK303" s="1"/>
      <c r="AGL303" s="1"/>
      <c r="AGM303" s="1"/>
      <c r="AGN303" s="1"/>
      <c r="AGO303" s="1"/>
      <c r="AGP303" s="1"/>
      <c r="AGQ303" s="1"/>
      <c r="AGR303" s="1"/>
      <c r="AGS303" s="1"/>
      <c r="AGT303" s="1"/>
      <c r="AGU303" s="1"/>
      <c r="AGV303" s="1"/>
      <c r="AGW303" s="1"/>
      <c r="AGX303" s="1"/>
      <c r="AGY303" s="1"/>
      <c r="AGZ303" s="1"/>
      <c r="AHA303" s="1"/>
      <c r="AHB303" s="1"/>
      <c r="AHC303" s="1"/>
      <c r="AHD303" s="1"/>
      <c r="AHE303" s="1"/>
      <c r="AHF303" s="1"/>
      <c r="AHG303" s="1"/>
      <c r="AHH303" s="1"/>
      <c r="AHI303" s="1"/>
      <c r="AHJ303" s="1"/>
      <c r="AHK303" s="1"/>
      <c r="AHL303" s="1"/>
      <c r="AHM303" s="1"/>
      <c r="AHN303" s="1"/>
      <c r="AHO303" s="1"/>
      <c r="AHP303" s="1"/>
      <c r="AHQ303" s="1"/>
      <c r="AHR303" s="1"/>
      <c r="AHS303" s="1"/>
      <c r="AHT303" s="1"/>
      <c r="AHU303" s="1"/>
      <c r="AHV303" s="1"/>
      <c r="AHW303" s="1"/>
      <c r="AHX303" s="1"/>
      <c r="AHY303" s="1"/>
      <c r="AHZ303" s="1"/>
      <c r="AIA303" s="1"/>
      <c r="AIB303" s="1"/>
      <c r="AIC303" s="1"/>
      <c r="AID303" s="1"/>
      <c r="AIE303" s="1"/>
      <c r="AIF303" s="1"/>
      <c r="AIG303" s="1"/>
      <c r="AIH303" s="1"/>
      <c r="AII303" s="1"/>
      <c r="AIJ303" s="1"/>
      <c r="AIK303" s="1"/>
      <c r="AIL303" s="1"/>
      <c r="AIM303" s="1"/>
      <c r="AIN303" s="1"/>
      <c r="AIO303" s="1"/>
      <c r="AIP303" s="1"/>
      <c r="AIQ303" s="1"/>
      <c r="AIR303" s="1"/>
      <c r="AIS303" s="1"/>
      <c r="AIT303" s="1"/>
      <c r="AIU303" s="1"/>
      <c r="AIV303" s="1"/>
      <c r="AIW303" s="1"/>
      <c r="AIX303" s="1"/>
      <c r="AIY303" s="1"/>
      <c r="AIZ303" s="1"/>
      <c r="AJA303" s="1"/>
      <c r="AJB303" s="1"/>
      <c r="AJC303" s="1"/>
      <c r="AJD303" s="1"/>
      <c r="AJE303" s="1"/>
      <c r="AJF303" s="1"/>
      <c r="AJG303" s="1"/>
      <c r="AJH303" s="1"/>
      <c r="AJI303" s="1"/>
      <c r="AJJ303" s="1"/>
      <c r="AJK303" s="1"/>
      <c r="AJL303" s="1"/>
      <c r="AJM303" s="1"/>
      <c r="AJN303" s="1"/>
      <c r="AJO303" s="1"/>
      <c r="AJP303" s="1"/>
      <c r="AJQ303" s="1"/>
      <c r="AJR303" s="1"/>
      <c r="AJS303" s="1"/>
      <c r="AJT303" s="1"/>
      <c r="AJU303" s="1"/>
      <c r="AJV303" s="1"/>
      <c r="AJW303" s="1"/>
      <c r="AJX303" s="1"/>
      <c r="AJY303" s="1"/>
      <c r="AJZ303" s="1"/>
      <c r="AKA303" s="1"/>
      <c r="AKB303" s="1"/>
      <c r="AKC303" s="1"/>
      <c r="AKD303" s="1"/>
      <c r="AKE303" s="1"/>
      <c r="AKF303" s="1"/>
      <c r="AKG303" s="1"/>
      <c r="AKH303" s="1"/>
      <c r="AKI303" s="1"/>
      <c r="AKJ303" s="1"/>
      <c r="AKK303" s="1"/>
      <c r="AKL303" s="1"/>
      <c r="AKM303" s="1"/>
      <c r="AKN303" s="1"/>
      <c r="AKO303" s="1"/>
      <c r="AKP303" s="1"/>
      <c r="AKQ303" s="1"/>
      <c r="AKR303" s="1"/>
      <c r="AKS303" s="1"/>
      <c r="AKT303" s="1"/>
      <c r="AKU303" s="1"/>
      <c r="AKV303" s="1"/>
      <c r="AKW303" s="1"/>
      <c r="AKX303" s="1"/>
      <c r="AKY303" s="1"/>
      <c r="AKZ303" s="1"/>
      <c r="ALA303" s="1"/>
      <c r="ALB303" s="1"/>
      <c r="ALC303" s="1"/>
      <c r="ALD303" s="1"/>
      <c r="ALE303" s="1"/>
      <c r="ALF303" s="1"/>
      <c r="ALG303" s="1"/>
      <c r="ALH303" s="1"/>
      <c r="ALI303" s="1"/>
      <c r="ALJ303" s="1"/>
      <c r="ALK303" s="1"/>
      <c r="ALL303" s="1"/>
      <c r="ALM303" s="1"/>
      <c r="ALN303" s="1"/>
      <c r="ALO303" s="1"/>
      <c r="ALP303" s="1"/>
      <c r="ALQ303" s="1"/>
      <c r="ALR303" s="1"/>
      <c r="ALS303" s="1"/>
      <c r="ALT303" s="1"/>
      <c r="ALU303" s="1"/>
      <c r="ALV303" s="1"/>
      <c r="ALW303" s="1"/>
      <c r="ALX303" s="1"/>
      <c r="ALY303" s="1"/>
      <c r="ALZ303" s="1"/>
      <c r="AMA303" s="1"/>
      <c r="AMB303" s="1"/>
      <c r="AMC303" s="1"/>
      <c r="AMD303" s="1"/>
      <c r="AME303" s="1"/>
      <c r="AMF303" s="1"/>
      <c r="AMG303" s="1"/>
      <c r="AMH303" s="1"/>
      <c r="AMI303" s="1"/>
      <c r="AMJ303" s="1"/>
      <c r="AMK303" s="1"/>
      <c r="AML303" s="1"/>
      <c r="AMM303" s="1"/>
      <c r="AMN303" s="1"/>
      <c r="AMO303" s="1"/>
    </row>
    <row r="304" spans="1:1030" x14ac:dyDescent="0.2">
      <c r="A304" s="3" t="str">
        <f>CONCATENATE(B304,"_",C304)</f>
        <v>opsd_bovin_5DYS</v>
      </c>
      <c r="B304" s="3" t="s">
        <v>913</v>
      </c>
      <c r="C304" s="3" t="s">
        <v>1351</v>
      </c>
      <c r="D304" s="3" t="str">
        <f>IFERROR(MID(VLOOKUP($B304,Seqs!$A:$B,2,0),E304,1),"")</f>
        <v>E</v>
      </c>
      <c r="E304" s="105">
        <v>33</v>
      </c>
      <c r="F304" s="3" t="str">
        <f>IFERROR(MID(VLOOKUP($B304,Seqs!$A:$B,2,0),G304,1),"")</f>
        <v>H</v>
      </c>
      <c r="G304" s="3">
        <v>65</v>
      </c>
      <c r="H304" s="3" t="str">
        <f>IFERROR(MID(VLOOKUP($B304,Seqs!$A:$B,2,0),I304,1),"")</f>
        <v>K</v>
      </c>
      <c r="I304" s="23">
        <v>66</v>
      </c>
      <c r="J304" s="3" t="str">
        <f>IFERROR(MID(VLOOKUP($B304,Seqs!$A:$B,2,0),K304,1),"")</f>
        <v>R</v>
      </c>
      <c r="K304" s="23">
        <v>69</v>
      </c>
      <c r="L304" s="3" t="str">
        <f>IFERROR(MID(VLOOKUP($B304,Seqs!$A:$B,2,0),M304,1),"")</f>
        <v>T</v>
      </c>
      <c r="M304" s="3">
        <v>70</v>
      </c>
      <c r="N304" s="3" t="str">
        <f>IFERROR(MID(VLOOKUP($B304,Seqs!$A:$B,2,0),O304,1),"")</f>
        <v>H</v>
      </c>
      <c r="O304" s="3">
        <v>100</v>
      </c>
      <c r="P304" s="3" t="str">
        <f>IFERROR(MID(VLOOKUP($B304,Seqs!$A:$B,2,0),Q304,1),"")</f>
        <v>Y</v>
      </c>
      <c r="Q304" s="3">
        <v>102</v>
      </c>
      <c r="R304" s="3" t="str">
        <f>IFERROR(MID(VLOOKUP($B304,Seqs!$A:$B,2,0),S304,1),"")</f>
        <v>F</v>
      </c>
      <c r="S304" s="3">
        <v>105</v>
      </c>
      <c r="T304" s="3" t="str">
        <f>IFERROR(MID(VLOOKUP($B304,Seqs!$A:$B,2,0),U304,1),"")</f>
        <v>G</v>
      </c>
      <c r="U304" s="3">
        <v>106</v>
      </c>
      <c r="V304" s="3" t="str">
        <f>IFERROR(MID(VLOOKUP($B304,Seqs!$A:$B,2,0),W304,1),"")</f>
        <v>K</v>
      </c>
      <c r="W304" s="3">
        <v>141</v>
      </c>
      <c r="X304" s="3" t="str">
        <f>IFERROR(MID(VLOOKUP($B304,Seqs!$A:$B,2,0),Y304,1),"")</f>
        <v/>
      </c>
      <c r="Y304" s="3" t="s">
        <v>23</v>
      </c>
      <c r="Z304" s="3" t="str">
        <f>IFERROR(MID(VLOOKUP($B304,Seqs!$A:$B,2,0),AA304,1),"")</f>
        <v/>
      </c>
      <c r="AA304" s="3" t="s">
        <v>23</v>
      </c>
      <c r="AB304" s="3" t="str">
        <f>IFERROR(MID(VLOOKUP($B304,Seqs!$A:$B,2,0),AC304,1),"")</f>
        <v>G</v>
      </c>
      <c r="AC304" s="9">
        <v>149</v>
      </c>
      <c r="AD304" s="3" t="str">
        <f>IFERROR(MID(VLOOKUP($B304,Seqs!$A:$B,2,0),AE304,1),"")</f>
        <v>V</v>
      </c>
      <c r="AE304" s="3">
        <v>173</v>
      </c>
      <c r="AF304" s="3" t="str">
        <f>IFERROR(MID(VLOOKUP($B304,Seqs!$A:$B,2,0),AG304,1),"")</f>
        <v>C</v>
      </c>
      <c r="AG304" s="3">
        <v>187</v>
      </c>
      <c r="AH304" s="3" t="str">
        <f>IFERROR(MID(VLOOKUP($B304,Seqs!$A:$B,2,0),AI304,1),"")</f>
        <v>I</v>
      </c>
      <c r="AI304" s="3">
        <v>189</v>
      </c>
      <c r="AJ304" s="3" t="str">
        <f>IFERROR(MID(VLOOKUP($B304,Seqs!$A:$B,2,0),AK304,1),"")</f>
        <v>N</v>
      </c>
      <c r="AK304" s="3">
        <v>199</v>
      </c>
      <c r="AL304" s="3" t="str">
        <f>IFERROR(MID(VLOOKUP($B304,Seqs!$A:$B,2,0),AM304,1),"")</f>
        <v>Q</v>
      </c>
      <c r="AM304" s="3">
        <v>237</v>
      </c>
      <c r="AN304" s="3" t="str">
        <f>IFERROR(MID(VLOOKUP($B304,Seqs!$A:$B,2,0),AO304,1),"")</f>
        <v>A</v>
      </c>
      <c r="AO304" s="3">
        <v>241</v>
      </c>
      <c r="AP304" s="3" t="str">
        <f>IFERROR(MID(VLOOKUP($B304,Seqs!$A:$B,2,0),AQ304,1),"")</f>
        <v>H</v>
      </c>
      <c r="AQ304" s="3">
        <v>278</v>
      </c>
      <c r="AR304" s="3" t="str">
        <f>IFERROR(MID(VLOOKUP($B304,Seqs!$A:$B,2,0),AS304,1),"")</f>
        <v>G</v>
      </c>
      <c r="AS304" s="3">
        <v>284</v>
      </c>
      <c r="AT304" s="3" t="str">
        <f>IFERROR(MID(VLOOKUP($B304,Seqs!$A:$B,2,0),AU304,1),"")</f>
        <v>M</v>
      </c>
      <c r="AU304" s="3">
        <v>309</v>
      </c>
      <c r="AV304" s="3" t="str">
        <f>IFERROR(MID(VLOOKUP($B304,Seqs!$A:$B,2,0),AW304,1),"")</f>
        <v>N</v>
      </c>
      <c r="AW304" s="3">
        <v>310</v>
      </c>
      <c r="AX304" s="3" t="str">
        <f>IFERROR(MID(VLOOKUP($B304,Seqs!$A:$B,2,0),AY304,1),"")</f>
        <v>C</v>
      </c>
      <c r="AY304" s="3">
        <v>322</v>
      </c>
      <c r="AZ304" s="77" t="str">
        <f>VLOOKUP(B304,Classification!A:D,2,0)</f>
        <v>A</v>
      </c>
      <c r="BA304" s="94" t="str">
        <f>VLOOKUP(B304,Classification!A:D,4,0)</f>
        <v>Opsins</v>
      </c>
      <c r="BB304" s="27" t="b">
        <f t="shared" si="1074"/>
        <v>1</v>
      </c>
      <c r="BC304" s="23">
        <f t="shared" si="1113"/>
        <v>253</v>
      </c>
      <c r="BD304" s="5" t="s">
        <v>23</v>
      </c>
      <c r="BE304" s="3" t="s">
        <v>1285</v>
      </c>
      <c r="BF304" s="118">
        <v>2.2999999999999998</v>
      </c>
      <c r="BG304" s="49" t="s">
        <v>1371</v>
      </c>
      <c r="BH304" s="49" t="s">
        <v>1371</v>
      </c>
      <c r="BI304" s="1"/>
      <c r="BJ304" s="70" t="s">
        <v>1281</v>
      </c>
      <c r="BK304" s="57" t="s">
        <v>1281</v>
      </c>
      <c r="BL304" s="57" t="s">
        <v>1281</v>
      </c>
      <c r="BM304" s="57" t="s">
        <v>1281</v>
      </c>
      <c r="BN304" s="57" t="s">
        <v>1281</v>
      </c>
      <c r="BO304" s="57" t="s">
        <v>1281</v>
      </c>
      <c r="BP304" s="57" t="s">
        <v>1281</v>
      </c>
      <c r="BQ304" s="57" t="s">
        <v>1281</v>
      </c>
      <c r="BR304" s="57" t="s">
        <v>1281</v>
      </c>
      <c r="BS304" s="57" t="s">
        <v>1281</v>
      </c>
      <c r="BT304" s="57" t="s">
        <v>1281</v>
      </c>
      <c r="BU304" s="57" t="s">
        <v>1281</v>
      </c>
      <c r="BV304" s="70">
        <f>E304</f>
        <v>33</v>
      </c>
      <c r="BW304" s="71">
        <f>I304</f>
        <v>66</v>
      </c>
      <c r="BX304" s="72">
        <f>M304</f>
        <v>70</v>
      </c>
      <c r="BY304" s="71">
        <f>Q304</f>
        <v>102</v>
      </c>
      <c r="BZ304" s="72">
        <f>U304</f>
        <v>106</v>
      </c>
      <c r="CA304" s="71" t="str">
        <f>Y304</f>
        <v>-</v>
      </c>
      <c r="CB304" s="72">
        <f>AC304</f>
        <v>149</v>
      </c>
      <c r="CC304" s="71">
        <f>AG304</f>
        <v>187</v>
      </c>
      <c r="CD304" s="72">
        <f>AK304</f>
        <v>199</v>
      </c>
      <c r="CE304" s="71">
        <f>AO304</f>
        <v>241</v>
      </c>
      <c r="CF304" s="72">
        <f>AS304</f>
        <v>284</v>
      </c>
      <c r="CG304" s="71">
        <f>AW304</f>
        <v>310</v>
      </c>
      <c r="CH304" s="70">
        <f>G304</f>
        <v>65</v>
      </c>
      <c r="CI304" s="71">
        <f>K304</f>
        <v>69</v>
      </c>
      <c r="CJ304" s="72">
        <f>O304</f>
        <v>100</v>
      </c>
      <c r="CK304" s="72">
        <f>S304</f>
        <v>105</v>
      </c>
      <c r="CL304" s="72">
        <f>W304</f>
        <v>141</v>
      </c>
      <c r="CM304" s="72" t="str">
        <f>AA304</f>
        <v>-</v>
      </c>
      <c r="CN304" s="72">
        <f>AE304</f>
        <v>173</v>
      </c>
      <c r="CO304" s="72">
        <f>AI304</f>
        <v>189</v>
      </c>
      <c r="CP304" s="72">
        <f>AM304</f>
        <v>237</v>
      </c>
      <c r="CQ304" s="72">
        <f>AQ304</f>
        <v>278</v>
      </c>
      <c r="CR304" s="72">
        <f>AU304</f>
        <v>309</v>
      </c>
      <c r="CS304" s="72">
        <f>AY304</f>
        <v>322</v>
      </c>
      <c r="CT304" s="23">
        <f>M304-K304</f>
        <v>1</v>
      </c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1"/>
      <c r="SK304" s="1"/>
      <c r="SL304" s="1"/>
      <c r="SM304" s="1"/>
      <c r="SN304" s="1"/>
      <c r="SO304" s="1"/>
      <c r="SP304" s="1"/>
      <c r="SQ304" s="1"/>
      <c r="SR304" s="1"/>
      <c r="SS304" s="1"/>
      <c r="ST304" s="1"/>
      <c r="SU304" s="1"/>
      <c r="SV304" s="1"/>
      <c r="SW304" s="1"/>
      <c r="SX304" s="1"/>
      <c r="SY304" s="1"/>
      <c r="SZ304" s="1"/>
      <c r="TA304" s="1"/>
      <c r="TB304" s="1"/>
      <c r="TC304" s="1"/>
      <c r="TD304" s="1"/>
      <c r="TE304" s="1"/>
      <c r="TF304" s="1"/>
      <c r="TG304" s="1"/>
      <c r="TH304" s="1"/>
      <c r="TI304" s="1"/>
      <c r="TJ304" s="1"/>
      <c r="TK304" s="1"/>
      <c r="TL304" s="1"/>
      <c r="TM304" s="1"/>
      <c r="TN304" s="1"/>
      <c r="TO304" s="1"/>
      <c r="TP304" s="1"/>
      <c r="TQ304" s="1"/>
      <c r="TR304" s="1"/>
      <c r="TS304" s="1"/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  <c r="UN304" s="1"/>
      <c r="UO304" s="1"/>
      <c r="UP304" s="1"/>
      <c r="UQ304" s="1"/>
      <c r="UR304" s="1"/>
      <c r="US304" s="1"/>
      <c r="UT304" s="1"/>
      <c r="UU304" s="1"/>
      <c r="UV304" s="1"/>
      <c r="UW304" s="1"/>
      <c r="UX304" s="1"/>
      <c r="UY304" s="1"/>
      <c r="UZ304" s="1"/>
      <c r="VA304" s="1"/>
      <c r="VB304" s="1"/>
      <c r="VC304" s="1"/>
      <c r="VD304" s="1"/>
      <c r="VE304" s="1"/>
      <c r="VF304" s="1"/>
      <c r="VG304" s="1"/>
      <c r="VH304" s="1"/>
      <c r="VI304" s="1"/>
      <c r="VJ304" s="1"/>
      <c r="VK304" s="1"/>
      <c r="VL304" s="1"/>
      <c r="VM304" s="1"/>
      <c r="VN304" s="1"/>
      <c r="VO304" s="1"/>
      <c r="VP304" s="1"/>
      <c r="VQ304" s="1"/>
      <c r="VR304" s="1"/>
      <c r="VS304" s="1"/>
      <c r="VT304" s="1"/>
      <c r="VU304" s="1"/>
      <c r="VV304" s="1"/>
      <c r="VW304" s="1"/>
      <c r="VX304" s="1"/>
      <c r="VY304" s="1"/>
      <c r="VZ304" s="1"/>
      <c r="WA304" s="1"/>
      <c r="WB304" s="1"/>
      <c r="WC304" s="1"/>
      <c r="WD304" s="1"/>
      <c r="WE304" s="1"/>
      <c r="WF304" s="1"/>
      <c r="WG304" s="1"/>
      <c r="WH304" s="1"/>
      <c r="WI304" s="1"/>
      <c r="WJ304" s="1"/>
      <c r="WK304" s="1"/>
      <c r="WL304" s="1"/>
      <c r="WM304" s="1"/>
      <c r="WN304" s="1"/>
      <c r="WO304" s="1"/>
      <c r="WP304" s="1"/>
      <c r="WQ304" s="1"/>
      <c r="WR304" s="1"/>
      <c r="WS304" s="1"/>
      <c r="WT304" s="1"/>
      <c r="WU304" s="1"/>
      <c r="WV304" s="1"/>
      <c r="WW304" s="1"/>
      <c r="WX304" s="1"/>
      <c r="WY304" s="1"/>
      <c r="WZ304" s="1"/>
      <c r="XA304" s="1"/>
      <c r="XB304" s="1"/>
      <c r="XC304" s="1"/>
      <c r="XD304" s="1"/>
      <c r="XE304" s="1"/>
      <c r="XF304" s="1"/>
      <c r="XG304" s="1"/>
      <c r="XH304" s="1"/>
      <c r="XI304" s="1"/>
      <c r="XJ304" s="1"/>
      <c r="XK304" s="1"/>
      <c r="XL304" s="1"/>
      <c r="XM304" s="1"/>
      <c r="XN304" s="1"/>
      <c r="XO304" s="1"/>
      <c r="XP304" s="1"/>
      <c r="XQ304" s="1"/>
      <c r="XR304" s="1"/>
      <c r="XS304" s="1"/>
      <c r="XT304" s="1"/>
      <c r="XU304" s="1"/>
      <c r="XV304" s="1"/>
      <c r="XW304" s="1"/>
      <c r="XX304" s="1"/>
      <c r="XY304" s="1"/>
      <c r="XZ304" s="1"/>
      <c r="YA304" s="1"/>
      <c r="YB304" s="1"/>
      <c r="YC304" s="1"/>
      <c r="YD304" s="1"/>
      <c r="YE304" s="1"/>
      <c r="YF304" s="1"/>
      <c r="YG304" s="1"/>
      <c r="YH304" s="1"/>
      <c r="YI304" s="1"/>
      <c r="YJ304" s="1"/>
      <c r="YK304" s="1"/>
      <c r="YL304" s="1"/>
      <c r="YM304" s="1"/>
      <c r="YN304" s="1"/>
      <c r="YO304" s="1"/>
      <c r="YP304" s="1"/>
      <c r="YQ304" s="1"/>
      <c r="YR304" s="1"/>
      <c r="YS304" s="1"/>
      <c r="YT304" s="1"/>
      <c r="YU304" s="1"/>
      <c r="YV304" s="1"/>
      <c r="YW304" s="1"/>
      <c r="YX304" s="1"/>
      <c r="YY304" s="1"/>
      <c r="YZ304" s="1"/>
      <c r="ZA304" s="1"/>
      <c r="ZB304" s="1"/>
      <c r="ZC304" s="1"/>
      <c r="ZD304" s="1"/>
      <c r="ZE304" s="1"/>
      <c r="ZF304" s="1"/>
      <c r="ZG304" s="1"/>
      <c r="ZH304" s="1"/>
      <c r="ZI304" s="1"/>
      <c r="ZJ304" s="1"/>
      <c r="ZK304" s="1"/>
      <c r="ZL304" s="1"/>
      <c r="ZM304" s="1"/>
      <c r="ZN304" s="1"/>
      <c r="ZO304" s="1"/>
      <c r="ZP304" s="1"/>
      <c r="ZQ304" s="1"/>
      <c r="ZR304" s="1"/>
      <c r="ZS304" s="1"/>
      <c r="ZT304" s="1"/>
      <c r="ZU304" s="1"/>
      <c r="ZV304" s="1"/>
      <c r="ZW304" s="1"/>
      <c r="ZX304" s="1"/>
      <c r="ZY304" s="1"/>
      <c r="ZZ304" s="1"/>
      <c r="AAA304" s="1"/>
      <c r="AAB304" s="1"/>
      <c r="AAC304" s="1"/>
      <c r="AAD304" s="1"/>
      <c r="AAE304" s="1"/>
      <c r="AAF304" s="1"/>
      <c r="AAG304" s="1"/>
      <c r="AAH304" s="1"/>
      <c r="AAI304" s="1"/>
      <c r="AAJ304" s="1"/>
      <c r="AAK304" s="1"/>
      <c r="AAL304" s="1"/>
      <c r="AAM304" s="1"/>
      <c r="AAN304" s="1"/>
      <c r="AAO304" s="1"/>
      <c r="AAP304" s="1"/>
      <c r="AAQ304" s="1"/>
      <c r="AAR304" s="1"/>
      <c r="AAS304" s="1"/>
      <c r="AAT304" s="1"/>
      <c r="AAU304" s="1"/>
      <c r="AAV304" s="1"/>
      <c r="AAW304" s="1"/>
      <c r="AAX304" s="1"/>
      <c r="AAY304" s="1"/>
      <c r="AAZ304" s="1"/>
      <c r="ABA304" s="1"/>
      <c r="ABB304" s="1"/>
      <c r="ABC304" s="1"/>
      <c r="ABD304" s="1"/>
      <c r="ABE304" s="1"/>
      <c r="ABF304" s="1"/>
      <c r="ABG304" s="1"/>
      <c r="ABH304" s="1"/>
      <c r="ABI304" s="1"/>
      <c r="ABJ304" s="1"/>
      <c r="ABK304" s="1"/>
      <c r="ABL304" s="1"/>
      <c r="ABM304" s="1"/>
      <c r="ABN304" s="1"/>
      <c r="ABO304" s="1"/>
      <c r="ABP304" s="1"/>
      <c r="ABQ304" s="1"/>
      <c r="ABR304" s="1"/>
      <c r="ABS304" s="1"/>
      <c r="ABT304" s="1"/>
      <c r="ABU304" s="1"/>
      <c r="ABV304" s="1"/>
      <c r="ABW304" s="1"/>
      <c r="ABX304" s="1"/>
      <c r="ABY304" s="1"/>
      <c r="ABZ304" s="1"/>
      <c r="ACA304" s="1"/>
      <c r="ACB304" s="1"/>
      <c r="ACC304" s="1"/>
      <c r="ACD304" s="1"/>
      <c r="ACE304" s="1"/>
      <c r="ACF304" s="1"/>
      <c r="ACG304" s="1"/>
      <c r="ACH304" s="1"/>
      <c r="ACI304" s="1"/>
      <c r="ACJ304" s="1"/>
      <c r="ACK304" s="1"/>
      <c r="ACL304" s="1"/>
      <c r="ACM304" s="1"/>
      <c r="ACN304" s="1"/>
      <c r="ACO304" s="1"/>
      <c r="ACP304" s="1"/>
      <c r="ACQ304" s="1"/>
      <c r="ACR304" s="1"/>
      <c r="ACS304" s="1"/>
      <c r="ACT304" s="1"/>
      <c r="ACU304" s="1"/>
      <c r="ACV304" s="1"/>
      <c r="ACW304" s="1"/>
      <c r="ACX304" s="1"/>
      <c r="ACY304" s="1"/>
      <c r="ACZ304" s="1"/>
      <c r="ADA304" s="1"/>
      <c r="ADB304" s="1"/>
      <c r="ADC304" s="1"/>
      <c r="ADD304" s="1"/>
      <c r="ADE304" s="1"/>
      <c r="ADF304" s="1"/>
      <c r="ADG304" s="1"/>
      <c r="ADH304" s="1"/>
      <c r="ADI304" s="1"/>
      <c r="ADJ304" s="1"/>
      <c r="ADK304" s="1"/>
      <c r="ADL304" s="1"/>
      <c r="ADM304" s="1"/>
      <c r="ADN304" s="1"/>
      <c r="ADO304" s="1"/>
      <c r="ADP304" s="1"/>
      <c r="ADQ304" s="1"/>
      <c r="ADR304" s="1"/>
      <c r="ADS304" s="1"/>
      <c r="ADT304" s="1"/>
      <c r="ADU304" s="1"/>
      <c r="ADV304" s="1"/>
      <c r="ADW304" s="1"/>
      <c r="ADX304" s="1"/>
      <c r="ADY304" s="1"/>
      <c r="ADZ304" s="1"/>
      <c r="AEA304" s="1"/>
      <c r="AEB304" s="1"/>
      <c r="AEC304" s="1"/>
      <c r="AED304" s="1"/>
      <c r="AEE304" s="1"/>
      <c r="AEF304" s="1"/>
      <c r="AEG304" s="1"/>
      <c r="AEH304" s="1"/>
      <c r="AEI304" s="1"/>
      <c r="AEJ304" s="1"/>
      <c r="AEK304" s="1"/>
      <c r="AEL304" s="1"/>
      <c r="AEM304" s="1"/>
      <c r="AEN304" s="1"/>
      <c r="AEO304" s="1"/>
      <c r="AEP304" s="1"/>
      <c r="AEQ304" s="1"/>
      <c r="AER304" s="1"/>
      <c r="AES304" s="1"/>
      <c r="AET304" s="1"/>
      <c r="AEU304" s="1"/>
      <c r="AEV304" s="1"/>
      <c r="AEW304" s="1"/>
      <c r="AEX304" s="1"/>
      <c r="AEY304" s="1"/>
      <c r="AEZ304" s="1"/>
      <c r="AFA304" s="1"/>
      <c r="AFB304" s="1"/>
      <c r="AFC304" s="1"/>
      <c r="AFD304" s="1"/>
      <c r="AFE304" s="1"/>
      <c r="AFF304" s="1"/>
      <c r="AFG304" s="1"/>
      <c r="AFH304" s="1"/>
      <c r="AFI304" s="1"/>
      <c r="AFJ304" s="1"/>
      <c r="AFK304" s="1"/>
      <c r="AFL304" s="1"/>
      <c r="AFM304" s="1"/>
      <c r="AFN304" s="1"/>
      <c r="AFO304" s="1"/>
      <c r="AFP304" s="1"/>
      <c r="AFQ304" s="1"/>
      <c r="AFR304" s="1"/>
      <c r="AFS304" s="1"/>
      <c r="AFT304" s="1"/>
      <c r="AFU304" s="1"/>
      <c r="AFV304" s="1"/>
      <c r="AFW304" s="1"/>
      <c r="AFX304" s="1"/>
      <c r="AFY304" s="1"/>
      <c r="AFZ304" s="1"/>
      <c r="AGA304" s="1"/>
      <c r="AGB304" s="1"/>
      <c r="AGC304" s="1"/>
      <c r="AGD304" s="1"/>
      <c r="AGE304" s="1"/>
      <c r="AGF304" s="1"/>
      <c r="AGG304" s="1"/>
      <c r="AGH304" s="1"/>
      <c r="AGI304" s="1"/>
      <c r="AGJ304" s="1"/>
      <c r="AGK304" s="1"/>
      <c r="AGL304" s="1"/>
      <c r="AGM304" s="1"/>
      <c r="AGN304" s="1"/>
      <c r="AGO304" s="1"/>
      <c r="AGP304" s="1"/>
      <c r="AGQ304" s="1"/>
      <c r="AGR304" s="1"/>
      <c r="AGS304" s="1"/>
      <c r="AGT304" s="1"/>
      <c r="AGU304" s="1"/>
      <c r="AGV304" s="1"/>
      <c r="AGW304" s="1"/>
      <c r="AGX304" s="1"/>
      <c r="AGY304" s="1"/>
      <c r="AGZ304" s="1"/>
      <c r="AHA304" s="1"/>
      <c r="AHB304" s="1"/>
      <c r="AHC304" s="1"/>
      <c r="AHD304" s="1"/>
      <c r="AHE304" s="1"/>
      <c r="AHF304" s="1"/>
      <c r="AHG304" s="1"/>
      <c r="AHH304" s="1"/>
      <c r="AHI304" s="1"/>
      <c r="AHJ304" s="1"/>
      <c r="AHK304" s="1"/>
      <c r="AHL304" s="1"/>
      <c r="AHM304" s="1"/>
      <c r="AHN304" s="1"/>
      <c r="AHO304" s="1"/>
      <c r="AHP304" s="1"/>
      <c r="AHQ304" s="1"/>
      <c r="AHR304" s="1"/>
      <c r="AHS304" s="1"/>
      <c r="AHT304" s="1"/>
      <c r="AHU304" s="1"/>
      <c r="AHV304" s="1"/>
      <c r="AHW304" s="1"/>
      <c r="AHX304" s="1"/>
      <c r="AHY304" s="1"/>
      <c r="AHZ304" s="1"/>
      <c r="AIA304" s="1"/>
      <c r="AIB304" s="1"/>
      <c r="AIC304" s="1"/>
      <c r="AID304" s="1"/>
      <c r="AIE304" s="1"/>
      <c r="AIF304" s="1"/>
      <c r="AIG304" s="1"/>
      <c r="AIH304" s="1"/>
      <c r="AII304" s="1"/>
      <c r="AIJ304" s="1"/>
      <c r="AIK304" s="1"/>
      <c r="AIL304" s="1"/>
      <c r="AIM304" s="1"/>
      <c r="AIN304" s="1"/>
      <c r="AIO304" s="1"/>
      <c r="AIP304" s="1"/>
      <c r="AIQ304" s="1"/>
      <c r="AIR304" s="1"/>
      <c r="AIS304" s="1"/>
      <c r="AIT304" s="1"/>
      <c r="AIU304" s="1"/>
      <c r="AIV304" s="1"/>
      <c r="AIW304" s="1"/>
      <c r="AIX304" s="1"/>
      <c r="AIY304" s="1"/>
      <c r="AIZ304" s="1"/>
      <c r="AJA304" s="1"/>
      <c r="AJB304" s="1"/>
      <c r="AJC304" s="1"/>
      <c r="AJD304" s="1"/>
      <c r="AJE304" s="1"/>
      <c r="AJF304" s="1"/>
      <c r="AJG304" s="1"/>
      <c r="AJH304" s="1"/>
      <c r="AJI304" s="1"/>
      <c r="AJJ304" s="1"/>
      <c r="AJK304" s="1"/>
      <c r="AJL304" s="1"/>
      <c r="AJM304" s="1"/>
      <c r="AJN304" s="1"/>
      <c r="AJO304" s="1"/>
      <c r="AJP304" s="1"/>
      <c r="AJQ304" s="1"/>
      <c r="AJR304" s="1"/>
      <c r="AJS304" s="1"/>
      <c r="AJT304" s="1"/>
      <c r="AJU304" s="1"/>
      <c r="AJV304" s="1"/>
      <c r="AJW304" s="1"/>
      <c r="AJX304" s="1"/>
      <c r="AJY304" s="1"/>
      <c r="AJZ304" s="1"/>
      <c r="AKA304" s="1"/>
      <c r="AKB304" s="1"/>
      <c r="AKC304" s="1"/>
      <c r="AKD304" s="1"/>
      <c r="AKE304" s="1"/>
      <c r="AKF304" s="1"/>
      <c r="AKG304" s="1"/>
      <c r="AKH304" s="1"/>
      <c r="AKI304" s="1"/>
      <c r="AKJ304" s="1"/>
      <c r="AKK304" s="1"/>
      <c r="AKL304" s="1"/>
      <c r="AKM304" s="1"/>
      <c r="AKN304" s="1"/>
      <c r="AKO304" s="1"/>
      <c r="AKP304" s="1"/>
      <c r="AKQ304" s="1"/>
      <c r="AKR304" s="1"/>
      <c r="AKS304" s="1"/>
      <c r="AKT304" s="1"/>
      <c r="AKU304" s="1"/>
      <c r="AKV304" s="1"/>
      <c r="AKW304" s="1"/>
      <c r="AKX304" s="1"/>
      <c r="AKY304" s="1"/>
      <c r="AKZ304" s="1"/>
      <c r="ALA304" s="1"/>
      <c r="ALB304" s="1"/>
      <c r="ALC304" s="1"/>
      <c r="ALD304" s="1"/>
      <c r="ALE304" s="1"/>
      <c r="ALF304" s="1"/>
      <c r="ALG304" s="1"/>
      <c r="ALH304" s="1"/>
      <c r="ALI304" s="1"/>
      <c r="ALJ304" s="1"/>
      <c r="ALK304" s="1"/>
      <c r="ALL304" s="1"/>
      <c r="ALM304" s="1"/>
      <c r="ALN304" s="1"/>
      <c r="ALO304" s="1"/>
      <c r="ALP304" s="1"/>
      <c r="ALQ304" s="1"/>
      <c r="ALR304" s="1"/>
      <c r="ALS304" s="1"/>
      <c r="ALT304" s="1"/>
      <c r="ALU304" s="1"/>
      <c r="ALV304" s="1"/>
      <c r="ALW304" s="1"/>
      <c r="ALX304" s="1"/>
      <c r="ALY304" s="1"/>
      <c r="ALZ304" s="1"/>
      <c r="AMA304" s="1"/>
      <c r="AMB304" s="1"/>
      <c r="AMC304" s="1"/>
      <c r="AMD304" s="1"/>
      <c r="AME304" s="1"/>
      <c r="AMF304" s="1"/>
      <c r="AMG304" s="1"/>
      <c r="AMH304" s="1"/>
      <c r="AMI304" s="1"/>
      <c r="AMJ304" s="1"/>
      <c r="AMK304" s="1"/>
      <c r="AML304" s="1"/>
      <c r="AMM304" s="1"/>
      <c r="AMN304" s="1"/>
      <c r="AMO304" s="1"/>
    </row>
    <row r="305" spans="1:1029" x14ac:dyDescent="0.2">
      <c r="A305" s="3" t="str">
        <f>CONCATENATE(B305,"_",C305)</f>
        <v>opsd_bovin_5EN0</v>
      </c>
      <c r="B305" s="3" t="s">
        <v>913</v>
      </c>
      <c r="C305" s="3" t="s">
        <v>1352</v>
      </c>
      <c r="D305" s="3" t="str">
        <f>IFERROR(MID(VLOOKUP($B305,Seqs!$A:$B,2,0),E305,1),"")</f>
        <v>E</v>
      </c>
      <c r="E305" s="105">
        <v>33</v>
      </c>
      <c r="F305" s="3" t="str">
        <f>IFERROR(MID(VLOOKUP($B305,Seqs!$A:$B,2,0),G305,1),"")</f>
        <v>H</v>
      </c>
      <c r="G305" s="3">
        <v>65</v>
      </c>
      <c r="H305" s="3" t="str">
        <f>IFERROR(MID(VLOOKUP($B305,Seqs!$A:$B,2,0),I305,1),"")</f>
        <v>K</v>
      </c>
      <c r="I305" s="23">
        <v>66</v>
      </c>
      <c r="J305" s="3" t="str">
        <f>IFERROR(MID(VLOOKUP($B305,Seqs!$A:$B,2,0),K305,1),"")</f>
        <v>R</v>
      </c>
      <c r="K305" s="23">
        <v>69</v>
      </c>
      <c r="L305" s="3" t="str">
        <f>IFERROR(MID(VLOOKUP($B305,Seqs!$A:$B,2,0),M305,1),"")</f>
        <v>T</v>
      </c>
      <c r="M305" s="3">
        <v>70</v>
      </c>
      <c r="N305" s="3" t="str">
        <f>IFERROR(MID(VLOOKUP($B305,Seqs!$A:$B,2,0),O305,1),"")</f>
        <v>H</v>
      </c>
      <c r="O305" s="3">
        <v>100</v>
      </c>
      <c r="P305" s="3" t="str">
        <f>IFERROR(MID(VLOOKUP($B305,Seqs!$A:$B,2,0),Q305,1),"")</f>
        <v>Y</v>
      </c>
      <c r="Q305" s="3">
        <v>102</v>
      </c>
      <c r="R305" s="3" t="str">
        <f>IFERROR(MID(VLOOKUP($B305,Seqs!$A:$B,2,0),S305,1),"")</f>
        <v>F</v>
      </c>
      <c r="S305" s="3">
        <v>105</v>
      </c>
      <c r="T305" s="3" t="str">
        <f>IFERROR(MID(VLOOKUP($B305,Seqs!$A:$B,2,0),U305,1),"")</f>
        <v>G</v>
      </c>
      <c r="U305" s="3">
        <v>106</v>
      </c>
      <c r="V305" s="3" t="str">
        <f>IFERROR(MID(VLOOKUP($B305,Seqs!$A:$B,2,0),W305,1),"")</f>
        <v>K</v>
      </c>
      <c r="W305" s="3">
        <v>141</v>
      </c>
      <c r="X305" s="3" t="str">
        <f>IFERROR(MID(VLOOKUP($B305,Seqs!$A:$B,2,0),Y305,1),"")</f>
        <v/>
      </c>
      <c r="Y305" s="3" t="s">
        <v>23</v>
      </c>
      <c r="Z305" s="3" t="str">
        <f>IFERROR(MID(VLOOKUP($B305,Seqs!$A:$B,2,0),AA305,1),"")</f>
        <v/>
      </c>
      <c r="AA305" s="3" t="s">
        <v>23</v>
      </c>
      <c r="AB305" s="3" t="str">
        <f>IFERROR(MID(VLOOKUP($B305,Seqs!$A:$B,2,0),AC305,1),"")</f>
        <v>G</v>
      </c>
      <c r="AC305" s="9">
        <v>149</v>
      </c>
      <c r="AD305" s="3" t="str">
        <f>IFERROR(MID(VLOOKUP($B305,Seqs!$A:$B,2,0),AE305,1),"")</f>
        <v>V</v>
      </c>
      <c r="AE305" s="3">
        <v>173</v>
      </c>
      <c r="AF305" s="3" t="str">
        <f>IFERROR(MID(VLOOKUP($B305,Seqs!$A:$B,2,0),AG305,1),"")</f>
        <v>C</v>
      </c>
      <c r="AG305" s="3">
        <v>187</v>
      </c>
      <c r="AH305" s="3" t="str">
        <f>IFERROR(MID(VLOOKUP($B305,Seqs!$A:$B,2,0),AI305,1),"")</f>
        <v>I</v>
      </c>
      <c r="AI305" s="3">
        <v>189</v>
      </c>
      <c r="AJ305" s="3" t="str">
        <f>IFERROR(MID(VLOOKUP($B305,Seqs!$A:$B,2,0),AK305,1),"")</f>
        <v>N</v>
      </c>
      <c r="AK305" s="3">
        <v>199</v>
      </c>
      <c r="AL305" s="3" t="str">
        <f>IFERROR(MID(VLOOKUP($B305,Seqs!$A:$B,2,0),AM305,1),"")</f>
        <v>Q</v>
      </c>
      <c r="AM305" s="3">
        <v>237</v>
      </c>
      <c r="AN305" s="3" t="str">
        <f>IFERROR(MID(VLOOKUP($B305,Seqs!$A:$B,2,0),AO305,1),"")</f>
        <v>A</v>
      </c>
      <c r="AO305" s="3">
        <v>241</v>
      </c>
      <c r="AP305" s="3" t="str">
        <f>IFERROR(MID(VLOOKUP($B305,Seqs!$A:$B,2,0),AQ305,1),"")</f>
        <v>H</v>
      </c>
      <c r="AQ305" s="3">
        <v>278</v>
      </c>
      <c r="AR305" s="3" t="str">
        <f>IFERROR(MID(VLOOKUP($B305,Seqs!$A:$B,2,0),AS305,1),"")</f>
        <v>G</v>
      </c>
      <c r="AS305" s="3">
        <v>284</v>
      </c>
      <c r="AT305" s="3" t="str">
        <f>IFERROR(MID(VLOOKUP($B305,Seqs!$A:$B,2,0),AU305,1),"")</f>
        <v>M</v>
      </c>
      <c r="AU305" s="3">
        <v>309</v>
      </c>
      <c r="AV305" s="3" t="str">
        <f>IFERROR(MID(VLOOKUP($B305,Seqs!$A:$B,2,0),AW305,1),"")</f>
        <v>N</v>
      </c>
      <c r="AW305" s="3">
        <v>310</v>
      </c>
      <c r="AX305" s="3" t="str">
        <f>IFERROR(MID(VLOOKUP($B305,Seqs!$A:$B,2,0),AY305,1),"")</f>
        <v>C</v>
      </c>
      <c r="AY305" s="3">
        <v>322</v>
      </c>
      <c r="AZ305" s="77" t="str">
        <f>VLOOKUP(B305,Classification!A:D,2,0)</f>
        <v>A</v>
      </c>
      <c r="BA305" s="94" t="str">
        <f>VLOOKUP(B305,Classification!A:D,4,0)</f>
        <v>Opsins</v>
      </c>
      <c r="BB305" s="27" t="b">
        <f t="shared" ref="BB305:BB411" si="1114">AND(E305&lt;G305,OR(G305&lt;I305,I305="-"),OR(I305&lt;K305,I305="-"),OR(K305&lt;M305,K305="-"),M305&lt;O305,OR(O305&lt;Q305,Q305="-"),OR(Q305&lt;S305,Q305="-"),OR(S305&lt;U305,S305="-"),U305&lt;W305,OR(W305&lt;Y305,Y305="-"),OR(Y305&lt;AA305,Y305="-"),OR(AA305&lt;AC305,AA305="-"),AC305&lt;AE305,OR(AE305&lt;AG305,AG305="-"),OR(AG305&lt;AI305,AG305="-"),OR(AI305&lt;AK305,AI305="-"),AK305&lt;AM305,AM305&lt;AO305,AO305&lt;AQ305,AQ305&lt;AS305,AS305&lt;AU305,OR(AU305&lt;AW305,AW305="-"),OR(AW305&lt;AY305,AW305="-"))</f>
        <v>1</v>
      </c>
      <c r="BC305" s="23">
        <f t="shared" si="1113"/>
        <v>253</v>
      </c>
      <c r="BD305" s="4" t="s">
        <v>23</v>
      </c>
      <c r="BE305" s="3" t="s">
        <v>1285</v>
      </c>
      <c r="BF305" s="118">
        <v>2.81</v>
      </c>
      <c r="BG305" s="49" t="s">
        <v>1371</v>
      </c>
      <c r="BH305" s="49" t="s">
        <v>1371</v>
      </c>
      <c r="BI305" s="1"/>
      <c r="BJ305" s="70" t="s">
        <v>1281</v>
      </c>
      <c r="BK305" s="57" t="s">
        <v>1281</v>
      </c>
      <c r="BL305" s="57" t="s">
        <v>1281</v>
      </c>
      <c r="BM305" s="57" t="s">
        <v>1281</v>
      </c>
      <c r="BN305" s="57" t="s">
        <v>1281</v>
      </c>
      <c r="BO305" s="57" t="s">
        <v>1281</v>
      </c>
      <c r="BP305" s="57" t="s">
        <v>1281</v>
      </c>
      <c r="BQ305" s="57" t="s">
        <v>1281</v>
      </c>
      <c r="BR305" s="57" t="s">
        <v>1281</v>
      </c>
      <c r="BS305" s="57" t="s">
        <v>1281</v>
      </c>
      <c r="BT305" s="57" t="s">
        <v>1281</v>
      </c>
      <c r="BU305" s="57" t="s">
        <v>1281</v>
      </c>
      <c r="BV305" s="70">
        <f>E305</f>
        <v>33</v>
      </c>
      <c r="BW305" s="71">
        <f>I305</f>
        <v>66</v>
      </c>
      <c r="BX305" s="72">
        <f>M305</f>
        <v>70</v>
      </c>
      <c r="BY305" s="71">
        <f>Q305</f>
        <v>102</v>
      </c>
      <c r="BZ305" s="72">
        <f>U305</f>
        <v>106</v>
      </c>
      <c r="CA305" s="71" t="str">
        <f>Y305</f>
        <v>-</v>
      </c>
      <c r="CB305" s="72">
        <f>AC305</f>
        <v>149</v>
      </c>
      <c r="CC305" s="71">
        <f>AG305</f>
        <v>187</v>
      </c>
      <c r="CD305" s="72">
        <f>AK305</f>
        <v>199</v>
      </c>
      <c r="CE305" s="71">
        <f>AO305</f>
        <v>241</v>
      </c>
      <c r="CF305" s="72">
        <f>AS305</f>
        <v>284</v>
      </c>
      <c r="CG305" s="71">
        <f>AW305</f>
        <v>310</v>
      </c>
      <c r="CH305" s="70">
        <f>G305</f>
        <v>65</v>
      </c>
      <c r="CI305" s="71">
        <f>K305</f>
        <v>69</v>
      </c>
      <c r="CJ305" s="72">
        <f>O305</f>
        <v>100</v>
      </c>
      <c r="CK305" s="72">
        <f>S305</f>
        <v>105</v>
      </c>
      <c r="CL305" s="72">
        <f>W305</f>
        <v>141</v>
      </c>
      <c r="CM305" s="72" t="str">
        <f>AA305</f>
        <v>-</v>
      </c>
      <c r="CN305" s="72">
        <f>AE305</f>
        <v>173</v>
      </c>
      <c r="CO305" s="72">
        <f>AI305</f>
        <v>189</v>
      </c>
      <c r="CP305" s="72">
        <f>AM305</f>
        <v>237</v>
      </c>
      <c r="CQ305" s="72">
        <f>AQ305</f>
        <v>278</v>
      </c>
      <c r="CR305" s="72">
        <f>AU305</f>
        <v>309</v>
      </c>
      <c r="CS305" s="72">
        <f>AY305</f>
        <v>322</v>
      </c>
      <c r="CT305" s="23">
        <f>M305-K305</f>
        <v>1</v>
      </c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  <c r="UW305" s="1"/>
      <c r="UX305" s="1"/>
      <c r="UY305" s="1"/>
      <c r="UZ305" s="1"/>
      <c r="VA305" s="1"/>
      <c r="VB305" s="1"/>
      <c r="VC305" s="1"/>
      <c r="VD305" s="1"/>
      <c r="VE305" s="1"/>
      <c r="VF305" s="1"/>
      <c r="VG305" s="1"/>
      <c r="VH305" s="1"/>
      <c r="VI305" s="1"/>
      <c r="VJ305" s="1"/>
      <c r="VK305" s="1"/>
      <c r="VL305" s="1"/>
      <c r="VM305" s="1"/>
      <c r="VN305" s="1"/>
      <c r="VO305" s="1"/>
      <c r="VP305" s="1"/>
      <c r="VQ305" s="1"/>
      <c r="VR305" s="1"/>
      <c r="VS305" s="1"/>
      <c r="VT305" s="1"/>
      <c r="VU305" s="1"/>
      <c r="VV305" s="1"/>
      <c r="VW305" s="1"/>
      <c r="VX305" s="1"/>
      <c r="VY305" s="1"/>
      <c r="VZ305" s="1"/>
      <c r="WA305" s="1"/>
      <c r="WB305" s="1"/>
      <c r="WC305" s="1"/>
      <c r="WD305" s="1"/>
      <c r="WE305" s="1"/>
      <c r="WF305" s="1"/>
      <c r="WG305" s="1"/>
      <c r="WH305" s="1"/>
      <c r="WI305" s="1"/>
      <c r="WJ305" s="1"/>
      <c r="WK305" s="1"/>
      <c r="WL305" s="1"/>
      <c r="WM305" s="1"/>
      <c r="WN305" s="1"/>
      <c r="WO305" s="1"/>
      <c r="WP305" s="1"/>
      <c r="WQ305" s="1"/>
      <c r="WR305" s="1"/>
      <c r="WS305" s="1"/>
      <c r="WT305" s="1"/>
      <c r="WU305" s="1"/>
      <c r="WV305" s="1"/>
      <c r="WW305" s="1"/>
      <c r="WX305" s="1"/>
      <c r="WY305" s="1"/>
      <c r="WZ305" s="1"/>
      <c r="XA305" s="1"/>
      <c r="XB305" s="1"/>
      <c r="XC305" s="1"/>
      <c r="XD305" s="1"/>
      <c r="XE305" s="1"/>
      <c r="XF305" s="1"/>
      <c r="XG305" s="1"/>
      <c r="XH305" s="1"/>
      <c r="XI305" s="1"/>
      <c r="XJ305" s="1"/>
      <c r="XK305" s="1"/>
      <c r="XL305" s="1"/>
      <c r="XM305" s="1"/>
      <c r="XN305" s="1"/>
      <c r="XO305" s="1"/>
      <c r="XP305" s="1"/>
      <c r="XQ305" s="1"/>
      <c r="XR305" s="1"/>
      <c r="XS305" s="1"/>
      <c r="XT305" s="1"/>
      <c r="XU305" s="1"/>
      <c r="XV305" s="1"/>
      <c r="XW305" s="1"/>
      <c r="XX305" s="1"/>
      <c r="XY305" s="1"/>
      <c r="XZ305" s="1"/>
      <c r="YA305" s="1"/>
      <c r="YB305" s="1"/>
      <c r="YC305" s="1"/>
      <c r="YD305" s="1"/>
      <c r="YE305" s="1"/>
      <c r="YF305" s="1"/>
      <c r="YG305" s="1"/>
      <c r="YH305" s="1"/>
      <c r="YI305" s="1"/>
      <c r="YJ305" s="1"/>
      <c r="YK305" s="1"/>
      <c r="YL305" s="1"/>
      <c r="YM305" s="1"/>
      <c r="YN305" s="1"/>
      <c r="YO305" s="1"/>
      <c r="YP305" s="1"/>
      <c r="YQ305" s="1"/>
      <c r="YR305" s="1"/>
      <c r="YS305" s="1"/>
      <c r="YT305" s="1"/>
      <c r="YU305" s="1"/>
      <c r="YV305" s="1"/>
      <c r="YW305" s="1"/>
      <c r="YX305" s="1"/>
      <c r="YY305" s="1"/>
      <c r="YZ305" s="1"/>
      <c r="ZA305" s="1"/>
      <c r="ZB305" s="1"/>
      <c r="ZC305" s="1"/>
      <c r="ZD305" s="1"/>
      <c r="ZE305" s="1"/>
      <c r="ZF305" s="1"/>
      <c r="ZG305" s="1"/>
      <c r="ZH305" s="1"/>
      <c r="ZI305" s="1"/>
      <c r="ZJ305" s="1"/>
      <c r="ZK305" s="1"/>
      <c r="ZL305" s="1"/>
      <c r="ZM305" s="1"/>
      <c r="ZN305" s="1"/>
      <c r="ZO305" s="1"/>
      <c r="ZP305" s="1"/>
      <c r="ZQ305" s="1"/>
      <c r="ZR305" s="1"/>
      <c r="ZS305" s="1"/>
      <c r="ZT305" s="1"/>
      <c r="ZU305" s="1"/>
      <c r="ZV305" s="1"/>
      <c r="ZW305" s="1"/>
      <c r="ZX305" s="1"/>
      <c r="ZY305" s="1"/>
      <c r="ZZ305" s="1"/>
      <c r="AAA305" s="1"/>
      <c r="AAB305" s="1"/>
      <c r="AAC305" s="1"/>
      <c r="AAD305" s="1"/>
      <c r="AAE305" s="1"/>
      <c r="AAF305" s="1"/>
      <c r="AAG305" s="1"/>
      <c r="AAH305" s="1"/>
      <c r="AAI305" s="1"/>
      <c r="AAJ305" s="1"/>
      <c r="AAK305" s="1"/>
      <c r="AAL305" s="1"/>
      <c r="AAM305" s="1"/>
      <c r="AAN305" s="1"/>
      <c r="AAO305" s="1"/>
      <c r="AAP305" s="1"/>
      <c r="AAQ305" s="1"/>
      <c r="AAR305" s="1"/>
      <c r="AAS305" s="1"/>
      <c r="AAT305" s="1"/>
      <c r="AAU305" s="1"/>
      <c r="AAV305" s="1"/>
      <c r="AAW305" s="1"/>
      <c r="AAX305" s="1"/>
      <c r="AAY305" s="1"/>
      <c r="AAZ305" s="1"/>
      <c r="ABA305" s="1"/>
      <c r="ABB305" s="1"/>
      <c r="ABC305" s="1"/>
      <c r="ABD305" s="1"/>
      <c r="ABE305" s="1"/>
      <c r="ABF305" s="1"/>
      <c r="ABG305" s="1"/>
      <c r="ABH305" s="1"/>
      <c r="ABI305" s="1"/>
      <c r="ABJ305" s="1"/>
      <c r="ABK305" s="1"/>
      <c r="ABL305" s="1"/>
      <c r="ABM305" s="1"/>
      <c r="ABN305" s="1"/>
      <c r="ABO305" s="1"/>
      <c r="ABP305" s="1"/>
      <c r="ABQ305" s="1"/>
      <c r="ABR305" s="1"/>
      <c r="ABS305" s="1"/>
      <c r="ABT305" s="1"/>
      <c r="ABU305" s="1"/>
      <c r="ABV305" s="1"/>
      <c r="ABW305" s="1"/>
      <c r="ABX305" s="1"/>
      <c r="ABY305" s="1"/>
      <c r="ABZ305" s="1"/>
      <c r="ACA305" s="1"/>
      <c r="ACB305" s="1"/>
      <c r="ACC305" s="1"/>
      <c r="ACD305" s="1"/>
      <c r="ACE305" s="1"/>
      <c r="ACF305" s="1"/>
      <c r="ACG305" s="1"/>
      <c r="ACH305" s="1"/>
      <c r="ACI305" s="1"/>
      <c r="ACJ305" s="1"/>
      <c r="ACK305" s="1"/>
      <c r="ACL305" s="1"/>
      <c r="ACM305" s="1"/>
      <c r="ACN305" s="1"/>
      <c r="ACO305" s="1"/>
      <c r="ACP305" s="1"/>
      <c r="ACQ305" s="1"/>
      <c r="ACR305" s="1"/>
      <c r="ACS305" s="1"/>
      <c r="ACT305" s="1"/>
      <c r="ACU305" s="1"/>
      <c r="ACV305" s="1"/>
      <c r="ACW305" s="1"/>
      <c r="ACX305" s="1"/>
      <c r="ACY305" s="1"/>
      <c r="ACZ305" s="1"/>
      <c r="ADA305" s="1"/>
      <c r="ADB305" s="1"/>
      <c r="ADC305" s="1"/>
      <c r="ADD305" s="1"/>
      <c r="ADE305" s="1"/>
      <c r="ADF305" s="1"/>
      <c r="ADG305" s="1"/>
      <c r="ADH305" s="1"/>
      <c r="ADI305" s="1"/>
      <c r="ADJ305" s="1"/>
      <c r="ADK305" s="1"/>
      <c r="ADL305" s="1"/>
      <c r="ADM305" s="1"/>
      <c r="ADN305" s="1"/>
      <c r="ADO305" s="1"/>
      <c r="ADP305" s="1"/>
      <c r="ADQ305" s="1"/>
      <c r="ADR305" s="1"/>
      <c r="ADS305" s="1"/>
      <c r="ADT305" s="1"/>
      <c r="ADU305" s="1"/>
      <c r="ADV305" s="1"/>
      <c r="ADW305" s="1"/>
      <c r="ADX305" s="1"/>
      <c r="ADY305" s="1"/>
      <c r="ADZ305" s="1"/>
      <c r="AEA305" s="1"/>
      <c r="AEB305" s="1"/>
      <c r="AEC305" s="1"/>
      <c r="AED305" s="1"/>
      <c r="AEE305" s="1"/>
      <c r="AEF305" s="1"/>
      <c r="AEG305" s="1"/>
      <c r="AEH305" s="1"/>
      <c r="AEI305" s="1"/>
      <c r="AEJ305" s="1"/>
      <c r="AEK305" s="1"/>
      <c r="AEL305" s="1"/>
      <c r="AEM305" s="1"/>
      <c r="AEN305" s="1"/>
      <c r="AEO305" s="1"/>
      <c r="AEP305" s="1"/>
      <c r="AEQ305" s="1"/>
      <c r="AER305" s="1"/>
      <c r="AES305" s="1"/>
      <c r="AET305" s="1"/>
      <c r="AEU305" s="1"/>
      <c r="AEV305" s="1"/>
      <c r="AEW305" s="1"/>
      <c r="AEX305" s="1"/>
      <c r="AEY305" s="1"/>
      <c r="AEZ305" s="1"/>
      <c r="AFA305" s="1"/>
      <c r="AFB305" s="1"/>
      <c r="AFC305" s="1"/>
      <c r="AFD305" s="1"/>
      <c r="AFE305" s="1"/>
      <c r="AFF305" s="1"/>
      <c r="AFG305" s="1"/>
      <c r="AFH305" s="1"/>
      <c r="AFI305" s="1"/>
      <c r="AFJ305" s="1"/>
      <c r="AFK305" s="1"/>
      <c r="AFL305" s="1"/>
      <c r="AFM305" s="1"/>
      <c r="AFN305" s="1"/>
      <c r="AFO305" s="1"/>
      <c r="AFP305" s="1"/>
      <c r="AFQ305" s="1"/>
      <c r="AFR305" s="1"/>
      <c r="AFS305" s="1"/>
      <c r="AFT305" s="1"/>
      <c r="AFU305" s="1"/>
      <c r="AFV305" s="1"/>
      <c r="AFW305" s="1"/>
      <c r="AFX305" s="1"/>
      <c r="AFY305" s="1"/>
      <c r="AFZ305" s="1"/>
      <c r="AGA305" s="1"/>
      <c r="AGB305" s="1"/>
      <c r="AGC305" s="1"/>
      <c r="AGD305" s="1"/>
      <c r="AGE305" s="1"/>
      <c r="AGF305" s="1"/>
      <c r="AGG305" s="1"/>
      <c r="AGH305" s="1"/>
      <c r="AGI305" s="1"/>
      <c r="AGJ305" s="1"/>
      <c r="AGK305" s="1"/>
      <c r="AGL305" s="1"/>
      <c r="AGM305" s="1"/>
      <c r="AGN305" s="1"/>
      <c r="AGO305" s="1"/>
      <c r="AGP305" s="1"/>
      <c r="AGQ305" s="1"/>
      <c r="AGR305" s="1"/>
      <c r="AGS305" s="1"/>
      <c r="AGT305" s="1"/>
      <c r="AGU305" s="1"/>
      <c r="AGV305" s="1"/>
      <c r="AGW305" s="1"/>
      <c r="AGX305" s="1"/>
      <c r="AGY305" s="1"/>
      <c r="AGZ305" s="1"/>
      <c r="AHA305" s="1"/>
      <c r="AHB305" s="1"/>
      <c r="AHC305" s="1"/>
      <c r="AHD305" s="1"/>
      <c r="AHE305" s="1"/>
      <c r="AHF305" s="1"/>
      <c r="AHG305" s="1"/>
      <c r="AHH305" s="1"/>
      <c r="AHI305" s="1"/>
      <c r="AHJ305" s="1"/>
      <c r="AHK305" s="1"/>
      <c r="AHL305" s="1"/>
      <c r="AHM305" s="1"/>
      <c r="AHN305" s="1"/>
      <c r="AHO305" s="1"/>
      <c r="AHP305" s="1"/>
      <c r="AHQ305" s="1"/>
      <c r="AHR305" s="1"/>
      <c r="AHS305" s="1"/>
      <c r="AHT305" s="1"/>
      <c r="AHU305" s="1"/>
      <c r="AHV305" s="1"/>
      <c r="AHW305" s="1"/>
      <c r="AHX305" s="1"/>
      <c r="AHY305" s="1"/>
      <c r="AHZ305" s="1"/>
      <c r="AIA305" s="1"/>
      <c r="AIB305" s="1"/>
      <c r="AIC305" s="1"/>
      <c r="AID305" s="1"/>
      <c r="AIE305" s="1"/>
      <c r="AIF305" s="1"/>
      <c r="AIG305" s="1"/>
      <c r="AIH305" s="1"/>
      <c r="AII305" s="1"/>
      <c r="AIJ305" s="1"/>
      <c r="AIK305" s="1"/>
      <c r="AIL305" s="1"/>
      <c r="AIM305" s="1"/>
      <c r="AIN305" s="1"/>
      <c r="AIO305" s="1"/>
      <c r="AIP305" s="1"/>
      <c r="AIQ305" s="1"/>
      <c r="AIR305" s="1"/>
      <c r="AIS305" s="1"/>
      <c r="AIT305" s="1"/>
      <c r="AIU305" s="1"/>
      <c r="AIV305" s="1"/>
      <c r="AIW305" s="1"/>
      <c r="AIX305" s="1"/>
      <c r="AIY305" s="1"/>
      <c r="AIZ305" s="1"/>
      <c r="AJA305" s="1"/>
      <c r="AJB305" s="1"/>
      <c r="AJC305" s="1"/>
      <c r="AJD305" s="1"/>
      <c r="AJE305" s="1"/>
      <c r="AJF305" s="1"/>
      <c r="AJG305" s="1"/>
      <c r="AJH305" s="1"/>
      <c r="AJI305" s="1"/>
      <c r="AJJ305" s="1"/>
      <c r="AJK305" s="1"/>
      <c r="AJL305" s="1"/>
      <c r="AJM305" s="1"/>
      <c r="AJN305" s="1"/>
      <c r="AJO305" s="1"/>
      <c r="AJP305" s="1"/>
      <c r="AJQ305" s="1"/>
      <c r="AJR305" s="1"/>
      <c r="AJS305" s="1"/>
      <c r="AJT305" s="1"/>
      <c r="AJU305" s="1"/>
      <c r="AJV305" s="1"/>
      <c r="AJW305" s="1"/>
      <c r="AJX305" s="1"/>
      <c r="AJY305" s="1"/>
      <c r="AJZ305" s="1"/>
      <c r="AKA305" s="1"/>
      <c r="AKB305" s="1"/>
      <c r="AKC305" s="1"/>
      <c r="AKD305" s="1"/>
      <c r="AKE305" s="1"/>
      <c r="AKF305" s="1"/>
      <c r="AKG305" s="1"/>
      <c r="AKH305" s="1"/>
      <c r="AKI305" s="1"/>
      <c r="AKJ305" s="1"/>
      <c r="AKK305" s="1"/>
      <c r="AKL305" s="1"/>
      <c r="AKM305" s="1"/>
      <c r="AKN305" s="1"/>
      <c r="AKO305" s="1"/>
      <c r="AKP305" s="1"/>
      <c r="AKQ305" s="1"/>
      <c r="AKR305" s="1"/>
      <c r="AKS305" s="1"/>
      <c r="AKT305" s="1"/>
      <c r="AKU305" s="1"/>
      <c r="AKV305" s="1"/>
      <c r="AKW305" s="1"/>
      <c r="AKX305" s="1"/>
      <c r="AKY305" s="1"/>
      <c r="AKZ305" s="1"/>
      <c r="ALA305" s="1"/>
      <c r="ALB305" s="1"/>
      <c r="ALC305" s="1"/>
      <c r="ALD305" s="1"/>
      <c r="ALE305" s="1"/>
      <c r="ALF305" s="1"/>
      <c r="ALG305" s="1"/>
      <c r="ALH305" s="1"/>
      <c r="ALI305" s="1"/>
      <c r="ALJ305" s="1"/>
      <c r="ALK305" s="1"/>
      <c r="ALL305" s="1"/>
      <c r="ALM305" s="1"/>
      <c r="ALN305" s="1"/>
      <c r="ALO305" s="1"/>
      <c r="ALP305" s="1"/>
      <c r="ALQ305" s="1"/>
      <c r="ALR305" s="1"/>
      <c r="ALS305" s="1"/>
      <c r="ALT305" s="1"/>
      <c r="ALU305" s="1"/>
      <c r="ALV305" s="1"/>
      <c r="ALW305" s="1"/>
      <c r="ALX305" s="1"/>
      <c r="ALY305" s="1"/>
      <c r="ALZ305" s="1"/>
      <c r="AMA305" s="1"/>
      <c r="AMB305" s="1"/>
      <c r="AMC305" s="1"/>
      <c r="AMD305" s="1"/>
      <c r="AME305" s="1"/>
      <c r="AMF305" s="1"/>
      <c r="AMG305" s="1"/>
      <c r="AMH305" s="1"/>
      <c r="AMI305" s="1"/>
      <c r="AMJ305" s="1"/>
      <c r="AMK305" s="1"/>
      <c r="AML305" s="1"/>
      <c r="AMM305" s="1"/>
      <c r="AMN305" s="1"/>
      <c r="AMO305" s="1"/>
    </row>
    <row r="306" spans="1:1029" x14ac:dyDescent="0.2">
      <c r="A306" s="3" t="str">
        <f>CONCATENATE(B306,"_",C306)</f>
        <v>opsd_bovin_5TE3</v>
      </c>
      <c r="B306" s="3" t="s">
        <v>913</v>
      </c>
      <c r="C306" s="3" t="s">
        <v>1393</v>
      </c>
      <c r="D306" s="3" t="str">
        <f>IFERROR(MID(VLOOKUP($B306,Seqs!$A:$B,2,0),E306,1),"")</f>
        <v>E</v>
      </c>
      <c r="E306" s="105">
        <v>33</v>
      </c>
      <c r="F306" s="3" t="str">
        <f>IFERROR(MID(VLOOKUP($B306,Seqs!$A:$B,2,0),G306,1),"")</f>
        <v>H</v>
      </c>
      <c r="G306" s="3">
        <v>65</v>
      </c>
      <c r="H306" s="3" t="str">
        <f>IFERROR(MID(VLOOKUP($B306,Seqs!$A:$B,2,0),I306,1),"")</f>
        <v>K</v>
      </c>
      <c r="I306" s="23">
        <v>66</v>
      </c>
      <c r="J306" s="3" t="str">
        <f>IFERROR(MID(VLOOKUP($B306,Seqs!$A:$B,2,0),K306,1),"")</f>
        <v>R</v>
      </c>
      <c r="K306" s="23">
        <v>69</v>
      </c>
      <c r="L306" s="3" t="str">
        <f>IFERROR(MID(VLOOKUP($B306,Seqs!$A:$B,2,0),M306,1),"")</f>
        <v>T</v>
      </c>
      <c r="M306" s="3">
        <v>70</v>
      </c>
      <c r="N306" s="3" t="str">
        <f>IFERROR(MID(VLOOKUP($B306,Seqs!$A:$B,2,0),O306,1),"")</f>
        <v>H</v>
      </c>
      <c r="O306" s="3">
        <v>100</v>
      </c>
      <c r="P306" s="3" t="str">
        <f>IFERROR(MID(VLOOKUP($B306,Seqs!$A:$B,2,0),Q306,1),"")</f>
        <v>Y</v>
      </c>
      <c r="Q306" s="3">
        <v>102</v>
      </c>
      <c r="R306" s="3" t="str">
        <f>IFERROR(MID(VLOOKUP($B306,Seqs!$A:$B,2,0),S306,1),"")</f>
        <v>F</v>
      </c>
      <c r="S306" s="3">
        <v>105</v>
      </c>
      <c r="T306" s="3" t="str">
        <f>IFERROR(MID(VLOOKUP($B306,Seqs!$A:$B,2,0),U306,1),"")</f>
        <v>G</v>
      </c>
      <c r="U306" s="3">
        <v>106</v>
      </c>
      <c r="V306" s="3" t="str">
        <f>IFERROR(MID(VLOOKUP($B306,Seqs!$A:$B,2,0),W306,1),"")</f>
        <v>K</v>
      </c>
      <c r="W306" s="3">
        <v>141</v>
      </c>
      <c r="X306" s="3" t="str">
        <f>IFERROR(MID(VLOOKUP($B306,Seqs!$A:$B,2,0),Y306,1),"")</f>
        <v/>
      </c>
      <c r="Y306" s="3" t="s">
        <v>23</v>
      </c>
      <c r="Z306" s="3" t="str">
        <f>IFERROR(MID(VLOOKUP($B306,Seqs!$A:$B,2,0),AA306,1),"")</f>
        <v/>
      </c>
      <c r="AA306" s="3" t="s">
        <v>23</v>
      </c>
      <c r="AB306" s="3" t="str">
        <f>IFERROR(MID(VLOOKUP($B306,Seqs!$A:$B,2,0),AC306,1),"")</f>
        <v>G</v>
      </c>
      <c r="AC306" s="3">
        <v>149</v>
      </c>
      <c r="AD306" s="3" t="str">
        <f>IFERROR(MID(VLOOKUP($B306,Seqs!$A:$B,2,0),AE306,1),"")</f>
        <v>V</v>
      </c>
      <c r="AE306" s="3">
        <v>173</v>
      </c>
      <c r="AF306" s="3" t="str">
        <f>IFERROR(MID(VLOOKUP($B306,Seqs!$A:$B,2,0),AG306,1),"")</f>
        <v>C</v>
      </c>
      <c r="AG306" s="3">
        <v>187</v>
      </c>
      <c r="AH306" s="3" t="str">
        <f>IFERROR(MID(VLOOKUP($B306,Seqs!$A:$B,2,0),AI306,1),"")</f>
        <v>I</v>
      </c>
      <c r="AI306" s="3">
        <v>189</v>
      </c>
      <c r="AJ306" s="3" t="str">
        <f>IFERROR(MID(VLOOKUP($B306,Seqs!$A:$B,2,0),AK306,1),"")</f>
        <v>N</v>
      </c>
      <c r="AK306" s="3">
        <v>199</v>
      </c>
      <c r="AL306" s="3" t="str">
        <f>IFERROR(MID(VLOOKUP($B306,Seqs!$A:$B,2,0),AM306,1),"")</f>
        <v>Q</v>
      </c>
      <c r="AM306" s="3">
        <v>237</v>
      </c>
      <c r="AN306" s="3" t="str">
        <f>IFERROR(MID(VLOOKUP($B306,Seqs!$A:$B,2,0),AO306,1),"")</f>
        <v>A</v>
      </c>
      <c r="AO306" s="3">
        <v>241</v>
      </c>
      <c r="AP306" s="3" t="str">
        <f>IFERROR(MID(VLOOKUP($B306,Seqs!$A:$B,2,0),AQ306,1),"")</f>
        <v>H</v>
      </c>
      <c r="AQ306" s="3">
        <v>278</v>
      </c>
      <c r="AR306" s="3" t="str">
        <f>IFERROR(MID(VLOOKUP($B306,Seqs!$A:$B,2,0),AS306,1),"")</f>
        <v>G</v>
      </c>
      <c r="AS306" s="3">
        <v>284</v>
      </c>
      <c r="AT306" s="3" t="str">
        <f>IFERROR(MID(VLOOKUP($B306,Seqs!$A:$B,2,0),AU306,1),"")</f>
        <v>M</v>
      </c>
      <c r="AU306" s="3">
        <v>309</v>
      </c>
      <c r="AV306" s="3" t="str">
        <f>IFERROR(MID(VLOOKUP($B306,Seqs!$A:$B,2,0),AW306,1),"")</f>
        <v>N</v>
      </c>
      <c r="AW306" s="3">
        <v>310</v>
      </c>
      <c r="AX306" s="3" t="str">
        <f>IFERROR(MID(VLOOKUP($B306,Seqs!$A:$B,2,0),AY306,1),"")</f>
        <v>C</v>
      </c>
      <c r="AY306" s="3">
        <v>322</v>
      </c>
      <c r="AZ306" s="77" t="str">
        <f>VLOOKUP(B306,Classification!A:D,2,0)</f>
        <v>A</v>
      </c>
      <c r="BA306" s="94" t="str">
        <f>VLOOKUP(B306,Classification!A:D,4,0)</f>
        <v>Opsins</v>
      </c>
      <c r="BB306" s="27" t="b">
        <f t="shared" ref="BB306:BB316" si="1115">AND(E306&lt;G306,OR(G306&lt;I306,I306="-"),OR(I306&lt;K306,I306="-"),OR(K306&lt;M306,K306="-"),M306&lt;O306,OR(O306&lt;Q306,Q306="-"),OR(Q306&lt;S306,Q306="-"),OR(S306&lt;U306,S306="-"),U306&lt;W306,OR(W306&lt;Y306,Y306="-"),OR(Y306&lt;AA306,Y306="-"),OR(AA306&lt;AC306,AA306="-"),AC306&lt;AE306,OR(AE306&lt;AG306,AG306="-"),OR(AG306&lt;AI306,AG306="-"),OR(AI306&lt;AK306,AI306="-"),AK306&lt;AM306,AM306&lt;AO306,AO306&lt;AQ306,AQ306&lt;AS306,AS306&lt;AU306,OR(AU306&lt;AW306,AW306="-"),OR(AW306&lt;AY306,AW306="-"))</f>
        <v>1</v>
      </c>
      <c r="BC306" s="23">
        <f t="shared" ref="BC306:BC316" si="1116">_xlfn.AGGREGATE(9,6,CH306:CS306)-_xlfn.AGGREGATE(9,6,BV306:CG306)+12</f>
        <v>253</v>
      </c>
      <c r="BD306" s="2" t="s">
        <v>23</v>
      </c>
      <c r="BE306" s="3" t="s">
        <v>1285</v>
      </c>
      <c r="BF306" s="118">
        <v>2.7</v>
      </c>
      <c r="BG306" s="49" t="s">
        <v>1</v>
      </c>
      <c r="BH306" s="49" t="s">
        <v>1371</v>
      </c>
      <c r="BI306" s="1"/>
      <c r="BJ306" s="70" t="s">
        <v>1281</v>
      </c>
      <c r="BK306" s="57" t="s">
        <v>1281</v>
      </c>
      <c r="BL306" s="57" t="s">
        <v>1281</v>
      </c>
      <c r="BM306" s="57" t="s">
        <v>1281</v>
      </c>
      <c r="BN306" s="57" t="s">
        <v>1281</v>
      </c>
      <c r="BO306" s="57" t="s">
        <v>1281</v>
      </c>
      <c r="BP306" s="57" t="s">
        <v>1281</v>
      </c>
      <c r="BQ306" s="57" t="s">
        <v>1281</v>
      </c>
      <c r="BR306" s="57" t="s">
        <v>1281</v>
      </c>
      <c r="BS306" s="57" t="s">
        <v>1281</v>
      </c>
      <c r="BT306" s="57" t="s">
        <v>1281</v>
      </c>
      <c r="BU306" s="57" t="s">
        <v>1281</v>
      </c>
      <c r="BV306" s="70">
        <f>E306</f>
        <v>33</v>
      </c>
      <c r="BW306" s="71">
        <f>I306</f>
        <v>66</v>
      </c>
      <c r="BX306" s="72">
        <f>M306</f>
        <v>70</v>
      </c>
      <c r="BY306" s="71">
        <f>Q306</f>
        <v>102</v>
      </c>
      <c r="BZ306" s="72">
        <f>U306</f>
        <v>106</v>
      </c>
      <c r="CA306" s="71" t="str">
        <f>Y306</f>
        <v>-</v>
      </c>
      <c r="CB306" s="72">
        <f>AC306</f>
        <v>149</v>
      </c>
      <c r="CC306" s="71">
        <f>AG306</f>
        <v>187</v>
      </c>
      <c r="CD306" s="72">
        <f>AK306</f>
        <v>199</v>
      </c>
      <c r="CE306" s="71">
        <f>AO306</f>
        <v>241</v>
      </c>
      <c r="CF306" s="72">
        <f>AS306</f>
        <v>284</v>
      </c>
      <c r="CG306" s="71">
        <f>AW306</f>
        <v>310</v>
      </c>
      <c r="CH306" s="70">
        <f>G306</f>
        <v>65</v>
      </c>
      <c r="CI306" s="71">
        <f>K306</f>
        <v>69</v>
      </c>
      <c r="CJ306" s="72">
        <f>O306</f>
        <v>100</v>
      </c>
      <c r="CK306" s="72">
        <f>S306</f>
        <v>105</v>
      </c>
      <c r="CL306" s="72">
        <f>W306</f>
        <v>141</v>
      </c>
      <c r="CM306" s="72" t="str">
        <f>AA306</f>
        <v>-</v>
      </c>
      <c r="CN306" s="72">
        <f>AE306</f>
        <v>173</v>
      </c>
      <c r="CO306" s="72">
        <f>AI306</f>
        <v>189</v>
      </c>
      <c r="CP306" s="72">
        <f>AM306</f>
        <v>237</v>
      </c>
      <c r="CQ306" s="72">
        <f>AQ306</f>
        <v>278</v>
      </c>
      <c r="CR306" s="72">
        <f>AU306</f>
        <v>309</v>
      </c>
      <c r="CS306" s="72">
        <f>AY306</f>
        <v>322</v>
      </c>
      <c r="CT306" s="23">
        <f>M306-K306</f>
        <v>1</v>
      </c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  <c r="UU306" s="1"/>
      <c r="UV306" s="1"/>
      <c r="UW306" s="1"/>
      <c r="UX306" s="1"/>
      <c r="UY306" s="1"/>
      <c r="UZ306" s="1"/>
      <c r="VA306" s="1"/>
      <c r="VB306" s="1"/>
      <c r="VC306" s="1"/>
      <c r="VD306" s="1"/>
      <c r="VE306" s="1"/>
      <c r="VF306" s="1"/>
      <c r="VG306" s="1"/>
      <c r="VH306" s="1"/>
      <c r="VI306" s="1"/>
      <c r="VJ306" s="1"/>
      <c r="VK306" s="1"/>
      <c r="VL306" s="1"/>
      <c r="VM306" s="1"/>
      <c r="VN306" s="1"/>
      <c r="VO306" s="1"/>
      <c r="VP306" s="1"/>
      <c r="VQ306" s="1"/>
      <c r="VR306" s="1"/>
      <c r="VS306" s="1"/>
      <c r="VT306" s="1"/>
      <c r="VU306" s="1"/>
      <c r="VV306" s="1"/>
      <c r="VW306" s="1"/>
      <c r="VX306" s="1"/>
      <c r="VY306" s="1"/>
      <c r="VZ306" s="1"/>
      <c r="WA306" s="1"/>
      <c r="WB306" s="1"/>
      <c r="WC306" s="1"/>
      <c r="WD306" s="1"/>
      <c r="WE306" s="1"/>
      <c r="WF306" s="1"/>
      <c r="WG306" s="1"/>
      <c r="WH306" s="1"/>
      <c r="WI306" s="1"/>
      <c r="WJ306" s="1"/>
      <c r="WK306" s="1"/>
      <c r="WL306" s="1"/>
      <c r="WM306" s="1"/>
      <c r="WN306" s="1"/>
      <c r="WO306" s="1"/>
      <c r="WP306" s="1"/>
      <c r="WQ306" s="1"/>
      <c r="WR306" s="1"/>
      <c r="WS306" s="1"/>
      <c r="WT306" s="1"/>
      <c r="WU306" s="1"/>
      <c r="WV306" s="1"/>
      <c r="WW306" s="1"/>
      <c r="WX306" s="1"/>
      <c r="WY306" s="1"/>
      <c r="WZ306" s="1"/>
      <c r="XA306" s="1"/>
      <c r="XB306" s="1"/>
      <c r="XC306" s="1"/>
      <c r="XD306" s="1"/>
      <c r="XE306" s="1"/>
      <c r="XF306" s="1"/>
      <c r="XG306" s="1"/>
      <c r="XH306" s="1"/>
      <c r="XI306" s="1"/>
      <c r="XJ306" s="1"/>
      <c r="XK306" s="1"/>
      <c r="XL306" s="1"/>
      <c r="XM306" s="1"/>
      <c r="XN306" s="1"/>
      <c r="XO306" s="1"/>
      <c r="XP306" s="1"/>
      <c r="XQ306" s="1"/>
      <c r="XR306" s="1"/>
      <c r="XS306" s="1"/>
      <c r="XT306" s="1"/>
      <c r="XU306" s="1"/>
      <c r="XV306" s="1"/>
      <c r="XW306" s="1"/>
      <c r="XX306" s="1"/>
      <c r="XY306" s="1"/>
      <c r="XZ306" s="1"/>
      <c r="YA306" s="1"/>
      <c r="YB306" s="1"/>
      <c r="YC306" s="1"/>
      <c r="YD306" s="1"/>
      <c r="YE306" s="1"/>
      <c r="YF306" s="1"/>
      <c r="YG306" s="1"/>
      <c r="YH306" s="1"/>
      <c r="YI306" s="1"/>
      <c r="YJ306" s="1"/>
      <c r="YK306" s="1"/>
      <c r="YL306" s="1"/>
      <c r="YM306" s="1"/>
      <c r="YN306" s="1"/>
      <c r="YO306" s="1"/>
      <c r="YP306" s="1"/>
      <c r="YQ306" s="1"/>
      <c r="YR306" s="1"/>
      <c r="YS306" s="1"/>
      <c r="YT306" s="1"/>
      <c r="YU306" s="1"/>
      <c r="YV306" s="1"/>
      <c r="YW306" s="1"/>
      <c r="YX306" s="1"/>
      <c r="YY306" s="1"/>
      <c r="YZ306" s="1"/>
      <c r="ZA306" s="1"/>
      <c r="ZB306" s="1"/>
      <c r="ZC306" s="1"/>
      <c r="ZD306" s="1"/>
      <c r="ZE306" s="1"/>
      <c r="ZF306" s="1"/>
      <c r="ZG306" s="1"/>
      <c r="ZH306" s="1"/>
      <c r="ZI306" s="1"/>
      <c r="ZJ306" s="1"/>
      <c r="ZK306" s="1"/>
      <c r="ZL306" s="1"/>
      <c r="ZM306" s="1"/>
      <c r="ZN306" s="1"/>
      <c r="ZO306" s="1"/>
      <c r="ZP306" s="1"/>
      <c r="ZQ306" s="1"/>
      <c r="ZR306" s="1"/>
      <c r="ZS306" s="1"/>
      <c r="ZT306" s="1"/>
      <c r="ZU306" s="1"/>
      <c r="ZV306" s="1"/>
      <c r="ZW306" s="1"/>
      <c r="ZX306" s="1"/>
      <c r="ZY306" s="1"/>
      <c r="ZZ306" s="1"/>
      <c r="AAA306" s="1"/>
      <c r="AAB306" s="1"/>
      <c r="AAC306" s="1"/>
      <c r="AAD306" s="1"/>
      <c r="AAE306" s="1"/>
      <c r="AAF306" s="1"/>
      <c r="AAG306" s="1"/>
      <c r="AAH306" s="1"/>
      <c r="AAI306" s="1"/>
      <c r="AAJ306" s="1"/>
      <c r="AAK306" s="1"/>
      <c r="AAL306" s="1"/>
      <c r="AAM306" s="1"/>
      <c r="AAN306" s="1"/>
      <c r="AAO306" s="1"/>
      <c r="AAP306" s="1"/>
      <c r="AAQ306" s="1"/>
      <c r="AAR306" s="1"/>
      <c r="AAS306" s="1"/>
      <c r="AAT306" s="1"/>
      <c r="AAU306" s="1"/>
      <c r="AAV306" s="1"/>
      <c r="AAW306" s="1"/>
      <c r="AAX306" s="1"/>
      <c r="AAY306" s="1"/>
      <c r="AAZ306" s="1"/>
      <c r="ABA306" s="1"/>
      <c r="ABB306" s="1"/>
      <c r="ABC306" s="1"/>
      <c r="ABD306" s="1"/>
      <c r="ABE306" s="1"/>
      <c r="ABF306" s="1"/>
      <c r="ABG306" s="1"/>
      <c r="ABH306" s="1"/>
      <c r="ABI306" s="1"/>
      <c r="ABJ306" s="1"/>
      <c r="ABK306" s="1"/>
      <c r="ABL306" s="1"/>
      <c r="ABM306" s="1"/>
      <c r="ABN306" s="1"/>
      <c r="ABO306" s="1"/>
      <c r="ABP306" s="1"/>
      <c r="ABQ306" s="1"/>
      <c r="ABR306" s="1"/>
      <c r="ABS306" s="1"/>
      <c r="ABT306" s="1"/>
      <c r="ABU306" s="1"/>
      <c r="ABV306" s="1"/>
      <c r="ABW306" s="1"/>
      <c r="ABX306" s="1"/>
      <c r="ABY306" s="1"/>
      <c r="ABZ306" s="1"/>
      <c r="ACA306" s="1"/>
      <c r="ACB306" s="1"/>
      <c r="ACC306" s="1"/>
      <c r="ACD306" s="1"/>
      <c r="ACE306" s="1"/>
      <c r="ACF306" s="1"/>
      <c r="ACG306" s="1"/>
      <c r="ACH306" s="1"/>
      <c r="ACI306" s="1"/>
      <c r="ACJ306" s="1"/>
      <c r="ACK306" s="1"/>
      <c r="ACL306" s="1"/>
      <c r="ACM306" s="1"/>
      <c r="ACN306" s="1"/>
      <c r="ACO306" s="1"/>
      <c r="ACP306" s="1"/>
      <c r="ACQ306" s="1"/>
      <c r="ACR306" s="1"/>
      <c r="ACS306" s="1"/>
      <c r="ACT306" s="1"/>
      <c r="ACU306" s="1"/>
      <c r="ACV306" s="1"/>
      <c r="ACW306" s="1"/>
      <c r="ACX306" s="1"/>
      <c r="ACY306" s="1"/>
      <c r="ACZ306" s="1"/>
      <c r="ADA306" s="1"/>
      <c r="ADB306" s="1"/>
      <c r="ADC306" s="1"/>
      <c r="ADD306" s="1"/>
      <c r="ADE306" s="1"/>
      <c r="ADF306" s="1"/>
      <c r="ADG306" s="1"/>
      <c r="ADH306" s="1"/>
      <c r="ADI306" s="1"/>
      <c r="ADJ306" s="1"/>
      <c r="ADK306" s="1"/>
      <c r="ADL306" s="1"/>
      <c r="ADM306" s="1"/>
      <c r="ADN306" s="1"/>
      <c r="ADO306" s="1"/>
      <c r="ADP306" s="1"/>
      <c r="ADQ306" s="1"/>
      <c r="ADR306" s="1"/>
      <c r="ADS306" s="1"/>
      <c r="ADT306" s="1"/>
      <c r="ADU306" s="1"/>
      <c r="ADV306" s="1"/>
      <c r="ADW306" s="1"/>
      <c r="ADX306" s="1"/>
      <c r="ADY306" s="1"/>
      <c r="ADZ306" s="1"/>
      <c r="AEA306" s="1"/>
      <c r="AEB306" s="1"/>
      <c r="AEC306" s="1"/>
      <c r="AED306" s="1"/>
      <c r="AEE306" s="1"/>
      <c r="AEF306" s="1"/>
      <c r="AEG306" s="1"/>
      <c r="AEH306" s="1"/>
      <c r="AEI306" s="1"/>
      <c r="AEJ306" s="1"/>
      <c r="AEK306" s="1"/>
      <c r="AEL306" s="1"/>
      <c r="AEM306" s="1"/>
      <c r="AEN306" s="1"/>
      <c r="AEO306" s="1"/>
      <c r="AEP306" s="1"/>
      <c r="AEQ306" s="1"/>
      <c r="AER306" s="1"/>
      <c r="AES306" s="1"/>
      <c r="AET306" s="1"/>
      <c r="AEU306" s="1"/>
      <c r="AEV306" s="1"/>
      <c r="AEW306" s="1"/>
      <c r="AEX306" s="1"/>
      <c r="AEY306" s="1"/>
      <c r="AEZ306" s="1"/>
      <c r="AFA306" s="1"/>
      <c r="AFB306" s="1"/>
      <c r="AFC306" s="1"/>
      <c r="AFD306" s="1"/>
      <c r="AFE306" s="1"/>
      <c r="AFF306" s="1"/>
      <c r="AFG306" s="1"/>
      <c r="AFH306" s="1"/>
      <c r="AFI306" s="1"/>
      <c r="AFJ306" s="1"/>
      <c r="AFK306" s="1"/>
      <c r="AFL306" s="1"/>
      <c r="AFM306" s="1"/>
      <c r="AFN306" s="1"/>
      <c r="AFO306" s="1"/>
      <c r="AFP306" s="1"/>
      <c r="AFQ306" s="1"/>
      <c r="AFR306" s="1"/>
      <c r="AFS306" s="1"/>
      <c r="AFT306" s="1"/>
      <c r="AFU306" s="1"/>
      <c r="AFV306" s="1"/>
      <c r="AFW306" s="1"/>
      <c r="AFX306" s="1"/>
      <c r="AFY306" s="1"/>
      <c r="AFZ306" s="1"/>
      <c r="AGA306" s="1"/>
      <c r="AGB306" s="1"/>
      <c r="AGC306" s="1"/>
      <c r="AGD306" s="1"/>
      <c r="AGE306" s="1"/>
      <c r="AGF306" s="1"/>
      <c r="AGG306" s="1"/>
      <c r="AGH306" s="1"/>
      <c r="AGI306" s="1"/>
      <c r="AGJ306" s="1"/>
      <c r="AGK306" s="1"/>
      <c r="AGL306" s="1"/>
      <c r="AGM306" s="1"/>
      <c r="AGN306" s="1"/>
      <c r="AGO306" s="1"/>
      <c r="AGP306" s="1"/>
      <c r="AGQ306" s="1"/>
      <c r="AGR306" s="1"/>
      <c r="AGS306" s="1"/>
      <c r="AGT306" s="1"/>
      <c r="AGU306" s="1"/>
      <c r="AGV306" s="1"/>
      <c r="AGW306" s="1"/>
      <c r="AGX306" s="1"/>
      <c r="AGY306" s="1"/>
      <c r="AGZ306" s="1"/>
      <c r="AHA306" s="1"/>
      <c r="AHB306" s="1"/>
      <c r="AHC306" s="1"/>
      <c r="AHD306" s="1"/>
      <c r="AHE306" s="1"/>
      <c r="AHF306" s="1"/>
      <c r="AHG306" s="1"/>
      <c r="AHH306" s="1"/>
      <c r="AHI306" s="1"/>
      <c r="AHJ306" s="1"/>
      <c r="AHK306" s="1"/>
      <c r="AHL306" s="1"/>
      <c r="AHM306" s="1"/>
      <c r="AHN306" s="1"/>
      <c r="AHO306" s="1"/>
      <c r="AHP306" s="1"/>
      <c r="AHQ306" s="1"/>
      <c r="AHR306" s="1"/>
      <c r="AHS306" s="1"/>
      <c r="AHT306" s="1"/>
      <c r="AHU306" s="1"/>
      <c r="AHV306" s="1"/>
      <c r="AHW306" s="1"/>
      <c r="AHX306" s="1"/>
      <c r="AHY306" s="1"/>
      <c r="AHZ306" s="1"/>
      <c r="AIA306" s="1"/>
      <c r="AIB306" s="1"/>
      <c r="AIC306" s="1"/>
      <c r="AID306" s="1"/>
      <c r="AIE306" s="1"/>
      <c r="AIF306" s="1"/>
      <c r="AIG306" s="1"/>
      <c r="AIH306" s="1"/>
      <c r="AII306" s="1"/>
      <c r="AIJ306" s="1"/>
      <c r="AIK306" s="1"/>
      <c r="AIL306" s="1"/>
      <c r="AIM306" s="1"/>
      <c r="AIN306" s="1"/>
      <c r="AIO306" s="1"/>
      <c r="AIP306" s="1"/>
      <c r="AIQ306" s="1"/>
      <c r="AIR306" s="1"/>
      <c r="AIS306" s="1"/>
      <c r="AIT306" s="1"/>
      <c r="AIU306" s="1"/>
      <c r="AIV306" s="1"/>
      <c r="AIW306" s="1"/>
      <c r="AIX306" s="1"/>
      <c r="AIY306" s="1"/>
      <c r="AIZ306" s="1"/>
      <c r="AJA306" s="1"/>
      <c r="AJB306" s="1"/>
      <c r="AJC306" s="1"/>
      <c r="AJD306" s="1"/>
      <c r="AJE306" s="1"/>
      <c r="AJF306" s="1"/>
      <c r="AJG306" s="1"/>
      <c r="AJH306" s="1"/>
      <c r="AJI306" s="1"/>
      <c r="AJJ306" s="1"/>
      <c r="AJK306" s="1"/>
      <c r="AJL306" s="1"/>
      <c r="AJM306" s="1"/>
      <c r="AJN306" s="1"/>
      <c r="AJO306" s="1"/>
      <c r="AJP306" s="1"/>
      <c r="AJQ306" s="1"/>
      <c r="AJR306" s="1"/>
      <c r="AJS306" s="1"/>
      <c r="AJT306" s="1"/>
      <c r="AJU306" s="1"/>
      <c r="AJV306" s="1"/>
      <c r="AJW306" s="1"/>
      <c r="AJX306" s="1"/>
      <c r="AJY306" s="1"/>
      <c r="AJZ306" s="1"/>
      <c r="AKA306" s="1"/>
      <c r="AKB306" s="1"/>
      <c r="AKC306" s="1"/>
      <c r="AKD306" s="1"/>
      <c r="AKE306" s="1"/>
      <c r="AKF306" s="1"/>
      <c r="AKG306" s="1"/>
      <c r="AKH306" s="1"/>
      <c r="AKI306" s="1"/>
      <c r="AKJ306" s="1"/>
      <c r="AKK306" s="1"/>
      <c r="AKL306" s="1"/>
      <c r="AKM306" s="1"/>
      <c r="AKN306" s="1"/>
      <c r="AKO306" s="1"/>
      <c r="AKP306" s="1"/>
      <c r="AKQ306" s="1"/>
      <c r="AKR306" s="1"/>
      <c r="AKS306" s="1"/>
      <c r="AKT306" s="1"/>
      <c r="AKU306" s="1"/>
      <c r="AKV306" s="1"/>
      <c r="AKW306" s="1"/>
      <c r="AKX306" s="1"/>
      <c r="AKY306" s="1"/>
      <c r="AKZ306" s="1"/>
      <c r="ALA306" s="1"/>
      <c r="ALB306" s="1"/>
      <c r="ALC306" s="1"/>
      <c r="ALD306" s="1"/>
      <c r="ALE306" s="1"/>
      <c r="ALF306" s="1"/>
      <c r="ALG306" s="1"/>
      <c r="ALH306" s="1"/>
      <c r="ALI306" s="1"/>
      <c r="ALJ306" s="1"/>
      <c r="ALK306" s="1"/>
      <c r="ALL306" s="1"/>
      <c r="ALM306" s="1"/>
      <c r="ALN306" s="1"/>
      <c r="ALO306" s="1"/>
      <c r="ALP306" s="1"/>
      <c r="ALQ306" s="1"/>
      <c r="ALR306" s="1"/>
      <c r="ALS306" s="1"/>
      <c r="ALT306" s="1"/>
      <c r="ALU306" s="1"/>
      <c r="ALV306" s="1"/>
      <c r="ALW306" s="1"/>
      <c r="ALX306" s="1"/>
      <c r="ALY306" s="1"/>
      <c r="ALZ306" s="1"/>
      <c r="AMA306" s="1"/>
      <c r="AMB306" s="1"/>
      <c r="AMC306" s="1"/>
      <c r="AMD306" s="1"/>
      <c r="AME306" s="1"/>
      <c r="AMF306" s="1"/>
      <c r="AMG306" s="1"/>
      <c r="AMH306" s="1"/>
      <c r="AMI306" s="1"/>
      <c r="AMJ306" s="1"/>
      <c r="AMK306" s="1"/>
      <c r="AML306" s="1"/>
      <c r="AMM306" s="1"/>
      <c r="AMN306" s="1"/>
      <c r="AMO306" s="1"/>
    </row>
    <row r="307" spans="1:1029" x14ac:dyDescent="0.2">
      <c r="A307" s="3" t="str">
        <f>CONCATENATE(B307,"_",C307)</f>
        <v>opsd_bovin_5TE5</v>
      </c>
      <c r="B307" s="3" t="s">
        <v>913</v>
      </c>
      <c r="C307" s="3" t="s">
        <v>1394</v>
      </c>
      <c r="D307" s="3" t="str">
        <f>IFERROR(MID(VLOOKUP($B307,Seqs!$A:$B,2,0),E307,1),"")</f>
        <v>Q</v>
      </c>
      <c r="E307" s="3">
        <v>36</v>
      </c>
      <c r="F307" s="3" t="str">
        <f>IFERROR(MID(VLOOKUP($B307,Seqs!$A:$B,2,0),G307,1),"")</f>
        <v>H</v>
      </c>
      <c r="G307" s="3">
        <v>65</v>
      </c>
      <c r="H307" s="3" t="str">
        <f>IFERROR(MID(VLOOKUP($B307,Seqs!$A:$B,2,0),I307,1),"")</f>
        <v>K</v>
      </c>
      <c r="I307" s="23">
        <v>66</v>
      </c>
      <c r="J307" s="3" t="str">
        <f>IFERROR(MID(VLOOKUP($B307,Seqs!$A:$B,2,0),K307,1),"")</f>
        <v>R</v>
      </c>
      <c r="K307" s="23">
        <v>69</v>
      </c>
      <c r="L307" s="3" t="str">
        <f>IFERROR(MID(VLOOKUP($B307,Seqs!$A:$B,2,0),M307,1),"")</f>
        <v>T</v>
      </c>
      <c r="M307" s="3">
        <v>70</v>
      </c>
      <c r="N307" s="3" t="str">
        <f>IFERROR(MID(VLOOKUP($B307,Seqs!$A:$B,2,0),O307,1),"")</f>
        <v>G</v>
      </c>
      <c r="O307" s="3">
        <v>101</v>
      </c>
      <c r="P307" s="3" t="str">
        <f>IFERROR(MID(VLOOKUP($B307,Seqs!$A:$B,2,0),Q307,1),"")</f>
        <v>Y</v>
      </c>
      <c r="Q307" s="3">
        <v>102</v>
      </c>
      <c r="R307" s="3" t="str">
        <f>IFERROR(MID(VLOOKUP($B307,Seqs!$A:$B,2,0),S307,1),"")</f>
        <v>F</v>
      </c>
      <c r="S307" s="3">
        <v>105</v>
      </c>
      <c r="T307" s="3" t="str">
        <f>IFERROR(MID(VLOOKUP($B307,Seqs!$A:$B,2,0),U307,1),"")</f>
        <v>G</v>
      </c>
      <c r="U307" s="3">
        <v>106</v>
      </c>
      <c r="V307" s="3" t="str">
        <f>IFERROR(MID(VLOOKUP($B307,Seqs!$A:$B,2,0),W307,1),"")</f>
        <v>K</v>
      </c>
      <c r="W307" s="3">
        <v>141</v>
      </c>
      <c r="X307" s="3" t="str">
        <f>IFERROR(MID(VLOOKUP($B307,Seqs!$A:$B,2,0),Y307,1),"")</f>
        <v/>
      </c>
      <c r="Y307" s="3" t="s">
        <v>23</v>
      </c>
      <c r="Z307" s="3" t="str">
        <f>IFERROR(MID(VLOOKUP($B307,Seqs!$A:$B,2,0),AA307,1),"")</f>
        <v/>
      </c>
      <c r="AA307" s="3" t="s">
        <v>23</v>
      </c>
      <c r="AB307" s="3" t="str">
        <f>IFERROR(MID(VLOOKUP($B307,Seqs!$A:$B,2,0),AC307,1),"")</f>
        <v>G</v>
      </c>
      <c r="AC307" s="3">
        <v>149</v>
      </c>
      <c r="AD307" s="3" t="str">
        <f>IFERROR(MID(VLOOKUP($B307,Seqs!$A:$B,2,0),AE307,1),"")</f>
        <v>V</v>
      </c>
      <c r="AE307" s="3">
        <v>173</v>
      </c>
      <c r="AF307" s="3" t="str">
        <f>IFERROR(MID(VLOOKUP($B307,Seqs!$A:$B,2,0),AG307,1),"")</f>
        <v>C</v>
      </c>
      <c r="AG307" s="3">
        <v>187</v>
      </c>
      <c r="AH307" s="3" t="str">
        <f>IFERROR(MID(VLOOKUP($B307,Seqs!$A:$B,2,0),AI307,1),"")</f>
        <v>I</v>
      </c>
      <c r="AI307" s="3">
        <v>189</v>
      </c>
      <c r="AJ307" s="3" t="str">
        <f>IFERROR(MID(VLOOKUP($B307,Seqs!$A:$B,2,0),AK307,1),"")</f>
        <v>S</v>
      </c>
      <c r="AK307" s="3">
        <v>202</v>
      </c>
      <c r="AL307" s="3" t="str">
        <f>IFERROR(MID(VLOOKUP($B307,Seqs!$A:$B,2,0),AM307,1),"")</f>
        <v>L</v>
      </c>
      <c r="AM307" s="3">
        <v>226</v>
      </c>
      <c r="AN307" s="3" t="str">
        <f>IFERROR(MID(VLOOKUP($B307,Seqs!$A:$B,2,0),AO307,1),"")</f>
        <v>T</v>
      </c>
      <c r="AO307" s="3">
        <v>243</v>
      </c>
      <c r="AP307" s="3" t="str">
        <f>IFERROR(MID(VLOOKUP($B307,Seqs!$A:$B,2,0),AQ307,1),"")</f>
        <v>H</v>
      </c>
      <c r="AQ307" s="3">
        <v>278</v>
      </c>
      <c r="AR307" s="3" t="str">
        <f>IFERROR(MID(VLOOKUP($B307,Seqs!$A:$B,2,0),AS307,1),"")</f>
        <v>P</v>
      </c>
      <c r="AS307" s="3">
        <v>285</v>
      </c>
      <c r="AT307" s="3" t="str">
        <f>IFERROR(MID(VLOOKUP($B307,Seqs!$A:$B,2,0),AU307,1),"")</f>
        <v>M</v>
      </c>
      <c r="AU307" s="3">
        <v>309</v>
      </c>
      <c r="AV307" s="3" t="str">
        <f>IFERROR(MID(VLOOKUP($B307,Seqs!$A:$B,2,0),AW307,1),"")</f>
        <v>N</v>
      </c>
      <c r="AW307" s="3">
        <v>310</v>
      </c>
      <c r="AX307" s="3" t="str">
        <f>IFERROR(MID(VLOOKUP($B307,Seqs!$A:$B,2,0),AY307,1),"")</f>
        <v>C</v>
      </c>
      <c r="AY307" s="3">
        <v>323</v>
      </c>
      <c r="AZ307" s="77" t="str">
        <f>VLOOKUP(B307,Classification!A:D,2,0)</f>
        <v>A</v>
      </c>
      <c r="BA307" s="94" t="str">
        <f>VLOOKUP(B307,Classification!A:D,4,0)</f>
        <v>Opsins</v>
      </c>
      <c r="BB307" s="27" t="b">
        <f t="shared" si="1115"/>
        <v>1</v>
      </c>
      <c r="BC307" s="23">
        <f t="shared" si="1116"/>
        <v>235</v>
      </c>
      <c r="BD307" s="2" t="s">
        <v>23</v>
      </c>
      <c r="BE307" s="3" t="s">
        <v>1368</v>
      </c>
      <c r="BF307" s="118">
        <v>4.01</v>
      </c>
      <c r="BG307" s="49" t="s">
        <v>1371</v>
      </c>
      <c r="BH307" s="49" t="s">
        <v>1371</v>
      </c>
      <c r="BI307" s="1"/>
      <c r="BJ307" s="70" t="s">
        <v>1281</v>
      </c>
      <c r="BK307" s="57" t="s">
        <v>1281</v>
      </c>
      <c r="BL307" s="57" t="s">
        <v>1281</v>
      </c>
      <c r="BM307" s="57" t="s">
        <v>1281</v>
      </c>
      <c r="BN307" s="57" t="s">
        <v>1281</v>
      </c>
      <c r="BO307" s="57" t="s">
        <v>1281</v>
      </c>
      <c r="BP307" s="57" t="s">
        <v>1281</v>
      </c>
      <c r="BQ307" s="57" t="s">
        <v>1281</v>
      </c>
      <c r="BR307" s="57" t="s">
        <v>1281</v>
      </c>
      <c r="BS307" s="57" t="s">
        <v>1281</v>
      </c>
      <c r="BT307" s="57" t="s">
        <v>1281</v>
      </c>
      <c r="BU307" s="57" t="s">
        <v>1281</v>
      </c>
      <c r="BV307" s="70">
        <f>E307</f>
        <v>36</v>
      </c>
      <c r="BW307" s="71">
        <f>I307</f>
        <v>66</v>
      </c>
      <c r="BX307" s="72">
        <f>M307</f>
        <v>70</v>
      </c>
      <c r="BY307" s="71">
        <f>Q307</f>
        <v>102</v>
      </c>
      <c r="BZ307" s="72">
        <f>U307</f>
        <v>106</v>
      </c>
      <c r="CA307" s="71" t="str">
        <f>Y307</f>
        <v>-</v>
      </c>
      <c r="CB307" s="72">
        <f>AC307</f>
        <v>149</v>
      </c>
      <c r="CC307" s="71">
        <f>AG307</f>
        <v>187</v>
      </c>
      <c r="CD307" s="72">
        <f>AK307</f>
        <v>202</v>
      </c>
      <c r="CE307" s="71">
        <f>AO307</f>
        <v>243</v>
      </c>
      <c r="CF307" s="72">
        <f>AS307</f>
        <v>285</v>
      </c>
      <c r="CG307" s="71">
        <f>AW307</f>
        <v>310</v>
      </c>
      <c r="CH307" s="70">
        <f>G307</f>
        <v>65</v>
      </c>
      <c r="CI307" s="71">
        <f>K307</f>
        <v>69</v>
      </c>
      <c r="CJ307" s="72">
        <f>O307</f>
        <v>101</v>
      </c>
      <c r="CK307" s="72">
        <f>S307</f>
        <v>105</v>
      </c>
      <c r="CL307" s="72">
        <f>W307</f>
        <v>141</v>
      </c>
      <c r="CM307" s="72" t="str">
        <f>AA307</f>
        <v>-</v>
      </c>
      <c r="CN307" s="72">
        <f>AE307</f>
        <v>173</v>
      </c>
      <c r="CO307" s="72">
        <f>AI307</f>
        <v>189</v>
      </c>
      <c r="CP307" s="72">
        <f>AM307</f>
        <v>226</v>
      </c>
      <c r="CQ307" s="72">
        <f>AQ307</f>
        <v>278</v>
      </c>
      <c r="CR307" s="72">
        <f>AU307</f>
        <v>309</v>
      </c>
      <c r="CS307" s="72">
        <f>AY307</f>
        <v>323</v>
      </c>
      <c r="CT307" s="23">
        <f>M307-K307</f>
        <v>1</v>
      </c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  <c r="VC307" s="1"/>
      <c r="VD307" s="1"/>
      <c r="VE307" s="1"/>
      <c r="VF307" s="1"/>
      <c r="VG307" s="1"/>
      <c r="VH307" s="1"/>
      <c r="VI307" s="1"/>
      <c r="VJ307" s="1"/>
      <c r="VK307" s="1"/>
      <c r="VL307" s="1"/>
      <c r="VM307" s="1"/>
      <c r="VN307" s="1"/>
      <c r="VO307" s="1"/>
      <c r="VP307" s="1"/>
      <c r="VQ307" s="1"/>
      <c r="VR307" s="1"/>
      <c r="VS307" s="1"/>
      <c r="VT307" s="1"/>
      <c r="VU307" s="1"/>
      <c r="VV307" s="1"/>
      <c r="VW307" s="1"/>
      <c r="VX307" s="1"/>
      <c r="VY307" s="1"/>
      <c r="VZ307" s="1"/>
      <c r="WA307" s="1"/>
      <c r="WB307" s="1"/>
      <c r="WC307" s="1"/>
      <c r="WD307" s="1"/>
      <c r="WE307" s="1"/>
      <c r="WF307" s="1"/>
      <c r="WG307" s="1"/>
      <c r="WH307" s="1"/>
      <c r="WI307" s="1"/>
      <c r="WJ307" s="1"/>
      <c r="WK307" s="1"/>
      <c r="WL307" s="1"/>
      <c r="WM307" s="1"/>
      <c r="WN307" s="1"/>
      <c r="WO307" s="1"/>
      <c r="WP307" s="1"/>
      <c r="WQ307" s="1"/>
      <c r="WR307" s="1"/>
      <c r="WS307" s="1"/>
      <c r="WT307" s="1"/>
      <c r="WU307" s="1"/>
      <c r="WV307" s="1"/>
      <c r="WW307" s="1"/>
      <c r="WX307" s="1"/>
      <c r="WY307" s="1"/>
      <c r="WZ307" s="1"/>
      <c r="XA307" s="1"/>
      <c r="XB307" s="1"/>
      <c r="XC307" s="1"/>
      <c r="XD307" s="1"/>
      <c r="XE307" s="1"/>
      <c r="XF307" s="1"/>
      <c r="XG307" s="1"/>
      <c r="XH307" s="1"/>
      <c r="XI307" s="1"/>
      <c r="XJ307" s="1"/>
      <c r="XK307" s="1"/>
      <c r="XL307" s="1"/>
      <c r="XM307" s="1"/>
      <c r="XN307" s="1"/>
      <c r="XO307" s="1"/>
      <c r="XP307" s="1"/>
      <c r="XQ307" s="1"/>
      <c r="XR307" s="1"/>
      <c r="XS307" s="1"/>
      <c r="XT307" s="1"/>
      <c r="XU307" s="1"/>
      <c r="XV307" s="1"/>
      <c r="XW307" s="1"/>
      <c r="XX307" s="1"/>
      <c r="XY307" s="1"/>
      <c r="XZ307" s="1"/>
      <c r="YA307" s="1"/>
      <c r="YB307" s="1"/>
      <c r="YC307" s="1"/>
      <c r="YD307" s="1"/>
      <c r="YE307" s="1"/>
      <c r="YF307" s="1"/>
      <c r="YG307" s="1"/>
      <c r="YH307" s="1"/>
      <c r="YI307" s="1"/>
      <c r="YJ307" s="1"/>
      <c r="YK307" s="1"/>
      <c r="YL307" s="1"/>
      <c r="YM307" s="1"/>
      <c r="YN307" s="1"/>
      <c r="YO307" s="1"/>
      <c r="YP307" s="1"/>
      <c r="YQ307" s="1"/>
      <c r="YR307" s="1"/>
      <c r="YS307" s="1"/>
      <c r="YT307" s="1"/>
      <c r="YU307" s="1"/>
      <c r="YV307" s="1"/>
      <c r="YW307" s="1"/>
      <c r="YX307" s="1"/>
      <c r="YY307" s="1"/>
      <c r="YZ307" s="1"/>
      <c r="ZA307" s="1"/>
      <c r="ZB307" s="1"/>
      <c r="ZC307" s="1"/>
      <c r="ZD307" s="1"/>
      <c r="ZE307" s="1"/>
      <c r="ZF307" s="1"/>
      <c r="ZG307" s="1"/>
      <c r="ZH307" s="1"/>
      <c r="ZI307" s="1"/>
      <c r="ZJ307" s="1"/>
      <c r="ZK307" s="1"/>
      <c r="ZL307" s="1"/>
      <c r="ZM307" s="1"/>
      <c r="ZN307" s="1"/>
      <c r="ZO307" s="1"/>
      <c r="ZP307" s="1"/>
      <c r="ZQ307" s="1"/>
      <c r="ZR307" s="1"/>
      <c r="ZS307" s="1"/>
      <c r="ZT307" s="1"/>
      <c r="ZU307" s="1"/>
      <c r="ZV307" s="1"/>
      <c r="ZW307" s="1"/>
      <c r="ZX307" s="1"/>
      <c r="ZY307" s="1"/>
      <c r="ZZ307" s="1"/>
      <c r="AAA307" s="1"/>
      <c r="AAB307" s="1"/>
      <c r="AAC307" s="1"/>
      <c r="AAD307" s="1"/>
      <c r="AAE307" s="1"/>
      <c r="AAF307" s="1"/>
      <c r="AAG307" s="1"/>
      <c r="AAH307" s="1"/>
      <c r="AAI307" s="1"/>
      <c r="AAJ307" s="1"/>
      <c r="AAK307" s="1"/>
      <c r="AAL307" s="1"/>
      <c r="AAM307" s="1"/>
      <c r="AAN307" s="1"/>
      <c r="AAO307" s="1"/>
      <c r="AAP307" s="1"/>
      <c r="AAQ307" s="1"/>
      <c r="AAR307" s="1"/>
      <c r="AAS307" s="1"/>
      <c r="AAT307" s="1"/>
      <c r="AAU307" s="1"/>
      <c r="AAV307" s="1"/>
      <c r="AAW307" s="1"/>
      <c r="AAX307" s="1"/>
      <c r="AAY307" s="1"/>
      <c r="AAZ307" s="1"/>
      <c r="ABA307" s="1"/>
      <c r="ABB307" s="1"/>
      <c r="ABC307" s="1"/>
      <c r="ABD307" s="1"/>
      <c r="ABE307" s="1"/>
      <c r="ABF307" s="1"/>
      <c r="ABG307" s="1"/>
      <c r="ABH307" s="1"/>
      <c r="ABI307" s="1"/>
      <c r="ABJ307" s="1"/>
      <c r="ABK307" s="1"/>
      <c r="ABL307" s="1"/>
      <c r="ABM307" s="1"/>
      <c r="ABN307" s="1"/>
      <c r="ABO307" s="1"/>
      <c r="ABP307" s="1"/>
      <c r="ABQ307" s="1"/>
      <c r="ABR307" s="1"/>
      <c r="ABS307" s="1"/>
      <c r="ABT307" s="1"/>
      <c r="ABU307" s="1"/>
      <c r="ABV307" s="1"/>
      <c r="ABW307" s="1"/>
      <c r="ABX307" s="1"/>
      <c r="ABY307" s="1"/>
      <c r="ABZ307" s="1"/>
      <c r="ACA307" s="1"/>
      <c r="ACB307" s="1"/>
      <c r="ACC307" s="1"/>
      <c r="ACD307" s="1"/>
      <c r="ACE307" s="1"/>
      <c r="ACF307" s="1"/>
      <c r="ACG307" s="1"/>
      <c r="ACH307" s="1"/>
      <c r="ACI307" s="1"/>
      <c r="ACJ307" s="1"/>
      <c r="ACK307" s="1"/>
      <c r="ACL307" s="1"/>
      <c r="ACM307" s="1"/>
      <c r="ACN307" s="1"/>
      <c r="ACO307" s="1"/>
      <c r="ACP307" s="1"/>
      <c r="ACQ307" s="1"/>
      <c r="ACR307" s="1"/>
      <c r="ACS307" s="1"/>
      <c r="ACT307" s="1"/>
      <c r="ACU307" s="1"/>
      <c r="ACV307" s="1"/>
      <c r="ACW307" s="1"/>
      <c r="ACX307" s="1"/>
      <c r="ACY307" s="1"/>
      <c r="ACZ307" s="1"/>
      <c r="ADA307" s="1"/>
      <c r="ADB307" s="1"/>
      <c r="ADC307" s="1"/>
      <c r="ADD307" s="1"/>
      <c r="ADE307" s="1"/>
      <c r="ADF307" s="1"/>
      <c r="ADG307" s="1"/>
      <c r="ADH307" s="1"/>
      <c r="ADI307" s="1"/>
      <c r="ADJ307" s="1"/>
      <c r="ADK307" s="1"/>
      <c r="ADL307" s="1"/>
      <c r="ADM307" s="1"/>
      <c r="ADN307" s="1"/>
      <c r="ADO307" s="1"/>
      <c r="ADP307" s="1"/>
      <c r="ADQ307" s="1"/>
      <c r="ADR307" s="1"/>
      <c r="ADS307" s="1"/>
      <c r="ADT307" s="1"/>
      <c r="ADU307" s="1"/>
      <c r="ADV307" s="1"/>
      <c r="ADW307" s="1"/>
      <c r="ADX307" s="1"/>
      <c r="ADY307" s="1"/>
      <c r="ADZ307" s="1"/>
      <c r="AEA307" s="1"/>
      <c r="AEB307" s="1"/>
      <c r="AEC307" s="1"/>
      <c r="AED307" s="1"/>
      <c r="AEE307" s="1"/>
      <c r="AEF307" s="1"/>
      <c r="AEG307" s="1"/>
      <c r="AEH307" s="1"/>
      <c r="AEI307" s="1"/>
      <c r="AEJ307" s="1"/>
      <c r="AEK307" s="1"/>
      <c r="AEL307" s="1"/>
      <c r="AEM307" s="1"/>
      <c r="AEN307" s="1"/>
      <c r="AEO307" s="1"/>
      <c r="AEP307" s="1"/>
      <c r="AEQ307" s="1"/>
      <c r="AER307" s="1"/>
      <c r="AES307" s="1"/>
      <c r="AET307" s="1"/>
      <c r="AEU307" s="1"/>
      <c r="AEV307" s="1"/>
      <c r="AEW307" s="1"/>
      <c r="AEX307" s="1"/>
      <c r="AEY307" s="1"/>
      <c r="AEZ307" s="1"/>
      <c r="AFA307" s="1"/>
      <c r="AFB307" s="1"/>
      <c r="AFC307" s="1"/>
      <c r="AFD307" s="1"/>
      <c r="AFE307" s="1"/>
      <c r="AFF307" s="1"/>
      <c r="AFG307" s="1"/>
      <c r="AFH307" s="1"/>
      <c r="AFI307" s="1"/>
      <c r="AFJ307" s="1"/>
      <c r="AFK307" s="1"/>
      <c r="AFL307" s="1"/>
      <c r="AFM307" s="1"/>
      <c r="AFN307" s="1"/>
      <c r="AFO307" s="1"/>
      <c r="AFP307" s="1"/>
      <c r="AFQ307" s="1"/>
      <c r="AFR307" s="1"/>
      <c r="AFS307" s="1"/>
      <c r="AFT307" s="1"/>
      <c r="AFU307" s="1"/>
      <c r="AFV307" s="1"/>
      <c r="AFW307" s="1"/>
      <c r="AFX307" s="1"/>
      <c r="AFY307" s="1"/>
      <c r="AFZ307" s="1"/>
      <c r="AGA307" s="1"/>
      <c r="AGB307" s="1"/>
      <c r="AGC307" s="1"/>
      <c r="AGD307" s="1"/>
      <c r="AGE307" s="1"/>
      <c r="AGF307" s="1"/>
      <c r="AGG307" s="1"/>
      <c r="AGH307" s="1"/>
      <c r="AGI307" s="1"/>
      <c r="AGJ307" s="1"/>
      <c r="AGK307" s="1"/>
      <c r="AGL307" s="1"/>
      <c r="AGM307" s="1"/>
      <c r="AGN307" s="1"/>
      <c r="AGO307" s="1"/>
      <c r="AGP307" s="1"/>
      <c r="AGQ307" s="1"/>
      <c r="AGR307" s="1"/>
      <c r="AGS307" s="1"/>
      <c r="AGT307" s="1"/>
      <c r="AGU307" s="1"/>
      <c r="AGV307" s="1"/>
      <c r="AGW307" s="1"/>
      <c r="AGX307" s="1"/>
      <c r="AGY307" s="1"/>
      <c r="AGZ307" s="1"/>
      <c r="AHA307" s="1"/>
      <c r="AHB307" s="1"/>
      <c r="AHC307" s="1"/>
      <c r="AHD307" s="1"/>
      <c r="AHE307" s="1"/>
      <c r="AHF307" s="1"/>
      <c r="AHG307" s="1"/>
      <c r="AHH307" s="1"/>
      <c r="AHI307" s="1"/>
      <c r="AHJ307" s="1"/>
      <c r="AHK307" s="1"/>
      <c r="AHL307" s="1"/>
      <c r="AHM307" s="1"/>
      <c r="AHN307" s="1"/>
      <c r="AHO307" s="1"/>
      <c r="AHP307" s="1"/>
      <c r="AHQ307" s="1"/>
      <c r="AHR307" s="1"/>
      <c r="AHS307" s="1"/>
      <c r="AHT307" s="1"/>
      <c r="AHU307" s="1"/>
      <c r="AHV307" s="1"/>
      <c r="AHW307" s="1"/>
      <c r="AHX307" s="1"/>
      <c r="AHY307" s="1"/>
      <c r="AHZ307" s="1"/>
      <c r="AIA307" s="1"/>
      <c r="AIB307" s="1"/>
      <c r="AIC307" s="1"/>
      <c r="AID307" s="1"/>
      <c r="AIE307" s="1"/>
      <c r="AIF307" s="1"/>
      <c r="AIG307" s="1"/>
      <c r="AIH307" s="1"/>
      <c r="AII307" s="1"/>
      <c r="AIJ307" s="1"/>
      <c r="AIK307" s="1"/>
      <c r="AIL307" s="1"/>
      <c r="AIM307" s="1"/>
      <c r="AIN307" s="1"/>
      <c r="AIO307" s="1"/>
      <c r="AIP307" s="1"/>
      <c r="AIQ307" s="1"/>
      <c r="AIR307" s="1"/>
      <c r="AIS307" s="1"/>
      <c r="AIT307" s="1"/>
      <c r="AIU307" s="1"/>
      <c r="AIV307" s="1"/>
      <c r="AIW307" s="1"/>
      <c r="AIX307" s="1"/>
      <c r="AIY307" s="1"/>
      <c r="AIZ307" s="1"/>
      <c r="AJA307" s="1"/>
      <c r="AJB307" s="1"/>
      <c r="AJC307" s="1"/>
      <c r="AJD307" s="1"/>
      <c r="AJE307" s="1"/>
      <c r="AJF307" s="1"/>
      <c r="AJG307" s="1"/>
      <c r="AJH307" s="1"/>
      <c r="AJI307" s="1"/>
      <c r="AJJ307" s="1"/>
      <c r="AJK307" s="1"/>
      <c r="AJL307" s="1"/>
      <c r="AJM307" s="1"/>
      <c r="AJN307" s="1"/>
      <c r="AJO307" s="1"/>
      <c r="AJP307" s="1"/>
      <c r="AJQ307" s="1"/>
      <c r="AJR307" s="1"/>
      <c r="AJS307" s="1"/>
      <c r="AJT307" s="1"/>
      <c r="AJU307" s="1"/>
      <c r="AJV307" s="1"/>
      <c r="AJW307" s="1"/>
      <c r="AJX307" s="1"/>
      <c r="AJY307" s="1"/>
      <c r="AJZ307" s="1"/>
      <c r="AKA307" s="1"/>
      <c r="AKB307" s="1"/>
      <c r="AKC307" s="1"/>
      <c r="AKD307" s="1"/>
      <c r="AKE307" s="1"/>
      <c r="AKF307" s="1"/>
      <c r="AKG307" s="1"/>
      <c r="AKH307" s="1"/>
      <c r="AKI307" s="1"/>
      <c r="AKJ307" s="1"/>
      <c r="AKK307" s="1"/>
      <c r="AKL307" s="1"/>
      <c r="AKM307" s="1"/>
      <c r="AKN307" s="1"/>
      <c r="AKO307" s="1"/>
      <c r="AKP307" s="1"/>
      <c r="AKQ307" s="1"/>
      <c r="AKR307" s="1"/>
      <c r="AKS307" s="1"/>
      <c r="AKT307" s="1"/>
      <c r="AKU307" s="1"/>
      <c r="AKV307" s="1"/>
      <c r="AKW307" s="1"/>
      <c r="AKX307" s="1"/>
      <c r="AKY307" s="1"/>
      <c r="AKZ307" s="1"/>
      <c r="ALA307" s="1"/>
      <c r="ALB307" s="1"/>
      <c r="ALC307" s="1"/>
      <c r="ALD307" s="1"/>
      <c r="ALE307" s="1"/>
      <c r="ALF307" s="1"/>
      <c r="ALG307" s="1"/>
      <c r="ALH307" s="1"/>
      <c r="ALI307" s="1"/>
      <c r="ALJ307" s="1"/>
      <c r="ALK307" s="1"/>
      <c r="ALL307" s="1"/>
      <c r="ALM307" s="1"/>
      <c r="ALN307" s="1"/>
      <c r="ALO307" s="1"/>
      <c r="ALP307" s="1"/>
      <c r="ALQ307" s="1"/>
      <c r="ALR307" s="1"/>
      <c r="ALS307" s="1"/>
      <c r="ALT307" s="1"/>
      <c r="ALU307" s="1"/>
      <c r="ALV307" s="1"/>
      <c r="ALW307" s="1"/>
      <c r="ALX307" s="1"/>
      <c r="ALY307" s="1"/>
      <c r="ALZ307" s="1"/>
      <c r="AMA307" s="1"/>
      <c r="AMB307" s="1"/>
      <c r="AMC307" s="1"/>
      <c r="AMD307" s="1"/>
      <c r="AME307" s="1"/>
      <c r="AMF307" s="1"/>
      <c r="AMG307" s="1"/>
      <c r="AMH307" s="1"/>
      <c r="AMI307" s="1"/>
      <c r="AMJ307" s="1"/>
      <c r="AMK307" s="1"/>
      <c r="AML307" s="1"/>
      <c r="AMM307" s="1"/>
      <c r="AMN307" s="1"/>
      <c r="AMO307" s="1"/>
    </row>
    <row r="308" spans="1:1029" x14ac:dyDescent="0.2">
      <c r="A308" s="3" t="str">
        <f>CONCATENATE(B308,"_",C308)</f>
        <v>opsd_bovin_5WKT</v>
      </c>
      <c r="B308" s="3" t="s">
        <v>913</v>
      </c>
      <c r="C308" s="3" t="s">
        <v>1444</v>
      </c>
      <c r="D308" s="3" t="str">
        <f>IFERROR(MID(VLOOKUP($B308,Seqs!$A:$B,2,0),E308,1),"")</f>
        <v>E</v>
      </c>
      <c r="E308" s="3">
        <v>33</v>
      </c>
      <c r="F308" s="3" t="str">
        <f>IFERROR(MID(VLOOKUP($B308,Seqs!$A:$B,2,0),G308,1),"")</f>
        <v>Q</v>
      </c>
      <c r="G308" s="3">
        <v>64</v>
      </c>
      <c r="H308" s="3" t="str">
        <f>IFERROR(MID(VLOOKUP($B308,Seqs!$A:$B,2,0),I308,1),"")</f>
        <v>K</v>
      </c>
      <c r="I308" s="23">
        <v>66</v>
      </c>
      <c r="J308" s="3" t="str">
        <f>IFERROR(MID(VLOOKUP($B308,Seqs!$A:$B,2,0),K308,1),"")</f>
        <v>R</v>
      </c>
      <c r="K308" s="23">
        <v>69</v>
      </c>
      <c r="L308" s="3" t="str">
        <f>IFERROR(MID(VLOOKUP($B308,Seqs!$A:$B,2,0),M308,1),"")</f>
        <v>N</v>
      </c>
      <c r="M308" s="3">
        <v>73</v>
      </c>
      <c r="N308" s="3" t="str">
        <f>IFERROR(MID(VLOOKUP($B308,Seqs!$A:$B,2,0),O308,1),"")</f>
        <v>G</v>
      </c>
      <c r="O308" s="3">
        <v>101</v>
      </c>
      <c r="P308" s="3" t="str">
        <f>IFERROR(MID(VLOOKUP($B308,Seqs!$A:$B,2,0),Q308,1),"")</f>
        <v>Y</v>
      </c>
      <c r="Q308" s="3">
        <v>102</v>
      </c>
      <c r="R308" s="3" t="str">
        <f>IFERROR(MID(VLOOKUP($B308,Seqs!$A:$B,2,0),S308,1),"")</f>
        <v>F</v>
      </c>
      <c r="S308" s="3">
        <v>105</v>
      </c>
      <c r="T308" s="3" t="str">
        <f>IFERROR(MID(VLOOKUP($B308,Seqs!$A:$B,2,0),U308,1),"")</f>
        <v>G</v>
      </c>
      <c r="U308" s="3">
        <v>106</v>
      </c>
      <c r="V308" s="3" t="str">
        <f>IFERROR(MID(VLOOKUP($B308,Seqs!$A:$B,2,0),W308,1),"")</f>
        <v>K</v>
      </c>
      <c r="W308" s="3">
        <v>141</v>
      </c>
      <c r="X308" s="3" t="str">
        <f>IFERROR(MID(VLOOKUP($B308,Seqs!$A:$B,2,0),Y308,1),"")</f>
        <v/>
      </c>
      <c r="Y308" s="3" t="s">
        <v>23</v>
      </c>
      <c r="Z308" s="3" t="str">
        <f>IFERROR(MID(VLOOKUP($B308,Seqs!$A:$B,2,0),AA308,1),"")</f>
        <v/>
      </c>
      <c r="AA308" s="3" t="s">
        <v>23</v>
      </c>
      <c r="AB308" s="3" t="str">
        <f>IFERROR(MID(VLOOKUP($B308,Seqs!$A:$B,2,0),AC308,1),"")</f>
        <v>G</v>
      </c>
      <c r="AC308" s="3">
        <v>149</v>
      </c>
      <c r="AD308" s="3" t="str">
        <f>IFERROR(MID(VLOOKUP($B308,Seqs!$A:$B,2,0),AE308,1),"")</f>
        <v>V</v>
      </c>
      <c r="AE308" s="3">
        <v>173</v>
      </c>
      <c r="AF308" s="3" t="str">
        <f>IFERROR(MID(VLOOKUP($B308,Seqs!$A:$B,2,0),AG308,1),"")</f>
        <v>C</v>
      </c>
      <c r="AG308" s="3">
        <v>187</v>
      </c>
      <c r="AH308" s="3" t="str">
        <f>IFERROR(MID(VLOOKUP($B308,Seqs!$A:$B,2,0),AI308,1),"")</f>
        <v>I</v>
      </c>
      <c r="AI308" s="3">
        <v>189</v>
      </c>
      <c r="AJ308" s="3" t="str">
        <f>IFERROR(MID(VLOOKUP($B308,Seqs!$A:$B,2,0),AK308,1),"")</f>
        <v>N</v>
      </c>
      <c r="AK308" s="3">
        <v>199</v>
      </c>
      <c r="AL308" s="3" t="str">
        <f>IFERROR(MID(VLOOKUP($B308,Seqs!$A:$B,2,0),AM308,1),"")</f>
        <v>Q</v>
      </c>
      <c r="AM308" s="3">
        <v>236</v>
      </c>
      <c r="AN308" s="3" t="str">
        <f>IFERROR(MID(VLOOKUP($B308,Seqs!$A:$B,2,0),AO308,1),"")</f>
        <v>S</v>
      </c>
      <c r="AO308" s="3">
        <v>240</v>
      </c>
      <c r="AP308" s="3" t="str">
        <f>IFERROR(MID(VLOOKUP($B308,Seqs!$A:$B,2,0),AQ308,1),"")</f>
        <v>H</v>
      </c>
      <c r="AQ308" s="3">
        <v>278</v>
      </c>
      <c r="AR308" s="3" t="str">
        <f>IFERROR(MID(VLOOKUP($B308,Seqs!$A:$B,2,0),AS308,1),"")</f>
        <v>G</v>
      </c>
      <c r="AS308" s="3">
        <v>284</v>
      </c>
      <c r="AT308" s="3" t="str">
        <f>IFERROR(MID(VLOOKUP($B308,Seqs!$A:$B,2,0),AU308,1),"")</f>
        <v>M</v>
      </c>
      <c r="AU308" s="3">
        <v>309</v>
      </c>
      <c r="AV308" s="3" t="str">
        <f>IFERROR(MID(VLOOKUP($B308,Seqs!$A:$B,2,0),AW308,1),"")</f>
        <v>N</v>
      </c>
      <c r="AW308" s="3">
        <v>310</v>
      </c>
      <c r="AX308" s="3" t="str">
        <f>IFERROR(MID(VLOOKUP($B308,Seqs!$A:$B,2,0),AY308,1),"")</f>
        <v>C</v>
      </c>
      <c r="AY308" s="3">
        <v>322</v>
      </c>
      <c r="AZ308" s="77" t="str">
        <f>VLOOKUP(B308,Classification!A:D,2,0)</f>
        <v>A</v>
      </c>
      <c r="BA308" s="94" t="str">
        <f>VLOOKUP(B308,Classification!A:D,4,0)</f>
        <v>Opsins</v>
      </c>
      <c r="BB308" s="27" t="b">
        <f t="shared" si="1115"/>
        <v>1</v>
      </c>
      <c r="BC308" s="23">
        <f t="shared" si="1116"/>
        <v>250</v>
      </c>
      <c r="BD308" s="2" t="s">
        <v>23</v>
      </c>
      <c r="BE308" s="3" t="s">
        <v>1285</v>
      </c>
      <c r="BF308" s="118">
        <v>3.2</v>
      </c>
      <c r="BG308" s="49" t="s">
        <v>1</v>
      </c>
      <c r="BH308" s="49" t="s">
        <v>1</v>
      </c>
      <c r="BI308" s="1"/>
      <c r="BJ308" s="70" t="s">
        <v>1281</v>
      </c>
      <c r="BK308" s="57" t="s">
        <v>1281</v>
      </c>
      <c r="BL308" s="57" t="s">
        <v>1281</v>
      </c>
      <c r="BM308" s="57" t="s">
        <v>1281</v>
      </c>
      <c r="BN308" s="57" t="s">
        <v>1281</v>
      </c>
      <c r="BO308" s="57" t="s">
        <v>1281</v>
      </c>
      <c r="BP308" s="57" t="s">
        <v>1281</v>
      </c>
      <c r="BQ308" s="57" t="s">
        <v>1281</v>
      </c>
      <c r="BR308" s="57" t="s">
        <v>1281</v>
      </c>
      <c r="BS308" s="57" t="s">
        <v>1281</v>
      </c>
      <c r="BT308" s="57" t="s">
        <v>1281</v>
      </c>
      <c r="BU308" s="57" t="s">
        <v>1281</v>
      </c>
      <c r="BV308" s="70">
        <f>E308</f>
        <v>33</v>
      </c>
      <c r="BW308" s="71">
        <f>I308</f>
        <v>66</v>
      </c>
      <c r="BX308" s="72">
        <f>M308</f>
        <v>73</v>
      </c>
      <c r="BY308" s="71">
        <f>Q308</f>
        <v>102</v>
      </c>
      <c r="BZ308" s="72">
        <f>U308</f>
        <v>106</v>
      </c>
      <c r="CA308" s="71" t="str">
        <f>Y308</f>
        <v>-</v>
      </c>
      <c r="CB308" s="72">
        <f>AC308</f>
        <v>149</v>
      </c>
      <c r="CC308" s="71">
        <f>AG308</f>
        <v>187</v>
      </c>
      <c r="CD308" s="72">
        <f>AK308</f>
        <v>199</v>
      </c>
      <c r="CE308" s="71">
        <f>AO308</f>
        <v>240</v>
      </c>
      <c r="CF308" s="72">
        <f>AS308</f>
        <v>284</v>
      </c>
      <c r="CG308" s="71">
        <f>AW308</f>
        <v>310</v>
      </c>
      <c r="CH308" s="70">
        <f>G308</f>
        <v>64</v>
      </c>
      <c r="CI308" s="71">
        <f>K308</f>
        <v>69</v>
      </c>
      <c r="CJ308" s="72">
        <f>O308</f>
        <v>101</v>
      </c>
      <c r="CK308" s="72">
        <f>S308</f>
        <v>105</v>
      </c>
      <c r="CL308" s="72">
        <f>W308</f>
        <v>141</v>
      </c>
      <c r="CM308" s="72" t="str">
        <f>AA308</f>
        <v>-</v>
      </c>
      <c r="CN308" s="72">
        <f>AE308</f>
        <v>173</v>
      </c>
      <c r="CO308" s="72">
        <f>AI308</f>
        <v>189</v>
      </c>
      <c r="CP308" s="72">
        <f>AM308</f>
        <v>236</v>
      </c>
      <c r="CQ308" s="72">
        <f>AQ308</f>
        <v>278</v>
      </c>
      <c r="CR308" s="72">
        <f>AU308</f>
        <v>309</v>
      </c>
      <c r="CS308" s="72">
        <f>AY308</f>
        <v>322</v>
      </c>
      <c r="CT308" s="23">
        <f>M308-K308</f>
        <v>4</v>
      </c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  <c r="US308" s="1"/>
      <c r="UT308" s="1"/>
      <c r="UU308" s="1"/>
      <c r="UV308" s="1"/>
      <c r="UW308" s="1"/>
      <c r="UX308" s="1"/>
      <c r="UY308" s="1"/>
      <c r="UZ308" s="1"/>
      <c r="VA308" s="1"/>
      <c r="VB308" s="1"/>
      <c r="VC308" s="1"/>
      <c r="VD308" s="1"/>
      <c r="VE308" s="1"/>
      <c r="VF308" s="1"/>
      <c r="VG308" s="1"/>
      <c r="VH308" s="1"/>
      <c r="VI308" s="1"/>
      <c r="VJ308" s="1"/>
      <c r="VK308" s="1"/>
      <c r="VL308" s="1"/>
      <c r="VM308" s="1"/>
      <c r="VN308" s="1"/>
      <c r="VO308" s="1"/>
      <c r="VP308" s="1"/>
      <c r="VQ308" s="1"/>
      <c r="VR308" s="1"/>
      <c r="VS308" s="1"/>
      <c r="VT308" s="1"/>
      <c r="VU308" s="1"/>
      <c r="VV308" s="1"/>
      <c r="VW308" s="1"/>
      <c r="VX308" s="1"/>
      <c r="VY308" s="1"/>
      <c r="VZ308" s="1"/>
      <c r="WA308" s="1"/>
      <c r="WB308" s="1"/>
      <c r="WC308" s="1"/>
      <c r="WD308" s="1"/>
      <c r="WE308" s="1"/>
      <c r="WF308" s="1"/>
      <c r="WG308" s="1"/>
      <c r="WH308" s="1"/>
      <c r="WI308" s="1"/>
      <c r="WJ308" s="1"/>
      <c r="WK308" s="1"/>
      <c r="WL308" s="1"/>
      <c r="WM308" s="1"/>
      <c r="WN308" s="1"/>
      <c r="WO308" s="1"/>
      <c r="WP308" s="1"/>
      <c r="WQ308" s="1"/>
      <c r="WR308" s="1"/>
      <c r="WS308" s="1"/>
      <c r="WT308" s="1"/>
      <c r="WU308" s="1"/>
      <c r="WV308" s="1"/>
      <c r="WW308" s="1"/>
      <c r="WX308" s="1"/>
      <c r="WY308" s="1"/>
      <c r="WZ308" s="1"/>
      <c r="XA308" s="1"/>
      <c r="XB308" s="1"/>
      <c r="XC308" s="1"/>
      <c r="XD308" s="1"/>
      <c r="XE308" s="1"/>
      <c r="XF308" s="1"/>
      <c r="XG308" s="1"/>
      <c r="XH308" s="1"/>
      <c r="XI308" s="1"/>
      <c r="XJ308" s="1"/>
      <c r="XK308" s="1"/>
      <c r="XL308" s="1"/>
      <c r="XM308" s="1"/>
      <c r="XN308" s="1"/>
      <c r="XO308" s="1"/>
      <c r="XP308" s="1"/>
      <c r="XQ308" s="1"/>
      <c r="XR308" s="1"/>
      <c r="XS308" s="1"/>
      <c r="XT308" s="1"/>
      <c r="XU308" s="1"/>
      <c r="XV308" s="1"/>
      <c r="XW308" s="1"/>
      <c r="XX308" s="1"/>
      <c r="XY308" s="1"/>
      <c r="XZ308" s="1"/>
      <c r="YA308" s="1"/>
      <c r="YB308" s="1"/>
      <c r="YC308" s="1"/>
      <c r="YD308" s="1"/>
      <c r="YE308" s="1"/>
      <c r="YF308" s="1"/>
      <c r="YG308" s="1"/>
      <c r="YH308" s="1"/>
      <c r="YI308" s="1"/>
      <c r="YJ308" s="1"/>
      <c r="YK308" s="1"/>
      <c r="YL308" s="1"/>
      <c r="YM308" s="1"/>
      <c r="YN308" s="1"/>
      <c r="YO308" s="1"/>
      <c r="YP308" s="1"/>
      <c r="YQ308" s="1"/>
      <c r="YR308" s="1"/>
      <c r="YS308" s="1"/>
      <c r="YT308" s="1"/>
      <c r="YU308" s="1"/>
      <c r="YV308" s="1"/>
      <c r="YW308" s="1"/>
      <c r="YX308" s="1"/>
      <c r="YY308" s="1"/>
      <c r="YZ308" s="1"/>
      <c r="ZA308" s="1"/>
      <c r="ZB308" s="1"/>
      <c r="ZC308" s="1"/>
      <c r="ZD308" s="1"/>
      <c r="ZE308" s="1"/>
      <c r="ZF308" s="1"/>
      <c r="ZG308" s="1"/>
      <c r="ZH308" s="1"/>
      <c r="ZI308" s="1"/>
      <c r="ZJ308" s="1"/>
      <c r="ZK308" s="1"/>
      <c r="ZL308" s="1"/>
      <c r="ZM308" s="1"/>
      <c r="ZN308" s="1"/>
      <c r="ZO308" s="1"/>
      <c r="ZP308" s="1"/>
      <c r="ZQ308" s="1"/>
      <c r="ZR308" s="1"/>
      <c r="ZS308" s="1"/>
      <c r="ZT308" s="1"/>
      <c r="ZU308" s="1"/>
      <c r="ZV308" s="1"/>
      <c r="ZW308" s="1"/>
      <c r="ZX308" s="1"/>
      <c r="ZY308" s="1"/>
      <c r="ZZ308" s="1"/>
      <c r="AAA308" s="1"/>
      <c r="AAB308" s="1"/>
      <c r="AAC308" s="1"/>
      <c r="AAD308" s="1"/>
      <c r="AAE308" s="1"/>
      <c r="AAF308" s="1"/>
      <c r="AAG308" s="1"/>
      <c r="AAH308" s="1"/>
      <c r="AAI308" s="1"/>
      <c r="AAJ308" s="1"/>
      <c r="AAK308" s="1"/>
      <c r="AAL308" s="1"/>
      <c r="AAM308" s="1"/>
      <c r="AAN308" s="1"/>
      <c r="AAO308" s="1"/>
      <c r="AAP308" s="1"/>
      <c r="AAQ308" s="1"/>
      <c r="AAR308" s="1"/>
      <c r="AAS308" s="1"/>
      <c r="AAT308" s="1"/>
      <c r="AAU308" s="1"/>
      <c r="AAV308" s="1"/>
      <c r="AAW308" s="1"/>
      <c r="AAX308" s="1"/>
      <c r="AAY308" s="1"/>
      <c r="AAZ308" s="1"/>
      <c r="ABA308" s="1"/>
      <c r="ABB308" s="1"/>
      <c r="ABC308" s="1"/>
      <c r="ABD308" s="1"/>
      <c r="ABE308" s="1"/>
      <c r="ABF308" s="1"/>
      <c r="ABG308" s="1"/>
      <c r="ABH308" s="1"/>
      <c r="ABI308" s="1"/>
      <c r="ABJ308" s="1"/>
      <c r="ABK308" s="1"/>
      <c r="ABL308" s="1"/>
      <c r="ABM308" s="1"/>
      <c r="ABN308" s="1"/>
      <c r="ABO308" s="1"/>
      <c r="ABP308" s="1"/>
      <c r="ABQ308" s="1"/>
      <c r="ABR308" s="1"/>
      <c r="ABS308" s="1"/>
      <c r="ABT308" s="1"/>
      <c r="ABU308" s="1"/>
      <c r="ABV308" s="1"/>
      <c r="ABW308" s="1"/>
      <c r="ABX308" s="1"/>
      <c r="ABY308" s="1"/>
      <c r="ABZ308" s="1"/>
      <c r="ACA308" s="1"/>
      <c r="ACB308" s="1"/>
      <c r="ACC308" s="1"/>
      <c r="ACD308" s="1"/>
      <c r="ACE308" s="1"/>
      <c r="ACF308" s="1"/>
      <c r="ACG308" s="1"/>
      <c r="ACH308" s="1"/>
      <c r="ACI308" s="1"/>
      <c r="ACJ308" s="1"/>
      <c r="ACK308" s="1"/>
      <c r="ACL308" s="1"/>
      <c r="ACM308" s="1"/>
      <c r="ACN308" s="1"/>
      <c r="ACO308" s="1"/>
      <c r="ACP308" s="1"/>
      <c r="ACQ308" s="1"/>
      <c r="ACR308" s="1"/>
      <c r="ACS308" s="1"/>
      <c r="ACT308" s="1"/>
      <c r="ACU308" s="1"/>
      <c r="ACV308" s="1"/>
      <c r="ACW308" s="1"/>
      <c r="ACX308" s="1"/>
      <c r="ACY308" s="1"/>
      <c r="ACZ308" s="1"/>
      <c r="ADA308" s="1"/>
      <c r="ADB308" s="1"/>
      <c r="ADC308" s="1"/>
      <c r="ADD308" s="1"/>
      <c r="ADE308" s="1"/>
      <c r="ADF308" s="1"/>
      <c r="ADG308" s="1"/>
      <c r="ADH308" s="1"/>
      <c r="ADI308" s="1"/>
      <c r="ADJ308" s="1"/>
      <c r="ADK308" s="1"/>
      <c r="ADL308" s="1"/>
      <c r="ADM308" s="1"/>
      <c r="ADN308" s="1"/>
      <c r="ADO308" s="1"/>
      <c r="ADP308" s="1"/>
      <c r="ADQ308" s="1"/>
      <c r="ADR308" s="1"/>
      <c r="ADS308" s="1"/>
      <c r="ADT308" s="1"/>
      <c r="ADU308" s="1"/>
      <c r="ADV308" s="1"/>
      <c r="ADW308" s="1"/>
      <c r="ADX308" s="1"/>
      <c r="ADY308" s="1"/>
      <c r="ADZ308" s="1"/>
      <c r="AEA308" s="1"/>
      <c r="AEB308" s="1"/>
      <c r="AEC308" s="1"/>
      <c r="AED308" s="1"/>
      <c r="AEE308" s="1"/>
      <c r="AEF308" s="1"/>
      <c r="AEG308" s="1"/>
      <c r="AEH308" s="1"/>
      <c r="AEI308" s="1"/>
      <c r="AEJ308" s="1"/>
      <c r="AEK308" s="1"/>
      <c r="AEL308" s="1"/>
      <c r="AEM308" s="1"/>
      <c r="AEN308" s="1"/>
      <c r="AEO308" s="1"/>
      <c r="AEP308" s="1"/>
      <c r="AEQ308" s="1"/>
      <c r="AER308" s="1"/>
      <c r="AES308" s="1"/>
      <c r="AET308" s="1"/>
      <c r="AEU308" s="1"/>
      <c r="AEV308" s="1"/>
      <c r="AEW308" s="1"/>
      <c r="AEX308" s="1"/>
      <c r="AEY308" s="1"/>
      <c r="AEZ308" s="1"/>
      <c r="AFA308" s="1"/>
      <c r="AFB308" s="1"/>
      <c r="AFC308" s="1"/>
      <c r="AFD308" s="1"/>
      <c r="AFE308" s="1"/>
      <c r="AFF308" s="1"/>
      <c r="AFG308" s="1"/>
      <c r="AFH308" s="1"/>
      <c r="AFI308" s="1"/>
      <c r="AFJ308" s="1"/>
      <c r="AFK308" s="1"/>
      <c r="AFL308" s="1"/>
      <c r="AFM308" s="1"/>
      <c r="AFN308" s="1"/>
      <c r="AFO308" s="1"/>
      <c r="AFP308" s="1"/>
      <c r="AFQ308" s="1"/>
      <c r="AFR308" s="1"/>
      <c r="AFS308" s="1"/>
      <c r="AFT308" s="1"/>
      <c r="AFU308" s="1"/>
      <c r="AFV308" s="1"/>
      <c r="AFW308" s="1"/>
      <c r="AFX308" s="1"/>
      <c r="AFY308" s="1"/>
      <c r="AFZ308" s="1"/>
      <c r="AGA308" s="1"/>
      <c r="AGB308" s="1"/>
      <c r="AGC308" s="1"/>
      <c r="AGD308" s="1"/>
      <c r="AGE308" s="1"/>
      <c r="AGF308" s="1"/>
      <c r="AGG308" s="1"/>
      <c r="AGH308" s="1"/>
      <c r="AGI308" s="1"/>
      <c r="AGJ308" s="1"/>
      <c r="AGK308" s="1"/>
      <c r="AGL308" s="1"/>
      <c r="AGM308" s="1"/>
      <c r="AGN308" s="1"/>
      <c r="AGO308" s="1"/>
      <c r="AGP308" s="1"/>
      <c r="AGQ308" s="1"/>
      <c r="AGR308" s="1"/>
      <c r="AGS308" s="1"/>
      <c r="AGT308" s="1"/>
      <c r="AGU308" s="1"/>
      <c r="AGV308" s="1"/>
      <c r="AGW308" s="1"/>
      <c r="AGX308" s="1"/>
      <c r="AGY308" s="1"/>
      <c r="AGZ308" s="1"/>
      <c r="AHA308" s="1"/>
      <c r="AHB308" s="1"/>
      <c r="AHC308" s="1"/>
      <c r="AHD308" s="1"/>
      <c r="AHE308" s="1"/>
      <c r="AHF308" s="1"/>
      <c r="AHG308" s="1"/>
      <c r="AHH308" s="1"/>
      <c r="AHI308" s="1"/>
      <c r="AHJ308" s="1"/>
      <c r="AHK308" s="1"/>
      <c r="AHL308" s="1"/>
      <c r="AHM308" s="1"/>
      <c r="AHN308" s="1"/>
      <c r="AHO308" s="1"/>
      <c r="AHP308" s="1"/>
      <c r="AHQ308" s="1"/>
      <c r="AHR308" s="1"/>
      <c r="AHS308" s="1"/>
      <c r="AHT308" s="1"/>
      <c r="AHU308" s="1"/>
      <c r="AHV308" s="1"/>
      <c r="AHW308" s="1"/>
      <c r="AHX308" s="1"/>
      <c r="AHY308" s="1"/>
      <c r="AHZ308" s="1"/>
      <c r="AIA308" s="1"/>
      <c r="AIB308" s="1"/>
      <c r="AIC308" s="1"/>
      <c r="AID308" s="1"/>
      <c r="AIE308" s="1"/>
      <c r="AIF308" s="1"/>
      <c r="AIG308" s="1"/>
      <c r="AIH308" s="1"/>
      <c r="AII308" s="1"/>
      <c r="AIJ308" s="1"/>
      <c r="AIK308" s="1"/>
      <c r="AIL308" s="1"/>
      <c r="AIM308" s="1"/>
      <c r="AIN308" s="1"/>
      <c r="AIO308" s="1"/>
      <c r="AIP308" s="1"/>
      <c r="AIQ308" s="1"/>
      <c r="AIR308" s="1"/>
      <c r="AIS308" s="1"/>
      <c r="AIT308" s="1"/>
      <c r="AIU308" s="1"/>
      <c r="AIV308" s="1"/>
      <c r="AIW308" s="1"/>
      <c r="AIX308" s="1"/>
      <c r="AIY308" s="1"/>
      <c r="AIZ308" s="1"/>
      <c r="AJA308" s="1"/>
      <c r="AJB308" s="1"/>
      <c r="AJC308" s="1"/>
      <c r="AJD308" s="1"/>
      <c r="AJE308" s="1"/>
      <c r="AJF308" s="1"/>
      <c r="AJG308" s="1"/>
      <c r="AJH308" s="1"/>
      <c r="AJI308" s="1"/>
      <c r="AJJ308" s="1"/>
      <c r="AJK308" s="1"/>
      <c r="AJL308" s="1"/>
      <c r="AJM308" s="1"/>
      <c r="AJN308" s="1"/>
      <c r="AJO308" s="1"/>
      <c r="AJP308" s="1"/>
      <c r="AJQ308" s="1"/>
      <c r="AJR308" s="1"/>
      <c r="AJS308" s="1"/>
      <c r="AJT308" s="1"/>
      <c r="AJU308" s="1"/>
      <c r="AJV308" s="1"/>
      <c r="AJW308" s="1"/>
      <c r="AJX308" s="1"/>
      <c r="AJY308" s="1"/>
      <c r="AJZ308" s="1"/>
      <c r="AKA308" s="1"/>
      <c r="AKB308" s="1"/>
      <c r="AKC308" s="1"/>
      <c r="AKD308" s="1"/>
      <c r="AKE308" s="1"/>
      <c r="AKF308" s="1"/>
      <c r="AKG308" s="1"/>
      <c r="AKH308" s="1"/>
      <c r="AKI308" s="1"/>
      <c r="AKJ308" s="1"/>
      <c r="AKK308" s="1"/>
      <c r="AKL308" s="1"/>
      <c r="AKM308" s="1"/>
      <c r="AKN308" s="1"/>
      <c r="AKO308" s="1"/>
      <c r="AKP308" s="1"/>
      <c r="AKQ308" s="1"/>
      <c r="AKR308" s="1"/>
      <c r="AKS308" s="1"/>
      <c r="AKT308" s="1"/>
      <c r="AKU308" s="1"/>
      <c r="AKV308" s="1"/>
      <c r="AKW308" s="1"/>
      <c r="AKX308" s="1"/>
      <c r="AKY308" s="1"/>
      <c r="AKZ308" s="1"/>
      <c r="ALA308" s="1"/>
      <c r="ALB308" s="1"/>
      <c r="ALC308" s="1"/>
      <c r="ALD308" s="1"/>
      <c r="ALE308" s="1"/>
      <c r="ALF308" s="1"/>
      <c r="ALG308" s="1"/>
      <c r="ALH308" s="1"/>
      <c r="ALI308" s="1"/>
      <c r="ALJ308" s="1"/>
      <c r="ALK308" s="1"/>
      <c r="ALL308" s="1"/>
      <c r="ALM308" s="1"/>
      <c r="ALN308" s="1"/>
      <c r="ALO308" s="1"/>
      <c r="ALP308" s="1"/>
      <c r="ALQ308" s="1"/>
      <c r="ALR308" s="1"/>
      <c r="ALS308" s="1"/>
      <c r="ALT308" s="1"/>
      <c r="ALU308" s="1"/>
      <c r="ALV308" s="1"/>
      <c r="ALW308" s="1"/>
      <c r="ALX308" s="1"/>
      <c r="ALY308" s="1"/>
      <c r="ALZ308" s="1"/>
      <c r="AMA308" s="1"/>
      <c r="AMB308" s="1"/>
      <c r="AMC308" s="1"/>
      <c r="AMD308" s="1"/>
      <c r="AME308" s="1"/>
      <c r="AMF308" s="1"/>
      <c r="AMG308" s="1"/>
      <c r="AMH308" s="1"/>
      <c r="AMI308" s="1"/>
      <c r="AMJ308" s="1"/>
      <c r="AMK308" s="1"/>
      <c r="AML308" s="1"/>
      <c r="AMM308" s="1"/>
      <c r="AMN308" s="1"/>
      <c r="AMO308" s="1"/>
    </row>
    <row r="309" spans="1:1029" x14ac:dyDescent="0.2">
      <c r="A309" s="3" t="str">
        <f>CONCATENATE(B309,"_",C309)</f>
        <v>opsd_bovin_6FK6</v>
      </c>
      <c r="B309" s="3" t="s">
        <v>913</v>
      </c>
      <c r="C309" s="3" t="s">
        <v>1475</v>
      </c>
      <c r="D309" s="3" t="str">
        <f>IFERROR(MID(VLOOKUP($B309,Seqs!$A:$B,2,0),E309,1),"")</f>
        <v>E</v>
      </c>
      <c r="E309" s="3">
        <v>33</v>
      </c>
      <c r="F309" s="3" t="str">
        <f>IFERROR(MID(VLOOKUP($B309,Seqs!$A:$B,2,0),G309,1),"")</f>
        <v>Q</v>
      </c>
      <c r="G309" s="3">
        <v>64</v>
      </c>
      <c r="H309" s="3" t="str">
        <f>IFERROR(MID(VLOOKUP($B309,Seqs!$A:$B,2,0),I309,1),"")</f>
        <v>K</v>
      </c>
      <c r="I309" s="23">
        <v>66</v>
      </c>
      <c r="J309" s="3" t="str">
        <f>IFERROR(MID(VLOOKUP($B309,Seqs!$A:$B,2,0),K309,1),"")</f>
        <v>R</v>
      </c>
      <c r="K309" s="23">
        <v>69</v>
      </c>
      <c r="L309" s="3" t="str">
        <f>IFERROR(MID(VLOOKUP($B309,Seqs!$A:$B,2,0),M309,1),"")</f>
        <v>N</v>
      </c>
      <c r="M309" s="3">
        <v>73</v>
      </c>
      <c r="N309" s="3" t="str">
        <f>IFERROR(MID(VLOOKUP($B309,Seqs!$A:$B,2,0),O309,1),"")</f>
        <v>G</v>
      </c>
      <c r="O309" s="3">
        <v>101</v>
      </c>
      <c r="P309" s="3" t="str">
        <f>IFERROR(MID(VLOOKUP($B309,Seqs!$A:$B,2,0),Q309,1),"")</f>
        <v>Y</v>
      </c>
      <c r="Q309" s="3">
        <v>102</v>
      </c>
      <c r="R309" s="3" t="str">
        <f>IFERROR(MID(VLOOKUP($B309,Seqs!$A:$B,2,0),S309,1),"")</f>
        <v>F</v>
      </c>
      <c r="S309" s="3">
        <v>105</v>
      </c>
      <c r="T309" s="3" t="str">
        <f>IFERROR(MID(VLOOKUP($B309,Seqs!$A:$B,2,0),U309,1),"")</f>
        <v>G</v>
      </c>
      <c r="U309" s="3">
        <v>106</v>
      </c>
      <c r="V309" s="3" t="str">
        <f>IFERROR(MID(VLOOKUP($B309,Seqs!$A:$B,2,0),W309,1),"")</f>
        <v>K</v>
      </c>
      <c r="W309" s="3">
        <v>141</v>
      </c>
      <c r="X309" s="3" t="str">
        <f>IFERROR(MID(VLOOKUP($B309,Seqs!$A:$B,2,0),Y309,1),"")</f>
        <v/>
      </c>
      <c r="Y309" s="3" t="s">
        <v>23</v>
      </c>
      <c r="Z309" s="3" t="str">
        <f>IFERROR(MID(VLOOKUP($B309,Seqs!$A:$B,2,0),AA309,1),"")</f>
        <v/>
      </c>
      <c r="AA309" s="3" t="s">
        <v>23</v>
      </c>
      <c r="AB309" s="3" t="str">
        <f>IFERROR(MID(VLOOKUP($B309,Seqs!$A:$B,2,0),AC309,1),"")</f>
        <v>G</v>
      </c>
      <c r="AC309" s="3">
        <v>149</v>
      </c>
      <c r="AD309" s="3" t="str">
        <f>IFERROR(MID(VLOOKUP($B309,Seqs!$A:$B,2,0),AE309,1),"")</f>
        <v>V</v>
      </c>
      <c r="AE309" s="3">
        <v>173</v>
      </c>
      <c r="AF309" s="3" t="str">
        <f>IFERROR(MID(VLOOKUP($B309,Seqs!$A:$B,2,0),AG309,1),"")</f>
        <v>C</v>
      </c>
      <c r="AG309" s="3">
        <v>187</v>
      </c>
      <c r="AH309" s="3" t="str">
        <f>IFERROR(MID(VLOOKUP($B309,Seqs!$A:$B,2,0),AI309,1),"")</f>
        <v>I</v>
      </c>
      <c r="AI309" s="3">
        <v>189</v>
      </c>
      <c r="AJ309" s="3" t="str">
        <f>IFERROR(MID(VLOOKUP($B309,Seqs!$A:$B,2,0),AK309,1),"")</f>
        <v>N</v>
      </c>
      <c r="AK309" s="3">
        <v>199</v>
      </c>
      <c r="AL309" s="3" t="str">
        <f>IFERROR(MID(VLOOKUP($B309,Seqs!$A:$B,2,0),AM309,1),"")</f>
        <v>Q</v>
      </c>
      <c r="AM309" s="3">
        <v>236</v>
      </c>
      <c r="AN309" s="3" t="str">
        <f>IFERROR(MID(VLOOKUP($B309,Seqs!$A:$B,2,0),AO309,1),"")</f>
        <v>S</v>
      </c>
      <c r="AO309" s="3">
        <v>240</v>
      </c>
      <c r="AP309" s="3" t="str">
        <f>IFERROR(MID(VLOOKUP($B309,Seqs!$A:$B,2,0),AQ309,1),"")</f>
        <v>H</v>
      </c>
      <c r="AQ309" s="3">
        <v>278</v>
      </c>
      <c r="AR309" s="3" t="str">
        <f>IFERROR(MID(VLOOKUP($B309,Seqs!$A:$B,2,0),AS309,1),"")</f>
        <v>G</v>
      </c>
      <c r="AS309" s="3">
        <v>284</v>
      </c>
      <c r="AT309" s="3" t="str">
        <f>IFERROR(MID(VLOOKUP($B309,Seqs!$A:$B,2,0),AU309,1),"")</f>
        <v>M</v>
      </c>
      <c r="AU309" s="3">
        <v>309</v>
      </c>
      <c r="AV309" s="3" t="str">
        <f>IFERROR(MID(VLOOKUP($B309,Seqs!$A:$B,2,0),AW309,1),"")</f>
        <v>N</v>
      </c>
      <c r="AW309" s="3">
        <v>310</v>
      </c>
      <c r="AX309" s="3" t="str">
        <f>IFERROR(MID(VLOOKUP($B309,Seqs!$A:$B,2,0),AY309,1),"")</f>
        <v>C</v>
      </c>
      <c r="AY309" s="3">
        <v>322</v>
      </c>
      <c r="AZ309" s="77" t="str">
        <f>VLOOKUP(B309,Classification!A:D,2,0)</f>
        <v>A</v>
      </c>
      <c r="BA309" s="94" t="str">
        <f>VLOOKUP(B309,Classification!A:D,4,0)</f>
        <v>Opsins</v>
      </c>
      <c r="BB309" s="27" t="b">
        <f t="shared" si="1115"/>
        <v>1</v>
      </c>
      <c r="BC309" s="23">
        <f t="shared" si="1116"/>
        <v>250</v>
      </c>
      <c r="BD309" s="2" t="s">
        <v>23</v>
      </c>
      <c r="BE309" s="3" t="s">
        <v>1285</v>
      </c>
      <c r="BF309" s="118">
        <v>2.36</v>
      </c>
      <c r="BG309" s="49" t="s">
        <v>1</v>
      </c>
      <c r="BH309" s="49" t="s">
        <v>1</v>
      </c>
      <c r="BI309" s="1"/>
      <c r="BJ309" s="70" t="s">
        <v>1281</v>
      </c>
      <c r="BK309" s="57" t="s">
        <v>1281</v>
      </c>
      <c r="BL309" s="57" t="s">
        <v>1281</v>
      </c>
      <c r="BM309" s="57" t="s">
        <v>1281</v>
      </c>
      <c r="BN309" s="57" t="s">
        <v>1281</v>
      </c>
      <c r="BO309" s="57" t="s">
        <v>1281</v>
      </c>
      <c r="BP309" s="57" t="s">
        <v>1281</v>
      </c>
      <c r="BQ309" s="57" t="s">
        <v>1281</v>
      </c>
      <c r="BR309" s="57" t="s">
        <v>1281</v>
      </c>
      <c r="BS309" s="57" t="s">
        <v>1281</v>
      </c>
      <c r="BT309" s="57" t="s">
        <v>1281</v>
      </c>
      <c r="BU309" s="57" t="s">
        <v>1281</v>
      </c>
      <c r="BV309" s="70">
        <f>E309</f>
        <v>33</v>
      </c>
      <c r="BW309" s="71">
        <f>I309</f>
        <v>66</v>
      </c>
      <c r="BX309" s="72">
        <f>M309</f>
        <v>73</v>
      </c>
      <c r="BY309" s="71">
        <f>Q309</f>
        <v>102</v>
      </c>
      <c r="BZ309" s="72">
        <f>U309</f>
        <v>106</v>
      </c>
      <c r="CA309" s="71" t="str">
        <f>Y309</f>
        <v>-</v>
      </c>
      <c r="CB309" s="72">
        <f>AC309</f>
        <v>149</v>
      </c>
      <c r="CC309" s="71">
        <f>AG309</f>
        <v>187</v>
      </c>
      <c r="CD309" s="72">
        <f>AK309</f>
        <v>199</v>
      </c>
      <c r="CE309" s="71">
        <f>AO309</f>
        <v>240</v>
      </c>
      <c r="CF309" s="72">
        <f>AS309</f>
        <v>284</v>
      </c>
      <c r="CG309" s="71">
        <f>AW309</f>
        <v>310</v>
      </c>
      <c r="CH309" s="70">
        <f>G309</f>
        <v>64</v>
      </c>
      <c r="CI309" s="71">
        <f>K309</f>
        <v>69</v>
      </c>
      <c r="CJ309" s="72">
        <f>O309</f>
        <v>101</v>
      </c>
      <c r="CK309" s="72">
        <f>S309</f>
        <v>105</v>
      </c>
      <c r="CL309" s="72">
        <f>W309</f>
        <v>141</v>
      </c>
      <c r="CM309" s="72" t="str">
        <f>AA309</f>
        <v>-</v>
      </c>
      <c r="CN309" s="72">
        <f>AE309</f>
        <v>173</v>
      </c>
      <c r="CO309" s="72">
        <f>AI309</f>
        <v>189</v>
      </c>
      <c r="CP309" s="72">
        <f>AM309</f>
        <v>236</v>
      </c>
      <c r="CQ309" s="72">
        <f>AQ309</f>
        <v>278</v>
      </c>
      <c r="CR309" s="72">
        <f>AU309</f>
        <v>309</v>
      </c>
      <c r="CS309" s="72">
        <f>AY309</f>
        <v>322</v>
      </c>
      <c r="CT309" s="23">
        <f>M309-K309</f>
        <v>4</v>
      </c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  <c r="US309" s="1"/>
      <c r="UT309" s="1"/>
      <c r="UU309" s="1"/>
      <c r="UV309" s="1"/>
      <c r="UW309" s="1"/>
      <c r="UX309" s="1"/>
      <c r="UY309" s="1"/>
      <c r="UZ309" s="1"/>
      <c r="VA309" s="1"/>
      <c r="VB309" s="1"/>
      <c r="VC309" s="1"/>
      <c r="VD309" s="1"/>
      <c r="VE309" s="1"/>
      <c r="VF309" s="1"/>
      <c r="VG309" s="1"/>
      <c r="VH309" s="1"/>
      <c r="VI309" s="1"/>
      <c r="VJ309" s="1"/>
      <c r="VK309" s="1"/>
      <c r="VL309" s="1"/>
      <c r="VM309" s="1"/>
      <c r="VN309" s="1"/>
      <c r="VO309" s="1"/>
      <c r="VP309" s="1"/>
      <c r="VQ309" s="1"/>
      <c r="VR309" s="1"/>
      <c r="VS309" s="1"/>
      <c r="VT309" s="1"/>
      <c r="VU309" s="1"/>
      <c r="VV309" s="1"/>
      <c r="VW309" s="1"/>
      <c r="VX309" s="1"/>
      <c r="VY309" s="1"/>
      <c r="VZ309" s="1"/>
      <c r="WA309" s="1"/>
      <c r="WB309" s="1"/>
      <c r="WC309" s="1"/>
      <c r="WD309" s="1"/>
      <c r="WE309" s="1"/>
      <c r="WF309" s="1"/>
      <c r="WG309" s="1"/>
      <c r="WH309" s="1"/>
      <c r="WI309" s="1"/>
      <c r="WJ309" s="1"/>
      <c r="WK309" s="1"/>
      <c r="WL309" s="1"/>
      <c r="WM309" s="1"/>
      <c r="WN309" s="1"/>
      <c r="WO309" s="1"/>
      <c r="WP309" s="1"/>
      <c r="WQ309" s="1"/>
      <c r="WR309" s="1"/>
      <c r="WS309" s="1"/>
      <c r="WT309" s="1"/>
      <c r="WU309" s="1"/>
      <c r="WV309" s="1"/>
      <c r="WW309" s="1"/>
      <c r="WX309" s="1"/>
      <c r="WY309" s="1"/>
      <c r="WZ309" s="1"/>
      <c r="XA309" s="1"/>
      <c r="XB309" s="1"/>
      <c r="XC309" s="1"/>
      <c r="XD309" s="1"/>
      <c r="XE309" s="1"/>
      <c r="XF309" s="1"/>
      <c r="XG309" s="1"/>
      <c r="XH309" s="1"/>
      <c r="XI309" s="1"/>
      <c r="XJ309" s="1"/>
      <c r="XK309" s="1"/>
      <c r="XL309" s="1"/>
      <c r="XM309" s="1"/>
      <c r="XN309" s="1"/>
      <c r="XO309" s="1"/>
      <c r="XP309" s="1"/>
      <c r="XQ309" s="1"/>
      <c r="XR309" s="1"/>
      <c r="XS309" s="1"/>
      <c r="XT309" s="1"/>
      <c r="XU309" s="1"/>
      <c r="XV309" s="1"/>
      <c r="XW309" s="1"/>
      <c r="XX309" s="1"/>
      <c r="XY309" s="1"/>
      <c r="XZ309" s="1"/>
      <c r="YA309" s="1"/>
      <c r="YB309" s="1"/>
      <c r="YC309" s="1"/>
      <c r="YD309" s="1"/>
      <c r="YE309" s="1"/>
      <c r="YF309" s="1"/>
      <c r="YG309" s="1"/>
      <c r="YH309" s="1"/>
      <c r="YI309" s="1"/>
      <c r="YJ309" s="1"/>
      <c r="YK309" s="1"/>
      <c r="YL309" s="1"/>
      <c r="YM309" s="1"/>
      <c r="YN309" s="1"/>
      <c r="YO309" s="1"/>
      <c r="YP309" s="1"/>
      <c r="YQ309" s="1"/>
      <c r="YR309" s="1"/>
      <c r="YS309" s="1"/>
      <c r="YT309" s="1"/>
      <c r="YU309" s="1"/>
      <c r="YV309" s="1"/>
      <c r="YW309" s="1"/>
      <c r="YX309" s="1"/>
      <c r="YY309" s="1"/>
      <c r="YZ309" s="1"/>
      <c r="ZA309" s="1"/>
      <c r="ZB309" s="1"/>
      <c r="ZC309" s="1"/>
      <c r="ZD309" s="1"/>
      <c r="ZE309" s="1"/>
      <c r="ZF309" s="1"/>
      <c r="ZG309" s="1"/>
      <c r="ZH309" s="1"/>
      <c r="ZI309" s="1"/>
      <c r="ZJ309" s="1"/>
      <c r="ZK309" s="1"/>
      <c r="ZL309" s="1"/>
      <c r="ZM309" s="1"/>
      <c r="ZN309" s="1"/>
      <c r="ZO309" s="1"/>
      <c r="ZP309" s="1"/>
      <c r="ZQ309" s="1"/>
      <c r="ZR309" s="1"/>
      <c r="ZS309" s="1"/>
      <c r="ZT309" s="1"/>
      <c r="ZU309" s="1"/>
      <c r="ZV309" s="1"/>
      <c r="ZW309" s="1"/>
      <c r="ZX309" s="1"/>
      <c r="ZY309" s="1"/>
      <c r="ZZ309" s="1"/>
      <c r="AAA309" s="1"/>
      <c r="AAB309" s="1"/>
      <c r="AAC309" s="1"/>
      <c r="AAD309" s="1"/>
      <c r="AAE309" s="1"/>
      <c r="AAF309" s="1"/>
      <c r="AAG309" s="1"/>
      <c r="AAH309" s="1"/>
      <c r="AAI309" s="1"/>
      <c r="AAJ309" s="1"/>
      <c r="AAK309" s="1"/>
      <c r="AAL309" s="1"/>
      <c r="AAM309" s="1"/>
      <c r="AAN309" s="1"/>
      <c r="AAO309" s="1"/>
      <c r="AAP309" s="1"/>
      <c r="AAQ309" s="1"/>
      <c r="AAR309" s="1"/>
      <c r="AAS309" s="1"/>
      <c r="AAT309" s="1"/>
      <c r="AAU309" s="1"/>
      <c r="AAV309" s="1"/>
      <c r="AAW309" s="1"/>
      <c r="AAX309" s="1"/>
      <c r="AAY309" s="1"/>
      <c r="AAZ309" s="1"/>
      <c r="ABA309" s="1"/>
      <c r="ABB309" s="1"/>
      <c r="ABC309" s="1"/>
      <c r="ABD309" s="1"/>
      <c r="ABE309" s="1"/>
      <c r="ABF309" s="1"/>
      <c r="ABG309" s="1"/>
      <c r="ABH309" s="1"/>
      <c r="ABI309" s="1"/>
      <c r="ABJ309" s="1"/>
      <c r="ABK309" s="1"/>
      <c r="ABL309" s="1"/>
      <c r="ABM309" s="1"/>
      <c r="ABN309" s="1"/>
      <c r="ABO309" s="1"/>
      <c r="ABP309" s="1"/>
      <c r="ABQ309" s="1"/>
      <c r="ABR309" s="1"/>
      <c r="ABS309" s="1"/>
      <c r="ABT309" s="1"/>
      <c r="ABU309" s="1"/>
      <c r="ABV309" s="1"/>
      <c r="ABW309" s="1"/>
      <c r="ABX309" s="1"/>
      <c r="ABY309" s="1"/>
      <c r="ABZ309" s="1"/>
      <c r="ACA309" s="1"/>
      <c r="ACB309" s="1"/>
      <c r="ACC309" s="1"/>
      <c r="ACD309" s="1"/>
      <c r="ACE309" s="1"/>
      <c r="ACF309" s="1"/>
      <c r="ACG309" s="1"/>
      <c r="ACH309" s="1"/>
      <c r="ACI309" s="1"/>
      <c r="ACJ309" s="1"/>
      <c r="ACK309" s="1"/>
      <c r="ACL309" s="1"/>
      <c r="ACM309" s="1"/>
      <c r="ACN309" s="1"/>
      <c r="ACO309" s="1"/>
      <c r="ACP309" s="1"/>
      <c r="ACQ309" s="1"/>
      <c r="ACR309" s="1"/>
      <c r="ACS309" s="1"/>
      <c r="ACT309" s="1"/>
      <c r="ACU309" s="1"/>
      <c r="ACV309" s="1"/>
      <c r="ACW309" s="1"/>
      <c r="ACX309" s="1"/>
      <c r="ACY309" s="1"/>
      <c r="ACZ309" s="1"/>
      <c r="ADA309" s="1"/>
      <c r="ADB309" s="1"/>
      <c r="ADC309" s="1"/>
      <c r="ADD309" s="1"/>
      <c r="ADE309" s="1"/>
      <c r="ADF309" s="1"/>
      <c r="ADG309" s="1"/>
      <c r="ADH309" s="1"/>
      <c r="ADI309" s="1"/>
      <c r="ADJ309" s="1"/>
      <c r="ADK309" s="1"/>
      <c r="ADL309" s="1"/>
      <c r="ADM309" s="1"/>
      <c r="ADN309" s="1"/>
      <c r="ADO309" s="1"/>
      <c r="ADP309" s="1"/>
      <c r="ADQ309" s="1"/>
      <c r="ADR309" s="1"/>
      <c r="ADS309" s="1"/>
      <c r="ADT309" s="1"/>
      <c r="ADU309" s="1"/>
      <c r="ADV309" s="1"/>
      <c r="ADW309" s="1"/>
      <c r="ADX309" s="1"/>
      <c r="ADY309" s="1"/>
      <c r="ADZ309" s="1"/>
      <c r="AEA309" s="1"/>
      <c r="AEB309" s="1"/>
      <c r="AEC309" s="1"/>
      <c r="AED309" s="1"/>
      <c r="AEE309" s="1"/>
      <c r="AEF309" s="1"/>
      <c r="AEG309" s="1"/>
      <c r="AEH309" s="1"/>
      <c r="AEI309" s="1"/>
      <c r="AEJ309" s="1"/>
      <c r="AEK309" s="1"/>
      <c r="AEL309" s="1"/>
      <c r="AEM309" s="1"/>
      <c r="AEN309" s="1"/>
      <c r="AEO309" s="1"/>
      <c r="AEP309" s="1"/>
      <c r="AEQ309" s="1"/>
      <c r="AER309" s="1"/>
      <c r="AES309" s="1"/>
      <c r="AET309" s="1"/>
      <c r="AEU309" s="1"/>
      <c r="AEV309" s="1"/>
      <c r="AEW309" s="1"/>
      <c r="AEX309" s="1"/>
      <c r="AEY309" s="1"/>
      <c r="AEZ309" s="1"/>
      <c r="AFA309" s="1"/>
      <c r="AFB309" s="1"/>
      <c r="AFC309" s="1"/>
      <c r="AFD309" s="1"/>
      <c r="AFE309" s="1"/>
      <c r="AFF309" s="1"/>
      <c r="AFG309" s="1"/>
      <c r="AFH309" s="1"/>
      <c r="AFI309" s="1"/>
      <c r="AFJ309" s="1"/>
      <c r="AFK309" s="1"/>
      <c r="AFL309" s="1"/>
      <c r="AFM309" s="1"/>
      <c r="AFN309" s="1"/>
      <c r="AFO309" s="1"/>
      <c r="AFP309" s="1"/>
      <c r="AFQ309" s="1"/>
      <c r="AFR309" s="1"/>
      <c r="AFS309" s="1"/>
      <c r="AFT309" s="1"/>
      <c r="AFU309" s="1"/>
      <c r="AFV309" s="1"/>
      <c r="AFW309" s="1"/>
      <c r="AFX309" s="1"/>
      <c r="AFY309" s="1"/>
      <c r="AFZ309" s="1"/>
      <c r="AGA309" s="1"/>
      <c r="AGB309" s="1"/>
      <c r="AGC309" s="1"/>
      <c r="AGD309" s="1"/>
      <c r="AGE309" s="1"/>
      <c r="AGF309" s="1"/>
      <c r="AGG309" s="1"/>
      <c r="AGH309" s="1"/>
      <c r="AGI309" s="1"/>
      <c r="AGJ309" s="1"/>
      <c r="AGK309" s="1"/>
      <c r="AGL309" s="1"/>
      <c r="AGM309" s="1"/>
      <c r="AGN309" s="1"/>
      <c r="AGO309" s="1"/>
      <c r="AGP309" s="1"/>
      <c r="AGQ309" s="1"/>
      <c r="AGR309" s="1"/>
      <c r="AGS309" s="1"/>
      <c r="AGT309" s="1"/>
      <c r="AGU309" s="1"/>
      <c r="AGV309" s="1"/>
      <c r="AGW309" s="1"/>
      <c r="AGX309" s="1"/>
      <c r="AGY309" s="1"/>
      <c r="AGZ309" s="1"/>
      <c r="AHA309" s="1"/>
      <c r="AHB309" s="1"/>
      <c r="AHC309" s="1"/>
      <c r="AHD309" s="1"/>
      <c r="AHE309" s="1"/>
      <c r="AHF309" s="1"/>
      <c r="AHG309" s="1"/>
      <c r="AHH309" s="1"/>
      <c r="AHI309" s="1"/>
      <c r="AHJ309" s="1"/>
      <c r="AHK309" s="1"/>
      <c r="AHL309" s="1"/>
      <c r="AHM309" s="1"/>
      <c r="AHN309" s="1"/>
      <c r="AHO309" s="1"/>
      <c r="AHP309" s="1"/>
      <c r="AHQ309" s="1"/>
      <c r="AHR309" s="1"/>
      <c r="AHS309" s="1"/>
      <c r="AHT309" s="1"/>
      <c r="AHU309" s="1"/>
      <c r="AHV309" s="1"/>
      <c r="AHW309" s="1"/>
      <c r="AHX309" s="1"/>
      <c r="AHY309" s="1"/>
      <c r="AHZ309" s="1"/>
      <c r="AIA309" s="1"/>
      <c r="AIB309" s="1"/>
      <c r="AIC309" s="1"/>
      <c r="AID309" s="1"/>
      <c r="AIE309" s="1"/>
      <c r="AIF309" s="1"/>
      <c r="AIG309" s="1"/>
      <c r="AIH309" s="1"/>
      <c r="AII309" s="1"/>
      <c r="AIJ309" s="1"/>
      <c r="AIK309" s="1"/>
      <c r="AIL309" s="1"/>
      <c r="AIM309" s="1"/>
      <c r="AIN309" s="1"/>
      <c r="AIO309" s="1"/>
      <c r="AIP309" s="1"/>
      <c r="AIQ309" s="1"/>
      <c r="AIR309" s="1"/>
      <c r="AIS309" s="1"/>
      <c r="AIT309" s="1"/>
      <c r="AIU309" s="1"/>
      <c r="AIV309" s="1"/>
      <c r="AIW309" s="1"/>
      <c r="AIX309" s="1"/>
      <c r="AIY309" s="1"/>
      <c r="AIZ309" s="1"/>
      <c r="AJA309" s="1"/>
      <c r="AJB309" s="1"/>
      <c r="AJC309" s="1"/>
      <c r="AJD309" s="1"/>
      <c r="AJE309" s="1"/>
      <c r="AJF309" s="1"/>
      <c r="AJG309" s="1"/>
      <c r="AJH309" s="1"/>
      <c r="AJI309" s="1"/>
      <c r="AJJ309" s="1"/>
      <c r="AJK309" s="1"/>
      <c r="AJL309" s="1"/>
      <c r="AJM309" s="1"/>
      <c r="AJN309" s="1"/>
      <c r="AJO309" s="1"/>
      <c r="AJP309" s="1"/>
      <c r="AJQ309" s="1"/>
      <c r="AJR309" s="1"/>
      <c r="AJS309" s="1"/>
      <c r="AJT309" s="1"/>
      <c r="AJU309" s="1"/>
      <c r="AJV309" s="1"/>
      <c r="AJW309" s="1"/>
      <c r="AJX309" s="1"/>
      <c r="AJY309" s="1"/>
      <c r="AJZ309" s="1"/>
      <c r="AKA309" s="1"/>
      <c r="AKB309" s="1"/>
      <c r="AKC309" s="1"/>
      <c r="AKD309" s="1"/>
      <c r="AKE309" s="1"/>
      <c r="AKF309" s="1"/>
      <c r="AKG309" s="1"/>
      <c r="AKH309" s="1"/>
      <c r="AKI309" s="1"/>
      <c r="AKJ309" s="1"/>
      <c r="AKK309" s="1"/>
      <c r="AKL309" s="1"/>
      <c r="AKM309" s="1"/>
      <c r="AKN309" s="1"/>
      <c r="AKO309" s="1"/>
      <c r="AKP309" s="1"/>
      <c r="AKQ309" s="1"/>
      <c r="AKR309" s="1"/>
      <c r="AKS309" s="1"/>
      <c r="AKT309" s="1"/>
      <c r="AKU309" s="1"/>
      <c r="AKV309" s="1"/>
      <c r="AKW309" s="1"/>
      <c r="AKX309" s="1"/>
      <c r="AKY309" s="1"/>
      <c r="AKZ309" s="1"/>
      <c r="ALA309" s="1"/>
      <c r="ALB309" s="1"/>
      <c r="ALC309" s="1"/>
      <c r="ALD309" s="1"/>
      <c r="ALE309" s="1"/>
      <c r="ALF309" s="1"/>
      <c r="ALG309" s="1"/>
      <c r="ALH309" s="1"/>
      <c r="ALI309" s="1"/>
      <c r="ALJ309" s="1"/>
      <c r="ALK309" s="1"/>
      <c r="ALL309" s="1"/>
      <c r="ALM309" s="1"/>
      <c r="ALN309" s="1"/>
      <c r="ALO309" s="1"/>
      <c r="ALP309" s="1"/>
      <c r="ALQ309" s="1"/>
      <c r="ALR309" s="1"/>
      <c r="ALS309" s="1"/>
      <c r="ALT309" s="1"/>
      <c r="ALU309" s="1"/>
      <c r="ALV309" s="1"/>
      <c r="ALW309" s="1"/>
      <c r="ALX309" s="1"/>
      <c r="ALY309" s="1"/>
      <c r="ALZ309" s="1"/>
      <c r="AMA309" s="1"/>
      <c r="AMB309" s="1"/>
      <c r="AMC309" s="1"/>
      <c r="AMD309" s="1"/>
      <c r="AME309" s="1"/>
      <c r="AMF309" s="1"/>
      <c r="AMG309" s="1"/>
      <c r="AMH309" s="1"/>
      <c r="AMI309" s="1"/>
      <c r="AMJ309" s="1"/>
      <c r="AMK309" s="1"/>
      <c r="AML309" s="1"/>
      <c r="AMM309" s="1"/>
      <c r="AMN309" s="1"/>
      <c r="AMO309" s="1"/>
    </row>
    <row r="310" spans="1:1029" x14ac:dyDescent="0.2">
      <c r="A310" s="3" t="str">
        <f>CONCATENATE(B310,"_",C310)</f>
        <v>opsd_bovin_6FK7</v>
      </c>
      <c r="B310" s="3" t="s">
        <v>913</v>
      </c>
      <c r="C310" s="3" t="s">
        <v>1476</v>
      </c>
      <c r="D310" s="3" t="str">
        <f>IFERROR(MID(VLOOKUP($B310,Seqs!$A:$B,2,0),E310,1),"")</f>
        <v>E</v>
      </c>
      <c r="E310" s="3">
        <v>33</v>
      </c>
      <c r="F310" s="3" t="str">
        <f>IFERROR(MID(VLOOKUP($B310,Seqs!$A:$B,2,0),G310,1),"")</f>
        <v>Q</v>
      </c>
      <c r="G310" s="3">
        <v>64</v>
      </c>
      <c r="H310" s="3" t="str">
        <f>IFERROR(MID(VLOOKUP($B310,Seqs!$A:$B,2,0),I310,1),"")</f>
        <v>K</v>
      </c>
      <c r="I310" s="23">
        <v>66</v>
      </c>
      <c r="J310" s="3" t="str">
        <f>IFERROR(MID(VLOOKUP($B310,Seqs!$A:$B,2,0),K310,1),"")</f>
        <v>R</v>
      </c>
      <c r="K310" s="23">
        <v>69</v>
      </c>
      <c r="L310" s="3" t="str">
        <f>IFERROR(MID(VLOOKUP($B310,Seqs!$A:$B,2,0),M310,1),"")</f>
        <v>N</v>
      </c>
      <c r="M310" s="3">
        <v>73</v>
      </c>
      <c r="N310" s="3" t="str">
        <f>IFERROR(MID(VLOOKUP($B310,Seqs!$A:$B,2,0),O310,1),"")</f>
        <v>G</v>
      </c>
      <c r="O310" s="3">
        <v>101</v>
      </c>
      <c r="P310" s="3" t="str">
        <f>IFERROR(MID(VLOOKUP($B310,Seqs!$A:$B,2,0),Q310,1),"")</f>
        <v>Y</v>
      </c>
      <c r="Q310" s="3">
        <v>102</v>
      </c>
      <c r="R310" s="3" t="str">
        <f>IFERROR(MID(VLOOKUP($B310,Seqs!$A:$B,2,0),S310,1),"")</f>
        <v>F</v>
      </c>
      <c r="S310" s="3">
        <v>105</v>
      </c>
      <c r="T310" s="3" t="str">
        <f>IFERROR(MID(VLOOKUP($B310,Seqs!$A:$B,2,0),U310,1),"")</f>
        <v>G</v>
      </c>
      <c r="U310" s="3">
        <v>106</v>
      </c>
      <c r="V310" s="3" t="str">
        <f>IFERROR(MID(VLOOKUP($B310,Seqs!$A:$B,2,0),W310,1),"")</f>
        <v>K</v>
      </c>
      <c r="W310" s="3">
        <v>141</v>
      </c>
      <c r="X310" s="3" t="str">
        <f>IFERROR(MID(VLOOKUP($B310,Seqs!$A:$B,2,0),Y310,1),"")</f>
        <v/>
      </c>
      <c r="Y310" s="3" t="s">
        <v>23</v>
      </c>
      <c r="Z310" s="3" t="str">
        <f>IFERROR(MID(VLOOKUP($B310,Seqs!$A:$B,2,0),AA310,1),"")</f>
        <v/>
      </c>
      <c r="AA310" s="3" t="s">
        <v>23</v>
      </c>
      <c r="AB310" s="3" t="str">
        <f>IFERROR(MID(VLOOKUP($B310,Seqs!$A:$B,2,0),AC310,1),"")</f>
        <v>G</v>
      </c>
      <c r="AC310" s="3">
        <v>149</v>
      </c>
      <c r="AD310" s="3" t="str">
        <f>IFERROR(MID(VLOOKUP($B310,Seqs!$A:$B,2,0),AE310,1),"")</f>
        <v>V</v>
      </c>
      <c r="AE310" s="3">
        <v>173</v>
      </c>
      <c r="AF310" s="3" t="str">
        <f>IFERROR(MID(VLOOKUP($B310,Seqs!$A:$B,2,0),AG310,1),"")</f>
        <v>C</v>
      </c>
      <c r="AG310" s="3">
        <v>187</v>
      </c>
      <c r="AH310" s="3" t="str">
        <f>IFERROR(MID(VLOOKUP($B310,Seqs!$A:$B,2,0),AI310,1),"")</f>
        <v>I</v>
      </c>
      <c r="AI310" s="3">
        <v>189</v>
      </c>
      <c r="AJ310" s="3" t="str">
        <f>IFERROR(MID(VLOOKUP($B310,Seqs!$A:$B,2,0),AK310,1),"")</f>
        <v>N</v>
      </c>
      <c r="AK310" s="3">
        <v>199</v>
      </c>
      <c r="AL310" s="3" t="str">
        <f>IFERROR(MID(VLOOKUP($B310,Seqs!$A:$B,2,0),AM310,1),"")</f>
        <v>Q</v>
      </c>
      <c r="AM310" s="3">
        <v>236</v>
      </c>
      <c r="AN310" s="3" t="str">
        <f>IFERROR(MID(VLOOKUP($B310,Seqs!$A:$B,2,0),AO310,1),"")</f>
        <v>S</v>
      </c>
      <c r="AO310" s="3">
        <v>240</v>
      </c>
      <c r="AP310" s="3" t="str">
        <f>IFERROR(MID(VLOOKUP($B310,Seqs!$A:$B,2,0),AQ310,1),"")</f>
        <v>H</v>
      </c>
      <c r="AQ310" s="3">
        <v>278</v>
      </c>
      <c r="AR310" s="3" t="str">
        <f>IFERROR(MID(VLOOKUP($B310,Seqs!$A:$B,2,0),AS310,1),"")</f>
        <v>T</v>
      </c>
      <c r="AS310" s="3">
        <v>289</v>
      </c>
      <c r="AT310" s="3" t="str">
        <f>IFERROR(MID(VLOOKUP($B310,Seqs!$A:$B,2,0),AU310,1),"")</f>
        <v>M</v>
      </c>
      <c r="AU310" s="3">
        <v>309</v>
      </c>
      <c r="AV310" s="3" t="str">
        <f>IFERROR(MID(VLOOKUP($B310,Seqs!$A:$B,2,0),AW310,1),"")</f>
        <v>N</v>
      </c>
      <c r="AW310" s="3">
        <v>310</v>
      </c>
      <c r="AX310" s="3" t="str">
        <f>IFERROR(MID(VLOOKUP($B310,Seqs!$A:$B,2,0),AY310,1),"")</f>
        <v>C</v>
      </c>
      <c r="AY310" s="3">
        <v>322</v>
      </c>
      <c r="AZ310" s="77" t="str">
        <f>VLOOKUP(B310,Classification!A:D,2,0)</f>
        <v>A</v>
      </c>
      <c r="BA310" s="94" t="str">
        <f>VLOOKUP(B310,Classification!A:D,4,0)</f>
        <v>Opsins</v>
      </c>
      <c r="BB310" s="27" t="b">
        <f t="shared" si="1115"/>
        <v>1</v>
      </c>
      <c r="BC310" s="23">
        <f t="shared" si="1116"/>
        <v>245</v>
      </c>
      <c r="BD310" s="2" t="s">
        <v>23</v>
      </c>
      <c r="BE310" s="3" t="s">
        <v>1285</v>
      </c>
      <c r="BF310" s="118">
        <v>2.62</v>
      </c>
      <c r="BG310" s="49" t="s">
        <v>1</v>
      </c>
      <c r="BH310" s="49" t="s">
        <v>1</v>
      </c>
      <c r="BI310" s="1"/>
      <c r="BJ310" s="70" t="s">
        <v>1281</v>
      </c>
      <c r="BK310" s="57" t="s">
        <v>1281</v>
      </c>
      <c r="BL310" s="57" t="s">
        <v>1281</v>
      </c>
      <c r="BM310" s="57" t="s">
        <v>1281</v>
      </c>
      <c r="BN310" s="57" t="s">
        <v>1281</v>
      </c>
      <c r="BO310" s="57" t="s">
        <v>1281</v>
      </c>
      <c r="BP310" s="57" t="s">
        <v>1281</v>
      </c>
      <c r="BQ310" s="57" t="s">
        <v>1281</v>
      </c>
      <c r="BR310" s="57" t="s">
        <v>1281</v>
      </c>
      <c r="BS310" s="57" t="s">
        <v>1281</v>
      </c>
      <c r="BT310" s="57" t="s">
        <v>1281</v>
      </c>
      <c r="BU310" s="57" t="s">
        <v>1281</v>
      </c>
      <c r="BV310" s="70">
        <f>E310</f>
        <v>33</v>
      </c>
      <c r="BW310" s="71">
        <f>I310</f>
        <v>66</v>
      </c>
      <c r="BX310" s="72">
        <f>M310</f>
        <v>73</v>
      </c>
      <c r="BY310" s="71">
        <f>Q310</f>
        <v>102</v>
      </c>
      <c r="BZ310" s="72">
        <f>U310</f>
        <v>106</v>
      </c>
      <c r="CA310" s="71" t="str">
        <f>Y310</f>
        <v>-</v>
      </c>
      <c r="CB310" s="72">
        <f>AC310</f>
        <v>149</v>
      </c>
      <c r="CC310" s="71">
        <f>AG310</f>
        <v>187</v>
      </c>
      <c r="CD310" s="72">
        <f>AK310</f>
        <v>199</v>
      </c>
      <c r="CE310" s="71">
        <f>AO310</f>
        <v>240</v>
      </c>
      <c r="CF310" s="72">
        <f>AS310</f>
        <v>289</v>
      </c>
      <c r="CG310" s="71">
        <f>AW310</f>
        <v>310</v>
      </c>
      <c r="CH310" s="70">
        <f>G310</f>
        <v>64</v>
      </c>
      <c r="CI310" s="71">
        <f>K310</f>
        <v>69</v>
      </c>
      <c r="CJ310" s="72">
        <f>O310</f>
        <v>101</v>
      </c>
      <c r="CK310" s="72">
        <f>S310</f>
        <v>105</v>
      </c>
      <c r="CL310" s="72">
        <f>W310</f>
        <v>141</v>
      </c>
      <c r="CM310" s="72" t="str">
        <f>AA310</f>
        <v>-</v>
      </c>
      <c r="CN310" s="72">
        <f>AE310</f>
        <v>173</v>
      </c>
      <c r="CO310" s="72">
        <f>AI310</f>
        <v>189</v>
      </c>
      <c r="CP310" s="72">
        <f>AM310</f>
        <v>236</v>
      </c>
      <c r="CQ310" s="72">
        <f>AQ310</f>
        <v>278</v>
      </c>
      <c r="CR310" s="72">
        <f>AU310</f>
        <v>309</v>
      </c>
      <c r="CS310" s="72">
        <f>AY310</f>
        <v>322</v>
      </c>
      <c r="CT310" s="23">
        <f>M310-K310</f>
        <v>4</v>
      </c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  <c r="UW310" s="1"/>
      <c r="UX310" s="1"/>
      <c r="UY310" s="1"/>
      <c r="UZ310" s="1"/>
      <c r="VA310" s="1"/>
      <c r="VB310" s="1"/>
      <c r="VC310" s="1"/>
      <c r="VD310" s="1"/>
      <c r="VE310" s="1"/>
      <c r="VF310" s="1"/>
      <c r="VG310" s="1"/>
      <c r="VH310" s="1"/>
      <c r="VI310" s="1"/>
      <c r="VJ310" s="1"/>
      <c r="VK310" s="1"/>
      <c r="VL310" s="1"/>
      <c r="VM310" s="1"/>
      <c r="VN310" s="1"/>
      <c r="VO310" s="1"/>
      <c r="VP310" s="1"/>
      <c r="VQ310" s="1"/>
      <c r="VR310" s="1"/>
      <c r="VS310" s="1"/>
      <c r="VT310" s="1"/>
      <c r="VU310" s="1"/>
      <c r="VV310" s="1"/>
      <c r="VW310" s="1"/>
      <c r="VX310" s="1"/>
      <c r="VY310" s="1"/>
      <c r="VZ310" s="1"/>
      <c r="WA310" s="1"/>
      <c r="WB310" s="1"/>
      <c r="WC310" s="1"/>
      <c r="WD310" s="1"/>
      <c r="WE310" s="1"/>
      <c r="WF310" s="1"/>
      <c r="WG310" s="1"/>
      <c r="WH310" s="1"/>
      <c r="WI310" s="1"/>
      <c r="WJ310" s="1"/>
      <c r="WK310" s="1"/>
      <c r="WL310" s="1"/>
      <c r="WM310" s="1"/>
      <c r="WN310" s="1"/>
      <c r="WO310" s="1"/>
      <c r="WP310" s="1"/>
      <c r="WQ310" s="1"/>
      <c r="WR310" s="1"/>
      <c r="WS310" s="1"/>
      <c r="WT310" s="1"/>
      <c r="WU310" s="1"/>
      <c r="WV310" s="1"/>
      <c r="WW310" s="1"/>
      <c r="WX310" s="1"/>
      <c r="WY310" s="1"/>
      <c r="WZ310" s="1"/>
      <c r="XA310" s="1"/>
      <c r="XB310" s="1"/>
      <c r="XC310" s="1"/>
      <c r="XD310" s="1"/>
      <c r="XE310" s="1"/>
      <c r="XF310" s="1"/>
      <c r="XG310" s="1"/>
      <c r="XH310" s="1"/>
      <c r="XI310" s="1"/>
      <c r="XJ310" s="1"/>
      <c r="XK310" s="1"/>
      <c r="XL310" s="1"/>
      <c r="XM310" s="1"/>
      <c r="XN310" s="1"/>
      <c r="XO310" s="1"/>
      <c r="XP310" s="1"/>
      <c r="XQ310" s="1"/>
      <c r="XR310" s="1"/>
      <c r="XS310" s="1"/>
      <c r="XT310" s="1"/>
      <c r="XU310" s="1"/>
      <c r="XV310" s="1"/>
      <c r="XW310" s="1"/>
      <c r="XX310" s="1"/>
      <c r="XY310" s="1"/>
      <c r="XZ310" s="1"/>
      <c r="YA310" s="1"/>
      <c r="YB310" s="1"/>
      <c r="YC310" s="1"/>
      <c r="YD310" s="1"/>
      <c r="YE310" s="1"/>
      <c r="YF310" s="1"/>
      <c r="YG310" s="1"/>
      <c r="YH310" s="1"/>
      <c r="YI310" s="1"/>
      <c r="YJ310" s="1"/>
      <c r="YK310" s="1"/>
      <c r="YL310" s="1"/>
      <c r="YM310" s="1"/>
      <c r="YN310" s="1"/>
      <c r="YO310" s="1"/>
      <c r="YP310" s="1"/>
      <c r="YQ310" s="1"/>
      <c r="YR310" s="1"/>
      <c r="YS310" s="1"/>
      <c r="YT310" s="1"/>
      <c r="YU310" s="1"/>
      <c r="YV310" s="1"/>
      <c r="YW310" s="1"/>
      <c r="YX310" s="1"/>
      <c r="YY310" s="1"/>
      <c r="YZ310" s="1"/>
      <c r="ZA310" s="1"/>
      <c r="ZB310" s="1"/>
      <c r="ZC310" s="1"/>
      <c r="ZD310" s="1"/>
      <c r="ZE310" s="1"/>
      <c r="ZF310" s="1"/>
      <c r="ZG310" s="1"/>
      <c r="ZH310" s="1"/>
      <c r="ZI310" s="1"/>
      <c r="ZJ310" s="1"/>
      <c r="ZK310" s="1"/>
      <c r="ZL310" s="1"/>
      <c r="ZM310" s="1"/>
      <c r="ZN310" s="1"/>
      <c r="ZO310" s="1"/>
      <c r="ZP310" s="1"/>
      <c r="ZQ310" s="1"/>
      <c r="ZR310" s="1"/>
      <c r="ZS310" s="1"/>
      <c r="ZT310" s="1"/>
      <c r="ZU310" s="1"/>
      <c r="ZV310" s="1"/>
      <c r="ZW310" s="1"/>
      <c r="ZX310" s="1"/>
      <c r="ZY310" s="1"/>
      <c r="ZZ310" s="1"/>
      <c r="AAA310" s="1"/>
      <c r="AAB310" s="1"/>
      <c r="AAC310" s="1"/>
      <c r="AAD310" s="1"/>
      <c r="AAE310" s="1"/>
      <c r="AAF310" s="1"/>
      <c r="AAG310" s="1"/>
      <c r="AAH310" s="1"/>
      <c r="AAI310" s="1"/>
      <c r="AAJ310" s="1"/>
      <c r="AAK310" s="1"/>
      <c r="AAL310" s="1"/>
      <c r="AAM310" s="1"/>
      <c r="AAN310" s="1"/>
      <c r="AAO310" s="1"/>
      <c r="AAP310" s="1"/>
      <c r="AAQ310" s="1"/>
      <c r="AAR310" s="1"/>
      <c r="AAS310" s="1"/>
      <c r="AAT310" s="1"/>
      <c r="AAU310" s="1"/>
      <c r="AAV310" s="1"/>
      <c r="AAW310" s="1"/>
      <c r="AAX310" s="1"/>
      <c r="AAY310" s="1"/>
      <c r="AAZ310" s="1"/>
      <c r="ABA310" s="1"/>
      <c r="ABB310" s="1"/>
      <c r="ABC310" s="1"/>
      <c r="ABD310" s="1"/>
      <c r="ABE310" s="1"/>
      <c r="ABF310" s="1"/>
      <c r="ABG310" s="1"/>
      <c r="ABH310" s="1"/>
      <c r="ABI310" s="1"/>
      <c r="ABJ310" s="1"/>
      <c r="ABK310" s="1"/>
      <c r="ABL310" s="1"/>
      <c r="ABM310" s="1"/>
      <c r="ABN310" s="1"/>
      <c r="ABO310" s="1"/>
      <c r="ABP310" s="1"/>
      <c r="ABQ310" s="1"/>
      <c r="ABR310" s="1"/>
      <c r="ABS310" s="1"/>
      <c r="ABT310" s="1"/>
      <c r="ABU310" s="1"/>
      <c r="ABV310" s="1"/>
      <c r="ABW310" s="1"/>
      <c r="ABX310" s="1"/>
      <c r="ABY310" s="1"/>
      <c r="ABZ310" s="1"/>
      <c r="ACA310" s="1"/>
      <c r="ACB310" s="1"/>
      <c r="ACC310" s="1"/>
      <c r="ACD310" s="1"/>
      <c r="ACE310" s="1"/>
      <c r="ACF310" s="1"/>
      <c r="ACG310" s="1"/>
      <c r="ACH310" s="1"/>
      <c r="ACI310" s="1"/>
      <c r="ACJ310" s="1"/>
      <c r="ACK310" s="1"/>
      <c r="ACL310" s="1"/>
      <c r="ACM310" s="1"/>
      <c r="ACN310" s="1"/>
      <c r="ACO310" s="1"/>
      <c r="ACP310" s="1"/>
      <c r="ACQ310" s="1"/>
      <c r="ACR310" s="1"/>
      <c r="ACS310" s="1"/>
      <c r="ACT310" s="1"/>
      <c r="ACU310" s="1"/>
      <c r="ACV310" s="1"/>
      <c r="ACW310" s="1"/>
      <c r="ACX310" s="1"/>
      <c r="ACY310" s="1"/>
      <c r="ACZ310" s="1"/>
      <c r="ADA310" s="1"/>
      <c r="ADB310" s="1"/>
      <c r="ADC310" s="1"/>
      <c r="ADD310" s="1"/>
      <c r="ADE310" s="1"/>
      <c r="ADF310" s="1"/>
      <c r="ADG310" s="1"/>
      <c r="ADH310" s="1"/>
      <c r="ADI310" s="1"/>
      <c r="ADJ310" s="1"/>
      <c r="ADK310" s="1"/>
      <c r="ADL310" s="1"/>
      <c r="ADM310" s="1"/>
      <c r="ADN310" s="1"/>
      <c r="ADO310" s="1"/>
      <c r="ADP310" s="1"/>
      <c r="ADQ310" s="1"/>
      <c r="ADR310" s="1"/>
      <c r="ADS310" s="1"/>
      <c r="ADT310" s="1"/>
      <c r="ADU310" s="1"/>
      <c r="ADV310" s="1"/>
      <c r="ADW310" s="1"/>
      <c r="ADX310" s="1"/>
      <c r="ADY310" s="1"/>
      <c r="ADZ310" s="1"/>
      <c r="AEA310" s="1"/>
      <c r="AEB310" s="1"/>
      <c r="AEC310" s="1"/>
      <c r="AED310" s="1"/>
      <c r="AEE310" s="1"/>
      <c r="AEF310" s="1"/>
      <c r="AEG310" s="1"/>
      <c r="AEH310" s="1"/>
      <c r="AEI310" s="1"/>
      <c r="AEJ310" s="1"/>
      <c r="AEK310" s="1"/>
      <c r="AEL310" s="1"/>
      <c r="AEM310" s="1"/>
      <c r="AEN310" s="1"/>
      <c r="AEO310" s="1"/>
      <c r="AEP310" s="1"/>
      <c r="AEQ310" s="1"/>
      <c r="AER310" s="1"/>
      <c r="AES310" s="1"/>
      <c r="AET310" s="1"/>
      <c r="AEU310" s="1"/>
      <c r="AEV310" s="1"/>
      <c r="AEW310" s="1"/>
      <c r="AEX310" s="1"/>
      <c r="AEY310" s="1"/>
      <c r="AEZ310" s="1"/>
      <c r="AFA310" s="1"/>
      <c r="AFB310" s="1"/>
      <c r="AFC310" s="1"/>
      <c r="AFD310" s="1"/>
      <c r="AFE310" s="1"/>
      <c r="AFF310" s="1"/>
      <c r="AFG310" s="1"/>
      <c r="AFH310" s="1"/>
      <c r="AFI310" s="1"/>
      <c r="AFJ310" s="1"/>
      <c r="AFK310" s="1"/>
      <c r="AFL310" s="1"/>
      <c r="AFM310" s="1"/>
      <c r="AFN310" s="1"/>
      <c r="AFO310" s="1"/>
      <c r="AFP310" s="1"/>
      <c r="AFQ310" s="1"/>
      <c r="AFR310" s="1"/>
      <c r="AFS310" s="1"/>
      <c r="AFT310" s="1"/>
      <c r="AFU310" s="1"/>
      <c r="AFV310" s="1"/>
      <c r="AFW310" s="1"/>
      <c r="AFX310" s="1"/>
      <c r="AFY310" s="1"/>
      <c r="AFZ310" s="1"/>
      <c r="AGA310" s="1"/>
      <c r="AGB310" s="1"/>
      <c r="AGC310" s="1"/>
      <c r="AGD310" s="1"/>
      <c r="AGE310" s="1"/>
      <c r="AGF310" s="1"/>
      <c r="AGG310" s="1"/>
      <c r="AGH310" s="1"/>
      <c r="AGI310" s="1"/>
      <c r="AGJ310" s="1"/>
      <c r="AGK310" s="1"/>
      <c r="AGL310" s="1"/>
      <c r="AGM310" s="1"/>
      <c r="AGN310" s="1"/>
      <c r="AGO310" s="1"/>
      <c r="AGP310" s="1"/>
      <c r="AGQ310" s="1"/>
      <c r="AGR310" s="1"/>
      <c r="AGS310" s="1"/>
      <c r="AGT310" s="1"/>
      <c r="AGU310" s="1"/>
      <c r="AGV310" s="1"/>
      <c r="AGW310" s="1"/>
      <c r="AGX310" s="1"/>
      <c r="AGY310" s="1"/>
      <c r="AGZ310" s="1"/>
      <c r="AHA310" s="1"/>
      <c r="AHB310" s="1"/>
      <c r="AHC310" s="1"/>
      <c r="AHD310" s="1"/>
      <c r="AHE310" s="1"/>
      <c r="AHF310" s="1"/>
      <c r="AHG310" s="1"/>
      <c r="AHH310" s="1"/>
      <c r="AHI310" s="1"/>
      <c r="AHJ310" s="1"/>
      <c r="AHK310" s="1"/>
      <c r="AHL310" s="1"/>
      <c r="AHM310" s="1"/>
      <c r="AHN310" s="1"/>
      <c r="AHO310" s="1"/>
      <c r="AHP310" s="1"/>
      <c r="AHQ310" s="1"/>
      <c r="AHR310" s="1"/>
      <c r="AHS310" s="1"/>
      <c r="AHT310" s="1"/>
      <c r="AHU310" s="1"/>
      <c r="AHV310" s="1"/>
      <c r="AHW310" s="1"/>
      <c r="AHX310" s="1"/>
      <c r="AHY310" s="1"/>
      <c r="AHZ310" s="1"/>
      <c r="AIA310" s="1"/>
      <c r="AIB310" s="1"/>
      <c r="AIC310" s="1"/>
      <c r="AID310" s="1"/>
      <c r="AIE310" s="1"/>
      <c r="AIF310" s="1"/>
      <c r="AIG310" s="1"/>
      <c r="AIH310" s="1"/>
      <c r="AII310" s="1"/>
      <c r="AIJ310" s="1"/>
      <c r="AIK310" s="1"/>
      <c r="AIL310" s="1"/>
      <c r="AIM310" s="1"/>
      <c r="AIN310" s="1"/>
      <c r="AIO310" s="1"/>
      <c r="AIP310" s="1"/>
      <c r="AIQ310" s="1"/>
      <c r="AIR310" s="1"/>
      <c r="AIS310" s="1"/>
      <c r="AIT310" s="1"/>
      <c r="AIU310" s="1"/>
      <c r="AIV310" s="1"/>
      <c r="AIW310" s="1"/>
      <c r="AIX310" s="1"/>
      <c r="AIY310" s="1"/>
      <c r="AIZ310" s="1"/>
      <c r="AJA310" s="1"/>
      <c r="AJB310" s="1"/>
      <c r="AJC310" s="1"/>
      <c r="AJD310" s="1"/>
      <c r="AJE310" s="1"/>
      <c r="AJF310" s="1"/>
      <c r="AJG310" s="1"/>
      <c r="AJH310" s="1"/>
      <c r="AJI310" s="1"/>
      <c r="AJJ310" s="1"/>
      <c r="AJK310" s="1"/>
      <c r="AJL310" s="1"/>
      <c r="AJM310" s="1"/>
      <c r="AJN310" s="1"/>
      <c r="AJO310" s="1"/>
      <c r="AJP310" s="1"/>
      <c r="AJQ310" s="1"/>
      <c r="AJR310" s="1"/>
      <c r="AJS310" s="1"/>
      <c r="AJT310" s="1"/>
      <c r="AJU310" s="1"/>
      <c r="AJV310" s="1"/>
      <c r="AJW310" s="1"/>
      <c r="AJX310" s="1"/>
      <c r="AJY310" s="1"/>
      <c r="AJZ310" s="1"/>
      <c r="AKA310" s="1"/>
      <c r="AKB310" s="1"/>
      <c r="AKC310" s="1"/>
      <c r="AKD310" s="1"/>
      <c r="AKE310" s="1"/>
      <c r="AKF310" s="1"/>
      <c r="AKG310" s="1"/>
      <c r="AKH310" s="1"/>
      <c r="AKI310" s="1"/>
      <c r="AKJ310" s="1"/>
      <c r="AKK310" s="1"/>
      <c r="AKL310" s="1"/>
      <c r="AKM310" s="1"/>
      <c r="AKN310" s="1"/>
      <c r="AKO310" s="1"/>
      <c r="AKP310" s="1"/>
      <c r="AKQ310" s="1"/>
      <c r="AKR310" s="1"/>
      <c r="AKS310" s="1"/>
      <c r="AKT310" s="1"/>
      <c r="AKU310" s="1"/>
      <c r="AKV310" s="1"/>
      <c r="AKW310" s="1"/>
      <c r="AKX310" s="1"/>
      <c r="AKY310" s="1"/>
      <c r="AKZ310" s="1"/>
      <c r="ALA310" s="1"/>
      <c r="ALB310" s="1"/>
      <c r="ALC310" s="1"/>
      <c r="ALD310" s="1"/>
      <c r="ALE310" s="1"/>
      <c r="ALF310" s="1"/>
      <c r="ALG310" s="1"/>
      <c r="ALH310" s="1"/>
      <c r="ALI310" s="1"/>
      <c r="ALJ310" s="1"/>
      <c r="ALK310" s="1"/>
      <c r="ALL310" s="1"/>
      <c r="ALM310" s="1"/>
      <c r="ALN310" s="1"/>
      <c r="ALO310" s="1"/>
      <c r="ALP310" s="1"/>
      <c r="ALQ310" s="1"/>
      <c r="ALR310" s="1"/>
      <c r="ALS310" s="1"/>
      <c r="ALT310" s="1"/>
      <c r="ALU310" s="1"/>
      <c r="ALV310" s="1"/>
      <c r="ALW310" s="1"/>
      <c r="ALX310" s="1"/>
      <c r="ALY310" s="1"/>
      <c r="ALZ310" s="1"/>
      <c r="AMA310" s="1"/>
      <c r="AMB310" s="1"/>
      <c r="AMC310" s="1"/>
      <c r="AMD310" s="1"/>
      <c r="AME310" s="1"/>
      <c r="AMF310" s="1"/>
      <c r="AMG310" s="1"/>
      <c r="AMH310" s="1"/>
      <c r="AMI310" s="1"/>
      <c r="AMJ310" s="1"/>
      <c r="AMK310" s="1"/>
      <c r="AML310" s="1"/>
      <c r="AMM310" s="1"/>
      <c r="AMN310" s="1"/>
      <c r="AMO310" s="1"/>
    </row>
    <row r="311" spans="1:1029" x14ac:dyDescent="0.2">
      <c r="A311" s="3" t="str">
        <f>CONCATENATE(B311,"_",C311)</f>
        <v>opsd_bovin_6FK8</v>
      </c>
      <c r="B311" s="3" t="s">
        <v>913</v>
      </c>
      <c r="C311" s="3" t="s">
        <v>1477</v>
      </c>
      <c r="D311" s="3" t="str">
        <f>IFERROR(MID(VLOOKUP($B311,Seqs!$A:$B,2,0),E311,1),"")</f>
        <v>E</v>
      </c>
      <c r="E311" s="3">
        <v>33</v>
      </c>
      <c r="F311" s="3" t="str">
        <f>IFERROR(MID(VLOOKUP($B311,Seqs!$A:$B,2,0),G311,1),"")</f>
        <v>Q</v>
      </c>
      <c r="G311" s="3">
        <v>64</v>
      </c>
      <c r="H311" s="3" t="str">
        <f>IFERROR(MID(VLOOKUP($B311,Seqs!$A:$B,2,0),I311,1),"")</f>
        <v>K</v>
      </c>
      <c r="I311" s="23">
        <v>66</v>
      </c>
      <c r="J311" s="3" t="str">
        <f>IFERROR(MID(VLOOKUP($B311,Seqs!$A:$B,2,0),K311,1),"")</f>
        <v>R</v>
      </c>
      <c r="K311" s="23">
        <v>69</v>
      </c>
      <c r="L311" s="3" t="str">
        <f>IFERROR(MID(VLOOKUP($B311,Seqs!$A:$B,2,0),M311,1),"")</f>
        <v>N</v>
      </c>
      <c r="M311" s="3">
        <v>73</v>
      </c>
      <c r="N311" s="3" t="str">
        <f>IFERROR(MID(VLOOKUP($B311,Seqs!$A:$B,2,0),O311,1),"")</f>
        <v>G</v>
      </c>
      <c r="O311" s="3">
        <v>101</v>
      </c>
      <c r="P311" s="3" t="str">
        <f>IFERROR(MID(VLOOKUP($B311,Seqs!$A:$B,2,0),Q311,1),"")</f>
        <v>Y</v>
      </c>
      <c r="Q311" s="3">
        <v>102</v>
      </c>
      <c r="R311" s="3" t="str">
        <f>IFERROR(MID(VLOOKUP($B311,Seqs!$A:$B,2,0),S311,1),"")</f>
        <v>F</v>
      </c>
      <c r="S311" s="3">
        <v>105</v>
      </c>
      <c r="T311" s="3" t="str">
        <f>IFERROR(MID(VLOOKUP($B311,Seqs!$A:$B,2,0),U311,1),"")</f>
        <v>G</v>
      </c>
      <c r="U311" s="3">
        <v>106</v>
      </c>
      <c r="V311" s="3" t="str">
        <f>IFERROR(MID(VLOOKUP($B311,Seqs!$A:$B,2,0),W311,1),"")</f>
        <v>K</v>
      </c>
      <c r="W311" s="3">
        <v>141</v>
      </c>
      <c r="X311" s="3" t="str">
        <f>IFERROR(MID(VLOOKUP($B311,Seqs!$A:$B,2,0),Y311,1),"")</f>
        <v/>
      </c>
      <c r="Y311" s="3" t="s">
        <v>23</v>
      </c>
      <c r="Z311" s="3" t="str">
        <f>IFERROR(MID(VLOOKUP($B311,Seqs!$A:$B,2,0),AA311,1),"")</f>
        <v/>
      </c>
      <c r="AA311" s="3" t="s">
        <v>23</v>
      </c>
      <c r="AB311" s="3" t="str">
        <f>IFERROR(MID(VLOOKUP($B311,Seqs!$A:$B,2,0),AC311,1),"")</f>
        <v>G</v>
      </c>
      <c r="AC311" s="3">
        <v>149</v>
      </c>
      <c r="AD311" s="3" t="str">
        <f>IFERROR(MID(VLOOKUP($B311,Seqs!$A:$B,2,0),AE311,1),"")</f>
        <v>V</v>
      </c>
      <c r="AE311" s="3">
        <v>173</v>
      </c>
      <c r="AF311" s="3" t="str">
        <f>IFERROR(MID(VLOOKUP($B311,Seqs!$A:$B,2,0),AG311,1),"")</f>
        <v>C</v>
      </c>
      <c r="AG311" s="3">
        <v>187</v>
      </c>
      <c r="AH311" s="3" t="str">
        <f>IFERROR(MID(VLOOKUP($B311,Seqs!$A:$B,2,0),AI311,1),"")</f>
        <v>I</v>
      </c>
      <c r="AI311" s="3">
        <v>189</v>
      </c>
      <c r="AJ311" s="3" t="str">
        <f>IFERROR(MID(VLOOKUP($B311,Seqs!$A:$B,2,0),AK311,1),"")</f>
        <v>N</v>
      </c>
      <c r="AK311" s="3">
        <v>199</v>
      </c>
      <c r="AL311" s="3" t="str">
        <f>IFERROR(MID(VLOOKUP($B311,Seqs!$A:$B,2,0),AM311,1),"")</f>
        <v>Q</v>
      </c>
      <c r="AM311" s="3">
        <v>236</v>
      </c>
      <c r="AN311" s="3" t="str">
        <f>IFERROR(MID(VLOOKUP($B311,Seqs!$A:$B,2,0),AO311,1),"")</f>
        <v>S</v>
      </c>
      <c r="AO311" s="3">
        <v>240</v>
      </c>
      <c r="AP311" s="3" t="str">
        <f>IFERROR(MID(VLOOKUP($B311,Seqs!$A:$B,2,0),AQ311,1),"")</f>
        <v>H</v>
      </c>
      <c r="AQ311" s="3">
        <v>278</v>
      </c>
      <c r="AR311" s="3" t="str">
        <f>IFERROR(MID(VLOOKUP($B311,Seqs!$A:$B,2,0),AS311,1),"")</f>
        <v>T</v>
      </c>
      <c r="AS311" s="3">
        <v>289</v>
      </c>
      <c r="AT311" s="3" t="str">
        <f>IFERROR(MID(VLOOKUP($B311,Seqs!$A:$B,2,0),AU311,1),"")</f>
        <v>M</v>
      </c>
      <c r="AU311" s="3">
        <v>309</v>
      </c>
      <c r="AV311" s="3" t="str">
        <f>IFERROR(MID(VLOOKUP($B311,Seqs!$A:$B,2,0),AW311,1),"")</f>
        <v>N</v>
      </c>
      <c r="AW311" s="3">
        <v>310</v>
      </c>
      <c r="AX311" s="3" t="str">
        <f>IFERROR(MID(VLOOKUP($B311,Seqs!$A:$B,2,0),AY311,1),"")</f>
        <v>C</v>
      </c>
      <c r="AY311" s="3">
        <v>322</v>
      </c>
      <c r="AZ311" s="77" t="str">
        <f>VLOOKUP(B311,Classification!A:D,2,0)</f>
        <v>A</v>
      </c>
      <c r="BA311" s="94" t="str">
        <f>VLOOKUP(B311,Classification!A:D,4,0)</f>
        <v>Opsins</v>
      </c>
      <c r="BB311" s="27" t="b">
        <f t="shared" si="1115"/>
        <v>1</v>
      </c>
      <c r="BC311" s="23">
        <f t="shared" si="1116"/>
        <v>245</v>
      </c>
      <c r="BD311" s="2" t="s">
        <v>23</v>
      </c>
      <c r="BE311" s="3" t="s">
        <v>1285</v>
      </c>
      <c r="BF311" s="118">
        <v>2.87</v>
      </c>
      <c r="BG311" s="49" t="s">
        <v>1</v>
      </c>
      <c r="BH311" s="49" t="s">
        <v>1</v>
      </c>
      <c r="BI311" s="1"/>
      <c r="BJ311" s="70" t="s">
        <v>1281</v>
      </c>
      <c r="BK311" s="57" t="s">
        <v>1281</v>
      </c>
      <c r="BL311" s="57" t="s">
        <v>1281</v>
      </c>
      <c r="BM311" s="57" t="s">
        <v>1281</v>
      </c>
      <c r="BN311" s="57" t="s">
        <v>1281</v>
      </c>
      <c r="BO311" s="57" t="s">
        <v>1281</v>
      </c>
      <c r="BP311" s="57" t="s">
        <v>1281</v>
      </c>
      <c r="BQ311" s="57" t="s">
        <v>1281</v>
      </c>
      <c r="BR311" s="57" t="s">
        <v>1281</v>
      </c>
      <c r="BS311" s="57" t="s">
        <v>1281</v>
      </c>
      <c r="BT311" s="57" t="s">
        <v>1281</v>
      </c>
      <c r="BU311" s="57" t="s">
        <v>1281</v>
      </c>
      <c r="BV311" s="70">
        <f>E311</f>
        <v>33</v>
      </c>
      <c r="BW311" s="71">
        <f>I311</f>
        <v>66</v>
      </c>
      <c r="BX311" s="72">
        <f>M311</f>
        <v>73</v>
      </c>
      <c r="BY311" s="71">
        <f>Q311</f>
        <v>102</v>
      </c>
      <c r="BZ311" s="72">
        <f>U311</f>
        <v>106</v>
      </c>
      <c r="CA311" s="71" t="str">
        <f>Y311</f>
        <v>-</v>
      </c>
      <c r="CB311" s="72">
        <f>AC311</f>
        <v>149</v>
      </c>
      <c r="CC311" s="71">
        <f>AG311</f>
        <v>187</v>
      </c>
      <c r="CD311" s="72">
        <f>AK311</f>
        <v>199</v>
      </c>
      <c r="CE311" s="71">
        <f>AO311</f>
        <v>240</v>
      </c>
      <c r="CF311" s="72">
        <f>AS311</f>
        <v>289</v>
      </c>
      <c r="CG311" s="71">
        <f>AW311</f>
        <v>310</v>
      </c>
      <c r="CH311" s="70">
        <f>G311</f>
        <v>64</v>
      </c>
      <c r="CI311" s="71">
        <f>K311</f>
        <v>69</v>
      </c>
      <c r="CJ311" s="72">
        <f>O311</f>
        <v>101</v>
      </c>
      <c r="CK311" s="72">
        <f>S311</f>
        <v>105</v>
      </c>
      <c r="CL311" s="72">
        <f>W311</f>
        <v>141</v>
      </c>
      <c r="CM311" s="72" t="str">
        <f>AA311</f>
        <v>-</v>
      </c>
      <c r="CN311" s="72">
        <f>AE311</f>
        <v>173</v>
      </c>
      <c r="CO311" s="72">
        <f>AI311</f>
        <v>189</v>
      </c>
      <c r="CP311" s="72">
        <f>AM311</f>
        <v>236</v>
      </c>
      <c r="CQ311" s="72">
        <f>AQ311</f>
        <v>278</v>
      </c>
      <c r="CR311" s="72">
        <f>AU311</f>
        <v>309</v>
      </c>
      <c r="CS311" s="72">
        <f>AY311</f>
        <v>322</v>
      </c>
      <c r="CT311" s="23">
        <f>M311-K311</f>
        <v>4</v>
      </c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  <c r="US311" s="1"/>
      <c r="UT311" s="1"/>
      <c r="UU311" s="1"/>
      <c r="UV311" s="1"/>
      <c r="UW311" s="1"/>
      <c r="UX311" s="1"/>
      <c r="UY311" s="1"/>
      <c r="UZ311" s="1"/>
      <c r="VA311" s="1"/>
      <c r="VB311" s="1"/>
      <c r="VC311" s="1"/>
      <c r="VD311" s="1"/>
      <c r="VE311" s="1"/>
      <c r="VF311" s="1"/>
      <c r="VG311" s="1"/>
      <c r="VH311" s="1"/>
      <c r="VI311" s="1"/>
      <c r="VJ311" s="1"/>
      <c r="VK311" s="1"/>
      <c r="VL311" s="1"/>
      <c r="VM311" s="1"/>
      <c r="VN311" s="1"/>
      <c r="VO311" s="1"/>
      <c r="VP311" s="1"/>
      <c r="VQ311" s="1"/>
      <c r="VR311" s="1"/>
      <c r="VS311" s="1"/>
      <c r="VT311" s="1"/>
      <c r="VU311" s="1"/>
      <c r="VV311" s="1"/>
      <c r="VW311" s="1"/>
      <c r="VX311" s="1"/>
      <c r="VY311" s="1"/>
      <c r="VZ311" s="1"/>
      <c r="WA311" s="1"/>
      <c r="WB311" s="1"/>
      <c r="WC311" s="1"/>
      <c r="WD311" s="1"/>
      <c r="WE311" s="1"/>
      <c r="WF311" s="1"/>
      <c r="WG311" s="1"/>
      <c r="WH311" s="1"/>
      <c r="WI311" s="1"/>
      <c r="WJ311" s="1"/>
      <c r="WK311" s="1"/>
      <c r="WL311" s="1"/>
      <c r="WM311" s="1"/>
      <c r="WN311" s="1"/>
      <c r="WO311" s="1"/>
      <c r="WP311" s="1"/>
      <c r="WQ311" s="1"/>
      <c r="WR311" s="1"/>
      <c r="WS311" s="1"/>
      <c r="WT311" s="1"/>
      <c r="WU311" s="1"/>
      <c r="WV311" s="1"/>
      <c r="WW311" s="1"/>
      <c r="WX311" s="1"/>
      <c r="WY311" s="1"/>
      <c r="WZ311" s="1"/>
      <c r="XA311" s="1"/>
      <c r="XB311" s="1"/>
      <c r="XC311" s="1"/>
      <c r="XD311" s="1"/>
      <c r="XE311" s="1"/>
      <c r="XF311" s="1"/>
      <c r="XG311" s="1"/>
      <c r="XH311" s="1"/>
      <c r="XI311" s="1"/>
      <c r="XJ311" s="1"/>
      <c r="XK311" s="1"/>
      <c r="XL311" s="1"/>
      <c r="XM311" s="1"/>
      <c r="XN311" s="1"/>
      <c r="XO311" s="1"/>
      <c r="XP311" s="1"/>
      <c r="XQ311" s="1"/>
      <c r="XR311" s="1"/>
      <c r="XS311" s="1"/>
      <c r="XT311" s="1"/>
      <c r="XU311" s="1"/>
      <c r="XV311" s="1"/>
      <c r="XW311" s="1"/>
      <c r="XX311" s="1"/>
      <c r="XY311" s="1"/>
      <c r="XZ311" s="1"/>
      <c r="YA311" s="1"/>
      <c r="YB311" s="1"/>
      <c r="YC311" s="1"/>
      <c r="YD311" s="1"/>
      <c r="YE311" s="1"/>
      <c r="YF311" s="1"/>
      <c r="YG311" s="1"/>
      <c r="YH311" s="1"/>
      <c r="YI311" s="1"/>
      <c r="YJ311" s="1"/>
      <c r="YK311" s="1"/>
      <c r="YL311" s="1"/>
      <c r="YM311" s="1"/>
      <c r="YN311" s="1"/>
      <c r="YO311" s="1"/>
      <c r="YP311" s="1"/>
      <c r="YQ311" s="1"/>
      <c r="YR311" s="1"/>
      <c r="YS311" s="1"/>
      <c r="YT311" s="1"/>
      <c r="YU311" s="1"/>
      <c r="YV311" s="1"/>
      <c r="YW311" s="1"/>
      <c r="YX311" s="1"/>
      <c r="YY311" s="1"/>
      <c r="YZ311" s="1"/>
      <c r="ZA311" s="1"/>
      <c r="ZB311" s="1"/>
      <c r="ZC311" s="1"/>
      <c r="ZD311" s="1"/>
      <c r="ZE311" s="1"/>
      <c r="ZF311" s="1"/>
      <c r="ZG311" s="1"/>
      <c r="ZH311" s="1"/>
      <c r="ZI311" s="1"/>
      <c r="ZJ311" s="1"/>
      <c r="ZK311" s="1"/>
      <c r="ZL311" s="1"/>
      <c r="ZM311" s="1"/>
      <c r="ZN311" s="1"/>
      <c r="ZO311" s="1"/>
      <c r="ZP311" s="1"/>
      <c r="ZQ311" s="1"/>
      <c r="ZR311" s="1"/>
      <c r="ZS311" s="1"/>
      <c r="ZT311" s="1"/>
      <c r="ZU311" s="1"/>
      <c r="ZV311" s="1"/>
      <c r="ZW311" s="1"/>
      <c r="ZX311" s="1"/>
      <c r="ZY311" s="1"/>
      <c r="ZZ311" s="1"/>
      <c r="AAA311" s="1"/>
      <c r="AAB311" s="1"/>
      <c r="AAC311" s="1"/>
      <c r="AAD311" s="1"/>
      <c r="AAE311" s="1"/>
      <c r="AAF311" s="1"/>
      <c r="AAG311" s="1"/>
      <c r="AAH311" s="1"/>
      <c r="AAI311" s="1"/>
      <c r="AAJ311" s="1"/>
      <c r="AAK311" s="1"/>
      <c r="AAL311" s="1"/>
      <c r="AAM311" s="1"/>
      <c r="AAN311" s="1"/>
      <c r="AAO311" s="1"/>
      <c r="AAP311" s="1"/>
      <c r="AAQ311" s="1"/>
      <c r="AAR311" s="1"/>
      <c r="AAS311" s="1"/>
      <c r="AAT311" s="1"/>
      <c r="AAU311" s="1"/>
      <c r="AAV311" s="1"/>
      <c r="AAW311" s="1"/>
      <c r="AAX311" s="1"/>
      <c r="AAY311" s="1"/>
      <c r="AAZ311" s="1"/>
      <c r="ABA311" s="1"/>
      <c r="ABB311" s="1"/>
      <c r="ABC311" s="1"/>
      <c r="ABD311" s="1"/>
      <c r="ABE311" s="1"/>
      <c r="ABF311" s="1"/>
      <c r="ABG311" s="1"/>
      <c r="ABH311" s="1"/>
      <c r="ABI311" s="1"/>
      <c r="ABJ311" s="1"/>
      <c r="ABK311" s="1"/>
      <c r="ABL311" s="1"/>
      <c r="ABM311" s="1"/>
      <c r="ABN311" s="1"/>
      <c r="ABO311" s="1"/>
      <c r="ABP311" s="1"/>
      <c r="ABQ311" s="1"/>
      <c r="ABR311" s="1"/>
      <c r="ABS311" s="1"/>
      <c r="ABT311" s="1"/>
      <c r="ABU311" s="1"/>
      <c r="ABV311" s="1"/>
      <c r="ABW311" s="1"/>
      <c r="ABX311" s="1"/>
      <c r="ABY311" s="1"/>
      <c r="ABZ311" s="1"/>
      <c r="ACA311" s="1"/>
      <c r="ACB311" s="1"/>
      <c r="ACC311" s="1"/>
      <c r="ACD311" s="1"/>
      <c r="ACE311" s="1"/>
      <c r="ACF311" s="1"/>
      <c r="ACG311" s="1"/>
      <c r="ACH311" s="1"/>
      <c r="ACI311" s="1"/>
      <c r="ACJ311" s="1"/>
      <c r="ACK311" s="1"/>
      <c r="ACL311" s="1"/>
      <c r="ACM311" s="1"/>
      <c r="ACN311" s="1"/>
      <c r="ACO311" s="1"/>
      <c r="ACP311" s="1"/>
      <c r="ACQ311" s="1"/>
      <c r="ACR311" s="1"/>
      <c r="ACS311" s="1"/>
      <c r="ACT311" s="1"/>
      <c r="ACU311" s="1"/>
      <c r="ACV311" s="1"/>
      <c r="ACW311" s="1"/>
      <c r="ACX311" s="1"/>
      <c r="ACY311" s="1"/>
      <c r="ACZ311" s="1"/>
      <c r="ADA311" s="1"/>
      <c r="ADB311" s="1"/>
      <c r="ADC311" s="1"/>
      <c r="ADD311" s="1"/>
      <c r="ADE311" s="1"/>
      <c r="ADF311" s="1"/>
      <c r="ADG311" s="1"/>
      <c r="ADH311" s="1"/>
      <c r="ADI311" s="1"/>
      <c r="ADJ311" s="1"/>
      <c r="ADK311" s="1"/>
      <c r="ADL311" s="1"/>
      <c r="ADM311" s="1"/>
      <c r="ADN311" s="1"/>
      <c r="ADO311" s="1"/>
      <c r="ADP311" s="1"/>
      <c r="ADQ311" s="1"/>
      <c r="ADR311" s="1"/>
      <c r="ADS311" s="1"/>
      <c r="ADT311" s="1"/>
      <c r="ADU311" s="1"/>
      <c r="ADV311" s="1"/>
      <c r="ADW311" s="1"/>
      <c r="ADX311" s="1"/>
      <c r="ADY311" s="1"/>
      <c r="ADZ311" s="1"/>
      <c r="AEA311" s="1"/>
      <c r="AEB311" s="1"/>
      <c r="AEC311" s="1"/>
      <c r="AED311" s="1"/>
      <c r="AEE311" s="1"/>
      <c r="AEF311" s="1"/>
      <c r="AEG311" s="1"/>
      <c r="AEH311" s="1"/>
      <c r="AEI311" s="1"/>
      <c r="AEJ311" s="1"/>
      <c r="AEK311" s="1"/>
      <c r="AEL311" s="1"/>
      <c r="AEM311" s="1"/>
      <c r="AEN311" s="1"/>
      <c r="AEO311" s="1"/>
      <c r="AEP311" s="1"/>
      <c r="AEQ311" s="1"/>
      <c r="AER311" s="1"/>
      <c r="AES311" s="1"/>
      <c r="AET311" s="1"/>
      <c r="AEU311" s="1"/>
      <c r="AEV311" s="1"/>
      <c r="AEW311" s="1"/>
      <c r="AEX311" s="1"/>
      <c r="AEY311" s="1"/>
      <c r="AEZ311" s="1"/>
      <c r="AFA311" s="1"/>
      <c r="AFB311" s="1"/>
      <c r="AFC311" s="1"/>
      <c r="AFD311" s="1"/>
      <c r="AFE311" s="1"/>
      <c r="AFF311" s="1"/>
      <c r="AFG311" s="1"/>
      <c r="AFH311" s="1"/>
      <c r="AFI311" s="1"/>
      <c r="AFJ311" s="1"/>
      <c r="AFK311" s="1"/>
      <c r="AFL311" s="1"/>
      <c r="AFM311" s="1"/>
      <c r="AFN311" s="1"/>
      <c r="AFO311" s="1"/>
      <c r="AFP311" s="1"/>
      <c r="AFQ311" s="1"/>
      <c r="AFR311" s="1"/>
      <c r="AFS311" s="1"/>
      <c r="AFT311" s="1"/>
      <c r="AFU311" s="1"/>
      <c r="AFV311" s="1"/>
      <c r="AFW311" s="1"/>
      <c r="AFX311" s="1"/>
      <c r="AFY311" s="1"/>
      <c r="AFZ311" s="1"/>
      <c r="AGA311" s="1"/>
      <c r="AGB311" s="1"/>
      <c r="AGC311" s="1"/>
      <c r="AGD311" s="1"/>
      <c r="AGE311" s="1"/>
      <c r="AGF311" s="1"/>
      <c r="AGG311" s="1"/>
      <c r="AGH311" s="1"/>
      <c r="AGI311" s="1"/>
      <c r="AGJ311" s="1"/>
      <c r="AGK311" s="1"/>
      <c r="AGL311" s="1"/>
      <c r="AGM311" s="1"/>
      <c r="AGN311" s="1"/>
      <c r="AGO311" s="1"/>
      <c r="AGP311" s="1"/>
      <c r="AGQ311" s="1"/>
      <c r="AGR311" s="1"/>
      <c r="AGS311" s="1"/>
      <c r="AGT311" s="1"/>
      <c r="AGU311" s="1"/>
      <c r="AGV311" s="1"/>
      <c r="AGW311" s="1"/>
      <c r="AGX311" s="1"/>
      <c r="AGY311" s="1"/>
      <c r="AGZ311" s="1"/>
      <c r="AHA311" s="1"/>
      <c r="AHB311" s="1"/>
      <c r="AHC311" s="1"/>
      <c r="AHD311" s="1"/>
      <c r="AHE311" s="1"/>
      <c r="AHF311" s="1"/>
      <c r="AHG311" s="1"/>
      <c r="AHH311" s="1"/>
      <c r="AHI311" s="1"/>
      <c r="AHJ311" s="1"/>
      <c r="AHK311" s="1"/>
      <c r="AHL311" s="1"/>
      <c r="AHM311" s="1"/>
      <c r="AHN311" s="1"/>
      <c r="AHO311" s="1"/>
      <c r="AHP311" s="1"/>
      <c r="AHQ311" s="1"/>
      <c r="AHR311" s="1"/>
      <c r="AHS311" s="1"/>
      <c r="AHT311" s="1"/>
      <c r="AHU311" s="1"/>
      <c r="AHV311" s="1"/>
      <c r="AHW311" s="1"/>
      <c r="AHX311" s="1"/>
      <c r="AHY311" s="1"/>
      <c r="AHZ311" s="1"/>
      <c r="AIA311" s="1"/>
      <c r="AIB311" s="1"/>
      <c r="AIC311" s="1"/>
      <c r="AID311" s="1"/>
      <c r="AIE311" s="1"/>
      <c r="AIF311" s="1"/>
      <c r="AIG311" s="1"/>
      <c r="AIH311" s="1"/>
      <c r="AII311" s="1"/>
      <c r="AIJ311" s="1"/>
      <c r="AIK311" s="1"/>
      <c r="AIL311" s="1"/>
      <c r="AIM311" s="1"/>
      <c r="AIN311" s="1"/>
      <c r="AIO311" s="1"/>
      <c r="AIP311" s="1"/>
      <c r="AIQ311" s="1"/>
      <c r="AIR311" s="1"/>
      <c r="AIS311" s="1"/>
      <c r="AIT311" s="1"/>
      <c r="AIU311" s="1"/>
      <c r="AIV311" s="1"/>
      <c r="AIW311" s="1"/>
      <c r="AIX311" s="1"/>
      <c r="AIY311" s="1"/>
      <c r="AIZ311" s="1"/>
      <c r="AJA311" s="1"/>
      <c r="AJB311" s="1"/>
      <c r="AJC311" s="1"/>
      <c r="AJD311" s="1"/>
      <c r="AJE311" s="1"/>
      <c r="AJF311" s="1"/>
      <c r="AJG311" s="1"/>
      <c r="AJH311" s="1"/>
      <c r="AJI311" s="1"/>
      <c r="AJJ311" s="1"/>
      <c r="AJK311" s="1"/>
      <c r="AJL311" s="1"/>
      <c r="AJM311" s="1"/>
      <c r="AJN311" s="1"/>
      <c r="AJO311" s="1"/>
      <c r="AJP311" s="1"/>
      <c r="AJQ311" s="1"/>
      <c r="AJR311" s="1"/>
      <c r="AJS311" s="1"/>
      <c r="AJT311" s="1"/>
      <c r="AJU311" s="1"/>
      <c r="AJV311" s="1"/>
      <c r="AJW311" s="1"/>
      <c r="AJX311" s="1"/>
      <c r="AJY311" s="1"/>
      <c r="AJZ311" s="1"/>
      <c r="AKA311" s="1"/>
      <c r="AKB311" s="1"/>
      <c r="AKC311" s="1"/>
      <c r="AKD311" s="1"/>
      <c r="AKE311" s="1"/>
      <c r="AKF311" s="1"/>
      <c r="AKG311" s="1"/>
      <c r="AKH311" s="1"/>
      <c r="AKI311" s="1"/>
      <c r="AKJ311" s="1"/>
      <c r="AKK311" s="1"/>
      <c r="AKL311" s="1"/>
      <c r="AKM311" s="1"/>
      <c r="AKN311" s="1"/>
      <c r="AKO311" s="1"/>
      <c r="AKP311" s="1"/>
      <c r="AKQ311" s="1"/>
      <c r="AKR311" s="1"/>
      <c r="AKS311" s="1"/>
      <c r="AKT311" s="1"/>
      <c r="AKU311" s="1"/>
      <c r="AKV311" s="1"/>
      <c r="AKW311" s="1"/>
      <c r="AKX311" s="1"/>
      <c r="AKY311" s="1"/>
      <c r="AKZ311" s="1"/>
      <c r="ALA311" s="1"/>
      <c r="ALB311" s="1"/>
      <c r="ALC311" s="1"/>
      <c r="ALD311" s="1"/>
      <c r="ALE311" s="1"/>
      <c r="ALF311" s="1"/>
      <c r="ALG311" s="1"/>
      <c r="ALH311" s="1"/>
      <c r="ALI311" s="1"/>
      <c r="ALJ311" s="1"/>
      <c r="ALK311" s="1"/>
      <c r="ALL311" s="1"/>
      <c r="ALM311" s="1"/>
      <c r="ALN311" s="1"/>
      <c r="ALO311" s="1"/>
      <c r="ALP311" s="1"/>
      <c r="ALQ311" s="1"/>
      <c r="ALR311" s="1"/>
      <c r="ALS311" s="1"/>
      <c r="ALT311" s="1"/>
      <c r="ALU311" s="1"/>
      <c r="ALV311" s="1"/>
      <c r="ALW311" s="1"/>
      <c r="ALX311" s="1"/>
      <c r="ALY311" s="1"/>
      <c r="ALZ311" s="1"/>
      <c r="AMA311" s="1"/>
      <c r="AMB311" s="1"/>
      <c r="AMC311" s="1"/>
      <c r="AMD311" s="1"/>
      <c r="AME311" s="1"/>
      <c r="AMF311" s="1"/>
      <c r="AMG311" s="1"/>
      <c r="AMH311" s="1"/>
      <c r="AMI311" s="1"/>
      <c r="AMJ311" s="1"/>
      <c r="AMK311" s="1"/>
      <c r="AML311" s="1"/>
      <c r="AMM311" s="1"/>
      <c r="AMN311" s="1"/>
      <c r="AMO311" s="1"/>
    </row>
    <row r="312" spans="1:1029" x14ac:dyDescent="0.2">
      <c r="A312" s="3" t="str">
        <f>CONCATENATE(B312,"_",C312)</f>
        <v>opsd_bovin_6FK9</v>
      </c>
      <c r="B312" s="3" t="s">
        <v>913</v>
      </c>
      <c r="C312" s="3" t="s">
        <v>1478</v>
      </c>
      <c r="D312" s="3" t="str">
        <f>IFERROR(MID(VLOOKUP($B312,Seqs!$A:$B,2,0),E312,1),"")</f>
        <v>E</v>
      </c>
      <c r="E312" s="3">
        <v>33</v>
      </c>
      <c r="F312" s="3" t="str">
        <f>IFERROR(MID(VLOOKUP($B312,Seqs!$A:$B,2,0),G312,1),"")</f>
        <v>Q</v>
      </c>
      <c r="G312" s="3">
        <v>64</v>
      </c>
      <c r="H312" s="3" t="str">
        <f>IFERROR(MID(VLOOKUP($B312,Seqs!$A:$B,2,0),I312,1),"")</f>
        <v>K</v>
      </c>
      <c r="I312" s="23">
        <v>66</v>
      </c>
      <c r="J312" s="3" t="str">
        <f>IFERROR(MID(VLOOKUP($B312,Seqs!$A:$B,2,0),K312,1),"")</f>
        <v>R</v>
      </c>
      <c r="K312" s="23">
        <v>69</v>
      </c>
      <c r="L312" s="3" t="str">
        <f>IFERROR(MID(VLOOKUP($B312,Seqs!$A:$B,2,0),M312,1),"")</f>
        <v>N</v>
      </c>
      <c r="M312" s="3">
        <v>73</v>
      </c>
      <c r="N312" s="3" t="str">
        <f>IFERROR(MID(VLOOKUP($B312,Seqs!$A:$B,2,0),O312,1),"")</f>
        <v>G</v>
      </c>
      <c r="O312" s="3">
        <v>101</v>
      </c>
      <c r="P312" s="3" t="str">
        <f>IFERROR(MID(VLOOKUP($B312,Seqs!$A:$B,2,0),Q312,1),"")</f>
        <v>Y</v>
      </c>
      <c r="Q312" s="3">
        <v>102</v>
      </c>
      <c r="R312" s="3" t="str">
        <f>IFERROR(MID(VLOOKUP($B312,Seqs!$A:$B,2,0),S312,1),"")</f>
        <v>F</v>
      </c>
      <c r="S312" s="3">
        <v>105</v>
      </c>
      <c r="T312" s="3" t="str">
        <f>IFERROR(MID(VLOOKUP($B312,Seqs!$A:$B,2,0),U312,1),"")</f>
        <v>G</v>
      </c>
      <c r="U312" s="3">
        <v>106</v>
      </c>
      <c r="V312" s="3" t="str">
        <f>IFERROR(MID(VLOOKUP($B312,Seqs!$A:$B,2,0),W312,1),"")</f>
        <v>K</v>
      </c>
      <c r="W312" s="3">
        <v>141</v>
      </c>
      <c r="X312" s="3" t="str">
        <f>IFERROR(MID(VLOOKUP($B312,Seqs!$A:$B,2,0),Y312,1),"")</f>
        <v/>
      </c>
      <c r="Y312" s="3" t="s">
        <v>23</v>
      </c>
      <c r="Z312" s="3" t="str">
        <f>IFERROR(MID(VLOOKUP($B312,Seqs!$A:$B,2,0),AA312,1),"")</f>
        <v/>
      </c>
      <c r="AA312" s="3" t="s">
        <v>23</v>
      </c>
      <c r="AB312" s="3" t="str">
        <f>IFERROR(MID(VLOOKUP($B312,Seqs!$A:$B,2,0),AC312,1),"")</f>
        <v>G</v>
      </c>
      <c r="AC312" s="3">
        <v>149</v>
      </c>
      <c r="AD312" s="3" t="str">
        <f>IFERROR(MID(VLOOKUP($B312,Seqs!$A:$B,2,0),AE312,1),"")</f>
        <v>V</v>
      </c>
      <c r="AE312" s="3">
        <v>173</v>
      </c>
      <c r="AF312" s="3" t="str">
        <f>IFERROR(MID(VLOOKUP($B312,Seqs!$A:$B,2,0),AG312,1),"")</f>
        <v>C</v>
      </c>
      <c r="AG312" s="3">
        <v>187</v>
      </c>
      <c r="AH312" s="3" t="str">
        <f>IFERROR(MID(VLOOKUP($B312,Seqs!$A:$B,2,0),AI312,1),"")</f>
        <v>I</v>
      </c>
      <c r="AI312" s="3">
        <v>189</v>
      </c>
      <c r="AJ312" s="3" t="str">
        <f>IFERROR(MID(VLOOKUP($B312,Seqs!$A:$B,2,0),AK312,1),"")</f>
        <v>N</v>
      </c>
      <c r="AK312" s="3">
        <v>199</v>
      </c>
      <c r="AL312" s="3" t="str">
        <f>IFERROR(MID(VLOOKUP($B312,Seqs!$A:$B,2,0),AM312,1),"")</f>
        <v>Q</v>
      </c>
      <c r="AM312" s="3">
        <v>236</v>
      </c>
      <c r="AN312" s="3" t="str">
        <f>IFERROR(MID(VLOOKUP($B312,Seqs!$A:$B,2,0),AO312,1),"")</f>
        <v>S</v>
      </c>
      <c r="AO312" s="3">
        <v>240</v>
      </c>
      <c r="AP312" s="3" t="str">
        <f>IFERROR(MID(VLOOKUP($B312,Seqs!$A:$B,2,0),AQ312,1),"")</f>
        <v>H</v>
      </c>
      <c r="AQ312" s="3">
        <v>278</v>
      </c>
      <c r="AR312" s="3" t="str">
        <f>IFERROR(MID(VLOOKUP($B312,Seqs!$A:$B,2,0),AS312,1),"")</f>
        <v>G</v>
      </c>
      <c r="AS312" s="3">
        <v>284</v>
      </c>
      <c r="AT312" s="3" t="str">
        <f>IFERROR(MID(VLOOKUP($B312,Seqs!$A:$B,2,0),AU312,1),"")</f>
        <v>M</v>
      </c>
      <c r="AU312" s="3">
        <v>309</v>
      </c>
      <c r="AV312" s="3" t="str">
        <f>IFERROR(MID(VLOOKUP($B312,Seqs!$A:$B,2,0),AW312,1),"")</f>
        <v>N</v>
      </c>
      <c r="AW312" s="3">
        <v>310</v>
      </c>
      <c r="AX312" s="3" t="str">
        <f>IFERROR(MID(VLOOKUP($B312,Seqs!$A:$B,2,0),AY312,1),"")</f>
        <v>C</v>
      </c>
      <c r="AY312" s="3">
        <v>322</v>
      </c>
      <c r="AZ312" s="77" t="str">
        <f>VLOOKUP(B312,Classification!A:D,2,0)</f>
        <v>A</v>
      </c>
      <c r="BA312" s="94" t="str">
        <f>VLOOKUP(B312,Classification!A:D,4,0)</f>
        <v>Opsins</v>
      </c>
      <c r="BB312" s="27" t="b">
        <f t="shared" si="1115"/>
        <v>1</v>
      </c>
      <c r="BC312" s="23">
        <f t="shared" si="1116"/>
        <v>250</v>
      </c>
      <c r="BD312" s="2" t="s">
        <v>23</v>
      </c>
      <c r="BE312" s="3" t="s">
        <v>1285</v>
      </c>
      <c r="BF312" s="118">
        <v>2.63</v>
      </c>
      <c r="BG312" s="49" t="s">
        <v>1</v>
      </c>
      <c r="BH312" s="49" t="s">
        <v>1</v>
      </c>
      <c r="BI312" s="1"/>
      <c r="BJ312" s="70" t="s">
        <v>1281</v>
      </c>
      <c r="BK312" s="57" t="s">
        <v>1281</v>
      </c>
      <c r="BL312" s="57" t="s">
        <v>1281</v>
      </c>
      <c r="BM312" s="57" t="s">
        <v>1281</v>
      </c>
      <c r="BN312" s="57" t="s">
        <v>1281</v>
      </c>
      <c r="BO312" s="57" t="s">
        <v>1281</v>
      </c>
      <c r="BP312" s="57" t="s">
        <v>1281</v>
      </c>
      <c r="BQ312" s="57" t="s">
        <v>1281</v>
      </c>
      <c r="BR312" s="57" t="s">
        <v>1281</v>
      </c>
      <c r="BS312" s="57" t="s">
        <v>1281</v>
      </c>
      <c r="BT312" s="57" t="s">
        <v>1281</v>
      </c>
      <c r="BU312" s="57" t="s">
        <v>1281</v>
      </c>
      <c r="BV312" s="70">
        <f>E312</f>
        <v>33</v>
      </c>
      <c r="BW312" s="71">
        <f>I312</f>
        <v>66</v>
      </c>
      <c r="BX312" s="72">
        <f>M312</f>
        <v>73</v>
      </c>
      <c r="BY312" s="71">
        <f>Q312</f>
        <v>102</v>
      </c>
      <c r="BZ312" s="72">
        <f>U312</f>
        <v>106</v>
      </c>
      <c r="CA312" s="71" t="str">
        <f>Y312</f>
        <v>-</v>
      </c>
      <c r="CB312" s="72">
        <f>AC312</f>
        <v>149</v>
      </c>
      <c r="CC312" s="71">
        <f>AG312</f>
        <v>187</v>
      </c>
      <c r="CD312" s="72">
        <f>AK312</f>
        <v>199</v>
      </c>
      <c r="CE312" s="71">
        <f>AO312</f>
        <v>240</v>
      </c>
      <c r="CF312" s="72">
        <f>AS312</f>
        <v>284</v>
      </c>
      <c r="CG312" s="71">
        <f>AW312</f>
        <v>310</v>
      </c>
      <c r="CH312" s="70">
        <f>G312</f>
        <v>64</v>
      </c>
      <c r="CI312" s="71">
        <f>K312</f>
        <v>69</v>
      </c>
      <c r="CJ312" s="72">
        <f>O312</f>
        <v>101</v>
      </c>
      <c r="CK312" s="72">
        <f>S312</f>
        <v>105</v>
      </c>
      <c r="CL312" s="72">
        <f>W312</f>
        <v>141</v>
      </c>
      <c r="CM312" s="72" t="str">
        <f>AA312</f>
        <v>-</v>
      </c>
      <c r="CN312" s="72">
        <f>AE312</f>
        <v>173</v>
      </c>
      <c r="CO312" s="72">
        <f>AI312</f>
        <v>189</v>
      </c>
      <c r="CP312" s="72">
        <f>AM312</f>
        <v>236</v>
      </c>
      <c r="CQ312" s="72">
        <f>AQ312</f>
        <v>278</v>
      </c>
      <c r="CR312" s="72">
        <f>AU312</f>
        <v>309</v>
      </c>
      <c r="CS312" s="72">
        <f>AY312</f>
        <v>322</v>
      </c>
      <c r="CT312" s="23">
        <f>M312-K312</f>
        <v>4</v>
      </c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  <c r="SR312" s="1"/>
      <c r="SS312" s="1"/>
      <c r="ST312" s="1"/>
      <c r="SU312" s="1"/>
      <c r="SV312" s="1"/>
      <c r="SW312" s="1"/>
      <c r="SX312" s="1"/>
      <c r="SY312" s="1"/>
      <c r="SZ312" s="1"/>
      <c r="TA312" s="1"/>
      <c r="TB312" s="1"/>
      <c r="TC312" s="1"/>
      <c r="TD312" s="1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1"/>
      <c r="UA312" s="1"/>
      <c r="UB312" s="1"/>
      <c r="UC312" s="1"/>
      <c r="UD312" s="1"/>
      <c r="UE312" s="1"/>
      <c r="UF312" s="1"/>
      <c r="UG312" s="1"/>
      <c r="UH312" s="1"/>
      <c r="UI312" s="1"/>
      <c r="UJ312" s="1"/>
      <c r="UK312" s="1"/>
      <c r="UL312" s="1"/>
      <c r="UM312" s="1"/>
      <c r="UN312" s="1"/>
      <c r="UO312" s="1"/>
      <c r="UP312" s="1"/>
      <c r="UQ312" s="1"/>
      <c r="UR312" s="1"/>
      <c r="US312" s="1"/>
      <c r="UT312" s="1"/>
      <c r="UU312" s="1"/>
      <c r="UV312" s="1"/>
      <c r="UW312" s="1"/>
      <c r="UX312" s="1"/>
      <c r="UY312" s="1"/>
      <c r="UZ312" s="1"/>
      <c r="VA312" s="1"/>
      <c r="VB312" s="1"/>
      <c r="VC312" s="1"/>
      <c r="VD312" s="1"/>
      <c r="VE312" s="1"/>
      <c r="VF312" s="1"/>
      <c r="VG312" s="1"/>
      <c r="VH312" s="1"/>
      <c r="VI312" s="1"/>
      <c r="VJ312" s="1"/>
      <c r="VK312" s="1"/>
      <c r="VL312" s="1"/>
      <c r="VM312" s="1"/>
      <c r="VN312" s="1"/>
      <c r="VO312" s="1"/>
      <c r="VP312" s="1"/>
      <c r="VQ312" s="1"/>
      <c r="VR312" s="1"/>
      <c r="VS312" s="1"/>
      <c r="VT312" s="1"/>
      <c r="VU312" s="1"/>
      <c r="VV312" s="1"/>
      <c r="VW312" s="1"/>
      <c r="VX312" s="1"/>
      <c r="VY312" s="1"/>
      <c r="VZ312" s="1"/>
      <c r="WA312" s="1"/>
      <c r="WB312" s="1"/>
      <c r="WC312" s="1"/>
      <c r="WD312" s="1"/>
      <c r="WE312" s="1"/>
      <c r="WF312" s="1"/>
      <c r="WG312" s="1"/>
      <c r="WH312" s="1"/>
      <c r="WI312" s="1"/>
      <c r="WJ312" s="1"/>
      <c r="WK312" s="1"/>
      <c r="WL312" s="1"/>
      <c r="WM312" s="1"/>
      <c r="WN312" s="1"/>
      <c r="WO312" s="1"/>
      <c r="WP312" s="1"/>
      <c r="WQ312" s="1"/>
      <c r="WR312" s="1"/>
      <c r="WS312" s="1"/>
      <c r="WT312" s="1"/>
      <c r="WU312" s="1"/>
      <c r="WV312" s="1"/>
      <c r="WW312" s="1"/>
      <c r="WX312" s="1"/>
      <c r="WY312" s="1"/>
      <c r="WZ312" s="1"/>
      <c r="XA312" s="1"/>
      <c r="XB312" s="1"/>
      <c r="XC312" s="1"/>
      <c r="XD312" s="1"/>
      <c r="XE312" s="1"/>
      <c r="XF312" s="1"/>
      <c r="XG312" s="1"/>
      <c r="XH312" s="1"/>
      <c r="XI312" s="1"/>
      <c r="XJ312" s="1"/>
      <c r="XK312" s="1"/>
      <c r="XL312" s="1"/>
      <c r="XM312" s="1"/>
      <c r="XN312" s="1"/>
      <c r="XO312" s="1"/>
      <c r="XP312" s="1"/>
      <c r="XQ312" s="1"/>
      <c r="XR312" s="1"/>
      <c r="XS312" s="1"/>
      <c r="XT312" s="1"/>
      <c r="XU312" s="1"/>
      <c r="XV312" s="1"/>
      <c r="XW312" s="1"/>
      <c r="XX312" s="1"/>
      <c r="XY312" s="1"/>
      <c r="XZ312" s="1"/>
      <c r="YA312" s="1"/>
      <c r="YB312" s="1"/>
      <c r="YC312" s="1"/>
      <c r="YD312" s="1"/>
      <c r="YE312" s="1"/>
      <c r="YF312" s="1"/>
      <c r="YG312" s="1"/>
      <c r="YH312" s="1"/>
      <c r="YI312" s="1"/>
      <c r="YJ312" s="1"/>
      <c r="YK312" s="1"/>
      <c r="YL312" s="1"/>
      <c r="YM312" s="1"/>
      <c r="YN312" s="1"/>
      <c r="YO312" s="1"/>
      <c r="YP312" s="1"/>
      <c r="YQ312" s="1"/>
      <c r="YR312" s="1"/>
      <c r="YS312" s="1"/>
      <c r="YT312" s="1"/>
      <c r="YU312" s="1"/>
      <c r="YV312" s="1"/>
      <c r="YW312" s="1"/>
      <c r="YX312" s="1"/>
      <c r="YY312" s="1"/>
      <c r="YZ312" s="1"/>
      <c r="ZA312" s="1"/>
      <c r="ZB312" s="1"/>
      <c r="ZC312" s="1"/>
      <c r="ZD312" s="1"/>
      <c r="ZE312" s="1"/>
      <c r="ZF312" s="1"/>
      <c r="ZG312" s="1"/>
      <c r="ZH312" s="1"/>
      <c r="ZI312" s="1"/>
      <c r="ZJ312" s="1"/>
      <c r="ZK312" s="1"/>
      <c r="ZL312" s="1"/>
      <c r="ZM312" s="1"/>
      <c r="ZN312" s="1"/>
      <c r="ZO312" s="1"/>
      <c r="ZP312" s="1"/>
      <c r="ZQ312" s="1"/>
      <c r="ZR312" s="1"/>
      <c r="ZS312" s="1"/>
      <c r="ZT312" s="1"/>
      <c r="ZU312" s="1"/>
      <c r="ZV312" s="1"/>
      <c r="ZW312" s="1"/>
      <c r="ZX312" s="1"/>
      <c r="ZY312" s="1"/>
      <c r="ZZ312" s="1"/>
      <c r="AAA312" s="1"/>
      <c r="AAB312" s="1"/>
      <c r="AAC312" s="1"/>
      <c r="AAD312" s="1"/>
      <c r="AAE312" s="1"/>
      <c r="AAF312" s="1"/>
      <c r="AAG312" s="1"/>
      <c r="AAH312" s="1"/>
      <c r="AAI312" s="1"/>
      <c r="AAJ312" s="1"/>
      <c r="AAK312" s="1"/>
      <c r="AAL312" s="1"/>
      <c r="AAM312" s="1"/>
      <c r="AAN312" s="1"/>
      <c r="AAO312" s="1"/>
      <c r="AAP312" s="1"/>
      <c r="AAQ312" s="1"/>
      <c r="AAR312" s="1"/>
      <c r="AAS312" s="1"/>
      <c r="AAT312" s="1"/>
      <c r="AAU312" s="1"/>
      <c r="AAV312" s="1"/>
      <c r="AAW312" s="1"/>
      <c r="AAX312" s="1"/>
      <c r="AAY312" s="1"/>
      <c r="AAZ312" s="1"/>
      <c r="ABA312" s="1"/>
      <c r="ABB312" s="1"/>
      <c r="ABC312" s="1"/>
      <c r="ABD312" s="1"/>
      <c r="ABE312" s="1"/>
      <c r="ABF312" s="1"/>
      <c r="ABG312" s="1"/>
      <c r="ABH312" s="1"/>
      <c r="ABI312" s="1"/>
      <c r="ABJ312" s="1"/>
      <c r="ABK312" s="1"/>
      <c r="ABL312" s="1"/>
      <c r="ABM312" s="1"/>
      <c r="ABN312" s="1"/>
      <c r="ABO312" s="1"/>
      <c r="ABP312" s="1"/>
      <c r="ABQ312" s="1"/>
      <c r="ABR312" s="1"/>
      <c r="ABS312" s="1"/>
      <c r="ABT312" s="1"/>
      <c r="ABU312" s="1"/>
      <c r="ABV312" s="1"/>
      <c r="ABW312" s="1"/>
      <c r="ABX312" s="1"/>
      <c r="ABY312" s="1"/>
      <c r="ABZ312" s="1"/>
      <c r="ACA312" s="1"/>
      <c r="ACB312" s="1"/>
      <c r="ACC312" s="1"/>
      <c r="ACD312" s="1"/>
      <c r="ACE312" s="1"/>
      <c r="ACF312" s="1"/>
      <c r="ACG312" s="1"/>
      <c r="ACH312" s="1"/>
      <c r="ACI312" s="1"/>
      <c r="ACJ312" s="1"/>
      <c r="ACK312" s="1"/>
      <c r="ACL312" s="1"/>
      <c r="ACM312" s="1"/>
      <c r="ACN312" s="1"/>
      <c r="ACO312" s="1"/>
      <c r="ACP312" s="1"/>
      <c r="ACQ312" s="1"/>
      <c r="ACR312" s="1"/>
      <c r="ACS312" s="1"/>
      <c r="ACT312" s="1"/>
      <c r="ACU312" s="1"/>
      <c r="ACV312" s="1"/>
      <c r="ACW312" s="1"/>
      <c r="ACX312" s="1"/>
      <c r="ACY312" s="1"/>
      <c r="ACZ312" s="1"/>
      <c r="ADA312" s="1"/>
      <c r="ADB312" s="1"/>
      <c r="ADC312" s="1"/>
      <c r="ADD312" s="1"/>
      <c r="ADE312" s="1"/>
      <c r="ADF312" s="1"/>
      <c r="ADG312" s="1"/>
      <c r="ADH312" s="1"/>
      <c r="ADI312" s="1"/>
      <c r="ADJ312" s="1"/>
      <c r="ADK312" s="1"/>
      <c r="ADL312" s="1"/>
      <c r="ADM312" s="1"/>
      <c r="ADN312" s="1"/>
      <c r="ADO312" s="1"/>
      <c r="ADP312" s="1"/>
      <c r="ADQ312" s="1"/>
      <c r="ADR312" s="1"/>
      <c r="ADS312" s="1"/>
      <c r="ADT312" s="1"/>
      <c r="ADU312" s="1"/>
      <c r="ADV312" s="1"/>
      <c r="ADW312" s="1"/>
      <c r="ADX312" s="1"/>
      <c r="ADY312" s="1"/>
      <c r="ADZ312" s="1"/>
      <c r="AEA312" s="1"/>
      <c r="AEB312" s="1"/>
      <c r="AEC312" s="1"/>
      <c r="AED312" s="1"/>
      <c r="AEE312" s="1"/>
      <c r="AEF312" s="1"/>
      <c r="AEG312" s="1"/>
      <c r="AEH312" s="1"/>
      <c r="AEI312" s="1"/>
      <c r="AEJ312" s="1"/>
      <c r="AEK312" s="1"/>
      <c r="AEL312" s="1"/>
      <c r="AEM312" s="1"/>
      <c r="AEN312" s="1"/>
      <c r="AEO312" s="1"/>
      <c r="AEP312" s="1"/>
      <c r="AEQ312" s="1"/>
      <c r="AER312" s="1"/>
      <c r="AES312" s="1"/>
      <c r="AET312" s="1"/>
      <c r="AEU312" s="1"/>
      <c r="AEV312" s="1"/>
      <c r="AEW312" s="1"/>
      <c r="AEX312" s="1"/>
      <c r="AEY312" s="1"/>
      <c r="AEZ312" s="1"/>
      <c r="AFA312" s="1"/>
      <c r="AFB312" s="1"/>
      <c r="AFC312" s="1"/>
      <c r="AFD312" s="1"/>
      <c r="AFE312" s="1"/>
      <c r="AFF312" s="1"/>
      <c r="AFG312" s="1"/>
      <c r="AFH312" s="1"/>
      <c r="AFI312" s="1"/>
      <c r="AFJ312" s="1"/>
      <c r="AFK312" s="1"/>
      <c r="AFL312" s="1"/>
      <c r="AFM312" s="1"/>
      <c r="AFN312" s="1"/>
      <c r="AFO312" s="1"/>
      <c r="AFP312" s="1"/>
      <c r="AFQ312" s="1"/>
      <c r="AFR312" s="1"/>
      <c r="AFS312" s="1"/>
      <c r="AFT312" s="1"/>
      <c r="AFU312" s="1"/>
      <c r="AFV312" s="1"/>
      <c r="AFW312" s="1"/>
      <c r="AFX312" s="1"/>
      <c r="AFY312" s="1"/>
      <c r="AFZ312" s="1"/>
      <c r="AGA312" s="1"/>
      <c r="AGB312" s="1"/>
      <c r="AGC312" s="1"/>
      <c r="AGD312" s="1"/>
      <c r="AGE312" s="1"/>
      <c r="AGF312" s="1"/>
      <c r="AGG312" s="1"/>
      <c r="AGH312" s="1"/>
      <c r="AGI312" s="1"/>
      <c r="AGJ312" s="1"/>
      <c r="AGK312" s="1"/>
      <c r="AGL312" s="1"/>
      <c r="AGM312" s="1"/>
      <c r="AGN312" s="1"/>
      <c r="AGO312" s="1"/>
      <c r="AGP312" s="1"/>
      <c r="AGQ312" s="1"/>
      <c r="AGR312" s="1"/>
      <c r="AGS312" s="1"/>
      <c r="AGT312" s="1"/>
      <c r="AGU312" s="1"/>
      <c r="AGV312" s="1"/>
      <c r="AGW312" s="1"/>
      <c r="AGX312" s="1"/>
      <c r="AGY312" s="1"/>
      <c r="AGZ312" s="1"/>
      <c r="AHA312" s="1"/>
      <c r="AHB312" s="1"/>
      <c r="AHC312" s="1"/>
      <c r="AHD312" s="1"/>
      <c r="AHE312" s="1"/>
      <c r="AHF312" s="1"/>
      <c r="AHG312" s="1"/>
      <c r="AHH312" s="1"/>
      <c r="AHI312" s="1"/>
      <c r="AHJ312" s="1"/>
      <c r="AHK312" s="1"/>
      <c r="AHL312" s="1"/>
      <c r="AHM312" s="1"/>
      <c r="AHN312" s="1"/>
      <c r="AHO312" s="1"/>
      <c r="AHP312" s="1"/>
      <c r="AHQ312" s="1"/>
      <c r="AHR312" s="1"/>
      <c r="AHS312" s="1"/>
      <c r="AHT312" s="1"/>
      <c r="AHU312" s="1"/>
      <c r="AHV312" s="1"/>
      <c r="AHW312" s="1"/>
      <c r="AHX312" s="1"/>
      <c r="AHY312" s="1"/>
      <c r="AHZ312" s="1"/>
      <c r="AIA312" s="1"/>
      <c r="AIB312" s="1"/>
      <c r="AIC312" s="1"/>
      <c r="AID312" s="1"/>
      <c r="AIE312" s="1"/>
      <c r="AIF312" s="1"/>
      <c r="AIG312" s="1"/>
      <c r="AIH312" s="1"/>
      <c r="AII312" s="1"/>
      <c r="AIJ312" s="1"/>
      <c r="AIK312" s="1"/>
      <c r="AIL312" s="1"/>
      <c r="AIM312" s="1"/>
      <c r="AIN312" s="1"/>
      <c r="AIO312" s="1"/>
      <c r="AIP312" s="1"/>
      <c r="AIQ312" s="1"/>
      <c r="AIR312" s="1"/>
      <c r="AIS312" s="1"/>
      <c r="AIT312" s="1"/>
      <c r="AIU312" s="1"/>
      <c r="AIV312" s="1"/>
      <c r="AIW312" s="1"/>
      <c r="AIX312" s="1"/>
      <c r="AIY312" s="1"/>
      <c r="AIZ312" s="1"/>
      <c r="AJA312" s="1"/>
      <c r="AJB312" s="1"/>
      <c r="AJC312" s="1"/>
      <c r="AJD312" s="1"/>
      <c r="AJE312" s="1"/>
      <c r="AJF312" s="1"/>
      <c r="AJG312" s="1"/>
      <c r="AJH312" s="1"/>
      <c r="AJI312" s="1"/>
      <c r="AJJ312" s="1"/>
      <c r="AJK312" s="1"/>
      <c r="AJL312" s="1"/>
      <c r="AJM312" s="1"/>
      <c r="AJN312" s="1"/>
      <c r="AJO312" s="1"/>
      <c r="AJP312" s="1"/>
      <c r="AJQ312" s="1"/>
      <c r="AJR312" s="1"/>
      <c r="AJS312" s="1"/>
      <c r="AJT312" s="1"/>
      <c r="AJU312" s="1"/>
      <c r="AJV312" s="1"/>
      <c r="AJW312" s="1"/>
      <c r="AJX312" s="1"/>
      <c r="AJY312" s="1"/>
      <c r="AJZ312" s="1"/>
      <c r="AKA312" s="1"/>
      <c r="AKB312" s="1"/>
      <c r="AKC312" s="1"/>
      <c r="AKD312" s="1"/>
      <c r="AKE312" s="1"/>
      <c r="AKF312" s="1"/>
      <c r="AKG312" s="1"/>
      <c r="AKH312" s="1"/>
      <c r="AKI312" s="1"/>
      <c r="AKJ312" s="1"/>
      <c r="AKK312" s="1"/>
      <c r="AKL312" s="1"/>
      <c r="AKM312" s="1"/>
      <c r="AKN312" s="1"/>
      <c r="AKO312" s="1"/>
      <c r="AKP312" s="1"/>
      <c r="AKQ312" s="1"/>
      <c r="AKR312" s="1"/>
      <c r="AKS312" s="1"/>
      <c r="AKT312" s="1"/>
      <c r="AKU312" s="1"/>
      <c r="AKV312" s="1"/>
      <c r="AKW312" s="1"/>
      <c r="AKX312" s="1"/>
      <c r="AKY312" s="1"/>
      <c r="AKZ312" s="1"/>
      <c r="ALA312" s="1"/>
      <c r="ALB312" s="1"/>
      <c r="ALC312" s="1"/>
      <c r="ALD312" s="1"/>
      <c r="ALE312" s="1"/>
      <c r="ALF312" s="1"/>
      <c r="ALG312" s="1"/>
      <c r="ALH312" s="1"/>
      <c r="ALI312" s="1"/>
      <c r="ALJ312" s="1"/>
      <c r="ALK312" s="1"/>
      <c r="ALL312" s="1"/>
      <c r="ALM312" s="1"/>
      <c r="ALN312" s="1"/>
      <c r="ALO312" s="1"/>
      <c r="ALP312" s="1"/>
      <c r="ALQ312" s="1"/>
      <c r="ALR312" s="1"/>
      <c r="ALS312" s="1"/>
      <c r="ALT312" s="1"/>
      <c r="ALU312" s="1"/>
      <c r="ALV312" s="1"/>
      <c r="ALW312" s="1"/>
      <c r="ALX312" s="1"/>
      <c r="ALY312" s="1"/>
      <c r="ALZ312" s="1"/>
      <c r="AMA312" s="1"/>
      <c r="AMB312" s="1"/>
      <c r="AMC312" s="1"/>
      <c r="AMD312" s="1"/>
      <c r="AME312" s="1"/>
      <c r="AMF312" s="1"/>
      <c r="AMG312" s="1"/>
      <c r="AMH312" s="1"/>
      <c r="AMI312" s="1"/>
      <c r="AMJ312" s="1"/>
      <c r="AMK312" s="1"/>
      <c r="AML312" s="1"/>
      <c r="AMM312" s="1"/>
      <c r="AMN312" s="1"/>
      <c r="AMO312" s="1"/>
    </row>
    <row r="313" spans="1:1029" x14ac:dyDescent="0.2">
      <c r="A313" s="3" t="str">
        <f>CONCATENATE(B313,"_",C313)</f>
        <v>opsd_bovin_6FKA</v>
      </c>
      <c r="B313" s="3" t="s">
        <v>913</v>
      </c>
      <c r="C313" s="3" t="s">
        <v>1479</v>
      </c>
      <c r="D313" s="3" t="str">
        <f>IFERROR(MID(VLOOKUP($B313,Seqs!$A:$B,2,0),E313,1),"")</f>
        <v>E</v>
      </c>
      <c r="E313" s="3">
        <v>33</v>
      </c>
      <c r="F313" s="3" t="str">
        <f>IFERROR(MID(VLOOKUP($B313,Seqs!$A:$B,2,0),G313,1),"")</f>
        <v>Q</v>
      </c>
      <c r="G313" s="3">
        <v>64</v>
      </c>
      <c r="H313" s="3" t="str">
        <f>IFERROR(MID(VLOOKUP($B313,Seqs!$A:$B,2,0),I313,1),"")</f>
        <v>K</v>
      </c>
      <c r="I313" s="23">
        <v>66</v>
      </c>
      <c r="J313" s="3" t="str">
        <f>IFERROR(MID(VLOOKUP($B313,Seqs!$A:$B,2,0),K313,1),"")</f>
        <v>R</v>
      </c>
      <c r="K313" s="23">
        <v>69</v>
      </c>
      <c r="L313" s="3" t="str">
        <f>IFERROR(MID(VLOOKUP($B313,Seqs!$A:$B,2,0),M313,1),"")</f>
        <v>N</v>
      </c>
      <c r="M313" s="3">
        <v>73</v>
      </c>
      <c r="N313" s="3" t="str">
        <f>IFERROR(MID(VLOOKUP($B313,Seqs!$A:$B,2,0),O313,1),"")</f>
        <v>G</v>
      </c>
      <c r="O313" s="3">
        <v>101</v>
      </c>
      <c r="P313" s="3" t="str">
        <f>IFERROR(MID(VLOOKUP($B313,Seqs!$A:$B,2,0),Q313,1),"")</f>
        <v>Y</v>
      </c>
      <c r="Q313" s="3">
        <v>102</v>
      </c>
      <c r="R313" s="3" t="str">
        <f>IFERROR(MID(VLOOKUP($B313,Seqs!$A:$B,2,0),S313,1),"")</f>
        <v>F</v>
      </c>
      <c r="S313" s="3">
        <v>105</v>
      </c>
      <c r="T313" s="3" t="str">
        <f>IFERROR(MID(VLOOKUP($B313,Seqs!$A:$B,2,0),U313,1),"")</f>
        <v>G</v>
      </c>
      <c r="U313" s="3">
        <v>106</v>
      </c>
      <c r="V313" s="3" t="str">
        <f>IFERROR(MID(VLOOKUP($B313,Seqs!$A:$B,2,0),W313,1),"")</f>
        <v>K</v>
      </c>
      <c r="W313" s="3">
        <v>141</v>
      </c>
      <c r="X313" s="3" t="str">
        <f>IFERROR(MID(VLOOKUP($B313,Seqs!$A:$B,2,0),Y313,1),"")</f>
        <v/>
      </c>
      <c r="Y313" s="3" t="s">
        <v>23</v>
      </c>
      <c r="Z313" s="3" t="str">
        <f>IFERROR(MID(VLOOKUP($B313,Seqs!$A:$B,2,0),AA313,1),"")</f>
        <v/>
      </c>
      <c r="AA313" s="3" t="s">
        <v>23</v>
      </c>
      <c r="AB313" s="3" t="str">
        <f>IFERROR(MID(VLOOKUP($B313,Seqs!$A:$B,2,0),AC313,1),"")</f>
        <v>G</v>
      </c>
      <c r="AC313" s="3">
        <v>149</v>
      </c>
      <c r="AD313" s="3" t="str">
        <f>IFERROR(MID(VLOOKUP($B313,Seqs!$A:$B,2,0),AE313,1),"")</f>
        <v>V</v>
      </c>
      <c r="AE313" s="3">
        <v>173</v>
      </c>
      <c r="AF313" s="3" t="str">
        <f>IFERROR(MID(VLOOKUP($B313,Seqs!$A:$B,2,0),AG313,1),"")</f>
        <v>C</v>
      </c>
      <c r="AG313" s="3">
        <v>187</v>
      </c>
      <c r="AH313" s="3" t="str">
        <f>IFERROR(MID(VLOOKUP($B313,Seqs!$A:$B,2,0),AI313,1),"")</f>
        <v>I</v>
      </c>
      <c r="AI313" s="3">
        <v>189</v>
      </c>
      <c r="AJ313" s="3" t="str">
        <f>IFERROR(MID(VLOOKUP($B313,Seqs!$A:$B,2,0),AK313,1),"")</f>
        <v>N</v>
      </c>
      <c r="AK313" s="3">
        <v>199</v>
      </c>
      <c r="AL313" s="3" t="str">
        <f>IFERROR(MID(VLOOKUP($B313,Seqs!$A:$B,2,0),AM313,1),"")</f>
        <v>Q</v>
      </c>
      <c r="AM313" s="3">
        <v>236</v>
      </c>
      <c r="AN313" s="3" t="str">
        <f>IFERROR(MID(VLOOKUP($B313,Seqs!$A:$B,2,0),AO313,1),"")</f>
        <v>S</v>
      </c>
      <c r="AO313" s="3">
        <v>240</v>
      </c>
      <c r="AP313" s="3" t="str">
        <f>IFERROR(MID(VLOOKUP($B313,Seqs!$A:$B,2,0),AQ313,1),"")</f>
        <v>H</v>
      </c>
      <c r="AQ313" s="3">
        <v>278</v>
      </c>
      <c r="AR313" s="3" t="str">
        <f>IFERROR(MID(VLOOKUP($B313,Seqs!$A:$B,2,0),AS313,1),"")</f>
        <v>G</v>
      </c>
      <c r="AS313" s="3">
        <v>284</v>
      </c>
      <c r="AT313" s="3" t="str">
        <f>IFERROR(MID(VLOOKUP($B313,Seqs!$A:$B,2,0),AU313,1),"")</f>
        <v>M</v>
      </c>
      <c r="AU313" s="3">
        <v>309</v>
      </c>
      <c r="AV313" s="3" t="str">
        <f>IFERROR(MID(VLOOKUP($B313,Seqs!$A:$B,2,0),AW313,1),"")</f>
        <v>N</v>
      </c>
      <c r="AW313" s="3">
        <v>310</v>
      </c>
      <c r="AX313" s="3" t="str">
        <f>IFERROR(MID(VLOOKUP($B313,Seqs!$A:$B,2,0),AY313,1),"")</f>
        <v>C</v>
      </c>
      <c r="AY313" s="3">
        <v>322</v>
      </c>
      <c r="AZ313" s="77" t="str">
        <f>VLOOKUP(B313,Classification!A:D,2,0)</f>
        <v>A</v>
      </c>
      <c r="BA313" s="94" t="str">
        <f>VLOOKUP(B313,Classification!A:D,4,0)</f>
        <v>Opsins</v>
      </c>
      <c r="BB313" s="27" t="b">
        <f t="shared" si="1115"/>
        <v>1</v>
      </c>
      <c r="BC313" s="23">
        <f t="shared" si="1116"/>
        <v>250</v>
      </c>
      <c r="BD313" s="2" t="s">
        <v>23</v>
      </c>
      <c r="BE313" s="3" t="s">
        <v>1285</v>
      </c>
      <c r="BF313" s="118">
        <v>2.7</v>
      </c>
      <c r="BG313" s="49" t="s">
        <v>1</v>
      </c>
      <c r="BH313" s="49" t="s">
        <v>1</v>
      </c>
      <c r="BI313" s="1"/>
      <c r="BJ313" s="70" t="s">
        <v>1281</v>
      </c>
      <c r="BK313" s="57" t="s">
        <v>1281</v>
      </c>
      <c r="BL313" s="57" t="s">
        <v>1281</v>
      </c>
      <c r="BM313" s="57" t="s">
        <v>1281</v>
      </c>
      <c r="BN313" s="57" t="s">
        <v>1281</v>
      </c>
      <c r="BO313" s="57" t="s">
        <v>1281</v>
      </c>
      <c r="BP313" s="57" t="s">
        <v>1281</v>
      </c>
      <c r="BQ313" s="57" t="s">
        <v>1281</v>
      </c>
      <c r="BR313" s="57" t="s">
        <v>1281</v>
      </c>
      <c r="BS313" s="57" t="s">
        <v>1281</v>
      </c>
      <c r="BT313" s="57" t="s">
        <v>1281</v>
      </c>
      <c r="BU313" s="57" t="s">
        <v>1281</v>
      </c>
      <c r="BV313" s="70">
        <f>E313</f>
        <v>33</v>
      </c>
      <c r="BW313" s="71">
        <f>I313</f>
        <v>66</v>
      </c>
      <c r="BX313" s="72">
        <f>M313</f>
        <v>73</v>
      </c>
      <c r="BY313" s="71">
        <f>Q313</f>
        <v>102</v>
      </c>
      <c r="BZ313" s="72">
        <f>U313</f>
        <v>106</v>
      </c>
      <c r="CA313" s="71" t="str">
        <f>Y313</f>
        <v>-</v>
      </c>
      <c r="CB313" s="72">
        <f>AC313</f>
        <v>149</v>
      </c>
      <c r="CC313" s="71">
        <f>AG313</f>
        <v>187</v>
      </c>
      <c r="CD313" s="72">
        <f>AK313</f>
        <v>199</v>
      </c>
      <c r="CE313" s="71">
        <f>AO313</f>
        <v>240</v>
      </c>
      <c r="CF313" s="72">
        <f>AS313</f>
        <v>284</v>
      </c>
      <c r="CG313" s="71">
        <f>AW313</f>
        <v>310</v>
      </c>
      <c r="CH313" s="70">
        <f>G313</f>
        <v>64</v>
      </c>
      <c r="CI313" s="71">
        <f>K313</f>
        <v>69</v>
      </c>
      <c r="CJ313" s="72">
        <f>O313</f>
        <v>101</v>
      </c>
      <c r="CK313" s="72">
        <f>S313</f>
        <v>105</v>
      </c>
      <c r="CL313" s="72">
        <f>W313</f>
        <v>141</v>
      </c>
      <c r="CM313" s="72" t="str">
        <f>AA313</f>
        <v>-</v>
      </c>
      <c r="CN313" s="72">
        <f>AE313</f>
        <v>173</v>
      </c>
      <c r="CO313" s="72">
        <f>AI313</f>
        <v>189</v>
      </c>
      <c r="CP313" s="72">
        <f>AM313</f>
        <v>236</v>
      </c>
      <c r="CQ313" s="72">
        <f>AQ313</f>
        <v>278</v>
      </c>
      <c r="CR313" s="72">
        <f>AU313</f>
        <v>309</v>
      </c>
      <c r="CS313" s="72">
        <f>AY313</f>
        <v>322</v>
      </c>
      <c r="CT313" s="23">
        <f>M313-K313</f>
        <v>4</v>
      </c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  <c r="QT313" s="1"/>
      <c r="QU313" s="1"/>
      <c r="QV313" s="1"/>
      <c r="QW313" s="1"/>
      <c r="QX313" s="1"/>
      <c r="QY313" s="1"/>
      <c r="QZ313" s="1"/>
      <c r="RA313" s="1"/>
      <c r="RB313" s="1"/>
      <c r="RC313" s="1"/>
      <c r="RD313" s="1"/>
      <c r="RE313" s="1"/>
      <c r="RF313" s="1"/>
      <c r="RG313" s="1"/>
      <c r="RH313" s="1"/>
      <c r="RI313" s="1"/>
      <c r="RJ313" s="1"/>
      <c r="RK313" s="1"/>
      <c r="RL313" s="1"/>
      <c r="RM313" s="1"/>
      <c r="RN313" s="1"/>
      <c r="RO313" s="1"/>
      <c r="RP313" s="1"/>
      <c r="RQ313" s="1"/>
      <c r="RR313" s="1"/>
      <c r="RS313" s="1"/>
      <c r="RT313" s="1"/>
      <c r="RU313" s="1"/>
      <c r="RV313" s="1"/>
      <c r="RW313" s="1"/>
      <c r="RX313" s="1"/>
      <c r="RY313" s="1"/>
      <c r="RZ313" s="1"/>
      <c r="SA313" s="1"/>
      <c r="SB313" s="1"/>
      <c r="SC313" s="1"/>
      <c r="SD313" s="1"/>
      <c r="SE313" s="1"/>
      <c r="SF313" s="1"/>
      <c r="SG313" s="1"/>
      <c r="SH313" s="1"/>
      <c r="SI313" s="1"/>
      <c r="SJ313" s="1"/>
      <c r="SK313" s="1"/>
      <c r="SL313" s="1"/>
      <c r="SM313" s="1"/>
      <c r="SN313" s="1"/>
      <c r="SO313" s="1"/>
      <c r="SP313" s="1"/>
      <c r="SQ313" s="1"/>
      <c r="SR313" s="1"/>
      <c r="SS313" s="1"/>
      <c r="ST313" s="1"/>
      <c r="SU313" s="1"/>
      <c r="SV313" s="1"/>
      <c r="SW313" s="1"/>
      <c r="SX313" s="1"/>
      <c r="SY313" s="1"/>
      <c r="SZ313" s="1"/>
      <c r="TA313" s="1"/>
      <c r="TB313" s="1"/>
      <c r="TC313" s="1"/>
      <c r="TD313" s="1"/>
      <c r="TE313" s="1"/>
      <c r="TF313" s="1"/>
      <c r="TG313" s="1"/>
      <c r="TH313" s="1"/>
      <c r="TI313" s="1"/>
      <c r="TJ313" s="1"/>
      <c r="TK313" s="1"/>
      <c r="TL313" s="1"/>
      <c r="TM313" s="1"/>
      <c r="TN313" s="1"/>
      <c r="TO313" s="1"/>
      <c r="TP313" s="1"/>
      <c r="TQ313" s="1"/>
      <c r="TR313" s="1"/>
      <c r="TS313" s="1"/>
      <c r="TT313" s="1"/>
      <c r="TU313" s="1"/>
      <c r="TV313" s="1"/>
      <c r="TW313" s="1"/>
      <c r="TX313" s="1"/>
      <c r="TY313" s="1"/>
      <c r="TZ313" s="1"/>
      <c r="UA313" s="1"/>
      <c r="UB313" s="1"/>
      <c r="UC313" s="1"/>
      <c r="UD313" s="1"/>
      <c r="UE313" s="1"/>
      <c r="UF313" s="1"/>
      <c r="UG313" s="1"/>
      <c r="UH313" s="1"/>
      <c r="UI313" s="1"/>
      <c r="UJ313" s="1"/>
      <c r="UK313" s="1"/>
      <c r="UL313" s="1"/>
      <c r="UM313" s="1"/>
      <c r="UN313" s="1"/>
      <c r="UO313" s="1"/>
      <c r="UP313" s="1"/>
      <c r="UQ313" s="1"/>
      <c r="UR313" s="1"/>
      <c r="US313" s="1"/>
      <c r="UT313" s="1"/>
      <c r="UU313" s="1"/>
      <c r="UV313" s="1"/>
      <c r="UW313" s="1"/>
      <c r="UX313" s="1"/>
      <c r="UY313" s="1"/>
      <c r="UZ313" s="1"/>
      <c r="VA313" s="1"/>
      <c r="VB313" s="1"/>
      <c r="VC313" s="1"/>
      <c r="VD313" s="1"/>
      <c r="VE313" s="1"/>
      <c r="VF313" s="1"/>
      <c r="VG313" s="1"/>
      <c r="VH313" s="1"/>
      <c r="VI313" s="1"/>
      <c r="VJ313" s="1"/>
      <c r="VK313" s="1"/>
      <c r="VL313" s="1"/>
      <c r="VM313" s="1"/>
      <c r="VN313" s="1"/>
      <c r="VO313" s="1"/>
      <c r="VP313" s="1"/>
      <c r="VQ313" s="1"/>
      <c r="VR313" s="1"/>
      <c r="VS313" s="1"/>
      <c r="VT313" s="1"/>
      <c r="VU313" s="1"/>
      <c r="VV313" s="1"/>
      <c r="VW313" s="1"/>
      <c r="VX313" s="1"/>
      <c r="VY313" s="1"/>
      <c r="VZ313" s="1"/>
      <c r="WA313" s="1"/>
      <c r="WB313" s="1"/>
      <c r="WC313" s="1"/>
      <c r="WD313" s="1"/>
      <c r="WE313" s="1"/>
      <c r="WF313" s="1"/>
      <c r="WG313" s="1"/>
      <c r="WH313" s="1"/>
      <c r="WI313" s="1"/>
      <c r="WJ313" s="1"/>
      <c r="WK313" s="1"/>
      <c r="WL313" s="1"/>
      <c r="WM313" s="1"/>
      <c r="WN313" s="1"/>
      <c r="WO313" s="1"/>
      <c r="WP313" s="1"/>
      <c r="WQ313" s="1"/>
      <c r="WR313" s="1"/>
      <c r="WS313" s="1"/>
      <c r="WT313" s="1"/>
      <c r="WU313" s="1"/>
      <c r="WV313" s="1"/>
      <c r="WW313" s="1"/>
      <c r="WX313" s="1"/>
      <c r="WY313" s="1"/>
      <c r="WZ313" s="1"/>
      <c r="XA313" s="1"/>
      <c r="XB313" s="1"/>
      <c r="XC313" s="1"/>
      <c r="XD313" s="1"/>
      <c r="XE313" s="1"/>
      <c r="XF313" s="1"/>
      <c r="XG313" s="1"/>
      <c r="XH313" s="1"/>
      <c r="XI313" s="1"/>
      <c r="XJ313" s="1"/>
      <c r="XK313" s="1"/>
      <c r="XL313" s="1"/>
      <c r="XM313" s="1"/>
      <c r="XN313" s="1"/>
      <c r="XO313" s="1"/>
      <c r="XP313" s="1"/>
      <c r="XQ313" s="1"/>
      <c r="XR313" s="1"/>
      <c r="XS313" s="1"/>
      <c r="XT313" s="1"/>
      <c r="XU313" s="1"/>
      <c r="XV313" s="1"/>
      <c r="XW313" s="1"/>
      <c r="XX313" s="1"/>
      <c r="XY313" s="1"/>
      <c r="XZ313" s="1"/>
      <c r="YA313" s="1"/>
      <c r="YB313" s="1"/>
      <c r="YC313" s="1"/>
      <c r="YD313" s="1"/>
      <c r="YE313" s="1"/>
      <c r="YF313" s="1"/>
      <c r="YG313" s="1"/>
      <c r="YH313" s="1"/>
      <c r="YI313" s="1"/>
      <c r="YJ313" s="1"/>
      <c r="YK313" s="1"/>
      <c r="YL313" s="1"/>
      <c r="YM313" s="1"/>
      <c r="YN313" s="1"/>
      <c r="YO313" s="1"/>
      <c r="YP313" s="1"/>
      <c r="YQ313" s="1"/>
      <c r="YR313" s="1"/>
      <c r="YS313" s="1"/>
      <c r="YT313" s="1"/>
      <c r="YU313" s="1"/>
      <c r="YV313" s="1"/>
      <c r="YW313" s="1"/>
      <c r="YX313" s="1"/>
      <c r="YY313" s="1"/>
      <c r="YZ313" s="1"/>
      <c r="ZA313" s="1"/>
      <c r="ZB313" s="1"/>
      <c r="ZC313" s="1"/>
      <c r="ZD313" s="1"/>
      <c r="ZE313" s="1"/>
      <c r="ZF313" s="1"/>
      <c r="ZG313" s="1"/>
      <c r="ZH313" s="1"/>
      <c r="ZI313" s="1"/>
      <c r="ZJ313" s="1"/>
      <c r="ZK313" s="1"/>
      <c r="ZL313" s="1"/>
      <c r="ZM313" s="1"/>
      <c r="ZN313" s="1"/>
      <c r="ZO313" s="1"/>
      <c r="ZP313" s="1"/>
      <c r="ZQ313" s="1"/>
      <c r="ZR313" s="1"/>
      <c r="ZS313" s="1"/>
      <c r="ZT313" s="1"/>
      <c r="ZU313" s="1"/>
      <c r="ZV313" s="1"/>
      <c r="ZW313" s="1"/>
      <c r="ZX313" s="1"/>
      <c r="ZY313" s="1"/>
      <c r="ZZ313" s="1"/>
      <c r="AAA313" s="1"/>
      <c r="AAB313" s="1"/>
      <c r="AAC313" s="1"/>
      <c r="AAD313" s="1"/>
      <c r="AAE313" s="1"/>
      <c r="AAF313" s="1"/>
      <c r="AAG313" s="1"/>
      <c r="AAH313" s="1"/>
      <c r="AAI313" s="1"/>
      <c r="AAJ313" s="1"/>
      <c r="AAK313" s="1"/>
      <c r="AAL313" s="1"/>
      <c r="AAM313" s="1"/>
      <c r="AAN313" s="1"/>
      <c r="AAO313" s="1"/>
      <c r="AAP313" s="1"/>
      <c r="AAQ313" s="1"/>
      <c r="AAR313" s="1"/>
      <c r="AAS313" s="1"/>
      <c r="AAT313" s="1"/>
      <c r="AAU313" s="1"/>
      <c r="AAV313" s="1"/>
      <c r="AAW313" s="1"/>
      <c r="AAX313" s="1"/>
      <c r="AAY313" s="1"/>
      <c r="AAZ313" s="1"/>
      <c r="ABA313" s="1"/>
      <c r="ABB313" s="1"/>
      <c r="ABC313" s="1"/>
      <c r="ABD313" s="1"/>
      <c r="ABE313" s="1"/>
      <c r="ABF313" s="1"/>
      <c r="ABG313" s="1"/>
      <c r="ABH313" s="1"/>
      <c r="ABI313" s="1"/>
      <c r="ABJ313" s="1"/>
      <c r="ABK313" s="1"/>
      <c r="ABL313" s="1"/>
      <c r="ABM313" s="1"/>
      <c r="ABN313" s="1"/>
      <c r="ABO313" s="1"/>
      <c r="ABP313" s="1"/>
      <c r="ABQ313" s="1"/>
      <c r="ABR313" s="1"/>
      <c r="ABS313" s="1"/>
      <c r="ABT313" s="1"/>
      <c r="ABU313" s="1"/>
      <c r="ABV313" s="1"/>
      <c r="ABW313" s="1"/>
      <c r="ABX313" s="1"/>
      <c r="ABY313" s="1"/>
      <c r="ABZ313" s="1"/>
      <c r="ACA313" s="1"/>
      <c r="ACB313" s="1"/>
      <c r="ACC313" s="1"/>
      <c r="ACD313" s="1"/>
      <c r="ACE313" s="1"/>
      <c r="ACF313" s="1"/>
      <c r="ACG313" s="1"/>
      <c r="ACH313" s="1"/>
      <c r="ACI313" s="1"/>
      <c r="ACJ313" s="1"/>
      <c r="ACK313" s="1"/>
      <c r="ACL313" s="1"/>
      <c r="ACM313" s="1"/>
      <c r="ACN313" s="1"/>
      <c r="ACO313" s="1"/>
      <c r="ACP313" s="1"/>
      <c r="ACQ313" s="1"/>
      <c r="ACR313" s="1"/>
      <c r="ACS313" s="1"/>
      <c r="ACT313" s="1"/>
      <c r="ACU313" s="1"/>
      <c r="ACV313" s="1"/>
      <c r="ACW313" s="1"/>
      <c r="ACX313" s="1"/>
      <c r="ACY313" s="1"/>
      <c r="ACZ313" s="1"/>
      <c r="ADA313" s="1"/>
      <c r="ADB313" s="1"/>
      <c r="ADC313" s="1"/>
      <c r="ADD313" s="1"/>
      <c r="ADE313" s="1"/>
      <c r="ADF313" s="1"/>
      <c r="ADG313" s="1"/>
      <c r="ADH313" s="1"/>
      <c r="ADI313" s="1"/>
      <c r="ADJ313" s="1"/>
      <c r="ADK313" s="1"/>
      <c r="ADL313" s="1"/>
      <c r="ADM313" s="1"/>
      <c r="ADN313" s="1"/>
      <c r="ADO313" s="1"/>
      <c r="ADP313" s="1"/>
      <c r="ADQ313" s="1"/>
      <c r="ADR313" s="1"/>
      <c r="ADS313" s="1"/>
      <c r="ADT313" s="1"/>
      <c r="ADU313" s="1"/>
      <c r="ADV313" s="1"/>
      <c r="ADW313" s="1"/>
      <c r="ADX313" s="1"/>
      <c r="ADY313" s="1"/>
      <c r="ADZ313" s="1"/>
      <c r="AEA313" s="1"/>
      <c r="AEB313" s="1"/>
      <c r="AEC313" s="1"/>
      <c r="AED313" s="1"/>
      <c r="AEE313" s="1"/>
      <c r="AEF313" s="1"/>
      <c r="AEG313" s="1"/>
      <c r="AEH313" s="1"/>
      <c r="AEI313" s="1"/>
      <c r="AEJ313" s="1"/>
      <c r="AEK313" s="1"/>
      <c r="AEL313" s="1"/>
      <c r="AEM313" s="1"/>
      <c r="AEN313" s="1"/>
      <c r="AEO313" s="1"/>
      <c r="AEP313" s="1"/>
      <c r="AEQ313" s="1"/>
      <c r="AER313" s="1"/>
      <c r="AES313" s="1"/>
      <c r="AET313" s="1"/>
      <c r="AEU313" s="1"/>
      <c r="AEV313" s="1"/>
      <c r="AEW313" s="1"/>
      <c r="AEX313" s="1"/>
      <c r="AEY313" s="1"/>
      <c r="AEZ313" s="1"/>
      <c r="AFA313" s="1"/>
      <c r="AFB313" s="1"/>
      <c r="AFC313" s="1"/>
      <c r="AFD313" s="1"/>
      <c r="AFE313" s="1"/>
      <c r="AFF313" s="1"/>
      <c r="AFG313" s="1"/>
      <c r="AFH313" s="1"/>
      <c r="AFI313" s="1"/>
      <c r="AFJ313" s="1"/>
      <c r="AFK313" s="1"/>
      <c r="AFL313" s="1"/>
      <c r="AFM313" s="1"/>
      <c r="AFN313" s="1"/>
      <c r="AFO313" s="1"/>
      <c r="AFP313" s="1"/>
      <c r="AFQ313" s="1"/>
      <c r="AFR313" s="1"/>
      <c r="AFS313" s="1"/>
      <c r="AFT313" s="1"/>
      <c r="AFU313" s="1"/>
      <c r="AFV313" s="1"/>
      <c r="AFW313" s="1"/>
      <c r="AFX313" s="1"/>
      <c r="AFY313" s="1"/>
      <c r="AFZ313" s="1"/>
      <c r="AGA313" s="1"/>
      <c r="AGB313" s="1"/>
      <c r="AGC313" s="1"/>
      <c r="AGD313" s="1"/>
      <c r="AGE313" s="1"/>
      <c r="AGF313" s="1"/>
      <c r="AGG313" s="1"/>
      <c r="AGH313" s="1"/>
      <c r="AGI313" s="1"/>
      <c r="AGJ313" s="1"/>
      <c r="AGK313" s="1"/>
      <c r="AGL313" s="1"/>
      <c r="AGM313" s="1"/>
      <c r="AGN313" s="1"/>
      <c r="AGO313" s="1"/>
      <c r="AGP313" s="1"/>
      <c r="AGQ313" s="1"/>
      <c r="AGR313" s="1"/>
      <c r="AGS313" s="1"/>
      <c r="AGT313" s="1"/>
      <c r="AGU313" s="1"/>
      <c r="AGV313" s="1"/>
      <c r="AGW313" s="1"/>
      <c r="AGX313" s="1"/>
      <c r="AGY313" s="1"/>
      <c r="AGZ313" s="1"/>
      <c r="AHA313" s="1"/>
      <c r="AHB313" s="1"/>
      <c r="AHC313" s="1"/>
      <c r="AHD313" s="1"/>
      <c r="AHE313" s="1"/>
      <c r="AHF313" s="1"/>
      <c r="AHG313" s="1"/>
      <c r="AHH313" s="1"/>
      <c r="AHI313" s="1"/>
      <c r="AHJ313" s="1"/>
      <c r="AHK313" s="1"/>
      <c r="AHL313" s="1"/>
      <c r="AHM313" s="1"/>
      <c r="AHN313" s="1"/>
      <c r="AHO313" s="1"/>
      <c r="AHP313" s="1"/>
      <c r="AHQ313" s="1"/>
      <c r="AHR313" s="1"/>
      <c r="AHS313" s="1"/>
      <c r="AHT313" s="1"/>
      <c r="AHU313" s="1"/>
      <c r="AHV313" s="1"/>
      <c r="AHW313" s="1"/>
      <c r="AHX313" s="1"/>
      <c r="AHY313" s="1"/>
      <c r="AHZ313" s="1"/>
      <c r="AIA313" s="1"/>
      <c r="AIB313" s="1"/>
      <c r="AIC313" s="1"/>
      <c r="AID313" s="1"/>
      <c r="AIE313" s="1"/>
      <c r="AIF313" s="1"/>
      <c r="AIG313" s="1"/>
      <c r="AIH313" s="1"/>
      <c r="AII313" s="1"/>
      <c r="AIJ313" s="1"/>
      <c r="AIK313" s="1"/>
      <c r="AIL313" s="1"/>
      <c r="AIM313" s="1"/>
      <c r="AIN313" s="1"/>
      <c r="AIO313" s="1"/>
      <c r="AIP313" s="1"/>
      <c r="AIQ313" s="1"/>
      <c r="AIR313" s="1"/>
      <c r="AIS313" s="1"/>
      <c r="AIT313" s="1"/>
      <c r="AIU313" s="1"/>
      <c r="AIV313" s="1"/>
      <c r="AIW313" s="1"/>
      <c r="AIX313" s="1"/>
      <c r="AIY313" s="1"/>
      <c r="AIZ313" s="1"/>
      <c r="AJA313" s="1"/>
      <c r="AJB313" s="1"/>
      <c r="AJC313" s="1"/>
      <c r="AJD313" s="1"/>
      <c r="AJE313" s="1"/>
      <c r="AJF313" s="1"/>
      <c r="AJG313" s="1"/>
      <c r="AJH313" s="1"/>
      <c r="AJI313" s="1"/>
      <c r="AJJ313" s="1"/>
      <c r="AJK313" s="1"/>
      <c r="AJL313" s="1"/>
      <c r="AJM313" s="1"/>
      <c r="AJN313" s="1"/>
      <c r="AJO313" s="1"/>
      <c r="AJP313" s="1"/>
      <c r="AJQ313" s="1"/>
      <c r="AJR313" s="1"/>
      <c r="AJS313" s="1"/>
      <c r="AJT313" s="1"/>
      <c r="AJU313" s="1"/>
      <c r="AJV313" s="1"/>
      <c r="AJW313" s="1"/>
      <c r="AJX313" s="1"/>
      <c r="AJY313" s="1"/>
      <c r="AJZ313" s="1"/>
      <c r="AKA313" s="1"/>
      <c r="AKB313" s="1"/>
      <c r="AKC313" s="1"/>
      <c r="AKD313" s="1"/>
      <c r="AKE313" s="1"/>
      <c r="AKF313" s="1"/>
      <c r="AKG313" s="1"/>
      <c r="AKH313" s="1"/>
      <c r="AKI313" s="1"/>
      <c r="AKJ313" s="1"/>
      <c r="AKK313" s="1"/>
      <c r="AKL313" s="1"/>
      <c r="AKM313" s="1"/>
      <c r="AKN313" s="1"/>
      <c r="AKO313" s="1"/>
      <c r="AKP313" s="1"/>
      <c r="AKQ313" s="1"/>
      <c r="AKR313" s="1"/>
      <c r="AKS313" s="1"/>
      <c r="AKT313" s="1"/>
      <c r="AKU313" s="1"/>
      <c r="AKV313" s="1"/>
      <c r="AKW313" s="1"/>
      <c r="AKX313" s="1"/>
      <c r="AKY313" s="1"/>
      <c r="AKZ313" s="1"/>
      <c r="ALA313" s="1"/>
      <c r="ALB313" s="1"/>
      <c r="ALC313" s="1"/>
      <c r="ALD313" s="1"/>
      <c r="ALE313" s="1"/>
      <c r="ALF313" s="1"/>
      <c r="ALG313" s="1"/>
      <c r="ALH313" s="1"/>
      <c r="ALI313" s="1"/>
      <c r="ALJ313" s="1"/>
      <c r="ALK313" s="1"/>
      <c r="ALL313" s="1"/>
      <c r="ALM313" s="1"/>
      <c r="ALN313" s="1"/>
      <c r="ALO313" s="1"/>
      <c r="ALP313" s="1"/>
      <c r="ALQ313" s="1"/>
      <c r="ALR313" s="1"/>
      <c r="ALS313" s="1"/>
      <c r="ALT313" s="1"/>
      <c r="ALU313" s="1"/>
      <c r="ALV313" s="1"/>
      <c r="ALW313" s="1"/>
      <c r="ALX313" s="1"/>
      <c r="ALY313" s="1"/>
      <c r="ALZ313" s="1"/>
      <c r="AMA313" s="1"/>
      <c r="AMB313" s="1"/>
      <c r="AMC313" s="1"/>
      <c r="AMD313" s="1"/>
      <c r="AME313" s="1"/>
      <c r="AMF313" s="1"/>
      <c r="AMG313" s="1"/>
      <c r="AMH313" s="1"/>
      <c r="AMI313" s="1"/>
      <c r="AMJ313" s="1"/>
      <c r="AMK313" s="1"/>
      <c r="AML313" s="1"/>
      <c r="AMM313" s="1"/>
      <c r="AMN313" s="1"/>
      <c r="AMO313" s="1"/>
    </row>
    <row r="314" spans="1:1029" x14ac:dyDescent="0.2">
      <c r="A314" s="3" t="str">
        <f>CONCATENATE(B314,"_",C314)</f>
        <v>opsd_bovin_6FKB</v>
      </c>
      <c r="B314" s="3" t="s">
        <v>913</v>
      </c>
      <c r="C314" s="3" t="s">
        <v>1480</v>
      </c>
      <c r="D314" s="3" t="str">
        <f>IFERROR(MID(VLOOKUP($B314,Seqs!$A:$B,2,0),E314,1),"")</f>
        <v>E</v>
      </c>
      <c r="E314" s="3">
        <v>33</v>
      </c>
      <c r="F314" s="3" t="str">
        <f>IFERROR(MID(VLOOKUP($B314,Seqs!$A:$B,2,0),G314,1),"")</f>
        <v>Q</v>
      </c>
      <c r="G314" s="3">
        <v>64</v>
      </c>
      <c r="H314" s="3" t="str">
        <f>IFERROR(MID(VLOOKUP($B314,Seqs!$A:$B,2,0),I314,1),"")</f>
        <v>K</v>
      </c>
      <c r="I314" s="23">
        <v>66</v>
      </c>
      <c r="J314" s="3" t="str">
        <f>IFERROR(MID(VLOOKUP($B314,Seqs!$A:$B,2,0),K314,1),"")</f>
        <v>R</v>
      </c>
      <c r="K314" s="23">
        <v>69</v>
      </c>
      <c r="L314" s="3" t="str">
        <f>IFERROR(MID(VLOOKUP($B314,Seqs!$A:$B,2,0),M314,1),"")</f>
        <v>N</v>
      </c>
      <c r="M314" s="3">
        <v>73</v>
      </c>
      <c r="N314" s="3" t="str">
        <f>IFERROR(MID(VLOOKUP($B314,Seqs!$A:$B,2,0),O314,1),"")</f>
        <v>G</v>
      </c>
      <c r="O314" s="3">
        <v>101</v>
      </c>
      <c r="P314" s="3" t="str">
        <f>IFERROR(MID(VLOOKUP($B314,Seqs!$A:$B,2,0),Q314,1),"")</f>
        <v>Y</v>
      </c>
      <c r="Q314" s="3">
        <v>102</v>
      </c>
      <c r="R314" s="3" t="str">
        <f>IFERROR(MID(VLOOKUP($B314,Seqs!$A:$B,2,0),S314,1),"")</f>
        <v>F</v>
      </c>
      <c r="S314" s="3">
        <v>105</v>
      </c>
      <c r="T314" s="3" t="str">
        <f>IFERROR(MID(VLOOKUP($B314,Seqs!$A:$B,2,0),U314,1),"")</f>
        <v>G</v>
      </c>
      <c r="U314" s="3">
        <v>106</v>
      </c>
      <c r="V314" s="3" t="str">
        <f>IFERROR(MID(VLOOKUP($B314,Seqs!$A:$B,2,0),W314,1),"")</f>
        <v>K</v>
      </c>
      <c r="W314" s="3">
        <v>141</v>
      </c>
      <c r="X314" s="3" t="str">
        <f>IFERROR(MID(VLOOKUP($B314,Seqs!$A:$B,2,0),Y314,1),"")</f>
        <v/>
      </c>
      <c r="Y314" s="3" t="s">
        <v>23</v>
      </c>
      <c r="Z314" s="3" t="str">
        <f>IFERROR(MID(VLOOKUP($B314,Seqs!$A:$B,2,0),AA314,1),"")</f>
        <v/>
      </c>
      <c r="AA314" s="3" t="s">
        <v>23</v>
      </c>
      <c r="AB314" s="3" t="str">
        <f>IFERROR(MID(VLOOKUP($B314,Seqs!$A:$B,2,0),AC314,1),"")</f>
        <v>G</v>
      </c>
      <c r="AC314" s="3">
        <v>149</v>
      </c>
      <c r="AD314" s="3" t="str">
        <f>IFERROR(MID(VLOOKUP($B314,Seqs!$A:$B,2,0),AE314,1),"")</f>
        <v>V</v>
      </c>
      <c r="AE314" s="3">
        <v>173</v>
      </c>
      <c r="AF314" s="3" t="str">
        <f>IFERROR(MID(VLOOKUP($B314,Seqs!$A:$B,2,0),AG314,1),"")</f>
        <v>C</v>
      </c>
      <c r="AG314" s="3">
        <v>187</v>
      </c>
      <c r="AH314" s="3" t="str">
        <f>IFERROR(MID(VLOOKUP($B314,Seqs!$A:$B,2,0),AI314,1),"")</f>
        <v>I</v>
      </c>
      <c r="AI314" s="3">
        <v>189</v>
      </c>
      <c r="AJ314" s="3" t="str">
        <f>IFERROR(MID(VLOOKUP($B314,Seqs!$A:$B,2,0),AK314,1),"")</f>
        <v>N</v>
      </c>
      <c r="AK314" s="3">
        <v>199</v>
      </c>
      <c r="AL314" s="3" t="str">
        <f>IFERROR(MID(VLOOKUP($B314,Seqs!$A:$B,2,0),AM314,1),"")</f>
        <v>Q</v>
      </c>
      <c r="AM314" s="3">
        <v>236</v>
      </c>
      <c r="AN314" s="3" t="str">
        <f>IFERROR(MID(VLOOKUP($B314,Seqs!$A:$B,2,0),AO314,1),"")</f>
        <v>S</v>
      </c>
      <c r="AO314" s="3">
        <v>240</v>
      </c>
      <c r="AP314" s="3" t="str">
        <f>IFERROR(MID(VLOOKUP($B314,Seqs!$A:$B,2,0),AQ314,1),"")</f>
        <v>H</v>
      </c>
      <c r="AQ314" s="3">
        <v>278</v>
      </c>
      <c r="AR314" s="3" t="str">
        <f>IFERROR(MID(VLOOKUP($B314,Seqs!$A:$B,2,0),AS314,1),"")</f>
        <v>G</v>
      </c>
      <c r="AS314" s="3">
        <v>284</v>
      </c>
      <c r="AT314" s="3" t="str">
        <f>IFERROR(MID(VLOOKUP($B314,Seqs!$A:$B,2,0),AU314,1),"")</f>
        <v>M</v>
      </c>
      <c r="AU314" s="3">
        <v>309</v>
      </c>
      <c r="AV314" s="3" t="str">
        <f>IFERROR(MID(VLOOKUP($B314,Seqs!$A:$B,2,0),AW314,1),"")</f>
        <v>N</v>
      </c>
      <c r="AW314" s="3">
        <v>310</v>
      </c>
      <c r="AX314" s="3" t="str">
        <f>IFERROR(MID(VLOOKUP($B314,Seqs!$A:$B,2,0),AY314,1),"")</f>
        <v>C</v>
      </c>
      <c r="AY314" s="3">
        <v>322</v>
      </c>
      <c r="AZ314" s="77" t="str">
        <f>VLOOKUP(B314,Classification!A:D,2,0)</f>
        <v>A</v>
      </c>
      <c r="BA314" s="94" t="str">
        <f>VLOOKUP(B314,Classification!A:D,4,0)</f>
        <v>Opsins</v>
      </c>
      <c r="BB314" s="27" t="b">
        <f t="shared" si="1115"/>
        <v>1</v>
      </c>
      <c r="BC314" s="23">
        <f t="shared" si="1116"/>
        <v>250</v>
      </c>
      <c r="BD314" s="2" t="s">
        <v>23</v>
      </c>
      <c r="BE314" s="3" t="s">
        <v>1285</v>
      </c>
      <c r="BF314" s="118">
        <v>3.03</v>
      </c>
      <c r="BG314" s="49" t="s">
        <v>1</v>
      </c>
      <c r="BH314" s="49" t="s">
        <v>1</v>
      </c>
      <c r="BI314" s="1"/>
      <c r="BJ314" s="70" t="s">
        <v>1281</v>
      </c>
      <c r="BK314" s="57" t="s">
        <v>1281</v>
      </c>
      <c r="BL314" s="57" t="s">
        <v>1281</v>
      </c>
      <c r="BM314" s="57" t="s">
        <v>1281</v>
      </c>
      <c r="BN314" s="57" t="s">
        <v>1281</v>
      </c>
      <c r="BO314" s="57" t="s">
        <v>1281</v>
      </c>
      <c r="BP314" s="57" t="s">
        <v>1281</v>
      </c>
      <c r="BQ314" s="57" t="s">
        <v>1281</v>
      </c>
      <c r="BR314" s="57" t="s">
        <v>1281</v>
      </c>
      <c r="BS314" s="57" t="s">
        <v>1281</v>
      </c>
      <c r="BT314" s="57" t="s">
        <v>1281</v>
      </c>
      <c r="BU314" s="57" t="s">
        <v>1281</v>
      </c>
      <c r="BV314" s="70">
        <f>E314</f>
        <v>33</v>
      </c>
      <c r="BW314" s="71">
        <f>I314</f>
        <v>66</v>
      </c>
      <c r="BX314" s="72">
        <f>M314</f>
        <v>73</v>
      </c>
      <c r="BY314" s="71">
        <f>Q314</f>
        <v>102</v>
      </c>
      <c r="BZ314" s="72">
        <f>U314</f>
        <v>106</v>
      </c>
      <c r="CA314" s="71" t="str">
        <f>Y314</f>
        <v>-</v>
      </c>
      <c r="CB314" s="72">
        <f>AC314</f>
        <v>149</v>
      </c>
      <c r="CC314" s="71">
        <f>AG314</f>
        <v>187</v>
      </c>
      <c r="CD314" s="72">
        <f>AK314</f>
        <v>199</v>
      </c>
      <c r="CE314" s="71">
        <f>AO314</f>
        <v>240</v>
      </c>
      <c r="CF314" s="72">
        <f>AS314</f>
        <v>284</v>
      </c>
      <c r="CG314" s="71">
        <f>AW314</f>
        <v>310</v>
      </c>
      <c r="CH314" s="70">
        <f>G314</f>
        <v>64</v>
      </c>
      <c r="CI314" s="71">
        <f>K314</f>
        <v>69</v>
      </c>
      <c r="CJ314" s="72">
        <f>O314</f>
        <v>101</v>
      </c>
      <c r="CK314" s="72">
        <f>S314</f>
        <v>105</v>
      </c>
      <c r="CL314" s="72">
        <f>W314</f>
        <v>141</v>
      </c>
      <c r="CM314" s="72" t="str">
        <f>AA314</f>
        <v>-</v>
      </c>
      <c r="CN314" s="72">
        <f>AE314</f>
        <v>173</v>
      </c>
      <c r="CO314" s="72">
        <f>AI314</f>
        <v>189</v>
      </c>
      <c r="CP314" s="72">
        <f>AM314</f>
        <v>236</v>
      </c>
      <c r="CQ314" s="72">
        <f>AQ314</f>
        <v>278</v>
      </c>
      <c r="CR314" s="72">
        <f>AU314</f>
        <v>309</v>
      </c>
      <c r="CS314" s="72">
        <f>AY314</f>
        <v>322</v>
      </c>
      <c r="CT314" s="23">
        <f>M314-K314</f>
        <v>4</v>
      </c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  <c r="QT314" s="1"/>
      <c r="QU314" s="1"/>
      <c r="QV314" s="1"/>
      <c r="QW314" s="1"/>
      <c r="QX314" s="1"/>
      <c r="QY314" s="1"/>
      <c r="QZ314" s="1"/>
      <c r="RA314" s="1"/>
      <c r="RB314" s="1"/>
      <c r="RC314" s="1"/>
      <c r="RD314" s="1"/>
      <c r="RE314" s="1"/>
      <c r="RF314" s="1"/>
      <c r="RG314" s="1"/>
      <c r="RH314" s="1"/>
      <c r="RI314" s="1"/>
      <c r="RJ314" s="1"/>
      <c r="RK314" s="1"/>
      <c r="RL314" s="1"/>
      <c r="RM314" s="1"/>
      <c r="RN314" s="1"/>
      <c r="RO314" s="1"/>
      <c r="RP314" s="1"/>
      <c r="RQ314" s="1"/>
      <c r="RR314" s="1"/>
      <c r="RS314" s="1"/>
      <c r="RT314" s="1"/>
      <c r="RU314" s="1"/>
      <c r="RV314" s="1"/>
      <c r="RW314" s="1"/>
      <c r="RX314" s="1"/>
      <c r="RY314" s="1"/>
      <c r="RZ314" s="1"/>
      <c r="SA314" s="1"/>
      <c r="SB314" s="1"/>
      <c r="SC314" s="1"/>
      <c r="SD314" s="1"/>
      <c r="SE314" s="1"/>
      <c r="SF314" s="1"/>
      <c r="SG314" s="1"/>
      <c r="SH314" s="1"/>
      <c r="SI314" s="1"/>
      <c r="SJ314" s="1"/>
      <c r="SK314" s="1"/>
      <c r="SL314" s="1"/>
      <c r="SM314" s="1"/>
      <c r="SN314" s="1"/>
      <c r="SO314" s="1"/>
      <c r="SP314" s="1"/>
      <c r="SQ314" s="1"/>
      <c r="SR314" s="1"/>
      <c r="SS314" s="1"/>
      <c r="ST314" s="1"/>
      <c r="SU314" s="1"/>
      <c r="SV314" s="1"/>
      <c r="SW314" s="1"/>
      <c r="SX314" s="1"/>
      <c r="SY314" s="1"/>
      <c r="SZ314" s="1"/>
      <c r="TA314" s="1"/>
      <c r="TB314" s="1"/>
      <c r="TC314" s="1"/>
      <c r="TD314" s="1"/>
      <c r="TE314" s="1"/>
      <c r="TF314" s="1"/>
      <c r="TG314" s="1"/>
      <c r="TH314" s="1"/>
      <c r="TI314" s="1"/>
      <c r="TJ314" s="1"/>
      <c r="TK314" s="1"/>
      <c r="TL314" s="1"/>
      <c r="TM314" s="1"/>
      <c r="TN314" s="1"/>
      <c r="TO314" s="1"/>
      <c r="TP314" s="1"/>
      <c r="TQ314" s="1"/>
      <c r="TR314" s="1"/>
      <c r="TS314" s="1"/>
      <c r="TT314" s="1"/>
      <c r="TU314" s="1"/>
      <c r="TV314" s="1"/>
      <c r="TW314" s="1"/>
      <c r="TX314" s="1"/>
      <c r="TY314" s="1"/>
      <c r="TZ314" s="1"/>
      <c r="UA314" s="1"/>
      <c r="UB314" s="1"/>
      <c r="UC314" s="1"/>
      <c r="UD314" s="1"/>
      <c r="UE314" s="1"/>
      <c r="UF314" s="1"/>
      <c r="UG314" s="1"/>
      <c r="UH314" s="1"/>
      <c r="UI314" s="1"/>
      <c r="UJ314" s="1"/>
      <c r="UK314" s="1"/>
      <c r="UL314" s="1"/>
      <c r="UM314" s="1"/>
      <c r="UN314" s="1"/>
      <c r="UO314" s="1"/>
      <c r="UP314" s="1"/>
      <c r="UQ314" s="1"/>
      <c r="UR314" s="1"/>
      <c r="US314" s="1"/>
      <c r="UT314" s="1"/>
      <c r="UU314" s="1"/>
      <c r="UV314" s="1"/>
      <c r="UW314" s="1"/>
      <c r="UX314" s="1"/>
      <c r="UY314" s="1"/>
      <c r="UZ314" s="1"/>
      <c r="VA314" s="1"/>
      <c r="VB314" s="1"/>
      <c r="VC314" s="1"/>
      <c r="VD314" s="1"/>
      <c r="VE314" s="1"/>
      <c r="VF314" s="1"/>
      <c r="VG314" s="1"/>
      <c r="VH314" s="1"/>
      <c r="VI314" s="1"/>
      <c r="VJ314" s="1"/>
      <c r="VK314" s="1"/>
      <c r="VL314" s="1"/>
      <c r="VM314" s="1"/>
      <c r="VN314" s="1"/>
      <c r="VO314" s="1"/>
      <c r="VP314" s="1"/>
      <c r="VQ314" s="1"/>
      <c r="VR314" s="1"/>
      <c r="VS314" s="1"/>
      <c r="VT314" s="1"/>
      <c r="VU314" s="1"/>
      <c r="VV314" s="1"/>
      <c r="VW314" s="1"/>
      <c r="VX314" s="1"/>
      <c r="VY314" s="1"/>
      <c r="VZ314" s="1"/>
      <c r="WA314" s="1"/>
      <c r="WB314" s="1"/>
      <c r="WC314" s="1"/>
      <c r="WD314" s="1"/>
      <c r="WE314" s="1"/>
      <c r="WF314" s="1"/>
      <c r="WG314" s="1"/>
      <c r="WH314" s="1"/>
      <c r="WI314" s="1"/>
      <c r="WJ314" s="1"/>
      <c r="WK314" s="1"/>
      <c r="WL314" s="1"/>
      <c r="WM314" s="1"/>
      <c r="WN314" s="1"/>
      <c r="WO314" s="1"/>
      <c r="WP314" s="1"/>
      <c r="WQ314" s="1"/>
      <c r="WR314" s="1"/>
      <c r="WS314" s="1"/>
      <c r="WT314" s="1"/>
      <c r="WU314" s="1"/>
      <c r="WV314" s="1"/>
      <c r="WW314" s="1"/>
      <c r="WX314" s="1"/>
      <c r="WY314" s="1"/>
      <c r="WZ314" s="1"/>
      <c r="XA314" s="1"/>
      <c r="XB314" s="1"/>
      <c r="XC314" s="1"/>
      <c r="XD314" s="1"/>
      <c r="XE314" s="1"/>
      <c r="XF314" s="1"/>
      <c r="XG314" s="1"/>
      <c r="XH314" s="1"/>
      <c r="XI314" s="1"/>
      <c r="XJ314" s="1"/>
      <c r="XK314" s="1"/>
      <c r="XL314" s="1"/>
      <c r="XM314" s="1"/>
      <c r="XN314" s="1"/>
      <c r="XO314" s="1"/>
      <c r="XP314" s="1"/>
      <c r="XQ314" s="1"/>
      <c r="XR314" s="1"/>
      <c r="XS314" s="1"/>
      <c r="XT314" s="1"/>
      <c r="XU314" s="1"/>
      <c r="XV314" s="1"/>
      <c r="XW314" s="1"/>
      <c r="XX314" s="1"/>
      <c r="XY314" s="1"/>
      <c r="XZ314" s="1"/>
      <c r="YA314" s="1"/>
      <c r="YB314" s="1"/>
      <c r="YC314" s="1"/>
      <c r="YD314" s="1"/>
      <c r="YE314" s="1"/>
      <c r="YF314" s="1"/>
      <c r="YG314" s="1"/>
      <c r="YH314" s="1"/>
      <c r="YI314" s="1"/>
      <c r="YJ314" s="1"/>
      <c r="YK314" s="1"/>
      <c r="YL314" s="1"/>
      <c r="YM314" s="1"/>
      <c r="YN314" s="1"/>
      <c r="YO314" s="1"/>
      <c r="YP314" s="1"/>
      <c r="YQ314" s="1"/>
      <c r="YR314" s="1"/>
      <c r="YS314" s="1"/>
      <c r="YT314" s="1"/>
      <c r="YU314" s="1"/>
      <c r="YV314" s="1"/>
      <c r="YW314" s="1"/>
      <c r="YX314" s="1"/>
      <c r="YY314" s="1"/>
      <c r="YZ314" s="1"/>
      <c r="ZA314" s="1"/>
      <c r="ZB314" s="1"/>
      <c r="ZC314" s="1"/>
      <c r="ZD314" s="1"/>
      <c r="ZE314" s="1"/>
      <c r="ZF314" s="1"/>
      <c r="ZG314" s="1"/>
      <c r="ZH314" s="1"/>
      <c r="ZI314" s="1"/>
      <c r="ZJ314" s="1"/>
      <c r="ZK314" s="1"/>
      <c r="ZL314" s="1"/>
      <c r="ZM314" s="1"/>
      <c r="ZN314" s="1"/>
      <c r="ZO314" s="1"/>
      <c r="ZP314" s="1"/>
      <c r="ZQ314" s="1"/>
      <c r="ZR314" s="1"/>
      <c r="ZS314" s="1"/>
      <c r="ZT314" s="1"/>
      <c r="ZU314" s="1"/>
      <c r="ZV314" s="1"/>
      <c r="ZW314" s="1"/>
      <c r="ZX314" s="1"/>
      <c r="ZY314" s="1"/>
      <c r="ZZ314" s="1"/>
      <c r="AAA314" s="1"/>
      <c r="AAB314" s="1"/>
      <c r="AAC314" s="1"/>
      <c r="AAD314" s="1"/>
      <c r="AAE314" s="1"/>
      <c r="AAF314" s="1"/>
      <c r="AAG314" s="1"/>
      <c r="AAH314" s="1"/>
      <c r="AAI314" s="1"/>
      <c r="AAJ314" s="1"/>
      <c r="AAK314" s="1"/>
      <c r="AAL314" s="1"/>
      <c r="AAM314" s="1"/>
      <c r="AAN314" s="1"/>
      <c r="AAO314" s="1"/>
      <c r="AAP314" s="1"/>
      <c r="AAQ314" s="1"/>
      <c r="AAR314" s="1"/>
      <c r="AAS314" s="1"/>
      <c r="AAT314" s="1"/>
      <c r="AAU314" s="1"/>
      <c r="AAV314" s="1"/>
      <c r="AAW314" s="1"/>
      <c r="AAX314" s="1"/>
      <c r="AAY314" s="1"/>
      <c r="AAZ314" s="1"/>
      <c r="ABA314" s="1"/>
      <c r="ABB314" s="1"/>
      <c r="ABC314" s="1"/>
      <c r="ABD314" s="1"/>
      <c r="ABE314" s="1"/>
      <c r="ABF314" s="1"/>
      <c r="ABG314" s="1"/>
      <c r="ABH314" s="1"/>
      <c r="ABI314" s="1"/>
      <c r="ABJ314" s="1"/>
      <c r="ABK314" s="1"/>
      <c r="ABL314" s="1"/>
      <c r="ABM314" s="1"/>
      <c r="ABN314" s="1"/>
      <c r="ABO314" s="1"/>
      <c r="ABP314" s="1"/>
      <c r="ABQ314" s="1"/>
      <c r="ABR314" s="1"/>
      <c r="ABS314" s="1"/>
      <c r="ABT314" s="1"/>
      <c r="ABU314" s="1"/>
      <c r="ABV314" s="1"/>
      <c r="ABW314" s="1"/>
      <c r="ABX314" s="1"/>
      <c r="ABY314" s="1"/>
      <c r="ABZ314" s="1"/>
      <c r="ACA314" s="1"/>
      <c r="ACB314" s="1"/>
      <c r="ACC314" s="1"/>
      <c r="ACD314" s="1"/>
      <c r="ACE314" s="1"/>
      <c r="ACF314" s="1"/>
      <c r="ACG314" s="1"/>
      <c r="ACH314" s="1"/>
      <c r="ACI314" s="1"/>
      <c r="ACJ314" s="1"/>
      <c r="ACK314" s="1"/>
      <c r="ACL314" s="1"/>
      <c r="ACM314" s="1"/>
      <c r="ACN314" s="1"/>
      <c r="ACO314" s="1"/>
      <c r="ACP314" s="1"/>
      <c r="ACQ314" s="1"/>
      <c r="ACR314" s="1"/>
      <c r="ACS314" s="1"/>
      <c r="ACT314" s="1"/>
      <c r="ACU314" s="1"/>
      <c r="ACV314" s="1"/>
      <c r="ACW314" s="1"/>
      <c r="ACX314" s="1"/>
      <c r="ACY314" s="1"/>
      <c r="ACZ314" s="1"/>
      <c r="ADA314" s="1"/>
      <c r="ADB314" s="1"/>
      <c r="ADC314" s="1"/>
      <c r="ADD314" s="1"/>
      <c r="ADE314" s="1"/>
      <c r="ADF314" s="1"/>
      <c r="ADG314" s="1"/>
      <c r="ADH314" s="1"/>
      <c r="ADI314" s="1"/>
      <c r="ADJ314" s="1"/>
      <c r="ADK314" s="1"/>
      <c r="ADL314" s="1"/>
      <c r="ADM314" s="1"/>
      <c r="ADN314" s="1"/>
      <c r="ADO314" s="1"/>
      <c r="ADP314" s="1"/>
      <c r="ADQ314" s="1"/>
      <c r="ADR314" s="1"/>
      <c r="ADS314" s="1"/>
      <c r="ADT314" s="1"/>
      <c r="ADU314" s="1"/>
      <c r="ADV314" s="1"/>
      <c r="ADW314" s="1"/>
      <c r="ADX314" s="1"/>
      <c r="ADY314" s="1"/>
      <c r="ADZ314" s="1"/>
      <c r="AEA314" s="1"/>
      <c r="AEB314" s="1"/>
      <c r="AEC314" s="1"/>
      <c r="AED314" s="1"/>
      <c r="AEE314" s="1"/>
      <c r="AEF314" s="1"/>
      <c r="AEG314" s="1"/>
      <c r="AEH314" s="1"/>
      <c r="AEI314" s="1"/>
      <c r="AEJ314" s="1"/>
      <c r="AEK314" s="1"/>
      <c r="AEL314" s="1"/>
      <c r="AEM314" s="1"/>
      <c r="AEN314" s="1"/>
      <c r="AEO314" s="1"/>
      <c r="AEP314" s="1"/>
      <c r="AEQ314" s="1"/>
      <c r="AER314" s="1"/>
      <c r="AES314" s="1"/>
      <c r="AET314" s="1"/>
      <c r="AEU314" s="1"/>
      <c r="AEV314" s="1"/>
      <c r="AEW314" s="1"/>
      <c r="AEX314" s="1"/>
      <c r="AEY314" s="1"/>
      <c r="AEZ314" s="1"/>
      <c r="AFA314" s="1"/>
      <c r="AFB314" s="1"/>
      <c r="AFC314" s="1"/>
      <c r="AFD314" s="1"/>
      <c r="AFE314" s="1"/>
      <c r="AFF314" s="1"/>
      <c r="AFG314" s="1"/>
      <c r="AFH314" s="1"/>
      <c r="AFI314" s="1"/>
      <c r="AFJ314" s="1"/>
      <c r="AFK314" s="1"/>
      <c r="AFL314" s="1"/>
      <c r="AFM314" s="1"/>
      <c r="AFN314" s="1"/>
      <c r="AFO314" s="1"/>
      <c r="AFP314" s="1"/>
      <c r="AFQ314" s="1"/>
      <c r="AFR314" s="1"/>
      <c r="AFS314" s="1"/>
      <c r="AFT314" s="1"/>
      <c r="AFU314" s="1"/>
      <c r="AFV314" s="1"/>
      <c r="AFW314" s="1"/>
      <c r="AFX314" s="1"/>
      <c r="AFY314" s="1"/>
      <c r="AFZ314" s="1"/>
      <c r="AGA314" s="1"/>
      <c r="AGB314" s="1"/>
      <c r="AGC314" s="1"/>
      <c r="AGD314" s="1"/>
      <c r="AGE314" s="1"/>
      <c r="AGF314" s="1"/>
      <c r="AGG314" s="1"/>
      <c r="AGH314" s="1"/>
      <c r="AGI314" s="1"/>
      <c r="AGJ314" s="1"/>
      <c r="AGK314" s="1"/>
      <c r="AGL314" s="1"/>
      <c r="AGM314" s="1"/>
      <c r="AGN314" s="1"/>
      <c r="AGO314" s="1"/>
      <c r="AGP314" s="1"/>
      <c r="AGQ314" s="1"/>
      <c r="AGR314" s="1"/>
      <c r="AGS314" s="1"/>
      <c r="AGT314" s="1"/>
      <c r="AGU314" s="1"/>
      <c r="AGV314" s="1"/>
      <c r="AGW314" s="1"/>
      <c r="AGX314" s="1"/>
      <c r="AGY314" s="1"/>
      <c r="AGZ314" s="1"/>
      <c r="AHA314" s="1"/>
      <c r="AHB314" s="1"/>
      <c r="AHC314" s="1"/>
      <c r="AHD314" s="1"/>
      <c r="AHE314" s="1"/>
      <c r="AHF314" s="1"/>
      <c r="AHG314" s="1"/>
      <c r="AHH314" s="1"/>
      <c r="AHI314" s="1"/>
      <c r="AHJ314" s="1"/>
      <c r="AHK314" s="1"/>
      <c r="AHL314" s="1"/>
      <c r="AHM314" s="1"/>
      <c r="AHN314" s="1"/>
      <c r="AHO314" s="1"/>
      <c r="AHP314" s="1"/>
      <c r="AHQ314" s="1"/>
      <c r="AHR314" s="1"/>
      <c r="AHS314" s="1"/>
      <c r="AHT314" s="1"/>
      <c r="AHU314" s="1"/>
      <c r="AHV314" s="1"/>
      <c r="AHW314" s="1"/>
      <c r="AHX314" s="1"/>
      <c r="AHY314" s="1"/>
      <c r="AHZ314" s="1"/>
      <c r="AIA314" s="1"/>
      <c r="AIB314" s="1"/>
      <c r="AIC314" s="1"/>
      <c r="AID314" s="1"/>
      <c r="AIE314" s="1"/>
      <c r="AIF314" s="1"/>
      <c r="AIG314" s="1"/>
      <c r="AIH314" s="1"/>
      <c r="AII314" s="1"/>
      <c r="AIJ314" s="1"/>
      <c r="AIK314" s="1"/>
      <c r="AIL314" s="1"/>
      <c r="AIM314" s="1"/>
      <c r="AIN314" s="1"/>
      <c r="AIO314" s="1"/>
      <c r="AIP314" s="1"/>
      <c r="AIQ314" s="1"/>
      <c r="AIR314" s="1"/>
      <c r="AIS314" s="1"/>
      <c r="AIT314" s="1"/>
      <c r="AIU314" s="1"/>
      <c r="AIV314" s="1"/>
      <c r="AIW314" s="1"/>
      <c r="AIX314" s="1"/>
      <c r="AIY314" s="1"/>
      <c r="AIZ314" s="1"/>
      <c r="AJA314" s="1"/>
      <c r="AJB314" s="1"/>
      <c r="AJC314" s="1"/>
      <c r="AJD314" s="1"/>
      <c r="AJE314" s="1"/>
      <c r="AJF314" s="1"/>
      <c r="AJG314" s="1"/>
      <c r="AJH314" s="1"/>
      <c r="AJI314" s="1"/>
      <c r="AJJ314" s="1"/>
      <c r="AJK314" s="1"/>
      <c r="AJL314" s="1"/>
      <c r="AJM314" s="1"/>
      <c r="AJN314" s="1"/>
      <c r="AJO314" s="1"/>
      <c r="AJP314" s="1"/>
      <c r="AJQ314" s="1"/>
      <c r="AJR314" s="1"/>
      <c r="AJS314" s="1"/>
      <c r="AJT314" s="1"/>
      <c r="AJU314" s="1"/>
      <c r="AJV314" s="1"/>
      <c r="AJW314" s="1"/>
      <c r="AJX314" s="1"/>
      <c r="AJY314" s="1"/>
      <c r="AJZ314" s="1"/>
      <c r="AKA314" s="1"/>
      <c r="AKB314" s="1"/>
      <c r="AKC314" s="1"/>
      <c r="AKD314" s="1"/>
      <c r="AKE314" s="1"/>
      <c r="AKF314" s="1"/>
      <c r="AKG314" s="1"/>
      <c r="AKH314" s="1"/>
      <c r="AKI314" s="1"/>
      <c r="AKJ314" s="1"/>
      <c r="AKK314" s="1"/>
      <c r="AKL314" s="1"/>
      <c r="AKM314" s="1"/>
      <c r="AKN314" s="1"/>
      <c r="AKO314" s="1"/>
      <c r="AKP314" s="1"/>
      <c r="AKQ314" s="1"/>
      <c r="AKR314" s="1"/>
      <c r="AKS314" s="1"/>
      <c r="AKT314" s="1"/>
      <c r="AKU314" s="1"/>
      <c r="AKV314" s="1"/>
      <c r="AKW314" s="1"/>
      <c r="AKX314" s="1"/>
      <c r="AKY314" s="1"/>
      <c r="AKZ314" s="1"/>
      <c r="ALA314" s="1"/>
      <c r="ALB314" s="1"/>
      <c r="ALC314" s="1"/>
      <c r="ALD314" s="1"/>
      <c r="ALE314" s="1"/>
      <c r="ALF314" s="1"/>
      <c r="ALG314" s="1"/>
      <c r="ALH314" s="1"/>
      <c r="ALI314" s="1"/>
      <c r="ALJ314" s="1"/>
      <c r="ALK314" s="1"/>
      <c r="ALL314" s="1"/>
      <c r="ALM314" s="1"/>
      <c r="ALN314" s="1"/>
      <c r="ALO314" s="1"/>
      <c r="ALP314" s="1"/>
      <c r="ALQ314" s="1"/>
      <c r="ALR314" s="1"/>
      <c r="ALS314" s="1"/>
      <c r="ALT314" s="1"/>
      <c r="ALU314" s="1"/>
      <c r="ALV314" s="1"/>
      <c r="ALW314" s="1"/>
      <c r="ALX314" s="1"/>
      <c r="ALY314" s="1"/>
      <c r="ALZ314" s="1"/>
      <c r="AMA314" s="1"/>
      <c r="AMB314" s="1"/>
      <c r="AMC314" s="1"/>
      <c r="AMD314" s="1"/>
      <c r="AME314" s="1"/>
      <c r="AMF314" s="1"/>
      <c r="AMG314" s="1"/>
      <c r="AMH314" s="1"/>
      <c r="AMI314" s="1"/>
      <c r="AMJ314" s="1"/>
      <c r="AMK314" s="1"/>
      <c r="AML314" s="1"/>
      <c r="AMM314" s="1"/>
      <c r="AMN314" s="1"/>
      <c r="AMO314" s="1"/>
    </row>
    <row r="315" spans="1:1029" x14ac:dyDescent="0.2">
      <c r="A315" s="3" t="str">
        <f>CONCATENATE(B315,"_",C315)</f>
        <v>opsd_bovin_6FKC</v>
      </c>
      <c r="B315" s="3" t="s">
        <v>913</v>
      </c>
      <c r="C315" s="3" t="s">
        <v>1481</v>
      </c>
      <c r="D315" s="3" t="str">
        <f>IFERROR(MID(VLOOKUP($B315,Seqs!$A:$B,2,0),E315,1),"")</f>
        <v>E</v>
      </c>
      <c r="E315" s="3">
        <v>33</v>
      </c>
      <c r="F315" s="3" t="str">
        <f>IFERROR(MID(VLOOKUP($B315,Seqs!$A:$B,2,0),G315,1),"")</f>
        <v>Q</v>
      </c>
      <c r="G315" s="3">
        <v>64</v>
      </c>
      <c r="H315" s="3" t="str">
        <f>IFERROR(MID(VLOOKUP($B315,Seqs!$A:$B,2,0),I315,1),"")</f>
        <v>K</v>
      </c>
      <c r="I315" s="23">
        <v>66</v>
      </c>
      <c r="J315" s="3" t="str">
        <f>IFERROR(MID(VLOOKUP($B315,Seqs!$A:$B,2,0),K315,1),"")</f>
        <v>R</v>
      </c>
      <c r="K315" s="23">
        <v>69</v>
      </c>
      <c r="L315" s="3" t="str">
        <f>IFERROR(MID(VLOOKUP($B315,Seqs!$A:$B,2,0),M315,1),"")</f>
        <v>N</v>
      </c>
      <c r="M315" s="3">
        <v>73</v>
      </c>
      <c r="N315" s="3" t="str">
        <f>IFERROR(MID(VLOOKUP($B315,Seqs!$A:$B,2,0),O315,1),"")</f>
        <v>G</v>
      </c>
      <c r="O315" s="3">
        <v>101</v>
      </c>
      <c r="P315" s="3" t="str">
        <f>IFERROR(MID(VLOOKUP($B315,Seqs!$A:$B,2,0),Q315,1),"")</f>
        <v>Y</v>
      </c>
      <c r="Q315" s="3">
        <v>102</v>
      </c>
      <c r="R315" s="3" t="str">
        <f>IFERROR(MID(VLOOKUP($B315,Seqs!$A:$B,2,0),S315,1),"")</f>
        <v>F</v>
      </c>
      <c r="S315" s="3">
        <v>105</v>
      </c>
      <c r="T315" s="3" t="str">
        <f>IFERROR(MID(VLOOKUP($B315,Seqs!$A:$B,2,0),U315,1),"")</f>
        <v>G</v>
      </c>
      <c r="U315" s="3">
        <v>106</v>
      </c>
      <c r="V315" s="3" t="str">
        <f>IFERROR(MID(VLOOKUP($B315,Seqs!$A:$B,2,0),W315,1),"")</f>
        <v>K</v>
      </c>
      <c r="W315" s="3">
        <v>141</v>
      </c>
      <c r="X315" s="3" t="str">
        <f>IFERROR(MID(VLOOKUP($B315,Seqs!$A:$B,2,0),Y315,1),"")</f>
        <v/>
      </c>
      <c r="Y315" s="3" t="s">
        <v>23</v>
      </c>
      <c r="Z315" s="3" t="str">
        <f>IFERROR(MID(VLOOKUP($B315,Seqs!$A:$B,2,0),AA315,1),"")</f>
        <v/>
      </c>
      <c r="AA315" s="3" t="s">
        <v>23</v>
      </c>
      <c r="AB315" s="3" t="str">
        <f>IFERROR(MID(VLOOKUP($B315,Seqs!$A:$B,2,0),AC315,1),"")</f>
        <v>G</v>
      </c>
      <c r="AC315" s="3">
        <v>149</v>
      </c>
      <c r="AD315" s="3" t="str">
        <f>IFERROR(MID(VLOOKUP($B315,Seqs!$A:$B,2,0),AE315,1),"")</f>
        <v>V</v>
      </c>
      <c r="AE315" s="3">
        <v>173</v>
      </c>
      <c r="AF315" s="3" t="str">
        <f>IFERROR(MID(VLOOKUP($B315,Seqs!$A:$B,2,0),AG315,1),"")</f>
        <v>C</v>
      </c>
      <c r="AG315" s="3">
        <v>187</v>
      </c>
      <c r="AH315" s="3" t="str">
        <f>IFERROR(MID(VLOOKUP($B315,Seqs!$A:$B,2,0),AI315,1),"")</f>
        <v>I</v>
      </c>
      <c r="AI315" s="3">
        <v>189</v>
      </c>
      <c r="AJ315" s="3" t="str">
        <f>IFERROR(MID(VLOOKUP($B315,Seqs!$A:$B,2,0),AK315,1),"")</f>
        <v>N</v>
      </c>
      <c r="AK315" s="3">
        <v>199</v>
      </c>
      <c r="AL315" s="3" t="str">
        <f>IFERROR(MID(VLOOKUP($B315,Seqs!$A:$B,2,0),AM315,1),"")</f>
        <v>Q</v>
      </c>
      <c r="AM315" s="3">
        <v>236</v>
      </c>
      <c r="AN315" s="3" t="str">
        <f>IFERROR(MID(VLOOKUP($B315,Seqs!$A:$B,2,0),AO315,1),"")</f>
        <v>S</v>
      </c>
      <c r="AO315" s="3">
        <v>240</v>
      </c>
      <c r="AP315" s="3" t="str">
        <f>IFERROR(MID(VLOOKUP($B315,Seqs!$A:$B,2,0),AQ315,1),"")</f>
        <v>H</v>
      </c>
      <c r="AQ315" s="3">
        <v>278</v>
      </c>
      <c r="AR315" s="3" t="str">
        <f>IFERROR(MID(VLOOKUP($B315,Seqs!$A:$B,2,0),AS315,1),"")</f>
        <v>T</v>
      </c>
      <c r="AS315" s="3">
        <v>289</v>
      </c>
      <c r="AT315" s="3" t="str">
        <f>IFERROR(MID(VLOOKUP($B315,Seqs!$A:$B,2,0),AU315,1),"")</f>
        <v>M</v>
      </c>
      <c r="AU315" s="3">
        <v>309</v>
      </c>
      <c r="AV315" s="3" t="str">
        <f>IFERROR(MID(VLOOKUP($B315,Seqs!$A:$B,2,0),AW315,1),"")</f>
        <v>N</v>
      </c>
      <c r="AW315" s="3">
        <v>310</v>
      </c>
      <c r="AX315" s="3" t="str">
        <f>IFERROR(MID(VLOOKUP($B315,Seqs!$A:$B,2,0),AY315,1),"")</f>
        <v>C</v>
      </c>
      <c r="AY315" s="3">
        <v>322</v>
      </c>
      <c r="AZ315" s="77" t="str">
        <f>VLOOKUP(B315,Classification!A:D,2,0)</f>
        <v>A</v>
      </c>
      <c r="BA315" s="94" t="str">
        <f>VLOOKUP(B315,Classification!A:D,4,0)</f>
        <v>Opsins</v>
      </c>
      <c r="BB315" s="27" t="b">
        <f t="shared" si="1115"/>
        <v>1</v>
      </c>
      <c r="BC315" s="23">
        <f t="shared" si="1116"/>
        <v>245</v>
      </c>
      <c r="BD315" s="2" t="s">
        <v>23</v>
      </c>
      <c r="BE315" s="3" t="s">
        <v>1285</v>
      </c>
      <c r="BF315" s="118">
        <v>2.46</v>
      </c>
      <c r="BG315" s="49" t="s">
        <v>1</v>
      </c>
      <c r="BH315" s="49" t="s">
        <v>1</v>
      </c>
      <c r="BI315" s="1"/>
      <c r="BJ315" s="70" t="s">
        <v>1281</v>
      </c>
      <c r="BK315" s="57" t="s">
        <v>1281</v>
      </c>
      <c r="BL315" s="57" t="s">
        <v>1281</v>
      </c>
      <c r="BM315" s="57" t="s">
        <v>1281</v>
      </c>
      <c r="BN315" s="57" t="s">
        <v>1281</v>
      </c>
      <c r="BO315" s="57" t="s">
        <v>1281</v>
      </c>
      <c r="BP315" s="57" t="s">
        <v>1281</v>
      </c>
      <c r="BQ315" s="57" t="s">
        <v>1281</v>
      </c>
      <c r="BR315" s="57" t="s">
        <v>1281</v>
      </c>
      <c r="BS315" s="57" t="s">
        <v>1281</v>
      </c>
      <c r="BT315" s="57" t="s">
        <v>1281</v>
      </c>
      <c r="BU315" s="57" t="s">
        <v>1281</v>
      </c>
      <c r="BV315" s="70">
        <f>E315</f>
        <v>33</v>
      </c>
      <c r="BW315" s="71">
        <f>I315</f>
        <v>66</v>
      </c>
      <c r="BX315" s="72">
        <f>M315</f>
        <v>73</v>
      </c>
      <c r="BY315" s="71">
        <f>Q315</f>
        <v>102</v>
      </c>
      <c r="BZ315" s="72">
        <f>U315</f>
        <v>106</v>
      </c>
      <c r="CA315" s="71" t="str">
        <f>Y315</f>
        <v>-</v>
      </c>
      <c r="CB315" s="72">
        <f>AC315</f>
        <v>149</v>
      </c>
      <c r="CC315" s="71">
        <f>AG315</f>
        <v>187</v>
      </c>
      <c r="CD315" s="72">
        <f>AK315</f>
        <v>199</v>
      </c>
      <c r="CE315" s="71">
        <f>AO315</f>
        <v>240</v>
      </c>
      <c r="CF315" s="72">
        <f>AS315</f>
        <v>289</v>
      </c>
      <c r="CG315" s="71">
        <f>AW315</f>
        <v>310</v>
      </c>
      <c r="CH315" s="70">
        <f>G315</f>
        <v>64</v>
      </c>
      <c r="CI315" s="71">
        <f>K315</f>
        <v>69</v>
      </c>
      <c r="CJ315" s="72">
        <f>O315</f>
        <v>101</v>
      </c>
      <c r="CK315" s="72">
        <f>S315</f>
        <v>105</v>
      </c>
      <c r="CL315" s="72">
        <f>W315</f>
        <v>141</v>
      </c>
      <c r="CM315" s="72" t="str">
        <f>AA315</f>
        <v>-</v>
      </c>
      <c r="CN315" s="72">
        <f>AE315</f>
        <v>173</v>
      </c>
      <c r="CO315" s="72">
        <f>AI315</f>
        <v>189</v>
      </c>
      <c r="CP315" s="72">
        <f>AM315</f>
        <v>236</v>
      </c>
      <c r="CQ315" s="72">
        <f>AQ315</f>
        <v>278</v>
      </c>
      <c r="CR315" s="72">
        <f>AU315</f>
        <v>309</v>
      </c>
      <c r="CS315" s="72">
        <f>AY315</f>
        <v>322</v>
      </c>
      <c r="CT315" s="23">
        <f>M315-K315</f>
        <v>4</v>
      </c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1"/>
      <c r="QP315" s="1"/>
      <c r="QQ315" s="1"/>
      <c r="QR315" s="1"/>
      <c r="QS315" s="1"/>
      <c r="QT315" s="1"/>
      <c r="QU315" s="1"/>
      <c r="QV315" s="1"/>
      <c r="QW315" s="1"/>
      <c r="QX315" s="1"/>
      <c r="QY315" s="1"/>
      <c r="QZ315" s="1"/>
      <c r="RA315" s="1"/>
      <c r="RB315" s="1"/>
      <c r="RC315" s="1"/>
      <c r="RD315" s="1"/>
      <c r="RE315" s="1"/>
      <c r="RF315" s="1"/>
      <c r="RG315" s="1"/>
      <c r="RH315" s="1"/>
      <c r="RI315" s="1"/>
      <c r="RJ315" s="1"/>
      <c r="RK315" s="1"/>
      <c r="RL315" s="1"/>
      <c r="RM315" s="1"/>
      <c r="RN315" s="1"/>
      <c r="RO315" s="1"/>
      <c r="RP315" s="1"/>
      <c r="RQ315" s="1"/>
      <c r="RR315" s="1"/>
      <c r="RS315" s="1"/>
      <c r="RT315" s="1"/>
      <c r="RU315" s="1"/>
      <c r="RV315" s="1"/>
      <c r="RW315" s="1"/>
      <c r="RX315" s="1"/>
      <c r="RY315" s="1"/>
      <c r="RZ315" s="1"/>
      <c r="SA315" s="1"/>
      <c r="SB315" s="1"/>
      <c r="SC315" s="1"/>
      <c r="SD315" s="1"/>
      <c r="SE315" s="1"/>
      <c r="SF315" s="1"/>
      <c r="SG315" s="1"/>
      <c r="SH315" s="1"/>
      <c r="SI315" s="1"/>
      <c r="SJ315" s="1"/>
      <c r="SK315" s="1"/>
      <c r="SL315" s="1"/>
      <c r="SM315" s="1"/>
      <c r="SN315" s="1"/>
      <c r="SO315" s="1"/>
      <c r="SP315" s="1"/>
      <c r="SQ315" s="1"/>
      <c r="SR315" s="1"/>
      <c r="SS315" s="1"/>
      <c r="ST315" s="1"/>
      <c r="SU315" s="1"/>
      <c r="SV315" s="1"/>
      <c r="SW315" s="1"/>
      <c r="SX315" s="1"/>
      <c r="SY315" s="1"/>
      <c r="SZ315" s="1"/>
      <c r="TA315" s="1"/>
      <c r="TB315" s="1"/>
      <c r="TC315" s="1"/>
      <c r="TD315" s="1"/>
      <c r="TE315" s="1"/>
      <c r="TF315" s="1"/>
      <c r="TG315" s="1"/>
      <c r="TH315" s="1"/>
      <c r="TI315" s="1"/>
      <c r="TJ315" s="1"/>
      <c r="TK315" s="1"/>
      <c r="TL315" s="1"/>
      <c r="TM315" s="1"/>
      <c r="TN315" s="1"/>
      <c r="TO315" s="1"/>
      <c r="TP315" s="1"/>
      <c r="TQ315" s="1"/>
      <c r="TR315" s="1"/>
      <c r="TS315" s="1"/>
      <c r="TT315" s="1"/>
      <c r="TU315" s="1"/>
      <c r="TV315" s="1"/>
      <c r="TW315" s="1"/>
      <c r="TX315" s="1"/>
      <c r="TY315" s="1"/>
      <c r="TZ315" s="1"/>
      <c r="UA315" s="1"/>
      <c r="UB315" s="1"/>
      <c r="UC315" s="1"/>
      <c r="UD315" s="1"/>
      <c r="UE315" s="1"/>
      <c r="UF315" s="1"/>
      <c r="UG315" s="1"/>
      <c r="UH315" s="1"/>
      <c r="UI315" s="1"/>
      <c r="UJ315" s="1"/>
      <c r="UK315" s="1"/>
      <c r="UL315" s="1"/>
      <c r="UM315" s="1"/>
      <c r="UN315" s="1"/>
      <c r="UO315" s="1"/>
      <c r="UP315" s="1"/>
      <c r="UQ315" s="1"/>
      <c r="UR315" s="1"/>
      <c r="US315" s="1"/>
      <c r="UT315" s="1"/>
      <c r="UU315" s="1"/>
      <c r="UV315" s="1"/>
      <c r="UW315" s="1"/>
      <c r="UX315" s="1"/>
      <c r="UY315" s="1"/>
      <c r="UZ315" s="1"/>
      <c r="VA315" s="1"/>
      <c r="VB315" s="1"/>
      <c r="VC315" s="1"/>
      <c r="VD315" s="1"/>
      <c r="VE315" s="1"/>
      <c r="VF315" s="1"/>
      <c r="VG315" s="1"/>
      <c r="VH315" s="1"/>
      <c r="VI315" s="1"/>
      <c r="VJ315" s="1"/>
      <c r="VK315" s="1"/>
      <c r="VL315" s="1"/>
      <c r="VM315" s="1"/>
      <c r="VN315" s="1"/>
      <c r="VO315" s="1"/>
      <c r="VP315" s="1"/>
      <c r="VQ315" s="1"/>
      <c r="VR315" s="1"/>
      <c r="VS315" s="1"/>
      <c r="VT315" s="1"/>
      <c r="VU315" s="1"/>
      <c r="VV315" s="1"/>
      <c r="VW315" s="1"/>
      <c r="VX315" s="1"/>
      <c r="VY315" s="1"/>
      <c r="VZ315" s="1"/>
      <c r="WA315" s="1"/>
      <c r="WB315" s="1"/>
      <c r="WC315" s="1"/>
      <c r="WD315" s="1"/>
      <c r="WE315" s="1"/>
      <c r="WF315" s="1"/>
      <c r="WG315" s="1"/>
      <c r="WH315" s="1"/>
      <c r="WI315" s="1"/>
      <c r="WJ315" s="1"/>
      <c r="WK315" s="1"/>
      <c r="WL315" s="1"/>
      <c r="WM315" s="1"/>
      <c r="WN315" s="1"/>
      <c r="WO315" s="1"/>
      <c r="WP315" s="1"/>
      <c r="WQ315" s="1"/>
      <c r="WR315" s="1"/>
      <c r="WS315" s="1"/>
      <c r="WT315" s="1"/>
      <c r="WU315" s="1"/>
      <c r="WV315" s="1"/>
      <c r="WW315" s="1"/>
      <c r="WX315" s="1"/>
      <c r="WY315" s="1"/>
      <c r="WZ315" s="1"/>
      <c r="XA315" s="1"/>
      <c r="XB315" s="1"/>
      <c r="XC315" s="1"/>
      <c r="XD315" s="1"/>
      <c r="XE315" s="1"/>
      <c r="XF315" s="1"/>
      <c r="XG315" s="1"/>
      <c r="XH315" s="1"/>
      <c r="XI315" s="1"/>
      <c r="XJ315" s="1"/>
      <c r="XK315" s="1"/>
      <c r="XL315" s="1"/>
      <c r="XM315" s="1"/>
      <c r="XN315" s="1"/>
      <c r="XO315" s="1"/>
      <c r="XP315" s="1"/>
      <c r="XQ315" s="1"/>
      <c r="XR315" s="1"/>
      <c r="XS315" s="1"/>
      <c r="XT315" s="1"/>
      <c r="XU315" s="1"/>
      <c r="XV315" s="1"/>
      <c r="XW315" s="1"/>
      <c r="XX315" s="1"/>
      <c r="XY315" s="1"/>
      <c r="XZ315" s="1"/>
      <c r="YA315" s="1"/>
      <c r="YB315" s="1"/>
      <c r="YC315" s="1"/>
      <c r="YD315" s="1"/>
      <c r="YE315" s="1"/>
      <c r="YF315" s="1"/>
      <c r="YG315" s="1"/>
      <c r="YH315" s="1"/>
      <c r="YI315" s="1"/>
      <c r="YJ315" s="1"/>
      <c r="YK315" s="1"/>
      <c r="YL315" s="1"/>
      <c r="YM315" s="1"/>
      <c r="YN315" s="1"/>
      <c r="YO315" s="1"/>
      <c r="YP315" s="1"/>
      <c r="YQ315" s="1"/>
      <c r="YR315" s="1"/>
      <c r="YS315" s="1"/>
      <c r="YT315" s="1"/>
      <c r="YU315" s="1"/>
      <c r="YV315" s="1"/>
      <c r="YW315" s="1"/>
      <c r="YX315" s="1"/>
      <c r="YY315" s="1"/>
      <c r="YZ315" s="1"/>
      <c r="ZA315" s="1"/>
      <c r="ZB315" s="1"/>
      <c r="ZC315" s="1"/>
      <c r="ZD315" s="1"/>
      <c r="ZE315" s="1"/>
      <c r="ZF315" s="1"/>
      <c r="ZG315" s="1"/>
      <c r="ZH315" s="1"/>
      <c r="ZI315" s="1"/>
      <c r="ZJ315" s="1"/>
      <c r="ZK315" s="1"/>
      <c r="ZL315" s="1"/>
      <c r="ZM315" s="1"/>
      <c r="ZN315" s="1"/>
      <c r="ZO315" s="1"/>
      <c r="ZP315" s="1"/>
      <c r="ZQ315" s="1"/>
      <c r="ZR315" s="1"/>
      <c r="ZS315" s="1"/>
      <c r="ZT315" s="1"/>
      <c r="ZU315" s="1"/>
      <c r="ZV315" s="1"/>
      <c r="ZW315" s="1"/>
      <c r="ZX315" s="1"/>
      <c r="ZY315" s="1"/>
      <c r="ZZ315" s="1"/>
      <c r="AAA315" s="1"/>
      <c r="AAB315" s="1"/>
      <c r="AAC315" s="1"/>
      <c r="AAD315" s="1"/>
      <c r="AAE315" s="1"/>
      <c r="AAF315" s="1"/>
      <c r="AAG315" s="1"/>
      <c r="AAH315" s="1"/>
      <c r="AAI315" s="1"/>
      <c r="AAJ315" s="1"/>
      <c r="AAK315" s="1"/>
      <c r="AAL315" s="1"/>
      <c r="AAM315" s="1"/>
      <c r="AAN315" s="1"/>
      <c r="AAO315" s="1"/>
      <c r="AAP315" s="1"/>
      <c r="AAQ315" s="1"/>
      <c r="AAR315" s="1"/>
      <c r="AAS315" s="1"/>
      <c r="AAT315" s="1"/>
      <c r="AAU315" s="1"/>
      <c r="AAV315" s="1"/>
      <c r="AAW315" s="1"/>
      <c r="AAX315" s="1"/>
      <c r="AAY315" s="1"/>
      <c r="AAZ315" s="1"/>
      <c r="ABA315" s="1"/>
      <c r="ABB315" s="1"/>
      <c r="ABC315" s="1"/>
      <c r="ABD315" s="1"/>
      <c r="ABE315" s="1"/>
      <c r="ABF315" s="1"/>
      <c r="ABG315" s="1"/>
      <c r="ABH315" s="1"/>
      <c r="ABI315" s="1"/>
      <c r="ABJ315" s="1"/>
      <c r="ABK315" s="1"/>
      <c r="ABL315" s="1"/>
      <c r="ABM315" s="1"/>
      <c r="ABN315" s="1"/>
      <c r="ABO315" s="1"/>
      <c r="ABP315" s="1"/>
      <c r="ABQ315" s="1"/>
      <c r="ABR315" s="1"/>
      <c r="ABS315" s="1"/>
      <c r="ABT315" s="1"/>
      <c r="ABU315" s="1"/>
      <c r="ABV315" s="1"/>
      <c r="ABW315" s="1"/>
      <c r="ABX315" s="1"/>
      <c r="ABY315" s="1"/>
      <c r="ABZ315" s="1"/>
      <c r="ACA315" s="1"/>
      <c r="ACB315" s="1"/>
      <c r="ACC315" s="1"/>
      <c r="ACD315" s="1"/>
      <c r="ACE315" s="1"/>
      <c r="ACF315" s="1"/>
      <c r="ACG315" s="1"/>
      <c r="ACH315" s="1"/>
      <c r="ACI315" s="1"/>
      <c r="ACJ315" s="1"/>
      <c r="ACK315" s="1"/>
      <c r="ACL315" s="1"/>
      <c r="ACM315" s="1"/>
      <c r="ACN315" s="1"/>
      <c r="ACO315" s="1"/>
      <c r="ACP315" s="1"/>
      <c r="ACQ315" s="1"/>
      <c r="ACR315" s="1"/>
      <c r="ACS315" s="1"/>
      <c r="ACT315" s="1"/>
      <c r="ACU315" s="1"/>
      <c r="ACV315" s="1"/>
      <c r="ACW315" s="1"/>
      <c r="ACX315" s="1"/>
      <c r="ACY315" s="1"/>
      <c r="ACZ315" s="1"/>
      <c r="ADA315" s="1"/>
      <c r="ADB315" s="1"/>
      <c r="ADC315" s="1"/>
      <c r="ADD315" s="1"/>
      <c r="ADE315" s="1"/>
      <c r="ADF315" s="1"/>
      <c r="ADG315" s="1"/>
      <c r="ADH315" s="1"/>
      <c r="ADI315" s="1"/>
      <c r="ADJ315" s="1"/>
      <c r="ADK315" s="1"/>
      <c r="ADL315" s="1"/>
      <c r="ADM315" s="1"/>
      <c r="ADN315" s="1"/>
      <c r="ADO315" s="1"/>
      <c r="ADP315" s="1"/>
      <c r="ADQ315" s="1"/>
      <c r="ADR315" s="1"/>
      <c r="ADS315" s="1"/>
      <c r="ADT315" s="1"/>
      <c r="ADU315" s="1"/>
      <c r="ADV315" s="1"/>
      <c r="ADW315" s="1"/>
      <c r="ADX315" s="1"/>
      <c r="ADY315" s="1"/>
      <c r="ADZ315" s="1"/>
      <c r="AEA315" s="1"/>
      <c r="AEB315" s="1"/>
      <c r="AEC315" s="1"/>
      <c r="AED315" s="1"/>
      <c r="AEE315" s="1"/>
      <c r="AEF315" s="1"/>
      <c r="AEG315" s="1"/>
      <c r="AEH315" s="1"/>
      <c r="AEI315" s="1"/>
      <c r="AEJ315" s="1"/>
      <c r="AEK315" s="1"/>
      <c r="AEL315" s="1"/>
      <c r="AEM315" s="1"/>
      <c r="AEN315" s="1"/>
      <c r="AEO315" s="1"/>
      <c r="AEP315" s="1"/>
      <c r="AEQ315" s="1"/>
      <c r="AER315" s="1"/>
      <c r="AES315" s="1"/>
      <c r="AET315" s="1"/>
      <c r="AEU315" s="1"/>
      <c r="AEV315" s="1"/>
      <c r="AEW315" s="1"/>
      <c r="AEX315" s="1"/>
      <c r="AEY315" s="1"/>
      <c r="AEZ315" s="1"/>
      <c r="AFA315" s="1"/>
      <c r="AFB315" s="1"/>
      <c r="AFC315" s="1"/>
      <c r="AFD315" s="1"/>
      <c r="AFE315" s="1"/>
      <c r="AFF315" s="1"/>
      <c r="AFG315" s="1"/>
      <c r="AFH315" s="1"/>
      <c r="AFI315" s="1"/>
      <c r="AFJ315" s="1"/>
      <c r="AFK315" s="1"/>
      <c r="AFL315" s="1"/>
      <c r="AFM315" s="1"/>
      <c r="AFN315" s="1"/>
      <c r="AFO315" s="1"/>
      <c r="AFP315" s="1"/>
      <c r="AFQ315" s="1"/>
      <c r="AFR315" s="1"/>
      <c r="AFS315" s="1"/>
      <c r="AFT315" s="1"/>
      <c r="AFU315" s="1"/>
      <c r="AFV315" s="1"/>
      <c r="AFW315" s="1"/>
      <c r="AFX315" s="1"/>
      <c r="AFY315" s="1"/>
      <c r="AFZ315" s="1"/>
      <c r="AGA315" s="1"/>
      <c r="AGB315" s="1"/>
      <c r="AGC315" s="1"/>
      <c r="AGD315" s="1"/>
      <c r="AGE315" s="1"/>
      <c r="AGF315" s="1"/>
      <c r="AGG315" s="1"/>
      <c r="AGH315" s="1"/>
      <c r="AGI315" s="1"/>
      <c r="AGJ315" s="1"/>
      <c r="AGK315" s="1"/>
      <c r="AGL315" s="1"/>
      <c r="AGM315" s="1"/>
      <c r="AGN315" s="1"/>
      <c r="AGO315" s="1"/>
      <c r="AGP315" s="1"/>
      <c r="AGQ315" s="1"/>
      <c r="AGR315" s="1"/>
      <c r="AGS315" s="1"/>
      <c r="AGT315" s="1"/>
      <c r="AGU315" s="1"/>
      <c r="AGV315" s="1"/>
      <c r="AGW315" s="1"/>
      <c r="AGX315" s="1"/>
      <c r="AGY315" s="1"/>
      <c r="AGZ315" s="1"/>
      <c r="AHA315" s="1"/>
      <c r="AHB315" s="1"/>
      <c r="AHC315" s="1"/>
      <c r="AHD315" s="1"/>
      <c r="AHE315" s="1"/>
      <c r="AHF315" s="1"/>
      <c r="AHG315" s="1"/>
      <c r="AHH315" s="1"/>
      <c r="AHI315" s="1"/>
      <c r="AHJ315" s="1"/>
      <c r="AHK315" s="1"/>
      <c r="AHL315" s="1"/>
      <c r="AHM315" s="1"/>
      <c r="AHN315" s="1"/>
      <c r="AHO315" s="1"/>
      <c r="AHP315" s="1"/>
      <c r="AHQ315" s="1"/>
      <c r="AHR315" s="1"/>
      <c r="AHS315" s="1"/>
      <c r="AHT315" s="1"/>
      <c r="AHU315" s="1"/>
      <c r="AHV315" s="1"/>
      <c r="AHW315" s="1"/>
      <c r="AHX315" s="1"/>
      <c r="AHY315" s="1"/>
      <c r="AHZ315" s="1"/>
      <c r="AIA315" s="1"/>
      <c r="AIB315" s="1"/>
      <c r="AIC315" s="1"/>
      <c r="AID315" s="1"/>
      <c r="AIE315" s="1"/>
      <c r="AIF315" s="1"/>
      <c r="AIG315" s="1"/>
      <c r="AIH315" s="1"/>
      <c r="AII315" s="1"/>
      <c r="AIJ315" s="1"/>
      <c r="AIK315" s="1"/>
      <c r="AIL315" s="1"/>
      <c r="AIM315" s="1"/>
      <c r="AIN315" s="1"/>
      <c r="AIO315" s="1"/>
      <c r="AIP315" s="1"/>
      <c r="AIQ315" s="1"/>
      <c r="AIR315" s="1"/>
      <c r="AIS315" s="1"/>
      <c r="AIT315" s="1"/>
      <c r="AIU315" s="1"/>
      <c r="AIV315" s="1"/>
      <c r="AIW315" s="1"/>
      <c r="AIX315" s="1"/>
      <c r="AIY315" s="1"/>
      <c r="AIZ315" s="1"/>
      <c r="AJA315" s="1"/>
      <c r="AJB315" s="1"/>
      <c r="AJC315" s="1"/>
      <c r="AJD315" s="1"/>
      <c r="AJE315" s="1"/>
      <c r="AJF315" s="1"/>
      <c r="AJG315" s="1"/>
      <c r="AJH315" s="1"/>
      <c r="AJI315" s="1"/>
      <c r="AJJ315" s="1"/>
      <c r="AJK315" s="1"/>
      <c r="AJL315" s="1"/>
      <c r="AJM315" s="1"/>
      <c r="AJN315" s="1"/>
      <c r="AJO315" s="1"/>
      <c r="AJP315" s="1"/>
      <c r="AJQ315" s="1"/>
      <c r="AJR315" s="1"/>
      <c r="AJS315" s="1"/>
      <c r="AJT315" s="1"/>
      <c r="AJU315" s="1"/>
      <c r="AJV315" s="1"/>
      <c r="AJW315" s="1"/>
      <c r="AJX315" s="1"/>
      <c r="AJY315" s="1"/>
      <c r="AJZ315" s="1"/>
      <c r="AKA315" s="1"/>
      <c r="AKB315" s="1"/>
      <c r="AKC315" s="1"/>
      <c r="AKD315" s="1"/>
      <c r="AKE315" s="1"/>
      <c r="AKF315" s="1"/>
      <c r="AKG315" s="1"/>
      <c r="AKH315" s="1"/>
      <c r="AKI315" s="1"/>
      <c r="AKJ315" s="1"/>
      <c r="AKK315" s="1"/>
      <c r="AKL315" s="1"/>
      <c r="AKM315" s="1"/>
      <c r="AKN315" s="1"/>
      <c r="AKO315" s="1"/>
      <c r="AKP315" s="1"/>
      <c r="AKQ315" s="1"/>
      <c r="AKR315" s="1"/>
      <c r="AKS315" s="1"/>
      <c r="AKT315" s="1"/>
      <c r="AKU315" s="1"/>
      <c r="AKV315" s="1"/>
      <c r="AKW315" s="1"/>
      <c r="AKX315" s="1"/>
      <c r="AKY315" s="1"/>
      <c r="AKZ315" s="1"/>
      <c r="ALA315" s="1"/>
      <c r="ALB315" s="1"/>
      <c r="ALC315" s="1"/>
      <c r="ALD315" s="1"/>
      <c r="ALE315" s="1"/>
      <c r="ALF315" s="1"/>
      <c r="ALG315" s="1"/>
      <c r="ALH315" s="1"/>
      <c r="ALI315" s="1"/>
      <c r="ALJ315" s="1"/>
      <c r="ALK315" s="1"/>
      <c r="ALL315" s="1"/>
      <c r="ALM315" s="1"/>
      <c r="ALN315" s="1"/>
      <c r="ALO315" s="1"/>
      <c r="ALP315" s="1"/>
      <c r="ALQ315" s="1"/>
      <c r="ALR315" s="1"/>
      <c r="ALS315" s="1"/>
      <c r="ALT315" s="1"/>
      <c r="ALU315" s="1"/>
      <c r="ALV315" s="1"/>
      <c r="ALW315" s="1"/>
      <c r="ALX315" s="1"/>
      <c r="ALY315" s="1"/>
      <c r="ALZ315" s="1"/>
      <c r="AMA315" s="1"/>
      <c r="AMB315" s="1"/>
      <c r="AMC315" s="1"/>
      <c r="AMD315" s="1"/>
      <c r="AME315" s="1"/>
      <c r="AMF315" s="1"/>
      <c r="AMG315" s="1"/>
      <c r="AMH315" s="1"/>
      <c r="AMI315" s="1"/>
      <c r="AMJ315" s="1"/>
      <c r="AMK315" s="1"/>
      <c r="AML315" s="1"/>
      <c r="AMM315" s="1"/>
      <c r="AMN315" s="1"/>
      <c r="AMO315" s="1"/>
    </row>
    <row r="316" spans="1:1029" x14ac:dyDescent="0.2">
      <c r="A316" s="3" t="str">
        <f>CONCATENATE(B316,"_",C316)</f>
        <v>opsd_bovin_6FKD</v>
      </c>
      <c r="B316" s="3" t="s">
        <v>913</v>
      </c>
      <c r="C316" s="3" t="s">
        <v>1482</v>
      </c>
      <c r="D316" s="3" t="str">
        <f>IFERROR(MID(VLOOKUP($B316,Seqs!$A:$B,2,0),E316,1),"")</f>
        <v>E</v>
      </c>
      <c r="E316" s="3">
        <v>33</v>
      </c>
      <c r="F316" s="3" t="str">
        <f>IFERROR(MID(VLOOKUP($B316,Seqs!$A:$B,2,0),G316,1),"")</f>
        <v>Q</v>
      </c>
      <c r="G316" s="3">
        <v>64</v>
      </c>
      <c r="H316" s="3" t="str">
        <f>IFERROR(MID(VLOOKUP($B316,Seqs!$A:$B,2,0),I316,1),"")</f>
        <v>K</v>
      </c>
      <c r="I316" s="23">
        <v>66</v>
      </c>
      <c r="J316" s="3" t="str">
        <f>IFERROR(MID(VLOOKUP($B316,Seqs!$A:$B,2,0),K316,1),"")</f>
        <v>R</v>
      </c>
      <c r="K316" s="23">
        <v>69</v>
      </c>
      <c r="L316" s="3" t="str">
        <f>IFERROR(MID(VLOOKUP($B316,Seqs!$A:$B,2,0),M316,1),"")</f>
        <v>N</v>
      </c>
      <c r="M316" s="3">
        <v>73</v>
      </c>
      <c r="N316" s="3" t="str">
        <f>IFERROR(MID(VLOOKUP($B316,Seqs!$A:$B,2,0),O316,1),"")</f>
        <v>G</v>
      </c>
      <c r="O316" s="3">
        <v>101</v>
      </c>
      <c r="P316" s="3" t="str">
        <f>IFERROR(MID(VLOOKUP($B316,Seqs!$A:$B,2,0),Q316,1),"")</f>
        <v>Y</v>
      </c>
      <c r="Q316" s="3">
        <v>102</v>
      </c>
      <c r="R316" s="3" t="str">
        <f>IFERROR(MID(VLOOKUP($B316,Seqs!$A:$B,2,0),S316,1),"")</f>
        <v>F</v>
      </c>
      <c r="S316" s="3">
        <v>105</v>
      </c>
      <c r="T316" s="3" t="str">
        <f>IFERROR(MID(VLOOKUP($B316,Seqs!$A:$B,2,0),U316,1),"")</f>
        <v>G</v>
      </c>
      <c r="U316" s="3">
        <v>106</v>
      </c>
      <c r="V316" s="3" t="str">
        <f>IFERROR(MID(VLOOKUP($B316,Seqs!$A:$B,2,0),W316,1),"")</f>
        <v>K</v>
      </c>
      <c r="W316" s="3">
        <v>141</v>
      </c>
      <c r="X316" s="3" t="str">
        <f>IFERROR(MID(VLOOKUP($B316,Seqs!$A:$B,2,0),Y316,1),"")</f>
        <v/>
      </c>
      <c r="Y316" s="3" t="s">
        <v>23</v>
      </c>
      <c r="Z316" s="3" t="str">
        <f>IFERROR(MID(VLOOKUP($B316,Seqs!$A:$B,2,0),AA316,1),"")</f>
        <v/>
      </c>
      <c r="AA316" s="3" t="s">
        <v>23</v>
      </c>
      <c r="AB316" s="3" t="str">
        <f>IFERROR(MID(VLOOKUP($B316,Seqs!$A:$B,2,0),AC316,1),"")</f>
        <v>G</v>
      </c>
      <c r="AC316" s="3">
        <v>149</v>
      </c>
      <c r="AD316" s="3" t="str">
        <f>IFERROR(MID(VLOOKUP($B316,Seqs!$A:$B,2,0),AE316,1),"")</f>
        <v>V</v>
      </c>
      <c r="AE316" s="3">
        <v>173</v>
      </c>
      <c r="AF316" s="3" t="str">
        <f>IFERROR(MID(VLOOKUP($B316,Seqs!$A:$B,2,0),AG316,1),"")</f>
        <v>C</v>
      </c>
      <c r="AG316" s="3">
        <v>187</v>
      </c>
      <c r="AH316" s="3" t="str">
        <f>IFERROR(MID(VLOOKUP($B316,Seqs!$A:$B,2,0),AI316,1),"")</f>
        <v>I</v>
      </c>
      <c r="AI316" s="3">
        <v>189</v>
      </c>
      <c r="AJ316" s="3" t="str">
        <f>IFERROR(MID(VLOOKUP($B316,Seqs!$A:$B,2,0),AK316,1),"")</f>
        <v>N</v>
      </c>
      <c r="AK316" s="3">
        <v>199</v>
      </c>
      <c r="AL316" s="3" t="str">
        <f>IFERROR(MID(VLOOKUP($B316,Seqs!$A:$B,2,0),AM316,1),"")</f>
        <v>Q</v>
      </c>
      <c r="AM316" s="3">
        <v>236</v>
      </c>
      <c r="AN316" s="3" t="str">
        <f>IFERROR(MID(VLOOKUP($B316,Seqs!$A:$B,2,0),AO316,1),"")</f>
        <v>S</v>
      </c>
      <c r="AO316" s="3">
        <v>240</v>
      </c>
      <c r="AP316" s="3" t="str">
        <f>IFERROR(MID(VLOOKUP($B316,Seqs!$A:$B,2,0),AQ316,1),"")</f>
        <v>H</v>
      </c>
      <c r="AQ316" s="3">
        <v>278</v>
      </c>
      <c r="AR316" s="3" t="str">
        <f>IFERROR(MID(VLOOKUP($B316,Seqs!$A:$B,2,0),AS316,1),"")</f>
        <v>T</v>
      </c>
      <c r="AS316" s="3">
        <v>289</v>
      </c>
      <c r="AT316" s="3" t="str">
        <f>IFERROR(MID(VLOOKUP($B316,Seqs!$A:$B,2,0),AU316,1),"")</f>
        <v>M</v>
      </c>
      <c r="AU316" s="3">
        <v>309</v>
      </c>
      <c r="AV316" s="3" t="str">
        <f>IFERROR(MID(VLOOKUP($B316,Seqs!$A:$B,2,0),AW316,1),"")</f>
        <v>N</v>
      </c>
      <c r="AW316" s="3">
        <v>310</v>
      </c>
      <c r="AX316" s="3" t="str">
        <f>IFERROR(MID(VLOOKUP($B316,Seqs!$A:$B,2,0),AY316,1),"")</f>
        <v>C</v>
      </c>
      <c r="AY316" s="3">
        <v>322</v>
      </c>
      <c r="AZ316" s="77" t="str">
        <f>VLOOKUP(B316,Classification!A:D,2,0)</f>
        <v>A</v>
      </c>
      <c r="BA316" s="94" t="str">
        <f>VLOOKUP(B316,Classification!A:D,4,0)</f>
        <v>Opsins</v>
      </c>
      <c r="BB316" s="27" t="b">
        <f t="shared" si="1115"/>
        <v>1</v>
      </c>
      <c r="BC316" s="23">
        <f t="shared" si="1116"/>
        <v>245</v>
      </c>
      <c r="BD316" s="2" t="s">
        <v>23</v>
      </c>
      <c r="BE316" s="3" t="s">
        <v>1285</v>
      </c>
      <c r="BF316" s="118">
        <v>2.4900000000000002</v>
      </c>
      <c r="BG316" s="49" t="s">
        <v>1</v>
      </c>
      <c r="BH316" s="49" t="s">
        <v>1</v>
      </c>
      <c r="BI316" s="1"/>
      <c r="BJ316" s="70" t="s">
        <v>1281</v>
      </c>
      <c r="BK316" s="57" t="s">
        <v>1281</v>
      </c>
      <c r="BL316" s="57" t="s">
        <v>1281</v>
      </c>
      <c r="BM316" s="57" t="s">
        <v>1281</v>
      </c>
      <c r="BN316" s="57" t="s">
        <v>1281</v>
      </c>
      <c r="BO316" s="57" t="s">
        <v>1281</v>
      </c>
      <c r="BP316" s="57" t="s">
        <v>1281</v>
      </c>
      <c r="BQ316" s="57" t="s">
        <v>1281</v>
      </c>
      <c r="BR316" s="57" t="s">
        <v>1281</v>
      </c>
      <c r="BS316" s="57" t="s">
        <v>1281</v>
      </c>
      <c r="BT316" s="57" t="s">
        <v>1281</v>
      </c>
      <c r="BU316" s="57" t="s">
        <v>1281</v>
      </c>
      <c r="BV316" s="70">
        <f>E316</f>
        <v>33</v>
      </c>
      <c r="BW316" s="71">
        <f>I316</f>
        <v>66</v>
      </c>
      <c r="BX316" s="72">
        <f>M316</f>
        <v>73</v>
      </c>
      <c r="BY316" s="71">
        <f>Q316</f>
        <v>102</v>
      </c>
      <c r="BZ316" s="72">
        <f>U316</f>
        <v>106</v>
      </c>
      <c r="CA316" s="71" t="str">
        <f>Y316</f>
        <v>-</v>
      </c>
      <c r="CB316" s="72">
        <f>AC316</f>
        <v>149</v>
      </c>
      <c r="CC316" s="71">
        <f>AG316</f>
        <v>187</v>
      </c>
      <c r="CD316" s="72">
        <f>AK316</f>
        <v>199</v>
      </c>
      <c r="CE316" s="71">
        <f>AO316</f>
        <v>240</v>
      </c>
      <c r="CF316" s="72">
        <f>AS316</f>
        <v>289</v>
      </c>
      <c r="CG316" s="71">
        <f>AW316</f>
        <v>310</v>
      </c>
      <c r="CH316" s="70">
        <f>G316</f>
        <v>64</v>
      </c>
      <c r="CI316" s="71">
        <f>K316</f>
        <v>69</v>
      </c>
      <c r="CJ316" s="72">
        <f>O316</f>
        <v>101</v>
      </c>
      <c r="CK316" s="72">
        <f>S316</f>
        <v>105</v>
      </c>
      <c r="CL316" s="72">
        <f>W316</f>
        <v>141</v>
      </c>
      <c r="CM316" s="72" t="str">
        <f>AA316</f>
        <v>-</v>
      </c>
      <c r="CN316" s="72">
        <f>AE316</f>
        <v>173</v>
      </c>
      <c r="CO316" s="72">
        <f>AI316</f>
        <v>189</v>
      </c>
      <c r="CP316" s="72">
        <f>AM316</f>
        <v>236</v>
      </c>
      <c r="CQ316" s="72">
        <f>AQ316</f>
        <v>278</v>
      </c>
      <c r="CR316" s="72">
        <f>AU316</f>
        <v>309</v>
      </c>
      <c r="CS316" s="72">
        <f>AY316</f>
        <v>322</v>
      </c>
      <c r="CT316" s="23">
        <f>M316-K316</f>
        <v>4</v>
      </c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1"/>
      <c r="QP316" s="1"/>
      <c r="QQ316" s="1"/>
      <c r="QR316" s="1"/>
      <c r="QS316" s="1"/>
      <c r="QT316" s="1"/>
      <c r="QU316" s="1"/>
      <c r="QV316" s="1"/>
      <c r="QW316" s="1"/>
      <c r="QX316" s="1"/>
      <c r="QY316" s="1"/>
      <c r="QZ316" s="1"/>
      <c r="RA316" s="1"/>
      <c r="RB316" s="1"/>
      <c r="RC316" s="1"/>
      <c r="RD316" s="1"/>
      <c r="RE316" s="1"/>
      <c r="RF316" s="1"/>
      <c r="RG316" s="1"/>
      <c r="RH316" s="1"/>
      <c r="RI316" s="1"/>
      <c r="RJ316" s="1"/>
      <c r="RK316" s="1"/>
      <c r="RL316" s="1"/>
      <c r="RM316" s="1"/>
      <c r="RN316" s="1"/>
      <c r="RO316" s="1"/>
      <c r="RP316" s="1"/>
      <c r="RQ316" s="1"/>
      <c r="RR316" s="1"/>
      <c r="RS316" s="1"/>
      <c r="RT316" s="1"/>
      <c r="RU316" s="1"/>
      <c r="RV316" s="1"/>
      <c r="RW316" s="1"/>
      <c r="RX316" s="1"/>
      <c r="RY316" s="1"/>
      <c r="RZ316" s="1"/>
      <c r="SA316" s="1"/>
      <c r="SB316" s="1"/>
      <c r="SC316" s="1"/>
      <c r="SD316" s="1"/>
      <c r="SE316" s="1"/>
      <c r="SF316" s="1"/>
      <c r="SG316" s="1"/>
      <c r="SH316" s="1"/>
      <c r="SI316" s="1"/>
      <c r="SJ316" s="1"/>
      <c r="SK316" s="1"/>
      <c r="SL316" s="1"/>
      <c r="SM316" s="1"/>
      <c r="SN316" s="1"/>
      <c r="SO316" s="1"/>
      <c r="SP316" s="1"/>
      <c r="SQ316" s="1"/>
      <c r="SR316" s="1"/>
      <c r="SS316" s="1"/>
      <c r="ST316" s="1"/>
      <c r="SU316" s="1"/>
      <c r="SV316" s="1"/>
      <c r="SW316" s="1"/>
      <c r="SX316" s="1"/>
      <c r="SY316" s="1"/>
      <c r="SZ316" s="1"/>
      <c r="TA316" s="1"/>
      <c r="TB316" s="1"/>
      <c r="TC316" s="1"/>
      <c r="TD316" s="1"/>
      <c r="TE316" s="1"/>
      <c r="TF316" s="1"/>
      <c r="TG316" s="1"/>
      <c r="TH316" s="1"/>
      <c r="TI316" s="1"/>
      <c r="TJ316" s="1"/>
      <c r="TK316" s="1"/>
      <c r="TL316" s="1"/>
      <c r="TM316" s="1"/>
      <c r="TN316" s="1"/>
      <c r="TO316" s="1"/>
      <c r="TP316" s="1"/>
      <c r="TQ316" s="1"/>
      <c r="TR316" s="1"/>
      <c r="TS316" s="1"/>
      <c r="TT316" s="1"/>
      <c r="TU316" s="1"/>
      <c r="TV316" s="1"/>
      <c r="TW316" s="1"/>
      <c r="TX316" s="1"/>
      <c r="TY316" s="1"/>
      <c r="TZ316" s="1"/>
      <c r="UA316" s="1"/>
      <c r="UB316" s="1"/>
      <c r="UC316" s="1"/>
      <c r="UD316" s="1"/>
      <c r="UE316" s="1"/>
      <c r="UF316" s="1"/>
      <c r="UG316" s="1"/>
      <c r="UH316" s="1"/>
      <c r="UI316" s="1"/>
      <c r="UJ316" s="1"/>
      <c r="UK316" s="1"/>
      <c r="UL316" s="1"/>
      <c r="UM316" s="1"/>
      <c r="UN316" s="1"/>
      <c r="UO316" s="1"/>
      <c r="UP316" s="1"/>
      <c r="UQ316" s="1"/>
      <c r="UR316" s="1"/>
      <c r="US316" s="1"/>
      <c r="UT316" s="1"/>
      <c r="UU316" s="1"/>
      <c r="UV316" s="1"/>
      <c r="UW316" s="1"/>
      <c r="UX316" s="1"/>
      <c r="UY316" s="1"/>
      <c r="UZ316" s="1"/>
      <c r="VA316" s="1"/>
      <c r="VB316" s="1"/>
      <c r="VC316" s="1"/>
      <c r="VD316" s="1"/>
      <c r="VE316" s="1"/>
      <c r="VF316" s="1"/>
      <c r="VG316" s="1"/>
      <c r="VH316" s="1"/>
      <c r="VI316" s="1"/>
      <c r="VJ316" s="1"/>
      <c r="VK316" s="1"/>
      <c r="VL316" s="1"/>
      <c r="VM316" s="1"/>
      <c r="VN316" s="1"/>
      <c r="VO316" s="1"/>
      <c r="VP316" s="1"/>
      <c r="VQ316" s="1"/>
      <c r="VR316" s="1"/>
      <c r="VS316" s="1"/>
      <c r="VT316" s="1"/>
      <c r="VU316" s="1"/>
      <c r="VV316" s="1"/>
      <c r="VW316" s="1"/>
      <c r="VX316" s="1"/>
      <c r="VY316" s="1"/>
      <c r="VZ316" s="1"/>
      <c r="WA316" s="1"/>
      <c r="WB316" s="1"/>
      <c r="WC316" s="1"/>
      <c r="WD316" s="1"/>
      <c r="WE316" s="1"/>
      <c r="WF316" s="1"/>
      <c r="WG316" s="1"/>
      <c r="WH316" s="1"/>
      <c r="WI316" s="1"/>
      <c r="WJ316" s="1"/>
      <c r="WK316" s="1"/>
      <c r="WL316" s="1"/>
      <c r="WM316" s="1"/>
      <c r="WN316" s="1"/>
      <c r="WO316" s="1"/>
      <c r="WP316" s="1"/>
      <c r="WQ316" s="1"/>
      <c r="WR316" s="1"/>
      <c r="WS316" s="1"/>
      <c r="WT316" s="1"/>
      <c r="WU316" s="1"/>
      <c r="WV316" s="1"/>
      <c r="WW316" s="1"/>
      <c r="WX316" s="1"/>
      <c r="WY316" s="1"/>
      <c r="WZ316" s="1"/>
      <c r="XA316" s="1"/>
      <c r="XB316" s="1"/>
      <c r="XC316" s="1"/>
      <c r="XD316" s="1"/>
      <c r="XE316" s="1"/>
      <c r="XF316" s="1"/>
      <c r="XG316" s="1"/>
      <c r="XH316" s="1"/>
      <c r="XI316" s="1"/>
      <c r="XJ316" s="1"/>
      <c r="XK316" s="1"/>
      <c r="XL316" s="1"/>
      <c r="XM316" s="1"/>
      <c r="XN316" s="1"/>
      <c r="XO316" s="1"/>
      <c r="XP316" s="1"/>
      <c r="XQ316" s="1"/>
      <c r="XR316" s="1"/>
      <c r="XS316" s="1"/>
      <c r="XT316" s="1"/>
      <c r="XU316" s="1"/>
      <c r="XV316" s="1"/>
      <c r="XW316" s="1"/>
      <c r="XX316" s="1"/>
      <c r="XY316" s="1"/>
      <c r="XZ316" s="1"/>
      <c r="YA316" s="1"/>
      <c r="YB316" s="1"/>
      <c r="YC316" s="1"/>
      <c r="YD316" s="1"/>
      <c r="YE316" s="1"/>
      <c r="YF316" s="1"/>
      <c r="YG316" s="1"/>
      <c r="YH316" s="1"/>
      <c r="YI316" s="1"/>
      <c r="YJ316" s="1"/>
      <c r="YK316" s="1"/>
      <c r="YL316" s="1"/>
      <c r="YM316" s="1"/>
      <c r="YN316" s="1"/>
      <c r="YO316" s="1"/>
      <c r="YP316" s="1"/>
      <c r="YQ316" s="1"/>
      <c r="YR316" s="1"/>
      <c r="YS316" s="1"/>
      <c r="YT316" s="1"/>
      <c r="YU316" s="1"/>
      <c r="YV316" s="1"/>
      <c r="YW316" s="1"/>
      <c r="YX316" s="1"/>
      <c r="YY316" s="1"/>
      <c r="YZ316" s="1"/>
      <c r="ZA316" s="1"/>
      <c r="ZB316" s="1"/>
      <c r="ZC316" s="1"/>
      <c r="ZD316" s="1"/>
      <c r="ZE316" s="1"/>
      <c r="ZF316" s="1"/>
      <c r="ZG316" s="1"/>
      <c r="ZH316" s="1"/>
      <c r="ZI316" s="1"/>
      <c r="ZJ316" s="1"/>
      <c r="ZK316" s="1"/>
      <c r="ZL316" s="1"/>
      <c r="ZM316" s="1"/>
      <c r="ZN316" s="1"/>
      <c r="ZO316" s="1"/>
      <c r="ZP316" s="1"/>
      <c r="ZQ316" s="1"/>
      <c r="ZR316" s="1"/>
      <c r="ZS316" s="1"/>
      <c r="ZT316" s="1"/>
      <c r="ZU316" s="1"/>
      <c r="ZV316" s="1"/>
      <c r="ZW316" s="1"/>
      <c r="ZX316" s="1"/>
      <c r="ZY316" s="1"/>
      <c r="ZZ316" s="1"/>
      <c r="AAA316" s="1"/>
      <c r="AAB316" s="1"/>
      <c r="AAC316" s="1"/>
      <c r="AAD316" s="1"/>
      <c r="AAE316" s="1"/>
      <c r="AAF316" s="1"/>
      <c r="AAG316" s="1"/>
      <c r="AAH316" s="1"/>
      <c r="AAI316" s="1"/>
      <c r="AAJ316" s="1"/>
      <c r="AAK316" s="1"/>
      <c r="AAL316" s="1"/>
      <c r="AAM316" s="1"/>
      <c r="AAN316" s="1"/>
      <c r="AAO316" s="1"/>
      <c r="AAP316" s="1"/>
      <c r="AAQ316" s="1"/>
      <c r="AAR316" s="1"/>
      <c r="AAS316" s="1"/>
      <c r="AAT316" s="1"/>
      <c r="AAU316" s="1"/>
      <c r="AAV316" s="1"/>
      <c r="AAW316" s="1"/>
      <c r="AAX316" s="1"/>
      <c r="AAY316" s="1"/>
      <c r="AAZ316" s="1"/>
      <c r="ABA316" s="1"/>
      <c r="ABB316" s="1"/>
      <c r="ABC316" s="1"/>
      <c r="ABD316" s="1"/>
      <c r="ABE316" s="1"/>
      <c r="ABF316" s="1"/>
      <c r="ABG316" s="1"/>
      <c r="ABH316" s="1"/>
      <c r="ABI316" s="1"/>
      <c r="ABJ316" s="1"/>
      <c r="ABK316" s="1"/>
      <c r="ABL316" s="1"/>
      <c r="ABM316" s="1"/>
      <c r="ABN316" s="1"/>
      <c r="ABO316" s="1"/>
      <c r="ABP316" s="1"/>
      <c r="ABQ316" s="1"/>
      <c r="ABR316" s="1"/>
      <c r="ABS316" s="1"/>
      <c r="ABT316" s="1"/>
      <c r="ABU316" s="1"/>
      <c r="ABV316" s="1"/>
      <c r="ABW316" s="1"/>
      <c r="ABX316" s="1"/>
      <c r="ABY316" s="1"/>
      <c r="ABZ316" s="1"/>
      <c r="ACA316" s="1"/>
      <c r="ACB316" s="1"/>
      <c r="ACC316" s="1"/>
      <c r="ACD316" s="1"/>
      <c r="ACE316" s="1"/>
      <c r="ACF316" s="1"/>
      <c r="ACG316" s="1"/>
      <c r="ACH316" s="1"/>
      <c r="ACI316" s="1"/>
      <c r="ACJ316" s="1"/>
      <c r="ACK316" s="1"/>
      <c r="ACL316" s="1"/>
      <c r="ACM316" s="1"/>
      <c r="ACN316" s="1"/>
      <c r="ACO316" s="1"/>
      <c r="ACP316" s="1"/>
      <c r="ACQ316" s="1"/>
      <c r="ACR316" s="1"/>
      <c r="ACS316" s="1"/>
      <c r="ACT316" s="1"/>
      <c r="ACU316" s="1"/>
      <c r="ACV316" s="1"/>
      <c r="ACW316" s="1"/>
      <c r="ACX316" s="1"/>
      <c r="ACY316" s="1"/>
      <c r="ACZ316" s="1"/>
      <c r="ADA316" s="1"/>
      <c r="ADB316" s="1"/>
      <c r="ADC316" s="1"/>
      <c r="ADD316" s="1"/>
      <c r="ADE316" s="1"/>
      <c r="ADF316" s="1"/>
      <c r="ADG316" s="1"/>
      <c r="ADH316" s="1"/>
      <c r="ADI316" s="1"/>
      <c r="ADJ316" s="1"/>
      <c r="ADK316" s="1"/>
      <c r="ADL316" s="1"/>
      <c r="ADM316" s="1"/>
      <c r="ADN316" s="1"/>
      <c r="ADO316" s="1"/>
      <c r="ADP316" s="1"/>
      <c r="ADQ316" s="1"/>
      <c r="ADR316" s="1"/>
      <c r="ADS316" s="1"/>
      <c r="ADT316" s="1"/>
      <c r="ADU316" s="1"/>
      <c r="ADV316" s="1"/>
      <c r="ADW316" s="1"/>
      <c r="ADX316" s="1"/>
      <c r="ADY316" s="1"/>
      <c r="ADZ316" s="1"/>
      <c r="AEA316" s="1"/>
      <c r="AEB316" s="1"/>
      <c r="AEC316" s="1"/>
      <c r="AED316" s="1"/>
      <c r="AEE316" s="1"/>
      <c r="AEF316" s="1"/>
      <c r="AEG316" s="1"/>
      <c r="AEH316" s="1"/>
      <c r="AEI316" s="1"/>
      <c r="AEJ316" s="1"/>
      <c r="AEK316" s="1"/>
      <c r="AEL316" s="1"/>
      <c r="AEM316" s="1"/>
      <c r="AEN316" s="1"/>
      <c r="AEO316" s="1"/>
      <c r="AEP316" s="1"/>
      <c r="AEQ316" s="1"/>
      <c r="AER316" s="1"/>
      <c r="AES316" s="1"/>
      <c r="AET316" s="1"/>
      <c r="AEU316" s="1"/>
      <c r="AEV316" s="1"/>
      <c r="AEW316" s="1"/>
      <c r="AEX316" s="1"/>
      <c r="AEY316" s="1"/>
      <c r="AEZ316" s="1"/>
      <c r="AFA316" s="1"/>
      <c r="AFB316" s="1"/>
      <c r="AFC316" s="1"/>
      <c r="AFD316" s="1"/>
      <c r="AFE316" s="1"/>
      <c r="AFF316" s="1"/>
      <c r="AFG316" s="1"/>
      <c r="AFH316" s="1"/>
      <c r="AFI316" s="1"/>
      <c r="AFJ316" s="1"/>
      <c r="AFK316" s="1"/>
      <c r="AFL316" s="1"/>
      <c r="AFM316" s="1"/>
      <c r="AFN316" s="1"/>
      <c r="AFO316" s="1"/>
      <c r="AFP316" s="1"/>
      <c r="AFQ316" s="1"/>
      <c r="AFR316" s="1"/>
      <c r="AFS316" s="1"/>
      <c r="AFT316" s="1"/>
      <c r="AFU316" s="1"/>
      <c r="AFV316" s="1"/>
      <c r="AFW316" s="1"/>
      <c r="AFX316" s="1"/>
      <c r="AFY316" s="1"/>
      <c r="AFZ316" s="1"/>
      <c r="AGA316" s="1"/>
      <c r="AGB316" s="1"/>
      <c r="AGC316" s="1"/>
      <c r="AGD316" s="1"/>
      <c r="AGE316" s="1"/>
      <c r="AGF316" s="1"/>
      <c r="AGG316" s="1"/>
      <c r="AGH316" s="1"/>
      <c r="AGI316" s="1"/>
      <c r="AGJ316" s="1"/>
      <c r="AGK316" s="1"/>
      <c r="AGL316" s="1"/>
      <c r="AGM316" s="1"/>
      <c r="AGN316" s="1"/>
      <c r="AGO316" s="1"/>
      <c r="AGP316" s="1"/>
      <c r="AGQ316" s="1"/>
      <c r="AGR316" s="1"/>
      <c r="AGS316" s="1"/>
      <c r="AGT316" s="1"/>
      <c r="AGU316" s="1"/>
      <c r="AGV316" s="1"/>
      <c r="AGW316" s="1"/>
      <c r="AGX316" s="1"/>
      <c r="AGY316" s="1"/>
      <c r="AGZ316" s="1"/>
      <c r="AHA316" s="1"/>
      <c r="AHB316" s="1"/>
      <c r="AHC316" s="1"/>
      <c r="AHD316" s="1"/>
      <c r="AHE316" s="1"/>
      <c r="AHF316" s="1"/>
      <c r="AHG316" s="1"/>
      <c r="AHH316" s="1"/>
      <c r="AHI316" s="1"/>
      <c r="AHJ316" s="1"/>
      <c r="AHK316" s="1"/>
      <c r="AHL316" s="1"/>
      <c r="AHM316" s="1"/>
      <c r="AHN316" s="1"/>
      <c r="AHO316" s="1"/>
      <c r="AHP316" s="1"/>
      <c r="AHQ316" s="1"/>
      <c r="AHR316" s="1"/>
      <c r="AHS316" s="1"/>
      <c r="AHT316" s="1"/>
      <c r="AHU316" s="1"/>
      <c r="AHV316" s="1"/>
      <c r="AHW316" s="1"/>
      <c r="AHX316" s="1"/>
      <c r="AHY316" s="1"/>
      <c r="AHZ316" s="1"/>
      <c r="AIA316" s="1"/>
      <c r="AIB316" s="1"/>
      <c r="AIC316" s="1"/>
      <c r="AID316" s="1"/>
      <c r="AIE316" s="1"/>
      <c r="AIF316" s="1"/>
      <c r="AIG316" s="1"/>
      <c r="AIH316" s="1"/>
      <c r="AII316" s="1"/>
      <c r="AIJ316" s="1"/>
      <c r="AIK316" s="1"/>
      <c r="AIL316" s="1"/>
      <c r="AIM316" s="1"/>
      <c r="AIN316" s="1"/>
      <c r="AIO316" s="1"/>
      <c r="AIP316" s="1"/>
      <c r="AIQ316" s="1"/>
      <c r="AIR316" s="1"/>
      <c r="AIS316" s="1"/>
      <c r="AIT316" s="1"/>
      <c r="AIU316" s="1"/>
      <c r="AIV316" s="1"/>
      <c r="AIW316" s="1"/>
      <c r="AIX316" s="1"/>
      <c r="AIY316" s="1"/>
      <c r="AIZ316" s="1"/>
      <c r="AJA316" s="1"/>
      <c r="AJB316" s="1"/>
      <c r="AJC316" s="1"/>
      <c r="AJD316" s="1"/>
      <c r="AJE316" s="1"/>
      <c r="AJF316" s="1"/>
      <c r="AJG316" s="1"/>
      <c r="AJH316" s="1"/>
      <c r="AJI316" s="1"/>
      <c r="AJJ316" s="1"/>
      <c r="AJK316" s="1"/>
      <c r="AJL316" s="1"/>
      <c r="AJM316" s="1"/>
      <c r="AJN316" s="1"/>
      <c r="AJO316" s="1"/>
      <c r="AJP316" s="1"/>
      <c r="AJQ316" s="1"/>
      <c r="AJR316" s="1"/>
      <c r="AJS316" s="1"/>
      <c r="AJT316" s="1"/>
      <c r="AJU316" s="1"/>
      <c r="AJV316" s="1"/>
      <c r="AJW316" s="1"/>
      <c r="AJX316" s="1"/>
      <c r="AJY316" s="1"/>
      <c r="AJZ316" s="1"/>
      <c r="AKA316" s="1"/>
      <c r="AKB316" s="1"/>
      <c r="AKC316" s="1"/>
      <c r="AKD316" s="1"/>
      <c r="AKE316" s="1"/>
      <c r="AKF316" s="1"/>
      <c r="AKG316" s="1"/>
      <c r="AKH316" s="1"/>
      <c r="AKI316" s="1"/>
      <c r="AKJ316" s="1"/>
      <c r="AKK316" s="1"/>
      <c r="AKL316" s="1"/>
      <c r="AKM316" s="1"/>
      <c r="AKN316" s="1"/>
      <c r="AKO316" s="1"/>
      <c r="AKP316" s="1"/>
      <c r="AKQ316" s="1"/>
      <c r="AKR316" s="1"/>
      <c r="AKS316" s="1"/>
      <c r="AKT316" s="1"/>
      <c r="AKU316" s="1"/>
      <c r="AKV316" s="1"/>
      <c r="AKW316" s="1"/>
      <c r="AKX316" s="1"/>
      <c r="AKY316" s="1"/>
      <c r="AKZ316" s="1"/>
      <c r="ALA316" s="1"/>
      <c r="ALB316" s="1"/>
      <c r="ALC316" s="1"/>
      <c r="ALD316" s="1"/>
      <c r="ALE316" s="1"/>
      <c r="ALF316" s="1"/>
      <c r="ALG316" s="1"/>
      <c r="ALH316" s="1"/>
      <c r="ALI316" s="1"/>
      <c r="ALJ316" s="1"/>
      <c r="ALK316" s="1"/>
      <c r="ALL316" s="1"/>
      <c r="ALM316" s="1"/>
      <c r="ALN316" s="1"/>
      <c r="ALO316" s="1"/>
      <c r="ALP316" s="1"/>
      <c r="ALQ316" s="1"/>
      <c r="ALR316" s="1"/>
      <c r="ALS316" s="1"/>
      <c r="ALT316" s="1"/>
      <c r="ALU316" s="1"/>
      <c r="ALV316" s="1"/>
      <c r="ALW316" s="1"/>
      <c r="ALX316" s="1"/>
      <c r="ALY316" s="1"/>
      <c r="ALZ316" s="1"/>
      <c r="AMA316" s="1"/>
      <c r="AMB316" s="1"/>
      <c r="AMC316" s="1"/>
      <c r="AMD316" s="1"/>
      <c r="AME316" s="1"/>
      <c r="AMF316" s="1"/>
      <c r="AMG316" s="1"/>
      <c r="AMH316" s="1"/>
      <c r="AMI316" s="1"/>
      <c r="AMJ316" s="1"/>
      <c r="AMK316" s="1"/>
      <c r="AML316" s="1"/>
      <c r="AMM316" s="1"/>
      <c r="AMN316" s="1"/>
      <c r="AMO316" s="1"/>
    </row>
    <row r="317" spans="1:1029" x14ac:dyDescent="0.2">
      <c r="A317" s="3" t="str">
        <f>CONCATENATE(B317,"_",C317)</f>
        <v>opsd_bovin_6FUF</v>
      </c>
      <c r="B317" s="3" t="s">
        <v>913</v>
      </c>
      <c r="C317" s="3" t="s">
        <v>1512</v>
      </c>
      <c r="D317" s="3" t="str">
        <f>IFERROR(MID(VLOOKUP($B317,Seqs!$A:$B,2,0),E317,1),"")</f>
        <v>E</v>
      </c>
      <c r="E317" s="3">
        <v>33</v>
      </c>
      <c r="F317" s="3" t="str">
        <f>IFERROR(MID(VLOOKUP($B317,Seqs!$A:$B,2,0),G317,1),"")</f>
        <v>H</v>
      </c>
      <c r="G317" s="3">
        <v>65</v>
      </c>
      <c r="H317" s="3" t="str">
        <f>IFERROR(MID(VLOOKUP($B317,Seqs!$A:$B,2,0),I317,1),"")</f>
        <v>K</v>
      </c>
      <c r="I317" s="23">
        <v>66</v>
      </c>
      <c r="J317" s="3" t="str">
        <f>IFERROR(MID(VLOOKUP($B317,Seqs!$A:$B,2,0),K317,1),"")</f>
        <v>R</v>
      </c>
      <c r="K317" s="23">
        <v>69</v>
      </c>
      <c r="L317" s="3" t="str">
        <f>IFERROR(MID(VLOOKUP($B317,Seqs!$A:$B,2,0),M317,1),"")</f>
        <v>N</v>
      </c>
      <c r="M317" s="3">
        <v>73</v>
      </c>
      <c r="N317" s="3" t="str">
        <f>IFERROR(MID(VLOOKUP($B317,Seqs!$A:$B,2,0),O317,1),"")</f>
        <v>G</v>
      </c>
      <c r="O317" s="3">
        <v>101</v>
      </c>
      <c r="P317" s="3" t="str">
        <f>IFERROR(MID(VLOOKUP($B317,Seqs!$A:$B,2,0),Q317,1),"")</f>
        <v>Y</v>
      </c>
      <c r="Q317" s="3">
        <v>102</v>
      </c>
      <c r="R317" s="3" t="str">
        <f>IFERROR(MID(VLOOKUP($B317,Seqs!$A:$B,2,0),S317,1),"")</f>
        <v>F</v>
      </c>
      <c r="S317" s="3">
        <v>105</v>
      </c>
      <c r="T317" s="3" t="str">
        <f>IFERROR(MID(VLOOKUP($B317,Seqs!$A:$B,2,0),U317,1),"")</f>
        <v>G</v>
      </c>
      <c r="U317" s="3">
        <v>106</v>
      </c>
      <c r="V317" s="3" t="str">
        <f>IFERROR(MID(VLOOKUP($B317,Seqs!$A:$B,2,0),W317,1),"")</f>
        <v>K</v>
      </c>
      <c r="W317" s="3">
        <v>141</v>
      </c>
      <c r="X317" s="3" t="str">
        <f>IFERROR(MID(VLOOKUP($B317,Seqs!$A:$B,2,0),Y317,1),"")</f>
        <v/>
      </c>
      <c r="Y317" s="3" t="s">
        <v>23</v>
      </c>
      <c r="Z317" s="3" t="str">
        <f>IFERROR(MID(VLOOKUP($B317,Seqs!$A:$B,2,0),AA317,1),"")</f>
        <v/>
      </c>
      <c r="AA317" s="3" t="s">
        <v>23</v>
      </c>
      <c r="AB317" s="3" t="str">
        <f>IFERROR(MID(VLOOKUP($B317,Seqs!$A:$B,2,0),AC317,1),"")</f>
        <v>G</v>
      </c>
      <c r="AC317" s="3">
        <v>149</v>
      </c>
      <c r="AD317" s="3" t="str">
        <f>IFERROR(MID(VLOOKUP($B317,Seqs!$A:$B,2,0),AE317,1),"")</f>
        <v>V</v>
      </c>
      <c r="AE317" s="3">
        <v>173</v>
      </c>
      <c r="AF317" s="3" t="str">
        <f>IFERROR(MID(VLOOKUP($B317,Seqs!$A:$B,2,0),AG317,1),"")</f>
        <v>C</v>
      </c>
      <c r="AG317" s="3">
        <v>187</v>
      </c>
      <c r="AH317" s="3" t="str">
        <f>IFERROR(MID(VLOOKUP($B317,Seqs!$A:$B,2,0),AI317,1),"")</f>
        <v>I</v>
      </c>
      <c r="AI317" s="3">
        <v>189</v>
      </c>
      <c r="AJ317" s="3" t="str">
        <f>IFERROR(MID(VLOOKUP($B317,Seqs!$A:$B,2,0),AK317,1),"")</f>
        <v>N</v>
      </c>
      <c r="AK317" s="3">
        <v>199</v>
      </c>
      <c r="AL317" s="3" t="str">
        <f>IFERROR(MID(VLOOKUP($B317,Seqs!$A:$B,2,0),AM317,1),"")</f>
        <v>Q</v>
      </c>
      <c r="AM317" s="3">
        <v>237</v>
      </c>
      <c r="AN317" s="3" t="str">
        <f>IFERROR(MID(VLOOKUP($B317,Seqs!$A:$B,2,0),AO317,1),"")</f>
        <v>S</v>
      </c>
      <c r="AO317" s="3">
        <v>240</v>
      </c>
      <c r="AP317" s="3" t="str">
        <f>IFERROR(MID(VLOOKUP($B317,Seqs!$A:$B,2,0),AQ317,1),"")</f>
        <v>H</v>
      </c>
      <c r="AQ317" s="3">
        <v>278</v>
      </c>
      <c r="AR317" s="3" t="str">
        <f>IFERROR(MID(VLOOKUP($B317,Seqs!$A:$B,2,0),AS317,1),"")</f>
        <v>T</v>
      </c>
      <c r="AS317" s="3">
        <v>289</v>
      </c>
      <c r="AT317" s="3" t="str">
        <f>IFERROR(MID(VLOOKUP($B317,Seqs!$A:$B,2,0),AU317,1),"")</f>
        <v>M</v>
      </c>
      <c r="AU317" s="3">
        <v>309</v>
      </c>
      <c r="AV317" s="3" t="str">
        <f>IFERROR(MID(VLOOKUP($B317,Seqs!$A:$B,2,0),AW317,1),"")</f>
        <v>N</v>
      </c>
      <c r="AW317" s="3">
        <v>310</v>
      </c>
      <c r="AX317" s="3" t="str">
        <f>IFERROR(MID(VLOOKUP($B317,Seqs!$A:$B,2,0),AY317,1),"")</f>
        <v>R</v>
      </c>
      <c r="AY317" s="3">
        <v>314</v>
      </c>
      <c r="AZ317" s="77" t="str">
        <f>VLOOKUP(B317,Classification!A:D,2,0)</f>
        <v>A</v>
      </c>
      <c r="BA317" s="94" t="str">
        <f>VLOOKUP(B317,Classification!A:D,4,0)</f>
        <v>Opsins</v>
      </c>
      <c r="BB317" s="27" t="b">
        <f t="shared" ref="BB317" si="1117">AND(E317&lt;G317,OR(G317&lt;I317,I317="-"),OR(I317&lt;K317,I317="-"),OR(K317&lt;M317,K317="-"),M317&lt;O317,OR(O317&lt;Q317,Q317="-"),OR(Q317&lt;S317,Q317="-"),OR(S317&lt;U317,S317="-"),U317&lt;W317,OR(W317&lt;Y317,Y317="-"),OR(Y317&lt;AA317,Y317="-"),OR(AA317&lt;AC317,AA317="-"),AC317&lt;AE317,OR(AE317&lt;AG317,AG317="-"),OR(AG317&lt;AI317,AG317="-"),OR(AI317&lt;AK317,AI317="-"),AK317&lt;AM317,AM317&lt;AO317,AO317&lt;AQ317,AQ317&lt;AS317,AS317&lt;AU317,OR(AU317&lt;AW317,AW317="-"),OR(AW317&lt;AY317,AW317="-"))</f>
        <v>1</v>
      </c>
      <c r="BC317" s="23">
        <f t="shared" ref="BC317" si="1118">_xlfn.AGGREGATE(9,6,CH317:CS317)-_xlfn.AGGREGATE(9,6,BV317:CG317)+12</f>
        <v>239</v>
      </c>
      <c r="BD317" s="2" t="s">
        <v>23</v>
      </c>
      <c r="BE317" s="3" t="s">
        <v>1285</v>
      </c>
      <c r="BF317" s="118">
        <v>3.12</v>
      </c>
      <c r="BG317" s="49" t="s">
        <v>1</v>
      </c>
      <c r="BH317" s="49" t="s">
        <v>1</v>
      </c>
      <c r="BI317" s="1"/>
      <c r="BJ317" s="70" t="s">
        <v>1281</v>
      </c>
      <c r="BK317" s="57" t="s">
        <v>1281</v>
      </c>
      <c r="BL317" s="57" t="s">
        <v>1281</v>
      </c>
      <c r="BM317" s="57" t="s">
        <v>1281</v>
      </c>
      <c r="BN317" s="57" t="s">
        <v>1281</v>
      </c>
      <c r="BO317" s="57" t="s">
        <v>1281</v>
      </c>
      <c r="BP317" s="57" t="s">
        <v>1281</v>
      </c>
      <c r="BQ317" s="57" t="s">
        <v>1281</v>
      </c>
      <c r="BR317" s="57" t="s">
        <v>1281</v>
      </c>
      <c r="BS317" s="57" t="s">
        <v>1281</v>
      </c>
      <c r="BT317" s="57" t="s">
        <v>1281</v>
      </c>
      <c r="BU317" s="57" t="s">
        <v>1281</v>
      </c>
      <c r="BV317" s="70">
        <f>E317</f>
        <v>33</v>
      </c>
      <c r="BW317" s="71">
        <f>I317</f>
        <v>66</v>
      </c>
      <c r="BX317" s="72">
        <f>M317</f>
        <v>73</v>
      </c>
      <c r="BY317" s="71">
        <f>Q317</f>
        <v>102</v>
      </c>
      <c r="BZ317" s="72">
        <f>U317</f>
        <v>106</v>
      </c>
      <c r="CA317" s="71" t="str">
        <f>Y317</f>
        <v>-</v>
      </c>
      <c r="CB317" s="72">
        <f>AC317</f>
        <v>149</v>
      </c>
      <c r="CC317" s="71">
        <f>AG317</f>
        <v>187</v>
      </c>
      <c r="CD317" s="72">
        <f>AK317</f>
        <v>199</v>
      </c>
      <c r="CE317" s="71">
        <f>AO317</f>
        <v>240</v>
      </c>
      <c r="CF317" s="72">
        <f>AS317</f>
        <v>289</v>
      </c>
      <c r="CG317" s="71">
        <f>AW317</f>
        <v>310</v>
      </c>
      <c r="CH317" s="70">
        <f>G317</f>
        <v>65</v>
      </c>
      <c r="CI317" s="71">
        <f>K317</f>
        <v>69</v>
      </c>
      <c r="CJ317" s="72">
        <f>O317</f>
        <v>101</v>
      </c>
      <c r="CK317" s="72">
        <f>S317</f>
        <v>105</v>
      </c>
      <c r="CL317" s="72">
        <f>W317</f>
        <v>141</v>
      </c>
      <c r="CM317" s="72" t="str">
        <f>AA317</f>
        <v>-</v>
      </c>
      <c r="CN317" s="72">
        <f>AE317</f>
        <v>173</v>
      </c>
      <c r="CO317" s="72">
        <f>AI317</f>
        <v>189</v>
      </c>
      <c r="CP317" s="72">
        <f>AM317</f>
        <v>237</v>
      </c>
      <c r="CQ317" s="72">
        <f>AQ317</f>
        <v>278</v>
      </c>
      <c r="CR317" s="72">
        <f>AU317</f>
        <v>309</v>
      </c>
      <c r="CS317" s="72">
        <f>AY317</f>
        <v>314</v>
      </c>
      <c r="CT317" s="23">
        <f>M317-K317</f>
        <v>4</v>
      </c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1"/>
      <c r="QP317" s="1"/>
      <c r="QQ317" s="1"/>
      <c r="QR317" s="1"/>
      <c r="QS317" s="1"/>
      <c r="QT317" s="1"/>
      <c r="QU317" s="1"/>
      <c r="QV317" s="1"/>
      <c r="QW317" s="1"/>
      <c r="QX317" s="1"/>
      <c r="QY317" s="1"/>
      <c r="QZ317" s="1"/>
      <c r="RA317" s="1"/>
      <c r="RB317" s="1"/>
      <c r="RC317" s="1"/>
      <c r="RD317" s="1"/>
      <c r="RE317" s="1"/>
      <c r="RF317" s="1"/>
      <c r="RG317" s="1"/>
      <c r="RH317" s="1"/>
      <c r="RI317" s="1"/>
      <c r="RJ317" s="1"/>
      <c r="RK317" s="1"/>
      <c r="RL317" s="1"/>
      <c r="RM317" s="1"/>
      <c r="RN317" s="1"/>
      <c r="RO317" s="1"/>
      <c r="RP317" s="1"/>
      <c r="RQ317" s="1"/>
      <c r="RR317" s="1"/>
      <c r="RS317" s="1"/>
      <c r="RT317" s="1"/>
      <c r="RU317" s="1"/>
      <c r="RV317" s="1"/>
      <c r="RW317" s="1"/>
      <c r="RX317" s="1"/>
      <c r="RY317" s="1"/>
      <c r="RZ317" s="1"/>
      <c r="SA317" s="1"/>
      <c r="SB317" s="1"/>
      <c r="SC317" s="1"/>
      <c r="SD317" s="1"/>
      <c r="SE317" s="1"/>
      <c r="SF317" s="1"/>
      <c r="SG317" s="1"/>
      <c r="SH317" s="1"/>
      <c r="SI317" s="1"/>
      <c r="SJ317" s="1"/>
      <c r="SK317" s="1"/>
      <c r="SL317" s="1"/>
      <c r="SM317" s="1"/>
      <c r="SN317" s="1"/>
      <c r="SO317" s="1"/>
      <c r="SP317" s="1"/>
      <c r="SQ317" s="1"/>
      <c r="SR317" s="1"/>
      <c r="SS317" s="1"/>
      <c r="ST317" s="1"/>
      <c r="SU317" s="1"/>
      <c r="SV317" s="1"/>
      <c r="SW317" s="1"/>
      <c r="SX317" s="1"/>
      <c r="SY317" s="1"/>
      <c r="SZ317" s="1"/>
      <c r="TA317" s="1"/>
      <c r="TB317" s="1"/>
      <c r="TC317" s="1"/>
      <c r="TD317" s="1"/>
      <c r="TE317" s="1"/>
      <c r="TF317" s="1"/>
      <c r="TG317" s="1"/>
      <c r="TH317" s="1"/>
      <c r="TI317" s="1"/>
      <c r="TJ317" s="1"/>
      <c r="TK317" s="1"/>
      <c r="TL317" s="1"/>
      <c r="TM317" s="1"/>
      <c r="TN317" s="1"/>
      <c r="TO317" s="1"/>
      <c r="TP317" s="1"/>
      <c r="TQ317" s="1"/>
      <c r="TR317" s="1"/>
      <c r="TS317" s="1"/>
      <c r="TT317" s="1"/>
      <c r="TU317" s="1"/>
      <c r="TV317" s="1"/>
      <c r="TW317" s="1"/>
      <c r="TX317" s="1"/>
      <c r="TY317" s="1"/>
      <c r="TZ317" s="1"/>
      <c r="UA317" s="1"/>
      <c r="UB317" s="1"/>
      <c r="UC317" s="1"/>
      <c r="UD317" s="1"/>
      <c r="UE317" s="1"/>
      <c r="UF317" s="1"/>
      <c r="UG317" s="1"/>
      <c r="UH317" s="1"/>
      <c r="UI317" s="1"/>
      <c r="UJ317" s="1"/>
      <c r="UK317" s="1"/>
      <c r="UL317" s="1"/>
      <c r="UM317" s="1"/>
      <c r="UN317" s="1"/>
      <c r="UO317" s="1"/>
      <c r="UP317" s="1"/>
      <c r="UQ317" s="1"/>
      <c r="UR317" s="1"/>
      <c r="US317" s="1"/>
      <c r="UT317" s="1"/>
      <c r="UU317" s="1"/>
      <c r="UV317" s="1"/>
      <c r="UW317" s="1"/>
      <c r="UX317" s="1"/>
      <c r="UY317" s="1"/>
      <c r="UZ317" s="1"/>
      <c r="VA317" s="1"/>
      <c r="VB317" s="1"/>
      <c r="VC317" s="1"/>
      <c r="VD317" s="1"/>
      <c r="VE317" s="1"/>
      <c r="VF317" s="1"/>
      <c r="VG317" s="1"/>
      <c r="VH317" s="1"/>
      <c r="VI317" s="1"/>
      <c r="VJ317" s="1"/>
      <c r="VK317" s="1"/>
      <c r="VL317" s="1"/>
      <c r="VM317" s="1"/>
      <c r="VN317" s="1"/>
      <c r="VO317" s="1"/>
      <c r="VP317" s="1"/>
      <c r="VQ317" s="1"/>
      <c r="VR317" s="1"/>
      <c r="VS317" s="1"/>
      <c r="VT317" s="1"/>
      <c r="VU317" s="1"/>
      <c r="VV317" s="1"/>
      <c r="VW317" s="1"/>
      <c r="VX317" s="1"/>
      <c r="VY317" s="1"/>
      <c r="VZ317" s="1"/>
      <c r="WA317" s="1"/>
      <c r="WB317" s="1"/>
      <c r="WC317" s="1"/>
      <c r="WD317" s="1"/>
      <c r="WE317" s="1"/>
      <c r="WF317" s="1"/>
      <c r="WG317" s="1"/>
      <c r="WH317" s="1"/>
      <c r="WI317" s="1"/>
      <c r="WJ317" s="1"/>
      <c r="WK317" s="1"/>
      <c r="WL317" s="1"/>
      <c r="WM317" s="1"/>
      <c r="WN317" s="1"/>
      <c r="WO317" s="1"/>
      <c r="WP317" s="1"/>
      <c r="WQ317" s="1"/>
      <c r="WR317" s="1"/>
      <c r="WS317" s="1"/>
      <c r="WT317" s="1"/>
      <c r="WU317" s="1"/>
      <c r="WV317" s="1"/>
      <c r="WW317" s="1"/>
      <c r="WX317" s="1"/>
      <c r="WY317" s="1"/>
      <c r="WZ317" s="1"/>
      <c r="XA317" s="1"/>
      <c r="XB317" s="1"/>
      <c r="XC317" s="1"/>
      <c r="XD317" s="1"/>
      <c r="XE317" s="1"/>
      <c r="XF317" s="1"/>
      <c r="XG317" s="1"/>
      <c r="XH317" s="1"/>
      <c r="XI317" s="1"/>
      <c r="XJ317" s="1"/>
      <c r="XK317" s="1"/>
      <c r="XL317" s="1"/>
      <c r="XM317" s="1"/>
      <c r="XN317" s="1"/>
      <c r="XO317" s="1"/>
      <c r="XP317" s="1"/>
      <c r="XQ317" s="1"/>
      <c r="XR317" s="1"/>
      <c r="XS317" s="1"/>
      <c r="XT317" s="1"/>
      <c r="XU317" s="1"/>
      <c r="XV317" s="1"/>
      <c r="XW317" s="1"/>
      <c r="XX317" s="1"/>
      <c r="XY317" s="1"/>
      <c r="XZ317" s="1"/>
      <c r="YA317" s="1"/>
      <c r="YB317" s="1"/>
      <c r="YC317" s="1"/>
      <c r="YD317" s="1"/>
      <c r="YE317" s="1"/>
      <c r="YF317" s="1"/>
      <c r="YG317" s="1"/>
      <c r="YH317" s="1"/>
      <c r="YI317" s="1"/>
      <c r="YJ317" s="1"/>
      <c r="YK317" s="1"/>
      <c r="YL317" s="1"/>
      <c r="YM317" s="1"/>
      <c r="YN317" s="1"/>
      <c r="YO317" s="1"/>
      <c r="YP317" s="1"/>
      <c r="YQ317" s="1"/>
      <c r="YR317" s="1"/>
      <c r="YS317" s="1"/>
      <c r="YT317" s="1"/>
      <c r="YU317" s="1"/>
      <c r="YV317" s="1"/>
      <c r="YW317" s="1"/>
      <c r="YX317" s="1"/>
      <c r="YY317" s="1"/>
      <c r="YZ317" s="1"/>
      <c r="ZA317" s="1"/>
      <c r="ZB317" s="1"/>
      <c r="ZC317" s="1"/>
      <c r="ZD317" s="1"/>
      <c r="ZE317" s="1"/>
      <c r="ZF317" s="1"/>
      <c r="ZG317" s="1"/>
      <c r="ZH317" s="1"/>
      <c r="ZI317" s="1"/>
      <c r="ZJ317" s="1"/>
      <c r="ZK317" s="1"/>
      <c r="ZL317" s="1"/>
      <c r="ZM317" s="1"/>
      <c r="ZN317" s="1"/>
      <c r="ZO317" s="1"/>
      <c r="ZP317" s="1"/>
      <c r="ZQ317" s="1"/>
      <c r="ZR317" s="1"/>
      <c r="ZS317" s="1"/>
      <c r="ZT317" s="1"/>
      <c r="ZU317" s="1"/>
      <c r="ZV317" s="1"/>
      <c r="ZW317" s="1"/>
      <c r="ZX317" s="1"/>
      <c r="ZY317" s="1"/>
      <c r="ZZ317" s="1"/>
      <c r="AAA317" s="1"/>
      <c r="AAB317" s="1"/>
      <c r="AAC317" s="1"/>
      <c r="AAD317" s="1"/>
      <c r="AAE317" s="1"/>
      <c r="AAF317" s="1"/>
      <c r="AAG317" s="1"/>
      <c r="AAH317" s="1"/>
      <c r="AAI317" s="1"/>
      <c r="AAJ317" s="1"/>
      <c r="AAK317" s="1"/>
      <c r="AAL317" s="1"/>
      <c r="AAM317" s="1"/>
      <c r="AAN317" s="1"/>
      <c r="AAO317" s="1"/>
      <c r="AAP317" s="1"/>
      <c r="AAQ317" s="1"/>
      <c r="AAR317" s="1"/>
      <c r="AAS317" s="1"/>
      <c r="AAT317" s="1"/>
      <c r="AAU317" s="1"/>
      <c r="AAV317" s="1"/>
      <c r="AAW317" s="1"/>
      <c r="AAX317" s="1"/>
      <c r="AAY317" s="1"/>
      <c r="AAZ317" s="1"/>
      <c r="ABA317" s="1"/>
      <c r="ABB317" s="1"/>
      <c r="ABC317" s="1"/>
      <c r="ABD317" s="1"/>
      <c r="ABE317" s="1"/>
      <c r="ABF317" s="1"/>
      <c r="ABG317" s="1"/>
      <c r="ABH317" s="1"/>
      <c r="ABI317" s="1"/>
      <c r="ABJ317" s="1"/>
      <c r="ABK317" s="1"/>
      <c r="ABL317" s="1"/>
      <c r="ABM317" s="1"/>
      <c r="ABN317" s="1"/>
      <c r="ABO317" s="1"/>
      <c r="ABP317" s="1"/>
      <c r="ABQ317" s="1"/>
      <c r="ABR317" s="1"/>
      <c r="ABS317" s="1"/>
      <c r="ABT317" s="1"/>
      <c r="ABU317" s="1"/>
      <c r="ABV317" s="1"/>
      <c r="ABW317" s="1"/>
      <c r="ABX317" s="1"/>
      <c r="ABY317" s="1"/>
      <c r="ABZ317" s="1"/>
      <c r="ACA317" s="1"/>
      <c r="ACB317" s="1"/>
      <c r="ACC317" s="1"/>
      <c r="ACD317" s="1"/>
      <c r="ACE317" s="1"/>
      <c r="ACF317" s="1"/>
      <c r="ACG317" s="1"/>
      <c r="ACH317" s="1"/>
      <c r="ACI317" s="1"/>
      <c r="ACJ317" s="1"/>
      <c r="ACK317" s="1"/>
      <c r="ACL317" s="1"/>
      <c r="ACM317" s="1"/>
      <c r="ACN317" s="1"/>
      <c r="ACO317" s="1"/>
      <c r="ACP317" s="1"/>
      <c r="ACQ317" s="1"/>
      <c r="ACR317" s="1"/>
      <c r="ACS317" s="1"/>
      <c r="ACT317" s="1"/>
      <c r="ACU317" s="1"/>
      <c r="ACV317" s="1"/>
      <c r="ACW317" s="1"/>
      <c r="ACX317" s="1"/>
      <c r="ACY317" s="1"/>
      <c r="ACZ317" s="1"/>
      <c r="ADA317" s="1"/>
      <c r="ADB317" s="1"/>
      <c r="ADC317" s="1"/>
      <c r="ADD317" s="1"/>
      <c r="ADE317" s="1"/>
      <c r="ADF317" s="1"/>
      <c r="ADG317" s="1"/>
      <c r="ADH317" s="1"/>
      <c r="ADI317" s="1"/>
      <c r="ADJ317" s="1"/>
      <c r="ADK317" s="1"/>
      <c r="ADL317" s="1"/>
      <c r="ADM317" s="1"/>
      <c r="ADN317" s="1"/>
      <c r="ADO317" s="1"/>
      <c r="ADP317" s="1"/>
      <c r="ADQ317" s="1"/>
      <c r="ADR317" s="1"/>
      <c r="ADS317" s="1"/>
      <c r="ADT317" s="1"/>
      <c r="ADU317" s="1"/>
      <c r="ADV317" s="1"/>
      <c r="ADW317" s="1"/>
      <c r="ADX317" s="1"/>
      <c r="ADY317" s="1"/>
      <c r="ADZ317" s="1"/>
      <c r="AEA317" s="1"/>
      <c r="AEB317" s="1"/>
      <c r="AEC317" s="1"/>
      <c r="AED317" s="1"/>
      <c r="AEE317" s="1"/>
      <c r="AEF317" s="1"/>
      <c r="AEG317" s="1"/>
      <c r="AEH317" s="1"/>
      <c r="AEI317" s="1"/>
      <c r="AEJ317" s="1"/>
      <c r="AEK317" s="1"/>
      <c r="AEL317" s="1"/>
      <c r="AEM317" s="1"/>
      <c r="AEN317" s="1"/>
      <c r="AEO317" s="1"/>
      <c r="AEP317" s="1"/>
      <c r="AEQ317" s="1"/>
      <c r="AER317" s="1"/>
      <c r="AES317" s="1"/>
      <c r="AET317" s="1"/>
      <c r="AEU317" s="1"/>
      <c r="AEV317" s="1"/>
      <c r="AEW317" s="1"/>
      <c r="AEX317" s="1"/>
      <c r="AEY317" s="1"/>
      <c r="AEZ317" s="1"/>
      <c r="AFA317" s="1"/>
      <c r="AFB317" s="1"/>
      <c r="AFC317" s="1"/>
      <c r="AFD317" s="1"/>
      <c r="AFE317" s="1"/>
      <c r="AFF317" s="1"/>
      <c r="AFG317" s="1"/>
      <c r="AFH317" s="1"/>
      <c r="AFI317" s="1"/>
      <c r="AFJ317" s="1"/>
      <c r="AFK317" s="1"/>
      <c r="AFL317" s="1"/>
      <c r="AFM317" s="1"/>
      <c r="AFN317" s="1"/>
      <c r="AFO317" s="1"/>
      <c r="AFP317" s="1"/>
      <c r="AFQ317" s="1"/>
      <c r="AFR317" s="1"/>
      <c r="AFS317" s="1"/>
      <c r="AFT317" s="1"/>
      <c r="AFU317" s="1"/>
      <c r="AFV317" s="1"/>
      <c r="AFW317" s="1"/>
      <c r="AFX317" s="1"/>
      <c r="AFY317" s="1"/>
      <c r="AFZ317" s="1"/>
      <c r="AGA317" s="1"/>
      <c r="AGB317" s="1"/>
      <c r="AGC317" s="1"/>
      <c r="AGD317" s="1"/>
      <c r="AGE317" s="1"/>
      <c r="AGF317" s="1"/>
      <c r="AGG317" s="1"/>
      <c r="AGH317" s="1"/>
      <c r="AGI317" s="1"/>
      <c r="AGJ317" s="1"/>
      <c r="AGK317" s="1"/>
      <c r="AGL317" s="1"/>
      <c r="AGM317" s="1"/>
      <c r="AGN317" s="1"/>
      <c r="AGO317" s="1"/>
      <c r="AGP317" s="1"/>
      <c r="AGQ317" s="1"/>
      <c r="AGR317" s="1"/>
      <c r="AGS317" s="1"/>
      <c r="AGT317" s="1"/>
      <c r="AGU317" s="1"/>
      <c r="AGV317" s="1"/>
      <c r="AGW317" s="1"/>
      <c r="AGX317" s="1"/>
      <c r="AGY317" s="1"/>
      <c r="AGZ317" s="1"/>
      <c r="AHA317" s="1"/>
      <c r="AHB317" s="1"/>
      <c r="AHC317" s="1"/>
      <c r="AHD317" s="1"/>
      <c r="AHE317" s="1"/>
      <c r="AHF317" s="1"/>
      <c r="AHG317" s="1"/>
      <c r="AHH317" s="1"/>
      <c r="AHI317" s="1"/>
      <c r="AHJ317" s="1"/>
      <c r="AHK317" s="1"/>
      <c r="AHL317" s="1"/>
      <c r="AHM317" s="1"/>
      <c r="AHN317" s="1"/>
      <c r="AHO317" s="1"/>
      <c r="AHP317" s="1"/>
      <c r="AHQ317" s="1"/>
      <c r="AHR317" s="1"/>
      <c r="AHS317" s="1"/>
      <c r="AHT317" s="1"/>
      <c r="AHU317" s="1"/>
      <c r="AHV317" s="1"/>
      <c r="AHW317" s="1"/>
      <c r="AHX317" s="1"/>
      <c r="AHY317" s="1"/>
      <c r="AHZ317" s="1"/>
      <c r="AIA317" s="1"/>
      <c r="AIB317" s="1"/>
      <c r="AIC317" s="1"/>
      <c r="AID317" s="1"/>
      <c r="AIE317" s="1"/>
      <c r="AIF317" s="1"/>
      <c r="AIG317" s="1"/>
      <c r="AIH317" s="1"/>
      <c r="AII317" s="1"/>
      <c r="AIJ317" s="1"/>
      <c r="AIK317" s="1"/>
      <c r="AIL317" s="1"/>
      <c r="AIM317" s="1"/>
      <c r="AIN317" s="1"/>
      <c r="AIO317" s="1"/>
      <c r="AIP317" s="1"/>
      <c r="AIQ317" s="1"/>
      <c r="AIR317" s="1"/>
      <c r="AIS317" s="1"/>
      <c r="AIT317" s="1"/>
      <c r="AIU317" s="1"/>
      <c r="AIV317" s="1"/>
      <c r="AIW317" s="1"/>
      <c r="AIX317" s="1"/>
      <c r="AIY317" s="1"/>
      <c r="AIZ317" s="1"/>
      <c r="AJA317" s="1"/>
      <c r="AJB317" s="1"/>
      <c r="AJC317" s="1"/>
      <c r="AJD317" s="1"/>
      <c r="AJE317" s="1"/>
      <c r="AJF317" s="1"/>
      <c r="AJG317" s="1"/>
      <c r="AJH317" s="1"/>
      <c r="AJI317" s="1"/>
      <c r="AJJ317" s="1"/>
      <c r="AJK317" s="1"/>
      <c r="AJL317" s="1"/>
      <c r="AJM317" s="1"/>
      <c r="AJN317" s="1"/>
      <c r="AJO317" s="1"/>
      <c r="AJP317" s="1"/>
      <c r="AJQ317" s="1"/>
      <c r="AJR317" s="1"/>
      <c r="AJS317" s="1"/>
      <c r="AJT317" s="1"/>
      <c r="AJU317" s="1"/>
      <c r="AJV317" s="1"/>
      <c r="AJW317" s="1"/>
      <c r="AJX317" s="1"/>
      <c r="AJY317" s="1"/>
      <c r="AJZ317" s="1"/>
      <c r="AKA317" s="1"/>
      <c r="AKB317" s="1"/>
      <c r="AKC317" s="1"/>
      <c r="AKD317" s="1"/>
      <c r="AKE317" s="1"/>
      <c r="AKF317" s="1"/>
      <c r="AKG317" s="1"/>
      <c r="AKH317" s="1"/>
      <c r="AKI317" s="1"/>
      <c r="AKJ317" s="1"/>
      <c r="AKK317" s="1"/>
      <c r="AKL317" s="1"/>
      <c r="AKM317" s="1"/>
      <c r="AKN317" s="1"/>
      <c r="AKO317" s="1"/>
      <c r="AKP317" s="1"/>
      <c r="AKQ317" s="1"/>
      <c r="AKR317" s="1"/>
      <c r="AKS317" s="1"/>
      <c r="AKT317" s="1"/>
      <c r="AKU317" s="1"/>
      <c r="AKV317" s="1"/>
      <c r="AKW317" s="1"/>
      <c r="AKX317" s="1"/>
      <c r="AKY317" s="1"/>
      <c r="AKZ317" s="1"/>
      <c r="ALA317" s="1"/>
      <c r="ALB317" s="1"/>
      <c r="ALC317" s="1"/>
      <c r="ALD317" s="1"/>
      <c r="ALE317" s="1"/>
      <c r="ALF317" s="1"/>
      <c r="ALG317" s="1"/>
      <c r="ALH317" s="1"/>
      <c r="ALI317" s="1"/>
      <c r="ALJ317" s="1"/>
      <c r="ALK317" s="1"/>
      <c r="ALL317" s="1"/>
      <c r="ALM317" s="1"/>
      <c r="ALN317" s="1"/>
      <c r="ALO317" s="1"/>
      <c r="ALP317" s="1"/>
      <c r="ALQ317" s="1"/>
      <c r="ALR317" s="1"/>
      <c r="ALS317" s="1"/>
      <c r="ALT317" s="1"/>
      <c r="ALU317" s="1"/>
      <c r="ALV317" s="1"/>
      <c r="ALW317" s="1"/>
      <c r="ALX317" s="1"/>
      <c r="ALY317" s="1"/>
      <c r="ALZ317" s="1"/>
      <c r="AMA317" s="1"/>
      <c r="AMB317" s="1"/>
      <c r="AMC317" s="1"/>
      <c r="AMD317" s="1"/>
      <c r="AME317" s="1"/>
      <c r="AMF317" s="1"/>
      <c r="AMG317" s="1"/>
      <c r="AMH317" s="1"/>
      <c r="AMI317" s="1"/>
      <c r="AMJ317" s="1"/>
      <c r="AMK317" s="1"/>
      <c r="AML317" s="1"/>
      <c r="AMM317" s="1"/>
      <c r="AMN317" s="1"/>
      <c r="AMO317" s="1"/>
    </row>
    <row r="318" spans="1:1029" x14ac:dyDescent="0.2">
      <c r="A318" s="3" t="str">
        <f>CONCATENATE(B318,"_",C318)</f>
        <v>opsd_bovin_6QNO</v>
      </c>
      <c r="B318" s="3" t="s">
        <v>913</v>
      </c>
      <c r="C318" s="3" t="s">
        <v>1579</v>
      </c>
      <c r="D318" s="3" t="str">
        <f>IFERROR(MID(VLOOKUP($B318,Seqs!$A:$B,2,0),E318,1),"")</f>
        <v>E</v>
      </c>
      <c r="E318" s="3">
        <v>33</v>
      </c>
      <c r="F318" s="3" t="str">
        <f>IFERROR(MID(VLOOKUP($B318,Seqs!$A:$B,2,0),G318,1),"")</f>
        <v>H</v>
      </c>
      <c r="G318" s="3">
        <v>65</v>
      </c>
      <c r="H318" s="3" t="str">
        <f>IFERROR(MID(VLOOKUP($B318,Seqs!$A:$B,2,0),I318,1),"")</f>
        <v>K</v>
      </c>
      <c r="I318" s="23">
        <v>66</v>
      </c>
      <c r="J318" s="3" t="str">
        <f>IFERROR(MID(VLOOKUP($B318,Seqs!$A:$B,2,0),K318,1),"")</f>
        <v>R</v>
      </c>
      <c r="K318" s="23">
        <v>69</v>
      </c>
      <c r="L318" s="3" t="str">
        <f>IFERROR(MID(VLOOKUP($B318,Seqs!$A:$B,2,0),M318,1),"")</f>
        <v>N</v>
      </c>
      <c r="M318" s="3">
        <v>73</v>
      </c>
      <c r="N318" s="3" t="str">
        <f>IFERROR(MID(VLOOKUP($B318,Seqs!$A:$B,2,0),O318,1),"")</f>
        <v>H</v>
      </c>
      <c r="O318" s="3">
        <v>100</v>
      </c>
      <c r="P318" s="3" t="str">
        <f>IFERROR(MID(VLOOKUP($B318,Seqs!$A:$B,2,0),Q318,1),"")</f>
        <v>Y</v>
      </c>
      <c r="Q318" s="3">
        <v>102</v>
      </c>
      <c r="R318" s="3" t="str">
        <f>IFERROR(MID(VLOOKUP($B318,Seqs!$A:$B,2,0),S318,1),"")</f>
        <v>F</v>
      </c>
      <c r="S318" s="3">
        <v>105</v>
      </c>
      <c r="T318" s="3" t="str">
        <f>IFERROR(MID(VLOOKUP($B318,Seqs!$A:$B,2,0),U318,1),"")</f>
        <v>G</v>
      </c>
      <c r="U318" s="3">
        <v>106</v>
      </c>
      <c r="V318" s="3" t="str">
        <f>IFERROR(MID(VLOOKUP($B318,Seqs!$A:$B,2,0),W318,1),"")</f>
        <v>K</v>
      </c>
      <c r="W318" s="3">
        <v>141</v>
      </c>
      <c r="X318" s="3" t="str">
        <f>IFERROR(MID(VLOOKUP($B318,Seqs!$A:$B,2,0),Y318,1),"")</f>
        <v/>
      </c>
      <c r="Y318" s="3" t="s">
        <v>23</v>
      </c>
      <c r="Z318" s="3" t="str">
        <f>IFERROR(MID(VLOOKUP($B318,Seqs!$A:$B,2,0),AA318,1),"")</f>
        <v/>
      </c>
      <c r="AA318" s="3" t="s">
        <v>23</v>
      </c>
      <c r="AB318" s="3" t="str">
        <f>IFERROR(MID(VLOOKUP($B318,Seqs!$A:$B,2,0),AC318,1),"")</f>
        <v>E</v>
      </c>
      <c r="AC318" s="3">
        <v>150</v>
      </c>
      <c r="AD318" s="3" t="str">
        <f>IFERROR(MID(VLOOKUP($B318,Seqs!$A:$B,2,0),AE318,1),"")</f>
        <v>V</v>
      </c>
      <c r="AE318" s="3">
        <v>173</v>
      </c>
      <c r="AF318" s="3" t="str">
        <f>IFERROR(MID(VLOOKUP($B318,Seqs!$A:$B,2,0),AG318,1),"")</f>
        <v>C</v>
      </c>
      <c r="AG318" s="3">
        <v>187</v>
      </c>
      <c r="AH318" s="3" t="str">
        <f>IFERROR(MID(VLOOKUP($B318,Seqs!$A:$B,2,0),AI318,1),"")</f>
        <v>I</v>
      </c>
      <c r="AI318" s="3">
        <v>189</v>
      </c>
      <c r="AJ318" s="3" t="str">
        <f>IFERROR(MID(VLOOKUP($B318,Seqs!$A:$B,2,0),AK318,1),"")</f>
        <v>N</v>
      </c>
      <c r="AK318" s="3">
        <v>200</v>
      </c>
      <c r="AL318" s="3" t="str">
        <f>IFERROR(MID(VLOOKUP($B318,Seqs!$A:$B,2,0),AM318,1),"")</f>
        <v>Q</v>
      </c>
      <c r="AM318" s="3">
        <v>237</v>
      </c>
      <c r="AN318" s="3" t="str">
        <f>IFERROR(MID(VLOOKUP($B318,Seqs!$A:$B,2,0),AO318,1),"")</f>
        <v>S</v>
      </c>
      <c r="AO318" s="3">
        <v>240</v>
      </c>
      <c r="AP318" s="3" t="str">
        <f>IFERROR(MID(VLOOKUP($B318,Seqs!$A:$B,2,0),AQ318,1),"")</f>
        <v>H</v>
      </c>
      <c r="AQ318" s="3">
        <v>278</v>
      </c>
      <c r="AR318" s="3" t="str">
        <f>IFERROR(MID(VLOOKUP($B318,Seqs!$A:$B,2,0),AS318,1),"")</f>
        <v>G</v>
      </c>
      <c r="AS318" s="3">
        <v>284</v>
      </c>
      <c r="AT318" s="3" t="str">
        <f>IFERROR(MID(VLOOKUP($B318,Seqs!$A:$B,2,0),AU318,1),"")</f>
        <v>M</v>
      </c>
      <c r="AU318" s="3">
        <v>309</v>
      </c>
      <c r="AV318" s="3" t="str">
        <f>IFERROR(MID(VLOOKUP($B318,Seqs!$A:$B,2,0),AW318,1),"")</f>
        <v>N</v>
      </c>
      <c r="AW318" s="3">
        <v>310</v>
      </c>
      <c r="AX318" s="3" t="str">
        <f>IFERROR(MID(VLOOKUP($B318,Seqs!$A:$B,2,0),AY318,1),"")</f>
        <v>C</v>
      </c>
      <c r="AY318" s="3">
        <v>322</v>
      </c>
      <c r="AZ318" s="77" t="str">
        <f>VLOOKUP(B318,Classification!A:D,2,0)</f>
        <v>A</v>
      </c>
      <c r="BA318" s="94" t="str">
        <f>VLOOKUP(B318,Classification!A:D,4,0)</f>
        <v>Opsins</v>
      </c>
      <c r="BB318" s="27" t="b">
        <f t="shared" ref="BB318" si="1119">AND(E318&lt;G318,OR(G318&lt;I318,I318="-"),OR(I318&lt;K318,I318="-"),OR(K318&lt;M318,K318="-"),M318&lt;O318,OR(O318&lt;Q318,Q318="-"),OR(Q318&lt;S318,Q318="-"),OR(S318&lt;U318,S318="-"),U318&lt;W318,OR(W318&lt;Y318,Y318="-"),OR(Y318&lt;AA318,Y318="-"),OR(AA318&lt;AC318,AA318="-"),AC318&lt;AE318,OR(AE318&lt;AG318,AG318="-"),OR(AG318&lt;AI318,AG318="-"),OR(AI318&lt;AK318,AI318="-"),AK318&lt;AM318,AM318&lt;AO318,AO318&lt;AQ318,AQ318&lt;AS318,AS318&lt;AU318,OR(AU318&lt;AW318,AW318="-"),OR(AW318&lt;AY318,AW318="-"))</f>
        <v>1</v>
      </c>
      <c r="BC318" s="23">
        <f t="shared" ref="BC318" si="1120">_xlfn.AGGREGATE(9,6,CH318:CS318)-_xlfn.AGGREGATE(9,6,BV318:CG318)+12</f>
        <v>249</v>
      </c>
      <c r="BD318" s="2" t="s">
        <v>23</v>
      </c>
      <c r="BE318" s="3" t="s">
        <v>1285</v>
      </c>
      <c r="BF318" s="118">
        <v>4.38</v>
      </c>
      <c r="BG318" s="49" t="s">
        <v>1416</v>
      </c>
      <c r="BH318" s="49" t="s">
        <v>1416</v>
      </c>
      <c r="BI318" s="1"/>
      <c r="BJ318" s="70" t="s">
        <v>1281</v>
      </c>
      <c r="BK318" s="57" t="s">
        <v>1281</v>
      </c>
      <c r="BL318" s="57" t="s">
        <v>1281</v>
      </c>
      <c r="BM318" s="57" t="s">
        <v>1281</v>
      </c>
      <c r="BN318" s="57" t="s">
        <v>1281</v>
      </c>
      <c r="BO318" s="57" t="s">
        <v>1281</v>
      </c>
      <c r="BP318" s="57" t="s">
        <v>1281</v>
      </c>
      <c r="BQ318" s="57" t="s">
        <v>1281</v>
      </c>
      <c r="BR318" s="57" t="s">
        <v>1281</v>
      </c>
      <c r="BS318" s="57" t="s">
        <v>1281</v>
      </c>
      <c r="BT318" s="57" t="s">
        <v>1281</v>
      </c>
      <c r="BU318" s="57" t="s">
        <v>1281</v>
      </c>
      <c r="BV318" s="70">
        <f>E318</f>
        <v>33</v>
      </c>
      <c r="BW318" s="71">
        <f>I318</f>
        <v>66</v>
      </c>
      <c r="BX318" s="72">
        <f>M318</f>
        <v>73</v>
      </c>
      <c r="BY318" s="71">
        <f>Q318</f>
        <v>102</v>
      </c>
      <c r="BZ318" s="72">
        <f>U318</f>
        <v>106</v>
      </c>
      <c r="CA318" s="71" t="str">
        <f>Y318</f>
        <v>-</v>
      </c>
      <c r="CB318" s="72">
        <f>AC318</f>
        <v>150</v>
      </c>
      <c r="CC318" s="71">
        <f>AG318</f>
        <v>187</v>
      </c>
      <c r="CD318" s="72">
        <f>AK318</f>
        <v>200</v>
      </c>
      <c r="CE318" s="71">
        <f>AO318</f>
        <v>240</v>
      </c>
      <c r="CF318" s="72">
        <f>AS318</f>
        <v>284</v>
      </c>
      <c r="CG318" s="71">
        <f>AW318</f>
        <v>310</v>
      </c>
      <c r="CH318" s="70">
        <f>G318</f>
        <v>65</v>
      </c>
      <c r="CI318" s="71">
        <f>K318</f>
        <v>69</v>
      </c>
      <c r="CJ318" s="72">
        <f>O318</f>
        <v>100</v>
      </c>
      <c r="CK318" s="72">
        <f>S318</f>
        <v>105</v>
      </c>
      <c r="CL318" s="72">
        <f>W318</f>
        <v>141</v>
      </c>
      <c r="CM318" s="72" t="str">
        <f>AA318</f>
        <v>-</v>
      </c>
      <c r="CN318" s="72">
        <f>AE318</f>
        <v>173</v>
      </c>
      <c r="CO318" s="72">
        <f>AI318</f>
        <v>189</v>
      </c>
      <c r="CP318" s="72">
        <f>AM318</f>
        <v>237</v>
      </c>
      <c r="CQ318" s="72">
        <f>AQ318</f>
        <v>278</v>
      </c>
      <c r="CR318" s="72">
        <f>AU318</f>
        <v>309</v>
      </c>
      <c r="CS318" s="72">
        <f>AY318</f>
        <v>322</v>
      </c>
      <c r="CT318" s="23">
        <f>M318-K318</f>
        <v>4</v>
      </c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  <c r="QM318" s="1"/>
      <c r="QN318" s="1"/>
      <c r="QO318" s="1"/>
      <c r="QP318" s="1"/>
      <c r="QQ318" s="1"/>
      <c r="QR318" s="1"/>
      <c r="QS318" s="1"/>
      <c r="QT318" s="1"/>
      <c r="QU318" s="1"/>
      <c r="QV318" s="1"/>
      <c r="QW318" s="1"/>
      <c r="QX318" s="1"/>
      <c r="QY318" s="1"/>
      <c r="QZ318" s="1"/>
      <c r="RA318" s="1"/>
      <c r="RB318" s="1"/>
      <c r="RC318" s="1"/>
      <c r="RD318" s="1"/>
      <c r="RE318" s="1"/>
      <c r="RF318" s="1"/>
      <c r="RG318" s="1"/>
      <c r="RH318" s="1"/>
      <c r="RI318" s="1"/>
      <c r="RJ318" s="1"/>
      <c r="RK318" s="1"/>
      <c r="RL318" s="1"/>
      <c r="RM318" s="1"/>
      <c r="RN318" s="1"/>
      <c r="RO318" s="1"/>
      <c r="RP318" s="1"/>
      <c r="RQ318" s="1"/>
      <c r="RR318" s="1"/>
      <c r="RS318" s="1"/>
      <c r="RT318" s="1"/>
      <c r="RU318" s="1"/>
      <c r="RV318" s="1"/>
      <c r="RW318" s="1"/>
      <c r="RX318" s="1"/>
      <c r="RY318" s="1"/>
      <c r="RZ318" s="1"/>
      <c r="SA318" s="1"/>
      <c r="SB318" s="1"/>
      <c r="SC318" s="1"/>
      <c r="SD318" s="1"/>
      <c r="SE318" s="1"/>
      <c r="SF318" s="1"/>
      <c r="SG318" s="1"/>
      <c r="SH318" s="1"/>
      <c r="SI318" s="1"/>
      <c r="SJ318" s="1"/>
      <c r="SK318" s="1"/>
      <c r="SL318" s="1"/>
      <c r="SM318" s="1"/>
      <c r="SN318" s="1"/>
      <c r="SO318" s="1"/>
      <c r="SP318" s="1"/>
      <c r="SQ318" s="1"/>
      <c r="SR318" s="1"/>
      <c r="SS318" s="1"/>
      <c r="ST318" s="1"/>
      <c r="SU318" s="1"/>
      <c r="SV318" s="1"/>
      <c r="SW318" s="1"/>
      <c r="SX318" s="1"/>
      <c r="SY318" s="1"/>
      <c r="SZ318" s="1"/>
      <c r="TA318" s="1"/>
      <c r="TB318" s="1"/>
      <c r="TC318" s="1"/>
      <c r="TD318" s="1"/>
      <c r="TE318" s="1"/>
      <c r="TF318" s="1"/>
      <c r="TG318" s="1"/>
      <c r="TH318" s="1"/>
      <c r="TI318" s="1"/>
      <c r="TJ318" s="1"/>
      <c r="TK318" s="1"/>
      <c r="TL318" s="1"/>
      <c r="TM318" s="1"/>
      <c r="TN318" s="1"/>
      <c r="TO318" s="1"/>
      <c r="TP318" s="1"/>
      <c r="TQ318" s="1"/>
      <c r="TR318" s="1"/>
      <c r="TS318" s="1"/>
      <c r="TT318" s="1"/>
      <c r="TU318" s="1"/>
      <c r="TV318" s="1"/>
      <c r="TW318" s="1"/>
      <c r="TX318" s="1"/>
      <c r="TY318" s="1"/>
      <c r="TZ318" s="1"/>
      <c r="UA318" s="1"/>
      <c r="UB318" s="1"/>
      <c r="UC318" s="1"/>
      <c r="UD318" s="1"/>
      <c r="UE318" s="1"/>
      <c r="UF318" s="1"/>
      <c r="UG318" s="1"/>
      <c r="UH318" s="1"/>
      <c r="UI318" s="1"/>
      <c r="UJ318" s="1"/>
      <c r="UK318" s="1"/>
      <c r="UL318" s="1"/>
      <c r="UM318" s="1"/>
      <c r="UN318" s="1"/>
      <c r="UO318" s="1"/>
      <c r="UP318" s="1"/>
      <c r="UQ318" s="1"/>
      <c r="UR318" s="1"/>
      <c r="US318" s="1"/>
      <c r="UT318" s="1"/>
      <c r="UU318" s="1"/>
      <c r="UV318" s="1"/>
      <c r="UW318" s="1"/>
      <c r="UX318" s="1"/>
      <c r="UY318" s="1"/>
      <c r="UZ318" s="1"/>
      <c r="VA318" s="1"/>
      <c r="VB318" s="1"/>
      <c r="VC318" s="1"/>
      <c r="VD318" s="1"/>
      <c r="VE318" s="1"/>
      <c r="VF318" s="1"/>
      <c r="VG318" s="1"/>
      <c r="VH318" s="1"/>
      <c r="VI318" s="1"/>
      <c r="VJ318" s="1"/>
      <c r="VK318" s="1"/>
      <c r="VL318" s="1"/>
      <c r="VM318" s="1"/>
      <c r="VN318" s="1"/>
      <c r="VO318" s="1"/>
      <c r="VP318" s="1"/>
      <c r="VQ318" s="1"/>
      <c r="VR318" s="1"/>
      <c r="VS318" s="1"/>
      <c r="VT318" s="1"/>
      <c r="VU318" s="1"/>
      <c r="VV318" s="1"/>
      <c r="VW318" s="1"/>
      <c r="VX318" s="1"/>
      <c r="VY318" s="1"/>
      <c r="VZ318" s="1"/>
      <c r="WA318" s="1"/>
      <c r="WB318" s="1"/>
      <c r="WC318" s="1"/>
      <c r="WD318" s="1"/>
      <c r="WE318" s="1"/>
      <c r="WF318" s="1"/>
      <c r="WG318" s="1"/>
      <c r="WH318" s="1"/>
      <c r="WI318" s="1"/>
      <c r="WJ318" s="1"/>
      <c r="WK318" s="1"/>
      <c r="WL318" s="1"/>
      <c r="WM318" s="1"/>
      <c r="WN318" s="1"/>
      <c r="WO318" s="1"/>
      <c r="WP318" s="1"/>
      <c r="WQ318" s="1"/>
      <c r="WR318" s="1"/>
      <c r="WS318" s="1"/>
      <c r="WT318" s="1"/>
      <c r="WU318" s="1"/>
      <c r="WV318" s="1"/>
      <c r="WW318" s="1"/>
      <c r="WX318" s="1"/>
      <c r="WY318" s="1"/>
      <c r="WZ318" s="1"/>
      <c r="XA318" s="1"/>
      <c r="XB318" s="1"/>
      <c r="XC318" s="1"/>
      <c r="XD318" s="1"/>
      <c r="XE318" s="1"/>
      <c r="XF318" s="1"/>
      <c r="XG318" s="1"/>
      <c r="XH318" s="1"/>
      <c r="XI318" s="1"/>
      <c r="XJ318" s="1"/>
      <c r="XK318" s="1"/>
      <c r="XL318" s="1"/>
      <c r="XM318" s="1"/>
      <c r="XN318" s="1"/>
      <c r="XO318" s="1"/>
      <c r="XP318" s="1"/>
      <c r="XQ318" s="1"/>
      <c r="XR318" s="1"/>
      <c r="XS318" s="1"/>
      <c r="XT318" s="1"/>
      <c r="XU318" s="1"/>
      <c r="XV318" s="1"/>
      <c r="XW318" s="1"/>
      <c r="XX318" s="1"/>
      <c r="XY318" s="1"/>
      <c r="XZ318" s="1"/>
      <c r="YA318" s="1"/>
      <c r="YB318" s="1"/>
      <c r="YC318" s="1"/>
      <c r="YD318" s="1"/>
      <c r="YE318" s="1"/>
      <c r="YF318" s="1"/>
      <c r="YG318" s="1"/>
      <c r="YH318" s="1"/>
      <c r="YI318" s="1"/>
      <c r="YJ318" s="1"/>
      <c r="YK318" s="1"/>
      <c r="YL318" s="1"/>
      <c r="YM318" s="1"/>
      <c r="YN318" s="1"/>
      <c r="YO318" s="1"/>
      <c r="YP318" s="1"/>
      <c r="YQ318" s="1"/>
      <c r="YR318" s="1"/>
      <c r="YS318" s="1"/>
      <c r="YT318" s="1"/>
      <c r="YU318" s="1"/>
      <c r="YV318" s="1"/>
      <c r="YW318" s="1"/>
      <c r="YX318" s="1"/>
      <c r="YY318" s="1"/>
      <c r="YZ318" s="1"/>
      <c r="ZA318" s="1"/>
      <c r="ZB318" s="1"/>
      <c r="ZC318" s="1"/>
      <c r="ZD318" s="1"/>
      <c r="ZE318" s="1"/>
      <c r="ZF318" s="1"/>
      <c r="ZG318" s="1"/>
      <c r="ZH318" s="1"/>
      <c r="ZI318" s="1"/>
      <c r="ZJ318" s="1"/>
      <c r="ZK318" s="1"/>
      <c r="ZL318" s="1"/>
      <c r="ZM318" s="1"/>
      <c r="ZN318" s="1"/>
      <c r="ZO318" s="1"/>
      <c r="ZP318" s="1"/>
      <c r="ZQ318" s="1"/>
      <c r="ZR318" s="1"/>
      <c r="ZS318" s="1"/>
      <c r="ZT318" s="1"/>
      <c r="ZU318" s="1"/>
      <c r="ZV318" s="1"/>
      <c r="ZW318" s="1"/>
      <c r="ZX318" s="1"/>
      <c r="ZY318" s="1"/>
      <c r="ZZ318" s="1"/>
      <c r="AAA318" s="1"/>
      <c r="AAB318" s="1"/>
      <c r="AAC318" s="1"/>
      <c r="AAD318" s="1"/>
      <c r="AAE318" s="1"/>
      <c r="AAF318" s="1"/>
      <c r="AAG318" s="1"/>
      <c r="AAH318" s="1"/>
      <c r="AAI318" s="1"/>
      <c r="AAJ318" s="1"/>
      <c r="AAK318" s="1"/>
      <c r="AAL318" s="1"/>
      <c r="AAM318" s="1"/>
      <c r="AAN318" s="1"/>
      <c r="AAO318" s="1"/>
      <c r="AAP318" s="1"/>
      <c r="AAQ318" s="1"/>
      <c r="AAR318" s="1"/>
      <c r="AAS318" s="1"/>
      <c r="AAT318" s="1"/>
      <c r="AAU318" s="1"/>
      <c r="AAV318" s="1"/>
      <c r="AAW318" s="1"/>
      <c r="AAX318" s="1"/>
      <c r="AAY318" s="1"/>
      <c r="AAZ318" s="1"/>
      <c r="ABA318" s="1"/>
      <c r="ABB318" s="1"/>
      <c r="ABC318" s="1"/>
      <c r="ABD318" s="1"/>
      <c r="ABE318" s="1"/>
      <c r="ABF318" s="1"/>
      <c r="ABG318" s="1"/>
      <c r="ABH318" s="1"/>
      <c r="ABI318" s="1"/>
      <c r="ABJ318" s="1"/>
      <c r="ABK318" s="1"/>
      <c r="ABL318" s="1"/>
      <c r="ABM318" s="1"/>
      <c r="ABN318" s="1"/>
      <c r="ABO318" s="1"/>
      <c r="ABP318" s="1"/>
      <c r="ABQ318" s="1"/>
      <c r="ABR318" s="1"/>
      <c r="ABS318" s="1"/>
      <c r="ABT318" s="1"/>
      <c r="ABU318" s="1"/>
      <c r="ABV318" s="1"/>
      <c r="ABW318" s="1"/>
      <c r="ABX318" s="1"/>
      <c r="ABY318" s="1"/>
      <c r="ABZ318" s="1"/>
      <c r="ACA318" s="1"/>
      <c r="ACB318" s="1"/>
      <c r="ACC318" s="1"/>
      <c r="ACD318" s="1"/>
      <c r="ACE318" s="1"/>
      <c r="ACF318" s="1"/>
      <c r="ACG318" s="1"/>
      <c r="ACH318" s="1"/>
      <c r="ACI318" s="1"/>
      <c r="ACJ318" s="1"/>
      <c r="ACK318" s="1"/>
      <c r="ACL318" s="1"/>
      <c r="ACM318" s="1"/>
      <c r="ACN318" s="1"/>
      <c r="ACO318" s="1"/>
      <c r="ACP318" s="1"/>
      <c r="ACQ318" s="1"/>
      <c r="ACR318" s="1"/>
      <c r="ACS318" s="1"/>
      <c r="ACT318" s="1"/>
      <c r="ACU318" s="1"/>
      <c r="ACV318" s="1"/>
      <c r="ACW318" s="1"/>
      <c r="ACX318" s="1"/>
      <c r="ACY318" s="1"/>
      <c r="ACZ318" s="1"/>
      <c r="ADA318" s="1"/>
      <c r="ADB318" s="1"/>
      <c r="ADC318" s="1"/>
      <c r="ADD318" s="1"/>
      <c r="ADE318" s="1"/>
      <c r="ADF318" s="1"/>
      <c r="ADG318" s="1"/>
      <c r="ADH318" s="1"/>
      <c r="ADI318" s="1"/>
      <c r="ADJ318" s="1"/>
      <c r="ADK318" s="1"/>
      <c r="ADL318" s="1"/>
      <c r="ADM318" s="1"/>
      <c r="ADN318" s="1"/>
      <c r="ADO318" s="1"/>
      <c r="ADP318" s="1"/>
      <c r="ADQ318" s="1"/>
      <c r="ADR318" s="1"/>
      <c r="ADS318" s="1"/>
      <c r="ADT318" s="1"/>
      <c r="ADU318" s="1"/>
      <c r="ADV318" s="1"/>
      <c r="ADW318" s="1"/>
      <c r="ADX318" s="1"/>
      <c r="ADY318" s="1"/>
      <c r="ADZ318" s="1"/>
      <c r="AEA318" s="1"/>
      <c r="AEB318" s="1"/>
      <c r="AEC318" s="1"/>
      <c r="AED318" s="1"/>
      <c r="AEE318" s="1"/>
      <c r="AEF318" s="1"/>
      <c r="AEG318" s="1"/>
      <c r="AEH318" s="1"/>
      <c r="AEI318" s="1"/>
      <c r="AEJ318" s="1"/>
      <c r="AEK318" s="1"/>
      <c r="AEL318" s="1"/>
      <c r="AEM318" s="1"/>
      <c r="AEN318" s="1"/>
      <c r="AEO318" s="1"/>
      <c r="AEP318" s="1"/>
      <c r="AEQ318" s="1"/>
      <c r="AER318" s="1"/>
      <c r="AES318" s="1"/>
      <c r="AET318" s="1"/>
      <c r="AEU318" s="1"/>
      <c r="AEV318" s="1"/>
      <c r="AEW318" s="1"/>
      <c r="AEX318" s="1"/>
      <c r="AEY318" s="1"/>
      <c r="AEZ318" s="1"/>
      <c r="AFA318" s="1"/>
      <c r="AFB318" s="1"/>
      <c r="AFC318" s="1"/>
      <c r="AFD318" s="1"/>
      <c r="AFE318" s="1"/>
      <c r="AFF318" s="1"/>
      <c r="AFG318" s="1"/>
      <c r="AFH318" s="1"/>
      <c r="AFI318" s="1"/>
      <c r="AFJ318" s="1"/>
      <c r="AFK318" s="1"/>
      <c r="AFL318" s="1"/>
      <c r="AFM318" s="1"/>
      <c r="AFN318" s="1"/>
      <c r="AFO318" s="1"/>
      <c r="AFP318" s="1"/>
      <c r="AFQ318" s="1"/>
      <c r="AFR318" s="1"/>
      <c r="AFS318" s="1"/>
      <c r="AFT318" s="1"/>
      <c r="AFU318" s="1"/>
      <c r="AFV318" s="1"/>
      <c r="AFW318" s="1"/>
      <c r="AFX318" s="1"/>
      <c r="AFY318" s="1"/>
      <c r="AFZ318" s="1"/>
      <c r="AGA318" s="1"/>
      <c r="AGB318" s="1"/>
      <c r="AGC318" s="1"/>
      <c r="AGD318" s="1"/>
      <c r="AGE318" s="1"/>
      <c r="AGF318" s="1"/>
      <c r="AGG318" s="1"/>
      <c r="AGH318" s="1"/>
      <c r="AGI318" s="1"/>
      <c r="AGJ318" s="1"/>
      <c r="AGK318" s="1"/>
      <c r="AGL318" s="1"/>
      <c r="AGM318" s="1"/>
      <c r="AGN318" s="1"/>
      <c r="AGO318" s="1"/>
      <c r="AGP318" s="1"/>
      <c r="AGQ318" s="1"/>
      <c r="AGR318" s="1"/>
      <c r="AGS318" s="1"/>
      <c r="AGT318" s="1"/>
      <c r="AGU318" s="1"/>
      <c r="AGV318" s="1"/>
      <c r="AGW318" s="1"/>
      <c r="AGX318" s="1"/>
      <c r="AGY318" s="1"/>
      <c r="AGZ318" s="1"/>
      <c r="AHA318" s="1"/>
      <c r="AHB318" s="1"/>
      <c r="AHC318" s="1"/>
      <c r="AHD318" s="1"/>
      <c r="AHE318" s="1"/>
      <c r="AHF318" s="1"/>
      <c r="AHG318" s="1"/>
      <c r="AHH318" s="1"/>
      <c r="AHI318" s="1"/>
      <c r="AHJ318" s="1"/>
      <c r="AHK318" s="1"/>
      <c r="AHL318" s="1"/>
      <c r="AHM318" s="1"/>
      <c r="AHN318" s="1"/>
      <c r="AHO318" s="1"/>
      <c r="AHP318" s="1"/>
      <c r="AHQ318" s="1"/>
      <c r="AHR318" s="1"/>
      <c r="AHS318" s="1"/>
      <c r="AHT318" s="1"/>
      <c r="AHU318" s="1"/>
      <c r="AHV318" s="1"/>
      <c r="AHW318" s="1"/>
      <c r="AHX318" s="1"/>
      <c r="AHY318" s="1"/>
      <c r="AHZ318" s="1"/>
      <c r="AIA318" s="1"/>
      <c r="AIB318" s="1"/>
      <c r="AIC318" s="1"/>
      <c r="AID318" s="1"/>
      <c r="AIE318" s="1"/>
      <c r="AIF318" s="1"/>
      <c r="AIG318" s="1"/>
      <c r="AIH318" s="1"/>
      <c r="AII318" s="1"/>
      <c r="AIJ318" s="1"/>
      <c r="AIK318" s="1"/>
      <c r="AIL318" s="1"/>
      <c r="AIM318" s="1"/>
      <c r="AIN318" s="1"/>
      <c r="AIO318" s="1"/>
      <c r="AIP318" s="1"/>
      <c r="AIQ318" s="1"/>
      <c r="AIR318" s="1"/>
      <c r="AIS318" s="1"/>
      <c r="AIT318" s="1"/>
      <c r="AIU318" s="1"/>
      <c r="AIV318" s="1"/>
      <c r="AIW318" s="1"/>
      <c r="AIX318" s="1"/>
      <c r="AIY318" s="1"/>
      <c r="AIZ318" s="1"/>
      <c r="AJA318" s="1"/>
      <c r="AJB318" s="1"/>
      <c r="AJC318" s="1"/>
      <c r="AJD318" s="1"/>
      <c r="AJE318" s="1"/>
      <c r="AJF318" s="1"/>
      <c r="AJG318" s="1"/>
      <c r="AJH318" s="1"/>
      <c r="AJI318" s="1"/>
      <c r="AJJ318" s="1"/>
      <c r="AJK318" s="1"/>
      <c r="AJL318" s="1"/>
      <c r="AJM318" s="1"/>
      <c r="AJN318" s="1"/>
      <c r="AJO318" s="1"/>
      <c r="AJP318" s="1"/>
      <c r="AJQ318" s="1"/>
      <c r="AJR318" s="1"/>
      <c r="AJS318" s="1"/>
      <c r="AJT318" s="1"/>
      <c r="AJU318" s="1"/>
      <c r="AJV318" s="1"/>
      <c r="AJW318" s="1"/>
      <c r="AJX318" s="1"/>
      <c r="AJY318" s="1"/>
      <c r="AJZ318" s="1"/>
      <c r="AKA318" s="1"/>
      <c r="AKB318" s="1"/>
      <c r="AKC318" s="1"/>
      <c r="AKD318" s="1"/>
      <c r="AKE318" s="1"/>
      <c r="AKF318" s="1"/>
      <c r="AKG318" s="1"/>
      <c r="AKH318" s="1"/>
      <c r="AKI318" s="1"/>
      <c r="AKJ318" s="1"/>
      <c r="AKK318" s="1"/>
      <c r="AKL318" s="1"/>
      <c r="AKM318" s="1"/>
      <c r="AKN318" s="1"/>
      <c r="AKO318" s="1"/>
      <c r="AKP318" s="1"/>
      <c r="AKQ318" s="1"/>
      <c r="AKR318" s="1"/>
      <c r="AKS318" s="1"/>
      <c r="AKT318" s="1"/>
      <c r="AKU318" s="1"/>
      <c r="AKV318" s="1"/>
      <c r="AKW318" s="1"/>
      <c r="AKX318" s="1"/>
      <c r="AKY318" s="1"/>
      <c r="AKZ318" s="1"/>
      <c r="ALA318" s="1"/>
      <c r="ALB318" s="1"/>
      <c r="ALC318" s="1"/>
      <c r="ALD318" s="1"/>
      <c r="ALE318" s="1"/>
      <c r="ALF318" s="1"/>
      <c r="ALG318" s="1"/>
      <c r="ALH318" s="1"/>
      <c r="ALI318" s="1"/>
      <c r="ALJ318" s="1"/>
      <c r="ALK318" s="1"/>
      <c r="ALL318" s="1"/>
      <c r="ALM318" s="1"/>
      <c r="ALN318" s="1"/>
      <c r="ALO318" s="1"/>
      <c r="ALP318" s="1"/>
      <c r="ALQ318" s="1"/>
      <c r="ALR318" s="1"/>
      <c r="ALS318" s="1"/>
      <c r="ALT318" s="1"/>
      <c r="ALU318" s="1"/>
      <c r="ALV318" s="1"/>
      <c r="ALW318" s="1"/>
      <c r="ALX318" s="1"/>
      <c r="ALY318" s="1"/>
      <c r="ALZ318" s="1"/>
      <c r="AMA318" s="1"/>
      <c r="AMB318" s="1"/>
      <c r="AMC318" s="1"/>
      <c r="AMD318" s="1"/>
      <c r="AME318" s="1"/>
      <c r="AMF318" s="1"/>
      <c r="AMG318" s="1"/>
      <c r="AMH318" s="1"/>
      <c r="AMI318" s="1"/>
      <c r="AMJ318" s="1"/>
      <c r="AMK318" s="1"/>
      <c r="AML318" s="1"/>
      <c r="AMM318" s="1"/>
      <c r="AMN318" s="1"/>
      <c r="AMO318" s="1"/>
    </row>
    <row r="319" spans="1:1029" x14ac:dyDescent="0.2">
      <c r="A319" s="3" t="str">
        <f>CONCATENATE(B319,"_",C319)</f>
        <v>opsd_bovin_6OY9</v>
      </c>
      <c r="B319" s="3" t="s">
        <v>913</v>
      </c>
      <c r="C319" s="3" t="s">
        <v>1581</v>
      </c>
      <c r="D319" s="3" t="str">
        <f>IFERROR(MID(VLOOKUP($B319,Seqs!$A:$B,2,0),E319,1),"")</f>
        <v>E</v>
      </c>
      <c r="E319" s="3">
        <v>33</v>
      </c>
      <c r="F319" s="3" t="str">
        <f>IFERROR(MID(VLOOKUP($B319,Seqs!$A:$B,2,0),G319,1),"")</f>
        <v>Q</v>
      </c>
      <c r="G319" s="3">
        <v>64</v>
      </c>
      <c r="H319" s="3" t="str">
        <f>IFERROR(MID(VLOOKUP($B319,Seqs!$A:$B,2,0),I319,1),"")</f>
        <v/>
      </c>
      <c r="I319" s="23" t="s">
        <v>23</v>
      </c>
      <c r="J319" s="3" t="str">
        <f>IFERROR(MID(VLOOKUP($B319,Seqs!$A:$B,2,0),K319,1),"")</f>
        <v/>
      </c>
      <c r="K319" s="23" t="s">
        <v>23</v>
      </c>
      <c r="L319" s="3" t="str">
        <f>IFERROR(MID(VLOOKUP($B319,Seqs!$A:$B,2,0),M319,1),"")</f>
        <v>N</v>
      </c>
      <c r="M319" s="3">
        <v>73</v>
      </c>
      <c r="N319" s="3" t="str">
        <f>IFERROR(MID(VLOOKUP($B319,Seqs!$A:$B,2,0),O319,1),"")</f>
        <v>H</v>
      </c>
      <c r="O319" s="3">
        <v>100</v>
      </c>
      <c r="P319" s="3" t="str">
        <f>IFERROR(MID(VLOOKUP($B319,Seqs!$A:$B,2,0),Q319,1),"")</f>
        <v>Y</v>
      </c>
      <c r="Q319" s="3">
        <v>102</v>
      </c>
      <c r="R319" s="3" t="str">
        <f>IFERROR(MID(VLOOKUP($B319,Seqs!$A:$B,2,0),S319,1),"")</f>
        <v>F</v>
      </c>
      <c r="S319" s="3">
        <v>105</v>
      </c>
      <c r="T319" s="3" t="str">
        <f>IFERROR(MID(VLOOKUP($B319,Seqs!$A:$B,2,0),U319,1),"")</f>
        <v>G</v>
      </c>
      <c r="U319" s="3">
        <v>106</v>
      </c>
      <c r="V319" s="3" t="str">
        <f>IFERROR(MID(VLOOKUP($B319,Seqs!$A:$B,2,0),W319,1),"")</f>
        <v>C</v>
      </c>
      <c r="W319" s="3">
        <v>140</v>
      </c>
      <c r="X319" s="3" t="str">
        <f>IFERROR(MID(VLOOKUP($B319,Seqs!$A:$B,2,0),Y319,1),"")</f>
        <v/>
      </c>
      <c r="Y319" s="3" t="s">
        <v>23</v>
      </c>
      <c r="Z319" s="3" t="str">
        <f>IFERROR(MID(VLOOKUP($B319,Seqs!$A:$B,2,0),AA319,1),"")</f>
        <v/>
      </c>
      <c r="AA319" s="3" t="s">
        <v>23</v>
      </c>
      <c r="AB319" s="3" t="str">
        <f>IFERROR(MID(VLOOKUP($B319,Seqs!$A:$B,2,0),AC319,1),"")</f>
        <v>E</v>
      </c>
      <c r="AC319" s="3">
        <v>150</v>
      </c>
      <c r="AD319" s="3" t="str">
        <f>IFERROR(MID(VLOOKUP($B319,Seqs!$A:$B,2,0),AE319,1),"")</f>
        <v>L</v>
      </c>
      <c r="AE319" s="3">
        <v>172</v>
      </c>
      <c r="AF319" s="3" t="str">
        <f>IFERROR(MID(VLOOKUP($B319,Seqs!$A:$B,2,0),AG319,1),"")</f>
        <v>C</v>
      </c>
      <c r="AG319" s="3">
        <v>187</v>
      </c>
      <c r="AH319" s="3" t="str">
        <f>IFERROR(MID(VLOOKUP($B319,Seqs!$A:$B,2,0),AI319,1),"")</f>
        <v>I</v>
      </c>
      <c r="AI319" s="3">
        <v>189</v>
      </c>
      <c r="AJ319" s="3" t="str">
        <f>IFERROR(MID(VLOOKUP($B319,Seqs!$A:$B,2,0),AK319,1),"")</f>
        <v>N</v>
      </c>
      <c r="AK319" s="3">
        <v>199</v>
      </c>
      <c r="AL319" s="3" t="str">
        <f>IFERROR(MID(VLOOKUP($B319,Seqs!$A:$B,2,0),AM319,1),"")</f>
        <v>Q</v>
      </c>
      <c r="AM319" s="3">
        <v>236</v>
      </c>
      <c r="AN319" s="3" t="str">
        <f>IFERROR(MID(VLOOKUP($B319,Seqs!$A:$B,2,0),AO319,1),"")</f>
        <v>S</v>
      </c>
      <c r="AO319" s="3">
        <v>240</v>
      </c>
      <c r="AP319" s="3" t="str">
        <f>IFERROR(MID(VLOOKUP($B319,Seqs!$A:$B,2,0),AQ319,1),"")</f>
        <v>H</v>
      </c>
      <c r="AQ319" s="3">
        <v>278</v>
      </c>
      <c r="AR319" s="3" t="str">
        <f>IFERROR(MID(VLOOKUP($B319,Seqs!$A:$B,2,0),AS319,1),"")</f>
        <v>G</v>
      </c>
      <c r="AS319" s="3">
        <v>284</v>
      </c>
      <c r="AT319" s="3" t="str">
        <f>IFERROR(MID(VLOOKUP($B319,Seqs!$A:$B,2,0),AU319,1),"")</f>
        <v>M</v>
      </c>
      <c r="AU319" s="3">
        <v>309</v>
      </c>
      <c r="AV319" s="3" t="str">
        <f>IFERROR(MID(VLOOKUP($B319,Seqs!$A:$B,2,0),AW319,1),"")</f>
        <v>F</v>
      </c>
      <c r="AW319" s="3">
        <v>313</v>
      </c>
      <c r="AX319" s="3" t="str">
        <f>IFERROR(MID(VLOOKUP($B319,Seqs!$A:$B,2,0),AY319,1),"")</f>
        <v>C</v>
      </c>
      <c r="AY319" s="3">
        <v>322</v>
      </c>
      <c r="AZ319" s="77" t="str">
        <f>VLOOKUP(B319,Classification!A:D,2,0)</f>
        <v>A</v>
      </c>
      <c r="BA319" s="94" t="str">
        <f>VLOOKUP(B319,Classification!A:D,4,0)</f>
        <v>Opsins</v>
      </c>
      <c r="BB319" s="27" t="b">
        <f t="shared" ref="BB319" si="1121">AND(E319&lt;G319,OR(G319&lt;I319,I319="-"),OR(I319&lt;K319,I319="-"),OR(K319&lt;M319,K319="-"),M319&lt;O319,OR(O319&lt;Q319,Q319="-"),OR(Q319&lt;S319,Q319="-"),OR(S319&lt;U319,S319="-"),U319&lt;W319,OR(W319&lt;Y319,Y319="-"),OR(Y319&lt;AA319,Y319="-"),OR(AA319&lt;AC319,AA319="-"),AC319&lt;AE319,OR(AE319&lt;AG319,AG319="-"),OR(AG319&lt;AI319,AG319="-"),OR(AI319&lt;AK319,AI319="-"),AK319&lt;AM319,AM319&lt;AO319,AO319&lt;AQ319,AQ319&lt;AS319,AS319&lt;AU319,OR(AU319&lt;AW319,AW319="-"),OR(AW319&lt;AY319,AW319="-"))</f>
        <v>1</v>
      </c>
      <c r="BC319" s="23">
        <f t="shared" ref="BC319" si="1122">_xlfn.AGGREGATE(9,6,CH319:CS319)-_xlfn.AGGREGATE(9,6,BV319:CG319)+12</f>
        <v>240</v>
      </c>
      <c r="BD319" s="2" t="s">
        <v>23</v>
      </c>
      <c r="BE319" s="3" t="s">
        <v>1285</v>
      </c>
      <c r="BF319" s="118">
        <v>3.9</v>
      </c>
      <c r="BG319" s="49" t="s">
        <v>1416</v>
      </c>
      <c r="BH319" s="49" t="s">
        <v>1416</v>
      </c>
      <c r="BI319" s="1"/>
      <c r="BJ319" s="70" t="s">
        <v>1281</v>
      </c>
      <c r="BK319" s="57" t="s">
        <v>1281</v>
      </c>
      <c r="BL319" s="57" t="s">
        <v>1281</v>
      </c>
      <c r="BM319" s="57" t="s">
        <v>1281</v>
      </c>
      <c r="BN319" s="57" t="s">
        <v>1281</v>
      </c>
      <c r="BO319" s="57" t="s">
        <v>1281</v>
      </c>
      <c r="BP319" s="57" t="s">
        <v>1281</v>
      </c>
      <c r="BQ319" s="57" t="s">
        <v>1281</v>
      </c>
      <c r="BR319" s="57" t="s">
        <v>1281</v>
      </c>
      <c r="BS319" s="57" t="s">
        <v>1281</v>
      </c>
      <c r="BT319" s="57" t="s">
        <v>1281</v>
      </c>
      <c r="BU319" s="57" t="s">
        <v>1281</v>
      </c>
      <c r="BV319" s="70">
        <f>E319</f>
        <v>33</v>
      </c>
      <c r="BW319" s="71" t="str">
        <f>I319</f>
        <v>-</v>
      </c>
      <c r="BX319" s="72">
        <f>M319</f>
        <v>73</v>
      </c>
      <c r="BY319" s="71">
        <f>Q319</f>
        <v>102</v>
      </c>
      <c r="BZ319" s="72">
        <f>U319</f>
        <v>106</v>
      </c>
      <c r="CA319" s="71" t="str">
        <f>Y319</f>
        <v>-</v>
      </c>
      <c r="CB319" s="72">
        <f>AC319</f>
        <v>150</v>
      </c>
      <c r="CC319" s="71">
        <f>AG319</f>
        <v>187</v>
      </c>
      <c r="CD319" s="72">
        <f>AK319</f>
        <v>199</v>
      </c>
      <c r="CE319" s="71">
        <f>AO319</f>
        <v>240</v>
      </c>
      <c r="CF319" s="72">
        <f>AS319</f>
        <v>284</v>
      </c>
      <c r="CG319" s="71">
        <f>AW319</f>
        <v>313</v>
      </c>
      <c r="CH319" s="70">
        <f>G319</f>
        <v>64</v>
      </c>
      <c r="CI319" s="71" t="str">
        <f>K319</f>
        <v>-</v>
      </c>
      <c r="CJ319" s="72">
        <f>O319</f>
        <v>100</v>
      </c>
      <c r="CK319" s="72">
        <f>S319</f>
        <v>105</v>
      </c>
      <c r="CL319" s="72">
        <f>W319</f>
        <v>140</v>
      </c>
      <c r="CM319" s="72" t="str">
        <f>AA319</f>
        <v>-</v>
      </c>
      <c r="CN319" s="72">
        <f>AE319</f>
        <v>172</v>
      </c>
      <c r="CO319" s="72">
        <f>AI319</f>
        <v>189</v>
      </c>
      <c r="CP319" s="72">
        <f>AM319</f>
        <v>236</v>
      </c>
      <c r="CQ319" s="72">
        <f>AQ319</f>
        <v>278</v>
      </c>
      <c r="CR319" s="72">
        <f>AU319</f>
        <v>309</v>
      </c>
      <c r="CS319" s="72">
        <f>AY319</f>
        <v>322</v>
      </c>
      <c r="CT319" s="23" t="e">
        <f>M319-K319</f>
        <v>#VALUE!</v>
      </c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U319" s="1"/>
      <c r="OV319" s="1"/>
      <c r="OW319" s="1"/>
      <c r="OX319" s="1"/>
      <c r="OY319" s="1"/>
      <c r="OZ319" s="1"/>
      <c r="PA319" s="1"/>
      <c r="PB319" s="1"/>
      <c r="PC319" s="1"/>
      <c r="PD319" s="1"/>
      <c r="PE319" s="1"/>
      <c r="PF319" s="1"/>
      <c r="PG319" s="1"/>
      <c r="PH319" s="1"/>
      <c r="PI319" s="1"/>
      <c r="PJ319" s="1"/>
      <c r="PK319" s="1"/>
      <c r="PL319" s="1"/>
      <c r="PM319" s="1"/>
      <c r="PN319" s="1"/>
      <c r="PO319" s="1"/>
      <c r="PP319" s="1"/>
      <c r="PQ319" s="1"/>
      <c r="PR319" s="1"/>
      <c r="PS319" s="1"/>
      <c r="PT319" s="1"/>
      <c r="PU319" s="1"/>
      <c r="PV319" s="1"/>
      <c r="PW319" s="1"/>
      <c r="PX319" s="1"/>
      <c r="PY319" s="1"/>
      <c r="PZ319" s="1"/>
      <c r="QA319" s="1"/>
      <c r="QB319" s="1"/>
      <c r="QC319" s="1"/>
      <c r="QD319" s="1"/>
      <c r="QE319" s="1"/>
      <c r="QF319" s="1"/>
      <c r="QG319" s="1"/>
      <c r="QH319" s="1"/>
      <c r="QI319" s="1"/>
      <c r="QJ319" s="1"/>
      <c r="QK319" s="1"/>
      <c r="QL319" s="1"/>
      <c r="QM319" s="1"/>
      <c r="QN319" s="1"/>
      <c r="QO319" s="1"/>
      <c r="QP319" s="1"/>
      <c r="QQ319" s="1"/>
      <c r="QR319" s="1"/>
      <c r="QS319" s="1"/>
      <c r="QT319" s="1"/>
      <c r="QU319" s="1"/>
      <c r="QV319" s="1"/>
      <c r="QW319" s="1"/>
      <c r="QX319" s="1"/>
      <c r="QY319" s="1"/>
      <c r="QZ319" s="1"/>
      <c r="RA319" s="1"/>
      <c r="RB319" s="1"/>
      <c r="RC319" s="1"/>
      <c r="RD319" s="1"/>
      <c r="RE319" s="1"/>
      <c r="RF319" s="1"/>
      <c r="RG319" s="1"/>
      <c r="RH319" s="1"/>
      <c r="RI319" s="1"/>
      <c r="RJ319" s="1"/>
      <c r="RK319" s="1"/>
      <c r="RL319" s="1"/>
      <c r="RM319" s="1"/>
      <c r="RN319" s="1"/>
      <c r="RO319" s="1"/>
      <c r="RP319" s="1"/>
      <c r="RQ319" s="1"/>
      <c r="RR319" s="1"/>
      <c r="RS319" s="1"/>
      <c r="RT319" s="1"/>
      <c r="RU319" s="1"/>
      <c r="RV319" s="1"/>
      <c r="RW319" s="1"/>
      <c r="RX319" s="1"/>
      <c r="RY319" s="1"/>
      <c r="RZ319" s="1"/>
      <c r="SA319" s="1"/>
      <c r="SB319" s="1"/>
      <c r="SC319" s="1"/>
      <c r="SD319" s="1"/>
      <c r="SE319" s="1"/>
      <c r="SF319" s="1"/>
      <c r="SG319" s="1"/>
      <c r="SH319" s="1"/>
      <c r="SI319" s="1"/>
      <c r="SJ319" s="1"/>
      <c r="SK319" s="1"/>
      <c r="SL319" s="1"/>
      <c r="SM319" s="1"/>
      <c r="SN319" s="1"/>
      <c r="SO319" s="1"/>
      <c r="SP319" s="1"/>
      <c r="SQ319" s="1"/>
      <c r="SR319" s="1"/>
      <c r="SS319" s="1"/>
      <c r="ST319" s="1"/>
      <c r="SU319" s="1"/>
      <c r="SV319" s="1"/>
      <c r="SW319" s="1"/>
      <c r="SX319" s="1"/>
      <c r="SY319" s="1"/>
      <c r="SZ319" s="1"/>
      <c r="TA319" s="1"/>
      <c r="TB319" s="1"/>
      <c r="TC319" s="1"/>
      <c r="TD319" s="1"/>
      <c r="TE319" s="1"/>
      <c r="TF319" s="1"/>
      <c r="TG319" s="1"/>
      <c r="TH319" s="1"/>
      <c r="TI319" s="1"/>
      <c r="TJ319" s="1"/>
      <c r="TK319" s="1"/>
      <c r="TL319" s="1"/>
      <c r="TM319" s="1"/>
      <c r="TN319" s="1"/>
      <c r="TO319" s="1"/>
      <c r="TP319" s="1"/>
      <c r="TQ319" s="1"/>
      <c r="TR319" s="1"/>
      <c r="TS319" s="1"/>
      <c r="TT319" s="1"/>
      <c r="TU319" s="1"/>
      <c r="TV319" s="1"/>
      <c r="TW319" s="1"/>
      <c r="TX319" s="1"/>
      <c r="TY319" s="1"/>
      <c r="TZ319" s="1"/>
      <c r="UA319" s="1"/>
      <c r="UB319" s="1"/>
      <c r="UC319" s="1"/>
      <c r="UD319" s="1"/>
      <c r="UE319" s="1"/>
      <c r="UF319" s="1"/>
      <c r="UG319" s="1"/>
      <c r="UH319" s="1"/>
      <c r="UI319" s="1"/>
      <c r="UJ319" s="1"/>
      <c r="UK319" s="1"/>
      <c r="UL319" s="1"/>
      <c r="UM319" s="1"/>
      <c r="UN319" s="1"/>
      <c r="UO319" s="1"/>
      <c r="UP319" s="1"/>
      <c r="UQ319" s="1"/>
      <c r="UR319" s="1"/>
      <c r="US319" s="1"/>
      <c r="UT319" s="1"/>
      <c r="UU319" s="1"/>
      <c r="UV319" s="1"/>
      <c r="UW319" s="1"/>
      <c r="UX319" s="1"/>
      <c r="UY319" s="1"/>
      <c r="UZ319" s="1"/>
      <c r="VA319" s="1"/>
      <c r="VB319" s="1"/>
      <c r="VC319" s="1"/>
      <c r="VD319" s="1"/>
      <c r="VE319" s="1"/>
      <c r="VF319" s="1"/>
      <c r="VG319" s="1"/>
      <c r="VH319" s="1"/>
      <c r="VI319" s="1"/>
      <c r="VJ319" s="1"/>
      <c r="VK319" s="1"/>
      <c r="VL319" s="1"/>
      <c r="VM319" s="1"/>
      <c r="VN319" s="1"/>
      <c r="VO319" s="1"/>
      <c r="VP319" s="1"/>
      <c r="VQ319" s="1"/>
      <c r="VR319" s="1"/>
      <c r="VS319" s="1"/>
      <c r="VT319" s="1"/>
      <c r="VU319" s="1"/>
      <c r="VV319" s="1"/>
      <c r="VW319" s="1"/>
      <c r="VX319" s="1"/>
      <c r="VY319" s="1"/>
      <c r="VZ319" s="1"/>
      <c r="WA319" s="1"/>
      <c r="WB319" s="1"/>
      <c r="WC319" s="1"/>
      <c r="WD319" s="1"/>
      <c r="WE319" s="1"/>
      <c r="WF319" s="1"/>
      <c r="WG319" s="1"/>
      <c r="WH319" s="1"/>
      <c r="WI319" s="1"/>
      <c r="WJ319" s="1"/>
      <c r="WK319" s="1"/>
      <c r="WL319" s="1"/>
      <c r="WM319" s="1"/>
      <c r="WN319" s="1"/>
      <c r="WO319" s="1"/>
      <c r="WP319" s="1"/>
      <c r="WQ319" s="1"/>
      <c r="WR319" s="1"/>
      <c r="WS319" s="1"/>
      <c r="WT319" s="1"/>
      <c r="WU319" s="1"/>
      <c r="WV319" s="1"/>
      <c r="WW319" s="1"/>
      <c r="WX319" s="1"/>
      <c r="WY319" s="1"/>
      <c r="WZ319" s="1"/>
      <c r="XA319" s="1"/>
      <c r="XB319" s="1"/>
      <c r="XC319" s="1"/>
      <c r="XD319" s="1"/>
      <c r="XE319" s="1"/>
      <c r="XF319" s="1"/>
      <c r="XG319" s="1"/>
      <c r="XH319" s="1"/>
      <c r="XI319" s="1"/>
      <c r="XJ319" s="1"/>
      <c r="XK319" s="1"/>
      <c r="XL319" s="1"/>
      <c r="XM319" s="1"/>
      <c r="XN319" s="1"/>
      <c r="XO319" s="1"/>
      <c r="XP319" s="1"/>
      <c r="XQ319" s="1"/>
      <c r="XR319" s="1"/>
      <c r="XS319" s="1"/>
      <c r="XT319" s="1"/>
      <c r="XU319" s="1"/>
      <c r="XV319" s="1"/>
      <c r="XW319" s="1"/>
      <c r="XX319" s="1"/>
      <c r="XY319" s="1"/>
      <c r="XZ319" s="1"/>
      <c r="YA319" s="1"/>
      <c r="YB319" s="1"/>
      <c r="YC319" s="1"/>
      <c r="YD319" s="1"/>
      <c r="YE319" s="1"/>
      <c r="YF319" s="1"/>
      <c r="YG319" s="1"/>
      <c r="YH319" s="1"/>
      <c r="YI319" s="1"/>
      <c r="YJ319" s="1"/>
      <c r="YK319" s="1"/>
      <c r="YL319" s="1"/>
      <c r="YM319" s="1"/>
      <c r="YN319" s="1"/>
      <c r="YO319" s="1"/>
      <c r="YP319" s="1"/>
      <c r="YQ319" s="1"/>
      <c r="YR319" s="1"/>
      <c r="YS319" s="1"/>
      <c r="YT319" s="1"/>
      <c r="YU319" s="1"/>
      <c r="YV319" s="1"/>
      <c r="YW319" s="1"/>
      <c r="YX319" s="1"/>
      <c r="YY319" s="1"/>
      <c r="YZ319" s="1"/>
      <c r="ZA319" s="1"/>
      <c r="ZB319" s="1"/>
      <c r="ZC319" s="1"/>
      <c r="ZD319" s="1"/>
      <c r="ZE319" s="1"/>
      <c r="ZF319" s="1"/>
      <c r="ZG319" s="1"/>
      <c r="ZH319" s="1"/>
      <c r="ZI319" s="1"/>
      <c r="ZJ319" s="1"/>
      <c r="ZK319" s="1"/>
      <c r="ZL319" s="1"/>
      <c r="ZM319" s="1"/>
      <c r="ZN319" s="1"/>
      <c r="ZO319" s="1"/>
      <c r="ZP319" s="1"/>
      <c r="ZQ319" s="1"/>
      <c r="ZR319" s="1"/>
      <c r="ZS319" s="1"/>
      <c r="ZT319" s="1"/>
      <c r="ZU319" s="1"/>
      <c r="ZV319" s="1"/>
      <c r="ZW319" s="1"/>
      <c r="ZX319" s="1"/>
      <c r="ZY319" s="1"/>
      <c r="ZZ319" s="1"/>
      <c r="AAA319" s="1"/>
      <c r="AAB319" s="1"/>
      <c r="AAC319" s="1"/>
      <c r="AAD319" s="1"/>
      <c r="AAE319" s="1"/>
      <c r="AAF319" s="1"/>
      <c r="AAG319" s="1"/>
      <c r="AAH319" s="1"/>
      <c r="AAI319" s="1"/>
      <c r="AAJ319" s="1"/>
      <c r="AAK319" s="1"/>
      <c r="AAL319" s="1"/>
      <c r="AAM319" s="1"/>
      <c r="AAN319" s="1"/>
      <c r="AAO319" s="1"/>
      <c r="AAP319" s="1"/>
      <c r="AAQ319" s="1"/>
      <c r="AAR319" s="1"/>
      <c r="AAS319" s="1"/>
      <c r="AAT319" s="1"/>
      <c r="AAU319" s="1"/>
      <c r="AAV319" s="1"/>
      <c r="AAW319" s="1"/>
      <c r="AAX319" s="1"/>
      <c r="AAY319" s="1"/>
      <c r="AAZ319" s="1"/>
      <c r="ABA319" s="1"/>
      <c r="ABB319" s="1"/>
      <c r="ABC319" s="1"/>
      <c r="ABD319" s="1"/>
      <c r="ABE319" s="1"/>
      <c r="ABF319" s="1"/>
      <c r="ABG319" s="1"/>
      <c r="ABH319" s="1"/>
      <c r="ABI319" s="1"/>
      <c r="ABJ319" s="1"/>
      <c r="ABK319" s="1"/>
      <c r="ABL319" s="1"/>
      <c r="ABM319" s="1"/>
      <c r="ABN319" s="1"/>
      <c r="ABO319" s="1"/>
      <c r="ABP319" s="1"/>
      <c r="ABQ319" s="1"/>
      <c r="ABR319" s="1"/>
      <c r="ABS319" s="1"/>
      <c r="ABT319" s="1"/>
      <c r="ABU319" s="1"/>
      <c r="ABV319" s="1"/>
      <c r="ABW319" s="1"/>
      <c r="ABX319" s="1"/>
      <c r="ABY319" s="1"/>
      <c r="ABZ319" s="1"/>
      <c r="ACA319" s="1"/>
      <c r="ACB319" s="1"/>
      <c r="ACC319" s="1"/>
      <c r="ACD319" s="1"/>
      <c r="ACE319" s="1"/>
      <c r="ACF319" s="1"/>
      <c r="ACG319" s="1"/>
      <c r="ACH319" s="1"/>
      <c r="ACI319" s="1"/>
      <c r="ACJ319" s="1"/>
      <c r="ACK319" s="1"/>
      <c r="ACL319" s="1"/>
      <c r="ACM319" s="1"/>
      <c r="ACN319" s="1"/>
      <c r="ACO319" s="1"/>
      <c r="ACP319" s="1"/>
      <c r="ACQ319" s="1"/>
      <c r="ACR319" s="1"/>
      <c r="ACS319" s="1"/>
      <c r="ACT319" s="1"/>
      <c r="ACU319" s="1"/>
      <c r="ACV319" s="1"/>
      <c r="ACW319" s="1"/>
      <c r="ACX319" s="1"/>
      <c r="ACY319" s="1"/>
      <c r="ACZ319" s="1"/>
      <c r="ADA319" s="1"/>
      <c r="ADB319" s="1"/>
      <c r="ADC319" s="1"/>
      <c r="ADD319" s="1"/>
      <c r="ADE319" s="1"/>
      <c r="ADF319" s="1"/>
      <c r="ADG319" s="1"/>
      <c r="ADH319" s="1"/>
      <c r="ADI319" s="1"/>
      <c r="ADJ319" s="1"/>
      <c r="ADK319" s="1"/>
      <c r="ADL319" s="1"/>
      <c r="ADM319" s="1"/>
      <c r="ADN319" s="1"/>
      <c r="ADO319" s="1"/>
      <c r="ADP319" s="1"/>
      <c r="ADQ319" s="1"/>
      <c r="ADR319" s="1"/>
      <c r="ADS319" s="1"/>
      <c r="ADT319" s="1"/>
      <c r="ADU319" s="1"/>
      <c r="ADV319" s="1"/>
      <c r="ADW319" s="1"/>
      <c r="ADX319" s="1"/>
      <c r="ADY319" s="1"/>
      <c r="ADZ319" s="1"/>
      <c r="AEA319" s="1"/>
      <c r="AEB319" s="1"/>
      <c r="AEC319" s="1"/>
      <c r="AED319" s="1"/>
      <c r="AEE319" s="1"/>
      <c r="AEF319" s="1"/>
      <c r="AEG319" s="1"/>
      <c r="AEH319" s="1"/>
      <c r="AEI319" s="1"/>
      <c r="AEJ319" s="1"/>
      <c r="AEK319" s="1"/>
      <c r="AEL319" s="1"/>
      <c r="AEM319" s="1"/>
      <c r="AEN319" s="1"/>
      <c r="AEO319" s="1"/>
      <c r="AEP319" s="1"/>
      <c r="AEQ319" s="1"/>
      <c r="AER319" s="1"/>
      <c r="AES319" s="1"/>
      <c r="AET319" s="1"/>
      <c r="AEU319" s="1"/>
      <c r="AEV319" s="1"/>
      <c r="AEW319" s="1"/>
      <c r="AEX319" s="1"/>
      <c r="AEY319" s="1"/>
      <c r="AEZ319" s="1"/>
      <c r="AFA319" s="1"/>
      <c r="AFB319" s="1"/>
      <c r="AFC319" s="1"/>
      <c r="AFD319" s="1"/>
      <c r="AFE319" s="1"/>
      <c r="AFF319" s="1"/>
      <c r="AFG319" s="1"/>
      <c r="AFH319" s="1"/>
      <c r="AFI319" s="1"/>
      <c r="AFJ319" s="1"/>
      <c r="AFK319" s="1"/>
      <c r="AFL319" s="1"/>
      <c r="AFM319" s="1"/>
      <c r="AFN319" s="1"/>
      <c r="AFO319" s="1"/>
      <c r="AFP319" s="1"/>
      <c r="AFQ319" s="1"/>
      <c r="AFR319" s="1"/>
      <c r="AFS319" s="1"/>
      <c r="AFT319" s="1"/>
      <c r="AFU319" s="1"/>
      <c r="AFV319" s="1"/>
      <c r="AFW319" s="1"/>
      <c r="AFX319" s="1"/>
      <c r="AFY319" s="1"/>
      <c r="AFZ319" s="1"/>
      <c r="AGA319" s="1"/>
      <c r="AGB319" s="1"/>
      <c r="AGC319" s="1"/>
      <c r="AGD319" s="1"/>
      <c r="AGE319" s="1"/>
      <c r="AGF319" s="1"/>
      <c r="AGG319" s="1"/>
      <c r="AGH319" s="1"/>
      <c r="AGI319" s="1"/>
      <c r="AGJ319" s="1"/>
      <c r="AGK319" s="1"/>
      <c r="AGL319" s="1"/>
      <c r="AGM319" s="1"/>
      <c r="AGN319" s="1"/>
      <c r="AGO319" s="1"/>
      <c r="AGP319" s="1"/>
      <c r="AGQ319" s="1"/>
      <c r="AGR319" s="1"/>
      <c r="AGS319" s="1"/>
      <c r="AGT319" s="1"/>
      <c r="AGU319" s="1"/>
      <c r="AGV319" s="1"/>
      <c r="AGW319" s="1"/>
      <c r="AGX319" s="1"/>
      <c r="AGY319" s="1"/>
      <c r="AGZ319" s="1"/>
      <c r="AHA319" s="1"/>
      <c r="AHB319" s="1"/>
      <c r="AHC319" s="1"/>
      <c r="AHD319" s="1"/>
      <c r="AHE319" s="1"/>
      <c r="AHF319" s="1"/>
      <c r="AHG319" s="1"/>
      <c r="AHH319" s="1"/>
      <c r="AHI319" s="1"/>
      <c r="AHJ319" s="1"/>
      <c r="AHK319" s="1"/>
      <c r="AHL319" s="1"/>
      <c r="AHM319" s="1"/>
      <c r="AHN319" s="1"/>
      <c r="AHO319" s="1"/>
      <c r="AHP319" s="1"/>
      <c r="AHQ319" s="1"/>
      <c r="AHR319" s="1"/>
      <c r="AHS319" s="1"/>
      <c r="AHT319" s="1"/>
      <c r="AHU319" s="1"/>
      <c r="AHV319" s="1"/>
      <c r="AHW319" s="1"/>
      <c r="AHX319" s="1"/>
      <c r="AHY319" s="1"/>
      <c r="AHZ319" s="1"/>
      <c r="AIA319" s="1"/>
      <c r="AIB319" s="1"/>
      <c r="AIC319" s="1"/>
      <c r="AID319" s="1"/>
      <c r="AIE319" s="1"/>
      <c r="AIF319" s="1"/>
      <c r="AIG319" s="1"/>
      <c r="AIH319" s="1"/>
      <c r="AII319" s="1"/>
      <c r="AIJ319" s="1"/>
      <c r="AIK319" s="1"/>
      <c r="AIL319" s="1"/>
      <c r="AIM319" s="1"/>
      <c r="AIN319" s="1"/>
      <c r="AIO319" s="1"/>
      <c r="AIP319" s="1"/>
      <c r="AIQ319" s="1"/>
      <c r="AIR319" s="1"/>
      <c r="AIS319" s="1"/>
      <c r="AIT319" s="1"/>
      <c r="AIU319" s="1"/>
      <c r="AIV319" s="1"/>
      <c r="AIW319" s="1"/>
      <c r="AIX319" s="1"/>
      <c r="AIY319" s="1"/>
      <c r="AIZ319" s="1"/>
      <c r="AJA319" s="1"/>
      <c r="AJB319" s="1"/>
      <c r="AJC319" s="1"/>
      <c r="AJD319" s="1"/>
      <c r="AJE319" s="1"/>
      <c r="AJF319" s="1"/>
      <c r="AJG319" s="1"/>
      <c r="AJH319" s="1"/>
      <c r="AJI319" s="1"/>
      <c r="AJJ319" s="1"/>
      <c r="AJK319" s="1"/>
      <c r="AJL319" s="1"/>
      <c r="AJM319" s="1"/>
      <c r="AJN319" s="1"/>
      <c r="AJO319" s="1"/>
      <c r="AJP319" s="1"/>
      <c r="AJQ319" s="1"/>
      <c r="AJR319" s="1"/>
      <c r="AJS319" s="1"/>
      <c r="AJT319" s="1"/>
      <c r="AJU319" s="1"/>
      <c r="AJV319" s="1"/>
      <c r="AJW319" s="1"/>
      <c r="AJX319" s="1"/>
      <c r="AJY319" s="1"/>
      <c r="AJZ319" s="1"/>
      <c r="AKA319" s="1"/>
      <c r="AKB319" s="1"/>
      <c r="AKC319" s="1"/>
      <c r="AKD319" s="1"/>
      <c r="AKE319" s="1"/>
      <c r="AKF319" s="1"/>
      <c r="AKG319" s="1"/>
      <c r="AKH319" s="1"/>
      <c r="AKI319" s="1"/>
      <c r="AKJ319" s="1"/>
      <c r="AKK319" s="1"/>
      <c r="AKL319" s="1"/>
      <c r="AKM319" s="1"/>
      <c r="AKN319" s="1"/>
      <c r="AKO319" s="1"/>
      <c r="AKP319" s="1"/>
      <c r="AKQ319" s="1"/>
      <c r="AKR319" s="1"/>
      <c r="AKS319" s="1"/>
      <c r="AKT319" s="1"/>
      <c r="AKU319" s="1"/>
      <c r="AKV319" s="1"/>
      <c r="AKW319" s="1"/>
      <c r="AKX319" s="1"/>
      <c r="AKY319" s="1"/>
      <c r="AKZ319" s="1"/>
      <c r="ALA319" s="1"/>
      <c r="ALB319" s="1"/>
      <c r="ALC319" s="1"/>
      <c r="ALD319" s="1"/>
      <c r="ALE319" s="1"/>
      <c r="ALF319" s="1"/>
      <c r="ALG319" s="1"/>
      <c r="ALH319" s="1"/>
      <c r="ALI319" s="1"/>
      <c r="ALJ319" s="1"/>
      <c r="ALK319" s="1"/>
      <c r="ALL319" s="1"/>
      <c r="ALM319" s="1"/>
      <c r="ALN319" s="1"/>
      <c r="ALO319" s="1"/>
      <c r="ALP319" s="1"/>
      <c r="ALQ319" s="1"/>
      <c r="ALR319" s="1"/>
      <c r="ALS319" s="1"/>
      <c r="ALT319" s="1"/>
      <c r="ALU319" s="1"/>
      <c r="ALV319" s="1"/>
      <c r="ALW319" s="1"/>
      <c r="ALX319" s="1"/>
      <c r="ALY319" s="1"/>
      <c r="ALZ319" s="1"/>
      <c r="AMA319" s="1"/>
      <c r="AMB319" s="1"/>
      <c r="AMC319" s="1"/>
      <c r="AMD319" s="1"/>
      <c r="AME319" s="1"/>
      <c r="AMF319" s="1"/>
      <c r="AMG319" s="1"/>
      <c r="AMH319" s="1"/>
      <c r="AMI319" s="1"/>
      <c r="AMJ319" s="1"/>
      <c r="AMK319" s="1"/>
      <c r="AML319" s="1"/>
      <c r="AMM319" s="1"/>
      <c r="AMN319" s="1"/>
      <c r="AMO319" s="1"/>
    </row>
    <row r="320" spans="1:1029" x14ac:dyDescent="0.2">
      <c r="A320" s="3" t="str">
        <f>CONCATENATE(B320,"_",C320)</f>
        <v>opsd_bovin_6OYA</v>
      </c>
      <c r="B320" s="3" t="s">
        <v>913</v>
      </c>
      <c r="C320" s="3" t="s">
        <v>1582</v>
      </c>
      <c r="D320" s="3" t="str">
        <f>IFERROR(MID(VLOOKUP($B320,Seqs!$A:$B,2,0),E320,1),"")</f>
        <v>E</v>
      </c>
      <c r="E320" s="3">
        <v>33</v>
      </c>
      <c r="F320" s="3" t="str">
        <f>IFERROR(MID(VLOOKUP($B320,Seqs!$A:$B,2,0),G320,1),"")</f>
        <v>H</v>
      </c>
      <c r="G320" s="3">
        <v>65</v>
      </c>
      <c r="H320" s="3" t="str">
        <f>IFERROR(MID(VLOOKUP($B320,Seqs!$A:$B,2,0),I320,1),"")</f>
        <v>K</v>
      </c>
      <c r="I320" s="23">
        <v>66</v>
      </c>
      <c r="J320" s="3" t="str">
        <f>IFERROR(MID(VLOOKUP($B320,Seqs!$A:$B,2,0),K320,1),"")</f>
        <v>R</v>
      </c>
      <c r="K320" s="23">
        <v>69</v>
      </c>
      <c r="L320" s="3" t="str">
        <f>IFERROR(MID(VLOOKUP($B320,Seqs!$A:$B,2,0),M320,1),"")</f>
        <v>T</v>
      </c>
      <c r="M320" s="3">
        <v>70</v>
      </c>
      <c r="N320" s="3" t="str">
        <f>IFERROR(MID(VLOOKUP($B320,Seqs!$A:$B,2,0),O320,1),"")</f>
        <v>G</v>
      </c>
      <c r="O320" s="3">
        <v>101</v>
      </c>
      <c r="P320" s="3" t="str">
        <f>IFERROR(MID(VLOOKUP($B320,Seqs!$A:$B,2,0),Q320,1),"")</f>
        <v>Y</v>
      </c>
      <c r="Q320" s="3">
        <v>102</v>
      </c>
      <c r="R320" s="3" t="str">
        <f>IFERROR(MID(VLOOKUP($B320,Seqs!$A:$B,2,0),S320,1),"")</f>
        <v>F</v>
      </c>
      <c r="S320" s="3">
        <v>105</v>
      </c>
      <c r="T320" s="3" t="str">
        <f>IFERROR(MID(VLOOKUP($B320,Seqs!$A:$B,2,0),U320,1),"")</f>
        <v>G</v>
      </c>
      <c r="U320" s="3">
        <v>106</v>
      </c>
      <c r="V320" s="3" t="str">
        <f>IFERROR(MID(VLOOKUP($B320,Seqs!$A:$B,2,0),W320,1),"")</f>
        <v>C</v>
      </c>
      <c r="W320" s="3">
        <v>140</v>
      </c>
      <c r="X320" s="3" t="str">
        <f>IFERROR(MID(VLOOKUP($B320,Seqs!$A:$B,2,0),Y320,1),"")</f>
        <v/>
      </c>
      <c r="Y320" s="3" t="s">
        <v>23</v>
      </c>
      <c r="Z320" s="3" t="str">
        <f>IFERROR(MID(VLOOKUP($B320,Seqs!$A:$B,2,0),AA320,1),"")</f>
        <v/>
      </c>
      <c r="AA320" s="3" t="s">
        <v>23</v>
      </c>
      <c r="AB320" s="3" t="str">
        <f>IFERROR(MID(VLOOKUP($B320,Seqs!$A:$B,2,0),AC320,1),"")</f>
        <v>G</v>
      </c>
      <c r="AC320" s="3">
        <v>149</v>
      </c>
      <c r="AD320" s="3" t="str">
        <f>IFERROR(MID(VLOOKUP($B320,Seqs!$A:$B,2,0),AE320,1),"")</f>
        <v>G</v>
      </c>
      <c r="AE320" s="3">
        <v>174</v>
      </c>
      <c r="AF320" s="3" t="str">
        <f>IFERROR(MID(VLOOKUP($B320,Seqs!$A:$B,2,0),AG320,1),"")</f>
        <v>C</v>
      </c>
      <c r="AG320" s="3">
        <v>187</v>
      </c>
      <c r="AH320" s="3" t="str">
        <f>IFERROR(MID(VLOOKUP($B320,Seqs!$A:$B,2,0),AI320,1),"")</f>
        <v>I</v>
      </c>
      <c r="AI320" s="3">
        <v>189</v>
      </c>
      <c r="AJ320" s="3" t="str">
        <f>IFERROR(MID(VLOOKUP($B320,Seqs!$A:$B,2,0),AK320,1),"")</f>
        <v>N</v>
      </c>
      <c r="AK320" s="3">
        <v>199</v>
      </c>
      <c r="AL320" s="3" t="str">
        <f>IFERROR(MID(VLOOKUP($B320,Seqs!$A:$B,2,0),AM320,1),"")</f>
        <v>A</v>
      </c>
      <c r="AM320" s="3">
        <v>235</v>
      </c>
      <c r="AN320" s="3" t="str">
        <f>IFERROR(MID(VLOOKUP($B320,Seqs!$A:$B,2,0),AO320,1),"")</f>
        <v>T</v>
      </c>
      <c r="AO320" s="3">
        <v>243</v>
      </c>
      <c r="AP320" s="3" t="str">
        <f>IFERROR(MID(VLOOKUP($B320,Seqs!$A:$B,2,0),AQ320,1),"")</f>
        <v>H</v>
      </c>
      <c r="AQ320" s="3">
        <v>278</v>
      </c>
      <c r="AR320" s="3" t="str">
        <f>IFERROR(MID(VLOOKUP($B320,Seqs!$A:$B,2,0),AS320,1),"")</f>
        <v>G</v>
      </c>
      <c r="AS320" s="3">
        <v>284</v>
      </c>
      <c r="AT320" s="3" t="str">
        <f>IFERROR(MID(VLOOKUP($B320,Seqs!$A:$B,2,0),AU320,1),"")</f>
        <v>M</v>
      </c>
      <c r="AU320" s="3">
        <v>308</v>
      </c>
      <c r="AV320" s="3" t="str">
        <f>IFERROR(MID(VLOOKUP($B320,Seqs!$A:$B,2,0),AW320,1),"")</f>
        <v>F</v>
      </c>
      <c r="AW320" s="3">
        <v>313</v>
      </c>
      <c r="AX320" s="3" t="str">
        <f>IFERROR(MID(VLOOKUP($B320,Seqs!$A:$B,2,0),AY320,1),"")</f>
        <v>C</v>
      </c>
      <c r="AY320" s="3">
        <v>322</v>
      </c>
      <c r="AZ320" s="77" t="str">
        <f>VLOOKUP(B320,Classification!A:D,2,0)</f>
        <v>A</v>
      </c>
      <c r="BA320" s="94" t="str">
        <f>VLOOKUP(B320,Classification!A:D,4,0)</f>
        <v>Opsins</v>
      </c>
      <c r="BB320" s="27" t="b">
        <f t="shared" ref="BB320" si="1123">AND(E320&lt;G320,OR(G320&lt;I320,I320="-"),OR(I320&lt;K320,I320="-"),OR(K320&lt;M320,K320="-"),M320&lt;O320,OR(O320&lt;Q320,Q320="-"),OR(Q320&lt;S320,Q320="-"),OR(S320&lt;U320,S320="-"),U320&lt;W320,OR(W320&lt;Y320,Y320="-"),OR(Y320&lt;AA320,Y320="-"),OR(AA320&lt;AC320,AA320="-"),AC320&lt;AE320,OR(AE320&lt;AG320,AG320="-"),OR(AG320&lt;AI320,AG320="-"),OR(AI320&lt;AK320,AI320="-"),AK320&lt;AM320,AM320&lt;AO320,AO320&lt;AQ320,AQ320&lt;AS320,AS320&lt;AU320,OR(AU320&lt;AW320,AW320="-"),OR(AW320&lt;AY320,AW320="-"))</f>
        <v>1</v>
      </c>
      <c r="BC320" s="23">
        <f t="shared" ref="BC320" si="1124">_xlfn.AGGREGATE(9,6,CH320:CS320)-_xlfn.AGGREGATE(9,6,BV320:CG320)+12</f>
        <v>246</v>
      </c>
      <c r="BD320" s="2" t="s">
        <v>23</v>
      </c>
      <c r="BE320" s="3" t="s">
        <v>1285</v>
      </c>
      <c r="BF320" s="118">
        <v>3.3</v>
      </c>
      <c r="BG320" s="49" t="s">
        <v>1416</v>
      </c>
      <c r="BH320" s="49" t="s">
        <v>1416</v>
      </c>
      <c r="BI320" s="1"/>
      <c r="BJ320" s="70" t="s">
        <v>1281</v>
      </c>
      <c r="BK320" s="57" t="s">
        <v>1281</v>
      </c>
      <c r="BL320" s="57" t="s">
        <v>1281</v>
      </c>
      <c r="BM320" s="57" t="s">
        <v>1281</v>
      </c>
      <c r="BN320" s="57" t="s">
        <v>1281</v>
      </c>
      <c r="BO320" s="57" t="s">
        <v>1281</v>
      </c>
      <c r="BP320" s="57" t="s">
        <v>1281</v>
      </c>
      <c r="BQ320" s="57" t="s">
        <v>1281</v>
      </c>
      <c r="BR320" s="57" t="s">
        <v>1281</v>
      </c>
      <c r="BS320" s="57" t="s">
        <v>1281</v>
      </c>
      <c r="BT320" s="57" t="s">
        <v>1281</v>
      </c>
      <c r="BU320" s="57" t="s">
        <v>1281</v>
      </c>
      <c r="BV320" s="70">
        <f>E320</f>
        <v>33</v>
      </c>
      <c r="BW320" s="71">
        <f>I320</f>
        <v>66</v>
      </c>
      <c r="BX320" s="72">
        <f>M320</f>
        <v>70</v>
      </c>
      <c r="BY320" s="71">
        <f>Q320</f>
        <v>102</v>
      </c>
      <c r="BZ320" s="72">
        <f>U320</f>
        <v>106</v>
      </c>
      <c r="CA320" s="71" t="str">
        <f>Y320</f>
        <v>-</v>
      </c>
      <c r="CB320" s="72">
        <f>AC320</f>
        <v>149</v>
      </c>
      <c r="CC320" s="71">
        <f>AG320</f>
        <v>187</v>
      </c>
      <c r="CD320" s="72">
        <f>AK320</f>
        <v>199</v>
      </c>
      <c r="CE320" s="71">
        <f>AO320</f>
        <v>243</v>
      </c>
      <c r="CF320" s="72">
        <f>AS320</f>
        <v>284</v>
      </c>
      <c r="CG320" s="71">
        <f>AW320</f>
        <v>313</v>
      </c>
      <c r="CH320" s="70">
        <f>G320</f>
        <v>65</v>
      </c>
      <c r="CI320" s="71">
        <f>K320</f>
        <v>69</v>
      </c>
      <c r="CJ320" s="72">
        <f>O320</f>
        <v>101</v>
      </c>
      <c r="CK320" s="72">
        <f>S320</f>
        <v>105</v>
      </c>
      <c r="CL320" s="72">
        <f>W320</f>
        <v>140</v>
      </c>
      <c r="CM320" s="72" t="str">
        <f>AA320</f>
        <v>-</v>
      </c>
      <c r="CN320" s="72">
        <f>AE320</f>
        <v>174</v>
      </c>
      <c r="CO320" s="72">
        <f>AI320</f>
        <v>189</v>
      </c>
      <c r="CP320" s="72">
        <f>AM320</f>
        <v>235</v>
      </c>
      <c r="CQ320" s="72">
        <f>AQ320</f>
        <v>278</v>
      </c>
      <c r="CR320" s="72">
        <f>AU320</f>
        <v>308</v>
      </c>
      <c r="CS320" s="72">
        <f>AY320</f>
        <v>322</v>
      </c>
      <c r="CT320" s="23">
        <f>M320-K320</f>
        <v>1</v>
      </c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/>
      <c r="OT320" s="1"/>
      <c r="OU320" s="1"/>
      <c r="OV320" s="1"/>
      <c r="OW320" s="1"/>
      <c r="OX320" s="1"/>
      <c r="OY320" s="1"/>
      <c r="OZ320" s="1"/>
      <c r="PA320" s="1"/>
      <c r="PB320" s="1"/>
      <c r="PC320" s="1"/>
      <c r="PD320" s="1"/>
      <c r="PE320" s="1"/>
      <c r="PF320" s="1"/>
      <c r="PG320" s="1"/>
      <c r="PH320" s="1"/>
      <c r="PI320" s="1"/>
      <c r="PJ320" s="1"/>
      <c r="PK320" s="1"/>
      <c r="PL320" s="1"/>
      <c r="PM320" s="1"/>
      <c r="PN320" s="1"/>
      <c r="PO320" s="1"/>
      <c r="PP320" s="1"/>
      <c r="PQ320" s="1"/>
      <c r="PR320" s="1"/>
      <c r="PS320" s="1"/>
      <c r="PT320" s="1"/>
      <c r="PU320" s="1"/>
      <c r="PV320" s="1"/>
      <c r="PW320" s="1"/>
      <c r="PX320" s="1"/>
      <c r="PY320" s="1"/>
      <c r="PZ320" s="1"/>
      <c r="QA320" s="1"/>
      <c r="QB320" s="1"/>
      <c r="QC320" s="1"/>
      <c r="QD320" s="1"/>
      <c r="QE320" s="1"/>
      <c r="QF320" s="1"/>
      <c r="QG320" s="1"/>
      <c r="QH320" s="1"/>
      <c r="QI320" s="1"/>
      <c r="QJ320" s="1"/>
      <c r="QK320" s="1"/>
      <c r="QL320" s="1"/>
      <c r="QM320" s="1"/>
      <c r="QN320" s="1"/>
      <c r="QO320" s="1"/>
      <c r="QP320" s="1"/>
      <c r="QQ320" s="1"/>
      <c r="QR320" s="1"/>
      <c r="QS320" s="1"/>
      <c r="QT320" s="1"/>
      <c r="QU320" s="1"/>
      <c r="QV320" s="1"/>
      <c r="QW320" s="1"/>
      <c r="QX320" s="1"/>
      <c r="QY320" s="1"/>
      <c r="QZ320" s="1"/>
      <c r="RA320" s="1"/>
      <c r="RB320" s="1"/>
      <c r="RC320" s="1"/>
      <c r="RD320" s="1"/>
      <c r="RE320" s="1"/>
      <c r="RF320" s="1"/>
      <c r="RG320" s="1"/>
      <c r="RH320" s="1"/>
      <c r="RI320" s="1"/>
      <c r="RJ320" s="1"/>
      <c r="RK320" s="1"/>
      <c r="RL320" s="1"/>
      <c r="RM320" s="1"/>
      <c r="RN320" s="1"/>
      <c r="RO320" s="1"/>
      <c r="RP320" s="1"/>
      <c r="RQ320" s="1"/>
      <c r="RR320" s="1"/>
      <c r="RS320" s="1"/>
      <c r="RT320" s="1"/>
      <c r="RU320" s="1"/>
      <c r="RV320" s="1"/>
      <c r="RW320" s="1"/>
      <c r="RX320" s="1"/>
      <c r="RY320" s="1"/>
      <c r="RZ320" s="1"/>
      <c r="SA320" s="1"/>
      <c r="SB320" s="1"/>
      <c r="SC320" s="1"/>
      <c r="SD320" s="1"/>
      <c r="SE320" s="1"/>
      <c r="SF320" s="1"/>
      <c r="SG320" s="1"/>
      <c r="SH320" s="1"/>
      <c r="SI320" s="1"/>
      <c r="SJ320" s="1"/>
      <c r="SK320" s="1"/>
      <c r="SL320" s="1"/>
      <c r="SM320" s="1"/>
      <c r="SN320" s="1"/>
      <c r="SO320" s="1"/>
      <c r="SP320" s="1"/>
      <c r="SQ320" s="1"/>
      <c r="SR320" s="1"/>
      <c r="SS320" s="1"/>
      <c r="ST320" s="1"/>
      <c r="SU320" s="1"/>
      <c r="SV320" s="1"/>
      <c r="SW320" s="1"/>
      <c r="SX320" s="1"/>
      <c r="SY320" s="1"/>
      <c r="SZ320" s="1"/>
      <c r="TA320" s="1"/>
      <c r="TB320" s="1"/>
      <c r="TC320" s="1"/>
      <c r="TD320" s="1"/>
      <c r="TE320" s="1"/>
      <c r="TF320" s="1"/>
      <c r="TG320" s="1"/>
      <c r="TH320" s="1"/>
      <c r="TI320" s="1"/>
      <c r="TJ320" s="1"/>
      <c r="TK320" s="1"/>
      <c r="TL320" s="1"/>
      <c r="TM320" s="1"/>
      <c r="TN320" s="1"/>
      <c r="TO320" s="1"/>
      <c r="TP320" s="1"/>
      <c r="TQ320" s="1"/>
      <c r="TR320" s="1"/>
      <c r="TS320" s="1"/>
      <c r="TT320" s="1"/>
      <c r="TU320" s="1"/>
      <c r="TV320" s="1"/>
      <c r="TW320" s="1"/>
      <c r="TX320" s="1"/>
      <c r="TY320" s="1"/>
      <c r="TZ320" s="1"/>
      <c r="UA320" s="1"/>
      <c r="UB320" s="1"/>
      <c r="UC320" s="1"/>
      <c r="UD320" s="1"/>
      <c r="UE320" s="1"/>
      <c r="UF320" s="1"/>
      <c r="UG320" s="1"/>
      <c r="UH320" s="1"/>
      <c r="UI320" s="1"/>
      <c r="UJ320" s="1"/>
      <c r="UK320" s="1"/>
      <c r="UL320" s="1"/>
      <c r="UM320" s="1"/>
      <c r="UN320" s="1"/>
      <c r="UO320" s="1"/>
      <c r="UP320" s="1"/>
      <c r="UQ320" s="1"/>
      <c r="UR320" s="1"/>
      <c r="US320" s="1"/>
      <c r="UT320" s="1"/>
      <c r="UU320" s="1"/>
      <c r="UV320" s="1"/>
      <c r="UW320" s="1"/>
      <c r="UX320" s="1"/>
      <c r="UY320" s="1"/>
      <c r="UZ320" s="1"/>
      <c r="VA320" s="1"/>
      <c r="VB320" s="1"/>
      <c r="VC320" s="1"/>
      <c r="VD320" s="1"/>
      <c r="VE320" s="1"/>
      <c r="VF320" s="1"/>
      <c r="VG320" s="1"/>
      <c r="VH320" s="1"/>
      <c r="VI320" s="1"/>
      <c r="VJ320" s="1"/>
      <c r="VK320" s="1"/>
      <c r="VL320" s="1"/>
      <c r="VM320" s="1"/>
      <c r="VN320" s="1"/>
      <c r="VO320" s="1"/>
      <c r="VP320" s="1"/>
      <c r="VQ320" s="1"/>
      <c r="VR320" s="1"/>
      <c r="VS320" s="1"/>
      <c r="VT320" s="1"/>
      <c r="VU320" s="1"/>
      <c r="VV320" s="1"/>
      <c r="VW320" s="1"/>
      <c r="VX320" s="1"/>
      <c r="VY320" s="1"/>
      <c r="VZ320" s="1"/>
      <c r="WA320" s="1"/>
      <c r="WB320" s="1"/>
      <c r="WC320" s="1"/>
      <c r="WD320" s="1"/>
      <c r="WE320" s="1"/>
      <c r="WF320" s="1"/>
      <c r="WG320" s="1"/>
      <c r="WH320" s="1"/>
      <c r="WI320" s="1"/>
      <c r="WJ320" s="1"/>
      <c r="WK320" s="1"/>
      <c r="WL320" s="1"/>
      <c r="WM320" s="1"/>
      <c r="WN320" s="1"/>
      <c r="WO320" s="1"/>
      <c r="WP320" s="1"/>
      <c r="WQ320" s="1"/>
      <c r="WR320" s="1"/>
      <c r="WS320" s="1"/>
      <c r="WT320" s="1"/>
      <c r="WU320" s="1"/>
      <c r="WV320" s="1"/>
      <c r="WW320" s="1"/>
      <c r="WX320" s="1"/>
      <c r="WY320" s="1"/>
      <c r="WZ320" s="1"/>
      <c r="XA320" s="1"/>
      <c r="XB320" s="1"/>
      <c r="XC320" s="1"/>
      <c r="XD320" s="1"/>
      <c r="XE320" s="1"/>
      <c r="XF320" s="1"/>
      <c r="XG320" s="1"/>
      <c r="XH320" s="1"/>
      <c r="XI320" s="1"/>
      <c r="XJ320" s="1"/>
      <c r="XK320" s="1"/>
      <c r="XL320" s="1"/>
      <c r="XM320" s="1"/>
      <c r="XN320" s="1"/>
      <c r="XO320" s="1"/>
      <c r="XP320" s="1"/>
      <c r="XQ320" s="1"/>
      <c r="XR320" s="1"/>
      <c r="XS320" s="1"/>
      <c r="XT320" s="1"/>
      <c r="XU320" s="1"/>
      <c r="XV320" s="1"/>
      <c r="XW320" s="1"/>
      <c r="XX320" s="1"/>
      <c r="XY320" s="1"/>
      <c r="XZ320" s="1"/>
      <c r="YA320" s="1"/>
      <c r="YB320" s="1"/>
      <c r="YC320" s="1"/>
      <c r="YD320" s="1"/>
      <c r="YE320" s="1"/>
      <c r="YF320" s="1"/>
      <c r="YG320" s="1"/>
      <c r="YH320" s="1"/>
      <c r="YI320" s="1"/>
      <c r="YJ320" s="1"/>
      <c r="YK320" s="1"/>
      <c r="YL320" s="1"/>
      <c r="YM320" s="1"/>
      <c r="YN320" s="1"/>
      <c r="YO320" s="1"/>
      <c r="YP320" s="1"/>
      <c r="YQ320" s="1"/>
      <c r="YR320" s="1"/>
      <c r="YS320" s="1"/>
      <c r="YT320" s="1"/>
      <c r="YU320" s="1"/>
      <c r="YV320" s="1"/>
      <c r="YW320" s="1"/>
      <c r="YX320" s="1"/>
      <c r="YY320" s="1"/>
      <c r="YZ320" s="1"/>
      <c r="ZA320" s="1"/>
      <c r="ZB320" s="1"/>
      <c r="ZC320" s="1"/>
      <c r="ZD320" s="1"/>
      <c r="ZE320" s="1"/>
      <c r="ZF320" s="1"/>
      <c r="ZG320" s="1"/>
      <c r="ZH320" s="1"/>
      <c r="ZI320" s="1"/>
      <c r="ZJ320" s="1"/>
      <c r="ZK320" s="1"/>
      <c r="ZL320" s="1"/>
      <c r="ZM320" s="1"/>
      <c r="ZN320" s="1"/>
      <c r="ZO320" s="1"/>
      <c r="ZP320" s="1"/>
      <c r="ZQ320" s="1"/>
      <c r="ZR320" s="1"/>
      <c r="ZS320" s="1"/>
      <c r="ZT320" s="1"/>
      <c r="ZU320" s="1"/>
      <c r="ZV320" s="1"/>
      <c r="ZW320" s="1"/>
      <c r="ZX320" s="1"/>
      <c r="ZY320" s="1"/>
      <c r="ZZ320" s="1"/>
      <c r="AAA320" s="1"/>
      <c r="AAB320" s="1"/>
      <c r="AAC320" s="1"/>
      <c r="AAD320" s="1"/>
      <c r="AAE320" s="1"/>
      <c r="AAF320" s="1"/>
      <c r="AAG320" s="1"/>
      <c r="AAH320" s="1"/>
      <c r="AAI320" s="1"/>
      <c r="AAJ320" s="1"/>
      <c r="AAK320" s="1"/>
      <c r="AAL320" s="1"/>
      <c r="AAM320" s="1"/>
      <c r="AAN320" s="1"/>
      <c r="AAO320" s="1"/>
      <c r="AAP320" s="1"/>
      <c r="AAQ320" s="1"/>
      <c r="AAR320" s="1"/>
      <c r="AAS320" s="1"/>
      <c r="AAT320" s="1"/>
      <c r="AAU320" s="1"/>
      <c r="AAV320" s="1"/>
      <c r="AAW320" s="1"/>
      <c r="AAX320" s="1"/>
      <c r="AAY320" s="1"/>
      <c r="AAZ320" s="1"/>
      <c r="ABA320" s="1"/>
      <c r="ABB320" s="1"/>
      <c r="ABC320" s="1"/>
      <c r="ABD320" s="1"/>
      <c r="ABE320" s="1"/>
      <c r="ABF320" s="1"/>
      <c r="ABG320" s="1"/>
      <c r="ABH320" s="1"/>
      <c r="ABI320" s="1"/>
      <c r="ABJ320" s="1"/>
      <c r="ABK320" s="1"/>
      <c r="ABL320" s="1"/>
      <c r="ABM320" s="1"/>
      <c r="ABN320" s="1"/>
      <c r="ABO320" s="1"/>
      <c r="ABP320" s="1"/>
      <c r="ABQ320" s="1"/>
      <c r="ABR320" s="1"/>
      <c r="ABS320" s="1"/>
      <c r="ABT320" s="1"/>
      <c r="ABU320" s="1"/>
      <c r="ABV320" s="1"/>
      <c r="ABW320" s="1"/>
      <c r="ABX320" s="1"/>
      <c r="ABY320" s="1"/>
      <c r="ABZ320" s="1"/>
      <c r="ACA320" s="1"/>
      <c r="ACB320" s="1"/>
      <c r="ACC320" s="1"/>
      <c r="ACD320" s="1"/>
      <c r="ACE320" s="1"/>
      <c r="ACF320" s="1"/>
      <c r="ACG320" s="1"/>
      <c r="ACH320" s="1"/>
      <c r="ACI320" s="1"/>
      <c r="ACJ320" s="1"/>
      <c r="ACK320" s="1"/>
      <c r="ACL320" s="1"/>
      <c r="ACM320" s="1"/>
      <c r="ACN320" s="1"/>
      <c r="ACO320" s="1"/>
      <c r="ACP320" s="1"/>
      <c r="ACQ320" s="1"/>
      <c r="ACR320" s="1"/>
      <c r="ACS320" s="1"/>
      <c r="ACT320" s="1"/>
      <c r="ACU320" s="1"/>
      <c r="ACV320" s="1"/>
      <c r="ACW320" s="1"/>
      <c r="ACX320" s="1"/>
      <c r="ACY320" s="1"/>
      <c r="ACZ320" s="1"/>
      <c r="ADA320" s="1"/>
      <c r="ADB320" s="1"/>
      <c r="ADC320" s="1"/>
      <c r="ADD320" s="1"/>
      <c r="ADE320" s="1"/>
      <c r="ADF320" s="1"/>
      <c r="ADG320" s="1"/>
      <c r="ADH320" s="1"/>
      <c r="ADI320" s="1"/>
      <c r="ADJ320" s="1"/>
      <c r="ADK320" s="1"/>
      <c r="ADL320" s="1"/>
      <c r="ADM320" s="1"/>
      <c r="ADN320" s="1"/>
      <c r="ADO320" s="1"/>
      <c r="ADP320" s="1"/>
      <c r="ADQ320" s="1"/>
      <c r="ADR320" s="1"/>
      <c r="ADS320" s="1"/>
      <c r="ADT320" s="1"/>
      <c r="ADU320" s="1"/>
      <c r="ADV320" s="1"/>
      <c r="ADW320" s="1"/>
      <c r="ADX320" s="1"/>
      <c r="ADY320" s="1"/>
      <c r="ADZ320" s="1"/>
      <c r="AEA320" s="1"/>
      <c r="AEB320" s="1"/>
      <c r="AEC320" s="1"/>
      <c r="AED320" s="1"/>
      <c r="AEE320" s="1"/>
      <c r="AEF320" s="1"/>
      <c r="AEG320" s="1"/>
      <c r="AEH320" s="1"/>
      <c r="AEI320" s="1"/>
      <c r="AEJ320" s="1"/>
      <c r="AEK320" s="1"/>
      <c r="AEL320" s="1"/>
      <c r="AEM320" s="1"/>
      <c r="AEN320" s="1"/>
      <c r="AEO320" s="1"/>
      <c r="AEP320" s="1"/>
      <c r="AEQ320" s="1"/>
      <c r="AER320" s="1"/>
      <c r="AES320" s="1"/>
      <c r="AET320" s="1"/>
      <c r="AEU320" s="1"/>
      <c r="AEV320" s="1"/>
      <c r="AEW320" s="1"/>
      <c r="AEX320" s="1"/>
      <c r="AEY320" s="1"/>
      <c r="AEZ320" s="1"/>
      <c r="AFA320" s="1"/>
      <c r="AFB320" s="1"/>
      <c r="AFC320" s="1"/>
      <c r="AFD320" s="1"/>
      <c r="AFE320" s="1"/>
      <c r="AFF320" s="1"/>
      <c r="AFG320" s="1"/>
      <c r="AFH320" s="1"/>
      <c r="AFI320" s="1"/>
      <c r="AFJ320" s="1"/>
      <c r="AFK320" s="1"/>
      <c r="AFL320" s="1"/>
      <c r="AFM320" s="1"/>
      <c r="AFN320" s="1"/>
      <c r="AFO320" s="1"/>
      <c r="AFP320" s="1"/>
      <c r="AFQ320" s="1"/>
      <c r="AFR320" s="1"/>
      <c r="AFS320" s="1"/>
      <c r="AFT320" s="1"/>
      <c r="AFU320" s="1"/>
      <c r="AFV320" s="1"/>
      <c r="AFW320" s="1"/>
      <c r="AFX320" s="1"/>
      <c r="AFY320" s="1"/>
      <c r="AFZ320" s="1"/>
      <c r="AGA320" s="1"/>
      <c r="AGB320" s="1"/>
      <c r="AGC320" s="1"/>
      <c r="AGD320" s="1"/>
      <c r="AGE320" s="1"/>
      <c r="AGF320" s="1"/>
      <c r="AGG320" s="1"/>
      <c r="AGH320" s="1"/>
      <c r="AGI320" s="1"/>
      <c r="AGJ320" s="1"/>
      <c r="AGK320" s="1"/>
      <c r="AGL320" s="1"/>
      <c r="AGM320" s="1"/>
      <c r="AGN320" s="1"/>
      <c r="AGO320" s="1"/>
      <c r="AGP320" s="1"/>
      <c r="AGQ320" s="1"/>
      <c r="AGR320" s="1"/>
      <c r="AGS320" s="1"/>
      <c r="AGT320" s="1"/>
      <c r="AGU320" s="1"/>
      <c r="AGV320" s="1"/>
      <c r="AGW320" s="1"/>
      <c r="AGX320" s="1"/>
      <c r="AGY320" s="1"/>
      <c r="AGZ320" s="1"/>
      <c r="AHA320" s="1"/>
      <c r="AHB320" s="1"/>
      <c r="AHC320" s="1"/>
      <c r="AHD320" s="1"/>
      <c r="AHE320" s="1"/>
      <c r="AHF320" s="1"/>
      <c r="AHG320" s="1"/>
      <c r="AHH320" s="1"/>
      <c r="AHI320" s="1"/>
      <c r="AHJ320" s="1"/>
      <c r="AHK320" s="1"/>
      <c r="AHL320" s="1"/>
      <c r="AHM320" s="1"/>
      <c r="AHN320" s="1"/>
      <c r="AHO320" s="1"/>
      <c r="AHP320" s="1"/>
      <c r="AHQ320" s="1"/>
      <c r="AHR320" s="1"/>
      <c r="AHS320" s="1"/>
      <c r="AHT320" s="1"/>
      <c r="AHU320" s="1"/>
      <c r="AHV320" s="1"/>
      <c r="AHW320" s="1"/>
      <c r="AHX320" s="1"/>
      <c r="AHY320" s="1"/>
      <c r="AHZ320" s="1"/>
      <c r="AIA320" s="1"/>
      <c r="AIB320" s="1"/>
      <c r="AIC320" s="1"/>
      <c r="AID320" s="1"/>
      <c r="AIE320" s="1"/>
      <c r="AIF320" s="1"/>
      <c r="AIG320" s="1"/>
      <c r="AIH320" s="1"/>
      <c r="AII320" s="1"/>
      <c r="AIJ320" s="1"/>
      <c r="AIK320" s="1"/>
      <c r="AIL320" s="1"/>
      <c r="AIM320" s="1"/>
      <c r="AIN320" s="1"/>
      <c r="AIO320" s="1"/>
      <c r="AIP320" s="1"/>
      <c r="AIQ320" s="1"/>
      <c r="AIR320" s="1"/>
      <c r="AIS320" s="1"/>
      <c r="AIT320" s="1"/>
      <c r="AIU320" s="1"/>
      <c r="AIV320" s="1"/>
      <c r="AIW320" s="1"/>
      <c r="AIX320" s="1"/>
      <c r="AIY320" s="1"/>
      <c r="AIZ320" s="1"/>
      <c r="AJA320" s="1"/>
      <c r="AJB320" s="1"/>
      <c r="AJC320" s="1"/>
      <c r="AJD320" s="1"/>
      <c r="AJE320" s="1"/>
      <c r="AJF320" s="1"/>
      <c r="AJG320" s="1"/>
      <c r="AJH320" s="1"/>
      <c r="AJI320" s="1"/>
      <c r="AJJ320" s="1"/>
      <c r="AJK320" s="1"/>
      <c r="AJL320" s="1"/>
      <c r="AJM320" s="1"/>
      <c r="AJN320" s="1"/>
      <c r="AJO320" s="1"/>
      <c r="AJP320" s="1"/>
      <c r="AJQ320" s="1"/>
      <c r="AJR320" s="1"/>
      <c r="AJS320" s="1"/>
      <c r="AJT320" s="1"/>
      <c r="AJU320" s="1"/>
      <c r="AJV320" s="1"/>
      <c r="AJW320" s="1"/>
      <c r="AJX320" s="1"/>
      <c r="AJY320" s="1"/>
      <c r="AJZ320" s="1"/>
      <c r="AKA320" s="1"/>
      <c r="AKB320" s="1"/>
      <c r="AKC320" s="1"/>
      <c r="AKD320" s="1"/>
      <c r="AKE320" s="1"/>
      <c r="AKF320" s="1"/>
      <c r="AKG320" s="1"/>
      <c r="AKH320" s="1"/>
      <c r="AKI320" s="1"/>
      <c r="AKJ320" s="1"/>
      <c r="AKK320" s="1"/>
      <c r="AKL320" s="1"/>
      <c r="AKM320" s="1"/>
      <c r="AKN320" s="1"/>
      <c r="AKO320" s="1"/>
      <c r="AKP320" s="1"/>
      <c r="AKQ320" s="1"/>
      <c r="AKR320" s="1"/>
      <c r="AKS320" s="1"/>
      <c r="AKT320" s="1"/>
      <c r="AKU320" s="1"/>
      <c r="AKV320" s="1"/>
      <c r="AKW320" s="1"/>
      <c r="AKX320" s="1"/>
      <c r="AKY320" s="1"/>
      <c r="AKZ320" s="1"/>
      <c r="ALA320" s="1"/>
      <c r="ALB320" s="1"/>
      <c r="ALC320" s="1"/>
      <c r="ALD320" s="1"/>
      <c r="ALE320" s="1"/>
      <c r="ALF320" s="1"/>
      <c r="ALG320" s="1"/>
      <c r="ALH320" s="1"/>
      <c r="ALI320" s="1"/>
      <c r="ALJ320" s="1"/>
      <c r="ALK320" s="1"/>
      <c r="ALL320" s="1"/>
      <c r="ALM320" s="1"/>
      <c r="ALN320" s="1"/>
      <c r="ALO320" s="1"/>
      <c r="ALP320" s="1"/>
      <c r="ALQ320" s="1"/>
      <c r="ALR320" s="1"/>
      <c r="ALS320" s="1"/>
      <c r="ALT320" s="1"/>
      <c r="ALU320" s="1"/>
      <c r="ALV320" s="1"/>
      <c r="ALW320" s="1"/>
      <c r="ALX320" s="1"/>
      <c r="ALY320" s="1"/>
      <c r="ALZ320" s="1"/>
      <c r="AMA320" s="1"/>
      <c r="AMB320" s="1"/>
      <c r="AMC320" s="1"/>
      <c r="AMD320" s="1"/>
      <c r="AME320" s="1"/>
      <c r="AMF320" s="1"/>
      <c r="AMG320" s="1"/>
      <c r="AMH320" s="1"/>
      <c r="AMI320" s="1"/>
      <c r="AMJ320" s="1"/>
      <c r="AMK320" s="1"/>
      <c r="AML320" s="1"/>
      <c r="AMM320" s="1"/>
      <c r="AMN320" s="1"/>
      <c r="AMO320" s="1"/>
    </row>
    <row r="321" spans="1:1030" x14ac:dyDescent="0.2">
      <c r="A321" s="3" t="str">
        <f>CONCATENATE(B321,"_",C321)</f>
        <v>opsd_bovin_6OFJ</v>
      </c>
      <c r="B321" s="3" t="s">
        <v>913</v>
      </c>
      <c r="C321" s="3" t="s">
        <v>1585</v>
      </c>
      <c r="D321" s="3" t="str">
        <f>IFERROR(MID(VLOOKUP($B321,Seqs!$A:$B,2,0),E321,1),"")</f>
        <v>P</v>
      </c>
      <c r="E321" s="3">
        <v>34</v>
      </c>
      <c r="F321" s="3" t="str">
        <f>IFERROR(MID(VLOOKUP($B321,Seqs!$A:$B,2,0),G321,1),"")</f>
        <v>H</v>
      </c>
      <c r="G321" s="3">
        <v>65</v>
      </c>
      <c r="H321" s="3" t="str">
        <f>IFERROR(MID(VLOOKUP($B321,Seqs!$A:$B,2,0),I321,1),"")</f>
        <v/>
      </c>
      <c r="I321" s="23" t="s">
        <v>23</v>
      </c>
      <c r="J321" s="3" t="str">
        <f>IFERROR(MID(VLOOKUP($B321,Seqs!$A:$B,2,0),K321,1),"")</f>
        <v/>
      </c>
      <c r="K321" s="23" t="s">
        <v>23</v>
      </c>
      <c r="L321" s="3" t="str">
        <f>IFERROR(MID(VLOOKUP($B321,Seqs!$A:$B,2,0),M321,1),"")</f>
        <v>T</v>
      </c>
      <c r="M321" s="3">
        <v>70</v>
      </c>
      <c r="N321" s="3" t="str">
        <f>IFERROR(MID(VLOOKUP($B321,Seqs!$A:$B,2,0),O321,1),"")</f>
        <v>G</v>
      </c>
      <c r="O321" s="3">
        <v>101</v>
      </c>
      <c r="P321" s="3" t="str">
        <f>IFERROR(MID(VLOOKUP($B321,Seqs!$A:$B,2,0),Q321,1),"")</f>
        <v>Y</v>
      </c>
      <c r="Q321" s="3">
        <v>102</v>
      </c>
      <c r="R321" s="3" t="str">
        <f>IFERROR(MID(VLOOKUP($B321,Seqs!$A:$B,2,0),S321,1),"")</f>
        <v>F</v>
      </c>
      <c r="S321" s="3">
        <v>105</v>
      </c>
      <c r="T321" s="3" t="str">
        <f>IFERROR(MID(VLOOKUP($B321,Seqs!$A:$B,2,0),U321,1),"")</f>
        <v>G</v>
      </c>
      <c r="U321" s="3">
        <v>106</v>
      </c>
      <c r="V321" s="3" t="str">
        <f>IFERROR(MID(VLOOKUP($B321,Seqs!$A:$B,2,0),W321,1),"")</f>
        <v>K</v>
      </c>
      <c r="W321" s="3">
        <v>141</v>
      </c>
      <c r="X321" s="3" t="str">
        <f>IFERROR(MID(VLOOKUP($B321,Seqs!$A:$B,2,0),Y321,1),"")</f>
        <v/>
      </c>
      <c r="Y321" s="3" t="s">
        <v>23</v>
      </c>
      <c r="Z321" s="3" t="str">
        <f>IFERROR(MID(VLOOKUP($B321,Seqs!$A:$B,2,0),AA321,1),"")</f>
        <v/>
      </c>
      <c r="AA321" s="3" t="s">
        <v>23</v>
      </c>
      <c r="AB321" s="3" t="str">
        <f>IFERROR(MID(VLOOKUP($B321,Seqs!$A:$B,2,0),AC321,1),"")</f>
        <v>A</v>
      </c>
      <c r="AC321" s="3">
        <v>153</v>
      </c>
      <c r="AD321" s="3" t="str">
        <f>IFERROR(MID(VLOOKUP($B321,Seqs!$A:$B,2,0),AE321,1),"")</f>
        <v>V</v>
      </c>
      <c r="AE321" s="3">
        <v>173</v>
      </c>
      <c r="AF321" s="3" t="str">
        <f>IFERROR(MID(VLOOKUP($B321,Seqs!$A:$B,2,0),AG321,1),"")</f>
        <v>C</v>
      </c>
      <c r="AG321" s="3">
        <v>187</v>
      </c>
      <c r="AH321" s="3" t="str">
        <f>IFERROR(MID(VLOOKUP($B321,Seqs!$A:$B,2,0),AI321,1),"")</f>
        <v>I</v>
      </c>
      <c r="AI321" s="3">
        <v>189</v>
      </c>
      <c r="AJ321" s="3" t="str">
        <f>IFERROR(MID(VLOOKUP($B321,Seqs!$A:$B,2,0),AK321,1),"")</f>
        <v>N</v>
      </c>
      <c r="AK321" s="3">
        <v>200</v>
      </c>
      <c r="AL321" s="3" t="str">
        <f>IFERROR(MID(VLOOKUP($B321,Seqs!$A:$B,2,0),AM321,1),"")</f>
        <v>L</v>
      </c>
      <c r="AM321" s="3">
        <v>226</v>
      </c>
      <c r="AN321" s="3" t="str">
        <f>IFERROR(MID(VLOOKUP($B321,Seqs!$A:$B,2,0),AO321,1),"")</f>
        <v>A</v>
      </c>
      <c r="AO321" s="3">
        <v>241</v>
      </c>
      <c r="AP321" s="3" t="str">
        <f>IFERROR(MID(VLOOKUP($B321,Seqs!$A:$B,2,0),AQ321,1),"")</f>
        <v>H</v>
      </c>
      <c r="AQ321" s="3">
        <v>278</v>
      </c>
      <c r="AR321" s="3" t="str">
        <f>IFERROR(MID(VLOOKUP($B321,Seqs!$A:$B,2,0),AS321,1),"")</f>
        <v>M</v>
      </c>
      <c r="AS321" s="3">
        <v>288</v>
      </c>
      <c r="AT321" s="3" t="str">
        <f>IFERROR(MID(VLOOKUP($B321,Seqs!$A:$B,2,0),AU321,1),"")</f>
        <v>M</v>
      </c>
      <c r="AU321" s="3">
        <v>309</v>
      </c>
      <c r="AV321" s="3" t="str">
        <f>IFERROR(MID(VLOOKUP($B321,Seqs!$A:$B,2,0),AW321,1),"")</f>
        <v>N</v>
      </c>
      <c r="AW321" s="3">
        <v>310</v>
      </c>
      <c r="AX321" s="3" t="str">
        <f>IFERROR(MID(VLOOKUP($B321,Seqs!$A:$B,2,0),AY321,1),"")</f>
        <v>T</v>
      </c>
      <c r="AY321" s="3">
        <v>320</v>
      </c>
      <c r="AZ321" s="77" t="str">
        <f>VLOOKUP(B321,Classification!A:D,2,0)</f>
        <v>A</v>
      </c>
      <c r="BA321" s="94" t="str">
        <f>VLOOKUP(B321,Classification!A:D,4,0)</f>
        <v>Opsins</v>
      </c>
      <c r="BB321" s="27" t="b">
        <f t="shared" ref="BB321" si="1125">AND(E321&lt;G321,OR(G321&lt;I321,I321="-"),OR(I321&lt;K321,I321="-"),OR(K321&lt;M321,K321="-"),M321&lt;O321,OR(O321&lt;Q321,Q321="-"),OR(Q321&lt;S321,Q321="-"),OR(S321&lt;U321,S321="-"),U321&lt;W321,OR(W321&lt;Y321,Y321="-"),OR(Y321&lt;AA321,Y321="-"),OR(AA321&lt;AC321,AA321="-"),AC321&lt;AE321,OR(AE321&lt;AG321,AG321="-"),OR(AG321&lt;AI321,AG321="-"),OR(AI321&lt;AK321,AI321="-"),AK321&lt;AM321,AM321&lt;AO321,AO321&lt;AQ321,AQ321&lt;AS321,AS321&lt;AU321,OR(AU321&lt;AW321,AW321="-"),OR(AW321&lt;AY321,AW321="-"))</f>
        <v>1</v>
      </c>
      <c r="BC321" s="23">
        <f t="shared" ref="BC321" si="1126">_xlfn.AGGREGATE(9,6,CH321:CS321)-_xlfn.AGGREGATE(9,6,BV321:CG321)+12</f>
        <v>228</v>
      </c>
      <c r="BD321" s="2" t="s">
        <v>1423</v>
      </c>
      <c r="BE321" s="3" t="s">
        <v>1422</v>
      </c>
      <c r="BF321" s="118">
        <v>4.5</v>
      </c>
      <c r="BG321" s="49" t="s">
        <v>1</v>
      </c>
      <c r="BH321" s="49" t="s">
        <v>1</v>
      </c>
      <c r="BI321" s="1"/>
      <c r="BJ321" s="70" t="s">
        <v>1281</v>
      </c>
      <c r="BK321" s="57" t="s">
        <v>1281</v>
      </c>
      <c r="BL321" s="57" t="s">
        <v>1281</v>
      </c>
      <c r="BM321" s="57" t="s">
        <v>1281</v>
      </c>
      <c r="BN321" s="57" t="s">
        <v>1281</v>
      </c>
      <c r="BO321" s="57" t="s">
        <v>1281</v>
      </c>
      <c r="BP321" s="57" t="s">
        <v>1281</v>
      </c>
      <c r="BQ321" s="57" t="s">
        <v>1281</v>
      </c>
      <c r="BR321" s="57" t="s">
        <v>1281</v>
      </c>
      <c r="BS321" s="57" t="s">
        <v>1281</v>
      </c>
      <c r="BT321" s="57" t="s">
        <v>1281</v>
      </c>
      <c r="BU321" s="57" t="s">
        <v>1281</v>
      </c>
      <c r="BV321" s="70">
        <f>E321</f>
        <v>34</v>
      </c>
      <c r="BW321" s="71" t="str">
        <f>I321</f>
        <v>-</v>
      </c>
      <c r="BX321" s="72">
        <f>M321</f>
        <v>70</v>
      </c>
      <c r="BY321" s="71">
        <f>Q321</f>
        <v>102</v>
      </c>
      <c r="BZ321" s="72">
        <f>U321</f>
        <v>106</v>
      </c>
      <c r="CA321" s="71" t="str">
        <f>Y321</f>
        <v>-</v>
      </c>
      <c r="CB321" s="72">
        <f>AC321</f>
        <v>153</v>
      </c>
      <c r="CC321" s="71">
        <f>AG321</f>
        <v>187</v>
      </c>
      <c r="CD321" s="72">
        <f>AK321</f>
        <v>200</v>
      </c>
      <c r="CE321" s="71">
        <f>AO321</f>
        <v>241</v>
      </c>
      <c r="CF321" s="72">
        <f>AS321</f>
        <v>288</v>
      </c>
      <c r="CG321" s="71">
        <f>AW321</f>
        <v>310</v>
      </c>
      <c r="CH321" s="70">
        <f>G321</f>
        <v>65</v>
      </c>
      <c r="CI321" s="71" t="str">
        <f>K321</f>
        <v>-</v>
      </c>
      <c r="CJ321" s="72">
        <f>O321</f>
        <v>101</v>
      </c>
      <c r="CK321" s="72">
        <f>S321</f>
        <v>105</v>
      </c>
      <c r="CL321" s="72">
        <f>W321</f>
        <v>141</v>
      </c>
      <c r="CM321" s="72" t="str">
        <f>AA321</f>
        <v>-</v>
      </c>
      <c r="CN321" s="72">
        <f>AE321</f>
        <v>173</v>
      </c>
      <c r="CO321" s="72">
        <f>AI321</f>
        <v>189</v>
      </c>
      <c r="CP321" s="72">
        <f>AM321</f>
        <v>226</v>
      </c>
      <c r="CQ321" s="72">
        <f>AQ321</f>
        <v>278</v>
      </c>
      <c r="CR321" s="72">
        <f>AU321</f>
        <v>309</v>
      </c>
      <c r="CS321" s="72">
        <f>AY321</f>
        <v>320</v>
      </c>
      <c r="CT321" s="23" t="e">
        <f>M321-K321</f>
        <v>#VALUE!</v>
      </c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"/>
      <c r="PD321" s="1"/>
      <c r="PE321" s="1"/>
      <c r="PF321" s="1"/>
      <c r="PG321" s="1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/>
      <c r="QI321" s="1"/>
      <c r="QJ321" s="1"/>
      <c r="QK321" s="1"/>
      <c r="QL321" s="1"/>
      <c r="QM321" s="1"/>
      <c r="QN321" s="1"/>
      <c r="QO321" s="1"/>
      <c r="QP321" s="1"/>
      <c r="QQ321" s="1"/>
      <c r="QR321" s="1"/>
      <c r="QS321" s="1"/>
      <c r="QT321" s="1"/>
      <c r="QU321" s="1"/>
      <c r="QV321" s="1"/>
      <c r="QW321" s="1"/>
      <c r="QX321" s="1"/>
      <c r="QY321" s="1"/>
      <c r="QZ321" s="1"/>
      <c r="RA321" s="1"/>
      <c r="RB321" s="1"/>
      <c r="RC321" s="1"/>
      <c r="RD321" s="1"/>
      <c r="RE321" s="1"/>
      <c r="RF321" s="1"/>
      <c r="RG321" s="1"/>
      <c r="RH321" s="1"/>
      <c r="RI321" s="1"/>
      <c r="RJ321" s="1"/>
      <c r="RK321" s="1"/>
      <c r="RL321" s="1"/>
      <c r="RM321" s="1"/>
      <c r="RN321" s="1"/>
      <c r="RO321" s="1"/>
      <c r="RP321" s="1"/>
      <c r="RQ321" s="1"/>
      <c r="RR321" s="1"/>
      <c r="RS321" s="1"/>
      <c r="RT321" s="1"/>
      <c r="RU321" s="1"/>
      <c r="RV321" s="1"/>
      <c r="RW321" s="1"/>
      <c r="RX321" s="1"/>
      <c r="RY321" s="1"/>
      <c r="RZ321" s="1"/>
      <c r="SA321" s="1"/>
      <c r="SB321" s="1"/>
      <c r="SC321" s="1"/>
      <c r="SD321" s="1"/>
      <c r="SE321" s="1"/>
      <c r="SF321" s="1"/>
      <c r="SG321" s="1"/>
      <c r="SH321" s="1"/>
      <c r="SI321" s="1"/>
      <c r="SJ321" s="1"/>
      <c r="SK321" s="1"/>
      <c r="SL321" s="1"/>
      <c r="SM321" s="1"/>
      <c r="SN321" s="1"/>
      <c r="SO321" s="1"/>
      <c r="SP321" s="1"/>
      <c r="SQ321" s="1"/>
      <c r="SR321" s="1"/>
      <c r="SS321" s="1"/>
      <c r="ST321" s="1"/>
      <c r="SU321" s="1"/>
      <c r="SV321" s="1"/>
      <c r="SW321" s="1"/>
      <c r="SX321" s="1"/>
      <c r="SY321" s="1"/>
      <c r="SZ321" s="1"/>
      <c r="TA321" s="1"/>
      <c r="TB321" s="1"/>
      <c r="TC321" s="1"/>
      <c r="TD321" s="1"/>
      <c r="TE321" s="1"/>
      <c r="TF321" s="1"/>
      <c r="TG321" s="1"/>
      <c r="TH321" s="1"/>
      <c r="TI321" s="1"/>
      <c r="TJ321" s="1"/>
      <c r="TK321" s="1"/>
      <c r="TL321" s="1"/>
      <c r="TM321" s="1"/>
      <c r="TN321" s="1"/>
      <c r="TO321" s="1"/>
      <c r="TP321" s="1"/>
      <c r="TQ321" s="1"/>
      <c r="TR321" s="1"/>
      <c r="TS321" s="1"/>
      <c r="TT321" s="1"/>
      <c r="TU321" s="1"/>
      <c r="TV321" s="1"/>
      <c r="TW321" s="1"/>
      <c r="TX321" s="1"/>
      <c r="TY321" s="1"/>
      <c r="TZ321" s="1"/>
      <c r="UA321" s="1"/>
      <c r="UB321" s="1"/>
      <c r="UC321" s="1"/>
      <c r="UD321" s="1"/>
      <c r="UE321" s="1"/>
      <c r="UF321" s="1"/>
      <c r="UG321" s="1"/>
      <c r="UH321" s="1"/>
      <c r="UI321" s="1"/>
      <c r="UJ321" s="1"/>
      <c r="UK321" s="1"/>
      <c r="UL321" s="1"/>
      <c r="UM321" s="1"/>
      <c r="UN321" s="1"/>
      <c r="UO321" s="1"/>
      <c r="UP321" s="1"/>
      <c r="UQ321" s="1"/>
      <c r="UR321" s="1"/>
      <c r="US321" s="1"/>
      <c r="UT321" s="1"/>
      <c r="UU321" s="1"/>
      <c r="UV321" s="1"/>
      <c r="UW321" s="1"/>
      <c r="UX321" s="1"/>
      <c r="UY321" s="1"/>
      <c r="UZ321" s="1"/>
      <c r="VA321" s="1"/>
      <c r="VB321" s="1"/>
      <c r="VC321" s="1"/>
      <c r="VD321" s="1"/>
      <c r="VE321" s="1"/>
      <c r="VF321" s="1"/>
      <c r="VG321" s="1"/>
      <c r="VH321" s="1"/>
      <c r="VI321" s="1"/>
      <c r="VJ321" s="1"/>
      <c r="VK321" s="1"/>
      <c r="VL321" s="1"/>
      <c r="VM321" s="1"/>
      <c r="VN321" s="1"/>
      <c r="VO321" s="1"/>
      <c r="VP321" s="1"/>
      <c r="VQ321" s="1"/>
      <c r="VR321" s="1"/>
      <c r="VS321" s="1"/>
      <c r="VT321" s="1"/>
      <c r="VU321" s="1"/>
      <c r="VV321" s="1"/>
      <c r="VW321" s="1"/>
      <c r="VX321" s="1"/>
      <c r="VY321" s="1"/>
      <c r="VZ321" s="1"/>
      <c r="WA321" s="1"/>
      <c r="WB321" s="1"/>
      <c r="WC321" s="1"/>
      <c r="WD321" s="1"/>
      <c r="WE321" s="1"/>
      <c r="WF321" s="1"/>
      <c r="WG321" s="1"/>
      <c r="WH321" s="1"/>
      <c r="WI321" s="1"/>
      <c r="WJ321" s="1"/>
      <c r="WK321" s="1"/>
      <c r="WL321" s="1"/>
      <c r="WM321" s="1"/>
      <c r="WN321" s="1"/>
      <c r="WO321" s="1"/>
      <c r="WP321" s="1"/>
      <c r="WQ321" s="1"/>
      <c r="WR321" s="1"/>
      <c r="WS321" s="1"/>
      <c r="WT321" s="1"/>
      <c r="WU321" s="1"/>
      <c r="WV321" s="1"/>
      <c r="WW321" s="1"/>
      <c r="WX321" s="1"/>
      <c r="WY321" s="1"/>
      <c r="WZ321" s="1"/>
      <c r="XA321" s="1"/>
      <c r="XB321" s="1"/>
      <c r="XC321" s="1"/>
      <c r="XD321" s="1"/>
      <c r="XE321" s="1"/>
      <c r="XF321" s="1"/>
      <c r="XG321" s="1"/>
      <c r="XH321" s="1"/>
      <c r="XI321" s="1"/>
      <c r="XJ321" s="1"/>
      <c r="XK321" s="1"/>
      <c r="XL321" s="1"/>
      <c r="XM321" s="1"/>
      <c r="XN321" s="1"/>
      <c r="XO321" s="1"/>
      <c r="XP321" s="1"/>
      <c r="XQ321" s="1"/>
      <c r="XR321" s="1"/>
      <c r="XS321" s="1"/>
      <c r="XT321" s="1"/>
      <c r="XU321" s="1"/>
      <c r="XV321" s="1"/>
      <c r="XW321" s="1"/>
      <c r="XX321" s="1"/>
      <c r="XY321" s="1"/>
      <c r="XZ321" s="1"/>
      <c r="YA321" s="1"/>
      <c r="YB321" s="1"/>
      <c r="YC321" s="1"/>
      <c r="YD321" s="1"/>
      <c r="YE321" s="1"/>
      <c r="YF321" s="1"/>
      <c r="YG321" s="1"/>
      <c r="YH321" s="1"/>
      <c r="YI321" s="1"/>
      <c r="YJ321" s="1"/>
      <c r="YK321" s="1"/>
      <c r="YL321" s="1"/>
      <c r="YM321" s="1"/>
      <c r="YN321" s="1"/>
      <c r="YO321" s="1"/>
      <c r="YP321" s="1"/>
      <c r="YQ321" s="1"/>
      <c r="YR321" s="1"/>
      <c r="YS321" s="1"/>
      <c r="YT321" s="1"/>
      <c r="YU321" s="1"/>
      <c r="YV321" s="1"/>
      <c r="YW321" s="1"/>
      <c r="YX321" s="1"/>
      <c r="YY321" s="1"/>
      <c r="YZ321" s="1"/>
      <c r="ZA321" s="1"/>
      <c r="ZB321" s="1"/>
      <c r="ZC321" s="1"/>
      <c r="ZD321" s="1"/>
      <c r="ZE321" s="1"/>
      <c r="ZF321" s="1"/>
      <c r="ZG321" s="1"/>
      <c r="ZH321" s="1"/>
      <c r="ZI321" s="1"/>
      <c r="ZJ321" s="1"/>
      <c r="ZK321" s="1"/>
      <c r="ZL321" s="1"/>
      <c r="ZM321" s="1"/>
      <c r="ZN321" s="1"/>
      <c r="ZO321" s="1"/>
      <c r="ZP321" s="1"/>
      <c r="ZQ321" s="1"/>
      <c r="ZR321" s="1"/>
      <c r="ZS321" s="1"/>
      <c r="ZT321" s="1"/>
      <c r="ZU321" s="1"/>
      <c r="ZV321" s="1"/>
      <c r="ZW321" s="1"/>
      <c r="ZX321" s="1"/>
      <c r="ZY321" s="1"/>
      <c r="ZZ321" s="1"/>
      <c r="AAA321" s="1"/>
      <c r="AAB321" s="1"/>
      <c r="AAC321" s="1"/>
      <c r="AAD321" s="1"/>
      <c r="AAE321" s="1"/>
      <c r="AAF321" s="1"/>
      <c r="AAG321" s="1"/>
      <c r="AAH321" s="1"/>
      <c r="AAI321" s="1"/>
      <c r="AAJ321" s="1"/>
      <c r="AAK321" s="1"/>
      <c r="AAL321" s="1"/>
      <c r="AAM321" s="1"/>
      <c r="AAN321" s="1"/>
      <c r="AAO321" s="1"/>
      <c r="AAP321" s="1"/>
      <c r="AAQ321" s="1"/>
      <c r="AAR321" s="1"/>
      <c r="AAS321" s="1"/>
      <c r="AAT321" s="1"/>
      <c r="AAU321" s="1"/>
      <c r="AAV321" s="1"/>
      <c r="AAW321" s="1"/>
      <c r="AAX321" s="1"/>
      <c r="AAY321" s="1"/>
      <c r="AAZ321" s="1"/>
      <c r="ABA321" s="1"/>
      <c r="ABB321" s="1"/>
      <c r="ABC321" s="1"/>
      <c r="ABD321" s="1"/>
      <c r="ABE321" s="1"/>
      <c r="ABF321" s="1"/>
      <c r="ABG321" s="1"/>
      <c r="ABH321" s="1"/>
      <c r="ABI321" s="1"/>
      <c r="ABJ321" s="1"/>
      <c r="ABK321" s="1"/>
      <c r="ABL321" s="1"/>
      <c r="ABM321" s="1"/>
      <c r="ABN321" s="1"/>
      <c r="ABO321" s="1"/>
      <c r="ABP321" s="1"/>
      <c r="ABQ321" s="1"/>
      <c r="ABR321" s="1"/>
      <c r="ABS321" s="1"/>
      <c r="ABT321" s="1"/>
      <c r="ABU321" s="1"/>
      <c r="ABV321" s="1"/>
      <c r="ABW321" s="1"/>
      <c r="ABX321" s="1"/>
      <c r="ABY321" s="1"/>
      <c r="ABZ321" s="1"/>
      <c r="ACA321" s="1"/>
      <c r="ACB321" s="1"/>
      <c r="ACC321" s="1"/>
      <c r="ACD321" s="1"/>
      <c r="ACE321" s="1"/>
      <c r="ACF321" s="1"/>
      <c r="ACG321" s="1"/>
      <c r="ACH321" s="1"/>
      <c r="ACI321" s="1"/>
      <c r="ACJ321" s="1"/>
      <c r="ACK321" s="1"/>
      <c r="ACL321" s="1"/>
      <c r="ACM321" s="1"/>
      <c r="ACN321" s="1"/>
      <c r="ACO321" s="1"/>
      <c r="ACP321" s="1"/>
      <c r="ACQ321" s="1"/>
      <c r="ACR321" s="1"/>
      <c r="ACS321" s="1"/>
      <c r="ACT321" s="1"/>
      <c r="ACU321" s="1"/>
      <c r="ACV321" s="1"/>
      <c r="ACW321" s="1"/>
      <c r="ACX321" s="1"/>
      <c r="ACY321" s="1"/>
      <c r="ACZ321" s="1"/>
      <c r="ADA321" s="1"/>
      <c r="ADB321" s="1"/>
      <c r="ADC321" s="1"/>
      <c r="ADD321" s="1"/>
      <c r="ADE321" s="1"/>
      <c r="ADF321" s="1"/>
      <c r="ADG321" s="1"/>
      <c r="ADH321" s="1"/>
      <c r="ADI321" s="1"/>
      <c r="ADJ321" s="1"/>
      <c r="ADK321" s="1"/>
      <c r="ADL321" s="1"/>
      <c r="ADM321" s="1"/>
      <c r="ADN321" s="1"/>
      <c r="ADO321" s="1"/>
      <c r="ADP321" s="1"/>
      <c r="ADQ321" s="1"/>
      <c r="ADR321" s="1"/>
      <c r="ADS321" s="1"/>
      <c r="ADT321" s="1"/>
      <c r="ADU321" s="1"/>
      <c r="ADV321" s="1"/>
      <c r="ADW321" s="1"/>
      <c r="ADX321" s="1"/>
      <c r="ADY321" s="1"/>
      <c r="ADZ321" s="1"/>
      <c r="AEA321" s="1"/>
      <c r="AEB321" s="1"/>
      <c r="AEC321" s="1"/>
      <c r="AED321" s="1"/>
      <c r="AEE321" s="1"/>
      <c r="AEF321" s="1"/>
      <c r="AEG321" s="1"/>
      <c r="AEH321" s="1"/>
      <c r="AEI321" s="1"/>
      <c r="AEJ321" s="1"/>
      <c r="AEK321" s="1"/>
      <c r="AEL321" s="1"/>
      <c r="AEM321" s="1"/>
      <c r="AEN321" s="1"/>
      <c r="AEO321" s="1"/>
      <c r="AEP321" s="1"/>
      <c r="AEQ321" s="1"/>
      <c r="AER321" s="1"/>
      <c r="AES321" s="1"/>
      <c r="AET321" s="1"/>
      <c r="AEU321" s="1"/>
      <c r="AEV321" s="1"/>
      <c r="AEW321" s="1"/>
      <c r="AEX321" s="1"/>
      <c r="AEY321" s="1"/>
      <c r="AEZ321" s="1"/>
      <c r="AFA321" s="1"/>
      <c r="AFB321" s="1"/>
      <c r="AFC321" s="1"/>
      <c r="AFD321" s="1"/>
      <c r="AFE321" s="1"/>
      <c r="AFF321" s="1"/>
      <c r="AFG321" s="1"/>
      <c r="AFH321" s="1"/>
      <c r="AFI321" s="1"/>
      <c r="AFJ321" s="1"/>
      <c r="AFK321" s="1"/>
      <c r="AFL321" s="1"/>
      <c r="AFM321" s="1"/>
      <c r="AFN321" s="1"/>
      <c r="AFO321" s="1"/>
      <c r="AFP321" s="1"/>
      <c r="AFQ321" s="1"/>
      <c r="AFR321" s="1"/>
      <c r="AFS321" s="1"/>
      <c r="AFT321" s="1"/>
      <c r="AFU321" s="1"/>
      <c r="AFV321" s="1"/>
      <c r="AFW321" s="1"/>
      <c r="AFX321" s="1"/>
      <c r="AFY321" s="1"/>
      <c r="AFZ321" s="1"/>
      <c r="AGA321" s="1"/>
      <c r="AGB321" s="1"/>
      <c r="AGC321" s="1"/>
      <c r="AGD321" s="1"/>
      <c r="AGE321" s="1"/>
      <c r="AGF321" s="1"/>
      <c r="AGG321" s="1"/>
      <c r="AGH321" s="1"/>
      <c r="AGI321" s="1"/>
      <c r="AGJ321" s="1"/>
      <c r="AGK321" s="1"/>
      <c r="AGL321" s="1"/>
      <c r="AGM321" s="1"/>
      <c r="AGN321" s="1"/>
      <c r="AGO321" s="1"/>
      <c r="AGP321" s="1"/>
      <c r="AGQ321" s="1"/>
      <c r="AGR321" s="1"/>
      <c r="AGS321" s="1"/>
      <c r="AGT321" s="1"/>
      <c r="AGU321" s="1"/>
      <c r="AGV321" s="1"/>
      <c r="AGW321" s="1"/>
      <c r="AGX321" s="1"/>
      <c r="AGY321" s="1"/>
      <c r="AGZ321" s="1"/>
      <c r="AHA321" s="1"/>
      <c r="AHB321" s="1"/>
      <c r="AHC321" s="1"/>
      <c r="AHD321" s="1"/>
      <c r="AHE321" s="1"/>
      <c r="AHF321" s="1"/>
      <c r="AHG321" s="1"/>
      <c r="AHH321" s="1"/>
      <c r="AHI321" s="1"/>
      <c r="AHJ321" s="1"/>
      <c r="AHK321" s="1"/>
      <c r="AHL321" s="1"/>
      <c r="AHM321" s="1"/>
      <c r="AHN321" s="1"/>
      <c r="AHO321" s="1"/>
      <c r="AHP321" s="1"/>
      <c r="AHQ321" s="1"/>
      <c r="AHR321" s="1"/>
      <c r="AHS321" s="1"/>
      <c r="AHT321" s="1"/>
      <c r="AHU321" s="1"/>
      <c r="AHV321" s="1"/>
      <c r="AHW321" s="1"/>
      <c r="AHX321" s="1"/>
      <c r="AHY321" s="1"/>
      <c r="AHZ321" s="1"/>
      <c r="AIA321" s="1"/>
      <c r="AIB321" s="1"/>
      <c r="AIC321" s="1"/>
      <c r="AID321" s="1"/>
      <c r="AIE321" s="1"/>
      <c r="AIF321" s="1"/>
      <c r="AIG321" s="1"/>
      <c r="AIH321" s="1"/>
      <c r="AII321" s="1"/>
      <c r="AIJ321" s="1"/>
      <c r="AIK321" s="1"/>
      <c r="AIL321" s="1"/>
      <c r="AIM321" s="1"/>
      <c r="AIN321" s="1"/>
      <c r="AIO321" s="1"/>
      <c r="AIP321" s="1"/>
      <c r="AIQ321" s="1"/>
      <c r="AIR321" s="1"/>
      <c r="AIS321" s="1"/>
      <c r="AIT321" s="1"/>
      <c r="AIU321" s="1"/>
      <c r="AIV321" s="1"/>
      <c r="AIW321" s="1"/>
      <c r="AIX321" s="1"/>
      <c r="AIY321" s="1"/>
      <c r="AIZ321" s="1"/>
      <c r="AJA321" s="1"/>
      <c r="AJB321" s="1"/>
      <c r="AJC321" s="1"/>
      <c r="AJD321" s="1"/>
      <c r="AJE321" s="1"/>
      <c r="AJF321" s="1"/>
      <c r="AJG321" s="1"/>
      <c r="AJH321" s="1"/>
      <c r="AJI321" s="1"/>
      <c r="AJJ321" s="1"/>
      <c r="AJK321" s="1"/>
      <c r="AJL321" s="1"/>
      <c r="AJM321" s="1"/>
      <c r="AJN321" s="1"/>
      <c r="AJO321" s="1"/>
      <c r="AJP321" s="1"/>
      <c r="AJQ321" s="1"/>
      <c r="AJR321" s="1"/>
      <c r="AJS321" s="1"/>
      <c r="AJT321" s="1"/>
      <c r="AJU321" s="1"/>
      <c r="AJV321" s="1"/>
      <c r="AJW321" s="1"/>
      <c r="AJX321" s="1"/>
      <c r="AJY321" s="1"/>
      <c r="AJZ321" s="1"/>
      <c r="AKA321" s="1"/>
      <c r="AKB321" s="1"/>
      <c r="AKC321" s="1"/>
      <c r="AKD321" s="1"/>
      <c r="AKE321" s="1"/>
      <c r="AKF321" s="1"/>
      <c r="AKG321" s="1"/>
      <c r="AKH321" s="1"/>
      <c r="AKI321" s="1"/>
      <c r="AKJ321" s="1"/>
      <c r="AKK321" s="1"/>
      <c r="AKL321" s="1"/>
      <c r="AKM321" s="1"/>
      <c r="AKN321" s="1"/>
      <c r="AKO321" s="1"/>
      <c r="AKP321" s="1"/>
      <c r="AKQ321" s="1"/>
      <c r="AKR321" s="1"/>
      <c r="AKS321" s="1"/>
      <c r="AKT321" s="1"/>
      <c r="AKU321" s="1"/>
      <c r="AKV321" s="1"/>
      <c r="AKW321" s="1"/>
      <c r="AKX321" s="1"/>
      <c r="AKY321" s="1"/>
      <c r="AKZ321" s="1"/>
      <c r="ALA321" s="1"/>
      <c r="ALB321" s="1"/>
      <c r="ALC321" s="1"/>
      <c r="ALD321" s="1"/>
      <c r="ALE321" s="1"/>
      <c r="ALF321" s="1"/>
      <c r="ALG321" s="1"/>
      <c r="ALH321" s="1"/>
      <c r="ALI321" s="1"/>
      <c r="ALJ321" s="1"/>
      <c r="ALK321" s="1"/>
      <c r="ALL321" s="1"/>
      <c r="ALM321" s="1"/>
      <c r="ALN321" s="1"/>
      <c r="ALO321" s="1"/>
      <c r="ALP321" s="1"/>
      <c r="ALQ321" s="1"/>
      <c r="ALR321" s="1"/>
      <c r="ALS321" s="1"/>
      <c r="ALT321" s="1"/>
      <c r="ALU321" s="1"/>
      <c r="ALV321" s="1"/>
      <c r="ALW321" s="1"/>
      <c r="ALX321" s="1"/>
      <c r="ALY321" s="1"/>
      <c r="ALZ321" s="1"/>
      <c r="AMA321" s="1"/>
      <c r="AMB321" s="1"/>
      <c r="AMC321" s="1"/>
      <c r="AMD321" s="1"/>
      <c r="AME321" s="1"/>
      <c r="AMF321" s="1"/>
      <c r="AMG321" s="1"/>
      <c r="AMH321" s="1"/>
      <c r="AMI321" s="1"/>
      <c r="AMJ321" s="1"/>
      <c r="AMK321" s="1"/>
      <c r="AML321" s="1"/>
      <c r="AMM321" s="1"/>
      <c r="AMN321" s="1"/>
      <c r="AMO321" s="1"/>
    </row>
    <row r="322" spans="1:1030" s="12" customFormat="1" x14ac:dyDescent="0.2">
      <c r="A322" s="9" t="str">
        <f>CONCATENATE(B322,"_",C322)</f>
        <v>opsd_bovin_6NWE</v>
      </c>
      <c r="B322" s="9" t="s">
        <v>913</v>
      </c>
      <c r="C322" s="9" t="s">
        <v>1648</v>
      </c>
      <c r="D322" s="9" t="str">
        <f>IFERROR(MID(VLOOKUP($B322,Seqs!$A:$B,2,0),E322,1),"")</f>
        <v>E</v>
      </c>
      <c r="E322" s="9">
        <v>33</v>
      </c>
      <c r="F322" s="9" t="str">
        <f>IFERROR(MID(VLOOKUP($B322,Seqs!$A:$B,2,0),G322,1),"")</f>
        <v>H</v>
      </c>
      <c r="G322" s="9">
        <v>65</v>
      </c>
      <c r="H322" s="9" t="str">
        <f>IFERROR(MID(VLOOKUP($B322,Seqs!$A:$B,2,0),I322,1),"")</f>
        <v>K</v>
      </c>
      <c r="I322" s="109">
        <v>66</v>
      </c>
      <c r="J322" s="9" t="str">
        <f>IFERROR(MID(VLOOKUP($B322,Seqs!$A:$B,2,0),K322,1),"")</f>
        <v>R</v>
      </c>
      <c r="K322" s="109">
        <v>69</v>
      </c>
      <c r="L322" s="9" t="str">
        <f>IFERROR(MID(VLOOKUP($B322,Seqs!$A:$B,2,0),M322,1),"")</f>
        <v>T</v>
      </c>
      <c r="M322" s="9">
        <v>70</v>
      </c>
      <c r="N322" s="9" t="str">
        <f>IFERROR(MID(VLOOKUP($B322,Seqs!$A:$B,2,0),O322,1),"")</f>
        <v>G</v>
      </c>
      <c r="O322" s="9">
        <v>101</v>
      </c>
      <c r="P322" s="9" t="str">
        <f>IFERROR(MID(VLOOKUP($B322,Seqs!$A:$B,2,0),Q322,1),"")</f>
        <v>Y</v>
      </c>
      <c r="Q322" s="9">
        <v>102</v>
      </c>
      <c r="R322" s="9" t="str">
        <f>IFERROR(MID(VLOOKUP($B322,Seqs!$A:$B,2,0),S322,1),"")</f>
        <v>F</v>
      </c>
      <c r="S322" s="9">
        <v>105</v>
      </c>
      <c r="T322" s="9" t="str">
        <f>IFERROR(MID(VLOOKUP($B322,Seqs!$A:$B,2,0),U322,1),"")</f>
        <v>G</v>
      </c>
      <c r="U322" s="9">
        <v>106</v>
      </c>
      <c r="V322" s="9" t="str">
        <f>IFERROR(MID(VLOOKUP($B322,Seqs!$A:$B,2,0),W322,1),"")</f>
        <v>K</v>
      </c>
      <c r="W322" s="9">
        <v>141</v>
      </c>
      <c r="X322" s="9" t="str">
        <f>IFERROR(MID(VLOOKUP($B322,Seqs!$A:$B,2,0),Y322,1),"")</f>
        <v/>
      </c>
      <c r="Y322" s="9" t="s">
        <v>23</v>
      </c>
      <c r="Z322" s="9" t="str">
        <f>IFERROR(MID(VLOOKUP($B322,Seqs!$A:$B,2,0),AA322,1),"")</f>
        <v/>
      </c>
      <c r="AA322" s="9" t="s">
        <v>23</v>
      </c>
      <c r="AB322" s="9" t="str">
        <f>IFERROR(MID(VLOOKUP($B322,Seqs!$A:$B,2,0),AC322,1),"")</f>
        <v>G</v>
      </c>
      <c r="AC322" s="9">
        <v>149</v>
      </c>
      <c r="AD322" s="9" t="str">
        <f>IFERROR(MID(VLOOKUP($B322,Seqs!$A:$B,2,0),AE322,1),"")</f>
        <v>V</v>
      </c>
      <c r="AE322" s="9">
        <v>173</v>
      </c>
      <c r="AF322" s="9" t="str">
        <f>IFERROR(MID(VLOOKUP($B322,Seqs!$A:$B,2,0),AG322,1),"")</f>
        <v>C</v>
      </c>
      <c r="AG322" s="9">
        <v>187</v>
      </c>
      <c r="AH322" s="9" t="str">
        <f>IFERROR(MID(VLOOKUP($B322,Seqs!$A:$B,2,0),AI322,1),"")</f>
        <v>I</v>
      </c>
      <c r="AI322" s="9">
        <v>189</v>
      </c>
      <c r="AJ322" s="9" t="str">
        <f>IFERROR(MID(VLOOKUP($B322,Seqs!$A:$B,2,0),AK322,1),"")</f>
        <v>N</v>
      </c>
      <c r="AK322" s="9">
        <v>199</v>
      </c>
      <c r="AL322" s="9" t="str">
        <f>IFERROR(MID(VLOOKUP($B322,Seqs!$A:$B,2,0),AM322,1),"")</f>
        <v>Q</v>
      </c>
      <c r="AM322" s="9">
        <v>237</v>
      </c>
      <c r="AN322" s="9" t="str">
        <f>IFERROR(MID(VLOOKUP($B322,Seqs!$A:$B,2,0),AO322,1),"")</f>
        <v>S</v>
      </c>
      <c r="AO322" s="9">
        <v>240</v>
      </c>
      <c r="AP322" s="9" t="str">
        <f>IFERROR(MID(VLOOKUP($B322,Seqs!$A:$B,2,0),AQ322,1),"")</f>
        <v>H</v>
      </c>
      <c r="AQ322" s="9">
        <v>278</v>
      </c>
      <c r="AR322" s="9" t="str">
        <f>IFERROR(MID(VLOOKUP($B322,Seqs!$A:$B,2,0),AS322,1),"")</f>
        <v>G</v>
      </c>
      <c r="AS322" s="9">
        <v>284</v>
      </c>
      <c r="AT322" s="9" t="str">
        <f>IFERROR(MID(VLOOKUP($B322,Seqs!$A:$B,2,0),AU322,1),"")</f>
        <v>M</v>
      </c>
      <c r="AU322" s="9">
        <v>309</v>
      </c>
      <c r="AV322" s="9" t="str">
        <f>IFERROR(MID(VLOOKUP($B322,Seqs!$A:$B,2,0),AW322,1),"")</f>
        <v>N</v>
      </c>
      <c r="AW322" s="9">
        <v>310</v>
      </c>
      <c r="AX322" s="9" t="str">
        <f>IFERROR(MID(VLOOKUP($B322,Seqs!$A:$B,2,0),AY322,1),"")</f>
        <v>C</v>
      </c>
      <c r="AY322" s="9">
        <v>323</v>
      </c>
      <c r="AZ322" s="110" t="str">
        <f>VLOOKUP(B322,Classification!A:D,2,0)</f>
        <v>A</v>
      </c>
      <c r="BA322" s="98" t="str">
        <f>VLOOKUP(B322,Classification!A:D,4,0)</f>
        <v>Opsins</v>
      </c>
      <c r="BB322" s="36" t="b">
        <f t="shared" ref="BB322" si="1127">AND(E322&lt;G322,OR(G322&lt;I322,I322="-"),OR(I322&lt;K322,I322="-"),OR(K322&lt;M322,K322="-"),M322&lt;O322,OR(O322&lt;Q322,Q322="-"),OR(Q322&lt;S322,Q322="-"),OR(S322&lt;U322,S322="-"),U322&lt;W322,OR(W322&lt;Y322,Y322="-"),OR(Y322&lt;AA322,Y322="-"),OR(AA322&lt;AC322,AA322="-"),AC322&lt;AE322,OR(AE322&lt;AG322,AG322="-"),OR(AG322&lt;AI322,AG322="-"),OR(AI322&lt;AK322,AI322="-"),AK322&lt;AM322,AM322&lt;AO322,AO322&lt;AQ322,AQ322&lt;AS322,AS322&lt;AU322,OR(AU322&lt;AW322,AW322="-"),OR(AW322&lt;AY322,AW322="-"))</f>
        <v>1</v>
      </c>
      <c r="BC322" s="109">
        <f t="shared" ref="BC322" si="1128">_xlfn.AGGREGATE(9,6,CH322:CS322)-_xlfn.AGGREGATE(9,6,BV322:CG322)+12</f>
        <v>256</v>
      </c>
      <c r="BD322" s="40" t="s">
        <v>23</v>
      </c>
      <c r="BE322" s="9" t="s">
        <v>1285</v>
      </c>
      <c r="BF322" s="119">
        <v>2.71</v>
      </c>
      <c r="BG322" s="51" t="s">
        <v>1</v>
      </c>
      <c r="BH322" s="51" t="s">
        <v>1</v>
      </c>
      <c r="BJ322" s="111" t="s">
        <v>1281</v>
      </c>
      <c r="BK322" s="112" t="s">
        <v>1281</v>
      </c>
      <c r="BL322" s="112" t="s">
        <v>1281</v>
      </c>
      <c r="BM322" s="112" t="s">
        <v>1281</v>
      </c>
      <c r="BN322" s="112" t="s">
        <v>1281</v>
      </c>
      <c r="BO322" s="112" t="s">
        <v>1281</v>
      </c>
      <c r="BP322" s="112" t="s">
        <v>1281</v>
      </c>
      <c r="BQ322" s="112" t="s">
        <v>1281</v>
      </c>
      <c r="BR322" s="112" t="s">
        <v>1281</v>
      </c>
      <c r="BS322" s="112" t="s">
        <v>1281</v>
      </c>
      <c r="BT322" s="112" t="s">
        <v>1281</v>
      </c>
      <c r="BU322" s="112" t="s">
        <v>1281</v>
      </c>
      <c r="BV322" s="111">
        <f>E322</f>
        <v>33</v>
      </c>
      <c r="BW322" s="113">
        <f>I322</f>
        <v>66</v>
      </c>
      <c r="BX322" s="114">
        <f>M322</f>
        <v>70</v>
      </c>
      <c r="BY322" s="113">
        <f>Q322</f>
        <v>102</v>
      </c>
      <c r="BZ322" s="114">
        <f>U322</f>
        <v>106</v>
      </c>
      <c r="CA322" s="113" t="str">
        <f>Y322</f>
        <v>-</v>
      </c>
      <c r="CB322" s="114">
        <f>AC322</f>
        <v>149</v>
      </c>
      <c r="CC322" s="113">
        <f>AG322</f>
        <v>187</v>
      </c>
      <c r="CD322" s="114">
        <f>AK322</f>
        <v>199</v>
      </c>
      <c r="CE322" s="113">
        <f>AO322</f>
        <v>240</v>
      </c>
      <c r="CF322" s="114">
        <f>AS322</f>
        <v>284</v>
      </c>
      <c r="CG322" s="113">
        <f>AW322</f>
        <v>310</v>
      </c>
      <c r="CH322" s="111">
        <f>G322</f>
        <v>65</v>
      </c>
      <c r="CI322" s="113">
        <f>K322</f>
        <v>69</v>
      </c>
      <c r="CJ322" s="114">
        <f>O322</f>
        <v>101</v>
      </c>
      <c r="CK322" s="114">
        <f>S322</f>
        <v>105</v>
      </c>
      <c r="CL322" s="114">
        <f>W322</f>
        <v>141</v>
      </c>
      <c r="CM322" s="114" t="str">
        <f>AA322</f>
        <v>-</v>
      </c>
      <c r="CN322" s="114">
        <f>AE322</f>
        <v>173</v>
      </c>
      <c r="CO322" s="114">
        <f>AI322</f>
        <v>189</v>
      </c>
      <c r="CP322" s="114">
        <f>AM322</f>
        <v>237</v>
      </c>
      <c r="CQ322" s="114">
        <f>AQ322</f>
        <v>278</v>
      </c>
      <c r="CR322" s="114">
        <f>AU322</f>
        <v>309</v>
      </c>
      <c r="CS322" s="114">
        <f>AY322</f>
        <v>323</v>
      </c>
      <c r="CT322" s="109">
        <f>M322-K322</f>
        <v>1</v>
      </c>
    </row>
    <row r="323" spans="1:1030" x14ac:dyDescent="0.2">
      <c r="A323" s="3" t="str">
        <f>CONCATENATE(B323,"_",C323)</f>
        <v>opsd_human__wt</v>
      </c>
      <c r="B323" s="3" t="s">
        <v>338</v>
      </c>
      <c r="C323" s="3" t="s">
        <v>100</v>
      </c>
      <c r="D323" s="3" t="str">
        <f>IFERROR(MID(VLOOKUP($B323,Seqs!$A:$B,2,0),E323,1),"")</f>
        <v>P</v>
      </c>
      <c r="E323" s="3">
        <v>34</v>
      </c>
      <c r="F323" s="3" t="str">
        <f>IFERROR(MID(VLOOKUP($B323,Seqs!$A:$B,2,0),G323,1),"")</f>
        <v>H</v>
      </c>
      <c r="G323" s="3">
        <v>65</v>
      </c>
      <c r="H323" s="3" t="str">
        <f>IFERROR(MID(VLOOKUP($B323,Seqs!$A:$B,2,0),I323,1),"")</f>
        <v>K</v>
      </c>
      <c r="I323" s="23">
        <v>66</v>
      </c>
      <c r="J323" s="3" t="str">
        <f>IFERROR(MID(VLOOKUP($B323,Seqs!$A:$B,2,0),K323,1),"")</f>
        <v>R</v>
      </c>
      <c r="K323" s="23">
        <v>69</v>
      </c>
      <c r="L323" s="3" t="str">
        <f>IFERROR(MID(VLOOKUP($B323,Seqs!$A:$B,2,0),M323,1),"")</f>
        <v>T</v>
      </c>
      <c r="M323" s="3">
        <v>70</v>
      </c>
      <c r="N323" s="3" t="str">
        <f>IFERROR(MID(VLOOKUP($B323,Seqs!$A:$B,2,0),O323,1),"")</f>
        <v>H</v>
      </c>
      <c r="O323" s="3">
        <v>100</v>
      </c>
      <c r="P323" s="3" t="str">
        <f>IFERROR(MID(VLOOKUP($B323,Seqs!$A:$B,2,0),Q323,1),"")</f>
        <v>Y</v>
      </c>
      <c r="Q323" s="3">
        <v>102</v>
      </c>
      <c r="R323" s="3" t="str">
        <f>IFERROR(MID(VLOOKUP($B323,Seqs!$A:$B,2,0),S323,1),"")</f>
        <v>F</v>
      </c>
      <c r="S323" s="3">
        <v>105</v>
      </c>
      <c r="T323" s="3" t="str">
        <f>IFERROR(MID(VLOOKUP($B323,Seqs!$A:$B,2,0),U323,1),"")</f>
        <v>G</v>
      </c>
      <c r="U323" s="3">
        <v>106</v>
      </c>
      <c r="V323" s="3" t="str">
        <f>IFERROR(MID(VLOOKUP($B323,Seqs!$A:$B,2,0),W323,1),"")</f>
        <v>K</v>
      </c>
      <c r="W323" s="3">
        <v>141</v>
      </c>
      <c r="X323" s="3" t="str">
        <f>IFERROR(MID(VLOOKUP($B323,Seqs!$A:$B,2,0),Y323,1),"")</f>
        <v>P</v>
      </c>
      <c r="Y323" s="3">
        <v>142</v>
      </c>
      <c r="Z323" s="3" t="str">
        <f>IFERROR(MID(VLOOKUP($B323,Seqs!$A:$B,2,0),AA323,1),"")</f>
        <v>F</v>
      </c>
      <c r="AA323" s="3">
        <v>148</v>
      </c>
      <c r="AB323" s="3" t="str">
        <f>IFERROR(MID(VLOOKUP($B323,Seqs!$A:$B,2,0),AC323,1),"")</f>
        <v>G</v>
      </c>
      <c r="AC323" s="9">
        <v>149</v>
      </c>
      <c r="AD323" s="3" t="str">
        <f>IFERROR(MID(VLOOKUP($B323,Seqs!$A:$B,2,0),AE323,1),"")</f>
        <v>A</v>
      </c>
      <c r="AE323" s="3">
        <v>173</v>
      </c>
      <c r="AF323" s="3" t="str">
        <f>IFERROR(MID(VLOOKUP($B323,Seqs!$A:$B,2,0),AG323,1),"")</f>
        <v>C</v>
      </c>
      <c r="AG323" s="3">
        <v>187</v>
      </c>
      <c r="AH323" s="3" t="str">
        <f>IFERROR(MID(VLOOKUP($B323,Seqs!$A:$B,2,0),AI323,1),"")</f>
        <v>I</v>
      </c>
      <c r="AI323" s="3">
        <v>189</v>
      </c>
      <c r="AJ323" s="3" t="str">
        <f>IFERROR(MID(VLOOKUP($B323,Seqs!$A:$B,2,0),AK323,1),"")</f>
        <v>N</v>
      </c>
      <c r="AK323" s="3">
        <v>199</v>
      </c>
      <c r="AL323" s="3" t="str">
        <f>IFERROR(MID(VLOOKUP($B323,Seqs!$A:$B,2,0),AM323,1),"")</f>
        <v>Q</v>
      </c>
      <c r="AM323" s="3">
        <v>237</v>
      </c>
      <c r="AN323" s="3" t="str">
        <f>IFERROR(MID(VLOOKUP($B323,Seqs!$A:$B,2,0),AO323,1),"")</f>
        <v>A</v>
      </c>
      <c r="AO323" s="3">
        <v>241</v>
      </c>
      <c r="AP323" s="3" t="str">
        <f>IFERROR(MID(VLOOKUP($B323,Seqs!$A:$B,2,0),AQ323,1),"")</f>
        <v>H</v>
      </c>
      <c r="AQ323" s="3">
        <v>278</v>
      </c>
      <c r="AR323" s="3" t="str">
        <f>IFERROR(MID(VLOOKUP($B323,Seqs!$A:$B,2,0),AS323,1),"")</f>
        <v>G</v>
      </c>
      <c r="AS323" s="3">
        <v>284</v>
      </c>
      <c r="AT323" s="3" t="str">
        <f>IFERROR(MID(VLOOKUP($B323,Seqs!$A:$B,2,0),AU323,1),"")</f>
        <v>M</v>
      </c>
      <c r="AU323" s="3">
        <v>309</v>
      </c>
      <c r="AV323" s="3" t="str">
        <f>IFERROR(MID(VLOOKUP($B323,Seqs!$A:$B,2,0),AW323,1),"")</f>
        <v>N</v>
      </c>
      <c r="AW323" s="3">
        <v>310</v>
      </c>
      <c r="AX323" s="3" t="str">
        <f>IFERROR(MID(VLOOKUP($B323,Seqs!$A:$B,2,0),AY323,1),"")</f>
        <v>C</v>
      </c>
      <c r="AY323" s="3">
        <v>322</v>
      </c>
      <c r="AZ323" s="77" t="str">
        <f>VLOOKUP(B323,Classification!A:D,2,0)</f>
        <v>A</v>
      </c>
      <c r="BA323" s="94" t="str">
        <f>VLOOKUP(B323,Classification!A:D,4,0)</f>
        <v>Opsins</v>
      </c>
      <c r="BB323" s="27" t="b">
        <f t="shared" si="1114"/>
        <v>1</v>
      </c>
      <c r="BC323" s="23">
        <f t="shared" si="1113"/>
        <v>258</v>
      </c>
      <c r="BD323" s="56" t="s">
        <v>23</v>
      </c>
      <c r="BE323" s="3" t="s">
        <v>23</v>
      </c>
      <c r="BF323" s="118" t="s">
        <v>23</v>
      </c>
      <c r="BG323" s="49" t="s">
        <v>1366</v>
      </c>
      <c r="BH323" s="49" t="s">
        <v>1371</v>
      </c>
      <c r="BI323" s="1"/>
      <c r="BJ323" s="70" t="s">
        <v>1281</v>
      </c>
      <c r="BK323" s="57" t="s">
        <v>1281</v>
      </c>
      <c r="BL323" s="57" t="s">
        <v>1281</v>
      </c>
      <c r="BM323" s="57" t="s">
        <v>1281</v>
      </c>
      <c r="BN323" s="57" t="s">
        <v>1281</v>
      </c>
      <c r="BO323" s="57" t="s">
        <v>1281</v>
      </c>
      <c r="BP323" s="57" t="s">
        <v>1281</v>
      </c>
      <c r="BQ323" s="57" t="s">
        <v>1281</v>
      </c>
      <c r="BR323" s="57" t="s">
        <v>1281</v>
      </c>
      <c r="BS323" s="57" t="s">
        <v>1281</v>
      </c>
      <c r="BT323" s="57" t="s">
        <v>1281</v>
      </c>
      <c r="BU323" s="57" t="s">
        <v>1281</v>
      </c>
      <c r="BV323" s="70">
        <f>E323</f>
        <v>34</v>
      </c>
      <c r="BW323" s="71">
        <f>I323</f>
        <v>66</v>
      </c>
      <c r="BX323" s="72">
        <f>M323</f>
        <v>70</v>
      </c>
      <c r="BY323" s="71">
        <f>Q323</f>
        <v>102</v>
      </c>
      <c r="BZ323" s="72">
        <f>U323</f>
        <v>106</v>
      </c>
      <c r="CA323" s="71">
        <f>Y323</f>
        <v>142</v>
      </c>
      <c r="CB323" s="72">
        <f>AC323</f>
        <v>149</v>
      </c>
      <c r="CC323" s="71">
        <f>AG323</f>
        <v>187</v>
      </c>
      <c r="CD323" s="72">
        <f>AK323</f>
        <v>199</v>
      </c>
      <c r="CE323" s="71">
        <f>AO323</f>
        <v>241</v>
      </c>
      <c r="CF323" s="72">
        <f>AS323</f>
        <v>284</v>
      </c>
      <c r="CG323" s="71">
        <f>AW323</f>
        <v>310</v>
      </c>
      <c r="CH323" s="70">
        <f>G323</f>
        <v>65</v>
      </c>
      <c r="CI323" s="71">
        <f>K323</f>
        <v>69</v>
      </c>
      <c r="CJ323" s="72">
        <f>O323</f>
        <v>100</v>
      </c>
      <c r="CK323" s="72">
        <f>S323</f>
        <v>105</v>
      </c>
      <c r="CL323" s="72">
        <f>W323</f>
        <v>141</v>
      </c>
      <c r="CM323" s="72">
        <f>AA323</f>
        <v>148</v>
      </c>
      <c r="CN323" s="72">
        <f>AE323</f>
        <v>173</v>
      </c>
      <c r="CO323" s="72">
        <f>AI323</f>
        <v>189</v>
      </c>
      <c r="CP323" s="72">
        <f>AM323</f>
        <v>237</v>
      </c>
      <c r="CQ323" s="72">
        <f>AQ323</f>
        <v>278</v>
      </c>
      <c r="CR323" s="72">
        <f>AU323</f>
        <v>309</v>
      </c>
      <c r="CS323" s="72">
        <f>AY323</f>
        <v>322</v>
      </c>
      <c r="CT323" s="23">
        <f>M323-K323</f>
        <v>1</v>
      </c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1"/>
      <c r="QM323" s="1"/>
      <c r="QN323" s="1"/>
      <c r="QO323" s="1"/>
      <c r="QP323" s="1"/>
      <c r="QQ323" s="1"/>
      <c r="QR323" s="1"/>
      <c r="QS323" s="1"/>
      <c r="QT323" s="1"/>
      <c r="QU323" s="1"/>
      <c r="QV323" s="1"/>
      <c r="QW323" s="1"/>
      <c r="QX323" s="1"/>
      <c r="QY323" s="1"/>
      <c r="QZ323" s="1"/>
      <c r="RA323" s="1"/>
      <c r="RB323" s="1"/>
      <c r="RC323" s="1"/>
      <c r="RD323" s="1"/>
      <c r="RE323" s="1"/>
      <c r="RF323" s="1"/>
      <c r="RG323" s="1"/>
      <c r="RH323" s="1"/>
      <c r="RI323" s="1"/>
      <c r="RJ323" s="1"/>
      <c r="RK323" s="1"/>
      <c r="RL323" s="1"/>
      <c r="RM323" s="1"/>
      <c r="RN323" s="1"/>
      <c r="RO323" s="1"/>
      <c r="RP323" s="1"/>
      <c r="RQ323" s="1"/>
      <c r="RR323" s="1"/>
      <c r="RS323" s="1"/>
      <c r="RT323" s="1"/>
      <c r="RU323" s="1"/>
      <c r="RV323" s="1"/>
      <c r="RW323" s="1"/>
      <c r="RX323" s="1"/>
      <c r="RY323" s="1"/>
      <c r="RZ323" s="1"/>
      <c r="SA323" s="1"/>
      <c r="SB323" s="1"/>
      <c r="SC323" s="1"/>
      <c r="SD323" s="1"/>
      <c r="SE323" s="1"/>
      <c r="SF323" s="1"/>
      <c r="SG323" s="1"/>
      <c r="SH323" s="1"/>
      <c r="SI323" s="1"/>
      <c r="SJ323" s="1"/>
      <c r="SK323" s="1"/>
      <c r="SL323" s="1"/>
      <c r="SM323" s="1"/>
      <c r="SN323" s="1"/>
      <c r="SO323" s="1"/>
      <c r="SP323" s="1"/>
      <c r="SQ323" s="1"/>
      <c r="SR323" s="1"/>
      <c r="SS323" s="1"/>
      <c r="ST323" s="1"/>
      <c r="SU323" s="1"/>
      <c r="SV323" s="1"/>
      <c r="SW323" s="1"/>
      <c r="SX323" s="1"/>
      <c r="SY323" s="1"/>
      <c r="SZ323" s="1"/>
      <c r="TA323" s="1"/>
      <c r="TB323" s="1"/>
      <c r="TC323" s="1"/>
      <c r="TD323" s="1"/>
      <c r="TE323" s="1"/>
      <c r="TF323" s="1"/>
      <c r="TG323" s="1"/>
      <c r="TH323" s="1"/>
      <c r="TI323" s="1"/>
      <c r="TJ323" s="1"/>
      <c r="TK323" s="1"/>
      <c r="TL323" s="1"/>
      <c r="TM323" s="1"/>
      <c r="TN323" s="1"/>
      <c r="TO323" s="1"/>
      <c r="TP323" s="1"/>
      <c r="TQ323" s="1"/>
      <c r="TR323" s="1"/>
      <c r="TS323" s="1"/>
      <c r="TT323" s="1"/>
      <c r="TU323" s="1"/>
      <c r="TV323" s="1"/>
      <c r="TW323" s="1"/>
      <c r="TX323" s="1"/>
      <c r="TY323" s="1"/>
      <c r="TZ323" s="1"/>
      <c r="UA323" s="1"/>
      <c r="UB323" s="1"/>
      <c r="UC323" s="1"/>
      <c r="UD323" s="1"/>
      <c r="UE323" s="1"/>
      <c r="UF323" s="1"/>
      <c r="UG323" s="1"/>
      <c r="UH323" s="1"/>
      <c r="UI323" s="1"/>
      <c r="UJ323" s="1"/>
      <c r="UK323" s="1"/>
      <c r="UL323" s="1"/>
      <c r="UM323" s="1"/>
      <c r="UN323" s="1"/>
      <c r="UO323" s="1"/>
      <c r="UP323" s="1"/>
      <c r="UQ323" s="1"/>
      <c r="UR323" s="1"/>
      <c r="US323" s="1"/>
      <c r="UT323" s="1"/>
      <c r="UU323" s="1"/>
      <c r="UV323" s="1"/>
      <c r="UW323" s="1"/>
      <c r="UX323" s="1"/>
      <c r="UY323" s="1"/>
      <c r="UZ323" s="1"/>
      <c r="VA323" s="1"/>
      <c r="VB323" s="1"/>
      <c r="VC323" s="1"/>
      <c r="VD323" s="1"/>
      <c r="VE323" s="1"/>
      <c r="VF323" s="1"/>
      <c r="VG323" s="1"/>
      <c r="VH323" s="1"/>
      <c r="VI323" s="1"/>
      <c r="VJ323" s="1"/>
      <c r="VK323" s="1"/>
      <c r="VL323" s="1"/>
      <c r="VM323" s="1"/>
      <c r="VN323" s="1"/>
      <c r="VO323" s="1"/>
      <c r="VP323" s="1"/>
      <c r="VQ323" s="1"/>
      <c r="VR323" s="1"/>
      <c r="VS323" s="1"/>
      <c r="VT323" s="1"/>
      <c r="VU323" s="1"/>
      <c r="VV323" s="1"/>
      <c r="VW323" s="1"/>
      <c r="VX323" s="1"/>
      <c r="VY323" s="1"/>
      <c r="VZ323" s="1"/>
      <c r="WA323" s="1"/>
      <c r="WB323" s="1"/>
      <c r="WC323" s="1"/>
      <c r="WD323" s="1"/>
      <c r="WE323" s="1"/>
      <c r="WF323" s="1"/>
      <c r="WG323" s="1"/>
      <c r="WH323" s="1"/>
      <c r="WI323" s="1"/>
      <c r="WJ323" s="1"/>
      <c r="WK323" s="1"/>
      <c r="WL323" s="1"/>
      <c r="WM323" s="1"/>
      <c r="WN323" s="1"/>
      <c r="WO323" s="1"/>
      <c r="WP323" s="1"/>
      <c r="WQ323" s="1"/>
      <c r="WR323" s="1"/>
      <c r="WS323" s="1"/>
      <c r="WT323" s="1"/>
      <c r="WU323" s="1"/>
      <c r="WV323" s="1"/>
      <c r="WW323" s="1"/>
      <c r="WX323" s="1"/>
      <c r="WY323" s="1"/>
      <c r="WZ323" s="1"/>
      <c r="XA323" s="1"/>
      <c r="XB323" s="1"/>
      <c r="XC323" s="1"/>
      <c r="XD323" s="1"/>
      <c r="XE323" s="1"/>
      <c r="XF323" s="1"/>
      <c r="XG323" s="1"/>
      <c r="XH323" s="1"/>
      <c r="XI323" s="1"/>
      <c r="XJ323" s="1"/>
      <c r="XK323" s="1"/>
      <c r="XL323" s="1"/>
      <c r="XM323" s="1"/>
      <c r="XN323" s="1"/>
      <c r="XO323" s="1"/>
      <c r="XP323" s="1"/>
      <c r="XQ323" s="1"/>
      <c r="XR323" s="1"/>
      <c r="XS323" s="1"/>
      <c r="XT323" s="1"/>
      <c r="XU323" s="1"/>
      <c r="XV323" s="1"/>
      <c r="XW323" s="1"/>
      <c r="XX323" s="1"/>
      <c r="XY323" s="1"/>
      <c r="XZ323" s="1"/>
      <c r="YA323" s="1"/>
      <c r="YB323" s="1"/>
      <c r="YC323" s="1"/>
      <c r="YD323" s="1"/>
      <c r="YE323" s="1"/>
      <c r="YF323" s="1"/>
      <c r="YG323" s="1"/>
      <c r="YH323" s="1"/>
      <c r="YI323" s="1"/>
      <c r="YJ323" s="1"/>
      <c r="YK323" s="1"/>
      <c r="YL323" s="1"/>
      <c r="YM323" s="1"/>
      <c r="YN323" s="1"/>
      <c r="YO323" s="1"/>
      <c r="YP323" s="1"/>
      <c r="YQ323" s="1"/>
      <c r="YR323" s="1"/>
      <c r="YS323" s="1"/>
      <c r="YT323" s="1"/>
      <c r="YU323" s="1"/>
      <c r="YV323" s="1"/>
      <c r="YW323" s="1"/>
      <c r="YX323" s="1"/>
      <c r="YY323" s="1"/>
      <c r="YZ323" s="1"/>
      <c r="ZA323" s="1"/>
      <c r="ZB323" s="1"/>
      <c r="ZC323" s="1"/>
      <c r="ZD323" s="1"/>
      <c r="ZE323" s="1"/>
      <c r="ZF323" s="1"/>
      <c r="ZG323" s="1"/>
      <c r="ZH323" s="1"/>
      <c r="ZI323" s="1"/>
      <c r="ZJ323" s="1"/>
      <c r="ZK323" s="1"/>
      <c r="ZL323" s="1"/>
      <c r="ZM323" s="1"/>
      <c r="ZN323" s="1"/>
      <c r="ZO323" s="1"/>
      <c r="ZP323" s="1"/>
      <c r="ZQ323" s="1"/>
      <c r="ZR323" s="1"/>
      <c r="ZS323" s="1"/>
      <c r="ZT323" s="1"/>
      <c r="ZU323" s="1"/>
      <c r="ZV323" s="1"/>
      <c r="ZW323" s="1"/>
      <c r="ZX323" s="1"/>
      <c r="ZY323" s="1"/>
      <c r="ZZ323" s="1"/>
      <c r="AAA323" s="1"/>
      <c r="AAB323" s="1"/>
      <c r="AAC323" s="1"/>
      <c r="AAD323" s="1"/>
      <c r="AAE323" s="1"/>
      <c r="AAF323" s="1"/>
      <c r="AAG323" s="1"/>
      <c r="AAH323" s="1"/>
      <c r="AAI323" s="1"/>
      <c r="AAJ323" s="1"/>
      <c r="AAK323" s="1"/>
      <c r="AAL323" s="1"/>
      <c r="AAM323" s="1"/>
      <c r="AAN323" s="1"/>
      <c r="AAO323" s="1"/>
      <c r="AAP323" s="1"/>
      <c r="AAQ323" s="1"/>
      <c r="AAR323" s="1"/>
      <c r="AAS323" s="1"/>
      <c r="AAT323" s="1"/>
      <c r="AAU323" s="1"/>
      <c r="AAV323" s="1"/>
      <c r="AAW323" s="1"/>
      <c r="AAX323" s="1"/>
      <c r="AAY323" s="1"/>
      <c r="AAZ323" s="1"/>
      <c r="ABA323" s="1"/>
      <c r="ABB323" s="1"/>
      <c r="ABC323" s="1"/>
      <c r="ABD323" s="1"/>
      <c r="ABE323" s="1"/>
      <c r="ABF323" s="1"/>
      <c r="ABG323" s="1"/>
      <c r="ABH323" s="1"/>
      <c r="ABI323" s="1"/>
      <c r="ABJ323" s="1"/>
      <c r="ABK323" s="1"/>
      <c r="ABL323" s="1"/>
      <c r="ABM323" s="1"/>
      <c r="ABN323" s="1"/>
      <c r="ABO323" s="1"/>
      <c r="ABP323" s="1"/>
      <c r="ABQ323" s="1"/>
      <c r="ABR323" s="1"/>
      <c r="ABS323" s="1"/>
      <c r="ABT323" s="1"/>
      <c r="ABU323" s="1"/>
      <c r="ABV323" s="1"/>
      <c r="ABW323" s="1"/>
      <c r="ABX323" s="1"/>
      <c r="ABY323" s="1"/>
      <c r="ABZ323" s="1"/>
      <c r="ACA323" s="1"/>
      <c r="ACB323" s="1"/>
      <c r="ACC323" s="1"/>
      <c r="ACD323" s="1"/>
      <c r="ACE323" s="1"/>
      <c r="ACF323" s="1"/>
      <c r="ACG323" s="1"/>
      <c r="ACH323" s="1"/>
      <c r="ACI323" s="1"/>
      <c r="ACJ323" s="1"/>
      <c r="ACK323" s="1"/>
      <c r="ACL323" s="1"/>
      <c r="ACM323" s="1"/>
      <c r="ACN323" s="1"/>
      <c r="ACO323" s="1"/>
      <c r="ACP323" s="1"/>
      <c r="ACQ323" s="1"/>
      <c r="ACR323" s="1"/>
      <c r="ACS323" s="1"/>
      <c r="ACT323" s="1"/>
      <c r="ACU323" s="1"/>
      <c r="ACV323" s="1"/>
      <c r="ACW323" s="1"/>
      <c r="ACX323" s="1"/>
      <c r="ACY323" s="1"/>
      <c r="ACZ323" s="1"/>
      <c r="ADA323" s="1"/>
      <c r="ADB323" s="1"/>
      <c r="ADC323" s="1"/>
      <c r="ADD323" s="1"/>
      <c r="ADE323" s="1"/>
      <c r="ADF323" s="1"/>
      <c r="ADG323" s="1"/>
      <c r="ADH323" s="1"/>
      <c r="ADI323" s="1"/>
      <c r="ADJ323" s="1"/>
      <c r="ADK323" s="1"/>
      <c r="ADL323" s="1"/>
      <c r="ADM323" s="1"/>
      <c r="ADN323" s="1"/>
      <c r="ADO323" s="1"/>
      <c r="ADP323" s="1"/>
      <c r="ADQ323" s="1"/>
      <c r="ADR323" s="1"/>
      <c r="ADS323" s="1"/>
      <c r="ADT323" s="1"/>
      <c r="ADU323" s="1"/>
      <c r="ADV323" s="1"/>
      <c r="ADW323" s="1"/>
      <c r="ADX323" s="1"/>
      <c r="ADY323" s="1"/>
      <c r="ADZ323" s="1"/>
      <c r="AEA323" s="1"/>
      <c r="AEB323" s="1"/>
      <c r="AEC323" s="1"/>
      <c r="AED323" s="1"/>
      <c r="AEE323" s="1"/>
      <c r="AEF323" s="1"/>
      <c r="AEG323" s="1"/>
      <c r="AEH323" s="1"/>
      <c r="AEI323" s="1"/>
      <c r="AEJ323" s="1"/>
      <c r="AEK323" s="1"/>
      <c r="AEL323" s="1"/>
      <c r="AEM323" s="1"/>
      <c r="AEN323" s="1"/>
      <c r="AEO323" s="1"/>
      <c r="AEP323" s="1"/>
      <c r="AEQ323" s="1"/>
      <c r="AER323" s="1"/>
      <c r="AES323" s="1"/>
      <c r="AET323" s="1"/>
      <c r="AEU323" s="1"/>
      <c r="AEV323" s="1"/>
      <c r="AEW323" s="1"/>
      <c r="AEX323" s="1"/>
      <c r="AEY323" s="1"/>
      <c r="AEZ323" s="1"/>
      <c r="AFA323" s="1"/>
      <c r="AFB323" s="1"/>
      <c r="AFC323" s="1"/>
      <c r="AFD323" s="1"/>
      <c r="AFE323" s="1"/>
      <c r="AFF323" s="1"/>
      <c r="AFG323" s="1"/>
      <c r="AFH323" s="1"/>
      <c r="AFI323" s="1"/>
      <c r="AFJ323" s="1"/>
      <c r="AFK323" s="1"/>
      <c r="AFL323" s="1"/>
      <c r="AFM323" s="1"/>
      <c r="AFN323" s="1"/>
      <c r="AFO323" s="1"/>
      <c r="AFP323" s="1"/>
      <c r="AFQ323" s="1"/>
      <c r="AFR323" s="1"/>
      <c r="AFS323" s="1"/>
      <c r="AFT323" s="1"/>
      <c r="AFU323" s="1"/>
      <c r="AFV323" s="1"/>
      <c r="AFW323" s="1"/>
      <c r="AFX323" s="1"/>
      <c r="AFY323" s="1"/>
      <c r="AFZ323" s="1"/>
      <c r="AGA323" s="1"/>
      <c r="AGB323" s="1"/>
      <c r="AGC323" s="1"/>
      <c r="AGD323" s="1"/>
      <c r="AGE323" s="1"/>
      <c r="AGF323" s="1"/>
      <c r="AGG323" s="1"/>
      <c r="AGH323" s="1"/>
      <c r="AGI323" s="1"/>
      <c r="AGJ323" s="1"/>
      <c r="AGK323" s="1"/>
      <c r="AGL323" s="1"/>
      <c r="AGM323" s="1"/>
      <c r="AGN323" s="1"/>
      <c r="AGO323" s="1"/>
      <c r="AGP323" s="1"/>
      <c r="AGQ323" s="1"/>
      <c r="AGR323" s="1"/>
      <c r="AGS323" s="1"/>
      <c r="AGT323" s="1"/>
      <c r="AGU323" s="1"/>
      <c r="AGV323" s="1"/>
      <c r="AGW323" s="1"/>
      <c r="AGX323" s="1"/>
      <c r="AGY323" s="1"/>
      <c r="AGZ323" s="1"/>
      <c r="AHA323" s="1"/>
      <c r="AHB323" s="1"/>
      <c r="AHC323" s="1"/>
      <c r="AHD323" s="1"/>
      <c r="AHE323" s="1"/>
      <c r="AHF323" s="1"/>
      <c r="AHG323" s="1"/>
      <c r="AHH323" s="1"/>
      <c r="AHI323" s="1"/>
      <c r="AHJ323" s="1"/>
      <c r="AHK323" s="1"/>
      <c r="AHL323" s="1"/>
      <c r="AHM323" s="1"/>
      <c r="AHN323" s="1"/>
      <c r="AHO323" s="1"/>
      <c r="AHP323" s="1"/>
      <c r="AHQ323" s="1"/>
      <c r="AHR323" s="1"/>
      <c r="AHS323" s="1"/>
      <c r="AHT323" s="1"/>
      <c r="AHU323" s="1"/>
      <c r="AHV323" s="1"/>
      <c r="AHW323" s="1"/>
      <c r="AHX323" s="1"/>
      <c r="AHY323" s="1"/>
      <c r="AHZ323" s="1"/>
      <c r="AIA323" s="1"/>
      <c r="AIB323" s="1"/>
      <c r="AIC323" s="1"/>
      <c r="AID323" s="1"/>
      <c r="AIE323" s="1"/>
      <c r="AIF323" s="1"/>
      <c r="AIG323" s="1"/>
      <c r="AIH323" s="1"/>
      <c r="AII323" s="1"/>
      <c r="AIJ323" s="1"/>
      <c r="AIK323" s="1"/>
      <c r="AIL323" s="1"/>
      <c r="AIM323" s="1"/>
      <c r="AIN323" s="1"/>
      <c r="AIO323" s="1"/>
      <c r="AIP323" s="1"/>
      <c r="AIQ323" s="1"/>
      <c r="AIR323" s="1"/>
      <c r="AIS323" s="1"/>
      <c r="AIT323" s="1"/>
      <c r="AIU323" s="1"/>
      <c r="AIV323" s="1"/>
      <c r="AIW323" s="1"/>
      <c r="AIX323" s="1"/>
      <c r="AIY323" s="1"/>
      <c r="AIZ323" s="1"/>
      <c r="AJA323" s="1"/>
      <c r="AJB323" s="1"/>
      <c r="AJC323" s="1"/>
      <c r="AJD323" s="1"/>
      <c r="AJE323" s="1"/>
      <c r="AJF323" s="1"/>
      <c r="AJG323" s="1"/>
      <c r="AJH323" s="1"/>
      <c r="AJI323" s="1"/>
      <c r="AJJ323" s="1"/>
      <c r="AJK323" s="1"/>
      <c r="AJL323" s="1"/>
      <c r="AJM323" s="1"/>
      <c r="AJN323" s="1"/>
      <c r="AJO323" s="1"/>
      <c r="AJP323" s="1"/>
      <c r="AJQ323" s="1"/>
      <c r="AJR323" s="1"/>
      <c r="AJS323" s="1"/>
      <c r="AJT323" s="1"/>
      <c r="AJU323" s="1"/>
      <c r="AJV323" s="1"/>
      <c r="AJW323" s="1"/>
      <c r="AJX323" s="1"/>
      <c r="AJY323" s="1"/>
      <c r="AJZ323" s="1"/>
      <c r="AKA323" s="1"/>
      <c r="AKB323" s="1"/>
      <c r="AKC323" s="1"/>
      <c r="AKD323" s="1"/>
      <c r="AKE323" s="1"/>
      <c r="AKF323" s="1"/>
      <c r="AKG323" s="1"/>
      <c r="AKH323" s="1"/>
      <c r="AKI323" s="1"/>
      <c r="AKJ323" s="1"/>
      <c r="AKK323" s="1"/>
      <c r="AKL323" s="1"/>
      <c r="AKM323" s="1"/>
      <c r="AKN323" s="1"/>
      <c r="AKO323" s="1"/>
      <c r="AKP323" s="1"/>
      <c r="AKQ323" s="1"/>
      <c r="AKR323" s="1"/>
      <c r="AKS323" s="1"/>
      <c r="AKT323" s="1"/>
      <c r="AKU323" s="1"/>
      <c r="AKV323" s="1"/>
      <c r="AKW323" s="1"/>
      <c r="AKX323" s="1"/>
      <c r="AKY323" s="1"/>
      <c r="AKZ323" s="1"/>
      <c r="ALA323" s="1"/>
      <c r="ALB323" s="1"/>
      <c r="ALC323" s="1"/>
      <c r="ALD323" s="1"/>
      <c r="ALE323" s="1"/>
      <c r="ALF323" s="1"/>
      <c r="ALG323" s="1"/>
      <c r="ALH323" s="1"/>
      <c r="ALI323" s="1"/>
      <c r="ALJ323" s="1"/>
      <c r="ALK323" s="1"/>
      <c r="ALL323" s="1"/>
      <c r="ALM323" s="1"/>
      <c r="ALN323" s="1"/>
      <c r="ALO323" s="1"/>
      <c r="ALP323" s="1"/>
      <c r="ALQ323" s="1"/>
      <c r="ALR323" s="1"/>
      <c r="ALS323" s="1"/>
      <c r="ALT323" s="1"/>
      <c r="ALU323" s="1"/>
      <c r="ALV323" s="1"/>
      <c r="ALW323" s="1"/>
      <c r="ALX323" s="1"/>
      <c r="ALY323" s="1"/>
      <c r="ALZ323" s="1"/>
      <c r="AMA323" s="1"/>
      <c r="AMB323" s="1"/>
      <c r="AMC323" s="1"/>
      <c r="AMD323" s="1"/>
      <c r="AME323" s="1"/>
      <c r="AMF323" s="1"/>
      <c r="AMG323" s="1"/>
      <c r="AMH323" s="1"/>
      <c r="AMI323" s="1"/>
      <c r="AMJ323" s="1"/>
      <c r="AMK323" s="1"/>
      <c r="AML323" s="1"/>
      <c r="AMM323" s="1"/>
      <c r="AMN323" s="1"/>
      <c r="AMO323" s="1"/>
    </row>
    <row r="324" spans="1:1030" x14ac:dyDescent="0.2">
      <c r="A324" s="3" t="str">
        <f>CONCATENATE(B324,"_",C324)</f>
        <v>opsd_human_4ZWJ</v>
      </c>
      <c r="B324" s="3" t="s">
        <v>338</v>
      </c>
      <c r="C324" s="3" t="s">
        <v>55</v>
      </c>
      <c r="D324" s="3" t="str">
        <f>IFERROR(MID(VLOOKUP($B324,Seqs!$A:$B,2,0),E324,1),"")</f>
        <v>P</v>
      </c>
      <c r="E324" s="3">
        <v>34</v>
      </c>
      <c r="F324" s="3" t="str">
        <f>IFERROR(MID(VLOOKUP($B324,Seqs!$A:$B,2,0),G324,1),"")</f>
        <v>H</v>
      </c>
      <c r="G324" s="3">
        <v>65</v>
      </c>
      <c r="H324" s="3" t="str">
        <f>IFERROR(MID(VLOOKUP($B324,Seqs!$A:$B,2,0),I324,1),"")</f>
        <v>K</v>
      </c>
      <c r="I324" s="23">
        <v>66</v>
      </c>
      <c r="J324" s="3" t="str">
        <f>IFERROR(MID(VLOOKUP($B324,Seqs!$A:$B,2,0),K324,1),"")</f>
        <v>R</v>
      </c>
      <c r="K324" s="23">
        <v>69</v>
      </c>
      <c r="L324" s="3" t="str">
        <f>IFERROR(MID(VLOOKUP($B324,Seqs!$A:$B,2,0),M324,1),"")</f>
        <v>T</v>
      </c>
      <c r="M324" s="3">
        <v>70</v>
      </c>
      <c r="N324" s="3" t="str">
        <f>IFERROR(MID(VLOOKUP($B324,Seqs!$A:$B,2,0),O324,1),"")</f>
        <v>H</v>
      </c>
      <c r="O324" s="3">
        <v>100</v>
      </c>
      <c r="P324" s="3" t="str">
        <f>IFERROR(MID(VLOOKUP($B324,Seqs!$A:$B,2,0),Q324,1),"")</f>
        <v>Y</v>
      </c>
      <c r="Q324" s="3">
        <v>102</v>
      </c>
      <c r="R324" s="3" t="str">
        <f>IFERROR(MID(VLOOKUP($B324,Seqs!$A:$B,2,0),S324,1),"")</f>
        <v>F</v>
      </c>
      <c r="S324" s="3">
        <v>105</v>
      </c>
      <c r="T324" s="3" t="str">
        <f>IFERROR(MID(VLOOKUP($B324,Seqs!$A:$B,2,0),U324,1),"")</f>
        <v>G</v>
      </c>
      <c r="U324" s="3">
        <v>106</v>
      </c>
      <c r="V324" s="3" t="str">
        <f>IFERROR(MID(VLOOKUP($B324,Seqs!$A:$B,2,0),W324,1),"")</f>
        <v>K</v>
      </c>
      <c r="W324" s="3">
        <v>141</v>
      </c>
      <c r="X324" s="3" t="str">
        <f>IFERROR(MID(VLOOKUP($B324,Seqs!$A:$B,2,0),Y324,1),"")</f>
        <v>P</v>
      </c>
      <c r="Y324" s="3">
        <v>142</v>
      </c>
      <c r="Z324" s="3" t="str">
        <f>IFERROR(MID(VLOOKUP($B324,Seqs!$A:$B,2,0),AA324,1),"")</f>
        <v>F</v>
      </c>
      <c r="AA324" s="3">
        <v>148</v>
      </c>
      <c r="AB324" s="3" t="str">
        <f>IFERROR(MID(VLOOKUP($B324,Seqs!$A:$B,2,0),AC324,1),"")</f>
        <v>G</v>
      </c>
      <c r="AC324" s="9">
        <v>149</v>
      </c>
      <c r="AD324" s="3" t="str">
        <f>IFERROR(MID(VLOOKUP($B324,Seqs!$A:$B,2,0),AE324,1),"")</f>
        <v>A</v>
      </c>
      <c r="AE324" s="3">
        <v>173</v>
      </c>
      <c r="AF324" s="3" t="str">
        <f>IFERROR(MID(VLOOKUP($B324,Seqs!$A:$B,2,0),AG324,1),"")</f>
        <v>C</v>
      </c>
      <c r="AG324" s="3">
        <v>187</v>
      </c>
      <c r="AH324" s="3" t="str">
        <f>IFERROR(MID(VLOOKUP($B324,Seqs!$A:$B,2,0),AI324,1),"")</f>
        <v>I</v>
      </c>
      <c r="AI324" s="3">
        <v>189</v>
      </c>
      <c r="AJ324" s="3" t="str">
        <f>IFERROR(MID(VLOOKUP($B324,Seqs!$A:$B,2,0),AK324,1),"")</f>
        <v>N</v>
      </c>
      <c r="AK324" s="3">
        <v>199</v>
      </c>
      <c r="AL324" s="3" t="str">
        <f>IFERROR(MID(VLOOKUP($B324,Seqs!$A:$B,2,0),AM324,1),"")</f>
        <v>Q</v>
      </c>
      <c r="AM324" s="3">
        <v>237</v>
      </c>
      <c r="AN324" s="3" t="str">
        <f>IFERROR(MID(VLOOKUP($B324,Seqs!$A:$B,2,0),AO324,1),"")</f>
        <v>A</v>
      </c>
      <c r="AO324" s="3">
        <v>241</v>
      </c>
      <c r="AP324" s="3" t="str">
        <f>IFERROR(MID(VLOOKUP($B324,Seqs!$A:$B,2,0),AQ324,1),"")</f>
        <v>H</v>
      </c>
      <c r="AQ324" s="3">
        <v>278</v>
      </c>
      <c r="AR324" s="3" t="str">
        <f>IFERROR(MID(VLOOKUP($B324,Seqs!$A:$B,2,0),AS324,1),"")</f>
        <v>G</v>
      </c>
      <c r="AS324" s="3">
        <v>284</v>
      </c>
      <c r="AT324" s="3" t="str">
        <f>IFERROR(MID(VLOOKUP($B324,Seqs!$A:$B,2,0),AU324,1),"")</f>
        <v>M</v>
      </c>
      <c r="AU324" s="3">
        <v>309</v>
      </c>
      <c r="AV324" s="3" t="str">
        <f>IFERROR(MID(VLOOKUP($B324,Seqs!$A:$B,2,0),AW324,1),"")</f>
        <v>N</v>
      </c>
      <c r="AW324" s="3">
        <v>310</v>
      </c>
      <c r="AX324" s="3" t="str">
        <f>IFERROR(MID(VLOOKUP($B324,Seqs!$A:$B,2,0),AY324,1),"")</f>
        <v>C</v>
      </c>
      <c r="AY324" s="3">
        <v>322</v>
      </c>
      <c r="AZ324" s="77" t="str">
        <f>VLOOKUP(B324,Classification!A:D,2,0)</f>
        <v>A</v>
      </c>
      <c r="BA324" s="94" t="str">
        <f>VLOOKUP(B324,Classification!A:D,4,0)</f>
        <v>Opsins</v>
      </c>
      <c r="BB324" s="27" t="b">
        <f t="shared" si="1114"/>
        <v>1</v>
      </c>
      <c r="BC324" s="23">
        <f t="shared" si="1113"/>
        <v>258</v>
      </c>
      <c r="BD324" s="2" t="s">
        <v>1369</v>
      </c>
      <c r="BE324" s="3" t="s">
        <v>1285</v>
      </c>
      <c r="BF324" s="118">
        <v>3.3</v>
      </c>
      <c r="BG324" s="49" t="s">
        <v>1371</v>
      </c>
      <c r="BH324" s="49" t="s">
        <v>1371</v>
      </c>
      <c r="BI324" s="1"/>
      <c r="BJ324" s="70" t="s">
        <v>1281</v>
      </c>
      <c r="BK324" s="57" t="s">
        <v>1281</v>
      </c>
      <c r="BL324" s="57" t="s">
        <v>1281</v>
      </c>
      <c r="BM324" s="57" t="s">
        <v>1281</v>
      </c>
      <c r="BN324" s="57" t="s">
        <v>1281</v>
      </c>
      <c r="BO324" s="57" t="s">
        <v>1281</v>
      </c>
      <c r="BP324" s="57" t="s">
        <v>1281</v>
      </c>
      <c r="BQ324" s="57" t="s">
        <v>1281</v>
      </c>
      <c r="BR324" s="57" t="s">
        <v>1281</v>
      </c>
      <c r="BS324" s="57" t="s">
        <v>1281</v>
      </c>
      <c r="BT324" s="57" t="s">
        <v>1281</v>
      </c>
      <c r="BU324" s="57" t="s">
        <v>1281</v>
      </c>
      <c r="BV324" s="70">
        <f>E324</f>
        <v>34</v>
      </c>
      <c r="BW324" s="71">
        <f>I324</f>
        <v>66</v>
      </c>
      <c r="BX324" s="72">
        <f>M324</f>
        <v>70</v>
      </c>
      <c r="BY324" s="71">
        <f>Q324</f>
        <v>102</v>
      </c>
      <c r="BZ324" s="72">
        <f>U324</f>
        <v>106</v>
      </c>
      <c r="CA324" s="71">
        <f>Y324</f>
        <v>142</v>
      </c>
      <c r="CB324" s="72">
        <f>AC324</f>
        <v>149</v>
      </c>
      <c r="CC324" s="71">
        <f>AG324</f>
        <v>187</v>
      </c>
      <c r="CD324" s="72">
        <f>AK324</f>
        <v>199</v>
      </c>
      <c r="CE324" s="71">
        <f>AO324</f>
        <v>241</v>
      </c>
      <c r="CF324" s="72">
        <f>AS324</f>
        <v>284</v>
      </c>
      <c r="CG324" s="71">
        <f>AW324</f>
        <v>310</v>
      </c>
      <c r="CH324" s="70">
        <f>G324</f>
        <v>65</v>
      </c>
      <c r="CI324" s="71">
        <f>K324</f>
        <v>69</v>
      </c>
      <c r="CJ324" s="72">
        <f>O324</f>
        <v>100</v>
      </c>
      <c r="CK324" s="72">
        <f>S324</f>
        <v>105</v>
      </c>
      <c r="CL324" s="72">
        <f>W324</f>
        <v>141</v>
      </c>
      <c r="CM324" s="72">
        <f>AA324</f>
        <v>148</v>
      </c>
      <c r="CN324" s="72">
        <f>AE324</f>
        <v>173</v>
      </c>
      <c r="CO324" s="72">
        <f>AI324</f>
        <v>189</v>
      </c>
      <c r="CP324" s="72">
        <f>AM324</f>
        <v>237</v>
      </c>
      <c r="CQ324" s="72">
        <f>AQ324</f>
        <v>278</v>
      </c>
      <c r="CR324" s="72">
        <f>AU324</f>
        <v>309</v>
      </c>
      <c r="CS324" s="72">
        <f>AY324</f>
        <v>322</v>
      </c>
      <c r="CT324" s="23">
        <f>M324-K324</f>
        <v>1</v>
      </c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"/>
      <c r="PC324" s="1"/>
      <c r="PD324" s="1"/>
      <c r="PE324" s="1"/>
      <c r="PF324" s="1"/>
      <c r="PG324" s="1"/>
      <c r="PH324" s="1"/>
      <c r="PI324" s="1"/>
      <c r="PJ324" s="1"/>
      <c r="PK324" s="1"/>
      <c r="PL324" s="1"/>
      <c r="PM324" s="1"/>
      <c r="PN324" s="1"/>
      <c r="PO324" s="1"/>
      <c r="PP324" s="1"/>
      <c r="PQ324" s="1"/>
      <c r="PR324" s="1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1"/>
      <c r="QD324" s="1"/>
      <c r="QE324" s="1"/>
      <c r="QF324" s="1"/>
      <c r="QG324" s="1"/>
      <c r="QH324" s="1"/>
      <c r="QI324" s="1"/>
      <c r="QJ324" s="1"/>
      <c r="QK324" s="1"/>
      <c r="QL324" s="1"/>
      <c r="QM324" s="1"/>
      <c r="QN324" s="1"/>
      <c r="QO324" s="1"/>
      <c r="QP324" s="1"/>
      <c r="QQ324" s="1"/>
      <c r="QR324" s="1"/>
      <c r="QS324" s="1"/>
      <c r="QT324" s="1"/>
      <c r="QU324" s="1"/>
      <c r="QV324" s="1"/>
      <c r="QW324" s="1"/>
      <c r="QX324" s="1"/>
      <c r="QY324" s="1"/>
      <c r="QZ324" s="1"/>
      <c r="RA324" s="1"/>
      <c r="RB324" s="1"/>
      <c r="RC324" s="1"/>
      <c r="RD324" s="1"/>
      <c r="RE324" s="1"/>
      <c r="RF324" s="1"/>
      <c r="RG324" s="1"/>
      <c r="RH324" s="1"/>
      <c r="RI324" s="1"/>
      <c r="RJ324" s="1"/>
      <c r="RK324" s="1"/>
      <c r="RL324" s="1"/>
      <c r="RM324" s="1"/>
      <c r="RN324" s="1"/>
      <c r="RO324" s="1"/>
      <c r="RP324" s="1"/>
      <c r="RQ324" s="1"/>
      <c r="RR324" s="1"/>
      <c r="RS324" s="1"/>
      <c r="RT324" s="1"/>
      <c r="RU324" s="1"/>
      <c r="RV324" s="1"/>
      <c r="RW324" s="1"/>
      <c r="RX324" s="1"/>
      <c r="RY324" s="1"/>
      <c r="RZ324" s="1"/>
      <c r="SA324" s="1"/>
      <c r="SB324" s="1"/>
      <c r="SC324" s="1"/>
      <c r="SD324" s="1"/>
      <c r="SE324" s="1"/>
      <c r="SF324" s="1"/>
      <c r="SG324" s="1"/>
      <c r="SH324" s="1"/>
      <c r="SI324" s="1"/>
      <c r="SJ324" s="1"/>
      <c r="SK324" s="1"/>
      <c r="SL324" s="1"/>
      <c r="SM324" s="1"/>
      <c r="SN324" s="1"/>
      <c r="SO324" s="1"/>
      <c r="SP324" s="1"/>
      <c r="SQ324" s="1"/>
      <c r="SR324" s="1"/>
      <c r="SS324" s="1"/>
      <c r="ST324" s="1"/>
      <c r="SU324" s="1"/>
      <c r="SV324" s="1"/>
      <c r="SW324" s="1"/>
      <c r="SX324" s="1"/>
      <c r="SY324" s="1"/>
      <c r="SZ324" s="1"/>
      <c r="TA324" s="1"/>
      <c r="TB324" s="1"/>
      <c r="TC324" s="1"/>
      <c r="TD324" s="1"/>
      <c r="TE324" s="1"/>
      <c r="TF324" s="1"/>
      <c r="TG324" s="1"/>
      <c r="TH324" s="1"/>
      <c r="TI324" s="1"/>
      <c r="TJ324" s="1"/>
      <c r="TK324" s="1"/>
      <c r="TL324" s="1"/>
      <c r="TM324" s="1"/>
      <c r="TN324" s="1"/>
      <c r="TO324" s="1"/>
      <c r="TP324" s="1"/>
      <c r="TQ324" s="1"/>
      <c r="TR324" s="1"/>
      <c r="TS324" s="1"/>
      <c r="TT324" s="1"/>
      <c r="TU324" s="1"/>
      <c r="TV324" s="1"/>
      <c r="TW324" s="1"/>
      <c r="TX324" s="1"/>
      <c r="TY324" s="1"/>
      <c r="TZ324" s="1"/>
      <c r="UA324" s="1"/>
      <c r="UB324" s="1"/>
      <c r="UC324" s="1"/>
      <c r="UD324" s="1"/>
      <c r="UE324" s="1"/>
      <c r="UF324" s="1"/>
      <c r="UG324" s="1"/>
      <c r="UH324" s="1"/>
      <c r="UI324" s="1"/>
      <c r="UJ324" s="1"/>
      <c r="UK324" s="1"/>
      <c r="UL324" s="1"/>
      <c r="UM324" s="1"/>
      <c r="UN324" s="1"/>
      <c r="UO324" s="1"/>
      <c r="UP324" s="1"/>
      <c r="UQ324" s="1"/>
      <c r="UR324" s="1"/>
      <c r="US324" s="1"/>
      <c r="UT324" s="1"/>
      <c r="UU324" s="1"/>
      <c r="UV324" s="1"/>
      <c r="UW324" s="1"/>
      <c r="UX324" s="1"/>
      <c r="UY324" s="1"/>
      <c r="UZ324" s="1"/>
      <c r="VA324" s="1"/>
      <c r="VB324" s="1"/>
      <c r="VC324" s="1"/>
      <c r="VD324" s="1"/>
      <c r="VE324" s="1"/>
      <c r="VF324" s="1"/>
      <c r="VG324" s="1"/>
      <c r="VH324" s="1"/>
      <c r="VI324" s="1"/>
      <c r="VJ324" s="1"/>
      <c r="VK324" s="1"/>
      <c r="VL324" s="1"/>
      <c r="VM324" s="1"/>
      <c r="VN324" s="1"/>
      <c r="VO324" s="1"/>
      <c r="VP324" s="1"/>
      <c r="VQ324" s="1"/>
      <c r="VR324" s="1"/>
      <c r="VS324" s="1"/>
      <c r="VT324" s="1"/>
      <c r="VU324" s="1"/>
      <c r="VV324" s="1"/>
      <c r="VW324" s="1"/>
      <c r="VX324" s="1"/>
      <c r="VY324" s="1"/>
      <c r="VZ324" s="1"/>
      <c r="WA324" s="1"/>
      <c r="WB324" s="1"/>
      <c r="WC324" s="1"/>
      <c r="WD324" s="1"/>
      <c r="WE324" s="1"/>
      <c r="WF324" s="1"/>
      <c r="WG324" s="1"/>
      <c r="WH324" s="1"/>
      <c r="WI324" s="1"/>
      <c r="WJ324" s="1"/>
      <c r="WK324" s="1"/>
      <c r="WL324" s="1"/>
      <c r="WM324" s="1"/>
      <c r="WN324" s="1"/>
      <c r="WO324" s="1"/>
      <c r="WP324" s="1"/>
      <c r="WQ324" s="1"/>
      <c r="WR324" s="1"/>
      <c r="WS324" s="1"/>
      <c r="WT324" s="1"/>
      <c r="WU324" s="1"/>
      <c r="WV324" s="1"/>
      <c r="WW324" s="1"/>
      <c r="WX324" s="1"/>
      <c r="WY324" s="1"/>
      <c r="WZ324" s="1"/>
      <c r="XA324" s="1"/>
      <c r="XB324" s="1"/>
      <c r="XC324" s="1"/>
      <c r="XD324" s="1"/>
      <c r="XE324" s="1"/>
      <c r="XF324" s="1"/>
      <c r="XG324" s="1"/>
      <c r="XH324" s="1"/>
      <c r="XI324" s="1"/>
      <c r="XJ324" s="1"/>
      <c r="XK324" s="1"/>
      <c r="XL324" s="1"/>
      <c r="XM324" s="1"/>
      <c r="XN324" s="1"/>
      <c r="XO324" s="1"/>
      <c r="XP324" s="1"/>
      <c r="XQ324" s="1"/>
      <c r="XR324" s="1"/>
      <c r="XS324" s="1"/>
      <c r="XT324" s="1"/>
      <c r="XU324" s="1"/>
      <c r="XV324" s="1"/>
      <c r="XW324" s="1"/>
      <c r="XX324" s="1"/>
      <c r="XY324" s="1"/>
      <c r="XZ324" s="1"/>
      <c r="YA324" s="1"/>
      <c r="YB324" s="1"/>
      <c r="YC324" s="1"/>
      <c r="YD324" s="1"/>
      <c r="YE324" s="1"/>
      <c r="YF324" s="1"/>
      <c r="YG324" s="1"/>
      <c r="YH324" s="1"/>
      <c r="YI324" s="1"/>
      <c r="YJ324" s="1"/>
      <c r="YK324" s="1"/>
      <c r="YL324" s="1"/>
      <c r="YM324" s="1"/>
      <c r="YN324" s="1"/>
      <c r="YO324" s="1"/>
      <c r="YP324" s="1"/>
      <c r="YQ324" s="1"/>
      <c r="YR324" s="1"/>
      <c r="YS324" s="1"/>
      <c r="YT324" s="1"/>
      <c r="YU324" s="1"/>
      <c r="YV324" s="1"/>
      <c r="YW324" s="1"/>
      <c r="YX324" s="1"/>
      <c r="YY324" s="1"/>
      <c r="YZ324" s="1"/>
      <c r="ZA324" s="1"/>
      <c r="ZB324" s="1"/>
      <c r="ZC324" s="1"/>
      <c r="ZD324" s="1"/>
      <c r="ZE324" s="1"/>
      <c r="ZF324" s="1"/>
      <c r="ZG324" s="1"/>
      <c r="ZH324" s="1"/>
      <c r="ZI324" s="1"/>
      <c r="ZJ324" s="1"/>
      <c r="ZK324" s="1"/>
      <c r="ZL324" s="1"/>
      <c r="ZM324" s="1"/>
      <c r="ZN324" s="1"/>
      <c r="ZO324" s="1"/>
      <c r="ZP324" s="1"/>
      <c r="ZQ324" s="1"/>
      <c r="ZR324" s="1"/>
      <c r="ZS324" s="1"/>
      <c r="ZT324" s="1"/>
      <c r="ZU324" s="1"/>
      <c r="ZV324" s="1"/>
      <c r="ZW324" s="1"/>
      <c r="ZX324" s="1"/>
      <c r="ZY324" s="1"/>
      <c r="ZZ324" s="1"/>
      <c r="AAA324" s="1"/>
      <c r="AAB324" s="1"/>
      <c r="AAC324" s="1"/>
      <c r="AAD324" s="1"/>
      <c r="AAE324" s="1"/>
      <c r="AAF324" s="1"/>
      <c r="AAG324" s="1"/>
      <c r="AAH324" s="1"/>
      <c r="AAI324" s="1"/>
      <c r="AAJ324" s="1"/>
      <c r="AAK324" s="1"/>
      <c r="AAL324" s="1"/>
      <c r="AAM324" s="1"/>
      <c r="AAN324" s="1"/>
      <c r="AAO324" s="1"/>
      <c r="AAP324" s="1"/>
      <c r="AAQ324" s="1"/>
      <c r="AAR324" s="1"/>
      <c r="AAS324" s="1"/>
      <c r="AAT324" s="1"/>
      <c r="AAU324" s="1"/>
      <c r="AAV324" s="1"/>
      <c r="AAW324" s="1"/>
      <c r="AAX324" s="1"/>
      <c r="AAY324" s="1"/>
      <c r="AAZ324" s="1"/>
      <c r="ABA324" s="1"/>
      <c r="ABB324" s="1"/>
      <c r="ABC324" s="1"/>
      <c r="ABD324" s="1"/>
      <c r="ABE324" s="1"/>
      <c r="ABF324" s="1"/>
      <c r="ABG324" s="1"/>
      <c r="ABH324" s="1"/>
      <c r="ABI324" s="1"/>
      <c r="ABJ324" s="1"/>
      <c r="ABK324" s="1"/>
      <c r="ABL324" s="1"/>
      <c r="ABM324" s="1"/>
      <c r="ABN324" s="1"/>
      <c r="ABO324" s="1"/>
      <c r="ABP324" s="1"/>
      <c r="ABQ324" s="1"/>
      <c r="ABR324" s="1"/>
      <c r="ABS324" s="1"/>
      <c r="ABT324" s="1"/>
      <c r="ABU324" s="1"/>
      <c r="ABV324" s="1"/>
      <c r="ABW324" s="1"/>
      <c r="ABX324" s="1"/>
      <c r="ABY324" s="1"/>
      <c r="ABZ324" s="1"/>
      <c r="ACA324" s="1"/>
      <c r="ACB324" s="1"/>
      <c r="ACC324" s="1"/>
      <c r="ACD324" s="1"/>
      <c r="ACE324" s="1"/>
      <c r="ACF324" s="1"/>
      <c r="ACG324" s="1"/>
      <c r="ACH324" s="1"/>
      <c r="ACI324" s="1"/>
      <c r="ACJ324" s="1"/>
      <c r="ACK324" s="1"/>
      <c r="ACL324" s="1"/>
      <c r="ACM324" s="1"/>
      <c r="ACN324" s="1"/>
      <c r="ACO324" s="1"/>
      <c r="ACP324" s="1"/>
      <c r="ACQ324" s="1"/>
      <c r="ACR324" s="1"/>
      <c r="ACS324" s="1"/>
      <c r="ACT324" s="1"/>
      <c r="ACU324" s="1"/>
      <c r="ACV324" s="1"/>
      <c r="ACW324" s="1"/>
      <c r="ACX324" s="1"/>
      <c r="ACY324" s="1"/>
      <c r="ACZ324" s="1"/>
      <c r="ADA324" s="1"/>
      <c r="ADB324" s="1"/>
      <c r="ADC324" s="1"/>
      <c r="ADD324" s="1"/>
      <c r="ADE324" s="1"/>
      <c r="ADF324" s="1"/>
      <c r="ADG324" s="1"/>
      <c r="ADH324" s="1"/>
      <c r="ADI324" s="1"/>
      <c r="ADJ324" s="1"/>
      <c r="ADK324" s="1"/>
      <c r="ADL324" s="1"/>
      <c r="ADM324" s="1"/>
      <c r="ADN324" s="1"/>
      <c r="ADO324" s="1"/>
      <c r="ADP324" s="1"/>
      <c r="ADQ324" s="1"/>
      <c r="ADR324" s="1"/>
      <c r="ADS324" s="1"/>
      <c r="ADT324" s="1"/>
      <c r="ADU324" s="1"/>
      <c r="ADV324" s="1"/>
      <c r="ADW324" s="1"/>
      <c r="ADX324" s="1"/>
      <c r="ADY324" s="1"/>
      <c r="ADZ324" s="1"/>
      <c r="AEA324" s="1"/>
      <c r="AEB324" s="1"/>
      <c r="AEC324" s="1"/>
      <c r="AED324" s="1"/>
      <c r="AEE324" s="1"/>
      <c r="AEF324" s="1"/>
      <c r="AEG324" s="1"/>
      <c r="AEH324" s="1"/>
      <c r="AEI324" s="1"/>
      <c r="AEJ324" s="1"/>
      <c r="AEK324" s="1"/>
      <c r="AEL324" s="1"/>
      <c r="AEM324" s="1"/>
      <c r="AEN324" s="1"/>
      <c r="AEO324" s="1"/>
      <c r="AEP324" s="1"/>
      <c r="AEQ324" s="1"/>
      <c r="AER324" s="1"/>
      <c r="AES324" s="1"/>
      <c r="AET324" s="1"/>
      <c r="AEU324" s="1"/>
      <c r="AEV324" s="1"/>
      <c r="AEW324" s="1"/>
      <c r="AEX324" s="1"/>
      <c r="AEY324" s="1"/>
      <c r="AEZ324" s="1"/>
      <c r="AFA324" s="1"/>
      <c r="AFB324" s="1"/>
      <c r="AFC324" s="1"/>
      <c r="AFD324" s="1"/>
      <c r="AFE324" s="1"/>
      <c r="AFF324" s="1"/>
      <c r="AFG324" s="1"/>
      <c r="AFH324" s="1"/>
      <c r="AFI324" s="1"/>
      <c r="AFJ324" s="1"/>
      <c r="AFK324" s="1"/>
      <c r="AFL324" s="1"/>
      <c r="AFM324" s="1"/>
      <c r="AFN324" s="1"/>
      <c r="AFO324" s="1"/>
      <c r="AFP324" s="1"/>
      <c r="AFQ324" s="1"/>
      <c r="AFR324" s="1"/>
      <c r="AFS324" s="1"/>
      <c r="AFT324" s="1"/>
      <c r="AFU324" s="1"/>
      <c r="AFV324" s="1"/>
      <c r="AFW324" s="1"/>
      <c r="AFX324" s="1"/>
      <c r="AFY324" s="1"/>
      <c r="AFZ324" s="1"/>
      <c r="AGA324" s="1"/>
      <c r="AGB324" s="1"/>
      <c r="AGC324" s="1"/>
      <c r="AGD324" s="1"/>
      <c r="AGE324" s="1"/>
      <c r="AGF324" s="1"/>
      <c r="AGG324" s="1"/>
      <c r="AGH324" s="1"/>
      <c r="AGI324" s="1"/>
      <c r="AGJ324" s="1"/>
      <c r="AGK324" s="1"/>
      <c r="AGL324" s="1"/>
      <c r="AGM324" s="1"/>
      <c r="AGN324" s="1"/>
      <c r="AGO324" s="1"/>
      <c r="AGP324" s="1"/>
      <c r="AGQ324" s="1"/>
      <c r="AGR324" s="1"/>
      <c r="AGS324" s="1"/>
      <c r="AGT324" s="1"/>
      <c r="AGU324" s="1"/>
      <c r="AGV324" s="1"/>
      <c r="AGW324" s="1"/>
      <c r="AGX324" s="1"/>
      <c r="AGY324" s="1"/>
      <c r="AGZ324" s="1"/>
      <c r="AHA324" s="1"/>
      <c r="AHB324" s="1"/>
      <c r="AHC324" s="1"/>
      <c r="AHD324" s="1"/>
      <c r="AHE324" s="1"/>
      <c r="AHF324" s="1"/>
      <c r="AHG324" s="1"/>
      <c r="AHH324" s="1"/>
      <c r="AHI324" s="1"/>
      <c r="AHJ324" s="1"/>
      <c r="AHK324" s="1"/>
      <c r="AHL324" s="1"/>
      <c r="AHM324" s="1"/>
      <c r="AHN324" s="1"/>
      <c r="AHO324" s="1"/>
      <c r="AHP324" s="1"/>
      <c r="AHQ324" s="1"/>
      <c r="AHR324" s="1"/>
      <c r="AHS324" s="1"/>
      <c r="AHT324" s="1"/>
      <c r="AHU324" s="1"/>
      <c r="AHV324" s="1"/>
      <c r="AHW324" s="1"/>
      <c r="AHX324" s="1"/>
      <c r="AHY324" s="1"/>
      <c r="AHZ324" s="1"/>
      <c r="AIA324" s="1"/>
      <c r="AIB324" s="1"/>
      <c r="AIC324" s="1"/>
      <c r="AID324" s="1"/>
      <c r="AIE324" s="1"/>
      <c r="AIF324" s="1"/>
      <c r="AIG324" s="1"/>
      <c r="AIH324" s="1"/>
      <c r="AII324" s="1"/>
      <c r="AIJ324" s="1"/>
      <c r="AIK324" s="1"/>
      <c r="AIL324" s="1"/>
      <c r="AIM324" s="1"/>
      <c r="AIN324" s="1"/>
      <c r="AIO324" s="1"/>
      <c r="AIP324" s="1"/>
      <c r="AIQ324" s="1"/>
      <c r="AIR324" s="1"/>
      <c r="AIS324" s="1"/>
      <c r="AIT324" s="1"/>
      <c r="AIU324" s="1"/>
      <c r="AIV324" s="1"/>
      <c r="AIW324" s="1"/>
      <c r="AIX324" s="1"/>
      <c r="AIY324" s="1"/>
      <c r="AIZ324" s="1"/>
      <c r="AJA324" s="1"/>
      <c r="AJB324" s="1"/>
      <c r="AJC324" s="1"/>
      <c r="AJD324" s="1"/>
      <c r="AJE324" s="1"/>
      <c r="AJF324" s="1"/>
      <c r="AJG324" s="1"/>
      <c r="AJH324" s="1"/>
      <c r="AJI324" s="1"/>
      <c r="AJJ324" s="1"/>
      <c r="AJK324" s="1"/>
      <c r="AJL324" s="1"/>
      <c r="AJM324" s="1"/>
      <c r="AJN324" s="1"/>
      <c r="AJO324" s="1"/>
      <c r="AJP324" s="1"/>
      <c r="AJQ324" s="1"/>
      <c r="AJR324" s="1"/>
      <c r="AJS324" s="1"/>
      <c r="AJT324" s="1"/>
      <c r="AJU324" s="1"/>
      <c r="AJV324" s="1"/>
      <c r="AJW324" s="1"/>
      <c r="AJX324" s="1"/>
      <c r="AJY324" s="1"/>
      <c r="AJZ324" s="1"/>
      <c r="AKA324" s="1"/>
      <c r="AKB324" s="1"/>
      <c r="AKC324" s="1"/>
      <c r="AKD324" s="1"/>
      <c r="AKE324" s="1"/>
      <c r="AKF324" s="1"/>
      <c r="AKG324" s="1"/>
      <c r="AKH324" s="1"/>
      <c r="AKI324" s="1"/>
      <c r="AKJ324" s="1"/>
      <c r="AKK324" s="1"/>
      <c r="AKL324" s="1"/>
      <c r="AKM324" s="1"/>
      <c r="AKN324" s="1"/>
      <c r="AKO324" s="1"/>
      <c r="AKP324" s="1"/>
      <c r="AKQ324" s="1"/>
      <c r="AKR324" s="1"/>
      <c r="AKS324" s="1"/>
      <c r="AKT324" s="1"/>
      <c r="AKU324" s="1"/>
      <c r="AKV324" s="1"/>
      <c r="AKW324" s="1"/>
      <c r="AKX324" s="1"/>
      <c r="AKY324" s="1"/>
      <c r="AKZ324" s="1"/>
      <c r="ALA324" s="1"/>
      <c r="ALB324" s="1"/>
      <c r="ALC324" s="1"/>
      <c r="ALD324" s="1"/>
      <c r="ALE324" s="1"/>
      <c r="ALF324" s="1"/>
      <c r="ALG324" s="1"/>
      <c r="ALH324" s="1"/>
      <c r="ALI324" s="1"/>
      <c r="ALJ324" s="1"/>
      <c r="ALK324" s="1"/>
      <c r="ALL324" s="1"/>
      <c r="ALM324" s="1"/>
      <c r="ALN324" s="1"/>
      <c r="ALO324" s="1"/>
      <c r="ALP324" s="1"/>
      <c r="ALQ324" s="1"/>
      <c r="ALR324" s="1"/>
      <c r="ALS324" s="1"/>
      <c r="ALT324" s="1"/>
      <c r="ALU324" s="1"/>
      <c r="ALV324" s="1"/>
      <c r="ALW324" s="1"/>
      <c r="ALX324" s="1"/>
      <c r="ALY324" s="1"/>
      <c r="ALZ324" s="1"/>
      <c r="AMA324" s="1"/>
      <c r="AMB324" s="1"/>
      <c r="AMC324" s="1"/>
      <c r="AMD324" s="1"/>
      <c r="AME324" s="1"/>
      <c r="AMF324" s="1"/>
      <c r="AMG324" s="1"/>
      <c r="AMH324" s="1"/>
      <c r="AMI324" s="1"/>
      <c r="AMJ324" s="1"/>
      <c r="AMK324" s="1"/>
      <c r="AML324" s="1"/>
      <c r="AMM324" s="1"/>
      <c r="AMN324" s="1"/>
      <c r="AMO324" s="1"/>
    </row>
    <row r="325" spans="1:1030" x14ac:dyDescent="0.2">
      <c r="A325" s="3" t="str">
        <f>CONCATENATE(B325,"_",C325)</f>
        <v>opsd_human_5DGY</v>
      </c>
      <c r="B325" s="3" t="s">
        <v>338</v>
      </c>
      <c r="C325" s="3" t="s">
        <v>1428</v>
      </c>
      <c r="D325" s="3" t="str">
        <f>IFERROR(MID(VLOOKUP($B325,Seqs!$A:$B,2,0),E325,1),"")</f>
        <v>P</v>
      </c>
      <c r="E325" s="3">
        <v>34</v>
      </c>
      <c r="F325" s="3" t="str">
        <f>IFERROR(MID(VLOOKUP($B325,Seqs!$A:$B,2,0),G325,1),"")</f>
        <v>H</v>
      </c>
      <c r="G325" s="3">
        <v>65</v>
      </c>
      <c r="H325" s="3" t="str">
        <f>IFERROR(MID(VLOOKUP($B325,Seqs!$A:$B,2,0),I325,1),"")</f>
        <v>K</v>
      </c>
      <c r="I325" s="23">
        <v>66</v>
      </c>
      <c r="J325" s="3" t="str">
        <f>IFERROR(MID(VLOOKUP($B325,Seqs!$A:$B,2,0),K325,1),"")</f>
        <v>R</v>
      </c>
      <c r="K325" s="23">
        <v>69</v>
      </c>
      <c r="L325" s="3" t="str">
        <f>IFERROR(MID(VLOOKUP($B325,Seqs!$A:$B,2,0),M325,1),"")</f>
        <v>T</v>
      </c>
      <c r="M325" s="3">
        <v>70</v>
      </c>
      <c r="N325" s="3" t="str">
        <f>IFERROR(MID(VLOOKUP($B325,Seqs!$A:$B,2,0),O325,1),"")</f>
        <v>H</v>
      </c>
      <c r="O325" s="3">
        <v>100</v>
      </c>
      <c r="P325" s="3" t="str">
        <f>IFERROR(MID(VLOOKUP($B325,Seqs!$A:$B,2,0),Q325,1),"")</f>
        <v>Y</v>
      </c>
      <c r="Q325" s="3">
        <v>102</v>
      </c>
      <c r="R325" s="3" t="str">
        <f>IFERROR(MID(VLOOKUP($B325,Seqs!$A:$B,2,0),S325,1),"")</f>
        <v>F</v>
      </c>
      <c r="S325" s="3">
        <v>105</v>
      </c>
      <c r="T325" s="3" t="str">
        <f>IFERROR(MID(VLOOKUP($B325,Seqs!$A:$B,2,0),U325,1),"")</f>
        <v>G</v>
      </c>
      <c r="U325" s="3">
        <v>106</v>
      </c>
      <c r="V325" s="3" t="str">
        <f>IFERROR(MID(VLOOKUP($B325,Seqs!$A:$B,2,0),W325,1),"")</f>
        <v>K</v>
      </c>
      <c r="W325" s="3">
        <v>141</v>
      </c>
      <c r="X325" s="3" t="str">
        <f>IFERROR(MID(VLOOKUP($B325,Seqs!$A:$B,2,0),Y325,1),"")</f>
        <v>P</v>
      </c>
      <c r="Y325" s="3">
        <v>142</v>
      </c>
      <c r="Z325" s="3" t="str">
        <f>IFERROR(MID(VLOOKUP($B325,Seqs!$A:$B,2,0),AA325,1),"")</f>
        <v>F</v>
      </c>
      <c r="AA325" s="3">
        <v>148</v>
      </c>
      <c r="AB325" s="3" t="str">
        <f>IFERROR(MID(VLOOKUP($B325,Seqs!$A:$B,2,0),AC325,1),"")</f>
        <v>G</v>
      </c>
      <c r="AC325" s="3">
        <v>149</v>
      </c>
      <c r="AD325" s="3" t="str">
        <f>IFERROR(MID(VLOOKUP($B325,Seqs!$A:$B,2,0),AE325,1),"")</f>
        <v>A</v>
      </c>
      <c r="AE325" s="3">
        <v>173</v>
      </c>
      <c r="AF325" s="3" t="str">
        <f>IFERROR(MID(VLOOKUP($B325,Seqs!$A:$B,2,0),AG325,1),"")</f>
        <v>C</v>
      </c>
      <c r="AG325" s="3">
        <v>187</v>
      </c>
      <c r="AH325" s="3" t="str">
        <f>IFERROR(MID(VLOOKUP($B325,Seqs!$A:$B,2,0),AI325,1),"")</f>
        <v>I</v>
      </c>
      <c r="AI325" s="3">
        <v>189</v>
      </c>
      <c r="AJ325" s="3" t="str">
        <f>IFERROR(MID(VLOOKUP($B325,Seqs!$A:$B,2,0),AK325,1),"")</f>
        <v>N</v>
      </c>
      <c r="AK325" s="3">
        <v>199</v>
      </c>
      <c r="AL325" s="3" t="str">
        <f>IFERROR(MID(VLOOKUP($B325,Seqs!$A:$B,2,0),AM325,1),"")</f>
        <v>Q</v>
      </c>
      <c r="AM325" s="3">
        <v>237</v>
      </c>
      <c r="AN325" s="3" t="str">
        <f>IFERROR(MID(VLOOKUP($B325,Seqs!$A:$B,2,0),AO325,1),"")</f>
        <v>A</v>
      </c>
      <c r="AO325" s="3">
        <v>241</v>
      </c>
      <c r="AP325" s="3" t="str">
        <f>IFERROR(MID(VLOOKUP($B325,Seqs!$A:$B,2,0),AQ325,1),"")</f>
        <v>H</v>
      </c>
      <c r="AQ325" s="3">
        <v>278</v>
      </c>
      <c r="AR325" s="3" t="str">
        <f>IFERROR(MID(VLOOKUP($B325,Seqs!$A:$B,2,0),AS325,1),"")</f>
        <v>G</v>
      </c>
      <c r="AS325" s="3">
        <v>284</v>
      </c>
      <c r="AT325" s="3" t="str">
        <f>IFERROR(MID(VLOOKUP($B325,Seqs!$A:$B,2,0),AU325,1),"")</f>
        <v>M</v>
      </c>
      <c r="AU325" s="3">
        <v>309</v>
      </c>
      <c r="AV325" s="3" t="str">
        <f>IFERROR(MID(VLOOKUP($B325,Seqs!$A:$B,2,0),AW325,1),"")</f>
        <v>N</v>
      </c>
      <c r="AW325" s="3">
        <v>310</v>
      </c>
      <c r="AX325" s="3" t="str">
        <f>IFERROR(MID(VLOOKUP($B325,Seqs!$A:$B,2,0),AY325,1),"")</f>
        <v>C</v>
      </c>
      <c r="AY325" s="3">
        <v>322</v>
      </c>
      <c r="AZ325" s="77" t="str">
        <f>VLOOKUP(B325,Classification!A:D,2,0)</f>
        <v>A</v>
      </c>
      <c r="BA325" s="94" t="str">
        <f>VLOOKUP(B325,Classification!A:D,4,0)</f>
        <v>Opsins</v>
      </c>
      <c r="BB325" s="27" t="b">
        <f t="shared" si="1114"/>
        <v>1</v>
      </c>
      <c r="BC325" s="23">
        <f t="shared" si="1113"/>
        <v>258</v>
      </c>
      <c r="BD325" s="2" t="s">
        <v>23</v>
      </c>
      <c r="BE325" s="3" t="s">
        <v>1285</v>
      </c>
      <c r="BF325" s="118">
        <v>7.7</v>
      </c>
      <c r="BG325" s="49" t="s">
        <v>1427</v>
      </c>
      <c r="BH325" s="49" t="s">
        <v>1427</v>
      </c>
      <c r="BI325" s="1"/>
      <c r="BJ325" s="70" t="s">
        <v>1281</v>
      </c>
      <c r="BK325" s="57" t="s">
        <v>1281</v>
      </c>
      <c r="BL325" s="57" t="s">
        <v>1281</v>
      </c>
      <c r="BM325" s="57" t="s">
        <v>1281</v>
      </c>
      <c r="BN325" s="57" t="s">
        <v>1281</v>
      </c>
      <c r="BO325" s="57" t="s">
        <v>1281</v>
      </c>
      <c r="BP325" s="57" t="s">
        <v>1281</v>
      </c>
      <c r="BQ325" s="57" t="s">
        <v>1281</v>
      </c>
      <c r="BR325" s="57" t="s">
        <v>1281</v>
      </c>
      <c r="BS325" s="57" t="s">
        <v>1281</v>
      </c>
      <c r="BT325" s="57" t="s">
        <v>1281</v>
      </c>
      <c r="BU325" s="57" t="s">
        <v>1281</v>
      </c>
      <c r="BV325" s="70">
        <f>E325</f>
        <v>34</v>
      </c>
      <c r="BW325" s="71">
        <f>I325</f>
        <v>66</v>
      </c>
      <c r="BX325" s="72">
        <f>M325</f>
        <v>70</v>
      </c>
      <c r="BY325" s="71">
        <f>Q325</f>
        <v>102</v>
      </c>
      <c r="BZ325" s="72">
        <f>U325</f>
        <v>106</v>
      </c>
      <c r="CA325" s="71">
        <f>Y325</f>
        <v>142</v>
      </c>
      <c r="CB325" s="72">
        <f>AC325</f>
        <v>149</v>
      </c>
      <c r="CC325" s="71">
        <f>AG325</f>
        <v>187</v>
      </c>
      <c r="CD325" s="72">
        <f>AK325</f>
        <v>199</v>
      </c>
      <c r="CE325" s="71">
        <f>AO325</f>
        <v>241</v>
      </c>
      <c r="CF325" s="72">
        <f>AS325</f>
        <v>284</v>
      </c>
      <c r="CG325" s="71">
        <f>AW325</f>
        <v>310</v>
      </c>
      <c r="CH325" s="70">
        <f>G325</f>
        <v>65</v>
      </c>
      <c r="CI325" s="71">
        <f>K325</f>
        <v>69</v>
      </c>
      <c r="CJ325" s="72">
        <f>O325</f>
        <v>100</v>
      </c>
      <c r="CK325" s="72">
        <f>S325</f>
        <v>105</v>
      </c>
      <c r="CL325" s="72">
        <f>W325</f>
        <v>141</v>
      </c>
      <c r="CM325" s="72">
        <f>AA325</f>
        <v>148</v>
      </c>
      <c r="CN325" s="72">
        <f>AE325</f>
        <v>173</v>
      </c>
      <c r="CO325" s="72">
        <f>AI325</f>
        <v>189</v>
      </c>
      <c r="CP325" s="72">
        <f>AM325</f>
        <v>237</v>
      </c>
      <c r="CQ325" s="72">
        <f>AQ325</f>
        <v>278</v>
      </c>
      <c r="CR325" s="72">
        <f>AU325</f>
        <v>309</v>
      </c>
      <c r="CS325" s="72">
        <f>AY325</f>
        <v>322</v>
      </c>
      <c r="CT325" s="23">
        <f>M325-K325</f>
        <v>1</v>
      </c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  <c r="QM325" s="1"/>
      <c r="QN325" s="1"/>
      <c r="QO325" s="1"/>
      <c r="QP325" s="1"/>
      <c r="QQ325" s="1"/>
      <c r="QR325" s="1"/>
      <c r="QS325" s="1"/>
      <c r="QT325" s="1"/>
      <c r="QU325" s="1"/>
      <c r="QV325" s="1"/>
      <c r="QW325" s="1"/>
      <c r="QX325" s="1"/>
      <c r="QY325" s="1"/>
      <c r="QZ325" s="1"/>
      <c r="RA325" s="1"/>
      <c r="RB325" s="1"/>
      <c r="RC325" s="1"/>
      <c r="RD325" s="1"/>
      <c r="RE325" s="1"/>
      <c r="RF325" s="1"/>
      <c r="RG325" s="1"/>
      <c r="RH325" s="1"/>
      <c r="RI325" s="1"/>
      <c r="RJ325" s="1"/>
      <c r="RK325" s="1"/>
      <c r="RL325" s="1"/>
      <c r="RM325" s="1"/>
      <c r="RN325" s="1"/>
      <c r="RO325" s="1"/>
      <c r="RP325" s="1"/>
      <c r="RQ325" s="1"/>
      <c r="RR325" s="1"/>
      <c r="RS325" s="1"/>
      <c r="RT325" s="1"/>
      <c r="RU325" s="1"/>
      <c r="RV325" s="1"/>
      <c r="RW325" s="1"/>
      <c r="RX325" s="1"/>
      <c r="RY325" s="1"/>
      <c r="RZ325" s="1"/>
      <c r="SA325" s="1"/>
      <c r="SB325" s="1"/>
      <c r="SC325" s="1"/>
      <c r="SD325" s="1"/>
      <c r="SE325" s="1"/>
      <c r="SF325" s="1"/>
      <c r="SG325" s="1"/>
      <c r="SH325" s="1"/>
      <c r="SI325" s="1"/>
      <c r="SJ325" s="1"/>
      <c r="SK325" s="1"/>
      <c r="SL325" s="1"/>
      <c r="SM325" s="1"/>
      <c r="SN325" s="1"/>
      <c r="SO325" s="1"/>
      <c r="SP325" s="1"/>
      <c r="SQ325" s="1"/>
      <c r="SR325" s="1"/>
      <c r="SS325" s="1"/>
      <c r="ST325" s="1"/>
      <c r="SU325" s="1"/>
      <c r="SV325" s="1"/>
      <c r="SW325" s="1"/>
      <c r="SX325" s="1"/>
      <c r="SY325" s="1"/>
      <c r="SZ325" s="1"/>
      <c r="TA325" s="1"/>
      <c r="TB325" s="1"/>
      <c r="TC325" s="1"/>
      <c r="TD325" s="1"/>
      <c r="TE325" s="1"/>
      <c r="TF325" s="1"/>
      <c r="TG325" s="1"/>
      <c r="TH325" s="1"/>
      <c r="TI325" s="1"/>
      <c r="TJ325" s="1"/>
      <c r="TK325" s="1"/>
      <c r="TL325" s="1"/>
      <c r="TM325" s="1"/>
      <c r="TN325" s="1"/>
      <c r="TO325" s="1"/>
      <c r="TP325" s="1"/>
      <c r="TQ325" s="1"/>
      <c r="TR325" s="1"/>
      <c r="TS325" s="1"/>
      <c r="TT325" s="1"/>
      <c r="TU325" s="1"/>
      <c r="TV325" s="1"/>
      <c r="TW325" s="1"/>
      <c r="TX325" s="1"/>
      <c r="TY325" s="1"/>
      <c r="TZ325" s="1"/>
      <c r="UA325" s="1"/>
      <c r="UB325" s="1"/>
      <c r="UC325" s="1"/>
      <c r="UD325" s="1"/>
      <c r="UE325" s="1"/>
      <c r="UF325" s="1"/>
      <c r="UG325" s="1"/>
      <c r="UH325" s="1"/>
      <c r="UI325" s="1"/>
      <c r="UJ325" s="1"/>
      <c r="UK325" s="1"/>
      <c r="UL325" s="1"/>
      <c r="UM325" s="1"/>
      <c r="UN325" s="1"/>
      <c r="UO325" s="1"/>
      <c r="UP325" s="1"/>
      <c r="UQ325" s="1"/>
      <c r="UR325" s="1"/>
      <c r="US325" s="1"/>
      <c r="UT325" s="1"/>
      <c r="UU325" s="1"/>
      <c r="UV325" s="1"/>
      <c r="UW325" s="1"/>
      <c r="UX325" s="1"/>
      <c r="UY325" s="1"/>
      <c r="UZ325" s="1"/>
      <c r="VA325" s="1"/>
      <c r="VB325" s="1"/>
      <c r="VC325" s="1"/>
      <c r="VD325" s="1"/>
      <c r="VE325" s="1"/>
      <c r="VF325" s="1"/>
      <c r="VG325" s="1"/>
      <c r="VH325" s="1"/>
      <c r="VI325" s="1"/>
      <c r="VJ325" s="1"/>
      <c r="VK325" s="1"/>
      <c r="VL325" s="1"/>
      <c r="VM325" s="1"/>
      <c r="VN325" s="1"/>
      <c r="VO325" s="1"/>
      <c r="VP325" s="1"/>
      <c r="VQ325" s="1"/>
      <c r="VR325" s="1"/>
      <c r="VS325" s="1"/>
      <c r="VT325" s="1"/>
      <c r="VU325" s="1"/>
      <c r="VV325" s="1"/>
      <c r="VW325" s="1"/>
      <c r="VX325" s="1"/>
      <c r="VY325" s="1"/>
      <c r="VZ325" s="1"/>
      <c r="WA325" s="1"/>
      <c r="WB325" s="1"/>
      <c r="WC325" s="1"/>
      <c r="WD325" s="1"/>
      <c r="WE325" s="1"/>
      <c r="WF325" s="1"/>
      <c r="WG325" s="1"/>
      <c r="WH325" s="1"/>
      <c r="WI325" s="1"/>
      <c r="WJ325" s="1"/>
      <c r="WK325" s="1"/>
      <c r="WL325" s="1"/>
      <c r="WM325" s="1"/>
      <c r="WN325" s="1"/>
      <c r="WO325" s="1"/>
      <c r="WP325" s="1"/>
      <c r="WQ325" s="1"/>
      <c r="WR325" s="1"/>
      <c r="WS325" s="1"/>
      <c r="WT325" s="1"/>
      <c r="WU325" s="1"/>
      <c r="WV325" s="1"/>
      <c r="WW325" s="1"/>
      <c r="WX325" s="1"/>
      <c r="WY325" s="1"/>
      <c r="WZ325" s="1"/>
      <c r="XA325" s="1"/>
      <c r="XB325" s="1"/>
      <c r="XC325" s="1"/>
      <c r="XD325" s="1"/>
      <c r="XE325" s="1"/>
      <c r="XF325" s="1"/>
      <c r="XG325" s="1"/>
      <c r="XH325" s="1"/>
      <c r="XI325" s="1"/>
      <c r="XJ325" s="1"/>
      <c r="XK325" s="1"/>
      <c r="XL325" s="1"/>
      <c r="XM325" s="1"/>
      <c r="XN325" s="1"/>
      <c r="XO325" s="1"/>
      <c r="XP325" s="1"/>
      <c r="XQ325" s="1"/>
      <c r="XR325" s="1"/>
      <c r="XS325" s="1"/>
      <c r="XT325" s="1"/>
      <c r="XU325" s="1"/>
      <c r="XV325" s="1"/>
      <c r="XW325" s="1"/>
      <c r="XX325" s="1"/>
      <c r="XY325" s="1"/>
      <c r="XZ325" s="1"/>
      <c r="YA325" s="1"/>
      <c r="YB325" s="1"/>
      <c r="YC325" s="1"/>
      <c r="YD325" s="1"/>
      <c r="YE325" s="1"/>
      <c r="YF325" s="1"/>
      <c r="YG325" s="1"/>
      <c r="YH325" s="1"/>
      <c r="YI325" s="1"/>
      <c r="YJ325" s="1"/>
      <c r="YK325" s="1"/>
      <c r="YL325" s="1"/>
      <c r="YM325" s="1"/>
      <c r="YN325" s="1"/>
      <c r="YO325" s="1"/>
      <c r="YP325" s="1"/>
      <c r="YQ325" s="1"/>
      <c r="YR325" s="1"/>
      <c r="YS325" s="1"/>
      <c r="YT325" s="1"/>
      <c r="YU325" s="1"/>
      <c r="YV325" s="1"/>
      <c r="YW325" s="1"/>
      <c r="YX325" s="1"/>
      <c r="YY325" s="1"/>
      <c r="YZ325" s="1"/>
      <c r="ZA325" s="1"/>
      <c r="ZB325" s="1"/>
      <c r="ZC325" s="1"/>
      <c r="ZD325" s="1"/>
      <c r="ZE325" s="1"/>
      <c r="ZF325" s="1"/>
      <c r="ZG325" s="1"/>
      <c r="ZH325" s="1"/>
      <c r="ZI325" s="1"/>
      <c r="ZJ325" s="1"/>
      <c r="ZK325" s="1"/>
      <c r="ZL325" s="1"/>
      <c r="ZM325" s="1"/>
      <c r="ZN325" s="1"/>
      <c r="ZO325" s="1"/>
      <c r="ZP325" s="1"/>
      <c r="ZQ325" s="1"/>
      <c r="ZR325" s="1"/>
      <c r="ZS325" s="1"/>
      <c r="ZT325" s="1"/>
      <c r="ZU325" s="1"/>
      <c r="ZV325" s="1"/>
      <c r="ZW325" s="1"/>
      <c r="ZX325" s="1"/>
      <c r="ZY325" s="1"/>
      <c r="ZZ325" s="1"/>
      <c r="AAA325" s="1"/>
      <c r="AAB325" s="1"/>
      <c r="AAC325" s="1"/>
      <c r="AAD325" s="1"/>
      <c r="AAE325" s="1"/>
      <c r="AAF325" s="1"/>
      <c r="AAG325" s="1"/>
      <c r="AAH325" s="1"/>
      <c r="AAI325" s="1"/>
      <c r="AAJ325" s="1"/>
      <c r="AAK325" s="1"/>
      <c r="AAL325" s="1"/>
      <c r="AAM325" s="1"/>
      <c r="AAN325" s="1"/>
      <c r="AAO325" s="1"/>
      <c r="AAP325" s="1"/>
      <c r="AAQ325" s="1"/>
      <c r="AAR325" s="1"/>
      <c r="AAS325" s="1"/>
      <c r="AAT325" s="1"/>
      <c r="AAU325" s="1"/>
      <c r="AAV325" s="1"/>
      <c r="AAW325" s="1"/>
      <c r="AAX325" s="1"/>
      <c r="AAY325" s="1"/>
      <c r="AAZ325" s="1"/>
      <c r="ABA325" s="1"/>
      <c r="ABB325" s="1"/>
      <c r="ABC325" s="1"/>
      <c r="ABD325" s="1"/>
      <c r="ABE325" s="1"/>
      <c r="ABF325" s="1"/>
      <c r="ABG325" s="1"/>
      <c r="ABH325" s="1"/>
      <c r="ABI325" s="1"/>
      <c r="ABJ325" s="1"/>
      <c r="ABK325" s="1"/>
      <c r="ABL325" s="1"/>
      <c r="ABM325" s="1"/>
      <c r="ABN325" s="1"/>
      <c r="ABO325" s="1"/>
      <c r="ABP325" s="1"/>
      <c r="ABQ325" s="1"/>
      <c r="ABR325" s="1"/>
      <c r="ABS325" s="1"/>
      <c r="ABT325" s="1"/>
      <c r="ABU325" s="1"/>
      <c r="ABV325" s="1"/>
      <c r="ABW325" s="1"/>
      <c r="ABX325" s="1"/>
      <c r="ABY325" s="1"/>
      <c r="ABZ325" s="1"/>
      <c r="ACA325" s="1"/>
      <c r="ACB325" s="1"/>
      <c r="ACC325" s="1"/>
      <c r="ACD325" s="1"/>
      <c r="ACE325" s="1"/>
      <c r="ACF325" s="1"/>
      <c r="ACG325" s="1"/>
      <c r="ACH325" s="1"/>
      <c r="ACI325" s="1"/>
      <c r="ACJ325" s="1"/>
      <c r="ACK325" s="1"/>
      <c r="ACL325" s="1"/>
      <c r="ACM325" s="1"/>
      <c r="ACN325" s="1"/>
      <c r="ACO325" s="1"/>
      <c r="ACP325" s="1"/>
      <c r="ACQ325" s="1"/>
      <c r="ACR325" s="1"/>
      <c r="ACS325" s="1"/>
      <c r="ACT325" s="1"/>
      <c r="ACU325" s="1"/>
      <c r="ACV325" s="1"/>
      <c r="ACW325" s="1"/>
      <c r="ACX325" s="1"/>
      <c r="ACY325" s="1"/>
      <c r="ACZ325" s="1"/>
      <c r="ADA325" s="1"/>
      <c r="ADB325" s="1"/>
      <c r="ADC325" s="1"/>
      <c r="ADD325" s="1"/>
      <c r="ADE325" s="1"/>
      <c r="ADF325" s="1"/>
      <c r="ADG325" s="1"/>
      <c r="ADH325" s="1"/>
      <c r="ADI325" s="1"/>
      <c r="ADJ325" s="1"/>
      <c r="ADK325" s="1"/>
      <c r="ADL325" s="1"/>
      <c r="ADM325" s="1"/>
      <c r="ADN325" s="1"/>
      <c r="ADO325" s="1"/>
      <c r="ADP325" s="1"/>
      <c r="ADQ325" s="1"/>
      <c r="ADR325" s="1"/>
      <c r="ADS325" s="1"/>
      <c r="ADT325" s="1"/>
      <c r="ADU325" s="1"/>
      <c r="ADV325" s="1"/>
      <c r="ADW325" s="1"/>
      <c r="ADX325" s="1"/>
      <c r="ADY325" s="1"/>
      <c r="ADZ325" s="1"/>
      <c r="AEA325" s="1"/>
      <c r="AEB325" s="1"/>
      <c r="AEC325" s="1"/>
      <c r="AED325" s="1"/>
      <c r="AEE325" s="1"/>
      <c r="AEF325" s="1"/>
      <c r="AEG325" s="1"/>
      <c r="AEH325" s="1"/>
      <c r="AEI325" s="1"/>
      <c r="AEJ325" s="1"/>
      <c r="AEK325" s="1"/>
      <c r="AEL325" s="1"/>
      <c r="AEM325" s="1"/>
      <c r="AEN325" s="1"/>
      <c r="AEO325" s="1"/>
      <c r="AEP325" s="1"/>
      <c r="AEQ325" s="1"/>
      <c r="AER325" s="1"/>
      <c r="AES325" s="1"/>
      <c r="AET325" s="1"/>
      <c r="AEU325" s="1"/>
      <c r="AEV325" s="1"/>
      <c r="AEW325" s="1"/>
      <c r="AEX325" s="1"/>
      <c r="AEY325" s="1"/>
      <c r="AEZ325" s="1"/>
      <c r="AFA325" s="1"/>
      <c r="AFB325" s="1"/>
      <c r="AFC325" s="1"/>
      <c r="AFD325" s="1"/>
      <c r="AFE325" s="1"/>
      <c r="AFF325" s="1"/>
      <c r="AFG325" s="1"/>
      <c r="AFH325" s="1"/>
      <c r="AFI325" s="1"/>
      <c r="AFJ325" s="1"/>
      <c r="AFK325" s="1"/>
      <c r="AFL325" s="1"/>
      <c r="AFM325" s="1"/>
      <c r="AFN325" s="1"/>
      <c r="AFO325" s="1"/>
      <c r="AFP325" s="1"/>
      <c r="AFQ325" s="1"/>
      <c r="AFR325" s="1"/>
      <c r="AFS325" s="1"/>
      <c r="AFT325" s="1"/>
      <c r="AFU325" s="1"/>
      <c r="AFV325" s="1"/>
      <c r="AFW325" s="1"/>
      <c r="AFX325" s="1"/>
      <c r="AFY325" s="1"/>
      <c r="AFZ325" s="1"/>
      <c r="AGA325" s="1"/>
      <c r="AGB325" s="1"/>
      <c r="AGC325" s="1"/>
      <c r="AGD325" s="1"/>
      <c r="AGE325" s="1"/>
      <c r="AGF325" s="1"/>
      <c r="AGG325" s="1"/>
      <c r="AGH325" s="1"/>
      <c r="AGI325" s="1"/>
      <c r="AGJ325" s="1"/>
      <c r="AGK325" s="1"/>
      <c r="AGL325" s="1"/>
      <c r="AGM325" s="1"/>
      <c r="AGN325" s="1"/>
      <c r="AGO325" s="1"/>
      <c r="AGP325" s="1"/>
      <c r="AGQ325" s="1"/>
      <c r="AGR325" s="1"/>
      <c r="AGS325" s="1"/>
      <c r="AGT325" s="1"/>
      <c r="AGU325" s="1"/>
      <c r="AGV325" s="1"/>
      <c r="AGW325" s="1"/>
      <c r="AGX325" s="1"/>
      <c r="AGY325" s="1"/>
      <c r="AGZ325" s="1"/>
      <c r="AHA325" s="1"/>
      <c r="AHB325" s="1"/>
      <c r="AHC325" s="1"/>
      <c r="AHD325" s="1"/>
      <c r="AHE325" s="1"/>
      <c r="AHF325" s="1"/>
      <c r="AHG325" s="1"/>
      <c r="AHH325" s="1"/>
      <c r="AHI325" s="1"/>
      <c r="AHJ325" s="1"/>
      <c r="AHK325" s="1"/>
      <c r="AHL325" s="1"/>
      <c r="AHM325" s="1"/>
      <c r="AHN325" s="1"/>
      <c r="AHO325" s="1"/>
      <c r="AHP325" s="1"/>
      <c r="AHQ325" s="1"/>
      <c r="AHR325" s="1"/>
      <c r="AHS325" s="1"/>
      <c r="AHT325" s="1"/>
      <c r="AHU325" s="1"/>
      <c r="AHV325" s="1"/>
      <c r="AHW325" s="1"/>
      <c r="AHX325" s="1"/>
      <c r="AHY325" s="1"/>
      <c r="AHZ325" s="1"/>
      <c r="AIA325" s="1"/>
      <c r="AIB325" s="1"/>
      <c r="AIC325" s="1"/>
      <c r="AID325" s="1"/>
      <c r="AIE325" s="1"/>
      <c r="AIF325" s="1"/>
      <c r="AIG325" s="1"/>
      <c r="AIH325" s="1"/>
      <c r="AII325" s="1"/>
      <c r="AIJ325" s="1"/>
      <c r="AIK325" s="1"/>
      <c r="AIL325" s="1"/>
      <c r="AIM325" s="1"/>
      <c r="AIN325" s="1"/>
      <c r="AIO325" s="1"/>
      <c r="AIP325" s="1"/>
      <c r="AIQ325" s="1"/>
      <c r="AIR325" s="1"/>
      <c r="AIS325" s="1"/>
      <c r="AIT325" s="1"/>
      <c r="AIU325" s="1"/>
      <c r="AIV325" s="1"/>
      <c r="AIW325" s="1"/>
      <c r="AIX325" s="1"/>
      <c r="AIY325" s="1"/>
      <c r="AIZ325" s="1"/>
      <c r="AJA325" s="1"/>
      <c r="AJB325" s="1"/>
      <c r="AJC325" s="1"/>
      <c r="AJD325" s="1"/>
      <c r="AJE325" s="1"/>
      <c r="AJF325" s="1"/>
      <c r="AJG325" s="1"/>
      <c r="AJH325" s="1"/>
      <c r="AJI325" s="1"/>
      <c r="AJJ325" s="1"/>
      <c r="AJK325" s="1"/>
      <c r="AJL325" s="1"/>
      <c r="AJM325" s="1"/>
      <c r="AJN325" s="1"/>
      <c r="AJO325" s="1"/>
      <c r="AJP325" s="1"/>
      <c r="AJQ325" s="1"/>
      <c r="AJR325" s="1"/>
      <c r="AJS325" s="1"/>
      <c r="AJT325" s="1"/>
      <c r="AJU325" s="1"/>
      <c r="AJV325" s="1"/>
      <c r="AJW325" s="1"/>
      <c r="AJX325" s="1"/>
      <c r="AJY325" s="1"/>
      <c r="AJZ325" s="1"/>
      <c r="AKA325" s="1"/>
      <c r="AKB325" s="1"/>
      <c r="AKC325" s="1"/>
      <c r="AKD325" s="1"/>
      <c r="AKE325" s="1"/>
      <c r="AKF325" s="1"/>
      <c r="AKG325" s="1"/>
      <c r="AKH325" s="1"/>
      <c r="AKI325" s="1"/>
      <c r="AKJ325" s="1"/>
      <c r="AKK325" s="1"/>
      <c r="AKL325" s="1"/>
      <c r="AKM325" s="1"/>
      <c r="AKN325" s="1"/>
      <c r="AKO325" s="1"/>
      <c r="AKP325" s="1"/>
      <c r="AKQ325" s="1"/>
      <c r="AKR325" s="1"/>
      <c r="AKS325" s="1"/>
      <c r="AKT325" s="1"/>
      <c r="AKU325" s="1"/>
      <c r="AKV325" s="1"/>
      <c r="AKW325" s="1"/>
      <c r="AKX325" s="1"/>
      <c r="AKY325" s="1"/>
      <c r="AKZ325" s="1"/>
      <c r="ALA325" s="1"/>
      <c r="ALB325" s="1"/>
      <c r="ALC325" s="1"/>
      <c r="ALD325" s="1"/>
      <c r="ALE325" s="1"/>
      <c r="ALF325" s="1"/>
      <c r="ALG325" s="1"/>
      <c r="ALH325" s="1"/>
      <c r="ALI325" s="1"/>
      <c r="ALJ325" s="1"/>
      <c r="ALK325" s="1"/>
      <c r="ALL325" s="1"/>
      <c r="ALM325" s="1"/>
      <c r="ALN325" s="1"/>
      <c r="ALO325" s="1"/>
      <c r="ALP325" s="1"/>
      <c r="ALQ325" s="1"/>
      <c r="ALR325" s="1"/>
      <c r="ALS325" s="1"/>
      <c r="ALT325" s="1"/>
      <c r="ALU325" s="1"/>
      <c r="ALV325" s="1"/>
      <c r="ALW325" s="1"/>
      <c r="ALX325" s="1"/>
      <c r="ALY325" s="1"/>
      <c r="ALZ325" s="1"/>
      <c r="AMA325" s="1"/>
      <c r="AMB325" s="1"/>
      <c r="AMC325" s="1"/>
      <c r="AMD325" s="1"/>
      <c r="AME325" s="1"/>
      <c r="AMF325" s="1"/>
      <c r="AMG325" s="1"/>
      <c r="AMH325" s="1"/>
      <c r="AMI325" s="1"/>
      <c r="AMJ325" s="1"/>
      <c r="AMK325" s="1"/>
      <c r="AML325" s="1"/>
      <c r="AMM325" s="1"/>
      <c r="AMN325" s="1"/>
      <c r="AMO325" s="1"/>
    </row>
    <row r="326" spans="1:1030" x14ac:dyDescent="0.2">
      <c r="A326" s="3" t="str">
        <f>CONCATENATE(B326,"_",C326)</f>
        <v>opsd_human_5W0P</v>
      </c>
      <c r="B326" s="3" t="s">
        <v>338</v>
      </c>
      <c r="C326" s="3" t="s">
        <v>1426</v>
      </c>
      <c r="D326" s="3" t="str">
        <f>IFERROR(MID(VLOOKUP($B326,Seqs!$A:$B,2,0),E326,1),"")</f>
        <v>P</v>
      </c>
      <c r="E326" s="3">
        <v>34</v>
      </c>
      <c r="F326" s="3" t="str">
        <f>IFERROR(MID(VLOOKUP($B326,Seqs!$A:$B,2,0),G326,1),"")</f>
        <v>H</v>
      </c>
      <c r="G326" s="3">
        <v>65</v>
      </c>
      <c r="H326" s="3" t="str">
        <f>IFERROR(MID(VLOOKUP($B326,Seqs!$A:$B,2,0),I326,1),"")</f>
        <v>K</v>
      </c>
      <c r="I326" s="23">
        <v>66</v>
      </c>
      <c r="J326" s="3" t="str">
        <f>IFERROR(MID(VLOOKUP($B326,Seqs!$A:$B,2,0),K326,1),"")</f>
        <v>R</v>
      </c>
      <c r="K326" s="23">
        <v>69</v>
      </c>
      <c r="L326" s="3" t="str">
        <f>IFERROR(MID(VLOOKUP($B326,Seqs!$A:$B,2,0),M326,1),"")</f>
        <v>T</v>
      </c>
      <c r="M326" s="3">
        <v>70</v>
      </c>
      <c r="N326" s="3" t="str">
        <f>IFERROR(MID(VLOOKUP($B326,Seqs!$A:$B,2,0),O326,1),"")</f>
        <v>H</v>
      </c>
      <c r="O326" s="3">
        <v>100</v>
      </c>
      <c r="P326" s="3" t="str">
        <f>IFERROR(MID(VLOOKUP($B326,Seqs!$A:$B,2,0),Q326,1),"")</f>
        <v>Y</v>
      </c>
      <c r="Q326" s="3">
        <v>102</v>
      </c>
      <c r="R326" s="3" t="str">
        <f>IFERROR(MID(VLOOKUP($B326,Seqs!$A:$B,2,0),S326,1),"")</f>
        <v>F</v>
      </c>
      <c r="S326" s="3">
        <v>105</v>
      </c>
      <c r="T326" s="3" t="str">
        <f>IFERROR(MID(VLOOKUP($B326,Seqs!$A:$B,2,0),U326,1),"")</f>
        <v>G</v>
      </c>
      <c r="U326" s="3">
        <v>106</v>
      </c>
      <c r="V326" s="3" t="str">
        <f>IFERROR(MID(VLOOKUP($B326,Seqs!$A:$B,2,0),W326,1),"")</f>
        <v>K</v>
      </c>
      <c r="W326" s="3">
        <v>141</v>
      </c>
      <c r="X326" s="3" t="str">
        <f>IFERROR(MID(VLOOKUP($B326,Seqs!$A:$B,2,0),Y326,1),"")</f>
        <v>P</v>
      </c>
      <c r="Y326" s="3">
        <v>142</v>
      </c>
      <c r="Z326" s="3" t="str">
        <f>IFERROR(MID(VLOOKUP($B326,Seqs!$A:$B,2,0),AA326,1),"")</f>
        <v>F</v>
      </c>
      <c r="AA326" s="3">
        <v>148</v>
      </c>
      <c r="AB326" s="3" t="str">
        <f>IFERROR(MID(VLOOKUP($B326,Seqs!$A:$B,2,0),AC326,1),"")</f>
        <v>G</v>
      </c>
      <c r="AC326" s="3">
        <v>149</v>
      </c>
      <c r="AD326" s="3" t="str">
        <f>IFERROR(MID(VLOOKUP($B326,Seqs!$A:$B,2,0),AE326,1),"")</f>
        <v>A</v>
      </c>
      <c r="AE326" s="3">
        <v>173</v>
      </c>
      <c r="AF326" s="3" t="str">
        <f>IFERROR(MID(VLOOKUP($B326,Seqs!$A:$B,2,0),AG326,1),"")</f>
        <v>C</v>
      </c>
      <c r="AG326" s="3">
        <v>187</v>
      </c>
      <c r="AH326" s="3" t="str">
        <f>IFERROR(MID(VLOOKUP($B326,Seqs!$A:$B,2,0),AI326,1),"")</f>
        <v>I</v>
      </c>
      <c r="AI326" s="3">
        <v>189</v>
      </c>
      <c r="AJ326" s="3" t="str">
        <f>IFERROR(MID(VLOOKUP($B326,Seqs!$A:$B,2,0),AK326,1),"")</f>
        <v>N</v>
      </c>
      <c r="AK326" s="3">
        <v>199</v>
      </c>
      <c r="AL326" s="3" t="str">
        <f>IFERROR(MID(VLOOKUP($B326,Seqs!$A:$B,2,0),AM326,1),"")</f>
        <v>Q</v>
      </c>
      <c r="AM326" s="3">
        <v>237</v>
      </c>
      <c r="AN326" s="3" t="str">
        <f>IFERROR(MID(VLOOKUP($B326,Seqs!$A:$B,2,0),AO326,1),"")</f>
        <v>A</v>
      </c>
      <c r="AO326" s="3">
        <v>241</v>
      </c>
      <c r="AP326" s="3" t="str">
        <f>IFERROR(MID(VLOOKUP($B326,Seqs!$A:$B,2,0),AQ326,1),"")</f>
        <v>H</v>
      </c>
      <c r="AQ326" s="3">
        <v>278</v>
      </c>
      <c r="AR326" s="3" t="str">
        <f>IFERROR(MID(VLOOKUP($B326,Seqs!$A:$B,2,0),AS326,1),"")</f>
        <v>G</v>
      </c>
      <c r="AS326" s="3">
        <v>284</v>
      </c>
      <c r="AT326" s="3" t="str">
        <f>IFERROR(MID(VLOOKUP($B326,Seqs!$A:$B,2,0),AU326,1),"")</f>
        <v>M</v>
      </c>
      <c r="AU326" s="3">
        <v>309</v>
      </c>
      <c r="AV326" s="3" t="str">
        <f>IFERROR(MID(VLOOKUP($B326,Seqs!$A:$B,2,0),AW326,1),"")</f>
        <v>N</v>
      </c>
      <c r="AW326" s="3">
        <v>310</v>
      </c>
      <c r="AX326" s="3" t="str">
        <f>IFERROR(MID(VLOOKUP($B326,Seqs!$A:$B,2,0),AY326,1),"")</f>
        <v>C</v>
      </c>
      <c r="AY326" s="3">
        <v>322</v>
      </c>
      <c r="AZ326" s="77" t="str">
        <f>VLOOKUP(B326,Classification!A:D,2,0)</f>
        <v>A</v>
      </c>
      <c r="BA326" s="94" t="str">
        <f>VLOOKUP(B326,Classification!A:D,4,0)</f>
        <v>Opsins</v>
      </c>
      <c r="BB326" s="27" t="b">
        <f>AND(E326&lt;G326,OR(G326&lt;I326,I326="-"),OR(I326&lt;K326,I326="-"),OR(K326&lt;M326,K326="-"),M326&lt;O326,OR(O326&lt;Q326,Q326="-"),OR(Q326&lt;S326,Q326="-"),OR(S326&lt;U326,S326="-"),U326&lt;W326,OR(W326&lt;Y326,Y326="-"),OR(Y326&lt;AA326,Y326="-"),OR(AA326&lt;AC326,AA326="-"),AC326&lt;AE326,OR(AE326&lt;AG326,AG326="-"),OR(AG326&lt;AI326,AG326="-"),OR(AI326&lt;AK326,AI326="-"),AK326&lt;AM326,AM326&lt;AO326,AO326&lt;AQ326,AQ326&lt;AS326,AS326&lt;AU326,OR(AU326&lt;AW326,AW326="-"),OR(AW326&lt;AY326,AW326="-"))</f>
        <v>1</v>
      </c>
      <c r="BC326" s="23">
        <f>_xlfn.AGGREGATE(9,6,CH326:CS326)-_xlfn.AGGREGATE(9,6,BV326:CG326)+12</f>
        <v>258</v>
      </c>
      <c r="BD326" s="2" t="s">
        <v>23</v>
      </c>
      <c r="BE326" s="3" t="s">
        <v>1285</v>
      </c>
      <c r="BF326" s="118">
        <v>3.01</v>
      </c>
      <c r="BG326" s="49" t="s">
        <v>1427</v>
      </c>
      <c r="BH326" s="49" t="s">
        <v>1427</v>
      </c>
      <c r="BI326" s="1"/>
      <c r="BJ326" s="70" t="s">
        <v>1281</v>
      </c>
      <c r="BK326" s="57" t="s">
        <v>1281</v>
      </c>
      <c r="BL326" s="57" t="s">
        <v>1281</v>
      </c>
      <c r="BM326" s="57" t="s">
        <v>1281</v>
      </c>
      <c r="BN326" s="57" t="s">
        <v>1281</v>
      </c>
      <c r="BO326" s="57" t="s">
        <v>1281</v>
      </c>
      <c r="BP326" s="57" t="s">
        <v>1281</v>
      </c>
      <c r="BQ326" s="57" t="s">
        <v>1281</v>
      </c>
      <c r="BR326" s="57" t="s">
        <v>1281</v>
      </c>
      <c r="BS326" s="57" t="s">
        <v>1281</v>
      </c>
      <c r="BT326" s="57" t="s">
        <v>1281</v>
      </c>
      <c r="BU326" s="57" t="s">
        <v>1281</v>
      </c>
      <c r="BV326" s="70">
        <f>E326</f>
        <v>34</v>
      </c>
      <c r="BW326" s="71">
        <f>I326</f>
        <v>66</v>
      </c>
      <c r="BX326" s="72">
        <f>M326</f>
        <v>70</v>
      </c>
      <c r="BY326" s="71">
        <f>Q326</f>
        <v>102</v>
      </c>
      <c r="BZ326" s="72">
        <f>U326</f>
        <v>106</v>
      </c>
      <c r="CA326" s="71">
        <f>Y326</f>
        <v>142</v>
      </c>
      <c r="CB326" s="72">
        <f>AC326</f>
        <v>149</v>
      </c>
      <c r="CC326" s="71">
        <f>AG326</f>
        <v>187</v>
      </c>
      <c r="CD326" s="72">
        <f>AK326</f>
        <v>199</v>
      </c>
      <c r="CE326" s="71">
        <f>AO326</f>
        <v>241</v>
      </c>
      <c r="CF326" s="72">
        <f>AS326</f>
        <v>284</v>
      </c>
      <c r="CG326" s="71">
        <f>AW326</f>
        <v>310</v>
      </c>
      <c r="CH326" s="70">
        <f>G326</f>
        <v>65</v>
      </c>
      <c r="CI326" s="71">
        <f>K326</f>
        <v>69</v>
      </c>
      <c r="CJ326" s="72">
        <f>O326</f>
        <v>100</v>
      </c>
      <c r="CK326" s="72">
        <f>S326</f>
        <v>105</v>
      </c>
      <c r="CL326" s="72">
        <f>W326</f>
        <v>141</v>
      </c>
      <c r="CM326" s="72">
        <f>AA326</f>
        <v>148</v>
      </c>
      <c r="CN326" s="72">
        <f>AE326</f>
        <v>173</v>
      </c>
      <c r="CO326" s="72">
        <f>AI326</f>
        <v>189</v>
      </c>
      <c r="CP326" s="72">
        <f>AM326</f>
        <v>237</v>
      </c>
      <c r="CQ326" s="72">
        <f>AQ326</f>
        <v>278</v>
      </c>
      <c r="CR326" s="72">
        <f>AU326</f>
        <v>309</v>
      </c>
      <c r="CS326" s="72">
        <f>AY326</f>
        <v>322</v>
      </c>
      <c r="CT326" s="23">
        <f>M326-K326</f>
        <v>1</v>
      </c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  <c r="QM326" s="1"/>
      <c r="QN326" s="1"/>
      <c r="QO326" s="1"/>
      <c r="QP326" s="1"/>
      <c r="QQ326" s="1"/>
      <c r="QR326" s="1"/>
      <c r="QS326" s="1"/>
      <c r="QT326" s="1"/>
      <c r="QU326" s="1"/>
      <c r="QV326" s="1"/>
      <c r="QW326" s="1"/>
      <c r="QX326" s="1"/>
      <c r="QY326" s="1"/>
      <c r="QZ326" s="1"/>
      <c r="RA326" s="1"/>
      <c r="RB326" s="1"/>
      <c r="RC326" s="1"/>
      <c r="RD326" s="1"/>
      <c r="RE326" s="1"/>
      <c r="RF326" s="1"/>
      <c r="RG326" s="1"/>
      <c r="RH326" s="1"/>
      <c r="RI326" s="1"/>
      <c r="RJ326" s="1"/>
      <c r="RK326" s="1"/>
      <c r="RL326" s="1"/>
      <c r="RM326" s="1"/>
      <c r="RN326" s="1"/>
      <c r="RO326" s="1"/>
      <c r="RP326" s="1"/>
      <c r="RQ326" s="1"/>
      <c r="RR326" s="1"/>
      <c r="RS326" s="1"/>
      <c r="RT326" s="1"/>
      <c r="RU326" s="1"/>
      <c r="RV326" s="1"/>
      <c r="RW326" s="1"/>
      <c r="RX326" s="1"/>
      <c r="RY326" s="1"/>
      <c r="RZ326" s="1"/>
      <c r="SA326" s="1"/>
      <c r="SB326" s="1"/>
      <c r="SC326" s="1"/>
      <c r="SD326" s="1"/>
      <c r="SE326" s="1"/>
      <c r="SF326" s="1"/>
      <c r="SG326" s="1"/>
      <c r="SH326" s="1"/>
      <c r="SI326" s="1"/>
      <c r="SJ326" s="1"/>
      <c r="SK326" s="1"/>
      <c r="SL326" s="1"/>
      <c r="SM326" s="1"/>
      <c r="SN326" s="1"/>
      <c r="SO326" s="1"/>
      <c r="SP326" s="1"/>
      <c r="SQ326" s="1"/>
      <c r="SR326" s="1"/>
      <c r="SS326" s="1"/>
      <c r="ST326" s="1"/>
      <c r="SU326" s="1"/>
      <c r="SV326" s="1"/>
      <c r="SW326" s="1"/>
      <c r="SX326" s="1"/>
      <c r="SY326" s="1"/>
      <c r="SZ326" s="1"/>
      <c r="TA326" s="1"/>
      <c r="TB326" s="1"/>
      <c r="TC326" s="1"/>
      <c r="TD326" s="1"/>
      <c r="TE326" s="1"/>
      <c r="TF326" s="1"/>
      <c r="TG326" s="1"/>
      <c r="TH326" s="1"/>
      <c r="TI326" s="1"/>
      <c r="TJ326" s="1"/>
      <c r="TK326" s="1"/>
      <c r="TL326" s="1"/>
      <c r="TM326" s="1"/>
      <c r="TN326" s="1"/>
      <c r="TO326" s="1"/>
      <c r="TP326" s="1"/>
      <c r="TQ326" s="1"/>
      <c r="TR326" s="1"/>
      <c r="TS326" s="1"/>
      <c r="TT326" s="1"/>
      <c r="TU326" s="1"/>
      <c r="TV326" s="1"/>
      <c r="TW326" s="1"/>
      <c r="TX326" s="1"/>
      <c r="TY326" s="1"/>
      <c r="TZ326" s="1"/>
      <c r="UA326" s="1"/>
      <c r="UB326" s="1"/>
      <c r="UC326" s="1"/>
      <c r="UD326" s="1"/>
      <c r="UE326" s="1"/>
      <c r="UF326" s="1"/>
      <c r="UG326" s="1"/>
      <c r="UH326" s="1"/>
      <c r="UI326" s="1"/>
      <c r="UJ326" s="1"/>
      <c r="UK326" s="1"/>
      <c r="UL326" s="1"/>
      <c r="UM326" s="1"/>
      <c r="UN326" s="1"/>
      <c r="UO326" s="1"/>
      <c r="UP326" s="1"/>
      <c r="UQ326" s="1"/>
      <c r="UR326" s="1"/>
      <c r="US326" s="1"/>
      <c r="UT326" s="1"/>
      <c r="UU326" s="1"/>
      <c r="UV326" s="1"/>
      <c r="UW326" s="1"/>
      <c r="UX326" s="1"/>
      <c r="UY326" s="1"/>
      <c r="UZ326" s="1"/>
      <c r="VA326" s="1"/>
      <c r="VB326" s="1"/>
      <c r="VC326" s="1"/>
      <c r="VD326" s="1"/>
      <c r="VE326" s="1"/>
      <c r="VF326" s="1"/>
      <c r="VG326" s="1"/>
      <c r="VH326" s="1"/>
      <c r="VI326" s="1"/>
      <c r="VJ326" s="1"/>
      <c r="VK326" s="1"/>
      <c r="VL326" s="1"/>
      <c r="VM326" s="1"/>
      <c r="VN326" s="1"/>
      <c r="VO326" s="1"/>
      <c r="VP326" s="1"/>
      <c r="VQ326" s="1"/>
      <c r="VR326" s="1"/>
      <c r="VS326" s="1"/>
      <c r="VT326" s="1"/>
      <c r="VU326" s="1"/>
      <c r="VV326" s="1"/>
      <c r="VW326" s="1"/>
      <c r="VX326" s="1"/>
      <c r="VY326" s="1"/>
      <c r="VZ326" s="1"/>
      <c r="WA326" s="1"/>
      <c r="WB326" s="1"/>
      <c r="WC326" s="1"/>
      <c r="WD326" s="1"/>
      <c r="WE326" s="1"/>
      <c r="WF326" s="1"/>
      <c r="WG326" s="1"/>
      <c r="WH326" s="1"/>
      <c r="WI326" s="1"/>
      <c r="WJ326" s="1"/>
      <c r="WK326" s="1"/>
      <c r="WL326" s="1"/>
      <c r="WM326" s="1"/>
      <c r="WN326" s="1"/>
      <c r="WO326" s="1"/>
      <c r="WP326" s="1"/>
      <c r="WQ326" s="1"/>
      <c r="WR326" s="1"/>
      <c r="WS326" s="1"/>
      <c r="WT326" s="1"/>
      <c r="WU326" s="1"/>
      <c r="WV326" s="1"/>
      <c r="WW326" s="1"/>
      <c r="WX326" s="1"/>
      <c r="WY326" s="1"/>
      <c r="WZ326" s="1"/>
      <c r="XA326" s="1"/>
      <c r="XB326" s="1"/>
      <c r="XC326" s="1"/>
      <c r="XD326" s="1"/>
      <c r="XE326" s="1"/>
      <c r="XF326" s="1"/>
      <c r="XG326" s="1"/>
      <c r="XH326" s="1"/>
      <c r="XI326" s="1"/>
      <c r="XJ326" s="1"/>
      <c r="XK326" s="1"/>
      <c r="XL326" s="1"/>
      <c r="XM326" s="1"/>
      <c r="XN326" s="1"/>
      <c r="XO326" s="1"/>
      <c r="XP326" s="1"/>
      <c r="XQ326" s="1"/>
      <c r="XR326" s="1"/>
      <c r="XS326" s="1"/>
      <c r="XT326" s="1"/>
      <c r="XU326" s="1"/>
      <c r="XV326" s="1"/>
      <c r="XW326" s="1"/>
      <c r="XX326" s="1"/>
      <c r="XY326" s="1"/>
      <c r="XZ326" s="1"/>
      <c r="YA326" s="1"/>
      <c r="YB326" s="1"/>
      <c r="YC326" s="1"/>
      <c r="YD326" s="1"/>
      <c r="YE326" s="1"/>
      <c r="YF326" s="1"/>
      <c r="YG326" s="1"/>
      <c r="YH326" s="1"/>
      <c r="YI326" s="1"/>
      <c r="YJ326" s="1"/>
      <c r="YK326" s="1"/>
      <c r="YL326" s="1"/>
      <c r="YM326" s="1"/>
      <c r="YN326" s="1"/>
      <c r="YO326" s="1"/>
      <c r="YP326" s="1"/>
      <c r="YQ326" s="1"/>
      <c r="YR326" s="1"/>
      <c r="YS326" s="1"/>
      <c r="YT326" s="1"/>
      <c r="YU326" s="1"/>
      <c r="YV326" s="1"/>
      <c r="YW326" s="1"/>
      <c r="YX326" s="1"/>
      <c r="YY326" s="1"/>
      <c r="YZ326" s="1"/>
      <c r="ZA326" s="1"/>
      <c r="ZB326" s="1"/>
      <c r="ZC326" s="1"/>
      <c r="ZD326" s="1"/>
      <c r="ZE326" s="1"/>
      <c r="ZF326" s="1"/>
      <c r="ZG326" s="1"/>
      <c r="ZH326" s="1"/>
      <c r="ZI326" s="1"/>
      <c r="ZJ326" s="1"/>
      <c r="ZK326" s="1"/>
      <c r="ZL326" s="1"/>
      <c r="ZM326" s="1"/>
      <c r="ZN326" s="1"/>
      <c r="ZO326" s="1"/>
      <c r="ZP326" s="1"/>
      <c r="ZQ326" s="1"/>
      <c r="ZR326" s="1"/>
      <c r="ZS326" s="1"/>
      <c r="ZT326" s="1"/>
      <c r="ZU326" s="1"/>
      <c r="ZV326" s="1"/>
      <c r="ZW326" s="1"/>
      <c r="ZX326" s="1"/>
      <c r="ZY326" s="1"/>
      <c r="ZZ326" s="1"/>
      <c r="AAA326" s="1"/>
      <c r="AAB326" s="1"/>
      <c r="AAC326" s="1"/>
      <c r="AAD326" s="1"/>
      <c r="AAE326" s="1"/>
      <c r="AAF326" s="1"/>
      <c r="AAG326" s="1"/>
      <c r="AAH326" s="1"/>
      <c r="AAI326" s="1"/>
      <c r="AAJ326" s="1"/>
      <c r="AAK326" s="1"/>
      <c r="AAL326" s="1"/>
      <c r="AAM326" s="1"/>
      <c r="AAN326" s="1"/>
      <c r="AAO326" s="1"/>
      <c r="AAP326" s="1"/>
      <c r="AAQ326" s="1"/>
      <c r="AAR326" s="1"/>
      <c r="AAS326" s="1"/>
      <c r="AAT326" s="1"/>
      <c r="AAU326" s="1"/>
      <c r="AAV326" s="1"/>
      <c r="AAW326" s="1"/>
      <c r="AAX326" s="1"/>
      <c r="AAY326" s="1"/>
      <c r="AAZ326" s="1"/>
      <c r="ABA326" s="1"/>
      <c r="ABB326" s="1"/>
      <c r="ABC326" s="1"/>
      <c r="ABD326" s="1"/>
      <c r="ABE326" s="1"/>
      <c r="ABF326" s="1"/>
      <c r="ABG326" s="1"/>
      <c r="ABH326" s="1"/>
      <c r="ABI326" s="1"/>
      <c r="ABJ326" s="1"/>
      <c r="ABK326" s="1"/>
      <c r="ABL326" s="1"/>
      <c r="ABM326" s="1"/>
      <c r="ABN326" s="1"/>
      <c r="ABO326" s="1"/>
      <c r="ABP326" s="1"/>
      <c r="ABQ326" s="1"/>
      <c r="ABR326" s="1"/>
      <c r="ABS326" s="1"/>
      <c r="ABT326" s="1"/>
      <c r="ABU326" s="1"/>
      <c r="ABV326" s="1"/>
      <c r="ABW326" s="1"/>
      <c r="ABX326" s="1"/>
      <c r="ABY326" s="1"/>
      <c r="ABZ326" s="1"/>
      <c r="ACA326" s="1"/>
      <c r="ACB326" s="1"/>
      <c r="ACC326" s="1"/>
      <c r="ACD326" s="1"/>
      <c r="ACE326" s="1"/>
      <c r="ACF326" s="1"/>
      <c r="ACG326" s="1"/>
      <c r="ACH326" s="1"/>
      <c r="ACI326" s="1"/>
      <c r="ACJ326" s="1"/>
      <c r="ACK326" s="1"/>
      <c r="ACL326" s="1"/>
      <c r="ACM326" s="1"/>
      <c r="ACN326" s="1"/>
      <c r="ACO326" s="1"/>
      <c r="ACP326" s="1"/>
      <c r="ACQ326" s="1"/>
      <c r="ACR326" s="1"/>
      <c r="ACS326" s="1"/>
      <c r="ACT326" s="1"/>
      <c r="ACU326" s="1"/>
      <c r="ACV326" s="1"/>
      <c r="ACW326" s="1"/>
      <c r="ACX326" s="1"/>
      <c r="ACY326" s="1"/>
      <c r="ACZ326" s="1"/>
      <c r="ADA326" s="1"/>
      <c r="ADB326" s="1"/>
      <c r="ADC326" s="1"/>
      <c r="ADD326" s="1"/>
      <c r="ADE326" s="1"/>
      <c r="ADF326" s="1"/>
      <c r="ADG326" s="1"/>
      <c r="ADH326" s="1"/>
      <c r="ADI326" s="1"/>
      <c r="ADJ326" s="1"/>
      <c r="ADK326" s="1"/>
      <c r="ADL326" s="1"/>
      <c r="ADM326" s="1"/>
      <c r="ADN326" s="1"/>
      <c r="ADO326" s="1"/>
      <c r="ADP326" s="1"/>
      <c r="ADQ326" s="1"/>
      <c r="ADR326" s="1"/>
      <c r="ADS326" s="1"/>
      <c r="ADT326" s="1"/>
      <c r="ADU326" s="1"/>
      <c r="ADV326" s="1"/>
      <c r="ADW326" s="1"/>
      <c r="ADX326" s="1"/>
      <c r="ADY326" s="1"/>
      <c r="ADZ326" s="1"/>
      <c r="AEA326" s="1"/>
      <c r="AEB326" s="1"/>
      <c r="AEC326" s="1"/>
      <c r="AED326" s="1"/>
      <c r="AEE326" s="1"/>
      <c r="AEF326" s="1"/>
      <c r="AEG326" s="1"/>
      <c r="AEH326" s="1"/>
      <c r="AEI326" s="1"/>
      <c r="AEJ326" s="1"/>
      <c r="AEK326" s="1"/>
      <c r="AEL326" s="1"/>
      <c r="AEM326" s="1"/>
      <c r="AEN326" s="1"/>
      <c r="AEO326" s="1"/>
      <c r="AEP326" s="1"/>
      <c r="AEQ326" s="1"/>
      <c r="AER326" s="1"/>
      <c r="AES326" s="1"/>
      <c r="AET326" s="1"/>
      <c r="AEU326" s="1"/>
      <c r="AEV326" s="1"/>
      <c r="AEW326" s="1"/>
      <c r="AEX326" s="1"/>
      <c r="AEY326" s="1"/>
      <c r="AEZ326" s="1"/>
      <c r="AFA326" s="1"/>
      <c r="AFB326" s="1"/>
      <c r="AFC326" s="1"/>
      <c r="AFD326" s="1"/>
      <c r="AFE326" s="1"/>
      <c r="AFF326" s="1"/>
      <c r="AFG326" s="1"/>
      <c r="AFH326" s="1"/>
      <c r="AFI326" s="1"/>
      <c r="AFJ326" s="1"/>
      <c r="AFK326" s="1"/>
      <c r="AFL326" s="1"/>
      <c r="AFM326" s="1"/>
      <c r="AFN326" s="1"/>
      <c r="AFO326" s="1"/>
      <c r="AFP326" s="1"/>
      <c r="AFQ326" s="1"/>
      <c r="AFR326" s="1"/>
      <c r="AFS326" s="1"/>
      <c r="AFT326" s="1"/>
      <c r="AFU326" s="1"/>
      <c r="AFV326" s="1"/>
      <c r="AFW326" s="1"/>
      <c r="AFX326" s="1"/>
      <c r="AFY326" s="1"/>
      <c r="AFZ326" s="1"/>
      <c r="AGA326" s="1"/>
      <c r="AGB326" s="1"/>
      <c r="AGC326" s="1"/>
      <c r="AGD326" s="1"/>
      <c r="AGE326" s="1"/>
      <c r="AGF326" s="1"/>
      <c r="AGG326" s="1"/>
      <c r="AGH326" s="1"/>
      <c r="AGI326" s="1"/>
      <c r="AGJ326" s="1"/>
      <c r="AGK326" s="1"/>
      <c r="AGL326" s="1"/>
      <c r="AGM326" s="1"/>
      <c r="AGN326" s="1"/>
      <c r="AGO326" s="1"/>
      <c r="AGP326" s="1"/>
      <c r="AGQ326" s="1"/>
      <c r="AGR326" s="1"/>
      <c r="AGS326" s="1"/>
      <c r="AGT326" s="1"/>
      <c r="AGU326" s="1"/>
      <c r="AGV326" s="1"/>
      <c r="AGW326" s="1"/>
      <c r="AGX326" s="1"/>
      <c r="AGY326" s="1"/>
      <c r="AGZ326" s="1"/>
      <c r="AHA326" s="1"/>
      <c r="AHB326" s="1"/>
      <c r="AHC326" s="1"/>
      <c r="AHD326" s="1"/>
      <c r="AHE326" s="1"/>
      <c r="AHF326" s="1"/>
      <c r="AHG326" s="1"/>
      <c r="AHH326" s="1"/>
      <c r="AHI326" s="1"/>
      <c r="AHJ326" s="1"/>
      <c r="AHK326" s="1"/>
      <c r="AHL326" s="1"/>
      <c r="AHM326" s="1"/>
      <c r="AHN326" s="1"/>
      <c r="AHO326" s="1"/>
      <c r="AHP326" s="1"/>
      <c r="AHQ326" s="1"/>
      <c r="AHR326" s="1"/>
      <c r="AHS326" s="1"/>
      <c r="AHT326" s="1"/>
      <c r="AHU326" s="1"/>
      <c r="AHV326" s="1"/>
      <c r="AHW326" s="1"/>
      <c r="AHX326" s="1"/>
      <c r="AHY326" s="1"/>
      <c r="AHZ326" s="1"/>
      <c r="AIA326" s="1"/>
      <c r="AIB326" s="1"/>
      <c r="AIC326" s="1"/>
      <c r="AID326" s="1"/>
      <c r="AIE326" s="1"/>
      <c r="AIF326" s="1"/>
      <c r="AIG326" s="1"/>
      <c r="AIH326" s="1"/>
      <c r="AII326" s="1"/>
      <c r="AIJ326" s="1"/>
      <c r="AIK326" s="1"/>
      <c r="AIL326" s="1"/>
      <c r="AIM326" s="1"/>
      <c r="AIN326" s="1"/>
      <c r="AIO326" s="1"/>
      <c r="AIP326" s="1"/>
      <c r="AIQ326" s="1"/>
      <c r="AIR326" s="1"/>
      <c r="AIS326" s="1"/>
      <c r="AIT326" s="1"/>
      <c r="AIU326" s="1"/>
      <c r="AIV326" s="1"/>
      <c r="AIW326" s="1"/>
      <c r="AIX326" s="1"/>
      <c r="AIY326" s="1"/>
      <c r="AIZ326" s="1"/>
      <c r="AJA326" s="1"/>
      <c r="AJB326" s="1"/>
      <c r="AJC326" s="1"/>
      <c r="AJD326" s="1"/>
      <c r="AJE326" s="1"/>
      <c r="AJF326" s="1"/>
      <c r="AJG326" s="1"/>
      <c r="AJH326" s="1"/>
      <c r="AJI326" s="1"/>
      <c r="AJJ326" s="1"/>
      <c r="AJK326" s="1"/>
      <c r="AJL326" s="1"/>
      <c r="AJM326" s="1"/>
      <c r="AJN326" s="1"/>
      <c r="AJO326" s="1"/>
      <c r="AJP326" s="1"/>
      <c r="AJQ326" s="1"/>
      <c r="AJR326" s="1"/>
      <c r="AJS326" s="1"/>
      <c r="AJT326" s="1"/>
      <c r="AJU326" s="1"/>
      <c r="AJV326" s="1"/>
      <c r="AJW326" s="1"/>
      <c r="AJX326" s="1"/>
      <c r="AJY326" s="1"/>
      <c r="AJZ326" s="1"/>
      <c r="AKA326" s="1"/>
      <c r="AKB326" s="1"/>
      <c r="AKC326" s="1"/>
      <c r="AKD326" s="1"/>
      <c r="AKE326" s="1"/>
      <c r="AKF326" s="1"/>
      <c r="AKG326" s="1"/>
      <c r="AKH326" s="1"/>
      <c r="AKI326" s="1"/>
      <c r="AKJ326" s="1"/>
      <c r="AKK326" s="1"/>
      <c r="AKL326" s="1"/>
      <c r="AKM326" s="1"/>
      <c r="AKN326" s="1"/>
      <c r="AKO326" s="1"/>
      <c r="AKP326" s="1"/>
      <c r="AKQ326" s="1"/>
      <c r="AKR326" s="1"/>
      <c r="AKS326" s="1"/>
      <c r="AKT326" s="1"/>
      <c r="AKU326" s="1"/>
      <c r="AKV326" s="1"/>
      <c r="AKW326" s="1"/>
      <c r="AKX326" s="1"/>
      <c r="AKY326" s="1"/>
      <c r="AKZ326" s="1"/>
      <c r="ALA326" s="1"/>
      <c r="ALB326" s="1"/>
      <c r="ALC326" s="1"/>
      <c r="ALD326" s="1"/>
      <c r="ALE326" s="1"/>
      <c r="ALF326" s="1"/>
      <c r="ALG326" s="1"/>
      <c r="ALH326" s="1"/>
      <c r="ALI326" s="1"/>
      <c r="ALJ326" s="1"/>
      <c r="ALK326" s="1"/>
      <c r="ALL326" s="1"/>
      <c r="ALM326" s="1"/>
      <c r="ALN326" s="1"/>
      <c r="ALO326" s="1"/>
      <c r="ALP326" s="1"/>
      <c r="ALQ326" s="1"/>
      <c r="ALR326" s="1"/>
      <c r="ALS326" s="1"/>
      <c r="ALT326" s="1"/>
      <c r="ALU326" s="1"/>
      <c r="ALV326" s="1"/>
      <c r="ALW326" s="1"/>
      <c r="ALX326" s="1"/>
      <c r="ALY326" s="1"/>
      <c r="ALZ326" s="1"/>
      <c r="AMA326" s="1"/>
      <c r="AMB326" s="1"/>
      <c r="AMC326" s="1"/>
      <c r="AMD326" s="1"/>
      <c r="AME326" s="1"/>
      <c r="AMF326" s="1"/>
      <c r="AMG326" s="1"/>
      <c r="AMH326" s="1"/>
      <c r="AMI326" s="1"/>
      <c r="AMJ326" s="1"/>
      <c r="AMK326" s="1"/>
      <c r="AML326" s="1"/>
      <c r="AMM326" s="1"/>
      <c r="AMN326" s="1"/>
      <c r="AMO326" s="1"/>
    </row>
    <row r="327" spans="1:1030" x14ac:dyDescent="0.2">
      <c r="A327" s="3" t="str">
        <f>CONCATENATE(B327,"_",C327)</f>
        <v>opsd_human_6CMO</v>
      </c>
      <c r="B327" s="3" t="s">
        <v>338</v>
      </c>
      <c r="C327" s="3" t="s">
        <v>1496</v>
      </c>
      <c r="D327" s="3" t="str">
        <f>IFERROR(MID(VLOOKUP($B327,Seqs!$A:$B,2,0),E327,1),"")</f>
        <v>E</v>
      </c>
      <c r="E327" s="3">
        <v>33</v>
      </c>
      <c r="F327" s="3" t="str">
        <f>IFERROR(MID(VLOOKUP($B327,Seqs!$A:$B,2,0),G327,1),"")</f>
        <v>H</v>
      </c>
      <c r="G327" s="3">
        <v>65</v>
      </c>
      <c r="H327" s="3" t="str">
        <f>IFERROR(MID(VLOOKUP($B327,Seqs!$A:$B,2,0),I327,1),"")</f>
        <v>K</v>
      </c>
      <c r="I327" s="23">
        <v>66</v>
      </c>
      <c r="J327" s="3" t="str">
        <f>IFERROR(MID(VLOOKUP($B327,Seqs!$A:$B,2,0),K327,1),"")</f>
        <v>R</v>
      </c>
      <c r="K327" s="23">
        <v>69</v>
      </c>
      <c r="L327" s="3" t="str">
        <f>IFERROR(MID(VLOOKUP($B327,Seqs!$A:$B,2,0),M327,1),"")</f>
        <v>T</v>
      </c>
      <c r="M327" s="3">
        <v>70</v>
      </c>
      <c r="N327" s="3" t="str">
        <f>IFERROR(MID(VLOOKUP($B327,Seqs!$A:$B,2,0),O327,1),"")</f>
        <v>G</v>
      </c>
      <c r="O327" s="3">
        <v>101</v>
      </c>
      <c r="P327" s="3" t="str">
        <f>IFERROR(MID(VLOOKUP($B327,Seqs!$A:$B,2,0),Q327,1),"")</f>
        <v>Y</v>
      </c>
      <c r="Q327" s="3">
        <v>102</v>
      </c>
      <c r="R327" s="3" t="str">
        <f>IFERROR(MID(VLOOKUP($B327,Seqs!$A:$B,2,0),S327,1),"")</f>
        <v>F</v>
      </c>
      <c r="S327" s="3">
        <v>105</v>
      </c>
      <c r="T327" s="3" t="str">
        <f>IFERROR(MID(VLOOKUP($B327,Seqs!$A:$B,2,0),U327,1),"")</f>
        <v>G</v>
      </c>
      <c r="U327" s="3">
        <v>106</v>
      </c>
      <c r="V327" s="3" t="str">
        <f>IFERROR(MID(VLOOKUP($B327,Seqs!$A:$B,2,0),W327,1),"")</f>
        <v>K</v>
      </c>
      <c r="W327" s="3">
        <v>141</v>
      </c>
      <c r="X327" s="3" t="str">
        <f>IFERROR(MID(VLOOKUP($B327,Seqs!$A:$B,2,0),Y327,1),"")</f>
        <v/>
      </c>
      <c r="Y327" s="3" t="s">
        <v>23</v>
      </c>
      <c r="Z327" s="3" t="str">
        <f>IFERROR(MID(VLOOKUP($B327,Seqs!$A:$B,2,0),AA327,1),"")</f>
        <v/>
      </c>
      <c r="AA327" s="3" t="s">
        <v>23</v>
      </c>
      <c r="AB327" s="3" t="str">
        <f>IFERROR(MID(VLOOKUP($B327,Seqs!$A:$B,2,0),AC327,1),"")</f>
        <v>E</v>
      </c>
      <c r="AC327" s="3">
        <v>150</v>
      </c>
      <c r="AD327" s="3" t="str">
        <f>IFERROR(MID(VLOOKUP($B327,Seqs!$A:$B,2,0),AE327,1),"")</f>
        <v>A</v>
      </c>
      <c r="AE327" s="3">
        <v>173</v>
      </c>
      <c r="AF327" s="3" t="str">
        <f>IFERROR(MID(VLOOKUP($B327,Seqs!$A:$B,2,0),AG327,1),"")</f>
        <v>C</v>
      </c>
      <c r="AG327" s="3">
        <v>187</v>
      </c>
      <c r="AH327" s="3" t="str">
        <f>IFERROR(MID(VLOOKUP($B327,Seqs!$A:$B,2,0),AI327,1),"")</f>
        <v>I</v>
      </c>
      <c r="AI327" s="3">
        <v>189</v>
      </c>
      <c r="AJ327" s="3" t="str">
        <f>IFERROR(MID(VLOOKUP($B327,Seqs!$A:$B,2,0),AK327,1),"")</f>
        <v>N</v>
      </c>
      <c r="AK327" s="3">
        <v>200</v>
      </c>
      <c r="AL327" s="3" t="str">
        <f>IFERROR(MID(VLOOKUP($B327,Seqs!$A:$B,2,0),AM327,1),"")</f>
        <v>Q</v>
      </c>
      <c r="AM327" s="3">
        <v>238</v>
      </c>
      <c r="AN327" s="3" t="str">
        <f>IFERROR(MID(VLOOKUP($B327,Seqs!$A:$B,2,0),AO327,1),"")</f>
        <v>S</v>
      </c>
      <c r="AO327" s="3">
        <v>240</v>
      </c>
      <c r="AP327" s="3" t="str">
        <f>IFERROR(MID(VLOOKUP($B327,Seqs!$A:$B,2,0),AQ327,1),"")</f>
        <v>H</v>
      </c>
      <c r="AQ327" s="3">
        <v>278</v>
      </c>
      <c r="AR327" s="3" t="str">
        <f>IFERROR(MID(VLOOKUP($B327,Seqs!$A:$B,2,0),AS327,1),"")</f>
        <v>I</v>
      </c>
      <c r="AS327" s="3">
        <v>286</v>
      </c>
      <c r="AT327" s="3" t="str">
        <f>IFERROR(MID(VLOOKUP($B327,Seqs!$A:$B,2,0),AU327,1),"")</f>
        <v>M</v>
      </c>
      <c r="AU327" s="3">
        <v>309</v>
      </c>
      <c r="AV327" s="3" t="str">
        <f>IFERROR(MID(VLOOKUP($B327,Seqs!$A:$B,2,0),AW327,1),"")</f>
        <v>N</v>
      </c>
      <c r="AW327" s="3">
        <v>310</v>
      </c>
      <c r="AX327" s="3" t="str">
        <f>IFERROR(MID(VLOOKUP($B327,Seqs!$A:$B,2,0),AY327,1),"")</f>
        <v>C</v>
      </c>
      <c r="AY327" s="3">
        <v>323</v>
      </c>
      <c r="AZ327" s="77" t="str">
        <f>VLOOKUP(B327,Classification!A:D,2,0)</f>
        <v>A</v>
      </c>
      <c r="BA327" s="94" t="str">
        <f>VLOOKUP(B327,Classification!A:D,4,0)</f>
        <v>Opsins</v>
      </c>
      <c r="BB327" s="27" t="b">
        <f>AND(E327&lt;G327,OR(G327&lt;I327,I327="-"),OR(I327&lt;K327,I327="-"),OR(K327&lt;M327,K327="-"),M327&lt;O327,OR(O327&lt;Q327,Q327="-"),OR(Q327&lt;S327,Q327="-"),OR(S327&lt;U327,S327="-"),U327&lt;W327,OR(W327&lt;Y327,Y327="-"),OR(Y327&lt;AA327,Y327="-"),OR(AA327&lt;AC327,AA327="-"),AC327&lt;AE327,OR(AE327&lt;AG327,AG327="-"),OR(AG327&lt;AI327,AG327="-"),OR(AI327&lt;AK327,AI327="-"),AK327&lt;AM327,AM327&lt;AO327,AO327&lt;AQ327,AQ327&lt;AS327,AS327&lt;AU327,OR(AU327&lt;AW327,AW327="-"),OR(AW327&lt;AY327,AW327="-"))</f>
        <v>1</v>
      </c>
      <c r="BC327" s="23">
        <f>_xlfn.AGGREGATE(9,6,CH327:CS327)-_xlfn.AGGREGATE(9,6,BV327:CG327)+12</f>
        <v>253</v>
      </c>
      <c r="BD327" s="2" t="s">
        <v>23</v>
      </c>
      <c r="BE327" s="3" t="s">
        <v>1285</v>
      </c>
      <c r="BF327" s="118">
        <v>4.5</v>
      </c>
      <c r="BG327" s="49" t="s">
        <v>1427</v>
      </c>
      <c r="BH327" s="49" t="s">
        <v>1427</v>
      </c>
      <c r="BI327" s="1"/>
      <c r="BJ327" s="70" t="s">
        <v>1281</v>
      </c>
      <c r="BK327" s="57" t="s">
        <v>1281</v>
      </c>
      <c r="BL327" s="57" t="s">
        <v>1281</v>
      </c>
      <c r="BM327" s="57" t="s">
        <v>1281</v>
      </c>
      <c r="BN327" s="57" t="s">
        <v>1281</v>
      </c>
      <c r="BO327" s="57" t="s">
        <v>1281</v>
      </c>
      <c r="BP327" s="57" t="s">
        <v>1281</v>
      </c>
      <c r="BQ327" s="57" t="s">
        <v>1281</v>
      </c>
      <c r="BR327" s="57" t="s">
        <v>1281</v>
      </c>
      <c r="BS327" s="57" t="s">
        <v>1281</v>
      </c>
      <c r="BT327" s="57" t="s">
        <v>1281</v>
      </c>
      <c r="BU327" s="57" t="s">
        <v>1281</v>
      </c>
      <c r="BV327" s="70">
        <f>E327</f>
        <v>33</v>
      </c>
      <c r="BW327" s="71">
        <f>I327</f>
        <v>66</v>
      </c>
      <c r="BX327" s="72">
        <f>M327</f>
        <v>70</v>
      </c>
      <c r="BY327" s="71">
        <f>Q327</f>
        <v>102</v>
      </c>
      <c r="BZ327" s="72">
        <f>U327</f>
        <v>106</v>
      </c>
      <c r="CA327" s="71" t="str">
        <f>Y327</f>
        <v>-</v>
      </c>
      <c r="CB327" s="72">
        <f>AC327</f>
        <v>150</v>
      </c>
      <c r="CC327" s="71">
        <f>AG327</f>
        <v>187</v>
      </c>
      <c r="CD327" s="72">
        <f>AK327</f>
        <v>200</v>
      </c>
      <c r="CE327" s="71">
        <f>AO327</f>
        <v>240</v>
      </c>
      <c r="CF327" s="72">
        <f>AS327</f>
        <v>286</v>
      </c>
      <c r="CG327" s="71">
        <f>AW327</f>
        <v>310</v>
      </c>
      <c r="CH327" s="70">
        <f>G327</f>
        <v>65</v>
      </c>
      <c r="CI327" s="71">
        <f>K327</f>
        <v>69</v>
      </c>
      <c r="CJ327" s="72">
        <f>O327</f>
        <v>101</v>
      </c>
      <c r="CK327" s="72">
        <f>S327</f>
        <v>105</v>
      </c>
      <c r="CL327" s="72">
        <f>W327</f>
        <v>141</v>
      </c>
      <c r="CM327" s="72" t="str">
        <f>AA327</f>
        <v>-</v>
      </c>
      <c r="CN327" s="72">
        <f>AE327</f>
        <v>173</v>
      </c>
      <c r="CO327" s="72">
        <f>AI327</f>
        <v>189</v>
      </c>
      <c r="CP327" s="72">
        <f>AM327</f>
        <v>238</v>
      </c>
      <c r="CQ327" s="72">
        <f>AQ327</f>
        <v>278</v>
      </c>
      <c r="CR327" s="72">
        <f>AU327</f>
        <v>309</v>
      </c>
      <c r="CS327" s="72">
        <f>AY327</f>
        <v>323</v>
      </c>
      <c r="CT327" s="23">
        <f>M327-K327</f>
        <v>1</v>
      </c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U327" s="1"/>
      <c r="OV327" s="1"/>
      <c r="OW327" s="1"/>
      <c r="OX327" s="1"/>
      <c r="OY327" s="1"/>
      <c r="OZ327" s="1"/>
      <c r="PA327" s="1"/>
      <c r="PB327" s="1"/>
      <c r="PC327" s="1"/>
      <c r="PD327" s="1"/>
      <c r="PE327" s="1"/>
      <c r="PF327" s="1"/>
      <c r="PG327" s="1"/>
      <c r="PH327" s="1"/>
      <c r="PI327" s="1"/>
      <c r="PJ327" s="1"/>
      <c r="PK327" s="1"/>
      <c r="PL327" s="1"/>
      <c r="PM327" s="1"/>
      <c r="PN327" s="1"/>
      <c r="PO327" s="1"/>
      <c r="PP327" s="1"/>
      <c r="PQ327" s="1"/>
      <c r="PR327" s="1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1"/>
      <c r="QD327" s="1"/>
      <c r="QE327" s="1"/>
      <c r="QF327" s="1"/>
      <c r="QG327" s="1"/>
      <c r="QH327" s="1"/>
      <c r="QI327" s="1"/>
      <c r="QJ327" s="1"/>
      <c r="QK327" s="1"/>
      <c r="QL327" s="1"/>
      <c r="QM327" s="1"/>
      <c r="QN327" s="1"/>
      <c r="QO327" s="1"/>
      <c r="QP327" s="1"/>
      <c r="QQ327" s="1"/>
      <c r="QR327" s="1"/>
      <c r="QS327" s="1"/>
      <c r="QT327" s="1"/>
      <c r="QU327" s="1"/>
      <c r="QV327" s="1"/>
      <c r="QW327" s="1"/>
      <c r="QX327" s="1"/>
      <c r="QY327" s="1"/>
      <c r="QZ327" s="1"/>
      <c r="RA327" s="1"/>
      <c r="RB327" s="1"/>
      <c r="RC327" s="1"/>
      <c r="RD327" s="1"/>
      <c r="RE327" s="1"/>
      <c r="RF327" s="1"/>
      <c r="RG327" s="1"/>
      <c r="RH327" s="1"/>
      <c r="RI327" s="1"/>
      <c r="RJ327" s="1"/>
      <c r="RK327" s="1"/>
      <c r="RL327" s="1"/>
      <c r="RM327" s="1"/>
      <c r="RN327" s="1"/>
      <c r="RO327" s="1"/>
      <c r="RP327" s="1"/>
      <c r="RQ327" s="1"/>
      <c r="RR327" s="1"/>
      <c r="RS327" s="1"/>
      <c r="RT327" s="1"/>
      <c r="RU327" s="1"/>
      <c r="RV327" s="1"/>
      <c r="RW327" s="1"/>
      <c r="RX327" s="1"/>
      <c r="RY327" s="1"/>
      <c r="RZ327" s="1"/>
      <c r="SA327" s="1"/>
      <c r="SB327" s="1"/>
      <c r="SC327" s="1"/>
      <c r="SD327" s="1"/>
      <c r="SE327" s="1"/>
      <c r="SF327" s="1"/>
      <c r="SG327" s="1"/>
      <c r="SH327" s="1"/>
      <c r="SI327" s="1"/>
      <c r="SJ327" s="1"/>
      <c r="SK327" s="1"/>
      <c r="SL327" s="1"/>
      <c r="SM327" s="1"/>
      <c r="SN327" s="1"/>
      <c r="SO327" s="1"/>
      <c r="SP327" s="1"/>
      <c r="SQ327" s="1"/>
      <c r="SR327" s="1"/>
      <c r="SS327" s="1"/>
      <c r="ST327" s="1"/>
      <c r="SU327" s="1"/>
      <c r="SV327" s="1"/>
      <c r="SW327" s="1"/>
      <c r="SX327" s="1"/>
      <c r="SY327" s="1"/>
      <c r="SZ327" s="1"/>
      <c r="TA327" s="1"/>
      <c r="TB327" s="1"/>
      <c r="TC327" s="1"/>
      <c r="TD327" s="1"/>
      <c r="TE327" s="1"/>
      <c r="TF327" s="1"/>
      <c r="TG327" s="1"/>
      <c r="TH327" s="1"/>
      <c r="TI327" s="1"/>
      <c r="TJ327" s="1"/>
      <c r="TK327" s="1"/>
      <c r="TL327" s="1"/>
      <c r="TM327" s="1"/>
      <c r="TN327" s="1"/>
      <c r="TO327" s="1"/>
      <c r="TP327" s="1"/>
      <c r="TQ327" s="1"/>
      <c r="TR327" s="1"/>
      <c r="TS327" s="1"/>
      <c r="TT327" s="1"/>
      <c r="TU327" s="1"/>
      <c r="TV327" s="1"/>
      <c r="TW327" s="1"/>
      <c r="TX327" s="1"/>
      <c r="TY327" s="1"/>
      <c r="TZ327" s="1"/>
      <c r="UA327" s="1"/>
      <c r="UB327" s="1"/>
      <c r="UC327" s="1"/>
      <c r="UD327" s="1"/>
      <c r="UE327" s="1"/>
      <c r="UF327" s="1"/>
      <c r="UG327" s="1"/>
      <c r="UH327" s="1"/>
      <c r="UI327" s="1"/>
      <c r="UJ327" s="1"/>
      <c r="UK327" s="1"/>
      <c r="UL327" s="1"/>
      <c r="UM327" s="1"/>
      <c r="UN327" s="1"/>
      <c r="UO327" s="1"/>
      <c r="UP327" s="1"/>
      <c r="UQ327" s="1"/>
      <c r="UR327" s="1"/>
      <c r="US327" s="1"/>
      <c r="UT327" s="1"/>
      <c r="UU327" s="1"/>
      <c r="UV327" s="1"/>
      <c r="UW327" s="1"/>
      <c r="UX327" s="1"/>
      <c r="UY327" s="1"/>
      <c r="UZ327" s="1"/>
      <c r="VA327" s="1"/>
      <c r="VB327" s="1"/>
      <c r="VC327" s="1"/>
      <c r="VD327" s="1"/>
      <c r="VE327" s="1"/>
      <c r="VF327" s="1"/>
      <c r="VG327" s="1"/>
      <c r="VH327" s="1"/>
      <c r="VI327" s="1"/>
      <c r="VJ327" s="1"/>
      <c r="VK327" s="1"/>
      <c r="VL327" s="1"/>
      <c r="VM327" s="1"/>
      <c r="VN327" s="1"/>
      <c r="VO327" s="1"/>
      <c r="VP327" s="1"/>
      <c r="VQ327" s="1"/>
      <c r="VR327" s="1"/>
      <c r="VS327" s="1"/>
      <c r="VT327" s="1"/>
      <c r="VU327" s="1"/>
      <c r="VV327" s="1"/>
      <c r="VW327" s="1"/>
      <c r="VX327" s="1"/>
      <c r="VY327" s="1"/>
      <c r="VZ327" s="1"/>
      <c r="WA327" s="1"/>
      <c r="WB327" s="1"/>
      <c r="WC327" s="1"/>
      <c r="WD327" s="1"/>
      <c r="WE327" s="1"/>
      <c r="WF327" s="1"/>
      <c r="WG327" s="1"/>
      <c r="WH327" s="1"/>
      <c r="WI327" s="1"/>
      <c r="WJ327" s="1"/>
      <c r="WK327" s="1"/>
      <c r="WL327" s="1"/>
      <c r="WM327" s="1"/>
      <c r="WN327" s="1"/>
      <c r="WO327" s="1"/>
      <c r="WP327" s="1"/>
      <c r="WQ327" s="1"/>
      <c r="WR327" s="1"/>
      <c r="WS327" s="1"/>
      <c r="WT327" s="1"/>
      <c r="WU327" s="1"/>
      <c r="WV327" s="1"/>
      <c r="WW327" s="1"/>
      <c r="WX327" s="1"/>
      <c r="WY327" s="1"/>
      <c r="WZ327" s="1"/>
      <c r="XA327" s="1"/>
      <c r="XB327" s="1"/>
      <c r="XC327" s="1"/>
      <c r="XD327" s="1"/>
      <c r="XE327" s="1"/>
      <c r="XF327" s="1"/>
      <c r="XG327" s="1"/>
      <c r="XH327" s="1"/>
      <c r="XI327" s="1"/>
      <c r="XJ327" s="1"/>
      <c r="XK327" s="1"/>
      <c r="XL327" s="1"/>
      <c r="XM327" s="1"/>
      <c r="XN327" s="1"/>
      <c r="XO327" s="1"/>
      <c r="XP327" s="1"/>
      <c r="XQ327" s="1"/>
      <c r="XR327" s="1"/>
      <c r="XS327" s="1"/>
      <c r="XT327" s="1"/>
      <c r="XU327" s="1"/>
      <c r="XV327" s="1"/>
      <c r="XW327" s="1"/>
      <c r="XX327" s="1"/>
      <c r="XY327" s="1"/>
      <c r="XZ327" s="1"/>
      <c r="YA327" s="1"/>
      <c r="YB327" s="1"/>
      <c r="YC327" s="1"/>
      <c r="YD327" s="1"/>
      <c r="YE327" s="1"/>
      <c r="YF327" s="1"/>
      <c r="YG327" s="1"/>
      <c r="YH327" s="1"/>
      <c r="YI327" s="1"/>
      <c r="YJ327" s="1"/>
      <c r="YK327" s="1"/>
      <c r="YL327" s="1"/>
      <c r="YM327" s="1"/>
      <c r="YN327" s="1"/>
      <c r="YO327" s="1"/>
      <c r="YP327" s="1"/>
      <c r="YQ327" s="1"/>
      <c r="YR327" s="1"/>
      <c r="YS327" s="1"/>
      <c r="YT327" s="1"/>
      <c r="YU327" s="1"/>
      <c r="YV327" s="1"/>
      <c r="YW327" s="1"/>
      <c r="YX327" s="1"/>
      <c r="YY327" s="1"/>
      <c r="YZ327" s="1"/>
      <c r="ZA327" s="1"/>
      <c r="ZB327" s="1"/>
      <c r="ZC327" s="1"/>
      <c r="ZD327" s="1"/>
      <c r="ZE327" s="1"/>
      <c r="ZF327" s="1"/>
      <c r="ZG327" s="1"/>
      <c r="ZH327" s="1"/>
      <c r="ZI327" s="1"/>
      <c r="ZJ327" s="1"/>
      <c r="ZK327" s="1"/>
      <c r="ZL327" s="1"/>
      <c r="ZM327" s="1"/>
      <c r="ZN327" s="1"/>
      <c r="ZO327" s="1"/>
      <c r="ZP327" s="1"/>
      <c r="ZQ327" s="1"/>
      <c r="ZR327" s="1"/>
      <c r="ZS327" s="1"/>
      <c r="ZT327" s="1"/>
      <c r="ZU327" s="1"/>
      <c r="ZV327" s="1"/>
      <c r="ZW327" s="1"/>
      <c r="ZX327" s="1"/>
      <c r="ZY327" s="1"/>
      <c r="ZZ327" s="1"/>
      <c r="AAA327" s="1"/>
      <c r="AAB327" s="1"/>
      <c r="AAC327" s="1"/>
      <c r="AAD327" s="1"/>
      <c r="AAE327" s="1"/>
      <c r="AAF327" s="1"/>
      <c r="AAG327" s="1"/>
      <c r="AAH327" s="1"/>
      <c r="AAI327" s="1"/>
      <c r="AAJ327" s="1"/>
      <c r="AAK327" s="1"/>
      <c r="AAL327" s="1"/>
      <c r="AAM327" s="1"/>
      <c r="AAN327" s="1"/>
      <c r="AAO327" s="1"/>
      <c r="AAP327" s="1"/>
      <c r="AAQ327" s="1"/>
      <c r="AAR327" s="1"/>
      <c r="AAS327" s="1"/>
      <c r="AAT327" s="1"/>
      <c r="AAU327" s="1"/>
      <c r="AAV327" s="1"/>
      <c r="AAW327" s="1"/>
      <c r="AAX327" s="1"/>
      <c r="AAY327" s="1"/>
      <c r="AAZ327" s="1"/>
      <c r="ABA327" s="1"/>
      <c r="ABB327" s="1"/>
      <c r="ABC327" s="1"/>
      <c r="ABD327" s="1"/>
      <c r="ABE327" s="1"/>
      <c r="ABF327" s="1"/>
      <c r="ABG327" s="1"/>
      <c r="ABH327" s="1"/>
      <c r="ABI327" s="1"/>
      <c r="ABJ327" s="1"/>
      <c r="ABK327" s="1"/>
      <c r="ABL327" s="1"/>
      <c r="ABM327" s="1"/>
      <c r="ABN327" s="1"/>
      <c r="ABO327" s="1"/>
      <c r="ABP327" s="1"/>
      <c r="ABQ327" s="1"/>
      <c r="ABR327" s="1"/>
      <c r="ABS327" s="1"/>
      <c r="ABT327" s="1"/>
      <c r="ABU327" s="1"/>
      <c r="ABV327" s="1"/>
      <c r="ABW327" s="1"/>
      <c r="ABX327" s="1"/>
      <c r="ABY327" s="1"/>
      <c r="ABZ327" s="1"/>
      <c r="ACA327" s="1"/>
      <c r="ACB327" s="1"/>
      <c r="ACC327" s="1"/>
      <c r="ACD327" s="1"/>
      <c r="ACE327" s="1"/>
      <c r="ACF327" s="1"/>
      <c r="ACG327" s="1"/>
      <c r="ACH327" s="1"/>
      <c r="ACI327" s="1"/>
      <c r="ACJ327" s="1"/>
      <c r="ACK327" s="1"/>
      <c r="ACL327" s="1"/>
      <c r="ACM327" s="1"/>
      <c r="ACN327" s="1"/>
      <c r="ACO327" s="1"/>
      <c r="ACP327" s="1"/>
      <c r="ACQ327" s="1"/>
      <c r="ACR327" s="1"/>
      <c r="ACS327" s="1"/>
      <c r="ACT327" s="1"/>
      <c r="ACU327" s="1"/>
      <c r="ACV327" s="1"/>
      <c r="ACW327" s="1"/>
      <c r="ACX327" s="1"/>
      <c r="ACY327" s="1"/>
      <c r="ACZ327" s="1"/>
      <c r="ADA327" s="1"/>
      <c r="ADB327" s="1"/>
      <c r="ADC327" s="1"/>
      <c r="ADD327" s="1"/>
      <c r="ADE327" s="1"/>
      <c r="ADF327" s="1"/>
      <c r="ADG327" s="1"/>
      <c r="ADH327" s="1"/>
      <c r="ADI327" s="1"/>
      <c r="ADJ327" s="1"/>
      <c r="ADK327" s="1"/>
      <c r="ADL327" s="1"/>
      <c r="ADM327" s="1"/>
      <c r="ADN327" s="1"/>
      <c r="ADO327" s="1"/>
      <c r="ADP327" s="1"/>
      <c r="ADQ327" s="1"/>
      <c r="ADR327" s="1"/>
      <c r="ADS327" s="1"/>
      <c r="ADT327" s="1"/>
      <c r="ADU327" s="1"/>
      <c r="ADV327" s="1"/>
      <c r="ADW327" s="1"/>
      <c r="ADX327" s="1"/>
      <c r="ADY327" s="1"/>
      <c r="ADZ327" s="1"/>
      <c r="AEA327" s="1"/>
      <c r="AEB327" s="1"/>
      <c r="AEC327" s="1"/>
      <c r="AED327" s="1"/>
      <c r="AEE327" s="1"/>
      <c r="AEF327" s="1"/>
      <c r="AEG327" s="1"/>
      <c r="AEH327" s="1"/>
      <c r="AEI327" s="1"/>
      <c r="AEJ327" s="1"/>
      <c r="AEK327" s="1"/>
      <c r="AEL327" s="1"/>
      <c r="AEM327" s="1"/>
      <c r="AEN327" s="1"/>
      <c r="AEO327" s="1"/>
      <c r="AEP327" s="1"/>
      <c r="AEQ327" s="1"/>
      <c r="AER327" s="1"/>
      <c r="AES327" s="1"/>
      <c r="AET327" s="1"/>
      <c r="AEU327" s="1"/>
      <c r="AEV327" s="1"/>
      <c r="AEW327" s="1"/>
      <c r="AEX327" s="1"/>
      <c r="AEY327" s="1"/>
      <c r="AEZ327" s="1"/>
      <c r="AFA327" s="1"/>
      <c r="AFB327" s="1"/>
      <c r="AFC327" s="1"/>
      <c r="AFD327" s="1"/>
      <c r="AFE327" s="1"/>
      <c r="AFF327" s="1"/>
      <c r="AFG327" s="1"/>
      <c r="AFH327" s="1"/>
      <c r="AFI327" s="1"/>
      <c r="AFJ327" s="1"/>
      <c r="AFK327" s="1"/>
      <c r="AFL327" s="1"/>
      <c r="AFM327" s="1"/>
      <c r="AFN327" s="1"/>
      <c r="AFO327" s="1"/>
      <c r="AFP327" s="1"/>
      <c r="AFQ327" s="1"/>
      <c r="AFR327" s="1"/>
      <c r="AFS327" s="1"/>
      <c r="AFT327" s="1"/>
      <c r="AFU327" s="1"/>
      <c r="AFV327" s="1"/>
      <c r="AFW327" s="1"/>
      <c r="AFX327" s="1"/>
      <c r="AFY327" s="1"/>
      <c r="AFZ327" s="1"/>
      <c r="AGA327" s="1"/>
      <c r="AGB327" s="1"/>
      <c r="AGC327" s="1"/>
      <c r="AGD327" s="1"/>
      <c r="AGE327" s="1"/>
      <c r="AGF327" s="1"/>
      <c r="AGG327" s="1"/>
      <c r="AGH327" s="1"/>
      <c r="AGI327" s="1"/>
      <c r="AGJ327" s="1"/>
      <c r="AGK327" s="1"/>
      <c r="AGL327" s="1"/>
      <c r="AGM327" s="1"/>
      <c r="AGN327" s="1"/>
      <c r="AGO327" s="1"/>
      <c r="AGP327" s="1"/>
      <c r="AGQ327" s="1"/>
      <c r="AGR327" s="1"/>
      <c r="AGS327" s="1"/>
      <c r="AGT327" s="1"/>
      <c r="AGU327" s="1"/>
      <c r="AGV327" s="1"/>
      <c r="AGW327" s="1"/>
      <c r="AGX327" s="1"/>
      <c r="AGY327" s="1"/>
      <c r="AGZ327" s="1"/>
      <c r="AHA327" s="1"/>
      <c r="AHB327" s="1"/>
      <c r="AHC327" s="1"/>
      <c r="AHD327" s="1"/>
      <c r="AHE327" s="1"/>
      <c r="AHF327" s="1"/>
      <c r="AHG327" s="1"/>
      <c r="AHH327" s="1"/>
      <c r="AHI327" s="1"/>
      <c r="AHJ327" s="1"/>
      <c r="AHK327" s="1"/>
      <c r="AHL327" s="1"/>
      <c r="AHM327" s="1"/>
      <c r="AHN327" s="1"/>
      <c r="AHO327" s="1"/>
      <c r="AHP327" s="1"/>
      <c r="AHQ327" s="1"/>
      <c r="AHR327" s="1"/>
      <c r="AHS327" s="1"/>
      <c r="AHT327" s="1"/>
      <c r="AHU327" s="1"/>
      <c r="AHV327" s="1"/>
      <c r="AHW327" s="1"/>
      <c r="AHX327" s="1"/>
      <c r="AHY327" s="1"/>
      <c r="AHZ327" s="1"/>
      <c r="AIA327" s="1"/>
      <c r="AIB327" s="1"/>
      <c r="AIC327" s="1"/>
      <c r="AID327" s="1"/>
      <c r="AIE327" s="1"/>
      <c r="AIF327" s="1"/>
      <c r="AIG327" s="1"/>
      <c r="AIH327" s="1"/>
      <c r="AII327" s="1"/>
      <c r="AIJ327" s="1"/>
      <c r="AIK327" s="1"/>
      <c r="AIL327" s="1"/>
      <c r="AIM327" s="1"/>
      <c r="AIN327" s="1"/>
      <c r="AIO327" s="1"/>
      <c r="AIP327" s="1"/>
      <c r="AIQ327" s="1"/>
      <c r="AIR327" s="1"/>
      <c r="AIS327" s="1"/>
      <c r="AIT327" s="1"/>
      <c r="AIU327" s="1"/>
      <c r="AIV327" s="1"/>
      <c r="AIW327" s="1"/>
      <c r="AIX327" s="1"/>
      <c r="AIY327" s="1"/>
      <c r="AIZ327" s="1"/>
      <c r="AJA327" s="1"/>
      <c r="AJB327" s="1"/>
      <c r="AJC327" s="1"/>
      <c r="AJD327" s="1"/>
      <c r="AJE327" s="1"/>
      <c r="AJF327" s="1"/>
      <c r="AJG327" s="1"/>
      <c r="AJH327" s="1"/>
      <c r="AJI327" s="1"/>
      <c r="AJJ327" s="1"/>
      <c r="AJK327" s="1"/>
      <c r="AJL327" s="1"/>
      <c r="AJM327" s="1"/>
      <c r="AJN327" s="1"/>
      <c r="AJO327" s="1"/>
      <c r="AJP327" s="1"/>
      <c r="AJQ327" s="1"/>
      <c r="AJR327" s="1"/>
      <c r="AJS327" s="1"/>
      <c r="AJT327" s="1"/>
      <c r="AJU327" s="1"/>
      <c r="AJV327" s="1"/>
      <c r="AJW327" s="1"/>
      <c r="AJX327" s="1"/>
      <c r="AJY327" s="1"/>
      <c r="AJZ327" s="1"/>
      <c r="AKA327" s="1"/>
      <c r="AKB327" s="1"/>
      <c r="AKC327" s="1"/>
      <c r="AKD327" s="1"/>
      <c r="AKE327" s="1"/>
      <c r="AKF327" s="1"/>
      <c r="AKG327" s="1"/>
      <c r="AKH327" s="1"/>
      <c r="AKI327" s="1"/>
      <c r="AKJ327" s="1"/>
      <c r="AKK327" s="1"/>
      <c r="AKL327" s="1"/>
      <c r="AKM327" s="1"/>
      <c r="AKN327" s="1"/>
      <c r="AKO327" s="1"/>
      <c r="AKP327" s="1"/>
      <c r="AKQ327" s="1"/>
      <c r="AKR327" s="1"/>
      <c r="AKS327" s="1"/>
      <c r="AKT327" s="1"/>
      <c r="AKU327" s="1"/>
      <c r="AKV327" s="1"/>
      <c r="AKW327" s="1"/>
      <c r="AKX327" s="1"/>
      <c r="AKY327" s="1"/>
      <c r="AKZ327" s="1"/>
      <c r="ALA327" s="1"/>
      <c r="ALB327" s="1"/>
      <c r="ALC327" s="1"/>
      <c r="ALD327" s="1"/>
      <c r="ALE327" s="1"/>
      <c r="ALF327" s="1"/>
      <c r="ALG327" s="1"/>
      <c r="ALH327" s="1"/>
      <c r="ALI327" s="1"/>
      <c r="ALJ327" s="1"/>
      <c r="ALK327" s="1"/>
      <c r="ALL327" s="1"/>
      <c r="ALM327" s="1"/>
      <c r="ALN327" s="1"/>
      <c r="ALO327" s="1"/>
      <c r="ALP327" s="1"/>
      <c r="ALQ327" s="1"/>
      <c r="ALR327" s="1"/>
      <c r="ALS327" s="1"/>
      <c r="ALT327" s="1"/>
      <c r="ALU327" s="1"/>
      <c r="ALV327" s="1"/>
      <c r="ALW327" s="1"/>
      <c r="ALX327" s="1"/>
      <c r="ALY327" s="1"/>
      <c r="ALZ327" s="1"/>
      <c r="AMA327" s="1"/>
      <c r="AMB327" s="1"/>
      <c r="AMC327" s="1"/>
      <c r="AMD327" s="1"/>
      <c r="AME327" s="1"/>
      <c r="AMF327" s="1"/>
      <c r="AMG327" s="1"/>
      <c r="AMH327" s="1"/>
      <c r="AMI327" s="1"/>
      <c r="AMJ327" s="1"/>
      <c r="AMK327" s="1"/>
      <c r="AML327" s="1"/>
      <c r="AMM327" s="1"/>
      <c r="AMN327" s="1"/>
      <c r="AMO327" s="1"/>
    </row>
    <row r="328" spans="1:1030" x14ac:dyDescent="0.2">
      <c r="A328" s="3" t="str">
        <f>CONCATENATE(B328,"_",C328)</f>
        <v>opsd_todpa__wt</v>
      </c>
      <c r="B328" s="3" t="s">
        <v>915</v>
      </c>
      <c r="C328" s="3" t="s">
        <v>100</v>
      </c>
      <c r="D328" s="3" t="str">
        <f>IFERROR(MID(VLOOKUP($B328,Seqs!$A:$B,2,0),E328,1),"")</f>
        <v>D</v>
      </c>
      <c r="E328" s="3">
        <v>31</v>
      </c>
      <c r="F328" s="3" t="str">
        <f>IFERROR(MID(VLOOKUP($B328,Seqs!$A:$B,2,0),G328,1),"")</f>
        <v>T</v>
      </c>
      <c r="G328" s="3">
        <v>62</v>
      </c>
      <c r="H328" s="3" t="str">
        <f>IFERROR(MID(VLOOKUP($B328,Seqs!$A:$B,2,0),I328,1),"")</f>
        <v>K</v>
      </c>
      <c r="I328" s="23">
        <v>63</v>
      </c>
      <c r="J328" s="3" t="str">
        <f>IFERROR(MID(VLOOKUP($B328,Seqs!$A:$B,2,0),K328,1),"")</f>
        <v>Q</v>
      </c>
      <c r="K328" s="23">
        <v>66</v>
      </c>
      <c r="L328" s="3" t="str">
        <f>IFERROR(MID(VLOOKUP($B328,Seqs!$A:$B,2,0),M328,1),"")</f>
        <v>T</v>
      </c>
      <c r="M328" s="3">
        <v>67</v>
      </c>
      <c r="N328" s="3" t="str">
        <f>IFERROR(MID(VLOOKUP($B328,Seqs!$A:$B,2,0),O328,1),"")</f>
        <v>K</v>
      </c>
      <c r="O328" s="3">
        <v>99</v>
      </c>
      <c r="P328" s="3" t="str">
        <f>IFERROR(MID(VLOOKUP($B328,Seqs!$A:$B,2,0),Q328,1),"")</f>
        <v>K</v>
      </c>
      <c r="Q328" s="3">
        <v>100</v>
      </c>
      <c r="R328" s="3" t="str">
        <f>IFERROR(MID(VLOOKUP($B328,Seqs!$A:$B,2,0),S328,1),"")</f>
        <v>F</v>
      </c>
      <c r="S328" s="3">
        <v>103</v>
      </c>
      <c r="T328" s="3" t="str">
        <f>IFERROR(MID(VLOOKUP($B328,Seqs!$A:$B,2,0),U328,1),"")</f>
        <v>G</v>
      </c>
      <c r="U328" s="3">
        <v>104</v>
      </c>
      <c r="V328" s="3" t="str">
        <f>IFERROR(MID(VLOOKUP($B328,Seqs!$A:$B,2,0),W328,1),"")</f>
        <v>R</v>
      </c>
      <c r="W328" s="3">
        <v>139</v>
      </c>
      <c r="X328" s="3" t="str">
        <f>IFERROR(MID(VLOOKUP($B328,Seqs!$A:$B,2,0),Y328,1),"")</f>
        <v>P</v>
      </c>
      <c r="Y328" s="3">
        <v>140</v>
      </c>
      <c r="Z328" s="3" t="str">
        <f>IFERROR(MID(VLOOKUP($B328,Seqs!$A:$B,2,0),AA328,1),"")</f>
        <v>M</v>
      </c>
      <c r="AA328" s="3">
        <v>147</v>
      </c>
      <c r="AB328" s="3" t="str">
        <f>IFERROR(MID(VLOOKUP($B328,Seqs!$A:$B,2,0),AC328,1),"")</f>
        <v>S</v>
      </c>
      <c r="AC328" s="9">
        <v>148</v>
      </c>
      <c r="AD328" s="3" t="str">
        <f>IFERROR(MID(VLOOKUP($B328,Seqs!$A:$B,2,0),AE328,1),"")</f>
        <v>F</v>
      </c>
      <c r="AE328" s="3">
        <v>172</v>
      </c>
      <c r="AF328" s="3" t="str">
        <f>IFERROR(MID(VLOOKUP($B328,Seqs!$A:$B,2,0),AG328,1),"")</f>
        <v>C</v>
      </c>
      <c r="AG328" s="3">
        <v>186</v>
      </c>
      <c r="AH328" s="3" t="str">
        <f>IFERROR(MID(VLOOKUP($B328,Seqs!$A:$B,2,0),AI328,1),"")</f>
        <v>F</v>
      </c>
      <c r="AI328" s="3">
        <v>188</v>
      </c>
      <c r="AJ328" s="3" t="str">
        <f>IFERROR(MID(VLOOKUP($B328,Seqs!$A:$B,2,0),AK328,1),"")</f>
        <v>D</v>
      </c>
      <c r="AK328" s="3">
        <v>194</v>
      </c>
      <c r="AL328" s="3" t="str">
        <f>IFERROR(MID(VLOOKUP($B328,Seqs!$A:$B,2,0),AM328,1),"")</f>
        <v>K</v>
      </c>
      <c r="AM328" s="3">
        <v>239</v>
      </c>
      <c r="AN328" s="3" t="str">
        <f>IFERROR(MID(VLOOKUP($B328,Seqs!$A:$B,2,0),AO328,1),"")</f>
        <v>K</v>
      </c>
      <c r="AO328" s="3">
        <v>244</v>
      </c>
      <c r="AP328" s="3" t="str">
        <f>IFERROR(MID(VLOOKUP($B328,Seqs!$A:$B,2,0),AQ328,1),"")</f>
        <v>G</v>
      </c>
      <c r="AQ328" s="3">
        <v>287</v>
      </c>
      <c r="AR328" s="3" t="str">
        <f>IFERROR(MID(VLOOKUP($B328,Seqs!$A:$B,2,0),AS328,1),"")</f>
        <v>T</v>
      </c>
      <c r="AS328" s="3">
        <v>293</v>
      </c>
      <c r="AT328" s="3" t="str">
        <f>IFERROR(MID(VLOOKUP($B328,Seqs!$A:$B,2,0),AU328,1),"")</f>
        <v>S</v>
      </c>
      <c r="AU328" s="3">
        <v>318</v>
      </c>
      <c r="AV328" s="3" t="str">
        <f>IFERROR(MID(VLOOKUP($B328,Seqs!$A:$B,2,0),AW328,1),"")</f>
        <v>H</v>
      </c>
      <c r="AW328" s="3">
        <v>319</v>
      </c>
      <c r="AX328" s="3" t="str">
        <f>IFERROR(MID(VLOOKUP($B328,Seqs!$A:$B,2,0),AY328,1),"")</f>
        <v>F</v>
      </c>
      <c r="AY328" s="3">
        <v>330</v>
      </c>
      <c r="AZ328" s="77" t="str">
        <f>VLOOKUP(B328,Classification!A:D,2,0)</f>
        <v>A</v>
      </c>
      <c r="BA328" s="94" t="str">
        <f>VLOOKUP(B328,Classification!A:D,4,0)</f>
        <v>Opsins</v>
      </c>
      <c r="BB328" s="27" t="b">
        <f t="shared" si="1114"/>
        <v>1</v>
      </c>
      <c r="BC328" s="23">
        <f t="shared" si="1113"/>
        <v>273</v>
      </c>
      <c r="BD328" s="56" t="s">
        <v>23</v>
      </c>
      <c r="BE328" s="3" t="s">
        <v>23</v>
      </c>
      <c r="BF328" s="118" t="s">
        <v>23</v>
      </c>
      <c r="BG328" s="49" t="s">
        <v>1366</v>
      </c>
      <c r="BH328" s="49" t="s">
        <v>1371</v>
      </c>
      <c r="BI328" s="1"/>
      <c r="BJ328" s="70" t="s">
        <v>1281</v>
      </c>
      <c r="BK328" s="57" t="s">
        <v>1281</v>
      </c>
      <c r="BL328" s="57" t="s">
        <v>1281</v>
      </c>
      <c r="BM328" s="57" t="s">
        <v>1281</v>
      </c>
      <c r="BN328" s="57" t="s">
        <v>1281</v>
      </c>
      <c r="BO328" s="57" t="s">
        <v>1281</v>
      </c>
      <c r="BP328" s="57" t="s">
        <v>1281</v>
      </c>
      <c r="BQ328" s="57" t="s">
        <v>1281</v>
      </c>
      <c r="BR328" s="57" t="s">
        <v>1281</v>
      </c>
      <c r="BS328" s="57" t="s">
        <v>1281</v>
      </c>
      <c r="BT328" s="57" t="s">
        <v>1281</v>
      </c>
      <c r="BU328" s="57" t="s">
        <v>1281</v>
      </c>
      <c r="BV328" s="70">
        <f>E328</f>
        <v>31</v>
      </c>
      <c r="BW328" s="71">
        <f>I328</f>
        <v>63</v>
      </c>
      <c r="BX328" s="72">
        <f>M328</f>
        <v>67</v>
      </c>
      <c r="BY328" s="71">
        <f>Q328</f>
        <v>100</v>
      </c>
      <c r="BZ328" s="72">
        <f>U328</f>
        <v>104</v>
      </c>
      <c r="CA328" s="71">
        <f>Y328</f>
        <v>140</v>
      </c>
      <c r="CB328" s="72">
        <f>AC328</f>
        <v>148</v>
      </c>
      <c r="CC328" s="71">
        <f>AG328</f>
        <v>186</v>
      </c>
      <c r="CD328" s="72">
        <f>AK328</f>
        <v>194</v>
      </c>
      <c r="CE328" s="71">
        <f>AO328</f>
        <v>244</v>
      </c>
      <c r="CF328" s="72">
        <f>AS328</f>
        <v>293</v>
      </c>
      <c r="CG328" s="71">
        <f>AW328</f>
        <v>319</v>
      </c>
      <c r="CH328" s="70">
        <f>G328</f>
        <v>62</v>
      </c>
      <c r="CI328" s="71">
        <f>K328</f>
        <v>66</v>
      </c>
      <c r="CJ328" s="72">
        <f>O328</f>
        <v>99</v>
      </c>
      <c r="CK328" s="72">
        <f>S328</f>
        <v>103</v>
      </c>
      <c r="CL328" s="72">
        <f>W328</f>
        <v>139</v>
      </c>
      <c r="CM328" s="72">
        <f>AA328</f>
        <v>147</v>
      </c>
      <c r="CN328" s="72">
        <f>AE328</f>
        <v>172</v>
      </c>
      <c r="CO328" s="72">
        <f>AI328</f>
        <v>188</v>
      </c>
      <c r="CP328" s="72">
        <f>AM328</f>
        <v>239</v>
      </c>
      <c r="CQ328" s="72">
        <f>AQ328</f>
        <v>287</v>
      </c>
      <c r="CR328" s="72">
        <f>AU328</f>
        <v>318</v>
      </c>
      <c r="CS328" s="72">
        <f>AY328</f>
        <v>330</v>
      </c>
      <c r="CT328" s="23">
        <f>M328-K328</f>
        <v>1</v>
      </c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U328" s="1"/>
      <c r="OV328" s="1"/>
      <c r="OW328" s="1"/>
      <c r="OX328" s="1"/>
      <c r="OY328" s="1"/>
      <c r="OZ328" s="1"/>
      <c r="PA328" s="1"/>
      <c r="PB328" s="1"/>
      <c r="PC328" s="1"/>
      <c r="PD328" s="1"/>
      <c r="PE328" s="1"/>
      <c r="PF328" s="1"/>
      <c r="PG328" s="1"/>
      <c r="PH328" s="1"/>
      <c r="PI328" s="1"/>
      <c r="PJ328" s="1"/>
      <c r="PK328" s="1"/>
      <c r="PL328" s="1"/>
      <c r="PM328" s="1"/>
      <c r="PN328" s="1"/>
      <c r="PO328" s="1"/>
      <c r="PP328" s="1"/>
      <c r="PQ328" s="1"/>
      <c r="PR328" s="1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1"/>
      <c r="QD328" s="1"/>
      <c r="QE328" s="1"/>
      <c r="QF328" s="1"/>
      <c r="QG328" s="1"/>
      <c r="QH328" s="1"/>
      <c r="QI328" s="1"/>
      <c r="QJ328" s="1"/>
      <c r="QK328" s="1"/>
      <c r="QL328" s="1"/>
      <c r="QM328" s="1"/>
      <c r="QN328" s="1"/>
      <c r="QO328" s="1"/>
      <c r="QP328" s="1"/>
      <c r="QQ328" s="1"/>
      <c r="QR328" s="1"/>
      <c r="QS328" s="1"/>
      <c r="QT328" s="1"/>
      <c r="QU328" s="1"/>
      <c r="QV328" s="1"/>
      <c r="QW328" s="1"/>
      <c r="QX328" s="1"/>
      <c r="QY328" s="1"/>
      <c r="QZ328" s="1"/>
      <c r="RA328" s="1"/>
      <c r="RB328" s="1"/>
      <c r="RC328" s="1"/>
      <c r="RD328" s="1"/>
      <c r="RE328" s="1"/>
      <c r="RF328" s="1"/>
      <c r="RG328" s="1"/>
      <c r="RH328" s="1"/>
      <c r="RI328" s="1"/>
      <c r="RJ328" s="1"/>
      <c r="RK328" s="1"/>
      <c r="RL328" s="1"/>
      <c r="RM328" s="1"/>
      <c r="RN328" s="1"/>
      <c r="RO328" s="1"/>
      <c r="RP328" s="1"/>
      <c r="RQ328" s="1"/>
      <c r="RR328" s="1"/>
      <c r="RS328" s="1"/>
      <c r="RT328" s="1"/>
      <c r="RU328" s="1"/>
      <c r="RV328" s="1"/>
      <c r="RW328" s="1"/>
      <c r="RX328" s="1"/>
      <c r="RY328" s="1"/>
      <c r="RZ328" s="1"/>
      <c r="SA328" s="1"/>
      <c r="SB328" s="1"/>
      <c r="SC328" s="1"/>
      <c r="SD328" s="1"/>
      <c r="SE328" s="1"/>
      <c r="SF328" s="1"/>
      <c r="SG328" s="1"/>
      <c r="SH328" s="1"/>
      <c r="SI328" s="1"/>
      <c r="SJ328" s="1"/>
      <c r="SK328" s="1"/>
      <c r="SL328" s="1"/>
      <c r="SM328" s="1"/>
      <c r="SN328" s="1"/>
      <c r="SO328" s="1"/>
      <c r="SP328" s="1"/>
      <c r="SQ328" s="1"/>
      <c r="SR328" s="1"/>
      <c r="SS328" s="1"/>
      <c r="ST328" s="1"/>
      <c r="SU328" s="1"/>
      <c r="SV328" s="1"/>
      <c r="SW328" s="1"/>
      <c r="SX328" s="1"/>
      <c r="SY328" s="1"/>
      <c r="SZ328" s="1"/>
      <c r="TA328" s="1"/>
      <c r="TB328" s="1"/>
      <c r="TC328" s="1"/>
      <c r="TD328" s="1"/>
      <c r="TE328" s="1"/>
      <c r="TF328" s="1"/>
      <c r="TG328" s="1"/>
      <c r="TH328" s="1"/>
      <c r="TI328" s="1"/>
      <c r="TJ328" s="1"/>
      <c r="TK328" s="1"/>
      <c r="TL328" s="1"/>
      <c r="TM328" s="1"/>
      <c r="TN328" s="1"/>
      <c r="TO328" s="1"/>
      <c r="TP328" s="1"/>
      <c r="TQ328" s="1"/>
      <c r="TR328" s="1"/>
      <c r="TS328" s="1"/>
      <c r="TT328" s="1"/>
      <c r="TU328" s="1"/>
      <c r="TV328" s="1"/>
      <c r="TW328" s="1"/>
      <c r="TX328" s="1"/>
      <c r="TY328" s="1"/>
      <c r="TZ328" s="1"/>
      <c r="UA328" s="1"/>
      <c r="UB328" s="1"/>
      <c r="UC328" s="1"/>
      <c r="UD328" s="1"/>
      <c r="UE328" s="1"/>
      <c r="UF328" s="1"/>
      <c r="UG328" s="1"/>
      <c r="UH328" s="1"/>
      <c r="UI328" s="1"/>
      <c r="UJ328" s="1"/>
      <c r="UK328" s="1"/>
      <c r="UL328" s="1"/>
      <c r="UM328" s="1"/>
      <c r="UN328" s="1"/>
      <c r="UO328" s="1"/>
      <c r="UP328" s="1"/>
      <c r="UQ328" s="1"/>
      <c r="UR328" s="1"/>
      <c r="US328" s="1"/>
      <c r="UT328" s="1"/>
      <c r="UU328" s="1"/>
      <c r="UV328" s="1"/>
      <c r="UW328" s="1"/>
      <c r="UX328" s="1"/>
      <c r="UY328" s="1"/>
      <c r="UZ328" s="1"/>
      <c r="VA328" s="1"/>
      <c r="VB328" s="1"/>
      <c r="VC328" s="1"/>
      <c r="VD328" s="1"/>
      <c r="VE328" s="1"/>
      <c r="VF328" s="1"/>
      <c r="VG328" s="1"/>
      <c r="VH328" s="1"/>
      <c r="VI328" s="1"/>
      <c r="VJ328" s="1"/>
      <c r="VK328" s="1"/>
      <c r="VL328" s="1"/>
      <c r="VM328" s="1"/>
      <c r="VN328" s="1"/>
      <c r="VO328" s="1"/>
      <c r="VP328" s="1"/>
      <c r="VQ328" s="1"/>
      <c r="VR328" s="1"/>
      <c r="VS328" s="1"/>
      <c r="VT328" s="1"/>
      <c r="VU328" s="1"/>
      <c r="VV328" s="1"/>
      <c r="VW328" s="1"/>
      <c r="VX328" s="1"/>
      <c r="VY328" s="1"/>
      <c r="VZ328" s="1"/>
      <c r="WA328" s="1"/>
      <c r="WB328" s="1"/>
      <c r="WC328" s="1"/>
      <c r="WD328" s="1"/>
      <c r="WE328" s="1"/>
      <c r="WF328" s="1"/>
      <c r="WG328" s="1"/>
      <c r="WH328" s="1"/>
      <c r="WI328" s="1"/>
      <c r="WJ328" s="1"/>
      <c r="WK328" s="1"/>
      <c r="WL328" s="1"/>
      <c r="WM328" s="1"/>
      <c r="WN328" s="1"/>
      <c r="WO328" s="1"/>
      <c r="WP328" s="1"/>
      <c r="WQ328" s="1"/>
      <c r="WR328" s="1"/>
      <c r="WS328" s="1"/>
      <c r="WT328" s="1"/>
      <c r="WU328" s="1"/>
      <c r="WV328" s="1"/>
      <c r="WW328" s="1"/>
      <c r="WX328" s="1"/>
      <c r="WY328" s="1"/>
      <c r="WZ328" s="1"/>
      <c r="XA328" s="1"/>
      <c r="XB328" s="1"/>
      <c r="XC328" s="1"/>
      <c r="XD328" s="1"/>
      <c r="XE328" s="1"/>
      <c r="XF328" s="1"/>
      <c r="XG328" s="1"/>
      <c r="XH328" s="1"/>
      <c r="XI328" s="1"/>
      <c r="XJ328" s="1"/>
      <c r="XK328" s="1"/>
      <c r="XL328" s="1"/>
      <c r="XM328" s="1"/>
      <c r="XN328" s="1"/>
      <c r="XO328" s="1"/>
      <c r="XP328" s="1"/>
      <c r="XQ328" s="1"/>
      <c r="XR328" s="1"/>
      <c r="XS328" s="1"/>
      <c r="XT328" s="1"/>
      <c r="XU328" s="1"/>
      <c r="XV328" s="1"/>
      <c r="XW328" s="1"/>
      <c r="XX328" s="1"/>
      <c r="XY328" s="1"/>
      <c r="XZ328" s="1"/>
      <c r="YA328" s="1"/>
      <c r="YB328" s="1"/>
      <c r="YC328" s="1"/>
      <c r="YD328" s="1"/>
      <c r="YE328" s="1"/>
      <c r="YF328" s="1"/>
      <c r="YG328" s="1"/>
      <c r="YH328" s="1"/>
      <c r="YI328" s="1"/>
      <c r="YJ328" s="1"/>
      <c r="YK328" s="1"/>
      <c r="YL328" s="1"/>
      <c r="YM328" s="1"/>
      <c r="YN328" s="1"/>
      <c r="YO328" s="1"/>
      <c r="YP328" s="1"/>
      <c r="YQ328" s="1"/>
      <c r="YR328" s="1"/>
      <c r="YS328" s="1"/>
      <c r="YT328" s="1"/>
      <c r="YU328" s="1"/>
      <c r="YV328" s="1"/>
      <c r="YW328" s="1"/>
      <c r="YX328" s="1"/>
      <c r="YY328" s="1"/>
      <c r="YZ328" s="1"/>
      <c r="ZA328" s="1"/>
      <c r="ZB328" s="1"/>
      <c r="ZC328" s="1"/>
      <c r="ZD328" s="1"/>
      <c r="ZE328" s="1"/>
      <c r="ZF328" s="1"/>
      <c r="ZG328" s="1"/>
      <c r="ZH328" s="1"/>
      <c r="ZI328" s="1"/>
      <c r="ZJ328" s="1"/>
      <c r="ZK328" s="1"/>
      <c r="ZL328" s="1"/>
      <c r="ZM328" s="1"/>
      <c r="ZN328" s="1"/>
      <c r="ZO328" s="1"/>
      <c r="ZP328" s="1"/>
      <c r="ZQ328" s="1"/>
      <c r="ZR328" s="1"/>
      <c r="ZS328" s="1"/>
      <c r="ZT328" s="1"/>
      <c r="ZU328" s="1"/>
      <c r="ZV328" s="1"/>
      <c r="ZW328" s="1"/>
      <c r="ZX328" s="1"/>
      <c r="ZY328" s="1"/>
      <c r="ZZ328" s="1"/>
      <c r="AAA328" s="1"/>
      <c r="AAB328" s="1"/>
      <c r="AAC328" s="1"/>
      <c r="AAD328" s="1"/>
      <c r="AAE328" s="1"/>
      <c r="AAF328" s="1"/>
      <c r="AAG328" s="1"/>
      <c r="AAH328" s="1"/>
      <c r="AAI328" s="1"/>
      <c r="AAJ328" s="1"/>
      <c r="AAK328" s="1"/>
      <c r="AAL328" s="1"/>
      <c r="AAM328" s="1"/>
      <c r="AAN328" s="1"/>
      <c r="AAO328" s="1"/>
      <c r="AAP328" s="1"/>
      <c r="AAQ328" s="1"/>
      <c r="AAR328" s="1"/>
      <c r="AAS328" s="1"/>
      <c r="AAT328" s="1"/>
      <c r="AAU328" s="1"/>
      <c r="AAV328" s="1"/>
      <c r="AAW328" s="1"/>
      <c r="AAX328" s="1"/>
      <c r="AAY328" s="1"/>
      <c r="AAZ328" s="1"/>
      <c r="ABA328" s="1"/>
      <c r="ABB328" s="1"/>
      <c r="ABC328" s="1"/>
      <c r="ABD328" s="1"/>
      <c r="ABE328" s="1"/>
      <c r="ABF328" s="1"/>
      <c r="ABG328" s="1"/>
      <c r="ABH328" s="1"/>
      <c r="ABI328" s="1"/>
      <c r="ABJ328" s="1"/>
      <c r="ABK328" s="1"/>
      <c r="ABL328" s="1"/>
      <c r="ABM328" s="1"/>
      <c r="ABN328" s="1"/>
      <c r="ABO328" s="1"/>
      <c r="ABP328" s="1"/>
      <c r="ABQ328" s="1"/>
      <c r="ABR328" s="1"/>
      <c r="ABS328" s="1"/>
      <c r="ABT328" s="1"/>
      <c r="ABU328" s="1"/>
      <c r="ABV328" s="1"/>
      <c r="ABW328" s="1"/>
      <c r="ABX328" s="1"/>
      <c r="ABY328" s="1"/>
      <c r="ABZ328" s="1"/>
      <c r="ACA328" s="1"/>
      <c r="ACB328" s="1"/>
      <c r="ACC328" s="1"/>
      <c r="ACD328" s="1"/>
      <c r="ACE328" s="1"/>
      <c r="ACF328" s="1"/>
      <c r="ACG328" s="1"/>
      <c r="ACH328" s="1"/>
      <c r="ACI328" s="1"/>
      <c r="ACJ328" s="1"/>
      <c r="ACK328" s="1"/>
      <c r="ACL328" s="1"/>
      <c r="ACM328" s="1"/>
      <c r="ACN328" s="1"/>
      <c r="ACO328" s="1"/>
      <c r="ACP328" s="1"/>
      <c r="ACQ328" s="1"/>
      <c r="ACR328" s="1"/>
      <c r="ACS328" s="1"/>
      <c r="ACT328" s="1"/>
      <c r="ACU328" s="1"/>
      <c r="ACV328" s="1"/>
      <c r="ACW328" s="1"/>
      <c r="ACX328" s="1"/>
      <c r="ACY328" s="1"/>
      <c r="ACZ328" s="1"/>
      <c r="ADA328" s="1"/>
      <c r="ADB328" s="1"/>
      <c r="ADC328" s="1"/>
      <c r="ADD328" s="1"/>
      <c r="ADE328" s="1"/>
      <c r="ADF328" s="1"/>
      <c r="ADG328" s="1"/>
      <c r="ADH328" s="1"/>
      <c r="ADI328" s="1"/>
      <c r="ADJ328" s="1"/>
      <c r="ADK328" s="1"/>
      <c r="ADL328" s="1"/>
      <c r="ADM328" s="1"/>
      <c r="ADN328" s="1"/>
      <c r="ADO328" s="1"/>
      <c r="ADP328" s="1"/>
      <c r="ADQ328" s="1"/>
      <c r="ADR328" s="1"/>
      <c r="ADS328" s="1"/>
      <c r="ADT328" s="1"/>
      <c r="ADU328" s="1"/>
      <c r="ADV328" s="1"/>
      <c r="ADW328" s="1"/>
      <c r="ADX328" s="1"/>
      <c r="ADY328" s="1"/>
      <c r="ADZ328" s="1"/>
      <c r="AEA328" s="1"/>
      <c r="AEB328" s="1"/>
      <c r="AEC328" s="1"/>
      <c r="AED328" s="1"/>
      <c r="AEE328" s="1"/>
      <c r="AEF328" s="1"/>
      <c r="AEG328" s="1"/>
      <c r="AEH328" s="1"/>
      <c r="AEI328" s="1"/>
      <c r="AEJ328" s="1"/>
      <c r="AEK328" s="1"/>
      <c r="AEL328" s="1"/>
      <c r="AEM328" s="1"/>
      <c r="AEN328" s="1"/>
      <c r="AEO328" s="1"/>
      <c r="AEP328" s="1"/>
      <c r="AEQ328" s="1"/>
      <c r="AER328" s="1"/>
      <c r="AES328" s="1"/>
      <c r="AET328" s="1"/>
      <c r="AEU328" s="1"/>
      <c r="AEV328" s="1"/>
      <c r="AEW328" s="1"/>
      <c r="AEX328" s="1"/>
      <c r="AEY328" s="1"/>
      <c r="AEZ328" s="1"/>
      <c r="AFA328" s="1"/>
      <c r="AFB328" s="1"/>
      <c r="AFC328" s="1"/>
      <c r="AFD328" s="1"/>
      <c r="AFE328" s="1"/>
      <c r="AFF328" s="1"/>
      <c r="AFG328" s="1"/>
      <c r="AFH328" s="1"/>
      <c r="AFI328" s="1"/>
      <c r="AFJ328" s="1"/>
      <c r="AFK328" s="1"/>
      <c r="AFL328" s="1"/>
      <c r="AFM328" s="1"/>
      <c r="AFN328" s="1"/>
      <c r="AFO328" s="1"/>
      <c r="AFP328" s="1"/>
      <c r="AFQ328" s="1"/>
      <c r="AFR328" s="1"/>
      <c r="AFS328" s="1"/>
      <c r="AFT328" s="1"/>
      <c r="AFU328" s="1"/>
      <c r="AFV328" s="1"/>
      <c r="AFW328" s="1"/>
      <c r="AFX328" s="1"/>
      <c r="AFY328" s="1"/>
      <c r="AFZ328" s="1"/>
      <c r="AGA328" s="1"/>
      <c r="AGB328" s="1"/>
      <c r="AGC328" s="1"/>
      <c r="AGD328" s="1"/>
      <c r="AGE328" s="1"/>
      <c r="AGF328" s="1"/>
      <c r="AGG328" s="1"/>
      <c r="AGH328" s="1"/>
      <c r="AGI328" s="1"/>
      <c r="AGJ328" s="1"/>
      <c r="AGK328" s="1"/>
      <c r="AGL328" s="1"/>
      <c r="AGM328" s="1"/>
      <c r="AGN328" s="1"/>
      <c r="AGO328" s="1"/>
      <c r="AGP328" s="1"/>
      <c r="AGQ328" s="1"/>
      <c r="AGR328" s="1"/>
      <c r="AGS328" s="1"/>
      <c r="AGT328" s="1"/>
      <c r="AGU328" s="1"/>
      <c r="AGV328" s="1"/>
      <c r="AGW328" s="1"/>
      <c r="AGX328" s="1"/>
      <c r="AGY328" s="1"/>
      <c r="AGZ328" s="1"/>
      <c r="AHA328" s="1"/>
      <c r="AHB328" s="1"/>
      <c r="AHC328" s="1"/>
      <c r="AHD328" s="1"/>
      <c r="AHE328" s="1"/>
      <c r="AHF328" s="1"/>
      <c r="AHG328" s="1"/>
      <c r="AHH328" s="1"/>
      <c r="AHI328" s="1"/>
      <c r="AHJ328" s="1"/>
      <c r="AHK328" s="1"/>
      <c r="AHL328" s="1"/>
      <c r="AHM328" s="1"/>
      <c r="AHN328" s="1"/>
      <c r="AHO328" s="1"/>
      <c r="AHP328" s="1"/>
      <c r="AHQ328" s="1"/>
      <c r="AHR328" s="1"/>
      <c r="AHS328" s="1"/>
      <c r="AHT328" s="1"/>
      <c r="AHU328" s="1"/>
      <c r="AHV328" s="1"/>
      <c r="AHW328" s="1"/>
      <c r="AHX328" s="1"/>
      <c r="AHY328" s="1"/>
      <c r="AHZ328" s="1"/>
      <c r="AIA328" s="1"/>
      <c r="AIB328" s="1"/>
      <c r="AIC328" s="1"/>
      <c r="AID328" s="1"/>
      <c r="AIE328" s="1"/>
      <c r="AIF328" s="1"/>
      <c r="AIG328" s="1"/>
      <c r="AIH328" s="1"/>
      <c r="AII328" s="1"/>
      <c r="AIJ328" s="1"/>
      <c r="AIK328" s="1"/>
      <c r="AIL328" s="1"/>
      <c r="AIM328" s="1"/>
      <c r="AIN328" s="1"/>
      <c r="AIO328" s="1"/>
      <c r="AIP328" s="1"/>
      <c r="AIQ328" s="1"/>
      <c r="AIR328" s="1"/>
      <c r="AIS328" s="1"/>
      <c r="AIT328" s="1"/>
      <c r="AIU328" s="1"/>
      <c r="AIV328" s="1"/>
      <c r="AIW328" s="1"/>
      <c r="AIX328" s="1"/>
      <c r="AIY328" s="1"/>
      <c r="AIZ328" s="1"/>
      <c r="AJA328" s="1"/>
      <c r="AJB328" s="1"/>
      <c r="AJC328" s="1"/>
      <c r="AJD328" s="1"/>
      <c r="AJE328" s="1"/>
      <c r="AJF328" s="1"/>
      <c r="AJG328" s="1"/>
      <c r="AJH328" s="1"/>
      <c r="AJI328" s="1"/>
      <c r="AJJ328" s="1"/>
      <c r="AJK328" s="1"/>
      <c r="AJL328" s="1"/>
      <c r="AJM328" s="1"/>
      <c r="AJN328" s="1"/>
      <c r="AJO328" s="1"/>
      <c r="AJP328" s="1"/>
      <c r="AJQ328" s="1"/>
      <c r="AJR328" s="1"/>
      <c r="AJS328" s="1"/>
      <c r="AJT328" s="1"/>
      <c r="AJU328" s="1"/>
      <c r="AJV328" s="1"/>
      <c r="AJW328" s="1"/>
      <c r="AJX328" s="1"/>
      <c r="AJY328" s="1"/>
      <c r="AJZ328" s="1"/>
      <c r="AKA328" s="1"/>
      <c r="AKB328" s="1"/>
      <c r="AKC328" s="1"/>
      <c r="AKD328" s="1"/>
      <c r="AKE328" s="1"/>
      <c r="AKF328" s="1"/>
      <c r="AKG328" s="1"/>
      <c r="AKH328" s="1"/>
      <c r="AKI328" s="1"/>
      <c r="AKJ328" s="1"/>
      <c r="AKK328" s="1"/>
      <c r="AKL328" s="1"/>
      <c r="AKM328" s="1"/>
      <c r="AKN328" s="1"/>
      <c r="AKO328" s="1"/>
      <c r="AKP328" s="1"/>
      <c r="AKQ328" s="1"/>
      <c r="AKR328" s="1"/>
      <c r="AKS328" s="1"/>
      <c r="AKT328" s="1"/>
      <c r="AKU328" s="1"/>
      <c r="AKV328" s="1"/>
      <c r="AKW328" s="1"/>
      <c r="AKX328" s="1"/>
      <c r="AKY328" s="1"/>
      <c r="AKZ328" s="1"/>
      <c r="ALA328" s="1"/>
      <c r="ALB328" s="1"/>
      <c r="ALC328" s="1"/>
      <c r="ALD328" s="1"/>
      <c r="ALE328" s="1"/>
      <c r="ALF328" s="1"/>
      <c r="ALG328" s="1"/>
      <c r="ALH328" s="1"/>
      <c r="ALI328" s="1"/>
      <c r="ALJ328" s="1"/>
      <c r="ALK328" s="1"/>
      <c r="ALL328" s="1"/>
      <c r="ALM328" s="1"/>
      <c r="ALN328" s="1"/>
      <c r="ALO328" s="1"/>
      <c r="ALP328" s="1"/>
      <c r="ALQ328" s="1"/>
      <c r="ALR328" s="1"/>
      <c r="ALS328" s="1"/>
      <c r="ALT328" s="1"/>
      <c r="ALU328" s="1"/>
      <c r="ALV328" s="1"/>
      <c r="ALW328" s="1"/>
      <c r="ALX328" s="1"/>
      <c r="ALY328" s="1"/>
      <c r="ALZ328" s="1"/>
      <c r="AMA328" s="1"/>
      <c r="AMB328" s="1"/>
      <c r="AMC328" s="1"/>
      <c r="AMD328" s="1"/>
      <c r="AME328" s="1"/>
      <c r="AMF328" s="1"/>
      <c r="AMG328" s="1"/>
      <c r="AMH328" s="1"/>
      <c r="AMI328" s="1"/>
      <c r="AMJ328" s="1"/>
      <c r="AMK328" s="1"/>
      <c r="AML328" s="1"/>
      <c r="AMM328" s="1"/>
      <c r="AMN328" s="1"/>
      <c r="AMO328" s="1"/>
    </row>
    <row r="329" spans="1:1030" x14ac:dyDescent="0.2">
      <c r="A329" s="3" t="str">
        <f>CONCATENATE(B329,"_",C329)</f>
        <v>opsd_todpa_2Z73</v>
      </c>
      <c r="B329" s="3" t="s">
        <v>915</v>
      </c>
      <c r="C329" s="3" t="s">
        <v>97</v>
      </c>
      <c r="D329" s="3" t="str">
        <f>IFERROR(MID(VLOOKUP($B329,Seqs!$A:$B,2,0),E329,1),"")</f>
        <v>D</v>
      </c>
      <c r="E329" s="3">
        <v>31</v>
      </c>
      <c r="F329" s="3" t="str">
        <f>IFERROR(MID(VLOOKUP($B329,Seqs!$A:$B,2,0),G329,1),"")</f>
        <v>T</v>
      </c>
      <c r="G329" s="3">
        <v>62</v>
      </c>
      <c r="H329" s="3" t="str">
        <f>IFERROR(MID(VLOOKUP($B329,Seqs!$A:$B,2,0),I329,1),"")</f>
        <v>K</v>
      </c>
      <c r="I329" s="23">
        <v>63</v>
      </c>
      <c r="J329" s="3" t="str">
        <f>IFERROR(MID(VLOOKUP($B329,Seqs!$A:$B,2,0),K329,1),"")</f>
        <v>Q</v>
      </c>
      <c r="K329" s="23">
        <v>66</v>
      </c>
      <c r="L329" s="3" t="str">
        <f>IFERROR(MID(VLOOKUP($B329,Seqs!$A:$B,2,0),M329,1),"")</f>
        <v>T</v>
      </c>
      <c r="M329" s="3">
        <v>67</v>
      </c>
      <c r="N329" s="3" t="str">
        <f>IFERROR(MID(VLOOKUP($B329,Seqs!$A:$B,2,0),O329,1),"")</f>
        <v>K</v>
      </c>
      <c r="O329" s="3">
        <v>99</v>
      </c>
      <c r="P329" s="3" t="str">
        <f>IFERROR(MID(VLOOKUP($B329,Seqs!$A:$B,2,0),Q329,1),"")</f>
        <v>K</v>
      </c>
      <c r="Q329" s="3">
        <v>100</v>
      </c>
      <c r="R329" s="3" t="str">
        <f>IFERROR(MID(VLOOKUP($B329,Seqs!$A:$B,2,0),S329,1),"")</f>
        <v>F</v>
      </c>
      <c r="S329" s="3">
        <v>103</v>
      </c>
      <c r="T329" s="3" t="str">
        <f>IFERROR(MID(VLOOKUP($B329,Seqs!$A:$B,2,0),U329,1),"")</f>
        <v>G</v>
      </c>
      <c r="U329" s="3">
        <v>104</v>
      </c>
      <c r="V329" s="3" t="str">
        <f>IFERROR(MID(VLOOKUP($B329,Seqs!$A:$B,2,0),W329,1),"")</f>
        <v>R</v>
      </c>
      <c r="W329" s="3">
        <v>139</v>
      </c>
      <c r="X329" s="3" t="str">
        <f>IFERROR(MID(VLOOKUP($B329,Seqs!$A:$B,2,0),Y329,1),"")</f>
        <v/>
      </c>
      <c r="Y329" s="3" t="s">
        <v>23</v>
      </c>
      <c r="Z329" s="3" t="str">
        <f>IFERROR(MID(VLOOKUP($B329,Seqs!$A:$B,2,0),AA329,1),"")</f>
        <v/>
      </c>
      <c r="AA329" s="3" t="s">
        <v>23</v>
      </c>
      <c r="AB329" s="3" t="str">
        <f>IFERROR(MID(VLOOKUP($B329,Seqs!$A:$B,2,0),AC329,1),"")</f>
        <v>S</v>
      </c>
      <c r="AC329" s="9">
        <v>148</v>
      </c>
      <c r="AD329" s="3" t="str">
        <f>IFERROR(MID(VLOOKUP($B329,Seqs!$A:$B,2,0),AE329,1),"")</f>
        <v>F</v>
      </c>
      <c r="AE329" s="3">
        <v>172</v>
      </c>
      <c r="AF329" s="3" t="str">
        <f>IFERROR(MID(VLOOKUP($B329,Seqs!$A:$B,2,0),AG329,1),"")</f>
        <v>C</v>
      </c>
      <c r="AG329" s="3">
        <v>186</v>
      </c>
      <c r="AH329" s="3" t="str">
        <f>IFERROR(MID(VLOOKUP($B329,Seqs!$A:$B,2,0),AI329,1),"")</f>
        <v>F</v>
      </c>
      <c r="AI329" s="3">
        <v>188</v>
      </c>
      <c r="AJ329" s="3" t="str">
        <f>IFERROR(MID(VLOOKUP($B329,Seqs!$A:$B,2,0),AK329,1),"")</f>
        <v>D</v>
      </c>
      <c r="AK329" s="3">
        <v>194</v>
      </c>
      <c r="AL329" s="3" t="str">
        <f>IFERROR(MID(VLOOKUP($B329,Seqs!$A:$B,2,0),AM329,1),"")</f>
        <v>K</v>
      </c>
      <c r="AM329" s="3">
        <v>239</v>
      </c>
      <c r="AN329" s="3" t="str">
        <f>IFERROR(MID(VLOOKUP($B329,Seqs!$A:$B,2,0),AO329,1),"")</f>
        <v>K</v>
      </c>
      <c r="AO329" s="3">
        <v>244</v>
      </c>
      <c r="AP329" s="3" t="str">
        <f>IFERROR(MID(VLOOKUP($B329,Seqs!$A:$B,2,0),AQ329,1),"")</f>
        <v>G</v>
      </c>
      <c r="AQ329" s="3">
        <v>287</v>
      </c>
      <c r="AR329" s="3" t="str">
        <f>IFERROR(MID(VLOOKUP($B329,Seqs!$A:$B,2,0),AS329,1),"")</f>
        <v>T</v>
      </c>
      <c r="AS329" s="3">
        <v>293</v>
      </c>
      <c r="AT329" s="3" t="str">
        <f>IFERROR(MID(VLOOKUP($B329,Seqs!$A:$B,2,0),AU329,1),"")</f>
        <v>S</v>
      </c>
      <c r="AU329" s="3">
        <v>318</v>
      </c>
      <c r="AV329" s="3" t="str">
        <f>IFERROR(MID(VLOOKUP($B329,Seqs!$A:$B,2,0),AW329,1),"")</f>
        <v>H</v>
      </c>
      <c r="AW329" s="3">
        <v>319</v>
      </c>
      <c r="AX329" s="3" t="str">
        <f>IFERROR(MID(VLOOKUP($B329,Seqs!$A:$B,2,0),AY329,1),"")</f>
        <v>F</v>
      </c>
      <c r="AY329" s="3">
        <v>330</v>
      </c>
      <c r="AZ329" s="77" t="str">
        <f>VLOOKUP(B329,Classification!A:D,2,0)</f>
        <v>A</v>
      </c>
      <c r="BA329" s="94" t="str">
        <f>VLOOKUP(B329,Classification!A:D,4,0)</f>
        <v>Opsins</v>
      </c>
      <c r="BB329" s="27" t="b">
        <f t="shared" si="1114"/>
        <v>1</v>
      </c>
      <c r="BC329" s="23">
        <f t="shared" si="1113"/>
        <v>266</v>
      </c>
      <c r="BD329" s="2" t="s">
        <v>23</v>
      </c>
      <c r="BE329" s="3" t="s">
        <v>1368</v>
      </c>
      <c r="BF329" s="118">
        <v>2.5</v>
      </c>
      <c r="BG329" s="49" t="s">
        <v>1371</v>
      </c>
      <c r="BH329" s="49" t="s">
        <v>1371</v>
      </c>
      <c r="BI329" s="1"/>
      <c r="BJ329" s="70" t="s">
        <v>1281</v>
      </c>
      <c r="BK329" s="57" t="s">
        <v>1281</v>
      </c>
      <c r="BL329" s="57" t="s">
        <v>1281</v>
      </c>
      <c r="BM329" s="57" t="s">
        <v>1281</v>
      </c>
      <c r="BN329" s="57" t="s">
        <v>1281</v>
      </c>
      <c r="BO329" s="57" t="s">
        <v>1281</v>
      </c>
      <c r="BP329" s="57" t="s">
        <v>1281</v>
      </c>
      <c r="BQ329" s="57" t="s">
        <v>1281</v>
      </c>
      <c r="BR329" s="57" t="s">
        <v>1281</v>
      </c>
      <c r="BS329" s="57" t="s">
        <v>1281</v>
      </c>
      <c r="BT329" s="57" t="s">
        <v>1281</v>
      </c>
      <c r="BU329" s="57" t="s">
        <v>1281</v>
      </c>
      <c r="BV329" s="70">
        <f>E329</f>
        <v>31</v>
      </c>
      <c r="BW329" s="71">
        <f>I329</f>
        <v>63</v>
      </c>
      <c r="BX329" s="72">
        <f>M329</f>
        <v>67</v>
      </c>
      <c r="BY329" s="71">
        <f>Q329</f>
        <v>100</v>
      </c>
      <c r="BZ329" s="72">
        <f>U329</f>
        <v>104</v>
      </c>
      <c r="CA329" s="71" t="str">
        <f>Y329</f>
        <v>-</v>
      </c>
      <c r="CB329" s="72">
        <f>AC329</f>
        <v>148</v>
      </c>
      <c r="CC329" s="71">
        <f>AG329</f>
        <v>186</v>
      </c>
      <c r="CD329" s="72">
        <f>AK329</f>
        <v>194</v>
      </c>
      <c r="CE329" s="71">
        <f>AO329</f>
        <v>244</v>
      </c>
      <c r="CF329" s="72">
        <f>AS329</f>
        <v>293</v>
      </c>
      <c r="CG329" s="71">
        <f>AW329</f>
        <v>319</v>
      </c>
      <c r="CH329" s="70">
        <f>G329</f>
        <v>62</v>
      </c>
      <c r="CI329" s="71">
        <f>K329</f>
        <v>66</v>
      </c>
      <c r="CJ329" s="72">
        <f>O329</f>
        <v>99</v>
      </c>
      <c r="CK329" s="72">
        <f>S329</f>
        <v>103</v>
      </c>
      <c r="CL329" s="72">
        <f>W329</f>
        <v>139</v>
      </c>
      <c r="CM329" s="72" t="str">
        <f>AA329</f>
        <v>-</v>
      </c>
      <c r="CN329" s="72">
        <f>AE329</f>
        <v>172</v>
      </c>
      <c r="CO329" s="72">
        <f>AI329</f>
        <v>188</v>
      </c>
      <c r="CP329" s="72">
        <f>AM329</f>
        <v>239</v>
      </c>
      <c r="CQ329" s="72">
        <f>AQ329</f>
        <v>287</v>
      </c>
      <c r="CR329" s="72">
        <f>AU329</f>
        <v>318</v>
      </c>
      <c r="CS329" s="72">
        <f>AY329</f>
        <v>330</v>
      </c>
      <c r="CT329" s="23">
        <f>M329-K329</f>
        <v>1</v>
      </c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"/>
      <c r="PD329" s="1"/>
      <c r="PE329" s="1"/>
      <c r="PF329" s="1"/>
      <c r="PG329" s="1"/>
      <c r="PH329" s="1"/>
      <c r="PI329" s="1"/>
      <c r="PJ329" s="1"/>
      <c r="PK329" s="1"/>
      <c r="PL329" s="1"/>
      <c r="PM329" s="1"/>
      <c r="PN329" s="1"/>
      <c r="PO329" s="1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1"/>
      <c r="QL329" s="1"/>
      <c r="QM329" s="1"/>
      <c r="QN329" s="1"/>
      <c r="QO329" s="1"/>
      <c r="QP329" s="1"/>
      <c r="QQ329" s="1"/>
      <c r="QR329" s="1"/>
      <c r="QS329" s="1"/>
      <c r="QT329" s="1"/>
      <c r="QU329" s="1"/>
      <c r="QV329" s="1"/>
      <c r="QW329" s="1"/>
      <c r="QX329" s="1"/>
      <c r="QY329" s="1"/>
      <c r="QZ329" s="1"/>
      <c r="RA329" s="1"/>
      <c r="RB329" s="1"/>
      <c r="RC329" s="1"/>
      <c r="RD329" s="1"/>
      <c r="RE329" s="1"/>
      <c r="RF329" s="1"/>
      <c r="RG329" s="1"/>
      <c r="RH329" s="1"/>
      <c r="RI329" s="1"/>
      <c r="RJ329" s="1"/>
      <c r="RK329" s="1"/>
      <c r="RL329" s="1"/>
      <c r="RM329" s="1"/>
      <c r="RN329" s="1"/>
      <c r="RO329" s="1"/>
      <c r="RP329" s="1"/>
      <c r="RQ329" s="1"/>
      <c r="RR329" s="1"/>
      <c r="RS329" s="1"/>
      <c r="RT329" s="1"/>
      <c r="RU329" s="1"/>
      <c r="RV329" s="1"/>
      <c r="RW329" s="1"/>
      <c r="RX329" s="1"/>
      <c r="RY329" s="1"/>
      <c r="RZ329" s="1"/>
      <c r="SA329" s="1"/>
      <c r="SB329" s="1"/>
      <c r="SC329" s="1"/>
      <c r="SD329" s="1"/>
      <c r="SE329" s="1"/>
      <c r="SF329" s="1"/>
      <c r="SG329" s="1"/>
      <c r="SH329" s="1"/>
      <c r="SI329" s="1"/>
      <c r="SJ329" s="1"/>
      <c r="SK329" s="1"/>
      <c r="SL329" s="1"/>
      <c r="SM329" s="1"/>
      <c r="SN329" s="1"/>
      <c r="SO329" s="1"/>
      <c r="SP329" s="1"/>
      <c r="SQ329" s="1"/>
      <c r="SR329" s="1"/>
      <c r="SS329" s="1"/>
      <c r="ST329" s="1"/>
      <c r="SU329" s="1"/>
      <c r="SV329" s="1"/>
      <c r="SW329" s="1"/>
      <c r="SX329" s="1"/>
      <c r="SY329" s="1"/>
      <c r="SZ329" s="1"/>
      <c r="TA329" s="1"/>
      <c r="TB329" s="1"/>
      <c r="TC329" s="1"/>
      <c r="TD329" s="1"/>
      <c r="TE329" s="1"/>
      <c r="TF329" s="1"/>
      <c r="TG329" s="1"/>
      <c r="TH329" s="1"/>
      <c r="TI329" s="1"/>
      <c r="TJ329" s="1"/>
      <c r="TK329" s="1"/>
      <c r="TL329" s="1"/>
      <c r="TM329" s="1"/>
      <c r="TN329" s="1"/>
      <c r="TO329" s="1"/>
      <c r="TP329" s="1"/>
      <c r="TQ329" s="1"/>
      <c r="TR329" s="1"/>
      <c r="TS329" s="1"/>
      <c r="TT329" s="1"/>
      <c r="TU329" s="1"/>
      <c r="TV329" s="1"/>
      <c r="TW329" s="1"/>
      <c r="TX329" s="1"/>
      <c r="TY329" s="1"/>
      <c r="TZ329" s="1"/>
      <c r="UA329" s="1"/>
      <c r="UB329" s="1"/>
      <c r="UC329" s="1"/>
      <c r="UD329" s="1"/>
      <c r="UE329" s="1"/>
      <c r="UF329" s="1"/>
      <c r="UG329" s="1"/>
      <c r="UH329" s="1"/>
      <c r="UI329" s="1"/>
      <c r="UJ329" s="1"/>
      <c r="UK329" s="1"/>
      <c r="UL329" s="1"/>
      <c r="UM329" s="1"/>
      <c r="UN329" s="1"/>
      <c r="UO329" s="1"/>
      <c r="UP329" s="1"/>
      <c r="UQ329" s="1"/>
      <c r="UR329" s="1"/>
      <c r="US329" s="1"/>
      <c r="UT329" s="1"/>
      <c r="UU329" s="1"/>
      <c r="UV329" s="1"/>
      <c r="UW329" s="1"/>
      <c r="UX329" s="1"/>
      <c r="UY329" s="1"/>
      <c r="UZ329" s="1"/>
      <c r="VA329" s="1"/>
      <c r="VB329" s="1"/>
      <c r="VC329" s="1"/>
      <c r="VD329" s="1"/>
      <c r="VE329" s="1"/>
      <c r="VF329" s="1"/>
      <c r="VG329" s="1"/>
      <c r="VH329" s="1"/>
      <c r="VI329" s="1"/>
      <c r="VJ329" s="1"/>
      <c r="VK329" s="1"/>
      <c r="VL329" s="1"/>
      <c r="VM329" s="1"/>
      <c r="VN329" s="1"/>
      <c r="VO329" s="1"/>
      <c r="VP329" s="1"/>
      <c r="VQ329" s="1"/>
      <c r="VR329" s="1"/>
      <c r="VS329" s="1"/>
      <c r="VT329" s="1"/>
      <c r="VU329" s="1"/>
      <c r="VV329" s="1"/>
      <c r="VW329" s="1"/>
      <c r="VX329" s="1"/>
      <c r="VY329" s="1"/>
      <c r="VZ329" s="1"/>
      <c r="WA329" s="1"/>
      <c r="WB329" s="1"/>
      <c r="WC329" s="1"/>
      <c r="WD329" s="1"/>
      <c r="WE329" s="1"/>
      <c r="WF329" s="1"/>
      <c r="WG329" s="1"/>
      <c r="WH329" s="1"/>
      <c r="WI329" s="1"/>
      <c r="WJ329" s="1"/>
      <c r="WK329" s="1"/>
      <c r="WL329" s="1"/>
      <c r="WM329" s="1"/>
      <c r="WN329" s="1"/>
      <c r="WO329" s="1"/>
      <c r="WP329" s="1"/>
      <c r="WQ329" s="1"/>
      <c r="WR329" s="1"/>
      <c r="WS329" s="1"/>
      <c r="WT329" s="1"/>
      <c r="WU329" s="1"/>
      <c r="WV329" s="1"/>
      <c r="WW329" s="1"/>
      <c r="WX329" s="1"/>
      <c r="WY329" s="1"/>
      <c r="WZ329" s="1"/>
      <c r="XA329" s="1"/>
      <c r="XB329" s="1"/>
      <c r="XC329" s="1"/>
      <c r="XD329" s="1"/>
      <c r="XE329" s="1"/>
      <c r="XF329" s="1"/>
      <c r="XG329" s="1"/>
      <c r="XH329" s="1"/>
      <c r="XI329" s="1"/>
      <c r="XJ329" s="1"/>
      <c r="XK329" s="1"/>
      <c r="XL329" s="1"/>
      <c r="XM329" s="1"/>
      <c r="XN329" s="1"/>
      <c r="XO329" s="1"/>
      <c r="XP329" s="1"/>
      <c r="XQ329" s="1"/>
      <c r="XR329" s="1"/>
      <c r="XS329" s="1"/>
      <c r="XT329" s="1"/>
      <c r="XU329" s="1"/>
      <c r="XV329" s="1"/>
      <c r="XW329" s="1"/>
      <c r="XX329" s="1"/>
      <c r="XY329" s="1"/>
      <c r="XZ329" s="1"/>
      <c r="YA329" s="1"/>
      <c r="YB329" s="1"/>
      <c r="YC329" s="1"/>
      <c r="YD329" s="1"/>
      <c r="YE329" s="1"/>
      <c r="YF329" s="1"/>
      <c r="YG329" s="1"/>
      <c r="YH329" s="1"/>
      <c r="YI329" s="1"/>
      <c r="YJ329" s="1"/>
      <c r="YK329" s="1"/>
      <c r="YL329" s="1"/>
      <c r="YM329" s="1"/>
      <c r="YN329" s="1"/>
      <c r="YO329" s="1"/>
      <c r="YP329" s="1"/>
      <c r="YQ329" s="1"/>
      <c r="YR329" s="1"/>
      <c r="YS329" s="1"/>
      <c r="YT329" s="1"/>
      <c r="YU329" s="1"/>
      <c r="YV329" s="1"/>
      <c r="YW329" s="1"/>
      <c r="YX329" s="1"/>
      <c r="YY329" s="1"/>
      <c r="YZ329" s="1"/>
      <c r="ZA329" s="1"/>
      <c r="ZB329" s="1"/>
      <c r="ZC329" s="1"/>
      <c r="ZD329" s="1"/>
      <c r="ZE329" s="1"/>
      <c r="ZF329" s="1"/>
      <c r="ZG329" s="1"/>
      <c r="ZH329" s="1"/>
      <c r="ZI329" s="1"/>
      <c r="ZJ329" s="1"/>
      <c r="ZK329" s="1"/>
      <c r="ZL329" s="1"/>
      <c r="ZM329" s="1"/>
      <c r="ZN329" s="1"/>
      <c r="ZO329" s="1"/>
      <c r="ZP329" s="1"/>
      <c r="ZQ329" s="1"/>
      <c r="ZR329" s="1"/>
      <c r="ZS329" s="1"/>
      <c r="ZT329" s="1"/>
      <c r="ZU329" s="1"/>
      <c r="ZV329" s="1"/>
      <c r="ZW329" s="1"/>
      <c r="ZX329" s="1"/>
      <c r="ZY329" s="1"/>
      <c r="ZZ329" s="1"/>
      <c r="AAA329" s="1"/>
      <c r="AAB329" s="1"/>
      <c r="AAC329" s="1"/>
      <c r="AAD329" s="1"/>
      <c r="AAE329" s="1"/>
      <c r="AAF329" s="1"/>
      <c r="AAG329" s="1"/>
      <c r="AAH329" s="1"/>
      <c r="AAI329" s="1"/>
      <c r="AAJ329" s="1"/>
      <c r="AAK329" s="1"/>
      <c r="AAL329" s="1"/>
      <c r="AAM329" s="1"/>
      <c r="AAN329" s="1"/>
      <c r="AAO329" s="1"/>
      <c r="AAP329" s="1"/>
      <c r="AAQ329" s="1"/>
      <c r="AAR329" s="1"/>
      <c r="AAS329" s="1"/>
      <c r="AAT329" s="1"/>
      <c r="AAU329" s="1"/>
      <c r="AAV329" s="1"/>
      <c r="AAW329" s="1"/>
      <c r="AAX329" s="1"/>
      <c r="AAY329" s="1"/>
      <c r="AAZ329" s="1"/>
      <c r="ABA329" s="1"/>
      <c r="ABB329" s="1"/>
      <c r="ABC329" s="1"/>
      <c r="ABD329" s="1"/>
      <c r="ABE329" s="1"/>
      <c r="ABF329" s="1"/>
      <c r="ABG329" s="1"/>
      <c r="ABH329" s="1"/>
      <c r="ABI329" s="1"/>
      <c r="ABJ329" s="1"/>
      <c r="ABK329" s="1"/>
      <c r="ABL329" s="1"/>
      <c r="ABM329" s="1"/>
      <c r="ABN329" s="1"/>
      <c r="ABO329" s="1"/>
      <c r="ABP329" s="1"/>
      <c r="ABQ329" s="1"/>
      <c r="ABR329" s="1"/>
      <c r="ABS329" s="1"/>
      <c r="ABT329" s="1"/>
      <c r="ABU329" s="1"/>
      <c r="ABV329" s="1"/>
      <c r="ABW329" s="1"/>
      <c r="ABX329" s="1"/>
      <c r="ABY329" s="1"/>
      <c r="ABZ329" s="1"/>
      <c r="ACA329" s="1"/>
      <c r="ACB329" s="1"/>
      <c r="ACC329" s="1"/>
      <c r="ACD329" s="1"/>
      <c r="ACE329" s="1"/>
      <c r="ACF329" s="1"/>
      <c r="ACG329" s="1"/>
      <c r="ACH329" s="1"/>
      <c r="ACI329" s="1"/>
      <c r="ACJ329" s="1"/>
      <c r="ACK329" s="1"/>
      <c r="ACL329" s="1"/>
      <c r="ACM329" s="1"/>
      <c r="ACN329" s="1"/>
      <c r="ACO329" s="1"/>
      <c r="ACP329" s="1"/>
      <c r="ACQ329" s="1"/>
      <c r="ACR329" s="1"/>
      <c r="ACS329" s="1"/>
      <c r="ACT329" s="1"/>
      <c r="ACU329" s="1"/>
      <c r="ACV329" s="1"/>
      <c r="ACW329" s="1"/>
      <c r="ACX329" s="1"/>
      <c r="ACY329" s="1"/>
      <c r="ACZ329" s="1"/>
      <c r="ADA329" s="1"/>
      <c r="ADB329" s="1"/>
      <c r="ADC329" s="1"/>
      <c r="ADD329" s="1"/>
      <c r="ADE329" s="1"/>
      <c r="ADF329" s="1"/>
      <c r="ADG329" s="1"/>
      <c r="ADH329" s="1"/>
      <c r="ADI329" s="1"/>
      <c r="ADJ329" s="1"/>
      <c r="ADK329" s="1"/>
      <c r="ADL329" s="1"/>
      <c r="ADM329" s="1"/>
      <c r="ADN329" s="1"/>
      <c r="ADO329" s="1"/>
      <c r="ADP329" s="1"/>
      <c r="ADQ329" s="1"/>
      <c r="ADR329" s="1"/>
      <c r="ADS329" s="1"/>
      <c r="ADT329" s="1"/>
      <c r="ADU329" s="1"/>
      <c r="ADV329" s="1"/>
      <c r="ADW329" s="1"/>
      <c r="ADX329" s="1"/>
      <c r="ADY329" s="1"/>
      <c r="ADZ329" s="1"/>
      <c r="AEA329" s="1"/>
      <c r="AEB329" s="1"/>
      <c r="AEC329" s="1"/>
      <c r="AED329" s="1"/>
      <c r="AEE329" s="1"/>
      <c r="AEF329" s="1"/>
      <c r="AEG329" s="1"/>
      <c r="AEH329" s="1"/>
      <c r="AEI329" s="1"/>
      <c r="AEJ329" s="1"/>
      <c r="AEK329" s="1"/>
      <c r="AEL329" s="1"/>
      <c r="AEM329" s="1"/>
      <c r="AEN329" s="1"/>
      <c r="AEO329" s="1"/>
      <c r="AEP329" s="1"/>
      <c r="AEQ329" s="1"/>
      <c r="AER329" s="1"/>
      <c r="AES329" s="1"/>
      <c r="AET329" s="1"/>
      <c r="AEU329" s="1"/>
      <c r="AEV329" s="1"/>
      <c r="AEW329" s="1"/>
      <c r="AEX329" s="1"/>
      <c r="AEY329" s="1"/>
      <c r="AEZ329" s="1"/>
      <c r="AFA329" s="1"/>
      <c r="AFB329" s="1"/>
      <c r="AFC329" s="1"/>
      <c r="AFD329" s="1"/>
      <c r="AFE329" s="1"/>
      <c r="AFF329" s="1"/>
      <c r="AFG329" s="1"/>
      <c r="AFH329" s="1"/>
      <c r="AFI329" s="1"/>
      <c r="AFJ329" s="1"/>
      <c r="AFK329" s="1"/>
      <c r="AFL329" s="1"/>
      <c r="AFM329" s="1"/>
      <c r="AFN329" s="1"/>
      <c r="AFO329" s="1"/>
      <c r="AFP329" s="1"/>
      <c r="AFQ329" s="1"/>
      <c r="AFR329" s="1"/>
      <c r="AFS329" s="1"/>
      <c r="AFT329" s="1"/>
      <c r="AFU329" s="1"/>
      <c r="AFV329" s="1"/>
      <c r="AFW329" s="1"/>
      <c r="AFX329" s="1"/>
      <c r="AFY329" s="1"/>
      <c r="AFZ329" s="1"/>
      <c r="AGA329" s="1"/>
      <c r="AGB329" s="1"/>
      <c r="AGC329" s="1"/>
      <c r="AGD329" s="1"/>
      <c r="AGE329" s="1"/>
      <c r="AGF329" s="1"/>
      <c r="AGG329" s="1"/>
      <c r="AGH329" s="1"/>
      <c r="AGI329" s="1"/>
      <c r="AGJ329" s="1"/>
      <c r="AGK329" s="1"/>
      <c r="AGL329" s="1"/>
      <c r="AGM329" s="1"/>
      <c r="AGN329" s="1"/>
      <c r="AGO329" s="1"/>
      <c r="AGP329" s="1"/>
      <c r="AGQ329" s="1"/>
      <c r="AGR329" s="1"/>
      <c r="AGS329" s="1"/>
      <c r="AGT329" s="1"/>
      <c r="AGU329" s="1"/>
      <c r="AGV329" s="1"/>
      <c r="AGW329" s="1"/>
      <c r="AGX329" s="1"/>
      <c r="AGY329" s="1"/>
      <c r="AGZ329" s="1"/>
      <c r="AHA329" s="1"/>
      <c r="AHB329" s="1"/>
      <c r="AHC329" s="1"/>
      <c r="AHD329" s="1"/>
      <c r="AHE329" s="1"/>
      <c r="AHF329" s="1"/>
      <c r="AHG329" s="1"/>
      <c r="AHH329" s="1"/>
      <c r="AHI329" s="1"/>
      <c r="AHJ329" s="1"/>
      <c r="AHK329" s="1"/>
      <c r="AHL329" s="1"/>
      <c r="AHM329" s="1"/>
      <c r="AHN329" s="1"/>
      <c r="AHO329" s="1"/>
      <c r="AHP329" s="1"/>
      <c r="AHQ329" s="1"/>
      <c r="AHR329" s="1"/>
      <c r="AHS329" s="1"/>
      <c r="AHT329" s="1"/>
      <c r="AHU329" s="1"/>
      <c r="AHV329" s="1"/>
      <c r="AHW329" s="1"/>
      <c r="AHX329" s="1"/>
      <c r="AHY329" s="1"/>
      <c r="AHZ329" s="1"/>
      <c r="AIA329" s="1"/>
      <c r="AIB329" s="1"/>
      <c r="AIC329" s="1"/>
      <c r="AID329" s="1"/>
      <c r="AIE329" s="1"/>
      <c r="AIF329" s="1"/>
      <c r="AIG329" s="1"/>
      <c r="AIH329" s="1"/>
      <c r="AII329" s="1"/>
      <c r="AIJ329" s="1"/>
      <c r="AIK329" s="1"/>
      <c r="AIL329" s="1"/>
      <c r="AIM329" s="1"/>
      <c r="AIN329" s="1"/>
      <c r="AIO329" s="1"/>
      <c r="AIP329" s="1"/>
      <c r="AIQ329" s="1"/>
      <c r="AIR329" s="1"/>
      <c r="AIS329" s="1"/>
      <c r="AIT329" s="1"/>
      <c r="AIU329" s="1"/>
      <c r="AIV329" s="1"/>
      <c r="AIW329" s="1"/>
      <c r="AIX329" s="1"/>
      <c r="AIY329" s="1"/>
      <c r="AIZ329" s="1"/>
      <c r="AJA329" s="1"/>
      <c r="AJB329" s="1"/>
      <c r="AJC329" s="1"/>
      <c r="AJD329" s="1"/>
      <c r="AJE329" s="1"/>
      <c r="AJF329" s="1"/>
      <c r="AJG329" s="1"/>
      <c r="AJH329" s="1"/>
      <c r="AJI329" s="1"/>
      <c r="AJJ329" s="1"/>
      <c r="AJK329" s="1"/>
      <c r="AJL329" s="1"/>
      <c r="AJM329" s="1"/>
      <c r="AJN329" s="1"/>
      <c r="AJO329" s="1"/>
      <c r="AJP329" s="1"/>
      <c r="AJQ329" s="1"/>
      <c r="AJR329" s="1"/>
      <c r="AJS329" s="1"/>
      <c r="AJT329" s="1"/>
      <c r="AJU329" s="1"/>
      <c r="AJV329" s="1"/>
      <c r="AJW329" s="1"/>
      <c r="AJX329" s="1"/>
      <c r="AJY329" s="1"/>
      <c r="AJZ329" s="1"/>
      <c r="AKA329" s="1"/>
      <c r="AKB329" s="1"/>
      <c r="AKC329" s="1"/>
      <c r="AKD329" s="1"/>
      <c r="AKE329" s="1"/>
      <c r="AKF329" s="1"/>
      <c r="AKG329" s="1"/>
      <c r="AKH329" s="1"/>
      <c r="AKI329" s="1"/>
      <c r="AKJ329" s="1"/>
      <c r="AKK329" s="1"/>
      <c r="AKL329" s="1"/>
      <c r="AKM329" s="1"/>
      <c r="AKN329" s="1"/>
      <c r="AKO329" s="1"/>
      <c r="AKP329" s="1"/>
      <c r="AKQ329" s="1"/>
      <c r="AKR329" s="1"/>
      <c r="AKS329" s="1"/>
      <c r="AKT329" s="1"/>
      <c r="AKU329" s="1"/>
      <c r="AKV329" s="1"/>
      <c r="AKW329" s="1"/>
      <c r="AKX329" s="1"/>
      <c r="AKY329" s="1"/>
      <c r="AKZ329" s="1"/>
      <c r="ALA329" s="1"/>
      <c r="ALB329" s="1"/>
      <c r="ALC329" s="1"/>
      <c r="ALD329" s="1"/>
      <c r="ALE329" s="1"/>
      <c r="ALF329" s="1"/>
      <c r="ALG329" s="1"/>
      <c r="ALH329" s="1"/>
      <c r="ALI329" s="1"/>
      <c r="ALJ329" s="1"/>
      <c r="ALK329" s="1"/>
      <c r="ALL329" s="1"/>
      <c r="ALM329" s="1"/>
      <c r="ALN329" s="1"/>
      <c r="ALO329" s="1"/>
      <c r="ALP329" s="1"/>
      <c r="ALQ329" s="1"/>
      <c r="ALR329" s="1"/>
      <c r="ALS329" s="1"/>
      <c r="ALT329" s="1"/>
      <c r="ALU329" s="1"/>
      <c r="ALV329" s="1"/>
      <c r="ALW329" s="1"/>
      <c r="ALX329" s="1"/>
      <c r="ALY329" s="1"/>
      <c r="ALZ329" s="1"/>
      <c r="AMA329" s="1"/>
      <c r="AMB329" s="1"/>
      <c r="AMC329" s="1"/>
      <c r="AMD329" s="1"/>
      <c r="AME329" s="1"/>
      <c r="AMF329" s="1"/>
      <c r="AMG329" s="1"/>
      <c r="AMH329" s="1"/>
      <c r="AMI329" s="1"/>
      <c r="AMJ329" s="1"/>
      <c r="AMK329" s="1"/>
      <c r="AML329" s="1"/>
      <c r="AMM329" s="1"/>
      <c r="AMN329" s="1"/>
      <c r="AMO329" s="1"/>
      <c r="AMP329" s="2"/>
    </row>
    <row r="330" spans="1:1030" x14ac:dyDescent="0.2">
      <c r="A330" s="3" t="str">
        <f>CONCATENATE(B330,"_",C330)</f>
        <v>ox1r_human__wt</v>
      </c>
      <c r="B330" s="3" t="s">
        <v>1168</v>
      </c>
      <c r="C330" s="3" t="s">
        <v>100</v>
      </c>
      <c r="D330" s="3" t="str">
        <f>IFERROR(MID(VLOOKUP($B330,Seqs!$A:$B,2,0),E330,1),"")</f>
        <v>E</v>
      </c>
      <c r="E330" s="3">
        <v>46</v>
      </c>
      <c r="F330" s="3" t="str">
        <f>IFERROR(MID(VLOOKUP($B330,Seqs!$A:$B,2,0),G330,1),"")</f>
        <v>N</v>
      </c>
      <c r="G330" s="3">
        <v>74</v>
      </c>
      <c r="H330" s="3" t="str">
        <f>IFERROR(MID(VLOOKUP($B330,Seqs!$A:$B,2,0),I330,1),"")</f>
        <v>H</v>
      </c>
      <c r="I330" s="23">
        <v>75</v>
      </c>
      <c r="J330" s="3" t="str">
        <f>IFERROR(MID(VLOOKUP($B330,Seqs!$A:$B,2,0),K330,1),"")</f>
        <v>R</v>
      </c>
      <c r="K330" s="23">
        <v>78</v>
      </c>
      <c r="L330" s="3" t="str">
        <f>IFERROR(MID(VLOOKUP($B330,Seqs!$A:$B,2,0),M330,1),"")</f>
        <v>T</v>
      </c>
      <c r="M330" s="3">
        <v>79</v>
      </c>
      <c r="N330" s="3" t="str">
        <f>IFERROR(MID(VLOOKUP($B330,Seqs!$A:$B,2,0),O330,1),"")</f>
        <v>E</v>
      </c>
      <c r="O330" s="105">
        <v>110</v>
      </c>
      <c r="P330" s="3" t="str">
        <f>IFERROR(MID(VLOOKUP($B330,Seqs!$A:$B,2,0),Q330,1),"")</f>
        <v>S</v>
      </c>
      <c r="Q330" s="3">
        <v>111</v>
      </c>
      <c r="R330" s="3" t="str">
        <f>IFERROR(MID(VLOOKUP($B330,Seqs!$A:$B,2,0),S330,1),"")</f>
        <v>F</v>
      </c>
      <c r="S330" s="3">
        <v>114</v>
      </c>
      <c r="T330" s="3" t="str">
        <f>IFERROR(MID(VLOOKUP($B330,Seqs!$A:$B,2,0),U330,1),"")</f>
        <v>G</v>
      </c>
      <c r="U330" s="3">
        <v>115</v>
      </c>
      <c r="V330" s="3" t="str">
        <f>IFERROR(MID(VLOOKUP($B330,Seqs!$A:$B,2,0),W330,1),"")</f>
        <v>H</v>
      </c>
      <c r="W330" s="3">
        <v>150</v>
      </c>
      <c r="X330" s="3" t="str">
        <f>IFERROR(MID(VLOOKUP($B330,Seqs!$A:$B,2,0),Y330,1),"")</f>
        <v>P</v>
      </c>
      <c r="Y330" s="3">
        <v>151</v>
      </c>
      <c r="Z330" s="3" t="str">
        <f>IFERROR(MID(VLOOKUP($B330,Seqs!$A:$B,2,0),AA330,1),"")</f>
        <v>F</v>
      </c>
      <c r="AA330" s="73">
        <v>154</v>
      </c>
      <c r="AB330" s="3" t="str">
        <f>IFERROR(MID(VLOOKUP($B330,Seqs!$A:$B,2,0),AC330,1),"")</f>
        <v>T</v>
      </c>
      <c r="AC330" s="9">
        <v>157</v>
      </c>
      <c r="AD330" s="3" t="str">
        <f>IFERROR(MID(VLOOKUP($B330,Seqs!$A:$B,2,0),AE330,1),"")</f>
        <v>M</v>
      </c>
      <c r="AE330" s="3">
        <v>183</v>
      </c>
      <c r="AF330" s="3" t="str">
        <f>IFERROR(MID(VLOOKUP($B330,Seqs!$A:$B,2,0),AG330,1),"")</f>
        <v>C</v>
      </c>
      <c r="AG330" s="3">
        <v>202</v>
      </c>
      <c r="AH330" s="3" t="str">
        <f>IFERROR(MID(VLOOKUP($B330,Seqs!$A:$B,2,0),AI330,1),"")</f>
        <v>E</v>
      </c>
      <c r="AI330" s="3">
        <v>204</v>
      </c>
      <c r="AJ330" s="3" t="str">
        <f>IFERROR(MID(VLOOKUP($B330,Seqs!$A:$B,2,0),AK330,1),"")</f>
        <v>L</v>
      </c>
      <c r="AK330" s="105">
        <v>210</v>
      </c>
      <c r="AL330" s="3" t="str">
        <f>IFERROR(MID(VLOOKUP($B330,Seqs!$A:$B,2,0),AM330,1),"")</f>
        <v>P</v>
      </c>
      <c r="AM330" s="3">
        <v>248</v>
      </c>
      <c r="AN330" s="3" t="str">
        <f>IFERROR(MID(VLOOKUP($B330,Seqs!$A:$B,2,0),AO330,1),"")</f>
        <v>F</v>
      </c>
      <c r="AO330" s="3">
        <v>283</v>
      </c>
      <c r="AP330" s="3" t="str">
        <f>IFERROR(MID(VLOOKUP($B330,Seqs!$A:$B,2,0),AQ330,1),"")</f>
        <v>F</v>
      </c>
      <c r="AQ330" s="3">
        <v>324</v>
      </c>
      <c r="AR330" s="3" t="str">
        <f>IFERROR(MID(VLOOKUP($B330,Seqs!$A:$B,2,0),AS330,1),"")</f>
        <v>D</v>
      </c>
      <c r="AS330" s="105">
        <v>332</v>
      </c>
      <c r="AT330" s="3" t="str">
        <f>IFERROR(MID(VLOOKUP($B330,Seqs!$A:$B,2,0),AU330,1),"")</f>
        <v>L</v>
      </c>
      <c r="AU330" s="3">
        <v>361</v>
      </c>
      <c r="AV330" s="3" t="str">
        <f>IFERROR(MID(VLOOKUP($B330,Seqs!$A:$B,2,0),AW330,1),"")</f>
        <v>S</v>
      </c>
      <c r="AW330" s="3">
        <v>362</v>
      </c>
      <c r="AX330" s="3" t="str">
        <f>IFERROR(MID(VLOOKUP($B330,Seqs!$A:$B,2,0),AY330,1),"")</f>
        <v>P</v>
      </c>
      <c r="AY330" s="3">
        <v>378</v>
      </c>
      <c r="AZ330" s="77" t="str">
        <f>VLOOKUP(B330,Classification!A:D,2,0)</f>
        <v>A</v>
      </c>
      <c r="BA330" s="94" t="str">
        <f>VLOOKUP(B330,Classification!A:D,4,0)</f>
        <v>Orexin</v>
      </c>
      <c r="BB330" s="27" t="b">
        <f t="shared" si="1114"/>
        <v>1</v>
      </c>
      <c r="BC330" s="23">
        <f t="shared" si="1113"/>
        <v>267</v>
      </c>
      <c r="BD330" s="56" t="s">
        <v>23</v>
      </c>
      <c r="BE330" s="3" t="s">
        <v>23</v>
      </c>
      <c r="BF330" s="118" t="s">
        <v>23</v>
      </c>
      <c r="BG330" s="49" t="s">
        <v>1366</v>
      </c>
      <c r="BH330" s="49" t="s">
        <v>1371</v>
      </c>
      <c r="BI330" s="1"/>
      <c r="BJ330" s="70" t="s">
        <v>1281</v>
      </c>
      <c r="BK330" s="57" t="s">
        <v>1281</v>
      </c>
      <c r="BL330" s="57" t="s">
        <v>1281</v>
      </c>
      <c r="BM330" s="57" t="s">
        <v>1281</v>
      </c>
      <c r="BN330" s="57" t="s">
        <v>1281</v>
      </c>
      <c r="BO330" s="57" t="s">
        <v>1281</v>
      </c>
      <c r="BP330" s="57" t="s">
        <v>1281</v>
      </c>
      <c r="BQ330" s="57" t="s">
        <v>1281</v>
      </c>
      <c r="BR330" s="57" t="s">
        <v>1281</v>
      </c>
      <c r="BS330" s="57" t="s">
        <v>1281</v>
      </c>
      <c r="BT330" s="57" t="s">
        <v>1281</v>
      </c>
      <c r="BU330" s="57" t="s">
        <v>1281</v>
      </c>
      <c r="BV330" s="70">
        <f>E330</f>
        <v>46</v>
      </c>
      <c r="BW330" s="71">
        <f>I330</f>
        <v>75</v>
      </c>
      <c r="BX330" s="72">
        <f>M330</f>
        <v>79</v>
      </c>
      <c r="BY330" s="71">
        <f>Q330</f>
        <v>111</v>
      </c>
      <c r="BZ330" s="72">
        <f>U330</f>
        <v>115</v>
      </c>
      <c r="CA330" s="71">
        <f>Y330</f>
        <v>151</v>
      </c>
      <c r="CB330" s="72">
        <f>AC330</f>
        <v>157</v>
      </c>
      <c r="CC330" s="71">
        <f>AG330</f>
        <v>202</v>
      </c>
      <c r="CD330" s="72">
        <f>AK330</f>
        <v>210</v>
      </c>
      <c r="CE330" s="71">
        <f>AO330</f>
        <v>283</v>
      </c>
      <c r="CF330" s="72">
        <f>AS330</f>
        <v>332</v>
      </c>
      <c r="CG330" s="71">
        <f>AW330</f>
        <v>362</v>
      </c>
      <c r="CH330" s="70">
        <f>G330</f>
        <v>74</v>
      </c>
      <c r="CI330" s="71">
        <f>K330</f>
        <v>78</v>
      </c>
      <c r="CJ330" s="72">
        <f>O330</f>
        <v>110</v>
      </c>
      <c r="CK330" s="72">
        <f>S330</f>
        <v>114</v>
      </c>
      <c r="CL330" s="72">
        <f>W330</f>
        <v>150</v>
      </c>
      <c r="CM330" s="72">
        <f>AA330</f>
        <v>154</v>
      </c>
      <c r="CN330" s="72">
        <f>AE330</f>
        <v>183</v>
      </c>
      <c r="CO330" s="72">
        <f>AI330</f>
        <v>204</v>
      </c>
      <c r="CP330" s="72">
        <f>AM330</f>
        <v>248</v>
      </c>
      <c r="CQ330" s="72">
        <f>AQ330</f>
        <v>324</v>
      </c>
      <c r="CR330" s="72">
        <f>AU330</f>
        <v>361</v>
      </c>
      <c r="CS330" s="72">
        <f>AY330</f>
        <v>378</v>
      </c>
      <c r="CT330" s="23">
        <f>M330-K330</f>
        <v>1</v>
      </c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U330" s="1"/>
      <c r="OV330" s="1"/>
      <c r="OW330" s="1"/>
      <c r="OX330" s="1"/>
      <c r="OY330" s="1"/>
      <c r="OZ330" s="1"/>
      <c r="PA330" s="1"/>
      <c r="PB330" s="1"/>
      <c r="PC330" s="1"/>
      <c r="PD330" s="1"/>
      <c r="PE330" s="1"/>
      <c r="PF330" s="1"/>
      <c r="PG330" s="1"/>
      <c r="PH330" s="1"/>
      <c r="PI330" s="1"/>
      <c r="PJ330" s="1"/>
      <c r="PK330" s="1"/>
      <c r="PL330" s="1"/>
      <c r="PM330" s="1"/>
      <c r="PN330" s="1"/>
      <c r="PO330" s="1"/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1"/>
      <c r="QL330" s="1"/>
      <c r="QM330" s="1"/>
      <c r="QN330" s="1"/>
      <c r="QO330" s="1"/>
      <c r="QP330" s="1"/>
      <c r="QQ330" s="1"/>
      <c r="QR330" s="1"/>
      <c r="QS330" s="1"/>
      <c r="QT330" s="1"/>
      <c r="QU330" s="1"/>
      <c r="QV330" s="1"/>
      <c r="QW330" s="1"/>
      <c r="QX330" s="1"/>
      <c r="QY330" s="1"/>
      <c r="QZ330" s="1"/>
      <c r="RA330" s="1"/>
      <c r="RB330" s="1"/>
      <c r="RC330" s="1"/>
      <c r="RD330" s="1"/>
      <c r="RE330" s="1"/>
      <c r="RF330" s="1"/>
      <c r="RG330" s="1"/>
      <c r="RH330" s="1"/>
      <c r="RI330" s="1"/>
      <c r="RJ330" s="1"/>
      <c r="RK330" s="1"/>
      <c r="RL330" s="1"/>
      <c r="RM330" s="1"/>
      <c r="RN330" s="1"/>
      <c r="RO330" s="1"/>
      <c r="RP330" s="1"/>
      <c r="RQ330" s="1"/>
      <c r="RR330" s="1"/>
      <c r="RS330" s="1"/>
      <c r="RT330" s="1"/>
      <c r="RU330" s="1"/>
      <c r="RV330" s="1"/>
      <c r="RW330" s="1"/>
      <c r="RX330" s="1"/>
      <c r="RY330" s="1"/>
      <c r="RZ330" s="1"/>
      <c r="SA330" s="1"/>
      <c r="SB330" s="1"/>
      <c r="SC330" s="1"/>
      <c r="SD330" s="1"/>
      <c r="SE330" s="1"/>
      <c r="SF330" s="1"/>
      <c r="SG330" s="1"/>
      <c r="SH330" s="1"/>
      <c r="SI330" s="1"/>
      <c r="SJ330" s="1"/>
      <c r="SK330" s="1"/>
      <c r="SL330" s="1"/>
      <c r="SM330" s="1"/>
      <c r="SN330" s="1"/>
      <c r="SO330" s="1"/>
      <c r="SP330" s="1"/>
      <c r="SQ330" s="1"/>
      <c r="SR330" s="1"/>
      <c r="SS330" s="1"/>
      <c r="ST330" s="1"/>
      <c r="SU330" s="1"/>
      <c r="SV330" s="1"/>
      <c r="SW330" s="1"/>
      <c r="SX330" s="1"/>
      <c r="SY330" s="1"/>
      <c r="SZ330" s="1"/>
      <c r="TA330" s="1"/>
      <c r="TB330" s="1"/>
      <c r="TC330" s="1"/>
      <c r="TD330" s="1"/>
      <c r="TE330" s="1"/>
      <c r="TF330" s="1"/>
      <c r="TG330" s="1"/>
      <c r="TH330" s="1"/>
      <c r="TI330" s="1"/>
      <c r="TJ330" s="1"/>
      <c r="TK330" s="1"/>
      <c r="TL330" s="1"/>
      <c r="TM330" s="1"/>
      <c r="TN330" s="1"/>
      <c r="TO330" s="1"/>
      <c r="TP330" s="1"/>
      <c r="TQ330" s="1"/>
      <c r="TR330" s="1"/>
      <c r="TS330" s="1"/>
      <c r="TT330" s="1"/>
      <c r="TU330" s="1"/>
      <c r="TV330" s="1"/>
      <c r="TW330" s="1"/>
      <c r="TX330" s="1"/>
      <c r="TY330" s="1"/>
      <c r="TZ330" s="1"/>
      <c r="UA330" s="1"/>
      <c r="UB330" s="1"/>
      <c r="UC330" s="1"/>
      <c r="UD330" s="1"/>
      <c r="UE330" s="1"/>
      <c r="UF330" s="1"/>
      <c r="UG330" s="1"/>
      <c r="UH330" s="1"/>
      <c r="UI330" s="1"/>
      <c r="UJ330" s="1"/>
      <c r="UK330" s="1"/>
      <c r="UL330" s="1"/>
      <c r="UM330" s="1"/>
      <c r="UN330" s="1"/>
      <c r="UO330" s="1"/>
      <c r="UP330" s="1"/>
      <c r="UQ330" s="1"/>
      <c r="UR330" s="1"/>
      <c r="US330" s="1"/>
      <c r="UT330" s="1"/>
      <c r="UU330" s="1"/>
      <c r="UV330" s="1"/>
      <c r="UW330" s="1"/>
      <c r="UX330" s="1"/>
      <c r="UY330" s="1"/>
      <c r="UZ330" s="1"/>
      <c r="VA330" s="1"/>
      <c r="VB330" s="1"/>
      <c r="VC330" s="1"/>
      <c r="VD330" s="1"/>
      <c r="VE330" s="1"/>
      <c r="VF330" s="1"/>
      <c r="VG330" s="1"/>
      <c r="VH330" s="1"/>
      <c r="VI330" s="1"/>
      <c r="VJ330" s="1"/>
      <c r="VK330" s="1"/>
      <c r="VL330" s="1"/>
      <c r="VM330" s="1"/>
      <c r="VN330" s="1"/>
      <c r="VO330" s="1"/>
      <c r="VP330" s="1"/>
      <c r="VQ330" s="1"/>
      <c r="VR330" s="1"/>
      <c r="VS330" s="1"/>
      <c r="VT330" s="1"/>
      <c r="VU330" s="1"/>
      <c r="VV330" s="1"/>
      <c r="VW330" s="1"/>
      <c r="VX330" s="1"/>
      <c r="VY330" s="1"/>
      <c r="VZ330" s="1"/>
      <c r="WA330" s="1"/>
      <c r="WB330" s="1"/>
      <c r="WC330" s="1"/>
      <c r="WD330" s="1"/>
      <c r="WE330" s="1"/>
      <c r="WF330" s="1"/>
      <c r="WG330" s="1"/>
      <c r="WH330" s="1"/>
      <c r="WI330" s="1"/>
      <c r="WJ330" s="1"/>
      <c r="WK330" s="1"/>
      <c r="WL330" s="1"/>
      <c r="WM330" s="1"/>
      <c r="WN330" s="1"/>
      <c r="WO330" s="1"/>
      <c r="WP330" s="1"/>
      <c r="WQ330" s="1"/>
      <c r="WR330" s="1"/>
      <c r="WS330" s="1"/>
      <c r="WT330" s="1"/>
      <c r="WU330" s="1"/>
      <c r="WV330" s="1"/>
      <c r="WW330" s="1"/>
      <c r="WX330" s="1"/>
      <c r="WY330" s="1"/>
      <c r="WZ330" s="1"/>
      <c r="XA330" s="1"/>
      <c r="XB330" s="1"/>
      <c r="XC330" s="1"/>
      <c r="XD330" s="1"/>
      <c r="XE330" s="1"/>
      <c r="XF330" s="1"/>
      <c r="XG330" s="1"/>
      <c r="XH330" s="1"/>
      <c r="XI330" s="1"/>
      <c r="XJ330" s="1"/>
      <c r="XK330" s="1"/>
      <c r="XL330" s="1"/>
      <c r="XM330" s="1"/>
      <c r="XN330" s="1"/>
      <c r="XO330" s="1"/>
      <c r="XP330" s="1"/>
      <c r="XQ330" s="1"/>
      <c r="XR330" s="1"/>
      <c r="XS330" s="1"/>
      <c r="XT330" s="1"/>
      <c r="XU330" s="1"/>
      <c r="XV330" s="1"/>
      <c r="XW330" s="1"/>
      <c r="XX330" s="1"/>
      <c r="XY330" s="1"/>
      <c r="XZ330" s="1"/>
      <c r="YA330" s="1"/>
      <c r="YB330" s="1"/>
      <c r="YC330" s="1"/>
      <c r="YD330" s="1"/>
      <c r="YE330" s="1"/>
      <c r="YF330" s="1"/>
      <c r="YG330" s="1"/>
      <c r="YH330" s="1"/>
      <c r="YI330" s="1"/>
      <c r="YJ330" s="1"/>
      <c r="YK330" s="1"/>
      <c r="YL330" s="1"/>
      <c r="YM330" s="1"/>
      <c r="YN330" s="1"/>
      <c r="YO330" s="1"/>
      <c r="YP330" s="1"/>
      <c r="YQ330" s="1"/>
      <c r="YR330" s="1"/>
      <c r="YS330" s="1"/>
      <c r="YT330" s="1"/>
      <c r="YU330" s="1"/>
      <c r="YV330" s="1"/>
      <c r="YW330" s="1"/>
      <c r="YX330" s="1"/>
      <c r="YY330" s="1"/>
      <c r="YZ330" s="1"/>
      <c r="ZA330" s="1"/>
      <c r="ZB330" s="1"/>
      <c r="ZC330" s="1"/>
      <c r="ZD330" s="1"/>
      <c r="ZE330" s="1"/>
      <c r="ZF330" s="1"/>
      <c r="ZG330" s="1"/>
      <c r="ZH330" s="1"/>
      <c r="ZI330" s="1"/>
      <c r="ZJ330" s="1"/>
      <c r="ZK330" s="1"/>
      <c r="ZL330" s="1"/>
      <c r="ZM330" s="1"/>
      <c r="ZN330" s="1"/>
      <c r="ZO330" s="1"/>
      <c r="ZP330" s="1"/>
      <c r="ZQ330" s="1"/>
      <c r="ZR330" s="1"/>
      <c r="ZS330" s="1"/>
      <c r="ZT330" s="1"/>
      <c r="ZU330" s="1"/>
      <c r="ZV330" s="1"/>
      <c r="ZW330" s="1"/>
      <c r="ZX330" s="1"/>
      <c r="ZY330" s="1"/>
      <c r="ZZ330" s="1"/>
      <c r="AAA330" s="1"/>
      <c r="AAB330" s="1"/>
      <c r="AAC330" s="1"/>
      <c r="AAD330" s="1"/>
      <c r="AAE330" s="1"/>
      <c r="AAF330" s="1"/>
      <c r="AAG330" s="1"/>
      <c r="AAH330" s="1"/>
      <c r="AAI330" s="1"/>
      <c r="AAJ330" s="1"/>
      <c r="AAK330" s="1"/>
      <c r="AAL330" s="1"/>
      <c r="AAM330" s="1"/>
      <c r="AAN330" s="1"/>
      <c r="AAO330" s="1"/>
      <c r="AAP330" s="1"/>
      <c r="AAQ330" s="1"/>
      <c r="AAR330" s="1"/>
      <c r="AAS330" s="1"/>
      <c r="AAT330" s="1"/>
      <c r="AAU330" s="1"/>
      <c r="AAV330" s="1"/>
      <c r="AAW330" s="1"/>
      <c r="AAX330" s="1"/>
      <c r="AAY330" s="1"/>
      <c r="AAZ330" s="1"/>
      <c r="ABA330" s="1"/>
      <c r="ABB330" s="1"/>
      <c r="ABC330" s="1"/>
      <c r="ABD330" s="1"/>
      <c r="ABE330" s="1"/>
      <c r="ABF330" s="1"/>
      <c r="ABG330" s="1"/>
      <c r="ABH330" s="1"/>
      <c r="ABI330" s="1"/>
      <c r="ABJ330" s="1"/>
      <c r="ABK330" s="1"/>
      <c r="ABL330" s="1"/>
      <c r="ABM330" s="1"/>
      <c r="ABN330" s="1"/>
      <c r="ABO330" s="1"/>
      <c r="ABP330" s="1"/>
      <c r="ABQ330" s="1"/>
      <c r="ABR330" s="1"/>
      <c r="ABS330" s="1"/>
      <c r="ABT330" s="1"/>
      <c r="ABU330" s="1"/>
      <c r="ABV330" s="1"/>
      <c r="ABW330" s="1"/>
      <c r="ABX330" s="1"/>
      <c r="ABY330" s="1"/>
      <c r="ABZ330" s="1"/>
      <c r="ACA330" s="1"/>
      <c r="ACB330" s="1"/>
      <c r="ACC330" s="1"/>
      <c r="ACD330" s="1"/>
      <c r="ACE330" s="1"/>
      <c r="ACF330" s="1"/>
      <c r="ACG330" s="1"/>
      <c r="ACH330" s="1"/>
      <c r="ACI330" s="1"/>
      <c r="ACJ330" s="1"/>
      <c r="ACK330" s="1"/>
      <c r="ACL330" s="1"/>
      <c r="ACM330" s="1"/>
      <c r="ACN330" s="1"/>
      <c r="ACO330" s="1"/>
      <c r="ACP330" s="1"/>
      <c r="ACQ330" s="1"/>
      <c r="ACR330" s="1"/>
      <c r="ACS330" s="1"/>
      <c r="ACT330" s="1"/>
      <c r="ACU330" s="1"/>
      <c r="ACV330" s="1"/>
      <c r="ACW330" s="1"/>
      <c r="ACX330" s="1"/>
      <c r="ACY330" s="1"/>
      <c r="ACZ330" s="1"/>
      <c r="ADA330" s="1"/>
      <c r="ADB330" s="1"/>
      <c r="ADC330" s="1"/>
      <c r="ADD330" s="1"/>
      <c r="ADE330" s="1"/>
      <c r="ADF330" s="1"/>
      <c r="ADG330" s="1"/>
      <c r="ADH330" s="1"/>
      <c r="ADI330" s="1"/>
      <c r="ADJ330" s="1"/>
      <c r="ADK330" s="1"/>
      <c r="ADL330" s="1"/>
      <c r="ADM330" s="1"/>
      <c r="ADN330" s="1"/>
      <c r="ADO330" s="1"/>
      <c r="ADP330" s="1"/>
      <c r="ADQ330" s="1"/>
      <c r="ADR330" s="1"/>
      <c r="ADS330" s="1"/>
      <c r="ADT330" s="1"/>
      <c r="ADU330" s="1"/>
      <c r="ADV330" s="1"/>
      <c r="ADW330" s="1"/>
      <c r="ADX330" s="1"/>
      <c r="ADY330" s="1"/>
      <c r="ADZ330" s="1"/>
      <c r="AEA330" s="1"/>
      <c r="AEB330" s="1"/>
      <c r="AEC330" s="1"/>
      <c r="AED330" s="1"/>
      <c r="AEE330" s="1"/>
      <c r="AEF330" s="1"/>
      <c r="AEG330" s="1"/>
      <c r="AEH330" s="1"/>
      <c r="AEI330" s="1"/>
      <c r="AEJ330" s="1"/>
      <c r="AEK330" s="1"/>
      <c r="AEL330" s="1"/>
      <c r="AEM330" s="1"/>
      <c r="AEN330" s="1"/>
      <c r="AEO330" s="1"/>
      <c r="AEP330" s="1"/>
      <c r="AEQ330" s="1"/>
      <c r="AER330" s="1"/>
      <c r="AES330" s="1"/>
      <c r="AET330" s="1"/>
      <c r="AEU330" s="1"/>
      <c r="AEV330" s="1"/>
      <c r="AEW330" s="1"/>
      <c r="AEX330" s="1"/>
      <c r="AEY330" s="1"/>
      <c r="AEZ330" s="1"/>
      <c r="AFA330" s="1"/>
      <c r="AFB330" s="1"/>
      <c r="AFC330" s="1"/>
      <c r="AFD330" s="1"/>
      <c r="AFE330" s="1"/>
      <c r="AFF330" s="1"/>
      <c r="AFG330" s="1"/>
      <c r="AFH330" s="1"/>
      <c r="AFI330" s="1"/>
      <c r="AFJ330" s="1"/>
      <c r="AFK330" s="1"/>
      <c r="AFL330" s="1"/>
      <c r="AFM330" s="1"/>
      <c r="AFN330" s="1"/>
      <c r="AFO330" s="1"/>
      <c r="AFP330" s="1"/>
      <c r="AFQ330" s="1"/>
      <c r="AFR330" s="1"/>
      <c r="AFS330" s="1"/>
      <c r="AFT330" s="1"/>
      <c r="AFU330" s="1"/>
      <c r="AFV330" s="1"/>
      <c r="AFW330" s="1"/>
      <c r="AFX330" s="1"/>
      <c r="AFY330" s="1"/>
      <c r="AFZ330" s="1"/>
      <c r="AGA330" s="1"/>
      <c r="AGB330" s="1"/>
      <c r="AGC330" s="1"/>
      <c r="AGD330" s="1"/>
      <c r="AGE330" s="1"/>
      <c r="AGF330" s="1"/>
      <c r="AGG330" s="1"/>
      <c r="AGH330" s="1"/>
      <c r="AGI330" s="1"/>
      <c r="AGJ330" s="1"/>
      <c r="AGK330" s="1"/>
      <c r="AGL330" s="1"/>
      <c r="AGM330" s="1"/>
      <c r="AGN330" s="1"/>
      <c r="AGO330" s="1"/>
      <c r="AGP330" s="1"/>
      <c r="AGQ330" s="1"/>
      <c r="AGR330" s="1"/>
      <c r="AGS330" s="1"/>
      <c r="AGT330" s="1"/>
      <c r="AGU330" s="1"/>
      <c r="AGV330" s="1"/>
      <c r="AGW330" s="1"/>
      <c r="AGX330" s="1"/>
      <c r="AGY330" s="1"/>
      <c r="AGZ330" s="1"/>
      <c r="AHA330" s="1"/>
      <c r="AHB330" s="1"/>
      <c r="AHC330" s="1"/>
      <c r="AHD330" s="1"/>
      <c r="AHE330" s="1"/>
      <c r="AHF330" s="1"/>
      <c r="AHG330" s="1"/>
      <c r="AHH330" s="1"/>
      <c r="AHI330" s="1"/>
      <c r="AHJ330" s="1"/>
      <c r="AHK330" s="1"/>
      <c r="AHL330" s="1"/>
      <c r="AHM330" s="1"/>
      <c r="AHN330" s="1"/>
      <c r="AHO330" s="1"/>
      <c r="AHP330" s="1"/>
      <c r="AHQ330" s="1"/>
      <c r="AHR330" s="1"/>
      <c r="AHS330" s="1"/>
      <c r="AHT330" s="1"/>
      <c r="AHU330" s="1"/>
      <c r="AHV330" s="1"/>
      <c r="AHW330" s="1"/>
      <c r="AHX330" s="1"/>
      <c r="AHY330" s="1"/>
      <c r="AHZ330" s="1"/>
      <c r="AIA330" s="1"/>
      <c r="AIB330" s="1"/>
      <c r="AIC330" s="1"/>
      <c r="AID330" s="1"/>
      <c r="AIE330" s="1"/>
      <c r="AIF330" s="1"/>
      <c r="AIG330" s="1"/>
      <c r="AIH330" s="1"/>
      <c r="AII330" s="1"/>
      <c r="AIJ330" s="1"/>
      <c r="AIK330" s="1"/>
      <c r="AIL330" s="1"/>
      <c r="AIM330" s="1"/>
      <c r="AIN330" s="1"/>
      <c r="AIO330" s="1"/>
      <c r="AIP330" s="1"/>
      <c r="AIQ330" s="1"/>
      <c r="AIR330" s="1"/>
      <c r="AIS330" s="1"/>
      <c r="AIT330" s="1"/>
      <c r="AIU330" s="1"/>
      <c r="AIV330" s="1"/>
      <c r="AIW330" s="1"/>
      <c r="AIX330" s="1"/>
      <c r="AIY330" s="1"/>
      <c r="AIZ330" s="1"/>
      <c r="AJA330" s="1"/>
      <c r="AJB330" s="1"/>
      <c r="AJC330" s="1"/>
      <c r="AJD330" s="1"/>
      <c r="AJE330" s="1"/>
      <c r="AJF330" s="1"/>
      <c r="AJG330" s="1"/>
      <c r="AJH330" s="1"/>
      <c r="AJI330" s="1"/>
      <c r="AJJ330" s="1"/>
      <c r="AJK330" s="1"/>
      <c r="AJL330" s="1"/>
      <c r="AJM330" s="1"/>
      <c r="AJN330" s="1"/>
      <c r="AJO330" s="1"/>
      <c r="AJP330" s="1"/>
      <c r="AJQ330" s="1"/>
      <c r="AJR330" s="1"/>
      <c r="AJS330" s="1"/>
      <c r="AJT330" s="1"/>
      <c r="AJU330" s="1"/>
      <c r="AJV330" s="1"/>
      <c r="AJW330" s="1"/>
      <c r="AJX330" s="1"/>
      <c r="AJY330" s="1"/>
      <c r="AJZ330" s="1"/>
      <c r="AKA330" s="1"/>
      <c r="AKB330" s="1"/>
      <c r="AKC330" s="1"/>
      <c r="AKD330" s="1"/>
      <c r="AKE330" s="1"/>
      <c r="AKF330" s="1"/>
      <c r="AKG330" s="1"/>
      <c r="AKH330" s="1"/>
      <c r="AKI330" s="1"/>
      <c r="AKJ330" s="1"/>
      <c r="AKK330" s="1"/>
      <c r="AKL330" s="1"/>
      <c r="AKM330" s="1"/>
      <c r="AKN330" s="1"/>
      <c r="AKO330" s="1"/>
      <c r="AKP330" s="1"/>
      <c r="AKQ330" s="1"/>
      <c r="AKR330" s="1"/>
      <c r="AKS330" s="1"/>
      <c r="AKT330" s="1"/>
      <c r="AKU330" s="1"/>
      <c r="AKV330" s="1"/>
      <c r="AKW330" s="1"/>
      <c r="AKX330" s="1"/>
      <c r="AKY330" s="1"/>
      <c r="AKZ330" s="1"/>
      <c r="ALA330" s="1"/>
      <c r="ALB330" s="1"/>
      <c r="ALC330" s="1"/>
      <c r="ALD330" s="1"/>
      <c r="ALE330" s="1"/>
      <c r="ALF330" s="1"/>
      <c r="ALG330" s="1"/>
      <c r="ALH330" s="1"/>
      <c r="ALI330" s="1"/>
      <c r="ALJ330" s="1"/>
      <c r="ALK330" s="1"/>
      <c r="ALL330" s="1"/>
      <c r="ALM330" s="1"/>
      <c r="ALN330" s="1"/>
      <c r="ALO330" s="1"/>
      <c r="ALP330" s="1"/>
      <c r="ALQ330" s="1"/>
      <c r="ALR330" s="1"/>
      <c r="ALS330" s="1"/>
      <c r="ALT330" s="1"/>
      <c r="ALU330" s="1"/>
      <c r="ALV330" s="1"/>
      <c r="ALW330" s="1"/>
      <c r="ALX330" s="1"/>
      <c r="ALY330" s="1"/>
      <c r="ALZ330" s="1"/>
      <c r="AMA330" s="1"/>
      <c r="AMB330" s="1"/>
      <c r="AMC330" s="1"/>
      <c r="AMD330" s="1"/>
      <c r="AME330" s="1"/>
      <c r="AMF330" s="1"/>
      <c r="AMG330" s="1"/>
      <c r="AMH330" s="1"/>
      <c r="AMI330" s="1"/>
      <c r="AMJ330" s="1"/>
      <c r="AMK330" s="1"/>
      <c r="AML330" s="1"/>
      <c r="AMM330" s="1"/>
      <c r="AMN330" s="1"/>
      <c r="AMO330" s="1"/>
    </row>
    <row r="331" spans="1:1030" x14ac:dyDescent="0.2">
      <c r="A331" s="3" t="str">
        <f>CONCATENATE(B331,"_",C331)</f>
        <v>ox1r_human_4ZJ8</v>
      </c>
      <c r="B331" s="3" t="s">
        <v>1168</v>
      </c>
      <c r="C331" s="3" t="s">
        <v>90</v>
      </c>
      <c r="D331" s="3" t="str">
        <f>IFERROR(MID(VLOOKUP($B331,Seqs!$A:$B,2,0),E331,1),"")</f>
        <v>E</v>
      </c>
      <c r="E331" s="3">
        <v>46</v>
      </c>
      <c r="F331" s="3" t="str">
        <f>IFERROR(MID(VLOOKUP($B331,Seqs!$A:$B,2,0),G331,1),"")</f>
        <v>N</v>
      </c>
      <c r="G331" s="3">
        <v>74</v>
      </c>
      <c r="H331" s="3" t="str">
        <f>IFERROR(MID(VLOOKUP($B331,Seqs!$A:$B,2,0),I331,1),"")</f>
        <v>H</v>
      </c>
      <c r="I331" s="23">
        <v>75</v>
      </c>
      <c r="J331" s="3" t="str">
        <f>IFERROR(MID(VLOOKUP($B331,Seqs!$A:$B,2,0),K331,1),"")</f>
        <v>R</v>
      </c>
      <c r="K331" s="23">
        <v>78</v>
      </c>
      <c r="L331" s="3" t="str">
        <f>IFERROR(MID(VLOOKUP($B331,Seqs!$A:$B,2,0),M331,1),"")</f>
        <v>T</v>
      </c>
      <c r="M331" s="3">
        <v>79</v>
      </c>
      <c r="N331" s="3" t="str">
        <f>IFERROR(MID(VLOOKUP($B331,Seqs!$A:$B,2,0),O331,1),"")</f>
        <v>E</v>
      </c>
      <c r="O331" s="3">
        <v>110</v>
      </c>
      <c r="P331" s="3" t="str">
        <f>IFERROR(MID(VLOOKUP($B331,Seqs!$A:$B,2,0),Q331,1),"")</f>
        <v>S</v>
      </c>
      <c r="Q331" s="3">
        <v>111</v>
      </c>
      <c r="R331" s="3" t="str">
        <f>IFERROR(MID(VLOOKUP($B331,Seqs!$A:$B,2,0),S331,1),"")</f>
        <v>F</v>
      </c>
      <c r="S331" s="3">
        <v>114</v>
      </c>
      <c r="T331" s="3" t="str">
        <f>IFERROR(MID(VLOOKUP($B331,Seqs!$A:$B,2,0),U331,1),"")</f>
        <v>G</v>
      </c>
      <c r="U331" s="3">
        <v>115</v>
      </c>
      <c r="V331" s="3" t="str">
        <f>IFERROR(MID(VLOOKUP($B331,Seqs!$A:$B,2,0),W331,1),"")</f>
        <v>H</v>
      </c>
      <c r="W331" s="3">
        <v>150</v>
      </c>
      <c r="X331" s="3" t="str">
        <f>IFERROR(MID(VLOOKUP($B331,Seqs!$A:$B,2,0),Y331,1),"")</f>
        <v>P</v>
      </c>
      <c r="Y331" s="3">
        <v>151</v>
      </c>
      <c r="Z331" s="3" t="str">
        <f>IFERROR(MID(VLOOKUP($B331,Seqs!$A:$B,2,0),AA331,1),"")</f>
        <v>F</v>
      </c>
      <c r="AA331" s="3">
        <v>154</v>
      </c>
      <c r="AB331" s="3" t="str">
        <f>IFERROR(MID(VLOOKUP($B331,Seqs!$A:$B,2,0),AC331,1),"")</f>
        <v>T</v>
      </c>
      <c r="AC331" s="9">
        <v>157</v>
      </c>
      <c r="AD331" s="3" t="str">
        <f>IFERROR(MID(VLOOKUP($B331,Seqs!$A:$B,2,0),AE331,1),"")</f>
        <v>M</v>
      </c>
      <c r="AE331" s="3">
        <v>183</v>
      </c>
      <c r="AF331" s="3" t="str">
        <f>IFERROR(MID(VLOOKUP($B331,Seqs!$A:$B,2,0),AG331,1),"")</f>
        <v>C</v>
      </c>
      <c r="AG331" s="3">
        <v>202</v>
      </c>
      <c r="AH331" s="3" t="str">
        <f>IFERROR(MID(VLOOKUP($B331,Seqs!$A:$B,2,0),AI331,1),"")</f>
        <v>E</v>
      </c>
      <c r="AI331" s="3">
        <v>204</v>
      </c>
      <c r="AJ331" s="3" t="str">
        <f>IFERROR(MID(VLOOKUP($B331,Seqs!$A:$B,2,0),AK331,1),"")</f>
        <v>L</v>
      </c>
      <c r="AK331" s="3">
        <v>210</v>
      </c>
      <c r="AL331" s="3" t="str">
        <f>IFERROR(MID(VLOOKUP($B331,Seqs!$A:$B,2,0),AM331,1),"")</f>
        <v>L</v>
      </c>
      <c r="AM331" s="3">
        <v>242</v>
      </c>
      <c r="AN331" s="3" t="str">
        <f>IFERROR(MID(VLOOKUP($B331,Seqs!$A:$B,2,0),AO331,1),"")</f>
        <v>K</v>
      </c>
      <c r="AO331" s="3">
        <v>288</v>
      </c>
      <c r="AP331" s="3" t="str">
        <f>IFERROR(MID(VLOOKUP($B331,Seqs!$A:$B,2,0),AQ331,1),"")</f>
        <v>F</v>
      </c>
      <c r="AQ331" s="3">
        <v>324</v>
      </c>
      <c r="AR331" s="3" t="str">
        <f>IFERROR(MID(VLOOKUP($B331,Seqs!$A:$B,2,0),AS331,1),"")</f>
        <v>R</v>
      </c>
      <c r="AS331" s="3">
        <v>333</v>
      </c>
      <c r="AT331" s="3" t="str">
        <f>IFERROR(MID(VLOOKUP($B331,Seqs!$A:$B,2,0),AU331,1),"")</f>
        <v>L</v>
      </c>
      <c r="AU331" s="3">
        <v>361</v>
      </c>
      <c r="AV331" s="3" t="str">
        <f>IFERROR(MID(VLOOKUP($B331,Seqs!$A:$B,2,0),AW331,1),"")</f>
        <v>S</v>
      </c>
      <c r="AW331" s="3">
        <v>362</v>
      </c>
      <c r="AX331" s="3" t="str">
        <f>IFERROR(MID(VLOOKUP($B331,Seqs!$A:$B,2,0),AY331,1),"")</f>
        <v>F</v>
      </c>
      <c r="AY331" s="3">
        <v>373</v>
      </c>
      <c r="AZ331" s="77" t="str">
        <f>VLOOKUP(B331,Classification!A:D,2,0)</f>
        <v>A</v>
      </c>
      <c r="BA331" s="94" t="str">
        <f>VLOOKUP(B331,Classification!A:D,4,0)</f>
        <v>Orexin</v>
      </c>
      <c r="BB331" s="27" t="b">
        <f t="shared" si="1114"/>
        <v>1</v>
      </c>
      <c r="BC331" s="23">
        <f t="shared" si="1113"/>
        <v>250</v>
      </c>
      <c r="BD331" s="4" t="s">
        <v>23</v>
      </c>
      <c r="BE331" s="3" t="s">
        <v>1368</v>
      </c>
      <c r="BF331" s="118">
        <v>2.75</v>
      </c>
      <c r="BG331" s="49" t="s">
        <v>1371</v>
      </c>
      <c r="BH331" s="49" t="s">
        <v>1371</v>
      </c>
      <c r="BI331" s="1"/>
      <c r="BJ331" s="70" t="s">
        <v>1281</v>
      </c>
      <c r="BK331" s="57" t="s">
        <v>1281</v>
      </c>
      <c r="BL331" s="57" t="s">
        <v>1281</v>
      </c>
      <c r="BM331" s="57" t="s">
        <v>1281</v>
      </c>
      <c r="BN331" s="57" t="s">
        <v>1281</v>
      </c>
      <c r="BO331" s="57" t="s">
        <v>1281</v>
      </c>
      <c r="BP331" s="57" t="s">
        <v>1281</v>
      </c>
      <c r="BQ331" s="57" t="s">
        <v>1281</v>
      </c>
      <c r="BR331" s="57" t="s">
        <v>1281</v>
      </c>
      <c r="BS331" s="57" t="s">
        <v>1281</v>
      </c>
      <c r="BT331" s="57" t="s">
        <v>1281</v>
      </c>
      <c r="BU331" s="57" t="s">
        <v>1281</v>
      </c>
      <c r="BV331" s="70">
        <f>E331</f>
        <v>46</v>
      </c>
      <c r="BW331" s="71">
        <f>I331</f>
        <v>75</v>
      </c>
      <c r="BX331" s="72">
        <f>M331</f>
        <v>79</v>
      </c>
      <c r="BY331" s="71">
        <f>Q331</f>
        <v>111</v>
      </c>
      <c r="BZ331" s="72">
        <f>U331</f>
        <v>115</v>
      </c>
      <c r="CA331" s="71">
        <f>Y331</f>
        <v>151</v>
      </c>
      <c r="CB331" s="72">
        <f>AC331</f>
        <v>157</v>
      </c>
      <c r="CC331" s="71">
        <f>AG331</f>
        <v>202</v>
      </c>
      <c r="CD331" s="72">
        <f>AK331</f>
        <v>210</v>
      </c>
      <c r="CE331" s="71">
        <f>AO331</f>
        <v>288</v>
      </c>
      <c r="CF331" s="72">
        <f>AS331</f>
        <v>333</v>
      </c>
      <c r="CG331" s="71">
        <f>AW331</f>
        <v>362</v>
      </c>
      <c r="CH331" s="70">
        <f>G331</f>
        <v>74</v>
      </c>
      <c r="CI331" s="71">
        <f>K331</f>
        <v>78</v>
      </c>
      <c r="CJ331" s="72">
        <f>O331</f>
        <v>110</v>
      </c>
      <c r="CK331" s="72">
        <f>S331</f>
        <v>114</v>
      </c>
      <c r="CL331" s="72">
        <f>W331</f>
        <v>150</v>
      </c>
      <c r="CM331" s="72">
        <f>AA331</f>
        <v>154</v>
      </c>
      <c r="CN331" s="72">
        <f>AE331</f>
        <v>183</v>
      </c>
      <c r="CO331" s="72">
        <f>AI331</f>
        <v>204</v>
      </c>
      <c r="CP331" s="72">
        <f>AM331</f>
        <v>242</v>
      </c>
      <c r="CQ331" s="72">
        <f>AQ331</f>
        <v>324</v>
      </c>
      <c r="CR331" s="72">
        <f>AU331</f>
        <v>361</v>
      </c>
      <c r="CS331" s="72">
        <f>AY331</f>
        <v>373</v>
      </c>
      <c r="CT331" s="23">
        <f>M331-K331</f>
        <v>1</v>
      </c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  <c r="QT331" s="1"/>
      <c r="QU331" s="1"/>
      <c r="QV331" s="1"/>
      <c r="QW331" s="1"/>
      <c r="QX331" s="1"/>
      <c r="QY331" s="1"/>
      <c r="QZ331" s="1"/>
      <c r="RA331" s="1"/>
      <c r="RB331" s="1"/>
      <c r="RC331" s="1"/>
      <c r="RD331" s="1"/>
      <c r="RE331" s="1"/>
      <c r="RF331" s="1"/>
      <c r="RG331" s="1"/>
      <c r="RH331" s="1"/>
      <c r="RI331" s="1"/>
      <c r="RJ331" s="1"/>
      <c r="RK331" s="1"/>
      <c r="RL331" s="1"/>
      <c r="RM331" s="1"/>
      <c r="RN331" s="1"/>
      <c r="RO331" s="1"/>
      <c r="RP331" s="1"/>
      <c r="RQ331" s="1"/>
      <c r="RR331" s="1"/>
      <c r="RS331" s="1"/>
      <c r="RT331" s="1"/>
      <c r="RU331" s="1"/>
      <c r="RV331" s="1"/>
      <c r="RW331" s="1"/>
      <c r="RX331" s="1"/>
      <c r="RY331" s="1"/>
      <c r="RZ331" s="1"/>
      <c r="SA331" s="1"/>
      <c r="SB331" s="1"/>
      <c r="SC331" s="1"/>
      <c r="SD331" s="1"/>
      <c r="SE331" s="1"/>
      <c r="SF331" s="1"/>
      <c r="SG331" s="1"/>
      <c r="SH331" s="1"/>
      <c r="SI331" s="1"/>
      <c r="SJ331" s="1"/>
      <c r="SK331" s="1"/>
      <c r="SL331" s="1"/>
      <c r="SM331" s="1"/>
      <c r="SN331" s="1"/>
      <c r="SO331" s="1"/>
      <c r="SP331" s="1"/>
      <c r="SQ331" s="1"/>
      <c r="SR331" s="1"/>
      <c r="SS331" s="1"/>
      <c r="ST331" s="1"/>
      <c r="SU331" s="1"/>
      <c r="SV331" s="1"/>
      <c r="SW331" s="1"/>
      <c r="SX331" s="1"/>
      <c r="SY331" s="1"/>
      <c r="SZ331" s="1"/>
      <c r="TA331" s="1"/>
      <c r="TB331" s="1"/>
      <c r="TC331" s="1"/>
      <c r="TD331" s="1"/>
      <c r="TE331" s="1"/>
      <c r="TF331" s="1"/>
      <c r="TG331" s="1"/>
      <c r="TH331" s="1"/>
      <c r="TI331" s="1"/>
      <c r="TJ331" s="1"/>
      <c r="TK331" s="1"/>
      <c r="TL331" s="1"/>
      <c r="TM331" s="1"/>
      <c r="TN331" s="1"/>
      <c r="TO331" s="1"/>
      <c r="TP331" s="1"/>
      <c r="TQ331" s="1"/>
      <c r="TR331" s="1"/>
      <c r="TS331" s="1"/>
      <c r="TT331" s="1"/>
      <c r="TU331" s="1"/>
      <c r="TV331" s="1"/>
      <c r="TW331" s="1"/>
      <c r="TX331" s="1"/>
      <c r="TY331" s="1"/>
      <c r="TZ331" s="1"/>
      <c r="UA331" s="1"/>
      <c r="UB331" s="1"/>
      <c r="UC331" s="1"/>
      <c r="UD331" s="1"/>
      <c r="UE331" s="1"/>
      <c r="UF331" s="1"/>
      <c r="UG331" s="1"/>
      <c r="UH331" s="1"/>
      <c r="UI331" s="1"/>
      <c r="UJ331" s="1"/>
      <c r="UK331" s="1"/>
      <c r="UL331" s="1"/>
      <c r="UM331" s="1"/>
      <c r="UN331" s="1"/>
      <c r="UO331" s="1"/>
      <c r="UP331" s="1"/>
      <c r="UQ331" s="1"/>
      <c r="UR331" s="1"/>
      <c r="US331" s="1"/>
      <c r="UT331" s="1"/>
      <c r="UU331" s="1"/>
      <c r="UV331" s="1"/>
      <c r="UW331" s="1"/>
      <c r="UX331" s="1"/>
      <c r="UY331" s="1"/>
      <c r="UZ331" s="1"/>
      <c r="VA331" s="1"/>
      <c r="VB331" s="1"/>
      <c r="VC331" s="1"/>
      <c r="VD331" s="1"/>
      <c r="VE331" s="1"/>
      <c r="VF331" s="1"/>
      <c r="VG331" s="1"/>
      <c r="VH331" s="1"/>
      <c r="VI331" s="1"/>
      <c r="VJ331" s="1"/>
      <c r="VK331" s="1"/>
      <c r="VL331" s="1"/>
      <c r="VM331" s="1"/>
      <c r="VN331" s="1"/>
      <c r="VO331" s="1"/>
      <c r="VP331" s="1"/>
      <c r="VQ331" s="1"/>
      <c r="VR331" s="1"/>
      <c r="VS331" s="1"/>
      <c r="VT331" s="1"/>
      <c r="VU331" s="1"/>
      <c r="VV331" s="1"/>
      <c r="VW331" s="1"/>
      <c r="VX331" s="1"/>
      <c r="VY331" s="1"/>
      <c r="VZ331" s="1"/>
      <c r="WA331" s="1"/>
      <c r="WB331" s="1"/>
      <c r="WC331" s="1"/>
      <c r="WD331" s="1"/>
      <c r="WE331" s="1"/>
      <c r="WF331" s="1"/>
      <c r="WG331" s="1"/>
      <c r="WH331" s="1"/>
      <c r="WI331" s="1"/>
      <c r="WJ331" s="1"/>
      <c r="WK331" s="1"/>
      <c r="WL331" s="1"/>
      <c r="WM331" s="1"/>
      <c r="WN331" s="1"/>
      <c r="WO331" s="1"/>
      <c r="WP331" s="1"/>
      <c r="WQ331" s="1"/>
      <c r="WR331" s="1"/>
      <c r="WS331" s="1"/>
      <c r="WT331" s="1"/>
      <c r="WU331" s="1"/>
      <c r="WV331" s="1"/>
      <c r="WW331" s="1"/>
      <c r="WX331" s="1"/>
      <c r="WY331" s="1"/>
      <c r="WZ331" s="1"/>
      <c r="XA331" s="1"/>
      <c r="XB331" s="1"/>
      <c r="XC331" s="1"/>
      <c r="XD331" s="1"/>
      <c r="XE331" s="1"/>
      <c r="XF331" s="1"/>
      <c r="XG331" s="1"/>
      <c r="XH331" s="1"/>
      <c r="XI331" s="1"/>
      <c r="XJ331" s="1"/>
      <c r="XK331" s="1"/>
      <c r="XL331" s="1"/>
      <c r="XM331" s="1"/>
      <c r="XN331" s="1"/>
      <c r="XO331" s="1"/>
      <c r="XP331" s="1"/>
      <c r="XQ331" s="1"/>
      <c r="XR331" s="1"/>
      <c r="XS331" s="1"/>
      <c r="XT331" s="1"/>
      <c r="XU331" s="1"/>
      <c r="XV331" s="1"/>
      <c r="XW331" s="1"/>
      <c r="XX331" s="1"/>
      <c r="XY331" s="1"/>
      <c r="XZ331" s="1"/>
      <c r="YA331" s="1"/>
      <c r="YB331" s="1"/>
      <c r="YC331" s="1"/>
      <c r="YD331" s="1"/>
      <c r="YE331" s="1"/>
      <c r="YF331" s="1"/>
      <c r="YG331" s="1"/>
      <c r="YH331" s="1"/>
      <c r="YI331" s="1"/>
      <c r="YJ331" s="1"/>
      <c r="YK331" s="1"/>
      <c r="YL331" s="1"/>
      <c r="YM331" s="1"/>
      <c r="YN331" s="1"/>
      <c r="YO331" s="1"/>
      <c r="YP331" s="1"/>
      <c r="YQ331" s="1"/>
      <c r="YR331" s="1"/>
      <c r="YS331" s="1"/>
      <c r="YT331" s="1"/>
      <c r="YU331" s="1"/>
      <c r="YV331" s="1"/>
      <c r="YW331" s="1"/>
      <c r="YX331" s="1"/>
      <c r="YY331" s="1"/>
      <c r="YZ331" s="1"/>
      <c r="ZA331" s="1"/>
      <c r="ZB331" s="1"/>
      <c r="ZC331" s="1"/>
      <c r="ZD331" s="1"/>
      <c r="ZE331" s="1"/>
      <c r="ZF331" s="1"/>
      <c r="ZG331" s="1"/>
      <c r="ZH331" s="1"/>
      <c r="ZI331" s="1"/>
      <c r="ZJ331" s="1"/>
      <c r="ZK331" s="1"/>
      <c r="ZL331" s="1"/>
      <c r="ZM331" s="1"/>
      <c r="ZN331" s="1"/>
      <c r="ZO331" s="1"/>
      <c r="ZP331" s="1"/>
      <c r="ZQ331" s="1"/>
      <c r="ZR331" s="1"/>
      <c r="ZS331" s="1"/>
      <c r="ZT331" s="1"/>
      <c r="ZU331" s="1"/>
      <c r="ZV331" s="1"/>
      <c r="ZW331" s="1"/>
      <c r="ZX331" s="1"/>
      <c r="ZY331" s="1"/>
      <c r="ZZ331" s="1"/>
      <c r="AAA331" s="1"/>
      <c r="AAB331" s="1"/>
      <c r="AAC331" s="1"/>
      <c r="AAD331" s="1"/>
      <c r="AAE331" s="1"/>
      <c r="AAF331" s="1"/>
      <c r="AAG331" s="1"/>
      <c r="AAH331" s="1"/>
      <c r="AAI331" s="1"/>
      <c r="AAJ331" s="1"/>
      <c r="AAK331" s="1"/>
      <c r="AAL331" s="1"/>
      <c r="AAM331" s="1"/>
      <c r="AAN331" s="1"/>
      <c r="AAO331" s="1"/>
      <c r="AAP331" s="1"/>
      <c r="AAQ331" s="1"/>
      <c r="AAR331" s="1"/>
      <c r="AAS331" s="1"/>
      <c r="AAT331" s="1"/>
      <c r="AAU331" s="1"/>
      <c r="AAV331" s="1"/>
      <c r="AAW331" s="1"/>
      <c r="AAX331" s="1"/>
      <c r="AAY331" s="1"/>
      <c r="AAZ331" s="1"/>
      <c r="ABA331" s="1"/>
      <c r="ABB331" s="1"/>
      <c r="ABC331" s="1"/>
      <c r="ABD331" s="1"/>
      <c r="ABE331" s="1"/>
      <c r="ABF331" s="1"/>
      <c r="ABG331" s="1"/>
      <c r="ABH331" s="1"/>
      <c r="ABI331" s="1"/>
      <c r="ABJ331" s="1"/>
      <c r="ABK331" s="1"/>
      <c r="ABL331" s="1"/>
      <c r="ABM331" s="1"/>
      <c r="ABN331" s="1"/>
      <c r="ABO331" s="1"/>
      <c r="ABP331" s="1"/>
      <c r="ABQ331" s="1"/>
      <c r="ABR331" s="1"/>
      <c r="ABS331" s="1"/>
      <c r="ABT331" s="1"/>
      <c r="ABU331" s="1"/>
      <c r="ABV331" s="1"/>
      <c r="ABW331" s="1"/>
      <c r="ABX331" s="1"/>
      <c r="ABY331" s="1"/>
      <c r="ABZ331" s="1"/>
      <c r="ACA331" s="1"/>
      <c r="ACB331" s="1"/>
      <c r="ACC331" s="1"/>
      <c r="ACD331" s="1"/>
      <c r="ACE331" s="1"/>
      <c r="ACF331" s="1"/>
      <c r="ACG331" s="1"/>
      <c r="ACH331" s="1"/>
      <c r="ACI331" s="1"/>
      <c r="ACJ331" s="1"/>
      <c r="ACK331" s="1"/>
      <c r="ACL331" s="1"/>
      <c r="ACM331" s="1"/>
      <c r="ACN331" s="1"/>
      <c r="ACO331" s="1"/>
      <c r="ACP331" s="1"/>
      <c r="ACQ331" s="1"/>
      <c r="ACR331" s="1"/>
      <c r="ACS331" s="1"/>
      <c r="ACT331" s="1"/>
      <c r="ACU331" s="1"/>
      <c r="ACV331" s="1"/>
      <c r="ACW331" s="1"/>
      <c r="ACX331" s="1"/>
      <c r="ACY331" s="1"/>
      <c r="ACZ331" s="1"/>
      <c r="ADA331" s="1"/>
      <c r="ADB331" s="1"/>
      <c r="ADC331" s="1"/>
      <c r="ADD331" s="1"/>
      <c r="ADE331" s="1"/>
      <c r="ADF331" s="1"/>
      <c r="ADG331" s="1"/>
      <c r="ADH331" s="1"/>
      <c r="ADI331" s="1"/>
      <c r="ADJ331" s="1"/>
      <c r="ADK331" s="1"/>
      <c r="ADL331" s="1"/>
      <c r="ADM331" s="1"/>
      <c r="ADN331" s="1"/>
      <c r="ADO331" s="1"/>
      <c r="ADP331" s="1"/>
      <c r="ADQ331" s="1"/>
      <c r="ADR331" s="1"/>
      <c r="ADS331" s="1"/>
      <c r="ADT331" s="1"/>
      <c r="ADU331" s="1"/>
      <c r="ADV331" s="1"/>
      <c r="ADW331" s="1"/>
      <c r="ADX331" s="1"/>
      <c r="ADY331" s="1"/>
      <c r="ADZ331" s="1"/>
      <c r="AEA331" s="1"/>
      <c r="AEB331" s="1"/>
      <c r="AEC331" s="1"/>
      <c r="AED331" s="1"/>
      <c r="AEE331" s="1"/>
      <c r="AEF331" s="1"/>
      <c r="AEG331" s="1"/>
      <c r="AEH331" s="1"/>
      <c r="AEI331" s="1"/>
      <c r="AEJ331" s="1"/>
      <c r="AEK331" s="1"/>
      <c r="AEL331" s="1"/>
      <c r="AEM331" s="1"/>
      <c r="AEN331" s="1"/>
      <c r="AEO331" s="1"/>
      <c r="AEP331" s="1"/>
      <c r="AEQ331" s="1"/>
      <c r="AER331" s="1"/>
      <c r="AES331" s="1"/>
      <c r="AET331" s="1"/>
      <c r="AEU331" s="1"/>
      <c r="AEV331" s="1"/>
      <c r="AEW331" s="1"/>
      <c r="AEX331" s="1"/>
      <c r="AEY331" s="1"/>
      <c r="AEZ331" s="1"/>
      <c r="AFA331" s="1"/>
      <c r="AFB331" s="1"/>
      <c r="AFC331" s="1"/>
      <c r="AFD331" s="1"/>
      <c r="AFE331" s="1"/>
      <c r="AFF331" s="1"/>
      <c r="AFG331" s="1"/>
      <c r="AFH331" s="1"/>
      <c r="AFI331" s="1"/>
      <c r="AFJ331" s="1"/>
      <c r="AFK331" s="1"/>
      <c r="AFL331" s="1"/>
      <c r="AFM331" s="1"/>
      <c r="AFN331" s="1"/>
      <c r="AFO331" s="1"/>
      <c r="AFP331" s="1"/>
      <c r="AFQ331" s="1"/>
      <c r="AFR331" s="1"/>
      <c r="AFS331" s="1"/>
      <c r="AFT331" s="1"/>
      <c r="AFU331" s="1"/>
      <c r="AFV331" s="1"/>
      <c r="AFW331" s="1"/>
      <c r="AFX331" s="1"/>
      <c r="AFY331" s="1"/>
      <c r="AFZ331" s="1"/>
      <c r="AGA331" s="1"/>
      <c r="AGB331" s="1"/>
      <c r="AGC331" s="1"/>
      <c r="AGD331" s="1"/>
      <c r="AGE331" s="1"/>
      <c r="AGF331" s="1"/>
      <c r="AGG331" s="1"/>
      <c r="AGH331" s="1"/>
      <c r="AGI331" s="1"/>
      <c r="AGJ331" s="1"/>
      <c r="AGK331" s="1"/>
      <c r="AGL331" s="1"/>
      <c r="AGM331" s="1"/>
      <c r="AGN331" s="1"/>
      <c r="AGO331" s="1"/>
      <c r="AGP331" s="1"/>
      <c r="AGQ331" s="1"/>
      <c r="AGR331" s="1"/>
      <c r="AGS331" s="1"/>
      <c r="AGT331" s="1"/>
      <c r="AGU331" s="1"/>
      <c r="AGV331" s="1"/>
      <c r="AGW331" s="1"/>
      <c r="AGX331" s="1"/>
      <c r="AGY331" s="1"/>
      <c r="AGZ331" s="1"/>
      <c r="AHA331" s="1"/>
      <c r="AHB331" s="1"/>
      <c r="AHC331" s="1"/>
      <c r="AHD331" s="1"/>
      <c r="AHE331" s="1"/>
      <c r="AHF331" s="1"/>
      <c r="AHG331" s="1"/>
      <c r="AHH331" s="1"/>
      <c r="AHI331" s="1"/>
      <c r="AHJ331" s="1"/>
      <c r="AHK331" s="1"/>
      <c r="AHL331" s="1"/>
      <c r="AHM331" s="1"/>
      <c r="AHN331" s="1"/>
      <c r="AHO331" s="1"/>
      <c r="AHP331" s="1"/>
      <c r="AHQ331" s="1"/>
      <c r="AHR331" s="1"/>
      <c r="AHS331" s="1"/>
      <c r="AHT331" s="1"/>
      <c r="AHU331" s="1"/>
      <c r="AHV331" s="1"/>
      <c r="AHW331" s="1"/>
      <c r="AHX331" s="1"/>
      <c r="AHY331" s="1"/>
      <c r="AHZ331" s="1"/>
      <c r="AIA331" s="1"/>
      <c r="AIB331" s="1"/>
      <c r="AIC331" s="1"/>
      <c r="AID331" s="1"/>
      <c r="AIE331" s="1"/>
      <c r="AIF331" s="1"/>
      <c r="AIG331" s="1"/>
      <c r="AIH331" s="1"/>
      <c r="AII331" s="1"/>
      <c r="AIJ331" s="1"/>
      <c r="AIK331" s="1"/>
      <c r="AIL331" s="1"/>
      <c r="AIM331" s="1"/>
      <c r="AIN331" s="1"/>
      <c r="AIO331" s="1"/>
      <c r="AIP331" s="1"/>
      <c r="AIQ331" s="1"/>
      <c r="AIR331" s="1"/>
      <c r="AIS331" s="1"/>
      <c r="AIT331" s="1"/>
      <c r="AIU331" s="1"/>
      <c r="AIV331" s="1"/>
      <c r="AIW331" s="1"/>
      <c r="AIX331" s="1"/>
      <c r="AIY331" s="1"/>
      <c r="AIZ331" s="1"/>
      <c r="AJA331" s="1"/>
      <c r="AJB331" s="1"/>
      <c r="AJC331" s="1"/>
      <c r="AJD331" s="1"/>
      <c r="AJE331" s="1"/>
      <c r="AJF331" s="1"/>
      <c r="AJG331" s="1"/>
      <c r="AJH331" s="1"/>
      <c r="AJI331" s="1"/>
      <c r="AJJ331" s="1"/>
      <c r="AJK331" s="1"/>
      <c r="AJL331" s="1"/>
      <c r="AJM331" s="1"/>
      <c r="AJN331" s="1"/>
      <c r="AJO331" s="1"/>
      <c r="AJP331" s="1"/>
      <c r="AJQ331" s="1"/>
      <c r="AJR331" s="1"/>
      <c r="AJS331" s="1"/>
      <c r="AJT331" s="1"/>
      <c r="AJU331" s="1"/>
      <c r="AJV331" s="1"/>
      <c r="AJW331" s="1"/>
      <c r="AJX331" s="1"/>
      <c r="AJY331" s="1"/>
      <c r="AJZ331" s="1"/>
      <c r="AKA331" s="1"/>
      <c r="AKB331" s="1"/>
      <c r="AKC331" s="1"/>
      <c r="AKD331" s="1"/>
      <c r="AKE331" s="1"/>
      <c r="AKF331" s="1"/>
      <c r="AKG331" s="1"/>
      <c r="AKH331" s="1"/>
      <c r="AKI331" s="1"/>
      <c r="AKJ331" s="1"/>
      <c r="AKK331" s="1"/>
      <c r="AKL331" s="1"/>
      <c r="AKM331" s="1"/>
      <c r="AKN331" s="1"/>
      <c r="AKO331" s="1"/>
      <c r="AKP331" s="1"/>
      <c r="AKQ331" s="1"/>
      <c r="AKR331" s="1"/>
      <c r="AKS331" s="1"/>
      <c r="AKT331" s="1"/>
      <c r="AKU331" s="1"/>
      <c r="AKV331" s="1"/>
      <c r="AKW331" s="1"/>
      <c r="AKX331" s="1"/>
      <c r="AKY331" s="1"/>
      <c r="AKZ331" s="1"/>
      <c r="ALA331" s="1"/>
      <c r="ALB331" s="1"/>
      <c r="ALC331" s="1"/>
      <c r="ALD331" s="1"/>
      <c r="ALE331" s="1"/>
      <c r="ALF331" s="1"/>
      <c r="ALG331" s="1"/>
      <c r="ALH331" s="1"/>
      <c r="ALI331" s="1"/>
      <c r="ALJ331" s="1"/>
      <c r="ALK331" s="1"/>
      <c r="ALL331" s="1"/>
      <c r="ALM331" s="1"/>
      <c r="ALN331" s="1"/>
      <c r="ALO331" s="1"/>
      <c r="ALP331" s="1"/>
      <c r="ALQ331" s="1"/>
      <c r="ALR331" s="1"/>
      <c r="ALS331" s="1"/>
      <c r="ALT331" s="1"/>
      <c r="ALU331" s="1"/>
      <c r="ALV331" s="1"/>
      <c r="ALW331" s="1"/>
      <c r="ALX331" s="1"/>
      <c r="ALY331" s="1"/>
      <c r="ALZ331" s="1"/>
      <c r="AMA331" s="1"/>
      <c r="AMB331" s="1"/>
      <c r="AMC331" s="1"/>
      <c r="AMD331" s="1"/>
      <c r="AME331" s="1"/>
      <c r="AMF331" s="1"/>
      <c r="AMG331" s="1"/>
      <c r="AMH331" s="1"/>
      <c r="AMI331" s="1"/>
      <c r="AMJ331" s="1"/>
      <c r="AMK331" s="1"/>
      <c r="AML331" s="1"/>
      <c r="AMM331" s="1"/>
      <c r="AMN331" s="1"/>
      <c r="AMO331" s="1"/>
      <c r="AMP331" s="2"/>
    </row>
    <row r="332" spans="1:1030" x14ac:dyDescent="0.2">
      <c r="A332" s="3" t="str">
        <f>CONCATENATE(B332,"_",C332)</f>
        <v>ox1r_human_4ZJC</v>
      </c>
      <c r="B332" s="3" t="s">
        <v>1168</v>
      </c>
      <c r="C332" s="3" t="s">
        <v>91</v>
      </c>
      <c r="D332" s="3" t="str">
        <f>IFERROR(MID(VLOOKUP($B332,Seqs!$A:$B,2,0),E332,1),"")</f>
        <v>E</v>
      </c>
      <c r="E332" s="3">
        <v>46</v>
      </c>
      <c r="F332" s="3" t="str">
        <f>IFERROR(MID(VLOOKUP($B332,Seqs!$A:$B,2,0),G332,1),"")</f>
        <v>N</v>
      </c>
      <c r="G332" s="3">
        <v>74</v>
      </c>
      <c r="H332" s="3" t="str">
        <f>IFERROR(MID(VLOOKUP($B332,Seqs!$A:$B,2,0),I332,1),"")</f>
        <v>H</v>
      </c>
      <c r="I332" s="23">
        <v>75</v>
      </c>
      <c r="J332" s="3" t="str">
        <f>IFERROR(MID(VLOOKUP($B332,Seqs!$A:$B,2,0),K332,1),"")</f>
        <v>R</v>
      </c>
      <c r="K332" s="23">
        <v>78</v>
      </c>
      <c r="L332" s="3" t="str">
        <f>IFERROR(MID(VLOOKUP($B332,Seqs!$A:$B,2,0),M332,1),"")</f>
        <v>T</v>
      </c>
      <c r="M332" s="3">
        <v>79</v>
      </c>
      <c r="N332" s="3" t="str">
        <f>IFERROR(MID(VLOOKUP($B332,Seqs!$A:$B,2,0),O332,1),"")</f>
        <v>E</v>
      </c>
      <c r="O332" s="3">
        <v>110</v>
      </c>
      <c r="P332" s="3" t="str">
        <f>IFERROR(MID(VLOOKUP($B332,Seqs!$A:$B,2,0),Q332,1),"")</f>
        <v>S</v>
      </c>
      <c r="Q332" s="3">
        <v>111</v>
      </c>
      <c r="R332" s="3" t="str">
        <f>IFERROR(MID(VLOOKUP($B332,Seqs!$A:$B,2,0),S332,1),"")</f>
        <v>F</v>
      </c>
      <c r="S332" s="3">
        <v>114</v>
      </c>
      <c r="T332" s="3" t="str">
        <f>IFERROR(MID(VLOOKUP($B332,Seqs!$A:$B,2,0),U332,1),"")</f>
        <v>G</v>
      </c>
      <c r="U332" s="3">
        <v>115</v>
      </c>
      <c r="V332" s="3" t="str">
        <f>IFERROR(MID(VLOOKUP($B332,Seqs!$A:$B,2,0),W332,1),"")</f>
        <v>H</v>
      </c>
      <c r="W332" s="3">
        <v>150</v>
      </c>
      <c r="X332" s="3" t="str">
        <f>IFERROR(MID(VLOOKUP($B332,Seqs!$A:$B,2,0),Y332,1),"")</f>
        <v>P</v>
      </c>
      <c r="Y332" s="3">
        <v>151</v>
      </c>
      <c r="Z332" s="3" t="str">
        <f>IFERROR(MID(VLOOKUP($B332,Seqs!$A:$B,2,0),AA332,1),"")</f>
        <v>F</v>
      </c>
      <c r="AA332" s="3">
        <v>154</v>
      </c>
      <c r="AB332" s="3" t="str">
        <f>IFERROR(MID(VLOOKUP($B332,Seqs!$A:$B,2,0),AC332,1),"")</f>
        <v>T</v>
      </c>
      <c r="AC332" s="9">
        <v>157</v>
      </c>
      <c r="AD332" s="3" t="str">
        <f>IFERROR(MID(VLOOKUP($B332,Seqs!$A:$B,2,0),AE332,1),"")</f>
        <v>M</v>
      </c>
      <c r="AE332" s="3">
        <v>183</v>
      </c>
      <c r="AF332" s="3" t="str">
        <f>IFERROR(MID(VLOOKUP($B332,Seqs!$A:$B,2,0),AG332,1),"")</f>
        <v>C</v>
      </c>
      <c r="AG332" s="3">
        <v>202</v>
      </c>
      <c r="AH332" s="3" t="str">
        <f>IFERROR(MID(VLOOKUP($B332,Seqs!$A:$B,2,0),AI332,1),"")</f>
        <v>E</v>
      </c>
      <c r="AI332" s="3">
        <v>204</v>
      </c>
      <c r="AJ332" s="3" t="str">
        <f>IFERROR(MID(VLOOKUP($B332,Seqs!$A:$B,2,0),AK332,1),"")</f>
        <v>L</v>
      </c>
      <c r="AK332" s="3">
        <v>210</v>
      </c>
      <c r="AL332" s="3" t="str">
        <f>IFERROR(MID(VLOOKUP($B332,Seqs!$A:$B,2,0),AM332,1),"")</f>
        <v>L</v>
      </c>
      <c r="AM332" s="3">
        <v>242</v>
      </c>
      <c r="AN332" s="3" t="str">
        <f>IFERROR(MID(VLOOKUP($B332,Seqs!$A:$B,2,0),AO332,1),"")</f>
        <v>K</v>
      </c>
      <c r="AO332" s="3">
        <v>288</v>
      </c>
      <c r="AP332" s="3" t="str">
        <f>IFERROR(MID(VLOOKUP($B332,Seqs!$A:$B,2,0),AQ332,1),"")</f>
        <v>F</v>
      </c>
      <c r="AQ332" s="3">
        <v>324</v>
      </c>
      <c r="AR332" s="3" t="str">
        <f>IFERROR(MID(VLOOKUP($B332,Seqs!$A:$B,2,0),AS332,1),"")</f>
        <v>R</v>
      </c>
      <c r="AS332" s="3">
        <v>333</v>
      </c>
      <c r="AT332" s="3" t="str">
        <f>IFERROR(MID(VLOOKUP($B332,Seqs!$A:$B,2,0),AU332,1),"")</f>
        <v>L</v>
      </c>
      <c r="AU332" s="3">
        <v>361</v>
      </c>
      <c r="AV332" s="3" t="str">
        <f>IFERROR(MID(VLOOKUP($B332,Seqs!$A:$B,2,0),AW332,1),"")</f>
        <v>S</v>
      </c>
      <c r="AW332" s="3">
        <v>362</v>
      </c>
      <c r="AX332" s="3" t="str">
        <f>IFERROR(MID(VLOOKUP($B332,Seqs!$A:$B,2,0),AY332,1),"")</f>
        <v>F</v>
      </c>
      <c r="AY332" s="3">
        <v>373</v>
      </c>
      <c r="AZ332" s="77" t="str">
        <f>VLOOKUP(B332,Classification!A:D,2,0)</f>
        <v>A</v>
      </c>
      <c r="BA332" s="94" t="str">
        <f>VLOOKUP(B332,Classification!A:D,4,0)</f>
        <v>Orexin</v>
      </c>
      <c r="BB332" s="27" t="b">
        <f t="shared" si="1114"/>
        <v>1</v>
      </c>
      <c r="BC332" s="23">
        <f t="shared" si="1113"/>
        <v>250</v>
      </c>
      <c r="BD332" s="2" t="s">
        <v>23</v>
      </c>
      <c r="BE332" s="3" t="s">
        <v>1368</v>
      </c>
      <c r="BF332" s="118">
        <v>2.83</v>
      </c>
      <c r="BG332" s="49" t="s">
        <v>1371</v>
      </c>
      <c r="BH332" s="49" t="s">
        <v>1371</v>
      </c>
      <c r="BI332" s="1"/>
      <c r="BJ332" s="70" t="s">
        <v>1281</v>
      </c>
      <c r="BK332" s="57" t="s">
        <v>1281</v>
      </c>
      <c r="BL332" s="57" t="s">
        <v>1281</v>
      </c>
      <c r="BM332" s="57" t="s">
        <v>1281</v>
      </c>
      <c r="BN332" s="57" t="s">
        <v>1281</v>
      </c>
      <c r="BO332" s="57" t="s">
        <v>1281</v>
      </c>
      <c r="BP332" s="57" t="s">
        <v>1281</v>
      </c>
      <c r="BQ332" s="57" t="s">
        <v>1281</v>
      </c>
      <c r="BR332" s="57" t="s">
        <v>1281</v>
      </c>
      <c r="BS332" s="57" t="s">
        <v>1281</v>
      </c>
      <c r="BT332" s="57" t="s">
        <v>1281</v>
      </c>
      <c r="BU332" s="57" t="s">
        <v>1281</v>
      </c>
      <c r="BV332" s="70">
        <f>E332</f>
        <v>46</v>
      </c>
      <c r="BW332" s="71">
        <f>I332</f>
        <v>75</v>
      </c>
      <c r="BX332" s="72">
        <f>M332</f>
        <v>79</v>
      </c>
      <c r="BY332" s="71">
        <f>Q332</f>
        <v>111</v>
      </c>
      <c r="BZ332" s="72">
        <f>U332</f>
        <v>115</v>
      </c>
      <c r="CA332" s="71">
        <f>Y332</f>
        <v>151</v>
      </c>
      <c r="CB332" s="72">
        <f>AC332</f>
        <v>157</v>
      </c>
      <c r="CC332" s="71">
        <f>AG332</f>
        <v>202</v>
      </c>
      <c r="CD332" s="72">
        <f>AK332</f>
        <v>210</v>
      </c>
      <c r="CE332" s="71">
        <f>AO332</f>
        <v>288</v>
      </c>
      <c r="CF332" s="72">
        <f>AS332</f>
        <v>333</v>
      </c>
      <c r="CG332" s="71">
        <f>AW332</f>
        <v>362</v>
      </c>
      <c r="CH332" s="70">
        <f>G332</f>
        <v>74</v>
      </c>
      <c r="CI332" s="71">
        <f>K332</f>
        <v>78</v>
      </c>
      <c r="CJ332" s="72">
        <f>O332</f>
        <v>110</v>
      </c>
      <c r="CK332" s="72">
        <f>S332</f>
        <v>114</v>
      </c>
      <c r="CL332" s="72">
        <f>W332</f>
        <v>150</v>
      </c>
      <c r="CM332" s="72">
        <f>AA332</f>
        <v>154</v>
      </c>
      <c r="CN332" s="72">
        <f>AE332</f>
        <v>183</v>
      </c>
      <c r="CO332" s="72">
        <f>AI332</f>
        <v>204</v>
      </c>
      <c r="CP332" s="72">
        <f>AM332</f>
        <v>242</v>
      </c>
      <c r="CQ332" s="72">
        <f>AQ332</f>
        <v>324</v>
      </c>
      <c r="CR332" s="72">
        <f>AU332</f>
        <v>361</v>
      </c>
      <c r="CS332" s="72">
        <f>AY332</f>
        <v>373</v>
      </c>
      <c r="CT332" s="23">
        <f>M332-K332</f>
        <v>1</v>
      </c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"/>
      <c r="PD332" s="1"/>
      <c r="PE332" s="1"/>
      <c r="PF332" s="1"/>
      <c r="PG332" s="1"/>
      <c r="PH332" s="1"/>
      <c r="PI332" s="1"/>
      <c r="PJ332" s="1"/>
      <c r="PK332" s="1"/>
      <c r="PL332" s="1"/>
      <c r="PM332" s="1"/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1"/>
      <c r="QL332" s="1"/>
      <c r="QM332" s="1"/>
      <c r="QN332" s="1"/>
      <c r="QO332" s="1"/>
      <c r="QP332" s="1"/>
      <c r="QQ332" s="1"/>
      <c r="QR332" s="1"/>
      <c r="QS332" s="1"/>
      <c r="QT332" s="1"/>
      <c r="QU332" s="1"/>
      <c r="QV332" s="1"/>
      <c r="QW332" s="1"/>
      <c r="QX332" s="1"/>
      <c r="QY332" s="1"/>
      <c r="QZ332" s="1"/>
      <c r="RA332" s="1"/>
      <c r="RB332" s="1"/>
      <c r="RC332" s="1"/>
      <c r="RD332" s="1"/>
      <c r="RE332" s="1"/>
      <c r="RF332" s="1"/>
      <c r="RG332" s="1"/>
      <c r="RH332" s="1"/>
      <c r="RI332" s="1"/>
      <c r="RJ332" s="1"/>
      <c r="RK332" s="1"/>
      <c r="RL332" s="1"/>
      <c r="RM332" s="1"/>
      <c r="RN332" s="1"/>
      <c r="RO332" s="1"/>
      <c r="RP332" s="1"/>
      <c r="RQ332" s="1"/>
      <c r="RR332" s="1"/>
      <c r="RS332" s="1"/>
      <c r="RT332" s="1"/>
      <c r="RU332" s="1"/>
      <c r="RV332" s="1"/>
      <c r="RW332" s="1"/>
      <c r="RX332" s="1"/>
      <c r="RY332" s="1"/>
      <c r="RZ332" s="1"/>
      <c r="SA332" s="1"/>
      <c r="SB332" s="1"/>
      <c r="SC332" s="1"/>
      <c r="SD332" s="1"/>
      <c r="SE332" s="1"/>
      <c r="SF332" s="1"/>
      <c r="SG332" s="1"/>
      <c r="SH332" s="1"/>
      <c r="SI332" s="1"/>
      <c r="SJ332" s="1"/>
      <c r="SK332" s="1"/>
      <c r="SL332" s="1"/>
      <c r="SM332" s="1"/>
      <c r="SN332" s="1"/>
      <c r="SO332" s="1"/>
      <c r="SP332" s="1"/>
      <c r="SQ332" s="1"/>
      <c r="SR332" s="1"/>
      <c r="SS332" s="1"/>
      <c r="ST332" s="1"/>
      <c r="SU332" s="1"/>
      <c r="SV332" s="1"/>
      <c r="SW332" s="1"/>
      <c r="SX332" s="1"/>
      <c r="SY332" s="1"/>
      <c r="SZ332" s="1"/>
      <c r="TA332" s="1"/>
      <c r="TB332" s="1"/>
      <c r="TC332" s="1"/>
      <c r="TD332" s="1"/>
      <c r="TE332" s="1"/>
      <c r="TF332" s="1"/>
      <c r="TG332" s="1"/>
      <c r="TH332" s="1"/>
      <c r="TI332" s="1"/>
      <c r="TJ332" s="1"/>
      <c r="TK332" s="1"/>
      <c r="TL332" s="1"/>
      <c r="TM332" s="1"/>
      <c r="TN332" s="1"/>
      <c r="TO332" s="1"/>
      <c r="TP332" s="1"/>
      <c r="TQ332" s="1"/>
      <c r="TR332" s="1"/>
      <c r="TS332" s="1"/>
      <c r="TT332" s="1"/>
      <c r="TU332" s="1"/>
      <c r="TV332" s="1"/>
      <c r="TW332" s="1"/>
      <c r="TX332" s="1"/>
      <c r="TY332" s="1"/>
      <c r="TZ332" s="1"/>
      <c r="UA332" s="1"/>
      <c r="UB332" s="1"/>
      <c r="UC332" s="1"/>
      <c r="UD332" s="1"/>
      <c r="UE332" s="1"/>
      <c r="UF332" s="1"/>
      <c r="UG332" s="1"/>
      <c r="UH332" s="1"/>
      <c r="UI332" s="1"/>
      <c r="UJ332" s="1"/>
      <c r="UK332" s="1"/>
      <c r="UL332" s="1"/>
      <c r="UM332" s="1"/>
      <c r="UN332" s="1"/>
      <c r="UO332" s="1"/>
      <c r="UP332" s="1"/>
      <c r="UQ332" s="1"/>
      <c r="UR332" s="1"/>
      <c r="US332" s="1"/>
      <c r="UT332" s="1"/>
      <c r="UU332" s="1"/>
      <c r="UV332" s="1"/>
      <c r="UW332" s="1"/>
      <c r="UX332" s="1"/>
      <c r="UY332" s="1"/>
      <c r="UZ332" s="1"/>
      <c r="VA332" s="1"/>
      <c r="VB332" s="1"/>
      <c r="VC332" s="1"/>
      <c r="VD332" s="1"/>
      <c r="VE332" s="1"/>
      <c r="VF332" s="1"/>
      <c r="VG332" s="1"/>
      <c r="VH332" s="1"/>
      <c r="VI332" s="1"/>
      <c r="VJ332" s="1"/>
      <c r="VK332" s="1"/>
      <c r="VL332" s="1"/>
      <c r="VM332" s="1"/>
      <c r="VN332" s="1"/>
      <c r="VO332" s="1"/>
      <c r="VP332" s="1"/>
      <c r="VQ332" s="1"/>
      <c r="VR332" s="1"/>
      <c r="VS332" s="1"/>
      <c r="VT332" s="1"/>
      <c r="VU332" s="1"/>
      <c r="VV332" s="1"/>
      <c r="VW332" s="1"/>
      <c r="VX332" s="1"/>
      <c r="VY332" s="1"/>
      <c r="VZ332" s="1"/>
      <c r="WA332" s="1"/>
      <c r="WB332" s="1"/>
      <c r="WC332" s="1"/>
      <c r="WD332" s="1"/>
      <c r="WE332" s="1"/>
      <c r="WF332" s="1"/>
      <c r="WG332" s="1"/>
      <c r="WH332" s="1"/>
      <c r="WI332" s="1"/>
      <c r="WJ332" s="1"/>
      <c r="WK332" s="1"/>
      <c r="WL332" s="1"/>
      <c r="WM332" s="1"/>
      <c r="WN332" s="1"/>
      <c r="WO332" s="1"/>
      <c r="WP332" s="1"/>
      <c r="WQ332" s="1"/>
      <c r="WR332" s="1"/>
      <c r="WS332" s="1"/>
      <c r="WT332" s="1"/>
      <c r="WU332" s="1"/>
      <c r="WV332" s="1"/>
      <c r="WW332" s="1"/>
      <c r="WX332" s="1"/>
      <c r="WY332" s="1"/>
      <c r="WZ332" s="1"/>
      <c r="XA332" s="1"/>
      <c r="XB332" s="1"/>
      <c r="XC332" s="1"/>
      <c r="XD332" s="1"/>
      <c r="XE332" s="1"/>
      <c r="XF332" s="1"/>
      <c r="XG332" s="1"/>
      <c r="XH332" s="1"/>
      <c r="XI332" s="1"/>
      <c r="XJ332" s="1"/>
      <c r="XK332" s="1"/>
      <c r="XL332" s="1"/>
      <c r="XM332" s="1"/>
      <c r="XN332" s="1"/>
      <c r="XO332" s="1"/>
      <c r="XP332" s="1"/>
      <c r="XQ332" s="1"/>
      <c r="XR332" s="1"/>
      <c r="XS332" s="1"/>
      <c r="XT332" s="1"/>
      <c r="XU332" s="1"/>
      <c r="XV332" s="1"/>
      <c r="XW332" s="1"/>
      <c r="XX332" s="1"/>
      <c r="XY332" s="1"/>
      <c r="XZ332" s="1"/>
      <c r="YA332" s="1"/>
      <c r="YB332" s="1"/>
      <c r="YC332" s="1"/>
      <c r="YD332" s="1"/>
      <c r="YE332" s="1"/>
      <c r="YF332" s="1"/>
      <c r="YG332" s="1"/>
      <c r="YH332" s="1"/>
      <c r="YI332" s="1"/>
      <c r="YJ332" s="1"/>
      <c r="YK332" s="1"/>
      <c r="YL332" s="1"/>
      <c r="YM332" s="1"/>
      <c r="YN332" s="1"/>
      <c r="YO332" s="1"/>
      <c r="YP332" s="1"/>
      <c r="YQ332" s="1"/>
      <c r="YR332" s="1"/>
      <c r="YS332" s="1"/>
      <c r="YT332" s="1"/>
      <c r="YU332" s="1"/>
      <c r="YV332" s="1"/>
      <c r="YW332" s="1"/>
      <c r="YX332" s="1"/>
      <c r="YY332" s="1"/>
      <c r="YZ332" s="1"/>
      <c r="ZA332" s="1"/>
      <c r="ZB332" s="1"/>
      <c r="ZC332" s="1"/>
      <c r="ZD332" s="1"/>
      <c r="ZE332" s="1"/>
      <c r="ZF332" s="1"/>
      <c r="ZG332" s="1"/>
      <c r="ZH332" s="1"/>
      <c r="ZI332" s="1"/>
      <c r="ZJ332" s="1"/>
      <c r="ZK332" s="1"/>
      <c r="ZL332" s="1"/>
      <c r="ZM332" s="1"/>
      <c r="ZN332" s="1"/>
      <c r="ZO332" s="1"/>
      <c r="ZP332" s="1"/>
      <c r="ZQ332" s="1"/>
      <c r="ZR332" s="1"/>
      <c r="ZS332" s="1"/>
      <c r="ZT332" s="1"/>
      <c r="ZU332" s="1"/>
      <c r="ZV332" s="1"/>
      <c r="ZW332" s="1"/>
      <c r="ZX332" s="1"/>
      <c r="ZY332" s="1"/>
      <c r="ZZ332" s="1"/>
      <c r="AAA332" s="1"/>
      <c r="AAB332" s="1"/>
      <c r="AAC332" s="1"/>
      <c r="AAD332" s="1"/>
      <c r="AAE332" s="1"/>
      <c r="AAF332" s="1"/>
      <c r="AAG332" s="1"/>
      <c r="AAH332" s="1"/>
      <c r="AAI332" s="1"/>
      <c r="AAJ332" s="1"/>
      <c r="AAK332" s="1"/>
      <c r="AAL332" s="1"/>
      <c r="AAM332" s="1"/>
      <c r="AAN332" s="1"/>
      <c r="AAO332" s="1"/>
      <c r="AAP332" s="1"/>
      <c r="AAQ332" s="1"/>
      <c r="AAR332" s="1"/>
      <c r="AAS332" s="1"/>
      <c r="AAT332" s="1"/>
      <c r="AAU332" s="1"/>
      <c r="AAV332" s="1"/>
      <c r="AAW332" s="1"/>
      <c r="AAX332" s="1"/>
      <c r="AAY332" s="1"/>
      <c r="AAZ332" s="1"/>
      <c r="ABA332" s="1"/>
      <c r="ABB332" s="1"/>
      <c r="ABC332" s="1"/>
      <c r="ABD332" s="1"/>
      <c r="ABE332" s="1"/>
      <c r="ABF332" s="1"/>
      <c r="ABG332" s="1"/>
      <c r="ABH332" s="1"/>
      <c r="ABI332" s="1"/>
      <c r="ABJ332" s="1"/>
      <c r="ABK332" s="1"/>
      <c r="ABL332" s="1"/>
      <c r="ABM332" s="1"/>
      <c r="ABN332" s="1"/>
      <c r="ABO332" s="1"/>
      <c r="ABP332" s="1"/>
      <c r="ABQ332" s="1"/>
      <c r="ABR332" s="1"/>
      <c r="ABS332" s="1"/>
      <c r="ABT332" s="1"/>
      <c r="ABU332" s="1"/>
      <c r="ABV332" s="1"/>
      <c r="ABW332" s="1"/>
      <c r="ABX332" s="1"/>
      <c r="ABY332" s="1"/>
      <c r="ABZ332" s="1"/>
      <c r="ACA332" s="1"/>
      <c r="ACB332" s="1"/>
      <c r="ACC332" s="1"/>
      <c r="ACD332" s="1"/>
      <c r="ACE332" s="1"/>
      <c r="ACF332" s="1"/>
      <c r="ACG332" s="1"/>
      <c r="ACH332" s="1"/>
      <c r="ACI332" s="1"/>
      <c r="ACJ332" s="1"/>
      <c r="ACK332" s="1"/>
      <c r="ACL332" s="1"/>
      <c r="ACM332" s="1"/>
      <c r="ACN332" s="1"/>
      <c r="ACO332" s="1"/>
      <c r="ACP332" s="1"/>
      <c r="ACQ332" s="1"/>
      <c r="ACR332" s="1"/>
      <c r="ACS332" s="1"/>
      <c r="ACT332" s="1"/>
      <c r="ACU332" s="1"/>
      <c r="ACV332" s="1"/>
      <c r="ACW332" s="1"/>
      <c r="ACX332" s="1"/>
      <c r="ACY332" s="1"/>
      <c r="ACZ332" s="1"/>
      <c r="ADA332" s="1"/>
      <c r="ADB332" s="1"/>
      <c r="ADC332" s="1"/>
      <c r="ADD332" s="1"/>
      <c r="ADE332" s="1"/>
      <c r="ADF332" s="1"/>
      <c r="ADG332" s="1"/>
      <c r="ADH332" s="1"/>
      <c r="ADI332" s="1"/>
      <c r="ADJ332" s="1"/>
      <c r="ADK332" s="1"/>
      <c r="ADL332" s="1"/>
      <c r="ADM332" s="1"/>
      <c r="ADN332" s="1"/>
      <c r="ADO332" s="1"/>
      <c r="ADP332" s="1"/>
      <c r="ADQ332" s="1"/>
      <c r="ADR332" s="1"/>
      <c r="ADS332" s="1"/>
      <c r="ADT332" s="1"/>
      <c r="ADU332" s="1"/>
      <c r="ADV332" s="1"/>
      <c r="ADW332" s="1"/>
      <c r="ADX332" s="1"/>
      <c r="ADY332" s="1"/>
      <c r="ADZ332" s="1"/>
      <c r="AEA332" s="1"/>
      <c r="AEB332" s="1"/>
      <c r="AEC332" s="1"/>
      <c r="AED332" s="1"/>
      <c r="AEE332" s="1"/>
      <c r="AEF332" s="1"/>
      <c r="AEG332" s="1"/>
      <c r="AEH332" s="1"/>
      <c r="AEI332" s="1"/>
      <c r="AEJ332" s="1"/>
      <c r="AEK332" s="1"/>
      <c r="AEL332" s="1"/>
      <c r="AEM332" s="1"/>
      <c r="AEN332" s="1"/>
      <c r="AEO332" s="1"/>
      <c r="AEP332" s="1"/>
      <c r="AEQ332" s="1"/>
      <c r="AER332" s="1"/>
      <c r="AES332" s="1"/>
      <c r="AET332" s="1"/>
      <c r="AEU332" s="1"/>
      <c r="AEV332" s="1"/>
      <c r="AEW332" s="1"/>
      <c r="AEX332" s="1"/>
      <c r="AEY332" s="1"/>
      <c r="AEZ332" s="1"/>
      <c r="AFA332" s="1"/>
      <c r="AFB332" s="1"/>
      <c r="AFC332" s="1"/>
      <c r="AFD332" s="1"/>
      <c r="AFE332" s="1"/>
      <c r="AFF332" s="1"/>
      <c r="AFG332" s="1"/>
      <c r="AFH332" s="1"/>
      <c r="AFI332" s="1"/>
      <c r="AFJ332" s="1"/>
      <c r="AFK332" s="1"/>
      <c r="AFL332" s="1"/>
      <c r="AFM332" s="1"/>
      <c r="AFN332" s="1"/>
      <c r="AFO332" s="1"/>
      <c r="AFP332" s="1"/>
      <c r="AFQ332" s="1"/>
      <c r="AFR332" s="1"/>
      <c r="AFS332" s="1"/>
      <c r="AFT332" s="1"/>
      <c r="AFU332" s="1"/>
      <c r="AFV332" s="1"/>
      <c r="AFW332" s="1"/>
      <c r="AFX332" s="1"/>
      <c r="AFY332" s="1"/>
      <c r="AFZ332" s="1"/>
      <c r="AGA332" s="1"/>
      <c r="AGB332" s="1"/>
      <c r="AGC332" s="1"/>
      <c r="AGD332" s="1"/>
      <c r="AGE332" s="1"/>
      <c r="AGF332" s="1"/>
      <c r="AGG332" s="1"/>
      <c r="AGH332" s="1"/>
      <c r="AGI332" s="1"/>
      <c r="AGJ332" s="1"/>
      <c r="AGK332" s="1"/>
      <c r="AGL332" s="1"/>
      <c r="AGM332" s="1"/>
      <c r="AGN332" s="1"/>
      <c r="AGO332" s="1"/>
      <c r="AGP332" s="1"/>
      <c r="AGQ332" s="1"/>
      <c r="AGR332" s="1"/>
      <c r="AGS332" s="1"/>
      <c r="AGT332" s="1"/>
      <c r="AGU332" s="1"/>
      <c r="AGV332" s="1"/>
      <c r="AGW332" s="1"/>
      <c r="AGX332" s="1"/>
      <c r="AGY332" s="1"/>
      <c r="AGZ332" s="1"/>
      <c r="AHA332" s="1"/>
      <c r="AHB332" s="1"/>
      <c r="AHC332" s="1"/>
      <c r="AHD332" s="1"/>
      <c r="AHE332" s="1"/>
      <c r="AHF332" s="1"/>
      <c r="AHG332" s="1"/>
      <c r="AHH332" s="1"/>
      <c r="AHI332" s="1"/>
      <c r="AHJ332" s="1"/>
      <c r="AHK332" s="1"/>
      <c r="AHL332" s="1"/>
      <c r="AHM332" s="1"/>
      <c r="AHN332" s="1"/>
      <c r="AHO332" s="1"/>
      <c r="AHP332" s="1"/>
      <c r="AHQ332" s="1"/>
      <c r="AHR332" s="1"/>
      <c r="AHS332" s="1"/>
      <c r="AHT332" s="1"/>
      <c r="AHU332" s="1"/>
      <c r="AHV332" s="1"/>
      <c r="AHW332" s="1"/>
      <c r="AHX332" s="1"/>
      <c r="AHY332" s="1"/>
      <c r="AHZ332" s="1"/>
      <c r="AIA332" s="1"/>
      <c r="AIB332" s="1"/>
      <c r="AIC332" s="1"/>
      <c r="AID332" s="1"/>
      <c r="AIE332" s="1"/>
      <c r="AIF332" s="1"/>
      <c r="AIG332" s="1"/>
      <c r="AIH332" s="1"/>
      <c r="AII332" s="1"/>
      <c r="AIJ332" s="1"/>
      <c r="AIK332" s="1"/>
      <c r="AIL332" s="1"/>
      <c r="AIM332" s="1"/>
      <c r="AIN332" s="1"/>
      <c r="AIO332" s="1"/>
      <c r="AIP332" s="1"/>
      <c r="AIQ332" s="1"/>
      <c r="AIR332" s="1"/>
      <c r="AIS332" s="1"/>
      <c r="AIT332" s="1"/>
      <c r="AIU332" s="1"/>
      <c r="AIV332" s="1"/>
      <c r="AIW332" s="1"/>
      <c r="AIX332" s="1"/>
      <c r="AIY332" s="1"/>
      <c r="AIZ332" s="1"/>
      <c r="AJA332" s="1"/>
      <c r="AJB332" s="1"/>
      <c r="AJC332" s="1"/>
      <c r="AJD332" s="1"/>
      <c r="AJE332" s="1"/>
      <c r="AJF332" s="1"/>
      <c r="AJG332" s="1"/>
      <c r="AJH332" s="1"/>
      <c r="AJI332" s="1"/>
      <c r="AJJ332" s="1"/>
      <c r="AJK332" s="1"/>
      <c r="AJL332" s="1"/>
      <c r="AJM332" s="1"/>
      <c r="AJN332" s="1"/>
      <c r="AJO332" s="1"/>
      <c r="AJP332" s="1"/>
      <c r="AJQ332" s="1"/>
      <c r="AJR332" s="1"/>
      <c r="AJS332" s="1"/>
      <c r="AJT332" s="1"/>
      <c r="AJU332" s="1"/>
      <c r="AJV332" s="1"/>
      <c r="AJW332" s="1"/>
      <c r="AJX332" s="1"/>
      <c r="AJY332" s="1"/>
      <c r="AJZ332" s="1"/>
      <c r="AKA332" s="1"/>
      <c r="AKB332" s="1"/>
      <c r="AKC332" s="1"/>
      <c r="AKD332" s="1"/>
      <c r="AKE332" s="1"/>
      <c r="AKF332" s="1"/>
      <c r="AKG332" s="1"/>
      <c r="AKH332" s="1"/>
      <c r="AKI332" s="1"/>
      <c r="AKJ332" s="1"/>
      <c r="AKK332" s="1"/>
      <c r="AKL332" s="1"/>
      <c r="AKM332" s="1"/>
      <c r="AKN332" s="1"/>
      <c r="AKO332" s="1"/>
      <c r="AKP332" s="1"/>
      <c r="AKQ332" s="1"/>
      <c r="AKR332" s="1"/>
      <c r="AKS332" s="1"/>
      <c r="AKT332" s="1"/>
      <c r="AKU332" s="1"/>
      <c r="AKV332" s="1"/>
      <c r="AKW332" s="1"/>
      <c r="AKX332" s="1"/>
      <c r="AKY332" s="1"/>
      <c r="AKZ332" s="1"/>
      <c r="ALA332" s="1"/>
      <c r="ALB332" s="1"/>
      <c r="ALC332" s="1"/>
      <c r="ALD332" s="1"/>
      <c r="ALE332" s="1"/>
      <c r="ALF332" s="1"/>
      <c r="ALG332" s="1"/>
      <c r="ALH332" s="1"/>
      <c r="ALI332" s="1"/>
      <c r="ALJ332" s="1"/>
      <c r="ALK332" s="1"/>
      <c r="ALL332" s="1"/>
      <c r="ALM332" s="1"/>
      <c r="ALN332" s="1"/>
      <c r="ALO332" s="1"/>
      <c r="ALP332" s="1"/>
      <c r="ALQ332" s="1"/>
      <c r="ALR332" s="1"/>
      <c r="ALS332" s="1"/>
      <c r="ALT332" s="1"/>
      <c r="ALU332" s="1"/>
      <c r="ALV332" s="1"/>
      <c r="ALW332" s="1"/>
      <c r="ALX332" s="1"/>
      <c r="ALY332" s="1"/>
      <c r="ALZ332" s="1"/>
      <c r="AMA332" s="1"/>
      <c r="AMB332" s="1"/>
      <c r="AMC332" s="1"/>
      <c r="AMD332" s="1"/>
      <c r="AME332" s="1"/>
      <c r="AMF332" s="1"/>
      <c r="AMG332" s="1"/>
      <c r="AMH332" s="1"/>
      <c r="AMI332" s="1"/>
      <c r="AMJ332" s="1"/>
      <c r="AMK332" s="1"/>
      <c r="AML332" s="1"/>
      <c r="AMM332" s="1"/>
      <c r="AMN332" s="1"/>
      <c r="AMO332" s="1"/>
      <c r="AMP332" s="2"/>
    </row>
    <row r="333" spans="1:1030" s="12" customFormat="1" x14ac:dyDescent="0.2">
      <c r="A333" s="9" t="str">
        <f>CONCATENATE(B333,"_",C333)</f>
        <v>ox1r_human_6TO7</v>
      </c>
      <c r="B333" s="9" t="s">
        <v>1168</v>
      </c>
      <c r="C333" s="9" t="s">
        <v>1619</v>
      </c>
      <c r="D333" s="9" t="str">
        <f>IFERROR(MID(VLOOKUP($B333,Seqs!$A:$B,2,0),E333,1),"")</f>
        <v>Y</v>
      </c>
      <c r="E333" s="9">
        <v>45</v>
      </c>
      <c r="F333" s="9" t="str">
        <f>IFERROR(MID(VLOOKUP($B333,Seqs!$A:$B,2,0),G333,1),"")</f>
        <v>N</v>
      </c>
      <c r="G333" s="9">
        <v>74</v>
      </c>
      <c r="H333" s="9" t="str">
        <f>IFERROR(MID(VLOOKUP($B333,Seqs!$A:$B,2,0),I333,1),"")</f>
        <v>H</v>
      </c>
      <c r="I333" s="109">
        <v>75</v>
      </c>
      <c r="J333" s="9" t="str">
        <f>IFERROR(MID(VLOOKUP($B333,Seqs!$A:$B,2,0),K333,1),"")</f>
        <v>R</v>
      </c>
      <c r="K333" s="109">
        <v>78</v>
      </c>
      <c r="L333" s="9" t="str">
        <f>IFERROR(MID(VLOOKUP($B333,Seqs!$A:$B,2,0),M333,1),"")</f>
        <v>T</v>
      </c>
      <c r="M333" s="9">
        <v>79</v>
      </c>
      <c r="N333" s="9" t="str">
        <f>IFERROR(MID(VLOOKUP($B333,Seqs!$A:$B,2,0),O333,1),"")</f>
        <v>E</v>
      </c>
      <c r="O333" s="9">
        <v>110</v>
      </c>
      <c r="P333" s="9" t="str">
        <f>IFERROR(MID(VLOOKUP($B333,Seqs!$A:$B,2,0),Q333,1),"")</f>
        <v>S</v>
      </c>
      <c r="Q333" s="9">
        <v>111</v>
      </c>
      <c r="R333" s="9" t="str">
        <f>IFERROR(MID(VLOOKUP($B333,Seqs!$A:$B,2,0),S333,1),"")</f>
        <v>F</v>
      </c>
      <c r="S333" s="9">
        <v>114</v>
      </c>
      <c r="T333" s="9" t="str">
        <f>IFERROR(MID(VLOOKUP($B333,Seqs!$A:$B,2,0),U333,1),"")</f>
        <v>G</v>
      </c>
      <c r="U333" s="9">
        <v>115</v>
      </c>
      <c r="V333" s="9" t="str">
        <f>IFERROR(MID(VLOOKUP($B333,Seqs!$A:$B,2,0),W333,1),"")</f>
        <v>H</v>
      </c>
      <c r="W333" s="9">
        <v>150</v>
      </c>
      <c r="X333" s="9" t="str">
        <f>IFERROR(MID(VLOOKUP($B333,Seqs!$A:$B,2,0),Y333,1),"")</f>
        <v/>
      </c>
      <c r="Y333" s="9" t="s">
        <v>23</v>
      </c>
      <c r="Z333" s="9" t="str">
        <f>IFERROR(MID(VLOOKUP($B333,Seqs!$A:$B,2,0),AA333,1),"")</f>
        <v/>
      </c>
      <c r="AA333" s="9" t="s">
        <v>23</v>
      </c>
      <c r="AB333" s="9" t="str">
        <f>IFERROR(MID(VLOOKUP($B333,Seqs!$A:$B,2,0),AC333,1),"")</f>
        <v>T</v>
      </c>
      <c r="AC333" s="9">
        <v>157</v>
      </c>
      <c r="AD333" s="9" t="str">
        <f>IFERROR(MID(VLOOKUP($B333,Seqs!$A:$B,2,0),AE333,1),"")</f>
        <v>M</v>
      </c>
      <c r="AE333" s="9">
        <v>183</v>
      </c>
      <c r="AF333" s="9" t="str">
        <f>IFERROR(MID(VLOOKUP($B333,Seqs!$A:$B,2,0),AG333,1),"")</f>
        <v>C</v>
      </c>
      <c r="AG333" s="9">
        <v>202</v>
      </c>
      <c r="AH333" s="9" t="str">
        <f>IFERROR(MID(VLOOKUP($B333,Seqs!$A:$B,2,0),AI333,1),"")</f>
        <v>E</v>
      </c>
      <c r="AI333" s="9">
        <v>204</v>
      </c>
      <c r="AJ333" s="9" t="str">
        <f>IFERROR(MID(VLOOKUP($B333,Seqs!$A:$B,2,0),AK333,1),"")</f>
        <v>L</v>
      </c>
      <c r="AK333" s="9">
        <v>210</v>
      </c>
      <c r="AL333" s="9" t="str">
        <f>IFERROR(MID(VLOOKUP($B333,Seqs!$A:$B,2,0),AM333,1),"")</f>
        <v>G</v>
      </c>
      <c r="AM333" s="9">
        <v>244</v>
      </c>
      <c r="AN333" s="9" t="str">
        <f>IFERROR(MID(VLOOKUP($B333,Seqs!$A:$B,2,0),AO333,1),"")</f>
        <v>E</v>
      </c>
      <c r="AO333" s="9">
        <v>286</v>
      </c>
      <c r="AP333" s="9" t="str">
        <f>IFERROR(MID(VLOOKUP($B333,Seqs!$A:$B,2,0),AQ333,1),"")</f>
        <v>F</v>
      </c>
      <c r="AQ333" s="9">
        <v>324</v>
      </c>
      <c r="AR333" s="9" t="str">
        <f>IFERROR(MID(VLOOKUP($B333,Seqs!$A:$B,2,0),AS333,1),"")</f>
        <v>D</v>
      </c>
      <c r="AS333" s="9">
        <v>332</v>
      </c>
      <c r="AT333" s="9" t="str">
        <f>IFERROR(MID(VLOOKUP($B333,Seqs!$A:$B,2,0),AU333,1),"")</f>
        <v>L</v>
      </c>
      <c r="AU333" s="9">
        <v>361</v>
      </c>
      <c r="AV333" s="9" t="str">
        <f>IFERROR(MID(VLOOKUP($B333,Seqs!$A:$B,2,0),AW333,1),"")</f>
        <v>S</v>
      </c>
      <c r="AW333" s="9">
        <v>362</v>
      </c>
      <c r="AX333" s="9" t="str">
        <f>IFERROR(MID(VLOOKUP($B333,Seqs!$A:$B,2,0),AY333,1),"")</f>
        <v>L</v>
      </c>
      <c r="AY333" s="9">
        <v>377</v>
      </c>
      <c r="AZ333" s="110" t="str">
        <f>VLOOKUP(B333,Classification!A:D,2,0)</f>
        <v>A</v>
      </c>
      <c r="BA333" s="98" t="str">
        <f>VLOOKUP(B333,Classification!A:D,4,0)</f>
        <v>Orexin</v>
      </c>
      <c r="BB333" s="36" t="b">
        <f t="shared" ref="BB333" si="1129">AND(E333&lt;G333,OR(G333&lt;I333,I333="-"),OR(I333&lt;K333,I333="-"),OR(K333&lt;M333,K333="-"),M333&lt;O333,OR(O333&lt;Q333,Q333="-"),OR(Q333&lt;S333,Q333="-"),OR(S333&lt;U333,S333="-"),U333&lt;W333,OR(W333&lt;Y333,Y333="-"),OR(Y333&lt;AA333,Y333="-"),OR(AA333&lt;AC333,AA333="-"),AC333&lt;AE333,OR(AE333&lt;AG333,AG333="-"),OR(AG333&lt;AI333,AG333="-"),OR(AI333&lt;AK333,AI333="-"),AK333&lt;AM333,AM333&lt;AO333,AO333&lt;AQ333,AQ333&lt;AS333,AS333&lt;AU333,OR(AU333&lt;AW333,AW333="-"),OR(AW333&lt;AY333,AW333="-"))</f>
        <v>1</v>
      </c>
      <c r="BC333" s="109">
        <f t="shared" ref="BC333" si="1130">_xlfn.AGGREGATE(9,6,CH333:CS333)-_xlfn.AGGREGATE(9,6,BV333:CG333)+12</f>
        <v>257</v>
      </c>
      <c r="BD333" s="40" t="s">
        <v>1370</v>
      </c>
      <c r="BE333" s="9" t="s">
        <v>1368</v>
      </c>
      <c r="BF333" s="119">
        <v>2.2599999999999998</v>
      </c>
      <c r="BG333" s="51" t="s">
        <v>1</v>
      </c>
      <c r="BH333" s="51" t="s">
        <v>1</v>
      </c>
      <c r="BJ333" s="111" t="s">
        <v>1281</v>
      </c>
      <c r="BK333" s="112" t="s">
        <v>1281</v>
      </c>
      <c r="BL333" s="112" t="s">
        <v>1281</v>
      </c>
      <c r="BM333" s="112" t="s">
        <v>1281</v>
      </c>
      <c r="BN333" s="112" t="s">
        <v>1281</v>
      </c>
      <c r="BO333" s="112" t="s">
        <v>1281</v>
      </c>
      <c r="BP333" s="112" t="s">
        <v>1281</v>
      </c>
      <c r="BQ333" s="112" t="s">
        <v>1281</v>
      </c>
      <c r="BR333" s="112" t="s">
        <v>1281</v>
      </c>
      <c r="BS333" s="112" t="s">
        <v>1281</v>
      </c>
      <c r="BT333" s="112" t="s">
        <v>1281</v>
      </c>
      <c r="BU333" s="112" t="s">
        <v>1281</v>
      </c>
      <c r="BV333" s="111">
        <f>E333</f>
        <v>45</v>
      </c>
      <c r="BW333" s="113">
        <f>I333</f>
        <v>75</v>
      </c>
      <c r="BX333" s="114">
        <f>M333</f>
        <v>79</v>
      </c>
      <c r="BY333" s="113">
        <f>Q333</f>
        <v>111</v>
      </c>
      <c r="BZ333" s="114">
        <f>U333</f>
        <v>115</v>
      </c>
      <c r="CA333" s="113" t="str">
        <f>Y333</f>
        <v>-</v>
      </c>
      <c r="CB333" s="114">
        <f>AC333</f>
        <v>157</v>
      </c>
      <c r="CC333" s="113">
        <f>AG333</f>
        <v>202</v>
      </c>
      <c r="CD333" s="114">
        <f>AK333</f>
        <v>210</v>
      </c>
      <c r="CE333" s="113">
        <f>AO333</f>
        <v>286</v>
      </c>
      <c r="CF333" s="114">
        <f>AS333</f>
        <v>332</v>
      </c>
      <c r="CG333" s="113">
        <f>AW333</f>
        <v>362</v>
      </c>
      <c r="CH333" s="111">
        <f>G333</f>
        <v>74</v>
      </c>
      <c r="CI333" s="113">
        <f>K333</f>
        <v>78</v>
      </c>
      <c r="CJ333" s="114">
        <f>O333</f>
        <v>110</v>
      </c>
      <c r="CK333" s="114">
        <f>S333</f>
        <v>114</v>
      </c>
      <c r="CL333" s="114">
        <f>W333</f>
        <v>150</v>
      </c>
      <c r="CM333" s="114" t="str">
        <f>AA333</f>
        <v>-</v>
      </c>
      <c r="CN333" s="114">
        <f>AE333</f>
        <v>183</v>
      </c>
      <c r="CO333" s="114">
        <f>AI333</f>
        <v>204</v>
      </c>
      <c r="CP333" s="114">
        <f>AM333</f>
        <v>244</v>
      </c>
      <c r="CQ333" s="114">
        <f>AQ333</f>
        <v>324</v>
      </c>
      <c r="CR333" s="114">
        <f>AU333</f>
        <v>361</v>
      </c>
      <c r="CS333" s="114">
        <f>AY333</f>
        <v>377</v>
      </c>
      <c r="CT333" s="109">
        <f>M333-K333</f>
        <v>1</v>
      </c>
      <c r="AMP333" s="40"/>
    </row>
    <row r="334" spans="1:1030" s="12" customFormat="1" x14ac:dyDescent="0.2">
      <c r="A334" s="9" t="str">
        <f>CONCATENATE(B334,"_",C334)</f>
        <v>ox1r_human_6TOD</v>
      </c>
      <c r="B334" s="9" t="s">
        <v>1168</v>
      </c>
      <c r="C334" s="9" t="s">
        <v>1620</v>
      </c>
      <c r="D334" s="9" t="str">
        <f>IFERROR(MID(VLOOKUP($B334,Seqs!$A:$B,2,0),E334,1),"")</f>
        <v>Y</v>
      </c>
      <c r="E334" s="9">
        <v>45</v>
      </c>
      <c r="F334" s="9" t="str">
        <f>IFERROR(MID(VLOOKUP($B334,Seqs!$A:$B,2,0),G334,1),"")</f>
        <v>N</v>
      </c>
      <c r="G334" s="9">
        <v>74</v>
      </c>
      <c r="H334" s="9" t="str">
        <f>IFERROR(MID(VLOOKUP($B334,Seqs!$A:$B,2,0),I334,1),"")</f>
        <v>H</v>
      </c>
      <c r="I334" s="109">
        <v>75</v>
      </c>
      <c r="J334" s="9" t="str">
        <f>IFERROR(MID(VLOOKUP($B334,Seqs!$A:$B,2,0),K334,1),"")</f>
        <v>R</v>
      </c>
      <c r="K334" s="109">
        <v>78</v>
      </c>
      <c r="L334" s="9" t="str">
        <f>IFERROR(MID(VLOOKUP($B334,Seqs!$A:$B,2,0),M334,1),"")</f>
        <v>T</v>
      </c>
      <c r="M334" s="9">
        <v>79</v>
      </c>
      <c r="N334" s="9" t="str">
        <f>IFERROR(MID(VLOOKUP($B334,Seqs!$A:$B,2,0),O334,1),"")</f>
        <v>E</v>
      </c>
      <c r="O334" s="9">
        <v>110</v>
      </c>
      <c r="P334" s="9" t="str">
        <f>IFERROR(MID(VLOOKUP($B334,Seqs!$A:$B,2,0),Q334,1),"")</f>
        <v>S</v>
      </c>
      <c r="Q334" s="9">
        <v>111</v>
      </c>
      <c r="R334" s="9" t="str">
        <f>IFERROR(MID(VLOOKUP($B334,Seqs!$A:$B,2,0),S334,1),"")</f>
        <v>F</v>
      </c>
      <c r="S334" s="9">
        <v>114</v>
      </c>
      <c r="T334" s="9" t="str">
        <f>IFERROR(MID(VLOOKUP($B334,Seqs!$A:$B,2,0),U334,1),"")</f>
        <v>G</v>
      </c>
      <c r="U334" s="9">
        <v>115</v>
      </c>
      <c r="V334" s="9" t="str">
        <f>IFERROR(MID(VLOOKUP($B334,Seqs!$A:$B,2,0),W334,1),"")</f>
        <v>H</v>
      </c>
      <c r="W334" s="9">
        <v>150</v>
      </c>
      <c r="X334" s="9" t="str">
        <f>IFERROR(MID(VLOOKUP($B334,Seqs!$A:$B,2,0),Y334,1),"")</f>
        <v/>
      </c>
      <c r="Y334" s="9" t="s">
        <v>23</v>
      </c>
      <c r="Z334" s="9" t="str">
        <f>IFERROR(MID(VLOOKUP($B334,Seqs!$A:$B,2,0),AA334,1),"")</f>
        <v/>
      </c>
      <c r="AA334" s="9" t="s">
        <v>23</v>
      </c>
      <c r="AB334" s="9" t="str">
        <f>IFERROR(MID(VLOOKUP($B334,Seqs!$A:$B,2,0),AC334,1),"")</f>
        <v>T</v>
      </c>
      <c r="AC334" s="9">
        <v>157</v>
      </c>
      <c r="AD334" s="9" t="str">
        <f>IFERROR(MID(VLOOKUP($B334,Seqs!$A:$B,2,0),AE334,1),"")</f>
        <v>M</v>
      </c>
      <c r="AE334" s="9">
        <v>183</v>
      </c>
      <c r="AF334" s="9" t="str">
        <f>IFERROR(MID(VLOOKUP($B334,Seqs!$A:$B,2,0),AG334,1),"")</f>
        <v>C</v>
      </c>
      <c r="AG334" s="9">
        <v>202</v>
      </c>
      <c r="AH334" s="9" t="str">
        <f>IFERROR(MID(VLOOKUP($B334,Seqs!$A:$B,2,0),AI334,1),"")</f>
        <v>E</v>
      </c>
      <c r="AI334" s="9">
        <v>204</v>
      </c>
      <c r="AJ334" s="9" t="str">
        <f>IFERROR(MID(VLOOKUP($B334,Seqs!$A:$B,2,0),AK334,1),"")</f>
        <v>L</v>
      </c>
      <c r="AK334" s="9">
        <v>210</v>
      </c>
      <c r="AL334" s="9" t="str">
        <f>IFERROR(MID(VLOOKUP($B334,Seqs!$A:$B,2,0),AM334,1),"")</f>
        <v>G</v>
      </c>
      <c r="AM334" s="9">
        <v>244</v>
      </c>
      <c r="AN334" s="9" t="str">
        <f>IFERROR(MID(VLOOKUP($B334,Seqs!$A:$B,2,0),AO334,1),"")</f>
        <v>E</v>
      </c>
      <c r="AO334" s="9">
        <v>286</v>
      </c>
      <c r="AP334" s="9" t="str">
        <f>IFERROR(MID(VLOOKUP($B334,Seqs!$A:$B,2,0),AQ334,1),"")</f>
        <v>F</v>
      </c>
      <c r="AQ334" s="9">
        <v>324</v>
      </c>
      <c r="AR334" s="9" t="str">
        <f>IFERROR(MID(VLOOKUP($B334,Seqs!$A:$B,2,0),AS334,1),"")</f>
        <v>D</v>
      </c>
      <c r="AS334" s="9">
        <v>332</v>
      </c>
      <c r="AT334" s="9" t="str">
        <f>IFERROR(MID(VLOOKUP($B334,Seqs!$A:$B,2,0),AU334,1),"")</f>
        <v>L</v>
      </c>
      <c r="AU334" s="9">
        <v>361</v>
      </c>
      <c r="AV334" s="9" t="str">
        <f>IFERROR(MID(VLOOKUP($B334,Seqs!$A:$B,2,0),AW334,1),"")</f>
        <v>S</v>
      </c>
      <c r="AW334" s="9">
        <v>362</v>
      </c>
      <c r="AX334" s="9" t="str">
        <f>IFERROR(MID(VLOOKUP($B334,Seqs!$A:$B,2,0),AY334,1),"")</f>
        <v>C</v>
      </c>
      <c r="AY334" s="9">
        <v>375</v>
      </c>
      <c r="AZ334" s="110" t="str">
        <f>VLOOKUP(B334,Classification!A:D,2,0)</f>
        <v>A</v>
      </c>
      <c r="BA334" s="98" t="str">
        <f>VLOOKUP(B334,Classification!A:D,4,0)</f>
        <v>Orexin</v>
      </c>
      <c r="BB334" s="36" t="b">
        <f t="shared" ref="BB334" si="1131">AND(E334&lt;G334,OR(G334&lt;I334,I334="-"),OR(I334&lt;K334,I334="-"),OR(K334&lt;M334,K334="-"),M334&lt;O334,OR(O334&lt;Q334,Q334="-"),OR(Q334&lt;S334,Q334="-"),OR(S334&lt;U334,S334="-"),U334&lt;W334,OR(W334&lt;Y334,Y334="-"),OR(Y334&lt;AA334,Y334="-"),OR(AA334&lt;AC334,AA334="-"),AC334&lt;AE334,OR(AE334&lt;AG334,AG334="-"),OR(AG334&lt;AI334,AG334="-"),OR(AI334&lt;AK334,AI334="-"),AK334&lt;AM334,AM334&lt;AO334,AO334&lt;AQ334,AQ334&lt;AS334,AS334&lt;AU334,OR(AU334&lt;AW334,AW334="-"),OR(AW334&lt;AY334,AW334="-"))</f>
        <v>1</v>
      </c>
      <c r="BC334" s="109">
        <f t="shared" ref="BC334" si="1132">_xlfn.AGGREGATE(9,6,CH334:CS334)-_xlfn.AGGREGATE(9,6,BV334:CG334)+12</f>
        <v>255</v>
      </c>
      <c r="BD334" s="40" t="s">
        <v>23</v>
      </c>
      <c r="BE334" s="9" t="s">
        <v>1368</v>
      </c>
      <c r="BF334" s="119">
        <v>2.11</v>
      </c>
      <c r="BG334" s="51" t="s">
        <v>1</v>
      </c>
      <c r="BH334" s="51" t="s">
        <v>1</v>
      </c>
      <c r="BJ334" s="111" t="s">
        <v>1281</v>
      </c>
      <c r="BK334" s="112" t="s">
        <v>1281</v>
      </c>
      <c r="BL334" s="112" t="s">
        <v>1281</v>
      </c>
      <c r="BM334" s="112" t="s">
        <v>1281</v>
      </c>
      <c r="BN334" s="112" t="s">
        <v>1281</v>
      </c>
      <c r="BO334" s="112" t="s">
        <v>1281</v>
      </c>
      <c r="BP334" s="112" t="s">
        <v>1281</v>
      </c>
      <c r="BQ334" s="112" t="s">
        <v>1281</v>
      </c>
      <c r="BR334" s="112" t="s">
        <v>1281</v>
      </c>
      <c r="BS334" s="112" t="s">
        <v>1281</v>
      </c>
      <c r="BT334" s="112" t="s">
        <v>1281</v>
      </c>
      <c r="BU334" s="112" t="s">
        <v>1281</v>
      </c>
      <c r="BV334" s="111">
        <f>E334</f>
        <v>45</v>
      </c>
      <c r="BW334" s="113">
        <f>I334</f>
        <v>75</v>
      </c>
      <c r="BX334" s="114">
        <f>M334</f>
        <v>79</v>
      </c>
      <c r="BY334" s="113">
        <f>Q334</f>
        <v>111</v>
      </c>
      <c r="BZ334" s="114">
        <f>U334</f>
        <v>115</v>
      </c>
      <c r="CA334" s="113" t="str">
        <f>Y334</f>
        <v>-</v>
      </c>
      <c r="CB334" s="114">
        <f>AC334</f>
        <v>157</v>
      </c>
      <c r="CC334" s="113">
        <f>AG334</f>
        <v>202</v>
      </c>
      <c r="CD334" s="114">
        <f>AK334</f>
        <v>210</v>
      </c>
      <c r="CE334" s="113">
        <f>AO334</f>
        <v>286</v>
      </c>
      <c r="CF334" s="114">
        <f>AS334</f>
        <v>332</v>
      </c>
      <c r="CG334" s="113">
        <f>AW334</f>
        <v>362</v>
      </c>
      <c r="CH334" s="111">
        <f>G334</f>
        <v>74</v>
      </c>
      <c r="CI334" s="113">
        <f>K334</f>
        <v>78</v>
      </c>
      <c r="CJ334" s="114">
        <f>O334</f>
        <v>110</v>
      </c>
      <c r="CK334" s="114">
        <f>S334</f>
        <v>114</v>
      </c>
      <c r="CL334" s="114">
        <f>W334</f>
        <v>150</v>
      </c>
      <c r="CM334" s="114" t="str">
        <f>AA334</f>
        <v>-</v>
      </c>
      <c r="CN334" s="114">
        <f>AE334</f>
        <v>183</v>
      </c>
      <c r="CO334" s="114">
        <f>AI334</f>
        <v>204</v>
      </c>
      <c r="CP334" s="114">
        <f>AM334</f>
        <v>244</v>
      </c>
      <c r="CQ334" s="114">
        <f>AQ334</f>
        <v>324</v>
      </c>
      <c r="CR334" s="114">
        <f>AU334</f>
        <v>361</v>
      </c>
      <c r="CS334" s="114">
        <f>AY334</f>
        <v>375</v>
      </c>
      <c r="CT334" s="109">
        <f>M334-K334</f>
        <v>1</v>
      </c>
      <c r="AMP334" s="40"/>
    </row>
    <row r="335" spans="1:1030" s="12" customFormat="1" x14ac:dyDescent="0.2">
      <c r="A335" s="9" t="str">
        <f>CONCATENATE(B335,"_",C335)</f>
        <v>ox1r_human_6TP3</v>
      </c>
      <c r="B335" s="9" t="s">
        <v>1168</v>
      </c>
      <c r="C335" s="9" t="s">
        <v>1621</v>
      </c>
      <c r="D335" s="9" t="str">
        <f>IFERROR(MID(VLOOKUP($B335,Seqs!$A:$B,2,0),E335,1),"")</f>
        <v>Y</v>
      </c>
      <c r="E335" s="9">
        <v>45</v>
      </c>
      <c r="F335" s="9" t="str">
        <f>IFERROR(MID(VLOOKUP($B335,Seqs!$A:$B,2,0),G335,1),"")</f>
        <v>N</v>
      </c>
      <c r="G335" s="9">
        <v>74</v>
      </c>
      <c r="H335" s="9" t="str">
        <f>IFERROR(MID(VLOOKUP($B335,Seqs!$A:$B,2,0),I335,1),"")</f>
        <v>H</v>
      </c>
      <c r="I335" s="109">
        <v>75</v>
      </c>
      <c r="J335" s="9" t="str">
        <f>IFERROR(MID(VLOOKUP($B335,Seqs!$A:$B,2,0),K335,1),"")</f>
        <v>R</v>
      </c>
      <c r="K335" s="109">
        <v>78</v>
      </c>
      <c r="L335" s="9" t="str">
        <f>IFERROR(MID(VLOOKUP($B335,Seqs!$A:$B,2,0),M335,1),"")</f>
        <v>T</v>
      </c>
      <c r="M335" s="9">
        <v>79</v>
      </c>
      <c r="N335" s="9" t="str">
        <f>IFERROR(MID(VLOOKUP($B335,Seqs!$A:$B,2,0),O335,1),"")</f>
        <v>E</v>
      </c>
      <c r="O335" s="9">
        <v>110</v>
      </c>
      <c r="P335" s="9" t="str">
        <f>IFERROR(MID(VLOOKUP($B335,Seqs!$A:$B,2,0),Q335,1),"")</f>
        <v>S</v>
      </c>
      <c r="Q335" s="9">
        <v>111</v>
      </c>
      <c r="R335" s="9" t="str">
        <f>IFERROR(MID(VLOOKUP($B335,Seqs!$A:$B,2,0),S335,1),"")</f>
        <v>F</v>
      </c>
      <c r="S335" s="9">
        <v>114</v>
      </c>
      <c r="T335" s="9" t="str">
        <f>IFERROR(MID(VLOOKUP($B335,Seqs!$A:$B,2,0),U335,1),"")</f>
        <v>G</v>
      </c>
      <c r="U335" s="9">
        <v>115</v>
      </c>
      <c r="V335" s="9" t="str">
        <f>IFERROR(MID(VLOOKUP($B335,Seqs!$A:$B,2,0),W335,1),"")</f>
        <v>H</v>
      </c>
      <c r="W335" s="9">
        <v>150</v>
      </c>
      <c r="X335" s="9" t="str">
        <f>IFERROR(MID(VLOOKUP($B335,Seqs!$A:$B,2,0),Y335,1),"")</f>
        <v/>
      </c>
      <c r="Y335" s="9" t="s">
        <v>23</v>
      </c>
      <c r="Z335" s="9" t="str">
        <f>IFERROR(MID(VLOOKUP($B335,Seqs!$A:$B,2,0),AA335,1),"")</f>
        <v/>
      </c>
      <c r="AA335" s="9" t="s">
        <v>23</v>
      </c>
      <c r="AB335" s="9" t="str">
        <f>IFERROR(MID(VLOOKUP($B335,Seqs!$A:$B,2,0),AC335,1),"")</f>
        <v>T</v>
      </c>
      <c r="AC335" s="9">
        <v>157</v>
      </c>
      <c r="AD335" s="9" t="str">
        <f>IFERROR(MID(VLOOKUP($B335,Seqs!$A:$B,2,0),AE335,1),"")</f>
        <v>M</v>
      </c>
      <c r="AE335" s="9">
        <v>183</v>
      </c>
      <c r="AF335" s="9" t="str">
        <f>IFERROR(MID(VLOOKUP($B335,Seqs!$A:$B,2,0),AG335,1),"")</f>
        <v>C</v>
      </c>
      <c r="AG335" s="9">
        <v>202</v>
      </c>
      <c r="AH335" s="9" t="str">
        <f>IFERROR(MID(VLOOKUP($B335,Seqs!$A:$B,2,0),AI335,1),"")</f>
        <v>E</v>
      </c>
      <c r="AI335" s="9">
        <v>204</v>
      </c>
      <c r="AJ335" s="9" t="str">
        <f>IFERROR(MID(VLOOKUP($B335,Seqs!$A:$B,2,0),AK335,1),"")</f>
        <v>L</v>
      </c>
      <c r="AK335" s="9">
        <v>210</v>
      </c>
      <c r="AL335" s="9" t="str">
        <f>IFERROR(MID(VLOOKUP($B335,Seqs!$A:$B,2,0),AM335,1),"")</f>
        <v>W</v>
      </c>
      <c r="AM335" s="9">
        <v>243</v>
      </c>
      <c r="AN335" s="9" t="str">
        <f>IFERROR(MID(VLOOKUP($B335,Seqs!$A:$B,2,0),AO335,1),"")</f>
        <v>E</v>
      </c>
      <c r="AO335" s="9">
        <v>286</v>
      </c>
      <c r="AP335" s="9" t="str">
        <f>IFERROR(MID(VLOOKUP($B335,Seqs!$A:$B,2,0),AQ335,1),"")</f>
        <v>F</v>
      </c>
      <c r="AQ335" s="9">
        <v>324</v>
      </c>
      <c r="AR335" s="9" t="str">
        <f>IFERROR(MID(VLOOKUP($B335,Seqs!$A:$B,2,0),AS335,1),"")</f>
        <v>D</v>
      </c>
      <c r="AS335" s="9">
        <v>332</v>
      </c>
      <c r="AT335" s="9" t="str">
        <f>IFERROR(MID(VLOOKUP($B335,Seqs!$A:$B,2,0),AU335,1),"")</f>
        <v>L</v>
      </c>
      <c r="AU335" s="9">
        <v>361</v>
      </c>
      <c r="AV335" s="9" t="str">
        <f>IFERROR(MID(VLOOKUP($B335,Seqs!$A:$B,2,0),AW335,1),"")</f>
        <v>S</v>
      </c>
      <c r="AW335" s="9">
        <v>362</v>
      </c>
      <c r="AX335" s="9" t="str">
        <f>IFERROR(MID(VLOOKUP($B335,Seqs!$A:$B,2,0),AY335,1),"")</f>
        <v>L</v>
      </c>
      <c r="AY335" s="9">
        <v>377</v>
      </c>
      <c r="AZ335" s="110" t="str">
        <f>VLOOKUP(B335,Classification!A:D,2,0)</f>
        <v>A</v>
      </c>
      <c r="BA335" s="98" t="str">
        <f>VLOOKUP(B335,Classification!A:D,4,0)</f>
        <v>Orexin</v>
      </c>
      <c r="BB335" s="36" t="b">
        <f t="shared" ref="BB335" si="1133">AND(E335&lt;G335,OR(G335&lt;I335,I335="-"),OR(I335&lt;K335,I335="-"),OR(K335&lt;M335,K335="-"),M335&lt;O335,OR(O335&lt;Q335,Q335="-"),OR(Q335&lt;S335,Q335="-"),OR(S335&lt;U335,S335="-"),U335&lt;W335,OR(W335&lt;Y335,Y335="-"),OR(Y335&lt;AA335,Y335="-"),OR(AA335&lt;AC335,AA335="-"),AC335&lt;AE335,OR(AE335&lt;AG335,AG335="-"),OR(AG335&lt;AI335,AG335="-"),OR(AI335&lt;AK335,AI335="-"),AK335&lt;AM335,AM335&lt;AO335,AO335&lt;AQ335,AQ335&lt;AS335,AS335&lt;AU335,OR(AU335&lt;AW335,AW335="-"),OR(AW335&lt;AY335,AW335="-"))</f>
        <v>1</v>
      </c>
      <c r="BC335" s="109">
        <f t="shared" ref="BC335" si="1134">_xlfn.AGGREGATE(9,6,CH335:CS335)-_xlfn.AGGREGATE(9,6,BV335:CG335)+12</f>
        <v>256</v>
      </c>
      <c r="BD335" s="40" t="s">
        <v>23</v>
      </c>
      <c r="BE335" s="9" t="s">
        <v>1368</v>
      </c>
      <c r="BF335" s="119">
        <v>3.04</v>
      </c>
      <c r="BG335" s="51" t="s">
        <v>1</v>
      </c>
      <c r="BH335" s="51" t="s">
        <v>1</v>
      </c>
      <c r="BJ335" s="111" t="s">
        <v>1281</v>
      </c>
      <c r="BK335" s="112" t="s">
        <v>1281</v>
      </c>
      <c r="BL335" s="112" t="s">
        <v>1281</v>
      </c>
      <c r="BM335" s="112" t="s">
        <v>1281</v>
      </c>
      <c r="BN335" s="112" t="s">
        <v>1281</v>
      </c>
      <c r="BO335" s="112" t="s">
        <v>1281</v>
      </c>
      <c r="BP335" s="112" t="s">
        <v>1281</v>
      </c>
      <c r="BQ335" s="112" t="s">
        <v>1281</v>
      </c>
      <c r="BR335" s="112" t="s">
        <v>1281</v>
      </c>
      <c r="BS335" s="112" t="s">
        <v>1281</v>
      </c>
      <c r="BT335" s="112" t="s">
        <v>1281</v>
      </c>
      <c r="BU335" s="112" t="s">
        <v>1281</v>
      </c>
      <c r="BV335" s="111">
        <f>E335</f>
        <v>45</v>
      </c>
      <c r="BW335" s="113">
        <f>I335</f>
        <v>75</v>
      </c>
      <c r="BX335" s="114">
        <f>M335</f>
        <v>79</v>
      </c>
      <c r="BY335" s="113">
        <f>Q335</f>
        <v>111</v>
      </c>
      <c r="BZ335" s="114">
        <f>U335</f>
        <v>115</v>
      </c>
      <c r="CA335" s="113" t="str">
        <f>Y335</f>
        <v>-</v>
      </c>
      <c r="CB335" s="114">
        <f>AC335</f>
        <v>157</v>
      </c>
      <c r="CC335" s="113">
        <f>AG335</f>
        <v>202</v>
      </c>
      <c r="CD335" s="114">
        <f>AK335</f>
        <v>210</v>
      </c>
      <c r="CE335" s="113">
        <f>AO335</f>
        <v>286</v>
      </c>
      <c r="CF335" s="114">
        <f>AS335</f>
        <v>332</v>
      </c>
      <c r="CG335" s="113">
        <f>AW335</f>
        <v>362</v>
      </c>
      <c r="CH335" s="111">
        <f>G335</f>
        <v>74</v>
      </c>
      <c r="CI335" s="113">
        <f>K335</f>
        <v>78</v>
      </c>
      <c r="CJ335" s="114">
        <f>O335</f>
        <v>110</v>
      </c>
      <c r="CK335" s="114">
        <f>S335</f>
        <v>114</v>
      </c>
      <c r="CL335" s="114">
        <f>W335</f>
        <v>150</v>
      </c>
      <c r="CM335" s="114" t="str">
        <f>AA335</f>
        <v>-</v>
      </c>
      <c r="CN335" s="114">
        <f>AE335</f>
        <v>183</v>
      </c>
      <c r="CO335" s="114">
        <f>AI335</f>
        <v>204</v>
      </c>
      <c r="CP335" s="114">
        <f>AM335</f>
        <v>243</v>
      </c>
      <c r="CQ335" s="114">
        <f>AQ335</f>
        <v>324</v>
      </c>
      <c r="CR335" s="114">
        <f>AU335</f>
        <v>361</v>
      </c>
      <c r="CS335" s="114">
        <f>AY335</f>
        <v>377</v>
      </c>
      <c r="CT335" s="109">
        <f>M335-K335</f>
        <v>1</v>
      </c>
      <c r="AMP335" s="40"/>
    </row>
    <row r="336" spans="1:1030" s="12" customFormat="1" x14ac:dyDescent="0.2">
      <c r="A336" s="9" t="str">
        <f>CONCATENATE(B336,"_",C336)</f>
        <v>ox1r_human_6TP4</v>
      </c>
      <c r="B336" s="9" t="s">
        <v>1168</v>
      </c>
      <c r="C336" s="9" t="s">
        <v>1622</v>
      </c>
      <c r="D336" s="9" t="str">
        <f>IFERROR(MID(VLOOKUP($B336,Seqs!$A:$B,2,0),E336,1),"")</f>
        <v>E</v>
      </c>
      <c r="E336" s="9">
        <v>46</v>
      </c>
      <c r="F336" s="9" t="str">
        <f>IFERROR(MID(VLOOKUP($B336,Seqs!$A:$B,2,0),G336,1),"")</f>
        <v>N</v>
      </c>
      <c r="G336" s="9">
        <v>74</v>
      </c>
      <c r="H336" s="9" t="str">
        <f>IFERROR(MID(VLOOKUP($B336,Seqs!$A:$B,2,0),I336,1),"")</f>
        <v>H</v>
      </c>
      <c r="I336" s="109">
        <v>75</v>
      </c>
      <c r="J336" s="9" t="str">
        <f>IFERROR(MID(VLOOKUP($B336,Seqs!$A:$B,2,0),K336,1),"")</f>
        <v>R</v>
      </c>
      <c r="K336" s="109">
        <v>78</v>
      </c>
      <c r="L336" s="9" t="str">
        <f>IFERROR(MID(VLOOKUP($B336,Seqs!$A:$B,2,0),M336,1),"")</f>
        <v>T</v>
      </c>
      <c r="M336" s="9">
        <v>79</v>
      </c>
      <c r="N336" s="9" t="str">
        <f>IFERROR(MID(VLOOKUP($B336,Seqs!$A:$B,2,0),O336,1),"")</f>
        <v>E</v>
      </c>
      <c r="O336" s="9">
        <v>110</v>
      </c>
      <c r="P336" s="9" t="str">
        <f>IFERROR(MID(VLOOKUP($B336,Seqs!$A:$B,2,0),Q336,1),"")</f>
        <v>S</v>
      </c>
      <c r="Q336" s="9">
        <v>111</v>
      </c>
      <c r="R336" s="9" t="str">
        <f>IFERROR(MID(VLOOKUP($B336,Seqs!$A:$B,2,0),S336,1),"")</f>
        <v>F</v>
      </c>
      <c r="S336" s="9">
        <v>114</v>
      </c>
      <c r="T336" s="9" t="str">
        <f>IFERROR(MID(VLOOKUP($B336,Seqs!$A:$B,2,0),U336,1),"")</f>
        <v>G</v>
      </c>
      <c r="U336" s="9">
        <v>115</v>
      </c>
      <c r="V336" s="9" t="str">
        <f>IFERROR(MID(VLOOKUP($B336,Seqs!$A:$B,2,0),W336,1),"")</f>
        <v>H</v>
      </c>
      <c r="W336" s="9">
        <v>150</v>
      </c>
      <c r="X336" s="9" t="str">
        <f>IFERROR(MID(VLOOKUP($B336,Seqs!$A:$B,2,0),Y336,1),"")</f>
        <v/>
      </c>
      <c r="Y336" s="9" t="s">
        <v>23</v>
      </c>
      <c r="Z336" s="9" t="str">
        <f>IFERROR(MID(VLOOKUP($B336,Seqs!$A:$B,2,0),AA336,1),"")</f>
        <v/>
      </c>
      <c r="AA336" s="9" t="s">
        <v>23</v>
      </c>
      <c r="AB336" s="9" t="str">
        <f>IFERROR(MID(VLOOKUP($B336,Seqs!$A:$B,2,0),AC336,1),"")</f>
        <v>T</v>
      </c>
      <c r="AC336" s="9">
        <v>157</v>
      </c>
      <c r="AD336" s="9" t="str">
        <f>IFERROR(MID(VLOOKUP($B336,Seqs!$A:$B,2,0),AE336,1),"")</f>
        <v>M</v>
      </c>
      <c r="AE336" s="9">
        <v>183</v>
      </c>
      <c r="AF336" s="9" t="str">
        <f>IFERROR(MID(VLOOKUP($B336,Seqs!$A:$B,2,0),AG336,1),"")</f>
        <v>C</v>
      </c>
      <c r="AG336" s="9">
        <v>202</v>
      </c>
      <c r="AH336" s="9" t="str">
        <f>IFERROR(MID(VLOOKUP($B336,Seqs!$A:$B,2,0),AI336,1),"")</f>
        <v>E</v>
      </c>
      <c r="AI336" s="9">
        <v>204</v>
      </c>
      <c r="AJ336" s="9" t="str">
        <f>IFERROR(MID(VLOOKUP($B336,Seqs!$A:$B,2,0),AK336,1),"")</f>
        <v>L</v>
      </c>
      <c r="AK336" s="9">
        <v>210</v>
      </c>
      <c r="AL336" s="9" t="str">
        <f>IFERROR(MID(VLOOKUP($B336,Seqs!$A:$B,2,0),AM336,1),"")</f>
        <v>W</v>
      </c>
      <c r="AM336" s="9">
        <v>243</v>
      </c>
      <c r="AN336" s="9" t="str">
        <f>IFERROR(MID(VLOOKUP($B336,Seqs!$A:$B,2,0),AO336,1),"")</f>
        <v>E</v>
      </c>
      <c r="AO336" s="9">
        <v>286</v>
      </c>
      <c r="AP336" s="9" t="str">
        <f>IFERROR(MID(VLOOKUP($B336,Seqs!$A:$B,2,0),AQ336,1),"")</f>
        <v>F</v>
      </c>
      <c r="AQ336" s="9">
        <v>324</v>
      </c>
      <c r="AR336" s="9" t="str">
        <f>IFERROR(MID(VLOOKUP($B336,Seqs!$A:$B,2,0),AS336,1),"")</f>
        <v>D</v>
      </c>
      <c r="AS336" s="9">
        <v>332</v>
      </c>
      <c r="AT336" s="9" t="str">
        <f>IFERROR(MID(VLOOKUP($B336,Seqs!$A:$B,2,0),AU336,1),"")</f>
        <v>L</v>
      </c>
      <c r="AU336" s="9">
        <v>361</v>
      </c>
      <c r="AV336" s="9" t="str">
        <f>IFERROR(MID(VLOOKUP($B336,Seqs!$A:$B,2,0),AW336,1),"")</f>
        <v>S</v>
      </c>
      <c r="AW336" s="9">
        <v>362</v>
      </c>
      <c r="AX336" s="9" t="str">
        <f>IFERROR(MID(VLOOKUP($B336,Seqs!$A:$B,2,0),AY336,1),"")</f>
        <v>L</v>
      </c>
      <c r="AY336" s="9">
        <v>377</v>
      </c>
      <c r="AZ336" s="110" t="str">
        <f>VLOOKUP(B336,Classification!A:D,2,0)</f>
        <v>A</v>
      </c>
      <c r="BA336" s="98" t="str">
        <f>VLOOKUP(B336,Classification!A:D,4,0)</f>
        <v>Orexin</v>
      </c>
      <c r="BB336" s="36" t="b">
        <f t="shared" ref="BB336" si="1135">AND(E336&lt;G336,OR(G336&lt;I336,I336="-"),OR(I336&lt;K336,I336="-"),OR(K336&lt;M336,K336="-"),M336&lt;O336,OR(O336&lt;Q336,Q336="-"),OR(Q336&lt;S336,Q336="-"),OR(S336&lt;U336,S336="-"),U336&lt;W336,OR(W336&lt;Y336,Y336="-"),OR(Y336&lt;AA336,Y336="-"),OR(AA336&lt;AC336,AA336="-"),AC336&lt;AE336,OR(AE336&lt;AG336,AG336="-"),OR(AG336&lt;AI336,AG336="-"),OR(AI336&lt;AK336,AI336="-"),AK336&lt;AM336,AM336&lt;AO336,AO336&lt;AQ336,AQ336&lt;AS336,AS336&lt;AU336,OR(AU336&lt;AW336,AW336="-"),OR(AW336&lt;AY336,AW336="-"))</f>
        <v>1</v>
      </c>
      <c r="BC336" s="109">
        <f t="shared" ref="BC336" si="1136">_xlfn.AGGREGATE(9,6,CH336:CS336)-_xlfn.AGGREGATE(9,6,BV336:CG336)+12</f>
        <v>255</v>
      </c>
      <c r="BD336" s="40" t="s">
        <v>23</v>
      </c>
      <c r="BE336" s="9" t="s">
        <v>1368</v>
      </c>
      <c r="BF336" s="119">
        <v>3.01</v>
      </c>
      <c r="BG336" s="51" t="s">
        <v>1275</v>
      </c>
      <c r="BH336" s="51" t="s">
        <v>1275</v>
      </c>
      <c r="BJ336" s="111" t="s">
        <v>1281</v>
      </c>
      <c r="BK336" s="112" t="s">
        <v>1281</v>
      </c>
      <c r="BL336" s="112" t="s">
        <v>1281</v>
      </c>
      <c r="BM336" s="112" t="s">
        <v>1281</v>
      </c>
      <c r="BN336" s="112" t="s">
        <v>1281</v>
      </c>
      <c r="BO336" s="112" t="s">
        <v>1281</v>
      </c>
      <c r="BP336" s="112" t="s">
        <v>1281</v>
      </c>
      <c r="BQ336" s="112" t="s">
        <v>1281</v>
      </c>
      <c r="BR336" s="112" t="s">
        <v>1281</v>
      </c>
      <c r="BS336" s="112" t="s">
        <v>1281</v>
      </c>
      <c r="BT336" s="112" t="s">
        <v>1281</v>
      </c>
      <c r="BU336" s="112" t="s">
        <v>1281</v>
      </c>
      <c r="BV336" s="111">
        <f>E336</f>
        <v>46</v>
      </c>
      <c r="BW336" s="113">
        <f>I336</f>
        <v>75</v>
      </c>
      <c r="BX336" s="114">
        <f>M336</f>
        <v>79</v>
      </c>
      <c r="BY336" s="113">
        <f>Q336</f>
        <v>111</v>
      </c>
      <c r="BZ336" s="114">
        <f>U336</f>
        <v>115</v>
      </c>
      <c r="CA336" s="113" t="str">
        <f>Y336</f>
        <v>-</v>
      </c>
      <c r="CB336" s="114">
        <f>AC336</f>
        <v>157</v>
      </c>
      <c r="CC336" s="113">
        <f>AG336</f>
        <v>202</v>
      </c>
      <c r="CD336" s="114">
        <f>AK336</f>
        <v>210</v>
      </c>
      <c r="CE336" s="113">
        <f>AO336</f>
        <v>286</v>
      </c>
      <c r="CF336" s="114">
        <f>AS336</f>
        <v>332</v>
      </c>
      <c r="CG336" s="113">
        <f>AW336</f>
        <v>362</v>
      </c>
      <c r="CH336" s="111">
        <f>G336</f>
        <v>74</v>
      </c>
      <c r="CI336" s="113">
        <f>K336</f>
        <v>78</v>
      </c>
      <c r="CJ336" s="114">
        <f>O336</f>
        <v>110</v>
      </c>
      <c r="CK336" s="114">
        <f>S336</f>
        <v>114</v>
      </c>
      <c r="CL336" s="114">
        <f>W336</f>
        <v>150</v>
      </c>
      <c r="CM336" s="114" t="str">
        <f>AA336</f>
        <v>-</v>
      </c>
      <c r="CN336" s="114">
        <f>AE336</f>
        <v>183</v>
      </c>
      <c r="CO336" s="114">
        <f>AI336</f>
        <v>204</v>
      </c>
      <c r="CP336" s="114">
        <f>AM336</f>
        <v>243</v>
      </c>
      <c r="CQ336" s="114">
        <f>AQ336</f>
        <v>324</v>
      </c>
      <c r="CR336" s="114">
        <f>AU336</f>
        <v>361</v>
      </c>
      <c r="CS336" s="114">
        <f>AY336</f>
        <v>377</v>
      </c>
      <c r="CT336" s="109">
        <f>M336-K336</f>
        <v>1</v>
      </c>
      <c r="AMP336" s="40"/>
    </row>
    <row r="337" spans="1:1030" s="12" customFormat="1" x14ac:dyDescent="0.2">
      <c r="A337" s="9" t="str">
        <f>CONCATENATE(B337,"_",C337)</f>
        <v>ox1r_human_6TP6</v>
      </c>
      <c r="B337" s="9" t="s">
        <v>1168</v>
      </c>
      <c r="C337" s="9" t="s">
        <v>1623</v>
      </c>
      <c r="D337" s="9" t="str">
        <f>IFERROR(MID(VLOOKUP($B337,Seqs!$A:$B,2,0),E337,1),"")</f>
        <v>Y</v>
      </c>
      <c r="E337" s="9">
        <v>45</v>
      </c>
      <c r="F337" s="9" t="str">
        <f>IFERROR(MID(VLOOKUP($B337,Seqs!$A:$B,2,0),G337,1),"")</f>
        <v>N</v>
      </c>
      <c r="G337" s="9">
        <v>74</v>
      </c>
      <c r="H337" s="9" t="str">
        <f>IFERROR(MID(VLOOKUP($B337,Seqs!$A:$B,2,0),I337,1),"")</f>
        <v>H</v>
      </c>
      <c r="I337" s="109">
        <v>75</v>
      </c>
      <c r="J337" s="9" t="str">
        <f>IFERROR(MID(VLOOKUP($B337,Seqs!$A:$B,2,0),K337,1),"")</f>
        <v>R</v>
      </c>
      <c r="K337" s="109">
        <v>78</v>
      </c>
      <c r="L337" s="9" t="str">
        <f>IFERROR(MID(VLOOKUP($B337,Seqs!$A:$B,2,0),M337,1),"")</f>
        <v>T</v>
      </c>
      <c r="M337" s="9">
        <v>79</v>
      </c>
      <c r="N337" s="9" t="str">
        <f>IFERROR(MID(VLOOKUP($B337,Seqs!$A:$B,2,0),O337,1),"")</f>
        <v>E</v>
      </c>
      <c r="O337" s="9">
        <v>110</v>
      </c>
      <c r="P337" s="9" t="str">
        <f>IFERROR(MID(VLOOKUP($B337,Seqs!$A:$B,2,0),Q337,1),"")</f>
        <v>S</v>
      </c>
      <c r="Q337" s="9">
        <v>111</v>
      </c>
      <c r="R337" s="9" t="str">
        <f>IFERROR(MID(VLOOKUP($B337,Seqs!$A:$B,2,0),S337,1),"")</f>
        <v>F</v>
      </c>
      <c r="S337" s="9">
        <v>114</v>
      </c>
      <c r="T337" s="9" t="str">
        <f>IFERROR(MID(VLOOKUP($B337,Seqs!$A:$B,2,0),U337,1),"")</f>
        <v>G</v>
      </c>
      <c r="U337" s="9">
        <v>115</v>
      </c>
      <c r="V337" s="9" t="str">
        <f>IFERROR(MID(VLOOKUP($B337,Seqs!$A:$B,2,0),W337,1),"")</f>
        <v>H</v>
      </c>
      <c r="W337" s="9">
        <v>150</v>
      </c>
      <c r="X337" s="9" t="str">
        <f>IFERROR(MID(VLOOKUP($B337,Seqs!$A:$B,2,0),Y337,1),"")</f>
        <v/>
      </c>
      <c r="Y337" s="9" t="s">
        <v>23</v>
      </c>
      <c r="Z337" s="9" t="str">
        <f>IFERROR(MID(VLOOKUP($B337,Seqs!$A:$B,2,0),AA337,1),"")</f>
        <v/>
      </c>
      <c r="AA337" s="9" t="s">
        <v>23</v>
      </c>
      <c r="AB337" s="9" t="str">
        <f>IFERROR(MID(VLOOKUP($B337,Seqs!$A:$B,2,0),AC337,1),"")</f>
        <v>T</v>
      </c>
      <c r="AC337" s="9">
        <v>157</v>
      </c>
      <c r="AD337" s="9" t="str">
        <f>IFERROR(MID(VLOOKUP($B337,Seqs!$A:$B,2,0),AE337,1),"")</f>
        <v>M</v>
      </c>
      <c r="AE337" s="9">
        <v>183</v>
      </c>
      <c r="AF337" s="9" t="str">
        <f>IFERROR(MID(VLOOKUP($B337,Seqs!$A:$B,2,0),AG337,1),"")</f>
        <v>C</v>
      </c>
      <c r="AG337" s="9">
        <v>202</v>
      </c>
      <c r="AH337" s="9" t="str">
        <f>IFERROR(MID(VLOOKUP($B337,Seqs!$A:$B,2,0),AI337,1),"")</f>
        <v>E</v>
      </c>
      <c r="AI337" s="9">
        <v>204</v>
      </c>
      <c r="AJ337" s="9" t="str">
        <f>IFERROR(MID(VLOOKUP($B337,Seqs!$A:$B,2,0),AK337,1),"")</f>
        <v>L</v>
      </c>
      <c r="AK337" s="9">
        <v>210</v>
      </c>
      <c r="AL337" s="9" t="str">
        <f>IFERROR(MID(VLOOKUP($B337,Seqs!$A:$B,2,0),AM337,1),"")</f>
        <v>W</v>
      </c>
      <c r="AM337" s="9">
        <v>243</v>
      </c>
      <c r="AN337" s="9" t="str">
        <f>IFERROR(MID(VLOOKUP($B337,Seqs!$A:$B,2,0),AO337,1),"")</f>
        <v>E</v>
      </c>
      <c r="AO337" s="9">
        <v>286</v>
      </c>
      <c r="AP337" s="9" t="str">
        <f>IFERROR(MID(VLOOKUP($B337,Seqs!$A:$B,2,0),AQ337,1),"")</f>
        <v>F</v>
      </c>
      <c r="AQ337" s="9">
        <v>324</v>
      </c>
      <c r="AR337" s="9" t="str">
        <f>IFERROR(MID(VLOOKUP($B337,Seqs!$A:$B,2,0),AS337,1),"")</f>
        <v>D</v>
      </c>
      <c r="AS337" s="9">
        <v>332</v>
      </c>
      <c r="AT337" s="9" t="str">
        <f>IFERROR(MID(VLOOKUP($B337,Seqs!$A:$B,2,0),AU337,1),"")</f>
        <v>L</v>
      </c>
      <c r="AU337" s="9">
        <v>361</v>
      </c>
      <c r="AV337" s="9" t="str">
        <f>IFERROR(MID(VLOOKUP($B337,Seqs!$A:$B,2,0),AW337,1),"")</f>
        <v>S</v>
      </c>
      <c r="AW337" s="9">
        <v>362</v>
      </c>
      <c r="AX337" s="9" t="str">
        <f>IFERROR(MID(VLOOKUP($B337,Seqs!$A:$B,2,0),AY337,1),"")</f>
        <v>L</v>
      </c>
      <c r="AY337" s="9">
        <v>377</v>
      </c>
      <c r="AZ337" s="110" t="str">
        <f>VLOOKUP(B337,Classification!A:D,2,0)</f>
        <v>A</v>
      </c>
      <c r="BA337" s="98" t="str">
        <f>VLOOKUP(B337,Classification!A:D,4,0)</f>
        <v>Orexin</v>
      </c>
      <c r="BB337" s="36" t="b">
        <f t="shared" ref="BB337" si="1137">AND(E337&lt;G337,OR(G337&lt;I337,I337="-"),OR(I337&lt;K337,I337="-"),OR(K337&lt;M337,K337="-"),M337&lt;O337,OR(O337&lt;Q337,Q337="-"),OR(Q337&lt;S337,Q337="-"),OR(S337&lt;U337,S337="-"),U337&lt;W337,OR(W337&lt;Y337,Y337="-"),OR(Y337&lt;AA337,Y337="-"),OR(AA337&lt;AC337,AA337="-"),AC337&lt;AE337,OR(AE337&lt;AG337,AG337="-"),OR(AG337&lt;AI337,AG337="-"),OR(AI337&lt;AK337,AI337="-"),AK337&lt;AM337,AM337&lt;AO337,AO337&lt;AQ337,AQ337&lt;AS337,AS337&lt;AU337,OR(AU337&lt;AW337,AW337="-"),OR(AW337&lt;AY337,AW337="-"))</f>
        <v>1</v>
      </c>
      <c r="BC337" s="109">
        <f t="shared" ref="BC337" si="1138">_xlfn.AGGREGATE(9,6,CH337:CS337)-_xlfn.AGGREGATE(9,6,BV337:CG337)+12</f>
        <v>256</v>
      </c>
      <c r="BD337" s="40" t="s">
        <v>23</v>
      </c>
      <c r="BE337" s="9" t="s">
        <v>1368</v>
      </c>
      <c r="BF337" s="119">
        <v>2.34</v>
      </c>
      <c r="BG337" s="51" t="s">
        <v>1275</v>
      </c>
      <c r="BH337" s="51" t="s">
        <v>1275</v>
      </c>
      <c r="BJ337" s="111" t="s">
        <v>1281</v>
      </c>
      <c r="BK337" s="112" t="s">
        <v>1281</v>
      </c>
      <c r="BL337" s="112" t="s">
        <v>1281</v>
      </c>
      <c r="BM337" s="112" t="s">
        <v>1281</v>
      </c>
      <c r="BN337" s="112" t="s">
        <v>1281</v>
      </c>
      <c r="BO337" s="112" t="s">
        <v>1281</v>
      </c>
      <c r="BP337" s="112" t="s">
        <v>1281</v>
      </c>
      <c r="BQ337" s="112" t="s">
        <v>1281</v>
      </c>
      <c r="BR337" s="112" t="s">
        <v>1281</v>
      </c>
      <c r="BS337" s="112" t="s">
        <v>1281</v>
      </c>
      <c r="BT337" s="112" t="s">
        <v>1281</v>
      </c>
      <c r="BU337" s="112" t="s">
        <v>1281</v>
      </c>
      <c r="BV337" s="111">
        <f>E337</f>
        <v>45</v>
      </c>
      <c r="BW337" s="113">
        <f>I337</f>
        <v>75</v>
      </c>
      <c r="BX337" s="114">
        <f>M337</f>
        <v>79</v>
      </c>
      <c r="BY337" s="113">
        <f>Q337</f>
        <v>111</v>
      </c>
      <c r="BZ337" s="114">
        <f>U337</f>
        <v>115</v>
      </c>
      <c r="CA337" s="113" t="str">
        <f>Y337</f>
        <v>-</v>
      </c>
      <c r="CB337" s="114">
        <f>AC337</f>
        <v>157</v>
      </c>
      <c r="CC337" s="113">
        <f>AG337</f>
        <v>202</v>
      </c>
      <c r="CD337" s="114">
        <f>AK337</f>
        <v>210</v>
      </c>
      <c r="CE337" s="113">
        <f>AO337</f>
        <v>286</v>
      </c>
      <c r="CF337" s="114">
        <f>AS337</f>
        <v>332</v>
      </c>
      <c r="CG337" s="113">
        <f>AW337</f>
        <v>362</v>
      </c>
      <c r="CH337" s="111">
        <f>G337</f>
        <v>74</v>
      </c>
      <c r="CI337" s="113">
        <f>K337</f>
        <v>78</v>
      </c>
      <c r="CJ337" s="114">
        <f>O337</f>
        <v>110</v>
      </c>
      <c r="CK337" s="114">
        <f>S337</f>
        <v>114</v>
      </c>
      <c r="CL337" s="114">
        <f>W337</f>
        <v>150</v>
      </c>
      <c r="CM337" s="114" t="str">
        <f>AA337</f>
        <v>-</v>
      </c>
      <c r="CN337" s="114">
        <f>AE337</f>
        <v>183</v>
      </c>
      <c r="CO337" s="114">
        <f>AI337</f>
        <v>204</v>
      </c>
      <c r="CP337" s="114">
        <f>AM337</f>
        <v>243</v>
      </c>
      <c r="CQ337" s="114">
        <f>AQ337</f>
        <v>324</v>
      </c>
      <c r="CR337" s="114">
        <f>AU337</f>
        <v>361</v>
      </c>
      <c r="CS337" s="114">
        <f>AY337</f>
        <v>377</v>
      </c>
      <c r="CT337" s="109">
        <f>M337-K337</f>
        <v>1</v>
      </c>
      <c r="AMP337" s="40"/>
    </row>
    <row r="338" spans="1:1030" s="12" customFormat="1" x14ac:dyDescent="0.2">
      <c r="A338" s="9" t="str">
        <f>CONCATENATE(B338,"_",C338)</f>
        <v>ox1r_human_6TQ4</v>
      </c>
      <c r="B338" s="9" t="s">
        <v>1168</v>
      </c>
      <c r="C338" s="9" t="s">
        <v>1624</v>
      </c>
      <c r="D338" s="9" t="str">
        <f>IFERROR(MID(VLOOKUP($B338,Seqs!$A:$B,2,0),E338,1),"")</f>
        <v>Y</v>
      </c>
      <c r="E338" s="9">
        <v>45</v>
      </c>
      <c r="F338" s="9" t="str">
        <f>IFERROR(MID(VLOOKUP($B338,Seqs!$A:$B,2,0),G338,1),"")</f>
        <v>N</v>
      </c>
      <c r="G338" s="9">
        <v>74</v>
      </c>
      <c r="H338" s="9" t="str">
        <f>IFERROR(MID(VLOOKUP($B338,Seqs!$A:$B,2,0),I338,1),"")</f>
        <v>H</v>
      </c>
      <c r="I338" s="109">
        <v>75</v>
      </c>
      <c r="J338" s="9" t="str">
        <f>IFERROR(MID(VLOOKUP($B338,Seqs!$A:$B,2,0),K338,1),"")</f>
        <v>R</v>
      </c>
      <c r="K338" s="109">
        <v>78</v>
      </c>
      <c r="L338" s="9" t="str">
        <f>IFERROR(MID(VLOOKUP($B338,Seqs!$A:$B,2,0),M338,1),"")</f>
        <v>T</v>
      </c>
      <c r="M338" s="9">
        <v>79</v>
      </c>
      <c r="N338" s="9" t="str">
        <f>IFERROR(MID(VLOOKUP($B338,Seqs!$A:$B,2,0),O338,1),"")</f>
        <v>E</v>
      </c>
      <c r="O338" s="9">
        <v>110</v>
      </c>
      <c r="P338" s="9" t="str">
        <f>IFERROR(MID(VLOOKUP($B338,Seqs!$A:$B,2,0),Q338,1),"")</f>
        <v>S</v>
      </c>
      <c r="Q338" s="9">
        <v>111</v>
      </c>
      <c r="R338" s="9" t="str">
        <f>IFERROR(MID(VLOOKUP($B338,Seqs!$A:$B,2,0),S338,1),"")</f>
        <v>F</v>
      </c>
      <c r="S338" s="9">
        <v>114</v>
      </c>
      <c r="T338" s="9" t="str">
        <f>IFERROR(MID(VLOOKUP($B338,Seqs!$A:$B,2,0),U338,1),"")</f>
        <v>G</v>
      </c>
      <c r="U338" s="9">
        <v>115</v>
      </c>
      <c r="V338" s="9" t="str">
        <f>IFERROR(MID(VLOOKUP($B338,Seqs!$A:$B,2,0),W338,1),"")</f>
        <v>H</v>
      </c>
      <c r="W338" s="9">
        <v>150</v>
      </c>
      <c r="X338" s="9" t="str">
        <f>IFERROR(MID(VLOOKUP($B338,Seqs!$A:$B,2,0),Y338,1),"")</f>
        <v/>
      </c>
      <c r="Y338" s="9" t="s">
        <v>23</v>
      </c>
      <c r="Z338" s="9" t="str">
        <f>IFERROR(MID(VLOOKUP($B338,Seqs!$A:$B,2,0),AA338,1),"")</f>
        <v/>
      </c>
      <c r="AA338" s="9" t="s">
        <v>23</v>
      </c>
      <c r="AB338" s="9" t="str">
        <f>IFERROR(MID(VLOOKUP($B338,Seqs!$A:$B,2,0),AC338,1),"")</f>
        <v>T</v>
      </c>
      <c r="AC338" s="9">
        <v>157</v>
      </c>
      <c r="AD338" s="9" t="str">
        <f>IFERROR(MID(VLOOKUP($B338,Seqs!$A:$B,2,0),AE338,1),"")</f>
        <v>M</v>
      </c>
      <c r="AE338" s="9">
        <v>183</v>
      </c>
      <c r="AF338" s="9" t="str">
        <f>IFERROR(MID(VLOOKUP($B338,Seqs!$A:$B,2,0),AG338,1),"")</f>
        <v>C</v>
      </c>
      <c r="AG338" s="9">
        <v>202</v>
      </c>
      <c r="AH338" s="9" t="str">
        <f>IFERROR(MID(VLOOKUP($B338,Seqs!$A:$B,2,0),AI338,1),"")</f>
        <v>E</v>
      </c>
      <c r="AI338" s="9">
        <v>204</v>
      </c>
      <c r="AJ338" s="9" t="str">
        <f>IFERROR(MID(VLOOKUP($B338,Seqs!$A:$B,2,0),AK338,1),"")</f>
        <v>L</v>
      </c>
      <c r="AK338" s="9">
        <v>210</v>
      </c>
      <c r="AL338" s="9" t="str">
        <f>IFERROR(MID(VLOOKUP($B338,Seqs!$A:$B,2,0),AM338,1),"")</f>
        <v>W</v>
      </c>
      <c r="AM338" s="9">
        <v>243</v>
      </c>
      <c r="AN338" s="9" t="str">
        <f>IFERROR(MID(VLOOKUP($B338,Seqs!$A:$B,2,0),AO338,1),"")</f>
        <v>E</v>
      </c>
      <c r="AO338" s="9">
        <v>286</v>
      </c>
      <c r="AP338" s="9" t="str">
        <f>IFERROR(MID(VLOOKUP($B338,Seqs!$A:$B,2,0),AQ338,1),"")</f>
        <v>F</v>
      </c>
      <c r="AQ338" s="9">
        <v>324</v>
      </c>
      <c r="AR338" s="9" t="str">
        <f>IFERROR(MID(VLOOKUP($B338,Seqs!$A:$B,2,0),AS338,1),"")</f>
        <v>D</v>
      </c>
      <c r="AS338" s="9">
        <v>332</v>
      </c>
      <c r="AT338" s="9" t="str">
        <f>IFERROR(MID(VLOOKUP($B338,Seqs!$A:$B,2,0),AU338,1),"")</f>
        <v>L</v>
      </c>
      <c r="AU338" s="9">
        <v>361</v>
      </c>
      <c r="AV338" s="9" t="str">
        <f>IFERROR(MID(VLOOKUP($B338,Seqs!$A:$B,2,0),AW338,1),"")</f>
        <v>S</v>
      </c>
      <c r="AW338" s="9">
        <v>362</v>
      </c>
      <c r="AX338" s="9" t="str">
        <f>IFERROR(MID(VLOOKUP($B338,Seqs!$A:$B,2,0),AY338,1),"")</f>
        <v>C</v>
      </c>
      <c r="AY338" s="9">
        <v>376</v>
      </c>
      <c r="AZ338" s="110" t="str">
        <f>VLOOKUP(B338,Classification!A:D,2,0)</f>
        <v>A</v>
      </c>
      <c r="BA338" s="98" t="str">
        <f>VLOOKUP(B338,Classification!A:D,4,0)</f>
        <v>Orexin</v>
      </c>
      <c r="BB338" s="36" t="b">
        <f t="shared" ref="BB338" si="1139">AND(E338&lt;G338,OR(G338&lt;I338,I338="-"),OR(I338&lt;K338,I338="-"),OR(K338&lt;M338,K338="-"),M338&lt;O338,OR(O338&lt;Q338,Q338="-"),OR(Q338&lt;S338,Q338="-"),OR(S338&lt;U338,S338="-"),U338&lt;W338,OR(W338&lt;Y338,Y338="-"),OR(Y338&lt;AA338,Y338="-"),OR(AA338&lt;AC338,AA338="-"),AC338&lt;AE338,OR(AE338&lt;AG338,AG338="-"),OR(AG338&lt;AI338,AG338="-"),OR(AI338&lt;AK338,AI338="-"),AK338&lt;AM338,AM338&lt;AO338,AO338&lt;AQ338,AQ338&lt;AS338,AS338&lt;AU338,OR(AU338&lt;AW338,AW338="-"),OR(AW338&lt;AY338,AW338="-"))</f>
        <v>1</v>
      </c>
      <c r="BC338" s="109">
        <f t="shared" ref="BC338" si="1140">_xlfn.AGGREGATE(9,6,CH338:CS338)-_xlfn.AGGREGATE(9,6,BV338:CG338)+12</f>
        <v>255</v>
      </c>
      <c r="BD338" s="40" t="s">
        <v>23</v>
      </c>
      <c r="BE338" s="9" t="s">
        <v>1368</v>
      </c>
      <c r="BF338" s="119">
        <v>2.2999999999999998</v>
      </c>
      <c r="BG338" s="51" t="s">
        <v>1275</v>
      </c>
      <c r="BH338" s="51" t="s">
        <v>1275</v>
      </c>
      <c r="BJ338" s="111" t="s">
        <v>1281</v>
      </c>
      <c r="BK338" s="112" t="s">
        <v>1281</v>
      </c>
      <c r="BL338" s="112" t="s">
        <v>1281</v>
      </c>
      <c r="BM338" s="112" t="s">
        <v>1281</v>
      </c>
      <c r="BN338" s="112" t="s">
        <v>1281</v>
      </c>
      <c r="BO338" s="112" t="s">
        <v>1281</v>
      </c>
      <c r="BP338" s="112" t="s">
        <v>1281</v>
      </c>
      <c r="BQ338" s="112" t="s">
        <v>1281</v>
      </c>
      <c r="BR338" s="112" t="s">
        <v>1281</v>
      </c>
      <c r="BS338" s="112" t="s">
        <v>1281</v>
      </c>
      <c r="BT338" s="112" t="s">
        <v>1281</v>
      </c>
      <c r="BU338" s="112" t="s">
        <v>1281</v>
      </c>
      <c r="BV338" s="111">
        <f>E338</f>
        <v>45</v>
      </c>
      <c r="BW338" s="113">
        <f>I338</f>
        <v>75</v>
      </c>
      <c r="BX338" s="114">
        <f>M338</f>
        <v>79</v>
      </c>
      <c r="BY338" s="113">
        <f>Q338</f>
        <v>111</v>
      </c>
      <c r="BZ338" s="114">
        <f>U338</f>
        <v>115</v>
      </c>
      <c r="CA338" s="113" t="str">
        <f>Y338</f>
        <v>-</v>
      </c>
      <c r="CB338" s="114">
        <f>AC338</f>
        <v>157</v>
      </c>
      <c r="CC338" s="113">
        <f>AG338</f>
        <v>202</v>
      </c>
      <c r="CD338" s="114">
        <f>AK338</f>
        <v>210</v>
      </c>
      <c r="CE338" s="113">
        <f>AO338</f>
        <v>286</v>
      </c>
      <c r="CF338" s="114">
        <f>AS338</f>
        <v>332</v>
      </c>
      <c r="CG338" s="113">
        <f>AW338</f>
        <v>362</v>
      </c>
      <c r="CH338" s="111">
        <f>G338</f>
        <v>74</v>
      </c>
      <c r="CI338" s="113">
        <f>K338</f>
        <v>78</v>
      </c>
      <c r="CJ338" s="114">
        <f>O338</f>
        <v>110</v>
      </c>
      <c r="CK338" s="114">
        <f>S338</f>
        <v>114</v>
      </c>
      <c r="CL338" s="114">
        <f>W338</f>
        <v>150</v>
      </c>
      <c r="CM338" s="114" t="str">
        <f>AA338</f>
        <v>-</v>
      </c>
      <c r="CN338" s="114">
        <f>AE338</f>
        <v>183</v>
      </c>
      <c r="CO338" s="114">
        <f>AI338</f>
        <v>204</v>
      </c>
      <c r="CP338" s="114">
        <f>AM338</f>
        <v>243</v>
      </c>
      <c r="CQ338" s="114">
        <f>AQ338</f>
        <v>324</v>
      </c>
      <c r="CR338" s="114">
        <f>AU338</f>
        <v>361</v>
      </c>
      <c r="CS338" s="114">
        <f>AY338</f>
        <v>376</v>
      </c>
      <c r="CT338" s="109">
        <f>M338-K338</f>
        <v>1</v>
      </c>
      <c r="AMP338" s="40"/>
    </row>
    <row r="339" spans="1:1030" s="12" customFormat="1" x14ac:dyDescent="0.2">
      <c r="A339" s="9" t="str">
        <f>CONCATENATE(B339,"_",C339)</f>
        <v>ox1r_human_6TQ6</v>
      </c>
      <c r="B339" s="9" t="s">
        <v>1168</v>
      </c>
      <c r="C339" s="9" t="s">
        <v>1625</v>
      </c>
      <c r="D339" s="9" t="str">
        <f>IFERROR(MID(VLOOKUP($B339,Seqs!$A:$B,2,0),E339,1),"")</f>
        <v>Y</v>
      </c>
      <c r="E339" s="9">
        <v>45</v>
      </c>
      <c r="F339" s="9" t="str">
        <f>IFERROR(MID(VLOOKUP($B339,Seqs!$A:$B,2,0),G339,1),"")</f>
        <v>N</v>
      </c>
      <c r="G339" s="9">
        <v>74</v>
      </c>
      <c r="H339" s="9" t="str">
        <f>IFERROR(MID(VLOOKUP($B339,Seqs!$A:$B,2,0),I339,1),"")</f>
        <v>H</v>
      </c>
      <c r="I339" s="109">
        <v>75</v>
      </c>
      <c r="J339" s="9" t="str">
        <f>IFERROR(MID(VLOOKUP($B339,Seqs!$A:$B,2,0),K339,1),"")</f>
        <v>R</v>
      </c>
      <c r="K339" s="109">
        <v>78</v>
      </c>
      <c r="L339" s="9" t="str">
        <f>IFERROR(MID(VLOOKUP($B339,Seqs!$A:$B,2,0),M339,1),"")</f>
        <v>T</v>
      </c>
      <c r="M339" s="9">
        <v>79</v>
      </c>
      <c r="N339" s="9" t="str">
        <f>IFERROR(MID(VLOOKUP($B339,Seqs!$A:$B,2,0),O339,1),"")</f>
        <v>E</v>
      </c>
      <c r="O339" s="9">
        <v>110</v>
      </c>
      <c r="P339" s="9" t="str">
        <f>IFERROR(MID(VLOOKUP($B339,Seqs!$A:$B,2,0),Q339,1),"")</f>
        <v>S</v>
      </c>
      <c r="Q339" s="9">
        <v>111</v>
      </c>
      <c r="R339" s="9" t="str">
        <f>IFERROR(MID(VLOOKUP($B339,Seqs!$A:$B,2,0),S339,1),"")</f>
        <v>F</v>
      </c>
      <c r="S339" s="9">
        <v>114</v>
      </c>
      <c r="T339" s="9" t="str">
        <f>IFERROR(MID(VLOOKUP($B339,Seqs!$A:$B,2,0),U339,1),"")</f>
        <v>G</v>
      </c>
      <c r="U339" s="9">
        <v>115</v>
      </c>
      <c r="V339" s="9" t="str">
        <f>IFERROR(MID(VLOOKUP($B339,Seqs!$A:$B,2,0),W339,1),"")</f>
        <v>H</v>
      </c>
      <c r="W339" s="9">
        <v>150</v>
      </c>
      <c r="X339" s="9" t="str">
        <f>IFERROR(MID(VLOOKUP($B339,Seqs!$A:$B,2,0),Y339,1),"")</f>
        <v/>
      </c>
      <c r="Y339" s="9" t="s">
        <v>23</v>
      </c>
      <c r="Z339" s="9" t="str">
        <f>IFERROR(MID(VLOOKUP($B339,Seqs!$A:$B,2,0),AA339,1),"")</f>
        <v/>
      </c>
      <c r="AA339" s="9" t="s">
        <v>23</v>
      </c>
      <c r="AB339" s="9" t="str">
        <f>IFERROR(MID(VLOOKUP($B339,Seqs!$A:$B,2,0),AC339,1),"")</f>
        <v>T</v>
      </c>
      <c r="AC339" s="9">
        <v>157</v>
      </c>
      <c r="AD339" s="9" t="str">
        <f>IFERROR(MID(VLOOKUP($B339,Seqs!$A:$B,2,0),AE339,1),"")</f>
        <v>M</v>
      </c>
      <c r="AE339" s="9">
        <v>183</v>
      </c>
      <c r="AF339" s="9" t="str">
        <f>IFERROR(MID(VLOOKUP($B339,Seqs!$A:$B,2,0),AG339,1),"")</f>
        <v>C</v>
      </c>
      <c r="AG339" s="9">
        <v>202</v>
      </c>
      <c r="AH339" s="9" t="str">
        <f>IFERROR(MID(VLOOKUP($B339,Seqs!$A:$B,2,0),AI339,1),"")</f>
        <v>E</v>
      </c>
      <c r="AI339" s="9">
        <v>204</v>
      </c>
      <c r="AJ339" s="9" t="str">
        <f>IFERROR(MID(VLOOKUP($B339,Seqs!$A:$B,2,0),AK339,1),"")</f>
        <v>L</v>
      </c>
      <c r="AK339" s="9">
        <v>210</v>
      </c>
      <c r="AL339" s="9" t="str">
        <f>IFERROR(MID(VLOOKUP($B339,Seqs!$A:$B,2,0),AM339,1),"")</f>
        <v>W</v>
      </c>
      <c r="AM339" s="9">
        <v>243</v>
      </c>
      <c r="AN339" s="9" t="str">
        <f>IFERROR(MID(VLOOKUP($B339,Seqs!$A:$B,2,0),AO339,1),"")</f>
        <v>E</v>
      </c>
      <c r="AO339" s="9">
        <v>286</v>
      </c>
      <c r="AP339" s="9" t="str">
        <f>IFERROR(MID(VLOOKUP($B339,Seqs!$A:$B,2,0),AQ339,1),"")</f>
        <v>F</v>
      </c>
      <c r="AQ339" s="9">
        <v>324</v>
      </c>
      <c r="AR339" s="9" t="str">
        <f>IFERROR(MID(VLOOKUP($B339,Seqs!$A:$B,2,0),AS339,1),"")</f>
        <v>D</v>
      </c>
      <c r="AS339" s="9">
        <v>332</v>
      </c>
      <c r="AT339" s="9" t="str">
        <f>IFERROR(MID(VLOOKUP($B339,Seqs!$A:$B,2,0),AU339,1),"")</f>
        <v>L</v>
      </c>
      <c r="AU339" s="9">
        <v>361</v>
      </c>
      <c r="AV339" s="9" t="str">
        <f>IFERROR(MID(VLOOKUP($B339,Seqs!$A:$B,2,0),AW339,1),"")</f>
        <v>S</v>
      </c>
      <c r="AW339" s="9">
        <v>362</v>
      </c>
      <c r="AX339" s="9" t="str">
        <f>IFERROR(MID(VLOOKUP($B339,Seqs!$A:$B,2,0),AY339,1),"")</f>
        <v>L</v>
      </c>
      <c r="AY339" s="9">
        <v>377</v>
      </c>
      <c r="AZ339" s="110" t="str">
        <f>VLOOKUP(B339,Classification!A:D,2,0)</f>
        <v>A</v>
      </c>
      <c r="BA339" s="98" t="str">
        <f>VLOOKUP(B339,Classification!A:D,4,0)</f>
        <v>Orexin</v>
      </c>
      <c r="BB339" s="36" t="b">
        <f t="shared" ref="BB339" si="1141">AND(E339&lt;G339,OR(G339&lt;I339,I339="-"),OR(I339&lt;K339,I339="-"),OR(K339&lt;M339,K339="-"),M339&lt;O339,OR(O339&lt;Q339,Q339="-"),OR(Q339&lt;S339,Q339="-"),OR(S339&lt;U339,S339="-"),U339&lt;W339,OR(W339&lt;Y339,Y339="-"),OR(Y339&lt;AA339,Y339="-"),OR(AA339&lt;AC339,AA339="-"),AC339&lt;AE339,OR(AE339&lt;AG339,AG339="-"),OR(AG339&lt;AI339,AG339="-"),OR(AI339&lt;AK339,AI339="-"),AK339&lt;AM339,AM339&lt;AO339,AO339&lt;AQ339,AQ339&lt;AS339,AS339&lt;AU339,OR(AU339&lt;AW339,AW339="-"),OR(AW339&lt;AY339,AW339="-"))</f>
        <v>1</v>
      </c>
      <c r="BC339" s="109">
        <f t="shared" ref="BC339" si="1142">_xlfn.AGGREGATE(9,6,CH339:CS339)-_xlfn.AGGREGATE(9,6,BV339:CG339)+12</f>
        <v>256</v>
      </c>
      <c r="BD339" s="40" t="s">
        <v>23</v>
      </c>
      <c r="BE339" s="9" t="s">
        <v>1368</v>
      </c>
      <c r="BF339" s="119">
        <v>2.5499999999999998</v>
      </c>
      <c r="BG339" s="51" t="s">
        <v>1275</v>
      </c>
      <c r="BH339" s="51" t="s">
        <v>1275</v>
      </c>
      <c r="BJ339" s="111" t="s">
        <v>1281</v>
      </c>
      <c r="BK339" s="112" t="s">
        <v>1281</v>
      </c>
      <c r="BL339" s="112" t="s">
        <v>1281</v>
      </c>
      <c r="BM339" s="112" t="s">
        <v>1281</v>
      </c>
      <c r="BN339" s="112" t="s">
        <v>1281</v>
      </c>
      <c r="BO339" s="112" t="s">
        <v>1281</v>
      </c>
      <c r="BP339" s="112" t="s">
        <v>1281</v>
      </c>
      <c r="BQ339" s="112" t="s">
        <v>1281</v>
      </c>
      <c r="BR339" s="112" t="s">
        <v>1281</v>
      </c>
      <c r="BS339" s="112" t="s">
        <v>1281</v>
      </c>
      <c r="BT339" s="112" t="s">
        <v>1281</v>
      </c>
      <c r="BU339" s="112" t="s">
        <v>1281</v>
      </c>
      <c r="BV339" s="111">
        <f>E339</f>
        <v>45</v>
      </c>
      <c r="BW339" s="113">
        <f>I339</f>
        <v>75</v>
      </c>
      <c r="BX339" s="114">
        <f>M339</f>
        <v>79</v>
      </c>
      <c r="BY339" s="113">
        <f>Q339</f>
        <v>111</v>
      </c>
      <c r="BZ339" s="114">
        <f>U339</f>
        <v>115</v>
      </c>
      <c r="CA339" s="113" t="str">
        <f>Y339</f>
        <v>-</v>
      </c>
      <c r="CB339" s="114">
        <f>AC339</f>
        <v>157</v>
      </c>
      <c r="CC339" s="113">
        <f>AG339</f>
        <v>202</v>
      </c>
      <c r="CD339" s="114">
        <f>AK339</f>
        <v>210</v>
      </c>
      <c r="CE339" s="113">
        <f>AO339</f>
        <v>286</v>
      </c>
      <c r="CF339" s="114">
        <f>AS339</f>
        <v>332</v>
      </c>
      <c r="CG339" s="113">
        <f>AW339</f>
        <v>362</v>
      </c>
      <c r="CH339" s="111">
        <f>G339</f>
        <v>74</v>
      </c>
      <c r="CI339" s="113">
        <f>K339</f>
        <v>78</v>
      </c>
      <c r="CJ339" s="114">
        <f>O339</f>
        <v>110</v>
      </c>
      <c r="CK339" s="114">
        <f>S339</f>
        <v>114</v>
      </c>
      <c r="CL339" s="114">
        <f>W339</f>
        <v>150</v>
      </c>
      <c r="CM339" s="114" t="str">
        <f>AA339</f>
        <v>-</v>
      </c>
      <c r="CN339" s="114">
        <f>AE339</f>
        <v>183</v>
      </c>
      <c r="CO339" s="114">
        <f>AI339</f>
        <v>204</v>
      </c>
      <c r="CP339" s="114">
        <f>AM339</f>
        <v>243</v>
      </c>
      <c r="CQ339" s="114">
        <f>AQ339</f>
        <v>324</v>
      </c>
      <c r="CR339" s="114">
        <f>AU339</f>
        <v>361</v>
      </c>
      <c r="CS339" s="114">
        <f>AY339</f>
        <v>377</v>
      </c>
      <c r="CT339" s="109">
        <f>M339-K339</f>
        <v>1</v>
      </c>
      <c r="AMP339" s="40"/>
    </row>
    <row r="340" spans="1:1030" s="12" customFormat="1" x14ac:dyDescent="0.2">
      <c r="A340" s="9" t="str">
        <f>CONCATENATE(B340,"_",C340)</f>
        <v>ox1r_human_6TQ7</v>
      </c>
      <c r="B340" s="9" t="s">
        <v>1168</v>
      </c>
      <c r="C340" s="9" t="s">
        <v>1626</v>
      </c>
      <c r="D340" s="9" t="str">
        <f>IFERROR(MID(VLOOKUP($B340,Seqs!$A:$B,2,0),E340,1),"")</f>
        <v>Y</v>
      </c>
      <c r="E340" s="9">
        <v>45</v>
      </c>
      <c r="F340" s="9" t="str">
        <f>IFERROR(MID(VLOOKUP($B340,Seqs!$A:$B,2,0),G340,1),"")</f>
        <v>N</v>
      </c>
      <c r="G340" s="9">
        <v>74</v>
      </c>
      <c r="H340" s="9" t="str">
        <f>IFERROR(MID(VLOOKUP($B340,Seqs!$A:$B,2,0),I340,1),"")</f>
        <v>H</v>
      </c>
      <c r="I340" s="109">
        <v>75</v>
      </c>
      <c r="J340" s="9" t="str">
        <f>IFERROR(MID(VLOOKUP($B340,Seqs!$A:$B,2,0),K340,1),"")</f>
        <v>R</v>
      </c>
      <c r="K340" s="109">
        <v>78</v>
      </c>
      <c r="L340" s="9" t="str">
        <f>IFERROR(MID(VLOOKUP($B340,Seqs!$A:$B,2,0),M340,1),"")</f>
        <v>T</v>
      </c>
      <c r="M340" s="9">
        <v>79</v>
      </c>
      <c r="N340" s="9" t="str">
        <f>IFERROR(MID(VLOOKUP($B340,Seqs!$A:$B,2,0),O340,1),"")</f>
        <v>E</v>
      </c>
      <c r="O340" s="9">
        <v>110</v>
      </c>
      <c r="P340" s="9" t="str">
        <f>IFERROR(MID(VLOOKUP($B340,Seqs!$A:$B,2,0),Q340,1),"")</f>
        <v>S</v>
      </c>
      <c r="Q340" s="9">
        <v>111</v>
      </c>
      <c r="R340" s="9" t="str">
        <f>IFERROR(MID(VLOOKUP($B340,Seqs!$A:$B,2,0),S340,1),"")</f>
        <v>F</v>
      </c>
      <c r="S340" s="9">
        <v>114</v>
      </c>
      <c r="T340" s="9" t="str">
        <f>IFERROR(MID(VLOOKUP($B340,Seqs!$A:$B,2,0),U340,1),"")</f>
        <v>G</v>
      </c>
      <c r="U340" s="9">
        <v>115</v>
      </c>
      <c r="V340" s="9" t="str">
        <f>IFERROR(MID(VLOOKUP($B340,Seqs!$A:$B,2,0),W340,1),"")</f>
        <v>H</v>
      </c>
      <c r="W340" s="9">
        <v>150</v>
      </c>
      <c r="X340" s="9" t="str">
        <f>IFERROR(MID(VLOOKUP($B340,Seqs!$A:$B,2,0),Y340,1),"")</f>
        <v/>
      </c>
      <c r="Y340" s="9" t="s">
        <v>23</v>
      </c>
      <c r="Z340" s="9" t="str">
        <f>IFERROR(MID(VLOOKUP($B340,Seqs!$A:$B,2,0),AA340,1),"")</f>
        <v/>
      </c>
      <c r="AA340" s="9" t="s">
        <v>23</v>
      </c>
      <c r="AB340" s="9" t="str">
        <f>IFERROR(MID(VLOOKUP($B340,Seqs!$A:$B,2,0),AC340,1),"")</f>
        <v>T</v>
      </c>
      <c r="AC340" s="9">
        <v>157</v>
      </c>
      <c r="AD340" s="9" t="str">
        <f>IFERROR(MID(VLOOKUP($B340,Seqs!$A:$B,2,0),AE340,1),"")</f>
        <v>M</v>
      </c>
      <c r="AE340" s="9">
        <v>183</v>
      </c>
      <c r="AF340" s="9" t="str">
        <f>IFERROR(MID(VLOOKUP($B340,Seqs!$A:$B,2,0),AG340,1),"")</f>
        <v>C</v>
      </c>
      <c r="AG340" s="9">
        <v>202</v>
      </c>
      <c r="AH340" s="9" t="str">
        <f>IFERROR(MID(VLOOKUP($B340,Seqs!$A:$B,2,0),AI340,1),"")</f>
        <v>E</v>
      </c>
      <c r="AI340" s="9">
        <v>204</v>
      </c>
      <c r="AJ340" s="9" t="str">
        <f>IFERROR(MID(VLOOKUP($B340,Seqs!$A:$B,2,0),AK340,1),"")</f>
        <v>L</v>
      </c>
      <c r="AK340" s="9">
        <v>210</v>
      </c>
      <c r="AL340" s="9" t="str">
        <f>IFERROR(MID(VLOOKUP($B340,Seqs!$A:$B,2,0),AM340,1),"")</f>
        <v>W</v>
      </c>
      <c r="AM340" s="9">
        <v>243</v>
      </c>
      <c r="AN340" s="9" t="str">
        <f>IFERROR(MID(VLOOKUP($B340,Seqs!$A:$B,2,0),AO340,1),"")</f>
        <v>E</v>
      </c>
      <c r="AO340" s="9">
        <v>286</v>
      </c>
      <c r="AP340" s="9" t="str">
        <f>IFERROR(MID(VLOOKUP($B340,Seqs!$A:$B,2,0),AQ340,1),"")</f>
        <v>F</v>
      </c>
      <c r="AQ340" s="9">
        <v>324</v>
      </c>
      <c r="AR340" s="9" t="str">
        <f>IFERROR(MID(VLOOKUP($B340,Seqs!$A:$B,2,0),AS340,1),"")</f>
        <v>D</v>
      </c>
      <c r="AS340" s="9">
        <v>332</v>
      </c>
      <c r="AT340" s="9" t="str">
        <f>IFERROR(MID(VLOOKUP($B340,Seqs!$A:$B,2,0),AU340,1),"")</f>
        <v>L</v>
      </c>
      <c r="AU340" s="9">
        <v>361</v>
      </c>
      <c r="AV340" s="9" t="str">
        <f>IFERROR(MID(VLOOKUP($B340,Seqs!$A:$B,2,0),AW340,1),"")</f>
        <v>S</v>
      </c>
      <c r="AW340" s="9">
        <v>362</v>
      </c>
      <c r="AX340" s="9" t="str">
        <f>IFERROR(MID(VLOOKUP($B340,Seqs!$A:$B,2,0),AY340,1),"")</f>
        <v>L</v>
      </c>
      <c r="AY340" s="9">
        <v>377</v>
      </c>
      <c r="AZ340" s="110" t="str">
        <f>VLOOKUP(B340,Classification!A:D,2,0)</f>
        <v>A</v>
      </c>
      <c r="BA340" s="98" t="str">
        <f>VLOOKUP(B340,Classification!A:D,4,0)</f>
        <v>Orexin</v>
      </c>
      <c r="BB340" s="36" t="b">
        <f t="shared" ref="BB340" si="1143">AND(E340&lt;G340,OR(G340&lt;I340,I340="-"),OR(I340&lt;K340,I340="-"),OR(K340&lt;M340,K340="-"),M340&lt;O340,OR(O340&lt;Q340,Q340="-"),OR(Q340&lt;S340,Q340="-"),OR(S340&lt;U340,S340="-"),U340&lt;W340,OR(W340&lt;Y340,Y340="-"),OR(Y340&lt;AA340,Y340="-"),OR(AA340&lt;AC340,AA340="-"),AC340&lt;AE340,OR(AE340&lt;AG340,AG340="-"),OR(AG340&lt;AI340,AG340="-"),OR(AI340&lt;AK340,AI340="-"),AK340&lt;AM340,AM340&lt;AO340,AO340&lt;AQ340,AQ340&lt;AS340,AS340&lt;AU340,OR(AU340&lt;AW340,AW340="-"),OR(AW340&lt;AY340,AW340="-"))</f>
        <v>1</v>
      </c>
      <c r="BC340" s="109">
        <f t="shared" ref="BC340" si="1144">_xlfn.AGGREGATE(9,6,CH340:CS340)-_xlfn.AGGREGATE(9,6,BV340:CG340)+12</f>
        <v>256</v>
      </c>
      <c r="BD340" s="40" t="s">
        <v>23</v>
      </c>
      <c r="BE340" s="9" t="s">
        <v>1368</v>
      </c>
      <c r="BF340" s="119">
        <v>2.66</v>
      </c>
      <c r="BG340" s="51" t="s">
        <v>1</v>
      </c>
      <c r="BH340" s="51" t="s">
        <v>1</v>
      </c>
      <c r="BJ340" s="111" t="s">
        <v>1281</v>
      </c>
      <c r="BK340" s="112" t="s">
        <v>1281</v>
      </c>
      <c r="BL340" s="112" t="s">
        <v>1281</v>
      </c>
      <c r="BM340" s="112" t="s">
        <v>1281</v>
      </c>
      <c r="BN340" s="112" t="s">
        <v>1281</v>
      </c>
      <c r="BO340" s="112" t="s">
        <v>1281</v>
      </c>
      <c r="BP340" s="112" t="s">
        <v>1281</v>
      </c>
      <c r="BQ340" s="112" t="s">
        <v>1281</v>
      </c>
      <c r="BR340" s="112" t="s">
        <v>1281</v>
      </c>
      <c r="BS340" s="112" t="s">
        <v>1281</v>
      </c>
      <c r="BT340" s="112" t="s">
        <v>1281</v>
      </c>
      <c r="BU340" s="112" t="s">
        <v>1281</v>
      </c>
      <c r="BV340" s="111">
        <f>E340</f>
        <v>45</v>
      </c>
      <c r="BW340" s="113">
        <f>I340</f>
        <v>75</v>
      </c>
      <c r="BX340" s="114">
        <f>M340</f>
        <v>79</v>
      </c>
      <c r="BY340" s="113">
        <f>Q340</f>
        <v>111</v>
      </c>
      <c r="BZ340" s="114">
        <f>U340</f>
        <v>115</v>
      </c>
      <c r="CA340" s="113" t="str">
        <f>Y340</f>
        <v>-</v>
      </c>
      <c r="CB340" s="114">
        <f>AC340</f>
        <v>157</v>
      </c>
      <c r="CC340" s="113">
        <f>AG340</f>
        <v>202</v>
      </c>
      <c r="CD340" s="114">
        <f>AK340</f>
        <v>210</v>
      </c>
      <c r="CE340" s="113">
        <f>AO340</f>
        <v>286</v>
      </c>
      <c r="CF340" s="114">
        <f>AS340</f>
        <v>332</v>
      </c>
      <c r="CG340" s="113">
        <f>AW340</f>
        <v>362</v>
      </c>
      <c r="CH340" s="111">
        <f>G340</f>
        <v>74</v>
      </c>
      <c r="CI340" s="113">
        <f>K340</f>
        <v>78</v>
      </c>
      <c r="CJ340" s="114">
        <f>O340</f>
        <v>110</v>
      </c>
      <c r="CK340" s="114">
        <f>S340</f>
        <v>114</v>
      </c>
      <c r="CL340" s="114">
        <f>W340</f>
        <v>150</v>
      </c>
      <c r="CM340" s="114" t="str">
        <f>AA340</f>
        <v>-</v>
      </c>
      <c r="CN340" s="114">
        <f>AE340</f>
        <v>183</v>
      </c>
      <c r="CO340" s="114">
        <f>AI340</f>
        <v>204</v>
      </c>
      <c r="CP340" s="114">
        <f>AM340</f>
        <v>243</v>
      </c>
      <c r="CQ340" s="114">
        <f>AQ340</f>
        <v>324</v>
      </c>
      <c r="CR340" s="114">
        <f>AU340</f>
        <v>361</v>
      </c>
      <c r="CS340" s="114">
        <f>AY340</f>
        <v>377</v>
      </c>
      <c r="CT340" s="109">
        <f>M340-K340</f>
        <v>1</v>
      </c>
      <c r="AMP340" s="40"/>
    </row>
    <row r="341" spans="1:1030" s="12" customFormat="1" x14ac:dyDescent="0.2">
      <c r="A341" s="9" t="str">
        <f>CONCATENATE(B341,"_",C341)</f>
        <v>ox1r_human_6TQ9</v>
      </c>
      <c r="B341" s="9" t="s">
        <v>1168</v>
      </c>
      <c r="C341" s="9" t="s">
        <v>1627</v>
      </c>
      <c r="D341" s="9" t="str">
        <f>IFERROR(MID(VLOOKUP($B341,Seqs!$A:$B,2,0),E341,1),"")</f>
        <v>Y</v>
      </c>
      <c r="E341" s="9">
        <v>45</v>
      </c>
      <c r="F341" s="9" t="str">
        <f>IFERROR(MID(VLOOKUP($B341,Seqs!$A:$B,2,0),G341,1),"")</f>
        <v>N</v>
      </c>
      <c r="G341" s="9">
        <v>74</v>
      </c>
      <c r="H341" s="9" t="str">
        <f>IFERROR(MID(VLOOKUP($B341,Seqs!$A:$B,2,0),I341,1),"")</f>
        <v>H</v>
      </c>
      <c r="I341" s="109">
        <v>75</v>
      </c>
      <c r="J341" s="9" t="str">
        <f>IFERROR(MID(VLOOKUP($B341,Seqs!$A:$B,2,0),K341,1),"")</f>
        <v>R</v>
      </c>
      <c r="K341" s="109">
        <v>78</v>
      </c>
      <c r="L341" s="9" t="str">
        <f>IFERROR(MID(VLOOKUP($B341,Seqs!$A:$B,2,0),M341,1),"")</f>
        <v>T</v>
      </c>
      <c r="M341" s="9">
        <v>79</v>
      </c>
      <c r="N341" s="9" t="str">
        <f>IFERROR(MID(VLOOKUP($B341,Seqs!$A:$B,2,0),O341,1),"")</f>
        <v>E</v>
      </c>
      <c r="O341" s="9">
        <v>110</v>
      </c>
      <c r="P341" s="9" t="str">
        <f>IFERROR(MID(VLOOKUP($B341,Seqs!$A:$B,2,0),Q341,1),"")</f>
        <v>S</v>
      </c>
      <c r="Q341" s="9">
        <v>111</v>
      </c>
      <c r="R341" s="9" t="str">
        <f>IFERROR(MID(VLOOKUP($B341,Seqs!$A:$B,2,0),S341,1),"")</f>
        <v>F</v>
      </c>
      <c r="S341" s="9">
        <v>114</v>
      </c>
      <c r="T341" s="9" t="str">
        <f>IFERROR(MID(VLOOKUP($B341,Seqs!$A:$B,2,0),U341,1),"")</f>
        <v>G</v>
      </c>
      <c r="U341" s="9">
        <v>115</v>
      </c>
      <c r="V341" s="9" t="str">
        <f>IFERROR(MID(VLOOKUP($B341,Seqs!$A:$B,2,0),W341,1),"")</f>
        <v>H</v>
      </c>
      <c r="W341" s="9">
        <v>150</v>
      </c>
      <c r="X341" s="9" t="str">
        <f>IFERROR(MID(VLOOKUP($B341,Seqs!$A:$B,2,0),Y341,1),"")</f>
        <v/>
      </c>
      <c r="Y341" s="9" t="s">
        <v>23</v>
      </c>
      <c r="Z341" s="9" t="str">
        <f>IFERROR(MID(VLOOKUP($B341,Seqs!$A:$B,2,0),AA341,1),"")</f>
        <v/>
      </c>
      <c r="AA341" s="9" t="s">
        <v>23</v>
      </c>
      <c r="AB341" s="9" t="str">
        <f>IFERROR(MID(VLOOKUP($B341,Seqs!$A:$B,2,0),AC341,1),"")</f>
        <v>T</v>
      </c>
      <c r="AC341" s="9">
        <v>157</v>
      </c>
      <c r="AD341" s="9" t="str">
        <f>IFERROR(MID(VLOOKUP($B341,Seqs!$A:$B,2,0),AE341,1),"")</f>
        <v>M</v>
      </c>
      <c r="AE341" s="9">
        <v>183</v>
      </c>
      <c r="AF341" s="9" t="str">
        <f>IFERROR(MID(VLOOKUP($B341,Seqs!$A:$B,2,0),AG341,1),"")</f>
        <v>C</v>
      </c>
      <c r="AG341" s="9">
        <v>202</v>
      </c>
      <c r="AH341" s="9" t="str">
        <f>IFERROR(MID(VLOOKUP($B341,Seqs!$A:$B,2,0),AI341,1),"")</f>
        <v>E</v>
      </c>
      <c r="AI341" s="9">
        <v>204</v>
      </c>
      <c r="AJ341" s="9" t="str">
        <f>IFERROR(MID(VLOOKUP($B341,Seqs!$A:$B,2,0),AK341,1),"")</f>
        <v>L</v>
      </c>
      <c r="AK341" s="9">
        <v>210</v>
      </c>
      <c r="AL341" s="9" t="str">
        <f>IFERROR(MID(VLOOKUP($B341,Seqs!$A:$B,2,0),AM341,1),"")</f>
        <v>W</v>
      </c>
      <c r="AM341" s="9">
        <v>243</v>
      </c>
      <c r="AN341" s="9" t="str">
        <f>IFERROR(MID(VLOOKUP($B341,Seqs!$A:$B,2,0),AO341,1),"")</f>
        <v>E</v>
      </c>
      <c r="AO341" s="9">
        <v>286</v>
      </c>
      <c r="AP341" s="9" t="str">
        <f>IFERROR(MID(VLOOKUP($B341,Seqs!$A:$B,2,0),AQ341,1),"")</f>
        <v>F</v>
      </c>
      <c r="AQ341" s="9">
        <v>324</v>
      </c>
      <c r="AR341" s="9" t="str">
        <f>IFERROR(MID(VLOOKUP($B341,Seqs!$A:$B,2,0),AS341,1),"")</f>
        <v>D</v>
      </c>
      <c r="AS341" s="9">
        <v>332</v>
      </c>
      <c r="AT341" s="9" t="str">
        <f>IFERROR(MID(VLOOKUP($B341,Seqs!$A:$B,2,0),AU341,1),"")</f>
        <v>L</v>
      </c>
      <c r="AU341" s="9">
        <v>361</v>
      </c>
      <c r="AV341" s="9" t="str">
        <f>IFERROR(MID(VLOOKUP($B341,Seqs!$A:$B,2,0),AW341,1),"")</f>
        <v>S</v>
      </c>
      <c r="AW341" s="9">
        <v>362</v>
      </c>
      <c r="AX341" s="9" t="str">
        <f>IFERROR(MID(VLOOKUP($B341,Seqs!$A:$B,2,0),AY341,1),"")</f>
        <v>L</v>
      </c>
      <c r="AY341" s="9">
        <v>377</v>
      </c>
      <c r="AZ341" s="110" t="str">
        <f>VLOOKUP(B341,Classification!A:D,2,0)</f>
        <v>A</v>
      </c>
      <c r="BA341" s="98" t="str">
        <f>VLOOKUP(B341,Classification!A:D,4,0)</f>
        <v>Orexin</v>
      </c>
      <c r="BB341" s="36" t="b">
        <f t="shared" ref="BB341" si="1145">AND(E341&lt;G341,OR(G341&lt;I341,I341="-"),OR(I341&lt;K341,I341="-"),OR(K341&lt;M341,K341="-"),M341&lt;O341,OR(O341&lt;Q341,Q341="-"),OR(Q341&lt;S341,Q341="-"),OR(S341&lt;U341,S341="-"),U341&lt;W341,OR(W341&lt;Y341,Y341="-"),OR(Y341&lt;AA341,Y341="-"),OR(AA341&lt;AC341,AA341="-"),AC341&lt;AE341,OR(AE341&lt;AG341,AG341="-"),OR(AG341&lt;AI341,AG341="-"),OR(AI341&lt;AK341,AI341="-"),AK341&lt;AM341,AM341&lt;AO341,AO341&lt;AQ341,AQ341&lt;AS341,AS341&lt;AU341,OR(AU341&lt;AW341,AW341="-"),OR(AW341&lt;AY341,AW341="-"))</f>
        <v>1</v>
      </c>
      <c r="BC341" s="109">
        <f t="shared" ref="BC341" si="1146">_xlfn.AGGREGATE(9,6,CH341:CS341)-_xlfn.AGGREGATE(9,6,BV341:CG341)+12</f>
        <v>256</v>
      </c>
      <c r="BD341" s="40" t="s">
        <v>23</v>
      </c>
      <c r="BE341" s="9" t="s">
        <v>1368</v>
      </c>
      <c r="BF341" s="119">
        <v>2.66</v>
      </c>
      <c r="BG341" s="51" t="s">
        <v>1275</v>
      </c>
      <c r="BH341" s="51" t="s">
        <v>1275</v>
      </c>
      <c r="BJ341" s="111" t="s">
        <v>1281</v>
      </c>
      <c r="BK341" s="112" t="s">
        <v>1281</v>
      </c>
      <c r="BL341" s="112" t="s">
        <v>1281</v>
      </c>
      <c r="BM341" s="112" t="s">
        <v>1281</v>
      </c>
      <c r="BN341" s="112" t="s">
        <v>1281</v>
      </c>
      <c r="BO341" s="112" t="s">
        <v>1281</v>
      </c>
      <c r="BP341" s="112" t="s">
        <v>1281</v>
      </c>
      <c r="BQ341" s="112" t="s">
        <v>1281</v>
      </c>
      <c r="BR341" s="112" t="s">
        <v>1281</v>
      </c>
      <c r="BS341" s="112" t="s">
        <v>1281</v>
      </c>
      <c r="BT341" s="112" t="s">
        <v>1281</v>
      </c>
      <c r="BU341" s="112" t="s">
        <v>1281</v>
      </c>
      <c r="BV341" s="111">
        <f>E341</f>
        <v>45</v>
      </c>
      <c r="BW341" s="113">
        <f>I341</f>
        <v>75</v>
      </c>
      <c r="BX341" s="114">
        <f>M341</f>
        <v>79</v>
      </c>
      <c r="BY341" s="113">
        <f>Q341</f>
        <v>111</v>
      </c>
      <c r="BZ341" s="114">
        <f>U341</f>
        <v>115</v>
      </c>
      <c r="CA341" s="113" t="str">
        <f>Y341</f>
        <v>-</v>
      </c>
      <c r="CB341" s="114">
        <f>AC341</f>
        <v>157</v>
      </c>
      <c r="CC341" s="113">
        <f>AG341</f>
        <v>202</v>
      </c>
      <c r="CD341" s="114">
        <f>AK341</f>
        <v>210</v>
      </c>
      <c r="CE341" s="113">
        <f>AO341</f>
        <v>286</v>
      </c>
      <c r="CF341" s="114">
        <f>AS341</f>
        <v>332</v>
      </c>
      <c r="CG341" s="113">
        <f>AW341</f>
        <v>362</v>
      </c>
      <c r="CH341" s="111">
        <f>G341</f>
        <v>74</v>
      </c>
      <c r="CI341" s="113">
        <f>K341</f>
        <v>78</v>
      </c>
      <c r="CJ341" s="114">
        <f>O341</f>
        <v>110</v>
      </c>
      <c r="CK341" s="114">
        <f>S341</f>
        <v>114</v>
      </c>
      <c r="CL341" s="114">
        <f>W341</f>
        <v>150</v>
      </c>
      <c r="CM341" s="114" t="str">
        <f>AA341</f>
        <v>-</v>
      </c>
      <c r="CN341" s="114">
        <f>AE341</f>
        <v>183</v>
      </c>
      <c r="CO341" s="114">
        <f>AI341</f>
        <v>204</v>
      </c>
      <c r="CP341" s="114">
        <f>AM341</f>
        <v>243</v>
      </c>
      <c r="CQ341" s="114">
        <f>AQ341</f>
        <v>324</v>
      </c>
      <c r="CR341" s="114">
        <f>AU341</f>
        <v>361</v>
      </c>
      <c r="CS341" s="114">
        <f>AY341</f>
        <v>377</v>
      </c>
      <c r="CT341" s="109">
        <f>M341-K341</f>
        <v>1</v>
      </c>
      <c r="AMP341" s="40"/>
    </row>
    <row r="342" spans="1:1030" s="12" customFormat="1" x14ac:dyDescent="0.2">
      <c r="A342" s="9" t="str">
        <f>CONCATENATE(B342,"_",C342)</f>
        <v>ox1r_human_6TOS</v>
      </c>
      <c r="B342" s="9" t="s">
        <v>1168</v>
      </c>
      <c r="C342" s="9" t="s">
        <v>1629</v>
      </c>
      <c r="D342" s="9" t="str">
        <f>IFERROR(MID(VLOOKUP($B342,Seqs!$A:$B,2,0),E342,1),"")</f>
        <v>Y</v>
      </c>
      <c r="E342" s="9">
        <v>45</v>
      </c>
      <c r="F342" s="9" t="str">
        <f>IFERROR(MID(VLOOKUP($B342,Seqs!$A:$B,2,0),G342,1),"")</f>
        <v>N</v>
      </c>
      <c r="G342" s="9">
        <v>74</v>
      </c>
      <c r="H342" s="9" t="str">
        <f>IFERROR(MID(VLOOKUP($B342,Seqs!$A:$B,2,0),I342,1),"")</f>
        <v>H</v>
      </c>
      <c r="I342" s="109">
        <v>75</v>
      </c>
      <c r="J342" s="9" t="str">
        <f>IFERROR(MID(VLOOKUP($B342,Seqs!$A:$B,2,0),K342,1),"")</f>
        <v>R</v>
      </c>
      <c r="K342" s="109">
        <v>78</v>
      </c>
      <c r="L342" s="9" t="str">
        <f>IFERROR(MID(VLOOKUP($B342,Seqs!$A:$B,2,0),M342,1),"")</f>
        <v>T</v>
      </c>
      <c r="M342" s="9">
        <v>79</v>
      </c>
      <c r="N342" s="9" t="str">
        <f>IFERROR(MID(VLOOKUP($B342,Seqs!$A:$B,2,0),O342,1),"")</f>
        <v>E</v>
      </c>
      <c r="O342" s="9">
        <v>110</v>
      </c>
      <c r="P342" s="9" t="str">
        <f>IFERROR(MID(VLOOKUP($B342,Seqs!$A:$B,2,0),Q342,1),"")</f>
        <v>S</v>
      </c>
      <c r="Q342" s="9">
        <v>111</v>
      </c>
      <c r="R342" s="9" t="str">
        <f>IFERROR(MID(VLOOKUP($B342,Seqs!$A:$B,2,0),S342,1),"")</f>
        <v>F</v>
      </c>
      <c r="S342" s="9">
        <v>114</v>
      </c>
      <c r="T342" s="9" t="str">
        <f>IFERROR(MID(VLOOKUP($B342,Seqs!$A:$B,2,0),U342,1),"")</f>
        <v>G</v>
      </c>
      <c r="U342" s="9">
        <v>115</v>
      </c>
      <c r="V342" s="9" t="str">
        <f>IFERROR(MID(VLOOKUP($B342,Seqs!$A:$B,2,0),W342,1),"")</f>
        <v>H</v>
      </c>
      <c r="W342" s="9">
        <v>150</v>
      </c>
      <c r="X342" s="9" t="str">
        <f>IFERROR(MID(VLOOKUP($B342,Seqs!$A:$B,2,0),Y342,1),"")</f>
        <v/>
      </c>
      <c r="Y342" s="9" t="s">
        <v>23</v>
      </c>
      <c r="Z342" s="9" t="str">
        <f>IFERROR(MID(VLOOKUP($B342,Seqs!$A:$B,2,0),AA342,1),"")</f>
        <v/>
      </c>
      <c r="AA342" s="9" t="s">
        <v>23</v>
      </c>
      <c r="AB342" s="9" t="str">
        <f>IFERROR(MID(VLOOKUP($B342,Seqs!$A:$B,2,0),AC342,1),"")</f>
        <v>T</v>
      </c>
      <c r="AC342" s="9">
        <v>157</v>
      </c>
      <c r="AD342" s="9" t="str">
        <f>IFERROR(MID(VLOOKUP($B342,Seqs!$A:$B,2,0),AE342,1),"")</f>
        <v>M</v>
      </c>
      <c r="AE342" s="9">
        <v>183</v>
      </c>
      <c r="AF342" s="9" t="str">
        <f>IFERROR(MID(VLOOKUP($B342,Seqs!$A:$B,2,0),AG342,1),"")</f>
        <v>C</v>
      </c>
      <c r="AG342" s="9">
        <v>202</v>
      </c>
      <c r="AH342" s="9" t="str">
        <f>IFERROR(MID(VLOOKUP($B342,Seqs!$A:$B,2,0),AI342,1),"")</f>
        <v>E</v>
      </c>
      <c r="AI342" s="9">
        <v>204</v>
      </c>
      <c r="AJ342" s="9" t="str">
        <f>IFERROR(MID(VLOOKUP($B342,Seqs!$A:$B,2,0),AK342,1),"")</f>
        <v>L</v>
      </c>
      <c r="AK342" s="9">
        <v>210</v>
      </c>
      <c r="AL342" s="9" t="str">
        <f>IFERROR(MID(VLOOKUP($B342,Seqs!$A:$B,2,0),AM342,1),"")</f>
        <v>W</v>
      </c>
      <c r="AM342" s="9">
        <v>243</v>
      </c>
      <c r="AN342" s="9" t="str">
        <f>IFERROR(MID(VLOOKUP($B342,Seqs!$A:$B,2,0),AO342,1),"")</f>
        <v>E</v>
      </c>
      <c r="AO342" s="9">
        <v>286</v>
      </c>
      <c r="AP342" s="9" t="str">
        <f>IFERROR(MID(VLOOKUP($B342,Seqs!$A:$B,2,0),AQ342,1),"")</f>
        <v>G</v>
      </c>
      <c r="AQ342" s="9">
        <v>325</v>
      </c>
      <c r="AR342" s="9" t="str">
        <f>IFERROR(MID(VLOOKUP($B342,Seqs!$A:$B,2,0),AS342,1),"")</f>
        <v>D</v>
      </c>
      <c r="AS342" s="9">
        <v>332</v>
      </c>
      <c r="AT342" s="9" t="str">
        <f>IFERROR(MID(VLOOKUP($B342,Seqs!$A:$B,2,0),AU342,1),"")</f>
        <v>L</v>
      </c>
      <c r="AU342" s="9">
        <v>361</v>
      </c>
      <c r="AV342" s="9" t="str">
        <f>IFERROR(MID(VLOOKUP($B342,Seqs!$A:$B,2,0),AW342,1),"")</f>
        <v>S</v>
      </c>
      <c r="AW342" s="9">
        <v>362</v>
      </c>
      <c r="AX342" s="9" t="str">
        <f>IFERROR(MID(VLOOKUP($B342,Seqs!$A:$B,2,0),AY342,1),"")</f>
        <v>L</v>
      </c>
      <c r="AY342" s="9">
        <v>377</v>
      </c>
      <c r="AZ342" s="110" t="str">
        <f>VLOOKUP(B342,Classification!A:D,2,0)</f>
        <v>A</v>
      </c>
      <c r="BA342" s="98" t="str">
        <f>VLOOKUP(B342,Classification!A:D,4,0)</f>
        <v>Orexin</v>
      </c>
      <c r="BB342" s="36" t="b">
        <f t="shared" ref="BB342" si="1147">AND(E342&lt;G342,OR(G342&lt;I342,I342="-"),OR(I342&lt;K342,I342="-"),OR(K342&lt;M342,K342="-"),M342&lt;O342,OR(O342&lt;Q342,Q342="-"),OR(Q342&lt;S342,Q342="-"),OR(S342&lt;U342,S342="-"),U342&lt;W342,OR(W342&lt;Y342,Y342="-"),OR(Y342&lt;AA342,Y342="-"),OR(AA342&lt;AC342,AA342="-"),AC342&lt;AE342,OR(AE342&lt;AG342,AG342="-"),OR(AG342&lt;AI342,AG342="-"),OR(AI342&lt;AK342,AI342="-"),AK342&lt;AM342,AM342&lt;AO342,AO342&lt;AQ342,AQ342&lt;AS342,AS342&lt;AU342,OR(AU342&lt;AW342,AW342="-"),OR(AW342&lt;AY342,AW342="-"))</f>
        <v>1</v>
      </c>
      <c r="BC342" s="109">
        <f t="shared" ref="BC342" si="1148">_xlfn.AGGREGATE(9,6,CH342:CS342)-_xlfn.AGGREGATE(9,6,BV342:CG342)+12</f>
        <v>257</v>
      </c>
      <c r="BD342" s="40" t="s">
        <v>23</v>
      </c>
      <c r="BE342" s="9" t="s">
        <v>1368</v>
      </c>
      <c r="BF342" s="119">
        <v>2.13</v>
      </c>
      <c r="BG342" s="51" t="s">
        <v>1275</v>
      </c>
      <c r="BH342" s="51" t="s">
        <v>1275</v>
      </c>
      <c r="BJ342" s="111" t="s">
        <v>1281</v>
      </c>
      <c r="BK342" s="112" t="s">
        <v>1281</v>
      </c>
      <c r="BL342" s="112" t="s">
        <v>1281</v>
      </c>
      <c r="BM342" s="112" t="s">
        <v>1281</v>
      </c>
      <c r="BN342" s="112" t="s">
        <v>1281</v>
      </c>
      <c r="BO342" s="112" t="s">
        <v>1281</v>
      </c>
      <c r="BP342" s="112" t="s">
        <v>1281</v>
      </c>
      <c r="BQ342" s="112" t="s">
        <v>1281</v>
      </c>
      <c r="BR342" s="112" t="s">
        <v>1281</v>
      </c>
      <c r="BS342" s="112" t="s">
        <v>1281</v>
      </c>
      <c r="BT342" s="112" t="s">
        <v>1281</v>
      </c>
      <c r="BU342" s="112" t="s">
        <v>1281</v>
      </c>
      <c r="BV342" s="111">
        <f>E342</f>
        <v>45</v>
      </c>
      <c r="BW342" s="113">
        <f>I342</f>
        <v>75</v>
      </c>
      <c r="BX342" s="114">
        <f>M342</f>
        <v>79</v>
      </c>
      <c r="BY342" s="113">
        <f>Q342</f>
        <v>111</v>
      </c>
      <c r="BZ342" s="114">
        <f>U342</f>
        <v>115</v>
      </c>
      <c r="CA342" s="113" t="str">
        <f>Y342</f>
        <v>-</v>
      </c>
      <c r="CB342" s="114">
        <f>AC342</f>
        <v>157</v>
      </c>
      <c r="CC342" s="113">
        <f>AG342</f>
        <v>202</v>
      </c>
      <c r="CD342" s="114">
        <f>AK342</f>
        <v>210</v>
      </c>
      <c r="CE342" s="113">
        <f>AO342</f>
        <v>286</v>
      </c>
      <c r="CF342" s="114">
        <f>AS342</f>
        <v>332</v>
      </c>
      <c r="CG342" s="113">
        <f>AW342</f>
        <v>362</v>
      </c>
      <c r="CH342" s="111">
        <f>G342</f>
        <v>74</v>
      </c>
      <c r="CI342" s="113">
        <f>K342</f>
        <v>78</v>
      </c>
      <c r="CJ342" s="114">
        <f>O342</f>
        <v>110</v>
      </c>
      <c r="CK342" s="114">
        <f>S342</f>
        <v>114</v>
      </c>
      <c r="CL342" s="114">
        <f>W342</f>
        <v>150</v>
      </c>
      <c r="CM342" s="114" t="str">
        <f>AA342</f>
        <v>-</v>
      </c>
      <c r="CN342" s="114">
        <f>AE342</f>
        <v>183</v>
      </c>
      <c r="CO342" s="114">
        <f>AI342</f>
        <v>204</v>
      </c>
      <c r="CP342" s="114">
        <f>AM342</f>
        <v>243</v>
      </c>
      <c r="CQ342" s="114">
        <f>AQ342</f>
        <v>325</v>
      </c>
      <c r="CR342" s="114">
        <f>AU342</f>
        <v>361</v>
      </c>
      <c r="CS342" s="114">
        <f>AY342</f>
        <v>377</v>
      </c>
      <c r="CT342" s="109">
        <f>M342-K342</f>
        <v>1</v>
      </c>
      <c r="AMP342" s="40"/>
    </row>
    <row r="343" spans="1:1030" s="12" customFormat="1" x14ac:dyDescent="0.2">
      <c r="A343" s="9" t="str">
        <f>CONCATENATE(B343,"_",C343)</f>
        <v>ox1r_human_6TOT</v>
      </c>
      <c r="B343" s="9" t="s">
        <v>1168</v>
      </c>
      <c r="C343" s="9" t="s">
        <v>1630</v>
      </c>
      <c r="D343" s="9" t="str">
        <f>IFERROR(MID(VLOOKUP($B343,Seqs!$A:$B,2,0),E343,1),"")</f>
        <v>Y</v>
      </c>
      <c r="E343" s="9">
        <v>45</v>
      </c>
      <c r="F343" s="9" t="str">
        <f>IFERROR(MID(VLOOKUP($B343,Seqs!$A:$B,2,0),G343,1),"")</f>
        <v>N</v>
      </c>
      <c r="G343" s="9">
        <v>74</v>
      </c>
      <c r="H343" s="9" t="str">
        <f>IFERROR(MID(VLOOKUP($B343,Seqs!$A:$B,2,0),I343,1),"")</f>
        <v>H</v>
      </c>
      <c r="I343" s="109">
        <v>75</v>
      </c>
      <c r="J343" s="9" t="str">
        <f>IFERROR(MID(VLOOKUP($B343,Seqs!$A:$B,2,0),K343,1),"")</f>
        <v>R</v>
      </c>
      <c r="K343" s="109">
        <v>78</v>
      </c>
      <c r="L343" s="9" t="str">
        <f>IFERROR(MID(VLOOKUP($B343,Seqs!$A:$B,2,0),M343,1),"")</f>
        <v>T</v>
      </c>
      <c r="M343" s="9">
        <v>79</v>
      </c>
      <c r="N343" s="9" t="str">
        <f>IFERROR(MID(VLOOKUP($B343,Seqs!$A:$B,2,0),O343,1),"")</f>
        <v>E</v>
      </c>
      <c r="O343" s="9">
        <v>110</v>
      </c>
      <c r="P343" s="9" t="str">
        <f>IFERROR(MID(VLOOKUP($B343,Seqs!$A:$B,2,0),Q343,1),"")</f>
        <v>S</v>
      </c>
      <c r="Q343" s="9">
        <v>111</v>
      </c>
      <c r="R343" s="9" t="str">
        <f>IFERROR(MID(VLOOKUP($B343,Seqs!$A:$B,2,0),S343,1),"")</f>
        <v>F</v>
      </c>
      <c r="S343" s="9">
        <v>114</v>
      </c>
      <c r="T343" s="9" t="str">
        <f>IFERROR(MID(VLOOKUP($B343,Seqs!$A:$B,2,0),U343,1),"")</f>
        <v>G</v>
      </c>
      <c r="U343" s="9">
        <v>115</v>
      </c>
      <c r="V343" s="9" t="str">
        <f>IFERROR(MID(VLOOKUP($B343,Seqs!$A:$B,2,0),W343,1),"")</f>
        <v>C</v>
      </c>
      <c r="W343" s="9">
        <v>149</v>
      </c>
      <c r="X343" s="9" t="str">
        <f>IFERROR(MID(VLOOKUP($B343,Seqs!$A:$B,2,0),Y343,1),"")</f>
        <v/>
      </c>
      <c r="Y343" s="9" t="s">
        <v>23</v>
      </c>
      <c r="Z343" s="9" t="str">
        <f>IFERROR(MID(VLOOKUP($B343,Seqs!$A:$B,2,0),AA343,1),"")</f>
        <v/>
      </c>
      <c r="AA343" s="9" t="s">
        <v>23</v>
      </c>
      <c r="AB343" s="9" t="str">
        <f>IFERROR(MID(VLOOKUP($B343,Seqs!$A:$B,2,0),AC343,1),"")</f>
        <v>T</v>
      </c>
      <c r="AC343" s="9">
        <v>157</v>
      </c>
      <c r="AD343" s="9" t="str">
        <f>IFERROR(MID(VLOOKUP($B343,Seqs!$A:$B,2,0),AE343,1),"")</f>
        <v>M</v>
      </c>
      <c r="AE343" s="9">
        <v>183</v>
      </c>
      <c r="AF343" s="9" t="str">
        <f>IFERROR(MID(VLOOKUP($B343,Seqs!$A:$B,2,0),AG343,1),"")</f>
        <v>C</v>
      </c>
      <c r="AG343" s="9">
        <v>202</v>
      </c>
      <c r="AH343" s="9" t="str">
        <f>IFERROR(MID(VLOOKUP($B343,Seqs!$A:$B,2,0),AI343,1),"")</f>
        <v>E</v>
      </c>
      <c r="AI343" s="9">
        <v>204</v>
      </c>
      <c r="AJ343" s="9" t="str">
        <f>IFERROR(MID(VLOOKUP($B343,Seqs!$A:$B,2,0),AK343,1),"")</f>
        <v>L</v>
      </c>
      <c r="AK343" s="9">
        <v>210</v>
      </c>
      <c r="AL343" s="9" t="str">
        <f>IFERROR(MID(VLOOKUP($B343,Seqs!$A:$B,2,0),AM343,1),"")</f>
        <v>W</v>
      </c>
      <c r="AM343" s="9">
        <v>243</v>
      </c>
      <c r="AN343" s="9" t="str">
        <f>IFERROR(MID(VLOOKUP($B343,Seqs!$A:$B,2,0),AO343,1),"")</f>
        <v>E</v>
      </c>
      <c r="AO343" s="9">
        <v>286</v>
      </c>
      <c r="AP343" s="9" t="str">
        <f>IFERROR(MID(VLOOKUP($B343,Seqs!$A:$B,2,0),AQ343,1),"")</f>
        <v>V</v>
      </c>
      <c r="AQ343" s="9">
        <v>323</v>
      </c>
      <c r="AR343" s="9" t="str">
        <f>IFERROR(MID(VLOOKUP($B343,Seqs!$A:$B,2,0),AS343,1),"")</f>
        <v>D</v>
      </c>
      <c r="AS343" s="9">
        <v>332</v>
      </c>
      <c r="AT343" s="9" t="str">
        <f>IFERROR(MID(VLOOKUP($B343,Seqs!$A:$B,2,0),AU343,1),"")</f>
        <v>L</v>
      </c>
      <c r="AU343" s="9">
        <v>361</v>
      </c>
      <c r="AV343" s="9" t="str">
        <f>IFERROR(MID(VLOOKUP($B343,Seqs!$A:$B,2,0),AW343,1),"")</f>
        <v>S</v>
      </c>
      <c r="AW343" s="9">
        <v>362</v>
      </c>
      <c r="AX343" s="9" t="str">
        <f>IFERROR(MID(VLOOKUP($B343,Seqs!$A:$B,2,0),AY343,1),"")</f>
        <v>L</v>
      </c>
      <c r="AY343" s="9">
        <v>377</v>
      </c>
      <c r="AZ343" s="110" t="str">
        <f>VLOOKUP(B343,Classification!A:D,2,0)</f>
        <v>A</v>
      </c>
      <c r="BA343" s="98" t="str">
        <f>VLOOKUP(B343,Classification!A:D,4,0)</f>
        <v>Orexin</v>
      </c>
      <c r="BB343" s="36" t="b">
        <f t="shared" ref="BB343" si="1149">AND(E343&lt;G343,OR(G343&lt;I343,I343="-"),OR(I343&lt;K343,I343="-"),OR(K343&lt;M343,K343="-"),M343&lt;O343,OR(O343&lt;Q343,Q343="-"),OR(Q343&lt;S343,Q343="-"),OR(S343&lt;U343,S343="-"),U343&lt;W343,OR(W343&lt;Y343,Y343="-"),OR(Y343&lt;AA343,Y343="-"),OR(AA343&lt;AC343,AA343="-"),AC343&lt;AE343,OR(AE343&lt;AG343,AG343="-"),OR(AG343&lt;AI343,AG343="-"),OR(AI343&lt;AK343,AI343="-"),AK343&lt;AM343,AM343&lt;AO343,AO343&lt;AQ343,AQ343&lt;AS343,AS343&lt;AU343,OR(AU343&lt;AW343,AW343="-"),OR(AW343&lt;AY343,AW343="-"))</f>
        <v>1</v>
      </c>
      <c r="BC343" s="109">
        <f t="shared" ref="BC343" si="1150">_xlfn.AGGREGATE(9,6,CH343:CS343)-_xlfn.AGGREGATE(9,6,BV343:CG343)+12</f>
        <v>254</v>
      </c>
      <c r="BD343" s="40" t="s">
        <v>23</v>
      </c>
      <c r="BE343" s="9" t="s">
        <v>1368</v>
      </c>
      <c r="BF343" s="119">
        <v>2.2200000000000002</v>
      </c>
      <c r="BG343" s="51" t="s">
        <v>1275</v>
      </c>
      <c r="BH343" s="51" t="s">
        <v>1275</v>
      </c>
      <c r="BJ343" s="111" t="s">
        <v>1281</v>
      </c>
      <c r="BK343" s="112" t="s">
        <v>1281</v>
      </c>
      <c r="BL343" s="112" t="s">
        <v>1281</v>
      </c>
      <c r="BM343" s="112" t="s">
        <v>1281</v>
      </c>
      <c r="BN343" s="112" t="s">
        <v>1281</v>
      </c>
      <c r="BO343" s="112" t="s">
        <v>1281</v>
      </c>
      <c r="BP343" s="112" t="s">
        <v>1281</v>
      </c>
      <c r="BQ343" s="112" t="s">
        <v>1281</v>
      </c>
      <c r="BR343" s="112" t="s">
        <v>1281</v>
      </c>
      <c r="BS343" s="112" t="s">
        <v>1281</v>
      </c>
      <c r="BT343" s="112" t="s">
        <v>1281</v>
      </c>
      <c r="BU343" s="112" t="s">
        <v>1281</v>
      </c>
      <c r="BV343" s="111">
        <f>E343</f>
        <v>45</v>
      </c>
      <c r="BW343" s="113">
        <f>I343</f>
        <v>75</v>
      </c>
      <c r="BX343" s="114">
        <f>M343</f>
        <v>79</v>
      </c>
      <c r="BY343" s="113">
        <f>Q343</f>
        <v>111</v>
      </c>
      <c r="BZ343" s="114">
        <f>U343</f>
        <v>115</v>
      </c>
      <c r="CA343" s="113" t="str">
        <f>Y343</f>
        <v>-</v>
      </c>
      <c r="CB343" s="114">
        <f>AC343</f>
        <v>157</v>
      </c>
      <c r="CC343" s="113">
        <f>AG343</f>
        <v>202</v>
      </c>
      <c r="CD343" s="114">
        <f>AK343</f>
        <v>210</v>
      </c>
      <c r="CE343" s="113">
        <f>AO343</f>
        <v>286</v>
      </c>
      <c r="CF343" s="114">
        <f>AS343</f>
        <v>332</v>
      </c>
      <c r="CG343" s="113">
        <f>AW343</f>
        <v>362</v>
      </c>
      <c r="CH343" s="111">
        <f>G343</f>
        <v>74</v>
      </c>
      <c r="CI343" s="113">
        <f>K343</f>
        <v>78</v>
      </c>
      <c r="CJ343" s="114">
        <f>O343</f>
        <v>110</v>
      </c>
      <c r="CK343" s="114">
        <f>S343</f>
        <v>114</v>
      </c>
      <c r="CL343" s="114">
        <f>W343</f>
        <v>149</v>
      </c>
      <c r="CM343" s="114" t="str">
        <f>AA343</f>
        <v>-</v>
      </c>
      <c r="CN343" s="114">
        <f>AE343</f>
        <v>183</v>
      </c>
      <c r="CO343" s="114">
        <f>AI343</f>
        <v>204</v>
      </c>
      <c r="CP343" s="114">
        <f>AM343</f>
        <v>243</v>
      </c>
      <c r="CQ343" s="114">
        <f>AQ343</f>
        <v>323</v>
      </c>
      <c r="CR343" s="114">
        <f>AU343</f>
        <v>361</v>
      </c>
      <c r="CS343" s="114">
        <f>AY343</f>
        <v>377</v>
      </c>
      <c r="CT343" s="109">
        <f>M343-K343</f>
        <v>1</v>
      </c>
      <c r="AMP343" s="40"/>
    </row>
    <row r="344" spans="1:1030" x14ac:dyDescent="0.2">
      <c r="A344" s="3" t="str">
        <f>CONCATENATE(B344,"_",C344)</f>
        <v>ox2r_human__wt</v>
      </c>
      <c r="B344" s="3" t="s">
        <v>1169</v>
      </c>
      <c r="C344" s="3" t="s">
        <v>100</v>
      </c>
      <c r="D344" s="3" t="str">
        <f>IFERROR(MID(VLOOKUP($B344,Seqs!$A:$B,2,0),E344,1),"")</f>
        <v>Y</v>
      </c>
      <c r="E344" s="3">
        <v>53</v>
      </c>
      <c r="F344" s="3" t="str">
        <f>IFERROR(MID(VLOOKUP($B344,Seqs!$A:$B,2,0),G344,1),"")</f>
        <v>N</v>
      </c>
      <c r="G344" s="3">
        <v>82</v>
      </c>
      <c r="H344" s="3" t="str">
        <f>IFERROR(MID(VLOOKUP($B344,Seqs!$A:$B,2,0),I344,1),"")</f>
        <v>H</v>
      </c>
      <c r="I344" s="23">
        <v>83</v>
      </c>
      <c r="J344" s="3" t="str">
        <f>IFERROR(MID(VLOOKUP($B344,Seqs!$A:$B,2,0),K344,1),"")</f>
        <v>R</v>
      </c>
      <c r="K344" s="23">
        <v>86</v>
      </c>
      <c r="L344" s="3" t="str">
        <f>IFERROR(MID(VLOOKUP($B344,Seqs!$A:$B,2,0),M344,1),"")</f>
        <v>T</v>
      </c>
      <c r="M344" s="3">
        <v>87</v>
      </c>
      <c r="N344" s="3" t="str">
        <f>IFERROR(MID(VLOOKUP($B344,Seqs!$A:$B,2,0),O344,1),"")</f>
        <v>E</v>
      </c>
      <c r="O344" s="105">
        <v>118</v>
      </c>
      <c r="P344" s="3" t="str">
        <f>IFERROR(MID(VLOOKUP($B344,Seqs!$A:$B,2,0),Q344,1),"")</f>
        <v>T</v>
      </c>
      <c r="Q344" s="3">
        <v>119</v>
      </c>
      <c r="R344" s="3" t="str">
        <f>IFERROR(MID(VLOOKUP($B344,Seqs!$A:$B,2,0),S344,1),"")</f>
        <v>F</v>
      </c>
      <c r="S344" s="3">
        <v>122</v>
      </c>
      <c r="T344" s="3" t="str">
        <f>IFERROR(MID(VLOOKUP($B344,Seqs!$A:$B,2,0),U344,1),"")</f>
        <v>G</v>
      </c>
      <c r="U344" s="3">
        <v>123</v>
      </c>
      <c r="V344" s="3" t="str">
        <f>IFERROR(MID(VLOOKUP($B344,Seqs!$A:$B,2,0),W344,1),"")</f>
        <v>H</v>
      </c>
      <c r="W344" s="3">
        <v>158</v>
      </c>
      <c r="X344" s="3" t="str">
        <f>IFERROR(MID(VLOOKUP($B344,Seqs!$A:$B,2,0),Y344,1),"")</f>
        <v>P</v>
      </c>
      <c r="Y344" s="3">
        <v>159</v>
      </c>
      <c r="Z344" s="3" t="str">
        <f>IFERROR(MID(VLOOKUP($B344,Seqs!$A:$B,2,0),AA344,1),"")</f>
        <v>F</v>
      </c>
      <c r="AA344" s="73">
        <v>162</v>
      </c>
      <c r="AB344" s="3" t="str">
        <f>IFERROR(MID(VLOOKUP($B344,Seqs!$A:$B,2,0),AC344,1),"")</f>
        <v>T</v>
      </c>
      <c r="AC344" s="9">
        <v>165</v>
      </c>
      <c r="AD344" s="3" t="str">
        <f>IFERROR(MID(VLOOKUP($B344,Seqs!$A:$B,2,0),AE344,1),"")</f>
        <v>M</v>
      </c>
      <c r="AE344" s="3">
        <v>191</v>
      </c>
      <c r="AF344" s="3" t="str">
        <f>IFERROR(MID(VLOOKUP($B344,Seqs!$A:$B,2,0),AG344,1),"")</f>
        <v>C</v>
      </c>
      <c r="AG344" s="3">
        <v>210</v>
      </c>
      <c r="AH344" s="3" t="str">
        <f>IFERROR(MID(VLOOKUP($B344,Seqs!$A:$B,2,0),AI344,1),"")</f>
        <v>E</v>
      </c>
      <c r="AI344" s="3">
        <v>212</v>
      </c>
      <c r="AJ344" s="3" t="str">
        <f>IFERROR(MID(VLOOKUP($B344,Seqs!$A:$B,2,0),AK344,1),"")</f>
        <v>I</v>
      </c>
      <c r="AK344" s="105">
        <v>218</v>
      </c>
      <c r="AL344" s="3" t="str">
        <f>IFERROR(MID(VLOOKUP($B344,Seqs!$A:$B,2,0),AM344,1),"")</f>
        <v>P</v>
      </c>
      <c r="AM344" s="3">
        <v>256</v>
      </c>
      <c r="AN344" s="3" t="str">
        <f>IFERROR(MID(VLOOKUP($B344,Seqs!$A:$B,2,0),AO344,1),"")</f>
        <v>V</v>
      </c>
      <c r="AO344" s="3">
        <v>289</v>
      </c>
      <c r="AP344" s="3" t="str">
        <f>IFERROR(MID(VLOOKUP($B344,Seqs!$A:$B,2,0),AQ344,1),"")</f>
        <v>F</v>
      </c>
      <c r="AQ344" s="3">
        <v>330</v>
      </c>
      <c r="AR344" s="3" t="str">
        <f>IFERROR(MID(VLOOKUP($B344,Seqs!$A:$B,2,0),AS344,1),"")</f>
        <v>D</v>
      </c>
      <c r="AS344" s="105">
        <v>338</v>
      </c>
      <c r="AT344" s="3" t="str">
        <f>IFERROR(MID(VLOOKUP($B344,Seqs!$A:$B,2,0),AU344,1),"")</f>
        <v>L</v>
      </c>
      <c r="AU344" s="3">
        <v>367</v>
      </c>
      <c r="AV344" s="3" t="str">
        <f>IFERROR(MID(VLOOKUP($B344,Seqs!$A:$B,2,0),AW344,1),"")</f>
        <v>S</v>
      </c>
      <c r="AW344" s="3">
        <v>368</v>
      </c>
      <c r="AX344" s="3" t="str">
        <f>IFERROR(MID(VLOOKUP($B344,Seqs!$A:$B,2,0),AY344,1),"")</f>
        <v>L</v>
      </c>
      <c r="AY344" s="105">
        <v>384</v>
      </c>
      <c r="AZ344" s="77" t="str">
        <f>VLOOKUP(B344,Classification!A:D,2,0)</f>
        <v>A</v>
      </c>
      <c r="BA344" s="94" t="str">
        <f>VLOOKUP(B344,Classification!A:D,4,0)</f>
        <v>Orexin</v>
      </c>
      <c r="BB344" s="27" t="b">
        <f t="shared" si="1114"/>
        <v>1</v>
      </c>
      <c r="BC344" s="23">
        <f t="shared" si="1113"/>
        <v>268</v>
      </c>
      <c r="BD344" s="56" t="s">
        <v>23</v>
      </c>
      <c r="BE344" s="3" t="s">
        <v>23</v>
      </c>
      <c r="BF344" s="118" t="s">
        <v>23</v>
      </c>
      <c r="BG344" s="49" t="s">
        <v>1366</v>
      </c>
      <c r="BH344" s="49" t="s">
        <v>1371</v>
      </c>
      <c r="BI344" s="1"/>
      <c r="BJ344" s="70" t="s">
        <v>1281</v>
      </c>
      <c r="BK344" s="57" t="s">
        <v>1281</v>
      </c>
      <c r="BL344" s="57" t="s">
        <v>1281</v>
      </c>
      <c r="BM344" s="57" t="s">
        <v>1281</v>
      </c>
      <c r="BN344" s="57" t="s">
        <v>1281</v>
      </c>
      <c r="BO344" s="57" t="s">
        <v>1281</v>
      </c>
      <c r="BP344" s="57" t="s">
        <v>1281</v>
      </c>
      <c r="BQ344" s="57" t="s">
        <v>1281</v>
      </c>
      <c r="BR344" s="57" t="s">
        <v>1281</v>
      </c>
      <c r="BS344" s="57" t="s">
        <v>1281</v>
      </c>
      <c r="BT344" s="57" t="s">
        <v>1281</v>
      </c>
      <c r="BU344" s="57" t="s">
        <v>1281</v>
      </c>
      <c r="BV344" s="70">
        <f>E344</f>
        <v>53</v>
      </c>
      <c r="BW344" s="71">
        <f>I344</f>
        <v>83</v>
      </c>
      <c r="BX344" s="72">
        <f>M344</f>
        <v>87</v>
      </c>
      <c r="BY344" s="71">
        <f>Q344</f>
        <v>119</v>
      </c>
      <c r="BZ344" s="72">
        <f>U344</f>
        <v>123</v>
      </c>
      <c r="CA344" s="71">
        <f>Y344</f>
        <v>159</v>
      </c>
      <c r="CB344" s="72">
        <f>AC344</f>
        <v>165</v>
      </c>
      <c r="CC344" s="71">
        <f>AG344</f>
        <v>210</v>
      </c>
      <c r="CD344" s="72">
        <f>AK344</f>
        <v>218</v>
      </c>
      <c r="CE344" s="71">
        <f>AO344</f>
        <v>289</v>
      </c>
      <c r="CF344" s="72">
        <f>AS344</f>
        <v>338</v>
      </c>
      <c r="CG344" s="71">
        <f>AW344</f>
        <v>368</v>
      </c>
      <c r="CH344" s="70">
        <f>G344</f>
        <v>82</v>
      </c>
      <c r="CI344" s="71">
        <f>K344</f>
        <v>86</v>
      </c>
      <c r="CJ344" s="72">
        <f>O344</f>
        <v>118</v>
      </c>
      <c r="CK344" s="72">
        <f>S344</f>
        <v>122</v>
      </c>
      <c r="CL344" s="72">
        <f>W344</f>
        <v>158</v>
      </c>
      <c r="CM344" s="72">
        <f>AA344</f>
        <v>162</v>
      </c>
      <c r="CN344" s="72">
        <f>AE344</f>
        <v>191</v>
      </c>
      <c r="CO344" s="72">
        <f>AI344</f>
        <v>212</v>
      </c>
      <c r="CP344" s="72">
        <f>AM344</f>
        <v>256</v>
      </c>
      <c r="CQ344" s="72">
        <f>AQ344</f>
        <v>330</v>
      </c>
      <c r="CR344" s="72">
        <f>AU344</f>
        <v>367</v>
      </c>
      <c r="CS344" s="72">
        <f>AY344</f>
        <v>384</v>
      </c>
      <c r="CT344" s="23">
        <f>M344-K344</f>
        <v>1</v>
      </c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"/>
      <c r="PD344" s="1"/>
      <c r="PE344" s="1"/>
      <c r="PF344" s="1"/>
      <c r="PG344" s="1"/>
      <c r="PH344" s="1"/>
      <c r="PI344" s="1"/>
      <c r="PJ344" s="1"/>
      <c r="PK344" s="1"/>
      <c r="PL344" s="1"/>
      <c r="PM344" s="1"/>
      <c r="PN344" s="1"/>
      <c r="PO344" s="1"/>
      <c r="PP344" s="1"/>
      <c r="PQ344" s="1"/>
      <c r="PR344" s="1"/>
      <c r="PS344" s="1"/>
      <c r="PT344" s="1"/>
      <c r="PU344" s="1"/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1"/>
      <c r="QL344" s="1"/>
      <c r="QM344" s="1"/>
      <c r="QN344" s="1"/>
      <c r="QO344" s="1"/>
      <c r="QP344" s="1"/>
      <c r="QQ344" s="1"/>
      <c r="QR344" s="1"/>
      <c r="QS344" s="1"/>
      <c r="QT344" s="1"/>
      <c r="QU344" s="1"/>
      <c r="QV344" s="1"/>
      <c r="QW344" s="1"/>
      <c r="QX344" s="1"/>
      <c r="QY344" s="1"/>
      <c r="QZ344" s="1"/>
      <c r="RA344" s="1"/>
      <c r="RB344" s="1"/>
      <c r="RC344" s="1"/>
      <c r="RD344" s="1"/>
      <c r="RE344" s="1"/>
      <c r="RF344" s="1"/>
      <c r="RG344" s="1"/>
      <c r="RH344" s="1"/>
      <c r="RI344" s="1"/>
      <c r="RJ344" s="1"/>
      <c r="RK344" s="1"/>
      <c r="RL344" s="1"/>
      <c r="RM344" s="1"/>
      <c r="RN344" s="1"/>
      <c r="RO344" s="1"/>
      <c r="RP344" s="1"/>
      <c r="RQ344" s="1"/>
      <c r="RR344" s="1"/>
      <c r="RS344" s="1"/>
      <c r="RT344" s="1"/>
      <c r="RU344" s="1"/>
      <c r="RV344" s="1"/>
      <c r="RW344" s="1"/>
      <c r="RX344" s="1"/>
      <c r="RY344" s="1"/>
      <c r="RZ344" s="1"/>
      <c r="SA344" s="1"/>
      <c r="SB344" s="1"/>
      <c r="SC344" s="1"/>
      <c r="SD344" s="1"/>
      <c r="SE344" s="1"/>
      <c r="SF344" s="1"/>
      <c r="SG344" s="1"/>
      <c r="SH344" s="1"/>
      <c r="SI344" s="1"/>
      <c r="SJ344" s="1"/>
      <c r="SK344" s="1"/>
      <c r="SL344" s="1"/>
      <c r="SM344" s="1"/>
      <c r="SN344" s="1"/>
      <c r="SO344" s="1"/>
      <c r="SP344" s="1"/>
      <c r="SQ344" s="1"/>
      <c r="SR344" s="1"/>
      <c r="SS344" s="1"/>
      <c r="ST344" s="1"/>
      <c r="SU344" s="1"/>
      <c r="SV344" s="1"/>
      <c r="SW344" s="1"/>
      <c r="SX344" s="1"/>
      <c r="SY344" s="1"/>
      <c r="SZ344" s="1"/>
      <c r="TA344" s="1"/>
      <c r="TB344" s="1"/>
      <c r="TC344" s="1"/>
      <c r="TD344" s="1"/>
      <c r="TE344" s="1"/>
      <c r="TF344" s="1"/>
      <c r="TG344" s="1"/>
      <c r="TH344" s="1"/>
      <c r="TI344" s="1"/>
      <c r="TJ344" s="1"/>
      <c r="TK344" s="1"/>
      <c r="TL344" s="1"/>
      <c r="TM344" s="1"/>
      <c r="TN344" s="1"/>
      <c r="TO344" s="1"/>
      <c r="TP344" s="1"/>
      <c r="TQ344" s="1"/>
      <c r="TR344" s="1"/>
      <c r="TS344" s="1"/>
      <c r="TT344" s="1"/>
      <c r="TU344" s="1"/>
      <c r="TV344" s="1"/>
      <c r="TW344" s="1"/>
      <c r="TX344" s="1"/>
      <c r="TY344" s="1"/>
      <c r="TZ344" s="1"/>
      <c r="UA344" s="1"/>
      <c r="UB344" s="1"/>
      <c r="UC344" s="1"/>
      <c r="UD344" s="1"/>
      <c r="UE344" s="1"/>
      <c r="UF344" s="1"/>
      <c r="UG344" s="1"/>
      <c r="UH344" s="1"/>
      <c r="UI344" s="1"/>
      <c r="UJ344" s="1"/>
      <c r="UK344" s="1"/>
      <c r="UL344" s="1"/>
      <c r="UM344" s="1"/>
      <c r="UN344" s="1"/>
      <c r="UO344" s="1"/>
      <c r="UP344" s="1"/>
      <c r="UQ344" s="1"/>
      <c r="UR344" s="1"/>
      <c r="US344" s="1"/>
      <c r="UT344" s="1"/>
      <c r="UU344" s="1"/>
      <c r="UV344" s="1"/>
      <c r="UW344" s="1"/>
      <c r="UX344" s="1"/>
      <c r="UY344" s="1"/>
      <c r="UZ344" s="1"/>
      <c r="VA344" s="1"/>
      <c r="VB344" s="1"/>
      <c r="VC344" s="1"/>
      <c r="VD344" s="1"/>
      <c r="VE344" s="1"/>
      <c r="VF344" s="1"/>
      <c r="VG344" s="1"/>
      <c r="VH344" s="1"/>
      <c r="VI344" s="1"/>
      <c r="VJ344" s="1"/>
      <c r="VK344" s="1"/>
      <c r="VL344" s="1"/>
      <c r="VM344" s="1"/>
      <c r="VN344" s="1"/>
      <c r="VO344" s="1"/>
      <c r="VP344" s="1"/>
      <c r="VQ344" s="1"/>
      <c r="VR344" s="1"/>
      <c r="VS344" s="1"/>
      <c r="VT344" s="1"/>
      <c r="VU344" s="1"/>
      <c r="VV344" s="1"/>
      <c r="VW344" s="1"/>
      <c r="VX344" s="1"/>
      <c r="VY344" s="1"/>
      <c r="VZ344" s="1"/>
      <c r="WA344" s="1"/>
      <c r="WB344" s="1"/>
      <c r="WC344" s="1"/>
      <c r="WD344" s="1"/>
      <c r="WE344" s="1"/>
      <c r="WF344" s="1"/>
      <c r="WG344" s="1"/>
      <c r="WH344" s="1"/>
      <c r="WI344" s="1"/>
      <c r="WJ344" s="1"/>
      <c r="WK344" s="1"/>
      <c r="WL344" s="1"/>
      <c r="WM344" s="1"/>
      <c r="WN344" s="1"/>
      <c r="WO344" s="1"/>
      <c r="WP344" s="1"/>
      <c r="WQ344" s="1"/>
      <c r="WR344" s="1"/>
      <c r="WS344" s="1"/>
      <c r="WT344" s="1"/>
      <c r="WU344" s="1"/>
      <c r="WV344" s="1"/>
      <c r="WW344" s="1"/>
      <c r="WX344" s="1"/>
      <c r="WY344" s="1"/>
      <c r="WZ344" s="1"/>
      <c r="XA344" s="1"/>
      <c r="XB344" s="1"/>
      <c r="XC344" s="1"/>
      <c r="XD344" s="1"/>
      <c r="XE344" s="1"/>
      <c r="XF344" s="1"/>
      <c r="XG344" s="1"/>
      <c r="XH344" s="1"/>
      <c r="XI344" s="1"/>
      <c r="XJ344" s="1"/>
      <c r="XK344" s="1"/>
      <c r="XL344" s="1"/>
      <c r="XM344" s="1"/>
      <c r="XN344" s="1"/>
      <c r="XO344" s="1"/>
      <c r="XP344" s="1"/>
      <c r="XQ344" s="1"/>
      <c r="XR344" s="1"/>
      <c r="XS344" s="1"/>
      <c r="XT344" s="1"/>
      <c r="XU344" s="1"/>
      <c r="XV344" s="1"/>
      <c r="XW344" s="1"/>
      <c r="XX344" s="1"/>
      <c r="XY344" s="1"/>
      <c r="XZ344" s="1"/>
      <c r="YA344" s="1"/>
      <c r="YB344" s="1"/>
      <c r="YC344" s="1"/>
      <c r="YD344" s="1"/>
      <c r="YE344" s="1"/>
      <c r="YF344" s="1"/>
      <c r="YG344" s="1"/>
      <c r="YH344" s="1"/>
      <c r="YI344" s="1"/>
      <c r="YJ344" s="1"/>
      <c r="YK344" s="1"/>
      <c r="YL344" s="1"/>
      <c r="YM344" s="1"/>
      <c r="YN344" s="1"/>
      <c r="YO344" s="1"/>
      <c r="YP344" s="1"/>
      <c r="YQ344" s="1"/>
      <c r="YR344" s="1"/>
      <c r="YS344" s="1"/>
      <c r="YT344" s="1"/>
      <c r="YU344" s="1"/>
      <c r="YV344" s="1"/>
      <c r="YW344" s="1"/>
      <c r="YX344" s="1"/>
      <c r="YY344" s="1"/>
      <c r="YZ344" s="1"/>
      <c r="ZA344" s="1"/>
      <c r="ZB344" s="1"/>
      <c r="ZC344" s="1"/>
      <c r="ZD344" s="1"/>
      <c r="ZE344" s="1"/>
      <c r="ZF344" s="1"/>
      <c r="ZG344" s="1"/>
      <c r="ZH344" s="1"/>
      <c r="ZI344" s="1"/>
      <c r="ZJ344" s="1"/>
      <c r="ZK344" s="1"/>
      <c r="ZL344" s="1"/>
      <c r="ZM344" s="1"/>
      <c r="ZN344" s="1"/>
      <c r="ZO344" s="1"/>
      <c r="ZP344" s="1"/>
      <c r="ZQ344" s="1"/>
      <c r="ZR344" s="1"/>
      <c r="ZS344" s="1"/>
      <c r="ZT344" s="1"/>
      <c r="ZU344" s="1"/>
      <c r="ZV344" s="1"/>
      <c r="ZW344" s="1"/>
      <c r="ZX344" s="1"/>
      <c r="ZY344" s="1"/>
      <c r="ZZ344" s="1"/>
      <c r="AAA344" s="1"/>
      <c r="AAB344" s="1"/>
      <c r="AAC344" s="1"/>
      <c r="AAD344" s="1"/>
      <c r="AAE344" s="1"/>
      <c r="AAF344" s="1"/>
      <c r="AAG344" s="1"/>
      <c r="AAH344" s="1"/>
      <c r="AAI344" s="1"/>
      <c r="AAJ344" s="1"/>
      <c r="AAK344" s="1"/>
      <c r="AAL344" s="1"/>
      <c r="AAM344" s="1"/>
      <c r="AAN344" s="1"/>
      <c r="AAO344" s="1"/>
      <c r="AAP344" s="1"/>
      <c r="AAQ344" s="1"/>
      <c r="AAR344" s="1"/>
      <c r="AAS344" s="1"/>
      <c r="AAT344" s="1"/>
      <c r="AAU344" s="1"/>
      <c r="AAV344" s="1"/>
      <c r="AAW344" s="1"/>
      <c r="AAX344" s="1"/>
      <c r="AAY344" s="1"/>
      <c r="AAZ344" s="1"/>
      <c r="ABA344" s="1"/>
      <c r="ABB344" s="1"/>
      <c r="ABC344" s="1"/>
      <c r="ABD344" s="1"/>
      <c r="ABE344" s="1"/>
      <c r="ABF344" s="1"/>
      <c r="ABG344" s="1"/>
      <c r="ABH344" s="1"/>
      <c r="ABI344" s="1"/>
      <c r="ABJ344" s="1"/>
      <c r="ABK344" s="1"/>
      <c r="ABL344" s="1"/>
      <c r="ABM344" s="1"/>
      <c r="ABN344" s="1"/>
      <c r="ABO344" s="1"/>
      <c r="ABP344" s="1"/>
      <c r="ABQ344" s="1"/>
      <c r="ABR344" s="1"/>
      <c r="ABS344" s="1"/>
      <c r="ABT344" s="1"/>
      <c r="ABU344" s="1"/>
      <c r="ABV344" s="1"/>
      <c r="ABW344" s="1"/>
      <c r="ABX344" s="1"/>
      <c r="ABY344" s="1"/>
      <c r="ABZ344" s="1"/>
      <c r="ACA344" s="1"/>
      <c r="ACB344" s="1"/>
      <c r="ACC344" s="1"/>
      <c r="ACD344" s="1"/>
      <c r="ACE344" s="1"/>
      <c r="ACF344" s="1"/>
      <c r="ACG344" s="1"/>
      <c r="ACH344" s="1"/>
      <c r="ACI344" s="1"/>
      <c r="ACJ344" s="1"/>
      <c r="ACK344" s="1"/>
      <c r="ACL344" s="1"/>
      <c r="ACM344" s="1"/>
      <c r="ACN344" s="1"/>
      <c r="ACO344" s="1"/>
      <c r="ACP344" s="1"/>
      <c r="ACQ344" s="1"/>
      <c r="ACR344" s="1"/>
      <c r="ACS344" s="1"/>
      <c r="ACT344" s="1"/>
      <c r="ACU344" s="1"/>
      <c r="ACV344" s="1"/>
      <c r="ACW344" s="1"/>
      <c r="ACX344" s="1"/>
      <c r="ACY344" s="1"/>
      <c r="ACZ344" s="1"/>
      <c r="ADA344" s="1"/>
      <c r="ADB344" s="1"/>
      <c r="ADC344" s="1"/>
      <c r="ADD344" s="1"/>
      <c r="ADE344" s="1"/>
      <c r="ADF344" s="1"/>
      <c r="ADG344" s="1"/>
      <c r="ADH344" s="1"/>
      <c r="ADI344" s="1"/>
      <c r="ADJ344" s="1"/>
      <c r="ADK344" s="1"/>
      <c r="ADL344" s="1"/>
      <c r="ADM344" s="1"/>
      <c r="ADN344" s="1"/>
      <c r="ADO344" s="1"/>
      <c r="ADP344" s="1"/>
      <c r="ADQ344" s="1"/>
      <c r="ADR344" s="1"/>
      <c r="ADS344" s="1"/>
      <c r="ADT344" s="1"/>
      <c r="ADU344" s="1"/>
      <c r="ADV344" s="1"/>
      <c r="ADW344" s="1"/>
      <c r="ADX344" s="1"/>
      <c r="ADY344" s="1"/>
      <c r="ADZ344" s="1"/>
      <c r="AEA344" s="1"/>
      <c r="AEB344" s="1"/>
      <c r="AEC344" s="1"/>
      <c r="AED344" s="1"/>
      <c r="AEE344" s="1"/>
      <c r="AEF344" s="1"/>
      <c r="AEG344" s="1"/>
      <c r="AEH344" s="1"/>
      <c r="AEI344" s="1"/>
      <c r="AEJ344" s="1"/>
      <c r="AEK344" s="1"/>
      <c r="AEL344" s="1"/>
      <c r="AEM344" s="1"/>
      <c r="AEN344" s="1"/>
      <c r="AEO344" s="1"/>
      <c r="AEP344" s="1"/>
      <c r="AEQ344" s="1"/>
      <c r="AER344" s="1"/>
      <c r="AES344" s="1"/>
      <c r="AET344" s="1"/>
      <c r="AEU344" s="1"/>
      <c r="AEV344" s="1"/>
      <c r="AEW344" s="1"/>
      <c r="AEX344" s="1"/>
      <c r="AEY344" s="1"/>
      <c r="AEZ344" s="1"/>
      <c r="AFA344" s="1"/>
      <c r="AFB344" s="1"/>
      <c r="AFC344" s="1"/>
      <c r="AFD344" s="1"/>
      <c r="AFE344" s="1"/>
      <c r="AFF344" s="1"/>
      <c r="AFG344" s="1"/>
      <c r="AFH344" s="1"/>
      <c r="AFI344" s="1"/>
      <c r="AFJ344" s="1"/>
      <c r="AFK344" s="1"/>
      <c r="AFL344" s="1"/>
      <c r="AFM344" s="1"/>
      <c r="AFN344" s="1"/>
      <c r="AFO344" s="1"/>
      <c r="AFP344" s="1"/>
      <c r="AFQ344" s="1"/>
      <c r="AFR344" s="1"/>
      <c r="AFS344" s="1"/>
      <c r="AFT344" s="1"/>
      <c r="AFU344" s="1"/>
      <c r="AFV344" s="1"/>
      <c r="AFW344" s="1"/>
      <c r="AFX344" s="1"/>
      <c r="AFY344" s="1"/>
      <c r="AFZ344" s="1"/>
      <c r="AGA344" s="1"/>
      <c r="AGB344" s="1"/>
      <c r="AGC344" s="1"/>
      <c r="AGD344" s="1"/>
      <c r="AGE344" s="1"/>
      <c r="AGF344" s="1"/>
      <c r="AGG344" s="1"/>
      <c r="AGH344" s="1"/>
      <c r="AGI344" s="1"/>
      <c r="AGJ344" s="1"/>
      <c r="AGK344" s="1"/>
      <c r="AGL344" s="1"/>
      <c r="AGM344" s="1"/>
      <c r="AGN344" s="1"/>
      <c r="AGO344" s="1"/>
      <c r="AGP344" s="1"/>
      <c r="AGQ344" s="1"/>
      <c r="AGR344" s="1"/>
      <c r="AGS344" s="1"/>
      <c r="AGT344" s="1"/>
      <c r="AGU344" s="1"/>
      <c r="AGV344" s="1"/>
      <c r="AGW344" s="1"/>
      <c r="AGX344" s="1"/>
      <c r="AGY344" s="1"/>
      <c r="AGZ344" s="1"/>
      <c r="AHA344" s="1"/>
      <c r="AHB344" s="1"/>
      <c r="AHC344" s="1"/>
      <c r="AHD344" s="1"/>
      <c r="AHE344" s="1"/>
      <c r="AHF344" s="1"/>
      <c r="AHG344" s="1"/>
      <c r="AHH344" s="1"/>
      <c r="AHI344" s="1"/>
      <c r="AHJ344" s="1"/>
      <c r="AHK344" s="1"/>
      <c r="AHL344" s="1"/>
      <c r="AHM344" s="1"/>
      <c r="AHN344" s="1"/>
      <c r="AHO344" s="1"/>
      <c r="AHP344" s="1"/>
      <c r="AHQ344" s="1"/>
      <c r="AHR344" s="1"/>
      <c r="AHS344" s="1"/>
      <c r="AHT344" s="1"/>
      <c r="AHU344" s="1"/>
      <c r="AHV344" s="1"/>
      <c r="AHW344" s="1"/>
      <c r="AHX344" s="1"/>
      <c r="AHY344" s="1"/>
      <c r="AHZ344" s="1"/>
      <c r="AIA344" s="1"/>
      <c r="AIB344" s="1"/>
      <c r="AIC344" s="1"/>
      <c r="AID344" s="1"/>
      <c r="AIE344" s="1"/>
      <c r="AIF344" s="1"/>
      <c r="AIG344" s="1"/>
      <c r="AIH344" s="1"/>
      <c r="AII344" s="1"/>
      <c r="AIJ344" s="1"/>
      <c r="AIK344" s="1"/>
      <c r="AIL344" s="1"/>
      <c r="AIM344" s="1"/>
      <c r="AIN344" s="1"/>
      <c r="AIO344" s="1"/>
      <c r="AIP344" s="1"/>
      <c r="AIQ344" s="1"/>
      <c r="AIR344" s="1"/>
      <c r="AIS344" s="1"/>
      <c r="AIT344" s="1"/>
      <c r="AIU344" s="1"/>
      <c r="AIV344" s="1"/>
      <c r="AIW344" s="1"/>
      <c r="AIX344" s="1"/>
      <c r="AIY344" s="1"/>
      <c r="AIZ344" s="1"/>
      <c r="AJA344" s="1"/>
      <c r="AJB344" s="1"/>
      <c r="AJC344" s="1"/>
      <c r="AJD344" s="1"/>
      <c r="AJE344" s="1"/>
      <c r="AJF344" s="1"/>
      <c r="AJG344" s="1"/>
      <c r="AJH344" s="1"/>
      <c r="AJI344" s="1"/>
      <c r="AJJ344" s="1"/>
      <c r="AJK344" s="1"/>
      <c r="AJL344" s="1"/>
      <c r="AJM344" s="1"/>
      <c r="AJN344" s="1"/>
      <c r="AJO344" s="1"/>
      <c r="AJP344" s="1"/>
      <c r="AJQ344" s="1"/>
      <c r="AJR344" s="1"/>
      <c r="AJS344" s="1"/>
      <c r="AJT344" s="1"/>
      <c r="AJU344" s="1"/>
      <c r="AJV344" s="1"/>
      <c r="AJW344" s="1"/>
      <c r="AJX344" s="1"/>
      <c r="AJY344" s="1"/>
      <c r="AJZ344" s="1"/>
      <c r="AKA344" s="1"/>
      <c r="AKB344" s="1"/>
      <c r="AKC344" s="1"/>
      <c r="AKD344" s="1"/>
      <c r="AKE344" s="1"/>
      <c r="AKF344" s="1"/>
      <c r="AKG344" s="1"/>
      <c r="AKH344" s="1"/>
      <c r="AKI344" s="1"/>
      <c r="AKJ344" s="1"/>
      <c r="AKK344" s="1"/>
      <c r="AKL344" s="1"/>
      <c r="AKM344" s="1"/>
      <c r="AKN344" s="1"/>
      <c r="AKO344" s="1"/>
      <c r="AKP344" s="1"/>
      <c r="AKQ344" s="1"/>
      <c r="AKR344" s="1"/>
      <c r="AKS344" s="1"/>
      <c r="AKT344" s="1"/>
      <c r="AKU344" s="1"/>
      <c r="AKV344" s="1"/>
      <c r="AKW344" s="1"/>
      <c r="AKX344" s="1"/>
      <c r="AKY344" s="1"/>
      <c r="AKZ344" s="1"/>
      <c r="ALA344" s="1"/>
      <c r="ALB344" s="1"/>
      <c r="ALC344" s="1"/>
      <c r="ALD344" s="1"/>
      <c r="ALE344" s="1"/>
      <c r="ALF344" s="1"/>
      <c r="ALG344" s="1"/>
      <c r="ALH344" s="1"/>
      <c r="ALI344" s="1"/>
      <c r="ALJ344" s="1"/>
      <c r="ALK344" s="1"/>
      <c r="ALL344" s="1"/>
      <c r="ALM344" s="1"/>
      <c r="ALN344" s="1"/>
      <c r="ALO344" s="1"/>
      <c r="ALP344" s="1"/>
      <c r="ALQ344" s="1"/>
      <c r="ALR344" s="1"/>
      <c r="ALS344" s="1"/>
      <c r="ALT344" s="1"/>
      <c r="ALU344" s="1"/>
      <c r="ALV344" s="1"/>
      <c r="ALW344" s="1"/>
      <c r="ALX344" s="1"/>
      <c r="ALY344" s="1"/>
      <c r="ALZ344" s="1"/>
      <c r="AMA344" s="1"/>
      <c r="AMB344" s="1"/>
      <c r="AMC344" s="1"/>
      <c r="AMD344" s="1"/>
      <c r="AME344" s="1"/>
      <c r="AMF344" s="1"/>
      <c r="AMG344" s="1"/>
      <c r="AMH344" s="1"/>
      <c r="AMI344" s="1"/>
      <c r="AMJ344" s="1"/>
      <c r="AMK344" s="1"/>
      <c r="AML344" s="1"/>
      <c r="AMM344" s="1"/>
      <c r="AMN344" s="1"/>
      <c r="AMO344" s="1"/>
    </row>
    <row r="345" spans="1:1030" x14ac:dyDescent="0.2">
      <c r="A345" s="3" t="str">
        <f>CONCATENATE(B345,"_",C345)</f>
        <v>ox2r_human_4S0V</v>
      </c>
      <c r="B345" s="3" t="s">
        <v>1169</v>
      </c>
      <c r="C345" s="3" t="s">
        <v>92</v>
      </c>
      <c r="D345" s="3" t="str">
        <f>IFERROR(MID(VLOOKUP($B345,Seqs!$A:$B,2,0),E345,1),"")</f>
        <v>Y</v>
      </c>
      <c r="E345" s="3">
        <v>53</v>
      </c>
      <c r="F345" s="3" t="str">
        <f>IFERROR(MID(VLOOKUP($B345,Seqs!$A:$B,2,0),G345,1),"")</f>
        <v>N</v>
      </c>
      <c r="G345" s="3">
        <v>82</v>
      </c>
      <c r="H345" s="3" t="str">
        <f>IFERROR(MID(VLOOKUP($B345,Seqs!$A:$B,2,0),I345,1),"")</f>
        <v>H</v>
      </c>
      <c r="I345" s="23">
        <v>83</v>
      </c>
      <c r="J345" s="3" t="str">
        <f>IFERROR(MID(VLOOKUP($B345,Seqs!$A:$B,2,0),K345,1),"")</f>
        <v>R</v>
      </c>
      <c r="K345" s="23">
        <v>86</v>
      </c>
      <c r="L345" s="3" t="str">
        <f>IFERROR(MID(VLOOKUP($B345,Seqs!$A:$B,2,0),M345,1),"")</f>
        <v>T</v>
      </c>
      <c r="M345" s="3">
        <v>87</v>
      </c>
      <c r="N345" s="3" t="str">
        <f>IFERROR(MID(VLOOKUP($B345,Seqs!$A:$B,2,0),O345,1),"")</f>
        <v>E</v>
      </c>
      <c r="O345" s="105">
        <v>118</v>
      </c>
      <c r="P345" s="3" t="str">
        <f>IFERROR(MID(VLOOKUP($B345,Seqs!$A:$B,2,0),Q345,1),"")</f>
        <v>T</v>
      </c>
      <c r="Q345" s="3">
        <v>119</v>
      </c>
      <c r="R345" s="3" t="str">
        <f>IFERROR(MID(VLOOKUP($B345,Seqs!$A:$B,2,0),S345,1),"")</f>
        <v>F</v>
      </c>
      <c r="S345" s="3">
        <v>122</v>
      </c>
      <c r="T345" s="3" t="str">
        <f>IFERROR(MID(VLOOKUP($B345,Seqs!$A:$B,2,0),U345,1),"")</f>
        <v>G</v>
      </c>
      <c r="U345" s="3">
        <v>123</v>
      </c>
      <c r="V345" s="3" t="str">
        <f>IFERROR(MID(VLOOKUP($B345,Seqs!$A:$B,2,0),W345,1),"")</f>
        <v>H</v>
      </c>
      <c r="W345" s="3">
        <v>158</v>
      </c>
      <c r="X345" s="3" t="str">
        <f>IFERROR(MID(VLOOKUP($B345,Seqs!$A:$B,2,0),Y345,1),"")</f>
        <v/>
      </c>
      <c r="Y345" s="3" t="s">
        <v>23</v>
      </c>
      <c r="Z345" s="3" t="str">
        <f>IFERROR(MID(VLOOKUP($B345,Seqs!$A:$B,2,0),AA345,1),"")</f>
        <v/>
      </c>
      <c r="AA345" s="3" t="s">
        <v>23</v>
      </c>
      <c r="AB345" s="3" t="str">
        <f>IFERROR(MID(VLOOKUP($B345,Seqs!$A:$B,2,0),AC345,1),"")</f>
        <v>T</v>
      </c>
      <c r="AC345" s="9">
        <v>165</v>
      </c>
      <c r="AD345" s="3" t="str">
        <f>IFERROR(MID(VLOOKUP($B345,Seqs!$A:$B,2,0),AE345,1),"")</f>
        <v>M</v>
      </c>
      <c r="AE345" s="3">
        <v>191</v>
      </c>
      <c r="AF345" s="3" t="str">
        <f>IFERROR(MID(VLOOKUP($B345,Seqs!$A:$B,2,0),AG345,1),"")</f>
        <v>C</v>
      </c>
      <c r="AG345" s="3">
        <v>210</v>
      </c>
      <c r="AH345" s="3" t="str">
        <f>IFERROR(MID(VLOOKUP($B345,Seqs!$A:$B,2,0),AI345,1),"")</f>
        <v>E</v>
      </c>
      <c r="AI345" s="3">
        <v>212</v>
      </c>
      <c r="AJ345" s="3" t="str">
        <f>IFERROR(MID(VLOOKUP($B345,Seqs!$A:$B,2,0),AK345,1),"")</f>
        <v>I</v>
      </c>
      <c r="AK345" s="105">
        <v>218</v>
      </c>
      <c r="AL345" s="3" t="str">
        <f>IFERROR(MID(VLOOKUP($B345,Seqs!$A:$B,2,0),AM345,1),"")</f>
        <v>C</v>
      </c>
      <c r="AM345" s="105">
        <v>252</v>
      </c>
      <c r="AN345" s="3" t="str">
        <f>IFERROR(MID(VLOOKUP($B345,Seqs!$A:$B,2,0),AO345,1),"")</f>
        <v>K</v>
      </c>
      <c r="AO345" s="3">
        <v>294</v>
      </c>
      <c r="AP345" s="3" t="str">
        <f>IFERROR(MID(VLOOKUP($B345,Seqs!$A:$B,2,0),AQ345,1),"")</f>
        <v>F</v>
      </c>
      <c r="AQ345" s="3">
        <v>330</v>
      </c>
      <c r="AR345" s="3" t="str">
        <f>IFERROR(MID(VLOOKUP($B345,Seqs!$A:$B,2,0),AS345,1),"")</f>
        <v>R</v>
      </c>
      <c r="AS345" s="3">
        <v>339</v>
      </c>
      <c r="AT345" s="3" t="str">
        <f>IFERROR(MID(VLOOKUP($B345,Seqs!$A:$B,2,0),AU345,1),"")</f>
        <v>L</v>
      </c>
      <c r="AU345" s="3">
        <v>367</v>
      </c>
      <c r="AV345" s="3" t="str">
        <f>IFERROR(MID(VLOOKUP($B345,Seqs!$A:$B,2,0),AW345,1),"")</f>
        <v>S</v>
      </c>
      <c r="AW345" s="3">
        <v>368</v>
      </c>
      <c r="AX345" s="3" t="str">
        <f>IFERROR(MID(VLOOKUP($B345,Seqs!$A:$B,2,0),AY345,1),"")</f>
        <v>F</v>
      </c>
      <c r="AY345" s="3">
        <v>379</v>
      </c>
      <c r="AZ345" s="77" t="str">
        <f>VLOOKUP(B345,Classification!A:D,2,0)</f>
        <v>A</v>
      </c>
      <c r="BA345" s="94" t="str">
        <f>VLOOKUP(B345,Classification!A:D,4,0)</f>
        <v>Orexin</v>
      </c>
      <c r="BB345" s="27" t="b">
        <f t="shared" si="1114"/>
        <v>1</v>
      </c>
      <c r="BC345" s="23">
        <f t="shared" si="1113"/>
        <v>250</v>
      </c>
      <c r="BD345" s="2" t="s">
        <v>23</v>
      </c>
      <c r="BE345" s="3" t="s">
        <v>1368</v>
      </c>
      <c r="BF345" s="118">
        <v>2.5</v>
      </c>
      <c r="BG345" s="49" t="s">
        <v>1371</v>
      </c>
      <c r="BH345" s="49" t="s">
        <v>1371</v>
      </c>
      <c r="BI345" s="1"/>
      <c r="BJ345" s="70" t="s">
        <v>1281</v>
      </c>
      <c r="BK345" s="57" t="s">
        <v>1281</v>
      </c>
      <c r="BL345" s="57" t="s">
        <v>1281</v>
      </c>
      <c r="BM345" s="57" t="s">
        <v>1281</v>
      </c>
      <c r="BN345" s="57" t="s">
        <v>1281</v>
      </c>
      <c r="BO345" s="57" t="s">
        <v>1281</v>
      </c>
      <c r="BP345" s="57" t="s">
        <v>1281</v>
      </c>
      <c r="BQ345" s="57" t="s">
        <v>1281</v>
      </c>
      <c r="BR345" s="57" t="s">
        <v>1281</v>
      </c>
      <c r="BS345" s="57" t="s">
        <v>1281</v>
      </c>
      <c r="BT345" s="57" t="s">
        <v>1281</v>
      </c>
      <c r="BU345" s="57" t="s">
        <v>1281</v>
      </c>
      <c r="BV345" s="70">
        <f>E345</f>
        <v>53</v>
      </c>
      <c r="BW345" s="71">
        <f>I345</f>
        <v>83</v>
      </c>
      <c r="BX345" s="72">
        <f>M345</f>
        <v>87</v>
      </c>
      <c r="BY345" s="71">
        <f>Q345</f>
        <v>119</v>
      </c>
      <c r="BZ345" s="72">
        <f>U345</f>
        <v>123</v>
      </c>
      <c r="CA345" s="71" t="str">
        <f>Y345</f>
        <v>-</v>
      </c>
      <c r="CB345" s="72">
        <f>AC345</f>
        <v>165</v>
      </c>
      <c r="CC345" s="71">
        <f>AG345</f>
        <v>210</v>
      </c>
      <c r="CD345" s="72">
        <f>AK345</f>
        <v>218</v>
      </c>
      <c r="CE345" s="71">
        <f>AO345</f>
        <v>294</v>
      </c>
      <c r="CF345" s="72">
        <f>AS345</f>
        <v>339</v>
      </c>
      <c r="CG345" s="71">
        <f>AW345</f>
        <v>368</v>
      </c>
      <c r="CH345" s="70">
        <f>G345</f>
        <v>82</v>
      </c>
      <c r="CI345" s="71">
        <f>K345</f>
        <v>86</v>
      </c>
      <c r="CJ345" s="72">
        <f>O345</f>
        <v>118</v>
      </c>
      <c r="CK345" s="72">
        <f>S345</f>
        <v>122</v>
      </c>
      <c r="CL345" s="72">
        <f>W345</f>
        <v>158</v>
      </c>
      <c r="CM345" s="72" t="str">
        <f>AA345</f>
        <v>-</v>
      </c>
      <c r="CN345" s="72">
        <f>AE345</f>
        <v>191</v>
      </c>
      <c r="CO345" s="72">
        <f>AI345</f>
        <v>212</v>
      </c>
      <c r="CP345" s="72">
        <f>AM345</f>
        <v>252</v>
      </c>
      <c r="CQ345" s="72">
        <f>AQ345</f>
        <v>330</v>
      </c>
      <c r="CR345" s="72">
        <f>AU345</f>
        <v>367</v>
      </c>
      <c r="CS345" s="72">
        <f>AY345</f>
        <v>379</v>
      </c>
      <c r="CT345" s="23">
        <f>M345-K345</f>
        <v>1</v>
      </c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"/>
      <c r="PD345" s="1"/>
      <c r="PE345" s="1"/>
      <c r="PF345" s="1"/>
      <c r="PG345" s="1"/>
      <c r="PH345" s="1"/>
      <c r="PI345" s="1"/>
      <c r="PJ345" s="1"/>
      <c r="PK345" s="1"/>
      <c r="PL345" s="1"/>
      <c r="PM345" s="1"/>
      <c r="PN345" s="1"/>
      <c r="PO345" s="1"/>
      <c r="PP345" s="1"/>
      <c r="PQ345" s="1"/>
      <c r="PR345" s="1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1"/>
      <c r="QD345" s="1"/>
      <c r="QE345" s="1"/>
      <c r="QF345" s="1"/>
      <c r="QG345" s="1"/>
      <c r="QH345" s="1"/>
      <c r="QI345" s="1"/>
      <c r="QJ345" s="1"/>
      <c r="QK345" s="1"/>
      <c r="QL345" s="1"/>
      <c r="QM345" s="1"/>
      <c r="QN345" s="1"/>
      <c r="QO345" s="1"/>
      <c r="QP345" s="1"/>
      <c r="QQ345" s="1"/>
      <c r="QR345" s="1"/>
      <c r="QS345" s="1"/>
      <c r="QT345" s="1"/>
      <c r="QU345" s="1"/>
      <c r="QV345" s="1"/>
      <c r="QW345" s="1"/>
      <c r="QX345" s="1"/>
      <c r="QY345" s="1"/>
      <c r="QZ345" s="1"/>
      <c r="RA345" s="1"/>
      <c r="RB345" s="1"/>
      <c r="RC345" s="1"/>
      <c r="RD345" s="1"/>
      <c r="RE345" s="1"/>
      <c r="RF345" s="1"/>
      <c r="RG345" s="1"/>
      <c r="RH345" s="1"/>
      <c r="RI345" s="1"/>
      <c r="RJ345" s="1"/>
      <c r="RK345" s="1"/>
      <c r="RL345" s="1"/>
      <c r="RM345" s="1"/>
      <c r="RN345" s="1"/>
      <c r="RO345" s="1"/>
      <c r="RP345" s="1"/>
      <c r="RQ345" s="1"/>
      <c r="RR345" s="1"/>
      <c r="RS345" s="1"/>
      <c r="RT345" s="1"/>
      <c r="RU345" s="1"/>
      <c r="RV345" s="1"/>
      <c r="RW345" s="1"/>
      <c r="RX345" s="1"/>
      <c r="RY345" s="1"/>
      <c r="RZ345" s="1"/>
      <c r="SA345" s="1"/>
      <c r="SB345" s="1"/>
      <c r="SC345" s="1"/>
      <c r="SD345" s="1"/>
      <c r="SE345" s="1"/>
      <c r="SF345" s="1"/>
      <c r="SG345" s="1"/>
      <c r="SH345" s="1"/>
      <c r="SI345" s="1"/>
      <c r="SJ345" s="1"/>
      <c r="SK345" s="1"/>
      <c r="SL345" s="1"/>
      <c r="SM345" s="1"/>
      <c r="SN345" s="1"/>
      <c r="SO345" s="1"/>
      <c r="SP345" s="1"/>
      <c r="SQ345" s="1"/>
      <c r="SR345" s="1"/>
      <c r="SS345" s="1"/>
      <c r="ST345" s="1"/>
      <c r="SU345" s="1"/>
      <c r="SV345" s="1"/>
      <c r="SW345" s="1"/>
      <c r="SX345" s="1"/>
      <c r="SY345" s="1"/>
      <c r="SZ345" s="1"/>
      <c r="TA345" s="1"/>
      <c r="TB345" s="1"/>
      <c r="TC345" s="1"/>
      <c r="TD345" s="1"/>
      <c r="TE345" s="1"/>
      <c r="TF345" s="1"/>
      <c r="TG345" s="1"/>
      <c r="TH345" s="1"/>
      <c r="TI345" s="1"/>
      <c r="TJ345" s="1"/>
      <c r="TK345" s="1"/>
      <c r="TL345" s="1"/>
      <c r="TM345" s="1"/>
      <c r="TN345" s="1"/>
      <c r="TO345" s="1"/>
      <c r="TP345" s="1"/>
      <c r="TQ345" s="1"/>
      <c r="TR345" s="1"/>
      <c r="TS345" s="1"/>
      <c r="TT345" s="1"/>
      <c r="TU345" s="1"/>
      <c r="TV345" s="1"/>
      <c r="TW345" s="1"/>
      <c r="TX345" s="1"/>
      <c r="TY345" s="1"/>
      <c r="TZ345" s="1"/>
      <c r="UA345" s="1"/>
      <c r="UB345" s="1"/>
      <c r="UC345" s="1"/>
      <c r="UD345" s="1"/>
      <c r="UE345" s="1"/>
      <c r="UF345" s="1"/>
      <c r="UG345" s="1"/>
      <c r="UH345" s="1"/>
      <c r="UI345" s="1"/>
      <c r="UJ345" s="1"/>
      <c r="UK345" s="1"/>
      <c r="UL345" s="1"/>
      <c r="UM345" s="1"/>
      <c r="UN345" s="1"/>
      <c r="UO345" s="1"/>
      <c r="UP345" s="1"/>
      <c r="UQ345" s="1"/>
      <c r="UR345" s="1"/>
      <c r="US345" s="1"/>
      <c r="UT345" s="1"/>
      <c r="UU345" s="1"/>
      <c r="UV345" s="1"/>
      <c r="UW345" s="1"/>
      <c r="UX345" s="1"/>
      <c r="UY345" s="1"/>
      <c r="UZ345" s="1"/>
      <c r="VA345" s="1"/>
      <c r="VB345" s="1"/>
      <c r="VC345" s="1"/>
      <c r="VD345" s="1"/>
      <c r="VE345" s="1"/>
      <c r="VF345" s="1"/>
      <c r="VG345" s="1"/>
      <c r="VH345" s="1"/>
      <c r="VI345" s="1"/>
      <c r="VJ345" s="1"/>
      <c r="VK345" s="1"/>
      <c r="VL345" s="1"/>
      <c r="VM345" s="1"/>
      <c r="VN345" s="1"/>
      <c r="VO345" s="1"/>
      <c r="VP345" s="1"/>
      <c r="VQ345" s="1"/>
      <c r="VR345" s="1"/>
      <c r="VS345" s="1"/>
      <c r="VT345" s="1"/>
      <c r="VU345" s="1"/>
      <c r="VV345" s="1"/>
      <c r="VW345" s="1"/>
      <c r="VX345" s="1"/>
      <c r="VY345" s="1"/>
      <c r="VZ345" s="1"/>
      <c r="WA345" s="1"/>
      <c r="WB345" s="1"/>
      <c r="WC345" s="1"/>
      <c r="WD345" s="1"/>
      <c r="WE345" s="1"/>
      <c r="WF345" s="1"/>
      <c r="WG345" s="1"/>
      <c r="WH345" s="1"/>
      <c r="WI345" s="1"/>
      <c r="WJ345" s="1"/>
      <c r="WK345" s="1"/>
      <c r="WL345" s="1"/>
      <c r="WM345" s="1"/>
      <c r="WN345" s="1"/>
      <c r="WO345" s="1"/>
      <c r="WP345" s="1"/>
      <c r="WQ345" s="1"/>
      <c r="WR345" s="1"/>
      <c r="WS345" s="1"/>
      <c r="WT345" s="1"/>
      <c r="WU345" s="1"/>
      <c r="WV345" s="1"/>
      <c r="WW345" s="1"/>
      <c r="WX345" s="1"/>
      <c r="WY345" s="1"/>
      <c r="WZ345" s="1"/>
      <c r="XA345" s="1"/>
      <c r="XB345" s="1"/>
      <c r="XC345" s="1"/>
      <c r="XD345" s="1"/>
      <c r="XE345" s="1"/>
      <c r="XF345" s="1"/>
      <c r="XG345" s="1"/>
      <c r="XH345" s="1"/>
      <c r="XI345" s="1"/>
      <c r="XJ345" s="1"/>
      <c r="XK345" s="1"/>
      <c r="XL345" s="1"/>
      <c r="XM345" s="1"/>
      <c r="XN345" s="1"/>
      <c r="XO345" s="1"/>
      <c r="XP345" s="1"/>
      <c r="XQ345" s="1"/>
      <c r="XR345" s="1"/>
      <c r="XS345" s="1"/>
      <c r="XT345" s="1"/>
      <c r="XU345" s="1"/>
      <c r="XV345" s="1"/>
      <c r="XW345" s="1"/>
      <c r="XX345" s="1"/>
      <c r="XY345" s="1"/>
      <c r="XZ345" s="1"/>
      <c r="YA345" s="1"/>
      <c r="YB345" s="1"/>
      <c r="YC345" s="1"/>
      <c r="YD345" s="1"/>
      <c r="YE345" s="1"/>
      <c r="YF345" s="1"/>
      <c r="YG345" s="1"/>
      <c r="YH345" s="1"/>
      <c r="YI345" s="1"/>
      <c r="YJ345" s="1"/>
      <c r="YK345" s="1"/>
      <c r="YL345" s="1"/>
      <c r="YM345" s="1"/>
      <c r="YN345" s="1"/>
      <c r="YO345" s="1"/>
      <c r="YP345" s="1"/>
      <c r="YQ345" s="1"/>
      <c r="YR345" s="1"/>
      <c r="YS345" s="1"/>
      <c r="YT345" s="1"/>
      <c r="YU345" s="1"/>
      <c r="YV345" s="1"/>
      <c r="YW345" s="1"/>
      <c r="YX345" s="1"/>
      <c r="YY345" s="1"/>
      <c r="YZ345" s="1"/>
      <c r="ZA345" s="1"/>
      <c r="ZB345" s="1"/>
      <c r="ZC345" s="1"/>
      <c r="ZD345" s="1"/>
      <c r="ZE345" s="1"/>
      <c r="ZF345" s="1"/>
      <c r="ZG345" s="1"/>
      <c r="ZH345" s="1"/>
      <c r="ZI345" s="1"/>
      <c r="ZJ345" s="1"/>
      <c r="ZK345" s="1"/>
      <c r="ZL345" s="1"/>
      <c r="ZM345" s="1"/>
      <c r="ZN345" s="1"/>
      <c r="ZO345" s="1"/>
      <c r="ZP345" s="1"/>
      <c r="ZQ345" s="1"/>
      <c r="ZR345" s="1"/>
      <c r="ZS345" s="1"/>
      <c r="ZT345" s="1"/>
      <c r="ZU345" s="1"/>
      <c r="ZV345" s="1"/>
      <c r="ZW345" s="1"/>
      <c r="ZX345" s="1"/>
      <c r="ZY345" s="1"/>
      <c r="ZZ345" s="1"/>
      <c r="AAA345" s="1"/>
      <c r="AAB345" s="1"/>
      <c r="AAC345" s="1"/>
      <c r="AAD345" s="1"/>
      <c r="AAE345" s="1"/>
      <c r="AAF345" s="1"/>
      <c r="AAG345" s="1"/>
      <c r="AAH345" s="1"/>
      <c r="AAI345" s="1"/>
      <c r="AAJ345" s="1"/>
      <c r="AAK345" s="1"/>
      <c r="AAL345" s="1"/>
      <c r="AAM345" s="1"/>
      <c r="AAN345" s="1"/>
      <c r="AAO345" s="1"/>
      <c r="AAP345" s="1"/>
      <c r="AAQ345" s="1"/>
      <c r="AAR345" s="1"/>
      <c r="AAS345" s="1"/>
      <c r="AAT345" s="1"/>
      <c r="AAU345" s="1"/>
      <c r="AAV345" s="1"/>
      <c r="AAW345" s="1"/>
      <c r="AAX345" s="1"/>
      <c r="AAY345" s="1"/>
      <c r="AAZ345" s="1"/>
      <c r="ABA345" s="1"/>
      <c r="ABB345" s="1"/>
      <c r="ABC345" s="1"/>
      <c r="ABD345" s="1"/>
      <c r="ABE345" s="1"/>
      <c r="ABF345" s="1"/>
      <c r="ABG345" s="1"/>
      <c r="ABH345" s="1"/>
      <c r="ABI345" s="1"/>
      <c r="ABJ345" s="1"/>
      <c r="ABK345" s="1"/>
      <c r="ABL345" s="1"/>
      <c r="ABM345" s="1"/>
      <c r="ABN345" s="1"/>
      <c r="ABO345" s="1"/>
      <c r="ABP345" s="1"/>
      <c r="ABQ345" s="1"/>
      <c r="ABR345" s="1"/>
      <c r="ABS345" s="1"/>
      <c r="ABT345" s="1"/>
      <c r="ABU345" s="1"/>
      <c r="ABV345" s="1"/>
      <c r="ABW345" s="1"/>
      <c r="ABX345" s="1"/>
      <c r="ABY345" s="1"/>
      <c r="ABZ345" s="1"/>
      <c r="ACA345" s="1"/>
      <c r="ACB345" s="1"/>
      <c r="ACC345" s="1"/>
      <c r="ACD345" s="1"/>
      <c r="ACE345" s="1"/>
      <c r="ACF345" s="1"/>
      <c r="ACG345" s="1"/>
      <c r="ACH345" s="1"/>
      <c r="ACI345" s="1"/>
      <c r="ACJ345" s="1"/>
      <c r="ACK345" s="1"/>
      <c r="ACL345" s="1"/>
      <c r="ACM345" s="1"/>
      <c r="ACN345" s="1"/>
      <c r="ACO345" s="1"/>
      <c r="ACP345" s="1"/>
      <c r="ACQ345" s="1"/>
      <c r="ACR345" s="1"/>
      <c r="ACS345" s="1"/>
      <c r="ACT345" s="1"/>
      <c r="ACU345" s="1"/>
      <c r="ACV345" s="1"/>
      <c r="ACW345" s="1"/>
      <c r="ACX345" s="1"/>
      <c r="ACY345" s="1"/>
      <c r="ACZ345" s="1"/>
      <c r="ADA345" s="1"/>
      <c r="ADB345" s="1"/>
      <c r="ADC345" s="1"/>
      <c r="ADD345" s="1"/>
      <c r="ADE345" s="1"/>
      <c r="ADF345" s="1"/>
      <c r="ADG345" s="1"/>
      <c r="ADH345" s="1"/>
      <c r="ADI345" s="1"/>
      <c r="ADJ345" s="1"/>
      <c r="ADK345" s="1"/>
      <c r="ADL345" s="1"/>
      <c r="ADM345" s="1"/>
      <c r="ADN345" s="1"/>
      <c r="ADO345" s="1"/>
      <c r="ADP345" s="1"/>
      <c r="ADQ345" s="1"/>
      <c r="ADR345" s="1"/>
      <c r="ADS345" s="1"/>
      <c r="ADT345" s="1"/>
      <c r="ADU345" s="1"/>
      <c r="ADV345" s="1"/>
      <c r="ADW345" s="1"/>
      <c r="ADX345" s="1"/>
      <c r="ADY345" s="1"/>
      <c r="ADZ345" s="1"/>
      <c r="AEA345" s="1"/>
      <c r="AEB345" s="1"/>
      <c r="AEC345" s="1"/>
      <c r="AED345" s="1"/>
      <c r="AEE345" s="1"/>
      <c r="AEF345" s="1"/>
      <c r="AEG345" s="1"/>
      <c r="AEH345" s="1"/>
      <c r="AEI345" s="1"/>
      <c r="AEJ345" s="1"/>
      <c r="AEK345" s="1"/>
      <c r="AEL345" s="1"/>
      <c r="AEM345" s="1"/>
      <c r="AEN345" s="1"/>
      <c r="AEO345" s="1"/>
      <c r="AEP345" s="1"/>
      <c r="AEQ345" s="1"/>
      <c r="AER345" s="1"/>
      <c r="AES345" s="1"/>
      <c r="AET345" s="1"/>
      <c r="AEU345" s="1"/>
      <c r="AEV345" s="1"/>
      <c r="AEW345" s="1"/>
      <c r="AEX345" s="1"/>
      <c r="AEY345" s="1"/>
      <c r="AEZ345" s="1"/>
      <c r="AFA345" s="1"/>
      <c r="AFB345" s="1"/>
      <c r="AFC345" s="1"/>
      <c r="AFD345" s="1"/>
      <c r="AFE345" s="1"/>
      <c r="AFF345" s="1"/>
      <c r="AFG345" s="1"/>
      <c r="AFH345" s="1"/>
      <c r="AFI345" s="1"/>
      <c r="AFJ345" s="1"/>
      <c r="AFK345" s="1"/>
      <c r="AFL345" s="1"/>
      <c r="AFM345" s="1"/>
      <c r="AFN345" s="1"/>
      <c r="AFO345" s="1"/>
      <c r="AFP345" s="1"/>
      <c r="AFQ345" s="1"/>
      <c r="AFR345" s="1"/>
      <c r="AFS345" s="1"/>
      <c r="AFT345" s="1"/>
      <c r="AFU345" s="1"/>
      <c r="AFV345" s="1"/>
      <c r="AFW345" s="1"/>
      <c r="AFX345" s="1"/>
      <c r="AFY345" s="1"/>
      <c r="AFZ345" s="1"/>
      <c r="AGA345" s="1"/>
      <c r="AGB345" s="1"/>
      <c r="AGC345" s="1"/>
      <c r="AGD345" s="1"/>
      <c r="AGE345" s="1"/>
      <c r="AGF345" s="1"/>
      <c r="AGG345" s="1"/>
      <c r="AGH345" s="1"/>
      <c r="AGI345" s="1"/>
      <c r="AGJ345" s="1"/>
      <c r="AGK345" s="1"/>
      <c r="AGL345" s="1"/>
      <c r="AGM345" s="1"/>
      <c r="AGN345" s="1"/>
      <c r="AGO345" s="1"/>
      <c r="AGP345" s="1"/>
      <c r="AGQ345" s="1"/>
      <c r="AGR345" s="1"/>
      <c r="AGS345" s="1"/>
      <c r="AGT345" s="1"/>
      <c r="AGU345" s="1"/>
      <c r="AGV345" s="1"/>
      <c r="AGW345" s="1"/>
      <c r="AGX345" s="1"/>
      <c r="AGY345" s="1"/>
      <c r="AGZ345" s="1"/>
      <c r="AHA345" s="1"/>
      <c r="AHB345" s="1"/>
      <c r="AHC345" s="1"/>
      <c r="AHD345" s="1"/>
      <c r="AHE345" s="1"/>
      <c r="AHF345" s="1"/>
      <c r="AHG345" s="1"/>
      <c r="AHH345" s="1"/>
      <c r="AHI345" s="1"/>
      <c r="AHJ345" s="1"/>
      <c r="AHK345" s="1"/>
      <c r="AHL345" s="1"/>
      <c r="AHM345" s="1"/>
      <c r="AHN345" s="1"/>
      <c r="AHO345" s="1"/>
      <c r="AHP345" s="1"/>
      <c r="AHQ345" s="1"/>
      <c r="AHR345" s="1"/>
      <c r="AHS345" s="1"/>
      <c r="AHT345" s="1"/>
      <c r="AHU345" s="1"/>
      <c r="AHV345" s="1"/>
      <c r="AHW345" s="1"/>
      <c r="AHX345" s="1"/>
      <c r="AHY345" s="1"/>
      <c r="AHZ345" s="1"/>
      <c r="AIA345" s="1"/>
      <c r="AIB345" s="1"/>
      <c r="AIC345" s="1"/>
      <c r="AID345" s="1"/>
      <c r="AIE345" s="1"/>
      <c r="AIF345" s="1"/>
      <c r="AIG345" s="1"/>
      <c r="AIH345" s="1"/>
      <c r="AII345" s="1"/>
      <c r="AIJ345" s="1"/>
      <c r="AIK345" s="1"/>
      <c r="AIL345" s="1"/>
      <c r="AIM345" s="1"/>
      <c r="AIN345" s="1"/>
      <c r="AIO345" s="1"/>
      <c r="AIP345" s="1"/>
      <c r="AIQ345" s="1"/>
      <c r="AIR345" s="1"/>
      <c r="AIS345" s="1"/>
      <c r="AIT345" s="1"/>
      <c r="AIU345" s="1"/>
      <c r="AIV345" s="1"/>
      <c r="AIW345" s="1"/>
      <c r="AIX345" s="1"/>
      <c r="AIY345" s="1"/>
      <c r="AIZ345" s="1"/>
      <c r="AJA345" s="1"/>
      <c r="AJB345" s="1"/>
      <c r="AJC345" s="1"/>
      <c r="AJD345" s="1"/>
      <c r="AJE345" s="1"/>
      <c r="AJF345" s="1"/>
      <c r="AJG345" s="1"/>
      <c r="AJH345" s="1"/>
      <c r="AJI345" s="1"/>
      <c r="AJJ345" s="1"/>
      <c r="AJK345" s="1"/>
      <c r="AJL345" s="1"/>
      <c r="AJM345" s="1"/>
      <c r="AJN345" s="1"/>
      <c r="AJO345" s="1"/>
      <c r="AJP345" s="1"/>
      <c r="AJQ345" s="1"/>
      <c r="AJR345" s="1"/>
      <c r="AJS345" s="1"/>
      <c r="AJT345" s="1"/>
      <c r="AJU345" s="1"/>
      <c r="AJV345" s="1"/>
      <c r="AJW345" s="1"/>
      <c r="AJX345" s="1"/>
      <c r="AJY345" s="1"/>
      <c r="AJZ345" s="1"/>
      <c r="AKA345" s="1"/>
      <c r="AKB345" s="1"/>
      <c r="AKC345" s="1"/>
      <c r="AKD345" s="1"/>
      <c r="AKE345" s="1"/>
      <c r="AKF345" s="1"/>
      <c r="AKG345" s="1"/>
      <c r="AKH345" s="1"/>
      <c r="AKI345" s="1"/>
      <c r="AKJ345" s="1"/>
      <c r="AKK345" s="1"/>
      <c r="AKL345" s="1"/>
      <c r="AKM345" s="1"/>
      <c r="AKN345" s="1"/>
      <c r="AKO345" s="1"/>
      <c r="AKP345" s="1"/>
      <c r="AKQ345" s="1"/>
      <c r="AKR345" s="1"/>
      <c r="AKS345" s="1"/>
      <c r="AKT345" s="1"/>
      <c r="AKU345" s="1"/>
      <c r="AKV345" s="1"/>
      <c r="AKW345" s="1"/>
      <c r="AKX345" s="1"/>
      <c r="AKY345" s="1"/>
      <c r="AKZ345" s="1"/>
      <c r="ALA345" s="1"/>
      <c r="ALB345" s="1"/>
      <c r="ALC345" s="1"/>
      <c r="ALD345" s="1"/>
      <c r="ALE345" s="1"/>
      <c r="ALF345" s="1"/>
      <c r="ALG345" s="1"/>
      <c r="ALH345" s="1"/>
      <c r="ALI345" s="1"/>
      <c r="ALJ345" s="1"/>
      <c r="ALK345" s="1"/>
      <c r="ALL345" s="1"/>
      <c r="ALM345" s="1"/>
      <c r="ALN345" s="1"/>
      <c r="ALO345" s="1"/>
      <c r="ALP345" s="1"/>
      <c r="ALQ345" s="1"/>
      <c r="ALR345" s="1"/>
      <c r="ALS345" s="1"/>
      <c r="ALT345" s="1"/>
      <c r="ALU345" s="1"/>
      <c r="ALV345" s="1"/>
      <c r="ALW345" s="1"/>
      <c r="ALX345" s="1"/>
      <c r="ALY345" s="1"/>
      <c r="ALZ345" s="1"/>
      <c r="AMA345" s="1"/>
      <c r="AMB345" s="1"/>
      <c r="AMC345" s="1"/>
      <c r="AMD345" s="1"/>
      <c r="AME345" s="1"/>
      <c r="AMF345" s="1"/>
      <c r="AMG345" s="1"/>
      <c r="AMH345" s="1"/>
      <c r="AMI345" s="1"/>
      <c r="AMJ345" s="1"/>
      <c r="AMK345" s="1"/>
      <c r="AML345" s="1"/>
      <c r="AMM345" s="1"/>
      <c r="AMN345" s="1"/>
      <c r="AMO345" s="1"/>
    </row>
    <row r="346" spans="1:1030" x14ac:dyDescent="0.2">
      <c r="A346" s="3" t="str">
        <f>CONCATENATE(B346,"_",C346)</f>
        <v>ox2r_human_5WQC</v>
      </c>
      <c r="B346" s="3" t="s">
        <v>1169</v>
      </c>
      <c r="C346" s="3" t="s">
        <v>1441</v>
      </c>
      <c r="D346" s="3" t="str">
        <f>IFERROR(MID(VLOOKUP($B346,Seqs!$A:$B,2,0),E346,1),"")</f>
        <v>Y</v>
      </c>
      <c r="E346" s="3">
        <v>53</v>
      </c>
      <c r="F346" s="3" t="str">
        <f>IFERROR(MID(VLOOKUP($B346,Seqs!$A:$B,2,0),G346,1),"")</f>
        <v>N</v>
      </c>
      <c r="G346" s="3">
        <v>82</v>
      </c>
      <c r="H346" s="3" t="str">
        <f>IFERROR(MID(VLOOKUP($B346,Seqs!$A:$B,2,0),I346,1),"")</f>
        <v>H</v>
      </c>
      <c r="I346" s="23">
        <v>83</v>
      </c>
      <c r="J346" s="3" t="str">
        <f>IFERROR(MID(VLOOKUP($B346,Seqs!$A:$B,2,0),K346,1),"")</f>
        <v>R</v>
      </c>
      <c r="K346" s="23">
        <v>86</v>
      </c>
      <c r="L346" s="3" t="str">
        <f>IFERROR(MID(VLOOKUP($B346,Seqs!$A:$B,2,0),M346,1),"")</f>
        <v>T</v>
      </c>
      <c r="M346" s="3">
        <v>87</v>
      </c>
      <c r="N346" s="3" t="str">
        <f>IFERROR(MID(VLOOKUP($B346,Seqs!$A:$B,2,0),O346,1),"")</f>
        <v>E</v>
      </c>
      <c r="O346" s="3">
        <v>118</v>
      </c>
      <c r="P346" s="3" t="str">
        <f>IFERROR(MID(VLOOKUP($B346,Seqs!$A:$B,2,0),Q346,1),"")</f>
        <v>T</v>
      </c>
      <c r="Q346" s="3">
        <v>119</v>
      </c>
      <c r="R346" s="3" t="str">
        <f>IFERROR(MID(VLOOKUP($B346,Seqs!$A:$B,2,0),S346,1),"")</f>
        <v>F</v>
      </c>
      <c r="S346" s="3">
        <v>122</v>
      </c>
      <c r="T346" s="3" t="str">
        <f>IFERROR(MID(VLOOKUP($B346,Seqs!$A:$B,2,0),U346,1),"")</f>
        <v>G</v>
      </c>
      <c r="U346" s="3">
        <v>123</v>
      </c>
      <c r="V346" s="3" t="str">
        <f>IFERROR(MID(VLOOKUP($B346,Seqs!$A:$B,2,0),W346,1),"")</f>
        <v>H</v>
      </c>
      <c r="W346" s="3">
        <v>158</v>
      </c>
      <c r="X346" s="3" t="str">
        <f>IFERROR(MID(VLOOKUP($B346,Seqs!$A:$B,2,0),Y346,1),"")</f>
        <v/>
      </c>
      <c r="Y346" s="3" t="s">
        <v>23</v>
      </c>
      <c r="Z346" s="3" t="str">
        <f>IFERROR(MID(VLOOKUP($B346,Seqs!$A:$B,2,0),AA346,1),"")</f>
        <v/>
      </c>
      <c r="AA346" s="3" t="s">
        <v>23</v>
      </c>
      <c r="AB346" s="3" t="str">
        <f>IFERROR(MID(VLOOKUP($B346,Seqs!$A:$B,2,0),AC346,1),"")</f>
        <v>T</v>
      </c>
      <c r="AC346" s="3">
        <v>165</v>
      </c>
      <c r="AD346" s="3" t="str">
        <f>IFERROR(MID(VLOOKUP($B346,Seqs!$A:$B,2,0),AE346,1),"")</f>
        <v>M</v>
      </c>
      <c r="AE346" s="3">
        <v>191</v>
      </c>
      <c r="AF346" s="3" t="str">
        <f>IFERROR(MID(VLOOKUP($B346,Seqs!$A:$B,2,0),AG346,1),"")</f>
        <v>C</v>
      </c>
      <c r="AG346" s="3">
        <v>210</v>
      </c>
      <c r="AH346" s="3" t="str">
        <f>IFERROR(MID(VLOOKUP($B346,Seqs!$A:$B,2,0),AI346,1),"")</f>
        <v>E</v>
      </c>
      <c r="AI346" s="3">
        <v>212</v>
      </c>
      <c r="AJ346" s="3" t="str">
        <f>IFERROR(MID(VLOOKUP($B346,Seqs!$A:$B,2,0),AK346,1),"")</f>
        <v>I</v>
      </c>
      <c r="AK346" s="3">
        <v>218</v>
      </c>
      <c r="AL346" s="3" t="str">
        <f>IFERROR(MID(VLOOKUP($B346,Seqs!$A:$B,2,0),AM346,1),"")</f>
        <v>C</v>
      </c>
      <c r="AM346" s="3">
        <v>252</v>
      </c>
      <c r="AN346" s="3" t="str">
        <f>IFERROR(MID(VLOOKUP($B346,Seqs!$A:$B,2,0),AO346,1),"")</f>
        <v>K</v>
      </c>
      <c r="AO346" s="3">
        <v>294</v>
      </c>
      <c r="AP346" s="3" t="str">
        <f>IFERROR(MID(VLOOKUP($B346,Seqs!$A:$B,2,0),AQ346,1),"")</f>
        <v>F</v>
      </c>
      <c r="AQ346" s="3">
        <v>330</v>
      </c>
      <c r="AR346" s="3" t="str">
        <f>IFERROR(MID(VLOOKUP($B346,Seqs!$A:$B,2,0),AS346,1),"")</f>
        <v>D</v>
      </c>
      <c r="AS346" s="3">
        <v>338</v>
      </c>
      <c r="AT346" s="3" t="str">
        <f>IFERROR(MID(VLOOKUP($B346,Seqs!$A:$B,2,0),AU346,1),"")</f>
        <v>L</v>
      </c>
      <c r="AU346" s="3">
        <v>367</v>
      </c>
      <c r="AV346" s="3" t="str">
        <f>IFERROR(MID(VLOOKUP($B346,Seqs!$A:$B,2,0),AW346,1),"")</f>
        <v>S</v>
      </c>
      <c r="AW346" s="3">
        <v>368</v>
      </c>
      <c r="AX346" s="3" t="str">
        <f>IFERROR(MID(VLOOKUP($B346,Seqs!$A:$B,2,0),AY346,1),"")</f>
        <v>C</v>
      </c>
      <c r="AY346" s="3">
        <v>383</v>
      </c>
      <c r="AZ346" s="77" t="str">
        <f>VLOOKUP(B346,Classification!A:D,2,0)</f>
        <v>A</v>
      </c>
      <c r="BA346" s="94" t="str">
        <f>VLOOKUP(B346,Classification!A:D,4,0)</f>
        <v>Orexin</v>
      </c>
      <c r="BB346" s="27" t="b">
        <f>AND(E346&lt;G346,OR(G346&lt;I346,I346="-"),OR(I346&lt;K346,I346="-"),OR(K346&lt;M346,K346="-"),M346&lt;O346,OR(O346&lt;Q346,Q346="-"),OR(Q346&lt;S346,Q346="-"),OR(S346&lt;U346,S346="-"),U346&lt;W346,OR(W346&lt;Y346,Y346="-"),OR(Y346&lt;AA346,Y346="-"),OR(AA346&lt;AC346,AA346="-"),AC346&lt;AE346,OR(AE346&lt;AG346,AG346="-"),OR(AG346&lt;AI346,AG346="-"),OR(AI346&lt;AK346,AI346="-"),AK346&lt;AM346,AM346&lt;AO346,AO346&lt;AQ346,AQ346&lt;AS346,AS346&lt;AU346,OR(AU346&lt;AW346,AW346="-"),OR(AW346&lt;AY346,AW346="-"))</f>
        <v>1</v>
      </c>
      <c r="BC346" s="23">
        <f>_xlfn.AGGREGATE(9,6,CH346:CS346)-_xlfn.AGGREGATE(9,6,BV346:CG346)+12</f>
        <v>255</v>
      </c>
      <c r="BD346" s="2" t="s">
        <v>23</v>
      </c>
      <c r="BE346" s="3" t="s">
        <v>1368</v>
      </c>
      <c r="BF346" s="118">
        <v>1.96</v>
      </c>
      <c r="BG346" s="49" t="s">
        <v>1</v>
      </c>
      <c r="BH346" s="49" t="s">
        <v>1</v>
      </c>
      <c r="BI346" s="1"/>
      <c r="BJ346" s="70" t="s">
        <v>1281</v>
      </c>
      <c r="BK346" s="57" t="s">
        <v>1281</v>
      </c>
      <c r="BL346" s="57" t="s">
        <v>1281</v>
      </c>
      <c r="BM346" s="57" t="s">
        <v>1281</v>
      </c>
      <c r="BN346" s="57" t="s">
        <v>1281</v>
      </c>
      <c r="BO346" s="57" t="s">
        <v>1281</v>
      </c>
      <c r="BP346" s="57" t="s">
        <v>1281</v>
      </c>
      <c r="BQ346" s="57" t="s">
        <v>1281</v>
      </c>
      <c r="BR346" s="57" t="s">
        <v>1281</v>
      </c>
      <c r="BS346" s="57" t="s">
        <v>1281</v>
      </c>
      <c r="BT346" s="57" t="s">
        <v>1281</v>
      </c>
      <c r="BU346" s="57" t="s">
        <v>1281</v>
      </c>
      <c r="BV346" s="70">
        <f>E346</f>
        <v>53</v>
      </c>
      <c r="BW346" s="71">
        <f>I346</f>
        <v>83</v>
      </c>
      <c r="BX346" s="72">
        <f>M346</f>
        <v>87</v>
      </c>
      <c r="BY346" s="71">
        <f>Q346</f>
        <v>119</v>
      </c>
      <c r="BZ346" s="72">
        <f>U346</f>
        <v>123</v>
      </c>
      <c r="CA346" s="71" t="str">
        <f>Y346</f>
        <v>-</v>
      </c>
      <c r="CB346" s="72">
        <f>AC346</f>
        <v>165</v>
      </c>
      <c r="CC346" s="71">
        <f>AG346</f>
        <v>210</v>
      </c>
      <c r="CD346" s="72">
        <f>AK346</f>
        <v>218</v>
      </c>
      <c r="CE346" s="71">
        <f>AO346</f>
        <v>294</v>
      </c>
      <c r="CF346" s="72">
        <f>AS346</f>
        <v>338</v>
      </c>
      <c r="CG346" s="71">
        <f>AW346</f>
        <v>368</v>
      </c>
      <c r="CH346" s="70">
        <f>G346</f>
        <v>82</v>
      </c>
      <c r="CI346" s="71">
        <f>K346</f>
        <v>86</v>
      </c>
      <c r="CJ346" s="72">
        <f>O346</f>
        <v>118</v>
      </c>
      <c r="CK346" s="72">
        <f>S346</f>
        <v>122</v>
      </c>
      <c r="CL346" s="72">
        <f>W346</f>
        <v>158</v>
      </c>
      <c r="CM346" s="72" t="str">
        <f>AA346</f>
        <v>-</v>
      </c>
      <c r="CN346" s="72">
        <f>AE346</f>
        <v>191</v>
      </c>
      <c r="CO346" s="72">
        <f>AI346</f>
        <v>212</v>
      </c>
      <c r="CP346" s="72">
        <f>AM346</f>
        <v>252</v>
      </c>
      <c r="CQ346" s="72">
        <f>AQ346</f>
        <v>330</v>
      </c>
      <c r="CR346" s="72">
        <f>AU346</f>
        <v>367</v>
      </c>
      <c r="CS346" s="72">
        <f>AY346</f>
        <v>383</v>
      </c>
      <c r="CT346" s="23">
        <f>M346-K346</f>
        <v>1</v>
      </c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  <c r="QM346" s="1"/>
      <c r="QN346" s="1"/>
      <c r="QO346" s="1"/>
      <c r="QP346" s="1"/>
      <c r="QQ346" s="1"/>
      <c r="QR346" s="1"/>
      <c r="QS346" s="1"/>
      <c r="QT346" s="1"/>
      <c r="QU346" s="1"/>
      <c r="QV346" s="1"/>
      <c r="QW346" s="1"/>
      <c r="QX346" s="1"/>
      <c r="QY346" s="1"/>
      <c r="QZ346" s="1"/>
      <c r="RA346" s="1"/>
      <c r="RB346" s="1"/>
      <c r="RC346" s="1"/>
      <c r="RD346" s="1"/>
      <c r="RE346" s="1"/>
      <c r="RF346" s="1"/>
      <c r="RG346" s="1"/>
      <c r="RH346" s="1"/>
      <c r="RI346" s="1"/>
      <c r="RJ346" s="1"/>
      <c r="RK346" s="1"/>
      <c r="RL346" s="1"/>
      <c r="RM346" s="1"/>
      <c r="RN346" s="1"/>
      <c r="RO346" s="1"/>
      <c r="RP346" s="1"/>
      <c r="RQ346" s="1"/>
      <c r="RR346" s="1"/>
      <c r="RS346" s="1"/>
      <c r="RT346" s="1"/>
      <c r="RU346" s="1"/>
      <c r="RV346" s="1"/>
      <c r="RW346" s="1"/>
      <c r="RX346" s="1"/>
      <c r="RY346" s="1"/>
      <c r="RZ346" s="1"/>
      <c r="SA346" s="1"/>
      <c r="SB346" s="1"/>
      <c r="SC346" s="1"/>
      <c r="SD346" s="1"/>
      <c r="SE346" s="1"/>
      <c r="SF346" s="1"/>
      <c r="SG346" s="1"/>
      <c r="SH346" s="1"/>
      <c r="SI346" s="1"/>
      <c r="SJ346" s="1"/>
      <c r="SK346" s="1"/>
      <c r="SL346" s="1"/>
      <c r="SM346" s="1"/>
      <c r="SN346" s="1"/>
      <c r="SO346" s="1"/>
      <c r="SP346" s="1"/>
      <c r="SQ346" s="1"/>
      <c r="SR346" s="1"/>
      <c r="SS346" s="1"/>
      <c r="ST346" s="1"/>
      <c r="SU346" s="1"/>
      <c r="SV346" s="1"/>
      <c r="SW346" s="1"/>
      <c r="SX346" s="1"/>
      <c r="SY346" s="1"/>
      <c r="SZ346" s="1"/>
      <c r="TA346" s="1"/>
      <c r="TB346" s="1"/>
      <c r="TC346" s="1"/>
      <c r="TD346" s="1"/>
      <c r="TE346" s="1"/>
      <c r="TF346" s="1"/>
      <c r="TG346" s="1"/>
      <c r="TH346" s="1"/>
      <c r="TI346" s="1"/>
      <c r="TJ346" s="1"/>
      <c r="TK346" s="1"/>
      <c r="TL346" s="1"/>
      <c r="TM346" s="1"/>
      <c r="TN346" s="1"/>
      <c r="TO346" s="1"/>
      <c r="TP346" s="1"/>
      <c r="TQ346" s="1"/>
      <c r="TR346" s="1"/>
      <c r="TS346" s="1"/>
      <c r="TT346" s="1"/>
      <c r="TU346" s="1"/>
      <c r="TV346" s="1"/>
      <c r="TW346" s="1"/>
      <c r="TX346" s="1"/>
      <c r="TY346" s="1"/>
      <c r="TZ346" s="1"/>
      <c r="UA346" s="1"/>
      <c r="UB346" s="1"/>
      <c r="UC346" s="1"/>
      <c r="UD346" s="1"/>
      <c r="UE346" s="1"/>
      <c r="UF346" s="1"/>
      <c r="UG346" s="1"/>
      <c r="UH346" s="1"/>
      <c r="UI346" s="1"/>
      <c r="UJ346" s="1"/>
      <c r="UK346" s="1"/>
      <c r="UL346" s="1"/>
      <c r="UM346" s="1"/>
      <c r="UN346" s="1"/>
      <c r="UO346" s="1"/>
      <c r="UP346" s="1"/>
      <c r="UQ346" s="1"/>
      <c r="UR346" s="1"/>
      <c r="US346" s="1"/>
      <c r="UT346" s="1"/>
      <c r="UU346" s="1"/>
      <c r="UV346" s="1"/>
      <c r="UW346" s="1"/>
      <c r="UX346" s="1"/>
      <c r="UY346" s="1"/>
      <c r="UZ346" s="1"/>
      <c r="VA346" s="1"/>
      <c r="VB346" s="1"/>
      <c r="VC346" s="1"/>
      <c r="VD346" s="1"/>
      <c r="VE346" s="1"/>
      <c r="VF346" s="1"/>
      <c r="VG346" s="1"/>
      <c r="VH346" s="1"/>
      <c r="VI346" s="1"/>
      <c r="VJ346" s="1"/>
      <c r="VK346" s="1"/>
      <c r="VL346" s="1"/>
      <c r="VM346" s="1"/>
      <c r="VN346" s="1"/>
      <c r="VO346" s="1"/>
      <c r="VP346" s="1"/>
      <c r="VQ346" s="1"/>
      <c r="VR346" s="1"/>
      <c r="VS346" s="1"/>
      <c r="VT346" s="1"/>
      <c r="VU346" s="1"/>
      <c r="VV346" s="1"/>
      <c r="VW346" s="1"/>
      <c r="VX346" s="1"/>
      <c r="VY346" s="1"/>
      <c r="VZ346" s="1"/>
      <c r="WA346" s="1"/>
      <c r="WB346" s="1"/>
      <c r="WC346" s="1"/>
      <c r="WD346" s="1"/>
      <c r="WE346" s="1"/>
      <c r="WF346" s="1"/>
      <c r="WG346" s="1"/>
      <c r="WH346" s="1"/>
      <c r="WI346" s="1"/>
      <c r="WJ346" s="1"/>
      <c r="WK346" s="1"/>
      <c r="WL346" s="1"/>
      <c r="WM346" s="1"/>
      <c r="WN346" s="1"/>
      <c r="WO346" s="1"/>
      <c r="WP346" s="1"/>
      <c r="WQ346" s="1"/>
      <c r="WR346" s="1"/>
      <c r="WS346" s="1"/>
      <c r="WT346" s="1"/>
      <c r="WU346" s="1"/>
      <c r="WV346" s="1"/>
      <c r="WW346" s="1"/>
      <c r="WX346" s="1"/>
      <c r="WY346" s="1"/>
      <c r="WZ346" s="1"/>
      <c r="XA346" s="1"/>
      <c r="XB346" s="1"/>
      <c r="XC346" s="1"/>
      <c r="XD346" s="1"/>
      <c r="XE346" s="1"/>
      <c r="XF346" s="1"/>
      <c r="XG346" s="1"/>
      <c r="XH346" s="1"/>
      <c r="XI346" s="1"/>
      <c r="XJ346" s="1"/>
      <c r="XK346" s="1"/>
      <c r="XL346" s="1"/>
      <c r="XM346" s="1"/>
      <c r="XN346" s="1"/>
      <c r="XO346" s="1"/>
      <c r="XP346" s="1"/>
      <c r="XQ346" s="1"/>
      <c r="XR346" s="1"/>
      <c r="XS346" s="1"/>
      <c r="XT346" s="1"/>
      <c r="XU346" s="1"/>
      <c r="XV346" s="1"/>
      <c r="XW346" s="1"/>
      <c r="XX346" s="1"/>
      <c r="XY346" s="1"/>
      <c r="XZ346" s="1"/>
      <c r="YA346" s="1"/>
      <c r="YB346" s="1"/>
      <c r="YC346" s="1"/>
      <c r="YD346" s="1"/>
      <c r="YE346" s="1"/>
      <c r="YF346" s="1"/>
      <c r="YG346" s="1"/>
      <c r="YH346" s="1"/>
      <c r="YI346" s="1"/>
      <c r="YJ346" s="1"/>
      <c r="YK346" s="1"/>
      <c r="YL346" s="1"/>
      <c r="YM346" s="1"/>
      <c r="YN346" s="1"/>
      <c r="YO346" s="1"/>
      <c r="YP346" s="1"/>
      <c r="YQ346" s="1"/>
      <c r="YR346" s="1"/>
      <c r="YS346" s="1"/>
      <c r="YT346" s="1"/>
      <c r="YU346" s="1"/>
      <c r="YV346" s="1"/>
      <c r="YW346" s="1"/>
      <c r="YX346" s="1"/>
      <c r="YY346" s="1"/>
      <c r="YZ346" s="1"/>
      <c r="ZA346" s="1"/>
      <c r="ZB346" s="1"/>
      <c r="ZC346" s="1"/>
      <c r="ZD346" s="1"/>
      <c r="ZE346" s="1"/>
      <c r="ZF346" s="1"/>
      <c r="ZG346" s="1"/>
      <c r="ZH346" s="1"/>
      <c r="ZI346" s="1"/>
      <c r="ZJ346" s="1"/>
      <c r="ZK346" s="1"/>
      <c r="ZL346" s="1"/>
      <c r="ZM346" s="1"/>
      <c r="ZN346" s="1"/>
      <c r="ZO346" s="1"/>
      <c r="ZP346" s="1"/>
      <c r="ZQ346" s="1"/>
      <c r="ZR346" s="1"/>
      <c r="ZS346" s="1"/>
      <c r="ZT346" s="1"/>
      <c r="ZU346" s="1"/>
      <c r="ZV346" s="1"/>
      <c r="ZW346" s="1"/>
      <c r="ZX346" s="1"/>
      <c r="ZY346" s="1"/>
      <c r="ZZ346" s="1"/>
      <c r="AAA346" s="1"/>
      <c r="AAB346" s="1"/>
      <c r="AAC346" s="1"/>
      <c r="AAD346" s="1"/>
      <c r="AAE346" s="1"/>
      <c r="AAF346" s="1"/>
      <c r="AAG346" s="1"/>
      <c r="AAH346" s="1"/>
      <c r="AAI346" s="1"/>
      <c r="AAJ346" s="1"/>
      <c r="AAK346" s="1"/>
      <c r="AAL346" s="1"/>
      <c r="AAM346" s="1"/>
      <c r="AAN346" s="1"/>
      <c r="AAO346" s="1"/>
      <c r="AAP346" s="1"/>
      <c r="AAQ346" s="1"/>
      <c r="AAR346" s="1"/>
      <c r="AAS346" s="1"/>
      <c r="AAT346" s="1"/>
      <c r="AAU346" s="1"/>
      <c r="AAV346" s="1"/>
      <c r="AAW346" s="1"/>
      <c r="AAX346" s="1"/>
      <c r="AAY346" s="1"/>
      <c r="AAZ346" s="1"/>
      <c r="ABA346" s="1"/>
      <c r="ABB346" s="1"/>
      <c r="ABC346" s="1"/>
      <c r="ABD346" s="1"/>
      <c r="ABE346" s="1"/>
      <c r="ABF346" s="1"/>
      <c r="ABG346" s="1"/>
      <c r="ABH346" s="1"/>
      <c r="ABI346" s="1"/>
      <c r="ABJ346" s="1"/>
      <c r="ABK346" s="1"/>
      <c r="ABL346" s="1"/>
      <c r="ABM346" s="1"/>
      <c r="ABN346" s="1"/>
      <c r="ABO346" s="1"/>
      <c r="ABP346" s="1"/>
      <c r="ABQ346" s="1"/>
      <c r="ABR346" s="1"/>
      <c r="ABS346" s="1"/>
      <c r="ABT346" s="1"/>
      <c r="ABU346" s="1"/>
      <c r="ABV346" s="1"/>
      <c r="ABW346" s="1"/>
      <c r="ABX346" s="1"/>
      <c r="ABY346" s="1"/>
      <c r="ABZ346" s="1"/>
      <c r="ACA346" s="1"/>
      <c r="ACB346" s="1"/>
      <c r="ACC346" s="1"/>
      <c r="ACD346" s="1"/>
      <c r="ACE346" s="1"/>
      <c r="ACF346" s="1"/>
      <c r="ACG346" s="1"/>
      <c r="ACH346" s="1"/>
      <c r="ACI346" s="1"/>
      <c r="ACJ346" s="1"/>
      <c r="ACK346" s="1"/>
      <c r="ACL346" s="1"/>
      <c r="ACM346" s="1"/>
      <c r="ACN346" s="1"/>
      <c r="ACO346" s="1"/>
      <c r="ACP346" s="1"/>
      <c r="ACQ346" s="1"/>
      <c r="ACR346" s="1"/>
      <c r="ACS346" s="1"/>
      <c r="ACT346" s="1"/>
      <c r="ACU346" s="1"/>
      <c r="ACV346" s="1"/>
      <c r="ACW346" s="1"/>
      <c r="ACX346" s="1"/>
      <c r="ACY346" s="1"/>
      <c r="ACZ346" s="1"/>
      <c r="ADA346" s="1"/>
      <c r="ADB346" s="1"/>
      <c r="ADC346" s="1"/>
      <c r="ADD346" s="1"/>
      <c r="ADE346" s="1"/>
      <c r="ADF346" s="1"/>
      <c r="ADG346" s="1"/>
      <c r="ADH346" s="1"/>
      <c r="ADI346" s="1"/>
      <c r="ADJ346" s="1"/>
      <c r="ADK346" s="1"/>
      <c r="ADL346" s="1"/>
      <c r="ADM346" s="1"/>
      <c r="ADN346" s="1"/>
      <c r="ADO346" s="1"/>
      <c r="ADP346" s="1"/>
      <c r="ADQ346" s="1"/>
      <c r="ADR346" s="1"/>
      <c r="ADS346" s="1"/>
      <c r="ADT346" s="1"/>
      <c r="ADU346" s="1"/>
      <c r="ADV346" s="1"/>
      <c r="ADW346" s="1"/>
      <c r="ADX346" s="1"/>
      <c r="ADY346" s="1"/>
      <c r="ADZ346" s="1"/>
      <c r="AEA346" s="1"/>
      <c r="AEB346" s="1"/>
      <c r="AEC346" s="1"/>
      <c r="AED346" s="1"/>
      <c r="AEE346" s="1"/>
      <c r="AEF346" s="1"/>
      <c r="AEG346" s="1"/>
      <c r="AEH346" s="1"/>
      <c r="AEI346" s="1"/>
      <c r="AEJ346" s="1"/>
      <c r="AEK346" s="1"/>
      <c r="AEL346" s="1"/>
      <c r="AEM346" s="1"/>
      <c r="AEN346" s="1"/>
      <c r="AEO346" s="1"/>
      <c r="AEP346" s="1"/>
      <c r="AEQ346" s="1"/>
      <c r="AER346" s="1"/>
      <c r="AES346" s="1"/>
      <c r="AET346" s="1"/>
      <c r="AEU346" s="1"/>
      <c r="AEV346" s="1"/>
      <c r="AEW346" s="1"/>
      <c r="AEX346" s="1"/>
      <c r="AEY346" s="1"/>
      <c r="AEZ346" s="1"/>
      <c r="AFA346" s="1"/>
      <c r="AFB346" s="1"/>
      <c r="AFC346" s="1"/>
      <c r="AFD346" s="1"/>
      <c r="AFE346" s="1"/>
      <c r="AFF346" s="1"/>
      <c r="AFG346" s="1"/>
      <c r="AFH346" s="1"/>
      <c r="AFI346" s="1"/>
      <c r="AFJ346" s="1"/>
      <c r="AFK346" s="1"/>
      <c r="AFL346" s="1"/>
      <c r="AFM346" s="1"/>
      <c r="AFN346" s="1"/>
      <c r="AFO346" s="1"/>
      <c r="AFP346" s="1"/>
      <c r="AFQ346" s="1"/>
      <c r="AFR346" s="1"/>
      <c r="AFS346" s="1"/>
      <c r="AFT346" s="1"/>
      <c r="AFU346" s="1"/>
      <c r="AFV346" s="1"/>
      <c r="AFW346" s="1"/>
      <c r="AFX346" s="1"/>
      <c r="AFY346" s="1"/>
      <c r="AFZ346" s="1"/>
      <c r="AGA346" s="1"/>
      <c r="AGB346" s="1"/>
      <c r="AGC346" s="1"/>
      <c r="AGD346" s="1"/>
      <c r="AGE346" s="1"/>
      <c r="AGF346" s="1"/>
      <c r="AGG346" s="1"/>
      <c r="AGH346" s="1"/>
      <c r="AGI346" s="1"/>
      <c r="AGJ346" s="1"/>
      <c r="AGK346" s="1"/>
      <c r="AGL346" s="1"/>
      <c r="AGM346" s="1"/>
      <c r="AGN346" s="1"/>
      <c r="AGO346" s="1"/>
      <c r="AGP346" s="1"/>
      <c r="AGQ346" s="1"/>
      <c r="AGR346" s="1"/>
      <c r="AGS346" s="1"/>
      <c r="AGT346" s="1"/>
      <c r="AGU346" s="1"/>
      <c r="AGV346" s="1"/>
      <c r="AGW346" s="1"/>
      <c r="AGX346" s="1"/>
      <c r="AGY346" s="1"/>
      <c r="AGZ346" s="1"/>
      <c r="AHA346" s="1"/>
      <c r="AHB346" s="1"/>
      <c r="AHC346" s="1"/>
      <c r="AHD346" s="1"/>
      <c r="AHE346" s="1"/>
      <c r="AHF346" s="1"/>
      <c r="AHG346" s="1"/>
      <c r="AHH346" s="1"/>
      <c r="AHI346" s="1"/>
      <c r="AHJ346" s="1"/>
      <c r="AHK346" s="1"/>
      <c r="AHL346" s="1"/>
      <c r="AHM346" s="1"/>
      <c r="AHN346" s="1"/>
      <c r="AHO346" s="1"/>
      <c r="AHP346" s="1"/>
      <c r="AHQ346" s="1"/>
      <c r="AHR346" s="1"/>
      <c r="AHS346" s="1"/>
      <c r="AHT346" s="1"/>
      <c r="AHU346" s="1"/>
      <c r="AHV346" s="1"/>
      <c r="AHW346" s="1"/>
      <c r="AHX346" s="1"/>
      <c r="AHY346" s="1"/>
      <c r="AHZ346" s="1"/>
      <c r="AIA346" s="1"/>
      <c r="AIB346" s="1"/>
      <c r="AIC346" s="1"/>
      <c r="AID346" s="1"/>
      <c r="AIE346" s="1"/>
      <c r="AIF346" s="1"/>
      <c r="AIG346" s="1"/>
      <c r="AIH346" s="1"/>
      <c r="AII346" s="1"/>
      <c r="AIJ346" s="1"/>
      <c r="AIK346" s="1"/>
      <c r="AIL346" s="1"/>
      <c r="AIM346" s="1"/>
      <c r="AIN346" s="1"/>
      <c r="AIO346" s="1"/>
      <c r="AIP346" s="1"/>
      <c r="AIQ346" s="1"/>
      <c r="AIR346" s="1"/>
      <c r="AIS346" s="1"/>
      <c r="AIT346" s="1"/>
      <c r="AIU346" s="1"/>
      <c r="AIV346" s="1"/>
      <c r="AIW346" s="1"/>
      <c r="AIX346" s="1"/>
      <c r="AIY346" s="1"/>
      <c r="AIZ346" s="1"/>
      <c r="AJA346" s="1"/>
      <c r="AJB346" s="1"/>
      <c r="AJC346" s="1"/>
      <c r="AJD346" s="1"/>
      <c r="AJE346" s="1"/>
      <c r="AJF346" s="1"/>
      <c r="AJG346" s="1"/>
      <c r="AJH346" s="1"/>
      <c r="AJI346" s="1"/>
      <c r="AJJ346" s="1"/>
      <c r="AJK346" s="1"/>
      <c r="AJL346" s="1"/>
      <c r="AJM346" s="1"/>
      <c r="AJN346" s="1"/>
      <c r="AJO346" s="1"/>
      <c r="AJP346" s="1"/>
      <c r="AJQ346" s="1"/>
      <c r="AJR346" s="1"/>
      <c r="AJS346" s="1"/>
      <c r="AJT346" s="1"/>
      <c r="AJU346" s="1"/>
      <c r="AJV346" s="1"/>
      <c r="AJW346" s="1"/>
      <c r="AJX346" s="1"/>
      <c r="AJY346" s="1"/>
      <c r="AJZ346" s="1"/>
      <c r="AKA346" s="1"/>
      <c r="AKB346" s="1"/>
      <c r="AKC346" s="1"/>
      <c r="AKD346" s="1"/>
      <c r="AKE346" s="1"/>
      <c r="AKF346" s="1"/>
      <c r="AKG346" s="1"/>
      <c r="AKH346" s="1"/>
      <c r="AKI346" s="1"/>
      <c r="AKJ346" s="1"/>
      <c r="AKK346" s="1"/>
      <c r="AKL346" s="1"/>
      <c r="AKM346" s="1"/>
      <c r="AKN346" s="1"/>
      <c r="AKO346" s="1"/>
      <c r="AKP346" s="1"/>
      <c r="AKQ346" s="1"/>
      <c r="AKR346" s="1"/>
      <c r="AKS346" s="1"/>
      <c r="AKT346" s="1"/>
      <c r="AKU346" s="1"/>
      <c r="AKV346" s="1"/>
      <c r="AKW346" s="1"/>
      <c r="AKX346" s="1"/>
      <c r="AKY346" s="1"/>
      <c r="AKZ346" s="1"/>
      <c r="ALA346" s="1"/>
      <c r="ALB346" s="1"/>
      <c r="ALC346" s="1"/>
      <c r="ALD346" s="1"/>
      <c r="ALE346" s="1"/>
      <c r="ALF346" s="1"/>
      <c r="ALG346" s="1"/>
      <c r="ALH346" s="1"/>
      <c r="ALI346" s="1"/>
      <c r="ALJ346" s="1"/>
      <c r="ALK346" s="1"/>
      <c r="ALL346" s="1"/>
      <c r="ALM346" s="1"/>
      <c r="ALN346" s="1"/>
      <c r="ALO346" s="1"/>
      <c r="ALP346" s="1"/>
      <c r="ALQ346" s="1"/>
      <c r="ALR346" s="1"/>
      <c r="ALS346" s="1"/>
      <c r="ALT346" s="1"/>
      <c r="ALU346" s="1"/>
      <c r="ALV346" s="1"/>
      <c r="ALW346" s="1"/>
      <c r="ALX346" s="1"/>
      <c r="ALY346" s="1"/>
      <c r="ALZ346" s="1"/>
      <c r="AMA346" s="1"/>
      <c r="AMB346" s="1"/>
      <c r="AMC346" s="1"/>
      <c r="AMD346" s="1"/>
      <c r="AME346" s="1"/>
      <c r="AMF346" s="1"/>
      <c r="AMG346" s="1"/>
      <c r="AMH346" s="1"/>
      <c r="AMI346" s="1"/>
      <c r="AMJ346" s="1"/>
      <c r="AMK346" s="1"/>
      <c r="AML346" s="1"/>
      <c r="AMM346" s="1"/>
      <c r="AMN346" s="1"/>
      <c r="AMO346" s="1"/>
    </row>
    <row r="347" spans="1:1030" x14ac:dyDescent="0.2">
      <c r="A347" s="3" t="str">
        <f>CONCATENATE(B347,"_",C347)</f>
        <v>ox2r_human_5WS3</v>
      </c>
      <c r="B347" s="3" t="s">
        <v>1169</v>
      </c>
      <c r="C347" s="3" t="s">
        <v>1442</v>
      </c>
      <c r="D347" s="3" t="str">
        <f>IFERROR(MID(VLOOKUP($B347,Seqs!$A:$B,2,0),E347,1),"")</f>
        <v>Y</v>
      </c>
      <c r="E347" s="3">
        <v>53</v>
      </c>
      <c r="F347" s="3" t="str">
        <f>IFERROR(MID(VLOOKUP($B347,Seqs!$A:$B,2,0),G347,1),"")</f>
        <v>N</v>
      </c>
      <c r="G347" s="3">
        <v>82</v>
      </c>
      <c r="H347" s="3" t="str">
        <f>IFERROR(MID(VLOOKUP($B347,Seqs!$A:$B,2,0),I347,1),"")</f>
        <v>H</v>
      </c>
      <c r="I347" s="23">
        <v>83</v>
      </c>
      <c r="J347" s="3" t="str">
        <f>IFERROR(MID(VLOOKUP($B347,Seqs!$A:$B,2,0),K347,1),"")</f>
        <v>R</v>
      </c>
      <c r="K347" s="23">
        <v>86</v>
      </c>
      <c r="L347" s="3" t="str">
        <f>IFERROR(MID(VLOOKUP($B347,Seqs!$A:$B,2,0),M347,1),"")</f>
        <v>T</v>
      </c>
      <c r="M347" s="3">
        <v>87</v>
      </c>
      <c r="N347" s="3" t="str">
        <f>IFERROR(MID(VLOOKUP($B347,Seqs!$A:$B,2,0),O347,1),"")</f>
        <v>E</v>
      </c>
      <c r="O347" s="3">
        <v>118</v>
      </c>
      <c r="P347" s="3" t="str">
        <f>IFERROR(MID(VLOOKUP($B347,Seqs!$A:$B,2,0),Q347,1),"")</f>
        <v>T</v>
      </c>
      <c r="Q347" s="3">
        <v>119</v>
      </c>
      <c r="R347" s="3" t="str">
        <f>IFERROR(MID(VLOOKUP($B347,Seqs!$A:$B,2,0),S347,1),"")</f>
        <v>F</v>
      </c>
      <c r="S347" s="3">
        <v>122</v>
      </c>
      <c r="T347" s="3" t="str">
        <f>IFERROR(MID(VLOOKUP($B347,Seqs!$A:$B,2,0),U347,1),"")</f>
        <v>G</v>
      </c>
      <c r="U347" s="3">
        <v>123</v>
      </c>
      <c r="V347" s="3" t="str">
        <f>IFERROR(MID(VLOOKUP($B347,Seqs!$A:$B,2,0),W347,1),"")</f>
        <v>H</v>
      </c>
      <c r="W347" s="3">
        <v>158</v>
      </c>
      <c r="X347" s="3" t="str">
        <f>IFERROR(MID(VLOOKUP($B347,Seqs!$A:$B,2,0),Y347,1),"")</f>
        <v/>
      </c>
      <c r="Y347" s="3" t="s">
        <v>23</v>
      </c>
      <c r="Z347" s="3" t="str">
        <f>IFERROR(MID(VLOOKUP($B347,Seqs!$A:$B,2,0),AA347,1),"")</f>
        <v/>
      </c>
      <c r="AA347" s="3" t="s">
        <v>23</v>
      </c>
      <c r="AB347" s="3" t="str">
        <f>IFERROR(MID(VLOOKUP($B347,Seqs!$A:$B,2,0),AC347,1),"")</f>
        <v>T</v>
      </c>
      <c r="AC347" s="3">
        <v>165</v>
      </c>
      <c r="AD347" s="3" t="str">
        <f>IFERROR(MID(VLOOKUP($B347,Seqs!$A:$B,2,0),AE347,1),"")</f>
        <v>M</v>
      </c>
      <c r="AE347" s="3">
        <v>191</v>
      </c>
      <c r="AF347" s="3" t="str">
        <f>IFERROR(MID(VLOOKUP($B347,Seqs!$A:$B,2,0),AG347,1),"")</f>
        <v>C</v>
      </c>
      <c r="AG347" s="3">
        <v>210</v>
      </c>
      <c r="AH347" s="3" t="str">
        <f>IFERROR(MID(VLOOKUP($B347,Seqs!$A:$B,2,0),AI347,1),"")</f>
        <v>E</v>
      </c>
      <c r="AI347" s="3">
        <v>212</v>
      </c>
      <c r="AJ347" s="3" t="str">
        <f>IFERROR(MID(VLOOKUP($B347,Seqs!$A:$B,2,0),AK347,1),"")</f>
        <v>I</v>
      </c>
      <c r="AK347" s="3">
        <v>218</v>
      </c>
      <c r="AL347" s="3" t="str">
        <f>IFERROR(MID(VLOOKUP($B347,Seqs!$A:$B,2,0),AM347,1),"")</f>
        <v>C</v>
      </c>
      <c r="AM347" s="3">
        <v>252</v>
      </c>
      <c r="AN347" s="3" t="str">
        <f>IFERROR(MID(VLOOKUP($B347,Seqs!$A:$B,2,0),AO347,1),"")</f>
        <v>K</v>
      </c>
      <c r="AO347" s="3">
        <v>294</v>
      </c>
      <c r="AP347" s="3" t="str">
        <f>IFERROR(MID(VLOOKUP($B347,Seqs!$A:$B,2,0),AQ347,1),"")</f>
        <v>F</v>
      </c>
      <c r="AQ347" s="3">
        <v>330</v>
      </c>
      <c r="AR347" s="3" t="str">
        <f>IFERROR(MID(VLOOKUP($B347,Seqs!$A:$B,2,0),AS347,1),"")</f>
        <v>D</v>
      </c>
      <c r="AS347" s="3">
        <v>338</v>
      </c>
      <c r="AT347" s="3" t="str">
        <f>IFERROR(MID(VLOOKUP($B347,Seqs!$A:$B,2,0),AU347,1),"")</f>
        <v>L</v>
      </c>
      <c r="AU347" s="3">
        <v>367</v>
      </c>
      <c r="AV347" s="3" t="str">
        <f>IFERROR(MID(VLOOKUP($B347,Seqs!$A:$B,2,0),AW347,1),"")</f>
        <v>S</v>
      </c>
      <c r="AW347" s="3">
        <v>368</v>
      </c>
      <c r="AX347" s="3" t="str">
        <f>IFERROR(MID(VLOOKUP($B347,Seqs!$A:$B,2,0),AY347,1),"")</f>
        <v>C</v>
      </c>
      <c r="AY347" s="3">
        <v>383</v>
      </c>
      <c r="AZ347" s="77" t="str">
        <f>VLOOKUP(B347,Classification!A:D,2,0)</f>
        <v>A</v>
      </c>
      <c r="BA347" s="94" t="str">
        <f>VLOOKUP(B347,Classification!A:D,4,0)</f>
        <v>Orexin</v>
      </c>
      <c r="BB347" s="27" t="b">
        <f>AND(E347&lt;G347,OR(G347&lt;I347,I347="-"),OR(I347&lt;K347,I347="-"),OR(K347&lt;M347,K347="-"),M347&lt;O347,OR(O347&lt;Q347,Q347="-"),OR(Q347&lt;S347,Q347="-"),OR(S347&lt;U347,S347="-"),U347&lt;W347,OR(W347&lt;Y347,Y347="-"),OR(Y347&lt;AA347,Y347="-"),OR(AA347&lt;AC347,AA347="-"),AC347&lt;AE347,OR(AE347&lt;AG347,AG347="-"),OR(AG347&lt;AI347,AG347="-"),OR(AI347&lt;AK347,AI347="-"),AK347&lt;AM347,AM347&lt;AO347,AO347&lt;AQ347,AQ347&lt;AS347,AS347&lt;AU347,OR(AU347&lt;AW347,AW347="-"),OR(AW347&lt;AY347,AW347="-"))</f>
        <v>1</v>
      </c>
      <c r="BC347" s="23">
        <f>_xlfn.AGGREGATE(9,6,CH347:CS347)-_xlfn.AGGREGATE(9,6,BV347:CG347)+12</f>
        <v>255</v>
      </c>
      <c r="BD347" s="2" t="s">
        <v>1370</v>
      </c>
      <c r="BE347" s="3" t="s">
        <v>1368</v>
      </c>
      <c r="BF347" s="118">
        <v>2.2999999999999998</v>
      </c>
      <c r="BG347" s="49" t="s">
        <v>1</v>
      </c>
      <c r="BH347" s="49" t="s">
        <v>1</v>
      </c>
      <c r="BI347" s="1"/>
      <c r="BJ347" s="70" t="s">
        <v>1281</v>
      </c>
      <c r="BK347" s="57" t="s">
        <v>1281</v>
      </c>
      <c r="BL347" s="57" t="s">
        <v>1281</v>
      </c>
      <c r="BM347" s="57" t="s">
        <v>1281</v>
      </c>
      <c r="BN347" s="57" t="s">
        <v>1281</v>
      </c>
      <c r="BO347" s="57" t="s">
        <v>1281</v>
      </c>
      <c r="BP347" s="57" t="s">
        <v>1281</v>
      </c>
      <c r="BQ347" s="57" t="s">
        <v>1281</v>
      </c>
      <c r="BR347" s="57" t="s">
        <v>1281</v>
      </c>
      <c r="BS347" s="57" t="s">
        <v>1281</v>
      </c>
      <c r="BT347" s="57" t="s">
        <v>1281</v>
      </c>
      <c r="BU347" s="57" t="s">
        <v>1281</v>
      </c>
      <c r="BV347" s="70">
        <f>E347</f>
        <v>53</v>
      </c>
      <c r="BW347" s="71">
        <f>I347</f>
        <v>83</v>
      </c>
      <c r="BX347" s="72">
        <f>M347</f>
        <v>87</v>
      </c>
      <c r="BY347" s="71">
        <f>Q347</f>
        <v>119</v>
      </c>
      <c r="BZ347" s="72">
        <f>U347</f>
        <v>123</v>
      </c>
      <c r="CA347" s="71" t="str">
        <f>Y347</f>
        <v>-</v>
      </c>
      <c r="CB347" s="72">
        <f>AC347</f>
        <v>165</v>
      </c>
      <c r="CC347" s="71">
        <f>AG347</f>
        <v>210</v>
      </c>
      <c r="CD347" s="72">
        <f>AK347</f>
        <v>218</v>
      </c>
      <c r="CE347" s="71">
        <f>AO347</f>
        <v>294</v>
      </c>
      <c r="CF347" s="72">
        <f>AS347</f>
        <v>338</v>
      </c>
      <c r="CG347" s="71">
        <f>AW347</f>
        <v>368</v>
      </c>
      <c r="CH347" s="70">
        <f>G347</f>
        <v>82</v>
      </c>
      <c r="CI347" s="71">
        <f>K347</f>
        <v>86</v>
      </c>
      <c r="CJ347" s="72">
        <f>O347</f>
        <v>118</v>
      </c>
      <c r="CK347" s="72">
        <f>S347</f>
        <v>122</v>
      </c>
      <c r="CL347" s="72">
        <f>W347</f>
        <v>158</v>
      </c>
      <c r="CM347" s="72" t="str">
        <f>AA347</f>
        <v>-</v>
      </c>
      <c r="CN347" s="72">
        <f>AE347</f>
        <v>191</v>
      </c>
      <c r="CO347" s="72">
        <f>AI347</f>
        <v>212</v>
      </c>
      <c r="CP347" s="72">
        <f>AM347</f>
        <v>252</v>
      </c>
      <c r="CQ347" s="72">
        <f>AQ347</f>
        <v>330</v>
      </c>
      <c r="CR347" s="72">
        <f>AU347</f>
        <v>367</v>
      </c>
      <c r="CS347" s="72">
        <f>AY347</f>
        <v>383</v>
      </c>
      <c r="CT347" s="23">
        <f>M347-K347</f>
        <v>1</v>
      </c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U347" s="1"/>
      <c r="OV347" s="1"/>
      <c r="OW347" s="1"/>
      <c r="OX347" s="1"/>
      <c r="OY347" s="1"/>
      <c r="OZ347" s="1"/>
      <c r="PA347" s="1"/>
      <c r="PB347" s="1"/>
      <c r="PC347" s="1"/>
      <c r="PD347" s="1"/>
      <c r="PE347" s="1"/>
      <c r="PF347" s="1"/>
      <c r="PG347" s="1"/>
      <c r="PH347" s="1"/>
      <c r="PI347" s="1"/>
      <c r="PJ347" s="1"/>
      <c r="PK347" s="1"/>
      <c r="PL347" s="1"/>
      <c r="PM347" s="1"/>
      <c r="PN347" s="1"/>
      <c r="PO347" s="1"/>
      <c r="PP347" s="1"/>
      <c r="PQ347" s="1"/>
      <c r="PR347" s="1"/>
      <c r="PS347" s="1"/>
      <c r="PT347" s="1"/>
      <c r="PU347" s="1"/>
      <c r="PV347" s="1"/>
      <c r="PW347" s="1"/>
      <c r="PX347" s="1"/>
      <c r="PY347" s="1"/>
      <c r="PZ347" s="1"/>
      <c r="QA347" s="1"/>
      <c r="QB347" s="1"/>
      <c r="QC347" s="1"/>
      <c r="QD347" s="1"/>
      <c r="QE347" s="1"/>
      <c r="QF347" s="1"/>
      <c r="QG347" s="1"/>
      <c r="QH347" s="1"/>
      <c r="QI347" s="1"/>
      <c r="QJ347" s="1"/>
      <c r="QK347" s="1"/>
      <c r="QL347" s="1"/>
      <c r="QM347" s="1"/>
      <c r="QN347" s="1"/>
      <c r="QO347" s="1"/>
      <c r="QP347" s="1"/>
      <c r="QQ347" s="1"/>
      <c r="QR347" s="1"/>
      <c r="QS347" s="1"/>
      <c r="QT347" s="1"/>
      <c r="QU347" s="1"/>
      <c r="QV347" s="1"/>
      <c r="QW347" s="1"/>
      <c r="QX347" s="1"/>
      <c r="QY347" s="1"/>
      <c r="QZ347" s="1"/>
      <c r="RA347" s="1"/>
      <c r="RB347" s="1"/>
      <c r="RC347" s="1"/>
      <c r="RD347" s="1"/>
      <c r="RE347" s="1"/>
      <c r="RF347" s="1"/>
      <c r="RG347" s="1"/>
      <c r="RH347" s="1"/>
      <c r="RI347" s="1"/>
      <c r="RJ347" s="1"/>
      <c r="RK347" s="1"/>
      <c r="RL347" s="1"/>
      <c r="RM347" s="1"/>
      <c r="RN347" s="1"/>
      <c r="RO347" s="1"/>
      <c r="RP347" s="1"/>
      <c r="RQ347" s="1"/>
      <c r="RR347" s="1"/>
      <c r="RS347" s="1"/>
      <c r="RT347" s="1"/>
      <c r="RU347" s="1"/>
      <c r="RV347" s="1"/>
      <c r="RW347" s="1"/>
      <c r="RX347" s="1"/>
      <c r="RY347" s="1"/>
      <c r="RZ347" s="1"/>
      <c r="SA347" s="1"/>
      <c r="SB347" s="1"/>
      <c r="SC347" s="1"/>
      <c r="SD347" s="1"/>
      <c r="SE347" s="1"/>
      <c r="SF347" s="1"/>
      <c r="SG347" s="1"/>
      <c r="SH347" s="1"/>
      <c r="SI347" s="1"/>
      <c r="SJ347" s="1"/>
      <c r="SK347" s="1"/>
      <c r="SL347" s="1"/>
      <c r="SM347" s="1"/>
      <c r="SN347" s="1"/>
      <c r="SO347" s="1"/>
      <c r="SP347" s="1"/>
      <c r="SQ347" s="1"/>
      <c r="SR347" s="1"/>
      <c r="SS347" s="1"/>
      <c r="ST347" s="1"/>
      <c r="SU347" s="1"/>
      <c r="SV347" s="1"/>
      <c r="SW347" s="1"/>
      <c r="SX347" s="1"/>
      <c r="SY347" s="1"/>
      <c r="SZ347" s="1"/>
      <c r="TA347" s="1"/>
      <c r="TB347" s="1"/>
      <c r="TC347" s="1"/>
      <c r="TD347" s="1"/>
      <c r="TE347" s="1"/>
      <c r="TF347" s="1"/>
      <c r="TG347" s="1"/>
      <c r="TH347" s="1"/>
      <c r="TI347" s="1"/>
      <c r="TJ347" s="1"/>
      <c r="TK347" s="1"/>
      <c r="TL347" s="1"/>
      <c r="TM347" s="1"/>
      <c r="TN347" s="1"/>
      <c r="TO347" s="1"/>
      <c r="TP347" s="1"/>
      <c r="TQ347" s="1"/>
      <c r="TR347" s="1"/>
      <c r="TS347" s="1"/>
      <c r="TT347" s="1"/>
      <c r="TU347" s="1"/>
      <c r="TV347" s="1"/>
      <c r="TW347" s="1"/>
      <c r="TX347" s="1"/>
      <c r="TY347" s="1"/>
      <c r="TZ347" s="1"/>
      <c r="UA347" s="1"/>
      <c r="UB347" s="1"/>
      <c r="UC347" s="1"/>
      <c r="UD347" s="1"/>
      <c r="UE347" s="1"/>
      <c r="UF347" s="1"/>
      <c r="UG347" s="1"/>
      <c r="UH347" s="1"/>
      <c r="UI347" s="1"/>
      <c r="UJ347" s="1"/>
      <c r="UK347" s="1"/>
      <c r="UL347" s="1"/>
      <c r="UM347" s="1"/>
      <c r="UN347" s="1"/>
      <c r="UO347" s="1"/>
      <c r="UP347" s="1"/>
      <c r="UQ347" s="1"/>
      <c r="UR347" s="1"/>
      <c r="US347" s="1"/>
      <c r="UT347" s="1"/>
      <c r="UU347" s="1"/>
      <c r="UV347" s="1"/>
      <c r="UW347" s="1"/>
      <c r="UX347" s="1"/>
      <c r="UY347" s="1"/>
      <c r="UZ347" s="1"/>
      <c r="VA347" s="1"/>
      <c r="VB347" s="1"/>
      <c r="VC347" s="1"/>
      <c r="VD347" s="1"/>
      <c r="VE347" s="1"/>
      <c r="VF347" s="1"/>
      <c r="VG347" s="1"/>
      <c r="VH347" s="1"/>
      <c r="VI347" s="1"/>
      <c r="VJ347" s="1"/>
      <c r="VK347" s="1"/>
      <c r="VL347" s="1"/>
      <c r="VM347" s="1"/>
      <c r="VN347" s="1"/>
      <c r="VO347" s="1"/>
      <c r="VP347" s="1"/>
      <c r="VQ347" s="1"/>
      <c r="VR347" s="1"/>
      <c r="VS347" s="1"/>
      <c r="VT347" s="1"/>
      <c r="VU347" s="1"/>
      <c r="VV347" s="1"/>
      <c r="VW347" s="1"/>
      <c r="VX347" s="1"/>
      <c r="VY347" s="1"/>
      <c r="VZ347" s="1"/>
      <c r="WA347" s="1"/>
      <c r="WB347" s="1"/>
      <c r="WC347" s="1"/>
      <c r="WD347" s="1"/>
      <c r="WE347" s="1"/>
      <c r="WF347" s="1"/>
      <c r="WG347" s="1"/>
      <c r="WH347" s="1"/>
      <c r="WI347" s="1"/>
      <c r="WJ347" s="1"/>
      <c r="WK347" s="1"/>
      <c r="WL347" s="1"/>
      <c r="WM347" s="1"/>
      <c r="WN347" s="1"/>
      <c r="WO347" s="1"/>
      <c r="WP347" s="1"/>
      <c r="WQ347" s="1"/>
      <c r="WR347" s="1"/>
      <c r="WS347" s="1"/>
      <c r="WT347" s="1"/>
      <c r="WU347" s="1"/>
      <c r="WV347" s="1"/>
      <c r="WW347" s="1"/>
      <c r="WX347" s="1"/>
      <c r="WY347" s="1"/>
      <c r="WZ347" s="1"/>
      <c r="XA347" s="1"/>
      <c r="XB347" s="1"/>
      <c r="XC347" s="1"/>
      <c r="XD347" s="1"/>
      <c r="XE347" s="1"/>
      <c r="XF347" s="1"/>
      <c r="XG347" s="1"/>
      <c r="XH347" s="1"/>
      <c r="XI347" s="1"/>
      <c r="XJ347" s="1"/>
      <c r="XK347" s="1"/>
      <c r="XL347" s="1"/>
      <c r="XM347" s="1"/>
      <c r="XN347" s="1"/>
      <c r="XO347" s="1"/>
      <c r="XP347" s="1"/>
      <c r="XQ347" s="1"/>
      <c r="XR347" s="1"/>
      <c r="XS347" s="1"/>
      <c r="XT347" s="1"/>
      <c r="XU347" s="1"/>
      <c r="XV347" s="1"/>
      <c r="XW347" s="1"/>
      <c r="XX347" s="1"/>
      <c r="XY347" s="1"/>
      <c r="XZ347" s="1"/>
      <c r="YA347" s="1"/>
      <c r="YB347" s="1"/>
      <c r="YC347" s="1"/>
      <c r="YD347" s="1"/>
      <c r="YE347" s="1"/>
      <c r="YF347" s="1"/>
      <c r="YG347" s="1"/>
      <c r="YH347" s="1"/>
      <c r="YI347" s="1"/>
      <c r="YJ347" s="1"/>
      <c r="YK347" s="1"/>
      <c r="YL347" s="1"/>
      <c r="YM347" s="1"/>
      <c r="YN347" s="1"/>
      <c r="YO347" s="1"/>
      <c r="YP347" s="1"/>
      <c r="YQ347" s="1"/>
      <c r="YR347" s="1"/>
      <c r="YS347" s="1"/>
      <c r="YT347" s="1"/>
      <c r="YU347" s="1"/>
      <c r="YV347" s="1"/>
      <c r="YW347" s="1"/>
      <c r="YX347" s="1"/>
      <c r="YY347" s="1"/>
      <c r="YZ347" s="1"/>
      <c r="ZA347" s="1"/>
      <c r="ZB347" s="1"/>
      <c r="ZC347" s="1"/>
      <c r="ZD347" s="1"/>
      <c r="ZE347" s="1"/>
      <c r="ZF347" s="1"/>
      <c r="ZG347" s="1"/>
      <c r="ZH347" s="1"/>
      <c r="ZI347" s="1"/>
      <c r="ZJ347" s="1"/>
      <c r="ZK347" s="1"/>
      <c r="ZL347" s="1"/>
      <c r="ZM347" s="1"/>
      <c r="ZN347" s="1"/>
      <c r="ZO347" s="1"/>
      <c r="ZP347" s="1"/>
      <c r="ZQ347" s="1"/>
      <c r="ZR347" s="1"/>
      <c r="ZS347" s="1"/>
      <c r="ZT347" s="1"/>
      <c r="ZU347" s="1"/>
      <c r="ZV347" s="1"/>
      <c r="ZW347" s="1"/>
      <c r="ZX347" s="1"/>
      <c r="ZY347" s="1"/>
      <c r="ZZ347" s="1"/>
      <c r="AAA347" s="1"/>
      <c r="AAB347" s="1"/>
      <c r="AAC347" s="1"/>
      <c r="AAD347" s="1"/>
      <c r="AAE347" s="1"/>
      <c r="AAF347" s="1"/>
      <c r="AAG347" s="1"/>
      <c r="AAH347" s="1"/>
      <c r="AAI347" s="1"/>
      <c r="AAJ347" s="1"/>
      <c r="AAK347" s="1"/>
      <c r="AAL347" s="1"/>
      <c r="AAM347" s="1"/>
      <c r="AAN347" s="1"/>
      <c r="AAO347" s="1"/>
      <c r="AAP347" s="1"/>
      <c r="AAQ347" s="1"/>
      <c r="AAR347" s="1"/>
      <c r="AAS347" s="1"/>
      <c r="AAT347" s="1"/>
      <c r="AAU347" s="1"/>
      <c r="AAV347" s="1"/>
      <c r="AAW347" s="1"/>
      <c r="AAX347" s="1"/>
      <c r="AAY347" s="1"/>
      <c r="AAZ347" s="1"/>
      <c r="ABA347" s="1"/>
      <c r="ABB347" s="1"/>
      <c r="ABC347" s="1"/>
      <c r="ABD347" s="1"/>
      <c r="ABE347" s="1"/>
      <c r="ABF347" s="1"/>
      <c r="ABG347" s="1"/>
      <c r="ABH347" s="1"/>
      <c r="ABI347" s="1"/>
      <c r="ABJ347" s="1"/>
      <c r="ABK347" s="1"/>
      <c r="ABL347" s="1"/>
      <c r="ABM347" s="1"/>
      <c r="ABN347" s="1"/>
      <c r="ABO347" s="1"/>
      <c r="ABP347" s="1"/>
      <c r="ABQ347" s="1"/>
      <c r="ABR347" s="1"/>
      <c r="ABS347" s="1"/>
      <c r="ABT347" s="1"/>
      <c r="ABU347" s="1"/>
      <c r="ABV347" s="1"/>
      <c r="ABW347" s="1"/>
      <c r="ABX347" s="1"/>
      <c r="ABY347" s="1"/>
      <c r="ABZ347" s="1"/>
      <c r="ACA347" s="1"/>
      <c r="ACB347" s="1"/>
      <c r="ACC347" s="1"/>
      <c r="ACD347" s="1"/>
      <c r="ACE347" s="1"/>
      <c r="ACF347" s="1"/>
      <c r="ACG347" s="1"/>
      <c r="ACH347" s="1"/>
      <c r="ACI347" s="1"/>
      <c r="ACJ347" s="1"/>
      <c r="ACK347" s="1"/>
      <c r="ACL347" s="1"/>
      <c r="ACM347" s="1"/>
      <c r="ACN347" s="1"/>
      <c r="ACO347" s="1"/>
      <c r="ACP347" s="1"/>
      <c r="ACQ347" s="1"/>
      <c r="ACR347" s="1"/>
      <c r="ACS347" s="1"/>
      <c r="ACT347" s="1"/>
      <c r="ACU347" s="1"/>
      <c r="ACV347" s="1"/>
      <c r="ACW347" s="1"/>
      <c r="ACX347" s="1"/>
      <c r="ACY347" s="1"/>
      <c r="ACZ347" s="1"/>
      <c r="ADA347" s="1"/>
      <c r="ADB347" s="1"/>
      <c r="ADC347" s="1"/>
      <c r="ADD347" s="1"/>
      <c r="ADE347" s="1"/>
      <c r="ADF347" s="1"/>
      <c r="ADG347" s="1"/>
      <c r="ADH347" s="1"/>
      <c r="ADI347" s="1"/>
      <c r="ADJ347" s="1"/>
      <c r="ADK347" s="1"/>
      <c r="ADL347" s="1"/>
      <c r="ADM347" s="1"/>
      <c r="ADN347" s="1"/>
      <c r="ADO347" s="1"/>
      <c r="ADP347" s="1"/>
      <c r="ADQ347" s="1"/>
      <c r="ADR347" s="1"/>
      <c r="ADS347" s="1"/>
      <c r="ADT347" s="1"/>
      <c r="ADU347" s="1"/>
      <c r="ADV347" s="1"/>
      <c r="ADW347" s="1"/>
      <c r="ADX347" s="1"/>
      <c r="ADY347" s="1"/>
      <c r="ADZ347" s="1"/>
      <c r="AEA347" s="1"/>
      <c r="AEB347" s="1"/>
      <c r="AEC347" s="1"/>
      <c r="AED347" s="1"/>
      <c r="AEE347" s="1"/>
      <c r="AEF347" s="1"/>
      <c r="AEG347" s="1"/>
      <c r="AEH347" s="1"/>
      <c r="AEI347" s="1"/>
      <c r="AEJ347" s="1"/>
      <c r="AEK347" s="1"/>
      <c r="AEL347" s="1"/>
      <c r="AEM347" s="1"/>
      <c r="AEN347" s="1"/>
      <c r="AEO347" s="1"/>
      <c r="AEP347" s="1"/>
      <c r="AEQ347" s="1"/>
      <c r="AER347" s="1"/>
      <c r="AES347" s="1"/>
      <c r="AET347" s="1"/>
      <c r="AEU347" s="1"/>
      <c r="AEV347" s="1"/>
      <c r="AEW347" s="1"/>
      <c r="AEX347" s="1"/>
      <c r="AEY347" s="1"/>
      <c r="AEZ347" s="1"/>
      <c r="AFA347" s="1"/>
      <c r="AFB347" s="1"/>
      <c r="AFC347" s="1"/>
      <c r="AFD347" s="1"/>
      <c r="AFE347" s="1"/>
      <c r="AFF347" s="1"/>
      <c r="AFG347" s="1"/>
      <c r="AFH347" s="1"/>
      <c r="AFI347" s="1"/>
      <c r="AFJ347" s="1"/>
      <c r="AFK347" s="1"/>
      <c r="AFL347" s="1"/>
      <c r="AFM347" s="1"/>
      <c r="AFN347" s="1"/>
      <c r="AFO347" s="1"/>
      <c r="AFP347" s="1"/>
      <c r="AFQ347" s="1"/>
      <c r="AFR347" s="1"/>
      <c r="AFS347" s="1"/>
      <c r="AFT347" s="1"/>
      <c r="AFU347" s="1"/>
      <c r="AFV347" s="1"/>
      <c r="AFW347" s="1"/>
      <c r="AFX347" s="1"/>
      <c r="AFY347" s="1"/>
      <c r="AFZ347" s="1"/>
      <c r="AGA347" s="1"/>
      <c r="AGB347" s="1"/>
      <c r="AGC347" s="1"/>
      <c r="AGD347" s="1"/>
      <c r="AGE347" s="1"/>
      <c r="AGF347" s="1"/>
      <c r="AGG347" s="1"/>
      <c r="AGH347" s="1"/>
      <c r="AGI347" s="1"/>
      <c r="AGJ347" s="1"/>
      <c r="AGK347" s="1"/>
      <c r="AGL347" s="1"/>
      <c r="AGM347" s="1"/>
      <c r="AGN347" s="1"/>
      <c r="AGO347" s="1"/>
      <c r="AGP347" s="1"/>
      <c r="AGQ347" s="1"/>
      <c r="AGR347" s="1"/>
      <c r="AGS347" s="1"/>
      <c r="AGT347" s="1"/>
      <c r="AGU347" s="1"/>
      <c r="AGV347" s="1"/>
      <c r="AGW347" s="1"/>
      <c r="AGX347" s="1"/>
      <c r="AGY347" s="1"/>
      <c r="AGZ347" s="1"/>
      <c r="AHA347" s="1"/>
      <c r="AHB347" s="1"/>
      <c r="AHC347" s="1"/>
      <c r="AHD347" s="1"/>
      <c r="AHE347" s="1"/>
      <c r="AHF347" s="1"/>
      <c r="AHG347" s="1"/>
      <c r="AHH347" s="1"/>
      <c r="AHI347" s="1"/>
      <c r="AHJ347" s="1"/>
      <c r="AHK347" s="1"/>
      <c r="AHL347" s="1"/>
      <c r="AHM347" s="1"/>
      <c r="AHN347" s="1"/>
      <c r="AHO347" s="1"/>
      <c r="AHP347" s="1"/>
      <c r="AHQ347" s="1"/>
      <c r="AHR347" s="1"/>
      <c r="AHS347" s="1"/>
      <c r="AHT347" s="1"/>
      <c r="AHU347" s="1"/>
      <c r="AHV347" s="1"/>
      <c r="AHW347" s="1"/>
      <c r="AHX347" s="1"/>
      <c r="AHY347" s="1"/>
      <c r="AHZ347" s="1"/>
      <c r="AIA347" s="1"/>
      <c r="AIB347" s="1"/>
      <c r="AIC347" s="1"/>
      <c r="AID347" s="1"/>
      <c r="AIE347" s="1"/>
      <c r="AIF347" s="1"/>
      <c r="AIG347" s="1"/>
      <c r="AIH347" s="1"/>
      <c r="AII347" s="1"/>
      <c r="AIJ347" s="1"/>
      <c r="AIK347" s="1"/>
      <c r="AIL347" s="1"/>
      <c r="AIM347" s="1"/>
      <c r="AIN347" s="1"/>
      <c r="AIO347" s="1"/>
      <c r="AIP347" s="1"/>
      <c r="AIQ347" s="1"/>
      <c r="AIR347" s="1"/>
      <c r="AIS347" s="1"/>
      <c r="AIT347" s="1"/>
      <c r="AIU347" s="1"/>
      <c r="AIV347" s="1"/>
      <c r="AIW347" s="1"/>
      <c r="AIX347" s="1"/>
      <c r="AIY347" s="1"/>
      <c r="AIZ347" s="1"/>
      <c r="AJA347" s="1"/>
      <c r="AJB347" s="1"/>
      <c r="AJC347" s="1"/>
      <c r="AJD347" s="1"/>
      <c r="AJE347" s="1"/>
      <c r="AJF347" s="1"/>
      <c r="AJG347" s="1"/>
      <c r="AJH347" s="1"/>
      <c r="AJI347" s="1"/>
      <c r="AJJ347" s="1"/>
      <c r="AJK347" s="1"/>
      <c r="AJL347" s="1"/>
      <c r="AJM347" s="1"/>
      <c r="AJN347" s="1"/>
      <c r="AJO347" s="1"/>
      <c r="AJP347" s="1"/>
      <c r="AJQ347" s="1"/>
      <c r="AJR347" s="1"/>
      <c r="AJS347" s="1"/>
      <c r="AJT347" s="1"/>
      <c r="AJU347" s="1"/>
      <c r="AJV347" s="1"/>
      <c r="AJW347" s="1"/>
      <c r="AJX347" s="1"/>
      <c r="AJY347" s="1"/>
      <c r="AJZ347" s="1"/>
      <c r="AKA347" s="1"/>
      <c r="AKB347" s="1"/>
      <c r="AKC347" s="1"/>
      <c r="AKD347" s="1"/>
      <c r="AKE347" s="1"/>
      <c r="AKF347" s="1"/>
      <c r="AKG347" s="1"/>
      <c r="AKH347" s="1"/>
      <c r="AKI347" s="1"/>
      <c r="AKJ347" s="1"/>
      <c r="AKK347" s="1"/>
      <c r="AKL347" s="1"/>
      <c r="AKM347" s="1"/>
      <c r="AKN347" s="1"/>
      <c r="AKO347" s="1"/>
      <c r="AKP347" s="1"/>
      <c r="AKQ347" s="1"/>
      <c r="AKR347" s="1"/>
      <c r="AKS347" s="1"/>
      <c r="AKT347" s="1"/>
      <c r="AKU347" s="1"/>
      <c r="AKV347" s="1"/>
      <c r="AKW347" s="1"/>
      <c r="AKX347" s="1"/>
      <c r="AKY347" s="1"/>
      <c r="AKZ347" s="1"/>
      <c r="ALA347" s="1"/>
      <c r="ALB347" s="1"/>
      <c r="ALC347" s="1"/>
      <c r="ALD347" s="1"/>
      <c r="ALE347" s="1"/>
      <c r="ALF347" s="1"/>
      <c r="ALG347" s="1"/>
      <c r="ALH347" s="1"/>
      <c r="ALI347" s="1"/>
      <c r="ALJ347" s="1"/>
      <c r="ALK347" s="1"/>
      <c r="ALL347" s="1"/>
      <c r="ALM347" s="1"/>
      <c r="ALN347" s="1"/>
      <c r="ALO347" s="1"/>
      <c r="ALP347" s="1"/>
      <c r="ALQ347" s="1"/>
      <c r="ALR347" s="1"/>
      <c r="ALS347" s="1"/>
      <c r="ALT347" s="1"/>
      <c r="ALU347" s="1"/>
      <c r="ALV347" s="1"/>
      <c r="ALW347" s="1"/>
      <c r="ALX347" s="1"/>
      <c r="ALY347" s="1"/>
      <c r="ALZ347" s="1"/>
      <c r="AMA347" s="1"/>
      <c r="AMB347" s="1"/>
      <c r="AMC347" s="1"/>
      <c r="AMD347" s="1"/>
      <c r="AME347" s="1"/>
      <c r="AMF347" s="1"/>
      <c r="AMG347" s="1"/>
      <c r="AMH347" s="1"/>
      <c r="AMI347" s="1"/>
      <c r="AMJ347" s="1"/>
      <c r="AMK347" s="1"/>
      <c r="AML347" s="1"/>
      <c r="AMM347" s="1"/>
      <c r="AMN347" s="1"/>
      <c r="AMO347" s="1"/>
    </row>
    <row r="348" spans="1:1030" s="12" customFormat="1" x14ac:dyDescent="0.2">
      <c r="A348" s="9" t="str">
        <f>CONCATENATE(B348,"_",C348)</f>
        <v>ox2r_human_6TPG</v>
      </c>
      <c r="B348" s="9" t="s">
        <v>1169</v>
      </c>
      <c r="C348" s="9" t="s">
        <v>1640</v>
      </c>
      <c r="D348" s="9" t="str">
        <f>IFERROR(MID(VLOOKUP($B348,Seqs!$A:$B,2,0),E348,1),"")</f>
        <v>Y</v>
      </c>
      <c r="E348" s="9">
        <v>53</v>
      </c>
      <c r="F348" s="9" t="str">
        <f>IFERROR(MID(VLOOKUP($B348,Seqs!$A:$B,2,0),G348,1),"")</f>
        <v>N</v>
      </c>
      <c r="G348" s="9">
        <v>82</v>
      </c>
      <c r="H348" s="9" t="str">
        <f>IFERROR(MID(VLOOKUP($B348,Seqs!$A:$B,2,0),I348,1),"")</f>
        <v>H</v>
      </c>
      <c r="I348" s="109">
        <v>83</v>
      </c>
      <c r="J348" s="9" t="str">
        <f>IFERROR(MID(VLOOKUP($B348,Seqs!$A:$B,2,0),K348,1),"")</f>
        <v>R</v>
      </c>
      <c r="K348" s="109">
        <v>86</v>
      </c>
      <c r="L348" s="9" t="str">
        <f>IFERROR(MID(VLOOKUP($B348,Seqs!$A:$B,2,0),M348,1),"")</f>
        <v>T</v>
      </c>
      <c r="M348" s="9">
        <v>87</v>
      </c>
      <c r="N348" s="9" t="str">
        <f>IFERROR(MID(VLOOKUP($B348,Seqs!$A:$B,2,0),O348,1),"")</f>
        <v>E</v>
      </c>
      <c r="O348" s="9">
        <v>118</v>
      </c>
      <c r="P348" s="9" t="str">
        <f>IFERROR(MID(VLOOKUP($B348,Seqs!$A:$B,2,0),Q348,1),"")</f>
        <v>T</v>
      </c>
      <c r="Q348" s="9">
        <v>119</v>
      </c>
      <c r="R348" s="9" t="str">
        <f>IFERROR(MID(VLOOKUP($B348,Seqs!$A:$B,2,0),S348,1),"")</f>
        <v>F</v>
      </c>
      <c r="S348" s="9">
        <v>122</v>
      </c>
      <c r="T348" s="9" t="str">
        <f>IFERROR(MID(VLOOKUP($B348,Seqs!$A:$B,2,0),U348,1),"")</f>
        <v>G</v>
      </c>
      <c r="U348" s="9">
        <v>123</v>
      </c>
      <c r="V348" s="9" t="str">
        <f>IFERROR(MID(VLOOKUP($B348,Seqs!$A:$B,2,0),W348,1),"")</f>
        <v>C</v>
      </c>
      <c r="W348" s="9">
        <v>157</v>
      </c>
      <c r="X348" s="9" t="str">
        <f>IFERROR(MID(VLOOKUP($B348,Seqs!$A:$B,2,0),Y348,1),"")</f>
        <v/>
      </c>
      <c r="Y348" s="9" t="s">
        <v>23</v>
      </c>
      <c r="Z348" s="9" t="str">
        <f>IFERROR(MID(VLOOKUP($B348,Seqs!$A:$B,2,0),AA348,1),"")</f>
        <v/>
      </c>
      <c r="AA348" s="9" t="s">
        <v>23</v>
      </c>
      <c r="AB348" s="9" t="str">
        <f>IFERROR(MID(VLOOKUP($B348,Seqs!$A:$B,2,0),AC348,1),"")</f>
        <v>T</v>
      </c>
      <c r="AC348" s="9">
        <v>165</v>
      </c>
      <c r="AD348" s="9" t="str">
        <f>IFERROR(MID(VLOOKUP($B348,Seqs!$A:$B,2,0),AE348,1),"")</f>
        <v>M</v>
      </c>
      <c r="AE348" s="9">
        <v>191</v>
      </c>
      <c r="AF348" s="9" t="str">
        <f>IFERROR(MID(VLOOKUP($B348,Seqs!$A:$B,2,0),AG348,1),"")</f>
        <v>C</v>
      </c>
      <c r="AG348" s="9">
        <v>210</v>
      </c>
      <c r="AH348" s="9" t="str">
        <f>IFERROR(MID(VLOOKUP($B348,Seqs!$A:$B,2,0),AI348,1),"")</f>
        <v>E</v>
      </c>
      <c r="AI348" s="9">
        <v>212</v>
      </c>
      <c r="AJ348" s="9" t="str">
        <f>IFERROR(MID(VLOOKUP($B348,Seqs!$A:$B,2,0),AK348,1),"")</f>
        <v>I</v>
      </c>
      <c r="AK348" s="9">
        <v>218</v>
      </c>
      <c r="AL348" s="9" t="str">
        <f>IFERROR(MID(VLOOKUP($B348,Seqs!$A:$B,2,0),AM348,1),"")</f>
        <v>C</v>
      </c>
      <c r="AM348" s="9">
        <v>252</v>
      </c>
      <c r="AN348" s="9" t="str">
        <f>IFERROR(MID(VLOOKUP($B348,Seqs!$A:$B,2,0),AO348,1),"")</f>
        <v>K</v>
      </c>
      <c r="AO348" s="9">
        <v>294</v>
      </c>
      <c r="AP348" s="9" t="str">
        <f>IFERROR(MID(VLOOKUP($B348,Seqs!$A:$B,2,0),AQ348,1),"")</f>
        <v>F</v>
      </c>
      <c r="AQ348" s="9">
        <v>330</v>
      </c>
      <c r="AR348" s="9" t="str">
        <f>IFERROR(MID(VLOOKUP($B348,Seqs!$A:$B,2,0),AS348,1),"")</f>
        <v>R</v>
      </c>
      <c r="AS348" s="9">
        <v>339</v>
      </c>
      <c r="AT348" s="9" t="str">
        <f>IFERROR(MID(VLOOKUP($B348,Seqs!$A:$B,2,0),AU348,1),"")</f>
        <v>L</v>
      </c>
      <c r="AU348" s="9">
        <v>367</v>
      </c>
      <c r="AV348" s="9" t="str">
        <f>IFERROR(MID(VLOOKUP($B348,Seqs!$A:$B,2,0),AW348,1),"")</f>
        <v>S</v>
      </c>
      <c r="AW348" s="9">
        <v>368</v>
      </c>
      <c r="AX348" s="9" t="str">
        <f>IFERROR(MID(VLOOKUP($B348,Seqs!$A:$B,2,0),AY348,1),"")</f>
        <v>L</v>
      </c>
      <c r="AY348" s="9">
        <v>384</v>
      </c>
      <c r="AZ348" s="110" t="str">
        <f>VLOOKUP(B348,Classification!A:D,2,0)</f>
        <v>A</v>
      </c>
      <c r="BA348" s="98" t="str">
        <f>VLOOKUP(B348,Classification!A:D,4,0)</f>
        <v>Orexin</v>
      </c>
      <c r="BB348" s="36" t="b">
        <f>AND(E348&lt;G348,OR(G348&lt;I348,I348="-"),OR(I348&lt;K348,I348="-"),OR(K348&lt;M348,K348="-"),M348&lt;O348,OR(O348&lt;Q348,Q348="-"),OR(Q348&lt;S348,Q348="-"),OR(S348&lt;U348,S348="-"),U348&lt;W348,OR(W348&lt;Y348,Y348="-"),OR(Y348&lt;AA348,Y348="-"),OR(AA348&lt;AC348,AA348="-"),AC348&lt;AE348,OR(AE348&lt;AG348,AG348="-"),OR(AG348&lt;AI348,AG348="-"),OR(AI348&lt;AK348,AI348="-"),AK348&lt;AM348,AM348&lt;AO348,AO348&lt;AQ348,AQ348&lt;AS348,AS348&lt;AU348,OR(AU348&lt;AW348,AW348="-"),OR(AW348&lt;AY348,AW348="-"))</f>
        <v>1</v>
      </c>
      <c r="BC348" s="109">
        <f>_xlfn.AGGREGATE(9,6,CH348:CS348)-_xlfn.AGGREGATE(9,6,BV348:CG348)+12</f>
        <v>254</v>
      </c>
      <c r="BD348" s="40" t="s">
        <v>23</v>
      </c>
      <c r="BE348" s="9" t="s">
        <v>1368</v>
      </c>
      <c r="BF348" s="119">
        <v>2.74</v>
      </c>
      <c r="BG348" s="51" t="s">
        <v>1</v>
      </c>
      <c r="BH348" s="51" t="s">
        <v>1</v>
      </c>
      <c r="BJ348" s="111" t="s">
        <v>1281</v>
      </c>
      <c r="BK348" s="112" t="s">
        <v>1281</v>
      </c>
      <c r="BL348" s="112" t="s">
        <v>1281</v>
      </c>
      <c r="BM348" s="112" t="s">
        <v>1281</v>
      </c>
      <c r="BN348" s="112" t="s">
        <v>1281</v>
      </c>
      <c r="BO348" s="112" t="s">
        <v>1281</v>
      </c>
      <c r="BP348" s="112" t="s">
        <v>1281</v>
      </c>
      <c r="BQ348" s="112" t="s">
        <v>1281</v>
      </c>
      <c r="BR348" s="112" t="s">
        <v>1281</v>
      </c>
      <c r="BS348" s="112" t="s">
        <v>1281</v>
      </c>
      <c r="BT348" s="112" t="s">
        <v>1281</v>
      </c>
      <c r="BU348" s="112" t="s">
        <v>1281</v>
      </c>
      <c r="BV348" s="111">
        <f>E348</f>
        <v>53</v>
      </c>
      <c r="BW348" s="113">
        <f>I348</f>
        <v>83</v>
      </c>
      <c r="BX348" s="114">
        <f>M348</f>
        <v>87</v>
      </c>
      <c r="BY348" s="113">
        <f>Q348</f>
        <v>119</v>
      </c>
      <c r="BZ348" s="114">
        <f>U348</f>
        <v>123</v>
      </c>
      <c r="CA348" s="113" t="str">
        <f>Y348</f>
        <v>-</v>
      </c>
      <c r="CB348" s="114">
        <f>AC348</f>
        <v>165</v>
      </c>
      <c r="CC348" s="113">
        <f>AG348</f>
        <v>210</v>
      </c>
      <c r="CD348" s="114">
        <f>AK348</f>
        <v>218</v>
      </c>
      <c r="CE348" s="113">
        <f>AO348</f>
        <v>294</v>
      </c>
      <c r="CF348" s="114">
        <f>AS348</f>
        <v>339</v>
      </c>
      <c r="CG348" s="113">
        <f>AW348</f>
        <v>368</v>
      </c>
      <c r="CH348" s="111">
        <f>G348</f>
        <v>82</v>
      </c>
      <c r="CI348" s="113">
        <f>K348</f>
        <v>86</v>
      </c>
      <c r="CJ348" s="114">
        <f>O348</f>
        <v>118</v>
      </c>
      <c r="CK348" s="114">
        <f>S348</f>
        <v>122</v>
      </c>
      <c r="CL348" s="114">
        <f>W348</f>
        <v>157</v>
      </c>
      <c r="CM348" s="114" t="str">
        <f>AA348</f>
        <v>-</v>
      </c>
      <c r="CN348" s="114">
        <f>AE348</f>
        <v>191</v>
      </c>
      <c r="CO348" s="114">
        <f>AI348</f>
        <v>212</v>
      </c>
      <c r="CP348" s="114">
        <f>AM348</f>
        <v>252</v>
      </c>
      <c r="CQ348" s="114">
        <f>AQ348</f>
        <v>330</v>
      </c>
      <c r="CR348" s="114">
        <f>AU348</f>
        <v>367</v>
      </c>
      <c r="CS348" s="114">
        <f>AY348</f>
        <v>384</v>
      </c>
      <c r="CT348" s="109">
        <f>M348-K348</f>
        <v>1</v>
      </c>
    </row>
    <row r="349" spans="1:1030" s="12" customFormat="1" x14ac:dyDescent="0.2">
      <c r="A349" s="9" t="str">
        <f>CONCATENATE(B349,"_",C349)</f>
        <v>ox2r_human_6TPJ</v>
      </c>
      <c r="B349" s="9" t="s">
        <v>1169</v>
      </c>
      <c r="C349" s="9" t="s">
        <v>1641</v>
      </c>
      <c r="D349" s="9" t="str">
        <f>IFERROR(MID(VLOOKUP($B349,Seqs!$A:$B,2,0),E349,1),"")</f>
        <v>Y</v>
      </c>
      <c r="E349" s="9">
        <v>53</v>
      </c>
      <c r="F349" s="9" t="str">
        <f>IFERROR(MID(VLOOKUP($B349,Seqs!$A:$B,2,0),G349,1),"")</f>
        <v>N</v>
      </c>
      <c r="G349" s="9">
        <v>82</v>
      </c>
      <c r="H349" s="9" t="str">
        <f>IFERROR(MID(VLOOKUP($B349,Seqs!$A:$B,2,0),I349,1),"")</f>
        <v>H</v>
      </c>
      <c r="I349" s="109">
        <v>83</v>
      </c>
      <c r="J349" s="9" t="str">
        <f>IFERROR(MID(VLOOKUP($B349,Seqs!$A:$B,2,0),K349,1),"")</f>
        <v>R</v>
      </c>
      <c r="K349" s="109">
        <v>86</v>
      </c>
      <c r="L349" s="9" t="str">
        <f>IFERROR(MID(VLOOKUP($B349,Seqs!$A:$B,2,0),M349,1),"")</f>
        <v>T</v>
      </c>
      <c r="M349" s="9">
        <v>87</v>
      </c>
      <c r="N349" s="9" t="str">
        <f>IFERROR(MID(VLOOKUP($B349,Seqs!$A:$B,2,0),O349,1),"")</f>
        <v>E</v>
      </c>
      <c r="O349" s="9">
        <v>118</v>
      </c>
      <c r="P349" s="9" t="str">
        <f>IFERROR(MID(VLOOKUP($B349,Seqs!$A:$B,2,0),Q349,1),"")</f>
        <v>T</v>
      </c>
      <c r="Q349" s="9">
        <v>119</v>
      </c>
      <c r="R349" s="9" t="str">
        <f>IFERROR(MID(VLOOKUP($B349,Seqs!$A:$B,2,0),S349,1),"")</f>
        <v>F</v>
      </c>
      <c r="S349" s="9">
        <v>122</v>
      </c>
      <c r="T349" s="9" t="str">
        <f>IFERROR(MID(VLOOKUP($B349,Seqs!$A:$B,2,0),U349,1),"")</f>
        <v>G</v>
      </c>
      <c r="U349" s="9">
        <v>123</v>
      </c>
      <c r="V349" s="9" t="str">
        <f>IFERROR(MID(VLOOKUP($B349,Seqs!$A:$B,2,0),W349,1),"")</f>
        <v>C</v>
      </c>
      <c r="W349" s="9">
        <v>157</v>
      </c>
      <c r="X349" s="9" t="str">
        <f>IFERROR(MID(VLOOKUP($B349,Seqs!$A:$B,2,0),Y349,1),"")</f>
        <v/>
      </c>
      <c r="Y349" s="9" t="s">
        <v>23</v>
      </c>
      <c r="Z349" s="9" t="str">
        <f>IFERROR(MID(VLOOKUP($B349,Seqs!$A:$B,2,0),AA349,1),"")</f>
        <v/>
      </c>
      <c r="AA349" s="9" t="s">
        <v>23</v>
      </c>
      <c r="AB349" s="9" t="str">
        <f>IFERROR(MID(VLOOKUP($B349,Seqs!$A:$B,2,0),AC349,1),"")</f>
        <v>T</v>
      </c>
      <c r="AC349" s="9">
        <v>165</v>
      </c>
      <c r="AD349" s="9" t="str">
        <f>IFERROR(MID(VLOOKUP($B349,Seqs!$A:$B,2,0),AE349,1),"")</f>
        <v>M</v>
      </c>
      <c r="AE349" s="9">
        <v>191</v>
      </c>
      <c r="AF349" s="9" t="str">
        <f>IFERROR(MID(VLOOKUP($B349,Seqs!$A:$B,2,0),AG349,1),"")</f>
        <v>C</v>
      </c>
      <c r="AG349" s="9">
        <v>210</v>
      </c>
      <c r="AH349" s="9" t="str">
        <f>IFERROR(MID(VLOOKUP($B349,Seqs!$A:$B,2,0),AI349,1),"")</f>
        <v>E</v>
      </c>
      <c r="AI349" s="9">
        <v>212</v>
      </c>
      <c r="AJ349" s="9" t="str">
        <f>IFERROR(MID(VLOOKUP($B349,Seqs!$A:$B,2,0),AK349,1),"")</f>
        <v>I</v>
      </c>
      <c r="AK349" s="9">
        <v>218</v>
      </c>
      <c r="AL349" s="9" t="str">
        <f>IFERROR(MID(VLOOKUP($B349,Seqs!$A:$B,2,0),AM349,1),"")</f>
        <v>C</v>
      </c>
      <c r="AM349" s="9">
        <v>252</v>
      </c>
      <c r="AN349" s="9" t="str">
        <f>IFERROR(MID(VLOOKUP($B349,Seqs!$A:$B,2,0),AO349,1),"")</f>
        <v>K</v>
      </c>
      <c r="AO349" s="9">
        <v>294</v>
      </c>
      <c r="AP349" s="9" t="str">
        <f>IFERROR(MID(VLOOKUP($B349,Seqs!$A:$B,2,0),AQ349,1),"")</f>
        <v>F</v>
      </c>
      <c r="AQ349" s="9">
        <v>330</v>
      </c>
      <c r="AR349" s="9" t="str">
        <f>IFERROR(MID(VLOOKUP($B349,Seqs!$A:$B,2,0),AS349,1),"")</f>
        <v>R</v>
      </c>
      <c r="AS349" s="9">
        <v>339</v>
      </c>
      <c r="AT349" s="9" t="str">
        <f>IFERROR(MID(VLOOKUP($B349,Seqs!$A:$B,2,0),AU349,1),"")</f>
        <v>L</v>
      </c>
      <c r="AU349" s="9">
        <v>367</v>
      </c>
      <c r="AV349" s="9" t="str">
        <f>IFERROR(MID(VLOOKUP($B349,Seqs!$A:$B,2,0),AW349,1),"")</f>
        <v>S</v>
      </c>
      <c r="AW349" s="9">
        <v>368</v>
      </c>
      <c r="AX349" s="9" t="str">
        <f>IFERROR(MID(VLOOKUP($B349,Seqs!$A:$B,2,0),AY349,1),"")</f>
        <v>L</v>
      </c>
      <c r="AY349" s="9">
        <v>384</v>
      </c>
      <c r="AZ349" s="110" t="str">
        <f>VLOOKUP(B349,Classification!A:D,2,0)</f>
        <v>A</v>
      </c>
      <c r="BA349" s="98" t="str">
        <f>VLOOKUP(B349,Classification!A:D,4,0)</f>
        <v>Orexin</v>
      </c>
      <c r="BB349" s="36" t="b">
        <f>AND(E349&lt;G349,OR(G349&lt;I349,I349="-"),OR(I349&lt;K349,I349="-"),OR(K349&lt;M349,K349="-"),M349&lt;O349,OR(O349&lt;Q349,Q349="-"),OR(Q349&lt;S349,Q349="-"),OR(S349&lt;U349,S349="-"),U349&lt;W349,OR(W349&lt;Y349,Y349="-"),OR(Y349&lt;AA349,Y349="-"),OR(AA349&lt;AC349,AA349="-"),AC349&lt;AE349,OR(AE349&lt;AG349,AG349="-"),OR(AG349&lt;AI349,AG349="-"),OR(AI349&lt;AK349,AI349="-"),AK349&lt;AM349,AM349&lt;AO349,AO349&lt;AQ349,AQ349&lt;AS349,AS349&lt;AU349,OR(AU349&lt;AW349,AW349="-"),OR(AW349&lt;AY349,AW349="-"))</f>
        <v>1</v>
      </c>
      <c r="BC349" s="109">
        <f>_xlfn.AGGREGATE(9,6,CH349:CS349)-_xlfn.AGGREGATE(9,6,BV349:CG349)+12</f>
        <v>254</v>
      </c>
      <c r="BD349" s="40" t="s">
        <v>23</v>
      </c>
      <c r="BE349" s="9" t="s">
        <v>1368</v>
      </c>
      <c r="BF349" s="119">
        <v>2.74</v>
      </c>
      <c r="BG349" s="51" t="s">
        <v>1</v>
      </c>
      <c r="BH349" s="51" t="s">
        <v>1</v>
      </c>
      <c r="BJ349" s="111" t="s">
        <v>1281</v>
      </c>
      <c r="BK349" s="112" t="s">
        <v>1281</v>
      </c>
      <c r="BL349" s="112" t="s">
        <v>1281</v>
      </c>
      <c r="BM349" s="112" t="s">
        <v>1281</v>
      </c>
      <c r="BN349" s="112" t="s">
        <v>1281</v>
      </c>
      <c r="BO349" s="112" t="s">
        <v>1281</v>
      </c>
      <c r="BP349" s="112" t="s">
        <v>1281</v>
      </c>
      <c r="BQ349" s="112" t="s">
        <v>1281</v>
      </c>
      <c r="BR349" s="112" t="s">
        <v>1281</v>
      </c>
      <c r="BS349" s="112" t="s">
        <v>1281</v>
      </c>
      <c r="BT349" s="112" t="s">
        <v>1281</v>
      </c>
      <c r="BU349" s="112" t="s">
        <v>1281</v>
      </c>
      <c r="BV349" s="111">
        <f>E349</f>
        <v>53</v>
      </c>
      <c r="BW349" s="113">
        <f>I349</f>
        <v>83</v>
      </c>
      <c r="BX349" s="114">
        <f>M349</f>
        <v>87</v>
      </c>
      <c r="BY349" s="113">
        <f>Q349</f>
        <v>119</v>
      </c>
      <c r="BZ349" s="114">
        <f>U349</f>
        <v>123</v>
      </c>
      <c r="CA349" s="113" t="str">
        <f>Y349</f>
        <v>-</v>
      </c>
      <c r="CB349" s="114">
        <f>AC349</f>
        <v>165</v>
      </c>
      <c r="CC349" s="113">
        <f>AG349</f>
        <v>210</v>
      </c>
      <c r="CD349" s="114">
        <f>AK349</f>
        <v>218</v>
      </c>
      <c r="CE349" s="113">
        <f>AO349</f>
        <v>294</v>
      </c>
      <c r="CF349" s="114">
        <f>AS349</f>
        <v>339</v>
      </c>
      <c r="CG349" s="113">
        <f>AW349</f>
        <v>368</v>
      </c>
      <c r="CH349" s="111">
        <f>G349</f>
        <v>82</v>
      </c>
      <c r="CI349" s="113">
        <f>K349</f>
        <v>86</v>
      </c>
      <c r="CJ349" s="114">
        <f>O349</f>
        <v>118</v>
      </c>
      <c r="CK349" s="114">
        <f>S349</f>
        <v>122</v>
      </c>
      <c r="CL349" s="114">
        <f>W349</f>
        <v>157</v>
      </c>
      <c r="CM349" s="114" t="str">
        <f>AA349</f>
        <v>-</v>
      </c>
      <c r="CN349" s="114">
        <f>AE349</f>
        <v>191</v>
      </c>
      <c r="CO349" s="114">
        <f>AI349</f>
        <v>212</v>
      </c>
      <c r="CP349" s="114">
        <f>AM349</f>
        <v>252</v>
      </c>
      <c r="CQ349" s="114">
        <f>AQ349</f>
        <v>330</v>
      </c>
      <c r="CR349" s="114">
        <f>AU349</f>
        <v>367</v>
      </c>
      <c r="CS349" s="114">
        <f>AY349</f>
        <v>384</v>
      </c>
      <c r="CT349" s="109">
        <f>M349-K349</f>
        <v>1</v>
      </c>
    </row>
    <row r="350" spans="1:1030" s="12" customFormat="1" x14ac:dyDescent="0.2">
      <c r="A350" s="9" t="str">
        <f>CONCATENATE(B350,"_",C350)</f>
        <v>ox2r_human_6TPN</v>
      </c>
      <c r="B350" s="9" t="s">
        <v>1169</v>
      </c>
      <c r="C350" s="9" t="s">
        <v>1618</v>
      </c>
      <c r="D350" s="9" t="str">
        <f>IFERROR(MID(VLOOKUP($B350,Seqs!$A:$B,2,0),E350,1),"")</f>
        <v>Y</v>
      </c>
      <c r="E350" s="9">
        <v>53</v>
      </c>
      <c r="F350" s="9" t="str">
        <f>IFERROR(MID(VLOOKUP($B350,Seqs!$A:$B,2,0),G350,1),"")</f>
        <v>N</v>
      </c>
      <c r="G350" s="9">
        <v>82</v>
      </c>
      <c r="H350" s="9" t="str">
        <f>IFERROR(MID(VLOOKUP($B350,Seqs!$A:$B,2,0),I350,1),"")</f>
        <v>H</v>
      </c>
      <c r="I350" s="109">
        <v>83</v>
      </c>
      <c r="J350" s="9" t="str">
        <f>IFERROR(MID(VLOOKUP($B350,Seqs!$A:$B,2,0),K350,1),"")</f>
        <v>R</v>
      </c>
      <c r="K350" s="109">
        <v>86</v>
      </c>
      <c r="L350" s="9" t="str">
        <f>IFERROR(MID(VLOOKUP($B350,Seqs!$A:$B,2,0),M350,1),"")</f>
        <v>T</v>
      </c>
      <c r="M350" s="9">
        <v>87</v>
      </c>
      <c r="N350" s="9" t="str">
        <f>IFERROR(MID(VLOOKUP($B350,Seqs!$A:$B,2,0),O350,1),"")</f>
        <v>E</v>
      </c>
      <c r="O350" s="9">
        <v>118</v>
      </c>
      <c r="P350" s="9" t="str">
        <f>IFERROR(MID(VLOOKUP($B350,Seqs!$A:$B,2,0),Q350,1),"")</f>
        <v>T</v>
      </c>
      <c r="Q350" s="9">
        <v>119</v>
      </c>
      <c r="R350" s="9" t="str">
        <f>IFERROR(MID(VLOOKUP($B350,Seqs!$A:$B,2,0),S350,1),"")</f>
        <v>F</v>
      </c>
      <c r="S350" s="9">
        <v>122</v>
      </c>
      <c r="T350" s="9" t="str">
        <f>IFERROR(MID(VLOOKUP($B350,Seqs!$A:$B,2,0),U350,1),"")</f>
        <v>G</v>
      </c>
      <c r="U350" s="9">
        <v>123</v>
      </c>
      <c r="V350" s="9" t="str">
        <f>IFERROR(MID(VLOOKUP($B350,Seqs!$A:$B,2,0),W350,1),"")</f>
        <v>C</v>
      </c>
      <c r="W350" s="9">
        <v>157</v>
      </c>
      <c r="X350" s="9" t="str">
        <f>IFERROR(MID(VLOOKUP($B350,Seqs!$A:$B,2,0),Y350,1),"")</f>
        <v/>
      </c>
      <c r="Y350" s="9" t="s">
        <v>23</v>
      </c>
      <c r="Z350" s="9" t="str">
        <f>IFERROR(MID(VLOOKUP($B350,Seqs!$A:$B,2,0),AA350,1),"")</f>
        <v/>
      </c>
      <c r="AA350" s="9" t="s">
        <v>23</v>
      </c>
      <c r="AB350" s="9" t="str">
        <f>IFERROR(MID(VLOOKUP($B350,Seqs!$A:$B,2,0),AC350,1),"")</f>
        <v>T</v>
      </c>
      <c r="AC350" s="9">
        <v>165</v>
      </c>
      <c r="AD350" s="9" t="str">
        <f>IFERROR(MID(VLOOKUP($B350,Seqs!$A:$B,2,0),AE350,1),"")</f>
        <v>M</v>
      </c>
      <c r="AE350" s="9">
        <v>191</v>
      </c>
      <c r="AF350" s="9" t="str">
        <f>IFERROR(MID(VLOOKUP($B350,Seqs!$A:$B,2,0),AG350,1),"")</f>
        <v>C</v>
      </c>
      <c r="AG350" s="9">
        <v>210</v>
      </c>
      <c r="AH350" s="9" t="str">
        <f>IFERROR(MID(VLOOKUP($B350,Seqs!$A:$B,2,0),AI350,1),"")</f>
        <v>E</v>
      </c>
      <c r="AI350" s="9">
        <v>212</v>
      </c>
      <c r="AJ350" s="9" t="str">
        <f>IFERROR(MID(VLOOKUP($B350,Seqs!$A:$B,2,0),AK350,1),"")</f>
        <v>I</v>
      </c>
      <c r="AK350" s="9">
        <v>218</v>
      </c>
      <c r="AL350" s="9" t="str">
        <f>IFERROR(MID(VLOOKUP($B350,Seqs!$A:$B,2,0),AM350,1),"")</f>
        <v>C</v>
      </c>
      <c r="AM350" s="9">
        <v>252</v>
      </c>
      <c r="AN350" s="9" t="str">
        <f>IFERROR(MID(VLOOKUP($B350,Seqs!$A:$B,2,0),AO350,1),"")</f>
        <v>K</v>
      </c>
      <c r="AO350" s="9">
        <v>294</v>
      </c>
      <c r="AP350" s="9" t="str">
        <f>IFERROR(MID(VLOOKUP($B350,Seqs!$A:$B,2,0),AQ350,1),"")</f>
        <v>F</v>
      </c>
      <c r="AQ350" s="9">
        <v>330</v>
      </c>
      <c r="AR350" s="9" t="str">
        <f>IFERROR(MID(VLOOKUP($B350,Seqs!$A:$B,2,0),AS350,1),"")</f>
        <v>R</v>
      </c>
      <c r="AS350" s="9">
        <v>339</v>
      </c>
      <c r="AT350" s="9" t="str">
        <f>IFERROR(MID(VLOOKUP($B350,Seqs!$A:$B,2,0),AU350,1),"")</f>
        <v>L</v>
      </c>
      <c r="AU350" s="9">
        <v>367</v>
      </c>
      <c r="AV350" s="9" t="str">
        <f>IFERROR(MID(VLOOKUP($B350,Seqs!$A:$B,2,0),AW350,1),"")</f>
        <v>S</v>
      </c>
      <c r="AW350" s="9">
        <v>368</v>
      </c>
      <c r="AX350" s="9" t="str">
        <f>IFERROR(MID(VLOOKUP($B350,Seqs!$A:$B,2,0),AY350,1),"")</f>
        <v>L</v>
      </c>
      <c r="AY350" s="9">
        <v>384</v>
      </c>
      <c r="AZ350" s="110" t="str">
        <f>VLOOKUP(B350,Classification!A:D,2,0)</f>
        <v>A</v>
      </c>
      <c r="BA350" s="98" t="str">
        <f>VLOOKUP(B350,Classification!A:D,4,0)</f>
        <v>Orexin</v>
      </c>
      <c r="BB350" s="36" t="b">
        <f>AND(E350&lt;G350,OR(G350&lt;I350,I350="-"),OR(I350&lt;K350,I350="-"),OR(K350&lt;M350,K350="-"),M350&lt;O350,OR(O350&lt;Q350,Q350="-"),OR(Q350&lt;S350,Q350="-"),OR(S350&lt;U350,S350="-"),U350&lt;W350,OR(W350&lt;Y350,Y350="-"),OR(Y350&lt;AA350,Y350="-"),OR(AA350&lt;AC350,AA350="-"),AC350&lt;AE350,OR(AE350&lt;AG350,AG350="-"),OR(AG350&lt;AI350,AG350="-"),OR(AI350&lt;AK350,AI350="-"),AK350&lt;AM350,AM350&lt;AO350,AO350&lt;AQ350,AQ350&lt;AS350,AS350&lt;AU350,OR(AU350&lt;AW350,AW350="-"),OR(AW350&lt;AY350,AW350="-"))</f>
        <v>1</v>
      </c>
      <c r="BC350" s="109">
        <f>_xlfn.AGGREGATE(9,6,CH350:CS350)-_xlfn.AGGREGATE(9,6,BV350:CG350)+12</f>
        <v>254</v>
      </c>
      <c r="BD350" s="40" t="s">
        <v>23</v>
      </c>
      <c r="BE350" s="9" t="s">
        <v>1368</v>
      </c>
      <c r="BF350" s="119">
        <v>2.61</v>
      </c>
      <c r="BG350" s="51" t="s">
        <v>1</v>
      </c>
      <c r="BH350" s="51" t="s">
        <v>1</v>
      </c>
      <c r="BJ350" s="111" t="s">
        <v>1281</v>
      </c>
      <c r="BK350" s="112" t="s">
        <v>1281</v>
      </c>
      <c r="BL350" s="112" t="s">
        <v>1281</v>
      </c>
      <c r="BM350" s="112" t="s">
        <v>1281</v>
      </c>
      <c r="BN350" s="112" t="s">
        <v>1281</v>
      </c>
      <c r="BO350" s="112" t="s">
        <v>1281</v>
      </c>
      <c r="BP350" s="112" t="s">
        <v>1281</v>
      </c>
      <c r="BQ350" s="112" t="s">
        <v>1281</v>
      </c>
      <c r="BR350" s="112" t="s">
        <v>1281</v>
      </c>
      <c r="BS350" s="112" t="s">
        <v>1281</v>
      </c>
      <c r="BT350" s="112" t="s">
        <v>1281</v>
      </c>
      <c r="BU350" s="112" t="s">
        <v>1281</v>
      </c>
      <c r="BV350" s="111">
        <f>E350</f>
        <v>53</v>
      </c>
      <c r="BW350" s="113">
        <f>I350</f>
        <v>83</v>
      </c>
      <c r="BX350" s="114">
        <f>M350</f>
        <v>87</v>
      </c>
      <c r="BY350" s="113">
        <f>Q350</f>
        <v>119</v>
      </c>
      <c r="BZ350" s="114">
        <f>U350</f>
        <v>123</v>
      </c>
      <c r="CA350" s="113" t="str">
        <f>Y350</f>
        <v>-</v>
      </c>
      <c r="CB350" s="114">
        <f>AC350</f>
        <v>165</v>
      </c>
      <c r="CC350" s="113">
        <f>AG350</f>
        <v>210</v>
      </c>
      <c r="CD350" s="114">
        <f>AK350</f>
        <v>218</v>
      </c>
      <c r="CE350" s="113">
        <f>AO350</f>
        <v>294</v>
      </c>
      <c r="CF350" s="114">
        <f>AS350</f>
        <v>339</v>
      </c>
      <c r="CG350" s="113">
        <f>AW350</f>
        <v>368</v>
      </c>
      <c r="CH350" s="111">
        <f>G350</f>
        <v>82</v>
      </c>
      <c r="CI350" s="113">
        <f>K350</f>
        <v>86</v>
      </c>
      <c r="CJ350" s="114">
        <f>O350</f>
        <v>118</v>
      </c>
      <c r="CK350" s="114">
        <f>S350</f>
        <v>122</v>
      </c>
      <c r="CL350" s="114">
        <f>W350</f>
        <v>157</v>
      </c>
      <c r="CM350" s="114" t="str">
        <f>AA350</f>
        <v>-</v>
      </c>
      <c r="CN350" s="114">
        <f>AE350</f>
        <v>191</v>
      </c>
      <c r="CO350" s="114">
        <f>AI350</f>
        <v>212</v>
      </c>
      <c r="CP350" s="114">
        <f>AM350</f>
        <v>252</v>
      </c>
      <c r="CQ350" s="114">
        <f>AQ350</f>
        <v>330</v>
      </c>
      <c r="CR350" s="114">
        <f>AU350</f>
        <v>367</v>
      </c>
      <c r="CS350" s="114">
        <f>AY350</f>
        <v>384</v>
      </c>
      <c r="CT350" s="109">
        <f>M350-K350</f>
        <v>1</v>
      </c>
    </row>
    <row r="351" spans="1:1030" x14ac:dyDescent="0.2">
      <c r="A351" s="3" t="str">
        <f>CONCATENATE(B351,"_",C351)</f>
        <v>p2ry1_human__wt</v>
      </c>
      <c r="B351" s="3" t="s">
        <v>344</v>
      </c>
      <c r="C351" s="3" t="s">
        <v>100</v>
      </c>
      <c r="D351" s="3" t="str">
        <f>IFERROR(MID(VLOOKUP($B351,Seqs!$A:$B,2,0),E351,1),"")</f>
        <v>F</v>
      </c>
      <c r="E351" s="3">
        <v>49</v>
      </c>
      <c r="F351" s="3" t="str">
        <f>IFERROR(MID(VLOOKUP($B351,Seqs!$A:$B,2,0),G351,1),"")</f>
        <v>H</v>
      </c>
      <c r="G351" s="3">
        <v>79</v>
      </c>
      <c r="H351" s="3" t="str">
        <f>IFERROR(MID(VLOOKUP($B351,Seqs!$A:$B,2,0),I351,1),"")</f>
        <v/>
      </c>
      <c r="I351" s="23" t="s">
        <v>23</v>
      </c>
      <c r="J351" s="3" t="str">
        <f>IFERROR(MID(VLOOKUP($B351,Seqs!$A:$B,2,0),K351,1),"")</f>
        <v/>
      </c>
      <c r="K351" s="23" t="s">
        <v>23</v>
      </c>
      <c r="L351" s="3" t="str">
        <f>IFERROR(MID(VLOOKUP($B351,Seqs!$A:$B,2,0),M351,1),"")</f>
        <v>S</v>
      </c>
      <c r="M351" s="3">
        <v>84</v>
      </c>
      <c r="N351" s="3" t="str">
        <f>IFERROR(MID(VLOOKUP($B351,Seqs!$A:$B,2,0),O351,1),"")</f>
        <v>N</v>
      </c>
      <c r="O351" s="3">
        <v>113</v>
      </c>
      <c r="P351" s="3" t="str">
        <f>IFERROR(MID(VLOOKUP($B351,Seqs!$A:$B,2,0),Q351,1),"")</f>
        <v>D</v>
      </c>
      <c r="Q351" s="3">
        <v>116</v>
      </c>
      <c r="R351" s="3" t="str">
        <f>IFERROR(MID(VLOOKUP($B351,Seqs!$A:$B,2,0),S351,1),"")</f>
        <v>F</v>
      </c>
      <c r="S351" s="3">
        <v>119</v>
      </c>
      <c r="T351" s="3" t="str">
        <f>IFERROR(MID(VLOOKUP($B351,Seqs!$A:$B,2,0),U351,1),"")</f>
        <v>G</v>
      </c>
      <c r="U351" s="3">
        <v>120</v>
      </c>
      <c r="V351" s="3" t="str">
        <f>IFERROR(MID(VLOOKUP($B351,Seqs!$A:$B,2,0),W351,1),"")</f>
        <v>Y</v>
      </c>
      <c r="W351" s="3">
        <v>155</v>
      </c>
      <c r="X351" s="3" t="str">
        <f>IFERROR(MID(VLOOKUP($B351,Seqs!$A:$B,2,0),Y351,1),"")</f>
        <v>P</v>
      </c>
      <c r="Y351" s="3">
        <v>156</v>
      </c>
      <c r="Z351" s="3" t="str">
        <f>IFERROR(MID(VLOOKUP($B351,Seqs!$A:$B,2,0),AA351,1),"")</f>
        <v>L</v>
      </c>
      <c r="AA351" s="3">
        <v>163</v>
      </c>
      <c r="AB351" s="3" t="str">
        <f>IFERROR(MID(VLOOKUP($B351,Seqs!$A:$B,2,0),AC351,1),"")</f>
        <v>K</v>
      </c>
      <c r="AC351" s="3">
        <v>164</v>
      </c>
      <c r="AD351" s="3" t="str">
        <f>IFERROR(MID(VLOOKUP($B351,Seqs!$A:$B,2,0),AE351,1),"")</f>
        <v>S</v>
      </c>
      <c r="AE351" s="3">
        <v>190</v>
      </c>
      <c r="AF351" s="3" t="str">
        <f>IFERROR(MID(VLOOKUP($B351,Seqs!$A:$B,2,0),AG351,1),"")</f>
        <v>C</v>
      </c>
      <c r="AG351" s="3">
        <v>202</v>
      </c>
      <c r="AH351" s="3" t="str">
        <f>IFERROR(MID(VLOOKUP($B351,Seqs!$A:$B,2,0),AI351,1),"")</f>
        <v>D</v>
      </c>
      <c r="AI351" s="3">
        <v>204</v>
      </c>
      <c r="AJ351" s="3" t="str">
        <f>IFERROR(MID(VLOOKUP($B351,Seqs!$A:$B,2,0),AK351,1),"")</f>
        <v>L</v>
      </c>
      <c r="AK351" s="3">
        <v>211</v>
      </c>
      <c r="AL351" s="3" t="str">
        <f>IFERROR(MID(VLOOKUP($B351,Seqs!$A:$B,2,0),AM351,1),"")</f>
        <v>K</v>
      </c>
      <c r="AM351" s="3">
        <v>247</v>
      </c>
      <c r="AN351" s="3" t="str">
        <f>IFERROR(MID(VLOOKUP($B351,Seqs!$A:$B,2,0),AO351,1),"")</f>
        <v>P</v>
      </c>
      <c r="AO351" s="3">
        <v>253</v>
      </c>
      <c r="AP351" s="3" t="str">
        <f>IFERROR(MID(VLOOKUP($B351,Seqs!$A:$B,2,0),AQ351,1),"")</f>
        <v>D</v>
      </c>
      <c r="AQ351" s="3">
        <v>289</v>
      </c>
      <c r="AR351" s="3" t="str">
        <f>IFERROR(MID(VLOOKUP($B351,Seqs!$A:$B,2,0),AS351,1),"")</f>
        <v>M</v>
      </c>
      <c r="AS351" s="3">
        <v>295</v>
      </c>
      <c r="AT351" s="3" t="str">
        <f>IFERROR(MID(VLOOKUP($B351,Seqs!$A:$B,2,0),AU351,1),"")</f>
        <v>A</v>
      </c>
      <c r="AU351" s="3">
        <v>327</v>
      </c>
      <c r="AV351" s="3" t="str">
        <f>IFERROR(MID(VLOOKUP($B351,Seqs!$A:$B,2,0),AW351,1),"")</f>
        <v>G</v>
      </c>
      <c r="AW351" s="3">
        <v>328</v>
      </c>
      <c r="AX351" s="3" t="str">
        <f>IFERROR(MID(VLOOKUP($B351,Seqs!$A:$B,2,0),AY351,1),"")</f>
        <v>R</v>
      </c>
      <c r="AY351" s="3">
        <v>340</v>
      </c>
      <c r="AZ351" s="77" t="str">
        <f>VLOOKUP(B351,Classification!A:D,2,0)</f>
        <v>A</v>
      </c>
      <c r="BA351" s="94" t="str">
        <f>VLOOKUP(B351,Classification!A:D,4,0)</f>
        <v>P2Y</v>
      </c>
      <c r="BB351" s="27" t="b">
        <f t="shared" si="1114"/>
        <v>1</v>
      </c>
      <c r="BC351" s="23">
        <f t="shared" si="1113"/>
        <v>260</v>
      </c>
      <c r="BD351" s="56" t="s">
        <v>23</v>
      </c>
      <c r="BE351" s="3" t="s">
        <v>23</v>
      </c>
      <c r="BF351" s="118" t="s">
        <v>23</v>
      </c>
      <c r="BG351" s="49" t="s">
        <v>1366</v>
      </c>
      <c r="BH351" s="49" t="s">
        <v>1371</v>
      </c>
      <c r="BI351" s="1"/>
      <c r="BJ351" s="70" t="s">
        <v>1281</v>
      </c>
      <c r="BK351" s="57" t="s">
        <v>1281</v>
      </c>
      <c r="BL351" s="57" t="s">
        <v>1281</v>
      </c>
      <c r="BM351" s="57" t="s">
        <v>1281</v>
      </c>
      <c r="BN351" s="57" t="s">
        <v>1281</v>
      </c>
      <c r="BO351" s="57" t="s">
        <v>1281</v>
      </c>
      <c r="BP351" s="57" t="s">
        <v>1281</v>
      </c>
      <c r="BQ351" s="57" t="s">
        <v>1281</v>
      </c>
      <c r="BR351" s="57" t="s">
        <v>1281</v>
      </c>
      <c r="BS351" s="57" t="s">
        <v>1281</v>
      </c>
      <c r="BT351" s="57" t="s">
        <v>1281</v>
      </c>
      <c r="BU351" s="57" t="s">
        <v>1281</v>
      </c>
      <c r="BV351" s="70">
        <f>E351</f>
        <v>49</v>
      </c>
      <c r="BW351" s="71" t="str">
        <f>I351</f>
        <v>-</v>
      </c>
      <c r="BX351" s="72">
        <f>M351</f>
        <v>84</v>
      </c>
      <c r="BY351" s="71">
        <f>Q351</f>
        <v>116</v>
      </c>
      <c r="BZ351" s="72">
        <f>U351</f>
        <v>120</v>
      </c>
      <c r="CA351" s="71">
        <f>Y351</f>
        <v>156</v>
      </c>
      <c r="CB351" s="72">
        <f>AC351</f>
        <v>164</v>
      </c>
      <c r="CC351" s="71">
        <f>AG351</f>
        <v>202</v>
      </c>
      <c r="CD351" s="72">
        <f>AK351</f>
        <v>211</v>
      </c>
      <c r="CE351" s="71">
        <f>AO351</f>
        <v>253</v>
      </c>
      <c r="CF351" s="72">
        <f>AS351</f>
        <v>295</v>
      </c>
      <c r="CG351" s="71">
        <f>AW351</f>
        <v>328</v>
      </c>
      <c r="CH351" s="70">
        <f>G351</f>
        <v>79</v>
      </c>
      <c r="CI351" s="71" t="str">
        <f>K351</f>
        <v>-</v>
      </c>
      <c r="CJ351" s="72">
        <f>O351</f>
        <v>113</v>
      </c>
      <c r="CK351" s="72">
        <f>S351</f>
        <v>119</v>
      </c>
      <c r="CL351" s="72">
        <f>W351</f>
        <v>155</v>
      </c>
      <c r="CM351" s="72">
        <f>AA351</f>
        <v>163</v>
      </c>
      <c r="CN351" s="72">
        <f>AE351</f>
        <v>190</v>
      </c>
      <c r="CO351" s="72">
        <f>AI351</f>
        <v>204</v>
      </c>
      <c r="CP351" s="72">
        <f>AM351</f>
        <v>247</v>
      </c>
      <c r="CQ351" s="72">
        <f>AQ351</f>
        <v>289</v>
      </c>
      <c r="CR351" s="72">
        <f>AU351</f>
        <v>327</v>
      </c>
      <c r="CS351" s="72">
        <f>AY351</f>
        <v>340</v>
      </c>
      <c r="CT351" s="23" t="e">
        <f>M351-K351</f>
        <v>#VALUE!</v>
      </c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1"/>
      <c r="PD351" s="1"/>
      <c r="PE351" s="1"/>
      <c r="PF351" s="1"/>
      <c r="PG351" s="1"/>
      <c r="PH351" s="1"/>
      <c r="PI351" s="1"/>
      <c r="PJ351" s="1"/>
      <c r="PK351" s="1"/>
      <c r="PL351" s="1"/>
      <c r="PM351" s="1"/>
      <c r="PN351" s="1"/>
      <c r="PO351" s="1"/>
      <c r="PP351" s="1"/>
      <c r="PQ351" s="1"/>
      <c r="PR351" s="1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1"/>
      <c r="QD351" s="1"/>
      <c r="QE351" s="1"/>
      <c r="QF351" s="1"/>
      <c r="QG351" s="1"/>
      <c r="QH351" s="1"/>
      <c r="QI351" s="1"/>
      <c r="QJ351" s="1"/>
      <c r="QK351" s="1"/>
      <c r="QL351" s="1"/>
      <c r="QM351" s="1"/>
      <c r="QN351" s="1"/>
      <c r="QO351" s="1"/>
      <c r="QP351" s="1"/>
      <c r="QQ351" s="1"/>
      <c r="QR351" s="1"/>
      <c r="QS351" s="1"/>
      <c r="QT351" s="1"/>
      <c r="QU351" s="1"/>
      <c r="QV351" s="1"/>
      <c r="QW351" s="1"/>
      <c r="QX351" s="1"/>
      <c r="QY351" s="1"/>
      <c r="QZ351" s="1"/>
      <c r="RA351" s="1"/>
      <c r="RB351" s="1"/>
      <c r="RC351" s="1"/>
      <c r="RD351" s="1"/>
      <c r="RE351" s="1"/>
      <c r="RF351" s="1"/>
      <c r="RG351" s="1"/>
      <c r="RH351" s="1"/>
      <c r="RI351" s="1"/>
      <c r="RJ351" s="1"/>
      <c r="RK351" s="1"/>
      <c r="RL351" s="1"/>
      <c r="RM351" s="1"/>
      <c r="RN351" s="1"/>
      <c r="RO351" s="1"/>
      <c r="RP351" s="1"/>
      <c r="RQ351" s="1"/>
      <c r="RR351" s="1"/>
      <c r="RS351" s="1"/>
      <c r="RT351" s="1"/>
      <c r="RU351" s="1"/>
      <c r="RV351" s="1"/>
      <c r="RW351" s="1"/>
      <c r="RX351" s="1"/>
      <c r="RY351" s="1"/>
      <c r="RZ351" s="1"/>
      <c r="SA351" s="1"/>
      <c r="SB351" s="1"/>
      <c r="SC351" s="1"/>
      <c r="SD351" s="1"/>
      <c r="SE351" s="1"/>
      <c r="SF351" s="1"/>
      <c r="SG351" s="1"/>
      <c r="SH351" s="1"/>
      <c r="SI351" s="1"/>
      <c r="SJ351" s="1"/>
      <c r="SK351" s="1"/>
      <c r="SL351" s="1"/>
      <c r="SM351" s="1"/>
      <c r="SN351" s="1"/>
      <c r="SO351" s="1"/>
      <c r="SP351" s="1"/>
      <c r="SQ351" s="1"/>
      <c r="SR351" s="1"/>
      <c r="SS351" s="1"/>
      <c r="ST351" s="1"/>
      <c r="SU351" s="1"/>
      <c r="SV351" s="1"/>
      <c r="SW351" s="1"/>
      <c r="SX351" s="1"/>
      <c r="SY351" s="1"/>
      <c r="SZ351" s="1"/>
      <c r="TA351" s="1"/>
      <c r="TB351" s="1"/>
      <c r="TC351" s="1"/>
      <c r="TD351" s="1"/>
      <c r="TE351" s="1"/>
      <c r="TF351" s="1"/>
      <c r="TG351" s="1"/>
      <c r="TH351" s="1"/>
      <c r="TI351" s="1"/>
      <c r="TJ351" s="1"/>
      <c r="TK351" s="1"/>
      <c r="TL351" s="1"/>
      <c r="TM351" s="1"/>
      <c r="TN351" s="1"/>
      <c r="TO351" s="1"/>
      <c r="TP351" s="1"/>
      <c r="TQ351" s="1"/>
      <c r="TR351" s="1"/>
      <c r="TS351" s="1"/>
      <c r="TT351" s="1"/>
      <c r="TU351" s="1"/>
      <c r="TV351" s="1"/>
      <c r="TW351" s="1"/>
      <c r="TX351" s="1"/>
      <c r="TY351" s="1"/>
      <c r="TZ351" s="1"/>
      <c r="UA351" s="1"/>
      <c r="UB351" s="1"/>
      <c r="UC351" s="1"/>
      <c r="UD351" s="1"/>
      <c r="UE351" s="1"/>
      <c r="UF351" s="1"/>
      <c r="UG351" s="1"/>
      <c r="UH351" s="1"/>
      <c r="UI351" s="1"/>
      <c r="UJ351" s="1"/>
      <c r="UK351" s="1"/>
      <c r="UL351" s="1"/>
      <c r="UM351" s="1"/>
      <c r="UN351" s="1"/>
      <c r="UO351" s="1"/>
      <c r="UP351" s="1"/>
      <c r="UQ351" s="1"/>
      <c r="UR351" s="1"/>
      <c r="US351" s="1"/>
      <c r="UT351" s="1"/>
      <c r="UU351" s="1"/>
      <c r="UV351" s="1"/>
      <c r="UW351" s="1"/>
      <c r="UX351" s="1"/>
      <c r="UY351" s="1"/>
      <c r="UZ351" s="1"/>
      <c r="VA351" s="1"/>
      <c r="VB351" s="1"/>
      <c r="VC351" s="1"/>
      <c r="VD351" s="1"/>
      <c r="VE351" s="1"/>
      <c r="VF351" s="1"/>
      <c r="VG351" s="1"/>
      <c r="VH351" s="1"/>
      <c r="VI351" s="1"/>
      <c r="VJ351" s="1"/>
      <c r="VK351" s="1"/>
      <c r="VL351" s="1"/>
      <c r="VM351" s="1"/>
      <c r="VN351" s="1"/>
      <c r="VO351" s="1"/>
      <c r="VP351" s="1"/>
      <c r="VQ351" s="1"/>
      <c r="VR351" s="1"/>
      <c r="VS351" s="1"/>
      <c r="VT351" s="1"/>
      <c r="VU351" s="1"/>
      <c r="VV351" s="1"/>
      <c r="VW351" s="1"/>
      <c r="VX351" s="1"/>
      <c r="VY351" s="1"/>
      <c r="VZ351" s="1"/>
      <c r="WA351" s="1"/>
      <c r="WB351" s="1"/>
      <c r="WC351" s="1"/>
      <c r="WD351" s="1"/>
      <c r="WE351" s="1"/>
      <c r="WF351" s="1"/>
      <c r="WG351" s="1"/>
      <c r="WH351" s="1"/>
      <c r="WI351" s="1"/>
      <c r="WJ351" s="1"/>
      <c r="WK351" s="1"/>
      <c r="WL351" s="1"/>
      <c r="WM351" s="1"/>
      <c r="WN351" s="1"/>
      <c r="WO351" s="1"/>
      <c r="WP351" s="1"/>
      <c r="WQ351" s="1"/>
      <c r="WR351" s="1"/>
      <c r="WS351" s="1"/>
      <c r="WT351" s="1"/>
      <c r="WU351" s="1"/>
      <c r="WV351" s="1"/>
      <c r="WW351" s="1"/>
      <c r="WX351" s="1"/>
      <c r="WY351" s="1"/>
      <c r="WZ351" s="1"/>
      <c r="XA351" s="1"/>
      <c r="XB351" s="1"/>
      <c r="XC351" s="1"/>
      <c r="XD351" s="1"/>
      <c r="XE351" s="1"/>
      <c r="XF351" s="1"/>
      <c r="XG351" s="1"/>
      <c r="XH351" s="1"/>
      <c r="XI351" s="1"/>
      <c r="XJ351" s="1"/>
      <c r="XK351" s="1"/>
      <c r="XL351" s="1"/>
      <c r="XM351" s="1"/>
      <c r="XN351" s="1"/>
      <c r="XO351" s="1"/>
      <c r="XP351" s="1"/>
      <c r="XQ351" s="1"/>
      <c r="XR351" s="1"/>
      <c r="XS351" s="1"/>
      <c r="XT351" s="1"/>
      <c r="XU351" s="1"/>
      <c r="XV351" s="1"/>
      <c r="XW351" s="1"/>
      <c r="XX351" s="1"/>
      <c r="XY351" s="1"/>
      <c r="XZ351" s="1"/>
      <c r="YA351" s="1"/>
      <c r="YB351" s="1"/>
      <c r="YC351" s="1"/>
      <c r="YD351" s="1"/>
      <c r="YE351" s="1"/>
      <c r="YF351" s="1"/>
      <c r="YG351" s="1"/>
      <c r="YH351" s="1"/>
      <c r="YI351" s="1"/>
      <c r="YJ351" s="1"/>
      <c r="YK351" s="1"/>
      <c r="YL351" s="1"/>
      <c r="YM351" s="1"/>
      <c r="YN351" s="1"/>
      <c r="YO351" s="1"/>
      <c r="YP351" s="1"/>
      <c r="YQ351" s="1"/>
      <c r="YR351" s="1"/>
      <c r="YS351" s="1"/>
      <c r="YT351" s="1"/>
      <c r="YU351" s="1"/>
      <c r="YV351" s="1"/>
      <c r="YW351" s="1"/>
      <c r="YX351" s="1"/>
      <c r="YY351" s="1"/>
      <c r="YZ351" s="1"/>
      <c r="ZA351" s="1"/>
      <c r="ZB351" s="1"/>
      <c r="ZC351" s="1"/>
      <c r="ZD351" s="1"/>
      <c r="ZE351" s="1"/>
      <c r="ZF351" s="1"/>
      <c r="ZG351" s="1"/>
      <c r="ZH351" s="1"/>
      <c r="ZI351" s="1"/>
      <c r="ZJ351" s="1"/>
      <c r="ZK351" s="1"/>
      <c r="ZL351" s="1"/>
      <c r="ZM351" s="1"/>
      <c r="ZN351" s="1"/>
      <c r="ZO351" s="1"/>
      <c r="ZP351" s="1"/>
      <c r="ZQ351" s="1"/>
      <c r="ZR351" s="1"/>
      <c r="ZS351" s="1"/>
      <c r="ZT351" s="1"/>
      <c r="ZU351" s="1"/>
      <c r="ZV351" s="1"/>
      <c r="ZW351" s="1"/>
      <c r="ZX351" s="1"/>
      <c r="ZY351" s="1"/>
      <c r="ZZ351" s="1"/>
      <c r="AAA351" s="1"/>
      <c r="AAB351" s="1"/>
      <c r="AAC351" s="1"/>
      <c r="AAD351" s="1"/>
      <c r="AAE351" s="1"/>
      <c r="AAF351" s="1"/>
      <c r="AAG351" s="1"/>
      <c r="AAH351" s="1"/>
      <c r="AAI351" s="1"/>
      <c r="AAJ351" s="1"/>
      <c r="AAK351" s="1"/>
      <c r="AAL351" s="1"/>
      <c r="AAM351" s="1"/>
      <c r="AAN351" s="1"/>
      <c r="AAO351" s="1"/>
      <c r="AAP351" s="1"/>
      <c r="AAQ351" s="1"/>
      <c r="AAR351" s="1"/>
      <c r="AAS351" s="1"/>
      <c r="AAT351" s="1"/>
      <c r="AAU351" s="1"/>
      <c r="AAV351" s="1"/>
      <c r="AAW351" s="1"/>
      <c r="AAX351" s="1"/>
      <c r="AAY351" s="1"/>
      <c r="AAZ351" s="1"/>
      <c r="ABA351" s="1"/>
      <c r="ABB351" s="1"/>
      <c r="ABC351" s="1"/>
      <c r="ABD351" s="1"/>
      <c r="ABE351" s="1"/>
      <c r="ABF351" s="1"/>
      <c r="ABG351" s="1"/>
      <c r="ABH351" s="1"/>
      <c r="ABI351" s="1"/>
      <c r="ABJ351" s="1"/>
      <c r="ABK351" s="1"/>
      <c r="ABL351" s="1"/>
      <c r="ABM351" s="1"/>
      <c r="ABN351" s="1"/>
      <c r="ABO351" s="1"/>
      <c r="ABP351" s="1"/>
      <c r="ABQ351" s="1"/>
      <c r="ABR351" s="1"/>
      <c r="ABS351" s="1"/>
      <c r="ABT351" s="1"/>
      <c r="ABU351" s="1"/>
      <c r="ABV351" s="1"/>
      <c r="ABW351" s="1"/>
      <c r="ABX351" s="1"/>
      <c r="ABY351" s="1"/>
      <c r="ABZ351" s="1"/>
      <c r="ACA351" s="1"/>
      <c r="ACB351" s="1"/>
      <c r="ACC351" s="1"/>
      <c r="ACD351" s="1"/>
      <c r="ACE351" s="1"/>
      <c r="ACF351" s="1"/>
      <c r="ACG351" s="1"/>
      <c r="ACH351" s="1"/>
      <c r="ACI351" s="1"/>
      <c r="ACJ351" s="1"/>
      <c r="ACK351" s="1"/>
      <c r="ACL351" s="1"/>
      <c r="ACM351" s="1"/>
      <c r="ACN351" s="1"/>
      <c r="ACO351" s="1"/>
      <c r="ACP351" s="1"/>
      <c r="ACQ351" s="1"/>
      <c r="ACR351" s="1"/>
      <c r="ACS351" s="1"/>
      <c r="ACT351" s="1"/>
      <c r="ACU351" s="1"/>
      <c r="ACV351" s="1"/>
      <c r="ACW351" s="1"/>
      <c r="ACX351" s="1"/>
      <c r="ACY351" s="1"/>
      <c r="ACZ351" s="1"/>
      <c r="ADA351" s="1"/>
      <c r="ADB351" s="1"/>
      <c r="ADC351" s="1"/>
      <c r="ADD351" s="1"/>
      <c r="ADE351" s="1"/>
      <c r="ADF351" s="1"/>
      <c r="ADG351" s="1"/>
      <c r="ADH351" s="1"/>
      <c r="ADI351" s="1"/>
      <c r="ADJ351" s="1"/>
      <c r="ADK351" s="1"/>
      <c r="ADL351" s="1"/>
      <c r="ADM351" s="1"/>
      <c r="ADN351" s="1"/>
      <c r="ADO351" s="1"/>
      <c r="ADP351" s="1"/>
      <c r="ADQ351" s="1"/>
      <c r="ADR351" s="1"/>
      <c r="ADS351" s="1"/>
      <c r="ADT351" s="1"/>
      <c r="ADU351" s="1"/>
      <c r="ADV351" s="1"/>
      <c r="ADW351" s="1"/>
      <c r="ADX351" s="1"/>
      <c r="ADY351" s="1"/>
      <c r="ADZ351" s="1"/>
      <c r="AEA351" s="1"/>
      <c r="AEB351" s="1"/>
      <c r="AEC351" s="1"/>
      <c r="AED351" s="1"/>
      <c r="AEE351" s="1"/>
      <c r="AEF351" s="1"/>
      <c r="AEG351" s="1"/>
      <c r="AEH351" s="1"/>
      <c r="AEI351" s="1"/>
      <c r="AEJ351" s="1"/>
      <c r="AEK351" s="1"/>
      <c r="AEL351" s="1"/>
      <c r="AEM351" s="1"/>
      <c r="AEN351" s="1"/>
      <c r="AEO351" s="1"/>
      <c r="AEP351" s="1"/>
      <c r="AEQ351" s="1"/>
      <c r="AER351" s="1"/>
      <c r="AES351" s="1"/>
      <c r="AET351" s="1"/>
      <c r="AEU351" s="1"/>
      <c r="AEV351" s="1"/>
      <c r="AEW351" s="1"/>
      <c r="AEX351" s="1"/>
      <c r="AEY351" s="1"/>
      <c r="AEZ351" s="1"/>
      <c r="AFA351" s="1"/>
      <c r="AFB351" s="1"/>
      <c r="AFC351" s="1"/>
      <c r="AFD351" s="1"/>
      <c r="AFE351" s="1"/>
      <c r="AFF351" s="1"/>
      <c r="AFG351" s="1"/>
      <c r="AFH351" s="1"/>
      <c r="AFI351" s="1"/>
      <c r="AFJ351" s="1"/>
      <c r="AFK351" s="1"/>
      <c r="AFL351" s="1"/>
      <c r="AFM351" s="1"/>
      <c r="AFN351" s="1"/>
      <c r="AFO351" s="1"/>
      <c r="AFP351" s="1"/>
      <c r="AFQ351" s="1"/>
      <c r="AFR351" s="1"/>
      <c r="AFS351" s="1"/>
      <c r="AFT351" s="1"/>
      <c r="AFU351" s="1"/>
      <c r="AFV351" s="1"/>
      <c r="AFW351" s="1"/>
      <c r="AFX351" s="1"/>
      <c r="AFY351" s="1"/>
      <c r="AFZ351" s="1"/>
      <c r="AGA351" s="1"/>
      <c r="AGB351" s="1"/>
      <c r="AGC351" s="1"/>
      <c r="AGD351" s="1"/>
      <c r="AGE351" s="1"/>
      <c r="AGF351" s="1"/>
      <c r="AGG351" s="1"/>
      <c r="AGH351" s="1"/>
      <c r="AGI351" s="1"/>
      <c r="AGJ351" s="1"/>
      <c r="AGK351" s="1"/>
      <c r="AGL351" s="1"/>
      <c r="AGM351" s="1"/>
      <c r="AGN351" s="1"/>
      <c r="AGO351" s="1"/>
      <c r="AGP351" s="1"/>
      <c r="AGQ351" s="1"/>
      <c r="AGR351" s="1"/>
      <c r="AGS351" s="1"/>
      <c r="AGT351" s="1"/>
      <c r="AGU351" s="1"/>
      <c r="AGV351" s="1"/>
      <c r="AGW351" s="1"/>
      <c r="AGX351" s="1"/>
      <c r="AGY351" s="1"/>
      <c r="AGZ351" s="1"/>
      <c r="AHA351" s="1"/>
      <c r="AHB351" s="1"/>
      <c r="AHC351" s="1"/>
      <c r="AHD351" s="1"/>
      <c r="AHE351" s="1"/>
      <c r="AHF351" s="1"/>
      <c r="AHG351" s="1"/>
      <c r="AHH351" s="1"/>
      <c r="AHI351" s="1"/>
      <c r="AHJ351" s="1"/>
      <c r="AHK351" s="1"/>
      <c r="AHL351" s="1"/>
      <c r="AHM351" s="1"/>
      <c r="AHN351" s="1"/>
      <c r="AHO351" s="1"/>
      <c r="AHP351" s="1"/>
      <c r="AHQ351" s="1"/>
      <c r="AHR351" s="1"/>
      <c r="AHS351" s="1"/>
      <c r="AHT351" s="1"/>
      <c r="AHU351" s="1"/>
      <c r="AHV351" s="1"/>
      <c r="AHW351" s="1"/>
      <c r="AHX351" s="1"/>
      <c r="AHY351" s="1"/>
      <c r="AHZ351" s="1"/>
      <c r="AIA351" s="1"/>
      <c r="AIB351" s="1"/>
      <c r="AIC351" s="1"/>
      <c r="AID351" s="1"/>
      <c r="AIE351" s="1"/>
      <c r="AIF351" s="1"/>
      <c r="AIG351" s="1"/>
      <c r="AIH351" s="1"/>
      <c r="AII351" s="1"/>
      <c r="AIJ351" s="1"/>
      <c r="AIK351" s="1"/>
      <c r="AIL351" s="1"/>
      <c r="AIM351" s="1"/>
      <c r="AIN351" s="1"/>
      <c r="AIO351" s="1"/>
      <c r="AIP351" s="1"/>
      <c r="AIQ351" s="1"/>
      <c r="AIR351" s="1"/>
      <c r="AIS351" s="1"/>
      <c r="AIT351" s="1"/>
      <c r="AIU351" s="1"/>
      <c r="AIV351" s="1"/>
      <c r="AIW351" s="1"/>
      <c r="AIX351" s="1"/>
      <c r="AIY351" s="1"/>
      <c r="AIZ351" s="1"/>
      <c r="AJA351" s="1"/>
      <c r="AJB351" s="1"/>
      <c r="AJC351" s="1"/>
      <c r="AJD351" s="1"/>
      <c r="AJE351" s="1"/>
      <c r="AJF351" s="1"/>
      <c r="AJG351" s="1"/>
      <c r="AJH351" s="1"/>
      <c r="AJI351" s="1"/>
      <c r="AJJ351" s="1"/>
      <c r="AJK351" s="1"/>
      <c r="AJL351" s="1"/>
      <c r="AJM351" s="1"/>
      <c r="AJN351" s="1"/>
      <c r="AJO351" s="1"/>
      <c r="AJP351" s="1"/>
      <c r="AJQ351" s="1"/>
      <c r="AJR351" s="1"/>
      <c r="AJS351" s="1"/>
      <c r="AJT351" s="1"/>
      <c r="AJU351" s="1"/>
      <c r="AJV351" s="1"/>
      <c r="AJW351" s="1"/>
      <c r="AJX351" s="1"/>
      <c r="AJY351" s="1"/>
      <c r="AJZ351" s="1"/>
      <c r="AKA351" s="1"/>
      <c r="AKB351" s="1"/>
      <c r="AKC351" s="1"/>
      <c r="AKD351" s="1"/>
      <c r="AKE351" s="1"/>
      <c r="AKF351" s="1"/>
      <c r="AKG351" s="1"/>
      <c r="AKH351" s="1"/>
      <c r="AKI351" s="1"/>
      <c r="AKJ351" s="1"/>
      <c r="AKK351" s="1"/>
      <c r="AKL351" s="1"/>
      <c r="AKM351" s="1"/>
      <c r="AKN351" s="1"/>
      <c r="AKO351" s="1"/>
      <c r="AKP351" s="1"/>
      <c r="AKQ351" s="1"/>
      <c r="AKR351" s="1"/>
      <c r="AKS351" s="1"/>
      <c r="AKT351" s="1"/>
      <c r="AKU351" s="1"/>
      <c r="AKV351" s="1"/>
      <c r="AKW351" s="1"/>
      <c r="AKX351" s="1"/>
      <c r="AKY351" s="1"/>
      <c r="AKZ351" s="1"/>
      <c r="ALA351" s="1"/>
      <c r="ALB351" s="1"/>
      <c r="ALC351" s="1"/>
      <c r="ALD351" s="1"/>
      <c r="ALE351" s="1"/>
      <c r="ALF351" s="1"/>
      <c r="ALG351" s="1"/>
      <c r="ALH351" s="1"/>
      <c r="ALI351" s="1"/>
      <c r="ALJ351" s="1"/>
      <c r="ALK351" s="1"/>
      <c r="ALL351" s="1"/>
      <c r="ALM351" s="1"/>
      <c r="ALN351" s="1"/>
      <c r="ALO351" s="1"/>
      <c r="ALP351" s="1"/>
      <c r="ALQ351" s="1"/>
      <c r="ALR351" s="1"/>
      <c r="ALS351" s="1"/>
      <c r="ALT351" s="1"/>
      <c r="ALU351" s="1"/>
      <c r="ALV351" s="1"/>
      <c r="ALW351" s="1"/>
      <c r="ALX351" s="1"/>
      <c r="ALY351" s="1"/>
      <c r="ALZ351" s="1"/>
      <c r="AMA351" s="1"/>
      <c r="AMB351" s="1"/>
      <c r="AMC351" s="1"/>
      <c r="AMD351" s="1"/>
      <c r="AME351" s="1"/>
      <c r="AMF351" s="1"/>
      <c r="AMG351" s="1"/>
      <c r="AMH351" s="1"/>
      <c r="AMI351" s="1"/>
      <c r="AMJ351" s="1"/>
      <c r="AMK351" s="1"/>
      <c r="AML351" s="1"/>
      <c r="AMM351" s="1"/>
      <c r="AMN351" s="1"/>
      <c r="AMO351" s="1"/>
    </row>
    <row r="352" spans="1:1030" x14ac:dyDescent="0.2">
      <c r="A352" s="3" t="str">
        <f>CONCATENATE(B352,"_",C352)</f>
        <v>p2ry1_human_4XNV</v>
      </c>
      <c r="B352" s="3" t="s">
        <v>344</v>
      </c>
      <c r="C352" s="3" t="s">
        <v>1145</v>
      </c>
      <c r="D352" s="3" t="str">
        <f>IFERROR(MID(VLOOKUP($B352,Seqs!$A:$B,2,0),E352,1),"")</f>
        <v>F</v>
      </c>
      <c r="E352" s="3">
        <v>49</v>
      </c>
      <c r="F352" s="3" t="str">
        <f>IFERROR(MID(VLOOKUP($B352,Seqs!$A:$B,2,0),G352,1),"")</f>
        <v>H</v>
      </c>
      <c r="G352" s="3">
        <v>79</v>
      </c>
      <c r="H352" s="3" t="str">
        <f>IFERROR(MID(VLOOKUP($B352,Seqs!$A:$B,2,0),I352,1),"")</f>
        <v/>
      </c>
      <c r="I352" s="23" t="s">
        <v>23</v>
      </c>
      <c r="J352" s="3" t="str">
        <f>IFERROR(MID(VLOOKUP($B352,Seqs!$A:$B,2,0),K352,1),"")</f>
        <v/>
      </c>
      <c r="K352" s="23" t="s">
        <v>23</v>
      </c>
      <c r="L352" s="3" t="str">
        <f>IFERROR(MID(VLOOKUP($B352,Seqs!$A:$B,2,0),M352,1),"")</f>
        <v>S</v>
      </c>
      <c r="M352" s="3">
        <v>84</v>
      </c>
      <c r="N352" s="3" t="str">
        <f>IFERROR(MID(VLOOKUP($B352,Seqs!$A:$B,2,0),O352,1),"")</f>
        <v>N</v>
      </c>
      <c r="O352" s="3">
        <v>113</v>
      </c>
      <c r="P352" s="3" t="str">
        <f>IFERROR(MID(VLOOKUP($B352,Seqs!$A:$B,2,0),Q352,1),"")</f>
        <v>D</v>
      </c>
      <c r="Q352" s="3">
        <v>116</v>
      </c>
      <c r="R352" s="3" t="str">
        <f>IFERROR(MID(VLOOKUP($B352,Seqs!$A:$B,2,0),S352,1),"")</f>
        <v>F</v>
      </c>
      <c r="S352" s="3">
        <v>119</v>
      </c>
      <c r="T352" s="3" t="str">
        <f>IFERROR(MID(VLOOKUP($B352,Seqs!$A:$B,2,0),U352,1),"")</f>
        <v>G</v>
      </c>
      <c r="U352" s="3">
        <v>120</v>
      </c>
      <c r="V352" s="3" t="str">
        <f>IFERROR(MID(VLOOKUP($B352,Seqs!$A:$B,2,0),W352,1),"")</f>
        <v>Y</v>
      </c>
      <c r="W352" s="3">
        <v>155</v>
      </c>
      <c r="X352" s="3" t="str">
        <f>IFERROR(MID(VLOOKUP($B352,Seqs!$A:$B,2,0),Y352,1),"")</f>
        <v/>
      </c>
      <c r="Y352" s="3" t="s">
        <v>23</v>
      </c>
      <c r="Z352" s="3" t="str">
        <f>IFERROR(MID(VLOOKUP($B352,Seqs!$A:$B,2,0),AA352,1),"")</f>
        <v/>
      </c>
      <c r="AA352" s="3" t="s">
        <v>23</v>
      </c>
      <c r="AB352" s="3" t="str">
        <f>IFERROR(MID(VLOOKUP($B352,Seqs!$A:$B,2,0),AC352,1),"")</f>
        <v>G</v>
      </c>
      <c r="AC352" s="9">
        <v>161</v>
      </c>
      <c r="AD352" s="3" t="str">
        <f>IFERROR(MID(VLOOKUP($B352,Seqs!$A:$B,2,0),AE352,1),"")</f>
        <v>S</v>
      </c>
      <c r="AE352" s="3">
        <v>190</v>
      </c>
      <c r="AF352" s="3" t="str">
        <f>IFERROR(MID(VLOOKUP($B352,Seqs!$A:$B,2,0),AG352,1),"")</f>
        <v>C</v>
      </c>
      <c r="AG352" s="3">
        <v>202</v>
      </c>
      <c r="AH352" s="3" t="str">
        <f>IFERROR(MID(VLOOKUP($B352,Seqs!$A:$B,2,0),AI352,1),"")</f>
        <v>D</v>
      </c>
      <c r="AI352" s="3">
        <v>204</v>
      </c>
      <c r="AJ352" s="3" t="str">
        <f>IFERROR(MID(VLOOKUP($B352,Seqs!$A:$B,2,0),AK352,1),"")</f>
        <v>L</v>
      </c>
      <c r="AK352" s="3">
        <v>211</v>
      </c>
      <c r="AL352" s="3" t="str">
        <f>IFERROR(MID(VLOOKUP($B352,Seqs!$A:$B,2,0),AM352,1),"")</f>
        <v>K</v>
      </c>
      <c r="AM352" s="3">
        <v>247</v>
      </c>
      <c r="AN352" s="3" t="str">
        <f>IFERROR(MID(VLOOKUP($B352,Seqs!$A:$B,2,0),AO352,1),"")</f>
        <v>P</v>
      </c>
      <c r="AO352" s="3">
        <v>253</v>
      </c>
      <c r="AP352" s="3" t="str">
        <f>IFERROR(MID(VLOOKUP($B352,Seqs!$A:$B,2,0),AQ352,1),"")</f>
        <v>D</v>
      </c>
      <c r="AQ352" s="3">
        <v>289</v>
      </c>
      <c r="AR352" s="3" t="str">
        <f>IFERROR(MID(VLOOKUP($B352,Seqs!$A:$B,2,0),AS352,1),"")</f>
        <v>M</v>
      </c>
      <c r="AS352" s="3">
        <v>295</v>
      </c>
      <c r="AT352" s="3" t="str">
        <f>IFERROR(MID(VLOOKUP($B352,Seqs!$A:$B,2,0),AU352,1),"")</f>
        <v>L</v>
      </c>
      <c r="AU352" s="3">
        <v>326</v>
      </c>
      <c r="AV352" s="3" t="str">
        <f>IFERROR(MID(VLOOKUP($B352,Seqs!$A:$B,2,0),AW352,1),"")</f>
        <v/>
      </c>
      <c r="AW352" s="3" t="s">
        <v>23</v>
      </c>
      <c r="AX352" s="3" t="str">
        <f>IFERROR(MID(VLOOKUP($B352,Seqs!$A:$B,2,0),AY352,1),"")</f>
        <v/>
      </c>
      <c r="AY352" s="3" t="s">
        <v>23</v>
      </c>
      <c r="AZ352" s="77" t="str">
        <f>VLOOKUP(B352,Classification!A:D,2,0)</f>
        <v>A</v>
      </c>
      <c r="BA352" s="94" t="str">
        <f>VLOOKUP(B352,Classification!A:D,4,0)</f>
        <v>P2Y</v>
      </c>
      <c r="BB352" s="27" t="b">
        <f t="shared" si="1114"/>
        <v>1</v>
      </c>
      <c r="BC352" s="23">
        <f t="shared" si="1113"/>
        <v>243</v>
      </c>
      <c r="BD352" s="4" t="s">
        <v>23</v>
      </c>
      <c r="BE352" s="3" t="s">
        <v>1422</v>
      </c>
      <c r="BF352" s="118">
        <v>2.2000000000000002</v>
      </c>
      <c r="BG352" s="49" t="s">
        <v>1371</v>
      </c>
      <c r="BH352" s="49" t="s">
        <v>1371</v>
      </c>
      <c r="BI352" s="3" t="s">
        <v>1162</v>
      </c>
      <c r="BJ352" s="70" t="s">
        <v>1281</v>
      </c>
      <c r="BK352" s="57" t="s">
        <v>1281</v>
      </c>
      <c r="BL352" s="57" t="s">
        <v>1281</v>
      </c>
      <c r="BM352" s="57" t="s">
        <v>1281</v>
      </c>
      <c r="BN352" s="57" t="s">
        <v>1281</v>
      </c>
      <c r="BO352" s="57" t="s">
        <v>1281</v>
      </c>
      <c r="BP352" s="57" t="s">
        <v>1281</v>
      </c>
      <c r="BQ352" s="57" t="s">
        <v>1281</v>
      </c>
      <c r="BR352" s="57" t="s">
        <v>1281</v>
      </c>
      <c r="BS352" s="57" t="s">
        <v>1281</v>
      </c>
      <c r="BT352" s="57" t="s">
        <v>1281</v>
      </c>
      <c r="BU352" s="57" t="s">
        <v>1281</v>
      </c>
      <c r="BV352" s="70">
        <f>E352</f>
        <v>49</v>
      </c>
      <c r="BW352" s="71" t="str">
        <f>I352</f>
        <v>-</v>
      </c>
      <c r="BX352" s="72">
        <f>M352</f>
        <v>84</v>
      </c>
      <c r="BY352" s="71">
        <f>Q352</f>
        <v>116</v>
      </c>
      <c r="BZ352" s="72">
        <f>U352</f>
        <v>120</v>
      </c>
      <c r="CA352" s="71" t="str">
        <f>Y352</f>
        <v>-</v>
      </c>
      <c r="CB352" s="72">
        <f>AC352</f>
        <v>161</v>
      </c>
      <c r="CC352" s="71">
        <f>AG352</f>
        <v>202</v>
      </c>
      <c r="CD352" s="72">
        <f>AK352</f>
        <v>211</v>
      </c>
      <c r="CE352" s="71">
        <f>AO352</f>
        <v>253</v>
      </c>
      <c r="CF352" s="72">
        <f>AS352</f>
        <v>295</v>
      </c>
      <c r="CG352" s="71" t="str">
        <f>AW352</f>
        <v>-</v>
      </c>
      <c r="CH352" s="70">
        <f>G352</f>
        <v>79</v>
      </c>
      <c r="CI352" s="71" t="str">
        <f>K352</f>
        <v>-</v>
      </c>
      <c r="CJ352" s="72">
        <f>O352</f>
        <v>113</v>
      </c>
      <c r="CK352" s="72">
        <f>S352</f>
        <v>119</v>
      </c>
      <c r="CL352" s="72">
        <f>W352</f>
        <v>155</v>
      </c>
      <c r="CM352" s="72" t="str">
        <f>AA352</f>
        <v>-</v>
      </c>
      <c r="CN352" s="72">
        <f>AE352</f>
        <v>190</v>
      </c>
      <c r="CO352" s="72">
        <f>AI352</f>
        <v>204</v>
      </c>
      <c r="CP352" s="72">
        <f>AM352</f>
        <v>247</v>
      </c>
      <c r="CQ352" s="72">
        <f>AQ352</f>
        <v>289</v>
      </c>
      <c r="CR352" s="72">
        <f>AU352</f>
        <v>326</v>
      </c>
      <c r="CS352" s="72" t="str">
        <f>AY352</f>
        <v>-</v>
      </c>
      <c r="CT352" s="23" t="e">
        <f>M352-K352</f>
        <v>#VALUE!</v>
      </c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  <c r="OU352" s="1"/>
      <c r="OV352" s="1"/>
      <c r="OW352" s="1"/>
      <c r="OX352" s="1"/>
      <c r="OY352" s="1"/>
      <c r="OZ352" s="1"/>
      <c r="PA352" s="1"/>
      <c r="PB352" s="1"/>
      <c r="PC352" s="1"/>
      <c r="PD352" s="1"/>
      <c r="PE352" s="1"/>
      <c r="PF352" s="1"/>
      <c r="PG352" s="1"/>
      <c r="PH352" s="1"/>
      <c r="PI352" s="1"/>
      <c r="PJ352" s="1"/>
      <c r="PK352" s="1"/>
      <c r="PL352" s="1"/>
      <c r="PM352" s="1"/>
      <c r="PN352" s="1"/>
      <c r="PO352" s="1"/>
      <c r="PP352" s="1"/>
      <c r="PQ352" s="1"/>
      <c r="PR352" s="1"/>
      <c r="PS352" s="1"/>
      <c r="PT352" s="1"/>
      <c r="PU352" s="1"/>
      <c r="PV352" s="1"/>
      <c r="PW352" s="1"/>
      <c r="PX352" s="1"/>
      <c r="PY352" s="1"/>
      <c r="PZ352" s="1"/>
      <c r="QA352" s="1"/>
      <c r="QB352" s="1"/>
      <c r="QC352" s="1"/>
      <c r="QD352" s="1"/>
      <c r="QE352" s="1"/>
      <c r="QF352" s="1"/>
      <c r="QG352" s="1"/>
      <c r="QH352" s="1"/>
      <c r="QI352" s="1"/>
      <c r="QJ352" s="1"/>
      <c r="QK352" s="1"/>
      <c r="QL352" s="1"/>
      <c r="QM352" s="1"/>
      <c r="QN352" s="1"/>
      <c r="QO352" s="1"/>
      <c r="QP352" s="1"/>
      <c r="QQ352" s="1"/>
      <c r="QR352" s="1"/>
      <c r="QS352" s="1"/>
      <c r="QT352" s="1"/>
      <c r="QU352" s="1"/>
      <c r="QV352" s="1"/>
      <c r="QW352" s="1"/>
      <c r="QX352" s="1"/>
      <c r="QY352" s="1"/>
      <c r="QZ352" s="1"/>
      <c r="RA352" s="1"/>
      <c r="RB352" s="1"/>
      <c r="RC352" s="1"/>
      <c r="RD352" s="1"/>
      <c r="RE352" s="1"/>
      <c r="RF352" s="1"/>
      <c r="RG352" s="1"/>
      <c r="RH352" s="1"/>
      <c r="RI352" s="1"/>
      <c r="RJ352" s="1"/>
      <c r="RK352" s="1"/>
      <c r="RL352" s="1"/>
      <c r="RM352" s="1"/>
      <c r="RN352" s="1"/>
      <c r="RO352" s="1"/>
      <c r="RP352" s="1"/>
      <c r="RQ352" s="1"/>
      <c r="RR352" s="1"/>
      <c r="RS352" s="1"/>
      <c r="RT352" s="1"/>
      <c r="RU352" s="1"/>
      <c r="RV352" s="1"/>
      <c r="RW352" s="1"/>
      <c r="RX352" s="1"/>
      <c r="RY352" s="1"/>
      <c r="RZ352" s="1"/>
      <c r="SA352" s="1"/>
      <c r="SB352" s="1"/>
      <c r="SC352" s="1"/>
      <c r="SD352" s="1"/>
      <c r="SE352" s="1"/>
      <c r="SF352" s="1"/>
      <c r="SG352" s="1"/>
      <c r="SH352" s="1"/>
      <c r="SI352" s="1"/>
      <c r="SJ352" s="1"/>
      <c r="SK352" s="1"/>
      <c r="SL352" s="1"/>
      <c r="SM352" s="1"/>
      <c r="SN352" s="1"/>
      <c r="SO352" s="1"/>
      <c r="SP352" s="1"/>
      <c r="SQ352" s="1"/>
      <c r="SR352" s="1"/>
      <c r="SS352" s="1"/>
      <c r="ST352" s="1"/>
      <c r="SU352" s="1"/>
      <c r="SV352" s="1"/>
      <c r="SW352" s="1"/>
      <c r="SX352" s="1"/>
      <c r="SY352" s="1"/>
      <c r="SZ352" s="1"/>
      <c r="TA352" s="1"/>
      <c r="TB352" s="1"/>
      <c r="TC352" s="1"/>
      <c r="TD352" s="1"/>
      <c r="TE352" s="1"/>
      <c r="TF352" s="1"/>
      <c r="TG352" s="1"/>
      <c r="TH352" s="1"/>
      <c r="TI352" s="1"/>
      <c r="TJ352" s="1"/>
      <c r="TK352" s="1"/>
      <c r="TL352" s="1"/>
      <c r="TM352" s="1"/>
      <c r="TN352" s="1"/>
      <c r="TO352" s="1"/>
      <c r="TP352" s="1"/>
      <c r="TQ352" s="1"/>
      <c r="TR352" s="1"/>
      <c r="TS352" s="1"/>
      <c r="TT352" s="1"/>
      <c r="TU352" s="1"/>
      <c r="TV352" s="1"/>
      <c r="TW352" s="1"/>
      <c r="TX352" s="1"/>
      <c r="TY352" s="1"/>
      <c r="TZ352" s="1"/>
      <c r="UA352" s="1"/>
      <c r="UB352" s="1"/>
      <c r="UC352" s="1"/>
      <c r="UD352" s="1"/>
      <c r="UE352" s="1"/>
      <c r="UF352" s="1"/>
      <c r="UG352" s="1"/>
      <c r="UH352" s="1"/>
      <c r="UI352" s="1"/>
      <c r="UJ352" s="1"/>
      <c r="UK352" s="1"/>
      <c r="UL352" s="1"/>
      <c r="UM352" s="1"/>
      <c r="UN352" s="1"/>
      <c r="UO352" s="1"/>
      <c r="UP352" s="1"/>
      <c r="UQ352" s="1"/>
      <c r="UR352" s="1"/>
      <c r="US352" s="1"/>
      <c r="UT352" s="1"/>
      <c r="UU352" s="1"/>
      <c r="UV352" s="1"/>
      <c r="UW352" s="1"/>
      <c r="UX352" s="1"/>
      <c r="UY352" s="1"/>
      <c r="UZ352" s="1"/>
      <c r="VA352" s="1"/>
      <c r="VB352" s="1"/>
      <c r="VC352" s="1"/>
      <c r="VD352" s="1"/>
      <c r="VE352" s="1"/>
      <c r="VF352" s="1"/>
      <c r="VG352" s="1"/>
      <c r="VH352" s="1"/>
      <c r="VI352" s="1"/>
      <c r="VJ352" s="1"/>
      <c r="VK352" s="1"/>
      <c r="VL352" s="1"/>
      <c r="VM352" s="1"/>
      <c r="VN352" s="1"/>
      <c r="VO352" s="1"/>
      <c r="VP352" s="1"/>
      <c r="VQ352" s="1"/>
      <c r="VR352" s="1"/>
      <c r="VS352" s="1"/>
      <c r="VT352" s="1"/>
      <c r="VU352" s="1"/>
      <c r="VV352" s="1"/>
      <c r="VW352" s="1"/>
      <c r="VX352" s="1"/>
      <c r="VY352" s="1"/>
      <c r="VZ352" s="1"/>
      <c r="WA352" s="1"/>
      <c r="WB352" s="1"/>
      <c r="WC352" s="1"/>
      <c r="WD352" s="1"/>
      <c r="WE352" s="1"/>
      <c r="WF352" s="1"/>
      <c r="WG352" s="1"/>
      <c r="WH352" s="1"/>
      <c r="WI352" s="1"/>
      <c r="WJ352" s="1"/>
      <c r="WK352" s="1"/>
      <c r="WL352" s="1"/>
      <c r="WM352" s="1"/>
      <c r="WN352" s="1"/>
      <c r="WO352" s="1"/>
      <c r="WP352" s="1"/>
      <c r="WQ352" s="1"/>
      <c r="WR352" s="1"/>
      <c r="WS352" s="1"/>
      <c r="WT352" s="1"/>
      <c r="WU352" s="1"/>
      <c r="WV352" s="1"/>
      <c r="WW352" s="1"/>
      <c r="WX352" s="1"/>
      <c r="WY352" s="1"/>
      <c r="WZ352" s="1"/>
      <c r="XA352" s="1"/>
      <c r="XB352" s="1"/>
      <c r="XC352" s="1"/>
      <c r="XD352" s="1"/>
      <c r="XE352" s="1"/>
      <c r="XF352" s="1"/>
      <c r="XG352" s="1"/>
      <c r="XH352" s="1"/>
      <c r="XI352" s="1"/>
      <c r="XJ352" s="1"/>
      <c r="XK352" s="1"/>
      <c r="XL352" s="1"/>
      <c r="XM352" s="1"/>
      <c r="XN352" s="1"/>
      <c r="XO352" s="1"/>
      <c r="XP352" s="1"/>
      <c r="XQ352" s="1"/>
      <c r="XR352" s="1"/>
      <c r="XS352" s="1"/>
      <c r="XT352" s="1"/>
      <c r="XU352" s="1"/>
      <c r="XV352" s="1"/>
      <c r="XW352" s="1"/>
      <c r="XX352" s="1"/>
      <c r="XY352" s="1"/>
      <c r="XZ352" s="1"/>
      <c r="YA352" s="1"/>
      <c r="YB352" s="1"/>
      <c r="YC352" s="1"/>
      <c r="YD352" s="1"/>
      <c r="YE352" s="1"/>
      <c r="YF352" s="1"/>
      <c r="YG352" s="1"/>
      <c r="YH352" s="1"/>
      <c r="YI352" s="1"/>
      <c r="YJ352" s="1"/>
      <c r="YK352" s="1"/>
      <c r="YL352" s="1"/>
      <c r="YM352" s="1"/>
      <c r="YN352" s="1"/>
      <c r="YO352" s="1"/>
      <c r="YP352" s="1"/>
      <c r="YQ352" s="1"/>
      <c r="YR352" s="1"/>
      <c r="YS352" s="1"/>
      <c r="YT352" s="1"/>
      <c r="YU352" s="1"/>
      <c r="YV352" s="1"/>
      <c r="YW352" s="1"/>
      <c r="YX352" s="1"/>
      <c r="YY352" s="1"/>
      <c r="YZ352" s="1"/>
      <c r="ZA352" s="1"/>
      <c r="ZB352" s="1"/>
      <c r="ZC352" s="1"/>
      <c r="ZD352" s="1"/>
      <c r="ZE352" s="1"/>
      <c r="ZF352" s="1"/>
      <c r="ZG352" s="1"/>
      <c r="ZH352" s="1"/>
      <c r="ZI352" s="1"/>
      <c r="ZJ352" s="1"/>
      <c r="ZK352" s="1"/>
      <c r="ZL352" s="1"/>
      <c r="ZM352" s="1"/>
      <c r="ZN352" s="1"/>
      <c r="ZO352" s="1"/>
      <c r="ZP352" s="1"/>
      <c r="ZQ352" s="1"/>
      <c r="ZR352" s="1"/>
      <c r="ZS352" s="1"/>
      <c r="ZT352" s="1"/>
      <c r="ZU352" s="1"/>
      <c r="ZV352" s="1"/>
      <c r="ZW352" s="1"/>
      <c r="ZX352" s="1"/>
      <c r="ZY352" s="1"/>
      <c r="ZZ352" s="1"/>
      <c r="AAA352" s="1"/>
      <c r="AAB352" s="1"/>
      <c r="AAC352" s="1"/>
      <c r="AAD352" s="1"/>
      <c r="AAE352" s="1"/>
      <c r="AAF352" s="1"/>
      <c r="AAG352" s="1"/>
      <c r="AAH352" s="1"/>
      <c r="AAI352" s="1"/>
      <c r="AAJ352" s="1"/>
      <c r="AAK352" s="1"/>
      <c r="AAL352" s="1"/>
      <c r="AAM352" s="1"/>
      <c r="AAN352" s="1"/>
      <c r="AAO352" s="1"/>
      <c r="AAP352" s="1"/>
      <c r="AAQ352" s="1"/>
      <c r="AAR352" s="1"/>
      <c r="AAS352" s="1"/>
      <c r="AAT352" s="1"/>
      <c r="AAU352" s="1"/>
      <c r="AAV352" s="1"/>
      <c r="AAW352" s="1"/>
      <c r="AAX352" s="1"/>
      <c r="AAY352" s="1"/>
      <c r="AAZ352" s="1"/>
      <c r="ABA352" s="1"/>
      <c r="ABB352" s="1"/>
      <c r="ABC352" s="1"/>
      <c r="ABD352" s="1"/>
      <c r="ABE352" s="1"/>
      <c r="ABF352" s="1"/>
      <c r="ABG352" s="1"/>
      <c r="ABH352" s="1"/>
      <c r="ABI352" s="1"/>
      <c r="ABJ352" s="1"/>
      <c r="ABK352" s="1"/>
      <c r="ABL352" s="1"/>
      <c r="ABM352" s="1"/>
      <c r="ABN352" s="1"/>
      <c r="ABO352" s="1"/>
      <c r="ABP352" s="1"/>
      <c r="ABQ352" s="1"/>
      <c r="ABR352" s="1"/>
      <c r="ABS352" s="1"/>
      <c r="ABT352" s="1"/>
      <c r="ABU352" s="1"/>
      <c r="ABV352" s="1"/>
      <c r="ABW352" s="1"/>
      <c r="ABX352" s="1"/>
      <c r="ABY352" s="1"/>
      <c r="ABZ352" s="1"/>
      <c r="ACA352" s="1"/>
      <c r="ACB352" s="1"/>
      <c r="ACC352" s="1"/>
      <c r="ACD352" s="1"/>
      <c r="ACE352" s="1"/>
      <c r="ACF352" s="1"/>
      <c r="ACG352" s="1"/>
      <c r="ACH352" s="1"/>
      <c r="ACI352" s="1"/>
      <c r="ACJ352" s="1"/>
      <c r="ACK352" s="1"/>
      <c r="ACL352" s="1"/>
      <c r="ACM352" s="1"/>
      <c r="ACN352" s="1"/>
      <c r="ACO352" s="1"/>
      <c r="ACP352" s="1"/>
      <c r="ACQ352" s="1"/>
      <c r="ACR352" s="1"/>
      <c r="ACS352" s="1"/>
      <c r="ACT352" s="1"/>
      <c r="ACU352" s="1"/>
      <c r="ACV352" s="1"/>
      <c r="ACW352" s="1"/>
      <c r="ACX352" s="1"/>
      <c r="ACY352" s="1"/>
      <c r="ACZ352" s="1"/>
      <c r="ADA352" s="1"/>
      <c r="ADB352" s="1"/>
      <c r="ADC352" s="1"/>
      <c r="ADD352" s="1"/>
      <c r="ADE352" s="1"/>
      <c r="ADF352" s="1"/>
      <c r="ADG352" s="1"/>
      <c r="ADH352" s="1"/>
      <c r="ADI352" s="1"/>
      <c r="ADJ352" s="1"/>
      <c r="ADK352" s="1"/>
      <c r="ADL352" s="1"/>
      <c r="ADM352" s="1"/>
      <c r="ADN352" s="1"/>
      <c r="ADO352" s="1"/>
      <c r="ADP352" s="1"/>
      <c r="ADQ352" s="1"/>
      <c r="ADR352" s="1"/>
      <c r="ADS352" s="1"/>
      <c r="ADT352" s="1"/>
      <c r="ADU352" s="1"/>
      <c r="ADV352" s="1"/>
      <c r="ADW352" s="1"/>
      <c r="ADX352" s="1"/>
      <c r="ADY352" s="1"/>
      <c r="ADZ352" s="1"/>
      <c r="AEA352" s="1"/>
      <c r="AEB352" s="1"/>
      <c r="AEC352" s="1"/>
      <c r="AED352" s="1"/>
      <c r="AEE352" s="1"/>
      <c r="AEF352" s="1"/>
      <c r="AEG352" s="1"/>
      <c r="AEH352" s="1"/>
      <c r="AEI352" s="1"/>
      <c r="AEJ352" s="1"/>
      <c r="AEK352" s="1"/>
      <c r="AEL352" s="1"/>
      <c r="AEM352" s="1"/>
      <c r="AEN352" s="1"/>
      <c r="AEO352" s="1"/>
      <c r="AEP352" s="1"/>
      <c r="AEQ352" s="1"/>
      <c r="AER352" s="1"/>
      <c r="AES352" s="1"/>
      <c r="AET352" s="1"/>
      <c r="AEU352" s="1"/>
      <c r="AEV352" s="1"/>
      <c r="AEW352" s="1"/>
      <c r="AEX352" s="1"/>
      <c r="AEY352" s="1"/>
      <c r="AEZ352" s="1"/>
      <c r="AFA352" s="1"/>
      <c r="AFB352" s="1"/>
      <c r="AFC352" s="1"/>
      <c r="AFD352" s="1"/>
      <c r="AFE352" s="1"/>
      <c r="AFF352" s="1"/>
      <c r="AFG352" s="1"/>
      <c r="AFH352" s="1"/>
      <c r="AFI352" s="1"/>
      <c r="AFJ352" s="1"/>
      <c r="AFK352" s="1"/>
      <c r="AFL352" s="1"/>
      <c r="AFM352" s="1"/>
      <c r="AFN352" s="1"/>
      <c r="AFO352" s="1"/>
      <c r="AFP352" s="1"/>
      <c r="AFQ352" s="1"/>
      <c r="AFR352" s="1"/>
      <c r="AFS352" s="1"/>
      <c r="AFT352" s="1"/>
      <c r="AFU352" s="1"/>
      <c r="AFV352" s="1"/>
      <c r="AFW352" s="1"/>
      <c r="AFX352" s="1"/>
      <c r="AFY352" s="1"/>
      <c r="AFZ352" s="1"/>
      <c r="AGA352" s="1"/>
      <c r="AGB352" s="1"/>
      <c r="AGC352" s="1"/>
      <c r="AGD352" s="1"/>
      <c r="AGE352" s="1"/>
      <c r="AGF352" s="1"/>
      <c r="AGG352" s="1"/>
      <c r="AGH352" s="1"/>
      <c r="AGI352" s="1"/>
      <c r="AGJ352" s="1"/>
      <c r="AGK352" s="1"/>
      <c r="AGL352" s="1"/>
      <c r="AGM352" s="1"/>
      <c r="AGN352" s="1"/>
      <c r="AGO352" s="1"/>
      <c r="AGP352" s="1"/>
      <c r="AGQ352" s="1"/>
      <c r="AGR352" s="1"/>
      <c r="AGS352" s="1"/>
      <c r="AGT352" s="1"/>
      <c r="AGU352" s="1"/>
      <c r="AGV352" s="1"/>
      <c r="AGW352" s="1"/>
      <c r="AGX352" s="1"/>
      <c r="AGY352" s="1"/>
      <c r="AGZ352" s="1"/>
      <c r="AHA352" s="1"/>
      <c r="AHB352" s="1"/>
      <c r="AHC352" s="1"/>
      <c r="AHD352" s="1"/>
      <c r="AHE352" s="1"/>
      <c r="AHF352" s="1"/>
      <c r="AHG352" s="1"/>
      <c r="AHH352" s="1"/>
      <c r="AHI352" s="1"/>
      <c r="AHJ352" s="1"/>
      <c r="AHK352" s="1"/>
      <c r="AHL352" s="1"/>
      <c r="AHM352" s="1"/>
      <c r="AHN352" s="1"/>
      <c r="AHO352" s="1"/>
      <c r="AHP352" s="1"/>
      <c r="AHQ352" s="1"/>
      <c r="AHR352" s="1"/>
      <c r="AHS352" s="1"/>
      <c r="AHT352" s="1"/>
      <c r="AHU352" s="1"/>
      <c r="AHV352" s="1"/>
      <c r="AHW352" s="1"/>
      <c r="AHX352" s="1"/>
      <c r="AHY352" s="1"/>
      <c r="AHZ352" s="1"/>
      <c r="AIA352" s="1"/>
      <c r="AIB352" s="1"/>
      <c r="AIC352" s="1"/>
      <c r="AID352" s="1"/>
      <c r="AIE352" s="1"/>
      <c r="AIF352" s="1"/>
      <c r="AIG352" s="1"/>
      <c r="AIH352" s="1"/>
      <c r="AII352" s="1"/>
      <c r="AIJ352" s="1"/>
      <c r="AIK352" s="1"/>
      <c r="AIL352" s="1"/>
      <c r="AIM352" s="1"/>
      <c r="AIN352" s="1"/>
      <c r="AIO352" s="1"/>
      <c r="AIP352" s="1"/>
      <c r="AIQ352" s="1"/>
      <c r="AIR352" s="1"/>
      <c r="AIS352" s="1"/>
      <c r="AIT352" s="1"/>
      <c r="AIU352" s="1"/>
      <c r="AIV352" s="1"/>
      <c r="AIW352" s="1"/>
      <c r="AIX352" s="1"/>
      <c r="AIY352" s="1"/>
      <c r="AIZ352" s="1"/>
      <c r="AJA352" s="1"/>
      <c r="AJB352" s="1"/>
      <c r="AJC352" s="1"/>
      <c r="AJD352" s="1"/>
      <c r="AJE352" s="1"/>
      <c r="AJF352" s="1"/>
      <c r="AJG352" s="1"/>
      <c r="AJH352" s="1"/>
      <c r="AJI352" s="1"/>
      <c r="AJJ352" s="1"/>
      <c r="AJK352" s="1"/>
      <c r="AJL352" s="1"/>
      <c r="AJM352" s="1"/>
      <c r="AJN352" s="1"/>
      <c r="AJO352" s="1"/>
      <c r="AJP352" s="1"/>
      <c r="AJQ352" s="1"/>
      <c r="AJR352" s="1"/>
      <c r="AJS352" s="1"/>
      <c r="AJT352" s="1"/>
      <c r="AJU352" s="1"/>
      <c r="AJV352" s="1"/>
      <c r="AJW352" s="1"/>
      <c r="AJX352" s="1"/>
      <c r="AJY352" s="1"/>
      <c r="AJZ352" s="1"/>
      <c r="AKA352" s="1"/>
      <c r="AKB352" s="1"/>
      <c r="AKC352" s="1"/>
      <c r="AKD352" s="1"/>
      <c r="AKE352" s="1"/>
      <c r="AKF352" s="1"/>
      <c r="AKG352" s="1"/>
      <c r="AKH352" s="1"/>
      <c r="AKI352" s="1"/>
      <c r="AKJ352" s="1"/>
      <c r="AKK352" s="1"/>
      <c r="AKL352" s="1"/>
      <c r="AKM352" s="1"/>
      <c r="AKN352" s="1"/>
      <c r="AKO352" s="1"/>
      <c r="AKP352" s="1"/>
      <c r="AKQ352" s="1"/>
      <c r="AKR352" s="1"/>
      <c r="AKS352" s="1"/>
      <c r="AKT352" s="1"/>
      <c r="AKU352" s="1"/>
      <c r="AKV352" s="1"/>
      <c r="AKW352" s="1"/>
      <c r="AKX352" s="1"/>
      <c r="AKY352" s="1"/>
      <c r="AKZ352" s="1"/>
      <c r="ALA352" s="1"/>
      <c r="ALB352" s="1"/>
      <c r="ALC352" s="1"/>
      <c r="ALD352" s="1"/>
      <c r="ALE352" s="1"/>
      <c r="ALF352" s="1"/>
      <c r="ALG352" s="1"/>
      <c r="ALH352" s="1"/>
      <c r="ALI352" s="1"/>
      <c r="ALJ352" s="1"/>
      <c r="ALK352" s="1"/>
      <c r="ALL352" s="1"/>
      <c r="ALM352" s="1"/>
      <c r="ALN352" s="1"/>
      <c r="ALO352" s="1"/>
      <c r="ALP352" s="1"/>
      <c r="ALQ352" s="1"/>
      <c r="ALR352" s="1"/>
      <c r="ALS352" s="1"/>
      <c r="ALT352" s="1"/>
      <c r="ALU352" s="1"/>
      <c r="ALV352" s="1"/>
      <c r="ALW352" s="1"/>
      <c r="ALX352" s="1"/>
      <c r="ALY352" s="1"/>
      <c r="ALZ352" s="1"/>
      <c r="AMA352" s="1"/>
      <c r="AMB352" s="1"/>
      <c r="AMC352" s="1"/>
      <c r="AMD352" s="1"/>
      <c r="AME352" s="1"/>
      <c r="AMF352" s="1"/>
      <c r="AMG352" s="1"/>
      <c r="AMH352" s="1"/>
      <c r="AMI352" s="1"/>
      <c r="AMJ352" s="1"/>
      <c r="AMK352" s="1"/>
      <c r="AML352" s="1"/>
      <c r="AMM352" s="1"/>
      <c r="AMN352" s="1"/>
      <c r="AMO352" s="1"/>
    </row>
    <row r="353" spans="1:1029" x14ac:dyDescent="0.2">
      <c r="A353" s="3" t="str">
        <f>CONCATENATE(B353,"_",C353)</f>
        <v>p2ry1_human_4XNW</v>
      </c>
      <c r="B353" s="3" t="s">
        <v>344</v>
      </c>
      <c r="C353" s="3" t="s">
        <v>1049</v>
      </c>
      <c r="D353" s="3" t="str">
        <f>IFERROR(MID(VLOOKUP($B353,Seqs!$A:$B,2,0),E353,1),"")</f>
        <v>F</v>
      </c>
      <c r="E353" s="3">
        <v>49</v>
      </c>
      <c r="F353" s="3" t="str">
        <f>IFERROR(MID(VLOOKUP($B353,Seqs!$A:$B,2,0),G353,1),"")</f>
        <v>H</v>
      </c>
      <c r="G353" s="3">
        <v>79</v>
      </c>
      <c r="H353" s="3" t="str">
        <f>IFERROR(MID(VLOOKUP($B353,Seqs!$A:$B,2,0),I353,1),"")</f>
        <v/>
      </c>
      <c r="I353" s="23" t="s">
        <v>23</v>
      </c>
      <c r="J353" s="3" t="str">
        <f>IFERROR(MID(VLOOKUP($B353,Seqs!$A:$B,2,0),K353,1),"")</f>
        <v/>
      </c>
      <c r="K353" s="23" t="s">
        <v>23</v>
      </c>
      <c r="L353" s="3" t="str">
        <f>IFERROR(MID(VLOOKUP($B353,Seqs!$A:$B,2,0),M353,1),"")</f>
        <v>S</v>
      </c>
      <c r="M353" s="3">
        <v>84</v>
      </c>
      <c r="N353" s="3" t="str">
        <f>IFERROR(MID(VLOOKUP($B353,Seqs!$A:$B,2,0),O353,1),"")</f>
        <v>N</v>
      </c>
      <c r="O353" s="3">
        <v>113</v>
      </c>
      <c r="P353" s="3" t="str">
        <f>IFERROR(MID(VLOOKUP($B353,Seqs!$A:$B,2,0),Q353,1),"")</f>
        <v>D</v>
      </c>
      <c r="Q353" s="3">
        <v>116</v>
      </c>
      <c r="R353" s="3" t="str">
        <f>IFERROR(MID(VLOOKUP($B353,Seqs!$A:$B,2,0),S353,1),"")</f>
        <v>F</v>
      </c>
      <c r="S353" s="3">
        <v>119</v>
      </c>
      <c r="T353" s="3" t="str">
        <f>IFERROR(MID(VLOOKUP($B353,Seqs!$A:$B,2,0),U353,1),"")</f>
        <v>G</v>
      </c>
      <c r="U353" s="3">
        <v>120</v>
      </c>
      <c r="V353" s="3" t="str">
        <f>IFERROR(MID(VLOOKUP($B353,Seqs!$A:$B,2,0),W353,1),"")</f>
        <v>Y</v>
      </c>
      <c r="W353" s="3">
        <v>155</v>
      </c>
      <c r="X353" s="3" t="str">
        <f>IFERROR(MID(VLOOKUP($B353,Seqs!$A:$B,2,0),Y353,1),"")</f>
        <v>P</v>
      </c>
      <c r="Y353" s="3">
        <v>156</v>
      </c>
      <c r="Z353" s="3" t="str">
        <f>IFERROR(MID(VLOOKUP($B353,Seqs!$A:$B,2,0),AA353,1),"")</f>
        <v>L</v>
      </c>
      <c r="AA353" s="3">
        <v>163</v>
      </c>
      <c r="AB353" s="3" t="str">
        <f>IFERROR(MID(VLOOKUP($B353,Seqs!$A:$B,2,0),AC353,1),"")</f>
        <v>K</v>
      </c>
      <c r="AC353" s="9">
        <v>164</v>
      </c>
      <c r="AD353" s="3" t="str">
        <f>IFERROR(MID(VLOOKUP($B353,Seqs!$A:$B,2,0),AE353,1),"")</f>
        <v>S</v>
      </c>
      <c r="AE353" s="3">
        <v>190</v>
      </c>
      <c r="AF353" s="3" t="str">
        <f>IFERROR(MID(VLOOKUP($B353,Seqs!$A:$B,2,0),AG353,1),"")</f>
        <v>C</v>
      </c>
      <c r="AG353" s="3">
        <v>202</v>
      </c>
      <c r="AH353" s="3" t="str">
        <f>IFERROR(MID(VLOOKUP($B353,Seqs!$A:$B,2,0),AI353,1),"")</f>
        <v>D</v>
      </c>
      <c r="AI353" s="3">
        <v>204</v>
      </c>
      <c r="AJ353" s="3" t="str">
        <f>IFERROR(MID(VLOOKUP($B353,Seqs!$A:$B,2,0),AK353,1),"")</f>
        <v>L</v>
      </c>
      <c r="AK353" s="3">
        <v>211</v>
      </c>
      <c r="AL353" s="3" t="str">
        <f>IFERROR(MID(VLOOKUP($B353,Seqs!$A:$B,2,0),AM353,1),"")</f>
        <v>K</v>
      </c>
      <c r="AM353" s="3">
        <v>247</v>
      </c>
      <c r="AN353" s="3" t="str">
        <f>IFERROR(MID(VLOOKUP($B353,Seqs!$A:$B,2,0),AO353,1),"")</f>
        <v>P</v>
      </c>
      <c r="AO353" s="3">
        <v>253</v>
      </c>
      <c r="AP353" s="3" t="str">
        <f>IFERROR(MID(VLOOKUP($B353,Seqs!$A:$B,2,0),AQ353,1),"")</f>
        <v>D</v>
      </c>
      <c r="AQ353" s="3">
        <v>289</v>
      </c>
      <c r="AR353" s="3" t="str">
        <f>IFERROR(MID(VLOOKUP($B353,Seqs!$A:$B,2,0),AS353,1),"")</f>
        <v>M</v>
      </c>
      <c r="AS353" s="3">
        <v>295</v>
      </c>
      <c r="AT353" s="3" t="str">
        <f>IFERROR(MID(VLOOKUP($B353,Seqs!$A:$B,2,0),AU353,1),"")</f>
        <v>L</v>
      </c>
      <c r="AU353" s="3">
        <v>326</v>
      </c>
      <c r="AV353" s="3" t="str">
        <f>IFERROR(MID(VLOOKUP($B353,Seqs!$A:$B,2,0),AW353,1),"")</f>
        <v/>
      </c>
      <c r="AW353" s="3" t="s">
        <v>23</v>
      </c>
      <c r="AX353" s="3" t="str">
        <f>IFERROR(MID(VLOOKUP($B353,Seqs!$A:$B,2,0),AY353,1),"")</f>
        <v/>
      </c>
      <c r="AY353" s="3" t="s">
        <v>23</v>
      </c>
      <c r="AZ353" s="77" t="str">
        <f>VLOOKUP(B353,Classification!A:D,2,0)</f>
        <v>A</v>
      </c>
      <c r="BA353" s="94" t="str">
        <f>VLOOKUP(B353,Classification!A:D,4,0)</f>
        <v>P2Y</v>
      </c>
      <c r="BB353" s="27" t="b">
        <f t="shared" si="1114"/>
        <v>1</v>
      </c>
      <c r="BC353" s="23">
        <f t="shared" si="1113"/>
        <v>247</v>
      </c>
      <c r="BD353" s="2" t="s">
        <v>1423</v>
      </c>
      <c r="BE353" s="3" t="s">
        <v>1422</v>
      </c>
      <c r="BF353" s="118">
        <v>2.7</v>
      </c>
      <c r="BG353" s="49" t="s">
        <v>1371</v>
      </c>
      <c r="BH353" s="49" t="s">
        <v>1371</v>
      </c>
      <c r="BI353" s="1"/>
      <c r="BJ353" s="70" t="s">
        <v>1281</v>
      </c>
      <c r="BK353" s="57" t="s">
        <v>1281</v>
      </c>
      <c r="BL353" s="57" t="s">
        <v>1281</v>
      </c>
      <c r="BM353" s="57" t="s">
        <v>1281</v>
      </c>
      <c r="BN353" s="57" t="s">
        <v>1281</v>
      </c>
      <c r="BO353" s="57" t="s">
        <v>1281</v>
      </c>
      <c r="BP353" s="57" t="s">
        <v>1281</v>
      </c>
      <c r="BQ353" s="57" t="s">
        <v>1281</v>
      </c>
      <c r="BR353" s="57" t="s">
        <v>1281</v>
      </c>
      <c r="BS353" s="57" t="s">
        <v>1281</v>
      </c>
      <c r="BT353" s="57" t="s">
        <v>1281</v>
      </c>
      <c r="BU353" s="57" t="s">
        <v>1281</v>
      </c>
      <c r="BV353" s="70">
        <f>E353</f>
        <v>49</v>
      </c>
      <c r="BW353" s="71" t="str">
        <f>I353</f>
        <v>-</v>
      </c>
      <c r="BX353" s="72">
        <f>M353</f>
        <v>84</v>
      </c>
      <c r="BY353" s="71">
        <f>Q353</f>
        <v>116</v>
      </c>
      <c r="BZ353" s="72">
        <f>U353</f>
        <v>120</v>
      </c>
      <c r="CA353" s="71">
        <f>Y353</f>
        <v>156</v>
      </c>
      <c r="CB353" s="72">
        <f>AC353</f>
        <v>164</v>
      </c>
      <c r="CC353" s="71">
        <f>AG353</f>
        <v>202</v>
      </c>
      <c r="CD353" s="72">
        <f>AK353</f>
        <v>211</v>
      </c>
      <c r="CE353" s="71">
        <f>AO353</f>
        <v>253</v>
      </c>
      <c r="CF353" s="72">
        <f>AS353</f>
        <v>295</v>
      </c>
      <c r="CG353" s="71" t="str">
        <f>AW353</f>
        <v>-</v>
      </c>
      <c r="CH353" s="70">
        <f>G353</f>
        <v>79</v>
      </c>
      <c r="CI353" s="71" t="str">
        <f>K353</f>
        <v>-</v>
      </c>
      <c r="CJ353" s="72">
        <f>O353</f>
        <v>113</v>
      </c>
      <c r="CK353" s="72">
        <f>S353</f>
        <v>119</v>
      </c>
      <c r="CL353" s="72">
        <f>W353</f>
        <v>155</v>
      </c>
      <c r="CM353" s="72">
        <f>AA353</f>
        <v>163</v>
      </c>
      <c r="CN353" s="72">
        <f>AE353</f>
        <v>190</v>
      </c>
      <c r="CO353" s="72">
        <f>AI353</f>
        <v>204</v>
      </c>
      <c r="CP353" s="72">
        <f>AM353</f>
        <v>247</v>
      </c>
      <c r="CQ353" s="72">
        <f>AQ353</f>
        <v>289</v>
      </c>
      <c r="CR353" s="72">
        <f>AU353</f>
        <v>326</v>
      </c>
      <c r="CS353" s="72" t="str">
        <f>AY353</f>
        <v>-</v>
      </c>
      <c r="CT353" s="23" t="e">
        <f>M353-K353</f>
        <v>#VALUE!</v>
      </c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U353" s="1"/>
      <c r="OV353" s="1"/>
      <c r="OW353" s="1"/>
      <c r="OX353" s="1"/>
      <c r="OY353" s="1"/>
      <c r="OZ353" s="1"/>
      <c r="PA353" s="1"/>
      <c r="PB353" s="1"/>
      <c r="PC353" s="1"/>
      <c r="PD353" s="1"/>
      <c r="PE353" s="1"/>
      <c r="PF353" s="1"/>
      <c r="PG353" s="1"/>
      <c r="PH353" s="1"/>
      <c r="PI353" s="1"/>
      <c r="PJ353" s="1"/>
      <c r="PK353" s="1"/>
      <c r="PL353" s="1"/>
      <c r="PM353" s="1"/>
      <c r="PN353" s="1"/>
      <c r="PO353" s="1"/>
      <c r="PP353" s="1"/>
      <c r="PQ353" s="1"/>
      <c r="PR353" s="1"/>
      <c r="PS353" s="1"/>
      <c r="PT353" s="1"/>
      <c r="PU353" s="1"/>
      <c r="PV353" s="1"/>
      <c r="PW353" s="1"/>
      <c r="PX353" s="1"/>
      <c r="PY353" s="1"/>
      <c r="PZ353" s="1"/>
      <c r="QA353" s="1"/>
      <c r="QB353" s="1"/>
      <c r="QC353" s="1"/>
      <c r="QD353" s="1"/>
      <c r="QE353" s="1"/>
      <c r="QF353" s="1"/>
      <c r="QG353" s="1"/>
      <c r="QH353" s="1"/>
      <c r="QI353" s="1"/>
      <c r="QJ353" s="1"/>
      <c r="QK353" s="1"/>
      <c r="QL353" s="1"/>
      <c r="QM353" s="1"/>
      <c r="QN353" s="1"/>
      <c r="QO353" s="1"/>
      <c r="QP353" s="1"/>
      <c r="QQ353" s="1"/>
      <c r="QR353" s="1"/>
      <c r="QS353" s="1"/>
      <c r="QT353" s="1"/>
      <c r="QU353" s="1"/>
      <c r="QV353" s="1"/>
      <c r="QW353" s="1"/>
      <c r="QX353" s="1"/>
      <c r="QY353" s="1"/>
      <c r="QZ353" s="1"/>
      <c r="RA353" s="1"/>
      <c r="RB353" s="1"/>
      <c r="RC353" s="1"/>
      <c r="RD353" s="1"/>
      <c r="RE353" s="1"/>
      <c r="RF353" s="1"/>
      <c r="RG353" s="1"/>
      <c r="RH353" s="1"/>
      <c r="RI353" s="1"/>
      <c r="RJ353" s="1"/>
      <c r="RK353" s="1"/>
      <c r="RL353" s="1"/>
      <c r="RM353" s="1"/>
      <c r="RN353" s="1"/>
      <c r="RO353" s="1"/>
      <c r="RP353" s="1"/>
      <c r="RQ353" s="1"/>
      <c r="RR353" s="1"/>
      <c r="RS353" s="1"/>
      <c r="RT353" s="1"/>
      <c r="RU353" s="1"/>
      <c r="RV353" s="1"/>
      <c r="RW353" s="1"/>
      <c r="RX353" s="1"/>
      <c r="RY353" s="1"/>
      <c r="RZ353" s="1"/>
      <c r="SA353" s="1"/>
      <c r="SB353" s="1"/>
      <c r="SC353" s="1"/>
      <c r="SD353" s="1"/>
      <c r="SE353" s="1"/>
      <c r="SF353" s="1"/>
      <c r="SG353" s="1"/>
      <c r="SH353" s="1"/>
      <c r="SI353" s="1"/>
      <c r="SJ353" s="1"/>
      <c r="SK353" s="1"/>
      <c r="SL353" s="1"/>
      <c r="SM353" s="1"/>
      <c r="SN353" s="1"/>
      <c r="SO353" s="1"/>
      <c r="SP353" s="1"/>
      <c r="SQ353" s="1"/>
      <c r="SR353" s="1"/>
      <c r="SS353" s="1"/>
      <c r="ST353" s="1"/>
      <c r="SU353" s="1"/>
      <c r="SV353" s="1"/>
      <c r="SW353" s="1"/>
      <c r="SX353" s="1"/>
      <c r="SY353" s="1"/>
      <c r="SZ353" s="1"/>
      <c r="TA353" s="1"/>
      <c r="TB353" s="1"/>
      <c r="TC353" s="1"/>
      <c r="TD353" s="1"/>
      <c r="TE353" s="1"/>
      <c r="TF353" s="1"/>
      <c r="TG353" s="1"/>
      <c r="TH353" s="1"/>
      <c r="TI353" s="1"/>
      <c r="TJ353" s="1"/>
      <c r="TK353" s="1"/>
      <c r="TL353" s="1"/>
      <c r="TM353" s="1"/>
      <c r="TN353" s="1"/>
      <c r="TO353" s="1"/>
      <c r="TP353" s="1"/>
      <c r="TQ353" s="1"/>
      <c r="TR353" s="1"/>
      <c r="TS353" s="1"/>
      <c r="TT353" s="1"/>
      <c r="TU353" s="1"/>
      <c r="TV353" s="1"/>
      <c r="TW353" s="1"/>
      <c r="TX353" s="1"/>
      <c r="TY353" s="1"/>
      <c r="TZ353" s="1"/>
      <c r="UA353" s="1"/>
      <c r="UB353" s="1"/>
      <c r="UC353" s="1"/>
      <c r="UD353" s="1"/>
      <c r="UE353" s="1"/>
      <c r="UF353" s="1"/>
      <c r="UG353" s="1"/>
      <c r="UH353" s="1"/>
      <c r="UI353" s="1"/>
      <c r="UJ353" s="1"/>
      <c r="UK353" s="1"/>
      <c r="UL353" s="1"/>
      <c r="UM353" s="1"/>
      <c r="UN353" s="1"/>
      <c r="UO353" s="1"/>
      <c r="UP353" s="1"/>
      <c r="UQ353" s="1"/>
      <c r="UR353" s="1"/>
      <c r="US353" s="1"/>
      <c r="UT353" s="1"/>
      <c r="UU353" s="1"/>
      <c r="UV353" s="1"/>
      <c r="UW353" s="1"/>
      <c r="UX353" s="1"/>
      <c r="UY353" s="1"/>
      <c r="UZ353" s="1"/>
      <c r="VA353" s="1"/>
      <c r="VB353" s="1"/>
      <c r="VC353" s="1"/>
      <c r="VD353" s="1"/>
      <c r="VE353" s="1"/>
      <c r="VF353" s="1"/>
      <c r="VG353" s="1"/>
      <c r="VH353" s="1"/>
      <c r="VI353" s="1"/>
      <c r="VJ353" s="1"/>
      <c r="VK353" s="1"/>
      <c r="VL353" s="1"/>
      <c r="VM353" s="1"/>
      <c r="VN353" s="1"/>
      <c r="VO353" s="1"/>
      <c r="VP353" s="1"/>
      <c r="VQ353" s="1"/>
      <c r="VR353" s="1"/>
      <c r="VS353" s="1"/>
      <c r="VT353" s="1"/>
      <c r="VU353" s="1"/>
      <c r="VV353" s="1"/>
      <c r="VW353" s="1"/>
      <c r="VX353" s="1"/>
      <c r="VY353" s="1"/>
      <c r="VZ353" s="1"/>
      <c r="WA353" s="1"/>
      <c r="WB353" s="1"/>
      <c r="WC353" s="1"/>
      <c r="WD353" s="1"/>
      <c r="WE353" s="1"/>
      <c r="WF353" s="1"/>
      <c r="WG353" s="1"/>
      <c r="WH353" s="1"/>
      <c r="WI353" s="1"/>
      <c r="WJ353" s="1"/>
      <c r="WK353" s="1"/>
      <c r="WL353" s="1"/>
      <c r="WM353" s="1"/>
      <c r="WN353" s="1"/>
      <c r="WO353" s="1"/>
      <c r="WP353" s="1"/>
      <c r="WQ353" s="1"/>
      <c r="WR353" s="1"/>
      <c r="WS353" s="1"/>
      <c r="WT353" s="1"/>
      <c r="WU353" s="1"/>
      <c r="WV353" s="1"/>
      <c r="WW353" s="1"/>
      <c r="WX353" s="1"/>
      <c r="WY353" s="1"/>
      <c r="WZ353" s="1"/>
      <c r="XA353" s="1"/>
      <c r="XB353" s="1"/>
      <c r="XC353" s="1"/>
      <c r="XD353" s="1"/>
      <c r="XE353" s="1"/>
      <c r="XF353" s="1"/>
      <c r="XG353" s="1"/>
      <c r="XH353" s="1"/>
      <c r="XI353" s="1"/>
      <c r="XJ353" s="1"/>
      <c r="XK353" s="1"/>
      <c r="XL353" s="1"/>
      <c r="XM353" s="1"/>
      <c r="XN353" s="1"/>
      <c r="XO353" s="1"/>
      <c r="XP353" s="1"/>
      <c r="XQ353" s="1"/>
      <c r="XR353" s="1"/>
      <c r="XS353" s="1"/>
      <c r="XT353" s="1"/>
      <c r="XU353" s="1"/>
      <c r="XV353" s="1"/>
      <c r="XW353" s="1"/>
      <c r="XX353" s="1"/>
      <c r="XY353" s="1"/>
      <c r="XZ353" s="1"/>
      <c r="YA353" s="1"/>
      <c r="YB353" s="1"/>
      <c r="YC353" s="1"/>
      <c r="YD353" s="1"/>
      <c r="YE353" s="1"/>
      <c r="YF353" s="1"/>
      <c r="YG353" s="1"/>
      <c r="YH353" s="1"/>
      <c r="YI353" s="1"/>
      <c r="YJ353" s="1"/>
      <c r="YK353" s="1"/>
      <c r="YL353" s="1"/>
      <c r="YM353" s="1"/>
      <c r="YN353" s="1"/>
      <c r="YO353" s="1"/>
      <c r="YP353" s="1"/>
      <c r="YQ353" s="1"/>
      <c r="YR353" s="1"/>
      <c r="YS353" s="1"/>
      <c r="YT353" s="1"/>
      <c r="YU353" s="1"/>
      <c r="YV353" s="1"/>
      <c r="YW353" s="1"/>
      <c r="YX353" s="1"/>
      <c r="YY353" s="1"/>
      <c r="YZ353" s="1"/>
      <c r="ZA353" s="1"/>
      <c r="ZB353" s="1"/>
      <c r="ZC353" s="1"/>
      <c r="ZD353" s="1"/>
      <c r="ZE353" s="1"/>
      <c r="ZF353" s="1"/>
      <c r="ZG353" s="1"/>
      <c r="ZH353" s="1"/>
      <c r="ZI353" s="1"/>
      <c r="ZJ353" s="1"/>
      <c r="ZK353" s="1"/>
      <c r="ZL353" s="1"/>
      <c r="ZM353" s="1"/>
      <c r="ZN353" s="1"/>
      <c r="ZO353" s="1"/>
      <c r="ZP353" s="1"/>
      <c r="ZQ353" s="1"/>
      <c r="ZR353" s="1"/>
      <c r="ZS353" s="1"/>
      <c r="ZT353" s="1"/>
      <c r="ZU353" s="1"/>
      <c r="ZV353" s="1"/>
      <c r="ZW353" s="1"/>
      <c r="ZX353" s="1"/>
      <c r="ZY353" s="1"/>
      <c r="ZZ353" s="1"/>
      <c r="AAA353" s="1"/>
      <c r="AAB353" s="1"/>
      <c r="AAC353" s="1"/>
      <c r="AAD353" s="1"/>
      <c r="AAE353" s="1"/>
      <c r="AAF353" s="1"/>
      <c r="AAG353" s="1"/>
      <c r="AAH353" s="1"/>
      <c r="AAI353" s="1"/>
      <c r="AAJ353" s="1"/>
      <c r="AAK353" s="1"/>
      <c r="AAL353" s="1"/>
      <c r="AAM353" s="1"/>
      <c r="AAN353" s="1"/>
      <c r="AAO353" s="1"/>
      <c r="AAP353" s="1"/>
      <c r="AAQ353" s="1"/>
      <c r="AAR353" s="1"/>
      <c r="AAS353" s="1"/>
      <c r="AAT353" s="1"/>
      <c r="AAU353" s="1"/>
      <c r="AAV353" s="1"/>
      <c r="AAW353" s="1"/>
      <c r="AAX353" s="1"/>
      <c r="AAY353" s="1"/>
      <c r="AAZ353" s="1"/>
      <c r="ABA353" s="1"/>
      <c r="ABB353" s="1"/>
      <c r="ABC353" s="1"/>
      <c r="ABD353" s="1"/>
      <c r="ABE353" s="1"/>
      <c r="ABF353" s="1"/>
      <c r="ABG353" s="1"/>
      <c r="ABH353" s="1"/>
      <c r="ABI353" s="1"/>
      <c r="ABJ353" s="1"/>
      <c r="ABK353" s="1"/>
      <c r="ABL353" s="1"/>
      <c r="ABM353" s="1"/>
      <c r="ABN353" s="1"/>
      <c r="ABO353" s="1"/>
      <c r="ABP353" s="1"/>
      <c r="ABQ353" s="1"/>
      <c r="ABR353" s="1"/>
      <c r="ABS353" s="1"/>
      <c r="ABT353" s="1"/>
      <c r="ABU353" s="1"/>
      <c r="ABV353" s="1"/>
      <c r="ABW353" s="1"/>
      <c r="ABX353" s="1"/>
      <c r="ABY353" s="1"/>
      <c r="ABZ353" s="1"/>
      <c r="ACA353" s="1"/>
      <c r="ACB353" s="1"/>
      <c r="ACC353" s="1"/>
      <c r="ACD353" s="1"/>
      <c r="ACE353" s="1"/>
      <c r="ACF353" s="1"/>
      <c r="ACG353" s="1"/>
      <c r="ACH353" s="1"/>
      <c r="ACI353" s="1"/>
      <c r="ACJ353" s="1"/>
      <c r="ACK353" s="1"/>
      <c r="ACL353" s="1"/>
      <c r="ACM353" s="1"/>
      <c r="ACN353" s="1"/>
      <c r="ACO353" s="1"/>
      <c r="ACP353" s="1"/>
      <c r="ACQ353" s="1"/>
      <c r="ACR353" s="1"/>
      <c r="ACS353" s="1"/>
      <c r="ACT353" s="1"/>
      <c r="ACU353" s="1"/>
      <c r="ACV353" s="1"/>
      <c r="ACW353" s="1"/>
      <c r="ACX353" s="1"/>
      <c r="ACY353" s="1"/>
      <c r="ACZ353" s="1"/>
      <c r="ADA353" s="1"/>
      <c r="ADB353" s="1"/>
      <c r="ADC353" s="1"/>
      <c r="ADD353" s="1"/>
      <c r="ADE353" s="1"/>
      <c r="ADF353" s="1"/>
      <c r="ADG353" s="1"/>
      <c r="ADH353" s="1"/>
      <c r="ADI353" s="1"/>
      <c r="ADJ353" s="1"/>
      <c r="ADK353" s="1"/>
      <c r="ADL353" s="1"/>
      <c r="ADM353" s="1"/>
      <c r="ADN353" s="1"/>
      <c r="ADO353" s="1"/>
      <c r="ADP353" s="1"/>
      <c r="ADQ353" s="1"/>
      <c r="ADR353" s="1"/>
      <c r="ADS353" s="1"/>
      <c r="ADT353" s="1"/>
      <c r="ADU353" s="1"/>
      <c r="ADV353" s="1"/>
      <c r="ADW353" s="1"/>
      <c r="ADX353" s="1"/>
      <c r="ADY353" s="1"/>
      <c r="ADZ353" s="1"/>
      <c r="AEA353" s="1"/>
      <c r="AEB353" s="1"/>
      <c r="AEC353" s="1"/>
      <c r="AED353" s="1"/>
      <c r="AEE353" s="1"/>
      <c r="AEF353" s="1"/>
      <c r="AEG353" s="1"/>
      <c r="AEH353" s="1"/>
      <c r="AEI353" s="1"/>
      <c r="AEJ353" s="1"/>
      <c r="AEK353" s="1"/>
      <c r="AEL353" s="1"/>
      <c r="AEM353" s="1"/>
      <c r="AEN353" s="1"/>
      <c r="AEO353" s="1"/>
      <c r="AEP353" s="1"/>
      <c r="AEQ353" s="1"/>
      <c r="AER353" s="1"/>
      <c r="AES353" s="1"/>
      <c r="AET353" s="1"/>
      <c r="AEU353" s="1"/>
      <c r="AEV353" s="1"/>
      <c r="AEW353" s="1"/>
      <c r="AEX353" s="1"/>
      <c r="AEY353" s="1"/>
      <c r="AEZ353" s="1"/>
      <c r="AFA353" s="1"/>
      <c r="AFB353" s="1"/>
      <c r="AFC353" s="1"/>
      <c r="AFD353" s="1"/>
      <c r="AFE353" s="1"/>
      <c r="AFF353" s="1"/>
      <c r="AFG353" s="1"/>
      <c r="AFH353" s="1"/>
      <c r="AFI353" s="1"/>
      <c r="AFJ353" s="1"/>
      <c r="AFK353" s="1"/>
      <c r="AFL353" s="1"/>
      <c r="AFM353" s="1"/>
      <c r="AFN353" s="1"/>
      <c r="AFO353" s="1"/>
      <c r="AFP353" s="1"/>
      <c r="AFQ353" s="1"/>
      <c r="AFR353" s="1"/>
      <c r="AFS353" s="1"/>
      <c r="AFT353" s="1"/>
      <c r="AFU353" s="1"/>
      <c r="AFV353" s="1"/>
      <c r="AFW353" s="1"/>
      <c r="AFX353" s="1"/>
      <c r="AFY353" s="1"/>
      <c r="AFZ353" s="1"/>
      <c r="AGA353" s="1"/>
      <c r="AGB353" s="1"/>
      <c r="AGC353" s="1"/>
      <c r="AGD353" s="1"/>
      <c r="AGE353" s="1"/>
      <c r="AGF353" s="1"/>
      <c r="AGG353" s="1"/>
      <c r="AGH353" s="1"/>
      <c r="AGI353" s="1"/>
      <c r="AGJ353" s="1"/>
      <c r="AGK353" s="1"/>
      <c r="AGL353" s="1"/>
      <c r="AGM353" s="1"/>
      <c r="AGN353" s="1"/>
      <c r="AGO353" s="1"/>
      <c r="AGP353" s="1"/>
      <c r="AGQ353" s="1"/>
      <c r="AGR353" s="1"/>
      <c r="AGS353" s="1"/>
      <c r="AGT353" s="1"/>
      <c r="AGU353" s="1"/>
      <c r="AGV353" s="1"/>
      <c r="AGW353" s="1"/>
      <c r="AGX353" s="1"/>
      <c r="AGY353" s="1"/>
      <c r="AGZ353" s="1"/>
      <c r="AHA353" s="1"/>
      <c r="AHB353" s="1"/>
      <c r="AHC353" s="1"/>
      <c r="AHD353" s="1"/>
      <c r="AHE353" s="1"/>
      <c r="AHF353" s="1"/>
      <c r="AHG353" s="1"/>
      <c r="AHH353" s="1"/>
      <c r="AHI353" s="1"/>
      <c r="AHJ353" s="1"/>
      <c r="AHK353" s="1"/>
      <c r="AHL353" s="1"/>
      <c r="AHM353" s="1"/>
      <c r="AHN353" s="1"/>
      <c r="AHO353" s="1"/>
      <c r="AHP353" s="1"/>
      <c r="AHQ353" s="1"/>
      <c r="AHR353" s="1"/>
      <c r="AHS353" s="1"/>
      <c r="AHT353" s="1"/>
      <c r="AHU353" s="1"/>
      <c r="AHV353" s="1"/>
      <c r="AHW353" s="1"/>
      <c r="AHX353" s="1"/>
      <c r="AHY353" s="1"/>
      <c r="AHZ353" s="1"/>
      <c r="AIA353" s="1"/>
      <c r="AIB353" s="1"/>
      <c r="AIC353" s="1"/>
      <c r="AID353" s="1"/>
      <c r="AIE353" s="1"/>
      <c r="AIF353" s="1"/>
      <c r="AIG353" s="1"/>
      <c r="AIH353" s="1"/>
      <c r="AII353" s="1"/>
      <c r="AIJ353" s="1"/>
      <c r="AIK353" s="1"/>
      <c r="AIL353" s="1"/>
      <c r="AIM353" s="1"/>
      <c r="AIN353" s="1"/>
      <c r="AIO353" s="1"/>
      <c r="AIP353" s="1"/>
      <c r="AIQ353" s="1"/>
      <c r="AIR353" s="1"/>
      <c r="AIS353" s="1"/>
      <c r="AIT353" s="1"/>
      <c r="AIU353" s="1"/>
      <c r="AIV353" s="1"/>
      <c r="AIW353" s="1"/>
      <c r="AIX353" s="1"/>
      <c r="AIY353" s="1"/>
      <c r="AIZ353" s="1"/>
      <c r="AJA353" s="1"/>
      <c r="AJB353" s="1"/>
      <c r="AJC353" s="1"/>
      <c r="AJD353" s="1"/>
      <c r="AJE353" s="1"/>
      <c r="AJF353" s="1"/>
      <c r="AJG353" s="1"/>
      <c r="AJH353" s="1"/>
      <c r="AJI353" s="1"/>
      <c r="AJJ353" s="1"/>
      <c r="AJK353" s="1"/>
      <c r="AJL353" s="1"/>
      <c r="AJM353" s="1"/>
      <c r="AJN353" s="1"/>
      <c r="AJO353" s="1"/>
      <c r="AJP353" s="1"/>
      <c r="AJQ353" s="1"/>
      <c r="AJR353" s="1"/>
      <c r="AJS353" s="1"/>
      <c r="AJT353" s="1"/>
      <c r="AJU353" s="1"/>
      <c r="AJV353" s="1"/>
      <c r="AJW353" s="1"/>
      <c r="AJX353" s="1"/>
      <c r="AJY353" s="1"/>
      <c r="AJZ353" s="1"/>
      <c r="AKA353" s="1"/>
      <c r="AKB353" s="1"/>
      <c r="AKC353" s="1"/>
      <c r="AKD353" s="1"/>
      <c r="AKE353" s="1"/>
      <c r="AKF353" s="1"/>
      <c r="AKG353" s="1"/>
      <c r="AKH353" s="1"/>
      <c r="AKI353" s="1"/>
      <c r="AKJ353" s="1"/>
      <c r="AKK353" s="1"/>
      <c r="AKL353" s="1"/>
      <c r="AKM353" s="1"/>
      <c r="AKN353" s="1"/>
      <c r="AKO353" s="1"/>
      <c r="AKP353" s="1"/>
      <c r="AKQ353" s="1"/>
      <c r="AKR353" s="1"/>
      <c r="AKS353" s="1"/>
      <c r="AKT353" s="1"/>
      <c r="AKU353" s="1"/>
      <c r="AKV353" s="1"/>
      <c r="AKW353" s="1"/>
      <c r="AKX353" s="1"/>
      <c r="AKY353" s="1"/>
      <c r="AKZ353" s="1"/>
      <c r="ALA353" s="1"/>
      <c r="ALB353" s="1"/>
      <c r="ALC353" s="1"/>
      <c r="ALD353" s="1"/>
      <c r="ALE353" s="1"/>
      <c r="ALF353" s="1"/>
      <c r="ALG353" s="1"/>
      <c r="ALH353" s="1"/>
      <c r="ALI353" s="1"/>
      <c r="ALJ353" s="1"/>
      <c r="ALK353" s="1"/>
      <c r="ALL353" s="1"/>
      <c r="ALM353" s="1"/>
      <c r="ALN353" s="1"/>
      <c r="ALO353" s="1"/>
      <c r="ALP353" s="1"/>
      <c r="ALQ353" s="1"/>
      <c r="ALR353" s="1"/>
      <c r="ALS353" s="1"/>
      <c r="ALT353" s="1"/>
      <c r="ALU353" s="1"/>
      <c r="ALV353" s="1"/>
      <c r="ALW353" s="1"/>
      <c r="ALX353" s="1"/>
      <c r="ALY353" s="1"/>
      <c r="ALZ353" s="1"/>
      <c r="AMA353" s="1"/>
      <c r="AMB353" s="1"/>
      <c r="AMC353" s="1"/>
      <c r="AMD353" s="1"/>
      <c r="AME353" s="1"/>
      <c r="AMF353" s="1"/>
      <c r="AMG353" s="1"/>
      <c r="AMH353" s="1"/>
      <c r="AMI353" s="1"/>
      <c r="AMJ353" s="1"/>
      <c r="AMK353" s="1"/>
      <c r="AML353" s="1"/>
      <c r="AMM353" s="1"/>
      <c r="AMN353" s="1"/>
      <c r="AMO353" s="1"/>
    </row>
    <row r="354" spans="1:1029" x14ac:dyDescent="0.2">
      <c r="A354" s="3" t="str">
        <f>CONCATENATE(B354,"_",C354)</f>
        <v>p2y12_human__wt</v>
      </c>
      <c r="B354" s="3" t="s">
        <v>351</v>
      </c>
      <c r="C354" s="3" t="s">
        <v>100</v>
      </c>
      <c r="D354" s="3" t="str">
        <f>IFERROR(MID(VLOOKUP($B354,Seqs!$A:$B,2,0),E354,1),"")</f>
        <v>Y</v>
      </c>
      <c r="E354" s="3">
        <v>21</v>
      </c>
      <c r="F354" s="3" t="str">
        <f>IFERROR(MID(VLOOKUP($B354,Seqs!$A:$B,2,0),G354,1),"")</f>
        <v>I</v>
      </c>
      <c r="G354" s="3">
        <v>53</v>
      </c>
      <c r="H354" s="3" t="str">
        <f>IFERROR(MID(VLOOKUP($B354,Seqs!$A:$B,2,0),I354,1),"")</f>
        <v/>
      </c>
      <c r="I354" s="23" t="s">
        <v>23</v>
      </c>
      <c r="J354" s="3" t="str">
        <f>IFERROR(MID(VLOOKUP($B354,Seqs!$A:$B,2,0),K354,1),"")</f>
        <v/>
      </c>
      <c r="K354" s="23" t="s">
        <v>23</v>
      </c>
      <c r="L354" s="3" t="str">
        <f>IFERROR(MID(VLOOKUP($B354,Seqs!$A:$B,2,0),M354,1),"")</f>
        <v>S</v>
      </c>
      <c r="M354" s="3">
        <v>57</v>
      </c>
      <c r="N354" s="3" t="str">
        <f>IFERROR(MID(VLOOKUP($B354,Seqs!$A:$B,2,0),O354,1),"")</f>
        <v>K</v>
      </c>
      <c r="O354" s="3">
        <v>86</v>
      </c>
      <c r="P354" s="3" t="str">
        <f>IFERROR(MID(VLOOKUP($B354,Seqs!$A:$B,2,0),Q354,1),"")</f>
        <v/>
      </c>
      <c r="Q354" s="3" t="s">
        <v>23</v>
      </c>
      <c r="R354" s="3" t="str">
        <f>IFERROR(MID(VLOOKUP($B354,Seqs!$A:$B,2,0),S354,1),"")</f>
        <v/>
      </c>
      <c r="S354" s="3" t="s">
        <v>23</v>
      </c>
      <c r="T354" s="3" t="str">
        <f>IFERROR(MID(VLOOKUP($B354,Seqs!$A:$B,2,0),U354,1),"")</f>
        <v>G</v>
      </c>
      <c r="U354" s="3">
        <v>90</v>
      </c>
      <c r="V354" s="3" t="str">
        <f>IFERROR(MID(VLOOKUP($B354,Seqs!$A:$B,2,0),W354,1),"")</f>
        <v>R</v>
      </c>
      <c r="W354" s="3">
        <v>128</v>
      </c>
      <c r="X354" s="3" t="str">
        <f>IFERROR(MID(VLOOKUP($B354,Seqs!$A:$B,2,0),Y354,1),"")</f>
        <v>P</v>
      </c>
      <c r="Y354" s="3">
        <v>129</v>
      </c>
      <c r="Z354" s="3" t="str">
        <f>IFERROR(MID(VLOOKUP($B354,Seqs!$A:$B,2,0),AA354,1),"")</f>
        <v>K</v>
      </c>
      <c r="AA354" s="73">
        <v>136</v>
      </c>
      <c r="AB354" s="3" t="str">
        <f>IFERROR(MID(VLOOKUP($B354,Seqs!$A:$B,2,0),AC354,1),"")</f>
        <v>N</v>
      </c>
      <c r="AC354" s="9">
        <v>137</v>
      </c>
      <c r="AD354" s="3" t="str">
        <f>IFERROR(MID(VLOOKUP($B354,Seqs!$A:$B,2,0),AE354,1),"")</f>
        <v>T</v>
      </c>
      <c r="AE354" s="3">
        <v>163</v>
      </c>
      <c r="AF354" s="3" t="str">
        <f>IFERROR(MID(VLOOKUP($B354,Seqs!$A:$B,2,0),AG354,1),"")</f>
        <v>C</v>
      </c>
      <c r="AG354" s="3">
        <v>175</v>
      </c>
      <c r="AH354" s="3" t="str">
        <f>IFERROR(MID(VLOOKUP($B354,Seqs!$A:$B,2,0),AI354,1),"")</f>
        <v>F</v>
      </c>
      <c r="AI354" s="3">
        <v>177</v>
      </c>
      <c r="AJ354" s="3" t="str">
        <f>IFERROR(MID(VLOOKUP($B354,Seqs!$A:$B,2,0),AK354,1),"")</f>
        <v>E</v>
      </c>
      <c r="AK354" s="3">
        <v>181</v>
      </c>
      <c r="AL354" s="3" t="str">
        <f>IFERROR(MID(VLOOKUP($B354,Seqs!$A:$B,2,0),AM354,1),"")</f>
        <v>T</v>
      </c>
      <c r="AM354" s="3">
        <v>223</v>
      </c>
      <c r="AN354" s="3" t="str">
        <f>IFERROR(MID(VLOOKUP($B354,Seqs!$A:$B,2,0),AO354,1),"")</f>
        <v>P</v>
      </c>
      <c r="AO354" s="3">
        <v>230</v>
      </c>
      <c r="AP354" s="3" t="str">
        <f>IFERROR(MID(VLOOKUP($B354,Seqs!$A:$B,2,0),AQ354,1),"")</f>
        <v>R</v>
      </c>
      <c r="AQ354" s="3">
        <v>265</v>
      </c>
      <c r="AR354" s="3" t="str">
        <f>IFERROR(MID(VLOOKUP($B354,Seqs!$A:$B,2,0),AS354,1),"")</f>
        <v>D</v>
      </c>
      <c r="AS354" s="3">
        <v>269</v>
      </c>
      <c r="AT354" s="3" t="str">
        <f>IFERROR(MID(VLOOKUP($B354,Seqs!$A:$B,2,0),AU354,1),"")</f>
        <v>L</v>
      </c>
      <c r="AU354" s="3">
        <v>301</v>
      </c>
      <c r="AV354" s="3" t="str">
        <f>IFERROR(MID(VLOOKUP($B354,Seqs!$A:$B,2,0),AW354,1),"")</f>
        <v>C</v>
      </c>
      <c r="AW354" s="3">
        <v>302</v>
      </c>
      <c r="AX354" s="3" t="str">
        <f>IFERROR(MID(VLOOKUP($B354,Seqs!$A:$B,2,0),AY354,1),"")</f>
        <v>M</v>
      </c>
      <c r="AY354" s="3">
        <v>312</v>
      </c>
      <c r="AZ354" s="77" t="str">
        <f>VLOOKUP(B354,Classification!A:D,2,0)</f>
        <v>A</v>
      </c>
      <c r="BA354" s="94" t="str">
        <f>VLOOKUP(B354,Classification!A:D,4,0)</f>
        <v>P2Y</v>
      </c>
      <c r="BB354" s="27" t="b">
        <f t="shared" si="1114"/>
        <v>1</v>
      </c>
      <c r="BC354" s="23">
        <f t="shared" si="1113"/>
        <v>265</v>
      </c>
      <c r="BD354" s="56" t="s">
        <v>23</v>
      </c>
      <c r="BE354" s="3" t="s">
        <v>23</v>
      </c>
      <c r="BF354" s="118" t="s">
        <v>23</v>
      </c>
      <c r="BG354" s="49" t="s">
        <v>1366</v>
      </c>
      <c r="BH354" s="49" t="s">
        <v>1371</v>
      </c>
      <c r="BI354" s="1"/>
      <c r="BJ354" s="70" t="s">
        <v>1281</v>
      </c>
      <c r="BK354" s="57" t="s">
        <v>1281</v>
      </c>
      <c r="BL354" s="57" t="s">
        <v>1281</v>
      </c>
      <c r="BM354" s="57" t="s">
        <v>1281</v>
      </c>
      <c r="BN354" s="57" t="s">
        <v>1281</v>
      </c>
      <c r="BO354" s="57" t="s">
        <v>1281</v>
      </c>
      <c r="BP354" s="57" t="s">
        <v>1281</v>
      </c>
      <c r="BQ354" s="57" t="s">
        <v>1281</v>
      </c>
      <c r="BR354" s="57" t="s">
        <v>1281</v>
      </c>
      <c r="BS354" s="57" t="s">
        <v>1281</v>
      </c>
      <c r="BT354" s="57" t="s">
        <v>1281</v>
      </c>
      <c r="BU354" s="57" t="s">
        <v>1281</v>
      </c>
      <c r="BV354" s="70">
        <f>E354</f>
        <v>21</v>
      </c>
      <c r="BW354" s="71" t="str">
        <f>I354</f>
        <v>-</v>
      </c>
      <c r="BX354" s="72">
        <f>M354</f>
        <v>57</v>
      </c>
      <c r="BY354" s="71" t="str">
        <f>Q354</f>
        <v>-</v>
      </c>
      <c r="BZ354" s="72">
        <f>U354</f>
        <v>90</v>
      </c>
      <c r="CA354" s="71">
        <f>Y354</f>
        <v>129</v>
      </c>
      <c r="CB354" s="72">
        <f>AC354</f>
        <v>137</v>
      </c>
      <c r="CC354" s="71">
        <f>AG354</f>
        <v>175</v>
      </c>
      <c r="CD354" s="72">
        <f>AK354</f>
        <v>181</v>
      </c>
      <c r="CE354" s="71">
        <f>AO354</f>
        <v>230</v>
      </c>
      <c r="CF354" s="72">
        <f>AS354</f>
        <v>269</v>
      </c>
      <c r="CG354" s="71">
        <f>AW354</f>
        <v>302</v>
      </c>
      <c r="CH354" s="70">
        <f>G354</f>
        <v>53</v>
      </c>
      <c r="CI354" s="71" t="str">
        <f>K354</f>
        <v>-</v>
      </c>
      <c r="CJ354" s="72">
        <f>O354</f>
        <v>86</v>
      </c>
      <c r="CK354" s="72" t="str">
        <f>S354</f>
        <v>-</v>
      </c>
      <c r="CL354" s="72">
        <f>W354</f>
        <v>128</v>
      </c>
      <c r="CM354" s="72">
        <f>AA354</f>
        <v>136</v>
      </c>
      <c r="CN354" s="72">
        <f>AE354</f>
        <v>163</v>
      </c>
      <c r="CO354" s="72">
        <f>AI354</f>
        <v>177</v>
      </c>
      <c r="CP354" s="72">
        <f>AM354</f>
        <v>223</v>
      </c>
      <c r="CQ354" s="72">
        <f>AQ354</f>
        <v>265</v>
      </c>
      <c r="CR354" s="72">
        <f>AU354</f>
        <v>301</v>
      </c>
      <c r="CS354" s="72">
        <f>AY354</f>
        <v>312</v>
      </c>
      <c r="CT354" s="23" t="e">
        <f>M354-K354</f>
        <v>#VALUE!</v>
      </c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U354" s="1"/>
      <c r="OV354" s="1"/>
      <c r="OW354" s="1"/>
      <c r="OX354" s="1"/>
      <c r="OY354" s="1"/>
      <c r="OZ354" s="1"/>
      <c r="PA354" s="1"/>
      <c r="PB354" s="1"/>
      <c r="PC354" s="1"/>
      <c r="PD354" s="1"/>
      <c r="PE354" s="1"/>
      <c r="PF354" s="1"/>
      <c r="PG354" s="1"/>
      <c r="PH354" s="1"/>
      <c r="PI354" s="1"/>
      <c r="PJ354" s="1"/>
      <c r="PK354" s="1"/>
      <c r="PL354" s="1"/>
      <c r="PM354" s="1"/>
      <c r="PN354" s="1"/>
      <c r="PO354" s="1"/>
      <c r="PP354" s="1"/>
      <c r="PQ354" s="1"/>
      <c r="PR354" s="1"/>
      <c r="PS354" s="1"/>
      <c r="PT354" s="1"/>
      <c r="PU354" s="1"/>
      <c r="PV354" s="1"/>
      <c r="PW354" s="1"/>
      <c r="PX354" s="1"/>
      <c r="PY354" s="1"/>
      <c r="PZ354" s="1"/>
      <c r="QA354" s="1"/>
      <c r="QB354" s="1"/>
      <c r="QC354" s="1"/>
      <c r="QD354" s="1"/>
      <c r="QE354" s="1"/>
      <c r="QF354" s="1"/>
      <c r="QG354" s="1"/>
      <c r="QH354" s="1"/>
      <c r="QI354" s="1"/>
      <c r="QJ354" s="1"/>
      <c r="QK354" s="1"/>
      <c r="QL354" s="1"/>
      <c r="QM354" s="1"/>
      <c r="QN354" s="1"/>
      <c r="QO354" s="1"/>
      <c r="QP354" s="1"/>
      <c r="QQ354" s="1"/>
      <c r="QR354" s="1"/>
      <c r="QS354" s="1"/>
      <c r="QT354" s="1"/>
      <c r="QU354" s="1"/>
      <c r="QV354" s="1"/>
      <c r="QW354" s="1"/>
      <c r="QX354" s="1"/>
      <c r="QY354" s="1"/>
      <c r="QZ354" s="1"/>
      <c r="RA354" s="1"/>
      <c r="RB354" s="1"/>
      <c r="RC354" s="1"/>
      <c r="RD354" s="1"/>
      <c r="RE354" s="1"/>
      <c r="RF354" s="1"/>
      <c r="RG354" s="1"/>
      <c r="RH354" s="1"/>
      <c r="RI354" s="1"/>
      <c r="RJ354" s="1"/>
      <c r="RK354" s="1"/>
      <c r="RL354" s="1"/>
      <c r="RM354" s="1"/>
      <c r="RN354" s="1"/>
      <c r="RO354" s="1"/>
      <c r="RP354" s="1"/>
      <c r="RQ354" s="1"/>
      <c r="RR354" s="1"/>
      <c r="RS354" s="1"/>
      <c r="RT354" s="1"/>
      <c r="RU354" s="1"/>
      <c r="RV354" s="1"/>
      <c r="RW354" s="1"/>
      <c r="RX354" s="1"/>
      <c r="RY354" s="1"/>
      <c r="RZ354" s="1"/>
      <c r="SA354" s="1"/>
      <c r="SB354" s="1"/>
      <c r="SC354" s="1"/>
      <c r="SD354" s="1"/>
      <c r="SE354" s="1"/>
      <c r="SF354" s="1"/>
      <c r="SG354" s="1"/>
      <c r="SH354" s="1"/>
      <c r="SI354" s="1"/>
      <c r="SJ354" s="1"/>
      <c r="SK354" s="1"/>
      <c r="SL354" s="1"/>
      <c r="SM354" s="1"/>
      <c r="SN354" s="1"/>
      <c r="SO354" s="1"/>
      <c r="SP354" s="1"/>
      <c r="SQ354" s="1"/>
      <c r="SR354" s="1"/>
      <c r="SS354" s="1"/>
      <c r="ST354" s="1"/>
      <c r="SU354" s="1"/>
      <c r="SV354" s="1"/>
      <c r="SW354" s="1"/>
      <c r="SX354" s="1"/>
      <c r="SY354" s="1"/>
      <c r="SZ354" s="1"/>
      <c r="TA354" s="1"/>
      <c r="TB354" s="1"/>
      <c r="TC354" s="1"/>
      <c r="TD354" s="1"/>
      <c r="TE354" s="1"/>
      <c r="TF354" s="1"/>
      <c r="TG354" s="1"/>
      <c r="TH354" s="1"/>
      <c r="TI354" s="1"/>
      <c r="TJ354" s="1"/>
      <c r="TK354" s="1"/>
      <c r="TL354" s="1"/>
      <c r="TM354" s="1"/>
      <c r="TN354" s="1"/>
      <c r="TO354" s="1"/>
      <c r="TP354" s="1"/>
      <c r="TQ354" s="1"/>
      <c r="TR354" s="1"/>
      <c r="TS354" s="1"/>
      <c r="TT354" s="1"/>
      <c r="TU354" s="1"/>
      <c r="TV354" s="1"/>
      <c r="TW354" s="1"/>
      <c r="TX354" s="1"/>
      <c r="TY354" s="1"/>
      <c r="TZ354" s="1"/>
      <c r="UA354" s="1"/>
      <c r="UB354" s="1"/>
      <c r="UC354" s="1"/>
      <c r="UD354" s="1"/>
      <c r="UE354" s="1"/>
      <c r="UF354" s="1"/>
      <c r="UG354" s="1"/>
      <c r="UH354" s="1"/>
      <c r="UI354" s="1"/>
      <c r="UJ354" s="1"/>
      <c r="UK354" s="1"/>
      <c r="UL354" s="1"/>
      <c r="UM354" s="1"/>
      <c r="UN354" s="1"/>
      <c r="UO354" s="1"/>
      <c r="UP354" s="1"/>
      <c r="UQ354" s="1"/>
      <c r="UR354" s="1"/>
      <c r="US354" s="1"/>
      <c r="UT354" s="1"/>
      <c r="UU354" s="1"/>
      <c r="UV354" s="1"/>
      <c r="UW354" s="1"/>
      <c r="UX354" s="1"/>
      <c r="UY354" s="1"/>
      <c r="UZ354" s="1"/>
      <c r="VA354" s="1"/>
      <c r="VB354" s="1"/>
      <c r="VC354" s="1"/>
      <c r="VD354" s="1"/>
      <c r="VE354" s="1"/>
      <c r="VF354" s="1"/>
      <c r="VG354" s="1"/>
      <c r="VH354" s="1"/>
      <c r="VI354" s="1"/>
      <c r="VJ354" s="1"/>
      <c r="VK354" s="1"/>
      <c r="VL354" s="1"/>
      <c r="VM354" s="1"/>
      <c r="VN354" s="1"/>
      <c r="VO354" s="1"/>
      <c r="VP354" s="1"/>
      <c r="VQ354" s="1"/>
      <c r="VR354" s="1"/>
      <c r="VS354" s="1"/>
      <c r="VT354" s="1"/>
      <c r="VU354" s="1"/>
      <c r="VV354" s="1"/>
      <c r="VW354" s="1"/>
      <c r="VX354" s="1"/>
      <c r="VY354" s="1"/>
      <c r="VZ354" s="1"/>
      <c r="WA354" s="1"/>
      <c r="WB354" s="1"/>
      <c r="WC354" s="1"/>
      <c r="WD354" s="1"/>
      <c r="WE354" s="1"/>
      <c r="WF354" s="1"/>
      <c r="WG354" s="1"/>
      <c r="WH354" s="1"/>
      <c r="WI354" s="1"/>
      <c r="WJ354" s="1"/>
      <c r="WK354" s="1"/>
      <c r="WL354" s="1"/>
      <c r="WM354" s="1"/>
      <c r="WN354" s="1"/>
      <c r="WO354" s="1"/>
      <c r="WP354" s="1"/>
      <c r="WQ354" s="1"/>
      <c r="WR354" s="1"/>
      <c r="WS354" s="1"/>
      <c r="WT354" s="1"/>
      <c r="WU354" s="1"/>
      <c r="WV354" s="1"/>
      <c r="WW354" s="1"/>
      <c r="WX354" s="1"/>
      <c r="WY354" s="1"/>
      <c r="WZ354" s="1"/>
      <c r="XA354" s="1"/>
      <c r="XB354" s="1"/>
      <c r="XC354" s="1"/>
      <c r="XD354" s="1"/>
      <c r="XE354" s="1"/>
      <c r="XF354" s="1"/>
      <c r="XG354" s="1"/>
      <c r="XH354" s="1"/>
      <c r="XI354" s="1"/>
      <c r="XJ354" s="1"/>
      <c r="XK354" s="1"/>
      <c r="XL354" s="1"/>
      <c r="XM354" s="1"/>
      <c r="XN354" s="1"/>
      <c r="XO354" s="1"/>
      <c r="XP354" s="1"/>
      <c r="XQ354" s="1"/>
      <c r="XR354" s="1"/>
      <c r="XS354" s="1"/>
      <c r="XT354" s="1"/>
      <c r="XU354" s="1"/>
      <c r="XV354" s="1"/>
      <c r="XW354" s="1"/>
      <c r="XX354" s="1"/>
      <c r="XY354" s="1"/>
      <c r="XZ354" s="1"/>
      <c r="YA354" s="1"/>
      <c r="YB354" s="1"/>
      <c r="YC354" s="1"/>
      <c r="YD354" s="1"/>
      <c r="YE354" s="1"/>
      <c r="YF354" s="1"/>
      <c r="YG354" s="1"/>
      <c r="YH354" s="1"/>
      <c r="YI354" s="1"/>
      <c r="YJ354" s="1"/>
      <c r="YK354" s="1"/>
      <c r="YL354" s="1"/>
      <c r="YM354" s="1"/>
      <c r="YN354" s="1"/>
      <c r="YO354" s="1"/>
      <c r="YP354" s="1"/>
      <c r="YQ354" s="1"/>
      <c r="YR354" s="1"/>
      <c r="YS354" s="1"/>
      <c r="YT354" s="1"/>
      <c r="YU354" s="1"/>
      <c r="YV354" s="1"/>
      <c r="YW354" s="1"/>
      <c r="YX354" s="1"/>
      <c r="YY354" s="1"/>
      <c r="YZ354" s="1"/>
      <c r="ZA354" s="1"/>
      <c r="ZB354" s="1"/>
      <c r="ZC354" s="1"/>
      <c r="ZD354" s="1"/>
      <c r="ZE354" s="1"/>
      <c r="ZF354" s="1"/>
      <c r="ZG354" s="1"/>
      <c r="ZH354" s="1"/>
      <c r="ZI354" s="1"/>
      <c r="ZJ354" s="1"/>
      <c r="ZK354" s="1"/>
      <c r="ZL354" s="1"/>
      <c r="ZM354" s="1"/>
      <c r="ZN354" s="1"/>
      <c r="ZO354" s="1"/>
      <c r="ZP354" s="1"/>
      <c r="ZQ354" s="1"/>
      <c r="ZR354" s="1"/>
      <c r="ZS354" s="1"/>
      <c r="ZT354" s="1"/>
      <c r="ZU354" s="1"/>
      <c r="ZV354" s="1"/>
      <c r="ZW354" s="1"/>
      <c r="ZX354" s="1"/>
      <c r="ZY354" s="1"/>
      <c r="ZZ354" s="1"/>
      <c r="AAA354" s="1"/>
      <c r="AAB354" s="1"/>
      <c r="AAC354" s="1"/>
      <c r="AAD354" s="1"/>
      <c r="AAE354" s="1"/>
      <c r="AAF354" s="1"/>
      <c r="AAG354" s="1"/>
      <c r="AAH354" s="1"/>
      <c r="AAI354" s="1"/>
      <c r="AAJ354" s="1"/>
      <c r="AAK354" s="1"/>
      <c r="AAL354" s="1"/>
      <c r="AAM354" s="1"/>
      <c r="AAN354" s="1"/>
      <c r="AAO354" s="1"/>
      <c r="AAP354" s="1"/>
      <c r="AAQ354" s="1"/>
      <c r="AAR354" s="1"/>
      <c r="AAS354" s="1"/>
      <c r="AAT354" s="1"/>
      <c r="AAU354" s="1"/>
      <c r="AAV354" s="1"/>
      <c r="AAW354" s="1"/>
      <c r="AAX354" s="1"/>
      <c r="AAY354" s="1"/>
      <c r="AAZ354" s="1"/>
      <c r="ABA354" s="1"/>
      <c r="ABB354" s="1"/>
      <c r="ABC354" s="1"/>
      <c r="ABD354" s="1"/>
      <c r="ABE354" s="1"/>
      <c r="ABF354" s="1"/>
      <c r="ABG354" s="1"/>
      <c r="ABH354" s="1"/>
      <c r="ABI354" s="1"/>
      <c r="ABJ354" s="1"/>
      <c r="ABK354" s="1"/>
      <c r="ABL354" s="1"/>
      <c r="ABM354" s="1"/>
      <c r="ABN354" s="1"/>
      <c r="ABO354" s="1"/>
      <c r="ABP354" s="1"/>
      <c r="ABQ354" s="1"/>
      <c r="ABR354" s="1"/>
      <c r="ABS354" s="1"/>
      <c r="ABT354" s="1"/>
      <c r="ABU354" s="1"/>
      <c r="ABV354" s="1"/>
      <c r="ABW354" s="1"/>
      <c r="ABX354" s="1"/>
      <c r="ABY354" s="1"/>
      <c r="ABZ354" s="1"/>
      <c r="ACA354" s="1"/>
      <c r="ACB354" s="1"/>
      <c r="ACC354" s="1"/>
      <c r="ACD354" s="1"/>
      <c r="ACE354" s="1"/>
      <c r="ACF354" s="1"/>
      <c r="ACG354" s="1"/>
      <c r="ACH354" s="1"/>
      <c r="ACI354" s="1"/>
      <c r="ACJ354" s="1"/>
      <c r="ACK354" s="1"/>
      <c r="ACL354" s="1"/>
      <c r="ACM354" s="1"/>
      <c r="ACN354" s="1"/>
      <c r="ACO354" s="1"/>
      <c r="ACP354" s="1"/>
      <c r="ACQ354" s="1"/>
      <c r="ACR354" s="1"/>
      <c r="ACS354" s="1"/>
      <c r="ACT354" s="1"/>
      <c r="ACU354" s="1"/>
      <c r="ACV354" s="1"/>
      <c r="ACW354" s="1"/>
      <c r="ACX354" s="1"/>
      <c r="ACY354" s="1"/>
      <c r="ACZ354" s="1"/>
      <c r="ADA354" s="1"/>
      <c r="ADB354" s="1"/>
      <c r="ADC354" s="1"/>
      <c r="ADD354" s="1"/>
      <c r="ADE354" s="1"/>
      <c r="ADF354" s="1"/>
      <c r="ADG354" s="1"/>
      <c r="ADH354" s="1"/>
      <c r="ADI354" s="1"/>
      <c r="ADJ354" s="1"/>
      <c r="ADK354" s="1"/>
      <c r="ADL354" s="1"/>
      <c r="ADM354" s="1"/>
      <c r="ADN354" s="1"/>
      <c r="ADO354" s="1"/>
      <c r="ADP354" s="1"/>
      <c r="ADQ354" s="1"/>
      <c r="ADR354" s="1"/>
      <c r="ADS354" s="1"/>
      <c r="ADT354" s="1"/>
      <c r="ADU354" s="1"/>
      <c r="ADV354" s="1"/>
      <c r="ADW354" s="1"/>
      <c r="ADX354" s="1"/>
      <c r="ADY354" s="1"/>
      <c r="ADZ354" s="1"/>
      <c r="AEA354" s="1"/>
      <c r="AEB354" s="1"/>
      <c r="AEC354" s="1"/>
      <c r="AED354" s="1"/>
      <c r="AEE354" s="1"/>
      <c r="AEF354" s="1"/>
      <c r="AEG354" s="1"/>
      <c r="AEH354" s="1"/>
      <c r="AEI354" s="1"/>
      <c r="AEJ354" s="1"/>
      <c r="AEK354" s="1"/>
      <c r="AEL354" s="1"/>
      <c r="AEM354" s="1"/>
      <c r="AEN354" s="1"/>
      <c r="AEO354" s="1"/>
      <c r="AEP354" s="1"/>
      <c r="AEQ354" s="1"/>
      <c r="AER354" s="1"/>
      <c r="AES354" s="1"/>
      <c r="AET354" s="1"/>
      <c r="AEU354" s="1"/>
      <c r="AEV354" s="1"/>
      <c r="AEW354" s="1"/>
      <c r="AEX354" s="1"/>
      <c r="AEY354" s="1"/>
      <c r="AEZ354" s="1"/>
      <c r="AFA354" s="1"/>
      <c r="AFB354" s="1"/>
      <c r="AFC354" s="1"/>
      <c r="AFD354" s="1"/>
      <c r="AFE354" s="1"/>
      <c r="AFF354" s="1"/>
      <c r="AFG354" s="1"/>
      <c r="AFH354" s="1"/>
      <c r="AFI354" s="1"/>
      <c r="AFJ354" s="1"/>
      <c r="AFK354" s="1"/>
      <c r="AFL354" s="1"/>
      <c r="AFM354" s="1"/>
      <c r="AFN354" s="1"/>
      <c r="AFO354" s="1"/>
      <c r="AFP354" s="1"/>
      <c r="AFQ354" s="1"/>
      <c r="AFR354" s="1"/>
      <c r="AFS354" s="1"/>
      <c r="AFT354" s="1"/>
      <c r="AFU354" s="1"/>
      <c r="AFV354" s="1"/>
      <c r="AFW354" s="1"/>
      <c r="AFX354" s="1"/>
      <c r="AFY354" s="1"/>
      <c r="AFZ354" s="1"/>
      <c r="AGA354" s="1"/>
      <c r="AGB354" s="1"/>
      <c r="AGC354" s="1"/>
      <c r="AGD354" s="1"/>
      <c r="AGE354" s="1"/>
      <c r="AGF354" s="1"/>
      <c r="AGG354" s="1"/>
      <c r="AGH354" s="1"/>
      <c r="AGI354" s="1"/>
      <c r="AGJ354" s="1"/>
      <c r="AGK354" s="1"/>
      <c r="AGL354" s="1"/>
      <c r="AGM354" s="1"/>
      <c r="AGN354" s="1"/>
      <c r="AGO354" s="1"/>
      <c r="AGP354" s="1"/>
      <c r="AGQ354" s="1"/>
      <c r="AGR354" s="1"/>
      <c r="AGS354" s="1"/>
      <c r="AGT354" s="1"/>
      <c r="AGU354" s="1"/>
      <c r="AGV354" s="1"/>
      <c r="AGW354" s="1"/>
      <c r="AGX354" s="1"/>
      <c r="AGY354" s="1"/>
      <c r="AGZ354" s="1"/>
      <c r="AHA354" s="1"/>
      <c r="AHB354" s="1"/>
      <c r="AHC354" s="1"/>
      <c r="AHD354" s="1"/>
      <c r="AHE354" s="1"/>
      <c r="AHF354" s="1"/>
      <c r="AHG354" s="1"/>
      <c r="AHH354" s="1"/>
      <c r="AHI354" s="1"/>
      <c r="AHJ354" s="1"/>
      <c r="AHK354" s="1"/>
      <c r="AHL354" s="1"/>
      <c r="AHM354" s="1"/>
      <c r="AHN354" s="1"/>
      <c r="AHO354" s="1"/>
      <c r="AHP354" s="1"/>
      <c r="AHQ354" s="1"/>
      <c r="AHR354" s="1"/>
      <c r="AHS354" s="1"/>
      <c r="AHT354" s="1"/>
      <c r="AHU354" s="1"/>
      <c r="AHV354" s="1"/>
      <c r="AHW354" s="1"/>
      <c r="AHX354" s="1"/>
      <c r="AHY354" s="1"/>
      <c r="AHZ354" s="1"/>
      <c r="AIA354" s="1"/>
      <c r="AIB354" s="1"/>
      <c r="AIC354" s="1"/>
      <c r="AID354" s="1"/>
      <c r="AIE354" s="1"/>
      <c r="AIF354" s="1"/>
      <c r="AIG354" s="1"/>
      <c r="AIH354" s="1"/>
      <c r="AII354" s="1"/>
      <c r="AIJ354" s="1"/>
      <c r="AIK354" s="1"/>
      <c r="AIL354" s="1"/>
      <c r="AIM354" s="1"/>
      <c r="AIN354" s="1"/>
      <c r="AIO354" s="1"/>
      <c r="AIP354" s="1"/>
      <c r="AIQ354" s="1"/>
      <c r="AIR354" s="1"/>
      <c r="AIS354" s="1"/>
      <c r="AIT354" s="1"/>
      <c r="AIU354" s="1"/>
      <c r="AIV354" s="1"/>
      <c r="AIW354" s="1"/>
      <c r="AIX354" s="1"/>
      <c r="AIY354" s="1"/>
      <c r="AIZ354" s="1"/>
      <c r="AJA354" s="1"/>
      <c r="AJB354" s="1"/>
      <c r="AJC354" s="1"/>
      <c r="AJD354" s="1"/>
      <c r="AJE354" s="1"/>
      <c r="AJF354" s="1"/>
      <c r="AJG354" s="1"/>
      <c r="AJH354" s="1"/>
      <c r="AJI354" s="1"/>
      <c r="AJJ354" s="1"/>
      <c r="AJK354" s="1"/>
      <c r="AJL354" s="1"/>
      <c r="AJM354" s="1"/>
      <c r="AJN354" s="1"/>
      <c r="AJO354" s="1"/>
      <c r="AJP354" s="1"/>
      <c r="AJQ354" s="1"/>
      <c r="AJR354" s="1"/>
      <c r="AJS354" s="1"/>
      <c r="AJT354" s="1"/>
      <c r="AJU354" s="1"/>
      <c r="AJV354" s="1"/>
      <c r="AJW354" s="1"/>
      <c r="AJX354" s="1"/>
      <c r="AJY354" s="1"/>
      <c r="AJZ354" s="1"/>
      <c r="AKA354" s="1"/>
      <c r="AKB354" s="1"/>
      <c r="AKC354" s="1"/>
      <c r="AKD354" s="1"/>
      <c r="AKE354" s="1"/>
      <c r="AKF354" s="1"/>
      <c r="AKG354" s="1"/>
      <c r="AKH354" s="1"/>
      <c r="AKI354" s="1"/>
      <c r="AKJ354" s="1"/>
      <c r="AKK354" s="1"/>
      <c r="AKL354" s="1"/>
      <c r="AKM354" s="1"/>
      <c r="AKN354" s="1"/>
      <c r="AKO354" s="1"/>
      <c r="AKP354" s="1"/>
      <c r="AKQ354" s="1"/>
      <c r="AKR354" s="1"/>
      <c r="AKS354" s="1"/>
      <c r="AKT354" s="1"/>
      <c r="AKU354" s="1"/>
      <c r="AKV354" s="1"/>
      <c r="AKW354" s="1"/>
      <c r="AKX354" s="1"/>
      <c r="AKY354" s="1"/>
      <c r="AKZ354" s="1"/>
      <c r="ALA354" s="1"/>
      <c r="ALB354" s="1"/>
      <c r="ALC354" s="1"/>
      <c r="ALD354" s="1"/>
      <c r="ALE354" s="1"/>
      <c r="ALF354" s="1"/>
      <c r="ALG354" s="1"/>
      <c r="ALH354" s="1"/>
      <c r="ALI354" s="1"/>
      <c r="ALJ354" s="1"/>
      <c r="ALK354" s="1"/>
      <c r="ALL354" s="1"/>
      <c r="ALM354" s="1"/>
      <c r="ALN354" s="1"/>
      <c r="ALO354" s="1"/>
      <c r="ALP354" s="1"/>
      <c r="ALQ354" s="1"/>
      <c r="ALR354" s="1"/>
      <c r="ALS354" s="1"/>
      <c r="ALT354" s="1"/>
      <c r="ALU354" s="1"/>
      <c r="ALV354" s="1"/>
      <c r="ALW354" s="1"/>
      <c r="ALX354" s="1"/>
      <c r="ALY354" s="1"/>
      <c r="ALZ354" s="1"/>
      <c r="AMA354" s="1"/>
      <c r="AMB354" s="1"/>
      <c r="AMC354" s="1"/>
      <c r="AMD354" s="1"/>
      <c r="AME354" s="1"/>
      <c r="AMF354" s="1"/>
      <c r="AMG354" s="1"/>
      <c r="AMH354" s="1"/>
      <c r="AMI354" s="1"/>
      <c r="AMJ354" s="1"/>
      <c r="AMK354" s="1"/>
      <c r="AML354" s="1"/>
      <c r="AMM354" s="1"/>
      <c r="AMN354" s="1"/>
      <c r="AMO354" s="1"/>
    </row>
    <row r="355" spans="1:1029" x14ac:dyDescent="0.2">
      <c r="A355" s="3" t="str">
        <f>CONCATENATE(B355,"_",C355)</f>
        <v>p2y12_human_4NTJ</v>
      </c>
      <c r="B355" s="3" t="s">
        <v>351</v>
      </c>
      <c r="C355" s="3" t="s">
        <v>1042</v>
      </c>
      <c r="D355" s="3" t="str">
        <f>IFERROR(MID(VLOOKUP($B355,Seqs!$A:$B,2,0),E355,1),"")</f>
        <v>Y</v>
      </c>
      <c r="E355" s="3">
        <v>21</v>
      </c>
      <c r="F355" s="3" t="str">
        <f>IFERROR(MID(VLOOKUP($B355,Seqs!$A:$B,2,0),G355,1),"")</f>
        <v>I</v>
      </c>
      <c r="G355" s="3">
        <v>53</v>
      </c>
      <c r="H355" s="3" t="str">
        <f>IFERROR(MID(VLOOKUP($B355,Seqs!$A:$B,2,0),I355,1),"")</f>
        <v/>
      </c>
      <c r="I355" s="23" t="s">
        <v>23</v>
      </c>
      <c r="J355" s="3" t="str">
        <f>IFERROR(MID(VLOOKUP($B355,Seqs!$A:$B,2,0),K355,1),"")</f>
        <v/>
      </c>
      <c r="K355" s="23" t="s">
        <v>23</v>
      </c>
      <c r="L355" s="3" t="str">
        <f>IFERROR(MID(VLOOKUP($B355,Seqs!$A:$B,2,0),M355,1),"")</f>
        <v>S</v>
      </c>
      <c r="M355" s="3">
        <v>57</v>
      </c>
      <c r="N355" s="3" t="str">
        <f>IFERROR(MID(VLOOKUP($B355,Seqs!$A:$B,2,0),O355,1),"")</f>
        <v>K</v>
      </c>
      <c r="O355" s="3">
        <v>86</v>
      </c>
      <c r="P355" s="3" t="str">
        <f>IFERROR(MID(VLOOKUP($B355,Seqs!$A:$B,2,0),Q355,1),"")</f>
        <v/>
      </c>
      <c r="Q355" s="3" t="s">
        <v>23</v>
      </c>
      <c r="R355" s="3" t="str">
        <f>IFERROR(MID(VLOOKUP($B355,Seqs!$A:$B,2,0),S355,1),"")</f>
        <v/>
      </c>
      <c r="S355" s="3" t="s">
        <v>23</v>
      </c>
      <c r="T355" s="3" t="str">
        <f>IFERROR(MID(VLOOKUP($B355,Seqs!$A:$B,2,0),U355,1),"")</f>
        <v>L</v>
      </c>
      <c r="U355" s="3">
        <v>92</v>
      </c>
      <c r="V355" s="3" t="str">
        <f>IFERROR(MID(VLOOKUP($B355,Seqs!$A:$B,2,0),W355,1),"")</f>
        <v>R</v>
      </c>
      <c r="W355" s="3">
        <v>128</v>
      </c>
      <c r="X355" s="3" t="str">
        <f>IFERROR(MID(VLOOKUP($B355,Seqs!$A:$B,2,0),Y355,1),"")</f>
        <v/>
      </c>
      <c r="Y355" s="3" t="s">
        <v>23</v>
      </c>
      <c r="Z355" s="3" t="str">
        <f>IFERROR(MID(VLOOKUP($B355,Seqs!$A:$B,2,0),AA355,1),"")</f>
        <v/>
      </c>
      <c r="AA355" s="3" t="s">
        <v>23</v>
      </c>
      <c r="AB355" s="3" t="str">
        <f>IFERROR(MID(VLOOKUP($B355,Seqs!$A:$B,2,0),AC355,1),"")</f>
        <v>N</v>
      </c>
      <c r="AC355" s="9">
        <v>137</v>
      </c>
      <c r="AD355" s="3" t="str">
        <f>IFERROR(MID(VLOOKUP($B355,Seqs!$A:$B,2,0),AE355,1),"")</f>
        <v>L</v>
      </c>
      <c r="AE355" s="3">
        <v>162</v>
      </c>
      <c r="AF355" s="3" t="str">
        <f>IFERROR(MID(VLOOKUP($B355,Seqs!$A:$B,2,0),AG355,1),"")</f>
        <v>C</v>
      </c>
      <c r="AG355" s="3">
        <v>175</v>
      </c>
      <c r="AH355" s="3" t="str">
        <f>IFERROR(MID(VLOOKUP($B355,Seqs!$A:$B,2,0),AI355,1),"")</f>
        <v>F</v>
      </c>
      <c r="AI355" s="3">
        <v>177</v>
      </c>
      <c r="AJ355" s="3" t="str">
        <f>IFERROR(MID(VLOOKUP($B355,Seqs!$A:$B,2,0),AK355,1),"")</f>
        <v>E</v>
      </c>
      <c r="AK355" s="3">
        <v>181</v>
      </c>
      <c r="AL355" s="3" t="str">
        <f>IFERROR(MID(VLOOKUP($B355,Seqs!$A:$B,2,0),AM355,1),"")</f>
        <v>T</v>
      </c>
      <c r="AM355" s="3">
        <v>223</v>
      </c>
      <c r="AN355" s="3" t="str">
        <f>IFERROR(MID(VLOOKUP($B355,Seqs!$A:$B,2,0),AO355,1),"")</f>
        <v>I</v>
      </c>
      <c r="AO355" s="3">
        <v>240</v>
      </c>
      <c r="AP355" s="3" t="str">
        <f>IFERROR(MID(VLOOKUP($B355,Seqs!$A:$B,2,0),AQ355,1),"")</f>
        <v>L</v>
      </c>
      <c r="AQ355" s="3">
        <v>261</v>
      </c>
      <c r="AR355" s="3" t="str">
        <f>IFERROR(MID(VLOOKUP($B355,Seqs!$A:$B,2,0),AS355,1),"")</f>
        <v>D</v>
      </c>
      <c r="AS355" s="3">
        <v>269</v>
      </c>
      <c r="AT355" s="3" t="str">
        <f>IFERROR(MID(VLOOKUP($B355,Seqs!$A:$B,2,0),AU355,1),"")</f>
        <v>L</v>
      </c>
      <c r="AU355" s="3">
        <v>301</v>
      </c>
      <c r="AV355" s="3" t="str">
        <f>IFERROR(MID(VLOOKUP($B355,Seqs!$A:$B,2,0),AW355,1),"")</f>
        <v>C</v>
      </c>
      <c r="AW355" s="3">
        <v>302</v>
      </c>
      <c r="AX355" s="3" t="str">
        <f>IFERROR(MID(VLOOKUP($B355,Seqs!$A:$B,2,0),AY355,1),"")</f>
        <v>M</v>
      </c>
      <c r="AY355" s="3">
        <v>312</v>
      </c>
      <c r="AZ355" s="77" t="str">
        <f>VLOOKUP(B355,Classification!A:D,2,0)</f>
        <v>A</v>
      </c>
      <c r="BA355" s="94" t="str">
        <f>VLOOKUP(B355,Classification!A:D,4,0)</f>
        <v>P2Y</v>
      </c>
      <c r="BB355" s="27" t="b">
        <f t="shared" si="1114"/>
        <v>1</v>
      </c>
      <c r="BC355" s="23">
        <f t="shared" si="1113"/>
        <v>241</v>
      </c>
      <c r="BD355" s="2" t="s">
        <v>1423</v>
      </c>
      <c r="BE355" s="3" t="s">
        <v>1422</v>
      </c>
      <c r="BF355" s="118">
        <v>2.62</v>
      </c>
      <c r="BG355" s="49" t="s">
        <v>1371</v>
      </c>
      <c r="BH355" s="49" t="s">
        <v>1371</v>
      </c>
      <c r="BI355" s="3" t="s">
        <v>1164</v>
      </c>
      <c r="BJ355" s="70" t="s">
        <v>1281</v>
      </c>
      <c r="BK355" s="57" t="s">
        <v>1281</v>
      </c>
      <c r="BL355" s="57" t="s">
        <v>1281</v>
      </c>
      <c r="BM355" s="57" t="s">
        <v>1281</v>
      </c>
      <c r="BN355" s="57" t="s">
        <v>1281</v>
      </c>
      <c r="BO355" s="57" t="s">
        <v>1281</v>
      </c>
      <c r="BP355" s="57" t="s">
        <v>1281</v>
      </c>
      <c r="BQ355" s="57" t="s">
        <v>1281</v>
      </c>
      <c r="BR355" s="57" t="s">
        <v>1281</v>
      </c>
      <c r="BS355" s="57" t="s">
        <v>1281</v>
      </c>
      <c r="BT355" s="57" t="s">
        <v>1281</v>
      </c>
      <c r="BU355" s="57" t="s">
        <v>1281</v>
      </c>
      <c r="BV355" s="70">
        <f>E355</f>
        <v>21</v>
      </c>
      <c r="BW355" s="71" t="str">
        <f>I355</f>
        <v>-</v>
      </c>
      <c r="BX355" s="72">
        <f>M355</f>
        <v>57</v>
      </c>
      <c r="BY355" s="71" t="str">
        <f>Q355</f>
        <v>-</v>
      </c>
      <c r="BZ355" s="72">
        <f>U355</f>
        <v>92</v>
      </c>
      <c r="CA355" s="71" t="str">
        <f>Y355</f>
        <v>-</v>
      </c>
      <c r="CB355" s="72">
        <f>AC355</f>
        <v>137</v>
      </c>
      <c r="CC355" s="71">
        <f>AG355</f>
        <v>175</v>
      </c>
      <c r="CD355" s="72">
        <f>AK355</f>
        <v>181</v>
      </c>
      <c r="CE355" s="71">
        <f>AO355</f>
        <v>240</v>
      </c>
      <c r="CF355" s="72">
        <f>AS355</f>
        <v>269</v>
      </c>
      <c r="CG355" s="71">
        <f>AW355</f>
        <v>302</v>
      </c>
      <c r="CH355" s="70">
        <f>G355</f>
        <v>53</v>
      </c>
      <c r="CI355" s="71" t="str">
        <f>K355</f>
        <v>-</v>
      </c>
      <c r="CJ355" s="72">
        <f>O355</f>
        <v>86</v>
      </c>
      <c r="CK355" s="72" t="str">
        <f>S355</f>
        <v>-</v>
      </c>
      <c r="CL355" s="72">
        <f>W355</f>
        <v>128</v>
      </c>
      <c r="CM355" s="72" t="str">
        <f>AA355</f>
        <v>-</v>
      </c>
      <c r="CN355" s="72">
        <f>AE355</f>
        <v>162</v>
      </c>
      <c r="CO355" s="72">
        <f>AI355</f>
        <v>177</v>
      </c>
      <c r="CP355" s="72">
        <f>AM355</f>
        <v>223</v>
      </c>
      <c r="CQ355" s="72">
        <f>AQ355</f>
        <v>261</v>
      </c>
      <c r="CR355" s="72">
        <f>AU355</f>
        <v>301</v>
      </c>
      <c r="CS355" s="72">
        <f>AY355</f>
        <v>312</v>
      </c>
      <c r="CT355" s="23" t="e">
        <f>M355-K355</f>
        <v>#VALUE!</v>
      </c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U355" s="1"/>
      <c r="OV355" s="1"/>
      <c r="OW355" s="1"/>
      <c r="OX355" s="1"/>
      <c r="OY355" s="1"/>
      <c r="OZ355" s="1"/>
      <c r="PA355" s="1"/>
      <c r="PB355" s="1"/>
      <c r="PC355" s="1"/>
      <c r="PD355" s="1"/>
      <c r="PE355" s="1"/>
      <c r="PF355" s="1"/>
      <c r="PG355" s="1"/>
      <c r="PH355" s="1"/>
      <c r="PI355" s="1"/>
      <c r="PJ355" s="1"/>
      <c r="PK355" s="1"/>
      <c r="PL355" s="1"/>
      <c r="PM355" s="1"/>
      <c r="PN355" s="1"/>
      <c r="PO355" s="1"/>
      <c r="PP355" s="1"/>
      <c r="PQ355" s="1"/>
      <c r="PR355" s="1"/>
      <c r="PS355" s="1"/>
      <c r="PT355" s="1"/>
      <c r="PU355" s="1"/>
      <c r="PV355" s="1"/>
      <c r="PW355" s="1"/>
      <c r="PX355" s="1"/>
      <c r="PY355" s="1"/>
      <c r="PZ355" s="1"/>
      <c r="QA355" s="1"/>
      <c r="QB355" s="1"/>
      <c r="QC355" s="1"/>
      <c r="QD355" s="1"/>
      <c r="QE355" s="1"/>
      <c r="QF355" s="1"/>
      <c r="QG355" s="1"/>
      <c r="QH355" s="1"/>
      <c r="QI355" s="1"/>
      <c r="QJ355" s="1"/>
      <c r="QK355" s="1"/>
      <c r="QL355" s="1"/>
      <c r="QM355" s="1"/>
      <c r="QN355" s="1"/>
      <c r="QO355" s="1"/>
      <c r="QP355" s="1"/>
      <c r="QQ355" s="1"/>
      <c r="QR355" s="1"/>
      <c r="QS355" s="1"/>
      <c r="QT355" s="1"/>
      <c r="QU355" s="1"/>
      <c r="QV355" s="1"/>
      <c r="QW355" s="1"/>
      <c r="QX355" s="1"/>
      <c r="QY355" s="1"/>
      <c r="QZ355" s="1"/>
      <c r="RA355" s="1"/>
      <c r="RB355" s="1"/>
      <c r="RC355" s="1"/>
      <c r="RD355" s="1"/>
      <c r="RE355" s="1"/>
      <c r="RF355" s="1"/>
      <c r="RG355" s="1"/>
      <c r="RH355" s="1"/>
      <c r="RI355" s="1"/>
      <c r="RJ355" s="1"/>
      <c r="RK355" s="1"/>
      <c r="RL355" s="1"/>
      <c r="RM355" s="1"/>
      <c r="RN355" s="1"/>
      <c r="RO355" s="1"/>
      <c r="RP355" s="1"/>
      <c r="RQ355" s="1"/>
      <c r="RR355" s="1"/>
      <c r="RS355" s="1"/>
      <c r="RT355" s="1"/>
      <c r="RU355" s="1"/>
      <c r="RV355" s="1"/>
      <c r="RW355" s="1"/>
      <c r="RX355" s="1"/>
      <c r="RY355" s="1"/>
      <c r="RZ355" s="1"/>
      <c r="SA355" s="1"/>
      <c r="SB355" s="1"/>
      <c r="SC355" s="1"/>
      <c r="SD355" s="1"/>
      <c r="SE355" s="1"/>
      <c r="SF355" s="1"/>
      <c r="SG355" s="1"/>
      <c r="SH355" s="1"/>
      <c r="SI355" s="1"/>
      <c r="SJ355" s="1"/>
      <c r="SK355" s="1"/>
      <c r="SL355" s="1"/>
      <c r="SM355" s="1"/>
      <c r="SN355" s="1"/>
      <c r="SO355" s="1"/>
      <c r="SP355" s="1"/>
      <c r="SQ355" s="1"/>
      <c r="SR355" s="1"/>
      <c r="SS355" s="1"/>
      <c r="ST355" s="1"/>
      <c r="SU355" s="1"/>
      <c r="SV355" s="1"/>
      <c r="SW355" s="1"/>
      <c r="SX355" s="1"/>
      <c r="SY355" s="1"/>
      <c r="SZ355" s="1"/>
      <c r="TA355" s="1"/>
      <c r="TB355" s="1"/>
      <c r="TC355" s="1"/>
      <c r="TD355" s="1"/>
      <c r="TE355" s="1"/>
      <c r="TF355" s="1"/>
      <c r="TG355" s="1"/>
      <c r="TH355" s="1"/>
      <c r="TI355" s="1"/>
      <c r="TJ355" s="1"/>
      <c r="TK355" s="1"/>
      <c r="TL355" s="1"/>
      <c r="TM355" s="1"/>
      <c r="TN355" s="1"/>
      <c r="TO355" s="1"/>
      <c r="TP355" s="1"/>
      <c r="TQ355" s="1"/>
      <c r="TR355" s="1"/>
      <c r="TS355" s="1"/>
      <c r="TT355" s="1"/>
      <c r="TU355" s="1"/>
      <c r="TV355" s="1"/>
      <c r="TW355" s="1"/>
      <c r="TX355" s="1"/>
      <c r="TY355" s="1"/>
      <c r="TZ355" s="1"/>
      <c r="UA355" s="1"/>
      <c r="UB355" s="1"/>
      <c r="UC355" s="1"/>
      <c r="UD355" s="1"/>
      <c r="UE355" s="1"/>
      <c r="UF355" s="1"/>
      <c r="UG355" s="1"/>
      <c r="UH355" s="1"/>
      <c r="UI355" s="1"/>
      <c r="UJ355" s="1"/>
      <c r="UK355" s="1"/>
      <c r="UL355" s="1"/>
      <c r="UM355" s="1"/>
      <c r="UN355" s="1"/>
      <c r="UO355" s="1"/>
      <c r="UP355" s="1"/>
      <c r="UQ355" s="1"/>
      <c r="UR355" s="1"/>
      <c r="US355" s="1"/>
      <c r="UT355" s="1"/>
      <c r="UU355" s="1"/>
      <c r="UV355" s="1"/>
      <c r="UW355" s="1"/>
      <c r="UX355" s="1"/>
      <c r="UY355" s="1"/>
      <c r="UZ355" s="1"/>
      <c r="VA355" s="1"/>
      <c r="VB355" s="1"/>
      <c r="VC355" s="1"/>
      <c r="VD355" s="1"/>
      <c r="VE355" s="1"/>
      <c r="VF355" s="1"/>
      <c r="VG355" s="1"/>
      <c r="VH355" s="1"/>
      <c r="VI355" s="1"/>
      <c r="VJ355" s="1"/>
      <c r="VK355" s="1"/>
      <c r="VL355" s="1"/>
      <c r="VM355" s="1"/>
      <c r="VN355" s="1"/>
      <c r="VO355" s="1"/>
      <c r="VP355" s="1"/>
      <c r="VQ355" s="1"/>
      <c r="VR355" s="1"/>
      <c r="VS355" s="1"/>
      <c r="VT355" s="1"/>
      <c r="VU355" s="1"/>
      <c r="VV355" s="1"/>
      <c r="VW355" s="1"/>
      <c r="VX355" s="1"/>
      <c r="VY355" s="1"/>
      <c r="VZ355" s="1"/>
      <c r="WA355" s="1"/>
      <c r="WB355" s="1"/>
      <c r="WC355" s="1"/>
      <c r="WD355" s="1"/>
      <c r="WE355" s="1"/>
      <c r="WF355" s="1"/>
      <c r="WG355" s="1"/>
      <c r="WH355" s="1"/>
      <c r="WI355" s="1"/>
      <c r="WJ355" s="1"/>
      <c r="WK355" s="1"/>
      <c r="WL355" s="1"/>
      <c r="WM355" s="1"/>
      <c r="WN355" s="1"/>
      <c r="WO355" s="1"/>
      <c r="WP355" s="1"/>
      <c r="WQ355" s="1"/>
      <c r="WR355" s="1"/>
      <c r="WS355" s="1"/>
      <c r="WT355" s="1"/>
      <c r="WU355" s="1"/>
      <c r="WV355" s="1"/>
      <c r="WW355" s="1"/>
      <c r="WX355" s="1"/>
      <c r="WY355" s="1"/>
      <c r="WZ355" s="1"/>
      <c r="XA355" s="1"/>
      <c r="XB355" s="1"/>
      <c r="XC355" s="1"/>
      <c r="XD355" s="1"/>
      <c r="XE355" s="1"/>
      <c r="XF355" s="1"/>
      <c r="XG355" s="1"/>
      <c r="XH355" s="1"/>
      <c r="XI355" s="1"/>
      <c r="XJ355" s="1"/>
      <c r="XK355" s="1"/>
      <c r="XL355" s="1"/>
      <c r="XM355" s="1"/>
      <c r="XN355" s="1"/>
      <c r="XO355" s="1"/>
      <c r="XP355" s="1"/>
      <c r="XQ355" s="1"/>
      <c r="XR355" s="1"/>
      <c r="XS355" s="1"/>
      <c r="XT355" s="1"/>
      <c r="XU355" s="1"/>
      <c r="XV355" s="1"/>
      <c r="XW355" s="1"/>
      <c r="XX355" s="1"/>
      <c r="XY355" s="1"/>
      <c r="XZ355" s="1"/>
      <c r="YA355" s="1"/>
      <c r="YB355" s="1"/>
      <c r="YC355" s="1"/>
      <c r="YD355" s="1"/>
      <c r="YE355" s="1"/>
      <c r="YF355" s="1"/>
      <c r="YG355" s="1"/>
      <c r="YH355" s="1"/>
      <c r="YI355" s="1"/>
      <c r="YJ355" s="1"/>
      <c r="YK355" s="1"/>
      <c r="YL355" s="1"/>
      <c r="YM355" s="1"/>
      <c r="YN355" s="1"/>
      <c r="YO355" s="1"/>
      <c r="YP355" s="1"/>
      <c r="YQ355" s="1"/>
      <c r="YR355" s="1"/>
      <c r="YS355" s="1"/>
      <c r="YT355" s="1"/>
      <c r="YU355" s="1"/>
      <c r="YV355" s="1"/>
      <c r="YW355" s="1"/>
      <c r="YX355" s="1"/>
      <c r="YY355" s="1"/>
      <c r="YZ355" s="1"/>
      <c r="ZA355" s="1"/>
      <c r="ZB355" s="1"/>
      <c r="ZC355" s="1"/>
      <c r="ZD355" s="1"/>
      <c r="ZE355" s="1"/>
      <c r="ZF355" s="1"/>
      <c r="ZG355" s="1"/>
      <c r="ZH355" s="1"/>
      <c r="ZI355" s="1"/>
      <c r="ZJ355" s="1"/>
      <c r="ZK355" s="1"/>
      <c r="ZL355" s="1"/>
      <c r="ZM355" s="1"/>
      <c r="ZN355" s="1"/>
      <c r="ZO355" s="1"/>
      <c r="ZP355" s="1"/>
      <c r="ZQ355" s="1"/>
      <c r="ZR355" s="1"/>
      <c r="ZS355" s="1"/>
      <c r="ZT355" s="1"/>
      <c r="ZU355" s="1"/>
      <c r="ZV355" s="1"/>
      <c r="ZW355" s="1"/>
      <c r="ZX355" s="1"/>
      <c r="ZY355" s="1"/>
      <c r="ZZ355" s="1"/>
      <c r="AAA355" s="1"/>
      <c r="AAB355" s="1"/>
      <c r="AAC355" s="1"/>
      <c r="AAD355" s="1"/>
      <c r="AAE355" s="1"/>
      <c r="AAF355" s="1"/>
      <c r="AAG355" s="1"/>
      <c r="AAH355" s="1"/>
      <c r="AAI355" s="1"/>
      <c r="AAJ355" s="1"/>
      <c r="AAK355" s="1"/>
      <c r="AAL355" s="1"/>
      <c r="AAM355" s="1"/>
      <c r="AAN355" s="1"/>
      <c r="AAO355" s="1"/>
      <c r="AAP355" s="1"/>
      <c r="AAQ355" s="1"/>
      <c r="AAR355" s="1"/>
      <c r="AAS355" s="1"/>
      <c r="AAT355" s="1"/>
      <c r="AAU355" s="1"/>
      <c r="AAV355" s="1"/>
      <c r="AAW355" s="1"/>
      <c r="AAX355" s="1"/>
      <c r="AAY355" s="1"/>
      <c r="AAZ355" s="1"/>
      <c r="ABA355" s="1"/>
      <c r="ABB355" s="1"/>
      <c r="ABC355" s="1"/>
      <c r="ABD355" s="1"/>
      <c r="ABE355" s="1"/>
      <c r="ABF355" s="1"/>
      <c r="ABG355" s="1"/>
      <c r="ABH355" s="1"/>
      <c r="ABI355" s="1"/>
      <c r="ABJ355" s="1"/>
      <c r="ABK355" s="1"/>
      <c r="ABL355" s="1"/>
      <c r="ABM355" s="1"/>
      <c r="ABN355" s="1"/>
      <c r="ABO355" s="1"/>
      <c r="ABP355" s="1"/>
      <c r="ABQ355" s="1"/>
      <c r="ABR355" s="1"/>
      <c r="ABS355" s="1"/>
      <c r="ABT355" s="1"/>
      <c r="ABU355" s="1"/>
      <c r="ABV355" s="1"/>
      <c r="ABW355" s="1"/>
      <c r="ABX355" s="1"/>
      <c r="ABY355" s="1"/>
      <c r="ABZ355" s="1"/>
      <c r="ACA355" s="1"/>
      <c r="ACB355" s="1"/>
      <c r="ACC355" s="1"/>
      <c r="ACD355" s="1"/>
      <c r="ACE355" s="1"/>
      <c r="ACF355" s="1"/>
      <c r="ACG355" s="1"/>
      <c r="ACH355" s="1"/>
      <c r="ACI355" s="1"/>
      <c r="ACJ355" s="1"/>
      <c r="ACK355" s="1"/>
      <c r="ACL355" s="1"/>
      <c r="ACM355" s="1"/>
      <c r="ACN355" s="1"/>
      <c r="ACO355" s="1"/>
      <c r="ACP355" s="1"/>
      <c r="ACQ355" s="1"/>
      <c r="ACR355" s="1"/>
      <c r="ACS355" s="1"/>
      <c r="ACT355" s="1"/>
      <c r="ACU355" s="1"/>
      <c r="ACV355" s="1"/>
      <c r="ACW355" s="1"/>
      <c r="ACX355" s="1"/>
      <c r="ACY355" s="1"/>
      <c r="ACZ355" s="1"/>
      <c r="ADA355" s="1"/>
      <c r="ADB355" s="1"/>
      <c r="ADC355" s="1"/>
      <c r="ADD355" s="1"/>
      <c r="ADE355" s="1"/>
      <c r="ADF355" s="1"/>
      <c r="ADG355" s="1"/>
      <c r="ADH355" s="1"/>
      <c r="ADI355" s="1"/>
      <c r="ADJ355" s="1"/>
      <c r="ADK355" s="1"/>
      <c r="ADL355" s="1"/>
      <c r="ADM355" s="1"/>
      <c r="ADN355" s="1"/>
      <c r="ADO355" s="1"/>
      <c r="ADP355" s="1"/>
      <c r="ADQ355" s="1"/>
      <c r="ADR355" s="1"/>
      <c r="ADS355" s="1"/>
      <c r="ADT355" s="1"/>
      <c r="ADU355" s="1"/>
      <c r="ADV355" s="1"/>
      <c r="ADW355" s="1"/>
      <c r="ADX355" s="1"/>
      <c r="ADY355" s="1"/>
      <c r="ADZ355" s="1"/>
      <c r="AEA355" s="1"/>
      <c r="AEB355" s="1"/>
      <c r="AEC355" s="1"/>
      <c r="AED355" s="1"/>
      <c r="AEE355" s="1"/>
      <c r="AEF355" s="1"/>
      <c r="AEG355" s="1"/>
      <c r="AEH355" s="1"/>
      <c r="AEI355" s="1"/>
      <c r="AEJ355" s="1"/>
      <c r="AEK355" s="1"/>
      <c r="AEL355" s="1"/>
      <c r="AEM355" s="1"/>
      <c r="AEN355" s="1"/>
      <c r="AEO355" s="1"/>
      <c r="AEP355" s="1"/>
      <c r="AEQ355" s="1"/>
      <c r="AER355" s="1"/>
      <c r="AES355" s="1"/>
      <c r="AET355" s="1"/>
      <c r="AEU355" s="1"/>
      <c r="AEV355" s="1"/>
      <c r="AEW355" s="1"/>
      <c r="AEX355" s="1"/>
      <c r="AEY355" s="1"/>
      <c r="AEZ355" s="1"/>
      <c r="AFA355" s="1"/>
      <c r="AFB355" s="1"/>
      <c r="AFC355" s="1"/>
      <c r="AFD355" s="1"/>
      <c r="AFE355" s="1"/>
      <c r="AFF355" s="1"/>
      <c r="AFG355" s="1"/>
      <c r="AFH355" s="1"/>
      <c r="AFI355" s="1"/>
      <c r="AFJ355" s="1"/>
      <c r="AFK355" s="1"/>
      <c r="AFL355" s="1"/>
      <c r="AFM355" s="1"/>
      <c r="AFN355" s="1"/>
      <c r="AFO355" s="1"/>
      <c r="AFP355" s="1"/>
      <c r="AFQ355" s="1"/>
      <c r="AFR355" s="1"/>
      <c r="AFS355" s="1"/>
      <c r="AFT355" s="1"/>
      <c r="AFU355" s="1"/>
      <c r="AFV355" s="1"/>
      <c r="AFW355" s="1"/>
      <c r="AFX355" s="1"/>
      <c r="AFY355" s="1"/>
      <c r="AFZ355" s="1"/>
      <c r="AGA355" s="1"/>
      <c r="AGB355" s="1"/>
      <c r="AGC355" s="1"/>
      <c r="AGD355" s="1"/>
      <c r="AGE355" s="1"/>
      <c r="AGF355" s="1"/>
      <c r="AGG355" s="1"/>
      <c r="AGH355" s="1"/>
      <c r="AGI355" s="1"/>
      <c r="AGJ355" s="1"/>
      <c r="AGK355" s="1"/>
      <c r="AGL355" s="1"/>
      <c r="AGM355" s="1"/>
      <c r="AGN355" s="1"/>
      <c r="AGO355" s="1"/>
      <c r="AGP355" s="1"/>
      <c r="AGQ355" s="1"/>
      <c r="AGR355" s="1"/>
      <c r="AGS355" s="1"/>
      <c r="AGT355" s="1"/>
      <c r="AGU355" s="1"/>
      <c r="AGV355" s="1"/>
      <c r="AGW355" s="1"/>
      <c r="AGX355" s="1"/>
      <c r="AGY355" s="1"/>
      <c r="AGZ355" s="1"/>
      <c r="AHA355" s="1"/>
      <c r="AHB355" s="1"/>
      <c r="AHC355" s="1"/>
      <c r="AHD355" s="1"/>
      <c r="AHE355" s="1"/>
      <c r="AHF355" s="1"/>
      <c r="AHG355" s="1"/>
      <c r="AHH355" s="1"/>
      <c r="AHI355" s="1"/>
      <c r="AHJ355" s="1"/>
      <c r="AHK355" s="1"/>
      <c r="AHL355" s="1"/>
      <c r="AHM355" s="1"/>
      <c r="AHN355" s="1"/>
      <c r="AHO355" s="1"/>
      <c r="AHP355" s="1"/>
      <c r="AHQ355" s="1"/>
      <c r="AHR355" s="1"/>
      <c r="AHS355" s="1"/>
      <c r="AHT355" s="1"/>
      <c r="AHU355" s="1"/>
      <c r="AHV355" s="1"/>
      <c r="AHW355" s="1"/>
      <c r="AHX355" s="1"/>
      <c r="AHY355" s="1"/>
      <c r="AHZ355" s="1"/>
      <c r="AIA355" s="1"/>
      <c r="AIB355" s="1"/>
      <c r="AIC355" s="1"/>
      <c r="AID355" s="1"/>
      <c r="AIE355" s="1"/>
      <c r="AIF355" s="1"/>
      <c r="AIG355" s="1"/>
      <c r="AIH355" s="1"/>
      <c r="AII355" s="1"/>
      <c r="AIJ355" s="1"/>
      <c r="AIK355" s="1"/>
      <c r="AIL355" s="1"/>
      <c r="AIM355" s="1"/>
      <c r="AIN355" s="1"/>
      <c r="AIO355" s="1"/>
      <c r="AIP355" s="1"/>
      <c r="AIQ355" s="1"/>
      <c r="AIR355" s="1"/>
      <c r="AIS355" s="1"/>
      <c r="AIT355" s="1"/>
      <c r="AIU355" s="1"/>
      <c r="AIV355" s="1"/>
      <c r="AIW355" s="1"/>
      <c r="AIX355" s="1"/>
      <c r="AIY355" s="1"/>
      <c r="AIZ355" s="1"/>
      <c r="AJA355" s="1"/>
      <c r="AJB355" s="1"/>
      <c r="AJC355" s="1"/>
      <c r="AJD355" s="1"/>
      <c r="AJE355" s="1"/>
      <c r="AJF355" s="1"/>
      <c r="AJG355" s="1"/>
      <c r="AJH355" s="1"/>
      <c r="AJI355" s="1"/>
      <c r="AJJ355" s="1"/>
      <c r="AJK355" s="1"/>
      <c r="AJL355" s="1"/>
      <c r="AJM355" s="1"/>
      <c r="AJN355" s="1"/>
      <c r="AJO355" s="1"/>
      <c r="AJP355" s="1"/>
      <c r="AJQ355" s="1"/>
      <c r="AJR355" s="1"/>
      <c r="AJS355" s="1"/>
      <c r="AJT355" s="1"/>
      <c r="AJU355" s="1"/>
      <c r="AJV355" s="1"/>
      <c r="AJW355" s="1"/>
      <c r="AJX355" s="1"/>
      <c r="AJY355" s="1"/>
      <c r="AJZ355" s="1"/>
      <c r="AKA355" s="1"/>
      <c r="AKB355" s="1"/>
      <c r="AKC355" s="1"/>
      <c r="AKD355" s="1"/>
      <c r="AKE355" s="1"/>
      <c r="AKF355" s="1"/>
      <c r="AKG355" s="1"/>
      <c r="AKH355" s="1"/>
      <c r="AKI355" s="1"/>
      <c r="AKJ355" s="1"/>
      <c r="AKK355" s="1"/>
      <c r="AKL355" s="1"/>
      <c r="AKM355" s="1"/>
      <c r="AKN355" s="1"/>
      <c r="AKO355" s="1"/>
      <c r="AKP355" s="1"/>
      <c r="AKQ355" s="1"/>
      <c r="AKR355" s="1"/>
      <c r="AKS355" s="1"/>
      <c r="AKT355" s="1"/>
      <c r="AKU355" s="1"/>
      <c r="AKV355" s="1"/>
      <c r="AKW355" s="1"/>
      <c r="AKX355" s="1"/>
      <c r="AKY355" s="1"/>
      <c r="AKZ355" s="1"/>
      <c r="ALA355" s="1"/>
      <c r="ALB355" s="1"/>
      <c r="ALC355" s="1"/>
      <c r="ALD355" s="1"/>
      <c r="ALE355" s="1"/>
      <c r="ALF355" s="1"/>
      <c r="ALG355" s="1"/>
      <c r="ALH355" s="1"/>
      <c r="ALI355" s="1"/>
      <c r="ALJ355" s="1"/>
      <c r="ALK355" s="1"/>
      <c r="ALL355" s="1"/>
      <c r="ALM355" s="1"/>
      <c r="ALN355" s="1"/>
      <c r="ALO355" s="1"/>
      <c r="ALP355" s="1"/>
      <c r="ALQ355" s="1"/>
      <c r="ALR355" s="1"/>
      <c r="ALS355" s="1"/>
      <c r="ALT355" s="1"/>
      <c r="ALU355" s="1"/>
      <c r="ALV355" s="1"/>
      <c r="ALW355" s="1"/>
      <c r="ALX355" s="1"/>
      <c r="ALY355" s="1"/>
      <c r="ALZ355" s="1"/>
      <c r="AMA355" s="1"/>
      <c r="AMB355" s="1"/>
      <c r="AMC355" s="1"/>
      <c r="AMD355" s="1"/>
      <c r="AME355" s="1"/>
      <c r="AMF355" s="1"/>
      <c r="AMG355" s="1"/>
      <c r="AMH355" s="1"/>
      <c r="AMI355" s="1"/>
      <c r="AMJ355" s="1"/>
      <c r="AMK355" s="1"/>
      <c r="AML355" s="1"/>
      <c r="AMM355" s="1"/>
      <c r="AMN355" s="1"/>
      <c r="AMO355" s="1"/>
    </row>
    <row r="356" spans="1:1029" x14ac:dyDescent="0.2">
      <c r="A356" s="3" t="str">
        <f>CONCATENATE(B356,"_",C356)</f>
        <v>p2y12_human_4PXZ</v>
      </c>
      <c r="B356" s="3" t="s">
        <v>351</v>
      </c>
      <c r="C356" s="3" t="s">
        <v>1146</v>
      </c>
      <c r="D356" s="3" t="str">
        <f>IFERROR(MID(VLOOKUP($B356,Seqs!$A:$B,2,0),E356,1),"")</f>
        <v>I</v>
      </c>
      <c r="E356" s="3">
        <v>23</v>
      </c>
      <c r="F356" s="3" t="str">
        <f>IFERROR(MID(VLOOKUP($B356,Seqs!$A:$B,2,0),G356,1),"")</f>
        <v>I</v>
      </c>
      <c r="G356" s="3">
        <v>53</v>
      </c>
      <c r="H356" s="3" t="str">
        <f>IFERROR(MID(VLOOKUP($B356,Seqs!$A:$B,2,0),I356,1),"")</f>
        <v/>
      </c>
      <c r="I356" s="23" t="s">
        <v>23</v>
      </c>
      <c r="J356" s="3" t="str">
        <f>IFERROR(MID(VLOOKUP($B356,Seqs!$A:$B,2,0),K356,1),"")</f>
        <v/>
      </c>
      <c r="K356" s="23" t="s">
        <v>23</v>
      </c>
      <c r="L356" s="3" t="str">
        <f>IFERROR(MID(VLOOKUP($B356,Seqs!$A:$B,2,0),M356,1),"")</f>
        <v>S</v>
      </c>
      <c r="M356" s="3">
        <v>57</v>
      </c>
      <c r="N356" s="3" t="str">
        <f>IFERROR(MID(VLOOKUP($B356,Seqs!$A:$B,2,0),O356,1),"")</f>
        <v>K</v>
      </c>
      <c r="O356" s="3">
        <v>86</v>
      </c>
      <c r="P356" s="3" t="str">
        <f>IFERROR(MID(VLOOKUP($B356,Seqs!$A:$B,2,0),Q356,1),"")</f>
        <v/>
      </c>
      <c r="Q356" s="3" t="s">
        <v>23</v>
      </c>
      <c r="R356" s="3" t="str">
        <f>IFERROR(MID(VLOOKUP($B356,Seqs!$A:$B,2,0),S356,1),"")</f>
        <v/>
      </c>
      <c r="S356" s="3" t="s">
        <v>23</v>
      </c>
      <c r="T356" s="3" t="str">
        <f>IFERROR(MID(VLOOKUP($B356,Seqs!$A:$B,2,0),U356,1),"")</f>
        <v>G</v>
      </c>
      <c r="U356" s="3">
        <v>90</v>
      </c>
      <c r="V356" s="3" t="str">
        <f>IFERROR(MID(VLOOKUP($B356,Seqs!$A:$B,2,0),W356,1),"")</f>
        <v>R</v>
      </c>
      <c r="W356" s="3">
        <v>128</v>
      </c>
      <c r="X356" s="3" t="str">
        <f>IFERROR(MID(VLOOKUP($B356,Seqs!$A:$B,2,0),Y356,1),"")</f>
        <v/>
      </c>
      <c r="Y356" s="3" t="s">
        <v>23</v>
      </c>
      <c r="Z356" s="3" t="str">
        <f>IFERROR(MID(VLOOKUP($B356,Seqs!$A:$B,2,0),AA356,1),"")</f>
        <v/>
      </c>
      <c r="AA356" s="3" t="s">
        <v>23</v>
      </c>
      <c r="AB356" s="3" t="str">
        <f>IFERROR(MID(VLOOKUP($B356,Seqs!$A:$B,2,0),AC356,1),"")</f>
        <v>N</v>
      </c>
      <c r="AC356" s="9">
        <v>137</v>
      </c>
      <c r="AD356" s="3" t="str">
        <f>IFERROR(MID(VLOOKUP($B356,Seqs!$A:$B,2,0),AE356,1),"")</f>
        <v>T</v>
      </c>
      <c r="AE356" s="3">
        <v>163</v>
      </c>
      <c r="AF356" s="3" t="str">
        <f>IFERROR(MID(VLOOKUP($B356,Seqs!$A:$B,2,0),AG356,1),"")</f>
        <v>C</v>
      </c>
      <c r="AG356" s="3">
        <v>175</v>
      </c>
      <c r="AH356" s="3" t="str">
        <f>IFERROR(MID(VLOOKUP($B356,Seqs!$A:$B,2,0),AI356,1),"")</f>
        <v>F</v>
      </c>
      <c r="AI356" s="3">
        <v>177</v>
      </c>
      <c r="AJ356" s="3" t="str">
        <f>IFERROR(MID(VLOOKUP($B356,Seqs!$A:$B,2,0),AK356,1),"")</f>
        <v>E</v>
      </c>
      <c r="AK356" s="3">
        <v>181</v>
      </c>
      <c r="AL356" s="3" t="str">
        <f>IFERROR(MID(VLOOKUP($B356,Seqs!$A:$B,2,0),AM356,1),"")</f>
        <v>S</v>
      </c>
      <c r="AM356" s="3">
        <v>219</v>
      </c>
      <c r="AN356" s="3" t="str">
        <f>IFERROR(MID(VLOOKUP($B356,Seqs!$A:$B,2,0),AO356,1),"")</f>
        <v>V</v>
      </c>
      <c r="AO356" s="3">
        <v>236</v>
      </c>
      <c r="AP356" s="3" t="str">
        <f>IFERROR(MID(VLOOKUP($B356,Seqs!$A:$B,2,0),AQ356,1),"")</f>
        <v>R</v>
      </c>
      <c r="AQ356" s="3">
        <v>265</v>
      </c>
      <c r="AR356" s="3" t="str">
        <f>IFERROR(MID(VLOOKUP($B356,Seqs!$A:$B,2,0),AS356,1),"")</f>
        <v>D</v>
      </c>
      <c r="AS356" s="3">
        <v>269</v>
      </c>
      <c r="AT356" s="3" t="str">
        <f>IFERROR(MID(VLOOKUP($B356,Seqs!$A:$B,2,0),AU356,1),"")</f>
        <v>C</v>
      </c>
      <c r="AU356" s="3">
        <v>292</v>
      </c>
      <c r="AV356" s="3" t="str">
        <f>IFERROR(MID(VLOOKUP($B356,Seqs!$A:$B,2,0),AW356,1),"")</f>
        <v/>
      </c>
      <c r="AW356" s="3" t="s">
        <v>23</v>
      </c>
      <c r="AX356" s="3" t="str">
        <f>IFERROR(MID(VLOOKUP($B356,Seqs!$A:$B,2,0),AY356,1),"")</f>
        <v/>
      </c>
      <c r="AY356" s="3" t="s">
        <v>23</v>
      </c>
      <c r="AZ356" s="77" t="str">
        <f>VLOOKUP(B356,Classification!A:D,2,0)</f>
        <v>A</v>
      </c>
      <c r="BA356" s="94" t="str">
        <f>VLOOKUP(B356,Classification!A:D,4,0)</f>
        <v>P2Y</v>
      </c>
      <c r="BB356" s="27" t="b">
        <f t="shared" si="1114"/>
        <v>1</v>
      </c>
      <c r="BC356" s="23">
        <f t="shared" si="1113"/>
        <v>227</v>
      </c>
      <c r="BD356" s="4" t="s">
        <v>23</v>
      </c>
      <c r="BE356" s="3" t="s">
        <v>1422</v>
      </c>
      <c r="BF356" s="118">
        <v>2.5</v>
      </c>
      <c r="BG356" s="49" t="s">
        <v>1371</v>
      </c>
      <c r="BH356" s="49" t="s">
        <v>1371</v>
      </c>
      <c r="BI356" s="1"/>
      <c r="BJ356" s="70" t="s">
        <v>1281</v>
      </c>
      <c r="BK356" s="57" t="s">
        <v>1281</v>
      </c>
      <c r="BL356" s="57" t="s">
        <v>1281</v>
      </c>
      <c r="BM356" s="57" t="s">
        <v>1281</v>
      </c>
      <c r="BN356" s="57" t="s">
        <v>1281</v>
      </c>
      <c r="BO356" s="57" t="s">
        <v>1281</v>
      </c>
      <c r="BP356" s="57" t="s">
        <v>1281</v>
      </c>
      <c r="BQ356" s="57" t="s">
        <v>1281</v>
      </c>
      <c r="BR356" s="57" t="s">
        <v>1281</v>
      </c>
      <c r="BS356" s="57" t="s">
        <v>1281</v>
      </c>
      <c r="BT356" s="57" t="s">
        <v>1281</v>
      </c>
      <c r="BU356" s="57" t="s">
        <v>1281</v>
      </c>
      <c r="BV356" s="70">
        <f>E356</f>
        <v>23</v>
      </c>
      <c r="BW356" s="71" t="str">
        <f>I356</f>
        <v>-</v>
      </c>
      <c r="BX356" s="72">
        <f>M356</f>
        <v>57</v>
      </c>
      <c r="BY356" s="71" t="str">
        <f>Q356</f>
        <v>-</v>
      </c>
      <c r="BZ356" s="72">
        <f>U356</f>
        <v>90</v>
      </c>
      <c r="CA356" s="71" t="str">
        <f>Y356</f>
        <v>-</v>
      </c>
      <c r="CB356" s="72">
        <f>AC356</f>
        <v>137</v>
      </c>
      <c r="CC356" s="71">
        <f>AG356</f>
        <v>175</v>
      </c>
      <c r="CD356" s="72">
        <f>AK356</f>
        <v>181</v>
      </c>
      <c r="CE356" s="71">
        <f>AO356</f>
        <v>236</v>
      </c>
      <c r="CF356" s="72">
        <f>AS356</f>
        <v>269</v>
      </c>
      <c r="CG356" s="71" t="str">
        <f>AW356</f>
        <v>-</v>
      </c>
      <c r="CH356" s="70">
        <f>G356</f>
        <v>53</v>
      </c>
      <c r="CI356" s="71" t="str">
        <f>K356</f>
        <v>-</v>
      </c>
      <c r="CJ356" s="72">
        <f>O356</f>
        <v>86</v>
      </c>
      <c r="CK356" s="72" t="str">
        <f>S356</f>
        <v>-</v>
      </c>
      <c r="CL356" s="72">
        <f>W356</f>
        <v>128</v>
      </c>
      <c r="CM356" s="72" t="str">
        <f>AA356</f>
        <v>-</v>
      </c>
      <c r="CN356" s="72">
        <f>AE356</f>
        <v>163</v>
      </c>
      <c r="CO356" s="72">
        <f>AI356</f>
        <v>177</v>
      </c>
      <c r="CP356" s="72">
        <f>AM356</f>
        <v>219</v>
      </c>
      <c r="CQ356" s="72">
        <f>AQ356</f>
        <v>265</v>
      </c>
      <c r="CR356" s="72">
        <f>AU356</f>
        <v>292</v>
      </c>
      <c r="CS356" s="72" t="str">
        <f>AY356</f>
        <v>-</v>
      </c>
      <c r="CT356" s="23" t="e">
        <f>M356-K356</f>
        <v>#VALUE!</v>
      </c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  <c r="OU356" s="1"/>
      <c r="OV356" s="1"/>
      <c r="OW356" s="1"/>
      <c r="OX356" s="1"/>
      <c r="OY356" s="1"/>
      <c r="OZ356" s="1"/>
      <c r="PA356" s="1"/>
      <c r="PB356" s="1"/>
      <c r="PC356" s="1"/>
      <c r="PD356" s="1"/>
      <c r="PE356" s="1"/>
      <c r="PF356" s="1"/>
      <c r="PG356" s="1"/>
      <c r="PH356" s="1"/>
      <c r="PI356" s="1"/>
      <c r="PJ356" s="1"/>
      <c r="PK356" s="1"/>
      <c r="PL356" s="1"/>
      <c r="PM356" s="1"/>
      <c r="PN356" s="1"/>
      <c r="PO356" s="1"/>
      <c r="PP356" s="1"/>
      <c r="PQ356" s="1"/>
      <c r="PR356" s="1"/>
      <c r="PS356" s="1"/>
      <c r="PT356" s="1"/>
      <c r="PU356" s="1"/>
      <c r="PV356" s="1"/>
      <c r="PW356" s="1"/>
      <c r="PX356" s="1"/>
      <c r="PY356" s="1"/>
      <c r="PZ356" s="1"/>
      <c r="QA356" s="1"/>
      <c r="QB356" s="1"/>
      <c r="QC356" s="1"/>
      <c r="QD356" s="1"/>
      <c r="QE356" s="1"/>
      <c r="QF356" s="1"/>
      <c r="QG356" s="1"/>
      <c r="QH356" s="1"/>
      <c r="QI356" s="1"/>
      <c r="QJ356" s="1"/>
      <c r="QK356" s="1"/>
      <c r="QL356" s="1"/>
      <c r="QM356" s="1"/>
      <c r="QN356" s="1"/>
      <c r="QO356" s="1"/>
      <c r="QP356" s="1"/>
      <c r="QQ356" s="1"/>
      <c r="QR356" s="1"/>
      <c r="QS356" s="1"/>
      <c r="QT356" s="1"/>
      <c r="QU356" s="1"/>
      <c r="QV356" s="1"/>
      <c r="QW356" s="1"/>
      <c r="QX356" s="1"/>
      <c r="QY356" s="1"/>
      <c r="QZ356" s="1"/>
      <c r="RA356" s="1"/>
      <c r="RB356" s="1"/>
      <c r="RC356" s="1"/>
      <c r="RD356" s="1"/>
      <c r="RE356" s="1"/>
      <c r="RF356" s="1"/>
      <c r="RG356" s="1"/>
      <c r="RH356" s="1"/>
      <c r="RI356" s="1"/>
      <c r="RJ356" s="1"/>
      <c r="RK356" s="1"/>
      <c r="RL356" s="1"/>
      <c r="RM356" s="1"/>
      <c r="RN356" s="1"/>
      <c r="RO356" s="1"/>
      <c r="RP356" s="1"/>
      <c r="RQ356" s="1"/>
      <c r="RR356" s="1"/>
      <c r="RS356" s="1"/>
      <c r="RT356" s="1"/>
      <c r="RU356" s="1"/>
      <c r="RV356" s="1"/>
      <c r="RW356" s="1"/>
      <c r="RX356" s="1"/>
      <c r="RY356" s="1"/>
      <c r="RZ356" s="1"/>
      <c r="SA356" s="1"/>
      <c r="SB356" s="1"/>
      <c r="SC356" s="1"/>
      <c r="SD356" s="1"/>
      <c r="SE356" s="1"/>
      <c r="SF356" s="1"/>
      <c r="SG356" s="1"/>
      <c r="SH356" s="1"/>
      <c r="SI356" s="1"/>
      <c r="SJ356" s="1"/>
      <c r="SK356" s="1"/>
      <c r="SL356" s="1"/>
      <c r="SM356" s="1"/>
      <c r="SN356" s="1"/>
      <c r="SO356" s="1"/>
      <c r="SP356" s="1"/>
      <c r="SQ356" s="1"/>
      <c r="SR356" s="1"/>
      <c r="SS356" s="1"/>
      <c r="ST356" s="1"/>
      <c r="SU356" s="1"/>
      <c r="SV356" s="1"/>
      <c r="SW356" s="1"/>
      <c r="SX356" s="1"/>
      <c r="SY356" s="1"/>
      <c r="SZ356" s="1"/>
      <c r="TA356" s="1"/>
      <c r="TB356" s="1"/>
      <c r="TC356" s="1"/>
      <c r="TD356" s="1"/>
      <c r="TE356" s="1"/>
      <c r="TF356" s="1"/>
      <c r="TG356" s="1"/>
      <c r="TH356" s="1"/>
      <c r="TI356" s="1"/>
      <c r="TJ356" s="1"/>
      <c r="TK356" s="1"/>
      <c r="TL356" s="1"/>
      <c r="TM356" s="1"/>
      <c r="TN356" s="1"/>
      <c r="TO356" s="1"/>
      <c r="TP356" s="1"/>
      <c r="TQ356" s="1"/>
      <c r="TR356" s="1"/>
      <c r="TS356" s="1"/>
      <c r="TT356" s="1"/>
      <c r="TU356" s="1"/>
      <c r="TV356" s="1"/>
      <c r="TW356" s="1"/>
      <c r="TX356" s="1"/>
      <c r="TY356" s="1"/>
      <c r="TZ356" s="1"/>
      <c r="UA356" s="1"/>
      <c r="UB356" s="1"/>
      <c r="UC356" s="1"/>
      <c r="UD356" s="1"/>
      <c r="UE356" s="1"/>
      <c r="UF356" s="1"/>
      <c r="UG356" s="1"/>
      <c r="UH356" s="1"/>
      <c r="UI356" s="1"/>
      <c r="UJ356" s="1"/>
      <c r="UK356" s="1"/>
      <c r="UL356" s="1"/>
      <c r="UM356" s="1"/>
      <c r="UN356" s="1"/>
      <c r="UO356" s="1"/>
      <c r="UP356" s="1"/>
      <c r="UQ356" s="1"/>
      <c r="UR356" s="1"/>
      <c r="US356" s="1"/>
      <c r="UT356" s="1"/>
      <c r="UU356" s="1"/>
      <c r="UV356" s="1"/>
      <c r="UW356" s="1"/>
      <c r="UX356" s="1"/>
      <c r="UY356" s="1"/>
      <c r="UZ356" s="1"/>
      <c r="VA356" s="1"/>
      <c r="VB356" s="1"/>
      <c r="VC356" s="1"/>
      <c r="VD356" s="1"/>
      <c r="VE356" s="1"/>
      <c r="VF356" s="1"/>
      <c r="VG356" s="1"/>
      <c r="VH356" s="1"/>
      <c r="VI356" s="1"/>
      <c r="VJ356" s="1"/>
      <c r="VK356" s="1"/>
      <c r="VL356" s="1"/>
      <c r="VM356" s="1"/>
      <c r="VN356" s="1"/>
      <c r="VO356" s="1"/>
      <c r="VP356" s="1"/>
      <c r="VQ356" s="1"/>
      <c r="VR356" s="1"/>
      <c r="VS356" s="1"/>
      <c r="VT356" s="1"/>
      <c r="VU356" s="1"/>
      <c r="VV356" s="1"/>
      <c r="VW356" s="1"/>
      <c r="VX356" s="1"/>
      <c r="VY356" s="1"/>
      <c r="VZ356" s="1"/>
      <c r="WA356" s="1"/>
      <c r="WB356" s="1"/>
      <c r="WC356" s="1"/>
      <c r="WD356" s="1"/>
      <c r="WE356" s="1"/>
      <c r="WF356" s="1"/>
      <c r="WG356" s="1"/>
      <c r="WH356" s="1"/>
      <c r="WI356" s="1"/>
      <c r="WJ356" s="1"/>
      <c r="WK356" s="1"/>
      <c r="WL356" s="1"/>
      <c r="WM356" s="1"/>
      <c r="WN356" s="1"/>
      <c r="WO356" s="1"/>
      <c r="WP356" s="1"/>
      <c r="WQ356" s="1"/>
      <c r="WR356" s="1"/>
      <c r="WS356" s="1"/>
      <c r="WT356" s="1"/>
      <c r="WU356" s="1"/>
      <c r="WV356" s="1"/>
      <c r="WW356" s="1"/>
      <c r="WX356" s="1"/>
      <c r="WY356" s="1"/>
      <c r="WZ356" s="1"/>
      <c r="XA356" s="1"/>
      <c r="XB356" s="1"/>
      <c r="XC356" s="1"/>
      <c r="XD356" s="1"/>
      <c r="XE356" s="1"/>
      <c r="XF356" s="1"/>
      <c r="XG356" s="1"/>
      <c r="XH356" s="1"/>
      <c r="XI356" s="1"/>
      <c r="XJ356" s="1"/>
      <c r="XK356" s="1"/>
      <c r="XL356" s="1"/>
      <c r="XM356" s="1"/>
      <c r="XN356" s="1"/>
      <c r="XO356" s="1"/>
      <c r="XP356" s="1"/>
      <c r="XQ356" s="1"/>
      <c r="XR356" s="1"/>
      <c r="XS356" s="1"/>
      <c r="XT356" s="1"/>
      <c r="XU356" s="1"/>
      <c r="XV356" s="1"/>
      <c r="XW356" s="1"/>
      <c r="XX356" s="1"/>
      <c r="XY356" s="1"/>
      <c r="XZ356" s="1"/>
      <c r="YA356" s="1"/>
      <c r="YB356" s="1"/>
      <c r="YC356" s="1"/>
      <c r="YD356" s="1"/>
      <c r="YE356" s="1"/>
      <c r="YF356" s="1"/>
      <c r="YG356" s="1"/>
      <c r="YH356" s="1"/>
      <c r="YI356" s="1"/>
      <c r="YJ356" s="1"/>
      <c r="YK356" s="1"/>
      <c r="YL356" s="1"/>
      <c r="YM356" s="1"/>
      <c r="YN356" s="1"/>
      <c r="YO356" s="1"/>
      <c r="YP356" s="1"/>
      <c r="YQ356" s="1"/>
      <c r="YR356" s="1"/>
      <c r="YS356" s="1"/>
      <c r="YT356" s="1"/>
      <c r="YU356" s="1"/>
      <c r="YV356" s="1"/>
      <c r="YW356" s="1"/>
      <c r="YX356" s="1"/>
      <c r="YY356" s="1"/>
      <c r="YZ356" s="1"/>
      <c r="ZA356" s="1"/>
      <c r="ZB356" s="1"/>
      <c r="ZC356" s="1"/>
      <c r="ZD356" s="1"/>
      <c r="ZE356" s="1"/>
      <c r="ZF356" s="1"/>
      <c r="ZG356" s="1"/>
      <c r="ZH356" s="1"/>
      <c r="ZI356" s="1"/>
      <c r="ZJ356" s="1"/>
      <c r="ZK356" s="1"/>
      <c r="ZL356" s="1"/>
      <c r="ZM356" s="1"/>
      <c r="ZN356" s="1"/>
      <c r="ZO356" s="1"/>
      <c r="ZP356" s="1"/>
      <c r="ZQ356" s="1"/>
      <c r="ZR356" s="1"/>
      <c r="ZS356" s="1"/>
      <c r="ZT356" s="1"/>
      <c r="ZU356" s="1"/>
      <c r="ZV356" s="1"/>
      <c r="ZW356" s="1"/>
      <c r="ZX356" s="1"/>
      <c r="ZY356" s="1"/>
      <c r="ZZ356" s="1"/>
      <c r="AAA356" s="1"/>
      <c r="AAB356" s="1"/>
      <c r="AAC356" s="1"/>
      <c r="AAD356" s="1"/>
      <c r="AAE356" s="1"/>
      <c r="AAF356" s="1"/>
      <c r="AAG356" s="1"/>
      <c r="AAH356" s="1"/>
      <c r="AAI356" s="1"/>
      <c r="AAJ356" s="1"/>
      <c r="AAK356" s="1"/>
      <c r="AAL356" s="1"/>
      <c r="AAM356" s="1"/>
      <c r="AAN356" s="1"/>
      <c r="AAO356" s="1"/>
      <c r="AAP356" s="1"/>
      <c r="AAQ356" s="1"/>
      <c r="AAR356" s="1"/>
      <c r="AAS356" s="1"/>
      <c r="AAT356" s="1"/>
      <c r="AAU356" s="1"/>
      <c r="AAV356" s="1"/>
      <c r="AAW356" s="1"/>
      <c r="AAX356" s="1"/>
      <c r="AAY356" s="1"/>
      <c r="AAZ356" s="1"/>
      <c r="ABA356" s="1"/>
      <c r="ABB356" s="1"/>
      <c r="ABC356" s="1"/>
      <c r="ABD356" s="1"/>
      <c r="ABE356" s="1"/>
      <c r="ABF356" s="1"/>
      <c r="ABG356" s="1"/>
      <c r="ABH356" s="1"/>
      <c r="ABI356" s="1"/>
      <c r="ABJ356" s="1"/>
      <c r="ABK356" s="1"/>
      <c r="ABL356" s="1"/>
      <c r="ABM356" s="1"/>
      <c r="ABN356" s="1"/>
      <c r="ABO356" s="1"/>
      <c r="ABP356" s="1"/>
      <c r="ABQ356" s="1"/>
      <c r="ABR356" s="1"/>
      <c r="ABS356" s="1"/>
      <c r="ABT356" s="1"/>
      <c r="ABU356" s="1"/>
      <c r="ABV356" s="1"/>
      <c r="ABW356" s="1"/>
      <c r="ABX356" s="1"/>
      <c r="ABY356" s="1"/>
      <c r="ABZ356" s="1"/>
      <c r="ACA356" s="1"/>
      <c r="ACB356" s="1"/>
      <c r="ACC356" s="1"/>
      <c r="ACD356" s="1"/>
      <c r="ACE356" s="1"/>
      <c r="ACF356" s="1"/>
      <c r="ACG356" s="1"/>
      <c r="ACH356" s="1"/>
      <c r="ACI356" s="1"/>
      <c r="ACJ356" s="1"/>
      <c r="ACK356" s="1"/>
      <c r="ACL356" s="1"/>
      <c r="ACM356" s="1"/>
      <c r="ACN356" s="1"/>
      <c r="ACO356" s="1"/>
      <c r="ACP356" s="1"/>
      <c r="ACQ356" s="1"/>
      <c r="ACR356" s="1"/>
      <c r="ACS356" s="1"/>
      <c r="ACT356" s="1"/>
      <c r="ACU356" s="1"/>
      <c r="ACV356" s="1"/>
      <c r="ACW356" s="1"/>
      <c r="ACX356" s="1"/>
      <c r="ACY356" s="1"/>
      <c r="ACZ356" s="1"/>
      <c r="ADA356" s="1"/>
      <c r="ADB356" s="1"/>
      <c r="ADC356" s="1"/>
      <c r="ADD356" s="1"/>
      <c r="ADE356" s="1"/>
      <c r="ADF356" s="1"/>
      <c r="ADG356" s="1"/>
      <c r="ADH356" s="1"/>
      <c r="ADI356" s="1"/>
      <c r="ADJ356" s="1"/>
      <c r="ADK356" s="1"/>
      <c r="ADL356" s="1"/>
      <c r="ADM356" s="1"/>
      <c r="ADN356" s="1"/>
      <c r="ADO356" s="1"/>
      <c r="ADP356" s="1"/>
      <c r="ADQ356" s="1"/>
      <c r="ADR356" s="1"/>
      <c r="ADS356" s="1"/>
      <c r="ADT356" s="1"/>
      <c r="ADU356" s="1"/>
      <c r="ADV356" s="1"/>
      <c r="ADW356" s="1"/>
      <c r="ADX356" s="1"/>
      <c r="ADY356" s="1"/>
      <c r="ADZ356" s="1"/>
      <c r="AEA356" s="1"/>
      <c r="AEB356" s="1"/>
      <c r="AEC356" s="1"/>
      <c r="AED356" s="1"/>
      <c r="AEE356" s="1"/>
      <c r="AEF356" s="1"/>
      <c r="AEG356" s="1"/>
      <c r="AEH356" s="1"/>
      <c r="AEI356" s="1"/>
      <c r="AEJ356" s="1"/>
      <c r="AEK356" s="1"/>
      <c r="AEL356" s="1"/>
      <c r="AEM356" s="1"/>
      <c r="AEN356" s="1"/>
      <c r="AEO356" s="1"/>
      <c r="AEP356" s="1"/>
      <c r="AEQ356" s="1"/>
      <c r="AER356" s="1"/>
      <c r="AES356" s="1"/>
      <c r="AET356" s="1"/>
      <c r="AEU356" s="1"/>
      <c r="AEV356" s="1"/>
      <c r="AEW356" s="1"/>
      <c r="AEX356" s="1"/>
      <c r="AEY356" s="1"/>
      <c r="AEZ356" s="1"/>
      <c r="AFA356" s="1"/>
      <c r="AFB356" s="1"/>
      <c r="AFC356" s="1"/>
      <c r="AFD356" s="1"/>
      <c r="AFE356" s="1"/>
      <c r="AFF356" s="1"/>
      <c r="AFG356" s="1"/>
      <c r="AFH356" s="1"/>
      <c r="AFI356" s="1"/>
      <c r="AFJ356" s="1"/>
      <c r="AFK356" s="1"/>
      <c r="AFL356" s="1"/>
      <c r="AFM356" s="1"/>
      <c r="AFN356" s="1"/>
      <c r="AFO356" s="1"/>
      <c r="AFP356" s="1"/>
      <c r="AFQ356" s="1"/>
      <c r="AFR356" s="1"/>
      <c r="AFS356" s="1"/>
      <c r="AFT356" s="1"/>
      <c r="AFU356" s="1"/>
      <c r="AFV356" s="1"/>
      <c r="AFW356" s="1"/>
      <c r="AFX356" s="1"/>
      <c r="AFY356" s="1"/>
      <c r="AFZ356" s="1"/>
      <c r="AGA356" s="1"/>
      <c r="AGB356" s="1"/>
      <c r="AGC356" s="1"/>
      <c r="AGD356" s="1"/>
      <c r="AGE356" s="1"/>
      <c r="AGF356" s="1"/>
      <c r="AGG356" s="1"/>
      <c r="AGH356" s="1"/>
      <c r="AGI356" s="1"/>
      <c r="AGJ356" s="1"/>
      <c r="AGK356" s="1"/>
      <c r="AGL356" s="1"/>
      <c r="AGM356" s="1"/>
      <c r="AGN356" s="1"/>
      <c r="AGO356" s="1"/>
      <c r="AGP356" s="1"/>
      <c r="AGQ356" s="1"/>
      <c r="AGR356" s="1"/>
      <c r="AGS356" s="1"/>
      <c r="AGT356" s="1"/>
      <c r="AGU356" s="1"/>
      <c r="AGV356" s="1"/>
      <c r="AGW356" s="1"/>
      <c r="AGX356" s="1"/>
      <c r="AGY356" s="1"/>
      <c r="AGZ356" s="1"/>
      <c r="AHA356" s="1"/>
      <c r="AHB356" s="1"/>
      <c r="AHC356" s="1"/>
      <c r="AHD356" s="1"/>
      <c r="AHE356" s="1"/>
      <c r="AHF356" s="1"/>
      <c r="AHG356" s="1"/>
      <c r="AHH356" s="1"/>
      <c r="AHI356" s="1"/>
      <c r="AHJ356" s="1"/>
      <c r="AHK356" s="1"/>
      <c r="AHL356" s="1"/>
      <c r="AHM356" s="1"/>
      <c r="AHN356" s="1"/>
      <c r="AHO356" s="1"/>
      <c r="AHP356" s="1"/>
      <c r="AHQ356" s="1"/>
      <c r="AHR356" s="1"/>
      <c r="AHS356" s="1"/>
      <c r="AHT356" s="1"/>
      <c r="AHU356" s="1"/>
      <c r="AHV356" s="1"/>
      <c r="AHW356" s="1"/>
      <c r="AHX356" s="1"/>
      <c r="AHY356" s="1"/>
      <c r="AHZ356" s="1"/>
      <c r="AIA356" s="1"/>
      <c r="AIB356" s="1"/>
      <c r="AIC356" s="1"/>
      <c r="AID356" s="1"/>
      <c r="AIE356" s="1"/>
      <c r="AIF356" s="1"/>
      <c r="AIG356" s="1"/>
      <c r="AIH356" s="1"/>
      <c r="AII356" s="1"/>
      <c r="AIJ356" s="1"/>
      <c r="AIK356" s="1"/>
      <c r="AIL356" s="1"/>
      <c r="AIM356" s="1"/>
      <c r="AIN356" s="1"/>
      <c r="AIO356" s="1"/>
      <c r="AIP356" s="1"/>
      <c r="AIQ356" s="1"/>
      <c r="AIR356" s="1"/>
      <c r="AIS356" s="1"/>
      <c r="AIT356" s="1"/>
      <c r="AIU356" s="1"/>
      <c r="AIV356" s="1"/>
      <c r="AIW356" s="1"/>
      <c r="AIX356" s="1"/>
      <c r="AIY356" s="1"/>
      <c r="AIZ356" s="1"/>
      <c r="AJA356" s="1"/>
      <c r="AJB356" s="1"/>
      <c r="AJC356" s="1"/>
      <c r="AJD356" s="1"/>
      <c r="AJE356" s="1"/>
      <c r="AJF356" s="1"/>
      <c r="AJG356" s="1"/>
      <c r="AJH356" s="1"/>
      <c r="AJI356" s="1"/>
      <c r="AJJ356" s="1"/>
      <c r="AJK356" s="1"/>
      <c r="AJL356" s="1"/>
      <c r="AJM356" s="1"/>
      <c r="AJN356" s="1"/>
      <c r="AJO356" s="1"/>
      <c r="AJP356" s="1"/>
      <c r="AJQ356" s="1"/>
      <c r="AJR356" s="1"/>
      <c r="AJS356" s="1"/>
      <c r="AJT356" s="1"/>
      <c r="AJU356" s="1"/>
      <c r="AJV356" s="1"/>
      <c r="AJW356" s="1"/>
      <c r="AJX356" s="1"/>
      <c r="AJY356" s="1"/>
      <c r="AJZ356" s="1"/>
      <c r="AKA356" s="1"/>
      <c r="AKB356" s="1"/>
      <c r="AKC356" s="1"/>
      <c r="AKD356" s="1"/>
      <c r="AKE356" s="1"/>
      <c r="AKF356" s="1"/>
      <c r="AKG356" s="1"/>
      <c r="AKH356" s="1"/>
      <c r="AKI356" s="1"/>
      <c r="AKJ356" s="1"/>
      <c r="AKK356" s="1"/>
      <c r="AKL356" s="1"/>
      <c r="AKM356" s="1"/>
      <c r="AKN356" s="1"/>
      <c r="AKO356" s="1"/>
      <c r="AKP356" s="1"/>
      <c r="AKQ356" s="1"/>
      <c r="AKR356" s="1"/>
      <c r="AKS356" s="1"/>
      <c r="AKT356" s="1"/>
      <c r="AKU356" s="1"/>
      <c r="AKV356" s="1"/>
      <c r="AKW356" s="1"/>
      <c r="AKX356" s="1"/>
      <c r="AKY356" s="1"/>
      <c r="AKZ356" s="1"/>
      <c r="ALA356" s="1"/>
      <c r="ALB356" s="1"/>
      <c r="ALC356" s="1"/>
      <c r="ALD356" s="1"/>
      <c r="ALE356" s="1"/>
      <c r="ALF356" s="1"/>
      <c r="ALG356" s="1"/>
      <c r="ALH356" s="1"/>
      <c r="ALI356" s="1"/>
      <c r="ALJ356" s="1"/>
      <c r="ALK356" s="1"/>
      <c r="ALL356" s="1"/>
      <c r="ALM356" s="1"/>
      <c r="ALN356" s="1"/>
      <c r="ALO356" s="1"/>
      <c r="ALP356" s="1"/>
      <c r="ALQ356" s="1"/>
      <c r="ALR356" s="1"/>
      <c r="ALS356" s="1"/>
      <c r="ALT356" s="1"/>
      <c r="ALU356" s="1"/>
      <c r="ALV356" s="1"/>
      <c r="ALW356" s="1"/>
      <c r="ALX356" s="1"/>
      <c r="ALY356" s="1"/>
      <c r="ALZ356" s="1"/>
      <c r="AMA356" s="1"/>
      <c r="AMB356" s="1"/>
      <c r="AMC356" s="1"/>
      <c r="AMD356" s="1"/>
      <c r="AME356" s="1"/>
      <c r="AMF356" s="1"/>
      <c r="AMG356" s="1"/>
      <c r="AMH356" s="1"/>
      <c r="AMI356" s="1"/>
      <c r="AMJ356" s="1"/>
      <c r="AMK356" s="1"/>
      <c r="AML356" s="1"/>
      <c r="AMM356" s="1"/>
      <c r="AMN356" s="1"/>
      <c r="AMO356" s="1"/>
    </row>
    <row r="357" spans="1:1029" x14ac:dyDescent="0.2">
      <c r="A357" s="3" t="str">
        <f>CONCATENATE(B357,"_",C357)</f>
        <v>p2y12_human_4PY0</v>
      </c>
      <c r="B357" s="3" t="s">
        <v>351</v>
      </c>
      <c r="C357" s="3" t="s">
        <v>1044</v>
      </c>
      <c r="D357" s="3" t="str">
        <f>IFERROR(MID(VLOOKUP($B357,Seqs!$A:$B,2,0),E357,1),"")</f>
        <v>I</v>
      </c>
      <c r="E357" s="3">
        <v>23</v>
      </c>
      <c r="F357" s="3" t="str">
        <f>IFERROR(MID(VLOOKUP($B357,Seqs!$A:$B,2,0),G357,1),"")</f>
        <v>I</v>
      </c>
      <c r="G357" s="3">
        <v>53</v>
      </c>
      <c r="H357" s="3" t="str">
        <f>IFERROR(MID(VLOOKUP($B357,Seqs!$A:$B,2,0),I357,1),"")</f>
        <v/>
      </c>
      <c r="I357" s="23" t="s">
        <v>23</v>
      </c>
      <c r="J357" s="3" t="str">
        <f>IFERROR(MID(VLOOKUP($B357,Seqs!$A:$B,2,0),K357,1),"")</f>
        <v/>
      </c>
      <c r="K357" s="23" t="s">
        <v>23</v>
      </c>
      <c r="L357" s="3" t="str">
        <f>IFERROR(MID(VLOOKUP($B357,Seqs!$A:$B,2,0),M357,1),"")</f>
        <v>S</v>
      </c>
      <c r="M357" s="3">
        <v>57</v>
      </c>
      <c r="N357" s="3" t="str">
        <f>IFERROR(MID(VLOOKUP($B357,Seqs!$A:$B,2,0),O357,1),"")</f>
        <v>K</v>
      </c>
      <c r="O357" s="3">
        <v>86</v>
      </c>
      <c r="P357" s="3" t="str">
        <f>IFERROR(MID(VLOOKUP($B357,Seqs!$A:$B,2,0),Q357,1),"")</f>
        <v/>
      </c>
      <c r="Q357" s="3" t="s">
        <v>23</v>
      </c>
      <c r="R357" s="3" t="str">
        <f>IFERROR(MID(VLOOKUP($B357,Seqs!$A:$B,2,0),S357,1),"")</f>
        <v/>
      </c>
      <c r="S357" s="3" t="s">
        <v>23</v>
      </c>
      <c r="T357" s="3" t="str">
        <f>IFERROR(MID(VLOOKUP($B357,Seqs!$A:$B,2,0),U357,1),"")</f>
        <v>G</v>
      </c>
      <c r="U357" s="3">
        <v>90</v>
      </c>
      <c r="V357" s="3" t="str">
        <f>IFERROR(MID(VLOOKUP($B357,Seqs!$A:$B,2,0),W357,1),"")</f>
        <v>R</v>
      </c>
      <c r="W357" s="3">
        <v>128</v>
      </c>
      <c r="X357" s="3" t="str">
        <f>IFERROR(MID(VLOOKUP($B357,Seqs!$A:$B,2,0),Y357,1),"")</f>
        <v/>
      </c>
      <c r="Y357" s="3" t="s">
        <v>23</v>
      </c>
      <c r="Z357" s="3" t="str">
        <f>IFERROR(MID(VLOOKUP($B357,Seqs!$A:$B,2,0),AA357,1),"")</f>
        <v/>
      </c>
      <c r="AA357" s="3" t="s">
        <v>23</v>
      </c>
      <c r="AB357" s="3" t="str">
        <f>IFERROR(MID(VLOOKUP($B357,Seqs!$A:$B,2,0),AC357,1),"")</f>
        <v>N</v>
      </c>
      <c r="AC357" s="9">
        <v>137</v>
      </c>
      <c r="AD357" s="3" t="str">
        <f>IFERROR(MID(VLOOKUP($B357,Seqs!$A:$B,2,0),AE357,1),"")</f>
        <v>T</v>
      </c>
      <c r="AE357" s="3">
        <v>163</v>
      </c>
      <c r="AF357" s="3" t="str">
        <f>IFERROR(MID(VLOOKUP($B357,Seqs!$A:$B,2,0),AG357,1),"")</f>
        <v>C</v>
      </c>
      <c r="AG357" s="3">
        <v>175</v>
      </c>
      <c r="AH357" s="3" t="str">
        <f>IFERROR(MID(VLOOKUP($B357,Seqs!$A:$B,2,0),AI357,1),"")</f>
        <v>F</v>
      </c>
      <c r="AI357" s="3">
        <v>177</v>
      </c>
      <c r="AJ357" s="3" t="str">
        <f>IFERROR(MID(VLOOKUP($B357,Seqs!$A:$B,2,0),AK357,1),"")</f>
        <v>E</v>
      </c>
      <c r="AK357" s="3">
        <v>181</v>
      </c>
      <c r="AL357" s="3" t="str">
        <f>IFERROR(MID(VLOOKUP($B357,Seqs!$A:$B,2,0),AM357,1),"")</f>
        <v>S</v>
      </c>
      <c r="AM357" s="3">
        <v>219</v>
      </c>
      <c r="AN357" s="3" t="str">
        <f>IFERROR(MID(VLOOKUP($B357,Seqs!$A:$B,2,0),AO357,1),"")</f>
        <v>V</v>
      </c>
      <c r="AO357" s="3">
        <v>236</v>
      </c>
      <c r="AP357" s="3" t="str">
        <f>IFERROR(MID(VLOOKUP($B357,Seqs!$A:$B,2,0),AQ357,1),"")</f>
        <v>R</v>
      </c>
      <c r="AQ357" s="3">
        <v>265</v>
      </c>
      <c r="AR357" s="3" t="str">
        <f>IFERROR(MID(VLOOKUP($B357,Seqs!$A:$B,2,0),AS357,1),"")</f>
        <v>D</v>
      </c>
      <c r="AS357" s="3">
        <v>269</v>
      </c>
      <c r="AT357" s="3" t="str">
        <f>IFERROR(MID(VLOOKUP($B357,Seqs!$A:$B,2,0),AU357,1),"")</f>
        <v>C</v>
      </c>
      <c r="AU357" s="3">
        <v>292</v>
      </c>
      <c r="AV357" s="3" t="str">
        <f>IFERROR(MID(VLOOKUP($B357,Seqs!$A:$B,2,0),AW357,1),"")</f>
        <v/>
      </c>
      <c r="AW357" s="3" t="s">
        <v>23</v>
      </c>
      <c r="AX357" s="3" t="str">
        <f>IFERROR(MID(VLOOKUP($B357,Seqs!$A:$B,2,0),AY357,1),"")</f>
        <v/>
      </c>
      <c r="AY357" s="3" t="s">
        <v>23</v>
      </c>
      <c r="AZ357" s="77" t="str">
        <f>VLOOKUP(B357,Classification!A:D,2,0)</f>
        <v>A</v>
      </c>
      <c r="BA357" s="94" t="str">
        <f>VLOOKUP(B357,Classification!A:D,4,0)</f>
        <v>P2Y</v>
      </c>
      <c r="BB357" s="27" t="b">
        <f t="shared" si="1114"/>
        <v>1</v>
      </c>
      <c r="BC357" s="23">
        <f t="shared" si="1113"/>
        <v>227</v>
      </c>
      <c r="BD357" s="4" t="s">
        <v>23</v>
      </c>
      <c r="BE357" s="3" t="s">
        <v>1422</v>
      </c>
      <c r="BF357" s="118">
        <v>3.1</v>
      </c>
      <c r="BG357" s="49" t="s">
        <v>1371</v>
      </c>
      <c r="BH357" s="49" t="s">
        <v>1371</v>
      </c>
      <c r="BI357" s="1"/>
      <c r="BJ357" s="70" t="s">
        <v>1281</v>
      </c>
      <c r="BK357" s="57" t="s">
        <v>1281</v>
      </c>
      <c r="BL357" s="57" t="s">
        <v>1281</v>
      </c>
      <c r="BM357" s="57" t="s">
        <v>1281</v>
      </c>
      <c r="BN357" s="57" t="s">
        <v>1281</v>
      </c>
      <c r="BO357" s="57" t="s">
        <v>1281</v>
      </c>
      <c r="BP357" s="57" t="s">
        <v>1281</v>
      </c>
      <c r="BQ357" s="57" t="s">
        <v>1281</v>
      </c>
      <c r="BR357" s="57" t="s">
        <v>1281</v>
      </c>
      <c r="BS357" s="57" t="s">
        <v>1281</v>
      </c>
      <c r="BT357" s="57" t="s">
        <v>1281</v>
      </c>
      <c r="BU357" s="57" t="s">
        <v>1281</v>
      </c>
      <c r="BV357" s="70">
        <f>E357</f>
        <v>23</v>
      </c>
      <c r="BW357" s="71" t="str">
        <f>I357</f>
        <v>-</v>
      </c>
      <c r="BX357" s="72">
        <f>M357</f>
        <v>57</v>
      </c>
      <c r="BY357" s="71" t="str">
        <f>Q357</f>
        <v>-</v>
      </c>
      <c r="BZ357" s="72">
        <f>U357</f>
        <v>90</v>
      </c>
      <c r="CA357" s="71" t="str">
        <f>Y357</f>
        <v>-</v>
      </c>
      <c r="CB357" s="72">
        <f>AC357</f>
        <v>137</v>
      </c>
      <c r="CC357" s="71">
        <f>AG357</f>
        <v>175</v>
      </c>
      <c r="CD357" s="72">
        <f>AK357</f>
        <v>181</v>
      </c>
      <c r="CE357" s="71">
        <f>AO357</f>
        <v>236</v>
      </c>
      <c r="CF357" s="72">
        <f>AS357</f>
        <v>269</v>
      </c>
      <c r="CG357" s="71" t="str">
        <f>AW357</f>
        <v>-</v>
      </c>
      <c r="CH357" s="70">
        <f>G357</f>
        <v>53</v>
      </c>
      <c r="CI357" s="71" t="str">
        <f>K357</f>
        <v>-</v>
      </c>
      <c r="CJ357" s="72">
        <f>O357</f>
        <v>86</v>
      </c>
      <c r="CK357" s="72" t="str">
        <f>S357</f>
        <v>-</v>
      </c>
      <c r="CL357" s="72">
        <f>W357</f>
        <v>128</v>
      </c>
      <c r="CM357" s="72" t="str">
        <f>AA357</f>
        <v>-</v>
      </c>
      <c r="CN357" s="72">
        <f>AE357</f>
        <v>163</v>
      </c>
      <c r="CO357" s="72">
        <f>AI357</f>
        <v>177</v>
      </c>
      <c r="CP357" s="72">
        <f>AM357</f>
        <v>219</v>
      </c>
      <c r="CQ357" s="72">
        <f>AQ357</f>
        <v>265</v>
      </c>
      <c r="CR357" s="72">
        <f>AU357</f>
        <v>292</v>
      </c>
      <c r="CS357" s="72" t="str">
        <f>AY357</f>
        <v>-</v>
      </c>
      <c r="CT357" s="23" t="e">
        <f>M357-K357</f>
        <v>#VALUE!</v>
      </c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  <c r="PB357" s="1"/>
      <c r="PC357" s="1"/>
      <c r="PD357" s="1"/>
      <c r="PE357" s="1"/>
      <c r="PF357" s="1"/>
      <c r="PG357" s="1"/>
      <c r="PH357" s="1"/>
      <c r="PI357" s="1"/>
      <c r="PJ357" s="1"/>
      <c r="PK357" s="1"/>
      <c r="PL357" s="1"/>
      <c r="PM357" s="1"/>
      <c r="PN357" s="1"/>
      <c r="PO357" s="1"/>
      <c r="PP357" s="1"/>
      <c r="PQ357" s="1"/>
      <c r="PR357" s="1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1"/>
      <c r="QD357" s="1"/>
      <c r="QE357" s="1"/>
      <c r="QF357" s="1"/>
      <c r="QG357" s="1"/>
      <c r="QH357" s="1"/>
      <c r="QI357" s="1"/>
      <c r="QJ357" s="1"/>
      <c r="QK357" s="1"/>
      <c r="QL357" s="1"/>
      <c r="QM357" s="1"/>
      <c r="QN357" s="1"/>
      <c r="QO357" s="1"/>
      <c r="QP357" s="1"/>
      <c r="QQ357" s="1"/>
      <c r="QR357" s="1"/>
      <c r="QS357" s="1"/>
      <c r="QT357" s="1"/>
      <c r="QU357" s="1"/>
      <c r="QV357" s="1"/>
      <c r="QW357" s="1"/>
      <c r="QX357" s="1"/>
      <c r="QY357" s="1"/>
      <c r="QZ357" s="1"/>
      <c r="RA357" s="1"/>
      <c r="RB357" s="1"/>
      <c r="RC357" s="1"/>
      <c r="RD357" s="1"/>
      <c r="RE357" s="1"/>
      <c r="RF357" s="1"/>
      <c r="RG357" s="1"/>
      <c r="RH357" s="1"/>
      <c r="RI357" s="1"/>
      <c r="RJ357" s="1"/>
      <c r="RK357" s="1"/>
      <c r="RL357" s="1"/>
      <c r="RM357" s="1"/>
      <c r="RN357" s="1"/>
      <c r="RO357" s="1"/>
      <c r="RP357" s="1"/>
      <c r="RQ357" s="1"/>
      <c r="RR357" s="1"/>
      <c r="RS357" s="1"/>
      <c r="RT357" s="1"/>
      <c r="RU357" s="1"/>
      <c r="RV357" s="1"/>
      <c r="RW357" s="1"/>
      <c r="RX357" s="1"/>
      <c r="RY357" s="1"/>
      <c r="RZ357" s="1"/>
      <c r="SA357" s="1"/>
      <c r="SB357" s="1"/>
      <c r="SC357" s="1"/>
      <c r="SD357" s="1"/>
      <c r="SE357" s="1"/>
      <c r="SF357" s="1"/>
      <c r="SG357" s="1"/>
      <c r="SH357" s="1"/>
      <c r="SI357" s="1"/>
      <c r="SJ357" s="1"/>
      <c r="SK357" s="1"/>
      <c r="SL357" s="1"/>
      <c r="SM357" s="1"/>
      <c r="SN357" s="1"/>
      <c r="SO357" s="1"/>
      <c r="SP357" s="1"/>
      <c r="SQ357" s="1"/>
      <c r="SR357" s="1"/>
      <c r="SS357" s="1"/>
      <c r="ST357" s="1"/>
      <c r="SU357" s="1"/>
      <c r="SV357" s="1"/>
      <c r="SW357" s="1"/>
      <c r="SX357" s="1"/>
      <c r="SY357" s="1"/>
      <c r="SZ357" s="1"/>
      <c r="TA357" s="1"/>
      <c r="TB357" s="1"/>
      <c r="TC357" s="1"/>
      <c r="TD357" s="1"/>
      <c r="TE357" s="1"/>
      <c r="TF357" s="1"/>
      <c r="TG357" s="1"/>
      <c r="TH357" s="1"/>
      <c r="TI357" s="1"/>
      <c r="TJ357" s="1"/>
      <c r="TK357" s="1"/>
      <c r="TL357" s="1"/>
      <c r="TM357" s="1"/>
      <c r="TN357" s="1"/>
      <c r="TO357" s="1"/>
      <c r="TP357" s="1"/>
      <c r="TQ357" s="1"/>
      <c r="TR357" s="1"/>
      <c r="TS357" s="1"/>
      <c r="TT357" s="1"/>
      <c r="TU357" s="1"/>
      <c r="TV357" s="1"/>
      <c r="TW357" s="1"/>
      <c r="TX357" s="1"/>
      <c r="TY357" s="1"/>
      <c r="TZ357" s="1"/>
      <c r="UA357" s="1"/>
      <c r="UB357" s="1"/>
      <c r="UC357" s="1"/>
      <c r="UD357" s="1"/>
      <c r="UE357" s="1"/>
      <c r="UF357" s="1"/>
      <c r="UG357" s="1"/>
      <c r="UH357" s="1"/>
      <c r="UI357" s="1"/>
      <c r="UJ357" s="1"/>
      <c r="UK357" s="1"/>
      <c r="UL357" s="1"/>
      <c r="UM357" s="1"/>
      <c r="UN357" s="1"/>
      <c r="UO357" s="1"/>
      <c r="UP357" s="1"/>
      <c r="UQ357" s="1"/>
      <c r="UR357" s="1"/>
      <c r="US357" s="1"/>
      <c r="UT357" s="1"/>
      <c r="UU357" s="1"/>
      <c r="UV357" s="1"/>
      <c r="UW357" s="1"/>
      <c r="UX357" s="1"/>
      <c r="UY357" s="1"/>
      <c r="UZ357" s="1"/>
      <c r="VA357" s="1"/>
      <c r="VB357" s="1"/>
      <c r="VC357" s="1"/>
      <c r="VD357" s="1"/>
      <c r="VE357" s="1"/>
      <c r="VF357" s="1"/>
      <c r="VG357" s="1"/>
      <c r="VH357" s="1"/>
      <c r="VI357" s="1"/>
      <c r="VJ357" s="1"/>
      <c r="VK357" s="1"/>
      <c r="VL357" s="1"/>
      <c r="VM357" s="1"/>
      <c r="VN357" s="1"/>
      <c r="VO357" s="1"/>
      <c r="VP357" s="1"/>
      <c r="VQ357" s="1"/>
      <c r="VR357" s="1"/>
      <c r="VS357" s="1"/>
      <c r="VT357" s="1"/>
      <c r="VU357" s="1"/>
      <c r="VV357" s="1"/>
      <c r="VW357" s="1"/>
      <c r="VX357" s="1"/>
      <c r="VY357" s="1"/>
      <c r="VZ357" s="1"/>
      <c r="WA357" s="1"/>
      <c r="WB357" s="1"/>
      <c r="WC357" s="1"/>
      <c r="WD357" s="1"/>
      <c r="WE357" s="1"/>
      <c r="WF357" s="1"/>
      <c r="WG357" s="1"/>
      <c r="WH357" s="1"/>
      <c r="WI357" s="1"/>
      <c r="WJ357" s="1"/>
      <c r="WK357" s="1"/>
      <c r="WL357" s="1"/>
      <c r="WM357" s="1"/>
      <c r="WN357" s="1"/>
      <c r="WO357" s="1"/>
      <c r="WP357" s="1"/>
      <c r="WQ357" s="1"/>
      <c r="WR357" s="1"/>
      <c r="WS357" s="1"/>
      <c r="WT357" s="1"/>
      <c r="WU357" s="1"/>
      <c r="WV357" s="1"/>
      <c r="WW357" s="1"/>
      <c r="WX357" s="1"/>
      <c r="WY357" s="1"/>
      <c r="WZ357" s="1"/>
      <c r="XA357" s="1"/>
      <c r="XB357" s="1"/>
      <c r="XC357" s="1"/>
      <c r="XD357" s="1"/>
      <c r="XE357" s="1"/>
      <c r="XF357" s="1"/>
      <c r="XG357" s="1"/>
      <c r="XH357" s="1"/>
      <c r="XI357" s="1"/>
      <c r="XJ357" s="1"/>
      <c r="XK357" s="1"/>
      <c r="XL357" s="1"/>
      <c r="XM357" s="1"/>
      <c r="XN357" s="1"/>
      <c r="XO357" s="1"/>
      <c r="XP357" s="1"/>
      <c r="XQ357" s="1"/>
      <c r="XR357" s="1"/>
      <c r="XS357" s="1"/>
      <c r="XT357" s="1"/>
      <c r="XU357" s="1"/>
      <c r="XV357" s="1"/>
      <c r="XW357" s="1"/>
      <c r="XX357" s="1"/>
      <c r="XY357" s="1"/>
      <c r="XZ357" s="1"/>
      <c r="YA357" s="1"/>
      <c r="YB357" s="1"/>
      <c r="YC357" s="1"/>
      <c r="YD357" s="1"/>
      <c r="YE357" s="1"/>
      <c r="YF357" s="1"/>
      <c r="YG357" s="1"/>
      <c r="YH357" s="1"/>
      <c r="YI357" s="1"/>
      <c r="YJ357" s="1"/>
      <c r="YK357" s="1"/>
      <c r="YL357" s="1"/>
      <c r="YM357" s="1"/>
      <c r="YN357" s="1"/>
      <c r="YO357" s="1"/>
      <c r="YP357" s="1"/>
      <c r="YQ357" s="1"/>
      <c r="YR357" s="1"/>
      <c r="YS357" s="1"/>
      <c r="YT357" s="1"/>
      <c r="YU357" s="1"/>
      <c r="YV357" s="1"/>
      <c r="YW357" s="1"/>
      <c r="YX357" s="1"/>
      <c r="YY357" s="1"/>
      <c r="YZ357" s="1"/>
      <c r="ZA357" s="1"/>
      <c r="ZB357" s="1"/>
      <c r="ZC357" s="1"/>
      <c r="ZD357" s="1"/>
      <c r="ZE357" s="1"/>
      <c r="ZF357" s="1"/>
      <c r="ZG357" s="1"/>
      <c r="ZH357" s="1"/>
      <c r="ZI357" s="1"/>
      <c r="ZJ357" s="1"/>
      <c r="ZK357" s="1"/>
      <c r="ZL357" s="1"/>
      <c r="ZM357" s="1"/>
      <c r="ZN357" s="1"/>
      <c r="ZO357" s="1"/>
      <c r="ZP357" s="1"/>
      <c r="ZQ357" s="1"/>
      <c r="ZR357" s="1"/>
      <c r="ZS357" s="1"/>
      <c r="ZT357" s="1"/>
      <c r="ZU357" s="1"/>
      <c r="ZV357" s="1"/>
      <c r="ZW357" s="1"/>
      <c r="ZX357" s="1"/>
      <c r="ZY357" s="1"/>
      <c r="ZZ357" s="1"/>
      <c r="AAA357" s="1"/>
      <c r="AAB357" s="1"/>
      <c r="AAC357" s="1"/>
      <c r="AAD357" s="1"/>
      <c r="AAE357" s="1"/>
      <c r="AAF357" s="1"/>
      <c r="AAG357" s="1"/>
      <c r="AAH357" s="1"/>
      <c r="AAI357" s="1"/>
      <c r="AAJ357" s="1"/>
      <c r="AAK357" s="1"/>
      <c r="AAL357" s="1"/>
      <c r="AAM357" s="1"/>
      <c r="AAN357" s="1"/>
      <c r="AAO357" s="1"/>
      <c r="AAP357" s="1"/>
      <c r="AAQ357" s="1"/>
      <c r="AAR357" s="1"/>
      <c r="AAS357" s="1"/>
      <c r="AAT357" s="1"/>
      <c r="AAU357" s="1"/>
      <c r="AAV357" s="1"/>
      <c r="AAW357" s="1"/>
      <c r="AAX357" s="1"/>
      <c r="AAY357" s="1"/>
      <c r="AAZ357" s="1"/>
      <c r="ABA357" s="1"/>
      <c r="ABB357" s="1"/>
      <c r="ABC357" s="1"/>
      <c r="ABD357" s="1"/>
      <c r="ABE357" s="1"/>
      <c r="ABF357" s="1"/>
      <c r="ABG357" s="1"/>
      <c r="ABH357" s="1"/>
      <c r="ABI357" s="1"/>
      <c r="ABJ357" s="1"/>
      <c r="ABK357" s="1"/>
      <c r="ABL357" s="1"/>
      <c r="ABM357" s="1"/>
      <c r="ABN357" s="1"/>
      <c r="ABO357" s="1"/>
      <c r="ABP357" s="1"/>
      <c r="ABQ357" s="1"/>
      <c r="ABR357" s="1"/>
      <c r="ABS357" s="1"/>
      <c r="ABT357" s="1"/>
      <c r="ABU357" s="1"/>
      <c r="ABV357" s="1"/>
      <c r="ABW357" s="1"/>
      <c r="ABX357" s="1"/>
      <c r="ABY357" s="1"/>
      <c r="ABZ357" s="1"/>
      <c r="ACA357" s="1"/>
      <c r="ACB357" s="1"/>
      <c r="ACC357" s="1"/>
      <c r="ACD357" s="1"/>
      <c r="ACE357" s="1"/>
      <c r="ACF357" s="1"/>
      <c r="ACG357" s="1"/>
      <c r="ACH357" s="1"/>
      <c r="ACI357" s="1"/>
      <c r="ACJ357" s="1"/>
      <c r="ACK357" s="1"/>
      <c r="ACL357" s="1"/>
      <c r="ACM357" s="1"/>
      <c r="ACN357" s="1"/>
      <c r="ACO357" s="1"/>
      <c r="ACP357" s="1"/>
      <c r="ACQ357" s="1"/>
      <c r="ACR357" s="1"/>
      <c r="ACS357" s="1"/>
      <c r="ACT357" s="1"/>
      <c r="ACU357" s="1"/>
      <c r="ACV357" s="1"/>
      <c r="ACW357" s="1"/>
      <c r="ACX357" s="1"/>
      <c r="ACY357" s="1"/>
      <c r="ACZ357" s="1"/>
      <c r="ADA357" s="1"/>
      <c r="ADB357" s="1"/>
      <c r="ADC357" s="1"/>
      <c r="ADD357" s="1"/>
      <c r="ADE357" s="1"/>
      <c r="ADF357" s="1"/>
      <c r="ADG357" s="1"/>
      <c r="ADH357" s="1"/>
      <c r="ADI357" s="1"/>
      <c r="ADJ357" s="1"/>
      <c r="ADK357" s="1"/>
      <c r="ADL357" s="1"/>
      <c r="ADM357" s="1"/>
      <c r="ADN357" s="1"/>
      <c r="ADO357" s="1"/>
      <c r="ADP357" s="1"/>
      <c r="ADQ357" s="1"/>
      <c r="ADR357" s="1"/>
      <c r="ADS357" s="1"/>
      <c r="ADT357" s="1"/>
      <c r="ADU357" s="1"/>
      <c r="ADV357" s="1"/>
      <c r="ADW357" s="1"/>
      <c r="ADX357" s="1"/>
      <c r="ADY357" s="1"/>
      <c r="ADZ357" s="1"/>
      <c r="AEA357" s="1"/>
      <c r="AEB357" s="1"/>
      <c r="AEC357" s="1"/>
      <c r="AED357" s="1"/>
      <c r="AEE357" s="1"/>
      <c r="AEF357" s="1"/>
      <c r="AEG357" s="1"/>
      <c r="AEH357" s="1"/>
      <c r="AEI357" s="1"/>
      <c r="AEJ357" s="1"/>
      <c r="AEK357" s="1"/>
      <c r="AEL357" s="1"/>
      <c r="AEM357" s="1"/>
      <c r="AEN357" s="1"/>
      <c r="AEO357" s="1"/>
      <c r="AEP357" s="1"/>
      <c r="AEQ357" s="1"/>
      <c r="AER357" s="1"/>
      <c r="AES357" s="1"/>
      <c r="AET357" s="1"/>
      <c r="AEU357" s="1"/>
      <c r="AEV357" s="1"/>
      <c r="AEW357" s="1"/>
      <c r="AEX357" s="1"/>
      <c r="AEY357" s="1"/>
      <c r="AEZ357" s="1"/>
      <c r="AFA357" s="1"/>
      <c r="AFB357" s="1"/>
      <c r="AFC357" s="1"/>
      <c r="AFD357" s="1"/>
      <c r="AFE357" s="1"/>
      <c r="AFF357" s="1"/>
      <c r="AFG357" s="1"/>
      <c r="AFH357" s="1"/>
      <c r="AFI357" s="1"/>
      <c r="AFJ357" s="1"/>
      <c r="AFK357" s="1"/>
      <c r="AFL357" s="1"/>
      <c r="AFM357" s="1"/>
      <c r="AFN357" s="1"/>
      <c r="AFO357" s="1"/>
      <c r="AFP357" s="1"/>
      <c r="AFQ357" s="1"/>
      <c r="AFR357" s="1"/>
      <c r="AFS357" s="1"/>
      <c r="AFT357" s="1"/>
      <c r="AFU357" s="1"/>
      <c r="AFV357" s="1"/>
      <c r="AFW357" s="1"/>
      <c r="AFX357" s="1"/>
      <c r="AFY357" s="1"/>
      <c r="AFZ357" s="1"/>
      <c r="AGA357" s="1"/>
      <c r="AGB357" s="1"/>
      <c r="AGC357" s="1"/>
      <c r="AGD357" s="1"/>
      <c r="AGE357" s="1"/>
      <c r="AGF357" s="1"/>
      <c r="AGG357" s="1"/>
      <c r="AGH357" s="1"/>
      <c r="AGI357" s="1"/>
      <c r="AGJ357" s="1"/>
      <c r="AGK357" s="1"/>
      <c r="AGL357" s="1"/>
      <c r="AGM357" s="1"/>
      <c r="AGN357" s="1"/>
      <c r="AGO357" s="1"/>
      <c r="AGP357" s="1"/>
      <c r="AGQ357" s="1"/>
      <c r="AGR357" s="1"/>
      <c r="AGS357" s="1"/>
      <c r="AGT357" s="1"/>
      <c r="AGU357" s="1"/>
      <c r="AGV357" s="1"/>
      <c r="AGW357" s="1"/>
      <c r="AGX357" s="1"/>
      <c r="AGY357" s="1"/>
      <c r="AGZ357" s="1"/>
      <c r="AHA357" s="1"/>
      <c r="AHB357" s="1"/>
      <c r="AHC357" s="1"/>
      <c r="AHD357" s="1"/>
      <c r="AHE357" s="1"/>
      <c r="AHF357" s="1"/>
      <c r="AHG357" s="1"/>
      <c r="AHH357" s="1"/>
      <c r="AHI357" s="1"/>
      <c r="AHJ357" s="1"/>
      <c r="AHK357" s="1"/>
      <c r="AHL357" s="1"/>
      <c r="AHM357" s="1"/>
      <c r="AHN357" s="1"/>
      <c r="AHO357" s="1"/>
      <c r="AHP357" s="1"/>
      <c r="AHQ357" s="1"/>
      <c r="AHR357" s="1"/>
      <c r="AHS357" s="1"/>
      <c r="AHT357" s="1"/>
      <c r="AHU357" s="1"/>
      <c r="AHV357" s="1"/>
      <c r="AHW357" s="1"/>
      <c r="AHX357" s="1"/>
      <c r="AHY357" s="1"/>
      <c r="AHZ357" s="1"/>
      <c r="AIA357" s="1"/>
      <c r="AIB357" s="1"/>
      <c r="AIC357" s="1"/>
      <c r="AID357" s="1"/>
      <c r="AIE357" s="1"/>
      <c r="AIF357" s="1"/>
      <c r="AIG357" s="1"/>
      <c r="AIH357" s="1"/>
      <c r="AII357" s="1"/>
      <c r="AIJ357" s="1"/>
      <c r="AIK357" s="1"/>
      <c r="AIL357" s="1"/>
      <c r="AIM357" s="1"/>
      <c r="AIN357" s="1"/>
      <c r="AIO357" s="1"/>
      <c r="AIP357" s="1"/>
      <c r="AIQ357" s="1"/>
      <c r="AIR357" s="1"/>
      <c r="AIS357" s="1"/>
      <c r="AIT357" s="1"/>
      <c r="AIU357" s="1"/>
      <c r="AIV357" s="1"/>
      <c r="AIW357" s="1"/>
      <c r="AIX357" s="1"/>
      <c r="AIY357" s="1"/>
      <c r="AIZ357" s="1"/>
      <c r="AJA357" s="1"/>
      <c r="AJB357" s="1"/>
      <c r="AJC357" s="1"/>
      <c r="AJD357" s="1"/>
      <c r="AJE357" s="1"/>
      <c r="AJF357" s="1"/>
      <c r="AJG357" s="1"/>
      <c r="AJH357" s="1"/>
      <c r="AJI357" s="1"/>
      <c r="AJJ357" s="1"/>
      <c r="AJK357" s="1"/>
      <c r="AJL357" s="1"/>
      <c r="AJM357" s="1"/>
      <c r="AJN357" s="1"/>
      <c r="AJO357" s="1"/>
      <c r="AJP357" s="1"/>
      <c r="AJQ357" s="1"/>
      <c r="AJR357" s="1"/>
      <c r="AJS357" s="1"/>
      <c r="AJT357" s="1"/>
      <c r="AJU357" s="1"/>
      <c r="AJV357" s="1"/>
      <c r="AJW357" s="1"/>
      <c r="AJX357" s="1"/>
      <c r="AJY357" s="1"/>
      <c r="AJZ357" s="1"/>
      <c r="AKA357" s="1"/>
      <c r="AKB357" s="1"/>
      <c r="AKC357" s="1"/>
      <c r="AKD357" s="1"/>
      <c r="AKE357" s="1"/>
      <c r="AKF357" s="1"/>
      <c r="AKG357" s="1"/>
      <c r="AKH357" s="1"/>
      <c r="AKI357" s="1"/>
      <c r="AKJ357" s="1"/>
      <c r="AKK357" s="1"/>
      <c r="AKL357" s="1"/>
      <c r="AKM357" s="1"/>
      <c r="AKN357" s="1"/>
      <c r="AKO357" s="1"/>
      <c r="AKP357" s="1"/>
      <c r="AKQ357" s="1"/>
      <c r="AKR357" s="1"/>
      <c r="AKS357" s="1"/>
      <c r="AKT357" s="1"/>
      <c r="AKU357" s="1"/>
      <c r="AKV357" s="1"/>
      <c r="AKW357" s="1"/>
      <c r="AKX357" s="1"/>
      <c r="AKY357" s="1"/>
      <c r="AKZ357" s="1"/>
      <c r="ALA357" s="1"/>
      <c r="ALB357" s="1"/>
      <c r="ALC357" s="1"/>
      <c r="ALD357" s="1"/>
      <c r="ALE357" s="1"/>
      <c r="ALF357" s="1"/>
      <c r="ALG357" s="1"/>
      <c r="ALH357" s="1"/>
      <c r="ALI357" s="1"/>
      <c r="ALJ357" s="1"/>
      <c r="ALK357" s="1"/>
      <c r="ALL357" s="1"/>
      <c r="ALM357" s="1"/>
      <c r="ALN357" s="1"/>
      <c r="ALO357" s="1"/>
      <c r="ALP357" s="1"/>
      <c r="ALQ357" s="1"/>
      <c r="ALR357" s="1"/>
      <c r="ALS357" s="1"/>
      <c r="ALT357" s="1"/>
      <c r="ALU357" s="1"/>
      <c r="ALV357" s="1"/>
      <c r="ALW357" s="1"/>
      <c r="ALX357" s="1"/>
      <c r="ALY357" s="1"/>
      <c r="ALZ357" s="1"/>
      <c r="AMA357" s="1"/>
      <c r="AMB357" s="1"/>
      <c r="AMC357" s="1"/>
      <c r="AMD357" s="1"/>
      <c r="AME357" s="1"/>
      <c r="AMF357" s="1"/>
      <c r="AMG357" s="1"/>
      <c r="AMH357" s="1"/>
      <c r="AMI357" s="1"/>
      <c r="AMJ357" s="1"/>
      <c r="AMK357" s="1"/>
      <c r="AML357" s="1"/>
      <c r="AMM357" s="1"/>
      <c r="AMN357" s="1"/>
      <c r="AMO357" s="1"/>
    </row>
    <row r="358" spans="1:1029" x14ac:dyDescent="0.2">
      <c r="A358" s="3" t="str">
        <f>CONCATENATE(B358,"_",C358)</f>
        <v>par1_human__wt</v>
      </c>
      <c r="B358" s="3" t="s">
        <v>354</v>
      </c>
      <c r="C358" s="3" t="s">
        <v>100</v>
      </c>
      <c r="D358" s="3" t="str">
        <f>IFERROR(MID(VLOOKUP($B358,Seqs!$A:$B,2,0),E358,1),"")</f>
        <v>S</v>
      </c>
      <c r="E358" s="3">
        <v>99</v>
      </c>
      <c r="F358" s="3" t="str">
        <f>IFERROR(MID(VLOOKUP($B358,Seqs!$A:$B,2,0),G358,1),"")</f>
        <v>K</v>
      </c>
      <c r="G358" s="3">
        <v>130</v>
      </c>
      <c r="H358" s="3" t="str">
        <f>IFERROR(MID(VLOOKUP($B358,Seqs!$A:$B,2,0),I358,1),"")</f>
        <v>M</v>
      </c>
      <c r="I358" s="23">
        <v>131</v>
      </c>
      <c r="J358" s="3" t="str">
        <f>IFERROR(MID(VLOOKUP($B358,Seqs!$A:$B,2,0),K358,1),"")</f>
        <v>K</v>
      </c>
      <c r="K358" s="23">
        <v>134</v>
      </c>
      <c r="L358" s="3" t="str">
        <f>IFERROR(MID(VLOOKUP($B358,Seqs!$A:$B,2,0),M358,1),"")</f>
        <v>K</v>
      </c>
      <c r="M358" s="3">
        <v>135</v>
      </c>
      <c r="N358" s="3" t="str">
        <f>IFERROR(MID(VLOOKUP($B358,Seqs!$A:$B,2,0),O358,1),"")</f>
        <v>S</v>
      </c>
      <c r="O358" s="3">
        <v>164</v>
      </c>
      <c r="P358" s="3" t="str">
        <f>IFERROR(MID(VLOOKUP($B358,Seqs!$A:$B,2,0),Q358,1),"")</f>
        <v>D</v>
      </c>
      <c r="Q358" s="3">
        <v>167</v>
      </c>
      <c r="R358" s="3" t="str">
        <f>IFERROR(MID(VLOOKUP($B358,Seqs!$A:$B,2,0),S358,1),"")</f>
        <v>F</v>
      </c>
      <c r="S358" s="3">
        <v>170</v>
      </c>
      <c r="T358" s="3" t="str">
        <f>IFERROR(MID(VLOOKUP($B358,Seqs!$A:$B,2,0),U358,1),"")</f>
        <v>G</v>
      </c>
      <c r="U358" s="3">
        <v>171</v>
      </c>
      <c r="V358" s="3" t="str">
        <f>IFERROR(MID(VLOOKUP($B358,Seqs!$A:$B,2,0),W358,1),"")</f>
        <v>Y</v>
      </c>
      <c r="W358" s="3">
        <v>206</v>
      </c>
      <c r="X358" s="3" t="str">
        <f>IFERROR(MID(VLOOKUP($B358,Seqs!$A:$B,2,0),Y358,1),"")</f>
        <v>P</v>
      </c>
      <c r="Y358" s="3">
        <v>207</v>
      </c>
      <c r="Z358" s="3" t="str">
        <f>IFERROR(MID(VLOOKUP($B358,Seqs!$A:$B,2,0),AA358,1),"")</f>
        <v>R</v>
      </c>
      <c r="AA358" s="3">
        <v>214</v>
      </c>
      <c r="AB358" s="3" t="str">
        <f>IFERROR(MID(VLOOKUP($B358,Seqs!$A:$B,2,0),AC358,1),"")</f>
        <v>T</v>
      </c>
      <c r="AC358" s="9">
        <v>215</v>
      </c>
      <c r="AD358" s="3" t="str">
        <f>IFERROR(MID(VLOOKUP($B358,Seqs!$A:$B,2,0),AE358,1),"")</f>
        <v>K</v>
      </c>
      <c r="AE358" s="3">
        <v>240</v>
      </c>
      <c r="AF358" s="3" t="str">
        <f>IFERROR(MID(VLOOKUP($B358,Seqs!$A:$B,2,0),AG358,1),"")</f>
        <v>C</v>
      </c>
      <c r="AG358" s="3">
        <v>254</v>
      </c>
      <c r="AH358" s="3" t="str">
        <f>IFERROR(MID(VLOOKUP($B358,Seqs!$A:$B,2,0),AI358,1),"")</f>
        <v>D</v>
      </c>
      <c r="AI358" s="3">
        <v>256</v>
      </c>
      <c r="AJ358" s="3" t="str">
        <f>IFERROR(MID(VLOOKUP($B358,Seqs!$A:$B,2,0),AK358,1),"")</f>
        <v>E</v>
      </c>
      <c r="AK358" s="3">
        <v>264</v>
      </c>
      <c r="AL358" s="3" t="str">
        <f>IFERROR(MID(VLOOKUP($B358,Seqs!$A:$B,2,0),AM358,1),"")</f>
        <v>S</v>
      </c>
      <c r="AM358" s="3">
        <v>299</v>
      </c>
      <c r="AN358" s="3" t="str">
        <f>IFERROR(MID(VLOOKUP($B358,Seqs!$A:$B,2,0),AO358,1),"")</f>
        <v>N</v>
      </c>
      <c r="AO358" s="3">
        <v>304</v>
      </c>
      <c r="AP358" s="3" t="str">
        <f>IFERROR(MID(VLOOKUP($B358,Seqs!$A:$B,2,0),AQ358,1),"")</f>
        <v>L</v>
      </c>
      <c r="AQ358" s="3">
        <v>340</v>
      </c>
      <c r="AR358" s="3" t="str">
        <f>IFERROR(MID(VLOOKUP($B358,Seqs!$A:$B,2,0),AS358,1),"")</f>
        <v>T</v>
      </c>
      <c r="AS358" s="3">
        <v>346</v>
      </c>
      <c r="AT358" s="3" t="str">
        <f>IFERROR(MID(VLOOKUP($B358,Seqs!$A:$B,2,0),AU358,1),"")</f>
        <v>A</v>
      </c>
      <c r="AU358" s="3">
        <v>374</v>
      </c>
      <c r="AV358" s="3" t="str">
        <f>IFERROR(MID(VLOOKUP($B358,Seqs!$A:$B,2,0),AW358,1),"")</f>
        <v>S</v>
      </c>
      <c r="AW358" s="3">
        <v>375</v>
      </c>
      <c r="AX358" s="3" t="str">
        <f>IFERROR(MID(VLOOKUP($B358,Seqs!$A:$B,2,0),AY358,1),"")</f>
        <v>K</v>
      </c>
      <c r="AY358" s="3">
        <v>389</v>
      </c>
      <c r="AZ358" s="77" t="str">
        <f>VLOOKUP(B358,Classification!A:D,2,0)</f>
        <v>A</v>
      </c>
      <c r="BA358" s="94" t="str">
        <f>VLOOKUP(B358,Classification!A:D,4,0)</f>
        <v>Proteinase-activated</v>
      </c>
      <c r="BB358" s="27" t="b">
        <f t="shared" si="1114"/>
        <v>1</v>
      </c>
      <c r="BC358" s="23">
        <f t="shared" si="1113"/>
        <v>260</v>
      </c>
      <c r="BD358" s="56" t="s">
        <v>23</v>
      </c>
      <c r="BE358" s="3" t="s">
        <v>23</v>
      </c>
      <c r="BF358" s="118" t="s">
        <v>23</v>
      </c>
      <c r="BG358" s="49" t="s">
        <v>1366</v>
      </c>
      <c r="BH358" s="49" t="s">
        <v>1371</v>
      </c>
      <c r="BI358" s="1"/>
      <c r="BJ358" s="70" t="s">
        <v>1281</v>
      </c>
      <c r="BK358" s="57" t="s">
        <v>1281</v>
      </c>
      <c r="BL358" s="57" t="s">
        <v>1281</v>
      </c>
      <c r="BM358" s="57" t="s">
        <v>1281</v>
      </c>
      <c r="BN358" s="57" t="s">
        <v>1281</v>
      </c>
      <c r="BO358" s="57" t="s">
        <v>1281</v>
      </c>
      <c r="BP358" s="57" t="s">
        <v>1281</v>
      </c>
      <c r="BQ358" s="57" t="s">
        <v>1281</v>
      </c>
      <c r="BR358" s="57" t="s">
        <v>1281</v>
      </c>
      <c r="BS358" s="57" t="s">
        <v>1281</v>
      </c>
      <c r="BT358" s="57" t="s">
        <v>1281</v>
      </c>
      <c r="BU358" s="57" t="s">
        <v>1281</v>
      </c>
      <c r="BV358" s="70">
        <f>E358</f>
        <v>99</v>
      </c>
      <c r="BW358" s="71">
        <f>I358</f>
        <v>131</v>
      </c>
      <c r="BX358" s="72">
        <f>M358</f>
        <v>135</v>
      </c>
      <c r="BY358" s="71">
        <f>Q358</f>
        <v>167</v>
      </c>
      <c r="BZ358" s="72">
        <f>U358</f>
        <v>171</v>
      </c>
      <c r="CA358" s="71">
        <f>Y358</f>
        <v>207</v>
      </c>
      <c r="CB358" s="72">
        <f>AC358</f>
        <v>215</v>
      </c>
      <c r="CC358" s="71">
        <f>AG358</f>
        <v>254</v>
      </c>
      <c r="CD358" s="72">
        <f>AK358</f>
        <v>264</v>
      </c>
      <c r="CE358" s="71">
        <f>AO358</f>
        <v>304</v>
      </c>
      <c r="CF358" s="72">
        <f>AS358</f>
        <v>346</v>
      </c>
      <c r="CG358" s="71">
        <f>AW358</f>
        <v>375</v>
      </c>
      <c r="CH358" s="70">
        <f>G358</f>
        <v>130</v>
      </c>
      <c r="CI358" s="71">
        <f>K358</f>
        <v>134</v>
      </c>
      <c r="CJ358" s="72">
        <f>O358</f>
        <v>164</v>
      </c>
      <c r="CK358" s="72">
        <f>S358</f>
        <v>170</v>
      </c>
      <c r="CL358" s="72">
        <f>W358</f>
        <v>206</v>
      </c>
      <c r="CM358" s="72">
        <f>AA358</f>
        <v>214</v>
      </c>
      <c r="CN358" s="72">
        <f>AE358</f>
        <v>240</v>
      </c>
      <c r="CO358" s="72">
        <f>AI358</f>
        <v>256</v>
      </c>
      <c r="CP358" s="72">
        <f>AM358</f>
        <v>299</v>
      </c>
      <c r="CQ358" s="72">
        <f>AQ358</f>
        <v>340</v>
      </c>
      <c r="CR358" s="72">
        <f>AU358</f>
        <v>374</v>
      </c>
      <c r="CS358" s="72">
        <f>AY358</f>
        <v>389</v>
      </c>
      <c r="CT358" s="23">
        <f>M358-K358</f>
        <v>1</v>
      </c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U358" s="1"/>
      <c r="OV358" s="1"/>
      <c r="OW358" s="1"/>
      <c r="OX358" s="1"/>
      <c r="OY358" s="1"/>
      <c r="OZ358" s="1"/>
      <c r="PA358" s="1"/>
      <c r="PB358" s="1"/>
      <c r="PC358" s="1"/>
      <c r="PD358" s="1"/>
      <c r="PE358" s="1"/>
      <c r="PF358" s="1"/>
      <c r="PG358" s="1"/>
      <c r="PH358" s="1"/>
      <c r="PI358" s="1"/>
      <c r="PJ358" s="1"/>
      <c r="PK358" s="1"/>
      <c r="PL358" s="1"/>
      <c r="PM358" s="1"/>
      <c r="PN358" s="1"/>
      <c r="PO358" s="1"/>
      <c r="PP358" s="1"/>
      <c r="PQ358" s="1"/>
      <c r="PR358" s="1"/>
      <c r="PS358" s="1"/>
      <c r="PT358" s="1"/>
      <c r="PU358" s="1"/>
      <c r="PV358" s="1"/>
      <c r="PW358" s="1"/>
      <c r="PX358" s="1"/>
      <c r="PY358" s="1"/>
      <c r="PZ358" s="1"/>
      <c r="QA358" s="1"/>
      <c r="QB358" s="1"/>
      <c r="QC358" s="1"/>
      <c r="QD358" s="1"/>
      <c r="QE358" s="1"/>
      <c r="QF358" s="1"/>
      <c r="QG358" s="1"/>
      <c r="QH358" s="1"/>
      <c r="QI358" s="1"/>
      <c r="QJ358" s="1"/>
      <c r="QK358" s="1"/>
      <c r="QL358" s="1"/>
      <c r="QM358" s="1"/>
      <c r="QN358" s="1"/>
      <c r="QO358" s="1"/>
      <c r="QP358" s="1"/>
      <c r="QQ358" s="1"/>
      <c r="QR358" s="1"/>
      <c r="QS358" s="1"/>
      <c r="QT358" s="1"/>
      <c r="QU358" s="1"/>
      <c r="QV358" s="1"/>
      <c r="QW358" s="1"/>
      <c r="QX358" s="1"/>
      <c r="QY358" s="1"/>
      <c r="QZ358" s="1"/>
      <c r="RA358" s="1"/>
      <c r="RB358" s="1"/>
      <c r="RC358" s="1"/>
      <c r="RD358" s="1"/>
      <c r="RE358" s="1"/>
      <c r="RF358" s="1"/>
      <c r="RG358" s="1"/>
      <c r="RH358" s="1"/>
      <c r="RI358" s="1"/>
      <c r="RJ358" s="1"/>
      <c r="RK358" s="1"/>
      <c r="RL358" s="1"/>
      <c r="RM358" s="1"/>
      <c r="RN358" s="1"/>
      <c r="RO358" s="1"/>
      <c r="RP358" s="1"/>
      <c r="RQ358" s="1"/>
      <c r="RR358" s="1"/>
      <c r="RS358" s="1"/>
      <c r="RT358" s="1"/>
      <c r="RU358" s="1"/>
      <c r="RV358" s="1"/>
      <c r="RW358" s="1"/>
      <c r="RX358" s="1"/>
      <c r="RY358" s="1"/>
      <c r="RZ358" s="1"/>
      <c r="SA358" s="1"/>
      <c r="SB358" s="1"/>
      <c r="SC358" s="1"/>
      <c r="SD358" s="1"/>
      <c r="SE358" s="1"/>
      <c r="SF358" s="1"/>
      <c r="SG358" s="1"/>
      <c r="SH358" s="1"/>
      <c r="SI358" s="1"/>
      <c r="SJ358" s="1"/>
      <c r="SK358" s="1"/>
      <c r="SL358" s="1"/>
      <c r="SM358" s="1"/>
      <c r="SN358" s="1"/>
      <c r="SO358" s="1"/>
      <c r="SP358" s="1"/>
      <c r="SQ358" s="1"/>
      <c r="SR358" s="1"/>
      <c r="SS358" s="1"/>
      <c r="ST358" s="1"/>
      <c r="SU358" s="1"/>
      <c r="SV358" s="1"/>
      <c r="SW358" s="1"/>
      <c r="SX358" s="1"/>
      <c r="SY358" s="1"/>
      <c r="SZ358" s="1"/>
      <c r="TA358" s="1"/>
      <c r="TB358" s="1"/>
      <c r="TC358" s="1"/>
      <c r="TD358" s="1"/>
      <c r="TE358" s="1"/>
      <c r="TF358" s="1"/>
      <c r="TG358" s="1"/>
      <c r="TH358" s="1"/>
      <c r="TI358" s="1"/>
      <c r="TJ358" s="1"/>
      <c r="TK358" s="1"/>
      <c r="TL358" s="1"/>
      <c r="TM358" s="1"/>
      <c r="TN358" s="1"/>
      <c r="TO358" s="1"/>
      <c r="TP358" s="1"/>
      <c r="TQ358" s="1"/>
      <c r="TR358" s="1"/>
      <c r="TS358" s="1"/>
      <c r="TT358" s="1"/>
      <c r="TU358" s="1"/>
      <c r="TV358" s="1"/>
      <c r="TW358" s="1"/>
      <c r="TX358" s="1"/>
      <c r="TY358" s="1"/>
      <c r="TZ358" s="1"/>
      <c r="UA358" s="1"/>
      <c r="UB358" s="1"/>
      <c r="UC358" s="1"/>
      <c r="UD358" s="1"/>
      <c r="UE358" s="1"/>
      <c r="UF358" s="1"/>
      <c r="UG358" s="1"/>
      <c r="UH358" s="1"/>
      <c r="UI358" s="1"/>
      <c r="UJ358" s="1"/>
      <c r="UK358" s="1"/>
      <c r="UL358" s="1"/>
      <c r="UM358" s="1"/>
      <c r="UN358" s="1"/>
      <c r="UO358" s="1"/>
      <c r="UP358" s="1"/>
      <c r="UQ358" s="1"/>
      <c r="UR358" s="1"/>
      <c r="US358" s="1"/>
      <c r="UT358" s="1"/>
      <c r="UU358" s="1"/>
      <c r="UV358" s="1"/>
      <c r="UW358" s="1"/>
      <c r="UX358" s="1"/>
      <c r="UY358" s="1"/>
      <c r="UZ358" s="1"/>
      <c r="VA358" s="1"/>
      <c r="VB358" s="1"/>
      <c r="VC358" s="1"/>
      <c r="VD358" s="1"/>
      <c r="VE358" s="1"/>
      <c r="VF358" s="1"/>
      <c r="VG358" s="1"/>
      <c r="VH358" s="1"/>
      <c r="VI358" s="1"/>
      <c r="VJ358" s="1"/>
      <c r="VK358" s="1"/>
      <c r="VL358" s="1"/>
      <c r="VM358" s="1"/>
      <c r="VN358" s="1"/>
      <c r="VO358" s="1"/>
      <c r="VP358" s="1"/>
      <c r="VQ358" s="1"/>
      <c r="VR358" s="1"/>
      <c r="VS358" s="1"/>
      <c r="VT358" s="1"/>
      <c r="VU358" s="1"/>
      <c r="VV358" s="1"/>
      <c r="VW358" s="1"/>
      <c r="VX358" s="1"/>
      <c r="VY358" s="1"/>
      <c r="VZ358" s="1"/>
      <c r="WA358" s="1"/>
      <c r="WB358" s="1"/>
      <c r="WC358" s="1"/>
      <c r="WD358" s="1"/>
      <c r="WE358" s="1"/>
      <c r="WF358" s="1"/>
      <c r="WG358" s="1"/>
      <c r="WH358" s="1"/>
      <c r="WI358" s="1"/>
      <c r="WJ358" s="1"/>
      <c r="WK358" s="1"/>
      <c r="WL358" s="1"/>
      <c r="WM358" s="1"/>
      <c r="WN358" s="1"/>
      <c r="WO358" s="1"/>
      <c r="WP358" s="1"/>
      <c r="WQ358" s="1"/>
      <c r="WR358" s="1"/>
      <c r="WS358" s="1"/>
      <c r="WT358" s="1"/>
      <c r="WU358" s="1"/>
      <c r="WV358" s="1"/>
      <c r="WW358" s="1"/>
      <c r="WX358" s="1"/>
      <c r="WY358" s="1"/>
      <c r="WZ358" s="1"/>
      <c r="XA358" s="1"/>
      <c r="XB358" s="1"/>
      <c r="XC358" s="1"/>
      <c r="XD358" s="1"/>
      <c r="XE358" s="1"/>
      <c r="XF358" s="1"/>
      <c r="XG358" s="1"/>
      <c r="XH358" s="1"/>
      <c r="XI358" s="1"/>
      <c r="XJ358" s="1"/>
      <c r="XK358" s="1"/>
      <c r="XL358" s="1"/>
      <c r="XM358" s="1"/>
      <c r="XN358" s="1"/>
      <c r="XO358" s="1"/>
      <c r="XP358" s="1"/>
      <c r="XQ358" s="1"/>
      <c r="XR358" s="1"/>
      <c r="XS358" s="1"/>
      <c r="XT358" s="1"/>
      <c r="XU358" s="1"/>
      <c r="XV358" s="1"/>
      <c r="XW358" s="1"/>
      <c r="XX358" s="1"/>
      <c r="XY358" s="1"/>
      <c r="XZ358" s="1"/>
      <c r="YA358" s="1"/>
      <c r="YB358" s="1"/>
      <c r="YC358" s="1"/>
      <c r="YD358" s="1"/>
      <c r="YE358" s="1"/>
      <c r="YF358" s="1"/>
      <c r="YG358" s="1"/>
      <c r="YH358" s="1"/>
      <c r="YI358" s="1"/>
      <c r="YJ358" s="1"/>
      <c r="YK358" s="1"/>
      <c r="YL358" s="1"/>
      <c r="YM358" s="1"/>
      <c r="YN358" s="1"/>
      <c r="YO358" s="1"/>
      <c r="YP358" s="1"/>
      <c r="YQ358" s="1"/>
      <c r="YR358" s="1"/>
      <c r="YS358" s="1"/>
      <c r="YT358" s="1"/>
      <c r="YU358" s="1"/>
      <c r="YV358" s="1"/>
      <c r="YW358" s="1"/>
      <c r="YX358" s="1"/>
      <c r="YY358" s="1"/>
      <c r="YZ358" s="1"/>
      <c r="ZA358" s="1"/>
      <c r="ZB358" s="1"/>
      <c r="ZC358" s="1"/>
      <c r="ZD358" s="1"/>
      <c r="ZE358" s="1"/>
      <c r="ZF358" s="1"/>
      <c r="ZG358" s="1"/>
      <c r="ZH358" s="1"/>
      <c r="ZI358" s="1"/>
      <c r="ZJ358" s="1"/>
      <c r="ZK358" s="1"/>
      <c r="ZL358" s="1"/>
      <c r="ZM358" s="1"/>
      <c r="ZN358" s="1"/>
      <c r="ZO358" s="1"/>
      <c r="ZP358" s="1"/>
      <c r="ZQ358" s="1"/>
      <c r="ZR358" s="1"/>
      <c r="ZS358" s="1"/>
      <c r="ZT358" s="1"/>
      <c r="ZU358" s="1"/>
      <c r="ZV358" s="1"/>
      <c r="ZW358" s="1"/>
      <c r="ZX358" s="1"/>
      <c r="ZY358" s="1"/>
      <c r="ZZ358" s="1"/>
      <c r="AAA358" s="1"/>
      <c r="AAB358" s="1"/>
      <c r="AAC358" s="1"/>
      <c r="AAD358" s="1"/>
      <c r="AAE358" s="1"/>
      <c r="AAF358" s="1"/>
      <c r="AAG358" s="1"/>
      <c r="AAH358" s="1"/>
      <c r="AAI358" s="1"/>
      <c r="AAJ358" s="1"/>
      <c r="AAK358" s="1"/>
      <c r="AAL358" s="1"/>
      <c r="AAM358" s="1"/>
      <c r="AAN358" s="1"/>
      <c r="AAO358" s="1"/>
      <c r="AAP358" s="1"/>
      <c r="AAQ358" s="1"/>
      <c r="AAR358" s="1"/>
      <c r="AAS358" s="1"/>
      <c r="AAT358" s="1"/>
      <c r="AAU358" s="1"/>
      <c r="AAV358" s="1"/>
      <c r="AAW358" s="1"/>
      <c r="AAX358" s="1"/>
      <c r="AAY358" s="1"/>
      <c r="AAZ358" s="1"/>
      <c r="ABA358" s="1"/>
      <c r="ABB358" s="1"/>
      <c r="ABC358" s="1"/>
      <c r="ABD358" s="1"/>
      <c r="ABE358" s="1"/>
      <c r="ABF358" s="1"/>
      <c r="ABG358" s="1"/>
      <c r="ABH358" s="1"/>
      <c r="ABI358" s="1"/>
      <c r="ABJ358" s="1"/>
      <c r="ABK358" s="1"/>
      <c r="ABL358" s="1"/>
      <c r="ABM358" s="1"/>
      <c r="ABN358" s="1"/>
      <c r="ABO358" s="1"/>
      <c r="ABP358" s="1"/>
      <c r="ABQ358" s="1"/>
      <c r="ABR358" s="1"/>
      <c r="ABS358" s="1"/>
      <c r="ABT358" s="1"/>
      <c r="ABU358" s="1"/>
      <c r="ABV358" s="1"/>
      <c r="ABW358" s="1"/>
      <c r="ABX358" s="1"/>
      <c r="ABY358" s="1"/>
      <c r="ABZ358" s="1"/>
      <c r="ACA358" s="1"/>
      <c r="ACB358" s="1"/>
      <c r="ACC358" s="1"/>
      <c r="ACD358" s="1"/>
      <c r="ACE358" s="1"/>
      <c r="ACF358" s="1"/>
      <c r="ACG358" s="1"/>
      <c r="ACH358" s="1"/>
      <c r="ACI358" s="1"/>
      <c r="ACJ358" s="1"/>
      <c r="ACK358" s="1"/>
      <c r="ACL358" s="1"/>
      <c r="ACM358" s="1"/>
      <c r="ACN358" s="1"/>
      <c r="ACO358" s="1"/>
      <c r="ACP358" s="1"/>
      <c r="ACQ358" s="1"/>
      <c r="ACR358" s="1"/>
      <c r="ACS358" s="1"/>
      <c r="ACT358" s="1"/>
      <c r="ACU358" s="1"/>
      <c r="ACV358" s="1"/>
      <c r="ACW358" s="1"/>
      <c r="ACX358" s="1"/>
      <c r="ACY358" s="1"/>
      <c r="ACZ358" s="1"/>
      <c r="ADA358" s="1"/>
      <c r="ADB358" s="1"/>
      <c r="ADC358" s="1"/>
      <c r="ADD358" s="1"/>
      <c r="ADE358" s="1"/>
      <c r="ADF358" s="1"/>
      <c r="ADG358" s="1"/>
      <c r="ADH358" s="1"/>
      <c r="ADI358" s="1"/>
      <c r="ADJ358" s="1"/>
      <c r="ADK358" s="1"/>
      <c r="ADL358" s="1"/>
      <c r="ADM358" s="1"/>
      <c r="ADN358" s="1"/>
      <c r="ADO358" s="1"/>
      <c r="ADP358" s="1"/>
      <c r="ADQ358" s="1"/>
      <c r="ADR358" s="1"/>
      <c r="ADS358" s="1"/>
      <c r="ADT358" s="1"/>
      <c r="ADU358" s="1"/>
      <c r="ADV358" s="1"/>
      <c r="ADW358" s="1"/>
      <c r="ADX358" s="1"/>
      <c r="ADY358" s="1"/>
      <c r="ADZ358" s="1"/>
      <c r="AEA358" s="1"/>
      <c r="AEB358" s="1"/>
      <c r="AEC358" s="1"/>
      <c r="AED358" s="1"/>
      <c r="AEE358" s="1"/>
      <c r="AEF358" s="1"/>
      <c r="AEG358" s="1"/>
      <c r="AEH358" s="1"/>
      <c r="AEI358" s="1"/>
      <c r="AEJ358" s="1"/>
      <c r="AEK358" s="1"/>
      <c r="AEL358" s="1"/>
      <c r="AEM358" s="1"/>
      <c r="AEN358" s="1"/>
      <c r="AEO358" s="1"/>
      <c r="AEP358" s="1"/>
      <c r="AEQ358" s="1"/>
      <c r="AER358" s="1"/>
      <c r="AES358" s="1"/>
      <c r="AET358" s="1"/>
      <c r="AEU358" s="1"/>
      <c r="AEV358" s="1"/>
      <c r="AEW358" s="1"/>
      <c r="AEX358" s="1"/>
      <c r="AEY358" s="1"/>
      <c r="AEZ358" s="1"/>
      <c r="AFA358" s="1"/>
      <c r="AFB358" s="1"/>
      <c r="AFC358" s="1"/>
      <c r="AFD358" s="1"/>
      <c r="AFE358" s="1"/>
      <c r="AFF358" s="1"/>
      <c r="AFG358" s="1"/>
      <c r="AFH358" s="1"/>
      <c r="AFI358" s="1"/>
      <c r="AFJ358" s="1"/>
      <c r="AFK358" s="1"/>
      <c r="AFL358" s="1"/>
      <c r="AFM358" s="1"/>
      <c r="AFN358" s="1"/>
      <c r="AFO358" s="1"/>
      <c r="AFP358" s="1"/>
      <c r="AFQ358" s="1"/>
      <c r="AFR358" s="1"/>
      <c r="AFS358" s="1"/>
      <c r="AFT358" s="1"/>
      <c r="AFU358" s="1"/>
      <c r="AFV358" s="1"/>
      <c r="AFW358" s="1"/>
      <c r="AFX358" s="1"/>
      <c r="AFY358" s="1"/>
      <c r="AFZ358" s="1"/>
      <c r="AGA358" s="1"/>
      <c r="AGB358" s="1"/>
      <c r="AGC358" s="1"/>
      <c r="AGD358" s="1"/>
      <c r="AGE358" s="1"/>
      <c r="AGF358" s="1"/>
      <c r="AGG358" s="1"/>
      <c r="AGH358" s="1"/>
      <c r="AGI358" s="1"/>
      <c r="AGJ358" s="1"/>
      <c r="AGK358" s="1"/>
      <c r="AGL358" s="1"/>
      <c r="AGM358" s="1"/>
      <c r="AGN358" s="1"/>
      <c r="AGO358" s="1"/>
      <c r="AGP358" s="1"/>
      <c r="AGQ358" s="1"/>
      <c r="AGR358" s="1"/>
      <c r="AGS358" s="1"/>
      <c r="AGT358" s="1"/>
      <c r="AGU358" s="1"/>
      <c r="AGV358" s="1"/>
      <c r="AGW358" s="1"/>
      <c r="AGX358" s="1"/>
      <c r="AGY358" s="1"/>
      <c r="AGZ358" s="1"/>
      <c r="AHA358" s="1"/>
      <c r="AHB358" s="1"/>
      <c r="AHC358" s="1"/>
      <c r="AHD358" s="1"/>
      <c r="AHE358" s="1"/>
      <c r="AHF358" s="1"/>
      <c r="AHG358" s="1"/>
      <c r="AHH358" s="1"/>
      <c r="AHI358" s="1"/>
      <c r="AHJ358" s="1"/>
      <c r="AHK358" s="1"/>
      <c r="AHL358" s="1"/>
      <c r="AHM358" s="1"/>
      <c r="AHN358" s="1"/>
      <c r="AHO358" s="1"/>
      <c r="AHP358" s="1"/>
      <c r="AHQ358" s="1"/>
      <c r="AHR358" s="1"/>
      <c r="AHS358" s="1"/>
      <c r="AHT358" s="1"/>
      <c r="AHU358" s="1"/>
      <c r="AHV358" s="1"/>
      <c r="AHW358" s="1"/>
      <c r="AHX358" s="1"/>
      <c r="AHY358" s="1"/>
      <c r="AHZ358" s="1"/>
      <c r="AIA358" s="1"/>
      <c r="AIB358" s="1"/>
      <c r="AIC358" s="1"/>
      <c r="AID358" s="1"/>
      <c r="AIE358" s="1"/>
      <c r="AIF358" s="1"/>
      <c r="AIG358" s="1"/>
      <c r="AIH358" s="1"/>
      <c r="AII358" s="1"/>
      <c r="AIJ358" s="1"/>
      <c r="AIK358" s="1"/>
      <c r="AIL358" s="1"/>
      <c r="AIM358" s="1"/>
      <c r="AIN358" s="1"/>
      <c r="AIO358" s="1"/>
      <c r="AIP358" s="1"/>
      <c r="AIQ358" s="1"/>
      <c r="AIR358" s="1"/>
      <c r="AIS358" s="1"/>
      <c r="AIT358" s="1"/>
      <c r="AIU358" s="1"/>
      <c r="AIV358" s="1"/>
      <c r="AIW358" s="1"/>
      <c r="AIX358" s="1"/>
      <c r="AIY358" s="1"/>
      <c r="AIZ358" s="1"/>
      <c r="AJA358" s="1"/>
      <c r="AJB358" s="1"/>
      <c r="AJC358" s="1"/>
      <c r="AJD358" s="1"/>
      <c r="AJE358" s="1"/>
      <c r="AJF358" s="1"/>
      <c r="AJG358" s="1"/>
      <c r="AJH358" s="1"/>
      <c r="AJI358" s="1"/>
      <c r="AJJ358" s="1"/>
      <c r="AJK358" s="1"/>
      <c r="AJL358" s="1"/>
      <c r="AJM358" s="1"/>
      <c r="AJN358" s="1"/>
      <c r="AJO358" s="1"/>
      <c r="AJP358" s="1"/>
      <c r="AJQ358" s="1"/>
      <c r="AJR358" s="1"/>
      <c r="AJS358" s="1"/>
      <c r="AJT358" s="1"/>
      <c r="AJU358" s="1"/>
      <c r="AJV358" s="1"/>
      <c r="AJW358" s="1"/>
      <c r="AJX358" s="1"/>
      <c r="AJY358" s="1"/>
      <c r="AJZ358" s="1"/>
      <c r="AKA358" s="1"/>
      <c r="AKB358" s="1"/>
      <c r="AKC358" s="1"/>
      <c r="AKD358" s="1"/>
      <c r="AKE358" s="1"/>
      <c r="AKF358" s="1"/>
      <c r="AKG358" s="1"/>
      <c r="AKH358" s="1"/>
      <c r="AKI358" s="1"/>
      <c r="AKJ358" s="1"/>
      <c r="AKK358" s="1"/>
      <c r="AKL358" s="1"/>
      <c r="AKM358" s="1"/>
      <c r="AKN358" s="1"/>
      <c r="AKO358" s="1"/>
      <c r="AKP358" s="1"/>
      <c r="AKQ358" s="1"/>
      <c r="AKR358" s="1"/>
      <c r="AKS358" s="1"/>
      <c r="AKT358" s="1"/>
      <c r="AKU358" s="1"/>
      <c r="AKV358" s="1"/>
      <c r="AKW358" s="1"/>
      <c r="AKX358" s="1"/>
      <c r="AKY358" s="1"/>
      <c r="AKZ358" s="1"/>
      <c r="ALA358" s="1"/>
      <c r="ALB358" s="1"/>
      <c r="ALC358" s="1"/>
      <c r="ALD358" s="1"/>
      <c r="ALE358" s="1"/>
      <c r="ALF358" s="1"/>
      <c r="ALG358" s="1"/>
      <c r="ALH358" s="1"/>
      <c r="ALI358" s="1"/>
      <c r="ALJ358" s="1"/>
      <c r="ALK358" s="1"/>
      <c r="ALL358" s="1"/>
      <c r="ALM358" s="1"/>
      <c r="ALN358" s="1"/>
      <c r="ALO358" s="1"/>
      <c r="ALP358" s="1"/>
      <c r="ALQ358" s="1"/>
      <c r="ALR358" s="1"/>
      <c r="ALS358" s="1"/>
      <c r="ALT358" s="1"/>
      <c r="ALU358" s="1"/>
      <c r="ALV358" s="1"/>
      <c r="ALW358" s="1"/>
      <c r="ALX358" s="1"/>
      <c r="ALY358" s="1"/>
      <c r="ALZ358" s="1"/>
      <c r="AMA358" s="1"/>
      <c r="AMB358" s="1"/>
      <c r="AMC358" s="1"/>
      <c r="AMD358" s="1"/>
      <c r="AME358" s="1"/>
      <c r="AMF358" s="1"/>
      <c r="AMG358" s="1"/>
      <c r="AMH358" s="1"/>
      <c r="AMI358" s="1"/>
      <c r="AMJ358" s="1"/>
      <c r="AMK358" s="1"/>
      <c r="AML358" s="1"/>
      <c r="AMM358" s="1"/>
      <c r="AMN358" s="1"/>
      <c r="AMO358" s="1"/>
    </row>
    <row r="359" spans="1:1029" x14ac:dyDescent="0.2">
      <c r="A359" s="3" t="str">
        <f>CONCATENATE(B359,"_",C359)</f>
        <v>par1_human_3VW7</v>
      </c>
      <c r="B359" s="3" t="s">
        <v>354</v>
      </c>
      <c r="C359" s="3" t="s">
        <v>93</v>
      </c>
      <c r="D359" s="3" t="str">
        <f>IFERROR(MID(VLOOKUP($B359,Seqs!$A:$B,2,0),E359,1),"")</f>
        <v>S</v>
      </c>
      <c r="E359" s="3">
        <v>99</v>
      </c>
      <c r="F359" s="3" t="str">
        <f>IFERROR(MID(VLOOKUP($B359,Seqs!$A:$B,2,0),G359,1),"")</f>
        <v>K</v>
      </c>
      <c r="G359" s="3">
        <v>130</v>
      </c>
      <c r="H359" s="3" t="str">
        <f>IFERROR(MID(VLOOKUP($B359,Seqs!$A:$B,2,0),I359,1),"")</f>
        <v/>
      </c>
      <c r="I359" s="23" t="s">
        <v>23</v>
      </c>
      <c r="J359" s="3" t="str">
        <f>IFERROR(MID(VLOOKUP($B359,Seqs!$A:$B,2,0),K359,1),"")</f>
        <v/>
      </c>
      <c r="K359" s="23" t="s">
        <v>23</v>
      </c>
      <c r="L359" s="3" t="str">
        <f>IFERROR(MID(VLOOKUP($B359,Seqs!$A:$B,2,0),M359,1),"")</f>
        <v>K</v>
      </c>
      <c r="M359" s="3">
        <v>135</v>
      </c>
      <c r="N359" s="3" t="str">
        <f>IFERROR(MID(VLOOKUP($B359,Seqs!$A:$B,2,0),O359,1),"")</f>
        <v>S</v>
      </c>
      <c r="O359" s="3">
        <v>164</v>
      </c>
      <c r="P359" s="3" t="str">
        <f>IFERROR(MID(VLOOKUP($B359,Seqs!$A:$B,2,0),Q359,1),"")</f>
        <v>D</v>
      </c>
      <c r="Q359" s="3">
        <v>167</v>
      </c>
      <c r="R359" s="3" t="str">
        <f>IFERROR(MID(VLOOKUP($B359,Seqs!$A:$B,2,0),S359,1),"")</f>
        <v>F</v>
      </c>
      <c r="S359" s="3">
        <v>170</v>
      </c>
      <c r="T359" s="3" t="str">
        <f>IFERROR(MID(VLOOKUP($B359,Seqs!$A:$B,2,0),U359,1),"")</f>
        <v>G</v>
      </c>
      <c r="U359" s="3">
        <v>171</v>
      </c>
      <c r="V359" s="3" t="str">
        <f>IFERROR(MID(VLOOKUP($B359,Seqs!$A:$B,2,0),W359,1),"")</f>
        <v>Y</v>
      </c>
      <c r="W359" s="3">
        <v>206</v>
      </c>
      <c r="X359" s="3" t="str">
        <f>IFERROR(MID(VLOOKUP($B359,Seqs!$A:$B,2,0),Y359,1),"")</f>
        <v/>
      </c>
      <c r="Y359" s="3" t="s">
        <v>23</v>
      </c>
      <c r="Z359" s="3" t="str">
        <f>IFERROR(MID(VLOOKUP($B359,Seqs!$A:$B,2,0),AA359,1),"")</f>
        <v/>
      </c>
      <c r="AA359" s="3" t="s">
        <v>23</v>
      </c>
      <c r="AB359" s="3" t="str">
        <f>IFERROR(MID(VLOOKUP($B359,Seqs!$A:$B,2,0),AC359,1),"")</f>
        <v>T</v>
      </c>
      <c r="AC359" s="9">
        <v>215</v>
      </c>
      <c r="AD359" s="3" t="str">
        <f>IFERROR(MID(VLOOKUP($B359,Seqs!$A:$B,2,0),AE359,1),"")</f>
        <v>K</v>
      </c>
      <c r="AE359" s="3">
        <v>240</v>
      </c>
      <c r="AF359" s="3" t="str">
        <f>IFERROR(MID(VLOOKUP($B359,Seqs!$A:$B,2,0),AG359,1),"")</f>
        <v>C</v>
      </c>
      <c r="AG359" s="3">
        <v>254</v>
      </c>
      <c r="AH359" s="3" t="str">
        <f>IFERROR(MID(VLOOKUP($B359,Seqs!$A:$B,2,0),AI359,1),"")</f>
        <v>D</v>
      </c>
      <c r="AI359" s="3">
        <v>256</v>
      </c>
      <c r="AJ359" s="3" t="str">
        <f>IFERROR(MID(VLOOKUP($B359,Seqs!$A:$B,2,0),AK359,1),"")</f>
        <v>E</v>
      </c>
      <c r="AK359" s="3">
        <v>264</v>
      </c>
      <c r="AL359" s="3" t="str">
        <f>IFERROR(MID(VLOOKUP($B359,Seqs!$A:$B,2,0),AM359,1),"")</f>
        <v>S</v>
      </c>
      <c r="AM359" s="3">
        <v>300</v>
      </c>
      <c r="AN359" s="3" t="str">
        <f>IFERROR(MID(VLOOKUP($B359,Seqs!$A:$B,2,0),AO359,1),"")</f>
        <v>N</v>
      </c>
      <c r="AO359" s="3">
        <v>304</v>
      </c>
      <c r="AP359" s="3" t="str">
        <f>IFERROR(MID(VLOOKUP($B359,Seqs!$A:$B,2,0),AQ359,1),"")</f>
        <v>L</v>
      </c>
      <c r="AQ359" s="3">
        <v>340</v>
      </c>
      <c r="AR359" s="3" t="str">
        <f>IFERROR(MID(VLOOKUP($B359,Seqs!$A:$B,2,0),AS359,1),"")</f>
        <v>T</v>
      </c>
      <c r="AS359" s="3">
        <v>346</v>
      </c>
      <c r="AT359" s="3" t="str">
        <f>IFERROR(MID(VLOOKUP($B359,Seqs!$A:$B,2,0),AU359,1),"")</f>
        <v>Y</v>
      </c>
      <c r="AU359" s="3">
        <v>372</v>
      </c>
      <c r="AV359" s="3" t="str">
        <f>IFERROR(MID(VLOOKUP($B359,Seqs!$A:$B,2,0),AW359,1),"")</f>
        <v/>
      </c>
      <c r="AW359" s="3" t="s">
        <v>23</v>
      </c>
      <c r="AX359" s="3" t="str">
        <f>IFERROR(MID(VLOOKUP($B359,Seqs!$A:$B,2,0),AY359,1),"")</f>
        <v/>
      </c>
      <c r="AY359" s="3" t="s">
        <v>23</v>
      </c>
      <c r="AZ359" s="77" t="str">
        <f>VLOOKUP(B359,Classification!A:D,2,0)</f>
        <v>A</v>
      </c>
      <c r="BA359" s="94" t="str">
        <f>VLOOKUP(B359,Classification!A:D,4,0)</f>
        <v>Proteinase-activated</v>
      </c>
      <c r="BB359" s="27" t="b">
        <f t="shared" si="1114"/>
        <v>1</v>
      </c>
      <c r="BC359" s="23">
        <f t="shared" si="1113"/>
        <v>235</v>
      </c>
      <c r="BD359" s="2" t="s">
        <v>1423</v>
      </c>
      <c r="BE359" s="3" t="s">
        <v>1422</v>
      </c>
      <c r="BF359" s="118">
        <v>2.2000000000000002</v>
      </c>
      <c r="BG359" s="49" t="s">
        <v>1371</v>
      </c>
      <c r="BH359" s="49" t="s">
        <v>1371</v>
      </c>
      <c r="BI359" s="1"/>
      <c r="BJ359" s="70" t="s">
        <v>1281</v>
      </c>
      <c r="BK359" s="57" t="s">
        <v>1281</v>
      </c>
      <c r="BL359" s="57" t="s">
        <v>1281</v>
      </c>
      <c r="BM359" s="57" t="s">
        <v>1281</v>
      </c>
      <c r="BN359" s="57" t="s">
        <v>1281</v>
      </c>
      <c r="BO359" s="57" t="s">
        <v>1281</v>
      </c>
      <c r="BP359" s="57" t="s">
        <v>1281</v>
      </c>
      <c r="BQ359" s="57" t="s">
        <v>1281</v>
      </c>
      <c r="BR359" s="57" t="s">
        <v>1281</v>
      </c>
      <c r="BS359" s="57" t="s">
        <v>1281</v>
      </c>
      <c r="BT359" s="57" t="s">
        <v>1281</v>
      </c>
      <c r="BU359" s="57" t="s">
        <v>1281</v>
      </c>
      <c r="BV359" s="70">
        <f>E359</f>
        <v>99</v>
      </c>
      <c r="BW359" s="71" t="str">
        <f>I359</f>
        <v>-</v>
      </c>
      <c r="BX359" s="72">
        <f>M359</f>
        <v>135</v>
      </c>
      <c r="BY359" s="71">
        <f>Q359</f>
        <v>167</v>
      </c>
      <c r="BZ359" s="72">
        <f>U359</f>
        <v>171</v>
      </c>
      <c r="CA359" s="71" t="str">
        <f>Y359</f>
        <v>-</v>
      </c>
      <c r="CB359" s="72">
        <f>AC359</f>
        <v>215</v>
      </c>
      <c r="CC359" s="71">
        <f>AG359</f>
        <v>254</v>
      </c>
      <c r="CD359" s="72">
        <f>AK359</f>
        <v>264</v>
      </c>
      <c r="CE359" s="71">
        <f>AO359</f>
        <v>304</v>
      </c>
      <c r="CF359" s="72">
        <f>AS359</f>
        <v>346</v>
      </c>
      <c r="CG359" s="71" t="str">
        <f>AW359</f>
        <v>-</v>
      </c>
      <c r="CH359" s="70">
        <f>G359</f>
        <v>130</v>
      </c>
      <c r="CI359" s="71" t="str">
        <f>K359</f>
        <v>-</v>
      </c>
      <c r="CJ359" s="72">
        <f>O359</f>
        <v>164</v>
      </c>
      <c r="CK359" s="72">
        <f>S359</f>
        <v>170</v>
      </c>
      <c r="CL359" s="72">
        <f>W359</f>
        <v>206</v>
      </c>
      <c r="CM359" s="72" t="str">
        <f>AA359</f>
        <v>-</v>
      </c>
      <c r="CN359" s="72">
        <f>AE359</f>
        <v>240</v>
      </c>
      <c r="CO359" s="72">
        <f>AI359</f>
        <v>256</v>
      </c>
      <c r="CP359" s="72">
        <f>AM359</f>
        <v>300</v>
      </c>
      <c r="CQ359" s="72">
        <f>AQ359</f>
        <v>340</v>
      </c>
      <c r="CR359" s="72">
        <f>AU359</f>
        <v>372</v>
      </c>
      <c r="CS359" s="72" t="str">
        <f>AY359</f>
        <v>-</v>
      </c>
      <c r="CT359" s="23" t="e">
        <f>M359-K359</f>
        <v>#VALUE!</v>
      </c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  <c r="OU359" s="1"/>
      <c r="OV359" s="1"/>
      <c r="OW359" s="1"/>
      <c r="OX359" s="1"/>
      <c r="OY359" s="1"/>
      <c r="OZ359" s="1"/>
      <c r="PA359" s="1"/>
      <c r="PB359" s="1"/>
      <c r="PC359" s="1"/>
      <c r="PD359" s="1"/>
      <c r="PE359" s="1"/>
      <c r="PF359" s="1"/>
      <c r="PG359" s="1"/>
      <c r="PH359" s="1"/>
      <c r="PI359" s="1"/>
      <c r="PJ359" s="1"/>
      <c r="PK359" s="1"/>
      <c r="PL359" s="1"/>
      <c r="PM359" s="1"/>
      <c r="PN359" s="1"/>
      <c r="PO359" s="1"/>
      <c r="PP359" s="1"/>
      <c r="PQ359" s="1"/>
      <c r="PR359" s="1"/>
      <c r="PS359" s="1"/>
      <c r="PT359" s="1"/>
      <c r="PU359" s="1"/>
      <c r="PV359" s="1"/>
      <c r="PW359" s="1"/>
      <c r="PX359" s="1"/>
      <c r="PY359" s="1"/>
      <c r="PZ359" s="1"/>
      <c r="QA359" s="1"/>
      <c r="QB359" s="1"/>
      <c r="QC359" s="1"/>
      <c r="QD359" s="1"/>
      <c r="QE359" s="1"/>
      <c r="QF359" s="1"/>
      <c r="QG359" s="1"/>
      <c r="QH359" s="1"/>
      <c r="QI359" s="1"/>
      <c r="QJ359" s="1"/>
      <c r="QK359" s="1"/>
      <c r="QL359" s="1"/>
      <c r="QM359" s="1"/>
      <c r="QN359" s="1"/>
      <c r="QO359" s="1"/>
      <c r="QP359" s="1"/>
      <c r="QQ359" s="1"/>
      <c r="QR359" s="1"/>
      <c r="QS359" s="1"/>
      <c r="QT359" s="1"/>
      <c r="QU359" s="1"/>
      <c r="QV359" s="1"/>
      <c r="QW359" s="1"/>
      <c r="QX359" s="1"/>
      <c r="QY359" s="1"/>
      <c r="QZ359" s="1"/>
      <c r="RA359" s="1"/>
      <c r="RB359" s="1"/>
      <c r="RC359" s="1"/>
      <c r="RD359" s="1"/>
      <c r="RE359" s="1"/>
      <c r="RF359" s="1"/>
      <c r="RG359" s="1"/>
      <c r="RH359" s="1"/>
      <c r="RI359" s="1"/>
      <c r="RJ359" s="1"/>
      <c r="RK359" s="1"/>
      <c r="RL359" s="1"/>
      <c r="RM359" s="1"/>
      <c r="RN359" s="1"/>
      <c r="RO359" s="1"/>
      <c r="RP359" s="1"/>
      <c r="RQ359" s="1"/>
      <c r="RR359" s="1"/>
      <c r="RS359" s="1"/>
      <c r="RT359" s="1"/>
      <c r="RU359" s="1"/>
      <c r="RV359" s="1"/>
      <c r="RW359" s="1"/>
      <c r="RX359" s="1"/>
      <c r="RY359" s="1"/>
      <c r="RZ359" s="1"/>
      <c r="SA359" s="1"/>
      <c r="SB359" s="1"/>
      <c r="SC359" s="1"/>
      <c r="SD359" s="1"/>
      <c r="SE359" s="1"/>
      <c r="SF359" s="1"/>
      <c r="SG359" s="1"/>
      <c r="SH359" s="1"/>
      <c r="SI359" s="1"/>
      <c r="SJ359" s="1"/>
      <c r="SK359" s="1"/>
      <c r="SL359" s="1"/>
      <c r="SM359" s="1"/>
      <c r="SN359" s="1"/>
      <c r="SO359" s="1"/>
      <c r="SP359" s="1"/>
      <c r="SQ359" s="1"/>
      <c r="SR359" s="1"/>
      <c r="SS359" s="1"/>
      <c r="ST359" s="1"/>
      <c r="SU359" s="1"/>
      <c r="SV359" s="1"/>
      <c r="SW359" s="1"/>
      <c r="SX359" s="1"/>
      <c r="SY359" s="1"/>
      <c r="SZ359" s="1"/>
      <c r="TA359" s="1"/>
      <c r="TB359" s="1"/>
      <c r="TC359" s="1"/>
      <c r="TD359" s="1"/>
      <c r="TE359" s="1"/>
      <c r="TF359" s="1"/>
      <c r="TG359" s="1"/>
      <c r="TH359" s="1"/>
      <c r="TI359" s="1"/>
      <c r="TJ359" s="1"/>
      <c r="TK359" s="1"/>
      <c r="TL359" s="1"/>
      <c r="TM359" s="1"/>
      <c r="TN359" s="1"/>
      <c r="TO359" s="1"/>
      <c r="TP359" s="1"/>
      <c r="TQ359" s="1"/>
      <c r="TR359" s="1"/>
      <c r="TS359" s="1"/>
      <c r="TT359" s="1"/>
      <c r="TU359" s="1"/>
      <c r="TV359" s="1"/>
      <c r="TW359" s="1"/>
      <c r="TX359" s="1"/>
      <c r="TY359" s="1"/>
      <c r="TZ359" s="1"/>
      <c r="UA359" s="1"/>
      <c r="UB359" s="1"/>
      <c r="UC359" s="1"/>
      <c r="UD359" s="1"/>
      <c r="UE359" s="1"/>
      <c r="UF359" s="1"/>
      <c r="UG359" s="1"/>
      <c r="UH359" s="1"/>
      <c r="UI359" s="1"/>
      <c r="UJ359" s="1"/>
      <c r="UK359" s="1"/>
      <c r="UL359" s="1"/>
      <c r="UM359" s="1"/>
      <c r="UN359" s="1"/>
      <c r="UO359" s="1"/>
      <c r="UP359" s="1"/>
      <c r="UQ359" s="1"/>
      <c r="UR359" s="1"/>
      <c r="US359" s="1"/>
      <c r="UT359" s="1"/>
      <c r="UU359" s="1"/>
      <c r="UV359" s="1"/>
      <c r="UW359" s="1"/>
      <c r="UX359" s="1"/>
      <c r="UY359" s="1"/>
      <c r="UZ359" s="1"/>
      <c r="VA359" s="1"/>
      <c r="VB359" s="1"/>
      <c r="VC359" s="1"/>
      <c r="VD359" s="1"/>
      <c r="VE359" s="1"/>
      <c r="VF359" s="1"/>
      <c r="VG359" s="1"/>
      <c r="VH359" s="1"/>
      <c r="VI359" s="1"/>
      <c r="VJ359" s="1"/>
      <c r="VK359" s="1"/>
      <c r="VL359" s="1"/>
      <c r="VM359" s="1"/>
      <c r="VN359" s="1"/>
      <c r="VO359" s="1"/>
      <c r="VP359" s="1"/>
      <c r="VQ359" s="1"/>
      <c r="VR359" s="1"/>
      <c r="VS359" s="1"/>
      <c r="VT359" s="1"/>
      <c r="VU359" s="1"/>
      <c r="VV359" s="1"/>
      <c r="VW359" s="1"/>
      <c r="VX359" s="1"/>
      <c r="VY359" s="1"/>
      <c r="VZ359" s="1"/>
      <c r="WA359" s="1"/>
      <c r="WB359" s="1"/>
      <c r="WC359" s="1"/>
      <c r="WD359" s="1"/>
      <c r="WE359" s="1"/>
      <c r="WF359" s="1"/>
      <c r="WG359" s="1"/>
      <c r="WH359" s="1"/>
      <c r="WI359" s="1"/>
      <c r="WJ359" s="1"/>
      <c r="WK359" s="1"/>
      <c r="WL359" s="1"/>
      <c r="WM359" s="1"/>
      <c r="WN359" s="1"/>
      <c r="WO359" s="1"/>
      <c r="WP359" s="1"/>
      <c r="WQ359" s="1"/>
      <c r="WR359" s="1"/>
      <c r="WS359" s="1"/>
      <c r="WT359" s="1"/>
      <c r="WU359" s="1"/>
      <c r="WV359" s="1"/>
      <c r="WW359" s="1"/>
      <c r="WX359" s="1"/>
      <c r="WY359" s="1"/>
      <c r="WZ359" s="1"/>
      <c r="XA359" s="1"/>
      <c r="XB359" s="1"/>
      <c r="XC359" s="1"/>
      <c r="XD359" s="1"/>
      <c r="XE359" s="1"/>
      <c r="XF359" s="1"/>
      <c r="XG359" s="1"/>
      <c r="XH359" s="1"/>
      <c r="XI359" s="1"/>
      <c r="XJ359" s="1"/>
      <c r="XK359" s="1"/>
      <c r="XL359" s="1"/>
      <c r="XM359" s="1"/>
      <c r="XN359" s="1"/>
      <c r="XO359" s="1"/>
      <c r="XP359" s="1"/>
      <c r="XQ359" s="1"/>
      <c r="XR359" s="1"/>
      <c r="XS359" s="1"/>
      <c r="XT359" s="1"/>
      <c r="XU359" s="1"/>
      <c r="XV359" s="1"/>
      <c r="XW359" s="1"/>
      <c r="XX359" s="1"/>
      <c r="XY359" s="1"/>
      <c r="XZ359" s="1"/>
      <c r="YA359" s="1"/>
      <c r="YB359" s="1"/>
      <c r="YC359" s="1"/>
      <c r="YD359" s="1"/>
      <c r="YE359" s="1"/>
      <c r="YF359" s="1"/>
      <c r="YG359" s="1"/>
      <c r="YH359" s="1"/>
      <c r="YI359" s="1"/>
      <c r="YJ359" s="1"/>
      <c r="YK359" s="1"/>
      <c r="YL359" s="1"/>
      <c r="YM359" s="1"/>
      <c r="YN359" s="1"/>
      <c r="YO359" s="1"/>
      <c r="YP359" s="1"/>
      <c r="YQ359" s="1"/>
      <c r="YR359" s="1"/>
      <c r="YS359" s="1"/>
      <c r="YT359" s="1"/>
      <c r="YU359" s="1"/>
      <c r="YV359" s="1"/>
      <c r="YW359" s="1"/>
      <c r="YX359" s="1"/>
      <c r="YY359" s="1"/>
      <c r="YZ359" s="1"/>
      <c r="ZA359" s="1"/>
      <c r="ZB359" s="1"/>
      <c r="ZC359" s="1"/>
      <c r="ZD359" s="1"/>
      <c r="ZE359" s="1"/>
      <c r="ZF359" s="1"/>
      <c r="ZG359" s="1"/>
      <c r="ZH359" s="1"/>
      <c r="ZI359" s="1"/>
      <c r="ZJ359" s="1"/>
      <c r="ZK359" s="1"/>
      <c r="ZL359" s="1"/>
      <c r="ZM359" s="1"/>
      <c r="ZN359" s="1"/>
      <c r="ZO359" s="1"/>
      <c r="ZP359" s="1"/>
      <c r="ZQ359" s="1"/>
      <c r="ZR359" s="1"/>
      <c r="ZS359" s="1"/>
      <c r="ZT359" s="1"/>
      <c r="ZU359" s="1"/>
      <c r="ZV359" s="1"/>
      <c r="ZW359" s="1"/>
      <c r="ZX359" s="1"/>
      <c r="ZY359" s="1"/>
      <c r="ZZ359" s="1"/>
      <c r="AAA359" s="1"/>
      <c r="AAB359" s="1"/>
      <c r="AAC359" s="1"/>
      <c r="AAD359" s="1"/>
      <c r="AAE359" s="1"/>
      <c r="AAF359" s="1"/>
      <c r="AAG359" s="1"/>
      <c r="AAH359" s="1"/>
      <c r="AAI359" s="1"/>
      <c r="AAJ359" s="1"/>
      <c r="AAK359" s="1"/>
      <c r="AAL359" s="1"/>
      <c r="AAM359" s="1"/>
      <c r="AAN359" s="1"/>
      <c r="AAO359" s="1"/>
      <c r="AAP359" s="1"/>
      <c r="AAQ359" s="1"/>
      <c r="AAR359" s="1"/>
      <c r="AAS359" s="1"/>
      <c r="AAT359" s="1"/>
      <c r="AAU359" s="1"/>
      <c r="AAV359" s="1"/>
      <c r="AAW359" s="1"/>
      <c r="AAX359" s="1"/>
      <c r="AAY359" s="1"/>
      <c r="AAZ359" s="1"/>
      <c r="ABA359" s="1"/>
      <c r="ABB359" s="1"/>
      <c r="ABC359" s="1"/>
      <c r="ABD359" s="1"/>
      <c r="ABE359" s="1"/>
      <c r="ABF359" s="1"/>
      <c r="ABG359" s="1"/>
      <c r="ABH359" s="1"/>
      <c r="ABI359" s="1"/>
      <c r="ABJ359" s="1"/>
      <c r="ABK359" s="1"/>
      <c r="ABL359" s="1"/>
      <c r="ABM359" s="1"/>
      <c r="ABN359" s="1"/>
      <c r="ABO359" s="1"/>
      <c r="ABP359" s="1"/>
      <c r="ABQ359" s="1"/>
      <c r="ABR359" s="1"/>
      <c r="ABS359" s="1"/>
      <c r="ABT359" s="1"/>
      <c r="ABU359" s="1"/>
      <c r="ABV359" s="1"/>
      <c r="ABW359" s="1"/>
      <c r="ABX359" s="1"/>
      <c r="ABY359" s="1"/>
      <c r="ABZ359" s="1"/>
      <c r="ACA359" s="1"/>
      <c r="ACB359" s="1"/>
      <c r="ACC359" s="1"/>
      <c r="ACD359" s="1"/>
      <c r="ACE359" s="1"/>
      <c r="ACF359" s="1"/>
      <c r="ACG359" s="1"/>
      <c r="ACH359" s="1"/>
      <c r="ACI359" s="1"/>
      <c r="ACJ359" s="1"/>
      <c r="ACK359" s="1"/>
      <c r="ACL359" s="1"/>
      <c r="ACM359" s="1"/>
      <c r="ACN359" s="1"/>
      <c r="ACO359" s="1"/>
      <c r="ACP359" s="1"/>
      <c r="ACQ359" s="1"/>
      <c r="ACR359" s="1"/>
      <c r="ACS359" s="1"/>
      <c r="ACT359" s="1"/>
      <c r="ACU359" s="1"/>
      <c r="ACV359" s="1"/>
      <c r="ACW359" s="1"/>
      <c r="ACX359" s="1"/>
      <c r="ACY359" s="1"/>
      <c r="ACZ359" s="1"/>
      <c r="ADA359" s="1"/>
      <c r="ADB359" s="1"/>
      <c r="ADC359" s="1"/>
      <c r="ADD359" s="1"/>
      <c r="ADE359" s="1"/>
      <c r="ADF359" s="1"/>
      <c r="ADG359" s="1"/>
      <c r="ADH359" s="1"/>
      <c r="ADI359" s="1"/>
      <c r="ADJ359" s="1"/>
      <c r="ADK359" s="1"/>
      <c r="ADL359" s="1"/>
      <c r="ADM359" s="1"/>
      <c r="ADN359" s="1"/>
      <c r="ADO359" s="1"/>
      <c r="ADP359" s="1"/>
      <c r="ADQ359" s="1"/>
      <c r="ADR359" s="1"/>
      <c r="ADS359" s="1"/>
      <c r="ADT359" s="1"/>
      <c r="ADU359" s="1"/>
      <c r="ADV359" s="1"/>
      <c r="ADW359" s="1"/>
      <c r="ADX359" s="1"/>
      <c r="ADY359" s="1"/>
      <c r="ADZ359" s="1"/>
      <c r="AEA359" s="1"/>
      <c r="AEB359" s="1"/>
      <c r="AEC359" s="1"/>
      <c r="AED359" s="1"/>
      <c r="AEE359" s="1"/>
      <c r="AEF359" s="1"/>
      <c r="AEG359" s="1"/>
      <c r="AEH359" s="1"/>
      <c r="AEI359" s="1"/>
      <c r="AEJ359" s="1"/>
      <c r="AEK359" s="1"/>
      <c r="AEL359" s="1"/>
      <c r="AEM359" s="1"/>
      <c r="AEN359" s="1"/>
      <c r="AEO359" s="1"/>
      <c r="AEP359" s="1"/>
      <c r="AEQ359" s="1"/>
      <c r="AER359" s="1"/>
      <c r="AES359" s="1"/>
      <c r="AET359" s="1"/>
      <c r="AEU359" s="1"/>
      <c r="AEV359" s="1"/>
      <c r="AEW359" s="1"/>
      <c r="AEX359" s="1"/>
      <c r="AEY359" s="1"/>
      <c r="AEZ359" s="1"/>
      <c r="AFA359" s="1"/>
      <c r="AFB359" s="1"/>
      <c r="AFC359" s="1"/>
      <c r="AFD359" s="1"/>
      <c r="AFE359" s="1"/>
      <c r="AFF359" s="1"/>
      <c r="AFG359" s="1"/>
      <c r="AFH359" s="1"/>
      <c r="AFI359" s="1"/>
      <c r="AFJ359" s="1"/>
      <c r="AFK359" s="1"/>
      <c r="AFL359" s="1"/>
      <c r="AFM359" s="1"/>
      <c r="AFN359" s="1"/>
      <c r="AFO359" s="1"/>
      <c r="AFP359" s="1"/>
      <c r="AFQ359" s="1"/>
      <c r="AFR359" s="1"/>
      <c r="AFS359" s="1"/>
      <c r="AFT359" s="1"/>
      <c r="AFU359" s="1"/>
      <c r="AFV359" s="1"/>
      <c r="AFW359" s="1"/>
      <c r="AFX359" s="1"/>
      <c r="AFY359" s="1"/>
      <c r="AFZ359" s="1"/>
      <c r="AGA359" s="1"/>
      <c r="AGB359" s="1"/>
      <c r="AGC359" s="1"/>
      <c r="AGD359" s="1"/>
      <c r="AGE359" s="1"/>
      <c r="AGF359" s="1"/>
      <c r="AGG359" s="1"/>
      <c r="AGH359" s="1"/>
      <c r="AGI359" s="1"/>
      <c r="AGJ359" s="1"/>
      <c r="AGK359" s="1"/>
      <c r="AGL359" s="1"/>
      <c r="AGM359" s="1"/>
      <c r="AGN359" s="1"/>
      <c r="AGO359" s="1"/>
      <c r="AGP359" s="1"/>
      <c r="AGQ359" s="1"/>
      <c r="AGR359" s="1"/>
      <c r="AGS359" s="1"/>
      <c r="AGT359" s="1"/>
      <c r="AGU359" s="1"/>
      <c r="AGV359" s="1"/>
      <c r="AGW359" s="1"/>
      <c r="AGX359" s="1"/>
      <c r="AGY359" s="1"/>
      <c r="AGZ359" s="1"/>
      <c r="AHA359" s="1"/>
      <c r="AHB359" s="1"/>
      <c r="AHC359" s="1"/>
      <c r="AHD359" s="1"/>
      <c r="AHE359" s="1"/>
      <c r="AHF359" s="1"/>
      <c r="AHG359" s="1"/>
      <c r="AHH359" s="1"/>
      <c r="AHI359" s="1"/>
      <c r="AHJ359" s="1"/>
      <c r="AHK359" s="1"/>
      <c r="AHL359" s="1"/>
      <c r="AHM359" s="1"/>
      <c r="AHN359" s="1"/>
      <c r="AHO359" s="1"/>
      <c r="AHP359" s="1"/>
      <c r="AHQ359" s="1"/>
      <c r="AHR359" s="1"/>
      <c r="AHS359" s="1"/>
      <c r="AHT359" s="1"/>
      <c r="AHU359" s="1"/>
      <c r="AHV359" s="1"/>
      <c r="AHW359" s="1"/>
      <c r="AHX359" s="1"/>
      <c r="AHY359" s="1"/>
      <c r="AHZ359" s="1"/>
      <c r="AIA359" s="1"/>
      <c r="AIB359" s="1"/>
      <c r="AIC359" s="1"/>
      <c r="AID359" s="1"/>
      <c r="AIE359" s="1"/>
      <c r="AIF359" s="1"/>
      <c r="AIG359" s="1"/>
      <c r="AIH359" s="1"/>
      <c r="AII359" s="1"/>
      <c r="AIJ359" s="1"/>
      <c r="AIK359" s="1"/>
      <c r="AIL359" s="1"/>
      <c r="AIM359" s="1"/>
      <c r="AIN359" s="1"/>
      <c r="AIO359" s="1"/>
      <c r="AIP359" s="1"/>
      <c r="AIQ359" s="1"/>
      <c r="AIR359" s="1"/>
      <c r="AIS359" s="1"/>
      <c r="AIT359" s="1"/>
      <c r="AIU359" s="1"/>
      <c r="AIV359" s="1"/>
      <c r="AIW359" s="1"/>
      <c r="AIX359" s="1"/>
      <c r="AIY359" s="1"/>
      <c r="AIZ359" s="1"/>
      <c r="AJA359" s="1"/>
      <c r="AJB359" s="1"/>
      <c r="AJC359" s="1"/>
      <c r="AJD359" s="1"/>
      <c r="AJE359" s="1"/>
      <c r="AJF359" s="1"/>
      <c r="AJG359" s="1"/>
      <c r="AJH359" s="1"/>
      <c r="AJI359" s="1"/>
      <c r="AJJ359" s="1"/>
      <c r="AJK359" s="1"/>
      <c r="AJL359" s="1"/>
      <c r="AJM359" s="1"/>
      <c r="AJN359" s="1"/>
      <c r="AJO359" s="1"/>
      <c r="AJP359" s="1"/>
      <c r="AJQ359" s="1"/>
      <c r="AJR359" s="1"/>
      <c r="AJS359" s="1"/>
      <c r="AJT359" s="1"/>
      <c r="AJU359" s="1"/>
      <c r="AJV359" s="1"/>
      <c r="AJW359" s="1"/>
      <c r="AJX359" s="1"/>
      <c r="AJY359" s="1"/>
      <c r="AJZ359" s="1"/>
      <c r="AKA359" s="1"/>
      <c r="AKB359" s="1"/>
      <c r="AKC359" s="1"/>
      <c r="AKD359" s="1"/>
      <c r="AKE359" s="1"/>
      <c r="AKF359" s="1"/>
      <c r="AKG359" s="1"/>
      <c r="AKH359" s="1"/>
      <c r="AKI359" s="1"/>
      <c r="AKJ359" s="1"/>
      <c r="AKK359" s="1"/>
      <c r="AKL359" s="1"/>
      <c r="AKM359" s="1"/>
      <c r="AKN359" s="1"/>
      <c r="AKO359" s="1"/>
      <c r="AKP359" s="1"/>
      <c r="AKQ359" s="1"/>
      <c r="AKR359" s="1"/>
      <c r="AKS359" s="1"/>
      <c r="AKT359" s="1"/>
      <c r="AKU359" s="1"/>
      <c r="AKV359" s="1"/>
      <c r="AKW359" s="1"/>
      <c r="AKX359" s="1"/>
      <c r="AKY359" s="1"/>
      <c r="AKZ359" s="1"/>
      <c r="ALA359" s="1"/>
      <c r="ALB359" s="1"/>
      <c r="ALC359" s="1"/>
      <c r="ALD359" s="1"/>
      <c r="ALE359" s="1"/>
      <c r="ALF359" s="1"/>
      <c r="ALG359" s="1"/>
      <c r="ALH359" s="1"/>
      <c r="ALI359" s="1"/>
      <c r="ALJ359" s="1"/>
      <c r="ALK359" s="1"/>
      <c r="ALL359" s="1"/>
      <c r="ALM359" s="1"/>
      <c r="ALN359" s="1"/>
      <c r="ALO359" s="1"/>
      <c r="ALP359" s="1"/>
      <c r="ALQ359" s="1"/>
      <c r="ALR359" s="1"/>
      <c r="ALS359" s="1"/>
      <c r="ALT359" s="1"/>
      <c r="ALU359" s="1"/>
      <c r="ALV359" s="1"/>
      <c r="ALW359" s="1"/>
      <c r="ALX359" s="1"/>
      <c r="ALY359" s="1"/>
      <c r="ALZ359" s="1"/>
      <c r="AMA359" s="1"/>
      <c r="AMB359" s="1"/>
      <c r="AMC359" s="1"/>
      <c r="AMD359" s="1"/>
      <c r="AME359" s="1"/>
      <c r="AMF359" s="1"/>
      <c r="AMG359" s="1"/>
      <c r="AMH359" s="1"/>
      <c r="AMI359" s="1"/>
      <c r="AMJ359" s="1"/>
      <c r="AMK359" s="1"/>
      <c r="AML359" s="1"/>
      <c r="AMM359" s="1"/>
      <c r="AMN359" s="1"/>
      <c r="AMO359" s="1"/>
    </row>
    <row r="360" spans="1:1029" x14ac:dyDescent="0.2">
      <c r="A360" s="3" t="str">
        <f>CONCATENATE(B360,"_",C360)</f>
        <v>par2_human__wt</v>
      </c>
      <c r="B360" s="3" t="s">
        <v>355</v>
      </c>
      <c r="C360" s="3" t="s">
        <v>100</v>
      </c>
      <c r="D360" s="3" t="str">
        <f>IFERROR(MID(VLOOKUP($B360,Seqs!$A:$B,2,0),E360,1),"")</f>
        <v>G</v>
      </c>
      <c r="E360" s="3">
        <v>71</v>
      </c>
      <c r="F360" s="3" t="str">
        <f>IFERROR(MID(VLOOKUP($B360,Seqs!$A:$B,2,0),G360,1),"")</f>
        <v>R</v>
      </c>
      <c r="G360" s="3">
        <v>103</v>
      </c>
      <c r="H360" s="3" t="str">
        <f>IFERROR(MID(VLOOKUP($B360,Seqs!$A:$B,2,0),I360,1),"")</f>
        <v/>
      </c>
      <c r="I360" s="23" t="s">
        <v>23</v>
      </c>
      <c r="J360" s="3" t="str">
        <f>IFERROR(MID(VLOOKUP($B360,Seqs!$A:$B,2,0),K360,1),"")</f>
        <v/>
      </c>
      <c r="K360" s="23" t="s">
        <v>23</v>
      </c>
      <c r="L360" s="3" t="str">
        <f>IFERROR(MID(VLOOKUP($B360,Seqs!$A:$B,2,0),M360,1),"")</f>
        <v>H</v>
      </c>
      <c r="M360" s="3">
        <v>108</v>
      </c>
      <c r="N360" s="3" t="str">
        <f>IFERROR(MID(VLOOKUP($B360,Seqs!$A:$B,2,0),O360,1),"")</f>
        <v>H</v>
      </c>
      <c r="O360" s="3">
        <v>137</v>
      </c>
      <c r="P360" s="3" t="str">
        <f>IFERROR(MID(VLOOKUP($B360,Seqs!$A:$B,2,0),Q360,1),"")</f>
        <v>G</v>
      </c>
      <c r="Q360" s="3">
        <v>138</v>
      </c>
      <c r="R360" s="3" t="str">
        <f>IFERROR(MID(VLOOKUP($B360,Seqs!$A:$B,2,0),S360,1),"")</f>
        <v>Y</v>
      </c>
      <c r="S360" s="3">
        <v>143</v>
      </c>
      <c r="T360" s="3" t="str">
        <f>IFERROR(MID(VLOOKUP($B360,Seqs!$A:$B,2,0),U360,1),"")</f>
        <v>G</v>
      </c>
      <c r="U360" s="3">
        <v>144</v>
      </c>
      <c r="V360" s="3" t="str">
        <f>IFERROR(MID(VLOOKUP($B360,Seqs!$A:$B,2,0),W360,1),"")</f>
        <v>N</v>
      </c>
      <c r="W360" s="3">
        <v>179</v>
      </c>
      <c r="X360" s="3" t="str">
        <f>IFERROR(MID(VLOOKUP($B360,Seqs!$A:$B,2,0),Y360,1),"")</f>
        <v>P</v>
      </c>
      <c r="Y360" s="3">
        <v>180</v>
      </c>
      <c r="Z360" s="3" t="str">
        <f>IFERROR(MID(VLOOKUP($B360,Seqs!$A:$B,2,0),AA360,1),"")</f>
        <v>K</v>
      </c>
      <c r="AA360" s="3">
        <v>186</v>
      </c>
      <c r="AB360" s="3" t="str">
        <f>IFERROR(MID(VLOOKUP($B360,Seqs!$A:$B,2,0),AC360,1),"")</f>
        <v>K</v>
      </c>
      <c r="AC360" s="3">
        <v>187</v>
      </c>
      <c r="AD360" s="3" t="str">
        <f>IFERROR(MID(VLOOKUP($B360,Seqs!$A:$B,2,0),AE360,1),"")</f>
        <v>V</v>
      </c>
      <c r="AE360" s="3">
        <v>211</v>
      </c>
      <c r="AF360" s="3" t="str">
        <f>IFERROR(MID(VLOOKUP($B360,Seqs!$A:$B,2,0),AG360,1),"")</f>
        <v>C</v>
      </c>
      <c r="AG360" s="3">
        <v>226</v>
      </c>
      <c r="AH360" s="3" t="str">
        <f>IFERROR(MID(VLOOKUP($B360,Seqs!$A:$B,2,0),AI360,1),"")</f>
        <v>D</v>
      </c>
      <c r="AI360" s="3">
        <v>228</v>
      </c>
      <c r="AJ360" s="3" t="str">
        <f>IFERROR(MID(VLOOKUP($B360,Seqs!$A:$B,2,0),AK360,1),"")</f>
        <v>L</v>
      </c>
      <c r="AK360" s="3">
        <v>235</v>
      </c>
      <c r="AL360" s="3" t="str">
        <f>IFERROR(MID(VLOOKUP($B360,Seqs!$A:$B,2,0),AM360,1),"")</f>
        <v>S</v>
      </c>
      <c r="AM360" s="3">
        <v>272</v>
      </c>
      <c r="AN360" s="3" t="str">
        <f>IFERROR(MID(VLOOKUP($B360,Seqs!$A:$B,2,0),AO360,1),"")</f>
        <v>S</v>
      </c>
      <c r="AO360" s="3">
        <v>278</v>
      </c>
      <c r="AP360" s="3" t="str">
        <f>IFERROR(MID(VLOOKUP($B360,Seqs!$A:$B,2,0),AQ360,1),"")</f>
        <v>Q</v>
      </c>
      <c r="AQ360" s="3">
        <v>317</v>
      </c>
      <c r="AR360" s="3" t="str">
        <f>IFERROR(MID(VLOOKUP($B360,Seqs!$A:$B,2,0),AS360,1),"")</f>
        <v>V</v>
      </c>
      <c r="AS360" s="3">
        <v>322</v>
      </c>
      <c r="AT360" s="3" t="str">
        <f>IFERROR(MID(VLOOKUP($B360,Seqs!$A:$B,2,0),AU360,1),"")</f>
        <v>V</v>
      </c>
      <c r="AU360" s="3">
        <v>347</v>
      </c>
      <c r="AV360" s="3" t="str">
        <f>IFERROR(MID(VLOOKUP($B360,Seqs!$A:$B,2,0),AW360,1),"")</f>
        <v>S</v>
      </c>
      <c r="AW360" s="3">
        <v>348</v>
      </c>
      <c r="AX360" s="3" t="str">
        <f>IFERROR(MID(VLOOKUP($B360,Seqs!$A:$B,2,0),AY360,1),"")</f>
        <v>R</v>
      </c>
      <c r="AY360" s="3">
        <v>362</v>
      </c>
      <c r="AZ360" s="77" t="str">
        <f>VLOOKUP(B360,Classification!A:D,2,0)</f>
        <v>A</v>
      </c>
      <c r="BA360" s="94" t="str">
        <f>VLOOKUP(B360,Classification!A:D,4,0)</f>
        <v>Proteinase-activated</v>
      </c>
      <c r="BB360" s="27" t="b">
        <f t="shared" ref="BB360:BB379" si="1151">AND(E360&lt;G360,OR(G360&lt;I360,I360="-"),OR(I360&lt;K360,I360="-"),OR(K360&lt;M360,K360="-"),M360&lt;O360,OR(O360&lt;Q360,Q360="-"),OR(Q360&lt;S360,Q360="-"),OR(S360&lt;U360,S360="-"),U360&lt;W360,OR(W360&lt;Y360,Y360="-"),OR(Y360&lt;AA360,Y360="-"),OR(AA360&lt;AC360,AA360="-"),AC360&lt;AE360,OR(AE360&lt;AG360,AG360="-"),OR(AG360&lt;AI360,AG360="-"),OR(AI360&lt;AK360,AI360="-"),AK360&lt;AM360,AM360&lt;AO360,AO360&lt;AQ360,AQ360&lt;AS360,AS360&lt;AU360,OR(AU360&lt;AW360,AW360="-"),OR(AW360&lt;AY360,AW360="-"))</f>
        <v>1</v>
      </c>
      <c r="BC360" s="23">
        <f t="shared" ref="BC360:BC379" si="1152">_xlfn.AGGREGATE(9,6,CH360:CS360)-_xlfn.AGGREGATE(9,6,BV360:CG360)+12</f>
        <v>260</v>
      </c>
      <c r="BD360" s="2" t="s">
        <v>23</v>
      </c>
      <c r="BE360" s="3" t="s">
        <v>23</v>
      </c>
      <c r="BF360" s="118" t="s">
        <v>23</v>
      </c>
      <c r="BG360" s="49" t="s">
        <v>1371</v>
      </c>
      <c r="BH360" s="49" t="s">
        <v>1371</v>
      </c>
      <c r="BI360" s="1"/>
      <c r="BJ360" s="70" t="s">
        <v>1281</v>
      </c>
      <c r="BK360" s="57" t="s">
        <v>1281</v>
      </c>
      <c r="BL360" s="57" t="s">
        <v>1281</v>
      </c>
      <c r="BM360" s="57" t="s">
        <v>1281</v>
      </c>
      <c r="BN360" s="57" t="s">
        <v>1281</v>
      </c>
      <c r="BO360" s="57" t="s">
        <v>1281</v>
      </c>
      <c r="BP360" s="57" t="s">
        <v>1281</v>
      </c>
      <c r="BQ360" s="57" t="s">
        <v>1281</v>
      </c>
      <c r="BR360" s="57" t="s">
        <v>1281</v>
      </c>
      <c r="BS360" s="57" t="s">
        <v>1281</v>
      </c>
      <c r="BT360" s="57" t="s">
        <v>1281</v>
      </c>
      <c r="BU360" s="57" t="s">
        <v>1281</v>
      </c>
      <c r="BV360" s="70">
        <f>E360</f>
        <v>71</v>
      </c>
      <c r="BW360" s="71" t="str">
        <f>I360</f>
        <v>-</v>
      </c>
      <c r="BX360" s="72">
        <f>M360</f>
        <v>108</v>
      </c>
      <c r="BY360" s="71">
        <f>Q360</f>
        <v>138</v>
      </c>
      <c r="BZ360" s="72">
        <f>U360</f>
        <v>144</v>
      </c>
      <c r="CA360" s="71">
        <f>Y360</f>
        <v>180</v>
      </c>
      <c r="CB360" s="72">
        <f>AC360</f>
        <v>187</v>
      </c>
      <c r="CC360" s="71">
        <f>AG360</f>
        <v>226</v>
      </c>
      <c r="CD360" s="72">
        <f>AK360</f>
        <v>235</v>
      </c>
      <c r="CE360" s="71">
        <f>AO360</f>
        <v>278</v>
      </c>
      <c r="CF360" s="72">
        <f>AS360</f>
        <v>322</v>
      </c>
      <c r="CG360" s="71">
        <f>AW360</f>
        <v>348</v>
      </c>
      <c r="CH360" s="70">
        <f>G360</f>
        <v>103</v>
      </c>
      <c r="CI360" s="71" t="str">
        <f>K360</f>
        <v>-</v>
      </c>
      <c r="CJ360" s="72">
        <f>O360</f>
        <v>137</v>
      </c>
      <c r="CK360" s="72">
        <f>S360</f>
        <v>143</v>
      </c>
      <c r="CL360" s="72">
        <f>W360</f>
        <v>179</v>
      </c>
      <c r="CM360" s="72">
        <f>AA360</f>
        <v>186</v>
      </c>
      <c r="CN360" s="72">
        <f>AE360</f>
        <v>211</v>
      </c>
      <c r="CO360" s="72">
        <f>AI360</f>
        <v>228</v>
      </c>
      <c r="CP360" s="72">
        <f>AM360</f>
        <v>272</v>
      </c>
      <c r="CQ360" s="72">
        <f>AQ360</f>
        <v>317</v>
      </c>
      <c r="CR360" s="72">
        <f>AU360</f>
        <v>347</v>
      </c>
      <c r="CS360" s="72">
        <f>AY360</f>
        <v>362</v>
      </c>
      <c r="CT360" s="23" t="e">
        <f>M360-K360</f>
        <v>#VALUE!</v>
      </c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U360" s="1"/>
      <c r="OV360" s="1"/>
      <c r="OW360" s="1"/>
      <c r="OX360" s="1"/>
      <c r="OY360" s="1"/>
      <c r="OZ360" s="1"/>
      <c r="PA360" s="1"/>
      <c r="PB360" s="1"/>
      <c r="PC360" s="1"/>
      <c r="PD360" s="1"/>
      <c r="PE360" s="1"/>
      <c r="PF360" s="1"/>
      <c r="PG360" s="1"/>
      <c r="PH360" s="1"/>
      <c r="PI360" s="1"/>
      <c r="PJ360" s="1"/>
      <c r="PK360" s="1"/>
      <c r="PL360" s="1"/>
      <c r="PM360" s="1"/>
      <c r="PN360" s="1"/>
      <c r="PO360" s="1"/>
      <c r="PP360" s="1"/>
      <c r="PQ360" s="1"/>
      <c r="PR360" s="1"/>
      <c r="PS360" s="1"/>
      <c r="PT360" s="1"/>
      <c r="PU360" s="1"/>
      <c r="PV360" s="1"/>
      <c r="PW360" s="1"/>
      <c r="PX360" s="1"/>
      <c r="PY360" s="1"/>
      <c r="PZ360" s="1"/>
      <c r="QA360" s="1"/>
      <c r="QB360" s="1"/>
      <c r="QC360" s="1"/>
      <c r="QD360" s="1"/>
      <c r="QE360" s="1"/>
      <c r="QF360" s="1"/>
      <c r="QG360" s="1"/>
      <c r="QH360" s="1"/>
      <c r="QI360" s="1"/>
      <c r="QJ360" s="1"/>
      <c r="QK360" s="1"/>
      <c r="QL360" s="1"/>
      <c r="QM360" s="1"/>
      <c r="QN360" s="1"/>
      <c r="QO360" s="1"/>
      <c r="QP360" s="1"/>
      <c r="QQ360" s="1"/>
      <c r="QR360" s="1"/>
      <c r="QS360" s="1"/>
      <c r="QT360" s="1"/>
      <c r="QU360" s="1"/>
      <c r="QV360" s="1"/>
      <c r="QW360" s="1"/>
      <c r="QX360" s="1"/>
      <c r="QY360" s="1"/>
      <c r="QZ360" s="1"/>
      <c r="RA360" s="1"/>
      <c r="RB360" s="1"/>
      <c r="RC360" s="1"/>
      <c r="RD360" s="1"/>
      <c r="RE360" s="1"/>
      <c r="RF360" s="1"/>
      <c r="RG360" s="1"/>
      <c r="RH360" s="1"/>
      <c r="RI360" s="1"/>
      <c r="RJ360" s="1"/>
      <c r="RK360" s="1"/>
      <c r="RL360" s="1"/>
      <c r="RM360" s="1"/>
      <c r="RN360" s="1"/>
      <c r="RO360" s="1"/>
      <c r="RP360" s="1"/>
      <c r="RQ360" s="1"/>
      <c r="RR360" s="1"/>
      <c r="RS360" s="1"/>
      <c r="RT360" s="1"/>
      <c r="RU360" s="1"/>
      <c r="RV360" s="1"/>
      <c r="RW360" s="1"/>
      <c r="RX360" s="1"/>
      <c r="RY360" s="1"/>
      <c r="RZ360" s="1"/>
      <c r="SA360" s="1"/>
      <c r="SB360" s="1"/>
      <c r="SC360" s="1"/>
      <c r="SD360" s="1"/>
      <c r="SE360" s="1"/>
      <c r="SF360" s="1"/>
      <c r="SG360" s="1"/>
      <c r="SH360" s="1"/>
      <c r="SI360" s="1"/>
      <c r="SJ360" s="1"/>
      <c r="SK360" s="1"/>
      <c r="SL360" s="1"/>
      <c r="SM360" s="1"/>
      <c r="SN360" s="1"/>
      <c r="SO360" s="1"/>
      <c r="SP360" s="1"/>
      <c r="SQ360" s="1"/>
      <c r="SR360" s="1"/>
      <c r="SS360" s="1"/>
      <c r="ST360" s="1"/>
      <c r="SU360" s="1"/>
      <c r="SV360" s="1"/>
      <c r="SW360" s="1"/>
      <c r="SX360" s="1"/>
      <c r="SY360" s="1"/>
      <c r="SZ360" s="1"/>
      <c r="TA360" s="1"/>
      <c r="TB360" s="1"/>
      <c r="TC360" s="1"/>
      <c r="TD360" s="1"/>
      <c r="TE360" s="1"/>
      <c r="TF360" s="1"/>
      <c r="TG360" s="1"/>
      <c r="TH360" s="1"/>
      <c r="TI360" s="1"/>
      <c r="TJ360" s="1"/>
      <c r="TK360" s="1"/>
      <c r="TL360" s="1"/>
      <c r="TM360" s="1"/>
      <c r="TN360" s="1"/>
      <c r="TO360" s="1"/>
      <c r="TP360" s="1"/>
      <c r="TQ360" s="1"/>
      <c r="TR360" s="1"/>
      <c r="TS360" s="1"/>
      <c r="TT360" s="1"/>
      <c r="TU360" s="1"/>
      <c r="TV360" s="1"/>
      <c r="TW360" s="1"/>
      <c r="TX360" s="1"/>
      <c r="TY360" s="1"/>
      <c r="TZ360" s="1"/>
      <c r="UA360" s="1"/>
      <c r="UB360" s="1"/>
      <c r="UC360" s="1"/>
      <c r="UD360" s="1"/>
      <c r="UE360" s="1"/>
      <c r="UF360" s="1"/>
      <c r="UG360" s="1"/>
      <c r="UH360" s="1"/>
      <c r="UI360" s="1"/>
      <c r="UJ360" s="1"/>
      <c r="UK360" s="1"/>
      <c r="UL360" s="1"/>
      <c r="UM360" s="1"/>
      <c r="UN360" s="1"/>
      <c r="UO360" s="1"/>
      <c r="UP360" s="1"/>
      <c r="UQ360" s="1"/>
      <c r="UR360" s="1"/>
      <c r="US360" s="1"/>
      <c r="UT360" s="1"/>
      <c r="UU360" s="1"/>
      <c r="UV360" s="1"/>
      <c r="UW360" s="1"/>
      <c r="UX360" s="1"/>
      <c r="UY360" s="1"/>
      <c r="UZ360" s="1"/>
      <c r="VA360" s="1"/>
      <c r="VB360" s="1"/>
      <c r="VC360" s="1"/>
      <c r="VD360" s="1"/>
      <c r="VE360" s="1"/>
      <c r="VF360" s="1"/>
      <c r="VG360" s="1"/>
      <c r="VH360" s="1"/>
      <c r="VI360" s="1"/>
      <c r="VJ360" s="1"/>
      <c r="VK360" s="1"/>
      <c r="VL360" s="1"/>
      <c r="VM360" s="1"/>
      <c r="VN360" s="1"/>
      <c r="VO360" s="1"/>
      <c r="VP360" s="1"/>
      <c r="VQ360" s="1"/>
      <c r="VR360" s="1"/>
      <c r="VS360" s="1"/>
      <c r="VT360" s="1"/>
      <c r="VU360" s="1"/>
      <c r="VV360" s="1"/>
      <c r="VW360" s="1"/>
      <c r="VX360" s="1"/>
      <c r="VY360" s="1"/>
      <c r="VZ360" s="1"/>
      <c r="WA360" s="1"/>
      <c r="WB360" s="1"/>
      <c r="WC360" s="1"/>
      <c r="WD360" s="1"/>
      <c r="WE360" s="1"/>
      <c r="WF360" s="1"/>
      <c r="WG360" s="1"/>
      <c r="WH360" s="1"/>
      <c r="WI360" s="1"/>
      <c r="WJ360" s="1"/>
      <c r="WK360" s="1"/>
      <c r="WL360" s="1"/>
      <c r="WM360" s="1"/>
      <c r="WN360" s="1"/>
      <c r="WO360" s="1"/>
      <c r="WP360" s="1"/>
      <c r="WQ360" s="1"/>
      <c r="WR360" s="1"/>
      <c r="WS360" s="1"/>
      <c r="WT360" s="1"/>
      <c r="WU360" s="1"/>
      <c r="WV360" s="1"/>
      <c r="WW360" s="1"/>
      <c r="WX360" s="1"/>
      <c r="WY360" s="1"/>
      <c r="WZ360" s="1"/>
      <c r="XA360" s="1"/>
      <c r="XB360" s="1"/>
      <c r="XC360" s="1"/>
      <c r="XD360" s="1"/>
      <c r="XE360" s="1"/>
      <c r="XF360" s="1"/>
      <c r="XG360" s="1"/>
      <c r="XH360" s="1"/>
      <c r="XI360" s="1"/>
      <c r="XJ360" s="1"/>
      <c r="XK360" s="1"/>
      <c r="XL360" s="1"/>
      <c r="XM360" s="1"/>
      <c r="XN360" s="1"/>
      <c r="XO360" s="1"/>
      <c r="XP360" s="1"/>
      <c r="XQ360" s="1"/>
      <c r="XR360" s="1"/>
      <c r="XS360" s="1"/>
      <c r="XT360" s="1"/>
      <c r="XU360" s="1"/>
      <c r="XV360" s="1"/>
      <c r="XW360" s="1"/>
      <c r="XX360" s="1"/>
      <c r="XY360" s="1"/>
      <c r="XZ360" s="1"/>
      <c r="YA360" s="1"/>
      <c r="YB360" s="1"/>
      <c r="YC360" s="1"/>
      <c r="YD360" s="1"/>
      <c r="YE360" s="1"/>
      <c r="YF360" s="1"/>
      <c r="YG360" s="1"/>
      <c r="YH360" s="1"/>
      <c r="YI360" s="1"/>
      <c r="YJ360" s="1"/>
      <c r="YK360" s="1"/>
      <c r="YL360" s="1"/>
      <c r="YM360" s="1"/>
      <c r="YN360" s="1"/>
      <c r="YO360" s="1"/>
      <c r="YP360" s="1"/>
      <c r="YQ360" s="1"/>
      <c r="YR360" s="1"/>
      <c r="YS360" s="1"/>
      <c r="YT360" s="1"/>
      <c r="YU360" s="1"/>
      <c r="YV360" s="1"/>
      <c r="YW360" s="1"/>
      <c r="YX360" s="1"/>
      <c r="YY360" s="1"/>
      <c r="YZ360" s="1"/>
      <c r="ZA360" s="1"/>
      <c r="ZB360" s="1"/>
      <c r="ZC360" s="1"/>
      <c r="ZD360" s="1"/>
      <c r="ZE360" s="1"/>
      <c r="ZF360" s="1"/>
      <c r="ZG360" s="1"/>
      <c r="ZH360" s="1"/>
      <c r="ZI360" s="1"/>
      <c r="ZJ360" s="1"/>
      <c r="ZK360" s="1"/>
      <c r="ZL360" s="1"/>
      <c r="ZM360" s="1"/>
      <c r="ZN360" s="1"/>
      <c r="ZO360" s="1"/>
      <c r="ZP360" s="1"/>
      <c r="ZQ360" s="1"/>
      <c r="ZR360" s="1"/>
      <c r="ZS360" s="1"/>
      <c r="ZT360" s="1"/>
      <c r="ZU360" s="1"/>
      <c r="ZV360" s="1"/>
      <c r="ZW360" s="1"/>
      <c r="ZX360" s="1"/>
      <c r="ZY360" s="1"/>
      <c r="ZZ360" s="1"/>
      <c r="AAA360" s="1"/>
      <c r="AAB360" s="1"/>
      <c r="AAC360" s="1"/>
      <c r="AAD360" s="1"/>
      <c r="AAE360" s="1"/>
      <c r="AAF360" s="1"/>
      <c r="AAG360" s="1"/>
      <c r="AAH360" s="1"/>
      <c r="AAI360" s="1"/>
      <c r="AAJ360" s="1"/>
      <c r="AAK360" s="1"/>
      <c r="AAL360" s="1"/>
      <c r="AAM360" s="1"/>
      <c r="AAN360" s="1"/>
      <c r="AAO360" s="1"/>
      <c r="AAP360" s="1"/>
      <c r="AAQ360" s="1"/>
      <c r="AAR360" s="1"/>
      <c r="AAS360" s="1"/>
      <c r="AAT360" s="1"/>
      <c r="AAU360" s="1"/>
      <c r="AAV360" s="1"/>
      <c r="AAW360" s="1"/>
      <c r="AAX360" s="1"/>
      <c r="AAY360" s="1"/>
      <c r="AAZ360" s="1"/>
      <c r="ABA360" s="1"/>
      <c r="ABB360" s="1"/>
      <c r="ABC360" s="1"/>
      <c r="ABD360" s="1"/>
      <c r="ABE360" s="1"/>
      <c r="ABF360" s="1"/>
      <c r="ABG360" s="1"/>
      <c r="ABH360" s="1"/>
      <c r="ABI360" s="1"/>
      <c r="ABJ360" s="1"/>
      <c r="ABK360" s="1"/>
      <c r="ABL360" s="1"/>
      <c r="ABM360" s="1"/>
      <c r="ABN360" s="1"/>
      <c r="ABO360" s="1"/>
      <c r="ABP360" s="1"/>
      <c r="ABQ360" s="1"/>
      <c r="ABR360" s="1"/>
      <c r="ABS360" s="1"/>
      <c r="ABT360" s="1"/>
      <c r="ABU360" s="1"/>
      <c r="ABV360" s="1"/>
      <c r="ABW360" s="1"/>
      <c r="ABX360" s="1"/>
      <c r="ABY360" s="1"/>
      <c r="ABZ360" s="1"/>
      <c r="ACA360" s="1"/>
      <c r="ACB360" s="1"/>
      <c r="ACC360" s="1"/>
      <c r="ACD360" s="1"/>
      <c r="ACE360" s="1"/>
      <c r="ACF360" s="1"/>
      <c r="ACG360" s="1"/>
      <c r="ACH360" s="1"/>
      <c r="ACI360" s="1"/>
      <c r="ACJ360" s="1"/>
      <c r="ACK360" s="1"/>
      <c r="ACL360" s="1"/>
      <c r="ACM360" s="1"/>
      <c r="ACN360" s="1"/>
      <c r="ACO360" s="1"/>
      <c r="ACP360" s="1"/>
      <c r="ACQ360" s="1"/>
      <c r="ACR360" s="1"/>
      <c r="ACS360" s="1"/>
      <c r="ACT360" s="1"/>
      <c r="ACU360" s="1"/>
      <c r="ACV360" s="1"/>
      <c r="ACW360" s="1"/>
      <c r="ACX360" s="1"/>
      <c r="ACY360" s="1"/>
      <c r="ACZ360" s="1"/>
      <c r="ADA360" s="1"/>
      <c r="ADB360" s="1"/>
      <c r="ADC360" s="1"/>
      <c r="ADD360" s="1"/>
      <c r="ADE360" s="1"/>
      <c r="ADF360" s="1"/>
      <c r="ADG360" s="1"/>
      <c r="ADH360" s="1"/>
      <c r="ADI360" s="1"/>
      <c r="ADJ360" s="1"/>
      <c r="ADK360" s="1"/>
      <c r="ADL360" s="1"/>
      <c r="ADM360" s="1"/>
      <c r="ADN360" s="1"/>
      <c r="ADO360" s="1"/>
      <c r="ADP360" s="1"/>
      <c r="ADQ360" s="1"/>
      <c r="ADR360" s="1"/>
      <c r="ADS360" s="1"/>
      <c r="ADT360" s="1"/>
      <c r="ADU360" s="1"/>
      <c r="ADV360" s="1"/>
      <c r="ADW360" s="1"/>
      <c r="ADX360" s="1"/>
      <c r="ADY360" s="1"/>
      <c r="ADZ360" s="1"/>
      <c r="AEA360" s="1"/>
      <c r="AEB360" s="1"/>
      <c r="AEC360" s="1"/>
      <c r="AED360" s="1"/>
      <c r="AEE360" s="1"/>
      <c r="AEF360" s="1"/>
      <c r="AEG360" s="1"/>
      <c r="AEH360" s="1"/>
      <c r="AEI360" s="1"/>
      <c r="AEJ360" s="1"/>
      <c r="AEK360" s="1"/>
      <c r="AEL360" s="1"/>
      <c r="AEM360" s="1"/>
      <c r="AEN360" s="1"/>
      <c r="AEO360" s="1"/>
      <c r="AEP360" s="1"/>
      <c r="AEQ360" s="1"/>
      <c r="AER360" s="1"/>
      <c r="AES360" s="1"/>
      <c r="AET360" s="1"/>
      <c r="AEU360" s="1"/>
      <c r="AEV360" s="1"/>
      <c r="AEW360" s="1"/>
      <c r="AEX360" s="1"/>
      <c r="AEY360" s="1"/>
      <c r="AEZ360" s="1"/>
      <c r="AFA360" s="1"/>
      <c r="AFB360" s="1"/>
      <c r="AFC360" s="1"/>
      <c r="AFD360" s="1"/>
      <c r="AFE360" s="1"/>
      <c r="AFF360" s="1"/>
      <c r="AFG360" s="1"/>
      <c r="AFH360" s="1"/>
      <c r="AFI360" s="1"/>
      <c r="AFJ360" s="1"/>
      <c r="AFK360" s="1"/>
      <c r="AFL360" s="1"/>
      <c r="AFM360" s="1"/>
      <c r="AFN360" s="1"/>
      <c r="AFO360" s="1"/>
      <c r="AFP360" s="1"/>
      <c r="AFQ360" s="1"/>
      <c r="AFR360" s="1"/>
      <c r="AFS360" s="1"/>
      <c r="AFT360" s="1"/>
      <c r="AFU360" s="1"/>
      <c r="AFV360" s="1"/>
      <c r="AFW360" s="1"/>
      <c r="AFX360" s="1"/>
      <c r="AFY360" s="1"/>
      <c r="AFZ360" s="1"/>
      <c r="AGA360" s="1"/>
      <c r="AGB360" s="1"/>
      <c r="AGC360" s="1"/>
      <c r="AGD360" s="1"/>
      <c r="AGE360" s="1"/>
      <c r="AGF360" s="1"/>
      <c r="AGG360" s="1"/>
      <c r="AGH360" s="1"/>
      <c r="AGI360" s="1"/>
      <c r="AGJ360" s="1"/>
      <c r="AGK360" s="1"/>
      <c r="AGL360" s="1"/>
      <c r="AGM360" s="1"/>
      <c r="AGN360" s="1"/>
      <c r="AGO360" s="1"/>
      <c r="AGP360" s="1"/>
      <c r="AGQ360" s="1"/>
      <c r="AGR360" s="1"/>
      <c r="AGS360" s="1"/>
      <c r="AGT360" s="1"/>
      <c r="AGU360" s="1"/>
      <c r="AGV360" s="1"/>
      <c r="AGW360" s="1"/>
      <c r="AGX360" s="1"/>
      <c r="AGY360" s="1"/>
      <c r="AGZ360" s="1"/>
      <c r="AHA360" s="1"/>
      <c r="AHB360" s="1"/>
      <c r="AHC360" s="1"/>
      <c r="AHD360" s="1"/>
      <c r="AHE360" s="1"/>
      <c r="AHF360" s="1"/>
      <c r="AHG360" s="1"/>
      <c r="AHH360" s="1"/>
      <c r="AHI360" s="1"/>
      <c r="AHJ360" s="1"/>
      <c r="AHK360" s="1"/>
      <c r="AHL360" s="1"/>
      <c r="AHM360" s="1"/>
      <c r="AHN360" s="1"/>
      <c r="AHO360" s="1"/>
      <c r="AHP360" s="1"/>
      <c r="AHQ360" s="1"/>
      <c r="AHR360" s="1"/>
      <c r="AHS360" s="1"/>
      <c r="AHT360" s="1"/>
      <c r="AHU360" s="1"/>
      <c r="AHV360" s="1"/>
      <c r="AHW360" s="1"/>
      <c r="AHX360" s="1"/>
      <c r="AHY360" s="1"/>
      <c r="AHZ360" s="1"/>
      <c r="AIA360" s="1"/>
      <c r="AIB360" s="1"/>
      <c r="AIC360" s="1"/>
      <c r="AID360" s="1"/>
      <c r="AIE360" s="1"/>
      <c r="AIF360" s="1"/>
      <c r="AIG360" s="1"/>
      <c r="AIH360" s="1"/>
      <c r="AII360" s="1"/>
      <c r="AIJ360" s="1"/>
      <c r="AIK360" s="1"/>
      <c r="AIL360" s="1"/>
      <c r="AIM360" s="1"/>
      <c r="AIN360" s="1"/>
      <c r="AIO360" s="1"/>
      <c r="AIP360" s="1"/>
      <c r="AIQ360" s="1"/>
      <c r="AIR360" s="1"/>
      <c r="AIS360" s="1"/>
      <c r="AIT360" s="1"/>
      <c r="AIU360" s="1"/>
      <c r="AIV360" s="1"/>
      <c r="AIW360" s="1"/>
      <c r="AIX360" s="1"/>
      <c r="AIY360" s="1"/>
      <c r="AIZ360" s="1"/>
      <c r="AJA360" s="1"/>
      <c r="AJB360" s="1"/>
      <c r="AJC360" s="1"/>
      <c r="AJD360" s="1"/>
      <c r="AJE360" s="1"/>
      <c r="AJF360" s="1"/>
      <c r="AJG360" s="1"/>
      <c r="AJH360" s="1"/>
      <c r="AJI360" s="1"/>
      <c r="AJJ360" s="1"/>
      <c r="AJK360" s="1"/>
      <c r="AJL360" s="1"/>
      <c r="AJM360" s="1"/>
      <c r="AJN360" s="1"/>
      <c r="AJO360" s="1"/>
      <c r="AJP360" s="1"/>
      <c r="AJQ360" s="1"/>
      <c r="AJR360" s="1"/>
      <c r="AJS360" s="1"/>
      <c r="AJT360" s="1"/>
      <c r="AJU360" s="1"/>
      <c r="AJV360" s="1"/>
      <c r="AJW360" s="1"/>
      <c r="AJX360" s="1"/>
      <c r="AJY360" s="1"/>
      <c r="AJZ360" s="1"/>
      <c r="AKA360" s="1"/>
      <c r="AKB360" s="1"/>
      <c r="AKC360" s="1"/>
      <c r="AKD360" s="1"/>
      <c r="AKE360" s="1"/>
      <c r="AKF360" s="1"/>
      <c r="AKG360" s="1"/>
      <c r="AKH360" s="1"/>
      <c r="AKI360" s="1"/>
      <c r="AKJ360" s="1"/>
      <c r="AKK360" s="1"/>
      <c r="AKL360" s="1"/>
      <c r="AKM360" s="1"/>
      <c r="AKN360" s="1"/>
      <c r="AKO360" s="1"/>
      <c r="AKP360" s="1"/>
      <c r="AKQ360" s="1"/>
      <c r="AKR360" s="1"/>
      <c r="AKS360" s="1"/>
      <c r="AKT360" s="1"/>
      <c r="AKU360" s="1"/>
      <c r="AKV360" s="1"/>
      <c r="AKW360" s="1"/>
      <c r="AKX360" s="1"/>
      <c r="AKY360" s="1"/>
      <c r="AKZ360" s="1"/>
      <c r="ALA360" s="1"/>
      <c r="ALB360" s="1"/>
      <c r="ALC360" s="1"/>
      <c r="ALD360" s="1"/>
      <c r="ALE360" s="1"/>
      <c r="ALF360" s="1"/>
      <c r="ALG360" s="1"/>
      <c r="ALH360" s="1"/>
      <c r="ALI360" s="1"/>
      <c r="ALJ360" s="1"/>
      <c r="ALK360" s="1"/>
      <c r="ALL360" s="1"/>
      <c r="ALM360" s="1"/>
      <c r="ALN360" s="1"/>
      <c r="ALO360" s="1"/>
      <c r="ALP360" s="1"/>
      <c r="ALQ360" s="1"/>
      <c r="ALR360" s="1"/>
      <c r="ALS360" s="1"/>
      <c r="ALT360" s="1"/>
      <c r="ALU360" s="1"/>
      <c r="ALV360" s="1"/>
      <c r="ALW360" s="1"/>
      <c r="ALX360" s="1"/>
      <c r="ALY360" s="1"/>
      <c r="ALZ360" s="1"/>
      <c r="AMA360" s="1"/>
      <c r="AMB360" s="1"/>
      <c r="AMC360" s="1"/>
      <c r="AMD360" s="1"/>
      <c r="AME360" s="1"/>
      <c r="AMF360" s="1"/>
      <c r="AMG360" s="1"/>
      <c r="AMH360" s="1"/>
      <c r="AMI360" s="1"/>
      <c r="AMJ360" s="1"/>
      <c r="AMK360" s="1"/>
      <c r="AML360" s="1"/>
      <c r="AMM360" s="1"/>
      <c r="AMN360" s="1"/>
      <c r="AMO360" s="1"/>
    </row>
    <row r="361" spans="1:1029" x14ac:dyDescent="0.2">
      <c r="A361" s="3" t="str">
        <f>CONCATENATE(B361,"_",C361)</f>
        <v>par2_human_5NDD</v>
      </c>
      <c r="B361" s="3" t="s">
        <v>355</v>
      </c>
      <c r="C361" s="3" t="s">
        <v>1390</v>
      </c>
      <c r="D361" s="3" t="str">
        <f>IFERROR(MID(VLOOKUP($B361,Seqs!$A:$B,2,0),E361,1),"")</f>
        <v>G</v>
      </c>
      <c r="E361" s="3">
        <v>71</v>
      </c>
      <c r="F361" s="3" t="str">
        <f>IFERROR(MID(VLOOKUP($B361,Seqs!$A:$B,2,0),G361,1),"")</f>
        <v>R</v>
      </c>
      <c r="G361" s="3">
        <v>103</v>
      </c>
      <c r="H361" s="3" t="str">
        <f>IFERROR(MID(VLOOKUP($B361,Seqs!$A:$B,2,0),I361,1),"")</f>
        <v/>
      </c>
      <c r="I361" s="23" t="s">
        <v>23</v>
      </c>
      <c r="J361" s="3" t="str">
        <f>IFERROR(MID(VLOOKUP($B361,Seqs!$A:$B,2,0),K361,1),"")</f>
        <v/>
      </c>
      <c r="K361" s="23" t="s">
        <v>23</v>
      </c>
      <c r="L361" s="3" t="str">
        <f>IFERROR(MID(VLOOKUP($B361,Seqs!$A:$B,2,0),M361,1),"")</f>
        <v>H</v>
      </c>
      <c r="M361" s="3">
        <v>108</v>
      </c>
      <c r="N361" s="3" t="str">
        <f>IFERROR(MID(VLOOKUP($B361,Seqs!$A:$B,2,0),O361,1),"")</f>
        <v>H</v>
      </c>
      <c r="O361" s="3">
        <v>137</v>
      </c>
      <c r="P361" s="3" t="str">
        <f>IFERROR(MID(VLOOKUP($B361,Seqs!$A:$B,2,0),Q361,1),"")</f>
        <v>G</v>
      </c>
      <c r="Q361" s="3">
        <v>138</v>
      </c>
      <c r="R361" s="3" t="str">
        <f>IFERROR(MID(VLOOKUP($B361,Seqs!$A:$B,2,0),S361,1),"")</f>
        <v>Y</v>
      </c>
      <c r="S361" s="3">
        <v>143</v>
      </c>
      <c r="T361" s="3" t="str">
        <f>IFERROR(MID(VLOOKUP($B361,Seqs!$A:$B,2,0),U361,1),"")</f>
        <v>G</v>
      </c>
      <c r="U361" s="3">
        <v>144</v>
      </c>
      <c r="V361" s="3" t="str">
        <f>IFERROR(MID(VLOOKUP($B361,Seqs!$A:$B,2,0),W361,1),"")</f>
        <v>N</v>
      </c>
      <c r="W361" s="3">
        <v>179</v>
      </c>
      <c r="X361" s="3" t="str">
        <f>IFERROR(MID(VLOOKUP($B361,Seqs!$A:$B,2,0),Y361,1),"")</f>
        <v/>
      </c>
      <c r="Y361" s="3" t="s">
        <v>23</v>
      </c>
      <c r="Z361" s="3" t="str">
        <f>IFERROR(MID(VLOOKUP($B361,Seqs!$A:$B,2,0),AA361,1),"")</f>
        <v/>
      </c>
      <c r="AA361" s="3" t="s">
        <v>23</v>
      </c>
      <c r="AB361" s="3" t="str">
        <f>IFERROR(MID(VLOOKUP($B361,Seqs!$A:$B,2,0),AC361,1),"")</f>
        <v>H</v>
      </c>
      <c r="AC361" s="3">
        <v>183</v>
      </c>
      <c r="AD361" s="3" t="str">
        <f>IFERROR(MID(VLOOKUP($B361,Seqs!$A:$B,2,0),AE361,1),"")</f>
        <v>V</v>
      </c>
      <c r="AE361" s="3">
        <v>211</v>
      </c>
      <c r="AF361" s="3" t="str">
        <f>IFERROR(MID(VLOOKUP($B361,Seqs!$A:$B,2,0),AG361,1),"")</f>
        <v>C</v>
      </c>
      <c r="AG361" s="3">
        <v>226</v>
      </c>
      <c r="AH361" s="3" t="str">
        <f>IFERROR(MID(VLOOKUP($B361,Seqs!$A:$B,2,0),AI361,1),"")</f>
        <v>D</v>
      </c>
      <c r="AI361" s="3">
        <v>228</v>
      </c>
      <c r="AJ361" s="3" t="str">
        <f>IFERROR(MID(VLOOKUP($B361,Seqs!$A:$B,2,0),AK361,1),"")</f>
        <v>L</v>
      </c>
      <c r="AK361" s="3">
        <v>235</v>
      </c>
      <c r="AL361" s="3" t="str">
        <f>IFERROR(MID(VLOOKUP($B361,Seqs!$A:$B,2,0),AM361,1),"")</f>
        <v>L</v>
      </c>
      <c r="AM361" s="3">
        <v>269</v>
      </c>
      <c r="AN361" s="3" t="str">
        <f>IFERROR(MID(VLOOKUP($B361,Seqs!$A:$B,2,0),AO361,1),"")</f>
        <v>S</v>
      </c>
      <c r="AO361" s="3">
        <v>278</v>
      </c>
      <c r="AP361" s="3" t="str">
        <f>IFERROR(MID(VLOOKUP($B361,Seqs!$A:$B,2,0),AQ361,1),"")</f>
        <v>Q</v>
      </c>
      <c r="AQ361" s="3">
        <v>317</v>
      </c>
      <c r="AR361" s="3" t="str">
        <f>IFERROR(MID(VLOOKUP($B361,Seqs!$A:$B,2,0),AS361,1),"")</f>
        <v>V</v>
      </c>
      <c r="AS361" s="3">
        <v>322</v>
      </c>
      <c r="AT361" s="3" t="str">
        <f>IFERROR(MID(VLOOKUP($B361,Seqs!$A:$B,2,0),AU361,1),"")</f>
        <v>V</v>
      </c>
      <c r="AU361" s="3">
        <v>347</v>
      </c>
      <c r="AV361" s="3" t="str">
        <f>IFERROR(MID(VLOOKUP($B361,Seqs!$A:$B,2,0),AW361,1),"")</f>
        <v>S</v>
      </c>
      <c r="AW361" s="3">
        <v>348</v>
      </c>
      <c r="AX361" s="3" t="str">
        <f>IFERROR(MID(VLOOKUP($B361,Seqs!$A:$B,2,0),AY361,1),"")</f>
        <v>L</v>
      </c>
      <c r="AY361" s="3">
        <v>359</v>
      </c>
      <c r="AZ361" s="77" t="str">
        <f>VLOOKUP(B361,Classification!A:D,2,0)</f>
        <v>A</v>
      </c>
      <c r="BA361" s="94" t="str">
        <f>VLOOKUP(B361,Classification!A:D,4,0)</f>
        <v>Proteinase-activated</v>
      </c>
      <c r="BB361" s="27" t="b">
        <f t="shared" si="1151"/>
        <v>1</v>
      </c>
      <c r="BC361" s="23">
        <f t="shared" si="1152"/>
        <v>252</v>
      </c>
      <c r="BD361" s="2" t="s">
        <v>1423</v>
      </c>
      <c r="BE361" s="3" t="s">
        <v>1422</v>
      </c>
      <c r="BF361" s="118">
        <v>2.8</v>
      </c>
      <c r="BG361" s="49" t="s">
        <v>1</v>
      </c>
      <c r="BH361" s="49" t="s">
        <v>1371</v>
      </c>
      <c r="BI361" s="1"/>
      <c r="BJ361" s="70" t="s">
        <v>1281</v>
      </c>
      <c r="BK361" s="57" t="s">
        <v>1281</v>
      </c>
      <c r="BL361" s="57" t="s">
        <v>1281</v>
      </c>
      <c r="BM361" s="57" t="s">
        <v>1281</v>
      </c>
      <c r="BN361" s="57" t="s">
        <v>1281</v>
      </c>
      <c r="BO361" s="57" t="s">
        <v>1281</v>
      </c>
      <c r="BP361" s="57" t="s">
        <v>1281</v>
      </c>
      <c r="BQ361" s="57" t="s">
        <v>1281</v>
      </c>
      <c r="BR361" s="57" t="s">
        <v>1281</v>
      </c>
      <c r="BS361" s="57" t="s">
        <v>1281</v>
      </c>
      <c r="BT361" s="57" t="s">
        <v>1281</v>
      </c>
      <c r="BU361" s="57" t="s">
        <v>1281</v>
      </c>
      <c r="BV361" s="70">
        <f>E361</f>
        <v>71</v>
      </c>
      <c r="BW361" s="71" t="str">
        <f>I361</f>
        <v>-</v>
      </c>
      <c r="BX361" s="72">
        <f>M361</f>
        <v>108</v>
      </c>
      <c r="BY361" s="71">
        <f>Q361</f>
        <v>138</v>
      </c>
      <c r="BZ361" s="72">
        <f>U361</f>
        <v>144</v>
      </c>
      <c r="CA361" s="71" t="str">
        <f>Y361</f>
        <v>-</v>
      </c>
      <c r="CB361" s="72">
        <f>AC361</f>
        <v>183</v>
      </c>
      <c r="CC361" s="71">
        <f>AG361</f>
        <v>226</v>
      </c>
      <c r="CD361" s="72">
        <f>AK361</f>
        <v>235</v>
      </c>
      <c r="CE361" s="71">
        <f>AO361</f>
        <v>278</v>
      </c>
      <c r="CF361" s="72">
        <f>AS361</f>
        <v>322</v>
      </c>
      <c r="CG361" s="71">
        <f>AW361</f>
        <v>348</v>
      </c>
      <c r="CH361" s="70">
        <f>G361</f>
        <v>103</v>
      </c>
      <c r="CI361" s="71" t="str">
        <f>K361</f>
        <v>-</v>
      </c>
      <c r="CJ361" s="72">
        <f>O361</f>
        <v>137</v>
      </c>
      <c r="CK361" s="72">
        <f>S361</f>
        <v>143</v>
      </c>
      <c r="CL361" s="72">
        <f>W361</f>
        <v>179</v>
      </c>
      <c r="CM361" s="72" t="str">
        <f>AA361</f>
        <v>-</v>
      </c>
      <c r="CN361" s="72">
        <f>AE361</f>
        <v>211</v>
      </c>
      <c r="CO361" s="72">
        <f>AI361</f>
        <v>228</v>
      </c>
      <c r="CP361" s="72">
        <f>AM361</f>
        <v>269</v>
      </c>
      <c r="CQ361" s="72">
        <f>AQ361</f>
        <v>317</v>
      </c>
      <c r="CR361" s="72">
        <f>AU361</f>
        <v>347</v>
      </c>
      <c r="CS361" s="72">
        <f>AY361</f>
        <v>359</v>
      </c>
      <c r="CT361" s="23" t="e">
        <f>M361-K361</f>
        <v>#VALUE!</v>
      </c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/>
      <c r="OP361" s="1"/>
      <c r="OQ361" s="1"/>
      <c r="OR361" s="1"/>
      <c r="OS361" s="1"/>
      <c r="OT361" s="1"/>
      <c r="OU361" s="1"/>
      <c r="OV361" s="1"/>
      <c r="OW361" s="1"/>
      <c r="OX361" s="1"/>
      <c r="OY361" s="1"/>
      <c r="OZ361" s="1"/>
      <c r="PA361" s="1"/>
      <c r="PB361" s="1"/>
      <c r="PC361" s="1"/>
      <c r="PD361" s="1"/>
      <c r="PE361" s="1"/>
      <c r="PF361" s="1"/>
      <c r="PG361" s="1"/>
      <c r="PH361" s="1"/>
      <c r="PI361" s="1"/>
      <c r="PJ361" s="1"/>
      <c r="PK361" s="1"/>
      <c r="PL361" s="1"/>
      <c r="PM361" s="1"/>
      <c r="PN361" s="1"/>
      <c r="PO361" s="1"/>
      <c r="PP361" s="1"/>
      <c r="PQ361" s="1"/>
      <c r="PR361" s="1"/>
      <c r="PS361" s="1"/>
      <c r="PT361" s="1"/>
      <c r="PU361" s="1"/>
      <c r="PV361" s="1"/>
      <c r="PW361" s="1"/>
      <c r="PX361" s="1"/>
      <c r="PY361" s="1"/>
      <c r="PZ361" s="1"/>
      <c r="QA361" s="1"/>
      <c r="QB361" s="1"/>
      <c r="QC361" s="1"/>
      <c r="QD361" s="1"/>
      <c r="QE361" s="1"/>
      <c r="QF361" s="1"/>
      <c r="QG361" s="1"/>
      <c r="QH361" s="1"/>
      <c r="QI361" s="1"/>
      <c r="QJ361" s="1"/>
      <c r="QK361" s="1"/>
      <c r="QL361" s="1"/>
      <c r="QM361" s="1"/>
      <c r="QN361" s="1"/>
      <c r="QO361" s="1"/>
      <c r="QP361" s="1"/>
      <c r="QQ361" s="1"/>
      <c r="QR361" s="1"/>
      <c r="QS361" s="1"/>
      <c r="QT361" s="1"/>
      <c r="QU361" s="1"/>
      <c r="QV361" s="1"/>
      <c r="QW361" s="1"/>
      <c r="QX361" s="1"/>
      <c r="QY361" s="1"/>
      <c r="QZ361" s="1"/>
      <c r="RA361" s="1"/>
      <c r="RB361" s="1"/>
      <c r="RC361" s="1"/>
      <c r="RD361" s="1"/>
      <c r="RE361" s="1"/>
      <c r="RF361" s="1"/>
      <c r="RG361" s="1"/>
      <c r="RH361" s="1"/>
      <c r="RI361" s="1"/>
      <c r="RJ361" s="1"/>
      <c r="RK361" s="1"/>
      <c r="RL361" s="1"/>
      <c r="RM361" s="1"/>
      <c r="RN361" s="1"/>
      <c r="RO361" s="1"/>
      <c r="RP361" s="1"/>
      <c r="RQ361" s="1"/>
      <c r="RR361" s="1"/>
      <c r="RS361" s="1"/>
      <c r="RT361" s="1"/>
      <c r="RU361" s="1"/>
      <c r="RV361" s="1"/>
      <c r="RW361" s="1"/>
      <c r="RX361" s="1"/>
      <c r="RY361" s="1"/>
      <c r="RZ361" s="1"/>
      <c r="SA361" s="1"/>
      <c r="SB361" s="1"/>
      <c r="SC361" s="1"/>
      <c r="SD361" s="1"/>
      <c r="SE361" s="1"/>
      <c r="SF361" s="1"/>
      <c r="SG361" s="1"/>
      <c r="SH361" s="1"/>
      <c r="SI361" s="1"/>
      <c r="SJ361" s="1"/>
      <c r="SK361" s="1"/>
      <c r="SL361" s="1"/>
      <c r="SM361" s="1"/>
      <c r="SN361" s="1"/>
      <c r="SO361" s="1"/>
      <c r="SP361" s="1"/>
      <c r="SQ361" s="1"/>
      <c r="SR361" s="1"/>
      <c r="SS361" s="1"/>
      <c r="ST361" s="1"/>
      <c r="SU361" s="1"/>
      <c r="SV361" s="1"/>
      <c r="SW361" s="1"/>
      <c r="SX361" s="1"/>
      <c r="SY361" s="1"/>
      <c r="SZ361" s="1"/>
      <c r="TA361" s="1"/>
      <c r="TB361" s="1"/>
      <c r="TC361" s="1"/>
      <c r="TD361" s="1"/>
      <c r="TE361" s="1"/>
      <c r="TF361" s="1"/>
      <c r="TG361" s="1"/>
      <c r="TH361" s="1"/>
      <c r="TI361" s="1"/>
      <c r="TJ361" s="1"/>
      <c r="TK361" s="1"/>
      <c r="TL361" s="1"/>
      <c r="TM361" s="1"/>
      <c r="TN361" s="1"/>
      <c r="TO361" s="1"/>
      <c r="TP361" s="1"/>
      <c r="TQ361" s="1"/>
      <c r="TR361" s="1"/>
      <c r="TS361" s="1"/>
      <c r="TT361" s="1"/>
      <c r="TU361" s="1"/>
      <c r="TV361" s="1"/>
      <c r="TW361" s="1"/>
      <c r="TX361" s="1"/>
      <c r="TY361" s="1"/>
      <c r="TZ361" s="1"/>
      <c r="UA361" s="1"/>
      <c r="UB361" s="1"/>
      <c r="UC361" s="1"/>
      <c r="UD361" s="1"/>
      <c r="UE361" s="1"/>
      <c r="UF361" s="1"/>
      <c r="UG361" s="1"/>
      <c r="UH361" s="1"/>
      <c r="UI361" s="1"/>
      <c r="UJ361" s="1"/>
      <c r="UK361" s="1"/>
      <c r="UL361" s="1"/>
      <c r="UM361" s="1"/>
      <c r="UN361" s="1"/>
      <c r="UO361" s="1"/>
      <c r="UP361" s="1"/>
      <c r="UQ361" s="1"/>
      <c r="UR361" s="1"/>
      <c r="US361" s="1"/>
      <c r="UT361" s="1"/>
      <c r="UU361" s="1"/>
      <c r="UV361" s="1"/>
      <c r="UW361" s="1"/>
      <c r="UX361" s="1"/>
      <c r="UY361" s="1"/>
      <c r="UZ361" s="1"/>
      <c r="VA361" s="1"/>
      <c r="VB361" s="1"/>
      <c r="VC361" s="1"/>
      <c r="VD361" s="1"/>
      <c r="VE361" s="1"/>
      <c r="VF361" s="1"/>
      <c r="VG361" s="1"/>
      <c r="VH361" s="1"/>
      <c r="VI361" s="1"/>
      <c r="VJ361" s="1"/>
      <c r="VK361" s="1"/>
      <c r="VL361" s="1"/>
      <c r="VM361" s="1"/>
      <c r="VN361" s="1"/>
      <c r="VO361" s="1"/>
      <c r="VP361" s="1"/>
      <c r="VQ361" s="1"/>
      <c r="VR361" s="1"/>
      <c r="VS361" s="1"/>
      <c r="VT361" s="1"/>
      <c r="VU361" s="1"/>
      <c r="VV361" s="1"/>
      <c r="VW361" s="1"/>
      <c r="VX361" s="1"/>
      <c r="VY361" s="1"/>
      <c r="VZ361" s="1"/>
      <c r="WA361" s="1"/>
      <c r="WB361" s="1"/>
      <c r="WC361" s="1"/>
      <c r="WD361" s="1"/>
      <c r="WE361" s="1"/>
      <c r="WF361" s="1"/>
      <c r="WG361" s="1"/>
      <c r="WH361" s="1"/>
      <c r="WI361" s="1"/>
      <c r="WJ361" s="1"/>
      <c r="WK361" s="1"/>
      <c r="WL361" s="1"/>
      <c r="WM361" s="1"/>
      <c r="WN361" s="1"/>
      <c r="WO361" s="1"/>
      <c r="WP361" s="1"/>
      <c r="WQ361" s="1"/>
      <c r="WR361" s="1"/>
      <c r="WS361" s="1"/>
      <c r="WT361" s="1"/>
      <c r="WU361" s="1"/>
      <c r="WV361" s="1"/>
      <c r="WW361" s="1"/>
      <c r="WX361" s="1"/>
      <c r="WY361" s="1"/>
      <c r="WZ361" s="1"/>
      <c r="XA361" s="1"/>
      <c r="XB361" s="1"/>
      <c r="XC361" s="1"/>
      <c r="XD361" s="1"/>
      <c r="XE361" s="1"/>
      <c r="XF361" s="1"/>
      <c r="XG361" s="1"/>
      <c r="XH361" s="1"/>
      <c r="XI361" s="1"/>
      <c r="XJ361" s="1"/>
      <c r="XK361" s="1"/>
      <c r="XL361" s="1"/>
      <c r="XM361" s="1"/>
      <c r="XN361" s="1"/>
      <c r="XO361" s="1"/>
      <c r="XP361" s="1"/>
      <c r="XQ361" s="1"/>
      <c r="XR361" s="1"/>
      <c r="XS361" s="1"/>
      <c r="XT361" s="1"/>
      <c r="XU361" s="1"/>
      <c r="XV361" s="1"/>
      <c r="XW361" s="1"/>
      <c r="XX361" s="1"/>
      <c r="XY361" s="1"/>
      <c r="XZ361" s="1"/>
      <c r="YA361" s="1"/>
      <c r="YB361" s="1"/>
      <c r="YC361" s="1"/>
      <c r="YD361" s="1"/>
      <c r="YE361" s="1"/>
      <c r="YF361" s="1"/>
      <c r="YG361" s="1"/>
      <c r="YH361" s="1"/>
      <c r="YI361" s="1"/>
      <c r="YJ361" s="1"/>
      <c r="YK361" s="1"/>
      <c r="YL361" s="1"/>
      <c r="YM361" s="1"/>
      <c r="YN361" s="1"/>
      <c r="YO361" s="1"/>
      <c r="YP361" s="1"/>
      <c r="YQ361" s="1"/>
      <c r="YR361" s="1"/>
      <c r="YS361" s="1"/>
      <c r="YT361" s="1"/>
      <c r="YU361" s="1"/>
      <c r="YV361" s="1"/>
      <c r="YW361" s="1"/>
      <c r="YX361" s="1"/>
      <c r="YY361" s="1"/>
      <c r="YZ361" s="1"/>
      <c r="ZA361" s="1"/>
      <c r="ZB361" s="1"/>
      <c r="ZC361" s="1"/>
      <c r="ZD361" s="1"/>
      <c r="ZE361" s="1"/>
      <c r="ZF361" s="1"/>
      <c r="ZG361" s="1"/>
      <c r="ZH361" s="1"/>
      <c r="ZI361" s="1"/>
      <c r="ZJ361" s="1"/>
      <c r="ZK361" s="1"/>
      <c r="ZL361" s="1"/>
      <c r="ZM361" s="1"/>
      <c r="ZN361" s="1"/>
      <c r="ZO361" s="1"/>
      <c r="ZP361" s="1"/>
      <c r="ZQ361" s="1"/>
      <c r="ZR361" s="1"/>
      <c r="ZS361" s="1"/>
      <c r="ZT361" s="1"/>
      <c r="ZU361" s="1"/>
      <c r="ZV361" s="1"/>
      <c r="ZW361" s="1"/>
      <c r="ZX361" s="1"/>
      <c r="ZY361" s="1"/>
      <c r="ZZ361" s="1"/>
      <c r="AAA361" s="1"/>
      <c r="AAB361" s="1"/>
      <c r="AAC361" s="1"/>
      <c r="AAD361" s="1"/>
      <c r="AAE361" s="1"/>
      <c r="AAF361" s="1"/>
      <c r="AAG361" s="1"/>
      <c r="AAH361" s="1"/>
      <c r="AAI361" s="1"/>
      <c r="AAJ361" s="1"/>
      <c r="AAK361" s="1"/>
      <c r="AAL361" s="1"/>
      <c r="AAM361" s="1"/>
      <c r="AAN361" s="1"/>
      <c r="AAO361" s="1"/>
      <c r="AAP361" s="1"/>
      <c r="AAQ361" s="1"/>
      <c r="AAR361" s="1"/>
      <c r="AAS361" s="1"/>
      <c r="AAT361" s="1"/>
      <c r="AAU361" s="1"/>
      <c r="AAV361" s="1"/>
      <c r="AAW361" s="1"/>
      <c r="AAX361" s="1"/>
      <c r="AAY361" s="1"/>
      <c r="AAZ361" s="1"/>
      <c r="ABA361" s="1"/>
      <c r="ABB361" s="1"/>
      <c r="ABC361" s="1"/>
      <c r="ABD361" s="1"/>
      <c r="ABE361" s="1"/>
      <c r="ABF361" s="1"/>
      <c r="ABG361" s="1"/>
      <c r="ABH361" s="1"/>
      <c r="ABI361" s="1"/>
      <c r="ABJ361" s="1"/>
      <c r="ABK361" s="1"/>
      <c r="ABL361" s="1"/>
      <c r="ABM361" s="1"/>
      <c r="ABN361" s="1"/>
      <c r="ABO361" s="1"/>
      <c r="ABP361" s="1"/>
      <c r="ABQ361" s="1"/>
      <c r="ABR361" s="1"/>
      <c r="ABS361" s="1"/>
      <c r="ABT361" s="1"/>
      <c r="ABU361" s="1"/>
      <c r="ABV361" s="1"/>
      <c r="ABW361" s="1"/>
      <c r="ABX361" s="1"/>
      <c r="ABY361" s="1"/>
      <c r="ABZ361" s="1"/>
      <c r="ACA361" s="1"/>
      <c r="ACB361" s="1"/>
      <c r="ACC361" s="1"/>
      <c r="ACD361" s="1"/>
      <c r="ACE361" s="1"/>
      <c r="ACF361" s="1"/>
      <c r="ACG361" s="1"/>
      <c r="ACH361" s="1"/>
      <c r="ACI361" s="1"/>
      <c r="ACJ361" s="1"/>
      <c r="ACK361" s="1"/>
      <c r="ACL361" s="1"/>
      <c r="ACM361" s="1"/>
      <c r="ACN361" s="1"/>
      <c r="ACO361" s="1"/>
      <c r="ACP361" s="1"/>
      <c r="ACQ361" s="1"/>
      <c r="ACR361" s="1"/>
      <c r="ACS361" s="1"/>
      <c r="ACT361" s="1"/>
      <c r="ACU361" s="1"/>
      <c r="ACV361" s="1"/>
      <c r="ACW361" s="1"/>
      <c r="ACX361" s="1"/>
      <c r="ACY361" s="1"/>
      <c r="ACZ361" s="1"/>
      <c r="ADA361" s="1"/>
      <c r="ADB361" s="1"/>
      <c r="ADC361" s="1"/>
      <c r="ADD361" s="1"/>
      <c r="ADE361" s="1"/>
      <c r="ADF361" s="1"/>
      <c r="ADG361" s="1"/>
      <c r="ADH361" s="1"/>
      <c r="ADI361" s="1"/>
      <c r="ADJ361" s="1"/>
      <c r="ADK361" s="1"/>
      <c r="ADL361" s="1"/>
      <c r="ADM361" s="1"/>
      <c r="ADN361" s="1"/>
      <c r="ADO361" s="1"/>
      <c r="ADP361" s="1"/>
      <c r="ADQ361" s="1"/>
      <c r="ADR361" s="1"/>
      <c r="ADS361" s="1"/>
      <c r="ADT361" s="1"/>
      <c r="ADU361" s="1"/>
      <c r="ADV361" s="1"/>
      <c r="ADW361" s="1"/>
      <c r="ADX361" s="1"/>
      <c r="ADY361" s="1"/>
      <c r="ADZ361" s="1"/>
      <c r="AEA361" s="1"/>
      <c r="AEB361" s="1"/>
      <c r="AEC361" s="1"/>
      <c r="AED361" s="1"/>
      <c r="AEE361" s="1"/>
      <c r="AEF361" s="1"/>
      <c r="AEG361" s="1"/>
      <c r="AEH361" s="1"/>
      <c r="AEI361" s="1"/>
      <c r="AEJ361" s="1"/>
      <c r="AEK361" s="1"/>
      <c r="AEL361" s="1"/>
      <c r="AEM361" s="1"/>
      <c r="AEN361" s="1"/>
      <c r="AEO361" s="1"/>
      <c r="AEP361" s="1"/>
      <c r="AEQ361" s="1"/>
      <c r="AER361" s="1"/>
      <c r="AES361" s="1"/>
      <c r="AET361" s="1"/>
      <c r="AEU361" s="1"/>
      <c r="AEV361" s="1"/>
      <c r="AEW361" s="1"/>
      <c r="AEX361" s="1"/>
      <c r="AEY361" s="1"/>
      <c r="AEZ361" s="1"/>
      <c r="AFA361" s="1"/>
      <c r="AFB361" s="1"/>
      <c r="AFC361" s="1"/>
      <c r="AFD361" s="1"/>
      <c r="AFE361" s="1"/>
      <c r="AFF361" s="1"/>
      <c r="AFG361" s="1"/>
      <c r="AFH361" s="1"/>
      <c r="AFI361" s="1"/>
      <c r="AFJ361" s="1"/>
      <c r="AFK361" s="1"/>
      <c r="AFL361" s="1"/>
      <c r="AFM361" s="1"/>
      <c r="AFN361" s="1"/>
      <c r="AFO361" s="1"/>
      <c r="AFP361" s="1"/>
      <c r="AFQ361" s="1"/>
      <c r="AFR361" s="1"/>
      <c r="AFS361" s="1"/>
      <c r="AFT361" s="1"/>
      <c r="AFU361" s="1"/>
      <c r="AFV361" s="1"/>
      <c r="AFW361" s="1"/>
      <c r="AFX361" s="1"/>
      <c r="AFY361" s="1"/>
      <c r="AFZ361" s="1"/>
      <c r="AGA361" s="1"/>
      <c r="AGB361" s="1"/>
      <c r="AGC361" s="1"/>
      <c r="AGD361" s="1"/>
      <c r="AGE361" s="1"/>
      <c r="AGF361" s="1"/>
      <c r="AGG361" s="1"/>
      <c r="AGH361" s="1"/>
      <c r="AGI361" s="1"/>
      <c r="AGJ361" s="1"/>
      <c r="AGK361" s="1"/>
      <c r="AGL361" s="1"/>
      <c r="AGM361" s="1"/>
      <c r="AGN361" s="1"/>
      <c r="AGO361" s="1"/>
      <c r="AGP361" s="1"/>
      <c r="AGQ361" s="1"/>
      <c r="AGR361" s="1"/>
      <c r="AGS361" s="1"/>
      <c r="AGT361" s="1"/>
      <c r="AGU361" s="1"/>
      <c r="AGV361" s="1"/>
      <c r="AGW361" s="1"/>
      <c r="AGX361" s="1"/>
      <c r="AGY361" s="1"/>
      <c r="AGZ361" s="1"/>
      <c r="AHA361" s="1"/>
      <c r="AHB361" s="1"/>
      <c r="AHC361" s="1"/>
      <c r="AHD361" s="1"/>
      <c r="AHE361" s="1"/>
      <c r="AHF361" s="1"/>
      <c r="AHG361" s="1"/>
      <c r="AHH361" s="1"/>
      <c r="AHI361" s="1"/>
      <c r="AHJ361" s="1"/>
      <c r="AHK361" s="1"/>
      <c r="AHL361" s="1"/>
      <c r="AHM361" s="1"/>
      <c r="AHN361" s="1"/>
      <c r="AHO361" s="1"/>
      <c r="AHP361" s="1"/>
      <c r="AHQ361" s="1"/>
      <c r="AHR361" s="1"/>
      <c r="AHS361" s="1"/>
      <c r="AHT361" s="1"/>
      <c r="AHU361" s="1"/>
      <c r="AHV361" s="1"/>
      <c r="AHW361" s="1"/>
      <c r="AHX361" s="1"/>
      <c r="AHY361" s="1"/>
      <c r="AHZ361" s="1"/>
      <c r="AIA361" s="1"/>
      <c r="AIB361" s="1"/>
      <c r="AIC361" s="1"/>
      <c r="AID361" s="1"/>
      <c r="AIE361" s="1"/>
      <c r="AIF361" s="1"/>
      <c r="AIG361" s="1"/>
      <c r="AIH361" s="1"/>
      <c r="AII361" s="1"/>
      <c r="AIJ361" s="1"/>
      <c r="AIK361" s="1"/>
      <c r="AIL361" s="1"/>
      <c r="AIM361" s="1"/>
      <c r="AIN361" s="1"/>
      <c r="AIO361" s="1"/>
      <c r="AIP361" s="1"/>
      <c r="AIQ361" s="1"/>
      <c r="AIR361" s="1"/>
      <c r="AIS361" s="1"/>
      <c r="AIT361" s="1"/>
      <c r="AIU361" s="1"/>
      <c r="AIV361" s="1"/>
      <c r="AIW361" s="1"/>
      <c r="AIX361" s="1"/>
      <c r="AIY361" s="1"/>
      <c r="AIZ361" s="1"/>
      <c r="AJA361" s="1"/>
      <c r="AJB361" s="1"/>
      <c r="AJC361" s="1"/>
      <c r="AJD361" s="1"/>
      <c r="AJE361" s="1"/>
      <c r="AJF361" s="1"/>
      <c r="AJG361" s="1"/>
      <c r="AJH361" s="1"/>
      <c r="AJI361" s="1"/>
      <c r="AJJ361" s="1"/>
      <c r="AJK361" s="1"/>
      <c r="AJL361" s="1"/>
      <c r="AJM361" s="1"/>
      <c r="AJN361" s="1"/>
      <c r="AJO361" s="1"/>
      <c r="AJP361" s="1"/>
      <c r="AJQ361" s="1"/>
      <c r="AJR361" s="1"/>
      <c r="AJS361" s="1"/>
      <c r="AJT361" s="1"/>
      <c r="AJU361" s="1"/>
      <c r="AJV361" s="1"/>
      <c r="AJW361" s="1"/>
      <c r="AJX361" s="1"/>
      <c r="AJY361" s="1"/>
      <c r="AJZ361" s="1"/>
      <c r="AKA361" s="1"/>
      <c r="AKB361" s="1"/>
      <c r="AKC361" s="1"/>
      <c r="AKD361" s="1"/>
      <c r="AKE361" s="1"/>
      <c r="AKF361" s="1"/>
      <c r="AKG361" s="1"/>
      <c r="AKH361" s="1"/>
      <c r="AKI361" s="1"/>
      <c r="AKJ361" s="1"/>
      <c r="AKK361" s="1"/>
      <c r="AKL361" s="1"/>
      <c r="AKM361" s="1"/>
      <c r="AKN361" s="1"/>
      <c r="AKO361" s="1"/>
      <c r="AKP361" s="1"/>
      <c r="AKQ361" s="1"/>
      <c r="AKR361" s="1"/>
      <c r="AKS361" s="1"/>
      <c r="AKT361" s="1"/>
      <c r="AKU361" s="1"/>
      <c r="AKV361" s="1"/>
      <c r="AKW361" s="1"/>
      <c r="AKX361" s="1"/>
      <c r="AKY361" s="1"/>
      <c r="AKZ361" s="1"/>
      <c r="ALA361" s="1"/>
      <c r="ALB361" s="1"/>
      <c r="ALC361" s="1"/>
      <c r="ALD361" s="1"/>
      <c r="ALE361" s="1"/>
      <c r="ALF361" s="1"/>
      <c r="ALG361" s="1"/>
      <c r="ALH361" s="1"/>
      <c r="ALI361" s="1"/>
      <c r="ALJ361" s="1"/>
      <c r="ALK361" s="1"/>
      <c r="ALL361" s="1"/>
      <c r="ALM361" s="1"/>
      <c r="ALN361" s="1"/>
      <c r="ALO361" s="1"/>
      <c r="ALP361" s="1"/>
      <c r="ALQ361" s="1"/>
      <c r="ALR361" s="1"/>
      <c r="ALS361" s="1"/>
      <c r="ALT361" s="1"/>
      <c r="ALU361" s="1"/>
      <c r="ALV361" s="1"/>
      <c r="ALW361" s="1"/>
      <c r="ALX361" s="1"/>
      <c r="ALY361" s="1"/>
      <c r="ALZ361" s="1"/>
      <c r="AMA361" s="1"/>
      <c r="AMB361" s="1"/>
      <c r="AMC361" s="1"/>
      <c r="AMD361" s="1"/>
      <c r="AME361" s="1"/>
      <c r="AMF361" s="1"/>
      <c r="AMG361" s="1"/>
      <c r="AMH361" s="1"/>
      <c r="AMI361" s="1"/>
      <c r="AMJ361" s="1"/>
      <c r="AMK361" s="1"/>
      <c r="AML361" s="1"/>
      <c r="AMM361" s="1"/>
      <c r="AMN361" s="1"/>
      <c r="AMO361" s="1"/>
    </row>
    <row r="362" spans="1:1029" x14ac:dyDescent="0.2">
      <c r="A362" s="3" t="str">
        <f>CONCATENATE(B362,"_",C362)</f>
        <v>par2_human_5NDZ</v>
      </c>
      <c r="B362" s="3" t="s">
        <v>355</v>
      </c>
      <c r="C362" s="3" t="s">
        <v>1391</v>
      </c>
      <c r="D362" s="3" t="str">
        <f>IFERROR(MID(VLOOKUP($B362,Seqs!$A:$B,2,0),E362,1),"")</f>
        <v>G</v>
      </c>
      <c r="E362" s="3">
        <v>71</v>
      </c>
      <c r="F362" s="3" t="str">
        <f>IFERROR(MID(VLOOKUP($B362,Seqs!$A:$B,2,0),G362,1),"")</f>
        <v>R</v>
      </c>
      <c r="G362" s="3">
        <v>103</v>
      </c>
      <c r="H362" s="3" t="str">
        <f>IFERROR(MID(VLOOKUP($B362,Seqs!$A:$B,2,0),I362,1),"")</f>
        <v/>
      </c>
      <c r="I362" s="23" t="s">
        <v>23</v>
      </c>
      <c r="J362" s="3" t="str">
        <f>IFERROR(MID(VLOOKUP($B362,Seqs!$A:$B,2,0),K362,1),"")</f>
        <v/>
      </c>
      <c r="K362" s="23" t="s">
        <v>23</v>
      </c>
      <c r="L362" s="3" t="str">
        <f>IFERROR(MID(VLOOKUP($B362,Seqs!$A:$B,2,0),M362,1),"")</f>
        <v>H</v>
      </c>
      <c r="M362" s="3">
        <v>108</v>
      </c>
      <c r="N362" s="3" t="str">
        <f>IFERROR(MID(VLOOKUP($B362,Seqs!$A:$B,2,0),O362,1),"")</f>
        <v>H</v>
      </c>
      <c r="O362" s="3">
        <v>137</v>
      </c>
      <c r="P362" s="3" t="str">
        <f>IFERROR(MID(VLOOKUP($B362,Seqs!$A:$B,2,0),Q362,1),"")</f>
        <v>G</v>
      </c>
      <c r="Q362" s="3">
        <v>138</v>
      </c>
      <c r="R362" s="3" t="str">
        <f>IFERROR(MID(VLOOKUP($B362,Seqs!$A:$B,2,0),S362,1),"")</f>
        <v>Y</v>
      </c>
      <c r="S362" s="3">
        <v>143</v>
      </c>
      <c r="T362" s="3" t="str">
        <f>IFERROR(MID(VLOOKUP($B362,Seqs!$A:$B,2,0),U362,1),"")</f>
        <v>G</v>
      </c>
      <c r="U362" s="3">
        <v>144</v>
      </c>
      <c r="V362" s="3" t="str">
        <f>IFERROR(MID(VLOOKUP($B362,Seqs!$A:$B,2,0),W362,1),"")</f>
        <v>N</v>
      </c>
      <c r="W362" s="3">
        <v>179</v>
      </c>
      <c r="X362" s="3" t="str">
        <f>IFERROR(MID(VLOOKUP($B362,Seqs!$A:$B,2,0),Y362,1),"")</f>
        <v/>
      </c>
      <c r="Y362" s="3" t="s">
        <v>23</v>
      </c>
      <c r="Z362" s="3" t="str">
        <f>IFERROR(MID(VLOOKUP($B362,Seqs!$A:$B,2,0),AA362,1),"")</f>
        <v/>
      </c>
      <c r="AA362" s="3" t="s">
        <v>23</v>
      </c>
      <c r="AB362" s="3" t="str">
        <f>IFERROR(MID(VLOOKUP($B362,Seqs!$A:$B,2,0),AC362,1),"")</f>
        <v>H</v>
      </c>
      <c r="AC362" s="3">
        <v>183</v>
      </c>
      <c r="AD362" s="3" t="str">
        <f>IFERROR(MID(VLOOKUP($B362,Seqs!$A:$B,2,0),AE362,1),"")</f>
        <v>V</v>
      </c>
      <c r="AE362" s="3">
        <v>211</v>
      </c>
      <c r="AF362" s="3" t="str">
        <f>IFERROR(MID(VLOOKUP($B362,Seqs!$A:$B,2,0),AG362,1),"")</f>
        <v>C</v>
      </c>
      <c r="AG362" s="3">
        <v>226</v>
      </c>
      <c r="AH362" s="3" t="str">
        <f>IFERROR(MID(VLOOKUP($B362,Seqs!$A:$B,2,0),AI362,1),"")</f>
        <v>D</v>
      </c>
      <c r="AI362" s="3">
        <v>228</v>
      </c>
      <c r="AJ362" s="3" t="str">
        <f>IFERROR(MID(VLOOKUP($B362,Seqs!$A:$B,2,0),AK362,1),"")</f>
        <v>L</v>
      </c>
      <c r="AK362" s="3">
        <v>235</v>
      </c>
      <c r="AL362" s="3" t="str">
        <f>IFERROR(MID(VLOOKUP($B362,Seqs!$A:$B,2,0),AM362,1),"")</f>
        <v>L</v>
      </c>
      <c r="AM362" s="3">
        <v>269</v>
      </c>
      <c r="AN362" s="3" t="str">
        <f>IFERROR(MID(VLOOKUP($B362,Seqs!$A:$B,2,0),AO362,1),"")</f>
        <v>S</v>
      </c>
      <c r="AO362" s="3">
        <v>278</v>
      </c>
      <c r="AP362" s="3" t="str">
        <f>IFERROR(MID(VLOOKUP($B362,Seqs!$A:$B,2,0),AQ362,1),"")</f>
        <v>Q</v>
      </c>
      <c r="AQ362" s="3">
        <v>317</v>
      </c>
      <c r="AR362" s="3" t="str">
        <f>IFERROR(MID(VLOOKUP($B362,Seqs!$A:$B,2,0),AS362,1),"")</f>
        <v>V</v>
      </c>
      <c r="AS362" s="3">
        <v>322</v>
      </c>
      <c r="AT362" s="3" t="str">
        <f>IFERROR(MID(VLOOKUP($B362,Seqs!$A:$B,2,0),AU362,1),"")</f>
        <v>S</v>
      </c>
      <c r="AU362" s="3">
        <v>348</v>
      </c>
      <c r="AV362" s="3" t="str">
        <f>IFERROR(MID(VLOOKUP($B362,Seqs!$A:$B,2,0),AW362,1),"")</f>
        <v>H</v>
      </c>
      <c r="AW362" s="3">
        <v>349</v>
      </c>
      <c r="AX362" s="3" t="str">
        <f>IFERROR(MID(VLOOKUP($B362,Seqs!$A:$B,2,0),AY362,1),"")</f>
        <v>L</v>
      </c>
      <c r="AY362" s="3">
        <v>359</v>
      </c>
      <c r="AZ362" s="77" t="str">
        <f>VLOOKUP(B362,Classification!A:D,2,0)</f>
        <v>A</v>
      </c>
      <c r="BA362" s="94" t="str">
        <f>VLOOKUP(B362,Classification!A:D,4,0)</f>
        <v>Proteinase-activated</v>
      </c>
      <c r="BB362" s="27" t="b">
        <f t="shared" si="1151"/>
        <v>1</v>
      </c>
      <c r="BC362" s="23">
        <f t="shared" si="1152"/>
        <v>252</v>
      </c>
      <c r="BD362" s="2" t="s">
        <v>23</v>
      </c>
      <c r="BE362" s="3" t="s">
        <v>1422</v>
      </c>
      <c r="BF362" s="118">
        <v>3.6</v>
      </c>
      <c r="BG362" s="49" t="s">
        <v>1</v>
      </c>
      <c r="BH362" s="49" t="s">
        <v>1371</v>
      </c>
      <c r="BI362" s="1"/>
      <c r="BJ362" s="70" t="s">
        <v>1281</v>
      </c>
      <c r="BK362" s="57" t="s">
        <v>1281</v>
      </c>
      <c r="BL362" s="57" t="s">
        <v>1281</v>
      </c>
      <c r="BM362" s="57" t="s">
        <v>1281</v>
      </c>
      <c r="BN362" s="57" t="s">
        <v>1281</v>
      </c>
      <c r="BO362" s="57" t="s">
        <v>1281</v>
      </c>
      <c r="BP362" s="57" t="s">
        <v>1281</v>
      </c>
      <c r="BQ362" s="57" t="s">
        <v>1281</v>
      </c>
      <c r="BR362" s="57" t="s">
        <v>1281</v>
      </c>
      <c r="BS362" s="57" t="s">
        <v>1281</v>
      </c>
      <c r="BT362" s="57" t="s">
        <v>1281</v>
      </c>
      <c r="BU362" s="57" t="s">
        <v>1281</v>
      </c>
      <c r="BV362" s="70">
        <f>E362</f>
        <v>71</v>
      </c>
      <c r="BW362" s="71" t="str">
        <f>I362</f>
        <v>-</v>
      </c>
      <c r="BX362" s="72">
        <f>M362</f>
        <v>108</v>
      </c>
      <c r="BY362" s="71">
        <f>Q362</f>
        <v>138</v>
      </c>
      <c r="BZ362" s="72">
        <f>U362</f>
        <v>144</v>
      </c>
      <c r="CA362" s="71" t="str">
        <f>Y362</f>
        <v>-</v>
      </c>
      <c r="CB362" s="72">
        <f>AC362</f>
        <v>183</v>
      </c>
      <c r="CC362" s="71">
        <f>AG362</f>
        <v>226</v>
      </c>
      <c r="CD362" s="72">
        <f>AK362</f>
        <v>235</v>
      </c>
      <c r="CE362" s="71">
        <f>AO362</f>
        <v>278</v>
      </c>
      <c r="CF362" s="72">
        <f>AS362</f>
        <v>322</v>
      </c>
      <c r="CG362" s="71">
        <f>AW362</f>
        <v>349</v>
      </c>
      <c r="CH362" s="70">
        <f>G362</f>
        <v>103</v>
      </c>
      <c r="CI362" s="71" t="str">
        <f>K362</f>
        <v>-</v>
      </c>
      <c r="CJ362" s="72">
        <f>O362</f>
        <v>137</v>
      </c>
      <c r="CK362" s="72">
        <f>S362</f>
        <v>143</v>
      </c>
      <c r="CL362" s="72">
        <f>W362</f>
        <v>179</v>
      </c>
      <c r="CM362" s="72" t="str">
        <f>AA362</f>
        <v>-</v>
      </c>
      <c r="CN362" s="72">
        <f>AE362</f>
        <v>211</v>
      </c>
      <c r="CO362" s="72">
        <f>AI362</f>
        <v>228</v>
      </c>
      <c r="CP362" s="72">
        <f>AM362</f>
        <v>269</v>
      </c>
      <c r="CQ362" s="72">
        <f>AQ362</f>
        <v>317</v>
      </c>
      <c r="CR362" s="72">
        <f>AU362</f>
        <v>348</v>
      </c>
      <c r="CS362" s="72">
        <f>AY362</f>
        <v>359</v>
      </c>
      <c r="CT362" s="23" t="e">
        <f>M362-K362</f>
        <v>#VALUE!</v>
      </c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/>
      <c r="OO362" s="1"/>
      <c r="OP362" s="1"/>
      <c r="OQ362" s="1"/>
      <c r="OR362" s="1"/>
      <c r="OS362" s="1"/>
      <c r="OT362" s="1"/>
      <c r="OU362" s="1"/>
      <c r="OV362" s="1"/>
      <c r="OW362" s="1"/>
      <c r="OX362" s="1"/>
      <c r="OY362" s="1"/>
      <c r="OZ362" s="1"/>
      <c r="PA362" s="1"/>
      <c r="PB362" s="1"/>
      <c r="PC362" s="1"/>
      <c r="PD362" s="1"/>
      <c r="PE362" s="1"/>
      <c r="PF362" s="1"/>
      <c r="PG362" s="1"/>
      <c r="PH362" s="1"/>
      <c r="PI362" s="1"/>
      <c r="PJ362" s="1"/>
      <c r="PK362" s="1"/>
      <c r="PL362" s="1"/>
      <c r="PM362" s="1"/>
      <c r="PN362" s="1"/>
      <c r="PO362" s="1"/>
      <c r="PP362" s="1"/>
      <c r="PQ362" s="1"/>
      <c r="PR362" s="1"/>
      <c r="PS362" s="1"/>
      <c r="PT362" s="1"/>
      <c r="PU362" s="1"/>
      <c r="PV362" s="1"/>
      <c r="PW362" s="1"/>
      <c r="PX362" s="1"/>
      <c r="PY362" s="1"/>
      <c r="PZ362" s="1"/>
      <c r="QA362" s="1"/>
      <c r="QB362" s="1"/>
      <c r="QC362" s="1"/>
      <c r="QD362" s="1"/>
      <c r="QE362" s="1"/>
      <c r="QF362" s="1"/>
      <c r="QG362" s="1"/>
      <c r="QH362" s="1"/>
      <c r="QI362" s="1"/>
      <c r="QJ362" s="1"/>
      <c r="QK362" s="1"/>
      <c r="QL362" s="1"/>
      <c r="QM362" s="1"/>
      <c r="QN362" s="1"/>
      <c r="QO362" s="1"/>
      <c r="QP362" s="1"/>
      <c r="QQ362" s="1"/>
      <c r="QR362" s="1"/>
      <c r="QS362" s="1"/>
      <c r="QT362" s="1"/>
      <c r="QU362" s="1"/>
      <c r="QV362" s="1"/>
      <c r="QW362" s="1"/>
      <c r="QX362" s="1"/>
      <c r="QY362" s="1"/>
      <c r="QZ362" s="1"/>
      <c r="RA362" s="1"/>
      <c r="RB362" s="1"/>
      <c r="RC362" s="1"/>
      <c r="RD362" s="1"/>
      <c r="RE362" s="1"/>
      <c r="RF362" s="1"/>
      <c r="RG362" s="1"/>
      <c r="RH362" s="1"/>
      <c r="RI362" s="1"/>
      <c r="RJ362" s="1"/>
      <c r="RK362" s="1"/>
      <c r="RL362" s="1"/>
      <c r="RM362" s="1"/>
      <c r="RN362" s="1"/>
      <c r="RO362" s="1"/>
      <c r="RP362" s="1"/>
      <c r="RQ362" s="1"/>
      <c r="RR362" s="1"/>
      <c r="RS362" s="1"/>
      <c r="RT362" s="1"/>
      <c r="RU362" s="1"/>
      <c r="RV362" s="1"/>
      <c r="RW362" s="1"/>
      <c r="RX362" s="1"/>
      <c r="RY362" s="1"/>
      <c r="RZ362" s="1"/>
      <c r="SA362" s="1"/>
      <c r="SB362" s="1"/>
      <c r="SC362" s="1"/>
      <c r="SD362" s="1"/>
      <c r="SE362" s="1"/>
      <c r="SF362" s="1"/>
      <c r="SG362" s="1"/>
      <c r="SH362" s="1"/>
      <c r="SI362" s="1"/>
      <c r="SJ362" s="1"/>
      <c r="SK362" s="1"/>
      <c r="SL362" s="1"/>
      <c r="SM362" s="1"/>
      <c r="SN362" s="1"/>
      <c r="SO362" s="1"/>
      <c r="SP362" s="1"/>
      <c r="SQ362" s="1"/>
      <c r="SR362" s="1"/>
      <c r="SS362" s="1"/>
      <c r="ST362" s="1"/>
      <c r="SU362" s="1"/>
      <c r="SV362" s="1"/>
      <c r="SW362" s="1"/>
      <c r="SX362" s="1"/>
      <c r="SY362" s="1"/>
      <c r="SZ362" s="1"/>
      <c r="TA362" s="1"/>
      <c r="TB362" s="1"/>
      <c r="TC362" s="1"/>
      <c r="TD362" s="1"/>
      <c r="TE362" s="1"/>
      <c r="TF362" s="1"/>
      <c r="TG362" s="1"/>
      <c r="TH362" s="1"/>
      <c r="TI362" s="1"/>
      <c r="TJ362" s="1"/>
      <c r="TK362" s="1"/>
      <c r="TL362" s="1"/>
      <c r="TM362" s="1"/>
      <c r="TN362" s="1"/>
      <c r="TO362" s="1"/>
      <c r="TP362" s="1"/>
      <c r="TQ362" s="1"/>
      <c r="TR362" s="1"/>
      <c r="TS362" s="1"/>
      <c r="TT362" s="1"/>
      <c r="TU362" s="1"/>
      <c r="TV362" s="1"/>
      <c r="TW362" s="1"/>
      <c r="TX362" s="1"/>
      <c r="TY362" s="1"/>
      <c r="TZ362" s="1"/>
      <c r="UA362" s="1"/>
      <c r="UB362" s="1"/>
      <c r="UC362" s="1"/>
      <c r="UD362" s="1"/>
      <c r="UE362" s="1"/>
      <c r="UF362" s="1"/>
      <c r="UG362" s="1"/>
      <c r="UH362" s="1"/>
      <c r="UI362" s="1"/>
      <c r="UJ362" s="1"/>
      <c r="UK362" s="1"/>
      <c r="UL362" s="1"/>
      <c r="UM362" s="1"/>
      <c r="UN362" s="1"/>
      <c r="UO362" s="1"/>
      <c r="UP362" s="1"/>
      <c r="UQ362" s="1"/>
      <c r="UR362" s="1"/>
      <c r="US362" s="1"/>
      <c r="UT362" s="1"/>
      <c r="UU362" s="1"/>
      <c r="UV362" s="1"/>
      <c r="UW362" s="1"/>
      <c r="UX362" s="1"/>
      <c r="UY362" s="1"/>
      <c r="UZ362" s="1"/>
      <c r="VA362" s="1"/>
      <c r="VB362" s="1"/>
      <c r="VC362" s="1"/>
      <c r="VD362" s="1"/>
      <c r="VE362" s="1"/>
      <c r="VF362" s="1"/>
      <c r="VG362" s="1"/>
      <c r="VH362" s="1"/>
      <c r="VI362" s="1"/>
      <c r="VJ362" s="1"/>
      <c r="VK362" s="1"/>
      <c r="VL362" s="1"/>
      <c r="VM362" s="1"/>
      <c r="VN362" s="1"/>
      <c r="VO362" s="1"/>
      <c r="VP362" s="1"/>
      <c r="VQ362" s="1"/>
      <c r="VR362" s="1"/>
      <c r="VS362" s="1"/>
      <c r="VT362" s="1"/>
      <c r="VU362" s="1"/>
      <c r="VV362" s="1"/>
      <c r="VW362" s="1"/>
      <c r="VX362" s="1"/>
      <c r="VY362" s="1"/>
      <c r="VZ362" s="1"/>
      <c r="WA362" s="1"/>
      <c r="WB362" s="1"/>
      <c r="WC362" s="1"/>
      <c r="WD362" s="1"/>
      <c r="WE362" s="1"/>
      <c r="WF362" s="1"/>
      <c r="WG362" s="1"/>
      <c r="WH362" s="1"/>
      <c r="WI362" s="1"/>
      <c r="WJ362" s="1"/>
      <c r="WK362" s="1"/>
      <c r="WL362" s="1"/>
      <c r="WM362" s="1"/>
      <c r="WN362" s="1"/>
      <c r="WO362" s="1"/>
      <c r="WP362" s="1"/>
      <c r="WQ362" s="1"/>
      <c r="WR362" s="1"/>
      <c r="WS362" s="1"/>
      <c r="WT362" s="1"/>
      <c r="WU362" s="1"/>
      <c r="WV362" s="1"/>
      <c r="WW362" s="1"/>
      <c r="WX362" s="1"/>
      <c r="WY362" s="1"/>
      <c r="WZ362" s="1"/>
      <c r="XA362" s="1"/>
      <c r="XB362" s="1"/>
      <c r="XC362" s="1"/>
      <c r="XD362" s="1"/>
      <c r="XE362" s="1"/>
      <c r="XF362" s="1"/>
      <c r="XG362" s="1"/>
      <c r="XH362" s="1"/>
      <c r="XI362" s="1"/>
      <c r="XJ362" s="1"/>
      <c r="XK362" s="1"/>
      <c r="XL362" s="1"/>
      <c r="XM362" s="1"/>
      <c r="XN362" s="1"/>
      <c r="XO362" s="1"/>
      <c r="XP362" s="1"/>
      <c r="XQ362" s="1"/>
      <c r="XR362" s="1"/>
      <c r="XS362" s="1"/>
      <c r="XT362" s="1"/>
      <c r="XU362" s="1"/>
      <c r="XV362" s="1"/>
      <c r="XW362" s="1"/>
      <c r="XX362" s="1"/>
      <c r="XY362" s="1"/>
      <c r="XZ362" s="1"/>
      <c r="YA362" s="1"/>
      <c r="YB362" s="1"/>
      <c r="YC362" s="1"/>
      <c r="YD362" s="1"/>
      <c r="YE362" s="1"/>
      <c r="YF362" s="1"/>
      <c r="YG362" s="1"/>
      <c r="YH362" s="1"/>
      <c r="YI362" s="1"/>
      <c r="YJ362" s="1"/>
      <c r="YK362" s="1"/>
      <c r="YL362" s="1"/>
      <c r="YM362" s="1"/>
      <c r="YN362" s="1"/>
      <c r="YO362" s="1"/>
      <c r="YP362" s="1"/>
      <c r="YQ362" s="1"/>
      <c r="YR362" s="1"/>
      <c r="YS362" s="1"/>
      <c r="YT362" s="1"/>
      <c r="YU362" s="1"/>
      <c r="YV362" s="1"/>
      <c r="YW362" s="1"/>
      <c r="YX362" s="1"/>
      <c r="YY362" s="1"/>
      <c r="YZ362" s="1"/>
      <c r="ZA362" s="1"/>
      <c r="ZB362" s="1"/>
      <c r="ZC362" s="1"/>
      <c r="ZD362" s="1"/>
      <c r="ZE362" s="1"/>
      <c r="ZF362" s="1"/>
      <c r="ZG362" s="1"/>
      <c r="ZH362" s="1"/>
      <c r="ZI362" s="1"/>
      <c r="ZJ362" s="1"/>
      <c r="ZK362" s="1"/>
      <c r="ZL362" s="1"/>
      <c r="ZM362" s="1"/>
      <c r="ZN362" s="1"/>
      <c r="ZO362" s="1"/>
      <c r="ZP362" s="1"/>
      <c r="ZQ362" s="1"/>
      <c r="ZR362" s="1"/>
      <c r="ZS362" s="1"/>
      <c r="ZT362" s="1"/>
      <c r="ZU362" s="1"/>
      <c r="ZV362" s="1"/>
      <c r="ZW362" s="1"/>
      <c r="ZX362" s="1"/>
      <c r="ZY362" s="1"/>
      <c r="ZZ362" s="1"/>
      <c r="AAA362" s="1"/>
      <c r="AAB362" s="1"/>
      <c r="AAC362" s="1"/>
      <c r="AAD362" s="1"/>
      <c r="AAE362" s="1"/>
      <c r="AAF362" s="1"/>
      <c r="AAG362" s="1"/>
      <c r="AAH362" s="1"/>
      <c r="AAI362" s="1"/>
      <c r="AAJ362" s="1"/>
      <c r="AAK362" s="1"/>
      <c r="AAL362" s="1"/>
      <c r="AAM362" s="1"/>
      <c r="AAN362" s="1"/>
      <c r="AAO362" s="1"/>
      <c r="AAP362" s="1"/>
      <c r="AAQ362" s="1"/>
      <c r="AAR362" s="1"/>
      <c r="AAS362" s="1"/>
      <c r="AAT362" s="1"/>
      <c r="AAU362" s="1"/>
      <c r="AAV362" s="1"/>
      <c r="AAW362" s="1"/>
      <c r="AAX362" s="1"/>
      <c r="AAY362" s="1"/>
      <c r="AAZ362" s="1"/>
      <c r="ABA362" s="1"/>
      <c r="ABB362" s="1"/>
      <c r="ABC362" s="1"/>
      <c r="ABD362" s="1"/>
      <c r="ABE362" s="1"/>
      <c r="ABF362" s="1"/>
      <c r="ABG362" s="1"/>
      <c r="ABH362" s="1"/>
      <c r="ABI362" s="1"/>
      <c r="ABJ362" s="1"/>
      <c r="ABK362" s="1"/>
      <c r="ABL362" s="1"/>
      <c r="ABM362" s="1"/>
      <c r="ABN362" s="1"/>
      <c r="ABO362" s="1"/>
      <c r="ABP362" s="1"/>
      <c r="ABQ362" s="1"/>
      <c r="ABR362" s="1"/>
      <c r="ABS362" s="1"/>
      <c r="ABT362" s="1"/>
      <c r="ABU362" s="1"/>
      <c r="ABV362" s="1"/>
      <c r="ABW362" s="1"/>
      <c r="ABX362" s="1"/>
      <c r="ABY362" s="1"/>
      <c r="ABZ362" s="1"/>
      <c r="ACA362" s="1"/>
      <c r="ACB362" s="1"/>
      <c r="ACC362" s="1"/>
      <c r="ACD362" s="1"/>
      <c r="ACE362" s="1"/>
      <c r="ACF362" s="1"/>
      <c r="ACG362" s="1"/>
      <c r="ACH362" s="1"/>
      <c r="ACI362" s="1"/>
      <c r="ACJ362" s="1"/>
      <c r="ACK362" s="1"/>
      <c r="ACL362" s="1"/>
      <c r="ACM362" s="1"/>
      <c r="ACN362" s="1"/>
      <c r="ACO362" s="1"/>
      <c r="ACP362" s="1"/>
      <c r="ACQ362" s="1"/>
      <c r="ACR362" s="1"/>
      <c r="ACS362" s="1"/>
      <c r="ACT362" s="1"/>
      <c r="ACU362" s="1"/>
      <c r="ACV362" s="1"/>
      <c r="ACW362" s="1"/>
      <c r="ACX362" s="1"/>
      <c r="ACY362" s="1"/>
      <c r="ACZ362" s="1"/>
      <c r="ADA362" s="1"/>
      <c r="ADB362" s="1"/>
      <c r="ADC362" s="1"/>
      <c r="ADD362" s="1"/>
      <c r="ADE362" s="1"/>
      <c r="ADF362" s="1"/>
      <c r="ADG362" s="1"/>
      <c r="ADH362" s="1"/>
      <c r="ADI362" s="1"/>
      <c r="ADJ362" s="1"/>
      <c r="ADK362" s="1"/>
      <c r="ADL362" s="1"/>
      <c r="ADM362" s="1"/>
      <c r="ADN362" s="1"/>
      <c r="ADO362" s="1"/>
      <c r="ADP362" s="1"/>
      <c r="ADQ362" s="1"/>
      <c r="ADR362" s="1"/>
      <c r="ADS362" s="1"/>
      <c r="ADT362" s="1"/>
      <c r="ADU362" s="1"/>
      <c r="ADV362" s="1"/>
      <c r="ADW362" s="1"/>
      <c r="ADX362" s="1"/>
      <c r="ADY362" s="1"/>
      <c r="ADZ362" s="1"/>
      <c r="AEA362" s="1"/>
      <c r="AEB362" s="1"/>
      <c r="AEC362" s="1"/>
      <c r="AED362" s="1"/>
      <c r="AEE362" s="1"/>
      <c r="AEF362" s="1"/>
      <c r="AEG362" s="1"/>
      <c r="AEH362" s="1"/>
      <c r="AEI362" s="1"/>
      <c r="AEJ362" s="1"/>
      <c r="AEK362" s="1"/>
      <c r="AEL362" s="1"/>
      <c r="AEM362" s="1"/>
      <c r="AEN362" s="1"/>
      <c r="AEO362" s="1"/>
      <c r="AEP362" s="1"/>
      <c r="AEQ362" s="1"/>
      <c r="AER362" s="1"/>
      <c r="AES362" s="1"/>
      <c r="AET362" s="1"/>
      <c r="AEU362" s="1"/>
      <c r="AEV362" s="1"/>
      <c r="AEW362" s="1"/>
      <c r="AEX362" s="1"/>
      <c r="AEY362" s="1"/>
      <c r="AEZ362" s="1"/>
      <c r="AFA362" s="1"/>
      <c r="AFB362" s="1"/>
      <c r="AFC362" s="1"/>
      <c r="AFD362" s="1"/>
      <c r="AFE362" s="1"/>
      <c r="AFF362" s="1"/>
      <c r="AFG362" s="1"/>
      <c r="AFH362" s="1"/>
      <c r="AFI362" s="1"/>
      <c r="AFJ362" s="1"/>
      <c r="AFK362" s="1"/>
      <c r="AFL362" s="1"/>
      <c r="AFM362" s="1"/>
      <c r="AFN362" s="1"/>
      <c r="AFO362" s="1"/>
      <c r="AFP362" s="1"/>
      <c r="AFQ362" s="1"/>
      <c r="AFR362" s="1"/>
      <c r="AFS362" s="1"/>
      <c r="AFT362" s="1"/>
      <c r="AFU362" s="1"/>
      <c r="AFV362" s="1"/>
      <c r="AFW362" s="1"/>
      <c r="AFX362" s="1"/>
      <c r="AFY362" s="1"/>
      <c r="AFZ362" s="1"/>
      <c r="AGA362" s="1"/>
      <c r="AGB362" s="1"/>
      <c r="AGC362" s="1"/>
      <c r="AGD362" s="1"/>
      <c r="AGE362" s="1"/>
      <c r="AGF362" s="1"/>
      <c r="AGG362" s="1"/>
      <c r="AGH362" s="1"/>
      <c r="AGI362" s="1"/>
      <c r="AGJ362" s="1"/>
      <c r="AGK362" s="1"/>
      <c r="AGL362" s="1"/>
      <c r="AGM362" s="1"/>
      <c r="AGN362" s="1"/>
      <c r="AGO362" s="1"/>
      <c r="AGP362" s="1"/>
      <c r="AGQ362" s="1"/>
      <c r="AGR362" s="1"/>
      <c r="AGS362" s="1"/>
      <c r="AGT362" s="1"/>
      <c r="AGU362" s="1"/>
      <c r="AGV362" s="1"/>
      <c r="AGW362" s="1"/>
      <c r="AGX362" s="1"/>
      <c r="AGY362" s="1"/>
      <c r="AGZ362" s="1"/>
      <c r="AHA362" s="1"/>
      <c r="AHB362" s="1"/>
      <c r="AHC362" s="1"/>
      <c r="AHD362" s="1"/>
      <c r="AHE362" s="1"/>
      <c r="AHF362" s="1"/>
      <c r="AHG362" s="1"/>
      <c r="AHH362" s="1"/>
      <c r="AHI362" s="1"/>
      <c r="AHJ362" s="1"/>
      <c r="AHK362" s="1"/>
      <c r="AHL362" s="1"/>
      <c r="AHM362" s="1"/>
      <c r="AHN362" s="1"/>
      <c r="AHO362" s="1"/>
      <c r="AHP362" s="1"/>
      <c r="AHQ362" s="1"/>
      <c r="AHR362" s="1"/>
      <c r="AHS362" s="1"/>
      <c r="AHT362" s="1"/>
      <c r="AHU362" s="1"/>
      <c r="AHV362" s="1"/>
      <c r="AHW362" s="1"/>
      <c r="AHX362" s="1"/>
      <c r="AHY362" s="1"/>
      <c r="AHZ362" s="1"/>
      <c r="AIA362" s="1"/>
      <c r="AIB362" s="1"/>
      <c r="AIC362" s="1"/>
      <c r="AID362" s="1"/>
      <c r="AIE362" s="1"/>
      <c r="AIF362" s="1"/>
      <c r="AIG362" s="1"/>
      <c r="AIH362" s="1"/>
      <c r="AII362" s="1"/>
      <c r="AIJ362" s="1"/>
      <c r="AIK362" s="1"/>
      <c r="AIL362" s="1"/>
      <c r="AIM362" s="1"/>
      <c r="AIN362" s="1"/>
      <c r="AIO362" s="1"/>
      <c r="AIP362" s="1"/>
      <c r="AIQ362" s="1"/>
      <c r="AIR362" s="1"/>
      <c r="AIS362" s="1"/>
      <c r="AIT362" s="1"/>
      <c r="AIU362" s="1"/>
      <c r="AIV362" s="1"/>
      <c r="AIW362" s="1"/>
      <c r="AIX362" s="1"/>
      <c r="AIY362" s="1"/>
      <c r="AIZ362" s="1"/>
      <c r="AJA362" s="1"/>
      <c r="AJB362" s="1"/>
      <c r="AJC362" s="1"/>
      <c r="AJD362" s="1"/>
      <c r="AJE362" s="1"/>
      <c r="AJF362" s="1"/>
      <c r="AJG362" s="1"/>
      <c r="AJH362" s="1"/>
      <c r="AJI362" s="1"/>
      <c r="AJJ362" s="1"/>
      <c r="AJK362" s="1"/>
      <c r="AJL362" s="1"/>
      <c r="AJM362" s="1"/>
      <c r="AJN362" s="1"/>
      <c r="AJO362" s="1"/>
      <c r="AJP362" s="1"/>
      <c r="AJQ362" s="1"/>
      <c r="AJR362" s="1"/>
      <c r="AJS362" s="1"/>
      <c r="AJT362" s="1"/>
      <c r="AJU362" s="1"/>
      <c r="AJV362" s="1"/>
      <c r="AJW362" s="1"/>
      <c r="AJX362" s="1"/>
      <c r="AJY362" s="1"/>
      <c r="AJZ362" s="1"/>
      <c r="AKA362" s="1"/>
      <c r="AKB362" s="1"/>
      <c r="AKC362" s="1"/>
      <c r="AKD362" s="1"/>
      <c r="AKE362" s="1"/>
      <c r="AKF362" s="1"/>
      <c r="AKG362" s="1"/>
      <c r="AKH362" s="1"/>
      <c r="AKI362" s="1"/>
      <c r="AKJ362" s="1"/>
      <c r="AKK362" s="1"/>
      <c r="AKL362" s="1"/>
      <c r="AKM362" s="1"/>
      <c r="AKN362" s="1"/>
      <c r="AKO362" s="1"/>
      <c r="AKP362" s="1"/>
      <c r="AKQ362" s="1"/>
      <c r="AKR362" s="1"/>
      <c r="AKS362" s="1"/>
      <c r="AKT362" s="1"/>
      <c r="AKU362" s="1"/>
      <c r="AKV362" s="1"/>
      <c r="AKW362" s="1"/>
      <c r="AKX362" s="1"/>
      <c r="AKY362" s="1"/>
      <c r="AKZ362" s="1"/>
      <c r="ALA362" s="1"/>
      <c r="ALB362" s="1"/>
      <c r="ALC362" s="1"/>
      <c r="ALD362" s="1"/>
      <c r="ALE362" s="1"/>
      <c r="ALF362" s="1"/>
      <c r="ALG362" s="1"/>
      <c r="ALH362" s="1"/>
      <c r="ALI362" s="1"/>
      <c r="ALJ362" s="1"/>
      <c r="ALK362" s="1"/>
      <c r="ALL362" s="1"/>
      <c r="ALM362" s="1"/>
      <c r="ALN362" s="1"/>
      <c r="ALO362" s="1"/>
      <c r="ALP362" s="1"/>
      <c r="ALQ362" s="1"/>
      <c r="ALR362" s="1"/>
      <c r="ALS362" s="1"/>
      <c r="ALT362" s="1"/>
      <c r="ALU362" s="1"/>
      <c r="ALV362" s="1"/>
      <c r="ALW362" s="1"/>
      <c r="ALX362" s="1"/>
      <c r="ALY362" s="1"/>
      <c r="ALZ362" s="1"/>
      <c r="AMA362" s="1"/>
      <c r="AMB362" s="1"/>
      <c r="AMC362" s="1"/>
      <c r="AMD362" s="1"/>
      <c r="AME362" s="1"/>
      <c r="AMF362" s="1"/>
      <c r="AMG362" s="1"/>
      <c r="AMH362" s="1"/>
      <c r="AMI362" s="1"/>
      <c r="AMJ362" s="1"/>
      <c r="AMK362" s="1"/>
      <c r="AML362" s="1"/>
      <c r="AMM362" s="1"/>
      <c r="AMN362" s="1"/>
      <c r="AMO362" s="1"/>
    </row>
    <row r="363" spans="1:1029" x14ac:dyDescent="0.2">
      <c r="A363" s="3" t="str">
        <f>CONCATENATE(B363,"_",C363)</f>
        <v>par2_human_5NJ6</v>
      </c>
      <c r="B363" s="3" t="s">
        <v>355</v>
      </c>
      <c r="C363" s="3" t="s">
        <v>1392</v>
      </c>
      <c r="D363" s="3" t="str">
        <f>IFERROR(MID(VLOOKUP($B363,Seqs!$A:$B,2,0),E363,1),"")</f>
        <v>G</v>
      </c>
      <c r="E363" s="3">
        <v>71</v>
      </c>
      <c r="F363" s="3" t="str">
        <f>IFERROR(MID(VLOOKUP($B363,Seqs!$A:$B,2,0),G363,1),"")</f>
        <v>R</v>
      </c>
      <c r="G363" s="3">
        <v>103</v>
      </c>
      <c r="H363" s="3" t="str">
        <f>IFERROR(MID(VLOOKUP($B363,Seqs!$A:$B,2,0),I363,1),"")</f>
        <v/>
      </c>
      <c r="I363" s="23" t="s">
        <v>23</v>
      </c>
      <c r="J363" s="3" t="str">
        <f>IFERROR(MID(VLOOKUP($B363,Seqs!$A:$B,2,0),K363,1),"")</f>
        <v/>
      </c>
      <c r="K363" s="23" t="s">
        <v>23</v>
      </c>
      <c r="L363" s="3" t="str">
        <f>IFERROR(MID(VLOOKUP($B363,Seqs!$A:$B,2,0),M363,1),"")</f>
        <v>H</v>
      </c>
      <c r="M363" s="3">
        <v>108</v>
      </c>
      <c r="N363" s="3" t="str">
        <f>IFERROR(MID(VLOOKUP($B363,Seqs!$A:$B,2,0),O363,1),"")</f>
        <v>H</v>
      </c>
      <c r="O363" s="3">
        <v>137</v>
      </c>
      <c r="P363" s="3" t="str">
        <f>IFERROR(MID(VLOOKUP($B363,Seqs!$A:$B,2,0),Q363,1),"")</f>
        <v>G</v>
      </c>
      <c r="Q363" s="3">
        <v>138</v>
      </c>
      <c r="R363" s="3" t="str">
        <f>IFERROR(MID(VLOOKUP($B363,Seqs!$A:$B,2,0),S363,1),"")</f>
        <v>Y</v>
      </c>
      <c r="S363" s="3">
        <v>143</v>
      </c>
      <c r="T363" s="3" t="str">
        <f>IFERROR(MID(VLOOKUP($B363,Seqs!$A:$B,2,0),U363,1),"")</f>
        <v>G</v>
      </c>
      <c r="U363" s="3">
        <v>144</v>
      </c>
      <c r="V363" s="3" t="str">
        <f>IFERROR(MID(VLOOKUP($B363,Seqs!$A:$B,2,0),W363,1),"")</f>
        <v>N</v>
      </c>
      <c r="W363" s="3">
        <v>179</v>
      </c>
      <c r="X363" s="3" t="str">
        <f>IFERROR(MID(VLOOKUP($B363,Seqs!$A:$B,2,0),Y363,1),"")</f>
        <v/>
      </c>
      <c r="Y363" s="3" t="s">
        <v>23</v>
      </c>
      <c r="Z363" s="3" t="str">
        <f>IFERROR(MID(VLOOKUP($B363,Seqs!$A:$B,2,0),AA363,1),"")</f>
        <v/>
      </c>
      <c r="AA363" s="3" t="s">
        <v>23</v>
      </c>
      <c r="AB363" s="3" t="str">
        <f>IFERROR(MID(VLOOKUP($B363,Seqs!$A:$B,2,0),AC363,1),"")</f>
        <v>H</v>
      </c>
      <c r="AC363" s="3">
        <v>183</v>
      </c>
      <c r="AD363" s="3" t="str">
        <f>IFERROR(MID(VLOOKUP($B363,Seqs!$A:$B,2,0),AE363,1),"")</f>
        <v>V</v>
      </c>
      <c r="AE363" s="3">
        <v>211</v>
      </c>
      <c r="AF363" s="3" t="str">
        <f>IFERROR(MID(VLOOKUP($B363,Seqs!$A:$B,2,0),AG363,1),"")</f>
        <v>C</v>
      </c>
      <c r="AG363" s="3">
        <v>226</v>
      </c>
      <c r="AH363" s="3" t="str">
        <f>IFERROR(MID(VLOOKUP($B363,Seqs!$A:$B,2,0),AI363,1),"")</f>
        <v>D</v>
      </c>
      <c r="AI363" s="3">
        <v>228</v>
      </c>
      <c r="AJ363" s="3" t="str">
        <f>IFERROR(MID(VLOOKUP($B363,Seqs!$A:$B,2,0),AK363,1),"")</f>
        <v>L</v>
      </c>
      <c r="AK363" s="3">
        <v>235</v>
      </c>
      <c r="AL363" s="3" t="str">
        <f>IFERROR(MID(VLOOKUP($B363,Seqs!$A:$B,2,0),AM363,1),"")</f>
        <v>L</v>
      </c>
      <c r="AM363" s="3">
        <v>269</v>
      </c>
      <c r="AN363" s="3" t="str">
        <f>IFERROR(MID(VLOOKUP($B363,Seqs!$A:$B,2,0),AO363,1),"")</f>
        <v>S</v>
      </c>
      <c r="AO363" s="3">
        <v>278</v>
      </c>
      <c r="AP363" s="3" t="str">
        <f>IFERROR(MID(VLOOKUP($B363,Seqs!$A:$B,2,0),AQ363,1),"")</f>
        <v>Q</v>
      </c>
      <c r="AQ363" s="3">
        <v>317</v>
      </c>
      <c r="AR363" s="3" t="str">
        <f>IFERROR(MID(VLOOKUP($B363,Seqs!$A:$B,2,0),AS363,1),"")</f>
        <v>V</v>
      </c>
      <c r="AS363" s="3">
        <v>322</v>
      </c>
      <c r="AT363" s="3" t="str">
        <f>IFERROR(MID(VLOOKUP($B363,Seqs!$A:$B,2,0),AU363,1),"")</f>
        <v>S</v>
      </c>
      <c r="AU363" s="3">
        <v>348</v>
      </c>
      <c r="AV363" s="3" t="str">
        <f>IFERROR(MID(VLOOKUP($B363,Seqs!$A:$B,2,0),AW363,1),"")</f>
        <v>H</v>
      </c>
      <c r="AW363" s="3">
        <v>349</v>
      </c>
      <c r="AX363" s="3" t="str">
        <f>IFERROR(MID(VLOOKUP($B363,Seqs!$A:$B,2,0),AY363,1),"")</f>
        <v>L</v>
      </c>
      <c r="AY363" s="3">
        <v>359</v>
      </c>
      <c r="AZ363" s="77" t="str">
        <f>VLOOKUP(B363,Classification!A:D,2,0)</f>
        <v>A</v>
      </c>
      <c r="BA363" s="94" t="str">
        <f>VLOOKUP(B363,Classification!A:D,4,0)</f>
        <v>Proteinase-activated</v>
      </c>
      <c r="BB363" s="27" t="b">
        <f t="shared" si="1151"/>
        <v>1</v>
      </c>
      <c r="BC363" s="23">
        <f t="shared" si="1152"/>
        <v>252</v>
      </c>
      <c r="BD363" s="2" t="s">
        <v>23</v>
      </c>
      <c r="BE363" s="3" t="s">
        <v>1422</v>
      </c>
      <c r="BF363" s="118">
        <v>4</v>
      </c>
      <c r="BG363" s="49" t="s">
        <v>1</v>
      </c>
      <c r="BH363" s="49" t="s">
        <v>1371</v>
      </c>
      <c r="BI363" s="1"/>
      <c r="BJ363" s="70" t="s">
        <v>1281</v>
      </c>
      <c r="BK363" s="57" t="s">
        <v>1281</v>
      </c>
      <c r="BL363" s="57" t="s">
        <v>1281</v>
      </c>
      <c r="BM363" s="57" t="s">
        <v>1281</v>
      </c>
      <c r="BN363" s="57" t="s">
        <v>1281</v>
      </c>
      <c r="BO363" s="57" t="s">
        <v>1281</v>
      </c>
      <c r="BP363" s="57" t="s">
        <v>1281</v>
      </c>
      <c r="BQ363" s="57" t="s">
        <v>1281</v>
      </c>
      <c r="BR363" s="57" t="s">
        <v>1281</v>
      </c>
      <c r="BS363" s="57" t="s">
        <v>1281</v>
      </c>
      <c r="BT363" s="57" t="s">
        <v>1281</v>
      </c>
      <c r="BU363" s="57" t="s">
        <v>1281</v>
      </c>
      <c r="BV363" s="70">
        <f>E363</f>
        <v>71</v>
      </c>
      <c r="BW363" s="71" t="str">
        <f>I363</f>
        <v>-</v>
      </c>
      <c r="BX363" s="72">
        <f>M363</f>
        <v>108</v>
      </c>
      <c r="BY363" s="71">
        <f>Q363</f>
        <v>138</v>
      </c>
      <c r="BZ363" s="72">
        <f>U363</f>
        <v>144</v>
      </c>
      <c r="CA363" s="71" t="str">
        <f>Y363</f>
        <v>-</v>
      </c>
      <c r="CB363" s="72">
        <f>AC363</f>
        <v>183</v>
      </c>
      <c r="CC363" s="71">
        <f>AG363</f>
        <v>226</v>
      </c>
      <c r="CD363" s="72">
        <f>AK363</f>
        <v>235</v>
      </c>
      <c r="CE363" s="71">
        <f>AO363</f>
        <v>278</v>
      </c>
      <c r="CF363" s="72">
        <f>AS363</f>
        <v>322</v>
      </c>
      <c r="CG363" s="71">
        <f>AW363</f>
        <v>349</v>
      </c>
      <c r="CH363" s="70">
        <f>G363</f>
        <v>103</v>
      </c>
      <c r="CI363" s="71" t="str">
        <f>K363</f>
        <v>-</v>
      </c>
      <c r="CJ363" s="72">
        <f>O363</f>
        <v>137</v>
      </c>
      <c r="CK363" s="72">
        <f>S363</f>
        <v>143</v>
      </c>
      <c r="CL363" s="72">
        <f>W363</f>
        <v>179</v>
      </c>
      <c r="CM363" s="72" t="str">
        <f>AA363</f>
        <v>-</v>
      </c>
      <c r="CN363" s="72">
        <f>AE363</f>
        <v>211</v>
      </c>
      <c r="CO363" s="72">
        <f>AI363</f>
        <v>228</v>
      </c>
      <c r="CP363" s="72">
        <f>AM363</f>
        <v>269</v>
      </c>
      <c r="CQ363" s="72">
        <f>AQ363</f>
        <v>317</v>
      </c>
      <c r="CR363" s="72">
        <f>AU363</f>
        <v>348</v>
      </c>
      <c r="CS363" s="72">
        <f>AY363</f>
        <v>359</v>
      </c>
      <c r="CT363" s="23" t="e">
        <f>M363-K363</f>
        <v>#VALUE!</v>
      </c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1"/>
      <c r="OP363" s="1"/>
      <c r="OQ363" s="1"/>
      <c r="OR363" s="1"/>
      <c r="OS363" s="1"/>
      <c r="OT363" s="1"/>
      <c r="OU363" s="1"/>
      <c r="OV363" s="1"/>
      <c r="OW363" s="1"/>
      <c r="OX363" s="1"/>
      <c r="OY363" s="1"/>
      <c r="OZ363" s="1"/>
      <c r="PA363" s="1"/>
      <c r="PB363" s="1"/>
      <c r="PC363" s="1"/>
      <c r="PD363" s="1"/>
      <c r="PE363" s="1"/>
      <c r="PF363" s="1"/>
      <c r="PG363" s="1"/>
      <c r="PH363" s="1"/>
      <c r="PI363" s="1"/>
      <c r="PJ363" s="1"/>
      <c r="PK363" s="1"/>
      <c r="PL363" s="1"/>
      <c r="PM363" s="1"/>
      <c r="PN363" s="1"/>
      <c r="PO363" s="1"/>
      <c r="PP363" s="1"/>
      <c r="PQ363" s="1"/>
      <c r="PR363" s="1"/>
      <c r="PS363" s="1"/>
      <c r="PT363" s="1"/>
      <c r="PU363" s="1"/>
      <c r="PV363" s="1"/>
      <c r="PW363" s="1"/>
      <c r="PX363" s="1"/>
      <c r="PY363" s="1"/>
      <c r="PZ363" s="1"/>
      <c r="QA363" s="1"/>
      <c r="QB363" s="1"/>
      <c r="QC363" s="1"/>
      <c r="QD363" s="1"/>
      <c r="QE363" s="1"/>
      <c r="QF363" s="1"/>
      <c r="QG363" s="1"/>
      <c r="QH363" s="1"/>
      <c r="QI363" s="1"/>
      <c r="QJ363" s="1"/>
      <c r="QK363" s="1"/>
      <c r="QL363" s="1"/>
      <c r="QM363" s="1"/>
      <c r="QN363" s="1"/>
      <c r="QO363" s="1"/>
      <c r="QP363" s="1"/>
      <c r="QQ363" s="1"/>
      <c r="QR363" s="1"/>
      <c r="QS363" s="1"/>
      <c r="QT363" s="1"/>
      <c r="QU363" s="1"/>
      <c r="QV363" s="1"/>
      <c r="QW363" s="1"/>
      <c r="QX363" s="1"/>
      <c r="QY363" s="1"/>
      <c r="QZ363" s="1"/>
      <c r="RA363" s="1"/>
      <c r="RB363" s="1"/>
      <c r="RC363" s="1"/>
      <c r="RD363" s="1"/>
      <c r="RE363" s="1"/>
      <c r="RF363" s="1"/>
      <c r="RG363" s="1"/>
      <c r="RH363" s="1"/>
      <c r="RI363" s="1"/>
      <c r="RJ363" s="1"/>
      <c r="RK363" s="1"/>
      <c r="RL363" s="1"/>
      <c r="RM363" s="1"/>
      <c r="RN363" s="1"/>
      <c r="RO363" s="1"/>
      <c r="RP363" s="1"/>
      <c r="RQ363" s="1"/>
      <c r="RR363" s="1"/>
      <c r="RS363" s="1"/>
      <c r="RT363" s="1"/>
      <c r="RU363" s="1"/>
      <c r="RV363" s="1"/>
      <c r="RW363" s="1"/>
      <c r="RX363" s="1"/>
      <c r="RY363" s="1"/>
      <c r="RZ363" s="1"/>
      <c r="SA363" s="1"/>
      <c r="SB363" s="1"/>
      <c r="SC363" s="1"/>
      <c r="SD363" s="1"/>
      <c r="SE363" s="1"/>
      <c r="SF363" s="1"/>
      <c r="SG363" s="1"/>
      <c r="SH363" s="1"/>
      <c r="SI363" s="1"/>
      <c r="SJ363" s="1"/>
      <c r="SK363" s="1"/>
      <c r="SL363" s="1"/>
      <c r="SM363" s="1"/>
      <c r="SN363" s="1"/>
      <c r="SO363" s="1"/>
      <c r="SP363" s="1"/>
      <c r="SQ363" s="1"/>
      <c r="SR363" s="1"/>
      <c r="SS363" s="1"/>
      <c r="ST363" s="1"/>
      <c r="SU363" s="1"/>
      <c r="SV363" s="1"/>
      <c r="SW363" s="1"/>
      <c r="SX363" s="1"/>
      <c r="SY363" s="1"/>
      <c r="SZ363" s="1"/>
      <c r="TA363" s="1"/>
      <c r="TB363" s="1"/>
      <c r="TC363" s="1"/>
      <c r="TD363" s="1"/>
      <c r="TE363" s="1"/>
      <c r="TF363" s="1"/>
      <c r="TG363" s="1"/>
      <c r="TH363" s="1"/>
      <c r="TI363" s="1"/>
      <c r="TJ363" s="1"/>
      <c r="TK363" s="1"/>
      <c r="TL363" s="1"/>
      <c r="TM363" s="1"/>
      <c r="TN363" s="1"/>
      <c r="TO363" s="1"/>
      <c r="TP363" s="1"/>
      <c r="TQ363" s="1"/>
      <c r="TR363" s="1"/>
      <c r="TS363" s="1"/>
      <c r="TT363" s="1"/>
      <c r="TU363" s="1"/>
      <c r="TV363" s="1"/>
      <c r="TW363" s="1"/>
      <c r="TX363" s="1"/>
      <c r="TY363" s="1"/>
      <c r="TZ363" s="1"/>
      <c r="UA363" s="1"/>
      <c r="UB363" s="1"/>
      <c r="UC363" s="1"/>
      <c r="UD363" s="1"/>
      <c r="UE363" s="1"/>
      <c r="UF363" s="1"/>
      <c r="UG363" s="1"/>
      <c r="UH363" s="1"/>
      <c r="UI363" s="1"/>
      <c r="UJ363" s="1"/>
      <c r="UK363" s="1"/>
      <c r="UL363" s="1"/>
      <c r="UM363" s="1"/>
      <c r="UN363" s="1"/>
      <c r="UO363" s="1"/>
      <c r="UP363" s="1"/>
      <c r="UQ363" s="1"/>
      <c r="UR363" s="1"/>
      <c r="US363" s="1"/>
      <c r="UT363" s="1"/>
      <c r="UU363" s="1"/>
      <c r="UV363" s="1"/>
      <c r="UW363" s="1"/>
      <c r="UX363" s="1"/>
      <c r="UY363" s="1"/>
      <c r="UZ363" s="1"/>
      <c r="VA363" s="1"/>
      <c r="VB363" s="1"/>
      <c r="VC363" s="1"/>
      <c r="VD363" s="1"/>
      <c r="VE363" s="1"/>
      <c r="VF363" s="1"/>
      <c r="VG363" s="1"/>
      <c r="VH363" s="1"/>
      <c r="VI363" s="1"/>
      <c r="VJ363" s="1"/>
      <c r="VK363" s="1"/>
      <c r="VL363" s="1"/>
      <c r="VM363" s="1"/>
      <c r="VN363" s="1"/>
      <c r="VO363" s="1"/>
      <c r="VP363" s="1"/>
      <c r="VQ363" s="1"/>
      <c r="VR363" s="1"/>
      <c r="VS363" s="1"/>
      <c r="VT363" s="1"/>
      <c r="VU363" s="1"/>
      <c r="VV363" s="1"/>
      <c r="VW363" s="1"/>
      <c r="VX363" s="1"/>
      <c r="VY363" s="1"/>
      <c r="VZ363" s="1"/>
      <c r="WA363" s="1"/>
      <c r="WB363" s="1"/>
      <c r="WC363" s="1"/>
      <c r="WD363" s="1"/>
      <c r="WE363" s="1"/>
      <c r="WF363" s="1"/>
      <c r="WG363" s="1"/>
      <c r="WH363" s="1"/>
      <c r="WI363" s="1"/>
      <c r="WJ363" s="1"/>
      <c r="WK363" s="1"/>
      <c r="WL363" s="1"/>
      <c r="WM363" s="1"/>
      <c r="WN363" s="1"/>
      <c r="WO363" s="1"/>
      <c r="WP363" s="1"/>
      <c r="WQ363" s="1"/>
      <c r="WR363" s="1"/>
      <c r="WS363" s="1"/>
      <c r="WT363" s="1"/>
      <c r="WU363" s="1"/>
      <c r="WV363" s="1"/>
      <c r="WW363" s="1"/>
      <c r="WX363" s="1"/>
      <c r="WY363" s="1"/>
      <c r="WZ363" s="1"/>
      <c r="XA363" s="1"/>
      <c r="XB363" s="1"/>
      <c r="XC363" s="1"/>
      <c r="XD363" s="1"/>
      <c r="XE363" s="1"/>
      <c r="XF363" s="1"/>
      <c r="XG363" s="1"/>
      <c r="XH363" s="1"/>
      <c r="XI363" s="1"/>
      <c r="XJ363" s="1"/>
      <c r="XK363" s="1"/>
      <c r="XL363" s="1"/>
      <c r="XM363" s="1"/>
      <c r="XN363" s="1"/>
      <c r="XO363" s="1"/>
      <c r="XP363" s="1"/>
      <c r="XQ363" s="1"/>
      <c r="XR363" s="1"/>
      <c r="XS363" s="1"/>
      <c r="XT363" s="1"/>
      <c r="XU363" s="1"/>
      <c r="XV363" s="1"/>
      <c r="XW363" s="1"/>
      <c r="XX363" s="1"/>
      <c r="XY363" s="1"/>
      <c r="XZ363" s="1"/>
      <c r="YA363" s="1"/>
      <c r="YB363" s="1"/>
      <c r="YC363" s="1"/>
      <c r="YD363" s="1"/>
      <c r="YE363" s="1"/>
      <c r="YF363" s="1"/>
      <c r="YG363" s="1"/>
      <c r="YH363" s="1"/>
      <c r="YI363" s="1"/>
      <c r="YJ363" s="1"/>
      <c r="YK363" s="1"/>
      <c r="YL363" s="1"/>
      <c r="YM363" s="1"/>
      <c r="YN363" s="1"/>
      <c r="YO363" s="1"/>
      <c r="YP363" s="1"/>
      <c r="YQ363" s="1"/>
      <c r="YR363" s="1"/>
      <c r="YS363" s="1"/>
      <c r="YT363" s="1"/>
      <c r="YU363" s="1"/>
      <c r="YV363" s="1"/>
      <c r="YW363" s="1"/>
      <c r="YX363" s="1"/>
      <c r="YY363" s="1"/>
      <c r="YZ363" s="1"/>
      <c r="ZA363" s="1"/>
      <c r="ZB363" s="1"/>
      <c r="ZC363" s="1"/>
      <c r="ZD363" s="1"/>
      <c r="ZE363" s="1"/>
      <c r="ZF363" s="1"/>
      <c r="ZG363" s="1"/>
      <c r="ZH363" s="1"/>
      <c r="ZI363" s="1"/>
      <c r="ZJ363" s="1"/>
      <c r="ZK363" s="1"/>
      <c r="ZL363" s="1"/>
      <c r="ZM363" s="1"/>
      <c r="ZN363" s="1"/>
      <c r="ZO363" s="1"/>
      <c r="ZP363" s="1"/>
      <c r="ZQ363" s="1"/>
      <c r="ZR363" s="1"/>
      <c r="ZS363" s="1"/>
      <c r="ZT363" s="1"/>
      <c r="ZU363" s="1"/>
      <c r="ZV363" s="1"/>
      <c r="ZW363" s="1"/>
      <c r="ZX363" s="1"/>
      <c r="ZY363" s="1"/>
      <c r="ZZ363" s="1"/>
      <c r="AAA363" s="1"/>
      <c r="AAB363" s="1"/>
      <c r="AAC363" s="1"/>
      <c r="AAD363" s="1"/>
      <c r="AAE363" s="1"/>
      <c r="AAF363" s="1"/>
      <c r="AAG363" s="1"/>
      <c r="AAH363" s="1"/>
      <c r="AAI363" s="1"/>
      <c r="AAJ363" s="1"/>
      <c r="AAK363" s="1"/>
      <c r="AAL363" s="1"/>
      <c r="AAM363" s="1"/>
      <c r="AAN363" s="1"/>
      <c r="AAO363" s="1"/>
      <c r="AAP363" s="1"/>
      <c r="AAQ363" s="1"/>
      <c r="AAR363" s="1"/>
      <c r="AAS363" s="1"/>
      <c r="AAT363" s="1"/>
      <c r="AAU363" s="1"/>
      <c r="AAV363" s="1"/>
      <c r="AAW363" s="1"/>
      <c r="AAX363" s="1"/>
      <c r="AAY363" s="1"/>
      <c r="AAZ363" s="1"/>
      <c r="ABA363" s="1"/>
      <c r="ABB363" s="1"/>
      <c r="ABC363" s="1"/>
      <c r="ABD363" s="1"/>
      <c r="ABE363" s="1"/>
      <c r="ABF363" s="1"/>
      <c r="ABG363" s="1"/>
      <c r="ABH363" s="1"/>
      <c r="ABI363" s="1"/>
      <c r="ABJ363" s="1"/>
      <c r="ABK363" s="1"/>
      <c r="ABL363" s="1"/>
      <c r="ABM363" s="1"/>
      <c r="ABN363" s="1"/>
      <c r="ABO363" s="1"/>
      <c r="ABP363" s="1"/>
      <c r="ABQ363" s="1"/>
      <c r="ABR363" s="1"/>
      <c r="ABS363" s="1"/>
      <c r="ABT363" s="1"/>
      <c r="ABU363" s="1"/>
      <c r="ABV363" s="1"/>
      <c r="ABW363" s="1"/>
      <c r="ABX363" s="1"/>
      <c r="ABY363" s="1"/>
      <c r="ABZ363" s="1"/>
      <c r="ACA363" s="1"/>
      <c r="ACB363" s="1"/>
      <c r="ACC363" s="1"/>
      <c r="ACD363" s="1"/>
      <c r="ACE363" s="1"/>
      <c r="ACF363" s="1"/>
      <c r="ACG363" s="1"/>
      <c r="ACH363" s="1"/>
      <c r="ACI363" s="1"/>
      <c r="ACJ363" s="1"/>
      <c r="ACK363" s="1"/>
      <c r="ACL363" s="1"/>
      <c r="ACM363" s="1"/>
      <c r="ACN363" s="1"/>
      <c r="ACO363" s="1"/>
      <c r="ACP363" s="1"/>
      <c r="ACQ363" s="1"/>
      <c r="ACR363" s="1"/>
      <c r="ACS363" s="1"/>
      <c r="ACT363" s="1"/>
      <c r="ACU363" s="1"/>
      <c r="ACV363" s="1"/>
      <c r="ACW363" s="1"/>
      <c r="ACX363" s="1"/>
      <c r="ACY363" s="1"/>
      <c r="ACZ363" s="1"/>
      <c r="ADA363" s="1"/>
      <c r="ADB363" s="1"/>
      <c r="ADC363" s="1"/>
      <c r="ADD363" s="1"/>
      <c r="ADE363" s="1"/>
      <c r="ADF363" s="1"/>
      <c r="ADG363" s="1"/>
      <c r="ADH363" s="1"/>
      <c r="ADI363" s="1"/>
      <c r="ADJ363" s="1"/>
      <c r="ADK363" s="1"/>
      <c r="ADL363" s="1"/>
      <c r="ADM363" s="1"/>
      <c r="ADN363" s="1"/>
      <c r="ADO363" s="1"/>
      <c r="ADP363" s="1"/>
      <c r="ADQ363" s="1"/>
      <c r="ADR363" s="1"/>
      <c r="ADS363" s="1"/>
      <c r="ADT363" s="1"/>
      <c r="ADU363" s="1"/>
      <c r="ADV363" s="1"/>
      <c r="ADW363" s="1"/>
      <c r="ADX363" s="1"/>
      <c r="ADY363" s="1"/>
      <c r="ADZ363" s="1"/>
      <c r="AEA363" s="1"/>
      <c r="AEB363" s="1"/>
      <c r="AEC363" s="1"/>
      <c r="AED363" s="1"/>
      <c r="AEE363" s="1"/>
      <c r="AEF363" s="1"/>
      <c r="AEG363" s="1"/>
      <c r="AEH363" s="1"/>
      <c r="AEI363" s="1"/>
      <c r="AEJ363" s="1"/>
      <c r="AEK363" s="1"/>
      <c r="AEL363" s="1"/>
      <c r="AEM363" s="1"/>
      <c r="AEN363" s="1"/>
      <c r="AEO363" s="1"/>
      <c r="AEP363" s="1"/>
      <c r="AEQ363" s="1"/>
      <c r="AER363" s="1"/>
      <c r="AES363" s="1"/>
      <c r="AET363" s="1"/>
      <c r="AEU363" s="1"/>
      <c r="AEV363" s="1"/>
      <c r="AEW363" s="1"/>
      <c r="AEX363" s="1"/>
      <c r="AEY363" s="1"/>
      <c r="AEZ363" s="1"/>
      <c r="AFA363" s="1"/>
      <c r="AFB363" s="1"/>
      <c r="AFC363" s="1"/>
      <c r="AFD363" s="1"/>
      <c r="AFE363" s="1"/>
      <c r="AFF363" s="1"/>
      <c r="AFG363" s="1"/>
      <c r="AFH363" s="1"/>
      <c r="AFI363" s="1"/>
      <c r="AFJ363" s="1"/>
      <c r="AFK363" s="1"/>
      <c r="AFL363" s="1"/>
      <c r="AFM363" s="1"/>
      <c r="AFN363" s="1"/>
      <c r="AFO363" s="1"/>
      <c r="AFP363" s="1"/>
      <c r="AFQ363" s="1"/>
      <c r="AFR363" s="1"/>
      <c r="AFS363" s="1"/>
      <c r="AFT363" s="1"/>
      <c r="AFU363" s="1"/>
      <c r="AFV363" s="1"/>
      <c r="AFW363" s="1"/>
      <c r="AFX363" s="1"/>
      <c r="AFY363" s="1"/>
      <c r="AFZ363" s="1"/>
      <c r="AGA363" s="1"/>
      <c r="AGB363" s="1"/>
      <c r="AGC363" s="1"/>
      <c r="AGD363" s="1"/>
      <c r="AGE363" s="1"/>
      <c r="AGF363" s="1"/>
      <c r="AGG363" s="1"/>
      <c r="AGH363" s="1"/>
      <c r="AGI363" s="1"/>
      <c r="AGJ363" s="1"/>
      <c r="AGK363" s="1"/>
      <c r="AGL363" s="1"/>
      <c r="AGM363" s="1"/>
      <c r="AGN363" s="1"/>
      <c r="AGO363" s="1"/>
      <c r="AGP363" s="1"/>
      <c r="AGQ363" s="1"/>
      <c r="AGR363" s="1"/>
      <c r="AGS363" s="1"/>
      <c r="AGT363" s="1"/>
      <c r="AGU363" s="1"/>
      <c r="AGV363" s="1"/>
      <c r="AGW363" s="1"/>
      <c r="AGX363" s="1"/>
      <c r="AGY363" s="1"/>
      <c r="AGZ363" s="1"/>
      <c r="AHA363" s="1"/>
      <c r="AHB363" s="1"/>
      <c r="AHC363" s="1"/>
      <c r="AHD363" s="1"/>
      <c r="AHE363" s="1"/>
      <c r="AHF363" s="1"/>
      <c r="AHG363" s="1"/>
      <c r="AHH363" s="1"/>
      <c r="AHI363" s="1"/>
      <c r="AHJ363" s="1"/>
      <c r="AHK363" s="1"/>
      <c r="AHL363" s="1"/>
      <c r="AHM363" s="1"/>
      <c r="AHN363" s="1"/>
      <c r="AHO363" s="1"/>
      <c r="AHP363" s="1"/>
      <c r="AHQ363" s="1"/>
      <c r="AHR363" s="1"/>
      <c r="AHS363" s="1"/>
      <c r="AHT363" s="1"/>
      <c r="AHU363" s="1"/>
      <c r="AHV363" s="1"/>
      <c r="AHW363" s="1"/>
      <c r="AHX363" s="1"/>
      <c r="AHY363" s="1"/>
      <c r="AHZ363" s="1"/>
      <c r="AIA363" s="1"/>
      <c r="AIB363" s="1"/>
      <c r="AIC363" s="1"/>
      <c r="AID363" s="1"/>
      <c r="AIE363" s="1"/>
      <c r="AIF363" s="1"/>
      <c r="AIG363" s="1"/>
      <c r="AIH363" s="1"/>
      <c r="AII363" s="1"/>
      <c r="AIJ363" s="1"/>
      <c r="AIK363" s="1"/>
      <c r="AIL363" s="1"/>
      <c r="AIM363" s="1"/>
      <c r="AIN363" s="1"/>
      <c r="AIO363" s="1"/>
      <c r="AIP363" s="1"/>
      <c r="AIQ363" s="1"/>
      <c r="AIR363" s="1"/>
      <c r="AIS363" s="1"/>
      <c r="AIT363" s="1"/>
      <c r="AIU363" s="1"/>
      <c r="AIV363" s="1"/>
      <c r="AIW363" s="1"/>
      <c r="AIX363" s="1"/>
      <c r="AIY363" s="1"/>
      <c r="AIZ363" s="1"/>
      <c r="AJA363" s="1"/>
      <c r="AJB363" s="1"/>
      <c r="AJC363" s="1"/>
      <c r="AJD363" s="1"/>
      <c r="AJE363" s="1"/>
      <c r="AJF363" s="1"/>
      <c r="AJG363" s="1"/>
      <c r="AJH363" s="1"/>
      <c r="AJI363" s="1"/>
      <c r="AJJ363" s="1"/>
      <c r="AJK363" s="1"/>
      <c r="AJL363" s="1"/>
      <c r="AJM363" s="1"/>
      <c r="AJN363" s="1"/>
      <c r="AJO363" s="1"/>
      <c r="AJP363" s="1"/>
      <c r="AJQ363" s="1"/>
      <c r="AJR363" s="1"/>
      <c r="AJS363" s="1"/>
      <c r="AJT363" s="1"/>
      <c r="AJU363" s="1"/>
      <c r="AJV363" s="1"/>
      <c r="AJW363" s="1"/>
      <c r="AJX363" s="1"/>
      <c r="AJY363" s="1"/>
      <c r="AJZ363" s="1"/>
      <c r="AKA363" s="1"/>
      <c r="AKB363" s="1"/>
      <c r="AKC363" s="1"/>
      <c r="AKD363" s="1"/>
      <c r="AKE363" s="1"/>
      <c r="AKF363" s="1"/>
      <c r="AKG363" s="1"/>
      <c r="AKH363" s="1"/>
      <c r="AKI363" s="1"/>
      <c r="AKJ363" s="1"/>
      <c r="AKK363" s="1"/>
      <c r="AKL363" s="1"/>
      <c r="AKM363" s="1"/>
      <c r="AKN363" s="1"/>
      <c r="AKO363" s="1"/>
      <c r="AKP363" s="1"/>
      <c r="AKQ363" s="1"/>
      <c r="AKR363" s="1"/>
      <c r="AKS363" s="1"/>
      <c r="AKT363" s="1"/>
      <c r="AKU363" s="1"/>
      <c r="AKV363" s="1"/>
      <c r="AKW363" s="1"/>
      <c r="AKX363" s="1"/>
      <c r="AKY363" s="1"/>
      <c r="AKZ363" s="1"/>
      <c r="ALA363" s="1"/>
      <c r="ALB363" s="1"/>
      <c r="ALC363" s="1"/>
      <c r="ALD363" s="1"/>
      <c r="ALE363" s="1"/>
      <c r="ALF363" s="1"/>
      <c r="ALG363" s="1"/>
      <c r="ALH363" s="1"/>
      <c r="ALI363" s="1"/>
      <c r="ALJ363" s="1"/>
      <c r="ALK363" s="1"/>
      <c r="ALL363" s="1"/>
      <c r="ALM363" s="1"/>
      <c r="ALN363" s="1"/>
      <c r="ALO363" s="1"/>
      <c r="ALP363" s="1"/>
      <c r="ALQ363" s="1"/>
      <c r="ALR363" s="1"/>
      <c r="ALS363" s="1"/>
      <c r="ALT363" s="1"/>
      <c r="ALU363" s="1"/>
      <c r="ALV363" s="1"/>
      <c r="ALW363" s="1"/>
      <c r="ALX363" s="1"/>
      <c r="ALY363" s="1"/>
      <c r="ALZ363" s="1"/>
      <c r="AMA363" s="1"/>
      <c r="AMB363" s="1"/>
      <c r="AMC363" s="1"/>
      <c r="AMD363" s="1"/>
      <c r="AME363" s="1"/>
      <c r="AMF363" s="1"/>
      <c r="AMG363" s="1"/>
      <c r="AMH363" s="1"/>
      <c r="AMI363" s="1"/>
      <c r="AMJ363" s="1"/>
      <c r="AMK363" s="1"/>
      <c r="AML363" s="1"/>
      <c r="AMM363" s="1"/>
      <c r="AMN363" s="1"/>
      <c r="AMO363" s="1"/>
    </row>
    <row r="364" spans="1:1029" x14ac:dyDescent="0.2">
      <c r="A364" s="3" t="str">
        <f>CONCATENATE(B364,"_",C364)</f>
        <v>pd2r2_human__wt</v>
      </c>
      <c r="B364" s="3" t="s">
        <v>359</v>
      </c>
      <c r="C364" s="3" t="s">
        <v>100</v>
      </c>
      <c r="D364" s="3" t="str">
        <f>IFERROR(MID(VLOOKUP($B364,Seqs!$A:$B,2,0),E364,1),"")</f>
        <v>D</v>
      </c>
      <c r="E364" s="3">
        <v>32</v>
      </c>
      <c r="F364" s="3" t="str">
        <f>IFERROR(MID(VLOOKUP($B364,Seqs!$A:$B,2,0),G364,1),"")</f>
        <v>R</v>
      </c>
      <c r="G364" s="3">
        <v>60</v>
      </c>
      <c r="H364" s="3" t="str">
        <f>IFERROR(MID(VLOOKUP($B364,Seqs!$A:$B,2,0),I364,1),"")</f>
        <v/>
      </c>
      <c r="I364" s="23" t="s">
        <v>23</v>
      </c>
      <c r="J364" s="3" t="str">
        <f>IFERROR(MID(VLOOKUP($B364,Seqs!$A:$B,2,0),K364,1),"")</f>
        <v/>
      </c>
      <c r="K364" s="23" t="s">
        <v>23</v>
      </c>
      <c r="L364" s="3" t="str">
        <f>IFERROR(MID(VLOOKUP($B364,Seqs!$A:$B,2,0),M364,1),"")</f>
        <v>T</v>
      </c>
      <c r="M364" s="3">
        <v>64</v>
      </c>
      <c r="N364" s="3" t="str">
        <f>IFERROR(MID(VLOOKUP($B364,Seqs!$A:$B,2,0),O364,1),"")</f>
        <v>G</v>
      </c>
      <c r="O364" s="3">
        <v>94</v>
      </c>
      <c r="P364" s="3" t="str">
        <f>IFERROR(MID(VLOOKUP($B364,Seqs!$A:$B,2,0),Q364,1),"")</f>
        <v>S</v>
      </c>
      <c r="Q364" s="3">
        <v>96</v>
      </c>
      <c r="R364" s="3" t="str">
        <f>IFERROR(MID(VLOOKUP($B364,Seqs!$A:$B,2,0),S364,1),"")</f>
        <v>L</v>
      </c>
      <c r="S364" s="3">
        <v>99</v>
      </c>
      <c r="T364" s="3" t="str">
        <f>IFERROR(MID(VLOOKUP($B364,Seqs!$A:$B,2,0),U364,1),"")</f>
        <v>G</v>
      </c>
      <c r="U364" s="3">
        <v>100</v>
      </c>
      <c r="V364" s="3" t="str">
        <f>IFERROR(MID(VLOOKUP($B364,Seqs!$A:$B,2,0),W364,1),"")</f>
        <v>R</v>
      </c>
      <c r="W364" s="3">
        <v>135</v>
      </c>
      <c r="X364" s="3" t="str">
        <f>IFERROR(MID(VLOOKUP($B364,Seqs!$A:$B,2,0),Y364,1),"")</f>
        <v>P</v>
      </c>
      <c r="Y364" s="3">
        <v>136</v>
      </c>
      <c r="Z364" s="3" t="str">
        <f>IFERROR(MID(VLOOKUP($B364,Seqs!$A:$B,2,0),AA364,1),"")</f>
        <v>R</v>
      </c>
      <c r="AA364" s="3">
        <v>143</v>
      </c>
      <c r="AB364" s="3" t="str">
        <f>IFERROR(MID(VLOOKUP($B364,Seqs!$A:$B,2,0),AC364,1),"")</f>
        <v>T</v>
      </c>
      <c r="AC364" s="3">
        <v>144</v>
      </c>
      <c r="AD364" s="3" t="str">
        <f>IFERROR(MID(VLOOKUP($B364,Seqs!$A:$B,2,0),AE364,1),"")</f>
        <v>R</v>
      </c>
      <c r="AE364" s="3">
        <v>170</v>
      </c>
      <c r="AF364" s="3" t="str">
        <f>IFERROR(MID(VLOOKUP($B364,Seqs!$A:$B,2,0),AG364,1),"")</f>
        <v>C</v>
      </c>
      <c r="AG364" s="3">
        <v>182</v>
      </c>
      <c r="AH364" s="3" t="str">
        <f>IFERROR(MID(VLOOKUP($B364,Seqs!$A:$B,2,0),AI364,1),"")</f>
        <v>Y</v>
      </c>
      <c r="AI364" s="3">
        <v>184</v>
      </c>
      <c r="AJ364" s="3" t="str">
        <f>IFERROR(MID(VLOOKUP($B364,Seqs!$A:$B,2,0),AK364,1),"")</f>
        <v>D</v>
      </c>
      <c r="AK364" s="3">
        <v>194</v>
      </c>
      <c r="AL364" s="3" t="str">
        <f>IFERROR(MID(VLOOKUP($B364,Seqs!$A:$B,2,0),AM364,1),"")</f>
        <v>R</v>
      </c>
      <c r="AM364" s="3">
        <v>236</v>
      </c>
      <c r="AN364" s="3" t="str">
        <f>IFERROR(MID(VLOOKUP($B364,Seqs!$A:$B,2,0),AO364,1),"")</f>
        <v>P</v>
      </c>
      <c r="AO364" s="3">
        <v>241</v>
      </c>
      <c r="AP364" s="3" t="str">
        <f>IFERROR(MID(VLOOKUP($B364,Seqs!$A:$B,2,0),AQ364,1),"")</f>
        <v>A</v>
      </c>
      <c r="AQ364" s="3">
        <v>272</v>
      </c>
      <c r="AR364" s="3" t="str">
        <f>IFERROR(MID(VLOOKUP($B364,Seqs!$A:$B,2,0),AS364,1),"")</f>
        <v>L</v>
      </c>
      <c r="AS364" s="3">
        <v>278</v>
      </c>
      <c r="AT364" s="3" t="str">
        <f>IFERROR(MID(VLOOKUP($B364,Seqs!$A:$B,2,0),AU364,1),"")</f>
        <v>T</v>
      </c>
      <c r="AU364" s="3">
        <v>307</v>
      </c>
      <c r="AV364" s="3" t="str">
        <f>IFERROR(MID(VLOOKUP($B364,Seqs!$A:$B,2,0),AW364,1),"")</f>
        <v>C</v>
      </c>
      <c r="AW364" s="3">
        <v>308</v>
      </c>
      <c r="AX364" s="3" t="str">
        <f>IFERROR(MID(VLOOKUP($B364,Seqs!$A:$B,2,0),AY364,1),"")</f>
        <v>S</v>
      </c>
      <c r="AY364" s="3">
        <v>325</v>
      </c>
      <c r="AZ364" s="77" t="str">
        <f>VLOOKUP(B364,Classification!A:D,2,0)</f>
        <v>A</v>
      </c>
      <c r="BA364" s="94" t="str">
        <f>VLOOKUP(B364,Classification!A:D,4,0)</f>
        <v>Prostanoid</v>
      </c>
      <c r="BB364" s="27" t="b">
        <f t="shared" ref="BB364" si="1153">AND(E364&lt;G364,OR(G364&lt;I364,I364="-"),OR(I364&lt;K364,I364="-"),OR(K364&lt;M364,K364="-"),M364&lt;O364,OR(O364&lt;Q364,Q364="-"),OR(Q364&lt;S364,Q364="-"),OR(S364&lt;U364,S364="-"),U364&lt;W364,OR(W364&lt;Y364,Y364="-"),OR(Y364&lt;AA364,Y364="-"),OR(AA364&lt;AC364,AA364="-"),AC364&lt;AE364,OR(AE364&lt;AG364,AG364="-"),OR(AG364&lt;AI364,AG364="-"),OR(AI364&lt;AK364,AI364="-"),AK364&lt;AM364,AM364&lt;AO364,AO364&lt;AQ364,AQ364&lt;AS364,AS364&lt;AU364,OR(AU364&lt;AW364,AW364="-"),OR(AW364&lt;AY364,AW364="-"))</f>
        <v>1</v>
      </c>
      <c r="BC364" s="23">
        <f t="shared" ref="BC364" si="1154">_xlfn.AGGREGATE(9,6,CH364:CS364)-_xlfn.AGGREGATE(9,6,BV364:CG364)+12</f>
        <v>262</v>
      </c>
      <c r="BD364" s="2" t="s">
        <v>23</v>
      </c>
      <c r="BE364" s="3" t="s">
        <v>23</v>
      </c>
      <c r="BF364" s="118" t="s">
        <v>23</v>
      </c>
      <c r="BG364" s="49" t="s">
        <v>23</v>
      </c>
      <c r="BH364" s="49" t="s">
        <v>23</v>
      </c>
      <c r="BI364" s="1"/>
      <c r="BJ364" s="70" t="s">
        <v>1281</v>
      </c>
      <c r="BK364" s="57" t="s">
        <v>1281</v>
      </c>
      <c r="BL364" s="57" t="s">
        <v>1281</v>
      </c>
      <c r="BM364" s="57" t="s">
        <v>1281</v>
      </c>
      <c r="BN364" s="57" t="s">
        <v>1281</v>
      </c>
      <c r="BO364" s="57" t="s">
        <v>1281</v>
      </c>
      <c r="BP364" s="57" t="s">
        <v>1281</v>
      </c>
      <c r="BQ364" s="57" t="s">
        <v>1281</v>
      </c>
      <c r="BR364" s="57" t="s">
        <v>1281</v>
      </c>
      <c r="BS364" s="57" t="s">
        <v>1281</v>
      </c>
      <c r="BT364" s="57" t="s">
        <v>1281</v>
      </c>
      <c r="BU364" s="57" t="s">
        <v>1281</v>
      </c>
      <c r="BV364" s="70">
        <f>E364</f>
        <v>32</v>
      </c>
      <c r="BW364" s="71" t="str">
        <f>I364</f>
        <v>-</v>
      </c>
      <c r="BX364" s="72">
        <f>M364</f>
        <v>64</v>
      </c>
      <c r="BY364" s="71">
        <f>Q364</f>
        <v>96</v>
      </c>
      <c r="BZ364" s="72">
        <f>U364</f>
        <v>100</v>
      </c>
      <c r="CA364" s="71">
        <f>Y364</f>
        <v>136</v>
      </c>
      <c r="CB364" s="72">
        <f>AC364</f>
        <v>144</v>
      </c>
      <c r="CC364" s="71">
        <f>AG364</f>
        <v>182</v>
      </c>
      <c r="CD364" s="72">
        <f>AK364</f>
        <v>194</v>
      </c>
      <c r="CE364" s="71">
        <f>AO364</f>
        <v>241</v>
      </c>
      <c r="CF364" s="72">
        <f>AS364</f>
        <v>278</v>
      </c>
      <c r="CG364" s="71">
        <f>AW364</f>
        <v>308</v>
      </c>
      <c r="CH364" s="70">
        <f>G364</f>
        <v>60</v>
      </c>
      <c r="CI364" s="71" t="str">
        <f>K364</f>
        <v>-</v>
      </c>
      <c r="CJ364" s="72">
        <f>O364</f>
        <v>94</v>
      </c>
      <c r="CK364" s="72">
        <f>S364</f>
        <v>99</v>
      </c>
      <c r="CL364" s="72">
        <f>W364</f>
        <v>135</v>
      </c>
      <c r="CM364" s="72">
        <f>AA364</f>
        <v>143</v>
      </c>
      <c r="CN364" s="72">
        <f>AE364</f>
        <v>170</v>
      </c>
      <c r="CO364" s="72">
        <f>AI364</f>
        <v>184</v>
      </c>
      <c r="CP364" s="72">
        <f>AM364</f>
        <v>236</v>
      </c>
      <c r="CQ364" s="72">
        <f>AQ364</f>
        <v>272</v>
      </c>
      <c r="CR364" s="72">
        <f>AU364</f>
        <v>307</v>
      </c>
      <c r="CS364" s="72">
        <f>AY364</f>
        <v>325</v>
      </c>
      <c r="CT364" s="23" t="e">
        <f>M364-K364</f>
        <v>#VALUE!</v>
      </c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1"/>
      <c r="OP364" s="1"/>
      <c r="OQ364" s="1"/>
      <c r="OR364" s="1"/>
      <c r="OS364" s="1"/>
      <c r="OT364" s="1"/>
      <c r="OU364" s="1"/>
      <c r="OV364" s="1"/>
      <c r="OW364" s="1"/>
      <c r="OX364" s="1"/>
      <c r="OY364" s="1"/>
      <c r="OZ364" s="1"/>
      <c r="PA364" s="1"/>
      <c r="PB364" s="1"/>
      <c r="PC364" s="1"/>
      <c r="PD364" s="1"/>
      <c r="PE364" s="1"/>
      <c r="PF364" s="1"/>
      <c r="PG364" s="1"/>
      <c r="PH364" s="1"/>
      <c r="PI364" s="1"/>
      <c r="PJ364" s="1"/>
      <c r="PK364" s="1"/>
      <c r="PL364" s="1"/>
      <c r="PM364" s="1"/>
      <c r="PN364" s="1"/>
      <c r="PO364" s="1"/>
      <c r="PP364" s="1"/>
      <c r="PQ364" s="1"/>
      <c r="PR364" s="1"/>
      <c r="PS364" s="1"/>
      <c r="PT364" s="1"/>
      <c r="PU364" s="1"/>
      <c r="PV364" s="1"/>
      <c r="PW364" s="1"/>
      <c r="PX364" s="1"/>
      <c r="PY364" s="1"/>
      <c r="PZ364" s="1"/>
      <c r="QA364" s="1"/>
      <c r="QB364" s="1"/>
      <c r="QC364" s="1"/>
      <c r="QD364" s="1"/>
      <c r="QE364" s="1"/>
      <c r="QF364" s="1"/>
      <c r="QG364" s="1"/>
      <c r="QH364" s="1"/>
      <c r="QI364" s="1"/>
      <c r="QJ364" s="1"/>
      <c r="QK364" s="1"/>
      <c r="QL364" s="1"/>
      <c r="QM364" s="1"/>
      <c r="QN364" s="1"/>
      <c r="QO364" s="1"/>
      <c r="QP364" s="1"/>
      <c r="QQ364" s="1"/>
      <c r="QR364" s="1"/>
      <c r="QS364" s="1"/>
      <c r="QT364" s="1"/>
      <c r="QU364" s="1"/>
      <c r="QV364" s="1"/>
      <c r="QW364" s="1"/>
      <c r="QX364" s="1"/>
      <c r="QY364" s="1"/>
      <c r="QZ364" s="1"/>
      <c r="RA364" s="1"/>
      <c r="RB364" s="1"/>
      <c r="RC364" s="1"/>
      <c r="RD364" s="1"/>
      <c r="RE364" s="1"/>
      <c r="RF364" s="1"/>
      <c r="RG364" s="1"/>
      <c r="RH364" s="1"/>
      <c r="RI364" s="1"/>
      <c r="RJ364" s="1"/>
      <c r="RK364" s="1"/>
      <c r="RL364" s="1"/>
      <c r="RM364" s="1"/>
      <c r="RN364" s="1"/>
      <c r="RO364" s="1"/>
      <c r="RP364" s="1"/>
      <c r="RQ364" s="1"/>
      <c r="RR364" s="1"/>
      <c r="RS364" s="1"/>
      <c r="RT364" s="1"/>
      <c r="RU364" s="1"/>
      <c r="RV364" s="1"/>
      <c r="RW364" s="1"/>
      <c r="RX364" s="1"/>
      <c r="RY364" s="1"/>
      <c r="RZ364" s="1"/>
      <c r="SA364" s="1"/>
      <c r="SB364" s="1"/>
      <c r="SC364" s="1"/>
      <c r="SD364" s="1"/>
      <c r="SE364" s="1"/>
      <c r="SF364" s="1"/>
      <c r="SG364" s="1"/>
      <c r="SH364" s="1"/>
      <c r="SI364" s="1"/>
      <c r="SJ364" s="1"/>
      <c r="SK364" s="1"/>
      <c r="SL364" s="1"/>
      <c r="SM364" s="1"/>
      <c r="SN364" s="1"/>
      <c r="SO364" s="1"/>
      <c r="SP364" s="1"/>
      <c r="SQ364" s="1"/>
      <c r="SR364" s="1"/>
      <c r="SS364" s="1"/>
      <c r="ST364" s="1"/>
      <c r="SU364" s="1"/>
      <c r="SV364" s="1"/>
      <c r="SW364" s="1"/>
      <c r="SX364" s="1"/>
      <c r="SY364" s="1"/>
      <c r="SZ364" s="1"/>
      <c r="TA364" s="1"/>
      <c r="TB364" s="1"/>
      <c r="TC364" s="1"/>
      <c r="TD364" s="1"/>
      <c r="TE364" s="1"/>
      <c r="TF364" s="1"/>
      <c r="TG364" s="1"/>
      <c r="TH364" s="1"/>
      <c r="TI364" s="1"/>
      <c r="TJ364" s="1"/>
      <c r="TK364" s="1"/>
      <c r="TL364" s="1"/>
      <c r="TM364" s="1"/>
      <c r="TN364" s="1"/>
      <c r="TO364" s="1"/>
      <c r="TP364" s="1"/>
      <c r="TQ364" s="1"/>
      <c r="TR364" s="1"/>
      <c r="TS364" s="1"/>
      <c r="TT364" s="1"/>
      <c r="TU364" s="1"/>
      <c r="TV364" s="1"/>
      <c r="TW364" s="1"/>
      <c r="TX364" s="1"/>
      <c r="TY364" s="1"/>
      <c r="TZ364" s="1"/>
      <c r="UA364" s="1"/>
      <c r="UB364" s="1"/>
      <c r="UC364" s="1"/>
      <c r="UD364" s="1"/>
      <c r="UE364" s="1"/>
      <c r="UF364" s="1"/>
      <c r="UG364" s="1"/>
      <c r="UH364" s="1"/>
      <c r="UI364" s="1"/>
      <c r="UJ364" s="1"/>
      <c r="UK364" s="1"/>
      <c r="UL364" s="1"/>
      <c r="UM364" s="1"/>
      <c r="UN364" s="1"/>
      <c r="UO364" s="1"/>
      <c r="UP364" s="1"/>
      <c r="UQ364" s="1"/>
      <c r="UR364" s="1"/>
      <c r="US364" s="1"/>
      <c r="UT364" s="1"/>
      <c r="UU364" s="1"/>
      <c r="UV364" s="1"/>
      <c r="UW364" s="1"/>
      <c r="UX364" s="1"/>
      <c r="UY364" s="1"/>
      <c r="UZ364" s="1"/>
      <c r="VA364" s="1"/>
      <c r="VB364" s="1"/>
      <c r="VC364" s="1"/>
      <c r="VD364" s="1"/>
      <c r="VE364" s="1"/>
      <c r="VF364" s="1"/>
      <c r="VG364" s="1"/>
      <c r="VH364" s="1"/>
      <c r="VI364" s="1"/>
      <c r="VJ364" s="1"/>
      <c r="VK364" s="1"/>
      <c r="VL364" s="1"/>
      <c r="VM364" s="1"/>
      <c r="VN364" s="1"/>
      <c r="VO364" s="1"/>
      <c r="VP364" s="1"/>
      <c r="VQ364" s="1"/>
      <c r="VR364" s="1"/>
      <c r="VS364" s="1"/>
      <c r="VT364" s="1"/>
      <c r="VU364" s="1"/>
      <c r="VV364" s="1"/>
      <c r="VW364" s="1"/>
      <c r="VX364" s="1"/>
      <c r="VY364" s="1"/>
      <c r="VZ364" s="1"/>
      <c r="WA364" s="1"/>
      <c r="WB364" s="1"/>
      <c r="WC364" s="1"/>
      <c r="WD364" s="1"/>
      <c r="WE364" s="1"/>
      <c r="WF364" s="1"/>
      <c r="WG364" s="1"/>
      <c r="WH364" s="1"/>
      <c r="WI364" s="1"/>
      <c r="WJ364" s="1"/>
      <c r="WK364" s="1"/>
      <c r="WL364" s="1"/>
      <c r="WM364" s="1"/>
      <c r="WN364" s="1"/>
      <c r="WO364" s="1"/>
      <c r="WP364" s="1"/>
      <c r="WQ364" s="1"/>
      <c r="WR364" s="1"/>
      <c r="WS364" s="1"/>
      <c r="WT364" s="1"/>
      <c r="WU364" s="1"/>
      <c r="WV364" s="1"/>
      <c r="WW364" s="1"/>
      <c r="WX364" s="1"/>
      <c r="WY364" s="1"/>
      <c r="WZ364" s="1"/>
      <c r="XA364" s="1"/>
      <c r="XB364" s="1"/>
      <c r="XC364" s="1"/>
      <c r="XD364" s="1"/>
      <c r="XE364" s="1"/>
      <c r="XF364" s="1"/>
      <c r="XG364" s="1"/>
      <c r="XH364" s="1"/>
      <c r="XI364" s="1"/>
      <c r="XJ364" s="1"/>
      <c r="XK364" s="1"/>
      <c r="XL364" s="1"/>
      <c r="XM364" s="1"/>
      <c r="XN364" s="1"/>
      <c r="XO364" s="1"/>
      <c r="XP364" s="1"/>
      <c r="XQ364" s="1"/>
      <c r="XR364" s="1"/>
      <c r="XS364" s="1"/>
      <c r="XT364" s="1"/>
      <c r="XU364" s="1"/>
      <c r="XV364" s="1"/>
      <c r="XW364" s="1"/>
      <c r="XX364" s="1"/>
      <c r="XY364" s="1"/>
      <c r="XZ364" s="1"/>
      <c r="YA364" s="1"/>
      <c r="YB364" s="1"/>
      <c r="YC364" s="1"/>
      <c r="YD364" s="1"/>
      <c r="YE364" s="1"/>
      <c r="YF364" s="1"/>
      <c r="YG364" s="1"/>
      <c r="YH364" s="1"/>
      <c r="YI364" s="1"/>
      <c r="YJ364" s="1"/>
      <c r="YK364" s="1"/>
      <c r="YL364" s="1"/>
      <c r="YM364" s="1"/>
      <c r="YN364" s="1"/>
      <c r="YO364" s="1"/>
      <c r="YP364" s="1"/>
      <c r="YQ364" s="1"/>
      <c r="YR364" s="1"/>
      <c r="YS364" s="1"/>
      <c r="YT364" s="1"/>
      <c r="YU364" s="1"/>
      <c r="YV364" s="1"/>
      <c r="YW364" s="1"/>
      <c r="YX364" s="1"/>
      <c r="YY364" s="1"/>
      <c r="YZ364" s="1"/>
      <c r="ZA364" s="1"/>
      <c r="ZB364" s="1"/>
      <c r="ZC364" s="1"/>
      <c r="ZD364" s="1"/>
      <c r="ZE364" s="1"/>
      <c r="ZF364" s="1"/>
      <c r="ZG364" s="1"/>
      <c r="ZH364" s="1"/>
      <c r="ZI364" s="1"/>
      <c r="ZJ364" s="1"/>
      <c r="ZK364" s="1"/>
      <c r="ZL364" s="1"/>
      <c r="ZM364" s="1"/>
      <c r="ZN364" s="1"/>
      <c r="ZO364" s="1"/>
      <c r="ZP364" s="1"/>
      <c r="ZQ364" s="1"/>
      <c r="ZR364" s="1"/>
      <c r="ZS364" s="1"/>
      <c r="ZT364" s="1"/>
      <c r="ZU364" s="1"/>
      <c r="ZV364" s="1"/>
      <c r="ZW364" s="1"/>
      <c r="ZX364" s="1"/>
      <c r="ZY364" s="1"/>
      <c r="ZZ364" s="1"/>
      <c r="AAA364" s="1"/>
      <c r="AAB364" s="1"/>
      <c r="AAC364" s="1"/>
      <c r="AAD364" s="1"/>
      <c r="AAE364" s="1"/>
      <c r="AAF364" s="1"/>
      <c r="AAG364" s="1"/>
      <c r="AAH364" s="1"/>
      <c r="AAI364" s="1"/>
      <c r="AAJ364" s="1"/>
      <c r="AAK364" s="1"/>
      <c r="AAL364" s="1"/>
      <c r="AAM364" s="1"/>
      <c r="AAN364" s="1"/>
      <c r="AAO364" s="1"/>
      <c r="AAP364" s="1"/>
      <c r="AAQ364" s="1"/>
      <c r="AAR364" s="1"/>
      <c r="AAS364" s="1"/>
      <c r="AAT364" s="1"/>
      <c r="AAU364" s="1"/>
      <c r="AAV364" s="1"/>
      <c r="AAW364" s="1"/>
      <c r="AAX364" s="1"/>
      <c r="AAY364" s="1"/>
      <c r="AAZ364" s="1"/>
      <c r="ABA364" s="1"/>
      <c r="ABB364" s="1"/>
      <c r="ABC364" s="1"/>
      <c r="ABD364" s="1"/>
      <c r="ABE364" s="1"/>
      <c r="ABF364" s="1"/>
      <c r="ABG364" s="1"/>
      <c r="ABH364" s="1"/>
      <c r="ABI364" s="1"/>
      <c r="ABJ364" s="1"/>
      <c r="ABK364" s="1"/>
      <c r="ABL364" s="1"/>
      <c r="ABM364" s="1"/>
      <c r="ABN364" s="1"/>
      <c r="ABO364" s="1"/>
      <c r="ABP364" s="1"/>
      <c r="ABQ364" s="1"/>
      <c r="ABR364" s="1"/>
      <c r="ABS364" s="1"/>
      <c r="ABT364" s="1"/>
      <c r="ABU364" s="1"/>
      <c r="ABV364" s="1"/>
      <c r="ABW364" s="1"/>
      <c r="ABX364" s="1"/>
      <c r="ABY364" s="1"/>
      <c r="ABZ364" s="1"/>
      <c r="ACA364" s="1"/>
      <c r="ACB364" s="1"/>
      <c r="ACC364" s="1"/>
      <c r="ACD364" s="1"/>
      <c r="ACE364" s="1"/>
      <c r="ACF364" s="1"/>
      <c r="ACG364" s="1"/>
      <c r="ACH364" s="1"/>
      <c r="ACI364" s="1"/>
      <c r="ACJ364" s="1"/>
      <c r="ACK364" s="1"/>
      <c r="ACL364" s="1"/>
      <c r="ACM364" s="1"/>
      <c r="ACN364" s="1"/>
      <c r="ACO364" s="1"/>
      <c r="ACP364" s="1"/>
      <c r="ACQ364" s="1"/>
      <c r="ACR364" s="1"/>
      <c r="ACS364" s="1"/>
      <c r="ACT364" s="1"/>
      <c r="ACU364" s="1"/>
      <c r="ACV364" s="1"/>
      <c r="ACW364" s="1"/>
      <c r="ACX364" s="1"/>
      <c r="ACY364" s="1"/>
      <c r="ACZ364" s="1"/>
      <c r="ADA364" s="1"/>
      <c r="ADB364" s="1"/>
      <c r="ADC364" s="1"/>
      <c r="ADD364" s="1"/>
      <c r="ADE364" s="1"/>
      <c r="ADF364" s="1"/>
      <c r="ADG364" s="1"/>
      <c r="ADH364" s="1"/>
      <c r="ADI364" s="1"/>
      <c r="ADJ364" s="1"/>
      <c r="ADK364" s="1"/>
      <c r="ADL364" s="1"/>
      <c r="ADM364" s="1"/>
      <c r="ADN364" s="1"/>
      <c r="ADO364" s="1"/>
      <c r="ADP364" s="1"/>
      <c r="ADQ364" s="1"/>
      <c r="ADR364" s="1"/>
      <c r="ADS364" s="1"/>
      <c r="ADT364" s="1"/>
      <c r="ADU364" s="1"/>
      <c r="ADV364" s="1"/>
      <c r="ADW364" s="1"/>
      <c r="ADX364" s="1"/>
      <c r="ADY364" s="1"/>
      <c r="ADZ364" s="1"/>
      <c r="AEA364" s="1"/>
      <c r="AEB364" s="1"/>
      <c r="AEC364" s="1"/>
      <c r="AED364" s="1"/>
      <c r="AEE364" s="1"/>
      <c r="AEF364" s="1"/>
      <c r="AEG364" s="1"/>
      <c r="AEH364" s="1"/>
      <c r="AEI364" s="1"/>
      <c r="AEJ364" s="1"/>
      <c r="AEK364" s="1"/>
      <c r="AEL364" s="1"/>
      <c r="AEM364" s="1"/>
      <c r="AEN364" s="1"/>
      <c r="AEO364" s="1"/>
      <c r="AEP364" s="1"/>
      <c r="AEQ364" s="1"/>
      <c r="AER364" s="1"/>
      <c r="AES364" s="1"/>
      <c r="AET364" s="1"/>
      <c r="AEU364" s="1"/>
      <c r="AEV364" s="1"/>
      <c r="AEW364" s="1"/>
      <c r="AEX364" s="1"/>
      <c r="AEY364" s="1"/>
      <c r="AEZ364" s="1"/>
      <c r="AFA364" s="1"/>
      <c r="AFB364" s="1"/>
      <c r="AFC364" s="1"/>
      <c r="AFD364" s="1"/>
      <c r="AFE364" s="1"/>
      <c r="AFF364" s="1"/>
      <c r="AFG364" s="1"/>
      <c r="AFH364" s="1"/>
      <c r="AFI364" s="1"/>
      <c r="AFJ364" s="1"/>
      <c r="AFK364" s="1"/>
      <c r="AFL364" s="1"/>
      <c r="AFM364" s="1"/>
      <c r="AFN364" s="1"/>
      <c r="AFO364" s="1"/>
      <c r="AFP364" s="1"/>
      <c r="AFQ364" s="1"/>
      <c r="AFR364" s="1"/>
      <c r="AFS364" s="1"/>
      <c r="AFT364" s="1"/>
      <c r="AFU364" s="1"/>
      <c r="AFV364" s="1"/>
      <c r="AFW364" s="1"/>
      <c r="AFX364" s="1"/>
      <c r="AFY364" s="1"/>
      <c r="AFZ364" s="1"/>
      <c r="AGA364" s="1"/>
      <c r="AGB364" s="1"/>
      <c r="AGC364" s="1"/>
      <c r="AGD364" s="1"/>
      <c r="AGE364" s="1"/>
      <c r="AGF364" s="1"/>
      <c r="AGG364" s="1"/>
      <c r="AGH364" s="1"/>
      <c r="AGI364" s="1"/>
      <c r="AGJ364" s="1"/>
      <c r="AGK364" s="1"/>
      <c r="AGL364" s="1"/>
      <c r="AGM364" s="1"/>
      <c r="AGN364" s="1"/>
      <c r="AGO364" s="1"/>
      <c r="AGP364" s="1"/>
      <c r="AGQ364" s="1"/>
      <c r="AGR364" s="1"/>
      <c r="AGS364" s="1"/>
      <c r="AGT364" s="1"/>
      <c r="AGU364" s="1"/>
      <c r="AGV364" s="1"/>
      <c r="AGW364" s="1"/>
      <c r="AGX364" s="1"/>
      <c r="AGY364" s="1"/>
      <c r="AGZ364" s="1"/>
      <c r="AHA364" s="1"/>
      <c r="AHB364" s="1"/>
      <c r="AHC364" s="1"/>
      <c r="AHD364" s="1"/>
      <c r="AHE364" s="1"/>
      <c r="AHF364" s="1"/>
      <c r="AHG364" s="1"/>
      <c r="AHH364" s="1"/>
      <c r="AHI364" s="1"/>
      <c r="AHJ364" s="1"/>
      <c r="AHK364" s="1"/>
      <c r="AHL364" s="1"/>
      <c r="AHM364" s="1"/>
      <c r="AHN364" s="1"/>
      <c r="AHO364" s="1"/>
      <c r="AHP364" s="1"/>
      <c r="AHQ364" s="1"/>
      <c r="AHR364" s="1"/>
      <c r="AHS364" s="1"/>
      <c r="AHT364" s="1"/>
      <c r="AHU364" s="1"/>
      <c r="AHV364" s="1"/>
      <c r="AHW364" s="1"/>
      <c r="AHX364" s="1"/>
      <c r="AHY364" s="1"/>
      <c r="AHZ364" s="1"/>
      <c r="AIA364" s="1"/>
      <c r="AIB364" s="1"/>
      <c r="AIC364" s="1"/>
      <c r="AID364" s="1"/>
      <c r="AIE364" s="1"/>
      <c r="AIF364" s="1"/>
      <c r="AIG364" s="1"/>
      <c r="AIH364" s="1"/>
      <c r="AII364" s="1"/>
      <c r="AIJ364" s="1"/>
      <c r="AIK364" s="1"/>
      <c r="AIL364" s="1"/>
      <c r="AIM364" s="1"/>
      <c r="AIN364" s="1"/>
      <c r="AIO364" s="1"/>
      <c r="AIP364" s="1"/>
      <c r="AIQ364" s="1"/>
      <c r="AIR364" s="1"/>
      <c r="AIS364" s="1"/>
      <c r="AIT364" s="1"/>
      <c r="AIU364" s="1"/>
      <c r="AIV364" s="1"/>
      <c r="AIW364" s="1"/>
      <c r="AIX364" s="1"/>
      <c r="AIY364" s="1"/>
      <c r="AIZ364" s="1"/>
      <c r="AJA364" s="1"/>
      <c r="AJB364" s="1"/>
      <c r="AJC364" s="1"/>
      <c r="AJD364" s="1"/>
      <c r="AJE364" s="1"/>
      <c r="AJF364" s="1"/>
      <c r="AJG364" s="1"/>
      <c r="AJH364" s="1"/>
      <c r="AJI364" s="1"/>
      <c r="AJJ364" s="1"/>
      <c r="AJK364" s="1"/>
      <c r="AJL364" s="1"/>
      <c r="AJM364" s="1"/>
      <c r="AJN364" s="1"/>
      <c r="AJO364" s="1"/>
      <c r="AJP364" s="1"/>
      <c r="AJQ364" s="1"/>
      <c r="AJR364" s="1"/>
      <c r="AJS364" s="1"/>
      <c r="AJT364" s="1"/>
      <c r="AJU364" s="1"/>
      <c r="AJV364" s="1"/>
      <c r="AJW364" s="1"/>
      <c r="AJX364" s="1"/>
      <c r="AJY364" s="1"/>
      <c r="AJZ364" s="1"/>
      <c r="AKA364" s="1"/>
      <c r="AKB364" s="1"/>
      <c r="AKC364" s="1"/>
      <c r="AKD364" s="1"/>
      <c r="AKE364" s="1"/>
      <c r="AKF364" s="1"/>
      <c r="AKG364" s="1"/>
      <c r="AKH364" s="1"/>
      <c r="AKI364" s="1"/>
      <c r="AKJ364" s="1"/>
      <c r="AKK364" s="1"/>
      <c r="AKL364" s="1"/>
      <c r="AKM364" s="1"/>
      <c r="AKN364" s="1"/>
      <c r="AKO364" s="1"/>
      <c r="AKP364" s="1"/>
      <c r="AKQ364" s="1"/>
      <c r="AKR364" s="1"/>
      <c r="AKS364" s="1"/>
      <c r="AKT364" s="1"/>
      <c r="AKU364" s="1"/>
      <c r="AKV364" s="1"/>
      <c r="AKW364" s="1"/>
      <c r="AKX364" s="1"/>
      <c r="AKY364" s="1"/>
      <c r="AKZ364" s="1"/>
      <c r="ALA364" s="1"/>
      <c r="ALB364" s="1"/>
      <c r="ALC364" s="1"/>
      <c r="ALD364" s="1"/>
      <c r="ALE364" s="1"/>
      <c r="ALF364" s="1"/>
      <c r="ALG364" s="1"/>
      <c r="ALH364" s="1"/>
      <c r="ALI364" s="1"/>
      <c r="ALJ364" s="1"/>
      <c r="ALK364" s="1"/>
      <c r="ALL364" s="1"/>
      <c r="ALM364" s="1"/>
      <c r="ALN364" s="1"/>
      <c r="ALO364" s="1"/>
      <c r="ALP364" s="1"/>
      <c r="ALQ364" s="1"/>
      <c r="ALR364" s="1"/>
      <c r="ALS364" s="1"/>
      <c r="ALT364" s="1"/>
      <c r="ALU364" s="1"/>
      <c r="ALV364" s="1"/>
      <c r="ALW364" s="1"/>
      <c r="ALX364" s="1"/>
      <c r="ALY364" s="1"/>
      <c r="ALZ364" s="1"/>
      <c r="AMA364" s="1"/>
      <c r="AMB364" s="1"/>
      <c r="AMC364" s="1"/>
      <c r="AMD364" s="1"/>
      <c r="AME364" s="1"/>
      <c r="AMF364" s="1"/>
      <c r="AMG364" s="1"/>
      <c r="AMH364" s="1"/>
      <c r="AMI364" s="1"/>
      <c r="AMJ364" s="1"/>
      <c r="AMK364" s="1"/>
      <c r="AML364" s="1"/>
      <c r="AMM364" s="1"/>
      <c r="AMN364" s="1"/>
      <c r="AMO364" s="1"/>
    </row>
    <row r="365" spans="1:1029" x14ac:dyDescent="0.2">
      <c r="A365" s="3" t="str">
        <f>CONCATENATE(B365,"_",C365)</f>
        <v>pd2r2_human_6D26</v>
      </c>
      <c r="B365" s="3" t="s">
        <v>359</v>
      </c>
      <c r="C365" s="3" t="s">
        <v>1511</v>
      </c>
      <c r="D365" s="3" t="str">
        <f>IFERROR(MID(VLOOKUP($B365,Seqs!$A:$B,2,0),E365,1),"")</f>
        <v>D</v>
      </c>
      <c r="E365" s="3">
        <v>32</v>
      </c>
      <c r="F365" s="3" t="str">
        <f>IFERROR(MID(VLOOKUP($B365,Seqs!$A:$B,2,0),G365,1),"")</f>
        <v>R</v>
      </c>
      <c r="G365" s="3">
        <v>60</v>
      </c>
      <c r="H365" s="3" t="str">
        <f>IFERROR(MID(VLOOKUP($B365,Seqs!$A:$B,2,0),I365,1),"")</f>
        <v/>
      </c>
      <c r="I365" s="23" t="s">
        <v>23</v>
      </c>
      <c r="J365" s="3" t="str">
        <f>IFERROR(MID(VLOOKUP($B365,Seqs!$A:$B,2,0),K365,1),"")</f>
        <v/>
      </c>
      <c r="K365" s="23" t="s">
        <v>23</v>
      </c>
      <c r="L365" s="3" t="str">
        <f>IFERROR(MID(VLOOKUP($B365,Seqs!$A:$B,2,0),M365,1),"")</f>
        <v>T</v>
      </c>
      <c r="M365" s="3">
        <v>64</v>
      </c>
      <c r="N365" s="3" t="str">
        <f>IFERROR(MID(VLOOKUP($B365,Seqs!$A:$B,2,0),O365,1),"")</f>
        <v>G</v>
      </c>
      <c r="O365" s="3">
        <v>94</v>
      </c>
      <c r="P365" s="3" t="str">
        <f>IFERROR(MID(VLOOKUP($B365,Seqs!$A:$B,2,0),Q365,1),"")</f>
        <v>S</v>
      </c>
      <c r="Q365" s="3">
        <v>96</v>
      </c>
      <c r="R365" s="3" t="str">
        <f>IFERROR(MID(VLOOKUP($B365,Seqs!$A:$B,2,0),S365,1),"")</f>
        <v>L</v>
      </c>
      <c r="S365" s="3">
        <v>99</v>
      </c>
      <c r="T365" s="3" t="str">
        <f>IFERROR(MID(VLOOKUP($B365,Seqs!$A:$B,2,0),U365,1),"")</f>
        <v>T</v>
      </c>
      <c r="U365" s="3">
        <v>101</v>
      </c>
      <c r="V365" s="3" t="str">
        <f>IFERROR(MID(VLOOKUP($B365,Seqs!$A:$B,2,0),W365,1),"")</f>
        <v>R</v>
      </c>
      <c r="W365" s="3">
        <v>135</v>
      </c>
      <c r="X365" s="3" t="str">
        <f>IFERROR(MID(VLOOKUP($B365,Seqs!$A:$B,2,0),Y365,1),"")</f>
        <v>P</v>
      </c>
      <c r="Y365" s="3">
        <v>136</v>
      </c>
      <c r="Z365" s="3" t="str">
        <f>IFERROR(MID(VLOOKUP($B365,Seqs!$A:$B,2,0),AA365,1),"")</f>
        <v>R</v>
      </c>
      <c r="AA365" s="3">
        <v>143</v>
      </c>
      <c r="AB365" s="3" t="str">
        <f>IFERROR(MID(VLOOKUP($B365,Seqs!$A:$B,2,0),AC365,1),"")</f>
        <v>T</v>
      </c>
      <c r="AC365" s="3">
        <v>144</v>
      </c>
      <c r="AD365" s="3" t="str">
        <f>IFERROR(MID(VLOOKUP($B365,Seqs!$A:$B,2,0),AE365,1),"")</f>
        <v>R</v>
      </c>
      <c r="AE365" s="3">
        <v>170</v>
      </c>
      <c r="AF365" s="3" t="str">
        <f>IFERROR(MID(VLOOKUP($B365,Seqs!$A:$B,2,0),AG365,1),"")</f>
        <v>C</v>
      </c>
      <c r="AG365" s="3">
        <v>182</v>
      </c>
      <c r="AH365" s="3" t="str">
        <f>IFERROR(MID(VLOOKUP($B365,Seqs!$A:$B,2,0),AI365,1),"")</f>
        <v>Y</v>
      </c>
      <c r="AI365" s="3">
        <v>184</v>
      </c>
      <c r="AJ365" s="3" t="str">
        <f>IFERROR(MID(VLOOKUP($B365,Seqs!$A:$B,2,0),AK365,1),"")</f>
        <v>D</v>
      </c>
      <c r="AK365" s="3">
        <v>194</v>
      </c>
      <c r="AL365" s="3" t="str">
        <f>IFERROR(MID(VLOOKUP($B365,Seqs!$A:$B,2,0),AM365,1),"")</f>
        <v>R</v>
      </c>
      <c r="AM365" s="3">
        <v>236</v>
      </c>
      <c r="AN365" s="3" t="str">
        <f>IFERROR(MID(VLOOKUP($B365,Seqs!$A:$B,2,0),AO365,1),"")</f>
        <v/>
      </c>
      <c r="AO365" s="3">
        <v>2244</v>
      </c>
      <c r="AP365" s="3" t="str">
        <f>IFERROR(MID(VLOOKUP($B365,Seqs!$A:$B,2,0),AQ365,1),"")</f>
        <v/>
      </c>
      <c r="AQ365" s="3">
        <v>2271</v>
      </c>
      <c r="AR365" s="3" t="str">
        <f>IFERROR(MID(VLOOKUP($B365,Seqs!$A:$B,2,0),AS365,1),"")</f>
        <v/>
      </c>
      <c r="AS365" s="3">
        <v>2278</v>
      </c>
      <c r="AT365" s="3" t="str">
        <f>IFERROR(MID(VLOOKUP($B365,Seqs!$A:$B,2,0),AU365,1),"")</f>
        <v/>
      </c>
      <c r="AU365" s="3">
        <v>2307</v>
      </c>
      <c r="AV365" s="3" t="str">
        <f>IFERROR(MID(VLOOKUP($B365,Seqs!$A:$B,2,0),AW365,1),"")</f>
        <v/>
      </c>
      <c r="AW365" s="3">
        <v>2308</v>
      </c>
      <c r="AX365" s="3" t="str">
        <f>IFERROR(MID(VLOOKUP($B365,Seqs!$A:$B,2,0),AY365,1),"")</f>
        <v/>
      </c>
      <c r="AY365" s="3">
        <v>2325</v>
      </c>
      <c r="AZ365" s="77" t="str">
        <f>VLOOKUP(B365,Classification!A:D,2,0)</f>
        <v>A</v>
      </c>
      <c r="BA365" s="94" t="str">
        <f>VLOOKUP(B365,Classification!A:D,4,0)</f>
        <v>Prostanoid</v>
      </c>
      <c r="BB365" s="27" t="b">
        <f t="shared" ref="BB365" si="1155">AND(E365&lt;G365,OR(G365&lt;I365,I365="-"),OR(I365&lt;K365,I365="-"),OR(K365&lt;M365,K365="-"),M365&lt;O365,OR(O365&lt;Q365,Q365="-"),OR(Q365&lt;S365,Q365="-"),OR(S365&lt;U365,S365="-"),U365&lt;W365,OR(W365&lt;Y365,Y365="-"),OR(Y365&lt;AA365,Y365="-"),OR(AA365&lt;AC365,AA365="-"),AC365&lt;AE365,OR(AE365&lt;AG365,AG365="-"),OR(AG365&lt;AI365,AG365="-"),OR(AI365&lt;AK365,AI365="-"),AK365&lt;AM365,AM365&lt;AO365,AO365&lt;AQ365,AQ365&lt;AS365,AS365&lt;AU365,OR(AU365&lt;AW365,AW365="-"),OR(AW365&lt;AY365,AW365="-"))</f>
        <v>1</v>
      </c>
      <c r="BC365" s="23">
        <f t="shared" ref="BC365" si="1156">_xlfn.AGGREGATE(9,6,CH365:CS365)-_xlfn.AGGREGATE(9,6,BV365:CG365)+12</f>
        <v>257</v>
      </c>
      <c r="BD365" s="2" t="s">
        <v>23</v>
      </c>
      <c r="BE365" s="3" t="s">
        <v>1368</v>
      </c>
      <c r="BF365" s="118">
        <v>2.8</v>
      </c>
      <c r="BG365" s="49" t="s">
        <v>1</v>
      </c>
      <c r="BH365" s="49" t="s">
        <v>1</v>
      </c>
      <c r="BI365" s="1"/>
      <c r="BJ365" s="70" t="s">
        <v>1281</v>
      </c>
      <c r="BK365" s="57" t="s">
        <v>1281</v>
      </c>
      <c r="BL365" s="57" t="s">
        <v>1281</v>
      </c>
      <c r="BM365" s="57" t="s">
        <v>1281</v>
      </c>
      <c r="BN365" s="57" t="s">
        <v>1281</v>
      </c>
      <c r="BO365" s="57" t="s">
        <v>1281</v>
      </c>
      <c r="BP365" s="57" t="s">
        <v>1281</v>
      </c>
      <c r="BQ365" s="57" t="s">
        <v>1281</v>
      </c>
      <c r="BR365" s="57" t="s">
        <v>1281</v>
      </c>
      <c r="BS365" s="57" t="s">
        <v>1281</v>
      </c>
      <c r="BT365" s="57" t="s">
        <v>1281</v>
      </c>
      <c r="BU365" s="57" t="s">
        <v>1281</v>
      </c>
      <c r="BV365" s="70">
        <f>E365</f>
        <v>32</v>
      </c>
      <c r="BW365" s="71" t="str">
        <f>I365</f>
        <v>-</v>
      </c>
      <c r="BX365" s="72">
        <f>M365</f>
        <v>64</v>
      </c>
      <c r="BY365" s="71">
        <f>Q365</f>
        <v>96</v>
      </c>
      <c r="BZ365" s="72">
        <f>U365</f>
        <v>101</v>
      </c>
      <c r="CA365" s="71">
        <f>Y365</f>
        <v>136</v>
      </c>
      <c r="CB365" s="72">
        <f>AC365</f>
        <v>144</v>
      </c>
      <c r="CC365" s="71">
        <f>AG365</f>
        <v>182</v>
      </c>
      <c r="CD365" s="72">
        <f>AK365</f>
        <v>194</v>
      </c>
      <c r="CE365" s="71">
        <f>AO365</f>
        <v>2244</v>
      </c>
      <c r="CF365" s="72">
        <f>AS365</f>
        <v>2278</v>
      </c>
      <c r="CG365" s="71">
        <f>AW365</f>
        <v>2308</v>
      </c>
      <c r="CH365" s="70">
        <f>G365</f>
        <v>60</v>
      </c>
      <c r="CI365" s="71" t="str">
        <f>K365</f>
        <v>-</v>
      </c>
      <c r="CJ365" s="72">
        <f>O365</f>
        <v>94</v>
      </c>
      <c r="CK365" s="72">
        <f>S365</f>
        <v>99</v>
      </c>
      <c r="CL365" s="72">
        <f>W365</f>
        <v>135</v>
      </c>
      <c r="CM365" s="72">
        <f>AA365</f>
        <v>143</v>
      </c>
      <c r="CN365" s="72">
        <f>AE365</f>
        <v>170</v>
      </c>
      <c r="CO365" s="72">
        <f>AI365</f>
        <v>184</v>
      </c>
      <c r="CP365" s="72">
        <f>AM365</f>
        <v>236</v>
      </c>
      <c r="CQ365" s="72">
        <f>AQ365</f>
        <v>2271</v>
      </c>
      <c r="CR365" s="72">
        <f>AU365</f>
        <v>2307</v>
      </c>
      <c r="CS365" s="72">
        <f>AY365</f>
        <v>2325</v>
      </c>
      <c r="CT365" s="23" t="e">
        <f>M365-K365</f>
        <v>#VALUE!</v>
      </c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U365" s="1"/>
      <c r="OV365" s="1"/>
      <c r="OW365" s="1"/>
      <c r="OX365" s="1"/>
      <c r="OY365" s="1"/>
      <c r="OZ365" s="1"/>
      <c r="PA365" s="1"/>
      <c r="PB365" s="1"/>
      <c r="PC365" s="1"/>
      <c r="PD365" s="1"/>
      <c r="PE365" s="1"/>
      <c r="PF365" s="1"/>
      <c r="PG365" s="1"/>
      <c r="PH365" s="1"/>
      <c r="PI365" s="1"/>
      <c r="PJ365" s="1"/>
      <c r="PK365" s="1"/>
      <c r="PL365" s="1"/>
      <c r="PM365" s="1"/>
      <c r="PN365" s="1"/>
      <c r="PO365" s="1"/>
      <c r="PP365" s="1"/>
      <c r="PQ365" s="1"/>
      <c r="PR365" s="1"/>
      <c r="PS365" s="1"/>
      <c r="PT365" s="1"/>
      <c r="PU365" s="1"/>
      <c r="PV365" s="1"/>
      <c r="PW365" s="1"/>
      <c r="PX365" s="1"/>
      <c r="PY365" s="1"/>
      <c r="PZ365" s="1"/>
      <c r="QA365" s="1"/>
      <c r="QB365" s="1"/>
      <c r="QC365" s="1"/>
      <c r="QD365" s="1"/>
      <c r="QE365" s="1"/>
      <c r="QF365" s="1"/>
      <c r="QG365" s="1"/>
      <c r="QH365" s="1"/>
      <c r="QI365" s="1"/>
      <c r="QJ365" s="1"/>
      <c r="QK365" s="1"/>
      <c r="QL365" s="1"/>
      <c r="QM365" s="1"/>
      <c r="QN365" s="1"/>
      <c r="QO365" s="1"/>
      <c r="QP365" s="1"/>
      <c r="QQ365" s="1"/>
      <c r="QR365" s="1"/>
      <c r="QS365" s="1"/>
      <c r="QT365" s="1"/>
      <c r="QU365" s="1"/>
      <c r="QV365" s="1"/>
      <c r="QW365" s="1"/>
      <c r="QX365" s="1"/>
      <c r="QY365" s="1"/>
      <c r="QZ365" s="1"/>
      <c r="RA365" s="1"/>
      <c r="RB365" s="1"/>
      <c r="RC365" s="1"/>
      <c r="RD365" s="1"/>
      <c r="RE365" s="1"/>
      <c r="RF365" s="1"/>
      <c r="RG365" s="1"/>
      <c r="RH365" s="1"/>
      <c r="RI365" s="1"/>
      <c r="RJ365" s="1"/>
      <c r="RK365" s="1"/>
      <c r="RL365" s="1"/>
      <c r="RM365" s="1"/>
      <c r="RN365" s="1"/>
      <c r="RO365" s="1"/>
      <c r="RP365" s="1"/>
      <c r="RQ365" s="1"/>
      <c r="RR365" s="1"/>
      <c r="RS365" s="1"/>
      <c r="RT365" s="1"/>
      <c r="RU365" s="1"/>
      <c r="RV365" s="1"/>
      <c r="RW365" s="1"/>
      <c r="RX365" s="1"/>
      <c r="RY365" s="1"/>
      <c r="RZ365" s="1"/>
      <c r="SA365" s="1"/>
      <c r="SB365" s="1"/>
      <c r="SC365" s="1"/>
      <c r="SD365" s="1"/>
      <c r="SE365" s="1"/>
      <c r="SF365" s="1"/>
      <c r="SG365" s="1"/>
      <c r="SH365" s="1"/>
      <c r="SI365" s="1"/>
      <c r="SJ365" s="1"/>
      <c r="SK365" s="1"/>
      <c r="SL365" s="1"/>
      <c r="SM365" s="1"/>
      <c r="SN365" s="1"/>
      <c r="SO365" s="1"/>
      <c r="SP365" s="1"/>
      <c r="SQ365" s="1"/>
      <c r="SR365" s="1"/>
      <c r="SS365" s="1"/>
      <c r="ST365" s="1"/>
      <c r="SU365" s="1"/>
      <c r="SV365" s="1"/>
      <c r="SW365" s="1"/>
      <c r="SX365" s="1"/>
      <c r="SY365" s="1"/>
      <c r="SZ365" s="1"/>
      <c r="TA365" s="1"/>
      <c r="TB365" s="1"/>
      <c r="TC365" s="1"/>
      <c r="TD365" s="1"/>
      <c r="TE365" s="1"/>
      <c r="TF365" s="1"/>
      <c r="TG365" s="1"/>
      <c r="TH365" s="1"/>
      <c r="TI365" s="1"/>
      <c r="TJ365" s="1"/>
      <c r="TK365" s="1"/>
      <c r="TL365" s="1"/>
      <c r="TM365" s="1"/>
      <c r="TN365" s="1"/>
      <c r="TO365" s="1"/>
      <c r="TP365" s="1"/>
      <c r="TQ365" s="1"/>
      <c r="TR365" s="1"/>
      <c r="TS365" s="1"/>
      <c r="TT365" s="1"/>
      <c r="TU365" s="1"/>
      <c r="TV365" s="1"/>
      <c r="TW365" s="1"/>
      <c r="TX365" s="1"/>
      <c r="TY365" s="1"/>
      <c r="TZ365" s="1"/>
      <c r="UA365" s="1"/>
      <c r="UB365" s="1"/>
      <c r="UC365" s="1"/>
      <c r="UD365" s="1"/>
      <c r="UE365" s="1"/>
      <c r="UF365" s="1"/>
      <c r="UG365" s="1"/>
      <c r="UH365" s="1"/>
      <c r="UI365" s="1"/>
      <c r="UJ365" s="1"/>
      <c r="UK365" s="1"/>
      <c r="UL365" s="1"/>
      <c r="UM365" s="1"/>
      <c r="UN365" s="1"/>
      <c r="UO365" s="1"/>
      <c r="UP365" s="1"/>
      <c r="UQ365" s="1"/>
      <c r="UR365" s="1"/>
      <c r="US365" s="1"/>
      <c r="UT365" s="1"/>
      <c r="UU365" s="1"/>
      <c r="UV365" s="1"/>
      <c r="UW365" s="1"/>
      <c r="UX365" s="1"/>
      <c r="UY365" s="1"/>
      <c r="UZ365" s="1"/>
      <c r="VA365" s="1"/>
      <c r="VB365" s="1"/>
      <c r="VC365" s="1"/>
      <c r="VD365" s="1"/>
      <c r="VE365" s="1"/>
      <c r="VF365" s="1"/>
      <c r="VG365" s="1"/>
      <c r="VH365" s="1"/>
      <c r="VI365" s="1"/>
      <c r="VJ365" s="1"/>
      <c r="VK365" s="1"/>
      <c r="VL365" s="1"/>
      <c r="VM365" s="1"/>
      <c r="VN365" s="1"/>
      <c r="VO365" s="1"/>
      <c r="VP365" s="1"/>
      <c r="VQ365" s="1"/>
      <c r="VR365" s="1"/>
      <c r="VS365" s="1"/>
      <c r="VT365" s="1"/>
      <c r="VU365" s="1"/>
      <c r="VV365" s="1"/>
      <c r="VW365" s="1"/>
      <c r="VX365" s="1"/>
      <c r="VY365" s="1"/>
      <c r="VZ365" s="1"/>
      <c r="WA365" s="1"/>
      <c r="WB365" s="1"/>
      <c r="WC365" s="1"/>
      <c r="WD365" s="1"/>
      <c r="WE365" s="1"/>
      <c r="WF365" s="1"/>
      <c r="WG365" s="1"/>
      <c r="WH365" s="1"/>
      <c r="WI365" s="1"/>
      <c r="WJ365" s="1"/>
      <c r="WK365" s="1"/>
      <c r="WL365" s="1"/>
      <c r="WM365" s="1"/>
      <c r="WN365" s="1"/>
      <c r="WO365" s="1"/>
      <c r="WP365" s="1"/>
      <c r="WQ365" s="1"/>
      <c r="WR365" s="1"/>
      <c r="WS365" s="1"/>
      <c r="WT365" s="1"/>
      <c r="WU365" s="1"/>
      <c r="WV365" s="1"/>
      <c r="WW365" s="1"/>
      <c r="WX365" s="1"/>
      <c r="WY365" s="1"/>
      <c r="WZ365" s="1"/>
      <c r="XA365" s="1"/>
      <c r="XB365" s="1"/>
      <c r="XC365" s="1"/>
      <c r="XD365" s="1"/>
      <c r="XE365" s="1"/>
      <c r="XF365" s="1"/>
      <c r="XG365" s="1"/>
      <c r="XH365" s="1"/>
      <c r="XI365" s="1"/>
      <c r="XJ365" s="1"/>
      <c r="XK365" s="1"/>
      <c r="XL365" s="1"/>
      <c r="XM365" s="1"/>
      <c r="XN365" s="1"/>
      <c r="XO365" s="1"/>
      <c r="XP365" s="1"/>
      <c r="XQ365" s="1"/>
      <c r="XR365" s="1"/>
      <c r="XS365" s="1"/>
      <c r="XT365" s="1"/>
      <c r="XU365" s="1"/>
      <c r="XV365" s="1"/>
      <c r="XW365" s="1"/>
      <c r="XX365" s="1"/>
      <c r="XY365" s="1"/>
      <c r="XZ365" s="1"/>
      <c r="YA365" s="1"/>
      <c r="YB365" s="1"/>
      <c r="YC365" s="1"/>
      <c r="YD365" s="1"/>
      <c r="YE365" s="1"/>
      <c r="YF365" s="1"/>
      <c r="YG365" s="1"/>
      <c r="YH365" s="1"/>
      <c r="YI365" s="1"/>
      <c r="YJ365" s="1"/>
      <c r="YK365" s="1"/>
      <c r="YL365" s="1"/>
      <c r="YM365" s="1"/>
      <c r="YN365" s="1"/>
      <c r="YO365" s="1"/>
      <c r="YP365" s="1"/>
      <c r="YQ365" s="1"/>
      <c r="YR365" s="1"/>
      <c r="YS365" s="1"/>
      <c r="YT365" s="1"/>
      <c r="YU365" s="1"/>
      <c r="YV365" s="1"/>
      <c r="YW365" s="1"/>
      <c r="YX365" s="1"/>
      <c r="YY365" s="1"/>
      <c r="YZ365" s="1"/>
      <c r="ZA365" s="1"/>
      <c r="ZB365" s="1"/>
      <c r="ZC365" s="1"/>
      <c r="ZD365" s="1"/>
      <c r="ZE365" s="1"/>
      <c r="ZF365" s="1"/>
      <c r="ZG365" s="1"/>
      <c r="ZH365" s="1"/>
      <c r="ZI365" s="1"/>
      <c r="ZJ365" s="1"/>
      <c r="ZK365" s="1"/>
      <c r="ZL365" s="1"/>
      <c r="ZM365" s="1"/>
      <c r="ZN365" s="1"/>
      <c r="ZO365" s="1"/>
      <c r="ZP365" s="1"/>
      <c r="ZQ365" s="1"/>
      <c r="ZR365" s="1"/>
      <c r="ZS365" s="1"/>
      <c r="ZT365" s="1"/>
      <c r="ZU365" s="1"/>
      <c r="ZV365" s="1"/>
      <c r="ZW365" s="1"/>
      <c r="ZX365" s="1"/>
      <c r="ZY365" s="1"/>
      <c r="ZZ365" s="1"/>
      <c r="AAA365" s="1"/>
      <c r="AAB365" s="1"/>
      <c r="AAC365" s="1"/>
      <c r="AAD365" s="1"/>
      <c r="AAE365" s="1"/>
      <c r="AAF365" s="1"/>
      <c r="AAG365" s="1"/>
      <c r="AAH365" s="1"/>
      <c r="AAI365" s="1"/>
      <c r="AAJ365" s="1"/>
      <c r="AAK365" s="1"/>
      <c r="AAL365" s="1"/>
      <c r="AAM365" s="1"/>
      <c r="AAN365" s="1"/>
      <c r="AAO365" s="1"/>
      <c r="AAP365" s="1"/>
      <c r="AAQ365" s="1"/>
      <c r="AAR365" s="1"/>
      <c r="AAS365" s="1"/>
      <c r="AAT365" s="1"/>
      <c r="AAU365" s="1"/>
      <c r="AAV365" s="1"/>
      <c r="AAW365" s="1"/>
      <c r="AAX365" s="1"/>
      <c r="AAY365" s="1"/>
      <c r="AAZ365" s="1"/>
      <c r="ABA365" s="1"/>
      <c r="ABB365" s="1"/>
      <c r="ABC365" s="1"/>
      <c r="ABD365" s="1"/>
      <c r="ABE365" s="1"/>
      <c r="ABF365" s="1"/>
      <c r="ABG365" s="1"/>
      <c r="ABH365" s="1"/>
      <c r="ABI365" s="1"/>
      <c r="ABJ365" s="1"/>
      <c r="ABK365" s="1"/>
      <c r="ABL365" s="1"/>
      <c r="ABM365" s="1"/>
      <c r="ABN365" s="1"/>
      <c r="ABO365" s="1"/>
      <c r="ABP365" s="1"/>
      <c r="ABQ365" s="1"/>
      <c r="ABR365" s="1"/>
      <c r="ABS365" s="1"/>
      <c r="ABT365" s="1"/>
      <c r="ABU365" s="1"/>
      <c r="ABV365" s="1"/>
      <c r="ABW365" s="1"/>
      <c r="ABX365" s="1"/>
      <c r="ABY365" s="1"/>
      <c r="ABZ365" s="1"/>
      <c r="ACA365" s="1"/>
      <c r="ACB365" s="1"/>
      <c r="ACC365" s="1"/>
      <c r="ACD365" s="1"/>
      <c r="ACE365" s="1"/>
      <c r="ACF365" s="1"/>
      <c r="ACG365" s="1"/>
      <c r="ACH365" s="1"/>
      <c r="ACI365" s="1"/>
      <c r="ACJ365" s="1"/>
      <c r="ACK365" s="1"/>
      <c r="ACL365" s="1"/>
      <c r="ACM365" s="1"/>
      <c r="ACN365" s="1"/>
      <c r="ACO365" s="1"/>
      <c r="ACP365" s="1"/>
      <c r="ACQ365" s="1"/>
      <c r="ACR365" s="1"/>
      <c r="ACS365" s="1"/>
      <c r="ACT365" s="1"/>
      <c r="ACU365" s="1"/>
      <c r="ACV365" s="1"/>
      <c r="ACW365" s="1"/>
      <c r="ACX365" s="1"/>
      <c r="ACY365" s="1"/>
      <c r="ACZ365" s="1"/>
      <c r="ADA365" s="1"/>
      <c r="ADB365" s="1"/>
      <c r="ADC365" s="1"/>
      <c r="ADD365" s="1"/>
      <c r="ADE365" s="1"/>
      <c r="ADF365" s="1"/>
      <c r="ADG365" s="1"/>
      <c r="ADH365" s="1"/>
      <c r="ADI365" s="1"/>
      <c r="ADJ365" s="1"/>
      <c r="ADK365" s="1"/>
      <c r="ADL365" s="1"/>
      <c r="ADM365" s="1"/>
      <c r="ADN365" s="1"/>
      <c r="ADO365" s="1"/>
      <c r="ADP365" s="1"/>
      <c r="ADQ365" s="1"/>
      <c r="ADR365" s="1"/>
      <c r="ADS365" s="1"/>
      <c r="ADT365" s="1"/>
      <c r="ADU365" s="1"/>
      <c r="ADV365" s="1"/>
      <c r="ADW365" s="1"/>
      <c r="ADX365" s="1"/>
      <c r="ADY365" s="1"/>
      <c r="ADZ365" s="1"/>
      <c r="AEA365" s="1"/>
      <c r="AEB365" s="1"/>
      <c r="AEC365" s="1"/>
      <c r="AED365" s="1"/>
      <c r="AEE365" s="1"/>
      <c r="AEF365" s="1"/>
      <c r="AEG365" s="1"/>
      <c r="AEH365" s="1"/>
      <c r="AEI365" s="1"/>
      <c r="AEJ365" s="1"/>
      <c r="AEK365" s="1"/>
      <c r="AEL365" s="1"/>
      <c r="AEM365" s="1"/>
      <c r="AEN365" s="1"/>
      <c r="AEO365" s="1"/>
      <c r="AEP365" s="1"/>
      <c r="AEQ365" s="1"/>
      <c r="AER365" s="1"/>
      <c r="AES365" s="1"/>
      <c r="AET365" s="1"/>
      <c r="AEU365" s="1"/>
      <c r="AEV365" s="1"/>
      <c r="AEW365" s="1"/>
      <c r="AEX365" s="1"/>
      <c r="AEY365" s="1"/>
      <c r="AEZ365" s="1"/>
      <c r="AFA365" s="1"/>
      <c r="AFB365" s="1"/>
      <c r="AFC365" s="1"/>
      <c r="AFD365" s="1"/>
      <c r="AFE365" s="1"/>
      <c r="AFF365" s="1"/>
      <c r="AFG365" s="1"/>
      <c r="AFH365" s="1"/>
      <c r="AFI365" s="1"/>
      <c r="AFJ365" s="1"/>
      <c r="AFK365" s="1"/>
      <c r="AFL365" s="1"/>
      <c r="AFM365" s="1"/>
      <c r="AFN365" s="1"/>
      <c r="AFO365" s="1"/>
      <c r="AFP365" s="1"/>
      <c r="AFQ365" s="1"/>
      <c r="AFR365" s="1"/>
      <c r="AFS365" s="1"/>
      <c r="AFT365" s="1"/>
      <c r="AFU365" s="1"/>
      <c r="AFV365" s="1"/>
      <c r="AFW365" s="1"/>
      <c r="AFX365" s="1"/>
      <c r="AFY365" s="1"/>
      <c r="AFZ365" s="1"/>
      <c r="AGA365" s="1"/>
      <c r="AGB365" s="1"/>
      <c r="AGC365" s="1"/>
      <c r="AGD365" s="1"/>
      <c r="AGE365" s="1"/>
      <c r="AGF365" s="1"/>
      <c r="AGG365" s="1"/>
      <c r="AGH365" s="1"/>
      <c r="AGI365" s="1"/>
      <c r="AGJ365" s="1"/>
      <c r="AGK365" s="1"/>
      <c r="AGL365" s="1"/>
      <c r="AGM365" s="1"/>
      <c r="AGN365" s="1"/>
      <c r="AGO365" s="1"/>
      <c r="AGP365" s="1"/>
      <c r="AGQ365" s="1"/>
      <c r="AGR365" s="1"/>
      <c r="AGS365" s="1"/>
      <c r="AGT365" s="1"/>
      <c r="AGU365" s="1"/>
      <c r="AGV365" s="1"/>
      <c r="AGW365" s="1"/>
      <c r="AGX365" s="1"/>
      <c r="AGY365" s="1"/>
      <c r="AGZ365" s="1"/>
      <c r="AHA365" s="1"/>
      <c r="AHB365" s="1"/>
      <c r="AHC365" s="1"/>
      <c r="AHD365" s="1"/>
      <c r="AHE365" s="1"/>
      <c r="AHF365" s="1"/>
      <c r="AHG365" s="1"/>
      <c r="AHH365" s="1"/>
      <c r="AHI365" s="1"/>
      <c r="AHJ365" s="1"/>
      <c r="AHK365" s="1"/>
      <c r="AHL365" s="1"/>
      <c r="AHM365" s="1"/>
      <c r="AHN365" s="1"/>
      <c r="AHO365" s="1"/>
      <c r="AHP365" s="1"/>
      <c r="AHQ365" s="1"/>
      <c r="AHR365" s="1"/>
      <c r="AHS365" s="1"/>
      <c r="AHT365" s="1"/>
      <c r="AHU365" s="1"/>
      <c r="AHV365" s="1"/>
      <c r="AHW365" s="1"/>
      <c r="AHX365" s="1"/>
      <c r="AHY365" s="1"/>
      <c r="AHZ365" s="1"/>
      <c r="AIA365" s="1"/>
      <c r="AIB365" s="1"/>
      <c r="AIC365" s="1"/>
      <c r="AID365" s="1"/>
      <c r="AIE365" s="1"/>
      <c r="AIF365" s="1"/>
      <c r="AIG365" s="1"/>
      <c r="AIH365" s="1"/>
      <c r="AII365" s="1"/>
      <c r="AIJ365" s="1"/>
      <c r="AIK365" s="1"/>
      <c r="AIL365" s="1"/>
      <c r="AIM365" s="1"/>
      <c r="AIN365" s="1"/>
      <c r="AIO365" s="1"/>
      <c r="AIP365" s="1"/>
      <c r="AIQ365" s="1"/>
      <c r="AIR365" s="1"/>
      <c r="AIS365" s="1"/>
      <c r="AIT365" s="1"/>
      <c r="AIU365" s="1"/>
      <c r="AIV365" s="1"/>
      <c r="AIW365" s="1"/>
      <c r="AIX365" s="1"/>
      <c r="AIY365" s="1"/>
      <c r="AIZ365" s="1"/>
      <c r="AJA365" s="1"/>
      <c r="AJB365" s="1"/>
      <c r="AJC365" s="1"/>
      <c r="AJD365" s="1"/>
      <c r="AJE365" s="1"/>
      <c r="AJF365" s="1"/>
      <c r="AJG365" s="1"/>
      <c r="AJH365" s="1"/>
      <c r="AJI365" s="1"/>
      <c r="AJJ365" s="1"/>
      <c r="AJK365" s="1"/>
      <c r="AJL365" s="1"/>
      <c r="AJM365" s="1"/>
      <c r="AJN365" s="1"/>
      <c r="AJO365" s="1"/>
      <c r="AJP365" s="1"/>
      <c r="AJQ365" s="1"/>
      <c r="AJR365" s="1"/>
      <c r="AJS365" s="1"/>
      <c r="AJT365" s="1"/>
      <c r="AJU365" s="1"/>
      <c r="AJV365" s="1"/>
      <c r="AJW365" s="1"/>
      <c r="AJX365" s="1"/>
      <c r="AJY365" s="1"/>
      <c r="AJZ365" s="1"/>
      <c r="AKA365" s="1"/>
      <c r="AKB365" s="1"/>
      <c r="AKC365" s="1"/>
      <c r="AKD365" s="1"/>
      <c r="AKE365" s="1"/>
      <c r="AKF365" s="1"/>
      <c r="AKG365" s="1"/>
      <c r="AKH365" s="1"/>
      <c r="AKI365" s="1"/>
      <c r="AKJ365" s="1"/>
      <c r="AKK365" s="1"/>
      <c r="AKL365" s="1"/>
      <c r="AKM365" s="1"/>
      <c r="AKN365" s="1"/>
      <c r="AKO365" s="1"/>
      <c r="AKP365" s="1"/>
      <c r="AKQ365" s="1"/>
      <c r="AKR365" s="1"/>
      <c r="AKS365" s="1"/>
      <c r="AKT365" s="1"/>
      <c r="AKU365" s="1"/>
      <c r="AKV365" s="1"/>
      <c r="AKW365" s="1"/>
      <c r="AKX365" s="1"/>
      <c r="AKY365" s="1"/>
      <c r="AKZ365" s="1"/>
      <c r="ALA365" s="1"/>
      <c r="ALB365" s="1"/>
      <c r="ALC365" s="1"/>
      <c r="ALD365" s="1"/>
      <c r="ALE365" s="1"/>
      <c r="ALF365" s="1"/>
      <c r="ALG365" s="1"/>
      <c r="ALH365" s="1"/>
      <c r="ALI365" s="1"/>
      <c r="ALJ365" s="1"/>
      <c r="ALK365" s="1"/>
      <c r="ALL365" s="1"/>
      <c r="ALM365" s="1"/>
      <c r="ALN365" s="1"/>
      <c r="ALO365" s="1"/>
      <c r="ALP365" s="1"/>
      <c r="ALQ365" s="1"/>
      <c r="ALR365" s="1"/>
      <c r="ALS365" s="1"/>
      <c r="ALT365" s="1"/>
      <c r="ALU365" s="1"/>
      <c r="ALV365" s="1"/>
      <c r="ALW365" s="1"/>
      <c r="ALX365" s="1"/>
      <c r="ALY365" s="1"/>
      <c r="ALZ365" s="1"/>
      <c r="AMA365" s="1"/>
      <c r="AMB365" s="1"/>
      <c r="AMC365" s="1"/>
      <c r="AMD365" s="1"/>
      <c r="AME365" s="1"/>
      <c r="AMF365" s="1"/>
      <c r="AMG365" s="1"/>
      <c r="AMH365" s="1"/>
      <c r="AMI365" s="1"/>
      <c r="AMJ365" s="1"/>
      <c r="AMK365" s="1"/>
      <c r="AML365" s="1"/>
      <c r="AMM365" s="1"/>
      <c r="AMN365" s="1"/>
      <c r="AMO365" s="1"/>
    </row>
    <row r="366" spans="1:1029" x14ac:dyDescent="0.2">
      <c r="A366" s="3" t="str">
        <f>CONCATENATE(B366,"_",C366)</f>
        <v>pd2r2_human_6D27</v>
      </c>
      <c r="B366" s="3" t="s">
        <v>359</v>
      </c>
      <c r="C366" s="3" t="s">
        <v>1536</v>
      </c>
      <c r="D366" s="3" t="str">
        <f>IFERROR(MID(VLOOKUP($B366,Seqs!$A:$B,2,0),E366,1),"")</f>
        <v>D</v>
      </c>
      <c r="E366" s="3">
        <v>32</v>
      </c>
      <c r="F366" s="3" t="str">
        <f>IFERROR(MID(VLOOKUP($B366,Seqs!$A:$B,2,0),G366,1),"")</f>
        <v>R</v>
      </c>
      <c r="G366" s="3">
        <v>60</v>
      </c>
      <c r="H366" s="3" t="str">
        <f>IFERROR(MID(VLOOKUP($B366,Seqs!$A:$B,2,0),I366,1),"")</f>
        <v/>
      </c>
      <c r="I366" s="23" t="s">
        <v>23</v>
      </c>
      <c r="J366" s="3" t="str">
        <f>IFERROR(MID(VLOOKUP($B366,Seqs!$A:$B,2,0),K366,1),"")</f>
        <v/>
      </c>
      <c r="K366" s="23" t="s">
        <v>23</v>
      </c>
      <c r="L366" s="3" t="str">
        <f>IFERROR(MID(VLOOKUP($B366,Seqs!$A:$B,2,0),M366,1),"")</f>
        <v>T</v>
      </c>
      <c r="M366" s="3">
        <v>64</v>
      </c>
      <c r="N366" s="3" t="str">
        <f>IFERROR(MID(VLOOKUP($B366,Seqs!$A:$B,2,0),O366,1),"")</f>
        <v>G</v>
      </c>
      <c r="O366" s="3">
        <v>94</v>
      </c>
      <c r="P366" s="3" t="str">
        <f>IFERROR(MID(VLOOKUP($B366,Seqs!$A:$B,2,0),Q366,1),"")</f>
        <v>S</v>
      </c>
      <c r="Q366" s="3">
        <v>96</v>
      </c>
      <c r="R366" s="3" t="str">
        <f>IFERROR(MID(VLOOKUP($B366,Seqs!$A:$B,2,0),S366,1),"")</f>
        <v>L</v>
      </c>
      <c r="S366" s="3">
        <v>99</v>
      </c>
      <c r="T366" s="3" t="str">
        <f>IFERROR(MID(VLOOKUP($B366,Seqs!$A:$B,2,0),U366,1),"")</f>
        <v>T</v>
      </c>
      <c r="U366" s="3">
        <v>101</v>
      </c>
      <c r="V366" s="3" t="str">
        <f>IFERROR(MID(VLOOKUP($B366,Seqs!$A:$B,2,0),W366,1),"")</f>
        <v>R</v>
      </c>
      <c r="W366" s="3">
        <v>135</v>
      </c>
      <c r="X366" s="3" t="str">
        <f>IFERROR(MID(VLOOKUP($B366,Seqs!$A:$B,2,0),Y366,1),"")</f>
        <v>P</v>
      </c>
      <c r="Y366" s="3">
        <v>136</v>
      </c>
      <c r="Z366" s="3" t="str">
        <f>IFERROR(MID(VLOOKUP($B366,Seqs!$A:$B,2,0),AA366,1),"")</f>
        <v>R</v>
      </c>
      <c r="AA366" s="3">
        <v>143</v>
      </c>
      <c r="AB366" s="3" t="str">
        <f>IFERROR(MID(VLOOKUP($B366,Seqs!$A:$B,2,0),AC366,1),"")</f>
        <v>T</v>
      </c>
      <c r="AC366" s="3">
        <v>144</v>
      </c>
      <c r="AD366" s="3" t="str">
        <f>IFERROR(MID(VLOOKUP($B366,Seqs!$A:$B,2,0),AE366,1),"")</f>
        <v>R</v>
      </c>
      <c r="AE366" s="3">
        <v>170</v>
      </c>
      <c r="AF366" s="3" t="str">
        <f>IFERROR(MID(VLOOKUP($B366,Seqs!$A:$B,2,0),AG366,1),"")</f>
        <v>C</v>
      </c>
      <c r="AG366" s="3">
        <v>182</v>
      </c>
      <c r="AH366" s="3" t="str">
        <f>IFERROR(MID(VLOOKUP($B366,Seqs!$A:$B,2,0),AI366,1),"")</f>
        <v>Y</v>
      </c>
      <c r="AI366" s="3">
        <v>184</v>
      </c>
      <c r="AJ366" s="3" t="str">
        <f>IFERROR(MID(VLOOKUP($B366,Seqs!$A:$B,2,0),AK366,1),"")</f>
        <v>D</v>
      </c>
      <c r="AK366" s="3">
        <v>194</v>
      </c>
      <c r="AL366" s="3" t="str">
        <f>IFERROR(MID(VLOOKUP($B366,Seqs!$A:$B,2,0),AM366,1),"")</f>
        <v>R</v>
      </c>
      <c r="AM366" s="3">
        <v>236</v>
      </c>
      <c r="AN366" s="3" t="str">
        <f>IFERROR(MID(VLOOKUP($B366,Seqs!$A:$B,2,0),AO366,1),"")</f>
        <v/>
      </c>
      <c r="AO366" s="3">
        <v>2244</v>
      </c>
      <c r="AP366" s="3" t="str">
        <f>IFERROR(MID(VLOOKUP($B366,Seqs!$A:$B,2,0),AQ366,1),"")</f>
        <v/>
      </c>
      <c r="AQ366" s="3">
        <v>2271</v>
      </c>
      <c r="AR366" s="3" t="str">
        <f>IFERROR(MID(VLOOKUP($B366,Seqs!$A:$B,2,0),AS366,1),"")</f>
        <v/>
      </c>
      <c r="AS366" s="3">
        <v>2278</v>
      </c>
      <c r="AT366" s="3" t="str">
        <f>IFERROR(MID(VLOOKUP($B366,Seqs!$A:$B,2,0),AU366,1),"")</f>
        <v/>
      </c>
      <c r="AU366" s="3">
        <v>2307</v>
      </c>
      <c r="AV366" s="3" t="str">
        <f>IFERROR(MID(VLOOKUP($B366,Seqs!$A:$B,2,0),AW366,1),"")</f>
        <v/>
      </c>
      <c r="AW366" s="3">
        <v>2308</v>
      </c>
      <c r="AX366" s="3" t="str">
        <f>IFERROR(MID(VLOOKUP($B366,Seqs!$A:$B,2,0),AY366,1),"")</f>
        <v/>
      </c>
      <c r="AY366" s="3">
        <v>2325</v>
      </c>
      <c r="AZ366" s="77" t="str">
        <f>VLOOKUP(B366,Classification!A:D,2,0)</f>
        <v>A</v>
      </c>
      <c r="BA366" s="94" t="str">
        <f>VLOOKUP(B366,Classification!A:D,4,0)</f>
        <v>Prostanoid</v>
      </c>
      <c r="BB366" s="27" t="b">
        <f t="shared" ref="BB366" si="1157">AND(E366&lt;G366,OR(G366&lt;I366,I366="-"),OR(I366&lt;K366,I366="-"),OR(K366&lt;M366,K366="-"),M366&lt;O366,OR(O366&lt;Q366,Q366="-"),OR(Q366&lt;S366,Q366="-"),OR(S366&lt;U366,S366="-"),U366&lt;W366,OR(W366&lt;Y366,Y366="-"),OR(Y366&lt;AA366,Y366="-"),OR(AA366&lt;AC366,AA366="-"),AC366&lt;AE366,OR(AE366&lt;AG366,AG366="-"),OR(AG366&lt;AI366,AG366="-"),OR(AI366&lt;AK366,AI366="-"),AK366&lt;AM366,AM366&lt;AO366,AO366&lt;AQ366,AQ366&lt;AS366,AS366&lt;AU366,OR(AU366&lt;AW366,AW366="-"),OR(AW366&lt;AY366,AW366="-"))</f>
        <v>1</v>
      </c>
      <c r="BC366" s="23">
        <f t="shared" ref="BC366" si="1158">_xlfn.AGGREGATE(9,6,CH366:CS366)-_xlfn.AGGREGATE(9,6,BV366:CG366)+12</f>
        <v>257</v>
      </c>
      <c r="BD366" s="2" t="s">
        <v>1370</v>
      </c>
      <c r="BE366" s="3" t="s">
        <v>1368</v>
      </c>
      <c r="BF366" s="118">
        <v>4.74</v>
      </c>
      <c r="BG366" s="49" t="s">
        <v>1</v>
      </c>
      <c r="BH366" s="49" t="s">
        <v>1</v>
      </c>
      <c r="BI366" s="1"/>
      <c r="BJ366" s="70" t="s">
        <v>1281</v>
      </c>
      <c r="BK366" s="57" t="s">
        <v>1281</v>
      </c>
      <c r="BL366" s="57" t="s">
        <v>1281</v>
      </c>
      <c r="BM366" s="57" t="s">
        <v>1281</v>
      </c>
      <c r="BN366" s="57" t="s">
        <v>1281</v>
      </c>
      <c r="BO366" s="57" t="s">
        <v>1281</v>
      </c>
      <c r="BP366" s="57" t="s">
        <v>1281</v>
      </c>
      <c r="BQ366" s="57" t="s">
        <v>1281</v>
      </c>
      <c r="BR366" s="57" t="s">
        <v>1281</v>
      </c>
      <c r="BS366" s="57" t="s">
        <v>1281</v>
      </c>
      <c r="BT366" s="57" t="s">
        <v>1281</v>
      </c>
      <c r="BU366" s="57" t="s">
        <v>1281</v>
      </c>
      <c r="BV366" s="70">
        <f>E366</f>
        <v>32</v>
      </c>
      <c r="BW366" s="71" t="str">
        <f>I366</f>
        <v>-</v>
      </c>
      <c r="BX366" s="72">
        <f>M366</f>
        <v>64</v>
      </c>
      <c r="BY366" s="71">
        <f>Q366</f>
        <v>96</v>
      </c>
      <c r="BZ366" s="72">
        <f>U366</f>
        <v>101</v>
      </c>
      <c r="CA366" s="71">
        <f>Y366</f>
        <v>136</v>
      </c>
      <c r="CB366" s="72">
        <f>AC366</f>
        <v>144</v>
      </c>
      <c r="CC366" s="71">
        <f>AG366</f>
        <v>182</v>
      </c>
      <c r="CD366" s="72">
        <f>AK366</f>
        <v>194</v>
      </c>
      <c r="CE366" s="71">
        <f>AO366</f>
        <v>2244</v>
      </c>
      <c r="CF366" s="72">
        <f>AS366</f>
        <v>2278</v>
      </c>
      <c r="CG366" s="71">
        <f>AW366</f>
        <v>2308</v>
      </c>
      <c r="CH366" s="70">
        <f>G366</f>
        <v>60</v>
      </c>
      <c r="CI366" s="71" t="str">
        <f>K366</f>
        <v>-</v>
      </c>
      <c r="CJ366" s="72">
        <f>O366</f>
        <v>94</v>
      </c>
      <c r="CK366" s="72">
        <f>S366</f>
        <v>99</v>
      </c>
      <c r="CL366" s="72">
        <f>W366</f>
        <v>135</v>
      </c>
      <c r="CM366" s="72">
        <f>AA366</f>
        <v>143</v>
      </c>
      <c r="CN366" s="72">
        <f>AE366</f>
        <v>170</v>
      </c>
      <c r="CO366" s="72">
        <f>AI366</f>
        <v>184</v>
      </c>
      <c r="CP366" s="72">
        <f>AM366</f>
        <v>236</v>
      </c>
      <c r="CQ366" s="72">
        <f>AQ366</f>
        <v>2271</v>
      </c>
      <c r="CR366" s="72">
        <f>AU366</f>
        <v>2307</v>
      </c>
      <c r="CS366" s="72">
        <f>AY366</f>
        <v>2325</v>
      </c>
      <c r="CT366" s="23" t="e">
        <f>M366-K366</f>
        <v>#VALUE!</v>
      </c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U366" s="1"/>
      <c r="OV366" s="1"/>
      <c r="OW366" s="1"/>
      <c r="OX366" s="1"/>
      <c r="OY366" s="1"/>
      <c r="OZ366" s="1"/>
      <c r="PA366" s="1"/>
      <c r="PB366" s="1"/>
      <c r="PC366" s="1"/>
      <c r="PD366" s="1"/>
      <c r="PE366" s="1"/>
      <c r="PF366" s="1"/>
      <c r="PG366" s="1"/>
      <c r="PH366" s="1"/>
      <c r="PI366" s="1"/>
      <c r="PJ366" s="1"/>
      <c r="PK366" s="1"/>
      <c r="PL366" s="1"/>
      <c r="PM366" s="1"/>
      <c r="PN366" s="1"/>
      <c r="PO366" s="1"/>
      <c r="PP366" s="1"/>
      <c r="PQ366" s="1"/>
      <c r="PR366" s="1"/>
      <c r="PS366" s="1"/>
      <c r="PT366" s="1"/>
      <c r="PU366" s="1"/>
      <c r="PV366" s="1"/>
      <c r="PW366" s="1"/>
      <c r="PX366" s="1"/>
      <c r="PY366" s="1"/>
      <c r="PZ366" s="1"/>
      <c r="QA366" s="1"/>
      <c r="QB366" s="1"/>
      <c r="QC366" s="1"/>
      <c r="QD366" s="1"/>
      <c r="QE366" s="1"/>
      <c r="QF366" s="1"/>
      <c r="QG366" s="1"/>
      <c r="QH366" s="1"/>
      <c r="QI366" s="1"/>
      <c r="QJ366" s="1"/>
      <c r="QK366" s="1"/>
      <c r="QL366" s="1"/>
      <c r="QM366" s="1"/>
      <c r="QN366" s="1"/>
      <c r="QO366" s="1"/>
      <c r="QP366" s="1"/>
      <c r="QQ366" s="1"/>
      <c r="QR366" s="1"/>
      <c r="QS366" s="1"/>
      <c r="QT366" s="1"/>
      <c r="QU366" s="1"/>
      <c r="QV366" s="1"/>
      <c r="QW366" s="1"/>
      <c r="QX366" s="1"/>
      <c r="QY366" s="1"/>
      <c r="QZ366" s="1"/>
      <c r="RA366" s="1"/>
      <c r="RB366" s="1"/>
      <c r="RC366" s="1"/>
      <c r="RD366" s="1"/>
      <c r="RE366" s="1"/>
      <c r="RF366" s="1"/>
      <c r="RG366" s="1"/>
      <c r="RH366" s="1"/>
      <c r="RI366" s="1"/>
      <c r="RJ366" s="1"/>
      <c r="RK366" s="1"/>
      <c r="RL366" s="1"/>
      <c r="RM366" s="1"/>
      <c r="RN366" s="1"/>
      <c r="RO366" s="1"/>
      <c r="RP366" s="1"/>
      <c r="RQ366" s="1"/>
      <c r="RR366" s="1"/>
      <c r="RS366" s="1"/>
      <c r="RT366" s="1"/>
      <c r="RU366" s="1"/>
      <c r="RV366" s="1"/>
      <c r="RW366" s="1"/>
      <c r="RX366" s="1"/>
      <c r="RY366" s="1"/>
      <c r="RZ366" s="1"/>
      <c r="SA366" s="1"/>
      <c r="SB366" s="1"/>
      <c r="SC366" s="1"/>
      <c r="SD366" s="1"/>
      <c r="SE366" s="1"/>
      <c r="SF366" s="1"/>
      <c r="SG366" s="1"/>
      <c r="SH366" s="1"/>
      <c r="SI366" s="1"/>
      <c r="SJ366" s="1"/>
      <c r="SK366" s="1"/>
      <c r="SL366" s="1"/>
      <c r="SM366" s="1"/>
      <c r="SN366" s="1"/>
      <c r="SO366" s="1"/>
      <c r="SP366" s="1"/>
      <c r="SQ366" s="1"/>
      <c r="SR366" s="1"/>
      <c r="SS366" s="1"/>
      <c r="ST366" s="1"/>
      <c r="SU366" s="1"/>
      <c r="SV366" s="1"/>
      <c r="SW366" s="1"/>
      <c r="SX366" s="1"/>
      <c r="SY366" s="1"/>
      <c r="SZ366" s="1"/>
      <c r="TA366" s="1"/>
      <c r="TB366" s="1"/>
      <c r="TC366" s="1"/>
      <c r="TD366" s="1"/>
      <c r="TE366" s="1"/>
      <c r="TF366" s="1"/>
      <c r="TG366" s="1"/>
      <c r="TH366" s="1"/>
      <c r="TI366" s="1"/>
      <c r="TJ366" s="1"/>
      <c r="TK366" s="1"/>
      <c r="TL366" s="1"/>
      <c r="TM366" s="1"/>
      <c r="TN366" s="1"/>
      <c r="TO366" s="1"/>
      <c r="TP366" s="1"/>
      <c r="TQ366" s="1"/>
      <c r="TR366" s="1"/>
      <c r="TS366" s="1"/>
      <c r="TT366" s="1"/>
      <c r="TU366" s="1"/>
      <c r="TV366" s="1"/>
      <c r="TW366" s="1"/>
      <c r="TX366" s="1"/>
      <c r="TY366" s="1"/>
      <c r="TZ366" s="1"/>
      <c r="UA366" s="1"/>
      <c r="UB366" s="1"/>
      <c r="UC366" s="1"/>
      <c r="UD366" s="1"/>
      <c r="UE366" s="1"/>
      <c r="UF366" s="1"/>
      <c r="UG366" s="1"/>
      <c r="UH366" s="1"/>
      <c r="UI366" s="1"/>
      <c r="UJ366" s="1"/>
      <c r="UK366" s="1"/>
      <c r="UL366" s="1"/>
      <c r="UM366" s="1"/>
      <c r="UN366" s="1"/>
      <c r="UO366" s="1"/>
      <c r="UP366" s="1"/>
      <c r="UQ366" s="1"/>
      <c r="UR366" s="1"/>
      <c r="US366" s="1"/>
      <c r="UT366" s="1"/>
      <c r="UU366" s="1"/>
      <c r="UV366" s="1"/>
      <c r="UW366" s="1"/>
      <c r="UX366" s="1"/>
      <c r="UY366" s="1"/>
      <c r="UZ366" s="1"/>
      <c r="VA366" s="1"/>
      <c r="VB366" s="1"/>
      <c r="VC366" s="1"/>
      <c r="VD366" s="1"/>
      <c r="VE366" s="1"/>
      <c r="VF366" s="1"/>
      <c r="VG366" s="1"/>
      <c r="VH366" s="1"/>
      <c r="VI366" s="1"/>
      <c r="VJ366" s="1"/>
      <c r="VK366" s="1"/>
      <c r="VL366" s="1"/>
      <c r="VM366" s="1"/>
      <c r="VN366" s="1"/>
      <c r="VO366" s="1"/>
      <c r="VP366" s="1"/>
      <c r="VQ366" s="1"/>
      <c r="VR366" s="1"/>
      <c r="VS366" s="1"/>
      <c r="VT366" s="1"/>
      <c r="VU366" s="1"/>
      <c r="VV366" s="1"/>
      <c r="VW366" s="1"/>
      <c r="VX366" s="1"/>
      <c r="VY366" s="1"/>
      <c r="VZ366" s="1"/>
      <c r="WA366" s="1"/>
      <c r="WB366" s="1"/>
      <c r="WC366" s="1"/>
      <c r="WD366" s="1"/>
      <c r="WE366" s="1"/>
      <c r="WF366" s="1"/>
      <c r="WG366" s="1"/>
      <c r="WH366" s="1"/>
      <c r="WI366" s="1"/>
      <c r="WJ366" s="1"/>
      <c r="WK366" s="1"/>
      <c r="WL366" s="1"/>
      <c r="WM366" s="1"/>
      <c r="WN366" s="1"/>
      <c r="WO366" s="1"/>
      <c r="WP366" s="1"/>
      <c r="WQ366" s="1"/>
      <c r="WR366" s="1"/>
      <c r="WS366" s="1"/>
      <c r="WT366" s="1"/>
      <c r="WU366" s="1"/>
      <c r="WV366" s="1"/>
      <c r="WW366" s="1"/>
      <c r="WX366" s="1"/>
      <c r="WY366" s="1"/>
      <c r="WZ366" s="1"/>
      <c r="XA366" s="1"/>
      <c r="XB366" s="1"/>
      <c r="XC366" s="1"/>
      <c r="XD366" s="1"/>
      <c r="XE366" s="1"/>
      <c r="XF366" s="1"/>
      <c r="XG366" s="1"/>
      <c r="XH366" s="1"/>
      <c r="XI366" s="1"/>
      <c r="XJ366" s="1"/>
      <c r="XK366" s="1"/>
      <c r="XL366" s="1"/>
      <c r="XM366" s="1"/>
      <c r="XN366" s="1"/>
      <c r="XO366" s="1"/>
      <c r="XP366" s="1"/>
      <c r="XQ366" s="1"/>
      <c r="XR366" s="1"/>
      <c r="XS366" s="1"/>
      <c r="XT366" s="1"/>
      <c r="XU366" s="1"/>
      <c r="XV366" s="1"/>
      <c r="XW366" s="1"/>
      <c r="XX366" s="1"/>
      <c r="XY366" s="1"/>
      <c r="XZ366" s="1"/>
      <c r="YA366" s="1"/>
      <c r="YB366" s="1"/>
      <c r="YC366" s="1"/>
      <c r="YD366" s="1"/>
      <c r="YE366" s="1"/>
      <c r="YF366" s="1"/>
      <c r="YG366" s="1"/>
      <c r="YH366" s="1"/>
      <c r="YI366" s="1"/>
      <c r="YJ366" s="1"/>
      <c r="YK366" s="1"/>
      <c r="YL366" s="1"/>
      <c r="YM366" s="1"/>
      <c r="YN366" s="1"/>
      <c r="YO366" s="1"/>
      <c r="YP366" s="1"/>
      <c r="YQ366" s="1"/>
      <c r="YR366" s="1"/>
      <c r="YS366" s="1"/>
      <c r="YT366" s="1"/>
      <c r="YU366" s="1"/>
      <c r="YV366" s="1"/>
      <c r="YW366" s="1"/>
      <c r="YX366" s="1"/>
      <c r="YY366" s="1"/>
      <c r="YZ366" s="1"/>
      <c r="ZA366" s="1"/>
      <c r="ZB366" s="1"/>
      <c r="ZC366" s="1"/>
      <c r="ZD366" s="1"/>
      <c r="ZE366" s="1"/>
      <c r="ZF366" s="1"/>
      <c r="ZG366" s="1"/>
      <c r="ZH366" s="1"/>
      <c r="ZI366" s="1"/>
      <c r="ZJ366" s="1"/>
      <c r="ZK366" s="1"/>
      <c r="ZL366" s="1"/>
      <c r="ZM366" s="1"/>
      <c r="ZN366" s="1"/>
      <c r="ZO366" s="1"/>
      <c r="ZP366" s="1"/>
      <c r="ZQ366" s="1"/>
      <c r="ZR366" s="1"/>
      <c r="ZS366" s="1"/>
      <c r="ZT366" s="1"/>
      <c r="ZU366" s="1"/>
      <c r="ZV366" s="1"/>
      <c r="ZW366" s="1"/>
      <c r="ZX366" s="1"/>
      <c r="ZY366" s="1"/>
      <c r="ZZ366" s="1"/>
      <c r="AAA366" s="1"/>
      <c r="AAB366" s="1"/>
      <c r="AAC366" s="1"/>
      <c r="AAD366" s="1"/>
      <c r="AAE366" s="1"/>
      <c r="AAF366" s="1"/>
      <c r="AAG366" s="1"/>
      <c r="AAH366" s="1"/>
      <c r="AAI366" s="1"/>
      <c r="AAJ366" s="1"/>
      <c r="AAK366" s="1"/>
      <c r="AAL366" s="1"/>
      <c r="AAM366" s="1"/>
      <c r="AAN366" s="1"/>
      <c r="AAO366" s="1"/>
      <c r="AAP366" s="1"/>
      <c r="AAQ366" s="1"/>
      <c r="AAR366" s="1"/>
      <c r="AAS366" s="1"/>
      <c r="AAT366" s="1"/>
      <c r="AAU366" s="1"/>
      <c r="AAV366" s="1"/>
      <c r="AAW366" s="1"/>
      <c r="AAX366" s="1"/>
      <c r="AAY366" s="1"/>
      <c r="AAZ366" s="1"/>
      <c r="ABA366" s="1"/>
      <c r="ABB366" s="1"/>
      <c r="ABC366" s="1"/>
      <c r="ABD366" s="1"/>
      <c r="ABE366" s="1"/>
      <c r="ABF366" s="1"/>
      <c r="ABG366" s="1"/>
      <c r="ABH366" s="1"/>
      <c r="ABI366" s="1"/>
      <c r="ABJ366" s="1"/>
      <c r="ABK366" s="1"/>
      <c r="ABL366" s="1"/>
      <c r="ABM366" s="1"/>
      <c r="ABN366" s="1"/>
      <c r="ABO366" s="1"/>
      <c r="ABP366" s="1"/>
      <c r="ABQ366" s="1"/>
      <c r="ABR366" s="1"/>
      <c r="ABS366" s="1"/>
      <c r="ABT366" s="1"/>
      <c r="ABU366" s="1"/>
      <c r="ABV366" s="1"/>
      <c r="ABW366" s="1"/>
      <c r="ABX366" s="1"/>
      <c r="ABY366" s="1"/>
      <c r="ABZ366" s="1"/>
      <c r="ACA366" s="1"/>
      <c r="ACB366" s="1"/>
      <c r="ACC366" s="1"/>
      <c r="ACD366" s="1"/>
      <c r="ACE366" s="1"/>
      <c r="ACF366" s="1"/>
      <c r="ACG366" s="1"/>
      <c r="ACH366" s="1"/>
      <c r="ACI366" s="1"/>
      <c r="ACJ366" s="1"/>
      <c r="ACK366" s="1"/>
      <c r="ACL366" s="1"/>
      <c r="ACM366" s="1"/>
      <c r="ACN366" s="1"/>
      <c r="ACO366" s="1"/>
      <c r="ACP366" s="1"/>
      <c r="ACQ366" s="1"/>
      <c r="ACR366" s="1"/>
      <c r="ACS366" s="1"/>
      <c r="ACT366" s="1"/>
      <c r="ACU366" s="1"/>
      <c r="ACV366" s="1"/>
      <c r="ACW366" s="1"/>
      <c r="ACX366" s="1"/>
      <c r="ACY366" s="1"/>
      <c r="ACZ366" s="1"/>
      <c r="ADA366" s="1"/>
      <c r="ADB366" s="1"/>
      <c r="ADC366" s="1"/>
      <c r="ADD366" s="1"/>
      <c r="ADE366" s="1"/>
      <c r="ADF366" s="1"/>
      <c r="ADG366" s="1"/>
      <c r="ADH366" s="1"/>
      <c r="ADI366" s="1"/>
      <c r="ADJ366" s="1"/>
      <c r="ADK366" s="1"/>
      <c r="ADL366" s="1"/>
      <c r="ADM366" s="1"/>
      <c r="ADN366" s="1"/>
      <c r="ADO366" s="1"/>
      <c r="ADP366" s="1"/>
      <c r="ADQ366" s="1"/>
      <c r="ADR366" s="1"/>
      <c r="ADS366" s="1"/>
      <c r="ADT366" s="1"/>
      <c r="ADU366" s="1"/>
      <c r="ADV366" s="1"/>
      <c r="ADW366" s="1"/>
      <c r="ADX366" s="1"/>
      <c r="ADY366" s="1"/>
      <c r="ADZ366" s="1"/>
      <c r="AEA366" s="1"/>
      <c r="AEB366" s="1"/>
      <c r="AEC366" s="1"/>
      <c r="AED366" s="1"/>
      <c r="AEE366" s="1"/>
      <c r="AEF366" s="1"/>
      <c r="AEG366" s="1"/>
      <c r="AEH366" s="1"/>
      <c r="AEI366" s="1"/>
      <c r="AEJ366" s="1"/>
      <c r="AEK366" s="1"/>
      <c r="AEL366" s="1"/>
      <c r="AEM366" s="1"/>
      <c r="AEN366" s="1"/>
      <c r="AEO366" s="1"/>
      <c r="AEP366" s="1"/>
      <c r="AEQ366" s="1"/>
      <c r="AER366" s="1"/>
      <c r="AES366" s="1"/>
      <c r="AET366" s="1"/>
      <c r="AEU366" s="1"/>
      <c r="AEV366" s="1"/>
      <c r="AEW366" s="1"/>
      <c r="AEX366" s="1"/>
      <c r="AEY366" s="1"/>
      <c r="AEZ366" s="1"/>
      <c r="AFA366" s="1"/>
      <c r="AFB366" s="1"/>
      <c r="AFC366" s="1"/>
      <c r="AFD366" s="1"/>
      <c r="AFE366" s="1"/>
      <c r="AFF366" s="1"/>
      <c r="AFG366" s="1"/>
      <c r="AFH366" s="1"/>
      <c r="AFI366" s="1"/>
      <c r="AFJ366" s="1"/>
      <c r="AFK366" s="1"/>
      <c r="AFL366" s="1"/>
      <c r="AFM366" s="1"/>
      <c r="AFN366" s="1"/>
      <c r="AFO366" s="1"/>
      <c r="AFP366" s="1"/>
      <c r="AFQ366" s="1"/>
      <c r="AFR366" s="1"/>
      <c r="AFS366" s="1"/>
      <c r="AFT366" s="1"/>
      <c r="AFU366" s="1"/>
      <c r="AFV366" s="1"/>
      <c r="AFW366" s="1"/>
      <c r="AFX366" s="1"/>
      <c r="AFY366" s="1"/>
      <c r="AFZ366" s="1"/>
      <c r="AGA366" s="1"/>
      <c r="AGB366" s="1"/>
      <c r="AGC366" s="1"/>
      <c r="AGD366" s="1"/>
      <c r="AGE366" s="1"/>
      <c r="AGF366" s="1"/>
      <c r="AGG366" s="1"/>
      <c r="AGH366" s="1"/>
      <c r="AGI366" s="1"/>
      <c r="AGJ366" s="1"/>
      <c r="AGK366" s="1"/>
      <c r="AGL366" s="1"/>
      <c r="AGM366" s="1"/>
      <c r="AGN366" s="1"/>
      <c r="AGO366" s="1"/>
      <c r="AGP366" s="1"/>
      <c r="AGQ366" s="1"/>
      <c r="AGR366" s="1"/>
      <c r="AGS366" s="1"/>
      <c r="AGT366" s="1"/>
      <c r="AGU366" s="1"/>
      <c r="AGV366" s="1"/>
      <c r="AGW366" s="1"/>
      <c r="AGX366" s="1"/>
      <c r="AGY366" s="1"/>
      <c r="AGZ366" s="1"/>
      <c r="AHA366" s="1"/>
      <c r="AHB366" s="1"/>
      <c r="AHC366" s="1"/>
      <c r="AHD366" s="1"/>
      <c r="AHE366" s="1"/>
      <c r="AHF366" s="1"/>
      <c r="AHG366" s="1"/>
      <c r="AHH366" s="1"/>
      <c r="AHI366" s="1"/>
      <c r="AHJ366" s="1"/>
      <c r="AHK366" s="1"/>
      <c r="AHL366" s="1"/>
      <c r="AHM366" s="1"/>
      <c r="AHN366" s="1"/>
      <c r="AHO366" s="1"/>
      <c r="AHP366" s="1"/>
      <c r="AHQ366" s="1"/>
      <c r="AHR366" s="1"/>
      <c r="AHS366" s="1"/>
      <c r="AHT366" s="1"/>
      <c r="AHU366" s="1"/>
      <c r="AHV366" s="1"/>
      <c r="AHW366" s="1"/>
      <c r="AHX366" s="1"/>
      <c r="AHY366" s="1"/>
      <c r="AHZ366" s="1"/>
      <c r="AIA366" s="1"/>
      <c r="AIB366" s="1"/>
      <c r="AIC366" s="1"/>
      <c r="AID366" s="1"/>
      <c r="AIE366" s="1"/>
      <c r="AIF366" s="1"/>
      <c r="AIG366" s="1"/>
      <c r="AIH366" s="1"/>
      <c r="AII366" s="1"/>
      <c r="AIJ366" s="1"/>
      <c r="AIK366" s="1"/>
      <c r="AIL366" s="1"/>
      <c r="AIM366" s="1"/>
      <c r="AIN366" s="1"/>
      <c r="AIO366" s="1"/>
      <c r="AIP366" s="1"/>
      <c r="AIQ366" s="1"/>
      <c r="AIR366" s="1"/>
      <c r="AIS366" s="1"/>
      <c r="AIT366" s="1"/>
      <c r="AIU366" s="1"/>
      <c r="AIV366" s="1"/>
      <c r="AIW366" s="1"/>
      <c r="AIX366" s="1"/>
      <c r="AIY366" s="1"/>
      <c r="AIZ366" s="1"/>
      <c r="AJA366" s="1"/>
      <c r="AJB366" s="1"/>
      <c r="AJC366" s="1"/>
      <c r="AJD366" s="1"/>
      <c r="AJE366" s="1"/>
      <c r="AJF366" s="1"/>
      <c r="AJG366" s="1"/>
      <c r="AJH366" s="1"/>
      <c r="AJI366" s="1"/>
      <c r="AJJ366" s="1"/>
      <c r="AJK366" s="1"/>
      <c r="AJL366" s="1"/>
      <c r="AJM366" s="1"/>
      <c r="AJN366" s="1"/>
      <c r="AJO366" s="1"/>
      <c r="AJP366" s="1"/>
      <c r="AJQ366" s="1"/>
      <c r="AJR366" s="1"/>
      <c r="AJS366" s="1"/>
      <c r="AJT366" s="1"/>
      <c r="AJU366" s="1"/>
      <c r="AJV366" s="1"/>
      <c r="AJW366" s="1"/>
      <c r="AJX366" s="1"/>
      <c r="AJY366" s="1"/>
      <c r="AJZ366" s="1"/>
      <c r="AKA366" s="1"/>
      <c r="AKB366" s="1"/>
      <c r="AKC366" s="1"/>
      <c r="AKD366" s="1"/>
      <c r="AKE366" s="1"/>
      <c r="AKF366" s="1"/>
      <c r="AKG366" s="1"/>
      <c r="AKH366" s="1"/>
      <c r="AKI366" s="1"/>
      <c r="AKJ366" s="1"/>
      <c r="AKK366" s="1"/>
      <c r="AKL366" s="1"/>
      <c r="AKM366" s="1"/>
      <c r="AKN366" s="1"/>
      <c r="AKO366" s="1"/>
      <c r="AKP366" s="1"/>
      <c r="AKQ366" s="1"/>
      <c r="AKR366" s="1"/>
      <c r="AKS366" s="1"/>
      <c r="AKT366" s="1"/>
      <c r="AKU366" s="1"/>
      <c r="AKV366" s="1"/>
      <c r="AKW366" s="1"/>
      <c r="AKX366" s="1"/>
      <c r="AKY366" s="1"/>
      <c r="AKZ366" s="1"/>
      <c r="ALA366" s="1"/>
      <c r="ALB366" s="1"/>
      <c r="ALC366" s="1"/>
      <c r="ALD366" s="1"/>
      <c r="ALE366" s="1"/>
      <c r="ALF366" s="1"/>
      <c r="ALG366" s="1"/>
      <c r="ALH366" s="1"/>
      <c r="ALI366" s="1"/>
      <c r="ALJ366" s="1"/>
      <c r="ALK366" s="1"/>
      <c r="ALL366" s="1"/>
      <c r="ALM366" s="1"/>
      <c r="ALN366" s="1"/>
      <c r="ALO366" s="1"/>
      <c r="ALP366" s="1"/>
      <c r="ALQ366" s="1"/>
      <c r="ALR366" s="1"/>
      <c r="ALS366" s="1"/>
      <c r="ALT366" s="1"/>
      <c r="ALU366" s="1"/>
      <c r="ALV366" s="1"/>
      <c r="ALW366" s="1"/>
      <c r="ALX366" s="1"/>
      <c r="ALY366" s="1"/>
      <c r="ALZ366" s="1"/>
      <c r="AMA366" s="1"/>
      <c r="AMB366" s="1"/>
      <c r="AMC366" s="1"/>
      <c r="AMD366" s="1"/>
      <c r="AME366" s="1"/>
      <c r="AMF366" s="1"/>
      <c r="AMG366" s="1"/>
      <c r="AMH366" s="1"/>
      <c r="AMI366" s="1"/>
      <c r="AMJ366" s="1"/>
      <c r="AMK366" s="1"/>
      <c r="AML366" s="1"/>
      <c r="AMM366" s="1"/>
      <c r="AMN366" s="1"/>
      <c r="AMO366" s="1"/>
    </row>
    <row r="367" spans="1:1029" s="12" customFormat="1" x14ac:dyDescent="0.2">
      <c r="A367" s="9" t="str">
        <f>CONCATENATE(B367,"_",C367)</f>
        <v>pe2r3_human__wt</v>
      </c>
      <c r="B367" s="9" t="s">
        <v>362</v>
      </c>
      <c r="C367" s="9" t="s">
        <v>100</v>
      </c>
      <c r="D367" s="9" t="str">
        <f>IFERROR(MID(VLOOKUP($B367,Seqs!$A:$B,2,0),E367,1),"")</f>
        <v>V</v>
      </c>
      <c r="E367" s="9">
        <v>52</v>
      </c>
      <c r="F367" s="9" t="str">
        <f>IFERROR(MID(VLOOKUP($B367,Seqs!$A:$B,2,0),G367,1),"")</f>
        <v>R</v>
      </c>
      <c r="G367" s="9">
        <v>78</v>
      </c>
      <c r="H367" s="9" t="str">
        <f>IFERROR(MID(VLOOKUP($B367,Seqs!$A:$B,2,0),I367,1),"")</f>
        <v/>
      </c>
      <c r="I367" s="109" t="s">
        <v>23</v>
      </c>
      <c r="J367" s="9" t="str">
        <f>IFERROR(MID(VLOOKUP($B367,Seqs!$A:$B,2,0),K367,1),"")</f>
        <v/>
      </c>
      <c r="K367" s="109" t="s">
        <v>23</v>
      </c>
      <c r="L367" s="9" t="str">
        <f>IFERROR(MID(VLOOKUP($B367,Seqs!$A:$B,2,0),M367,1),"")</f>
        <v>K</v>
      </c>
      <c r="M367" s="9">
        <v>85</v>
      </c>
      <c r="N367" s="9" t="str">
        <f>IFERROR(MID(VLOOKUP($B367,Seqs!$A:$B,2,0),O367,1),"")</f>
        <v>K</v>
      </c>
      <c r="O367" s="9">
        <v>117</v>
      </c>
      <c r="P367" s="9" t="str">
        <f>IFERROR(MID(VLOOKUP($B367,Seqs!$A:$B,2,0),Q367,1),"")</f>
        <v>Q</v>
      </c>
      <c r="Q367" s="9">
        <v>118</v>
      </c>
      <c r="R367" s="9" t="str">
        <f>IFERROR(MID(VLOOKUP($B367,Seqs!$A:$B,2,0),S367,1),"")</f>
        <v>S</v>
      </c>
      <c r="S367" s="9">
        <v>126</v>
      </c>
      <c r="T367" s="9" t="str">
        <f>IFERROR(MID(VLOOKUP($B367,Seqs!$A:$B,2,0),U367,1),"")</f>
        <v>G</v>
      </c>
      <c r="U367" s="9">
        <v>127</v>
      </c>
      <c r="V367" s="9" t="str">
        <f>IFERROR(MID(VLOOKUP($B367,Seqs!$A:$B,2,0),W367,1),"")</f>
        <v>A</v>
      </c>
      <c r="W367" s="9">
        <v>161</v>
      </c>
      <c r="X367" s="9" t="str">
        <f>IFERROR(MID(VLOOKUP($B367,Seqs!$A:$B,2,0),Y367,1),"")</f>
        <v>P</v>
      </c>
      <c r="Y367" s="9">
        <v>162</v>
      </c>
      <c r="Z367" s="9" t="str">
        <f>IFERROR(MID(VLOOKUP($B367,Seqs!$A:$B,2,0),AA367,1),"")</f>
        <v>M</v>
      </c>
      <c r="AA367" s="9">
        <v>169</v>
      </c>
      <c r="AB367" s="9" t="str">
        <f>IFERROR(MID(VLOOKUP($B367,Seqs!$A:$B,2,0),AC367,1),"")</f>
        <v>K</v>
      </c>
      <c r="AC367" s="9">
        <v>170</v>
      </c>
      <c r="AD367" s="9" t="str">
        <f>IFERROR(MID(VLOOKUP($B367,Seqs!$A:$B,2,0),AE367,1),"")</f>
        <v>G</v>
      </c>
      <c r="AE367" s="9">
        <v>195</v>
      </c>
      <c r="AF367" s="9" t="str">
        <f>IFERROR(MID(VLOOKUP($B367,Seqs!$A:$B,2,0),AG367,1),"")</f>
        <v>C</v>
      </c>
      <c r="AG367" s="9">
        <v>208</v>
      </c>
      <c r="AH367" s="9" t="str">
        <f>IFERROR(MID(VLOOKUP($B367,Seqs!$A:$B,2,0),AI367,1),"")</f>
        <v>I</v>
      </c>
      <c r="AI367" s="9">
        <v>210</v>
      </c>
      <c r="AJ367" s="9" t="str">
        <f>IFERROR(MID(VLOOKUP($B367,Seqs!$A:$B,2,0),AK367,1),"")</f>
        <v>W</v>
      </c>
      <c r="AK367" s="9">
        <v>225</v>
      </c>
      <c r="AL367" s="9" t="str">
        <f>IFERROR(MID(VLOOKUP($B367,Seqs!$A:$B,2,0),AM367,1),"")</f>
        <v>T</v>
      </c>
      <c r="AM367" s="9">
        <v>265</v>
      </c>
      <c r="AN367" s="9" t="str">
        <f>IFERROR(MID(VLOOKUP($B367,Seqs!$A:$B,2,0),AO367,1),"")</f>
        <v>A</v>
      </c>
      <c r="AO367" s="9">
        <v>271</v>
      </c>
      <c r="AP367" s="9" t="str">
        <f>IFERROR(MID(VLOOKUP($B367,Seqs!$A:$B,2,0),AQ367,1),"")</f>
        <v>S</v>
      </c>
      <c r="AQ367" s="9">
        <v>311</v>
      </c>
      <c r="AR367" s="9" t="str">
        <f>IFERROR(MID(VLOOKUP($B367,Seqs!$A:$B,2,0),AS367,1),"")</f>
        <v>T</v>
      </c>
      <c r="AS367" s="9">
        <v>317</v>
      </c>
      <c r="AT367" s="9" t="str">
        <f>IFERROR(MID(VLOOKUP($B367,Seqs!$A:$B,2,0),AU367,1),"")</f>
        <v>Y</v>
      </c>
      <c r="AU367" s="9">
        <v>346</v>
      </c>
      <c r="AV367" s="9" t="str">
        <f>IFERROR(MID(VLOOKUP($B367,Seqs!$A:$B,2,0),AW367,1),"")</f>
        <v>L</v>
      </c>
      <c r="AW367" s="9">
        <v>347</v>
      </c>
      <c r="AX367" s="9" t="str">
        <f>IFERROR(MID(VLOOKUP($B367,Seqs!$A:$B,2,0),AY367,1),"")</f>
        <v>S</v>
      </c>
      <c r="AY367" s="9">
        <v>369</v>
      </c>
      <c r="AZ367" s="110" t="str">
        <f>VLOOKUP(B367,Classification!A:D,2,0)</f>
        <v>A</v>
      </c>
      <c r="BA367" s="98" t="str">
        <f>VLOOKUP(B367,Classification!A:D,4,0)</f>
        <v>Prostanoid</v>
      </c>
      <c r="BB367" s="36" t="b">
        <f t="shared" ref="BB367:BB369" si="1159">AND(E367&lt;G367,OR(G367&lt;I367,I367="-"),OR(I367&lt;K367,I367="-"),OR(K367&lt;M367,K367="-"),M367&lt;O367,OR(O367&lt;Q367,Q367="-"),OR(Q367&lt;S367,Q367="-"),OR(S367&lt;U367,S367="-"),U367&lt;W367,OR(W367&lt;Y367,Y367="-"),OR(Y367&lt;AA367,Y367="-"),OR(AA367&lt;AC367,AA367="-"),AC367&lt;AE367,OR(AE367&lt;AG367,AG367="-"),OR(AG367&lt;AI367,AG367="-"),OR(AI367&lt;AK367,AI367="-"),AK367&lt;AM367,AM367&lt;AO367,AO367&lt;AQ367,AQ367&lt;AS367,AS367&lt;AU367,OR(AU367&lt;AW367,AW367="-"),OR(AW367&lt;AY367,AW367="-"))</f>
        <v>1</v>
      </c>
      <c r="BC367" s="109">
        <f t="shared" ref="BC367:BC369" si="1160">_xlfn.AGGREGATE(9,6,CH367:CS367)-_xlfn.AGGREGATE(9,6,BV367:CG367)+12</f>
        <v>277</v>
      </c>
      <c r="BD367" s="40" t="s">
        <v>23</v>
      </c>
      <c r="BE367" s="9" t="s">
        <v>23</v>
      </c>
      <c r="BF367" s="119" t="s">
        <v>23</v>
      </c>
      <c r="BG367" s="51" t="s">
        <v>23</v>
      </c>
      <c r="BH367" s="51" t="s">
        <v>23</v>
      </c>
      <c r="BJ367" s="111" t="s">
        <v>1281</v>
      </c>
      <c r="BK367" s="112" t="s">
        <v>1281</v>
      </c>
      <c r="BL367" s="112" t="s">
        <v>1281</v>
      </c>
      <c r="BM367" s="112" t="s">
        <v>1281</v>
      </c>
      <c r="BN367" s="112" t="s">
        <v>1281</v>
      </c>
      <c r="BO367" s="112" t="s">
        <v>1281</v>
      </c>
      <c r="BP367" s="112" t="s">
        <v>1281</v>
      </c>
      <c r="BQ367" s="112" t="s">
        <v>1281</v>
      </c>
      <c r="BR367" s="112" t="s">
        <v>1281</v>
      </c>
      <c r="BS367" s="112" t="s">
        <v>1281</v>
      </c>
      <c r="BT367" s="112" t="s">
        <v>1281</v>
      </c>
      <c r="BU367" s="112" t="s">
        <v>1281</v>
      </c>
      <c r="BV367" s="111">
        <f>E367</f>
        <v>52</v>
      </c>
      <c r="BW367" s="113" t="str">
        <f>I367</f>
        <v>-</v>
      </c>
      <c r="BX367" s="114">
        <f>M367</f>
        <v>85</v>
      </c>
      <c r="BY367" s="113">
        <f>Q367</f>
        <v>118</v>
      </c>
      <c r="BZ367" s="114">
        <f>U367</f>
        <v>127</v>
      </c>
      <c r="CA367" s="113">
        <f>Y367</f>
        <v>162</v>
      </c>
      <c r="CB367" s="114">
        <f>AC367</f>
        <v>170</v>
      </c>
      <c r="CC367" s="113">
        <f>AG367</f>
        <v>208</v>
      </c>
      <c r="CD367" s="114">
        <f>AK367</f>
        <v>225</v>
      </c>
      <c r="CE367" s="113">
        <f>AO367</f>
        <v>271</v>
      </c>
      <c r="CF367" s="114">
        <f>AS367</f>
        <v>317</v>
      </c>
      <c r="CG367" s="113">
        <f>AW367</f>
        <v>347</v>
      </c>
      <c r="CH367" s="111">
        <f>G367</f>
        <v>78</v>
      </c>
      <c r="CI367" s="113" t="str">
        <f>K367</f>
        <v>-</v>
      </c>
      <c r="CJ367" s="114">
        <f>O367</f>
        <v>117</v>
      </c>
      <c r="CK367" s="114">
        <f>S367</f>
        <v>126</v>
      </c>
      <c r="CL367" s="114">
        <f>W367</f>
        <v>161</v>
      </c>
      <c r="CM367" s="114">
        <f>AA367</f>
        <v>169</v>
      </c>
      <c r="CN367" s="114">
        <f>AE367</f>
        <v>195</v>
      </c>
      <c r="CO367" s="114">
        <f>AI367</f>
        <v>210</v>
      </c>
      <c r="CP367" s="114">
        <f>AM367</f>
        <v>265</v>
      </c>
      <c r="CQ367" s="114">
        <f>AQ367</f>
        <v>311</v>
      </c>
      <c r="CR367" s="114">
        <f>AU367</f>
        <v>346</v>
      </c>
      <c r="CS367" s="114">
        <f>AY367</f>
        <v>369</v>
      </c>
      <c r="CT367" s="109" t="e">
        <f>M367-K367</f>
        <v>#VALUE!</v>
      </c>
    </row>
    <row r="368" spans="1:1029" s="12" customFormat="1" x14ac:dyDescent="0.2">
      <c r="A368" s="9" t="str">
        <f>CONCATENATE(B368,"_",C368)</f>
        <v>pe2r3_human_6AK3</v>
      </c>
      <c r="B368" s="9" t="s">
        <v>362</v>
      </c>
      <c r="C368" s="9" t="s">
        <v>1533</v>
      </c>
      <c r="D368" s="9" t="str">
        <f>IFERROR(MID(VLOOKUP($B368,Seqs!$A:$B,2,0),E368,1),"")</f>
        <v>V</v>
      </c>
      <c r="E368" s="9">
        <v>52</v>
      </c>
      <c r="F368" s="9" t="str">
        <f>IFERROR(MID(VLOOKUP($B368,Seqs!$A:$B,2,0),G368,1),"")</f>
        <v>Y</v>
      </c>
      <c r="G368" s="9">
        <v>77</v>
      </c>
      <c r="H368" s="9" t="str">
        <f>IFERROR(MID(VLOOKUP($B368,Seqs!$A:$B,2,0),I368,1),"")</f>
        <v/>
      </c>
      <c r="I368" s="109" t="s">
        <v>23</v>
      </c>
      <c r="J368" s="9" t="str">
        <f>IFERROR(MID(VLOOKUP($B368,Seqs!$A:$B,2,0),K368,1),"")</f>
        <v/>
      </c>
      <c r="K368" s="109" t="s">
        <v>23</v>
      </c>
      <c r="L368" s="9" t="str">
        <f>IFERROR(MID(VLOOKUP($B368,Seqs!$A:$B,2,0),M368,1),"")</f>
        <v>K</v>
      </c>
      <c r="M368" s="9">
        <v>86</v>
      </c>
      <c r="N368" s="9" t="str">
        <f>IFERROR(MID(VLOOKUP($B368,Seqs!$A:$B,2,0),O368,1),"")</f>
        <v>K</v>
      </c>
      <c r="O368" s="9">
        <v>117</v>
      </c>
      <c r="P368" s="9" t="str">
        <f>IFERROR(MID(VLOOKUP($B368,Seqs!$A:$B,2,0),Q368,1),"")</f>
        <v/>
      </c>
      <c r="Q368" s="9" t="s">
        <v>23</v>
      </c>
      <c r="R368" s="9" t="str">
        <f>IFERROR(MID(VLOOKUP($B368,Seqs!$A:$B,2,0),S368,1),"")</f>
        <v/>
      </c>
      <c r="S368" s="9" t="s">
        <v>23</v>
      </c>
      <c r="T368" s="9" t="str">
        <f>IFERROR(MID(VLOOKUP($B368,Seqs!$A:$B,2,0),U368,1),"")</f>
        <v>G</v>
      </c>
      <c r="U368" s="9">
        <v>127</v>
      </c>
      <c r="V368" s="9" t="str">
        <f>IFERROR(MID(VLOOKUP($B368,Seqs!$A:$B,2,0),W368,1),"")</f>
        <v>A</v>
      </c>
      <c r="W368" s="9">
        <v>161</v>
      </c>
      <c r="X368" s="9" t="str">
        <f>IFERROR(MID(VLOOKUP($B368,Seqs!$A:$B,2,0),Y368,1),"")</f>
        <v>P</v>
      </c>
      <c r="Y368" s="9">
        <v>162</v>
      </c>
      <c r="Z368" s="9" t="str">
        <f>IFERROR(MID(VLOOKUP($B368,Seqs!$A:$B,2,0),AA368,1),"")</f>
        <v>M</v>
      </c>
      <c r="AA368" s="9">
        <v>169</v>
      </c>
      <c r="AB368" s="9" t="str">
        <f>IFERROR(MID(VLOOKUP($B368,Seqs!$A:$B,2,0),AC368,1),"")</f>
        <v>K</v>
      </c>
      <c r="AC368" s="9">
        <v>170</v>
      </c>
      <c r="AD368" s="9" t="str">
        <f>IFERROR(MID(VLOOKUP($B368,Seqs!$A:$B,2,0),AE368,1),"")</f>
        <v>G</v>
      </c>
      <c r="AE368" s="9">
        <v>195</v>
      </c>
      <c r="AF368" s="9" t="str">
        <f>IFERROR(MID(VLOOKUP($B368,Seqs!$A:$B,2,0),AG368,1),"")</f>
        <v>C</v>
      </c>
      <c r="AG368" s="9">
        <v>208</v>
      </c>
      <c r="AH368" s="9" t="str">
        <f>IFERROR(MID(VLOOKUP($B368,Seqs!$A:$B,2,0),AI368,1),"")</f>
        <v>I</v>
      </c>
      <c r="AI368" s="9">
        <v>210</v>
      </c>
      <c r="AJ368" s="9" t="str">
        <f>IFERROR(MID(VLOOKUP($B368,Seqs!$A:$B,2,0),AK368,1),"")</f>
        <v>G</v>
      </c>
      <c r="AK368" s="9">
        <v>226</v>
      </c>
      <c r="AL368" s="9" t="str">
        <f>IFERROR(MID(VLOOKUP($B368,Seqs!$A:$B,2,0),AM368,1),"")</f>
        <v>A</v>
      </c>
      <c r="AM368" s="9">
        <v>264</v>
      </c>
      <c r="AN368" s="9" t="str">
        <f>IFERROR(MID(VLOOKUP($B368,Seqs!$A:$B,2,0),AO368,1),"")</f>
        <v>A</v>
      </c>
      <c r="AO368" s="9">
        <v>271</v>
      </c>
      <c r="AP368" s="9" t="str">
        <f>IFERROR(MID(VLOOKUP($B368,Seqs!$A:$B,2,0),AQ368,1),"")</f>
        <v>F</v>
      </c>
      <c r="AQ368" s="9">
        <v>307</v>
      </c>
      <c r="AR368" s="9" t="str">
        <f>IFERROR(MID(VLOOKUP($B368,Seqs!$A:$B,2,0),AS368,1),"")</f>
        <v>K</v>
      </c>
      <c r="AS368" s="9">
        <v>323</v>
      </c>
      <c r="AT368" s="9" t="str">
        <f>IFERROR(MID(VLOOKUP($B368,Seqs!$A:$B,2,0),AU368,1),"")</f>
        <v>Y</v>
      </c>
      <c r="AU368" s="9">
        <v>346</v>
      </c>
      <c r="AV368" s="9" t="str">
        <f>IFERROR(MID(VLOOKUP($B368,Seqs!$A:$B,2,0),AW368,1),"")</f>
        <v>L</v>
      </c>
      <c r="AW368" s="9">
        <v>347</v>
      </c>
      <c r="AX368" s="9" t="str">
        <f>IFERROR(MID(VLOOKUP($B368,Seqs!$A:$B,2,0),AY368,1),"")</f>
        <v>L</v>
      </c>
      <c r="AY368" s="9">
        <v>353</v>
      </c>
      <c r="AZ368" s="110" t="str">
        <f>VLOOKUP(B368,Classification!A:D,2,0)</f>
        <v>A</v>
      </c>
      <c r="BA368" s="98" t="str">
        <f>VLOOKUP(B368,Classification!A:D,4,0)</f>
        <v>Prostanoid</v>
      </c>
      <c r="BB368" s="36" t="b">
        <f t="shared" ref="BB368" si="1161">AND(E368&lt;G368,OR(G368&lt;I368,I368="-"),OR(I368&lt;K368,I368="-"),OR(K368&lt;M368,K368="-"),M368&lt;O368,OR(O368&lt;Q368,Q368="-"),OR(Q368&lt;S368,Q368="-"),OR(S368&lt;U368,S368="-"),U368&lt;W368,OR(W368&lt;Y368,Y368="-"),OR(Y368&lt;AA368,Y368="-"),OR(AA368&lt;AC368,AA368="-"),AC368&lt;AE368,OR(AE368&lt;AG368,AG368="-"),OR(AG368&lt;AI368,AG368="-"),OR(AI368&lt;AK368,AI368="-"),AK368&lt;AM368,AM368&lt;AO368,AO368&lt;AQ368,AQ368&lt;AS368,AS368&lt;AU368,OR(AU368&lt;AW368,AW368="-"),OR(AW368&lt;AY368,AW368="-"))</f>
        <v>1</v>
      </c>
      <c r="BC368" s="109">
        <f t="shared" ref="BC368" si="1162">_xlfn.AGGREGATE(9,6,CH368:CS368)-_xlfn.AGGREGATE(9,6,BV368:CG368)+12</f>
        <v>239</v>
      </c>
      <c r="BD368" s="40" t="s">
        <v>1369</v>
      </c>
      <c r="BE368" s="9" t="s">
        <v>1285</v>
      </c>
      <c r="BF368" s="119">
        <v>2.9</v>
      </c>
      <c r="BG368" s="51" t="s">
        <v>1275</v>
      </c>
      <c r="BH368" s="51" t="s">
        <v>1275</v>
      </c>
      <c r="BJ368" s="111" t="s">
        <v>1281</v>
      </c>
      <c r="BK368" s="112" t="s">
        <v>1281</v>
      </c>
      <c r="BL368" s="112" t="s">
        <v>1281</v>
      </c>
      <c r="BM368" s="112" t="s">
        <v>1281</v>
      </c>
      <c r="BN368" s="112" t="s">
        <v>1281</v>
      </c>
      <c r="BO368" s="112" t="s">
        <v>1281</v>
      </c>
      <c r="BP368" s="112" t="s">
        <v>1281</v>
      </c>
      <c r="BQ368" s="112" t="s">
        <v>1281</v>
      </c>
      <c r="BR368" s="112" t="s">
        <v>1281</v>
      </c>
      <c r="BS368" s="112" t="s">
        <v>1281</v>
      </c>
      <c r="BT368" s="112" t="s">
        <v>1281</v>
      </c>
      <c r="BU368" s="112" t="s">
        <v>1281</v>
      </c>
      <c r="BV368" s="111">
        <f>E368</f>
        <v>52</v>
      </c>
      <c r="BW368" s="113" t="str">
        <f>I368</f>
        <v>-</v>
      </c>
      <c r="BX368" s="114">
        <f>M368</f>
        <v>86</v>
      </c>
      <c r="BY368" s="113" t="str">
        <f>Q368</f>
        <v>-</v>
      </c>
      <c r="BZ368" s="114">
        <f>U368</f>
        <v>127</v>
      </c>
      <c r="CA368" s="113">
        <f>Y368</f>
        <v>162</v>
      </c>
      <c r="CB368" s="114">
        <f>AC368</f>
        <v>170</v>
      </c>
      <c r="CC368" s="113">
        <f>AG368</f>
        <v>208</v>
      </c>
      <c r="CD368" s="114">
        <f>AK368</f>
        <v>226</v>
      </c>
      <c r="CE368" s="113">
        <f>AO368</f>
        <v>271</v>
      </c>
      <c r="CF368" s="114">
        <f>AS368</f>
        <v>323</v>
      </c>
      <c r="CG368" s="113">
        <f>AW368</f>
        <v>347</v>
      </c>
      <c r="CH368" s="111">
        <f>G368</f>
        <v>77</v>
      </c>
      <c r="CI368" s="113" t="str">
        <f>K368</f>
        <v>-</v>
      </c>
      <c r="CJ368" s="114">
        <f>O368</f>
        <v>117</v>
      </c>
      <c r="CK368" s="114" t="str">
        <f>S368</f>
        <v>-</v>
      </c>
      <c r="CL368" s="114">
        <f>W368</f>
        <v>161</v>
      </c>
      <c r="CM368" s="114">
        <f>AA368</f>
        <v>169</v>
      </c>
      <c r="CN368" s="114">
        <f>AE368</f>
        <v>195</v>
      </c>
      <c r="CO368" s="114">
        <f>AI368</f>
        <v>210</v>
      </c>
      <c r="CP368" s="114">
        <f>AM368</f>
        <v>264</v>
      </c>
      <c r="CQ368" s="114">
        <f>AQ368</f>
        <v>307</v>
      </c>
      <c r="CR368" s="114">
        <f>AU368</f>
        <v>346</v>
      </c>
      <c r="CS368" s="114">
        <f>AY368</f>
        <v>353</v>
      </c>
      <c r="CT368" s="109" t="e">
        <f>M368-K368</f>
        <v>#VALUE!</v>
      </c>
    </row>
    <row r="369" spans="1:1029" s="12" customFormat="1" x14ac:dyDescent="0.2">
      <c r="A369" s="9" t="str">
        <f>CONCATENATE(B369,"_",C369)</f>
        <v>pe2r3_human_6M9T</v>
      </c>
      <c r="B369" s="9" t="s">
        <v>362</v>
      </c>
      <c r="C369" s="9" t="s">
        <v>1532</v>
      </c>
      <c r="D369" s="9" t="str">
        <f>IFERROR(MID(VLOOKUP($B369,Seqs!$A:$B,2,0),E369,1),"")</f>
        <v>V</v>
      </c>
      <c r="E369" s="9">
        <v>52</v>
      </c>
      <c r="F369" s="9" t="str">
        <f>IFERROR(MID(VLOOKUP($B369,Seqs!$A:$B,2,0),G369,1),"")</f>
        <v>R</v>
      </c>
      <c r="G369" s="9">
        <v>78</v>
      </c>
      <c r="H369" s="9" t="str">
        <f>IFERROR(MID(VLOOKUP($B369,Seqs!$A:$B,2,0),I369,1),"")</f>
        <v/>
      </c>
      <c r="I369" s="109" t="s">
        <v>23</v>
      </c>
      <c r="J369" s="9" t="str">
        <f>IFERROR(MID(VLOOKUP($B369,Seqs!$A:$B,2,0),K369,1),"")</f>
        <v/>
      </c>
      <c r="K369" s="109" t="s">
        <v>23</v>
      </c>
      <c r="L369" s="9" t="str">
        <f>IFERROR(MID(VLOOKUP($B369,Seqs!$A:$B,2,0),M369,1),"")</f>
        <v>K</v>
      </c>
      <c r="M369" s="9">
        <v>85</v>
      </c>
      <c r="N369" s="9" t="str">
        <f>IFERROR(MID(VLOOKUP($B369,Seqs!$A:$B,2,0),O369,1),"")</f>
        <v>K</v>
      </c>
      <c r="O369" s="9">
        <v>117</v>
      </c>
      <c r="P369" s="9" t="str">
        <f>IFERROR(MID(VLOOKUP($B369,Seqs!$A:$B,2,0),Q369,1),"")</f>
        <v>Q</v>
      </c>
      <c r="Q369" s="9">
        <v>118</v>
      </c>
      <c r="R369" s="9" t="str">
        <f>IFERROR(MID(VLOOKUP($B369,Seqs!$A:$B,2,0),S369,1),"")</f>
        <v>S</v>
      </c>
      <c r="S369" s="9">
        <v>126</v>
      </c>
      <c r="T369" s="9" t="str">
        <f>IFERROR(MID(VLOOKUP($B369,Seqs!$A:$B,2,0),U369,1),"")</f>
        <v>G</v>
      </c>
      <c r="U369" s="9">
        <v>127</v>
      </c>
      <c r="V369" s="9" t="str">
        <f>IFERROR(MID(VLOOKUP($B369,Seqs!$A:$B,2,0),W369,1),"")</f>
        <v>A</v>
      </c>
      <c r="W369" s="9">
        <v>161</v>
      </c>
      <c r="X369" s="9" t="str">
        <f>IFERROR(MID(VLOOKUP($B369,Seqs!$A:$B,2,0),Y369,1),"")</f>
        <v>P</v>
      </c>
      <c r="Y369" s="9">
        <v>162</v>
      </c>
      <c r="Z369" s="9" t="str">
        <f>IFERROR(MID(VLOOKUP($B369,Seqs!$A:$B,2,0),AA369,1),"")</f>
        <v>M</v>
      </c>
      <c r="AA369" s="9">
        <v>169</v>
      </c>
      <c r="AB369" s="9" t="str">
        <f>IFERROR(MID(VLOOKUP($B369,Seqs!$A:$B,2,0),AC369,1),"")</f>
        <v>K</v>
      </c>
      <c r="AC369" s="9">
        <v>170</v>
      </c>
      <c r="AD369" s="9" t="str">
        <f>IFERROR(MID(VLOOKUP($B369,Seqs!$A:$B,2,0),AE369,1),"")</f>
        <v>G</v>
      </c>
      <c r="AE369" s="9">
        <v>195</v>
      </c>
      <c r="AF369" s="9" t="str">
        <f>IFERROR(MID(VLOOKUP($B369,Seqs!$A:$B,2,0),AG369,1),"")</f>
        <v>C</v>
      </c>
      <c r="AG369" s="9">
        <v>208</v>
      </c>
      <c r="AH369" s="9" t="str">
        <f>IFERROR(MID(VLOOKUP($B369,Seqs!$A:$B,2,0),AI369,1),"")</f>
        <v>I</v>
      </c>
      <c r="AI369" s="9">
        <v>210</v>
      </c>
      <c r="AJ369" s="9" t="str">
        <f>IFERROR(MID(VLOOKUP($B369,Seqs!$A:$B,2,0),AK369,1),"")</f>
        <v>W</v>
      </c>
      <c r="AK369" s="9">
        <v>225</v>
      </c>
      <c r="AL369" s="9" t="str">
        <f>IFERROR(MID(VLOOKUP($B369,Seqs!$A:$B,2,0),AM369,1),"")</f>
        <v>S</v>
      </c>
      <c r="AM369" s="9">
        <v>258</v>
      </c>
      <c r="AN369" s="9" t="str">
        <f>IFERROR(MID(VLOOKUP($B369,Seqs!$A:$B,2,0),AO369,1),"")</f>
        <v>R</v>
      </c>
      <c r="AO369" s="9">
        <v>275</v>
      </c>
      <c r="AP369" s="9" t="str">
        <f>IFERROR(MID(VLOOKUP($B369,Seqs!$A:$B,2,0),AQ369,1),"")</f>
        <v>F</v>
      </c>
      <c r="AQ369" s="9">
        <v>307</v>
      </c>
      <c r="AR369" s="9" t="str">
        <f>IFERROR(MID(VLOOKUP($B369,Seqs!$A:$B,2,0),AS369,1),"")</f>
        <v>K</v>
      </c>
      <c r="AS369" s="9">
        <v>323</v>
      </c>
      <c r="AT369" s="9" t="str">
        <f>IFERROR(MID(VLOOKUP($B369,Seqs!$A:$B,2,0),AU369,1),"")</f>
        <v>Y</v>
      </c>
      <c r="AU369" s="9">
        <v>346</v>
      </c>
      <c r="AV369" s="9" t="str">
        <f>IFERROR(MID(VLOOKUP($B369,Seqs!$A:$B,2,0),AW369,1),"")</f>
        <v>L</v>
      </c>
      <c r="AW369" s="9">
        <v>347</v>
      </c>
      <c r="AX369" s="9" t="str">
        <f>IFERROR(MID(VLOOKUP($B369,Seqs!$A:$B,2,0),AY369,1),"")</f>
        <v>L</v>
      </c>
      <c r="AY369" s="9">
        <v>353</v>
      </c>
      <c r="AZ369" s="110" t="str">
        <f>VLOOKUP(B369,Classification!A:D,2,0)</f>
        <v>A</v>
      </c>
      <c r="BA369" s="98" t="str">
        <f>VLOOKUP(B369,Classification!A:D,4,0)</f>
        <v>Prostanoid</v>
      </c>
      <c r="BB369" s="36" t="b">
        <f t="shared" si="1159"/>
        <v>1</v>
      </c>
      <c r="BC369" s="109">
        <f t="shared" si="1160"/>
        <v>240</v>
      </c>
      <c r="BD369" s="40" t="s">
        <v>1423</v>
      </c>
      <c r="BE369" s="9" t="s">
        <v>1465</v>
      </c>
      <c r="BF369" s="119">
        <v>2.5</v>
      </c>
      <c r="BG369" s="51" t="s">
        <v>1</v>
      </c>
      <c r="BH369" s="51" t="s">
        <v>1</v>
      </c>
      <c r="BJ369" s="111" t="s">
        <v>1281</v>
      </c>
      <c r="BK369" s="112" t="s">
        <v>1281</v>
      </c>
      <c r="BL369" s="112" t="s">
        <v>1281</v>
      </c>
      <c r="BM369" s="112" t="s">
        <v>1281</v>
      </c>
      <c r="BN369" s="112" t="s">
        <v>1281</v>
      </c>
      <c r="BO369" s="112" t="s">
        <v>1281</v>
      </c>
      <c r="BP369" s="112" t="s">
        <v>1281</v>
      </c>
      <c r="BQ369" s="112" t="s">
        <v>1281</v>
      </c>
      <c r="BR369" s="112" t="s">
        <v>1281</v>
      </c>
      <c r="BS369" s="112" t="s">
        <v>1281</v>
      </c>
      <c r="BT369" s="112" t="s">
        <v>1281</v>
      </c>
      <c r="BU369" s="112" t="s">
        <v>1281</v>
      </c>
      <c r="BV369" s="111">
        <f>E369</f>
        <v>52</v>
      </c>
      <c r="BW369" s="113" t="str">
        <f>I369</f>
        <v>-</v>
      </c>
      <c r="BX369" s="114">
        <f>M369</f>
        <v>85</v>
      </c>
      <c r="BY369" s="113">
        <f>Q369</f>
        <v>118</v>
      </c>
      <c r="BZ369" s="114">
        <f>U369</f>
        <v>127</v>
      </c>
      <c r="CA369" s="113">
        <f>Y369</f>
        <v>162</v>
      </c>
      <c r="CB369" s="114">
        <f>AC369</f>
        <v>170</v>
      </c>
      <c r="CC369" s="113">
        <f>AG369</f>
        <v>208</v>
      </c>
      <c r="CD369" s="114">
        <f>AK369</f>
        <v>225</v>
      </c>
      <c r="CE369" s="113">
        <f>AO369</f>
        <v>275</v>
      </c>
      <c r="CF369" s="114">
        <f>AS369</f>
        <v>323</v>
      </c>
      <c r="CG369" s="113">
        <f>AW369</f>
        <v>347</v>
      </c>
      <c r="CH369" s="111">
        <f>G369</f>
        <v>78</v>
      </c>
      <c r="CI369" s="113" t="str">
        <f>K369</f>
        <v>-</v>
      </c>
      <c r="CJ369" s="114">
        <f>O369</f>
        <v>117</v>
      </c>
      <c r="CK369" s="114">
        <f>S369</f>
        <v>126</v>
      </c>
      <c r="CL369" s="114">
        <f>W369</f>
        <v>161</v>
      </c>
      <c r="CM369" s="114">
        <f>AA369</f>
        <v>169</v>
      </c>
      <c r="CN369" s="114">
        <f>AE369</f>
        <v>195</v>
      </c>
      <c r="CO369" s="114">
        <f>AI369</f>
        <v>210</v>
      </c>
      <c r="CP369" s="114">
        <f>AM369</f>
        <v>258</v>
      </c>
      <c r="CQ369" s="114">
        <f>AQ369</f>
        <v>307</v>
      </c>
      <c r="CR369" s="114">
        <f>AU369</f>
        <v>346</v>
      </c>
      <c r="CS369" s="114">
        <f>AY369</f>
        <v>353</v>
      </c>
      <c r="CT369" s="109" t="e">
        <f>M369-K369</f>
        <v>#VALUE!</v>
      </c>
    </row>
    <row r="370" spans="1:1029" x14ac:dyDescent="0.2">
      <c r="A370" s="9" t="str">
        <f>CONCATENATE(B370,"_",C370)</f>
        <v>pe2r4_human__wt</v>
      </c>
      <c r="B370" s="9" t="s">
        <v>363</v>
      </c>
      <c r="C370" s="9" t="s">
        <v>100</v>
      </c>
      <c r="D370" s="9" t="str">
        <f>IFERROR(MID(VLOOKUP($B370,Seqs!$A:$B,2,0),E370,1),"")</f>
        <v>N</v>
      </c>
      <c r="E370" s="9">
        <v>18</v>
      </c>
      <c r="F370" s="9" t="str">
        <f>IFERROR(MID(VLOOKUP($B370,Seqs!$A:$B,2,0),G370,1),"")</f>
        <v>C</v>
      </c>
      <c r="G370" s="9">
        <v>43</v>
      </c>
      <c r="H370" s="9" t="str">
        <f>IFERROR(MID(VLOOKUP($B370,Seqs!$A:$B,2,0),I370,1),"")</f>
        <v/>
      </c>
      <c r="I370" s="109" t="s">
        <v>23</v>
      </c>
      <c r="J370" s="9" t="str">
        <f>IFERROR(MID(VLOOKUP($B370,Seqs!$A:$B,2,0),K370,1),"")</f>
        <v/>
      </c>
      <c r="K370" s="109" t="s">
        <v>23</v>
      </c>
      <c r="L370" s="9" t="str">
        <f>IFERROR(MID(VLOOKUP($B370,Seqs!$A:$B,2,0),M370,1),"")</f>
        <v>E</v>
      </c>
      <c r="M370" s="9">
        <v>51</v>
      </c>
      <c r="N370" s="9" t="str">
        <f>IFERROR(MID(VLOOKUP($B370,Seqs!$A:$B,2,0),O370,1),"")</f>
        <v>K</v>
      </c>
      <c r="O370" s="9">
        <v>82</v>
      </c>
      <c r="P370" s="9" t="str">
        <f>IFERROR(MID(VLOOKUP($B370,Seqs!$A:$B,2,0),Q370,1),"")</f>
        <v>Q</v>
      </c>
      <c r="Q370" s="9">
        <v>84</v>
      </c>
      <c r="R370" s="9" t="str">
        <f>IFERROR(MID(VLOOKUP($B370,Seqs!$A:$B,2,0),S370,1),"")</f>
        <v>G</v>
      </c>
      <c r="S370" s="9">
        <v>87</v>
      </c>
      <c r="T370" s="9" t="str">
        <f>IFERROR(MID(VLOOKUP($B370,Seqs!$A:$B,2,0),U370,1),"")</f>
        <v>G</v>
      </c>
      <c r="U370" s="9">
        <v>88</v>
      </c>
      <c r="V370" s="9" t="str">
        <f>IFERROR(MID(VLOOKUP($B370,Seqs!$A:$B,2,0),W370,1),"")</f>
        <v>H</v>
      </c>
      <c r="W370" s="9">
        <v>123</v>
      </c>
      <c r="X370" s="9" t="str">
        <f>IFERROR(MID(VLOOKUP($B370,Seqs!$A:$B,2,0),Y370,1),"")</f>
        <v>A</v>
      </c>
      <c r="Y370" s="9">
        <v>124</v>
      </c>
      <c r="Z370" s="9" t="str">
        <f>IFERROR(MID(VLOOKUP($B370,Seqs!$A:$B,2,0),AA370,1),"")</f>
        <v>V</v>
      </c>
      <c r="AA370" s="9">
        <v>131</v>
      </c>
      <c r="AB370" s="9" t="str">
        <f>IFERROR(MID(VLOOKUP($B370,Seqs!$A:$B,2,0),AC370,1),"")</f>
        <v>D</v>
      </c>
      <c r="AC370" s="9">
        <v>132</v>
      </c>
      <c r="AD370" s="9" t="str">
        <f>IFERROR(MID(VLOOKUP($B370,Seqs!$A:$B,2,0),AE370,1),"")</f>
        <v>G</v>
      </c>
      <c r="AE370" s="9">
        <v>157</v>
      </c>
      <c r="AF370" s="9" t="str">
        <f>IFERROR(MID(VLOOKUP($B370,Seqs!$A:$B,2,0),AG370,1),"")</f>
        <v>C</v>
      </c>
      <c r="AG370" s="9">
        <v>170</v>
      </c>
      <c r="AH370" s="9" t="str">
        <f>IFERROR(MID(VLOOKUP($B370,Seqs!$A:$B,2,0),AI370,1),"")</f>
        <v>I</v>
      </c>
      <c r="AI370" s="9">
        <v>172</v>
      </c>
      <c r="AJ370" s="9" t="str">
        <f>IFERROR(MID(VLOOKUP($B370,Seqs!$A:$B,2,0),AK370,1),"")</f>
        <v>V</v>
      </c>
      <c r="AK370" s="9">
        <v>178</v>
      </c>
      <c r="AL370" s="9" t="str">
        <f>IFERROR(MID(VLOOKUP($B370,Seqs!$A:$B,2,0),AM370,1),"")</f>
        <v>L</v>
      </c>
      <c r="AM370" s="9">
        <v>223</v>
      </c>
      <c r="AN370" s="9" t="str">
        <f>IFERROR(MID(VLOOKUP($B370,Seqs!$A:$B,2,0),AO370,1),"")</f>
        <v>R</v>
      </c>
      <c r="AO370" s="9">
        <v>261</v>
      </c>
      <c r="AP370" s="9" t="str">
        <f>IFERROR(MID(VLOOKUP($B370,Seqs!$A:$B,2,0),AQ370,1),"")</f>
        <v>Y</v>
      </c>
      <c r="AQ370" s="9">
        <v>298</v>
      </c>
      <c r="AR370" s="9" t="str">
        <f>IFERROR(MID(VLOOKUP($B370,Seqs!$A:$B,2,0),AS370,1),"")</f>
        <v>N</v>
      </c>
      <c r="AS370" s="9">
        <v>309</v>
      </c>
      <c r="AT370" s="9" t="str">
        <f>IFERROR(MID(VLOOKUP($B370,Seqs!$A:$B,2,0),AU370,1),"")</f>
        <v>L</v>
      </c>
      <c r="AU370" s="9">
        <v>332</v>
      </c>
      <c r="AV370" s="9" t="str">
        <f>IFERROR(MID(VLOOKUP($B370,Seqs!$A:$B,2,0),AW370,1),"")</f>
        <v>R</v>
      </c>
      <c r="AW370" s="9">
        <v>333</v>
      </c>
      <c r="AX370" s="9" t="str">
        <f>IFERROR(MID(VLOOKUP($B370,Seqs!$A:$B,2,0),AY370,1),"")</f>
        <v>C</v>
      </c>
      <c r="AY370" s="9">
        <v>346</v>
      </c>
      <c r="AZ370" s="110" t="str">
        <f>VLOOKUP(B370,Classification!A:D,2,0)</f>
        <v>A</v>
      </c>
      <c r="BA370" s="98" t="str">
        <f>VLOOKUP(B370,Classification!A:D,4,0)</f>
        <v>Prostanoid</v>
      </c>
      <c r="BB370" s="36" t="b">
        <f t="shared" ref="BB370" si="1163">AND(E370&lt;G370,OR(G370&lt;I370,I370="-"),OR(I370&lt;K370,I370="-"),OR(K370&lt;M370,K370="-"),M370&lt;O370,OR(O370&lt;Q370,Q370="-"),OR(Q370&lt;S370,Q370="-"),OR(S370&lt;U370,S370="-"),U370&lt;W370,OR(W370&lt;Y370,Y370="-"),OR(Y370&lt;AA370,Y370="-"),OR(AA370&lt;AC370,AA370="-"),AC370&lt;AE370,OR(AE370&lt;AG370,AG370="-"),OR(AG370&lt;AI370,AG370="-"),OR(AI370&lt;AK370,AI370="-"),AK370&lt;AM370,AM370&lt;AO370,AO370&lt;AQ370,AQ370&lt;AS370,AS370&lt;AU370,OR(AU370&lt;AW370,AW370="-"),OR(AW370&lt;AY370,AW370="-"))</f>
        <v>1</v>
      </c>
      <c r="BC370" s="109">
        <f t="shared" ref="BC370" si="1164">_xlfn.AGGREGATE(9,6,CH370:CS370)-_xlfn.AGGREGATE(9,6,BV370:CG370)+12</f>
        <v>258</v>
      </c>
      <c r="BD370" s="40" t="s">
        <v>23</v>
      </c>
      <c r="BE370" s="9" t="s">
        <v>23</v>
      </c>
      <c r="BF370" s="119" t="s">
        <v>23</v>
      </c>
      <c r="BG370" s="51" t="s">
        <v>23</v>
      </c>
      <c r="BH370" s="51" t="s">
        <v>23</v>
      </c>
      <c r="BI370" s="12"/>
      <c r="BJ370" s="111" t="s">
        <v>1281</v>
      </c>
      <c r="BK370" s="112" t="s">
        <v>1281</v>
      </c>
      <c r="BL370" s="112" t="s">
        <v>1281</v>
      </c>
      <c r="BM370" s="112" t="s">
        <v>1281</v>
      </c>
      <c r="BN370" s="112" t="s">
        <v>1281</v>
      </c>
      <c r="BO370" s="112" t="s">
        <v>1281</v>
      </c>
      <c r="BP370" s="112" t="s">
        <v>1281</v>
      </c>
      <c r="BQ370" s="112" t="s">
        <v>1281</v>
      </c>
      <c r="BR370" s="112" t="s">
        <v>1281</v>
      </c>
      <c r="BS370" s="112" t="s">
        <v>1281</v>
      </c>
      <c r="BT370" s="112" t="s">
        <v>1281</v>
      </c>
      <c r="BU370" s="112" t="s">
        <v>1281</v>
      </c>
      <c r="BV370" s="111">
        <f>E370</f>
        <v>18</v>
      </c>
      <c r="BW370" s="113" t="str">
        <f>I370</f>
        <v>-</v>
      </c>
      <c r="BX370" s="114">
        <f>M370</f>
        <v>51</v>
      </c>
      <c r="BY370" s="113">
        <f>Q370</f>
        <v>84</v>
      </c>
      <c r="BZ370" s="114">
        <f>U370</f>
        <v>88</v>
      </c>
      <c r="CA370" s="113">
        <f>Y370</f>
        <v>124</v>
      </c>
      <c r="CB370" s="114">
        <f>AC370</f>
        <v>132</v>
      </c>
      <c r="CC370" s="113">
        <f>AG370</f>
        <v>170</v>
      </c>
      <c r="CD370" s="114">
        <f>AK370</f>
        <v>178</v>
      </c>
      <c r="CE370" s="113">
        <f>AO370</f>
        <v>261</v>
      </c>
      <c r="CF370" s="114">
        <f>AS370</f>
        <v>309</v>
      </c>
      <c r="CG370" s="113">
        <f>AW370</f>
        <v>333</v>
      </c>
      <c r="CH370" s="111">
        <f>G370</f>
        <v>43</v>
      </c>
      <c r="CI370" s="113" t="str">
        <f>K370</f>
        <v>-</v>
      </c>
      <c r="CJ370" s="114">
        <f>O370</f>
        <v>82</v>
      </c>
      <c r="CK370" s="114">
        <f>S370</f>
        <v>87</v>
      </c>
      <c r="CL370" s="114">
        <f>W370</f>
        <v>123</v>
      </c>
      <c r="CM370" s="114">
        <f>AA370</f>
        <v>131</v>
      </c>
      <c r="CN370" s="114">
        <f>AE370</f>
        <v>157</v>
      </c>
      <c r="CO370" s="114">
        <f>AI370</f>
        <v>172</v>
      </c>
      <c r="CP370" s="114">
        <f>AM370</f>
        <v>223</v>
      </c>
      <c r="CQ370" s="114">
        <f>AQ370</f>
        <v>298</v>
      </c>
      <c r="CR370" s="114">
        <f>AU370</f>
        <v>332</v>
      </c>
      <c r="CS370" s="114">
        <f>AY370</f>
        <v>346</v>
      </c>
      <c r="CT370" s="109" t="e">
        <f>M370-K370</f>
        <v>#VALUE!</v>
      </c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/>
      <c r="OP370" s="1"/>
      <c r="OQ370" s="1"/>
      <c r="OR370" s="1"/>
      <c r="OS370" s="1"/>
      <c r="OT370" s="1"/>
      <c r="OU370" s="1"/>
      <c r="OV370" s="1"/>
      <c r="OW370" s="1"/>
      <c r="OX370" s="1"/>
      <c r="OY370" s="1"/>
      <c r="OZ370" s="1"/>
      <c r="PA370" s="1"/>
      <c r="PB370" s="1"/>
      <c r="PC370" s="1"/>
      <c r="PD370" s="1"/>
      <c r="PE370" s="1"/>
      <c r="PF370" s="1"/>
      <c r="PG370" s="1"/>
      <c r="PH370" s="1"/>
      <c r="PI370" s="1"/>
      <c r="PJ370" s="1"/>
      <c r="PK370" s="1"/>
      <c r="PL370" s="1"/>
      <c r="PM370" s="1"/>
      <c r="PN370" s="1"/>
      <c r="PO370" s="1"/>
      <c r="PP370" s="1"/>
      <c r="PQ370" s="1"/>
      <c r="PR370" s="1"/>
      <c r="PS370" s="1"/>
      <c r="PT370" s="1"/>
      <c r="PU370" s="1"/>
      <c r="PV370" s="1"/>
      <c r="PW370" s="1"/>
      <c r="PX370" s="1"/>
      <c r="PY370" s="1"/>
      <c r="PZ370" s="1"/>
      <c r="QA370" s="1"/>
      <c r="QB370" s="1"/>
      <c r="QC370" s="1"/>
      <c r="QD370" s="1"/>
      <c r="QE370" s="1"/>
      <c r="QF370" s="1"/>
      <c r="QG370" s="1"/>
      <c r="QH370" s="1"/>
      <c r="QI370" s="1"/>
      <c r="QJ370" s="1"/>
      <c r="QK370" s="1"/>
      <c r="QL370" s="1"/>
      <c r="QM370" s="1"/>
      <c r="QN370" s="1"/>
      <c r="QO370" s="1"/>
      <c r="QP370" s="1"/>
      <c r="QQ370" s="1"/>
      <c r="QR370" s="1"/>
      <c r="QS370" s="1"/>
      <c r="QT370" s="1"/>
      <c r="QU370" s="1"/>
      <c r="QV370" s="1"/>
      <c r="QW370" s="1"/>
      <c r="QX370" s="1"/>
      <c r="QY370" s="1"/>
      <c r="QZ370" s="1"/>
      <c r="RA370" s="1"/>
      <c r="RB370" s="1"/>
      <c r="RC370" s="1"/>
      <c r="RD370" s="1"/>
      <c r="RE370" s="1"/>
      <c r="RF370" s="1"/>
      <c r="RG370" s="1"/>
      <c r="RH370" s="1"/>
      <c r="RI370" s="1"/>
      <c r="RJ370" s="1"/>
      <c r="RK370" s="1"/>
      <c r="RL370" s="1"/>
      <c r="RM370" s="1"/>
      <c r="RN370" s="1"/>
      <c r="RO370" s="1"/>
      <c r="RP370" s="1"/>
      <c r="RQ370" s="1"/>
      <c r="RR370" s="1"/>
      <c r="RS370" s="1"/>
      <c r="RT370" s="1"/>
      <c r="RU370" s="1"/>
      <c r="RV370" s="1"/>
      <c r="RW370" s="1"/>
      <c r="RX370" s="1"/>
      <c r="RY370" s="1"/>
      <c r="RZ370" s="1"/>
      <c r="SA370" s="1"/>
      <c r="SB370" s="1"/>
      <c r="SC370" s="1"/>
      <c r="SD370" s="1"/>
      <c r="SE370" s="1"/>
      <c r="SF370" s="1"/>
      <c r="SG370" s="1"/>
      <c r="SH370" s="1"/>
      <c r="SI370" s="1"/>
      <c r="SJ370" s="1"/>
      <c r="SK370" s="1"/>
      <c r="SL370" s="1"/>
      <c r="SM370" s="1"/>
      <c r="SN370" s="1"/>
      <c r="SO370" s="1"/>
      <c r="SP370" s="1"/>
      <c r="SQ370" s="1"/>
      <c r="SR370" s="1"/>
      <c r="SS370" s="1"/>
      <c r="ST370" s="1"/>
      <c r="SU370" s="1"/>
      <c r="SV370" s="1"/>
      <c r="SW370" s="1"/>
      <c r="SX370" s="1"/>
      <c r="SY370" s="1"/>
      <c r="SZ370" s="1"/>
      <c r="TA370" s="1"/>
      <c r="TB370" s="1"/>
      <c r="TC370" s="1"/>
      <c r="TD370" s="1"/>
      <c r="TE370" s="1"/>
      <c r="TF370" s="1"/>
      <c r="TG370" s="1"/>
      <c r="TH370" s="1"/>
      <c r="TI370" s="1"/>
      <c r="TJ370" s="1"/>
      <c r="TK370" s="1"/>
      <c r="TL370" s="1"/>
      <c r="TM370" s="1"/>
      <c r="TN370" s="1"/>
      <c r="TO370" s="1"/>
      <c r="TP370" s="1"/>
      <c r="TQ370" s="1"/>
      <c r="TR370" s="1"/>
      <c r="TS370" s="1"/>
      <c r="TT370" s="1"/>
      <c r="TU370" s="1"/>
      <c r="TV370" s="1"/>
      <c r="TW370" s="1"/>
      <c r="TX370" s="1"/>
      <c r="TY370" s="1"/>
      <c r="TZ370" s="1"/>
      <c r="UA370" s="1"/>
      <c r="UB370" s="1"/>
      <c r="UC370" s="1"/>
      <c r="UD370" s="1"/>
      <c r="UE370" s="1"/>
      <c r="UF370" s="1"/>
      <c r="UG370" s="1"/>
      <c r="UH370" s="1"/>
      <c r="UI370" s="1"/>
      <c r="UJ370" s="1"/>
      <c r="UK370" s="1"/>
      <c r="UL370" s="1"/>
      <c r="UM370" s="1"/>
      <c r="UN370" s="1"/>
      <c r="UO370" s="1"/>
      <c r="UP370" s="1"/>
      <c r="UQ370" s="1"/>
      <c r="UR370" s="1"/>
      <c r="US370" s="1"/>
      <c r="UT370" s="1"/>
      <c r="UU370" s="1"/>
      <c r="UV370" s="1"/>
      <c r="UW370" s="1"/>
      <c r="UX370" s="1"/>
      <c r="UY370" s="1"/>
      <c r="UZ370" s="1"/>
      <c r="VA370" s="1"/>
      <c r="VB370" s="1"/>
      <c r="VC370" s="1"/>
      <c r="VD370" s="1"/>
      <c r="VE370" s="1"/>
      <c r="VF370" s="1"/>
      <c r="VG370" s="1"/>
      <c r="VH370" s="1"/>
      <c r="VI370" s="1"/>
      <c r="VJ370" s="1"/>
      <c r="VK370" s="1"/>
      <c r="VL370" s="1"/>
      <c r="VM370" s="1"/>
      <c r="VN370" s="1"/>
      <c r="VO370" s="1"/>
      <c r="VP370" s="1"/>
      <c r="VQ370" s="1"/>
      <c r="VR370" s="1"/>
      <c r="VS370" s="1"/>
      <c r="VT370" s="1"/>
      <c r="VU370" s="1"/>
      <c r="VV370" s="1"/>
      <c r="VW370" s="1"/>
      <c r="VX370" s="1"/>
      <c r="VY370" s="1"/>
      <c r="VZ370" s="1"/>
      <c r="WA370" s="1"/>
      <c r="WB370" s="1"/>
      <c r="WC370" s="1"/>
      <c r="WD370" s="1"/>
      <c r="WE370" s="1"/>
      <c r="WF370" s="1"/>
      <c r="WG370" s="1"/>
      <c r="WH370" s="1"/>
      <c r="WI370" s="1"/>
      <c r="WJ370" s="1"/>
      <c r="WK370" s="1"/>
      <c r="WL370" s="1"/>
      <c r="WM370" s="1"/>
      <c r="WN370" s="1"/>
      <c r="WO370" s="1"/>
      <c r="WP370" s="1"/>
      <c r="WQ370" s="1"/>
      <c r="WR370" s="1"/>
      <c r="WS370" s="1"/>
      <c r="WT370" s="1"/>
      <c r="WU370" s="1"/>
      <c r="WV370" s="1"/>
      <c r="WW370" s="1"/>
      <c r="WX370" s="1"/>
      <c r="WY370" s="1"/>
      <c r="WZ370" s="1"/>
      <c r="XA370" s="1"/>
      <c r="XB370" s="1"/>
      <c r="XC370" s="1"/>
      <c r="XD370" s="1"/>
      <c r="XE370" s="1"/>
      <c r="XF370" s="1"/>
      <c r="XG370" s="1"/>
      <c r="XH370" s="1"/>
      <c r="XI370" s="1"/>
      <c r="XJ370" s="1"/>
      <c r="XK370" s="1"/>
      <c r="XL370" s="1"/>
      <c r="XM370" s="1"/>
      <c r="XN370" s="1"/>
      <c r="XO370" s="1"/>
      <c r="XP370" s="1"/>
      <c r="XQ370" s="1"/>
      <c r="XR370" s="1"/>
      <c r="XS370" s="1"/>
      <c r="XT370" s="1"/>
      <c r="XU370" s="1"/>
      <c r="XV370" s="1"/>
      <c r="XW370" s="1"/>
      <c r="XX370" s="1"/>
      <c r="XY370" s="1"/>
      <c r="XZ370" s="1"/>
      <c r="YA370" s="1"/>
      <c r="YB370" s="1"/>
      <c r="YC370" s="1"/>
      <c r="YD370" s="1"/>
      <c r="YE370" s="1"/>
      <c r="YF370" s="1"/>
      <c r="YG370" s="1"/>
      <c r="YH370" s="1"/>
      <c r="YI370" s="1"/>
      <c r="YJ370" s="1"/>
      <c r="YK370" s="1"/>
      <c r="YL370" s="1"/>
      <c r="YM370" s="1"/>
      <c r="YN370" s="1"/>
      <c r="YO370" s="1"/>
      <c r="YP370" s="1"/>
      <c r="YQ370" s="1"/>
      <c r="YR370" s="1"/>
      <c r="YS370" s="1"/>
      <c r="YT370" s="1"/>
      <c r="YU370" s="1"/>
      <c r="YV370" s="1"/>
      <c r="YW370" s="1"/>
      <c r="YX370" s="1"/>
      <c r="YY370" s="1"/>
      <c r="YZ370" s="1"/>
      <c r="ZA370" s="1"/>
      <c r="ZB370" s="1"/>
      <c r="ZC370" s="1"/>
      <c r="ZD370" s="1"/>
      <c r="ZE370" s="1"/>
      <c r="ZF370" s="1"/>
      <c r="ZG370" s="1"/>
      <c r="ZH370" s="1"/>
      <c r="ZI370" s="1"/>
      <c r="ZJ370" s="1"/>
      <c r="ZK370" s="1"/>
      <c r="ZL370" s="1"/>
      <c r="ZM370" s="1"/>
      <c r="ZN370" s="1"/>
      <c r="ZO370" s="1"/>
      <c r="ZP370" s="1"/>
      <c r="ZQ370" s="1"/>
      <c r="ZR370" s="1"/>
      <c r="ZS370" s="1"/>
      <c r="ZT370" s="1"/>
      <c r="ZU370" s="1"/>
      <c r="ZV370" s="1"/>
      <c r="ZW370" s="1"/>
      <c r="ZX370" s="1"/>
      <c r="ZY370" s="1"/>
      <c r="ZZ370" s="1"/>
      <c r="AAA370" s="1"/>
      <c r="AAB370" s="1"/>
      <c r="AAC370" s="1"/>
      <c r="AAD370" s="1"/>
      <c r="AAE370" s="1"/>
      <c r="AAF370" s="1"/>
      <c r="AAG370" s="1"/>
      <c r="AAH370" s="1"/>
      <c r="AAI370" s="1"/>
      <c r="AAJ370" s="1"/>
      <c r="AAK370" s="1"/>
      <c r="AAL370" s="1"/>
      <c r="AAM370" s="1"/>
      <c r="AAN370" s="1"/>
      <c r="AAO370" s="1"/>
      <c r="AAP370" s="1"/>
      <c r="AAQ370" s="1"/>
      <c r="AAR370" s="1"/>
      <c r="AAS370" s="1"/>
      <c r="AAT370" s="1"/>
      <c r="AAU370" s="1"/>
      <c r="AAV370" s="1"/>
      <c r="AAW370" s="1"/>
      <c r="AAX370" s="1"/>
      <c r="AAY370" s="1"/>
      <c r="AAZ370" s="1"/>
      <c r="ABA370" s="1"/>
      <c r="ABB370" s="1"/>
      <c r="ABC370" s="1"/>
      <c r="ABD370" s="1"/>
      <c r="ABE370" s="1"/>
      <c r="ABF370" s="1"/>
      <c r="ABG370" s="1"/>
      <c r="ABH370" s="1"/>
      <c r="ABI370" s="1"/>
      <c r="ABJ370" s="1"/>
      <c r="ABK370" s="1"/>
      <c r="ABL370" s="1"/>
      <c r="ABM370" s="1"/>
      <c r="ABN370" s="1"/>
      <c r="ABO370" s="1"/>
      <c r="ABP370" s="1"/>
      <c r="ABQ370" s="1"/>
      <c r="ABR370" s="1"/>
      <c r="ABS370" s="1"/>
      <c r="ABT370" s="1"/>
      <c r="ABU370" s="1"/>
      <c r="ABV370" s="1"/>
      <c r="ABW370" s="1"/>
      <c r="ABX370" s="1"/>
      <c r="ABY370" s="1"/>
      <c r="ABZ370" s="1"/>
      <c r="ACA370" s="1"/>
      <c r="ACB370" s="1"/>
      <c r="ACC370" s="1"/>
      <c r="ACD370" s="1"/>
      <c r="ACE370" s="1"/>
      <c r="ACF370" s="1"/>
      <c r="ACG370" s="1"/>
      <c r="ACH370" s="1"/>
      <c r="ACI370" s="1"/>
      <c r="ACJ370" s="1"/>
      <c r="ACK370" s="1"/>
      <c r="ACL370" s="1"/>
      <c r="ACM370" s="1"/>
      <c r="ACN370" s="1"/>
      <c r="ACO370" s="1"/>
      <c r="ACP370" s="1"/>
      <c r="ACQ370" s="1"/>
      <c r="ACR370" s="1"/>
      <c r="ACS370" s="1"/>
      <c r="ACT370" s="1"/>
      <c r="ACU370" s="1"/>
      <c r="ACV370" s="1"/>
      <c r="ACW370" s="1"/>
      <c r="ACX370" s="1"/>
      <c r="ACY370" s="1"/>
      <c r="ACZ370" s="1"/>
      <c r="ADA370" s="1"/>
      <c r="ADB370" s="1"/>
      <c r="ADC370" s="1"/>
      <c r="ADD370" s="1"/>
      <c r="ADE370" s="1"/>
      <c r="ADF370" s="1"/>
      <c r="ADG370" s="1"/>
      <c r="ADH370" s="1"/>
      <c r="ADI370" s="1"/>
      <c r="ADJ370" s="1"/>
      <c r="ADK370" s="1"/>
      <c r="ADL370" s="1"/>
      <c r="ADM370" s="1"/>
      <c r="ADN370" s="1"/>
      <c r="ADO370" s="1"/>
      <c r="ADP370" s="1"/>
      <c r="ADQ370" s="1"/>
      <c r="ADR370" s="1"/>
      <c r="ADS370" s="1"/>
      <c r="ADT370" s="1"/>
      <c r="ADU370" s="1"/>
      <c r="ADV370" s="1"/>
      <c r="ADW370" s="1"/>
      <c r="ADX370" s="1"/>
      <c r="ADY370" s="1"/>
      <c r="ADZ370" s="1"/>
      <c r="AEA370" s="1"/>
      <c r="AEB370" s="1"/>
      <c r="AEC370" s="1"/>
      <c r="AED370" s="1"/>
      <c r="AEE370" s="1"/>
      <c r="AEF370" s="1"/>
      <c r="AEG370" s="1"/>
      <c r="AEH370" s="1"/>
      <c r="AEI370" s="1"/>
      <c r="AEJ370" s="1"/>
      <c r="AEK370" s="1"/>
      <c r="AEL370" s="1"/>
      <c r="AEM370" s="1"/>
      <c r="AEN370" s="1"/>
      <c r="AEO370" s="1"/>
      <c r="AEP370" s="1"/>
      <c r="AEQ370" s="1"/>
      <c r="AER370" s="1"/>
      <c r="AES370" s="1"/>
      <c r="AET370" s="1"/>
      <c r="AEU370" s="1"/>
      <c r="AEV370" s="1"/>
      <c r="AEW370" s="1"/>
      <c r="AEX370" s="1"/>
      <c r="AEY370" s="1"/>
      <c r="AEZ370" s="1"/>
      <c r="AFA370" s="1"/>
      <c r="AFB370" s="1"/>
      <c r="AFC370" s="1"/>
      <c r="AFD370" s="1"/>
      <c r="AFE370" s="1"/>
      <c r="AFF370" s="1"/>
      <c r="AFG370" s="1"/>
      <c r="AFH370" s="1"/>
      <c r="AFI370" s="1"/>
      <c r="AFJ370" s="1"/>
      <c r="AFK370" s="1"/>
      <c r="AFL370" s="1"/>
      <c r="AFM370" s="1"/>
      <c r="AFN370" s="1"/>
      <c r="AFO370" s="1"/>
      <c r="AFP370" s="1"/>
      <c r="AFQ370" s="1"/>
      <c r="AFR370" s="1"/>
      <c r="AFS370" s="1"/>
      <c r="AFT370" s="1"/>
      <c r="AFU370" s="1"/>
      <c r="AFV370" s="1"/>
      <c r="AFW370" s="1"/>
      <c r="AFX370" s="1"/>
      <c r="AFY370" s="1"/>
      <c r="AFZ370" s="1"/>
      <c r="AGA370" s="1"/>
      <c r="AGB370" s="1"/>
      <c r="AGC370" s="1"/>
      <c r="AGD370" s="1"/>
      <c r="AGE370" s="1"/>
      <c r="AGF370" s="1"/>
      <c r="AGG370" s="1"/>
      <c r="AGH370" s="1"/>
      <c r="AGI370" s="1"/>
      <c r="AGJ370" s="1"/>
      <c r="AGK370" s="1"/>
      <c r="AGL370" s="1"/>
      <c r="AGM370" s="1"/>
      <c r="AGN370" s="1"/>
      <c r="AGO370" s="1"/>
      <c r="AGP370" s="1"/>
      <c r="AGQ370" s="1"/>
      <c r="AGR370" s="1"/>
      <c r="AGS370" s="1"/>
      <c r="AGT370" s="1"/>
      <c r="AGU370" s="1"/>
      <c r="AGV370" s="1"/>
      <c r="AGW370" s="1"/>
      <c r="AGX370" s="1"/>
      <c r="AGY370" s="1"/>
      <c r="AGZ370" s="1"/>
      <c r="AHA370" s="1"/>
      <c r="AHB370" s="1"/>
      <c r="AHC370" s="1"/>
      <c r="AHD370" s="1"/>
      <c r="AHE370" s="1"/>
      <c r="AHF370" s="1"/>
      <c r="AHG370" s="1"/>
      <c r="AHH370" s="1"/>
      <c r="AHI370" s="1"/>
      <c r="AHJ370" s="1"/>
      <c r="AHK370" s="1"/>
      <c r="AHL370" s="1"/>
      <c r="AHM370" s="1"/>
      <c r="AHN370" s="1"/>
      <c r="AHO370" s="1"/>
      <c r="AHP370" s="1"/>
      <c r="AHQ370" s="1"/>
      <c r="AHR370" s="1"/>
      <c r="AHS370" s="1"/>
      <c r="AHT370" s="1"/>
      <c r="AHU370" s="1"/>
      <c r="AHV370" s="1"/>
      <c r="AHW370" s="1"/>
      <c r="AHX370" s="1"/>
      <c r="AHY370" s="1"/>
      <c r="AHZ370" s="1"/>
      <c r="AIA370" s="1"/>
      <c r="AIB370" s="1"/>
      <c r="AIC370" s="1"/>
      <c r="AID370" s="1"/>
      <c r="AIE370" s="1"/>
      <c r="AIF370" s="1"/>
      <c r="AIG370" s="1"/>
      <c r="AIH370" s="1"/>
      <c r="AII370" s="1"/>
      <c r="AIJ370" s="1"/>
      <c r="AIK370" s="1"/>
      <c r="AIL370" s="1"/>
      <c r="AIM370" s="1"/>
      <c r="AIN370" s="1"/>
      <c r="AIO370" s="1"/>
      <c r="AIP370" s="1"/>
      <c r="AIQ370" s="1"/>
      <c r="AIR370" s="1"/>
      <c r="AIS370" s="1"/>
      <c r="AIT370" s="1"/>
      <c r="AIU370" s="1"/>
      <c r="AIV370" s="1"/>
      <c r="AIW370" s="1"/>
      <c r="AIX370" s="1"/>
      <c r="AIY370" s="1"/>
      <c r="AIZ370" s="1"/>
      <c r="AJA370" s="1"/>
      <c r="AJB370" s="1"/>
      <c r="AJC370" s="1"/>
      <c r="AJD370" s="1"/>
      <c r="AJE370" s="1"/>
      <c r="AJF370" s="1"/>
      <c r="AJG370" s="1"/>
      <c r="AJH370" s="1"/>
      <c r="AJI370" s="1"/>
      <c r="AJJ370" s="1"/>
      <c r="AJK370" s="1"/>
      <c r="AJL370" s="1"/>
      <c r="AJM370" s="1"/>
      <c r="AJN370" s="1"/>
      <c r="AJO370" s="1"/>
      <c r="AJP370" s="1"/>
      <c r="AJQ370" s="1"/>
      <c r="AJR370" s="1"/>
      <c r="AJS370" s="1"/>
      <c r="AJT370" s="1"/>
      <c r="AJU370" s="1"/>
      <c r="AJV370" s="1"/>
      <c r="AJW370" s="1"/>
      <c r="AJX370" s="1"/>
      <c r="AJY370" s="1"/>
      <c r="AJZ370" s="1"/>
      <c r="AKA370" s="1"/>
      <c r="AKB370" s="1"/>
      <c r="AKC370" s="1"/>
      <c r="AKD370" s="1"/>
      <c r="AKE370" s="1"/>
      <c r="AKF370" s="1"/>
      <c r="AKG370" s="1"/>
      <c r="AKH370" s="1"/>
      <c r="AKI370" s="1"/>
      <c r="AKJ370" s="1"/>
      <c r="AKK370" s="1"/>
      <c r="AKL370" s="1"/>
      <c r="AKM370" s="1"/>
      <c r="AKN370" s="1"/>
      <c r="AKO370" s="1"/>
      <c r="AKP370" s="1"/>
      <c r="AKQ370" s="1"/>
      <c r="AKR370" s="1"/>
      <c r="AKS370" s="1"/>
      <c r="AKT370" s="1"/>
      <c r="AKU370" s="1"/>
      <c r="AKV370" s="1"/>
      <c r="AKW370" s="1"/>
      <c r="AKX370" s="1"/>
      <c r="AKY370" s="1"/>
      <c r="AKZ370" s="1"/>
      <c r="ALA370" s="1"/>
      <c r="ALB370" s="1"/>
      <c r="ALC370" s="1"/>
      <c r="ALD370" s="1"/>
      <c r="ALE370" s="1"/>
      <c r="ALF370" s="1"/>
      <c r="ALG370" s="1"/>
      <c r="ALH370" s="1"/>
      <c r="ALI370" s="1"/>
      <c r="ALJ370" s="1"/>
      <c r="ALK370" s="1"/>
      <c r="ALL370" s="1"/>
      <c r="ALM370" s="1"/>
      <c r="ALN370" s="1"/>
      <c r="ALO370" s="1"/>
      <c r="ALP370" s="1"/>
      <c r="ALQ370" s="1"/>
      <c r="ALR370" s="1"/>
      <c r="ALS370" s="1"/>
      <c r="ALT370" s="1"/>
      <c r="ALU370" s="1"/>
      <c r="ALV370" s="1"/>
      <c r="ALW370" s="1"/>
      <c r="ALX370" s="1"/>
      <c r="ALY370" s="1"/>
      <c r="ALZ370" s="1"/>
      <c r="AMA370" s="1"/>
      <c r="AMB370" s="1"/>
      <c r="AMC370" s="1"/>
      <c r="AMD370" s="1"/>
      <c r="AME370" s="1"/>
      <c r="AMF370" s="1"/>
      <c r="AMG370" s="1"/>
      <c r="AMH370" s="1"/>
      <c r="AMI370" s="1"/>
      <c r="AMJ370" s="1"/>
      <c r="AMK370" s="1"/>
      <c r="AML370" s="1"/>
      <c r="AMM370" s="1"/>
      <c r="AMN370" s="1"/>
      <c r="AMO370" s="1"/>
    </row>
    <row r="371" spans="1:1029" x14ac:dyDescent="0.2">
      <c r="A371" s="9" t="str">
        <f>CONCATENATE(B371,"_",C371)</f>
        <v>pe2r4_human_5YWY</v>
      </c>
      <c r="B371" s="9" t="s">
        <v>363</v>
      </c>
      <c r="C371" s="9" t="s">
        <v>1530</v>
      </c>
      <c r="D371" s="9" t="str">
        <f>IFERROR(MID(VLOOKUP($B371,Seqs!$A:$B,2,0),E371,1),"")</f>
        <v>N</v>
      </c>
      <c r="E371" s="9">
        <v>18</v>
      </c>
      <c r="F371" s="9" t="str">
        <f>IFERROR(MID(VLOOKUP($B371,Seqs!$A:$B,2,0),G371,1),"")</f>
        <v>C</v>
      </c>
      <c r="G371" s="9">
        <v>43</v>
      </c>
      <c r="H371" s="9" t="str">
        <f>IFERROR(MID(VLOOKUP($B371,Seqs!$A:$B,2,0),I371,1),"")</f>
        <v/>
      </c>
      <c r="I371" s="109" t="s">
        <v>23</v>
      </c>
      <c r="J371" s="9" t="str">
        <f>IFERROR(MID(VLOOKUP($B371,Seqs!$A:$B,2,0),K371,1),"")</f>
        <v/>
      </c>
      <c r="K371" s="109" t="s">
        <v>23</v>
      </c>
      <c r="L371" s="9" t="str">
        <f>IFERROR(MID(VLOOKUP($B371,Seqs!$A:$B,2,0),M371,1),"")</f>
        <v>E</v>
      </c>
      <c r="M371" s="9">
        <v>51</v>
      </c>
      <c r="N371" s="9" t="str">
        <f>IFERROR(MID(VLOOKUP($B371,Seqs!$A:$B,2,0),O371,1),"")</f>
        <v>K</v>
      </c>
      <c r="O371" s="9">
        <v>82</v>
      </c>
      <c r="P371" s="9" t="str">
        <f>IFERROR(MID(VLOOKUP($B371,Seqs!$A:$B,2,0),Q371,1),"")</f>
        <v>Q</v>
      </c>
      <c r="Q371" s="9">
        <v>84</v>
      </c>
      <c r="R371" s="9" t="str">
        <f>IFERROR(MID(VLOOKUP($B371,Seqs!$A:$B,2,0),S371,1),"")</f>
        <v>G</v>
      </c>
      <c r="S371" s="9">
        <v>87</v>
      </c>
      <c r="T371" s="9" t="str">
        <f>IFERROR(MID(VLOOKUP($B371,Seqs!$A:$B,2,0),U371,1),"")</f>
        <v>G</v>
      </c>
      <c r="U371" s="9">
        <v>88</v>
      </c>
      <c r="V371" s="9" t="str">
        <f>IFERROR(MID(VLOOKUP($B371,Seqs!$A:$B,2,0),W371,1),"")</f>
        <v>H</v>
      </c>
      <c r="W371" s="9">
        <v>123</v>
      </c>
      <c r="X371" s="9" t="str">
        <f>IFERROR(MID(VLOOKUP($B371,Seqs!$A:$B,2,0),Y371,1),"")</f>
        <v>A</v>
      </c>
      <c r="Y371" s="9">
        <v>124</v>
      </c>
      <c r="Z371" s="9" t="str">
        <f>IFERROR(MID(VLOOKUP($B371,Seqs!$A:$B,2,0),AA371,1),"")</f>
        <v>V</v>
      </c>
      <c r="AA371" s="9">
        <v>131</v>
      </c>
      <c r="AB371" s="9" t="str">
        <f>IFERROR(MID(VLOOKUP($B371,Seqs!$A:$B,2,0),AC371,1),"")</f>
        <v>D</v>
      </c>
      <c r="AC371" s="9">
        <v>132</v>
      </c>
      <c r="AD371" s="9" t="str">
        <f>IFERROR(MID(VLOOKUP($B371,Seqs!$A:$B,2,0),AE371,1),"")</f>
        <v>G</v>
      </c>
      <c r="AE371" s="9">
        <v>157</v>
      </c>
      <c r="AF371" s="9" t="str">
        <f>IFERROR(MID(VLOOKUP($B371,Seqs!$A:$B,2,0),AG371,1),"")</f>
        <v>C</v>
      </c>
      <c r="AG371" s="9">
        <v>170</v>
      </c>
      <c r="AH371" s="9" t="str">
        <f>IFERROR(MID(VLOOKUP($B371,Seqs!$A:$B,2,0),AI371,1),"")</f>
        <v>I</v>
      </c>
      <c r="AI371" s="9">
        <v>172</v>
      </c>
      <c r="AJ371" s="9" t="str">
        <f>IFERROR(MID(VLOOKUP($B371,Seqs!$A:$B,2,0),AK371,1),"")</f>
        <v>V</v>
      </c>
      <c r="AK371" s="9">
        <v>178</v>
      </c>
      <c r="AL371" s="9" t="str">
        <f>IFERROR(MID(VLOOKUP($B371,Seqs!$A:$B,2,0),AM371,1),"")</f>
        <v>H</v>
      </c>
      <c r="AM371" s="9">
        <v>214</v>
      </c>
      <c r="AN371" s="9" t="str">
        <f>IFERROR(MID(VLOOKUP($B371,Seqs!$A:$B,2,0),AO371,1),"")</f>
        <v>A</v>
      </c>
      <c r="AO371" s="9">
        <v>266</v>
      </c>
      <c r="AP371" s="9" t="str">
        <f>IFERROR(MID(VLOOKUP($B371,Seqs!$A:$B,2,0),AQ371,1),"")</f>
        <v>Y</v>
      </c>
      <c r="AQ371" s="9">
        <v>298</v>
      </c>
      <c r="AR371" s="9" t="str">
        <f>IFERROR(MID(VLOOKUP($B371,Seqs!$A:$B,2,0),AS371,1),"")</f>
        <v>N</v>
      </c>
      <c r="AS371" s="9">
        <v>309</v>
      </c>
      <c r="AT371" s="9" t="str">
        <f>IFERROR(MID(VLOOKUP($B371,Seqs!$A:$B,2,0),AU371,1),"")</f>
        <v>L</v>
      </c>
      <c r="AU371" s="9">
        <v>332</v>
      </c>
      <c r="AV371" s="9" t="str">
        <f>IFERROR(MID(VLOOKUP($B371,Seqs!$A:$B,2,0),AW371,1),"")</f>
        <v>R</v>
      </c>
      <c r="AW371" s="9">
        <v>333</v>
      </c>
      <c r="AX371" s="9" t="str">
        <f>IFERROR(MID(VLOOKUP($B371,Seqs!$A:$B,2,0),AY371,1),"")</f>
        <v>I</v>
      </c>
      <c r="AY371" s="9">
        <v>344</v>
      </c>
      <c r="AZ371" s="110" t="str">
        <f>VLOOKUP(B371,Classification!A:D,2,0)</f>
        <v>A</v>
      </c>
      <c r="BA371" s="98" t="str">
        <f>VLOOKUP(B371,Classification!A:D,4,0)</f>
        <v>Prostanoid</v>
      </c>
      <c r="BB371" s="36" t="b">
        <f>AND(E371&lt;G371,OR(G371&lt;I371,I371="-"),OR(I371&lt;K371,I371="-"),OR(K371&lt;M371,K371="-"),M371&lt;O371,OR(O371&lt;Q371,Q371="-"),OR(Q371&lt;S371,Q371="-"),OR(S371&lt;U371,S371="-"),U371&lt;W371,OR(W371&lt;Y371,Y371="-"),OR(Y371&lt;AA371,Y371="-"),OR(AA371&lt;AC371,AA371="-"),AC371&lt;AE371,OR(AE371&lt;AG371,AG371="-"),OR(AG371&lt;AI371,AG371="-"),OR(AI371&lt;AK371,AI371="-"),AK371&lt;AM371,AM371&lt;AO371,AO371&lt;AQ371,AQ371&lt;AS371,AS371&lt;AU371,OR(AU371&lt;AW371,AW371="-"),OR(AW371&lt;AY371,AW371="-"))</f>
        <v>1</v>
      </c>
      <c r="BC371" s="109">
        <f>_xlfn.AGGREGATE(9,6,CH371:CS371)-_xlfn.AGGREGATE(9,6,BV371:CG371)+12</f>
        <v>242</v>
      </c>
      <c r="BD371" s="40" t="s">
        <v>1370</v>
      </c>
      <c r="BE371" s="9" t="s">
        <v>1368</v>
      </c>
      <c r="BF371" s="119">
        <v>3.2</v>
      </c>
      <c r="BG371" s="51" t="s">
        <v>1</v>
      </c>
      <c r="BH371" s="51" t="s">
        <v>1</v>
      </c>
      <c r="BI371" s="12"/>
      <c r="BJ371" s="111" t="s">
        <v>1281</v>
      </c>
      <c r="BK371" s="112" t="s">
        <v>1281</v>
      </c>
      <c r="BL371" s="112" t="s">
        <v>1281</v>
      </c>
      <c r="BM371" s="112" t="s">
        <v>1281</v>
      </c>
      <c r="BN371" s="112" t="s">
        <v>1281</v>
      </c>
      <c r="BO371" s="112" t="s">
        <v>1281</v>
      </c>
      <c r="BP371" s="112" t="s">
        <v>1281</v>
      </c>
      <c r="BQ371" s="112" t="s">
        <v>1281</v>
      </c>
      <c r="BR371" s="112" t="s">
        <v>1281</v>
      </c>
      <c r="BS371" s="112" t="s">
        <v>1281</v>
      </c>
      <c r="BT371" s="112" t="s">
        <v>1281</v>
      </c>
      <c r="BU371" s="112" t="s">
        <v>1281</v>
      </c>
      <c r="BV371" s="111">
        <f>E371</f>
        <v>18</v>
      </c>
      <c r="BW371" s="113" t="str">
        <f>I371</f>
        <v>-</v>
      </c>
      <c r="BX371" s="114">
        <f>M371</f>
        <v>51</v>
      </c>
      <c r="BY371" s="113">
        <f>Q371</f>
        <v>84</v>
      </c>
      <c r="BZ371" s="114">
        <f>U371</f>
        <v>88</v>
      </c>
      <c r="CA371" s="113">
        <f>Y371</f>
        <v>124</v>
      </c>
      <c r="CB371" s="114">
        <f>AC371</f>
        <v>132</v>
      </c>
      <c r="CC371" s="113">
        <f>AG371</f>
        <v>170</v>
      </c>
      <c r="CD371" s="114">
        <f>AK371</f>
        <v>178</v>
      </c>
      <c r="CE371" s="113">
        <f>AO371</f>
        <v>266</v>
      </c>
      <c r="CF371" s="114">
        <f>AS371</f>
        <v>309</v>
      </c>
      <c r="CG371" s="113">
        <f>AW371</f>
        <v>333</v>
      </c>
      <c r="CH371" s="111">
        <f>G371</f>
        <v>43</v>
      </c>
      <c r="CI371" s="113" t="str">
        <f>K371</f>
        <v>-</v>
      </c>
      <c r="CJ371" s="114">
        <f>O371</f>
        <v>82</v>
      </c>
      <c r="CK371" s="114">
        <f>S371</f>
        <v>87</v>
      </c>
      <c r="CL371" s="114">
        <f>W371</f>
        <v>123</v>
      </c>
      <c r="CM371" s="114">
        <f>AA371</f>
        <v>131</v>
      </c>
      <c r="CN371" s="114">
        <f>AE371</f>
        <v>157</v>
      </c>
      <c r="CO371" s="114">
        <f>AI371</f>
        <v>172</v>
      </c>
      <c r="CP371" s="114">
        <f>AM371</f>
        <v>214</v>
      </c>
      <c r="CQ371" s="114">
        <f>AQ371</f>
        <v>298</v>
      </c>
      <c r="CR371" s="114">
        <f>AU371</f>
        <v>332</v>
      </c>
      <c r="CS371" s="114">
        <f>AY371</f>
        <v>344</v>
      </c>
      <c r="CT371" s="109" t="e">
        <f>M371-K371</f>
        <v>#VALUE!</v>
      </c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1"/>
      <c r="OP371" s="1"/>
      <c r="OQ371" s="1"/>
      <c r="OR371" s="1"/>
      <c r="OS371" s="1"/>
      <c r="OT371" s="1"/>
      <c r="OU371" s="1"/>
      <c r="OV371" s="1"/>
      <c r="OW371" s="1"/>
      <c r="OX371" s="1"/>
      <c r="OY371" s="1"/>
      <c r="OZ371" s="1"/>
      <c r="PA371" s="1"/>
      <c r="PB371" s="1"/>
      <c r="PC371" s="1"/>
      <c r="PD371" s="1"/>
      <c r="PE371" s="1"/>
      <c r="PF371" s="1"/>
      <c r="PG371" s="1"/>
      <c r="PH371" s="1"/>
      <c r="PI371" s="1"/>
      <c r="PJ371" s="1"/>
      <c r="PK371" s="1"/>
      <c r="PL371" s="1"/>
      <c r="PM371" s="1"/>
      <c r="PN371" s="1"/>
      <c r="PO371" s="1"/>
      <c r="PP371" s="1"/>
      <c r="PQ371" s="1"/>
      <c r="PR371" s="1"/>
      <c r="PS371" s="1"/>
      <c r="PT371" s="1"/>
      <c r="PU371" s="1"/>
      <c r="PV371" s="1"/>
      <c r="PW371" s="1"/>
      <c r="PX371" s="1"/>
      <c r="PY371" s="1"/>
      <c r="PZ371" s="1"/>
      <c r="QA371" s="1"/>
      <c r="QB371" s="1"/>
      <c r="QC371" s="1"/>
      <c r="QD371" s="1"/>
      <c r="QE371" s="1"/>
      <c r="QF371" s="1"/>
      <c r="QG371" s="1"/>
      <c r="QH371" s="1"/>
      <c r="QI371" s="1"/>
      <c r="QJ371" s="1"/>
      <c r="QK371" s="1"/>
      <c r="QL371" s="1"/>
      <c r="QM371" s="1"/>
      <c r="QN371" s="1"/>
      <c r="QO371" s="1"/>
      <c r="QP371" s="1"/>
      <c r="QQ371" s="1"/>
      <c r="QR371" s="1"/>
      <c r="QS371" s="1"/>
      <c r="QT371" s="1"/>
      <c r="QU371" s="1"/>
      <c r="QV371" s="1"/>
      <c r="QW371" s="1"/>
      <c r="QX371" s="1"/>
      <c r="QY371" s="1"/>
      <c r="QZ371" s="1"/>
      <c r="RA371" s="1"/>
      <c r="RB371" s="1"/>
      <c r="RC371" s="1"/>
      <c r="RD371" s="1"/>
      <c r="RE371" s="1"/>
      <c r="RF371" s="1"/>
      <c r="RG371" s="1"/>
      <c r="RH371" s="1"/>
      <c r="RI371" s="1"/>
      <c r="RJ371" s="1"/>
      <c r="RK371" s="1"/>
      <c r="RL371" s="1"/>
      <c r="RM371" s="1"/>
      <c r="RN371" s="1"/>
      <c r="RO371" s="1"/>
      <c r="RP371" s="1"/>
      <c r="RQ371" s="1"/>
      <c r="RR371" s="1"/>
      <c r="RS371" s="1"/>
      <c r="RT371" s="1"/>
      <c r="RU371" s="1"/>
      <c r="RV371" s="1"/>
      <c r="RW371" s="1"/>
      <c r="RX371" s="1"/>
      <c r="RY371" s="1"/>
      <c r="RZ371" s="1"/>
      <c r="SA371" s="1"/>
      <c r="SB371" s="1"/>
      <c r="SC371" s="1"/>
      <c r="SD371" s="1"/>
      <c r="SE371" s="1"/>
      <c r="SF371" s="1"/>
      <c r="SG371" s="1"/>
      <c r="SH371" s="1"/>
      <c r="SI371" s="1"/>
      <c r="SJ371" s="1"/>
      <c r="SK371" s="1"/>
      <c r="SL371" s="1"/>
      <c r="SM371" s="1"/>
      <c r="SN371" s="1"/>
      <c r="SO371" s="1"/>
      <c r="SP371" s="1"/>
      <c r="SQ371" s="1"/>
      <c r="SR371" s="1"/>
      <c r="SS371" s="1"/>
      <c r="ST371" s="1"/>
      <c r="SU371" s="1"/>
      <c r="SV371" s="1"/>
      <c r="SW371" s="1"/>
      <c r="SX371" s="1"/>
      <c r="SY371" s="1"/>
      <c r="SZ371" s="1"/>
      <c r="TA371" s="1"/>
      <c r="TB371" s="1"/>
      <c r="TC371" s="1"/>
      <c r="TD371" s="1"/>
      <c r="TE371" s="1"/>
      <c r="TF371" s="1"/>
      <c r="TG371" s="1"/>
      <c r="TH371" s="1"/>
      <c r="TI371" s="1"/>
      <c r="TJ371" s="1"/>
      <c r="TK371" s="1"/>
      <c r="TL371" s="1"/>
      <c r="TM371" s="1"/>
      <c r="TN371" s="1"/>
      <c r="TO371" s="1"/>
      <c r="TP371" s="1"/>
      <c r="TQ371" s="1"/>
      <c r="TR371" s="1"/>
      <c r="TS371" s="1"/>
      <c r="TT371" s="1"/>
      <c r="TU371" s="1"/>
      <c r="TV371" s="1"/>
      <c r="TW371" s="1"/>
      <c r="TX371" s="1"/>
      <c r="TY371" s="1"/>
      <c r="TZ371" s="1"/>
      <c r="UA371" s="1"/>
      <c r="UB371" s="1"/>
      <c r="UC371" s="1"/>
      <c r="UD371" s="1"/>
      <c r="UE371" s="1"/>
      <c r="UF371" s="1"/>
      <c r="UG371" s="1"/>
      <c r="UH371" s="1"/>
      <c r="UI371" s="1"/>
      <c r="UJ371" s="1"/>
      <c r="UK371" s="1"/>
      <c r="UL371" s="1"/>
      <c r="UM371" s="1"/>
      <c r="UN371" s="1"/>
      <c r="UO371" s="1"/>
      <c r="UP371" s="1"/>
      <c r="UQ371" s="1"/>
      <c r="UR371" s="1"/>
      <c r="US371" s="1"/>
      <c r="UT371" s="1"/>
      <c r="UU371" s="1"/>
      <c r="UV371" s="1"/>
      <c r="UW371" s="1"/>
      <c r="UX371" s="1"/>
      <c r="UY371" s="1"/>
      <c r="UZ371" s="1"/>
      <c r="VA371" s="1"/>
      <c r="VB371" s="1"/>
      <c r="VC371" s="1"/>
      <c r="VD371" s="1"/>
      <c r="VE371" s="1"/>
      <c r="VF371" s="1"/>
      <c r="VG371" s="1"/>
      <c r="VH371" s="1"/>
      <c r="VI371" s="1"/>
      <c r="VJ371" s="1"/>
      <c r="VK371" s="1"/>
      <c r="VL371" s="1"/>
      <c r="VM371" s="1"/>
      <c r="VN371" s="1"/>
      <c r="VO371" s="1"/>
      <c r="VP371" s="1"/>
      <c r="VQ371" s="1"/>
      <c r="VR371" s="1"/>
      <c r="VS371" s="1"/>
      <c r="VT371" s="1"/>
      <c r="VU371" s="1"/>
      <c r="VV371" s="1"/>
      <c r="VW371" s="1"/>
      <c r="VX371" s="1"/>
      <c r="VY371" s="1"/>
      <c r="VZ371" s="1"/>
      <c r="WA371" s="1"/>
      <c r="WB371" s="1"/>
      <c r="WC371" s="1"/>
      <c r="WD371" s="1"/>
      <c r="WE371" s="1"/>
      <c r="WF371" s="1"/>
      <c r="WG371" s="1"/>
      <c r="WH371" s="1"/>
      <c r="WI371" s="1"/>
      <c r="WJ371" s="1"/>
      <c r="WK371" s="1"/>
      <c r="WL371" s="1"/>
      <c r="WM371" s="1"/>
      <c r="WN371" s="1"/>
      <c r="WO371" s="1"/>
      <c r="WP371" s="1"/>
      <c r="WQ371" s="1"/>
      <c r="WR371" s="1"/>
      <c r="WS371" s="1"/>
      <c r="WT371" s="1"/>
      <c r="WU371" s="1"/>
      <c r="WV371" s="1"/>
      <c r="WW371" s="1"/>
      <c r="WX371" s="1"/>
      <c r="WY371" s="1"/>
      <c r="WZ371" s="1"/>
      <c r="XA371" s="1"/>
      <c r="XB371" s="1"/>
      <c r="XC371" s="1"/>
      <c r="XD371" s="1"/>
      <c r="XE371" s="1"/>
      <c r="XF371" s="1"/>
      <c r="XG371" s="1"/>
      <c r="XH371" s="1"/>
      <c r="XI371" s="1"/>
      <c r="XJ371" s="1"/>
      <c r="XK371" s="1"/>
      <c r="XL371" s="1"/>
      <c r="XM371" s="1"/>
      <c r="XN371" s="1"/>
      <c r="XO371" s="1"/>
      <c r="XP371" s="1"/>
      <c r="XQ371" s="1"/>
      <c r="XR371" s="1"/>
      <c r="XS371" s="1"/>
      <c r="XT371" s="1"/>
      <c r="XU371" s="1"/>
      <c r="XV371" s="1"/>
      <c r="XW371" s="1"/>
      <c r="XX371" s="1"/>
      <c r="XY371" s="1"/>
      <c r="XZ371" s="1"/>
      <c r="YA371" s="1"/>
      <c r="YB371" s="1"/>
      <c r="YC371" s="1"/>
      <c r="YD371" s="1"/>
      <c r="YE371" s="1"/>
      <c r="YF371" s="1"/>
      <c r="YG371" s="1"/>
      <c r="YH371" s="1"/>
      <c r="YI371" s="1"/>
      <c r="YJ371" s="1"/>
      <c r="YK371" s="1"/>
      <c r="YL371" s="1"/>
      <c r="YM371" s="1"/>
      <c r="YN371" s="1"/>
      <c r="YO371" s="1"/>
      <c r="YP371" s="1"/>
      <c r="YQ371" s="1"/>
      <c r="YR371" s="1"/>
      <c r="YS371" s="1"/>
      <c r="YT371" s="1"/>
      <c r="YU371" s="1"/>
      <c r="YV371" s="1"/>
      <c r="YW371" s="1"/>
      <c r="YX371" s="1"/>
      <c r="YY371" s="1"/>
      <c r="YZ371" s="1"/>
      <c r="ZA371" s="1"/>
      <c r="ZB371" s="1"/>
      <c r="ZC371" s="1"/>
      <c r="ZD371" s="1"/>
      <c r="ZE371" s="1"/>
      <c r="ZF371" s="1"/>
      <c r="ZG371" s="1"/>
      <c r="ZH371" s="1"/>
      <c r="ZI371" s="1"/>
      <c r="ZJ371" s="1"/>
      <c r="ZK371" s="1"/>
      <c r="ZL371" s="1"/>
      <c r="ZM371" s="1"/>
      <c r="ZN371" s="1"/>
      <c r="ZO371" s="1"/>
      <c r="ZP371" s="1"/>
      <c r="ZQ371" s="1"/>
      <c r="ZR371" s="1"/>
      <c r="ZS371" s="1"/>
      <c r="ZT371" s="1"/>
      <c r="ZU371" s="1"/>
      <c r="ZV371" s="1"/>
      <c r="ZW371" s="1"/>
      <c r="ZX371" s="1"/>
      <c r="ZY371" s="1"/>
      <c r="ZZ371" s="1"/>
      <c r="AAA371" s="1"/>
      <c r="AAB371" s="1"/>
      <c r="AAC371" s="1"/>
      <c r="AAD371" s="1"/>
      <c r="AAE371" s="1"/>
      <c r="AAF371" s="1"/>
      <c r="AAG371" s="1"/>
      <c r="AAH371" s="1"/>
      <c r="AAI371" s="1"/>
      <c r="AAJ371" s="1"/>
      <c r="AAK371" s="1"/>
      <c r="AAL371" s="1"/>
      <c r="AAM371" s="1"/>
      <c r="AAN371" s="1"/>
      <c r="AAO371" s="1"/>
      <c r="AAP371" s="1"/>
      <c r="AAQ371" s="1"/>
      <c r="AAR371" s="1"/>
      <c r="AAS371" s="1"/>
      <c r="AAT371" s="1"/>
      <c r="AAU371" s="1"/>
      <c r="AAV371" s="1"/>
      <c r="AAW371" s="1"/>
      <c r="AAX371" s="1"/>
      <c r="AAY371" s="1"/>
      <c r="AAZ371" s="1"/>
      <c r="ABA371" s="1"/>
      <c r="ABB371" s="1"/>
      <c r="ABC371" s="1"/>
      <c r="ABD371" s="1"/>
      <c r="ABE371" s="1"/>
      <c r="ABF371" s="1"/>
      <c r="ABG371" s="1"/>
      <c r="ABH371" s="1"/>
      <c r="ABI371" s="1"/>
      <c r="ABJ371" s="1"/>
      <c r="ABK371" s="1"/>
      <c r="ABL371" s="1"/>
      <c r="ABM371" s="1"/>
      <c r="ABN371" s="1"/>
      <c r="ABO371" s="1"/>
      <c r="ABP371" s="1"/>
      <c r="ABQ371" s="1"/>
      <c r="ABR371" s="1"/>
      <c r="ABS371" s="1"/>
      <c r="ABT371" s="1"/>
      <c r="ABU371" s="1"/>
      <c r="ABV371" s="1"/>
      <c r="ABW371" s="1"/>
      <c r="ABX371" s="1"/>
      <c r="ABY371" s="1"/>
      <c r="ABZ371" s="1"/>
      <c r="ACA371" s="1"/>
      <c r="ACB371" s="1"/>
      <c r="ACC371" s="1"/>
      <c r="ACD371" s="1"/>
      <c r="ACE371" s="1"/>
      <c r="ACF371" s="1"/>
      <c r="ACG371" s="1"/>
      <c r="ACH371" s="1"/>
      <c r="ACI371" s="1"/>
      <c r="ACJ371" s="1"/>
      <c r="ACK371" s="1"/>
      <c r="ACL371" s="1"/>
      <c r="ACM371" s="1"/>
      <c r="ACN371" s="1"/>
      <c r="ACO371" s="1"/>
      <c r="ACP371" s="1"/>
      <c r="ACQ371" s="1"/>
      <c r="ACR371" s="1"/>
      <c r="ACS371" s="1"/>
      <c r="ACT371" s="1"/>
      <c r="ACU371" s="1"/>
      <c r="ACV371" s="1"/>
      <c r="ACW371" s="1"/>
      <c r="ACX371" s="1"/>
      <c r="ACY371" s="1"/>
      <c r="ACZ371" s="1"/>
      <c r="ADA371" s="1"/>
      <c r="ADB371" s="1"/>
      <c r="ADC371" s="1"/>
      <c r="ADD371" s="1"/>
      <c r="ADE371" s="1"/>
      <c r="ADF371" s="1"/>
      <c r="ADG371" s="1"/>
      <c r="ADH371" s="1"/>
      <c r="ADI371" s="1"/>
      <c r="ADJ371" s="1"/>
      <c r="ADK371" s="1"/>
      <c r="ADL371" s="1"/>
      <c r="ADM371" s="1"/>
      <c r="ADN371" s="1"/>
      <c r="ADO371" s="1"/>
      <c r="ADP371" s="1"/>
      <c r="ADQ371" s="1"/>
      <c r="ADR371" s="1"/>
      <c r="ADS371" s="1"/>
      <c r="ADT371" s="1"/>
      <c r="ADU371" s="1"/>
      <c r="ADV371" s="1"/>
      <c r="ADW371" s="1"/>
      <c r="ADX371" s="1"/>
      <c r="ADY371" s="1"/>
      <c r="ADZ371" s="1"/>
      <c r="AEA371" s="1"/>
      <c r="AEB371" s="1"/>
      <c r="AEC371" s="1"/>
      <c r="AED371" s="1"/>
      <c r="AEE371" s="1"/>
      <c r="AEF371" s="1"/>
      <c r="AEG371" s="1"/>
      <c r="AEH371" s="1"/>
      <c r="AEI371" s="1"/>
      <c r="AEJ371" s="1"/>
      <c r="AEK371" s="1"/>
      <c r="AEL371" s="1"/>
      <c r="AEM371" s="1"/>
      <c r="AEN371" s="1"/>
      <c r="AEO371" s="1"/>
      <c r="AEP371" s="1"/>
      <c r="AEQ371" s="1"/>
      <c r="AER371" s="1"/>
      <c r="AES371" s="1"/>
      <c r="AET371" s="1"/>
      <c r="AEU371" s="1"/>
      <c r="AEV371" s="1"/>
      <c r="AEW371" s="1"/>
      <c r="AEX371" s="1"/>
      <c r="AEY371" s="1"/>
      <c r="AEZ371" s="1"/>
      <c r="AFA371" s="1"/>
      <c r="AFB371" s="1"/>
      <c r="AFC371" s="1"/>
      <c r="AFD371" s="1"/>
      <c r="AFE371" s="1"/>
      <c r="AFF371" s="1"/>
      <c r="AFG371" s="1"/>
      <c r="AFH371" s="1"/>
      <c r="AFI371" s="1"/>
      <c r="AFJ371" s="1"/>
      <c r="AFK371" s="1"/>
      <c r="AFL371" s="1"/>
      <c r="AFM371" s="1"/>
      <c r="AFN371" s="1"/>
      <c r="AFO371" s="1"/>
      <c r="AFP371" s="1"/>
      <c r="AFQ371" s="1"/>
      <c r="AFR371" s="1"/>
      <c r="AFS371" s="1"/>
      <c r="AFT371" s="1"/>
      <c r="AFU371" s="1"/>
      <c r="AFV371" s="1"/>
      <c r="AFW371" s="1"/>
      <c r="AFX371" s="1"/>
      <c r="AFY371" s="1"/>
      <c r="AFZ371" s="1"/>
      <c r="AGA371" s="1"/>
      <c r="AGB371" s="1"/>
      <c r="AGC371" s="1"/>
      <c r="AGD371" s="1"/>
      <c r="AGE371" s="1"/>
      <c r="AGF371" s="1"/>
      <c r="AGG371" s="1"/>
      <c r="AGH371" s="1"/>
      <c r="AGI371" s="1"/>
      <c r="AGJ371" s="1"/>
      <c r="AGK371" s="1"/>
      <c r="AGL371" s="1"/>
      <c r="AGM371" s="1"/>
      <c r="AGN371" s="1"/>
      <c r="AGO371" s="1"/>
      <c r="AGP371" s="1"/>
      <c r="AGQ371" s="1"/>
      <c r="AGR371" s="1"/>
      <c r="AGS371" s="1"/>
      <c r="AGT371" s="1"/>
      <c r="AGU371" s="1"/>
      <c r="AGV371" s="1"/>
      <c r="AGW371" s="1"/>
      <c r="AGX371" s="1"/>
      <c r="AGY371" s="1"/>
      <c r="AGZ371" s="1"/>
      <c r="AHA371" s="1"/>
      <c r="AHB371" s="1"/>
      <c r="AHC371" s="1"/>
      <c r="AHD371" s="1"/>
      <c r="AHE371" s="1"/>
      <c r="AHF371" s="1"/>
      <c r="AHG371" s="1"/>
      <c r="AHH371" s="1"/>
      <c r="AHI371" s="1"/>
      <c r="AHJ371" s="1"/>
      <c r="AHK371" s="1"/>
      <c r="AHL371" s="1"/>
      <c r="AHM371" s="1"/>
      <c r="AHN371" s="1"/>
      <c r="AHO371" s="1"/>
      <c r="AHP371" s="1"/>
      <c r="AHQ371" s="1"/>
      <c r="AHR371" s="1"/>
      <c r="AHS371" s="1"/>
      <c r="AHT371" s="1"/>
      <c r="AHU371" s="1"/>
      <c r="AHV371" s="1"/>
      <c r="AHW371" s="1"/>
      <c r="AHX371" s="1"/>
      <c r="AHY371" s="1"/>
      <c r="AHZ371" s="1"/>
      <c r="AIA371" s="1"/>
      <c r="AIB371" s="1"/>
      <c r="AIC371" s="1"/>
      <c r="AID371" s="1"/>
      <c r="AIE371" s="1"/>
      <c r="AIF371" s="1"/>
      <c r="AIG371" s="1"/>
      <c r="AIH371" s="1"/>
      <c r="AII371" s="1"/>
      <c r="AIJ371" s="1"/>
      <c r="AIK371" s="1"/>
      <c r="AIL371" s="1"/>
      <c r="AIM371" s="1"/>
      <c r="AIN371" s="1"/>
      <c r="AIO371" s="1"/>
      <c r="AIP371" s="1"/>
      <c r="AIQ371" s="1"/>
      <c r="AIR371" s="1"/>
      <c r="AIS371" s="1"/>
      <c r="AIT371" s="1"/>
      <c r="AIU371" s="1"/>
      <c r="AIV371" s="1"/>
      <c r="AIW371" s="1"/>
      <c r="AIX371" s="1"/>
      <c r="AIY371" s="1"/>
      <c r="AIZ371" s="1"/>
      <c r="AJA371" s="1"/>
      <c r="AJB371" s="1"/>
      <c r="AJC371" s="1"/>
      <c r="AJD371" s="1"/>
      <c r="AJE371" s="1"/>
      <c r="AJF371" s="1"/>
      <c r="AJG371" s="1"/>
      <c r="AJH371" s="1"/>
      <c r="AJI371" s="1"/>
      <c r="AJJ371" s="1"/>
      <c r="AJK371" s="1"/>
      <c r="AJL371" s="1"/>
      <c r="AJM371" s="1"/>
      <c r="AJN371" s="1"/>
      <c r="AJO371" s="1"/>
      <c r="AJP371" s="1"/>
      <c r="AJQ371" s="1"/>
      <c r="AJR371" s="1"/>
      <c r="AJS371" s="1"/>
      <c r="AJT371" s="1"/>
      <c r="AJU371" s="1"/>
      <c r="AJV371" s="1"/>
      <c r="AJW371" s="1"/>
      <c r="AJX371" s="1"/>
      <c r="AJY371" s="1"/>
      <c r="AJZ371" s="1"/>
      <c r="AKA371" s="1"/>
      <c r="AKB371" s="1"/>
      <c r="AKC371" s="1"/>
      <c r="AKD371" s="1"/>
      <c r="AKE371" s="1"/>
      <c r="AKF371" s="1"/>
      <c r="AKG371" s="1"/>
      <c r="AKH371" s="1"/>
      <c r="AKI371" s="1"/>
      <c r="AKJ371" s="1"/>
      <c r="AKK371" s="1"/>
      <c r="AKL371" s="1"/>
      <c r="AKM371" s="1"/>
      <c r="AKN371" s="1"/>
      <c r="AKO371" s="1"/>
      <c r="AKP371" s="1"/>
      <c r="AKQ371" s="1"/>
      <c r="AKR371" s="1"/>
      <c r="AKS371" s="1"/>
      <c r="AKT371" s="1"/>
      <c r="AKU371" s="1"/>
      <c r="AKV371" s="1"/>
      <c r="AKW371" s="1"/>
      <c r="AKX371" s="1"/>
      <c r="AKY371" s="1"/>
      <c r="AKZ371" s="1"/>
      <c r="ALA371" s="1"/>
      <c r="ALB371" s="1"/>
      <c r="ALC371" s="1"/>
      <c r="ALD371" s="1"/>
      <c r="ALE371" s="1"/>
      <c r="ALF371" s="1"/>
      <c r="ALG371" s="1"/>
      <c r="ALH371" s="1"/>
      <c r="ALI371" s="1"/>
      <c r="ALJ371" s="1"/>
      <c r="ALK371" s="1"/>
      <c r="ALL371" s="1"/>
      <c r="ALM371" s="1"/>
      <c r="ALN371" s="1"/>
      <c r="ALO371" s="1"/>
      <c r="ALP371" s="1"/>
      <c r="ALQ371" s="1"/>
      <c r="ALR371" s="1"/>
      <c r="ALS371" s="1"/>
      <c r="ALT371" s="1"/>
      <c r="ALU371" s="1"/>
      <c r="ALV371" s="1"/>
      <c r="ALW371" s="1"/>
      <c r="ALX371" s="1"/>
      <c r="ALY371" s="1"/>
      <c r="ALZ371" s="1"/>
      <c r="AMA371" s="1"/>
      <c r="AMB371" s="1"/>
      <c r="AMC371" s="1"/>
      <c r="AMD371" s="1"/>
      <c r="AME371" s="1"/>
      <c r="AMF371" s="1"/>
      <c r="AMG371" s="1"/>
      <c r="AMH371" s="1"/>
      <c r="AMI371" s="1"/>
      <c r="AMJ371" s="1"/>
      <c r="AMK371" s="1"/>
      <c r="AML371" s="1"/>
      <c r="AMM371" s="1"/>
      <c r="AMN371" s="1"/>
      <c r="AMO371" s="1"/>
    </row>
    <row r="372" spans="1:1029" x14ac:dyDescent="0.2">
      <c r="A372" s="9" t="str">
        <f>CONCATENATE(B372,"_",C372)</f>
        <v>pe2r4_human_5YHL</v>
      </c>
      <c r="B372" s="9" t="s">
        <v>363</v>
      </c>
      <c r="C372" s="9" t="s">
        <v>1531</v>
      </c>
      <c r="D372" s="9" t="str">
        <f>IFERROR(MID(VLOOKUP($B372,Seqs!$A:$B,2,0),E372,1),"")</f>
        <v>N</v>
      </c>
      <c r="E372" s="9">
        <v>18</v>
      </c>
      <c r="F372" s="9" t="str">
        <f>IFERROR(MID(VLOOKUP($B372,Seqs!$A:$B,2,0),G372,1),"")</f>
        <v>C</v>
      </c>
      <c r="G372" s="9">
        <v>43</v>
      </c>
      <c r="H372" s="9" t="str">
        <f>IFERROR(MID(VLOOKUP($B372,Seqs!$A:$B,2,0),I372,1),"")</f>
        <v/>
      </c>
      <c r="I372" s="109" t="s">
        <v>23</v>
      </c>
      <c r="J372" s="9" t="str">
        <f>IFERROR(MID(VLOOKUP($B372,Seqs!$A:$B,2,0),K372,1),"")</f>
        <v/>
      </c>
      <c r="K372" s="109" t="s">
        <v>23</v>
      </c>
      <c r="L372" s="9" t="str">
        <f>IFERROR(MID(VLOOKUP($B372,Seqs!$A:$B,2,0),M372,1),"")</f>
        <v>E</v>
      </c>
      <c r="M372" s="9">
        <v>51</v>
      </c>
      <c r="N372" s="9" t="str">
        <f>IFERROR(MID(VLOOKUP($B372,Seqs!$A:$B,2,0),O372,1),"")</f>
        <v>K</v>
      </c>
      <c r="O372" s="9">
        <v>82</v>
      </c>
      <c r="P372" s="9" t="str">
        <f>IFERROR(MID(VLOOKUP($B372,Seqs!$A:$B,2,0),Q372,1),"")</f>
        <v>Q</v>
      </c>
      <c r="Q372" s="9">
        <v>84</v>
      </c>
      <c r="R372" s="9" t="str">
        <f>IFERROR(MID(VLOOKUP($B372,Seqs!$A:$B,2,0),S372,1),"")</f>
        <v>G</v>
      </c>
      <c r="S372" s="9">
        <v>87</v>
      </c>
      <c r="T372" s="9" t="str">
        <f>IFERROR(MID(VLOOKUP($B372,Seqs!$A:$B,2,0),U372,1),"")</f>
        <v>G</v>
      </c>
      <c r="U372" s="9">
        <v>88</v>
      </c>
      <c r="V372" s="9" t="str">
        <f>IFERROR(MID(VLOOKUP($B372,Seqs!$A:$B,2,0),W372,1),"")</f>
        <v>H</v>
      </c>
      <c r="W372" s="9">
        <v>123</v>
      </c>
      <c r="X372" s="9" t="str">
        <f>IFERROR(MID(VLOOKUP($B372,Seqs!$A:$B,2,0),Y372,1),"")</f>
        <v>A</v>
      </c>
      <c r="Y372" s="9">
        <v>124</v>
      </c>
      <c r="Z372" s="9" t="str">
        <f>IFERROR(MID(VLOOKUP($B372,Seqs!$A:$B,2,0),AA372,1),"")</f>
        <v>V</v>
      </c>
      <c r="AA372" s="9">
        <v>131</v>
      </c>
      <c r="AB372" s="9" t="str">
        <f>IFERROR(MID(VLOOKUP($B372,Seqs!$A:$B,2,0),AC372,1),"")</f>
        <v>D</v>
      </c>
      <c r="AC372" s="9">
        <v>132</v>
      </c>
      <c r="AD372" s="9" t="str">
        <f>IFERROR(MID(VLOOKUP($B372,Seqs!$A:$B,2,0),AE372,1),"")</f>
        <v>G</v>
      </c>
      <c r="AE372" s="9">
        <v>157</v>
      </c>
      <c r="AF372" s="9" t="str">
        <f>IFERROR(MID(VLOOKUP($B372,Seqs!$A:$B,2,0),AG372,1),"")</f>
        <v>C</v>
      </c>
      <c r="AG372" s="9">
        <v>170</v>
      </c>
      <c r="AH372" s="9" t="str">
        <f>IFERROR(MID(VLOOKUP($B372,Seqs!$A:$B,2,0),AI372,1),"")</f>
        <v>I</v>
      </c>
      <c r="AI372" s="9">
        <v>172</v>
      </c>
      <c r="AJ372" s="9" t="str">
        <f>IFERROR(MID(VLOOKUP($B372,Seqs!$A:$B,2,0),AK372,1),"")</f>
        <v>V</v>
      </c>
      <c r="AK372" s="9">
        <v>178</v>
      </c>
      <c r="AL372" s="9" t="str">
        <f>IFERROR(MID(VLOOKUP($B372,Seqs!$A:$B,2,0),AM372,1),"")</f>
        <v>H</v>
      </c>
      <c r="AM372" s="9">
        <v>214</v>
      </c>
      <c r="AN372" s="9" t="str">
        <f>IFERROR(MID(VLOOKUP($B372,Seqs!$A:$B,2,0),AO372,1),"")</f>
        <v>A</v>
      </c>
      <c r="AO372" s="9">
        <v>266</v>
      </c>
      <c r="AP372" s="9" t="str">
        <f>IFERROR(MID(VLOOKUP($B372,Seqs!$A:$B,2,0),AQ372,1),"")</f>
        <v>Y</v>
      </c>
      <c r="AQ372" s="9">
        <v>298</v>
      </c>
      <c r="AR372" s="9" t="str">
        <f>IFERROR(MID(VLOOKUP($B372,Seqs!$A:$B,2,0),AS372,1),"")</f>
        <v>N</v>
      </c>
      <c r="AS372" s="9">
        <v>309</v>
      </c>
      <c r="AT372" s="9" t="str">
        <f>IFERROR(MID(VLOOKUP($B372,Seqs!$A:$B,2,0),AU372,1),"")</f>
        <v>L</v>
      </c>
      <c r="AU372" s="9">
        <v>332</v>
      </c>
      <c r="AV372" s="9" t="str">
        <f>IFERROR(MID(VLOOKUP($B372,Seqs!$A:$B,2,0),AW372,1),"")</f>
        <v>R</v>
      </c>
      <c r="AW372" s="9">
        <v>333</v>
      </c>
      <c r="AX372" s="9" t="str">
        <f>IFERROR(MID(VLOOKUP($B372,Seqs!$A:$B,2,0),AY372,1),"")</f>
        <v>I</v>
      </c>
      <c r="AY372" s="9">
        <v>344</v>
      </c>
      <c r="AZ372" s="110" t="str">
        <f>VLOOKUP(B372,Classification!A:D,2,0)</f>
        <v>A</v>
      </c>
      <c r="BA372" s="98" t="str">
        <f>VLOOKUP(B372,Classification!A:D,4,0)</f>
        <v>Prostanoid</v>
      </c>
      <c r="BB372" s="36" t="b">
        <f>AND(E372&lt;G372,OR(G372&lt;I372,I372="-"),OR(I372&lt;K372,I372="-"),OR(K372&lt;M372,K372="-"),M372&lt;O372,OR(O372&lt;Q372,Q372="-"),OR(Q372&lt;S372,Q372="-"),OR(S372&lt;U372,S372="-"),U372&lt;W372,OR(W372&lt;Y372,Y372="-"),OR(Y372&lt;AA372,Y372="-"),OR(AA372&lt;AC372,AA372="-"),AC372&lt;AE372,OR(AE372&lt;AG372,AG372="-"),OR(AG372&lt;AI372,AG372="-"),OR(AI372&lt;AK372,AI372="-"),AK372&lt;AM372,AM372&lt;AO372,AO372&lt;AQ372,AQ372&lt;AS372,AS372&lt;AU372,OR(AU372&lt;AW372,AW372="-"),OR(AW372&lt;AY372,AW372="-"))</f>
        <v>1</v>
      </c>
      <c r="BC372" s="109">
        <f>_xlfn.AGGREGATE(9,6,CH372:CS372)-_xlfn.AGGREGATE(9,6,BV372:CG372)+12</f>
        <v>242</v>
      </c>
      <c r="BD372" s="40" t="s">
        <v>23</v>
      </c>
      <c r="BE372" s="9" t="s">
        <v>1368</v>
      </c>
      <c r="BF372" s="119">
        <v>4.2</v>
      </c>
      <c r="BG372" s="51" t="s">
        <v>1</v>
      </c>
      <c r="BH372" s="51" t="s">
        <v>1</v>
      </c>
      <c r="BI372" s="12"/>
      <c r="BJ372" s="111" t="s">
        <v>1281</v>
      </c>
      <c r="BK372" s="112" t="s">
        <v>1281</v>
      </c>
      <c r="BL372" s="112" t="s">
        <v>1281</v>
      </c>
      <c r="BM372" s="112" t="s">
        <v>1281</v>
      </c>
      <c r="BN372" s="112" t="s">
        <v>1281</v>
      </c>
      <c r="BO372" s="112" t="s">
        <v>1281</v>
      </c>
      <c r="BP372" s="112" t="s">
        <v>1281</v>
      </c>
      <c r="BQ372" s="112" t="s">
        <v>1281</v>
      </c>
      <c r="BR372" s="112" t="s">
        <v>1281</v>
      </c>
      <c r="BS372" s="112" t="s">
        <v>1281</v>
      </c>
      <c r="BT372" s="112" t="s">
        <v>1281</v>
      </c>
      <c r="BU372" s="112" t="s">
        <v>1281</v>
      </c>
      <c r="BV372" s="111">
        <f>E372</f>
        <v>18</v>
      </c>
      <c r="BW372" s="113" t="str">
        <f>I372</f>
        <v>-</v>
      </c>
      <c r="BX372" s="114">
        <f>M372</f>
        <v>51</v>
      </c>
      <c r="BY372" s="113">
        <f>Q372</f>
        <v>84</v>
      </c>
      <c r="BZ372" s="114">
        <f>U372</f>
        <v>88</v>
      </c>
      <c r="CA372" s="113">
        <f>Y372</f>
        <v>124</v>
      </c>
      <c r="CB372" s="114">
        <f>AC372</f>
        <v>132</v>
      </c>
      <c r="CC372" s="113">
        <f>AG372</f>
        <v>170</v>
      </c>
      <c r="CD372" s="114">
        <f>AK372</f>
        <v>178</v>
      </c>
      <c r="CE372" s="113">
        <f>AO372</f>
        <v>266</v>
      </c>
      <c r="CF372" s="114">
        <f>AS372</f>
        <v>309</v>
      </c>
      <c r="CG372" s="113">
        <f>AW372</f>
        <v>333</v>
      </c>
      <c r="CH372" s="111">
        <f>G372</f>
        <v>43</v>
      </c>
      <c r="CI372" s="113" t="str">
        <f>K372</f>
        <v>-</v>
      </c>
      <c r="CJ372" s="114">
        <f>O372</f>
        <v>82</v>
      </c>
      <c r="CK372" s="114">
        <f>S372</f>
        <v>87</v>
      </c>
      <c r="CL372" s="114">
        <f>W372</f>
        <v>123</v>
      </c>
      <c r="CM372" s="114">
        <f>AA372</f>
        <v>131</v>
      </c>
      <c r="CN372" s="114">
        <f>AE372</f>
        <v>157</v>
      </c>
      <c r="CO372" s="114">
        <f>AI372</f>
        <v>172</v>
      </c>
      <c r="CP372" s="114">
        <f>AM372</f>
        <v>214</v>
      </c>
      <c r="CQ372" s="114">
        <f>AQ372</f>
        <v>298</v>
      </c>
      <c r="CR372" s="114">
        <f>AU372</f>
        <v>332</v>
      </c>
      <c r="CS372" s="114">
        <f>AY372</f>
        <v>344</v>
      </c>
      <c r="CT372" s="109" t="e">
        <f>M372-K372</f>
        <v>#VALUE!</v>
      </c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  <c r="OK372" s="1"/>
      <c r="OL372" s="1"/>
      <c r="OM372" s="1"/>
      <c r="ON372" s="1"/>
      <c r="OO372" s="1"/>
      <c r="OP372" s="1"/>
      <c r="OQ372" s="1"/>
      <c r="OR372" s="1"/>
      <c r="OS372" s="1"/>
      <c r="OT372" s="1"/>
      <c r="OU372" s="1"/>
      <c r="OV372" s="1"/>
      <c r="OW372" s="1"/>
      <c r="OX372" s="1"/>
      <c r="OY372" s="1"/>
      <c r="OZ372" s="1"/>
      <c r="PA372" s="1"/>
      <c r="PB372" s="1"/>
      <c r="PC372" s="1"/>
      <c r="PD372" s="1"/>
      <c r="PE372" s="1"/>
      <c r="PF372" s="1"/>
      <c r="PG372" s="1"/>
      <c r="PH372" s="1"/>
      <c r="PI372" s="1"/>
      <c r="PJ372" s="1"/>
      <c r="PK372" s="1"/>
      <c r="PL372" s="1"/>
      <c r="PM372" s="1"/>
      <c r="PN372" s="1"/>
      <c r="PO372" s="1"/>
      <c r="PP372" s="1"/>
      <c r="PQ372" s="1"/>
      <c r="PR372" s="1"/>
      <c r="PS372" s="1"/>
      <c r="PT372" s="1"/>
      <c r="PU372" s="1"/>
      <c r="PV372" s="1"/>
      <c r="PW372" s="1"/>
      <c r="PX372" s="1"/>
      <c r="PY372" s="1"/>
      <c r="PZ372" s="1"/>
      <c r="QA372" s="1"/>
      <c r="QB372" s="1"/>
      <c r="QC372" s="1"/>
      <c r="QD372" s="1"/>
      <c r="QE372" s="1"/>
      <c r="QF372" s="1"/>
      <c r="QG372" s="1"/>
      <c r="QH372" s="1"/>
      <c r="QI372" s="1"/>
      <c r="QJ372" s="1"/>
      <c r="QK372" s="1"/>
      <c r="QL372" s="1"/>
      <c r="QM372" s="1"/>
      <c r="QN372" s="1"/>
      <c r="QO372" s="1"/>
      <c r="QP372" s="1"/>
      <c r="QQ372" s="1"/>
      <c r="QR372" s="1"/>
      <c r="QS372" s="1"/>
      <c r="QT372" s="1"/>
      <c r="QU372" s="1"/>
      <c r="QV372" s="1"/>
      <c r="QW372" s="1"/>
      <c r="QX372" s="1"/>
      <c r="QY372" s="1"/>
      <c r="QZ372" s="1"/>
      <c r="RA372" s="1"/>
      <c r="RB372" s="1"/>
      <c r="RC372" s="1"/>
      <c r="RD372" s="1"/>
      <c r="RE372" s="1"/>
      <c r="RF372" s="1"/>
      <c r="RG372" s="1"/>
      <c r="RH372" s="1"/>
      <c r="RI372" s="1"/>
      <c r="RJ372" s="1"/>
      <c r="RK372" s="1"/>
      <c r="RL372" s="1"/>
      <c r="RM372" s="1"/>
      <c r="RN372" s="1"/>
      <c r="RO372" s="1"/>
      <c r="RP372" s="1"/>
      <c r="RQ372" s="1"/>
      <c r="RR372" s="1"/>
      <c r="RS372" s="1"/>
      <c r="RT372" s="1"/>
      <c r="RU372" s="1"/>
      <c r="RV372" s="1"/>
      <c r="RW372" s="1"/>
      <c r="RX372" s="1"/>
      <c r="RY372" s="1"/>
      <c r="RZ372" s="1"/>
      <c r="SA372" s="1"/>
      <c r="SB372" s="1"/>
      <c r="SC372" s="1"/>
      <c r="SD372" s="1"/>
      <c r="SE372" s="1"/>
      <c r="SF372" s="1"/>
      <c r="SG372" s="1"/>
      <c r="SH372" s="1"/>
      <c r="SI372" s="1"/>
      <c r="SJ372" s="1"/>
      <c r="SK372" s="1"/>
      <c r="SL372" s="1"/>
      <c r="SM372" s="1"/>
      <c r="SN372" s="1"/>
      <c r="SO372" s="1"/>
      <c r="SP372" s="1"/>
      <c r="SQ372" s="1"/>
      <c r="SR372" s="1"/>
      <c r="SS372" s="1"/>
      <c r="ST372" s="1"/>
      <c r="SU372" s="1"/>
      <c r="SV372" s="1"/>
      <c r="SW372" s="1"/>
      <c r="SX372" s="1"/>
      <c r="SY372" s="1"/>
      <c r="SZ372" s="1"/>
      <c r="TA372" s="1"/>
      <c r="TB372" s="1"/>
      <c r="TC372" s="1"/>
      <c r="TD372" s="1"/>
      <c r="TE372" s="1"/>
      <c r="TF372" s="1"/>
      <c r="TG372" s="1"/>
      <c r="TH372" s="1"/>
      <c r="TI372" s="1"/>
      <c r="TJ372" s="1"/>
      <c r="TK372" s="1"/>
      <c r="TL372" s="1"/>
      <c r="TM372" s="1"/>
      <c r="TN372" s="1"/>
      <c r="TO372" s="1"/>
      <c r="TP372" s="1"/>
      <c r="TQ372" s="1"/>
      <c r="TR372" s="1"/>
      <c r="TS372" s="1"/>
      <c r="TT372" s="1"/>
      <c r="TU372" s="1"/>
      <c r="TV372" s="1"/>
      <c r="TW372" s="1"/>
      <c r="TX372" s="1"/>
      <c r="TY372" s="1"/>
      <c r="TZ372" s="1"/>
      <c r="UA372" s="1"/>
      <c r="UB372" s="1"/>
      <c r="UC372" s="1"/>
      <c r="UD372" s="1"/>
      <c r="UE372" s="1"/>
      <c r="UF372" s="1"/>
      <c r="UG372" s="1"/>
      <c r="UH372" s="1"/>
      <c r="UI372" s="1"/>
      <c r="UJ372" s="1"/>
      <c r="UK372" s="1"/>
      <c r="UL372" s="1"/>
      <c r="UM372" s="1"/>
      <c r="UN372" s="1"/>
      <c r="UO372" s="1"/>
      <c r="UP372" s="1"/>
      <c r="UQ372" s="1"/>
      <c r="UR372" s="1"/>
      <c r="US372" s="1"/>
      <c r="UT372" s="1"/>
      <c r="UU372" s="1"/>
      <c r="UV372" s="1"/>
      <c r="UW372" s="1"/>
      <c r="UX372" s="1"/>
      <c r="UY372" s="1"/>
      <c r="UZ372" s="1"/>
      <c r="VA372" s="1"/>
      <c r="VB372" s="1"/>
      <c r="VC372" s="1"/>
      <c r="VD372" s="1"/>
      <c r="VE372" s="1"/>
      <c r="VF372" s="1"/>
      <c r="VG372" s="1"/>
      <c r="VH372" s="1"/>
      <c r="VI372" s="1"/>
      <c r="VJ372" s="1"/>
      <c r="VK372" s="1"/>
      <c r="VL372" s="1"/>
      <c r="VM372" s="1"/>
      <c r="VN372" s="1"/>
      <c r="VO372" s="1"/>
      <c r="VP372" s="1"/>
      <c r="VQ372" s="1"/>
      <c r="VR372" s="1"/>
      <c r="VS372" s="1"/>
      <c r="VT372" s="1"/>
      <c r="VU372" s="1"/>
      <c r="VV372" s="1"/>
      <c r="VW372" s="1"/>
      <c r="VX372" s="1"/>
      <c r="VY372" s="1"/>
      <c r="VZ372" s="1"/>
      <c r="WA372" s="1"/>
      <c r="WB372" s="1"/>
      <c r="WC372" s="1"/>
      <c r="WD372" s="1"/>
      <c r="WE372" s="1"/>
      <c r="WF372" s="1"/>
      <c r="WG372" s="1"/>
      <c r="WH372" s="1"/>
      <c r="WI372" s="1"/>
      <c r="WJ372" s="1"/>
      <c r="WK372" s="1"/>
      <c r="WL372" s="1"/>
      <c r="WM372" s="1"/>
      <c r="WN372" s="1"/>
      <c r="WO372" s="1"/>
      <c r="WP372" s="1"/>
      <c r="WQ372" s="1"/>
      <c r="WR372" s="1"/>
      <c r="WS372" s="1"/>
      <c r="WT372" s="1"/>
      <c r="WU372" s="1"/>
      <c r="WV372" s="1"/>
      <c r="WW372" s="1"/>
      <c r="WX372" s="1"/>
      <c r="WY372" s="1"/>
      <c r="WZ372" s="1"/>
      <c r="XA372" s="1"/>
      <c r="XB372" s="1"/>
      <c r="XC372" s="1"/>
      <c r="XD372" s="1"/>
      <c r="XE372" s="1"/>
      <c r="XF372" s="1"/>
      <c r="XG372" s="1"/>
      <c r="XH372" s="1"/>
      <c r="XI372" s="1"/>
      <c r="XJ372" s="1"/>
      <c r="XK372" s="1"/>
      <c r="XL372" s="1"/>
      <c r="XM372" s="1"/>
      <c r="XN372" s="1"/>
      <c r="XO372" s="1"/>
      <c r="XP372" s="1"/>
      <c r="XQ372" s="1"/>
      <c r="XR372" s="1"/>
      <c r="XS372" s="1"/>
      <c r="XT372" s="1"/>
      <c r="XU372" s="1"/>
      <c r="XV372" s="1"/>
      <c r="XW372" s="1"/>
      <c r="XX372" s="1"/>
      <c r="XY372" s="1"/>
      <c r="XZ372" s="1"/>
      <c r="YA372" s="1"/>
      <c r="YB372" s="1"/>
      <c r="YC372" s="1"/>
      <c r="YD372" s="1"/>
      <c r="YE372" s="1"/>
      <c r="YF372" s="1"/>
      <c r="YG372" s="1"/>
      <c r="YH372" s="1"/>
      <c r="YI372" s="1"/>
      <c r="YJ372" s="1"/>
      <c r="YK372" s="1"/>
      <c r="YL372" s="1"/>
      <c r="YM372" s="1"/>
      <c r="YN372" s="1"/>
      <c r="YO372" s="1"/>
      <c r="YP372" s="1"/>
      <c r="YQ372" s="1"/>
      <c r="YR372" s="1"/>
      <c r="YS372" s="1"/>
      <c r="YT372" s="1"/>
      <c r="YU372" s="1"/>
      <c r="YV372" s="1"/>
      <c r="YW372" s="1"/>
      <c r="YX372" s="1"/>
      <c r="YY372" s="1"/>
      <c r="YZ372" s="1"/>
      <c r="ZA372" s="1"/>
      <c r="ZB372" s="1"/>
      <c r="ZC372" s="1"/>
      <c r="ZD372" s="1"/>
      <c r="ZE372" s="1"/>
      <c r="ZF372" s="1"/>
      <c r="ZG372" s="1"/>
      <c r="ZH372" s="1"/>
      <c r="ZI372" s="1"/>
      <c r="ZJ372" s="1"/>
      <c r="ZK372" s="1"/>
      <c r="ZL372" s="1"/>
      <c r="ZM372" s="1"/>
      <c r="ZN372" s="1"/>
      <c r="ZO372" s="1"/>
      <c r="ZP372" s="1"/>
      <c r="ZQ372" s="1"/>
      <c r="ZR372" s="1"/>
      <c r="ZS372" s="1"/>
      <c r="ZT372" s="1"/>
      <c r="ZU372" s="1"/>
      <c r="ZV372" s="1"/>
      <c r="ZW372" s="1"/>
      <c r="ZX372" s="1"/>
      <c r="ZY372" s="1"/>
      <c r="ZZ372" s="1"/>
      <c r="AAA372" s="1"/>
      <c r="AAB372" s="1"/>
      <c r="AAC372" s="1"/>
      <c r="AAD372" s="1"/>
      <c r="AAE372" s="1"/>
      <c r="AAF372" s="1"/>
      <c r="AAG372" s="1"/>
      <c r="AAH372" s="1"/>
      <c r="AAI372" s="1"/>
      <c r="AAJ372" s="1"/>
      <c r="AAK372" s="1"/>
      <c r="AAL372" s="1"/>
      <c r="AAM372" s="1"/>
      <c r="AAN372" s="1"/>
      <c r="AAO372" s="1"/>
      <c r="AAP372" s="1"/>
      <c r="AAQ372" s="1"/>
      <c r="AAR372" s="1"/>
      <c r="AAS372" s="1"/>
      <c r="AAT372" s="1"/>
      <c r="AAU372" s="1"/>
      <c r="AAV372" s="1"/>
      <c r="AAW372" s="1"/>
      <c r="AAX372" s="1"/>
      <c r="AAY372" s="1"/>
      <c r="AAZ372" s="1"/>
      <c r="ABA372" s="1"/>
      <c r="ABB372" s="1"/>
      <c r="ABC372" s="1"/>
      <c r="ABD372" s="1"/>
      <c r="ABE372" s="1"/>
      <c r="ABF372" s="1"/>
      <c r="ABG372" s="1"/>
      <c r="ABH372" s="1"/>
      <c r="ABI372" s="1"/>
      <c r="ABJ372" s="1"/>
      <c r="ABK372" s="1"/>
      <c r="ABL372" s="1"/>
      <c r="ABM372" s="1"/>
      <c r="ABN372" s="1"/>
      <c r="ABO372" s="1"/>
      <c r="ABP372" s="1"/>
      <c r="ABQ372" s="1"/>
      <c r="ABR372" s="1"/>
      <c r="ABS372" s="1"/>
      <c r="ABT372" s="1"/>
      <c r="ABU372" s="1"/>
      <c r="ABV372" s="1"/>
      <c r="ABW372" s="1"/>
      <c r="ABX372" s="1"/>
      <c r="ABY372" s="1"/>
      <c r="ABZ372" s="1"/>
      <c r="ACA372" s="1"/>
      <c r="ACB372" s="1"/>
      <c r="ACC372" s="1"/>
      <c r="ACD372" s="1"/>
      <c r="ACE372" s="1"/>
      <c r="ACF372" s="1"/>
      <c r="ACG372" s="1"/>
      <c r="ACH372" s="1"/>
      <c r="ACI372" s="1"/>
      <c r="ACJ372" s="1"/>
      <c r="ACK372" s="1"/>
      <c r="ACL372" s="1"/>
      <c r="ACM372" s="1"/>
      <c r="ACN372" s="1"/>
      <c r="ACO372" s="1"/>
      <c r="ACP372" s="1"/>
      <c r="ACQ372" s="1"/>
      <c r="ACR372" s="1"/>
      <c r="ACS372" s="1"/>
      <c r="ACT372" s="1"/>
      <c r="ACU372" s="1"/>
      <c r="ACV372" s="1"/>
      <c r="ACW372" s="1"/>
      <c r="ACX372" s="1"/>
      <c r="ACY372" s="1"/>
      <c r="ACZ372" s="1"/>
      <c r="ADA372" s="1"/>
      <c r="ADB372" s="1"/>
      <c r="ADC372" s="1"/>
      <c r="ADD372" s="1"/>
      <c r="ADE372" s="1"/>
      <c r="ADF372" s="1"/>
      <c r="ADG372" s="1"/>
      <c r="ADH372" s="1"/>
      <c r="ADI372" s="1"/>
      <c r="ADJ372" s="1"/>
      <c r="ADK372" s="1"/>
      <c r="ADL372" s="1"/>
      <c r="ADM372" s="1"/>
      <c r="ADN372" s="1"/>
      <c r="ADO372" s="1"/>
      <c r="ADP372" s="1"/>
      <c r="ADQ372" s="1"/>
      <c r="ADR372" s="1"/>
      <c r="ADS372" s="1"/>
      <c r="ADT372" s="1"/>
      <c r="ADU372" s="1"/>
      <c r="ADV372" s="1"/>
      <c r="ADW372" s="1"/>
      <c r="ADX372" s="1"/>
      <c r="ADY372" s="1"/>
      <c r="ADZ372" s="1"/>
      <c r="AEA372" s="1"/>
      <c r="AEB372" s="1"/>
      <c r="AEC372" s="1"/>
      <c r="AED372" s="1"/>
      <c r="AEE372" s="1"/>
      <c r="AEF372" s="1"/>
      <c r="AEG372" s="1"/>
      <c r="AEH372" s="1"/>
      <c r="AEI372" s="1"/>
      <c r="AEJ372" s="1"/>
      <c r="AEK372" s="1"/>
      <c r="AEL372" s="1"/>
      <c r="AEM372" s="1"/>
      <c r="AEN372" s="1"/>
      <c r="AEO372" s="1"/>
      <c r="AEP372" s="1"/>
      <c r="AEQ372" s="1"/>
      <c r="AER372" s="1"/>
      <c r="AES372" s="1"/>
      <c r="AET372" s="1"/>
      <c r="AEU372" s="1"/>
      <c r="AEV372" s="1"/>
      <c r="AEW372" s="1"/>
      <c r="AEX372" s="1"/>
      <c r="AEY372" s="1"/>
      <c r="AEZ372" s="1"/>
      <c r="AFA372" s="1"/>
      <c r="AFB372" s="1"/>
      <c r="AFC372" s="1"/>
      <c r="AFD372" s="1"/>
      <c r="AFE372" s="1"/>
      <c r="AFF372" s="1"/>
      <c r="AFG372" s="1"/>
      <c r="AFH372" s="1"/>
      <c r="AFI372" s="1"/>
      <c r="AFJ372" s="1"/>
      <c r="AFK372" s="1"/>
      <c r="AFL372" s="1"/>
      <c r="AFM372" s="1"/>
      <c r="AFN372" s="1"/>
      <c r="AFO372" s="1"/>
      <c r="AFP372" s="1"/>
      <c r="AFQ372" s="1"/>
      <c r="AFR372" s="1"/>
      <c r="AFS372" s="1"/>
      <c r="AFT372" s="1"/>
      <c r="AFU372" s="1"/>
      <c r="AFV372" s="1"/>
      <c r="AFW372" s="1"/>
      <c r="AFX372" s="1"/>
      <c r="AFY372" s="1"/>
      <c r="AFZ372" s="1"/>
      <c r="AGA372" s="1"/>
      <c r="AGB372" s="1"/>
      <c r="AGC372" s="1"/>
      <c r="AGD372" s="1"/>
      <c r="AGE372" s="1"/>
      <c r="AGF372" s="1"/>
      <c r="AGG372" s="1"/>
      <c r="AGH372" s="1"/>
      <c r="AGI372" s="1"/>
      <c r="AGJ372" s="1"/>
      <c r="AGK372" s="1"/>
      <c r="AGL372" s="1"/>
      <c r="AGM372" s="1"/>
      <c r="AGN372" s="1"/>
      <c r="AGO372" s="1"/>
      <c r="AGP372" s="1"/>
      <c r="AGQ372" s="1"/>
      <c r="AGR372" s="1"/>
      <c r="AGS372" s="1"/>
      <c r="AGT372" s="1"/>
      <c r="AGU372" s="1"/>
      <c r="AGV372" s="1"/>
      <c r="AGW372" s="1"/>
      <c r="AGX372" s="1"/>
      <c r="AGY372" s="1"/>
      <c r="AGZ372" s="1"/>
      <c r="AHA372" s="1"/>
      <c r="AHB372" s="1"/>
      <c r="AHC372" s="1"/>
      <c r="AHD372" s="1"/>
      <c r="AHE372" s="1"/>
      <c r="AHF372" s="1"/>
      <c r="AHG372" s="1"/>
      <c r="AHH372" s="1"/>
      <c r="AHI372" s="1"/>
      <c r="AHJ372" s="1"/>
      <c r="AHK372" s="1"/>
      <c r="AHL372" s="1"/>
      <c r="AHM372" s="1"/>
      <c r="AHN372" s="1"/>
      <c r="AHO372" s="1"/>
      <c r="AHP372" s="1"/>
      <c r="AHQ372" s="1"/>
      <c r="AHR372" s="1"/>
      <c r="AHS372" s="1"/>
      <c r="AHT372" s="1"/>
      <c r="AHU372" s="1"/>
      <c r="AHV372" s="1"/>
      <c r="AHW372" s="1"/>
      <c r="AHX372" s="1"/>
      <c r="AHY372" s="1"/>
      <c r="AHZ372" s="1"/>
      <c r="AIA372" s="1"/>
      <c r="AIB372" s="1"/>
      <c r="AIC372" s="1"/>
      <c r="AID372" s="1"/>
      <c r="AIE372" s="1"/>
      <c r="AIF372" s="1"/>
      <c r="AIG372" s="1"/>
      <c r="AIH372" s="1"/>
      <c r="AII372" s="1"/>
      <c r="AIJ372" s="1"/>
      <c r="AIK372" s="1"/>
      <c r="AIL372" s="1"/>
      <c r="AIM372" s="1"/>
      <c r="AIN372" s="1"/>
      <c r="AIO372" s="1"/>
      <c r="AIP372" s="1"/>
      <c r="AIQ372" s="1"/>
      <c r="AIR372" s="1"/>
      <c r="AIS372" s="1"/>
      <c r="AIT372" s="1"/>
      <c r="AIU372" s="1"/>
      <c r="AIV372" s="1"/>
      <c r="AIW372" s="1"/>
      <c r="AIX372" s="1"/>
      <c r="AIY372" s="1"/>
      <c r="AIZ372" s="1"/>
      <c r="AJA372" s="1"/>
      <c r="AJB372" s="1"/>
      <c r="AJC372" s="1"/>
      <c r="AJD372" s="1"/>
      <c r="AJE372" s="1"/>
      <c r="AJF372" s="1"/>
      <c r="AJG372" s="1"/>
      <c r="AJH372" s="1"/>
      <c r="AJI372" s="1"/>
      <c r="AJJ372" s="1"/>
      <c r="AJK372" s="1"/>
      <c r="AJL372" s="1"/>
      <c r="AJM372" s="1"/>
      <c r="AJN372" s="1"/>
      <c r="AJO372" s="1"/>
      <c r="AJP372" s="1"/>
      <c r="AJQ372" s="1"/>
      <c r="AJR372" s="1"/>
      <c r="AJS372" s="1"/>
      <c r="AJT372" s="1"/>
      <c r="AJU372" s="1"/>
      <c r="AJV372" s="1"/>
      <c r="AJW372" s="1"/>
      <c r="AJX372" s="1"/>
      <c r="AJY372" s="1"/>
      <c r="AJZ372" s="1"/>
      <c r="AKA372" s="1"/>
      <c r="AKB372" s="1"/>
      <c r="AKC372" s="1"/>
      <c r="AKD372" s="1"/>
      <c r="AKE372" s="1"/>
      <c r="AKF372" s="1"/>
      <c r="AKG372" s="1"/>
      <c r="AKH372" s="1"/>
      <c r="AKI372" s="1"/>
      <c r="AKJ372" s="1"/>
      <c r="AKK372" s="1"/>
      <c r="AKL372" s="1"/>
      <c r="AKM372" s="1"/>
      <c r="AKN372" s="1"/>
      <c r="AKO372" s="1"/>
      <c r="AKP372" s="1"/>
      <c r="AKQ372" s="1"/>
      <c r="AKR372" s="1"/>
      <c r="AKS372" s="1"/>
      <c r="AKT372" s="1"/>
      <c r="AKU372" s="1"/>
      <c r="AKV372" s="1"/>
      <c r="AKW372" s="1"/>
      <c r="AKX372" s="1"/>
      <c r="AKY372" s="1"/>
      <c r="AKZ372" s="1"/>
      <c r="ALA372" s="1"/>
      <c r="ALB372" s="1"/>
      <c r="ALC372" s="1"/>
      <c r="ALD372" s="1"/>
      <c r="ALE372" s="1"/>
      <c r="ALF372" s="1"/>
      <c r="ALG372" s="1"/>
      <c r="ALH372" s="1"/>
      <c r="ALI372" s="1"/>
      <c r="ALJ372" s="1"/>
      <c r="ALK372" s="1"/>
      <c r="ALL372" s="1"/>
      <c r="ALM372" s="1"/>
      <c r="ALN372" s="1"/>
      <c r="ALO372" s="1"/>
      <c r="ALP372" s="1"/>
      <c r="ALQ372" s="1"/>
      <c r="ALR372" s="1"/>
      <c r="ALS372" s="1"/>
      <c r="ALT372" s="1"/>
      <c r="ALU372" s="1"/>
      <c r="ALV372" s="1"/>
      <c r="ALW372" s="1"/>
      <c r="ALX372" s="1"/>
      <c r="ALY372" s="1"/>
      <c r="ALZ372" s="1"/>
      <c r="AMA372" s="1"/>
      <c r="AMB372" s="1"/>
      <c r="AMC372" s="1"/>
      <c r="AMD372" s="1"/>
      <c r="AME372" s="1"/>
      <c r="AMF372" s="1"/>
      <c r="AMG372" s="1"/>
      <c r="AMH372" s="1"/>
      <c r="AMI372" s="1"/>
      <c r="AMJ372" s="1"/>
      <c r="AMK372" s="1"/>
      <c r="AML372" s="1"/>
      <c r="AMM372" s="1"/>
      <c r="AMN372" s="1"/>
      <c r="AMO372" s="1"/>
    </row>
    <row r="373" spans="1:1029" x14ac:dyDescent="0.2">
      <c r="A373" s="3" t="str">
        <f>CONCATENATE(B373,"_",C373)</f>
        <v>ptafr_human__wt</v>
      </c>
      <c r="B373" s="3" t="s">
        <v>370</v>
      </c>
      <c r="C373" s="3" t="s">
        <v>100</v>
      </c>
      <c r="D373" s="3" t="str">
        <f>IFERROR(MID(VLOOKUP($B373,Seqs!$A:$B,2,0),E373,1),"")</f>
        <v>D</v>
      </c>
      <c r="E373" s="3">
        <v>10</v>
      </c>
      <c r="F373" s="3" t="str">
        <f>IFERROR(MID(VLOOKUP($B373,Seqs!$A:$B,2,0),G373,1),"")</f>
        <v>Y</v>
      </c>
      <c r="G373" s="3">
        <v>44</v>
      </c>
      <c r="H373" s="3" t="str">
        <f>IFERROR(MID(VLOOKUP($B373,Seqs!$A:$B,2,0),I373,1),"")</f>
        <v/>
      </c>
      <c r="I373" s="23" t="s">
        <v>23</v>
      </c>
      <c r="J373" s="3" t="str">
        <f>IFERROR(MID(VLOOKUP($B373,Seqs!$A:$B,2,0),K373,1),"")</f>
        <v/>
      </c>
      <c r="K373" s="23" t="s">
        <v>23</v>
      </c>
      <c r="L373" s="3" t="str">
        <f>IFERROR(MID(VLOOKUP($B373,Seqs!$A:$B,2,0),M373,1),"")</f>
        <v>F</v>
      </c>
      <c r="M373" s="3">
        <v>49</v>
      </c>
      <c r="N373" s="3" t="str">
        <f>IFERROR(MID(VLOOKUP($B373,Seqs!$A:$B,2,0),O373,1),"")</f>
        <v>Q</v>
      </c>
      <c r="O373" s="3">
        <v>80</v>
      </c>
      <c r="P373" s="3" t="str">
        <f>IFERROR(MID(VLOOKUP($B373,Seqs!$A:$B,2,0),Q373,1),"")</f>
        <v>N</v>
      </c>
      <c r="Q373" s="3">
        <v>82</v>
      </c>
      <c r="R373" s="3" t="str">
        <f>IFERROR(MID(VLOOKUP($B373,Seqs!$A:$B,2,0),S373,1),"")</f>
        <v>L</v>
      </c>
      <c r="S373" s="3">
        <v>85</v>
      </c>
      <c r="T373" s="3" t="str">
        <f>IFERROR(MID(VLOOKUP($B373,Seqs!$A:$B,2,0),U373,1),"")</f>
        <v>P</v>
      </c>
      <c r="U373" s="3">
        <v>86</v>
      </c>
      <c r="V373" s="3" t="str">
        <f>IFERROR(MID(VLOOKUP($B373,Seqs!$A:$B,2,0),W373,1),"")</f>
        <v>R</v>
      </c>
      <c r="W373" s="3">
        <v>121</v>
      </c>
      <c r="X373" s="3" t="str">
        <f>IFERROR(MID(VLOOKUP($B373,Seqs!$A:$B,2,0),Y373,1),"")</f>
        <v>P</v>
      </c>
      <c r="Y373" s="3">
        <v>122</v>
      </c>
      <c r="Z373" s="3" t="str">
        <f>IFERROR(MID(VLOOKUP($B373,Seqs!$A:$B,2,0),AA373,1),"")</f>
        <v>N</v>
      </c>
      <c r="AA373" s="3">
        <v>129</v>
      </c>
      <c r="AB373" s="3" t="str">
        <f>IFERROR(MID(VLOOKUP($B373,Seqs!$A:$B,2,0),AC373,1),"")</f>
        <v>T</v>
      </c>
      <c r="AC373" s="3">
        <v>130</v>
      </c>
      <c r="AD373" s="3" t="str">
        <f>IFERROR(MID(VLOOKUP($B373,Seqs!$A:$B,2,0),AE373,1),"")</f>
        <v>L</v>
      </c>
      <c r="AE373" s="3">
        <v>155</v>
      </c>
      <c r="AF373" s="3" t="str">
        <f>IFERROR(MID(VLOOKUP($B373,Seqs!$A:$B,2,0),AG373,1),"")</f>
        <v>C</v>
      </c>
      <c r="AG373" s="3">
        <v>173</v>
      </c>
      <c r="AH373" s="3" t="str">
        <f>IFERROR(MID(VLOOKUP($B373,Seqs!$A:$B,2,0),AI373,1),"")</f>
        <v>E</v>
      </c>
      <c r="AI373" s="3">
        <v>175</v>
      </c>
      <c r="AJ373" s="3" t="str">
        <f>IFERROR(MID(VLOOKUP($B373,Seqs!$A:$B,2,0),AK373,1),"")</f>
        <v>S</v>
      </c>
      <c r="AK373" s="3">
        <v>181</v>
      </c>
      <c r="AL373" s="3" t="str">
        <f>IFERROR(MID(VLOOKUP($B373,Seqs!$A:$B,2,0),AM373,1),"")</f>
        <v>Q</v>
      </c>
      <c r="AM373" s="3">
        <v>216</v>
      </c>
      <c r="AN373" s="3" t="str">
        <f>IFERROR(MID(VLOOKUP($B373,Seqs!$A:$B,2,0),AO373,1),"")</f>
        <v>Q</v>
      </c>
      <c r="AO373" s="3">
        <v>221</v>
      </c>
      <c r="AP373" s="3" t="str">
        <f>IFERROR(MID(VLOOKUP($B373,Seqs!$A:$B,2,0),AQ373,1),"")</f>
        <v>G</v>
      </c>
      <c r="AQ373" s="3">
        <v>261</v>
      </c>
      <c r="AR373" s="3" t="str">
        <f>IFERROR(MID(VLOOKUP($B373,Seqs!$A:$B,2,0),AS373,1),"")</f>
        <v>D</v>
      </c>
      <c r="AS373" s="3">
        <v>264</v>
      </c>
      <c r="AT373" s="3" t="str">
        <f>IFERROR(MID(VLOOKUP($B373,Seqs!$A:$B,2,0),AU373,1),"")</f>
        <v>K</v>
      </c>
      <c r="AU373" s="3">
        <v>299</v>
      </c>
      <c r="AV373" s="3" t="str">
        <f>IFERROR(MID(VLOOKUP($B373,Seqs!$A:$B,2,0),AW373,1),"")</f>
        <v>F</v>
      </c>
      <c r="AW373" s="3">
        <v>300</v>
      </c>
      <c r="AX373" s="3" t="str">
        <f>IFERROR(MID(VLOOKUP($B373,Seqs!$A:$B,2,0),AY373,1),"")</f>
        <v>S</v>
      </c>
      <c r="AY373" s="3">
        <v>313</v>
      </c>
      <c r="AZ373" s="77" t="str">
        <f>VLOOKUP(B373,Classification!A:D,2,0)</f>
        <v>A</v>
      </c>
      <c r="BA373" s="94" t="str">
        <f>VLOOKUP(B373,Classification!A:D,4,0)</f>
        <v>Platelet-activatingfactor</v>
      </c>
      <c r="BB373" s="27" t="b">
        <f>AND(E373&lt;G373,OR(G373&lt;I373,I373="-"),OR(I373&lt;K373,I373="-"),OR(K373&lt;M373,K373="-"),M373&lt;O373,OR(O373&lt;Q373,Q373="-"),OR(Q373&lt;S373,Q373="-"),OR(S373&lt;U373,S373="-"),U373&lt;W373,OR(W373&lt;Y373,Y373="-"),OR(Y373&lt;AA373,Y373="-"),OR(AA373&lt;AC373,AA373="-"),AC373&lt;AE373,OR(AE373&lt;AG373,AG373="-"),OR(AG373&lt;AI373,AG373="-"),OR(AI373&lt;AK373,AI373="-"),AK373&lt;AM373,AM373&lt;AO373,AO373&lt;AQ373,AQ373&lt;AS373,AS373&lt;AU373,OR(AU373&lt;AW373,AW373="-"),OR(AW373&lt;AY373,AW373="-"))</f>
        <v>1</v>
      </c>
      <c r="BC373" s="23">
        <f>_xlfn.AGGREGATE(9,6,CH373:CS373)-_xlfn.AGGREGATE(9,6,BV373:CG373)+12</f>
        <v>272</v>
      </c>
      <c r="BD373" s="2" t="s">
        <v>23</v>
      </c>
      <c r="BE373" s="3" t="s">
        <v>23</v>
      </c>
      <c r="BF373" s="118" t="s">
        <v>23</v>
      </c>
      <c r="BG373" s="49" t="s">
        <v>1371</v>
      </c>
      <c r="BH373" s="49" t="s">
        <v>1371</v>
      </c>
      <c r="BI373" s="1"/>
      <c r="BJ373" s="70" t="s">
        <v>1281</v>
      </c>
      <c r="BK373" s="57" t="s">
        <v>1281</v>
      </c>
      <c r="BL373" s="57" t="s">
        <v>1281</v>
      </c>
      <c r="BM373" s="57" t="s">
        <v>1281</v>
      </c>
      <c r="BN373" s="57" t="s">
        <v>1281</v>
      </c>
      <c r="BO373" s="57" t="s">
        <v>1281</v>
      </c>
      <c r="BP373" s="57" t="s">
        <v>1281</v>
      </c>
      <c r="BQ373" s="57" t="s">
        <v>1281</v>
      </c>
      <c r="BR373" s="57" t="s">
        <v>1281</v>
      </c>
      <c r="BS373" s="57" t="s">
        <v>1281</v>
      </c>
      <c r="BT373" s="57" t="s">
        <v>1281</v>
      </c>
      <c r="BU373" s="57" t="s">
        <v>1281</v>
      </c>
      <c r="BV373" s="70">
        <f>E373</f>
        <v>10</v>
      </c>
      <c r="BW373" s="71" t="str">
        <f>I373</f>
        <v>-</v>
      </c>
      <c r="BX373" s="72">
        <f>M373</f>
        <v>49</v>
      </c>
      <c r="BY373" s="71">
        <f>Q373</f>
        <v>82</v>
      </c>
      <c r="BZ373" s="72">
        <f>U373</f>
        <v>86</v>
      </c>
      <c r="CA373" s="71">
        <f>Y373</f>
        <v>122</v>
      </c>
      <c r="CB373" s="72">
        <f>AC373</f>
        <v>130</v>
      </c>
      <c r="CC373" s="71">
        <f>AG373</f>
        <v>173</v>
      </c>
      <c r="CD373" s="72">
        <f>AK373</f>
        <v>181</v>
      </c>
      <c r="CE373" s="71">
        <f>AO373</f>
        <v>221</v>
      </c>
      <c r="CF373" s="72">
        <f>AS373</f>
        <v>264</v>
      </c>
      <c r="CG373" s="71">
        <f>AW373</f>
        <v>300</v>
      </c>
      <c r="CH373" s="70">
        <f>G373</f>
        <v>44</v>
      </c>
      <c r="CI373" s="71" t="str">
        <f>K373</f>
        <v>-</v>
      </c>
      <c r="CJ373" s="72">
        <f>O373</f>
        <v>80</v>
      </c>
      <c r="CK373" s="72">
        <f>S373</f>
        <v>85</v>
      </c>
      <c r="CL373" s="72">
        <f>W373</f>
        <v>121</v>
      </c>
      <c r="CM373" s="72">
        <f>AA373</f>
        <v>129</v>
      </c>
      <c r="CN373" s="72">
        <f>AE373</f>
        <v>155</v>
      </c>
      <c r="CO373" s="72">
        <f>AI373</f>
        <v>175</v>
      </c>
      <c r="CP373" s="72">
        <f>AM373</f>
        <v>216</v>
      </c>
      <c r="CQ373" s="72">
        <f>AQ373</f>
        <v>261</v>
      </c>
      <c r="CR373" s="72">
        <f>AU373</f>
        <v>299</v>
      </c>
      <c r="CS373" s="72">
        <f>AY373</f>
        <v>313</v>
      </c>
      <c r="CT373" s="23" t="e">
        <f>M373-K373</f>
        <v>#VALUE!</v>
      </c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U373" s="1"/>
      <c r="OV373" s="1"/>
      <c r="OW373" s="1"/>
      <c r="OX373" s="1"/>
      <c r="OY373" s="1"/>
      <c r="OZ373" s="1"/>
      <c r="PA373" s="1"/>
      <c r="PB373" s="1"/>
      <c r="PC373" s="1"/>
      <c r="PD373" s="1"/>
      <c r="PE373" s="1"/>
      <c r="PF373" s="1"/>
      <c r="PG373" s="1"/>
      <c r="PH373" s="1"/>
      <c r="PI373" s="1"/>
      <c r="PJ373" s="1"/>
      <c r="PK373" s="1"/>
      <c r="PL373" s="1"/>
      <c r="PM373" s="1"/>
      <c r="PN373" s="1"/>
      <c r="PO373" s="1"/>
      <c r="PP373" s="1"/>
      <c r="PQ373" s="1"/>
      <c r="PR373" s="1"/>
      <c r="PS373" s="1"/>
      <c r="PT373" s="1"/>
      <c r="PU373" s="1"/>
      <c r="PV373" s="1"/>
      <c r="PW373" s="1"/>
      <c r="PX373" s="1"/>
      <c r="PY373" s="1"/>
      <c r="PZ373" s="1"/>
      <c r="QA373" s="1"/>
      <c r="QB373" s="1"/>
      <c r="QC373" s="1"/>
      <c r="QD373" s="1"/>
      <c r="QE373" s="1"/>
      <c r="QF373" s="1"/>
      <c r="QG373" s="1"/>
      <c r="QH373" s="1"/>
      <c r="QI373" s="1"/>
      <c r="QJ373" s="1"/>
      <c r="QK373" s="1"/>
      <c r="QL373" s="1"/>
      <c r="QM373" s="1"/>
      <c r="QN373" s="1"/>
      <c r="QO373" s="1"/>
      <c r="QP373" s="1"/>
      <c r="QQ373" s="1"/>
      <c r="QR373" s="1"/>
      <c r="QS373" s="1"/>
      <c r="QT373" s="1"/>
      <c r="QU373" s="1"/>
      <c r="QV373" s="1"/>
      <c r="QW373" s="1"/>
      <c r="QX373" s="1"/>
      <c r="QY373" s="1"/>
      <c r="QZ373" s="1"/>
      <c r="RA373" s="1"/>
      <c r="RB373" s="1"/>
      <c r="RC373" s="1"/>
      <c r="RD373" s="1"/>
      <c r="RE373" s="1"/>
      <c r="RF373" s="1"/>
      <c r="RG373" s="1"/>
      <c r="RH373" s="1"/>
      <c r="RI373" s="1"/>
      <c r="RJ373" s="1"/>
      <c r="RK373" s="1"/>
      <c r="RL373" s="1"/>
      <c r="RM373" s="1"/>
      <c r="RN373" s="1"/>
      <c r="RO373" s="1"/>
      <c r="RP373" s="1"/>
      <c r="RQ373" s="1"/>
      <c r="RR373" s="1"/>
      <c r="RS373" s="1"/>
      <c r="RT373" s="1"/>
      <c r="RU373" s="1"/>
      <c r="RV373" s="1"/>
      <c r="RW373" s="1"/>
      <c r="RX373" s="1"/>
      <c r="RY373" s="1"/>
      <c r="RZ373" s="1"/>
      <c r="SA373" s="1"/>
      <c r="SB373" s="1"/>
      <c r="SC373" s="1"/>
      <c r="SD373" s="1"/>
      <c r="SE373" s="1"/>
      <c r="SF373" s="1"/>
      <c r="SG373" s="1"/>
      <c r="SH373" s="1"/>
      <c r="SI373" s="1"/>
      <c r="SJ373" s="1"/>
      <c r="SK373" s="1"/>
      <c r="SL373" s="1"/>
      <c r="SM373" s="1"/>
      <c r="SN373" s="1"/>
      <c r="SO373" s="1"/>
      <c r="SP373" s="1"/>
      <c r="SQ373" s="1"/>
      <c r="SR373" s="1"/>
      <c r="SS373" s="1"/>
      <c r="ST373" s="1"/>
      <c r="SU373" s="1"/>
      <c r="SV373" s="1"/>
      <c r="SW373" s="1"/>
      <c r="SX373" s="1"/>
      <c r="SY373" s="1"/>
      <c r="SZ373" s="1"/>
      <c r="TA373" s="1"/>
      <c r="TB373" s="1"/>
      <c r="TC373" s="1"/>
      <c r="TD373" s="1"/>
      <c r="TE373" s="1"/>
      <c r="TF373" s="1"/>
      <c r="TG373" s="1"/>
      <c r="TH373" s="1"/>
      <c r="TI373" s="1"/>
      <c r="TJ373" s="1"/>
      <c r="TK373" s="1"/>
      <c r="TL373" s="1"/>
      <c r="TM373" s="1"/>
      <c r="TN373" s="1"/>
      <c r="TO373" s="1"/>
      <c r="TP373" s="1"/>
      <c r="TQ373" s="1"/>
      <c r="TR373" s="1"/>
      <c r="TS373" s="1"/>
      <c r="TT373" s="1"/>
      <c r="TU373" s="1"/>
      <c r="TV373" s="1"/>
      <c r="TW373" s="1"/>
      <c r="TX373" s="1"/>
      <c r="TY373" s="1"/>
      <c r="TZ373" s="1"/>
      <c r="UA373" s="1"/>
      <c r="UB373" s="1"/>
      <c r="UC373" s="1"/>
      <c r="UD373" s="1"/>
      <c r="UE373" s="1"/>
      <c r="UF373" s="1"/>
      <c r="UG373" s="1"/>
      <c r="UH373" s="1"/>
      <c r="UI373" s="1"/>
      <c r="UJ373" s="1"/>
      <c r="UK373" s="1"/>
      <c r="UL373" s="1"/>
      <c r="UM373" s="1"/>
      <c r="UN373" s="1"/>
      <c r="UO373" s="1"/>
      <c r="UP373" s="1"/>
      <c r="UQ373" s="1"/>
      <c r="UR373" s="1"/>
      <c r="US373" s="1"/>
      <c r="UT373" s="1"/>
      <c r="UU373" s="1"/>
      <c r="UV373" s="1"/>
      <c r="UW373" s="1"/>
      <c r="UX373" s="1"/>
      <c r="UY373" s="1"/>
      <c r="UZ373" s="1"/>
      <c r="VA373" s="1"/>
      <c r="VB373" s="1"/>
      <c r="VC373" s="1"/>
      <c r="VD373" s="1"/>
      <c r="VE373" s="1"/>
      <c r="VF373" s="1"/>
      <c r="VG373" s="1"/>
      <c r="VH373" s="1"/>
      <c r="VI373" s="1"/>
      <c r="VJ373" s="1"/>
      <c r="VK373" s="1"/>
      <c r="VL373" s="1"/>
      <c r="VM373" s="1"/>
      <c r="VN373" s="1"/>
      <c r="VO373" s="1"/>
      <c r="VP373" s="1"/>
      <c r="VQ373" s="1"/>
      <c r="VR373" s="1"/>
      <c r="VS373" s="1"/>
      <c r="VT373" s="1"/>
      <c r="VU373" s="1"/>
      <c r="VV373" s="1"/>
      <c r="VW373" s="1"/>
      <c r="VX373" s="1"/>
      <c r="VY373" s="1"/>
      <c r="VZ373" s="1"/>
      <c r="WA373" s="1"/>
      <c r="WB373" s="1"/>
      <c r="WC373" s="1"/>
      <c r="WD373" s="1"/>
      <c r="WE373" s="1"/>
      <c r="WF373" s="1"/>
      <c r="WG373" s="1"/>
      <c r="WH373" s="1"/>
      <c r="WI373" s="1"/>
      <c r="WJ373" s="1"/>
      <c r="WK373" s="1"/>
      <c r="WL373" s="1"/>
      <c r="WM373" s="1"/>
      <c r="WN373" s="1"/>
      <c r="WO373" s="1"/>
      <c r="WP373" s="1"/>
      <c r="WQ373" s="1"/>
      <c r="WR373" s="1"/>
      <c r="WS373" s="1"/>
      <c r="WT373" s="1"/>
      <c r="WU373" s="1"/>
      <c r="WV373" s="1"/>
      <c r="WW373" s="1"/>
      <c r="WX373" s="1"/>
      <c r="WY373" s="1"/>
      <c r="WZ373" s="1"/>
      <c r="XA373" s="1"/>
      <c r="XB373" s="1"/>
      <c r="XC373" s="1"/>
      <c r="XD373" s="1"/>
      <c r="XE373" s="1"/>
      <c r="XF373" s="1"/>
      <c r="XG373" s="1"/>
      <c r="XH373" s="1"/>
      <c r="XI373" s="1"/>
      <c r="XJ373" s="1"/>
      <c r="XK373" s="1"/>
      <c r="XL373" s="1"/>
      <c r="XM373" s="1"/>
      <c r="XN373" s="1"/>
      <c r="XO373" s="1"/>
      <c r="XP373" s="1"/>
      <c r="XQ373" s="1"/>
      <c r="XR373" s="1"/>
      <c r="XS373" s="1"/>
      <c r="XT373" s="1"/>
      <c r="XU373" s="1"/>
      <c r="XV373" s="1"/>
      <c r="XW373" s="1"/>
      <c r="XX373" s="1"/>
      <c r="XY373" s="1"/>
      <c r="XZ373" s="1"/>
      <c r="YA373" s="1"/>
      <c r="YB373" s="1"/>
      <c r="YC373" s="1"/>
      <c r="YD373" s="1"/>
      <c r="YE373" s="1"/>
      <c r="YF373" s="1"/>
      <c r="YG373" s="1"/>
      <c r="YH373" s="1"/>
      <c r="YI373" s="1"/>
      <c r="YJ373" s="1"/>
      <c r="YK373" s="1"/>
      <c r="YL373" s="1"/>
      <c r="YM373" s="1"/>
      <c r="YN373" s="1"/>
      <c r="YO373" s="1"/>
      <c r="YP373" s="1"/>
      <c r="YQ373" s="1"/>
      <c r="YR373" s="1"/>
      <c r="YS373" s="1"/>
      <c r="YT373" s="1"/>
      <c r="YU373" s="1"/>
      <c r="YV373" s="1"/>
      <c r="YW373" s="1"/>
      <c r="YX373" s="1"/>
      <c r="YY373" s="1"/>
      <c r="YZ373" s="1"/>
      <c r="ZA373" s="1"/>
      <c r="ZB373" s="1"/>
      <c r="ZC373" s="1"/>
      <c r="ZD373" s="1"/>
      <c r="ZE373" s="1"/>
      <c r="ZF373" s="1"/>
      <c r="ZG373" s="1"/>
      <c r="ZH373" s="1"/>
      <c r="ZI373" s="1"/>
      <c r="ZJ373" s="1"/>
      <c r="ZK373" s="1"/>
      <c r="ZL373" s="1"/>
      <c r="ZM373" s="1"/>
      <c r="ZN373" s="1"/>
      <c r="ZO373" s="1"/>
      <c r="ZP373" s="1"/>
      <c r="ZQ373" s="1"/>
      <c r="ZR373" s="1"/>
      <c r="ZS373" s="1"/>
      <c r="ZT373" s="1"/>
      <c r="ZU373" s="1"/>
      <c r="ZV373" s="1"/>
      <c r="ZW373" s="1"/>
      <c r="ZX373" s="1"/>
      <c r="ZY373" s="1"/>
      <c r="ZZ373" s="1"/>
      <c r="AAA373" s="1"/>
      <c r="AAB373" s="1"/>
      <c r="AAC373" s="1"/>
      <c r="AAD373" s="1"/>
      <c r="AAE373" s="1"/>
      <c r="AAF373" s="1"/>
      <c r="AAG373" s="1"/>
      <c r="AAH373" s="1"/>
      <c r="AAI373" s="1"/>
      <c r="AAJ373" s="1"/>
      <c r="AAK373" s="1"/>
      <c r="AAL373" s="1"/>
      <c r="AAM373" s="1"/>
      <c r="AAN373" s="1"/>
      <c r="AAO373" s="1"/>
      <c r="AAP373" s="1"/>
      <c r="AAQ373" s="1"/>
      <c r="AAR373" s="1"/>
      <c r="AAS373" s="1"/>
      <c r="AAT373" s="1"/>
      <c r="AAU373" s="1"/>
      <c r="AAV373" s="1"/>
      <c r="AAW373" s="1"/>
      <c r="AAX373" s="1"/>
      <c r="AAY373" s="1"/>
      <c r="AAZ373" s="1"/>
      <c r="ABA373" s="1"/>
      <c r="ABB373" s="1"/>
      <c r="ABC373" s="1"/>
      <c r="ABD373" s="1"/>
      <c r="ABE373" s="1"/>
      <c r="ABF373" s="1"/>
      <c r="ABG373" s="1"/>
      <c r="ABH373" s="1"/>
      <c r="ABI373" s="1"/>
      <c r="ABJ373" s="1"/>
      <c r="ABK373" s="1"/>
      <c r="ABL373" s="1"/>
      <c r="ABM373" s="1"/>
      <c r="ABN373" s="1"/>
      <c r="ABO373" s="1"/>
      <c r="ABP373" s="1"/>
      <c r="ABQ373" s="1"/>
      <c r="ABR373" s="1"/>
      <c r="ABS373" s="1"/>
      <c r="ABT373" s="1"/>
      <c r="ABU373" s="1"/>
      <c r="ABV373" s="1"/>
      <c r="ABW373" s="1"/>
      <c r="ABX373" s="1"/>
      <c r="ABY373" s="1"/>
      <c r="ABZ373" s="1"/>
      <c r="ACA373" s="1"/>
      <c r="ACB373" s="1"/>
      <c r="ACC373" s="1"/>
      <c r="ACD373" s="1"/>
      <c r="ACE373" s="1"/>
      <c r="ACF373" s="1"/>
      <c r="ACG373" s="1"/>
      <c r="ACH373" s="1"/>
      <c r="ACI373" s="1"/>
      <c r="ACJ373" s="1"/>
      <c r="ACK373" s="1"/>
      <c r="ACL373" s="1"/>
      <c r="ACM373" s="1"/>
      <c r="ACN373" s="1"/>
      <c r="ACO373" s="1"/>
      <c r="ACP373" s="1"/>
      <c r="ACQ373" s="1"/>
      <c r="ACR373" s="1"/>
      <c r="ACS373" s="1"/>
      <c r="ACT373" s="1"/>
      <c r="ACU373" s="1"/>
      <c r="ACV373" s="1"/>
      <c r="ACW373" s="1"/>
      <c r="ACX373" s="1"/>
      <c r="ACY373" s="1"/>
      <c r="ACZ373" s="1"/>
      <c r="ADA373" s="1"/>
      <c r="ADB373" s="1"/>
      <c r="ADC373" s="1"/>
      <c r="ADD373" s="1"/>
      <c r="ADE373" s="1"/>
      <c r="ADF373" s="1"/>
      <c r="ADG373" s="1"/>
      <c r="ADH373" s="1"/>
      <c r="ADI373" s="1"/>
      <c r="ADJ373" s="1"/>
      <c r="ADK373" s="1"/>
      <c r="ADL373" s="1"/>
      <c r="ADM373" s="1"/>
      <c r="ADN373" s="1"/>
      <c r="ADO373" s="1"/>
      <c r="ADP373" s="1"/>
      <c r="ADQ373" s="1"/>
      <c r="ADR373" s="1"/>
      <c r="ADS373" s="1"/>
      <c r="ADT373" s="1"/>
      <c r="ADU373" s="1"/>
      <c r="ADV373" s="1"/>
      <c r="ADW373" s="1"/>
      <c r="ADX373" s="1"/>
      <c r="ADY373" s="1"/>
      <c r="ADZ373" s="1"/>
      <c r="AEA373" s="1"/>
      <c r="AEB373" s="1"/>
      <c r="AEC373" s="1"/>
      <c r="AED373" s="1"/>
      <c r="AEE373" s="1"/>
      <c r="AEF373" s="1"/>
      <c r="AEG373" s="1"/>
      <c r="AEH373" s="1"/>
      <c r="AEI373" s="1"/>
      <c r="AEJ373" s="1"/>
      <c r="AEK373" s="1"/>
      <c r="AEL373" s="1"/>
      <c r="AEM373" s="1"/>
      <c r="AEN373" s="1"/>
      <c r="AEO373" s="1"/>
      <c r="AEP373" s="1"/>
      <c r="AEQ373" s="1"/>
      <c r="AER373" s="1"/>
      <c r="AES373" s="1"/>
      <c r="AET373" s="1"/>
      <c r="AEU373" s="1"/>
      <c r="AEV373" s="1"/>
      <c r="AEW373" s="1"/>
      <c r="AEX373" s="1"/>
      <c r="AEY373" s="1"/>
      <c r="AEZ373" s="1"/>
      <c r="AFA373" s="1"/>
      <c r="AFB373" s="1"/>
      <c r="AFC373" s="1"/>
      <c r="AFD373" s="1"/>
      <c r="AFE373" s="1"/>
      <c r="AFF373" s="1"/>
      <c r="AFG373" s="1"/>
      <c r="AFH373" s="1"/>
      <c r="AFI373" s="1"/>
      <c r="AFJ373" s="1"/>
      <c r="AFK373" s="1"/>
      <c r="AFL373" s="1"/>
      <c r="AFM373" s="1"/>
      <c r="AFN373" s="1"/>
      <c r="AFO373" s="1"/>
      <c r="AFP373" s="1"/>
      <c r="AFQ373" s="1"/>
      <c r="AFR373" s="1"/>
      <c r="AFS373" s="1"/>
      <c r="AFT373" s="1"/>
      <c r="AFU373" s="1"/>
      <c r="AFV373" s="1"/>
      <c r="AFW373" s="1"/>
      <c r="AFX373" s="1"/>
      <c r="AFY373" s="1"/>
      <c r="AFZ373" s="1"/>
      <c r="AGA373" s="1"/>
      <c r="AGB373" s="1"/>
      <c r="AGC373" s="1"/>
      <c r="AGD373" s="1"/>
      <c r="AGE373" s="1"/>
      <c r="AGF373" s="1"/>
      <c r="AGG373" s="1"/>
      <c r="AGH373" s="1"/>
      <c r="AGI373" s="1"/>
      <c r="AGJ373" s="1"/>
      <c r="AGK373" s="1"/>
      <c r="AGL373" s="1"/>
      <c r="AGM373" s="1"/>
      <c r="AGN373" s="1"/>
      <c r="AGO373" s="1"/>
      <c r="AGP373" s="1"/>
      <c r="AGQ373" s="1"/>
      <c r="AGR373" s="1"/>
      <c r="AGS373" s="1"/>
      <c r="AGT373" s="1"/>
      <c r="AGU373" s="1"/>
      <c r="AGV373" s="1"/>
      <c r="AGW373" s="1"/>
      <c r="AGX373" s="1"/>
      <c r="AGY373" s="1"/>
      <c r="AGZ373" s="1"/>
      <c r="AHA373" s="1"/>
      <c r="AHB373" s="1"/>
      <c r="AHC373" s="1"/>
      <c r="AHD373" s="1"/>
      <c r="AHE373" s="1"/>
      <c r="AHF373" s="1"/>
      <c r="AHG373" s="1"/>
      <c r="AHH373" s="1"/>
      <c r="AHI373" s="1"/>
      <c r="AHJ373" s="1"/>
      <c r="AHK373" s="1"/>
      <c r="AHL373" s="1"/>
      <c r="AHM373" s="1"/>
      <c r="AHN373" s="1"/>
      <c r="AHO373" s="1"/>
      <c r="AHP373" s="1"/>
      <c r="AHQ373" s="1"/>
      <c r="AHR373" s="1"/>
      <c r="AHS373" s="1"/>
      <c r="AHT373" s="1"/>
      <c r="AHU373" s="1"/>
      <c r="AHV373" s="1"/>
      <c r="AHW373" s="1"/>
      <c r="AHX373" s="1"/>
      <c r="AHY373" s="1"/>
      <c r="AHZ373" s="1"/>
      <c r="AIA373" s="1"/>
      <c r="AIB373" s="1"/>
      <c r="AIC373" s="1"/>
      <c r="AID373" s="1"/>
      <c r="AIE373" s="1"/>
      <c r="AIF373" s="1"/>
      <c r="AIG373" s="1"/>
      <c r="AIH373" s="1"/>
      <c r="AII373" s="1"/>
      <c r="AIJ373" s="1"/>
      <c r="AIK373" s="1"/>
      <c r="AIL373" s="1"/>
      <c r="AIM373" s="1"/>
      <c r="AIN373" s="1"/>
      <c r="AIO373" s="1"/>
      <c r="AIP373" s="1"/>
      <c r="AIQ373" s="1"/>
      <c r="AIR373" s="1"/>
      <c r="AIS373" s="1"/>
      <c r="AIT373" s="1"/>
      <c r="AIU373" s="1"/>
      <c r="AIV373" s="1"/>
      <c r="AIW373" s="1"/>
      <c r="AIX373" s="1"/>
      <c r="AIY373" s="1"/>
      <c r="AIZ373" s="1"/>
      <c r="AJA373" s="1"/>
      <c r="AJB373" s="1"/>
      <c r="AJC373" s="1"/>
      <c r="AJD373" s="1"/>
      <c r="AJE373" s="1"/>
      <c r="AJF373" s="1"/>
      <c r="AJG373" s="1"/>
      <c r="AJH373" s="1"/>
      <c r="AJI373" s="1"/>
      <c r="AJJ373" s="1"/>
      <c r="AJK373" s="1"/>
      <c r="AJL373" s="1"/>
      <c r="AJM373" s="1"/>
      <c r="AJN373" s="1"/>
      <c r="AJO373" s="1"/>
      <c r="AJP373" s="1"/>
      <c r="AJQ373" s="1"/>
      <c r="AJR373" s="1"/>
      <c r="AJS373" s="1"/>
      <c r="AJT373" s="1"/>
      <c r="AJU373" s="1"/>
      <c r="AJV373" s="1"/>
      <c r="AJW373" s="1"/>
      <c r="AJX373" s="1"/>
      <c r="AJY373" s="1"/>
      <c r="AJZ373" s="1"/>
      <c r="AKA373" s="1"/>
      <c r="AKB373" s="1"/>
      <c r="AKC373" s="1"/>
      <c r="AKD373" s="1"/>
      <c r="AKE373" s="1"/>
      <c r="AKF373" s="1"/>
      <c r="AKG373" s="1"/>
      <c r="AKH373" s="1"/>
      <c r="AKI373" s="1"/>
      <c r="AKJ373" s="1"/>
      <c r="AKK373" s="1"/>
      <c r="AKL373" s="1"/>
      <c r="AKM373" s="1"/>
      <c r="AKN373" s="1"/>
      <c r="AKO373" s="1"/>
      <c r="AKP373" s="1"/>
      <c r="AKQ373" s="1"/>
      <c r="AKR373" s="1"/>
      <c r="AKS373" s="1"/>
      <c r="AKT373" s="1"/>
      <c r="AKU373" s="1"/>
      <c r="AKV373" s="1"/>
      <c r="AKW373" s="1"/>
      <c r="AKX373" s="1"/>
      <c r="AKY373" s="1"/>
      <c r="AKZ373" s="1"/>
      <c r="ALA373" s="1"/>
      <c r="ALB373" s="1"/>
      <c r="ALC373" s="1"/>
      <c r="ALD373" s="1"/>
      <c r="ALE373" s="1"/>
      <c r="ALF373" s="1"/>
      <c r="ALG373" s="1"/>
      <c r="ALH373" s="1"/>
      <c r="ALI373" s="1"/>
      <c r="ALJ373" s="1"/>
      <c r="ALK373" s="1"/>
      <c r="ALL373" s="1"/>
      <c r="ALM373" s="1"/>
      <c r="ALN373" s="1"/>
      <c r="ALO373" s="1"/>
      <c r="ALP373" s="1"/>
      <c r="ALQ373" s="1"/>
      <c r="ALR373" s="1"/>
      <c r="ALS373" s="1"/>
      <c r="ALT373" s="1"/>
      <c r="ALU373" s="1"/>
      <c r="ALV373" s="1"/>
      <c r="ALW373" s="1"/>
      <c r="ALX373" s="1"/>
      <c r="ALY373" s="1"/>
      <c r="ALZ373" s="1"/>
      <c r="AMA373" s="1"/>
      <c r="AMB373" s="1"/>
      <c r="AMC373" s="1"/>
      <c r="AMD373" s="1"/>
      <c r="AME373" s="1"/>
      <c r="AMF373" s="1"/>
      <c r="AMG373" s="1"/>
      <c r="AMH373" s="1"/>
      <c r="AMI373" s="1"/>
      <c r="AMJ373" s="1"/>
      <c r="AMK373" s="1"/>
      <c r="AML373" s="1"/>
      <c r="AMM373" s="1"/>
      <c r="AMN373" s="1"/>
      <c r="AMO373" s="1"/>
    </row>
    <row r="374" spans="1:1029" x14ac:dyDescent="0.2">
      <c r="A374" s="3" t="str">
        <f>CONCATENATE(B374,"_",C374)</f>
        <v>ptafr_human_5ZKP</v>
      </c>
      <c r="B374" s="3" t="s">
        <v>370</v>
      </c>
      <c r="C374" s="3" t="s">
        <v>1499</v>
      </c>
      <c r="D374" s="3" t="str">
        <f>IFERROR(MID(VLOOKUP($B374,Seqs!$A:$B,2,0),E374,1),"")</f>
        <v>S</v>
      </c>
      <c r="E374" s="3">
        <v>11</v>
      </c>
      <c r="F374" s="3" t="str">
        <f>IFERROR(MID(VLOOKUP($B374,Seqs!$A:$B,2,0),G374,1),"")</f>
        <v>Y</v>
      </c>
      <c r="G374" s="3">
        <v>44</v>
      </c>
      <c r="H374" s="3" t="str">
        <f>IFERROR(MID(VLOOKUP($B374,Seqs!$A:$B,2,0),I374,1),"")</f>
        <v/>
      </c>
      <c r="I374" s="23" t="s">
        <v>23</v>
      </c>
      <c r="J374" s="3" t="str">
        <f>IFERROR(MID(VLOOKUP($B374,Seqs!$A:$B,2,0),K374,1),"")</f>
        <v/>
      </c>
      <c r="K374" s="23" t="s">
        <v>23</v>
      </c>
      <c r="L374" s="3" t="str">
        <f>IFERROR(MID(VLOOKUP($B374,Seqs!$A:$B,2,0),M374,1),"")</f>
        <v>F</v>
      </c>
      <c r="M374" s="3">
        <v>49</v>
      </c>
      <c r="N374" s="3" t="str">
        <f>IFERROR(MID(VLOOKUP($B374,Seqs!$A:$B,2,0),O374,1),"")</f>
        <v>Q</v>
      </c>
      <c r="O374" s="3">
        <v>80</v>
      </c>
      <c r="P374" s="3" t="str">
        <f>IFERROR(MID(VLOOKUP($B374,Seqs!$A:$B,2,0),Q374,1),"")</f>
        <v>N</v>
      </c>
      <c r="Q374" s="3">
        <v>82</v>
      </c>
      <c r="R374" s="3" t="str">
        <f>IFERROR(MID(VLOOKUP($B374,Seqs!$A:$B,2,0),S374,1),"")</f>
        <v>L</v>
      </c>
      <c r="S374" s="3">
        <v>85</v>
      </c>
      <c r="T374" s="3" t="str">
        <f>IFERROR(MID(VLOOKUP($B374,Seqs!$A:$B,2,0),U374,1),"")</f>
        <v>P</v>
      </c>
      <c r="U374" s="3">
        <v>86</v>
      </c>
      <c r="V374" s="3" t="str">
        <f>IFERROR(MID(VLOOKUP($B374,Seqs!$A:$B,2,0),W374,1),"")</f>
        <v>T</v>
      </c>
      <c r="W374" s="3">
        <v>120</v>
      </c>
      <c r="X374" s="3" t="str">
        <f>IFERROR(MID(VLOOKUP($B374,Seqs!$A:$B,2,0),Y374,1),"")</f>
        <v/>
      </c>
      <c r="Y374" s="3" t="s">
        <v>23</v>
      </c>
      <c r="Z374" s="3" t="str">
        <f>IFERROR(MID(VLOOKUP($B374,Seqs!$A:$B,2,0),AA374,1),"")</f>
        <v/>
      </c>
      <c r="AA374" s="3" t="s">
        <v>23</v>
      </c>
      <c r="AB374" s="3" t="str">
        <f>IFERROR(MID(VLOOKUP($B374,Seqs!$A:$B,2,0),AC374,1),"")</f>
        <v>I</v>
      </c>
      <c r="AC374" s="3">
        <v>141</v>
      </c>
      <c r="AD374" s="3" t="str">
        <f>IFERROR(MID(VLOOKUP($B374,Seqs!$A:$B,2,0),AE374,1),"")</f>
        <v>L</v>
      </c>
      <c r="AE374" s="3">
        <v>155</v>
      </c>
      <c r="AF374" s="3" t="str">
        <f>IFERROR(MID(VLOOKUP($B374,Seqs!$A:$B,2,0),AG374,1),"")</f>
        <v>C</v>
      </c>
      <c r="AG374" s="3">
        <v>173</v>
      </c>
      <c r="AH374" s="3" t="str">
        <f>IFERROR(MID(VLOOKUP($B374,Seqs!$A:$B,2,0),AI374,1),"")</f>
        <v>E</v>
      </c>
      <c r="AI374" s="3">
        <v>175</v>
      </c>
      <c r="AJ374" s="3" t="str">
        <f>IFERROR(MID(VLOOKUP($B374,Seqs!$A:$B,2,0),AK374,1),"")</f>
        <v>P</v>
      </c>
      <c r="AK374" s="3">
        <v>183</v>
      </c>
      <c r="AL374" s="3" t="str">
        <f>IFERROR(MID(VLOOKUP($B374,Seqs!$A:$B,2,0),AM374,1),"")</f>
        <v>L</v>
      </c>
      <c r="AM374" s="3">
        <v>214</v>
      </c>
      <c r="AN374" s="3" t="str">
        <f>IFERROR(MID(VLOOKUP($B374,Seqs!$A:$B,2,0),AO374,1),"")</f>
        <v>A</v>
      </c>
      <c r="AO374" s="3">
        <v>224</v>
      </c>
      <c r="AP374" s="3" t="str">
        <f>IFERROR(MID(VLOOKUP($B374,Seqs!$A:$B,2,0),AQ374,1),"")</f>
        <v>G</v>
      </c>
      <c r="AQ374" s="3">
        <v>261</v>
      </c>
      <c r="AR374" s="3" t="str">
        <f>IFERROR(MID(VLOOKUP($B374,Seqs!$A:$B,2,0),AS374,1),"")</f>
        <v>D</v>
      </c>
      <c r="AS374" s="3">
        <v>264</v>
      </c>
      <c r="AT374" s="3" t="str">
        <f>IFERROR(MID(VLOOKUP($B374,Seqs!$A:$B,2,0),AU374,1),"")</f>
        <v>K</v>
      </c>
      <c r="AU374" s="3">
        <v>299</v>
      </c>
      <c r="AV374" s="3" t="str">
        <f>IFERROR(MID(VLOOKUP($B374,Seqs!$A:$B,2,0),AW374,1),"")</f>
        <v>F</v>
      </c>
      <c r="AW374" s="3">
        <v>300</v>
      </c>
      <c r="AX374" s="3" t="str">
        <f>IFERROR(MID(VLOOKUP($B374,Seqs!$A:$B,2,0),AY374,1),"")</f>
        <v>S</v>
      </c>
      <c r="AY374" s="3">
        <v>313</v>
      </c>
      <c r="AZ374" s="77" t="str">
        <f>VLOOKUP(B374,Classification!A:D,2,0)</f>
        <v>A</v>
      </c>
      <c r="BA374" s="94" t="str">
        <f>VLOOKUP(B374,Classification!A:D,4,0)</f>
        <v>Platelet-activatingfactor</v>
      </c>
      <c r="BB374" s="27" t="b">
        <f>AND(E374&lt;G374,OR(G374&lt;I374,I374="-"),OR(I374&lt;K374,I374="-"),OR(K374&lt;M374,K374="-"),M374&lt;O374,OR(O374&lt;Q374,Q374="-"),OR(Q374&lt;S374,Q374="-"),OR(S374&lt;U374,S374="-"),U374&lt;W374,OR(W374&lt;Y374,Y374="-"),OR(Y374&lt;AA374,Y374="-"),OR(AA374&lt;AC374,AA374="-"),AC374&lt;AE374,OR(AE374&lt;AG374,AG374="-"),OR(AG374&lt;AI374,AG374="-"),OR(AI374&lt;AK374,AI374="-"),AK374&lt;AM374,AM374&lt;AO374,AO374&lt;AQ374,AQ374&lt;AS374,AS374&lt;AU374,OR(AU374&lt;AW374,AW374="-"),OR(AW374&lt;AY374,AW374="-"))</f>
        <v>1</v>
      </c>
      <c r="BC374" s="23">
        <f>_xlfn.AGGREGATE(9,6,CH374:CS374)-_xlfn.AGGREGATE(9,6,BV374:CG374)+12</f>
        <v>245</v>
      </c>
      <c r="BD374" s="2" t="s">
        <v>1369</v>
      </c>
      <c r="BE374" s="3" t="s">
        <v>1285</v>
      </c>
      <c r="BF374" s="118">
        <v>2.81</v>
      </c>
      <c r="BG374" s="49" t="s">
        <v>1</v>
      </c>
      <c r="BH374" s="49" t="s">
        <v>1</v>
      </c>
      <c r="BI374" s="1"/>
      <c r="BJ374" s="70" t="s">
        <v>1281</v>
      </c>
      <c r="BK374" s="57" t="s">
        <v>1281</v>
      </c>
      <c r="BL374" s="57" t="s">
        <v>1281</v>
      </c>
      <c r="BM374" s="57" t="s">
        <v>1281</v>
      </c>
      <c r="BN374" s="57" t="s">
        <v>1281</v>
      </c>
      <c r="BO374" s="57" t="s">
        <v>1281</v>
      </c>
      <c r="BP374" s="57" t="s">
        <v>1281</v>
      </c>
      <c r="BQ374" s="57" t="s">
        <v>1281</v>
      </c>
      <c r="BR374" s="57" t="s">
        <v>1281</v>
      </c>
      <c r="BS374" s="57" t="s">
        <v>1281</v>
      </c>
      <c r="BT374" s="57" t="s">
        <v>1281</v>
      </c>
      <c r="BU374" s="57" t="s">
        <v>1281</v>
      </c>
      <c r="BV374" s="70">
        <f>E374</f>
        <v>11</v>
      </c>
      <c r="BW374" s="71" t="str">
        <f>I374</f>
        <v>-</v>
      </c>
      <c r="BX374" s="72">
        <f>M374</f>
        <v>49</v>
      </c>
      <c r="BY374" s="71">
        <f>Q374</f>
        <v>82</v>
      </c>
      <c r="BZ374" s="72">
        <f>U374</f>
        <v>86</v>
      </c>
      <c r="CA374" s="71" t="str">
        <f>Y374</f>
        <v>-</v>
      </c>
      <c r="CB374" s="72">
        <f>AC374</f>
        <v>141</v>
      </c>
      <c r="CC374" s="71">
        <f>AG374</f>
        <v>173</v>
      </c>
      <c r="CD374" s="72">
        <f>AK374</f>
        <v>183</v>
      </c>
      <c r="CE374" s="71">
        <f>AO374</f>
        <v>224</v>
      </c>
      <c r="CF374" s="72">
        <f>AS374</f>
        <v>264</v>
      </c>
      <c r="CG374" s="71">
        <f>AW374</f>
        <v>300</v>
      </c>
      <c r="CH374" s="70">
        <f>G374</f>
        <v>44</v>
      </c>
      <c r="CI374" s="71" t="str">
        <f>K374</f>
        <v>-</v>
      </c>
      <c r="CJ374" s="72">
        <f>O374</f>
        <v>80</v>
      </c>
      <c r="CK374" s="72">
        <f>S374</f>
        <v>85</v>
      </c>
      <c r="CL374" s="72">
        <f>W374</f>
        <v>120</v>
      </c>
      <c r="CM374" s="72" t="str">
        <f>AA374</f>
        <v>-</v>
      </c>
      <c r="CN374" s="72">
        <f>AE374</f>
        <v>155</v>
      </c>
      <c r="CO374" s="72">
        <f>AI374</f>
        <v>175</v>
      </c>
      <c r="CP374" s="72">
        <f>AM374</f>
        <v>214</v>
      </c>
      <c r="CQ374" s="72">
        <f>AQ374</f>
        <v>261</v>
      </c>
      <c r="CR374" s="72">
        <f>AU374</f>
        <v>299</v>
      </c>
      <c r="CS374" s="72">
        <f>AY374</f>
        <v>313</v>
      </c>
      <c r="CT374" s="23" t="e">
        <f>M374-K374</f>
        <v>#VALUE!</v>
      </c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U374" s="1"/>
      <c r="OV374" s="1"/>
      <c r="OW374" s="1"/>
      <c r="OX374" s="1"/>
      <c r="OY374" s="1"/>
      <c r="OZ374" s="1"/>
      <c r="PA374" s="1"/>
      <c r="PB374" s="1"/>
      <c r="PC374" s="1"/>
      <c r="PD374" s="1"/>
      <c r="PE374" s="1"/>
      <c r="PF374" s="1"/>
      <c r="PG374" s="1"/>
      <c r="PH374" s="1"/>
      <c r="PI374" s="1"/>
      <c r="PJ374" s="1"/>
      <c r="PK374" s="1"/>
      <c r="PL374" s="1"/>
      <c r="PM374" s="1"/>
      <c r="PN374" s="1"/>
      <c r="PO374" s="1"/>
      <c r="PP374" s="1"/>
      <c r="PQ374" s="1"/>
      <c r="PR374" s="1"/>
      <c r="PS374" s="1"/>
      <c r="PT374" s="1"/>
      <c r="PU374" s="1"/>
      <c r="PV374" s="1"/>
      <c r="PW374" s="1"/>
      <c r="PX374" s="1"/>
      <c r="PY374" s="1"/>
      <c r="PZ374" s="1"/>
      <c r="QA374" s="1"/>
      <c r="QB374" s="1"/>
      <c r="QC374" s="1"/>
      <c r="QD374" s="1"/>
      <c r="QE374" s="1"/>
      <c r="QF374" s="1"/>
      <c r="QG374" s="1"/>
      <c r="QH374" s="1"/>
      <c r="QI374" s="1"/>
      <c r="QJ374" s="1"/>
      <c r="QK374" s="1"/>
      <c r="QL374" s="1"/>
      <c r="QM374" s="1"/>
      <c r="QN374" s="1"/>
      <c r="QO374" s="1"/>
      <c r="QP374" s="1"/>
      <c r="QQ374" s="1"/>
      <c r="QR374" s="1"/>
      <c r="QS374" s="1"/>
      <c r="QT374" s="1"/>
      <c r="QU374" s="1"/>
      <c r="QV374" s="1"/>
      <c r="QW374" s="1"/>
      <c r="QX374" s="1"/>
      <c r="QY374" s="1"/>
      <c r="QZ374" s="1"/>
      <c r="RA374" s="1"/>
      <c r="RB374" s="1"/>
      <c r="RC374" s="1"/>
      <c r="RD374" s="1"/>
      <c r="RE374" s="1"/>
      <c r="RF374" s="1"/>
      <c r="RG374" s="1"/>
      <c r="RH374" s="1"/>
      <c r="RI374" s="1"/>
      <c r="RJ374" s="1"/>
      <c r="RK374" s="1"/>
      <c r="RL374" s="1"/>
      <c r="RM374" s="1"/>
      <c r="RN374" s="1"/>
      <c r="RO374" s="1"/>
      <c r="RP374" s="1"/>
      <c r="RQ374" s="1"/>
      <c r="RR374" s="1"/>
      <c r="RS374" s="1"/>
      <c r="RT374" s="1"/>
      <c r="RU374" s="1"/>
      <c r="RV374" s="1"/>
      <c r="RW374" s="1"/>
      <c r="RX374" s="1"/>
      <c r="RY374" s="1"/>
      <c r="RZ374" s="1"/>
      <c r="SA374" s="1"/>
      <c r="SB374" s="1"/>
      <c r="SC374" s="1"/>
      <c r="SD374" s="1"/>
      <c r="SE374" s="1"/>
      <c r="SF374" s="1"/>
      <c r="SG374" s="1"/>
      <c r="SH374" s="1"/>
      <c r="SI374" s="1"/>
      <c r="SJ374" s="1"/>
      <c r="SK374" s="1"/>
      <c r="SL374" s="1"/>
      <c r="SM374" s="1"/>
      <c r="SN374" s="1"/>
      <c r="SO374" s="1"/>
      <c r="SP374" s="1"/>
      <c r="SQ374" s="1"/>
      <c r="SR374" s="1"/>
      <c r="SS374" s="1"/>
      <c r="ST374" s="1"/>
      <c r="SU374" s="1"/>
      <c r="SV374" s="1"/>
      <c r="SW374" s="1"/>
      <c r="SX374" s="1"/>
      <c r="SY374" s="1"/>
      <c r="SZ374" s="1"/>
      <c r="TA374" s="1"/>
      <c r="TB374" s="1"/>
      <c r="TC374" s="1"/>
      <c r="TD374" s="1"/>
      <c r="TE374" s="1"/>
      <c r="TF374" s="1"/>
      <c r="TG374" s="1"/>
      <c r="TH374" s="1"/>
      <c r="TI374" s="1"/>
      <c r="TJ374" s="1"/>
      <c r="TK374" s="1"/>
      <c r="TL374" s="1"/>
      <c r="TM374" s="1"/>
      <c r="TN374" s="1"/>
      <c r="TO374" s="1"/>
      <c r="TP374" s="1"/>
      <c r="TQ374" s="1"/>
      <c r="TR374" s="1"/>
      <c r="TS374" s="1"/>
      <c r="TT374" s="1"/>
      <c r="TU374" s="1"/>
      <c r="TV374" s="1"/>
      <c r="TW374" s="1"/>
      <c r="TX374" s="1"/>
      <c r="TY374" s="1"/>
      <c r="TZ374" s="1"/>
      <c r="UA374" s="1"/>
      <c r="UB374" s="1"/>
      <c r="UC374" s="1"/>
      <c r="UD374" s="1"/>
      <c r="UE374" s="1"/>
      <c r="UF374" s="1"/>
      <c r="UG374" s="1"/>
      <c r="UH374" s="1"/>
      <c r="UI374" s="1"/>
      <c r="UJ374" s="1"/>
      <c r="UK374" s="1"/>
      <c r="UL374" s="1"/>
      <c r="UM374" s="1"/>
      <c r="UN374" s="1"/>
      <c r="UO374" s="1"/>
      <c r="UP374" s="1"/>
      <c r="UQ374" s="1"/>
      <c r="UR374" s="1"/>
      <c r="US374" s="1"/>
      <c r="UT374" s="1"/>
      <c r="UU374" s="1"/>
      <c r="UV374" s="1"/>
      <c r="UW374" s="1"/>
      <c r="UX374" s="1"/>
      <c r="UY374" s="1"/>
      <c r="UZ374" s="1"/>
      <c r="VA374" s="1"/>
      <c r="VB374" s="1"/>
      <c r="VC374" s="1"/>
      <c r="VD374" s="1"/>
      <c r="VE374" s="1"/>
      <c r="VF374" s="1"/>
      <c r="VG374" s="1"/>
      <c r="VH374" s="1"/>
      <c r="VI374" s="1"/>
      <c r="VJ374" s="1"/>
      <c r="VK374" s="1"/>
      <c r="VL374" s="1"/>
      <c r="VM374" s="1"/>
      <c r="VN374" s="1"/>
      <c r="VO374" s="1"/>
      <c r="VP374" s="1"/>
      <c r="VQ374" s="1"/>
      <c r="VR374" s="1"/>
      <c r="VS374" s="1"/>
      <c r="VT374" s="1"/>
      <c r="VU374" s="1"/>
      <c r="VV374" s="1"/>
      <c r="VW374" s="1"/>
      <c r="VX374" s="1"/>
      <c r="VY374" s="1"/>
      <c r="VZ374" s="1"/>
      <c r="WA374" s="1"/>
      <c r="WB374" s="1"/>
      <c r="WC374" s="1"/>
      <c r="WD374" s="1"/>
      <c r="WE374" s="1"/>
      <c r="WF374" s="1"/>
      <c r="WG374" s="1"/>
      <c r="WH374" s="1"/>
      <c r="WI374" s="1"/>
      <c r="WJ374" s="1"/>
      <c r="WK374" s="1"/>
      <c r="WL374" s="1"/>
      <c r="WM374" s="1"/>
      <c r="WN374" s="1"/>
      <c r="WO374" s="1"/>
      <c r="WP374" s="1"/>
      <c r="WQ374" s="1"/>
      <c r="WR374" s="1"/>
      <c r="WS374" s="1"/>
      <c r="WT374" s="1"/>
      <c r="WU374" s="1"/>
      <c r="WV374" s="1"/>
      <c r="WW374" s="1"/>
      <c r="WX374" s="1"/>
      <c r="WY374" s="1"/>
      <c r="WZ374" s="1"/>
      <c r="XA374" s="1"/>
      <c r="XB374" s="1"/>
      <c r="XC374" s="1"/>
      <c r="XD374" s="1"/>
      <c r="XE374" s="1"/>
      <c r="XF374" s="1"/>
      <c r="XG374" s="1"/>
      <c r="XH374" s="1"/>
      <c r="XI374" s="1"/>
      <c r="XJ374" s="1"/>
      <c r="XK374" s="1"/>
      <c r="XL374" s="1"/>
      <c r="XM374" s="1"/>
      <c r="XN374" s="1"/>
      <c r="XO374" s="1"/>
      <c r="XP374" s="1"/>
      <c r="XQ374" s="1"/>
      <c r="XR374" s="1"/>
      <c r="XS374" s="1"/>
      <c r="XT374" s="1"/>
      <c r="XU374" s="1"/>
      <c r="XV374" s="1"/>
      <c r="XW374" s="1"/>
      <c r="XX374" s="1"/>
      <c r="XY374" s="1"/>
      <c r="XZ374" s="1"/>
      <c r="YA374" s="1"/>
      <c r="YB374" s="1"/>
      <c r="YC374" s="1"/>
      <c r="YD374" s="1"/>
      <c r="YE374" s="1"/>
      <c r="YF374" s="1"/>
      <c r="YG374" s="1"/>
      <c r="YH374" s="1"/>
      <c r="YI374" s="1"/>
      <c r="YJ374" s="1"/>
      <c r="YK374" s="1"/>
      <c r="YL374" s="1"/>
      <c r="YM374" s="1"/>
      <c r="YN374" s="1"/>
      <c r="YO374" s="1"/>
      <c r="YP374" s="1"/>
      <c r="YQ374" s="1"/>
      <c r="YR374" s="1"/>
      <c r="YS374" s="1"/>
      <c r="YT374" s="1"/>
      <c r="YU374" s="1"/>
      <c r="YV374" s="1"/>
      <c r="YW374" s="1"/>
      <c r="YX374" s="1"/>
      <c r="YY374" s="1"/>
      <c r="YZ374" s="1"/>
      <c r="ZA374" s="1"/>
      <c r="ZB374" s="1"/>
      <c r="ZC374" s="1"/>
      <c r="ZD374" s="1"/>
      <c r="ZE374" s="1"/>
      <c r="ZF374" s="1"/>
      <c r="ZG374" s="1"/>
      <c r="ZH374" s="1"/>
      <c r="ZI374" s="1"/>
      <c r="ZJ374" s="1"/>
      <c r="ZK374" s="1"/>
      <c r="ZL374" s="1"/>
      <c r="ZM374" s="1"/>
      <c r="ZN374" s="1"/>
      <c r="ZO374" s="1"/>
      <c r="ZP374" s="1"/>
      <c r="ZQ374" s="1"/>
      <c r="ZR374" s="1"/>
      <c r="ZS374" s="1"/>
      <c r="ZT374" s="1"/>
      <c r="ZU374" s="1"/>
      <c r="ZV374" s="1"/>
      <c r="ZW374" s="1"/>
      <c r="ZX374" s="1"/>
      <c r="ZY374" s="1"/>
      <c r="ZZ374" s="1"/>
      <c r="AAA374" s="1"/>
      <c r="AAB374" s="1"/>
      <c r="AAC374" s="1"/>
      <c r="AAD374" s="1"/>
      <c r="AAE374" s="1"/>
      <c r="AAF374" s="1"/>
      <c r="AAG374" s="1"/>
      <c r="AAH374" s="1"/>
      <c r="AAI374" s="1"/>
      <c r="AAJ374" s="1"/>
      <c r="AAK374" s="1"/>
      <c r="AAL374" s="1"/>
      <c r="AAM374" s="1"/>
      <c r="AAN374" s="1"/>
      <c r="AAO374" s="1"/>
      <c r="AAP374" s="1"/>
      <c r="AAQ374" s="1"/>
      <c r="AAR374" s="1"/>
      <c r="AAS374" s="1"/>
      <c r="AAT374" s="1"/>
      <c r="AAU374" s="1"/>
      <c r="AAV374" s="1"/>
      <c r="AAW374" s="1"/>
      <c r="AAX374" s="1"/>
      <c r="AAY374" s="1"/>
      <c r="AAZ374" s="1"/>
      <c r="ABA374" s="1"/>
      <c r="ABB374" s="1"/>
      <c r="ABC374" s="1"/>
      <c r="ABD374" s="1"/>
      <c r="ABE374" s="1"/>
      <c r="ABF374" s="1"/>
      <c r="ABG374" s="1"/>
      <c r="ABH374" s="1"/>
      <c r="ABI374" s="1"/>
      <c r="ABJ374" s="1"/>
      <c r="ABK374" s="1"/>
      <c r="ABL374" s="1"/>
      <c r="ABM374" s="1"/>
      <c r="ABN374" s="1"/>
      <c r="ABO374" s="1"/>
      <c r="ABP374" s="1"/>
      <c r="ABQ374" s="1"/>
      <c r="ABR374" s="1"/>
      <c r="ABS374" s="1"/>
      <c r="ABT374" s="1"/>
      <c r="ABU374" s="1"/>
      <c r="ABV374" s="1"/>
      <c r="ABW374" s="1"/>
      <c r="ABX374" s="1"/>
      <c r="ABY374" s="1"/>
      <c r="ABZ374" s="1"/>
      <c r="ACA374" s="1"/>
      <c r="ACB374" s="1"/>
      <c r="ACC374" s="1"/>
      <c r="ACD374" s="1"/>
      <c r="ACE374" s="1"/>
      <c r="ACF374" s="1"/>
      <c r="ACG374" s="1"/>
      <c r="ACH374" s="1"/>
      <c r="ACI374" s="1"/>
      <c r="ACJ374" s="1"/>
      <c r="ACK374" s="1"/>
      <c r="ACL374" s="1"/>
      <c r="ACM374" s="1"/>
      <c r="ACN374" s="1"/>
      <c r="ACO374" s="1"/>
      <c r="ACP374" s="1"/>
      <c r="ACQ374" s="1"/>
      <c r="ACR374" s="1"/>
      <c r="ACS374" s="1"/>
      <c r="ACT374" s="1"/>
      <c r="ACU374" s="1"/>
      <c r="ACV374" s="1"/>
      <c r="ACW374" s="1"/>
      <c r="ACX374" s="1"/>
      <c r="ACY374" s="1"/>
      <c r="ACZ374" s="1"/>
      <c r="ADA374" s="1"/>
      <c r="ADB374" s="1"/>
      <c r="ADC374" s="1"/>
      <c r="ADD374" s="1"/>
      <c r="ADE374" s="1"/>
      <c r="ADF374" s="1"/>
      <c r="ADG374" s="1"/>
      <c r="ADH374" s="1"/>
      <c r="ADI374" s="1"/>
      <c r="ADJ374" s="1"/>
      <c r="ADK374" s="1"/>
      <c r="ADL374" s="1"/>
      <c r="ADM374" s="1"/>
      <c r="ADN374" s="1"/>
      <c r="ADO374" s="1"/>
      <c r="ADP374" s="1"/>
      <c r="ADQ374" s="1"/>
      <c r="ADR374" s="1"/>
      <c r="ADS374" s="1"/>
      <c r="ADT374" s="1"/>
      <c r="ADU374" s="1"/>
      <c r="ADV374" s="1"/>
      <c r="ADW374" s="1"/>
      <c r="ADX374" s="1"/>
      <c r="ADY374" s="1"/>
      <c r="ADZ374" s="1"/>
      <c r="AEA374" s="1"/>
      <c r="AEB374" s="1"/>
      <c r="AEC374" s="1"/>
      <c r="AED374" s="1"/>
      <c r="AEE374" s="1"/>
      <c r="AEF374" s="1"/>
      <c r="AEG374" s="1"/>
      <c r="AEH374" s="1"/>
      <c r="AEI374" s="1"/>
      <c r="AEJ374" s="1"/>
      <c r="AEK374" s="1"/>
      <c r="AEL374" s="1"/>
      <c r="AEM374" s="1"/>
      <c r="AEN374" s="1"/>
      <c r="AEO374" s="1"/>
      <c r="AEP374" s="1"/>
      <c r="AEQ374" s="1"/>
      <c r="AER374" s="1"/>
      <c r="AES374" s="1"/>
      <c r="AET374" s="1"/>
      <c r="AEU374" s="1"/>
      <c r="AEV374" s="1"/>
      <c r="AEW374" s="1"/>
      <c r="AEX374" s="1"/>
      <c r="AEY374" s="1"/>
      <c r="AEZ374" s="1"/>
      <c r="AFA374" s="1"/>
      <c r="AFB374" s="1"/>
      <c r="AFC374" s="1"/>
      <c r="AFD374" s="1"/>
      <c r="AFE374" s="1"/>
      <c r="AFF374" s="1"/>
      <c r="AFG374" s="1"/>
      <c r="AFH374" s="1"/>
      <c r="AFI374" s="1"/>
      <c r="AFJ374" s="1"/>
      <c r="AFK374" s="1"/>
      <c r="AFL374" s="1"/>
      <c r="AFM374" s="1"/>
      <c r="AFN374" s="1"/>
      <c r="AFO374" s="1"/>
      <c r="AFP374" s="1"/>
      <c r="AFQ374" s="1"/>
      <c r="AFR374" s="1"/>
      <c r="AFS374" s="1"/>
      <c r="AFT374" s="1"/>
      <c r="AFU374" s="1"/>
      <c r="AFV374" s="1"/>
      <c r="AFW374" s="1"/>
      <c r="AFX374" s="1"/>
      <c r="AFY374" s="1"/>
      <c r="AFZ374" s="1"/>
      <c r="AGA374" s="1"/>
      <c r="AGB374" s="1"/>
      <c r="AGC374" s="1"/>
      <c r="AGD374" s="1"/>
      <c r="AGE374" s="1"/>
      <c r="AGF374" s="1"/>
      <c r="AGG374" s="1"/>
      <c r="AGH374" s="1"/>
      <c r="AGI374" s="1"/>
      <c r="AGJ374" s="1"/>
      <c r="AGK374" s="1"/>
      <c r="AGL374" s="1"/>
      <c r="AGM374" s="1"/>
      <c r="AGN374" s="1"/>
      <c r="AGO374" s="1"/>
      <c r="AGP374" s="1"/>
      <c r="AGQ374" s="1"/>
      <c r="AGR374" s="1"/>
      <c r="AGS374" s="1"/>
      <c r="AGT374" s="1"/>
      <c r="AGU374" s="1"/>
      <c r="AGV374" s="1"/>
      <c r="AGW374" s="1"/>
      <c r="AGX374" s="1"/>
      <c r="AGY374" s="1"/>
      <c r="AGZ374" s="1"/>
      <c r="AHA374" s="1"/>
      <c r="AHB374" s="1"/>
      <c r="AHC374" s="1"/>
      <c r="AHD374" s="1"/>
      <c r="AHE374" s="1"/>
      <c r="AHF374" s="1"/>
      <c r="AHG374" s="1"/>
      <c r="AHH374" s="1"/>
      <c r="AHI374" s="1"/>
      <c r="AHJ374" s="1"/>
      <c r="AHK374" s="1"/>
      <c r="AHL374" s="1"/>
      <c r="AHM374" s="1"/>
      <c r="AHN374" s="1"/>
      <c r="AHO374" s="1"/>
      <c r="AHP374" s="1"/>
      <c r="AHQ374" s="1"/>
      <c r="AHR374" s="1"/>
      <c r="AHS374" s="1"/>
      <c r="AHT374" s="1"/>
      <c r="AHU374" s="1"/>
      <c r="AHV374" s="1"/>
      <c r="AHW374" s="1"/>
      <c r="AHX374" s="1"/>
      <c r="AHY374" s="1"/>
      <c r="AHZ374" s="1"/>
      <c r="AIA374" s="1"/>
      <c r="AIB374" s="1"/>
      <c r="AIC374" s="1"/>
      <c r="AID374" s="1"/>
      <c r="AIE374" s="1"/>
      <c r="AIF374" s="1"/>
      <c r="AIG374" s="1"/>
      <c r="AIH374" s="1"/>
      <c r="AII374" s="1"/>
      <c r="AIJ374" s="1"/>
      <c r="AIK374" s="1"/>
      <c r="AIL374" s="1"/>
      <c r="AIM374" s="1"/>
      <c r="AIN374" s="1"/>
      <c r="AIO374" s="1"/>
      <c r="AIP374" s="1"/>
      <c r="AIQ374" s="1"/>
      <c r="AIR374" s="1"/>
      <c r="AIS374" s="1"/>
      <c r="AIT374" s="1"/>
      <c r="AIU374" s="1"/>
      <c r="AIV374" s="1"/>
      <c r="AIW374" s="1"/>
      <c r="AIX374" s="1"/>
      <c r="AIY374" s="1"/>
      <c r="AIZ374" s="1"/>
      <c r="AJA374" s="1"/>
      <c r="AJB374" s="1"/>
      <c r="AJC374" s="1"/>
      <c r="AJD374" s="1"/>
      <c r="AJE374" s="1"/>
      <c r="AJF374" s="1"/>
      <c r="AJG374" s="1"/>
      <c r="AJH374" s="1"/>
      <c r="AJI374" s="1"/>
      <c r="AJJ374" s="1"/>
      <c r="AJK374" s="1"/>
      <c r="AJL374" s="1"/>
      <c r="AJM374" s="1"/>
      <c r="AJN374" s="1"/>
      <c r="AJO374" s="1"/>
      <c r="AJP374" s="1"/>
      <c r="AJQ374" s="1"/>
      <c r="AJR374" s="1"/>
      <c r="AJS374" s="1"/>
      <c r="AJT374" s="1"/>
      <c r="AJU374" s="1"/>
      <c r="AJV374" s="1"/>
      <c r="AJW374" s="1"/>
      <c r="AJX374" s="1"/>
      <c r="AJY374" s="1"/>
      <c r="AJZ374" s="1"/>
      <c r="AKA374" s="1"/>
      <c r="AKB374" s="1"/>
      <c r="AKC374" s="1"/>
      <c r="AKD374" s="1"/>
      <c r="AKE374" s="1"/>
      <c r="AKF374" s="1"/>
      <c r="AKG374" s="1"/>
      <c r="AKH374" s="1"/>
      <c r="AKI374" s="1"/>
      <c r="AKJ374" s="1"/>
      <c r="AKK374" s="1"/>
      <c r="AKL374" s="1"/>
      <c r="AKM374" s="1"/>
      <c r="AKN374" s="1"/>
      <c r="AKO374" s="1"/>
      <c r="AKP374" s="1"/>
      <c r="AKQ374" s="1"/>
      <c r="AKR374" s="1"/>
      <c r="AKS374" s="1"/>
      <c r="AKT374" s="1"/>
      <c r="AKU374" s="1"/>
      <c r="AKV374" s="1"/>
      <c r="AKW374" s="1"/>
      <c r="AKX374" s="1"/>
      <c r="AKY374" s="1"/>
      <c r="AKZ374" s="1"/>
      <c r="ALA374" s="1"/>
      <c r="ALB374" s="1"/>
      <c r="ALC374" s="1"/>
      <c r="ALD374" s="1"/>
      <c r="ALE374" s="1"/>
      <c r="ALF374" s="1"/>
      <c r="ALG374" s="1"/>
      <c r="ALH374" s="1"/>
      <c r="ALI374" s="1"/>
      <c r="ALJ374" s="1"/>
      <c r="ALK374" s="1"/>
      <c r="ALL374" s="1"/>
      <c r="ALM374" s="1"/>
      <c r="ALN374" s="1"/>
      <c r="ALO374" s="1"/>
      <c r="ALP374" s="1"/>
      <c r="ALQ374" s="1"/>
      <c r="ALR374" s="1"/>
      <c r="ALS374" s="1"/>
      <c r="ALT374" s="1"/>
      <c r="ALU374" s="1"/>
      <c r="ALV374" s="1"/>
      <c r="ALW374" s="1"/>
      <c r="ALX374" s="1"/>
      <c r="ALY374" s="1"/>
      <c r="ALZ374" s="1"/>
      <c r="AMA374" s="1"/>
      <c r="AMB374" s="1"/>
      <c r="AMC374" s="1"/>
      <c r="AMD374" s="1"/>
      <c r="AME374" s="1"/>
      <c r="AMF374" s="1"/>
      <c r="AMG374" s="1"/>
      <c r="AMH374" s="1"/>
      <c r="AMI374" s="1"/>
      <c r="AMJ374" s="1"/>
      <c r="AMK374" s="1"/>
      <c r="AML374" s="1"/>
      <c r="AMM374" s="1"/>
      <c r="AMN374" s="1"/>
      <c r="AMO374" s="1"/>
    </row>
    <row r="375" spans="1:1029" x14ac:dyDescent="0.2">
      <c r="A375" s="3" t="str">
        <f>CONCATENATE(B375,"_",C375)</f>
        <v>ptafr_human_5ZKQ</v>
      </c>
      <c r="B375" s="3" t="s">
        <v>370</v>
      </c>
      <c r="C375" s="3" t="s">
        <v>1500</v>
      </c>
      <c r="D375" s="3" t="str">
        <f>IFERROR(MID(VLOOKUP($B375,Seqs!$A:$B,2,0),E375,1),"")</f>
        <v>D</v>
      </c>
      <c r="E375" s="3">
        <v>10</v>
      </c>
      <c r="F375" s="3" t="str">
        <f>IFERROR(MID(VLOOKUP($B375,Seqs!$A:$B,2,0),G375,1),"")</f>
        <v>L</v>
      </c>
      <c r="G375" s="3">
        <v>43</v>
      </c>
      <c r="H375" s="3" t="str">
        <f>IFERROR(MID(VLOOKUP($B375,Seqs!$A:$B,2,0),I375,1),"")</f>
        <v/>
      </c>
      <c r="I375" s="23" t="s">
        <v>23</v>
      </c>
      <c r="J375" s="3" t="str">
        <f>IFERROR(MID(VLOOKUP($B375,Seqs!$A:$B,2,0),K375,1),"")</f>
        <v/>
      </c>
      <c r="K375" s="23" t="s">
        <v>23</v>
      </c>
      <c r="L375" s="3" t="str">
        <f>IFERROR(MID(VLOOKUP($B375,Seqs!$A:$B,2,0),M375,1),"")</f>
        <v>F</v>
      </c>
      <c r="M375" s="3">
        <v>49</v>
      </c>
      <c r="N375" s="3" t="str">
        <f>IFERROR(MID(VLOOKUP($B375,Seqs!$A:$B,2,0),O375,1),"")</f>
        <v>Q</v>
      </c>
      <c r="O375" s="3">
        <v>80</v>
      </c>
      <c r="P375" s="3" t="str">
        <f>IFERROR(MID(VLOOKUP($B375,Seqs!$A:$B,2,0),Q375,1),"")</f>
        <v>N</v>
      </c>
      <c r="Q375" s="3">
        <v>82</v>
      </c>
      <c r="R375" s="3" t="str">
        <f>IFERROR(MID(VLOOKUP($B375,Seqs!$A:$B,2,0),S375,1),"")</f>
        <v>L</v>
      </c>
      <c r="S375" s="3">
        <v>85</v>
      </c>
      <c r="T375" s="3" t="str">
        <f>IFERROR(MID(VLOOKUP($B375,Seqs!$A:$B,2,0),U375,1),"")</f>
        <v>P</v>
      </c>
      <c r="U375" s="3">
        <v>86</v>
      </c>
      <c r="V375" s="3" t="str">
        <f>IFERROR(MID(VLOOKUP($B375,Seqs!$A:$B,2,0),W375,1),"")</f>
        <v>R</v>
      </c>
      <c r="W375" s="3">
        <v>121</v>
      </c>
      <c r="X375" s="3" t="str">
        <f>IFERROR(MID(VLOOKUP($B375,Seqs!$A:$B,2,0),Y375,1),"")</f>
        <v/>
      </c>
      <c r="Y375" s="3" t="s">
        <v>23</v>
      </c>
      <c r="Z375" s="3" t="str">
        <f>IFERROR(MID(VLOOKUP($B375,Seqs!$A:$B,2,0),AA375,1),"")</f>
        <v/>
      </c>
      <c r="AA375" s="3" t="s">
        <v>23</v>
      </c>
      <c r="AB375" s="3" t="str">
        <f>IFERROR(MID(VLOOKUP($B375,Seqs!$A:$B,2,0),AC375,1),"")</f>
        <v>T</v>
      </c>
      <c r="AC375" s="3">
        <v>130</v>
      </c>
      <c r="AD375" s="3" t="str">
        <f>IFERROR(MID(VLOOKUP($B375,Seqs!$A:$B,2,0),AE375,1),"")</f>
        <v>I</v>
      </c>
      <c r="AE375" s="3">
        <v>154</v>
      </c>
      <c r="AF375" s="3" t="str">
        <f>IFERROR(MID(VLOOKUP($B375,Seqs!$A:$B,2,0),AG375,1),"")</f>
        <v>C</v>
      </c>
      <c r="AG375" s="3">
        <v>173</v>
      </c>
      <c r="AH375" s="3" t="str">
        <f>IFERROR(MID(VLOOKUP($B375,Seqs!$A:$B,2,0),AI375,1),"")</f>
        <v>E</v>
      </c>
      <c r="AI375" s="3">
        <v>175</v>
      </c>
      <c r="AJ375" s="3" t="str">
        <f>IFERROR(MID(VLOOKUP($B375,Seqs!$A:$B,2,0),AK375,1),"")</f>
        <v>S</v>
      </c>
      <c r="AK375" s="3">
        <v>181</v>
      </c>
      <c r="AL375" s="3" t="str">
        <f>IFERROR(MID(VLOOKUP($B375,Seqs!$A:$B,2,0),AM375,1),"")</f>
        <v>M</v>
      </c>
      <c r="AM375" s="3">
        <v>215</v>
      </c>
      <c r="AN375" s="3" t="str">
        <f>IFERROR(MID(VLOOKUP($B375,Seqs!$A:$B,2,0),AO375,1),"")</f>
        <v>K</v>
      </c>
      <c r="AO375" s="3">
        <v>227</v>
      </c>
      <c r="AP375" s="3" t="str">
        <f>IFERROR(MID(VLOOKUP($B375,Seqs!$A:$B,2,0),AQ375,1),"")</f>
        <v>G</v>
      </c>
      <c r="AQ375" s="3">
        <v>261</v>
      </c>
      <c r="AR375" s="3" t="str">
        <f>IFERROR(MID(VLOOKUP($B375,Seqs!$A:$B,2,0),AS375,1),"")</f>
        <v>D</v>
      </c>
      <c r="AS375" s="3">
        <v>264</v>
      </c>
      <c r="AT375" s="3" t="str">
        <f>IFERROR(MID(VLOOKUP($B375,Seqs!$A:$B,2,0),AU375,1),"")</f>
        <v>T</v>
      </c>
      <c r="AU375" s="3">
        <v>297</v>
      </c>
      <c r="AV375" s="3" t="str">
        <f>IFERROR(MID(VLOOKUP($B375,Seqs!$A:$B,2,0),AW375,1),"")</f>
        <v/>
      </c>
      <c r="AW375" s="3" t="s">
        <v>23</v>
      </c>
      <c r="AX375" s="3" t="str">
        <f>IFERROR(MID(VLOOKUP($B375,Seqs!$A:$B,2,0),AY375,1),"")</f>
        <v/>
      </c>
      <c r="AY375" s="3" t="s">
        <v>23</v>
      </c>
      <c r="AZ375" s="77" t="str">
        <f>VLOOKUP(B375,Classification!A:D,2,0)</f>
        <v>A</v>
      </c>
      <c r="BA375" s="94" t="str">
        <f>VLOOKUP(B375,Classification!A:D,4,0)</f>
        <v>Platelet-activatingfactor</v>
      </c>
      <c r="BB375" s="27" t="b">
        <f>AND(E375&lt;G375,OR(G375&lt;I375,I375="-"),OR(I375&lt;K375,I375="-"),OR(K375&lt;M375,K375="-"),M375&lt;O375,OR(O375&lt;Q375,Q375="-"),OR(Q375&lt;S375,Q375="-"),OR(S375&lt;U375,S375="-"),U375&lt;W375,OR(W375&lt;Y375,Y375="-"),OR(Y375&lt;AA375,Y375="-"),OR(AA375&lt;AC375,AA375="-"),AC375&lt;AE375,OR(AE375&lt;AG375,AG375="-"),OR(AG375&lt;AI375,AG375="-"),OR(AI375&lt;AK375,AI375="-"),AK375&lt;AM375,AM375&lt;AO375,AO375&lt;AQ375,AQ375&lt;AS375,AS375&lt;AU375,OR(AU375&lt;AW375,AW375="-"),OR(AW375&lt;AY375,AW375="-"))</f>
        <v>1</v>
      </c>
      <c r="BC375" s="23">
        <f>_xlfn.AGGREGATE(9,6,CH375:CS375)-_xlfn.AGGREGATE(9,6,BV375:CG375)+12</f>
        <v>241</v>
      </c>
      <c r="BD375" s="2" t="s">
        <v>1423</v>
      </c>
      <c r="BE375" s="3" t="s">
        <v>1422</v>
      </c>
      <c r="BF375" s="118">
        <v>2.9</v>
      </c>
      <c r="BG375" s="49" t="s">
        <v>1275</v>
      </c>
      <c r="BH375" s="49" t="s">
        <v>1275</v>
      </c>
      <c r="BI375" s="1"/>
      <c r="BJ375" s="70" t="s">
        <v>1281</v>
      </c>
      <c r="BK375" s="57" t="s">
        <v>1281</v>
      </c>
      <c r="BL375" s="57" t="s">
        <v>1281</v>
      </c>
      <c r="BM375" s="57" t="s">
        <v>1281</v>
      </c>
      <c r="BN375" s="57" t="s">
        <v>1281</v>
      </c>
      <c r="BO375" s="57" t="s">
        <v>1281</v>
      </c>
      <c r="BP375" s="57" t="s">
        <v>1281</v>
      </c>
      <c r="BQ375" s="57" t="s">
        <v>1281</v>
      </c>
      <c r="BR375" s="57" t="s">
        <v>1281</v>
      </c>
      <c r="BS375" s="57" t="s">
        <v>1281</v>
      </c>
      <c r="BT375" s="57" t="s">
        <v>1281</v>
      </c>
      <c r="BU375" s="57" t="s">
        <v>1281</v>
      </c>
      <c r="BV375" s="70">
        <f>E375</f>
        <v>10</v>
      </c>
      <c r="BW375" s="71" t="str">
        <f>I375</f>
        <v>-</v>
      </c>
      <c r="BX375" s="72">
        <f>M375</f>
        <v>49</v>
      </c>
      <c r="BY375" s="71">
        <f>Q375</f>
        <v>82</v>
      </c>
      <c r="BZ375" s="72">
        <f>U375</f>
        <v>86</v>
      </c>
      <c r="CA375" s="71" t="str">
        <f>Y375</f>
        <v>-</v>
      </c>
      <c r="CB375" s="72">
        <f>AC375</f>
        <v>130</v>
      </c>
      <c r="CC375" s="71">
        <f>AG375</f>
        <v>173</v>
      </c>
      <c r="CD375" s="72">
        <f>AK375</f>
        <v>181</v>
      </c>
      <c r="CE375" s="71">
        <f>AO375</f>
        <v>227</v>
      </c>
      <c r="CF375" s="72">
        <f>AS375</f>
        <v>264</v>
      </c>
      <c r="CG375" s="71" t="str">
        <f>AW375</f>
        <v>-</v>
      </c>
      <c r="CH375" s="70">
        <f>G375</f>
        <v>43</v>
      </c>
      <c r="CI375" s="71" t="str">
        <f>K375</f>
        <v>-</v>
      </c>
      <c r="CJ375" s="72">
        <f>O375</f>
        <v>80</v>
      </c>
      <c r="CK375" s="72">
        <f>S375</f>
        <v>85</v>
      </c>
      <c r="CL375" s="72">
        <f>W375</f>
        <v>121</v>
      </c>
      <c r="CM375" s="72" t="str">
        <f>AA375</f>
        <v>-</v>
      </c>
      <c r="CN375" s="72">
        <f>AE375</f>
        <v>154</v>
      </c>
      <c r="CO375" s="72">
        <f>AI375</f>
        <v>175</v>
      </c>
      <c r="CP375" s="72">
        <f>AM375</f>
        <v>215</v>
      </c>
      <c r="CQ375" s="72">
        <f>AQ375</f>
        <v>261</v>
      </c>
      <c r="CR375" s="72">
        <f>AU375</f>
        <v>297</v>
      </c>
      <c r="CS375" s="72" t="str">
        <f>AY375</f>
        <v>-</v>
      </c>
      <c r="CT375" s="23" t="e">
        <f>M375-K375</f>
        <v>#VALUE!</v>
      </c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/>
      <c r="OT375" s="1"/>
      <c r="OU375" s="1"/>
      <c r="OV375" s="1"/>
      <c r="OW375" s="1"/>
      <c r="OX375" s="1"/>
      <c r="OY375" s="1"/>
      <c r="OZ375" s="1"/>
      <c r="PA375" s="1"/>
      <c r="PB375" s="1"/>
      <c r="PC375" s="1"/>
      <c r="PD375" s="1"/>
      <c r="PE375" s="1"/>
      <c r="PF375" s="1"/>
      <c r="PG375" s="1"/>
      <c r="PH375" s="1"/>
      <c r="PI375" s="1"/>
      <c r="PJ375" s="1"/>
      <c r="PK375" s="1"/>
      <c r="PL375" s="1"/>
      <c r="PM375" s="1"/>
      <c r="PN375" s="1"/>
      <c r="PO375" s="1"/>
      <c r="PP375" s="1"/>
      <c r="PQ375" s="1"/>
      <c r="PR375" s="1"/>
      <c r="PS375" s="1"/>
      <c r="PT375" s="1"/>
      <c r="PU375" s="1"/>
      <c r="PV375" s="1"/>
      <c r="PW375" s="1"/>
      <c r="PX375" s="1"/>
      <c r="PY375" s="1"/>
      <c r="PZ375" s="1"/>
      <c r="QA375" s="1"/>
      <c r="QB375" s="1"/>
      <c r="QC375" s="1"/>
      <c r="QD375" s="1"/>
      <c r="QE375" s="1"/>
      <c r="QF375" s="1"/>
      <c r="QG375" s="1"/>
      <c r="QH375" s="1"/>
      <c r="QI375" s="1"/>
      <c r="QJ375" s="1"/>
      <c r="QK375" s="1"/>
      <c r="QL375" s="1"/>
      <c r="QM375" s="1"/>
      <c r="QN375" s="1"/>
      <c r="QO375" s="1"/>
      <c r="QP375" s="1"/>
      <c r="QQ375" s="1"/>
      <c r="QR375" s="1"/>
      <c r="QS375" s="1"/>
      <c r="QT375" s="1"/>
      <c r="QU375" s="1"/>
      <c r="QV375" s="1"/>
      <c r="QW375" s="1"/>
      <c r="QX375" s="1"/>
      <c r="QY375" s="1"/>
      <c r="QZ375" s="1"/>
      <c r="RA375" s="1"/>
      <c r="RB375" s="1"/>
      <c r="RC375" s="1"/>
      <c r="RD375" s="1"/>
      <c r="RE375" s="1"/>
      <c r="RF375" s="1"/>
      <c r="RG375" s="1"/>
      <c r="RH375" s="1"/>
      <c r="RI375" s="1"/>
      <c r="RJ375" s="1"/>
      <c r="RK375" s="1"/>
      <c r="RL375" s="1"/>
      <c r="RM375" s="1"/>
      <c r="RN375" s="1"/>
      <c r="RO375" s="1"/>
      <c r="RP375" s="1"/>
      <c r="RQ375" s="1"/>
      <c r="RR375" s="1"/>
      <c r="RS375" s="1"/>
      <c r="RT375" s="1"/>
      <c r="RU375" s="1"/>
      <c r="RV375" s="1"/>
      <c r="RW375" s="1"/>
      <c r="RX375" s="1"/>
      <c r="RY375" s="1"/>
      <c r="RZ375" s="1"/>
      <c r="SA375" s="1"/>
      <c r="SB375" s="1"/>
      <c r="SC375" s="1"/>
      <c r="SD375" s="1"/>
      <c r="SE375" s="1"/>
      <c r="SF375" s="1"/>
      <c r="SG375" s="1"/>
      <c r="SH375" s="1"/>
      <c r="SI375" s="1"/>
      <c r="SJ375" s="1"/>
      <c r="SK375" s="1"/>
      <c r="SL375" s="1"/>
      <c r="SM375" s="1"/>
      <c r="SN375" s="1"/>
      <c r="SO375" s="1"/>
      <c r="SP375" s="1"/>
      <c r="SQ375" s="1"/>
      <c r="SR375" s="1"/>
      <c r="SS375" s="1"/>
      <c r="ST375" s="1"/>
      <c r="SU375" s="1"/>
      <c r="SV375" s="1"/>
      <c r="SW375" s="1"/>
      <c r="SX375" s="1"/>
      <c r="SY375" s="1"/>
      <c r="SZ375" s="1"/>
      <c r="TA375" s="1"/>
      <c r="TB375" s="1"/>
      <c r="TC375" s="1"/>
      <c r="TD375" s="1"/>
      <c r="TE375" s="1"/>
      <c r="TF375" s="1"/>
      <c r="TG375" s="1"/>
      <c r="TH375" s="1"/>
      <c r="TI375" s="1"/>
      <c r="TJ375" s="1"/>
      <c r="TK375" s="1"/>
      <c r="TL375" s="1"/>
      <c r="TM375" s="1"/>
      <c r="TN375" s="1"/>
      <c r="TO375" s="1"/>
      <c r="TP375" s="1"/>
      <c r="TQ375" s="1"/>
      <c r="TR375" s="1"/>
      <c r="TS375" s="1"/>
      <c r="TT375" s="1"/>
      <c r="TU375" s="1"/>
      <c r="TV375" s="1"/>
      <c r="TW375" s="1"/>
      <c r="TX375" s="1"/>
      <c r="TY375" s="1"/>
      <c r="TZ375" s="1"/>
      <c r="UA375" s="1"/>
      <c r="UB375" s="1"/>
      <c r="UC375" s="1"/>
      <c r="UD375" s="1"/>
      <c r="UE375" s="1"/>
      <c r="UF375" s="1"/>
      <c r="UG375" s="1"/>
      <c r="UH375" s="1"/>
      <c r="UI375" s="1"/>
      <c r="UJ375" s="1"/>
      <c r="UK375" s="1"/>
      <c r="UL375" s="1"/>
      <c r="UM375" s="1"/>
      <c r="UN375" s="1"/>
      <c r="UO375" s="1"/>
      <c r="UP375" s="1"/>
      <c r="UQ375" s="1"/>
      <c r="UR375" s="1"/>
      <c r="US375" s="1"/>
      <c r="UT375" s="1"/>
      <c r="UU375" s="1"/>
      <c r="UV375" s="1"/>
      <c r="UW375" s="1"/>
      <c r="UX375" s="1"/>
      <c r="UY375" s="1"/>
      <c r="UZ375" s="1"/>
      <c r="VA375" s="1"/>
      <c r="VB375" s="1"/>
      <c r="VC375" s="1"/>
      <c r="VD375" s="1"/>
      <c r="VE375" s="1"/>
      <c r="VF375" s="1"/>
      <c r="VG375" s="1"/>
      <c r="VH375" s="1"/>
      <c r="VI375" s="1"/>
      <c r="VJ375" s="1"/>
      <c r="VK375" s="1"/>
      <c r="VL375" s="1"/>
      <c r="VM375" s="1"/>
      <c r="VN375" s="1"/>
      <c r="VO375" s="1"/>
      <c r="VP375" s="1"/>
      <c r="VQ375" s="1"/>
      <c r="VR375" s="1"/>
      <c r="VS375" s="1"/>
      <c r="VT375" s="1"/>
      <c r="VU375" s="1"/>
      <c r="VV375" s="1"/>
      <c r="VW375" s="1"/>
      <c r="VX375" s="1"/>
      <c r="VY375" s="1"/>
      <c r="VZ375" s="1"/>
      <c r="WA375" s="1"/>
      <c r="WB375" s="1"/>
      <c r="WC375" s="1"/>
      <c r="WD375" s="1"/>
      <c r="WE375" s="1"/>
      <c r="WF375" s="1"/>
      <c r="WG375" s="1"/>
      <c r="WH375" s="1"/>
      <c r="WI375" s="1"/>
      <c r="WJ375" s="1"/>
      <c r="WK375" s="1"/>
      <c r="WL375" s="1"/>
      <c r="WM375" s="1"/>
      <c r="WN375" s="1"/>
      <c r="WO375" s="1"/>
      <c r="WP375" s="1"/>
      <c r="WQ375" s="1"/>
      <c r="WR375" s="1"/>
      <c r="WS375" s="1"/>
      <c r="WT375" s="1"/>
      <c r="WU375" s="1"/>
      <c r="WV375" s="1"/>
      <c r="WW375" s="1"/>
      <c r="WX375" s="1"/>
      <c r="WY375" s="1"/>
      <c r="WZ375" s="1"/>
      <c r="XA375" s="1"/>
      <c r="XB375" s="1"/>
      <c r="XC375" s="1"/>
      <c r="XD375" s="1"/>
      <c r="XE375" s="1"/>
      <c r="XF375" s="1"/>
      <c r="XG375" s="1"/>
      <c r="XH375" s="1"/>
      <c r="XI375" s="1"/>
      <c r="XJ375" s="1"/>
      <c r="XK375" s="1"/>
      <c r="XL375" s="1"/>
      <c r="XM375" s="1"/>
      <c r="XN375" s="1"/>
      <c r="XO375" s="1"/>
      <c r="XP375" s="1"/>
      <c r="XQ375" s="1"/>
      <c r="XR375" s="1"/>
      <c r="XS375" s="1"/>
      <c r="XT375" s="1"/>
      <c r="XU375" s="1"/>
      <c r="XV375" s="1"/>
      <c r="XW375" s="1"/>
      <c r="XX375" s="1"/>
      <c r="XY375" s="1"/>
      <c r="XZ375" s="1"/>
      <c r="YA375" s="1"/>
      <c r="YB375" s="1"/>
      <c r="YC375" s="1"/>
      <c r="YD375" s="1"/>
      <c r="YE375" s="1"/>
      <c r="YF375" s="1"/>
      <c r="YG375" s="1"/>
      <c r="YH375" s="1"/>
      <c r="YI375" s="1"/>
      <c r="YJ375" s="1"/>
      <c r="YK375" s="1"/>
      <c r="YL375" s="1"/>
      <c r="YM375" s="1"/>
      <c r="YN375" s="1"/>
      <c r="YO375" s="1"/>
      <c r="YP375" s="1"/>
      <c r="YQ375" s="1"/>
      <c r="YR375" s="1"/>
      <c r="YS375" s="1"/>
      <c r="YT375" s="1"/>
      <c r="YU375" s="1"/>
      <c r="YV375" s="1"/>
      <c r="YW375" s="1"/>
      <c r="YX375" s="1"/>
      <c r="YY375" s="1"/>
      <c r="YZ375" s="1"/>
      <c r="ZA375" s="1"/>
      <c r="ZB375" s="1"/>
      <c r="ZC375" s="1"/>
      <c r="ZD375" s="1"/>
      <c r="ZE375" s="1"/>
      <c r="ZF375" s="1"/>
      <c r="ZG375" s="1"/>
      <c r="ZH375" s="1"/>
      <c r="ZI375" s="1"/>
      <c r="ZJ375" s="1"/>
      <c r="ZK375" s="1"/>
      <c r="ZL375" s="1"/>
      <c r="ZM375" s="1"/>
      <c r="ZN375" s="1"/>
      <c r="ZO375" s="1"/>
      <c r="ZP375" s="1"/>
      <c r="ZQ375" s="1"/>
      <c r="ZR375" s="1"/>
      <c r="ZS375" s="1"/>
      <c r="ZT375" s="1"/>
      <c r="ZU375" s="1"/>
      <c r="ZV375" s="1"/>
      <c r="ZW375" s="1"/>
      <c r="ZX375" s="1"/>
      <c r="ZY375" s="1"/>
      <c r="ZZ375" s="1"/>
      <c r="AAA375" s="1"/>
      <c r="AAB375" s="1"/>
      <c r="AAC375" s="1"/>
      <c r="AAD375" s="1"/>
      <c r="AAE375" s="1"/>
      <c r="AAF375" s="1"/>
      <c r="AAG375" s="1"/>
      <c r="AAH375" s="1"/>
      <c r="AAI375" s="1"/>
      <c r="AAJ375" s="1"/>
      <c r="AAK375" s="1"/>
      <c r="AAL375" s="1"/>
      <c r="AAM375" s="1"/>
      <c r="AAN375" s="1"/>
      <c r="AAO375" s="1"/>
      <c r="AAP375" s="1"/>
      <c r="AAQ375" s="1"/>
      <c r="AAR375" s="1"/>
      <c r="AAS375" s="1"/>
      <c r="AAT375" s="1"/>
      <c r="AAU375" s="1"/>
      <c r="AAV375" s="1"/>
      <c r="AAW375" s="1"/>
      <c r="AAX375" s="1"/>
      <c r="AAY375" s="1"/>
      <c r="AAZ375" s="1"/>
      <c r="ABA375" s="1"/>
      <c r="ABB375" s="1"/>
      <c r="ABC375" s="1"/>
      <c r="ABD375" s="1"/>
      <c r="ABE375" s="1"/>
      <c r="ABF375" s="1"/>
      <c r="ABG375" s="1"/>
      <c r="ABH375" s="1"/>
      <c r="ABI375" s="1"/>
      <c r="ABJ375" s="1"/>
      <c r="ABK375" s="1"/>
      <c r="ABL375" s="1"/>
      <c r="ABM375" s="1"/>
      <c r="ABN375" s="1"/>
      <c r="ABO375" s="1"/>
      <c r="ABP375" s="1"/>
      <c r="ABQ375" s="1"/>
      <c r="ABR375" s="1"/>
      <c r="ABS375" s="1"/>
      <c r="ABT375" s="1"/>
      <c r="ABU375" s="1"/>
      <c r="ABV375" s="1"/>
      <c r="ABW375" s="1"/>
      <c r="ABX375" s="1"/>
      <c r="ABY375" s="1"/>
      <c r="ABZ375" s="1"/>
      <c r="ACA375" s="1"/>
      <c r="ACB375" s="1"/>
      <c r="ACC375" s="1"/>
      <c r="ACD375" s="1"/>
      <c r="ACE375" s="1"/>
      <c r="ACF375" s="1"/>
      <c r="ACG375" s="1"/>
      <c r="ACH375" s="1"/>
      <c r="ACI375" s="1"/>
      <c r="ACJ375" s="1"/>
      <c r="ACK375" s="1"/>
      <c r="ACL375" s="1"/>
      <c r="ACM375" s="1"/>
      <c r="ACN375" s="1"/>
      <c r="ACO375" s="1"/>
      <c r="ACP375" s="1"/>
      <c r="ACQ375" s="1"/>
      <c r="ACR375" s="1"/>
      <c r="ACS375" s="1"/>
      <c r="ACT375" s="1"/>
      <c r="ACU375" s="1"/>
      <c r="ACV375" s="1"/>
      <c r="ACW375" s="1"/>
      <c r="ACX375" s="1"/>
      <c r="ACY375" s="1"/>
      <c r="ACZ375" s="1"/>
      <c r="ADA375" s="1"/>
      <c r="ADB375" s="1"/>
      <c r="ADC375" s="1"/>
      <c r="ADD375" s="1"/>
      <c r="ADE375" s="1"/>
      <c r="ADF375" s="1"/>
      <c r="ADG375" s="1"/>
      <c r="ADH375" s="1"/>
      <c r="ADI375" s="1"/>
      <c r="ADJ375" s="1"/>
      <c r="ADK375" s="1"/>
      <c r="ADL375" s="1"/>
      <c r="ADM375" s="1"/>
      <c r="ADN375" s="1"/>
      <c r="ADO375" s="1"/>
      <c r="ADP375" s="1"/>
      <c r="ADQ375" s="1"/>
      <c r="ADR375" s="1"/>
      <c r="ADS375" s="1"/>
      <c r="ADT375" s="1"/>
      <c r="ADU375" s="1"/>
      <c r="ADV375" s="1"/>
      <c r="ADW375" s="1"/>
      <c r="ADX375" s="1"/>
      <c r="ADY375" s="1"/>
      <c r="ADZ375" s="1"/>
      <c r="AEA375" s="1"/>
      <c r="AEB375" s="1"/>
      <c r="AEC375" s="1"/>
      <c r="AED375" s="1"/>
      <c r="AEE375" s="1"/>
      <c r="AEF375" s="1"/>
      <c r="AEG375" s="1"/>
      <c r="AEH375" s="1"/>
      <c r="AEI375" s="1"/>
      <c r="AEJ375" s="1"/>
      <c r="AEK375" s="1"/>
      <c r="AEL375" s="1"/>
      <c r="AEM375" s="1"/>
      <c r="AEN375" s="1"/>
      <c r="AEO375" s="1"/>
      <c r="AEP375" s="1"/>
      <c r="AEQ375" s="1"/>
      <c r="AER375" s="1"/>
      <c r="AES375" s="1"/>
      <c r="AET375" s="1"/>
      <c r="AEU375" s="1"/>
      <c r="AEV375" s="1"/>
      <c r="AEW375" s="1"/>
      <c r="AEX375" s="1"/>
      <c r="AEY375" s="1"/>
      <c r="AEZ375" s="1"/>
      <c r="AFA375" s="1"/>
      <c r="AFB375" s="1"/>
      <c r="AFC375" s="1"/>
      <c r="AFD375" s="1"/>
      <c r="AFE375" s="1"/>
      <c r="AFF375" s="1"/>
      <c r="AFG375" s="1"/>
      <c r="AFH375" s="1"/>
      <c r="AFI375" s="1"/>
      <c r="AFJ375" s="1"/>
      <c r="AFK375" s="1"/>
      <c r="AFL375" s="1"/>
      <c r="AFM375" s="1"/>
      <c r="AFN375" s="1"/>
      <c r="AFO375" s="1"/>
      <c r="AFP375" s="1"/>
      <c r="AFQ375" s="1"/>
      <c r="AFR375" s="1"/>
      <c r="AFS375" s="1"/>
      <c r="AFT375" s="1"/>
      <c r="AFU375" s="1"/>
      <c r="AFV375" s="1"/>
      <c r="AFW375" s="1"/>
      <c r="AFX375" s="1"/>
      <c r="AFY375" s="1"/>
      <c r="AFZ375" s="1"/>
      <c r="AGA375" s="1"/>
      <c r="AGB375" s="1"/>
      <c r="AGC375" s="1"/>
      <c r="AGD375" s="1"/>
      <c r="AGE375" s="1"/>
      <c r="AGF375" s="1"/>
      <c r="AGG375" s="1"/>
      <c r="AGH375" s="1"/>
      <c r="AGI375" s="1"/>
      <c r="AGJ375" s="1"/>
      <c r="AGK375" s="1"/>
      <c r="AGL375" s="1"/>
      <c r="AGM375" s="1"/>
      <c r="AGN375" s="1"/>
      <c r="AGO375" s="1"/>
      <c r="AGP375" s="1"/>
      <c r="AGQ375" s="1"/>
      <c r="AGR375" s="1"/>
      <c r="AGS375" s="1"/>
      <c r="AGT375" s="1"/>
      <c r="AGU375" s="1"/>
      <c r="AGV375" s="1"/>
      <c r="AGW375" s="1"/>
      <c r="AGX375" s="1"/>
      <c r="AGY375" s="1"/>
      <c r="AGZ375" s="1"/>
      <c r="AHA375" s="1"/>
      <c r="AHB375" s="1"/>
      <c r="AHC375" s="1"/>
      <c r="AHD375" s="1"/>
      <c r="AHE375" s="1"/>
      <c r="AHF375" s="1"/>
      <c r="AHG375" s="1"/>
      <c r="AHH375" s="1"/>
      <c r="AHI375" s="1"/>
      <c r="AHJ375" s="1"/>
      <c r="AHK375" s="1"/>
      <c r="AHL375" s="1"/>
      <c r="AHM375" s="1"/>
      <c r="AHN375" s="1"/>
      <c r="AHO375" s="1"/>
      <c r="AHP375" s="1"/>
      <c r="AHQ375" s="1"/>
      <c r="AHR375" s="1"/>
      <c r="AHS375" s="1"/>
      <c r="AHT375" s="1"/>
      <c r="AHU375" s="1"/>
      <c r="AHV375" s="1"/>
      <c r="AHW375" s="1"/>
      <c r="AHX375" s="1"/>
      <c r="AHY375" s="1"/>
      <c r="AHZ375" s="1"/>
      <c r="AIA375" s="1"/>
      <c r="AIB375" s="1"/>
      <c r="AIC375" s="1"/>
      <c r="AID375" s="1"/>
      <c r="AIE375" s="1"/>
      <c r="AIF375" s="1"/>
      <c r="AIG375" s="1"/>
      <c r="AIH375" s="1"/>
      <c r="AII375" s="1"/>
      <c r="AIJ375" s="1"/>
      <c r="AIK375" s="1"/>
      <c r="AIL375" s="1"/>
      <c r="AIM375" s="1"/>
      <c r="AIN375" s="1"/>
      <c r="AIO375" s="1"/>
      <c r="AIP375" s="1"/>
      <c r="AIQ375" s="1"/>
      <c r="AIR375" s="1"/>
      <c r="AIS375" s="1"/>
      <c r="AIT375" s="1"/>
      <c r="AIU375" s="1"/>
      <c r="AIV375" s="1"/>
      <c r="AIW375" s="1"/>
      <c r="AIX375" s="1"/>
      <c r="AIY375" s="1"/>
      <c r="AIZ375" s="1"/>
      <c r="AJA375" s="1"/>
      <c r="AJB375" s="1"/>
      <c r="AJC375" s="1"/>
      <c r="AJD375" s="1"/>
      <c r="AJE375" s="1"/>
      <c r="AJF375" s="1"/>
      <c r="AJG375" s="1"/>
      <c r="AJH375" s="1"/>
      <c r="AJI375" s="1"/>
      <c r="AJJ375" s="1"/>
      <c r="AJK375" s="1"/>
      <c r="AJL375" s="1"/>
      <c r="AJM375" s="1"/>
      <c r="AJN375" s="1"/>
      <c r="AJO375" s="1"/>
      <c r="AJP375" s="1"/>
      <c r="AJQ375" s="1"/>
      <c r="AJR375" s="1"/>
      <c r="AJS375" s="1"/>
      <c r="AJT375" s="1"/>
      <c r="AJU375" s="1"/>
      <c r="AJV375" s="1"/>
      <c r="AJW375" s="1"/>
      <c r="AJX375" s="1"/>
      <c r="AJY375" s="1"/>
      <c r="AJZ375" s="1"/>
      <c r="AKA375" s="1"/>
      <c r="AKB375" s="1"/>
      <c r="AKC375" s="1"/>
      <c r="AKD375" s="1"/>
      <c r="AKE375" s="1"/>
      <c r="AKF375" s="1"/>
      <c r="AKG375" s="1"/>
      <c r="AKH375" s="1"/>
      <c r="AKI375" s="1"/>
      <c r="AKJ375" s="1"/>
      <c r="AKK375" s="1"/>
      <c r="AKL375" s="1"/>
      <c r="AKM375" s="1"/>
      <c r="AKN375" s="1"/>
      <c r="AKO375" s="1"/>
      <c r="AKP375" s="1"/>
      <c r="AKQ375" s="1"/>
      <c r="AKR375" s="1"/>
      <c r="AKS375" s="1"/>
      <c r="AKT375" s="1"/>
      <c r="AKU375" s="1"/>
      <c r="AKV375" s="1"/>
      <c r="AKW375" s="1"/>
      <c r="AKX375" s="1"/>
      <c r="AKY375" s="1"/>
      <c r="AKZ375" s="1"/>
      <c r="ALA375" s="1"/>
      <c r="ALB375" s="1"/>
      <c r="ALC375" s="1"/>
      <c r="ALD375" s="1"/>
      <c r="ALE375" s="1"/>
      <c r="ALF375" s="1"/>
      <c r="ALG375" s="1"/>
      <c r="ALH375" s="1"/>
      <c r="ALI375" s="1"/>
      <c r="ALJ375" s="1"/>
      <c r="ALK375" s="1"/>
      <c r="ALL375" s="1"/>
      <c r="ALM375" s="1"/>
      <c r="ALN375" s="1"/>
      <c r="ALO375" s="1"/>
      <c r="ALP375" s="1"/>
      <c r="ALQ375" s="1"/>
      <c r="ALR375" s="1"/>
      <c r="ALS375" s="1"/>
      <c r="ALT375" s="1"/>
      <c r="ALU375" s="1"/>
      <c r="ALV375" s="1"/>
      <c r="ALW375" s="1"/>
      <c r="ALX375" s="1"/>
      <c r="ALY375" s="1"/>
      <c r="ALZ375" s="1"/>
      <c r="AMA375" s="1"/>
      <c r="AMB375" s="1"/>
      <c r="AMC375" s="1"/>
      <c r="AMD375" s="1"/>
      <c r="AME375" s="1"/>
      <c r="AMF375" s="1"/>
      <c r="AMG375" s="1"/>
      <c r="AMH375" s="1"/>
      <c r="AMI375" s="1"/>
      <c r="AMJ375" s="1"/>
      <c r="AMK375" s="1"/>
      <c r="AML375" s="1"/>
      <c r="AMM375" s="1"/>
      <c r="AMN375" s="1"/>
      <c r="AMO375" s="1"/>
    </row>
    <row r="376" spans="1:1029" x14ac:dyDescent="0.2">
      <c r="A376" s="3" t="str">
        <f>CONCATENATE(B376,"_",C376)</f>
        <v>q08bg4_danre__wt</v>
      </c>
      <c r="B376" s="3" t="s">
        <v>1434</v>
      </c>
      <c r="C376" s="3" t="s">
        <v>100</v>
      </c>
      <c r="D376" s="3" t="str">
        <f>IFERROR(MID(VLOOKUP($B376,Seqs!$A:$B,2,0),E376,1),"")</f>
        <v>K</v>
      </c>
      <c r="E376" s="3">
        <v>26</v>
      </c>
      <c r="F376" s="3" t="str">
        <f>IFERROR(MID(VLOOKUP($B376,Seqs!$A:$B,2,0),G376,1),"")</f>
        <v>S</v>
      </c>
      <c r="G376" s="3">
        <v>55</v>
      </c>
      <c r="H376" s="3" t="str">
        <f>IFERROR(MID(VLOOKUP($B376,Seqs!$A:$B,2,0),I376,1),"")</f>
        <v>L</v>
      </c>
      <c r="I376" s="23">
        <v>56</v>
      </c>
      <c r="J376" s="3" t="str">
        <f>IFERROR(MID(VLOOKUP($B376,Seqs!$A:$B,2,0),K376,1),"")</f>
        <v>R</v>
      </c>
      <c r="K376" s="23">
        <v>59</v>
      </c>
      <c r="L376" s="3" t="str">
        <f>IFERROR(MID(VLOOKUP($B376,Seqs!$A:$B,2,0),M376,1),"")</f>
        <v>N</v>
      </c>
      <c r="M376" s="3">
        <v>60</v>
      </c>
      <c r="N376" s="3" t="str">
        <f>IFERROR(MID(VLOOKUP($B376,Seqs!$A:$B,2,0),O376,1),"")</f>
        <v>Q</v>
      </c>
      <c r="O376" s="3">
        <v>89</v>
      </c>
      <c r="P376" s="3" t="str">
        <f>IFERROR(MID(VLOOKUP($B376,Seqs!$A:$B,2,0),Q376,1),"")</f>
        <v>N</v>
      </c>
      <c r="Q376" s="3">
        <v>91</v>
      </c>
      <c r="R376" s="3" t="str">
        <f>IFERROR(MID(VLOOKUP($B376,Seqs!$A:$B,2,0),S376,1),"")</f>
        <v>F</v>
      </c>
      <c r="S376" s="3">
        <v>94</v>
      </c>
      <c r="T376" s="3" t="str">
        <f>IFERROR(MID(VLOOKUP($B376,Seqs!$A:$B,2,0),U376,1),"")</f>
        <v>G</v>
      </c>
      <c r="U376" s="3">
        <v>95</v>
      </c>
      <c r="V376" s="3" t="str">
        <f>IFERROR(MID(VLOOKUP($B376,Seqs!$A:$B,2,0),W376,1),"")</f>
        <v>Y</v>
      </c>
      <c r="W376" s="3">
        <v>130</v>
      </c>
      <c r="X376" s="3" t="str">
        <f>IFERROR(MID(VLOOKUP($B376,Seqs!$A:$B,2,0),Y376,1),"")</f>
        <v>P</v>
      </c>
      <c r="Y376" s="3">
        <v>131</v>
      </c>
      <c r="Z376" s="3" t="str">
        <f>IFERROR(MID(VLOOKUP($B376,Seqs!$A:$B,2,0),AA376,1),"")</f>
        <v>R</v>
      </c>
      <c r="AA376" s="3">
        <v>138</v>
      </c>
      <c r="AB376" s="3" t="str">
        <f>IFERROR(MID(VLOOKUP($B376,Seqs!$A:$B,2,0),AC376,1),"")</f>
        <v>T</v>
      </c>
      <c r="AC376" s="3">
        <v>139</v>
      </c>
      <c r="AD376" s="3" t="str">
        <f>IFERROR(MID(VLOOKUP($B376,Seqs!$A:$B,2,0),AE376,1),"")</f>
        <v>N</v>
      </c>
      <c r="AE376" s="3">
        <v>166</v>
      </c>
      <c r="AF376" s="3" t="str">
        <f>IFERROR(MID(VLOOKUP($B376,Seqs!$A:$B,2,0),AG376,1),"")</f>
        <v>C</v>
      </c>
      <c r="AG376" s="3">
        <v>178</v>
      </c>
      <c r="AH376" s="3" t="str">
        <f>IFERROR(MID(VLOOKUP($B376,Seqs!$A:$B,2,0),AI376,1),"")</f>
        <v>E</v>
      </c>
      <c r="AI376" s="3">
        <v>180</v>
      </c>
      <c r="AJ376" s="3" t="str">
        <f>IFERROR(MID(VLOOKUP($B376,Seqs!$A:$B,2,0),AK376,1),"")</f>
        <v>W</v>
      </c>
      <c r="AK376" s="3">
        <v>187</v>
      </c>
      <c r="AL376" s="3" t="str">
        <f>IFERROR(MID(VLOOKUP($B376,Seqs!$A:$B,2,0),AM376,1),"")</f>
        <v>P</v>
      </c>
      <c r="AM376" s="3">
        <v>224</v>
      </c>
      <c r="AN376" s="3" t="str">
        <f>IFERROR(MID(VLOOKUP($B376,Seqs!$A:$B,2,0),AO376,1),"")</f>
        <v>R</v>
      </c>
      <c r="AO376" s="3">
        <v>229</v>
      </c>
      <c r="AP376" s="3" t="str">
        <f>IFERROR(MID(VLOOKUP($B376,Seqs!$A:$B,2,0),AQ376,1),"")</f>
        <v>N</v>
      </c>
      <c r="AQ376" s="3">
        <v>269</v>
      </c>
      <c r="AR376" s="3" t="str">
        <f>IFERROR(MID(VLOOKUP($B376,Seqs!$A:$B,2,0),AS376,1),"")</f>
        <v>G</v>
      </c>
      <c r="AS376" s="3">
        <v>273</v>
      </c>
      <c r="AT376" s="3" t="str">
        <f>IFERROR(MID(VLOOKUP($B376,Seqs!$A:$B,2,0),AU376,1),"")</f>
        <v>T</v>
      </c>
      <c r="AU376" s="3">
        <v>305</v>
      </c>
      <c r="AV376" s="3" t="str">
        <f>IFERROR(MID(VLOOKUP($B376,Seqs!$A:$B,2,0),AW376,1),"")</f>
        <v>S</v>
      </c>
      <c r="AW376" s="3">
        <v>306</v>
      </c>
      <c r="AX376" s="3" t="str">
        <f>IFERROR(MID(VLOOKUP($B376,Seqs!$A:$B,2,0),AY376,1),"")</f>
        <v>G</v>
      </c>
      <c r="AY376" s="3">
        <v>320</v>
      </c>
      <c r="AZ376" s="77" t="str">
        <f>VLOOKUP(B376,Classification!A:D,2,0)</f>
        <v>A</v>
      </c>
      <c r="BA376" s="94" t="str">
        <f>VLOOKUP(B376,Classification!A:D,4,0)</f>
        <v>Lysophospholipid(LPA)</v>
      </c>
      <c r="BB376" s="27" t="b">
        <f t="shared" si="1151"/>
        <v>1</v>
      </c>
      <c r="BC376" s="23">
        <f t="shared" si="1152"/>
        <v>270</v>
      </c>
      <c r="BD376" s="2" t="s">
        <v>23</v>
      </c>
      <c r="BE376" s="3" t="s">
        <v>23</v>
      </c>
      <c r="BF376" s="118" t="s">
        <v>23</v>
      </c>
      <c r="BG376" s="49" t="s">
        <v>1</v>
      </c>
      <c r="BH376" s="49" t="s">
        <v>1371</v>
      </c>
      <c r="BI376" s="1"/>
      <c r="BJ376" s="70" t="s">
        <v>1281</v>
      </c>
      <c r="BK376" s="57" t="s">
        <v>1281</v>
      </c>
      <c r="BL376" s="57" t="s">
        <v>1281</v>
      </c>
      <c r="BM376" s="57" t="s">
        <v>1281</v>
      </c>
      <c r="BN376" s="57" t="s">
        <v>1281</v>
      </c>
      <c r="BO376" s="57" t="s">
        <v>1281</v>
      </c>
      <c r="BP376" s="57" t="s">
        <v>1281</v>
      </c>
      <c r="BQ376" s="57" t="s">
        <v>1281</v>
      </c>
      <c r="BR376" s="57" t="s">
        <v>1281</v>
      </c>
      <c r="BS376" s="57" t="s">
        <v>1281</v>
      </c>
      <c r="BT376" s="57" t="s">
        <v>1281</v>
      </c>
      <c r="BU376" s="57" t="s">
        <v>1281</v>
      </c>
      <c r="BV376" s="70">
        <f>E376</f>
        <v>26</v>
      </c>
      <c r="BW376" s="71">
        <f>I376</f>
        <v>56</v>
      </c>
      <c r="BX376" s="72">
        <f>M376</f>
        <v>60</v>
      </c>
      <c r="BY376" s="71">
        <f>Q376</f>
        <v>91</v>
      </c>
      <c r="BZ376" s="72">
        <f>U376</f>
        <v>95</v>
      </c>
      <c r="CA376" s="71">
        <f>Y376</f>
        <v>131</v>
      </c>
      <c r="CB376" s="72">
        <f>AC376</f>
        <v>139</v>
      </c>
      <c r="CC376" s="71">
        <f>AG376</f>
        <v>178</v>
      </c>
      <c r="CD376" s="72">
        <f>AK376</f>
        <v>187</v>
      </c>
      <c r="CE376" s="71">
        <f>AO376</f>
        <v>229</v>
      </c>
      <c r="CF376" s="72">
        <f>AS376</f>
        <v>273</v>
      </c>
      <c r="CG376" s="71">
        <f>AW376</f>
        <v>306</v>
      </c>
      <c r="CH376" s="70">
        <f>G376</f>
        <v>55</v>
      </c>
      <c r="CI376" s="71">
        <f>K376</f>
        <v>59</v>
      </c>
      <c r="CJ376" s="72">
        <f>O376</f>
        <v>89</v>
      </c>
      <c r="CK376" s="72">
        <f>S376</f>
        <v>94</v>
      </c>
      <c r="CL376" s="72">
        <f>W376</f>
        <v>130</v>
      </c>
      <c r="CM376" s="72">
        <f>AA376</f>
        <v>138</v>
      </c>
      <c r="CN376" s="72">
        <f>AE376</f>
        <v>166</v>
      </c>
      <c r="CO376" s="72">
        <f>AI376</f>
        <v>180</v>
      </c>
      <c r="CP376" s="72">
        <f>AM376</f>
        <v>224</v>
      </c>
      <c r="CQ376" s="72">
        <f>AQ376</f>
        <v>269</v>
      </c>
      <c r="CR376" s="72">
        <f>AU376</f>
        <v>305</v>
      </c>
      <c r="CS376" s="72">
        <f>AY376</f>
        <v>320</v>
      </c>
      <c r="CT376" s="23">
        <f>M376-K376</f>
        <v>1</v>
      </c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U376" s="1"/>
      <c r="OV376" s="1"/>
      <c r="OW376" s="1"/>
      <c r="OX376" s="1"/>
      <c r="OY376" s="1"/>
      <c r="OZ376" s="1"/>
      <c r="PA376" s="1"/>
      <c r="PB376" s="1"/>
      <c r="PC376" s="1"/>
      <c r="PD376" s="1"/>
      <c r="PE376" s="1"/>
      <c r="PF376" s="1"/>
      <c r="PG376" s="1"/>
      <c r="PH376" s="1"/>
      <c r="PI376" s="1"/>
      <c r="PJ376" s="1"/>
      <c r="PK376" s="1"/>
      <c r="PL376" s="1"/>
      <c r="PM376" s="1"/>
      <c r="PN376" s="1"/>
      <c r="PO376" s="1"/>
      <c r="PP376" s="1"/>
      <c r="PQ376" s="1"/>
      <c r="PR376" s="1"/>
      <c r="PS376" s="1"/>
      <c r="PT376" s="1"/>
      <c r="PU376" s="1"/>
      <c r="PV376" s="1"/>
      <c r="PW376" s="1"/>
      <c r="PX376" s="1"/>
      <c r="PY376" s="1"/>
      <c r="PZ376" s="1"/>
      <c r="QA376" s="1"/>
      <c r="QB376" s="1"/>
      <c r="QC376" s="1"/>
      <c r="QD376" s="1"/>
      <c r="QE376" s="1"/>
      <c r="QF376" s="1"/>
      <c r="QG376" s="1"/>
      <c r="QH376" s="1"/>
      <c r="QI376" s="1"/>
      <c r="QJ376" s="1"/>
      <c r="QK376" s="1"/>
      <c r="QL376" s="1"/>
      <c r="QM376" s="1"/>
      <c r="QN376" s="1"/>
      <c r="QO376" s="1"/>
      <c r="QP376" s="1"/>
      <c r="QQ376" s="1"/>
      <c r="QR376" s="1"/>
      <c r="QS376" s="1"/>
      <c r="QT376" s="1"/>
      <c r="QU376" s="1"/>
      <c r="QV376" s="1"/>
      <c r="QW376" s="1"/>
      <c r="QX376" s="1"/>
      <c r="QY376" s="1"/>
      <c r="QZ376" s="1"/>
      <c r="RA376" s="1"/>
      <c r="RB376" s="1"/>
      <c r="RC376" s="1"/>
      <c r="RD376" s="1"/>
      <c r="RE376" s="1"/>
      <c r="RF376" s="1"/>
      <c r="RG376" s="1"/>
      <c r="RH376" s="1"/>
      <c r="RI376" s="1"/>
      <c r="RJ376" s="1"/>
      <c r="RK376" s="1"/>
      <c r="RL376" s="1"/>
      <c r="RM376" s="1"/>
      <c r="RN376" s="1"/>
      <c r="RO376" s="1"/>
      <c r="RP376" s="1"/>
      <c r="RQ376" s="1"/>
      <c r="RR376" s="1"/>
      <c r="RS376" s="1"/>
      <c r="RT376" s="1"/>
      <c r="RU376" s="1"/>
      <c r="RV376" s="1"/>
      <c r="RW376" s="1"/>
      <c r="RX376" s="1"/>
      <c r="RY376" s="1"/>
      <c r="RZ376" s="1"/>
      <c r="SA376" s="1"/>
      <c r="SB376" s="1"/>
      <c r="SC376" s="1"/>
      <c r="SD376" s="1"/>
      <c r="SE376" s="1"/>
      <c r="SF376" s="1"/>
      <c r="SG376" s="1"/>
      <c r="SH376" s="1"/>
      <c r="SI376" s="1"/>
      <c r="SJ376" s="1"/>
      <c r="SK376" s="1"/>
      <c r="SL376" s="1"/>
      <c r="SM376" s="1"/>
      <c r="SN376" s="1"/>
      <c r="SO376" s="1"/>
      <c r="SP376" s="1"/>
      <c r="SQ376" s="1"/>
      <c r="SR376" s="1"/>
      <c r="SS376" s="1"/>
      <c r="ST376" s="1"/>
      <c r="SU376" s="1"/>
      <c r="SV376" s="1"/>
      <c r="SW376" s="1"/>
      <c r="SX376" s="1"/>
      <c r="SY376" s="1"/>
      <c r="SZ376" s="1"/>
      <c r="TA376" s="1"/>
      <c r="TB376" s="1"/>
      <c r="TC376" s="1"/>
      <c r="TD376" s="1"/>
      <c r="TE376" s="1"/>
      <c r="TF376" s="1"/>
      <c r="TG376" s="1"/>
      <c r="TH376" s="1"/>
      <c r="TI376" s="1"/>
      <c r="TJ376" s="1"/>
      <c r="TK376" s="1"/>
      <c r="TL376" s="1"/>
      <c r="TM376" s="1"/>
      <c r="TN376" s="1"/>
      <c r="TO376" s="1"/>
      <c r="TP376" s="1"/>
      <c r="TQ376" s="1"/>
      <c r="TR376" s="1"/>
      <c r="TS376" s="1"/>
      <c r="TT376" s="1"/>
      <c r="TU376" s="1"/>
      <c r="TV376" s="1"/>
      <c r="TW376" s="1"/>
      <c r="TX376" s="1"/>
      <c r="TY376" s="1"/>
      <c r="TZ376" s="1"/>
      <c r="UA376" s="1"/>
      <c r="UB376" s="1"/>
      <c r="UC376" s="1"/>
      <c r="UD376" s="1"/>
      <c r="UE376" s="1"/>
      <c r="UF376" s="1"/>
      <c r="UG376" s="1"/>
      <c r="UH376" s="1"/>
      <c r="UI376" s="1"/>
      <c r="UJ376" s="1"/>
      <c r="UK376" s="1"/>
      <c r="UL376" s="1"/>
      <c r="UM376" s="1"/>
      <c r="UN376" s="1"/>
      <c r="UO376" s="1"/>
      <c r="UP376" s="1"/>
      <c r="UQ376" s="1"/>
      <c r="UR376" s="1"/>
      <c r="US376" s="1"/>
      <c r="UT376" s="1"/>
      <c r="UU376" s="1"/>
      <c r="UV376" s="1"/>
      <c r="UW376" s="1"/>
      <c r="UX376" s="1"/>
      <c r="UY376" s="1"/>
      <c r="UZ376" s="1"/>
      <c r="VA376" s="1"/>
      <c r="VB376" s="1"/>
      <c r="VC376" s="1"/>
      <c r="VD376" s="1"/>
      <c r="VE376" s="1"/>
      <c r="VF376" s="1"/>
      <c r="VG376" s="1"/>
      <c r="VH376" s="1"/>
      <c r="VI376" s="1"/>
      <c r="VJ376" s="1"/>
      <c r="VK376" s="1"/>
      <c r="VL376" s="1"/>
      <c r="VM376" s="1"/>
      <c r="VN376" s="1"/>
      <c r="VO376" s="1"/>
      <c r="VP376" s="1"/>
      <c r="VQ376" s="1"/>
      <c r="VR376" s="1"/>
      <c r="VS376" s="1"/>
      <c r="VT376" s="1"/>
      <c r="VU376" s="1"/>
      <c r="VV376" s="1"/>
      <c r="VW376" s="1"/>
      <c r="VX376" s="1"/>
      <c r="VY376" s="1"/>
      <c r="VZ376" s="1"/>
      <c r="WA376" s="1"/>
      <c r="WB376" s="1"/>
      <c r="WC376" s="1"/>
      <c r="WD376" s="1"/>
      <c r="WE376" s="1"/>
      <c r="WF376" s="1"/>
      <c r="WG376" s="1"/>
      <c r="WH376" s="1"/>
      <c r="WI376" s="1"/>
      <c r="WJ376" s="1"/>
      <c r="WK376" s="1"/>
      <c r="WL376" s="1"/>
      <c r="WM376" s="1"/>
      <c r="WN376" s="1"/>
      <c r="WO376" s="1"/>
      <c r="WP376" s="1"/>
      <c r="WQ376" s="1"/>
      <c r="WR376" s="1"/>
      <c r="WS376" s="1"/>
      <c r="WT376" s="1"/>
      <c r="WU376" s="1"/>
      <c r="WV376" s="1"/>
      <c r="WW376" s="1"/>
      <c r="WX376" s="1"/>
      <c r="WY376" s="1"/>
      <c r="WZ376" s="1"/>
      <c r="XA376" s="1"/>
      <c r="XB376" s="1"/>
      <c r="XC376" s="1"/>
      <c r="XD376" s="1"/>
      <c r="XE376" s="1"/>
      <c r="XF376" s="1"/>
      <c r="XG376" s="1"/>
      <c r="XH376" s="1"/>
      <c r="XI376" s="1"/>
      <c r="XJ376" s="1"/>
      <c r="XK376" s="1"/>
      <c r="XL376" s="1"/>
      <c r="XM376" s="1"/>
      <c r="XN376" s="1"/>
      <c r="XO376" s="1"/>
      <c r="XP376" s="1"/>
      <c r="XQ376" s="1"/>
      <c r="XR376" s="1"/>
      <c r="XS376" s="1"/>
      <c r="XT376" s="1"/>
      <c r="XU376" s="1"/>
      <c r="XV376" s="1"/>
      <c r="XW376" s="1"/>
      <c r="XX376" s="1"/>
      <c r="XY376" s="1"/>
      <c r="XZ376" s="1"/>
      <c r="YA376" s="1"/>
      <c r="YB376" s="1"/>
      <c r="YC376" s="1"/>
      <c r="YD376" s="1"/>
      <c r="YE376" s="1"/>
      <c r="YF376" s="1"/>
      <c r="YG376" s="1"/>
      <c r="YH376" s="1"/>
      <c r="YI376" s="1"/>
      <c r="YJ376" s="1"/>
      <c r="YK376" s="1"/>
      <c r="YL376" s="1"/>
      <c r="YM376" s="1"/>
      <c r="YN376" s="1"/>
      <c r="YO376" s="1"/>
      <c r="YP376" s="1"/>
      <c r="YQ376" s="1"/>
      <c r="YR376" s="1"/>
      <c r="YS376" s="1"/>
      <c r="YT376" s="1"/>
      <c r="YU376" s="1"/>
      <c r="YV376" s="1"/>
      <c r="YW376" s="1"/>
      <c r="YX376" s="1"/>
      <c r="YY376" s="1"/>
      <c r="YZ376" s="1"/>
      <c r="ZA376" s="1"/>
      <c r="ZB376" s="1"/>
      <c r="ZC376" s="1"/>
      <c r="ZD376" s="1"/>
      <c r="ZE376" s="1"/>
      <c r="ZF376" s="1"/>
      <c r="ZG376" s="1"/>
      <c r="ZH376" s="1"/>
      <c r="ZI376" s="1"/>
      <c r="ZJ376" s="1"/>
      <c r="ZK376" s="1"/>
      <c r="ZL376" s="1"/>
      <c r="ZM376" s="1"/>
      <c r="ZN376" s="1"/>
      <c r="ZO376" s="1"/>
      <c r="ZP376" s="1"/>
      <c r="ZQ376" s="1"/>
      <c r="ZR376" s="1"/>
      <c r="ZS376" s="1"/>
      <c r="ZT376" s="1"/>
      <c r="ZU376" s="1"/>
      <c r="ZV376" s="1"/>
      <c r="ZW376" s="1"/>
      <c r="ZX376" s="1"/>
      <c r="ZY376" s="1"/>
      <c r="ZZ376" s="1"/>
      <c r="AAA376" s="1"/>
      <c r="AAB376" s="1"/>
      <c r="AAC376" s="1"/>
      <c r="AAD376" s="1"/>
      <c r="AAE376" s="1"/>
      <c r="AAF376" s="1"/>
      <c r="AAG376" s="1"/>
      <c r="AAH376" s="1"/>
      <c r="AAI376" s="1"/>
      <c r="AAJ376" s="1"/>
      <c r="AAK376" s="1"/>
      <c r="AAL376" s="1"/>
      <c r="AAM376" s="1"/>
      <c r="AAN376" s="1"/>
      <c r="AAO376" s="1"/>
      <c r="AAP376" s="1"/>
      <c r="AAQ376" s="1"/>
      <c r="AAR376" s="1"/>
      <c r="AAS376" s="1"/>
      <c r="AAT376" s="1"/>
      <c r="AAU376" s="1"/>
      <c r="AAV376" s="1"/>
      <c r="AAW376" s="1"/>
      <c r="AAX376" s="1"/>
      <c r="AAY376" s="1"/>
      <c r="AAZ376" s="1"/>
      <c r="ABA376" s="1"/>
      <c r="ABB376" s="1"/>
      <c r="ABC376" s="1"/>
      <c r="ABD376" s="1"/>
      <c r="ABE376" s="1"/>
      <c r="ABF376" s="1"/>
      <c r="ABG376" s="1"/>
      <c r="ABH376" s="1"/>
      <c r="ABI376" s="1"/>
      <c r="ABJ376" s="1"/>
      <c r="ABK376" s="1"/>
      <c r="ABL376" s="1"/>
      <c r="ABM376" s="1"/>
      <c r="ABN376" s="1"/>
      <c r="ABO376" s="1"/>
      <c r="ABP376" s="1"/>
      <c r="ABQ376" s="1"/>
      <c r="ABR376" s="1"/>
      <c r="ABS376" s="1"/>
      <c r="ABT376" s="1"/>
      <c r="ABU376" s="1"/>
      <c r="ABV376" s="1"/>
      <c r="ABW376" s="1"/>
      <c r="ABX376" s="1"/>
      <c r="ABY376" s="1"/>
      <c r="ABZ376" s="1"/>
      <c r="ACA376" s="1"/>
      <c r="ACB376" s="1"/>
      <c r="ACC376" s="1"/>
      <c r="ACD376" s="1"/>
      <c r="ACE376" s="1"/>
      <c r="ACF376" s="1"/>
      <c r="ACG376" s="1"/>
      <c r="ACH376" s="1"/>
      <c r="ACI376" s="1"/>
      <c r="ACJ376" s="1"/>
      <c r="ACK376" s="1"/>
      <c r="ACL376" s="1"/>
      <c r="ACM376" s="1"/>
      <c r="ACN376" s="1"/>
      <c r="ACO376" s="1"/>
      <c r="ACP376" s="1"/>
      <c r="ACQ376" s="1"/>
      <c r="ACR376" s="1"/>
      <c r="ACS376" s="1"/>
      <c r="ACT376" s="1"/>
      <c r="ACU376" s="1"/>
      <c r="ACV376" s="1"/>
      <c r="ACW376" s="1"/>
      <c r="ACX376" s="1"/>
      <c r="ACY376" s="1"/>
      <c r="ACZ376" s="1"/>
      <c r="ADA376" s="1"/>
      <c r="ADB376" s="1"/>
      <c r="ADC376" s="1"/>
      <c r="ADD376" s="1"/>
      <c r="ADE376" s="1"/>
      <c r="ADF376" s="1"/>
      <c r="ADG376" s="1"/>
      <c r="ADH376" s="1"/>
      <c r="ADI376" s="1"/>
      <c r="ADJ376" s="1"/>
      <c r="ADK376" s="1"/>
      <c r="ADL376" s="1"/>
      <c r="ADM376" s="1"/>
      <c r="ADN376" s="1"/>
      <c r="ADO376" s="1"/>
      <c r="ADP376" s="1"/>
      <c r="ADQ376" s="1"/>
      <c r="ADR376" s="1"/>
      <c r="ADS376" s="1"/>
      <c r="ADT376" s="1"/>
      <c r="ADU376" s="1"/>
      <c r="ADV376" s="1"/>
      <c r="ADW376" s="1"/>
      <c r="ADX376" s="1"/>
      <c r="ADY376" s="1"/>
      <c r="ADZ376" s="1"/>
      <c r="AEA376" s="1"/>
      <c r="AEB376" s="1"/>
      <c r="AEC376" s="1"/>
      <c r="AED376" s="1"/>
      <c r="AEE376" s="1"/>
      <c r="AEF376" s="1"/>
      <c r="AEG376" s="1"/>
      <c r="AEH376" s="1"/>
      <c r="AEI376" s="1"/>
      <c r="AEJ376" s="1"/>
      <c r="AEK376" s="1"/>
      <c r="AEL376" s="1"/>
      <c r="AEM376" s="1"/>
      <c r="AEN376" s="1"/>
      <c r="AEO376" s="1"/>
      <c r="AEP376" s="1"/>
      <c r="AEQ376" s="1"/>
      <c r="AER376" s="1"/>
      <c r="AES376" s="1"/>
      <c r="AET376" s="1"/>
      <c r="AEU376" s="1"/>
      <c r="AEV376" s="1"/>
      <c r="AEW376" s="1"/>
      <c r="AEX376" s="1"/>
      <c r="AEY376" s="1"/>
      <c r="AEZ376" s="1"/>
      <c r="AFA376" s="1"/>
      <c r="AFB376" s="1"/>
      <c r="AFC376" s="1"/>
      <c r="AFD376" s="1"/>
      <c r="AFE376" s="1"/>
      <c r="AFF376" s="1"/>
      <c r="AFG376" s="1"/>
      <c r="AFH376" s="1"/>
      <c r="AFI376" s="1"/>
      <c r="AFJ376" s="1"/>
      <c r="AFK376" s="1"/>
      <c r="AFL376" s="1"/>
      <c r="AFM376" s="1"/>
      <c r="AFN376" s="1"/>
      <c r="AFO376" s="1"/>
      <c r="AFP376" s="1"/>
      <c r="AFQ376" s="1"/>
      <c r="AFR376" s="1"/>
      <c r="AFS376" s="1"/>
      <c r="AFT376" s="1"/>
      <c r="AFU376" s="1"/>
      <c r="AFV376" s="1"/>
      <c r="AFW376" s="1"/>
      <c r="AFX376" s="1"/>
      <c r="AFY376" s="1"/>
      <c r="AFZ376" s="1"/>
      <c r="AGA376" s="1"/>
      <c r="AGB376" s="1"/>
      <c r="AGC376" s="1"/>
      <c r="AGD376" s="1"/>
      <c r="AGE376" s="1"/>
      <c r="AGF376" s="1"/>
      <c r="AGG376" s="1"/>
      <c r="AGH376" s="1"/>
      <c r="AGI376" s="1"/>
      <c r="AGJ376" s="1"/>
      <c r="AGK376" s="1"/>
      <c r="AGL376" s="1"/>
      <c r="AGM376" s="1"/>
      <c r="AGN376" s="1"/>
      <c r="AGO376" s="1"/>
      <c r="AGP376" s="1"/>
      <c r="AGQ376" s="1"/>
      <c r="AGR376" s="1"/>
      <c r="AGS376" s="1"/>
      <c r="AGT376" s="1"/>
      <c r="AGU376" s="1"/>
      <c r="AGV376" s="1"/>
      <c r="AGW376" s="1"/>
      <c r="AGX376" s="1"/>
      <c r="AGY376" s="1"/>
      <c r="AGZ376" s="1"/>
      <c r="AHA376" s="1"/>
      <c r="AHB376" s="1"/>
      <c r="AHC376" s="1"/>
      <c r="AHD376" s="1"/>
      <c r="AHE376" s="1"/>
      <c r="AHF376" s="1"/>
      <c r="AHG376" s="1"/>
      <c r="AHH376" s="1"/>
      <c r="AHI376" s="1"/>
      <c r="AHJ376" s="1"/>
      <c r="AHK376" s="1"/>
      <c r="AHL376" s="1"/>
      <c r="AHM376" s="1"/>
      <c r="AHN376" s="1"/>
      <c r="AHO376" s="1"/>
      <c r="AHP376" s="1"/>
      <c r="AHQ376" s="1"/>
      <c r="AHR376" s="1"/>
      <c r="AHS376" s="1"/>
      <c r="AHT376" s="1"/>
      <c r="AHU376" s="1"/>
      <c r="AHV376" s="1"/>
      <c r="AHW376" s="1"/>
      <c r="AHX376" s="1"/>
      <c r="AHY376" s="1"/>
      <c r="AHZ376" s="1"/>
      <c r="AIA376" s="1"/>
      <c r="AIB376" s="1"/>
      <c r="AIC376" s="1"/>
      <c r="AID376" s="1"/>
      <c r="AIE376" s="1"/>
      <c r="AIF376" s="1"/>
      <c r="AIG376" s="1"/>
      <c r="AIH376" s="1"/>
      <c r="AII376" s="1"/>
      <c r="AIJ376" s="1"/>
      <c r="AIK376" s="1"/>
      <c r="AIL376" s="1"/>
      <c r="AIM376" s="1"/>
      <c r="AIN376" s="1"/>
      <c r="AIO376" s="1"/>
      <c r="AIP376" s="1"/>
      <c r="AIQ376" s="1"/>
      <c r="AIR376" s="1"/>
      <c r="AIS376" s="1"/>
      <c r="AIT376" s="1"/>
      <c r="AIU376" s="1"/>
      <c r="AIV376" s="1"/>
      <c r="AIW376" s="1"/>
      <c r="AIX376" s="1"/>
      <c r="AIY376" s="1"/>
      <c r="AIZ376" s="1"/>
      <c r="AJA376" s="1"/>
      <c r="AJB376" s="1"/>
      <c r="AJC376" s="1"/>
      <c r="AJD376" s="1"/>
      <c r="AJE376" s="1"/>
      <c r="AJF376" s="1"/>
      <c r="AJG376" s="1"/>
      <c r="AJH376" s="1"/>
      <c r="AJI376" s="1"/>
      <c r="AJJ376" s="1"/>
      <c r="AJK376" s="1"/>
      <c r="AJL376" s="1"/>
      <c r="AJM376" s="1"/>
      <c r="AJN376" s="1"/>
      <c r="AJO376" s="1"/>
      <c r="AJP376" s="1"/>
      <c r="AJQ376" s="1"/>
      <c r="AJR376" s="1"/>
      <c r="AJS376" s="1"/>
      <c r="AJT376" s="1"/>
      <c r="AJU376" s="1"/>
      <c r="AJV376" s="1"/>
      <c r="AJW376" s="1"/>
      <c r="AJX376" s="1"/>
      <c r="AJY376" s="1"/>
      <c r="AJZ376" s="1"/>
      <c r="AKA376" s="1"/>
      <c r="AKB376" s="1"/>
      <c r="AKC376" s="1"/>
      <c r="AKD376" s="1"/>
      <c r="AKE376" s="1"/>
      <c r="AKF376" s="1"/>
      <c r="AKG376" s="1"/>
      <c r="AKH376" s="1"/>
      <c r="AKI376" s="1"/>
      <c r="AKJ376" s="1"/>
      <c r="AKK376" s="1"/>
      <c r="AKL376" s="1"/>
      <c r="AKM376" s="1"/>
      <c r="AKN376" s="1"/>
      <c r="AKO376" s="1"/>
      <c r="AKP376" s="1"/>
      <c r="AKQ376" s="1"/>
      <c r="AKR376" s="1"/>
      <c r="AKS376" s="1"/>
      <c r="AKT376" s="1"/>
      <c r="AKU376" s="1"/>
      <c r="AKV376" s="1"/>
      <c r="AKW376" s="1"/>
      <c r="AKX376" s="1"/>
      <c r="AKY376" s="1"/>
      <c r="AKZ376" s="1"/>
      <c r="ALA376" s="1"/>
      <c r="ALB376" s="1"/>
      <c r="ALC376" s="1"/>
      <c r="ALD376" s="1"/>
      <c r="ALE376" s="1"/>
      <c r="ALF376" s="1"/>
      <c r="ALG376" s="1"/>
      <c r="ALH376" s="1"/>
      <c r="ALI376" s="1"/>
      <c r="ALJ376" s="1"/>
      <c r="ALK376" s="1"/>
      <c r="ALL376" s="1"/>
      <c r="ALM376" s="1"/>
      <c r="ALN376" s="1"/>
      <c r="ALO376" s="1"/>
      <c r="ALP376" s="1"/>
      <c r="ALQ376" s="1"/>
      <c r="ALR376" s="1"/>
      <c r="ALS376" s="1"/>
      <c r="ALT376" s="1"/>
      <c r="ALU376" s="1"/>
      <c r="ALV376" s="1"/>
      <c r="ALW376" s="1"/>
      <c r="ALX376" s="1"/>
      <c r="ALY376" s="1"/>
      <c r="ALZ376" s="1"/>
      <c r="AMA376" s="1"/>
      <c r="AMB376" s="1"/>
      <c r="AMC376" s="1"/>
      <c r="AMD376" s="1"/>
      <c r="AME376" s="1"/>
      <c r="AMF376" s="1"/>
      <c r="AMG376" s="1"/>
      <c r="AMH376" s="1"/>
      <c r="AMI376" s="1"/>
      <c r="AMJ376" s="1"/>
      <c r="AMK376" s="1"/>
      <c r="AML376" s="1"/>
      <c r="AMM376" s="1"/>
      <c r="AMN376" s="1"/>
      <c r="AMO376" s="1"/>
    </row>
    <row r="377" spans="1:1029" x14ac:dyDescent="0.2">
      <c r="A377" s="3" t="str">
        <f>CONCATENATE(B377,"_",C377)</f>
        <v>q08bg4_danre_5XSZ</v>
      </c>
      <c r="B377" s="3" t="s">
        <v>1434</v>
      </c>
      <c r="C377" s="3" t="s">
        <v>1436</v>
      </c>
      <c r="D377" s="3" t="str">
        <f>IFERROR(MID(VLOOKUP($B377,Seqs!$A:$B,2,0),E377,1),"")</f>
        <v>K</v>
      </c>
      <c r="E377" s="3">
        <v>26</v>
      </c>
      <c r="F377" s="3" t="str">
        <f>IFERROR(MID(VLOOKUP($B377,Seqs!$A:$B,2,0),G377,1),"")</f>
        <v>S</v>
      </c>
      <c r="G377" s="3">
        <v>55</v>
      </c>
      <c r="H377" s="3" t="str">
        <f>IFERROR(MID(VLOOKUP($B377,Seqs!$A:$B,2,0),I377,1),"")</f>
        <v/>
      </c>
      <c r="I377" s="23" t="s">
        <v>23</v>
      </c>
      <c r="J377" s="3" t="str">
        <f>IFERROR(MID(VLOOKUP($B377,Seqs!$A:$B,2,0),K377,1),"")</f>
        <v/>
      </c>
      <c r="K377" s="23" t="s">
        <v>23</v>
      </c>
      <c r="L377" s="3" t="str">
        <f>IFERROR(MID(VLOOKUP($B377,Seqs!$A:$B,2,0),M377,1),"")</f>
        <v>N</v>
      </c>
      <c r="M377" s="3">
        <v>60</v>
      </c>
      <c r="N377" s="3" t="str">
        <f>IFERROR(MID(VLOOKUP($B377,Seqs!$A:$B,2,0),O377,1),"")</f>
        <v>Q</v>
      </c>
      <c r="O377" s="3">
        <v>89</v>
      </c>
      <c r="P377" s="3" t="str">
        <f>IFERROR(MID(VLOOKUP($B377,Seqs!$A:$B,2,0),Q377,1),"")</f>
        <v>N</v>
      </c>
      <c r="Q377" s="3">
        <v>91</v>
      </c>
      <c r="R377" s="3" t="str">
        <f>IFERROR(MID(VLOOKUP($B377,Seqs!$A:$B,2,0),S377,1),"")</f>
        <v>F</v>
      </c>
      <c r="S377" s="3">
        <v>94</v>
      </c>
      <c r="T377" s="3" t="str">
        <f>IFERROR(MID(VLOOKUP($B377,Seqs!$A:$B,2,0),U377,1),"")</f>
        <v>G</v>
      </c>
      <c r="U377" s="3">
        <v>95</v>
      </c>
      <c r="V377" s="3" t="str">
        <f>IFERROR(MID(VLOOKUP($B377,Seqs!$A:$B,2,0),W377,1),"")</f>
        <v>Y</v>
      </c>
      <c r="W377" s="3">
        <v>130</v>
      </c>
      <c r="X377" s="3" t="str">
        <f>IFERROR(MID(VLOOKUP($B377,Seqs!$A:$B,2,0),Y377,1),"")</f>
        <v>P</v>
      </c>
      <c r="Y377" s="3">
        <v>131</v>
      </c>
      <c r="Z377" s="3" t="str">
        <f>IFERROR(MID(VLOOKUP($B377,Seqs!$A:$B,2,0),AA377,1),"")</f>
        <v>R</v>
      </c>
      <c r="AA377" s="3">
        <v>138</v>
      </c>
      <c r="AB377" s="3" t="str">
        <f>IFERROR(MID(VLOOKUP($B377,Seqs!$A:$B,2,0),AC377,1),"")</f>
        <v>T</v>
      </c>
      <c r="AC377" s="3">
        <v>139</v>
      </c>
      <c r="AD377" s="3" t="str">
        <f>IFERROR(MID(VLOOKUP($B377,Seqs!$A:$B,2,0),AE377,1),"")</f>
        <v>N</v>
      </c>
      <c r="AE377" s="3">
        <v>166</v>
      </c>
      <c r="AF377" s="3" t="str">
        <f>IFERROR(MID(VLOOKUP($B377,Seqs!$A:$B,2,0),AG377,1),"")</f>
        <v>C</v>
      </c>
      <c r="AG377" s="3">
        <v>178</v>
      </c>
      <c r="AH377" s="3" t="str">
        <f>IFERROR(MID(VLOOKUP($B377,Seqs!$A:$B,2,0),AI377,1),"")</f>
        <v>F</v>
      </c>
      <c r="AI377" s="3">
        <v>179</v>
      </c>
      <c r="AJ377" s="3" t="str">
        <f>IFERROR(MID(VLOOKUP($B377,Seqs!$A:$B,2,0),AK377,1),"")</f>
        <v>W</v>
      </c>
      <c r="AK377" s="3">
        <v>187</v>
      </c>
      <c r="AL377" s="3" t="str">
        <f>IFERROR(MID(VLOOKUP($B377,Seqs!$A:$B,2,0),AM377,1),"")</f>
        <v>R</v>
      </c>
      <c r="AM377" s="3">
        <v>223</v>
      </c>
      <c r="AN377" s="3" t="str">
        <f>IFERROR(MID(VLOOKUP($B377,Seqs!$A:$B,2,0),AO377,1),"")</f>
        <v>N</v>
      </c>
      <c r="AO377" s="3">
        <v>234</v>
      </c>
      <c r="AP377" s="3" t="str">
        <f>IFERROR(MID(VLOOKUP($B377,Seqs!$A:$B,2,0),AQ377,1),"")</f>
        <v>N</v>
      </c>
      <c r="AQ377" s="3">
        <v>269</v>
      </c>
      <c r="AR377" s="3" t="str">
        <f>IFERROR(MID(VLOOKUP($B377,Seqs!$A:$B,2,0),AS377,1),"")</f>
        <v>G</v>
      </c>
      <c r="AS377" s="3">
        <v>273</v>
      </c>
      <c r="AT377" s="3" t="str">
        <f>IFERROR(MID(VLOOKUP($B377,Seqs!$A:$B,2,0),AU377,1),"")</f>
        <v>T</v>
      </c>
      <c r="AU377" s="3">
        <v>308</v>
      </c>
      <c r="AV377" s="3" t="str">
        <f>IFERROR(MID(VLOOKUP($B377,Seqs!$A:$B,2,0),AW377,1),"")</f>
        <v/>
      </c>
      <c r="AW377" s="3" t="s">
        <v>23</v>
      </c>
      <c r="AX377" s="3" t="str">
        <f>IFERROR(MID(VLOOKUP($B377,Seqs!$A:$B,2,0),AY377,1),"")</f>
        <v/>
      </c>
      <c r="AY377" s="3" t="s">
        <v>23</v>
      </c>
      <c r="AZ377" s="77" t="str">
        <f>VLOOKUP(B377,Classification!A:D,2,0)</f>
        <v>A</v>
      </c>
      <c r="BA377" s="94" t="str">
        <f>VLOOKUP(B377,Classification!A:D,4,0)</f>
        <v>Lysophospholipid(LPA)</v>
      </c>
      <c r="BB377" s="27" t="b">
        <f t="shared" si="1151"/>
        <v>1</v>
      </c>
      <c r="BC377" s="23">
        <f t="shared" si="1152"/>
        <v>249</v>
      </c>
      <c r="BD377" s="2" t="s">
        <v>1369</v>
      </c>
      <c r="BE377" s="3" t="s">
        <v>1285</v>
      </c>
      <c r="BF377" s="118">
        <v>3.2</v>
      </c>
      <c r="BG377" s="49" t="s">
        <v>1</v>
      </c>
      <c r="BH377" s="49" t="s">
        <v>1371</v>
      </c>
      <c r="BI377" s="1"/>
      <c r="BJ377" s="70" t="s">
        <v>1281</v>
      </c>
      <c r="BK377" s="57" t="s">
        <v>1281</v>
      </c>
      <c r="BL377" s="57" t="s">
        <v>1281</v>
      </c>
      <c r="BM377" s="57" t="s">
        <v>1281</v>
      </c>
      <c r="BN377" s="57" t="s">
        <v>1281</v>
      </c>
      <c r="BO377" s="57" t="s">
        <v>1281</v>
      </c>
      <c r="BP377" s="57" t="s">
        <v>1281</v>
      </c>
      <c r="BQ377" s="57" t="s">
        <v>1281</v>
      </c>
      <c r="BR377" s="57" t="s">
        <v>1281</v>
      </c>
      <c r="BS377" s="57" t="s">
        <v>1281</v>
      </c>
      <c r="BT377" s="57" t="s">
        <v>1281</v>
      </c>
      <c r="BU377" s="57" t="s">
        <v>1281</v>
      </c>
      <c r="BV377" s="70">
        <f>E377</f>
        <v>26</v>
      </c>
      <c r="BW377" s="71" t="str">
        <f>I377</f>
        <v>-</v>
      </c>
      <c r="BX377" s="72">
        <f>M377</f>
        <v>60</v>
      </c>
      <c r="BY377" s="71">
        <f>Q377</f>
        <v>91</v>
      </c>
      <c r="BZ377" s="72">
        <f>U377</f>
        <v>95</v>
      </c>
      <c r="CA377" s="71">
        <f>Y377</f>
        <v>131</v>
      </c>
      <c r="CB377" s="72">
        <f>AC377</f>
        <v>139</v>
      </c>
      <c r="CC377" s="71">
        <f>AG377</f>
        <v>178</v>
      </c>
      <c r="CD377" s="72">
        <f>AK377</f>
        <v>187</v>
      </c>
      <c r="CE377" s="71">
        <f>AO377</f>
        <v>234</v>
      </c>
      <c r="CF377" s="72">
        <f>AS377</f>
        <v>273</v>
      </c>
      <c r="CG377" s="71" t="str">
        <f>AW377</f>
        <v>-</v>
      </c>
      <c r="CH377" s="70">
        <f>G377</f>
        <v>55</v>
      </c>
      <c r="CI377" s="71" t="str">
        <f>K377</f>
        <v>-</v>
      </c>
      <c r="CJ377" s="72">
        <f>O377</f>
        <v>89</v>
      </c>
      <c r="CK377" s="72">
        <f>S377</f>
        <v>94</v>
      </c>
      <c r="CL377" s="72">
        <f>W377</f>
        <v>130</v>
      </c>
      <c r="CM377" s="72">
        <f>AA377</f>
        <v>138</v>
      </c>
      <c r="CN377" s="72">
        <f>AE377</f>
        <v>166</v>
      </c>
      <c r="CO377" s="72">
        <f>AI377</f>
        <v>179</v>
      </c>
      <c r="CP377" s="72">
        <f>AM377</f>
        <v>223</v>
      </c>
      <c r="CQ377" s="72">
        <f>AQ377</f>
        <v>269</v>
      </c>
      <c r="CR377" s="72">
        <f>AU377</f>
        <v>308</v>
      </c>
      <c r="CS377" s="72" t="str">
        <f>AY377</f>
        <v>-</v>
      </c>
      <c r="CT377" s="23" t="e">
        <f>M377-K377</f>
        <v>#VALUE!</v>
      </c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U377" s="1"/>
      <c r="OV377" s="1"/>
      <c r="OW377" s="1"/>
      <c r="OX377" s="1"/>
      <c r="OY377" s="1"/>
      <c r="OZ377" s="1"/>
      <c r="PA377" s="1"/>
      <c r="PB377" s="1"/>
      <c r="PC377" s="1"/>
      <c r="PD377" s="1"/>
      <c r="PE377" s="1"/>
      <c r="PF377" s="1"/>
      <c r="PG377" s="1"/>
      <c r="PH377" s="1"/>
      <c r="PI377" s="1"/>
      <c r="PJ377" s="1"/>
      <c r="PK377" s="1"/>
      <c r="PL377" s="1"/>
      <c r="PM377" s="1"/>
      <c r="PN377" s="1"/>
      <c r="PO377" s="1"/>
      <c r="PP377" s="1"/>
      <c r="PQ377" s="1"/>
      <c r="PR377" s="1"/>
      <c r="PS377" s="1"/>
      <c r="PT377" s="1"/>
      <c r="PU377" s="1"/>
      <c r="PV377" s="1"/>
      <c r="PW377" s="1"/>
      <c r="PX377" s="1"/>
      <c r="PY377" s="1"/>
      <c r="PZ377" s="1"/>
      <c r="QA377" s="1"/>
      <c r="QB377" s="1"/>
      <c r="QC377" s="1"/>
      <c r="QD377" s="1"/>
      <c r="QE377" s="1"/>
      <c r="QF377" s="1"/>
      <c r="QG377" s="1"/>
      <c r="QH377" s="1"/>
      <c r="QI377" s="1"/>
      <c r="QJ377" s="1"/>
      <c r="QK377" s="1"/>
      <c r="QL377" s="1"/>
      <c r="QM377" s="1"/>
      <c r="QN377" s="1"/>
      <c r="QO377" s="1"/>
      <c r="QP377" s="1"/>
      <c r="QQ377" s="1"/>
      <c r="QR377" s="1"/>
      <c r="QS377" s="1"/>
      <c r="QT377" s="1"/>
      <c r="QU377" s="1"/>
      <c r="QV377" s="1"/>
      <c r="QW377" s="1"/>
      <c r="QX377" s="1"/>
      <c r="QY377" s="1"/>
      <c r="QZ377" s="1"/>
      <c r="RA377" s="1"/>
      <c r="RB377" s="1"/>
      <c r="RC377" s="1"/>
      <c r="RD377" s="1"/>
      <c r="RE377" s="1"/>
      <c r="RF377" s="1"/>
      <c r="RG377" s="1"/>
      <c r="RH377" s="1"/>
      <c r="RI377" s="1"/>
      <c r="RJ377" s="1"/>
      <c r="RK377" s="1"/>
      <c r="RL377" s="1"/>
      <c r="RM377" s="1"/>
      <c r="RN377" s="1"/>
      <c r="RO377" s="1"/>
      <c r="RP377" s="1"/>
      <c r="RQ377" s="1"/>
      <c r="RR377" s="1"/>
      <c r="RS377" s="1"/>
      <c r="RT377" s="1"/>
      <c r="RU377" s="1"/>
      <c r="RV377" s="1"/>
      <c r="RW377" s="1"/>
      <c r="RX377" s="1"/>
      <c r="RY377" s="1"/>
      <c r="RZ377" s="1"/>
      <c r="SA377" s="1"/>
      <c r="SB377" s="1"/>
      <c r="SC377" s="1"/>
      <c r="SD377" s="1"/>
      <c r="SE377" s="1"/>
      <c r="SF377" s="1"/>
      <c r="SG377" s="1"/>
      <c r="SH377" s="1"/>
      <c r="SI377" s="1"/>
      <c r="SJ377" s="1"/>
      <c r="SK377" s="1"/>
      <c r="SL377" s="1"/>
      <c r="SM377" s="1"/>
      <c r="SN377" s="1"/>
      <c r="SO377" s="1"/>
      <c r="SP377" s="1"/>
      <c r="SQ377" s="1"/>
      <c r="SR377" s="1"/>
      <c r="SS377" s="1"/>
      <c r="ST377" s="1"/>
      <c r="SU377" s="1"/>
      <c r="SV377" s="1"/>
      <c r="SW377" s="1"/>
      <c r="SX377" s="1"/>
      <c r="SY377" s="1"/>
      <c r="SZ377" s="1"/>
      <c r="TA377" s="1"/>
      <c r="TB377" s="1"/>
      <c r="TC377" s="1"/>
      <c r="TD377" s="1"/>
      <c r="TE377" s="1"/>
      <c r="TF377" s="1"/>
      <c r="TG377" s="1"/>
      <c r="TH377" s="1"/>
      <c r="TI377" s="1"/>
      <c r="TJ377" s="1"/>
      <c r="TK377" s="1"/>
      <c r="TL377" s="1"/>
      <c r="TM377" s="1"/>
      <c r="TN377" s="1"/>
      <c r="TO377" s="1"/>
      <c r="TP377" s="1"/>
      <c r="TQ377" s="1"/>
      <c r="TR377" s="1"/>
      <c r="TS377" s="1"/>
      <c r="TT377" s="1"/>
      <c r="TU377" s="1"/>
      <c r="TV377" s="1"/>
      <c r="TW377" s="1"/>
      <c r="TX377" s="1"/>
      <c r="TY377" s="1"/>
      <c r="TZ377" s="1"/>
      <c r="UA377" s="1"/>
      <c r="UB377" s="1"/>
      <c r="UC377" s="1"/>
      <c r="UD377" s="1"/>
      <c r="UE377" s="1"/>
      <c r="UF377" s="1"/>
      <c r="UG377" s="1"/>
      <c r="UH377" s="1"/>
      <c r="UI377" s="1"/>
      <c r="UJ377" s="1"/>
      <c r="UK377" s="1"/>
      <c r="UL377" s="1"/>
      <c r="UM377" s="1"/>
      <c r="UN377" s="1"/>
      <c r="UO377" s="1"/>
      <c r="UP377" s="1"/>
      <c r="UQ377" s="1"/>
      <c r="UR377" s="1"/>
      <c r="US377" s="1"/>
      <c r="UT377" s="1"/>
      <c r="UU377" s="1"/>
      <c r="UV377" s="1"/>
      <c r="UW377" s="1"/>
      <c r="UX377" s="1"/>
      <c r="UY377" s="1"/>
      <c r="UZ377" s="1"/>
      <c r="VA377" s="1"/>
      <c r="VB377" s="1"/>
      <c r="VC377" s="1"/>
      <c r="VD377" s="1"/>
      <c r="VE377" s="1"/>
      <c r="VF377" s="1"/>
      <c r="VG377" s="1"/>
      <c r="VH377" s="1"/>
      <c r="VI377" s="1"/>
      <c r="VJ377" s="1"/>
      <c r="VK377" s="1"/>
      <c r="VL377" s="1"/>
      <c r="VM377" s="1"/>
      <c r="VN377" s="1"/>
      <c r="VO377" s="1"/>
      <c r="VP377" s="1"/>
      <c r="VQ377" s="1"/>
      <c r="VR377" s="1"/>
      <c r="VS377" s="1"/>
      <c r="VT377" s="1"/>
      <c r="VU377" s="1"/>
      <c r="VV377" s="1"/>
      <c r="VW377" s="1"/>
      <c r="VX377" s="1"/>
      <c r="VY377" s="1"/>
      <c r="VZ377" s="1"/>
      <c r="WA377" s="1"/>
      <c r="WB377" s="1"/>
      <c r="WC377" s="1"/>
      <c r="WD377" s="1"/>
      <c r="WE377" s="1"/>
      <c r="WF377" s="1"/>
      <c r="WG377" s="1"/>
      <c r="WH377" s="1"/>
      <c r="WI377" s="1"/>
      <c r="WJ377" s="1"/>
      <c r="WK377" s="1"/>
      <c r="WL377" s="1"/>
      <c r="WM377" s="1"/>
      <c r="WN377" s="1"/>
      <c r="WO377" s="1"/>
      <c r="WP377" s="1"/>
      <c r="WQ377" s="1"/>
      <c r="WR377" s="1"/>
      <c r="WS377" s="1"/>
      <c r="WT377" s="1"/>
      <c r="WU377" s="1"/>
      <c r="WV377" s="1"/>
      <c r="WW377" s="1"/>
      <c r="WX377" s="1"/>
      <c r="WY377" s="1"/>
      <c r="WZ377" s="1"/>
      <c r="XA377" s="1"/>
      <c r="XB377" s="1"/>
      <c r="XC377" s="1"/>
      <c r="XD377" s="1"/>
      <c r="XE377" s="1"/>
      <c r="XF377" s="1"/>
      <c r="XG377" s="1"/>
      <c r="XH377" s="1"/>
      <c r="XI377" s="1"/>
      <c r="XJ377" s="1"/>
      <c r="XK377" s="1"/>
      <c r="XL377" s="1"/>
      <c r="XM377" s="1"/>
      <c r="XN377" s="1"/>
      <c r="XO377" s="1"/>
      <c r="XP377" s="1"/>
      <c r="XQ377" s="1"/>
      <c r="XR377" s="1"/>
      <c r="XS377" s="1"/>
      <c r="XT377" s="1"/>
      <c r="XU377" s="1"/>
      <c r="XV377" s="1"/>
      <c r="XW377" s="1"/>
      <c r="XX377" s="1"/>
      <c r="XY377" s="1"/>
      <c r="XZ377" s="1"/>
      <c r="YA377" s="1"/>
      <c r="YB377" s="1"/>
      <c r="YC377" s="1"/>
      <c r="YD377" s="1"/>
      <c r="YE377" s="1"/>
      <c r="YF377" s="1"/>
      <c r="YG377" s="1"/>
      <c r="YH377" s="1"/>
      <c r="YI377" s="1"/>
      <c r="YJ377" s="1"/>
      <c r="YK377" s="1"/>
      <c r="YL377" s="1"/>
      <c r="YM377" s="1"/>
      <c r="YN377" s="1"/>
      <c r="YO377" s="1"/>
      <c r="YP377" s="1"/>
      <c r="YQ377" s="1"/>
      <c r="YR377" s="1"/>
      <c r="YS377" s="1"/>
      <c r="YT377" s="1"/>
      <c r="YU377" s="1"/>
      <c r="YV377" s="1"/>
      <c r="YW377" s="1"/>
      <c r="YX377" s="1"/>
      <c r="YY377" s="1"/>
      <c r="YZ377" s="1"/>
      <c r="ZA377" s="1"/>
      <c r="ZB377" s="1"/>
      <c r="ZC377" s="1"/>
      <c r="ZD377" s="1"/>
      <c r="ZE377" s="1"/>
      <c r="ZF377" s="1"/>
      <c r="ZG377" s="1"/>
      <c r="ZH377" s="1"/>
      <c r="ZI377" s="1"/>
      <c r="ZJ377" s="1"/>
      <c r="ZK377" s="1"/>
      <c r="ZL377" s="1"/>
      <c r="ZM377" s="1"/>
      <c r="ZN377" s="1"/>
      <c r="ZO377" s="1"/>
      <c r="ZP377" s="1"/>
      <c r="ZQ377" s="1"/>
      <c r="ZR377" s="1"/>
      <c r="ZS377" s="1"/>
      <c r="ZT377" s="1"/>
      <c r="ZU377" s="1"/>
      <c r="ZV377" s="1"/>
      <c r="ZW377" s="1"/>
      <c r="ZX377" s="1"/>
      <c r="ZY377" s="1"/>
      <c r="ZZ377" s="1"/>
      <c r="AAA377" s="1"/>
      <c r="AAB377" s="1"/>
      <c r="AAC377" s="1"/>
      <c r="AAD377" s="1"/>
      <c r="AAE377" s="1"/>
      <c r="AAF377" s="1"/>
      <c r="AAG377" s="1"/>
      <c r="AAH377" s="1"/>
      <c r="AAI377" s="1"/>
      <c r="AAJ377" s="1"/>
      <c r="AAK377" s="1"/>
      <c r="AAL377" s="1"/>
      <c r="AAM377" s="1"/>
      <c r="AAN377" s="1"/>
      <c r="AAO377" s="1"/>
      <c r="AAP377" s="1"/>
      <c r="AAQ377" s="1"/>
      <c r="AAR377" s="1"/>
      <c r="AAS377" s="1"/>
      <c r="AAT377" s="1"/>
      <c r="AAU377" s="1"/>
      <c r="AAV377" s="1"/>
      <c r="AAW377" s="1"/>
      <c r="AAX377" s="1"/>
      <c r="AAY377" s="1"/>
      <c r="AAZ377" s="1"/>
      <c r="ABA377" s="1"/>
      <c r="ABB377" s="1"/>
      <c r="ABC377" s="1"/>
      <c r="ABD377" s="1"/>
      <c r="ABE377" s="1"/>
      <c r="ABF377" s="1"/>
      <c r="ABG377" s="1"/>
      <c r="ABH377" s="1"/>
      <c r="ABI377" s="1"/>
      <c r="ABJ377" s="1"/>
      <c r="ABK377" s="1"/>
      <c r="ABL377" s="1"/>
      <c r="ABM377" s="1"/>
      <c r="ABN377" s="1"/>
      <c r="ABO377" s="1"/>
      <c r="ABP377" s="1"/>
      <c r="ABQ377" s="1"/>
      <c r="ABR377" s="1"/>
      <c r="ABS377" s="1"/>
      <c r="ABT377" s="1"/>
      <c r="ABU377" s="1"/>
      <c r="ABV377" s="1"/>
      <c r="ABW377" s="1"/>
      <c r="ABX377" s="1"/>
      <c r="ABY377" s="1"/>
      <c r="ABZ377" s="1"/>
      <c r="ACA377" s="1"/>
      <c r="ACB377" s="1"/>
      <c r="ACC377" s="1"/>
      <c r="ACD377" s="1"/>
      <c r="ACE377" s="1"/>
      <c r="ACF377" s="1"/>
      <c r="ACG377" s="1"/>
      <c r="ACH377" s="1"/>
      <c r="ACI377" s="1"/>
      <c r="ACJ377" s="1"/>
      <c r="ACK377" s="1"/>
      <c r="ACL377" s="1"/>
      <c r="ACM377" s="1"/>
      <c r="ACN377" s="1"/>
      <c r="ACO377" s="1"/>
      <c r="ACP377" s="1"/>
      <c r="ACQ377" s="1"/>
      <c r="ACR377" s="1"/>
      <c r="ACS377" s="1"/>
      <c r="ACT377" s="1"/>
      <c r="ACU377" s="1"/>
      <c r="ACV377" s="1"/>
      <c r="ACW377" s="1"/>
      <c r="ACX377" s="1"/>
      <c r="ACY377" s="1"/>
      <c r="ACZ377" s="1"/>
      <c r="ADA377" s="1"/>
      <c r="ADB377" s="1"/>
      <c r="ADC377" s="1"/>
      <c r="ADD377" s="1"/>
      <c r="ADE377" s="1"/>
      <c r="ADF377" s="1"/>
      <c r="ADG377" s="1"/>
      <c r="ADH377" s="1"/>
      <c r="ADI377" s="1"/>
      <c r="ADJ377" s="1"/>
      <c r="ADK377" s="1"/>
      <c r="ADL377" s="1"/>
      <c r="ADM377" s="1"/>
      <c r="ADN377" s="1"/>
      <c r="ADO377" s="1"/>
      <c r="ADP377" s="1"/>
      <c r="ADQ377" s="1"/>
      <c r="ADR377" s="1"/>
      <c r="ADS377" s="1"/>
      <c r="ADT377" s="1"/>
      <c r="ADU377" s="1"/>
      <c r="ADV377" s="1"/>
      <c r="ADW377" s="1"/>
      <c r="ADX377" s="1"/>
      <c r="ADY377" s="1"/>
      <c r="ADZ377" s="1"/>
      <c r="AEA377" s="1"/>
      <c r="AEB377" s="1"/>
      <c r="AEC377" s="1"/>
      <c r="AED377" s="1"/>
      <c r="AEE377" s="1"/>
      <c r="AEF377" s="1"/>
      <c r="AEG377" s="1"/>
      <c r="AEH377" s="1"/>
      <c r="AEI377" s="1"/>
      <c r="AEJ377" s="1"/>
      <c r="AEK377" s="1"/>
      <c r="AEL377" s="1"/>
      <c r="AEM377" s="1"/>
      <c r="AEN377" s="1"/>
      <c r="AEO377" s="1"/>
      <c r="AEP377" s="1"/>
      <c r="AEQ377" s="1"/>
      <c r="AER377" s="1"/>
      <c r="AES377" s="1"/>
      <c r="AET377" s="1"/>
      <c r="AEU377" s="1"/>
      <c r="AEV377" s="1"/>
      <c r="AEW377" s="1"/>
      <c r="AEX377" s="1"/>
      <c r="AEY377" s="1"/>
      <c r="AEZ377" s="1"/>
      <c r="AFA377" s="1"/>
      <c r="AFB377" s="1"/>
      <c r="AFC377" s="1"/>
      <c r="AFD377" s="1"/>
      <c r="AFE377" s="1"/>
      <c r="AFF377" s="1"/>
      <c r="AFG377" s="1"/>
      <c r="AFH377" s="1"/>
      <c r="AFI377" s="1"/>
      <c r="AFJ377" s="1"/>
      <c r="AFK377" s="1"/>
      <c r="AFL377" s="1"/>
      <c r="AFM377" s="1"/>
      <c r="AFN377" s="1"/>
      <c r="AFO377" s="1"/>
      <c r="AFP377" s="1"/>
      <c r="AFQ377" s="1"/>
      <c r="AFR377" s="1"/>
      <c r="AFS377" s="1"/>
      <c r="AFT377" s="1"/>
      <c r="AFU377" s="1"/>
      <c r="AFV377" s="1"/>
      <c r="AFW377" s="1"/>
      <c r="AFX377" s="1"/>
      <c r="AFY377" s="1"/>
      <c r="AFZ377" s="1"/>
      <c r="AGA377" s="1"/>
      <c r="AGB377" s="1"/>
      <c r="AGC377" s="1"/>
      <c r="AGD377" s="1"/>
      <c r="AGE377" s="1"/>
      <c r="AGF377" s="1"/>
      <c r="AGG377" s="1"/>
      <c r="AGH377" s="1"/>
      <c r="AGI377" s="1"/>
      <c r="AGJ377" s="1"/>
      <c r="AGK377" s="1"/>
      <c r="AGL377" s="1"/>
      <c r="AGM377" s="1"/>
      <c r="AGN377" s="1"/>
      <c r="AGO377" s="1"/>
      <c r="AGP377" s="1"/>
      <c r="AGQ377" s="1"/>
      <c r="AGR377" s="1"/>
      <c r="AGS377" s="1"/>
      <c r="AGT377" s="1"/>
      <c r="AGU377" s="1"/>
      <c r="AGV377" s="1"/>
      <c r="AGW377" s="1"/>
      <c r="AGX377" s="1"/>
      <c r="AGY377" s="1"/>
      <c r="AGZ377" s="1"/>
      <c r="AHA377" s="1"/>
      <c r="AHB377" s="1"/>
      <c r="AHC377" s="1"/>
      <c r="AHD377" s="1"/>
      <c r="AHE377" s="1"/>
      <c r="AHF377" s="1"/>
      <c r="AHG377" s="1"/>
      <c r="AHH377" s="1"/>
      <c r="AHI377" s="1"/>
      <c r="AHJ377" s="1"/>
      <c r="AHK377" s="1"/>
      <c r="AHL377" s="1"/>
      <c r="AHM377" s="1"/>
      <c r="AHN377" s="1"/>
      <c r="AHO377" s="1"/>
      <c r="AHP377" s="1"/>
      <c r="AHQ377" s="1"/>
      <c r="AHR377" s="1"/>
      <c r="AHS377" s="1"/>
      <c r="AHT377" s="1"/>
      <c r="AHU377" s="1"/>
      <c r="AHV377" s="1"/>
      <c r="AHW377" s="1"/>
      <c r="AHX377" s="1"/>
      <c r="AHY377" s="1"/>
      <c r="AHZ377" s="1"/>
      <c r="AIA377" s="1"/>
      <c r="AIB377" s="1"/>
      <c r="AIC377" s="1"/>
      <c r="AID377" s="1"/>
      <c r="AIE377" s="1"/>
      <c r="AIF377" s="1"/>
      <c r="AIG377" s="1"/>
      <c r="AIH377" s="1"/>
      <c r="AII377" s="1"/>
      <c r="AIJ377" s="1"/>
      <c r="AIK377" s="1"/>
      <c r="AIL377" s="1"/>
      <c r="AIM377" s="1"/>
      <c r="AIN377" s="1"/>
      <c r="AIO377" s="1"/>
      <c r="AIP377" s="1"/>
      <c r="AIQ377" s="1"/>
      <c r="AIR377" s="1"/>
      <c r="AIS377" s="1"/>
      <c r="AIT377" s="1"/>
      <c r="AIU377" s="1"/>
      <c r="AIV377" s="1"/>
      <c r="AIW377" s="1"/>
      <c r="AIX377" s="1"/>
      <c r="AIY377" s="1"/>
      <c r="AIZ377" s="1"/>
      <c r="AJA377" s="1"/>
      <c r="AJB377" s="1"/>
      <c r="AJC377" s="1"/>
      <c r="AJD377" s="1"/>
      <c r="AJE377" s="1"/>
      <c r="AJF377" s="1"/>
      <c r="AJG377" s="1"/>
      <c r="AJH377" s="1"/>
      <c r="AJI377" s="1"/>
      <c r="AJJ377" s="1"/>
      <c r="AJK377" s="1"/>
      <c r="AJL377" s="1"/>
      <c r="AJM377" s="1"/>
      <c r="AJN377" s="1"/>
      <c r="AJO377" s="1"/>
      <c r="AJP377" s="1"/>
      <c r="AJQ377" s="1"/>
      <c r="AJR377" s="1"/>
      <c r="AJS377" s="1"/>
      <c r="AJT377" s="1"/>
      <c r="AJU377" s="1"/>
      <c r="AJV377" s="1"/>
      <c r="AJW377" s="1"/>
      <c r="AJX377" s="1"/>
      <c r="AJY377" s="1"/>
      <c r="AJZ377" s="1"/>
      <c r="AKA377" s="1"/>
      <c r="AKB377" s="1"/>
      <c r="AKC377" s="1"/>
      <c r="AKD377" s="1"/>
      <c r="AKE377" s="1"/>
      <c r="AKF377" s="1"/>
      <c r="AKG377" s="1"/>
      <c r="AKH377" s="1"/>
      <c r="AKI377" s="1"/>
      <c r="AKJ377" s="1"/>
      <c r="AKK377" s="1"/>
      <c r="AKL377" s="1"/>
      <c r="AKM377" s="1"/>
      <c r="AKN377" s="1"/>
      <c r="AKO377" s="1"/>
      <c r="AKP377" s="1"/>
      <c r="AKQ377" s="1"/>
      <c r="AKR377" s="1"/>
      <c r="AKS377" s="1"/>
      <c r="AKT377" s="1"/>
      <c r="AKU377" s="1"/>
      <c r="AKV377" s="1"/>
      <c r="AKW377" s="1"/>
      <c r="AKX377" s="1"/>
      <c r="AKY377" s="1"/>
      <c r="AKZ377" s="1"/>
      <c r="ALA377" s="1"/>
      <c r="ALB377" s="1"/>
      <c r="ALC377" s="1"/>
      <c r="ALD377" s="1"/>
      <c r="ALE377" s="1"/>
      <c r="ALF377" s="1"/>
      <c r="ALG377" s="1"/>
      <c r="ALH377" s="1"/>
      <c r="ALI377" s="1"/>
      <c r="ALJ377" s="1"/>
      <c r="ALK377" s="1"/>
      <c r="ALL377" s="1"/>
      <c r="ALM377" s="1"/>
      <c r="ALN377" s="1"/>
      <c r="ALO377" s="1"/>
      <c r="ALP377" s="1"/>
      <c r="ALQ377" s="1"/>
      <c r="ALR377" s="1"/>
      <c r="ALS377" s="1"/>
      <c r="ALT377" s="1"/>
      <c r="ALU377" s="1"/>
      <c r="ALV377" s="1"/>
      <c r="ALW377" s="1"/>
      <c r="ALX377" s="1"/>
      <c r="ALY377" s="1"/>
      <c r="ALZ377" s="1"/>
      <c r="AMA377" s="1"/>
      <c r="AMB377" s="1"/>
      <c r="AMC377" s="1"/>
      <c r="AMD377" s="1"/>
      <c r="AME377" s="1"/>
      <c r="AMF377" s="1"/>
      <c r="AMG377" s="1"/>
      <c r="AMH377" s="1"/>
      <c r="AMI377" s="1"/>
      <c r="AMJ377" s="1"/>
      <c r="AMK377" s="1"/>
      <c r="AML377" s="1"/>
      <c r="AMM377" s="1"/>
      <c r="AMN377" s="1"/>
      <c r="AMO377" s="1"/>
    </row>
    <row r="378" spans="1:1029" x14ac:dyDescent="0.2">
      <c r="A378" s="3" t="str">
        <f>CONCATENATE(B378,"_",C378)</f>
        <v>q9wtk1_cavpo__wt</v>
      </c>
      <c r="B378" s="3" t="s">
        <v>1445</v>
      </c>
      <c r="C378" s="3" t="s">
        <v>100</v>
      </c>
      <c r="D378" s="3" t="str">
        <f>IFERROR(MID(VLOOKUP($B378,Seqs!$A:$B,2,0),E378,1),"")</f>
        <v>T</v>
      </c>
      <c r="E378" s="3">
        <v>17</v>
      </c>
      <c r="F378" s="3" t="str">
        <f>IFERROR(MID(VLOOKUP($B378,Seqs!$A:$B,2,0),G378,1),"")</f>
        <v>R</v>
      </c>
      <c r="G378" s="3">
        <v>48</v>
      </c>
      <c r="H378" s="3" t="str">
        <f>IFERROR(MID(VLOOKUP($B378,Seqs!$A:$B,2,0),I378,1),"")</f>
        <v>M</v>
      </c>
      <c r="I378" s="23">
        <v>49</v>
      </c>
      <c r="J378" s="3" t="str">
        <f>IFERROR(MID(VLOOKUP($B378,Seqs!$A:$B,2,0),K378,1),"")</f>
        <v>R</v>
      </c>
      <c r="K378" s="23">
        <v>52</v>
      </c>
      <c r="L378" s="3" t="str">
        <f>IFERROR(MID(VLOOKUP($B378,Seqs!$A:$B,2,0),M378,1),"")</f>
        <v>S</v>
      </c>
      <c r="M378" s="3">
        <v>53</v>
      </c>
      <c r="N378" s="3" t="str">
        <f>IFERROR(MID(VLOOKUP($B378,Seqs!$A:$B,2,0),O378,1),"")</f>
        <v>H</v>
      </c>
      <c r="O378" s="3">
        <v>83</v>
      </c>
      <c r="P378" s="3" t="str">
        <f>IFERROR(MID(VLOOKUP($B378,Seqs!$A:$B,2,0),Q378,1),"")</f>
        <v>T</v>
      </c>
      <c r="Q378" s="3">
        <v>84</v>
      </c>
      <c r="R378" s="3" t="str">
        <f>IFERROR(MID(VLOOKUP($B378,Seqs!$A:$B,2,0),S378,1),"")</f>
        <v>F</v>
      </c>
      <c r="S378" s="3">
        <v>87</v>
      </c>
      <c r="T378" s="3" t="str">
        <f>IFERROR(MID(VLOOKUP($B378,Seqs!$A:$B,2,0),U378,1),"")</f>
        <v>K</v>
      </c>
      <c r="U378" s="3">
        <v>88</v>
      </c>
      <c r="V378" s="3" t="str">
        <f>IFERROR(MID(VLOOKUP($B378,Seqs!$A:$B,2,0),W378,1),"")</f>
        <v>S</v>
      </c>
      <c r="W378" s="3">
        <v>123</v>
      </c>
      <c r="X378" s="3" t="str">
        <f>IFERROR(MID(VLOOKUP($B378,Seqs!$A:$B,2,0),Y378,1),"")</f>
        <v>P</v>
      </c>
      <c r="Y378" s="3">
        <v>124</v>
      </c>
      <c r="Z378" s="3" t="str">
        <f>IFERROR(MID(VLOOKUP($B378,Seqs!$A:$B,2,0),AA378,1),"")</f>
        <v>R</v>
      </c>
      <c r="AA378" s="3">
        <v>131</v>
      </c>
      <c r="AB378" s="3" t="str">
        <f>IFERROR(MID(VLOOKUP($B378,Seqs!$A:$B,2,0),AC378,1),"")</f>
        <v>T</v>
      </c>
      <c r="AC378" s="3">
        <v>132</v>
      </c>
      <c r="AD378" s="3" t="str">
        <f>IFERROR(MID(VLOOKUP($B378,Seqs!$A:$B,2,0),AE378,1),"")</f>
        <v>R</v>
      </c>
      <c r="AE378" s="3">
        <v>158</v>
      </c>
      <c r="AF378" s="3" t="str">
        <f>IFERROR(MID(VLOOKUP($B378,Seqs!$A:$B,2,0),AG378,1),"")</f>
        <v>C</v>
      </c>
      <c r="AG378" s="3">
        <v>170</v>
      </c>
      <c r="AH378" s="3" t="str">
        <f>IFERROR(MID(VLOOKUP($B378,Seqs!$A:$B,2,0),AI378,1),"")</f>
        <v>A</v>
      </c>
      <c r="AI378" s="3">
        <v>172</v>
      </c>
      <c r="AJ378" s="3" t="str">
        <f>IFERROR(MID(VLOOKUP($B378,Seqs!$A:$B,2,0),AK378,1),"")</f>
        <v>S</v>
      </c>
      <c r="AK378" s="3">
        <v>176</v>
      </c>
      <c r="AL378" s="3" t="str">
        <f>IFERROR(MID(VLOOKUP($B378,Seqs!$A:$B,2,0),AM378,1),"")</f>
        <v>R</v>
      </c>
      <c r="AM378" s="3">
        <v>213</v>
      </c>
      <c r="AN378" s="3" t="str">
        <f>IFERROR(MID(VLOOKUP($B378,Seqs!$A:$B,2,0),AO378,1),"")</f>
        <v>R</v>
      </c>
      <c r="AO378" s="3">
        <v>218</v>
      </c>
      <c r="AP378" s="3" t="str">
        <f>IFERROR(MID(VLOOKUP($B378,Seqs!$A:$B,2,0),AQ378,1),"")</f>
        <v>A</v>
      </c>
      <c r="AQ378" s="3">
        <v>252</v>
      </c>
      <c r="AR378" s="3" t="str">
        <f>IFERROR(MID(VLOOKUP($B378,Seqs!$A:$B,2,0),AS378,1),"")</f>
        <v>L</v>
      </c>
      <c r="AS378" s="3">
        <v>255</v>
      </c>
      <c r="AT378" s="3" t="str">
        <f>IFERROR(MID(VLOOKUP($B378,Seqs!$A:$B,2,0),AU378,1),"")</f>
        <v>A</v>
      </c>
      <c r="AU378" s="3">
        <v>287</v>
      </c>
      <c r="AV378" s="3" t="str">
        <f>IFERROR(MID(VLOOKUP($B378,Seqs!$A:$B,2,0),AW378,1),"")</f>
        <v>G</v>
      </c>
      <c r="AW378" s="3">
        <v>288</v>
      </c>
      <c r="AX378" s="3" t="str">
        <f>IFERROR(MID(VLOOKUP($B378,Seqs!$A:$B,2,0),AY378,1),"")</f>
        <v>K</v>
      </c>
      <c r="AY378" s="3">
        <v>302</v>
      </c>
      <c r="AZ378" s="77" t="str">
        <f>VLOOKUP(B378,Classification!A:D,2,0)</f>
        <v>A</v>
      </c>
      <c r="BA378" s="94" t="str">
        <f>VLOOKUP(B378,Classification!A:D,4,0)</f>
        <v>Leukotriene</v>
      </c>
      <c r="BB378" s="27" t="b">
        <f t="shared" si="1151"/>
        <v>1</v>
      </c>
      <c r="BC378" s="23">
        <f t="shared" si="1152"/>
        <v>266</v>
      </c>
      <c r="BD378" s="2" t="s">
        <v>23</v>
      </c>
      <c r="BE378" s="3" t="s">
        <v>23</v>
      </c>
      <c r="BF378" s="118" t="s">
        <v>23</v>
      </c>
      <c r="BG378" s="49" t="s">
        <v>1</v>
      </c>
      <c r="BH378" s="49" t="s">
        <v>1</v>
      </c>
      <c r="BI378" s="1"/>
      <c r="BJ378" s="70" t="s">
        <v>1281</v>
      </c>
      <c r="BK378" s="57" t="s">
        <v>1281</v>
      </c>
      <c r="BL378" s="57" t="s">
        <v>1281</v>
      </c>
      <c r="BM378" s="57" t="s">
        <v>1281</v>
      </c>
      <c r="BN378" s="57" t="s">
        <v>1281</v>
      </c>
      <c r="BO378" s="57" t="s">
        <v>1281</v>
      </c>
      <c r="BP378" s="57" t="s">
        <v>1281</v>
      </c>
      <c r="BQ378" s="57" t="s">
        <v>1281</v>
      </c>
      <c r="BR378" s="57" t="s">
        <v>1281</v>
      </c>
      <c r="BS378" s="57" t="s">
        <v>1281</v>
      </c>
      <c r="BT378" s="57" t="s">
        <v>1281</v>
      </c>
      <c r="BU378" s="57" t="s">
        <v>1281</v>
      </c>
      <c r="BV378" s="70">
        <f>E378</f>
        <v>17</v>
      </c>
      <c r="BW378" s="71">
        <f>I378</f>
        <v>49</v>
      </c>
      <c r="BX378" s="72">
        <f>M378</f>
        <v>53</v>
      </c>
      <c r="BY378" s="71">
        <f>Q378</f>
        <v>84</v>
      </c>
      <c r="BZ378" s="72">
        <f>U378</f>
        <v>88</v>
      </c>
      <c r="CA378" s="71">
        <f>Y378</f>
        <v>124</v>
      </c>
      <c r="CB378" s="72">
        <f>AC378</f>
        <v>132</v>
      </c>
      <c r="CC378" s="71">
        <f>AG378</f>
        <v>170</v>
      </c>
      <c r="CD378" s="72">
        <f>AK378</f>
        <v>176</v>
      </c>
      <c r="CE378" s="71">
        <f>AO378</f>
        <v>218</v>
      </c>
      <c r="CF378" s="72">
        <f>AS378</f>
        <v>255</v>
      </c>
      <c r="CG378" s="71">
        <f>AW378</f>
        <v>288</v>
      </c>
      <c r="CH378" s="70">
        <f>G378</f>
        <v>48</v>
      </c>
      <c r="CI378" s="71">
        <f>K378</f>
        <v>52</v>
      </c>
      <c r="CJ378" s="72">
        <f>O378</f>
        <v>83</v>
      </c>
      <c r="CK378" s="72">
        <f>S378</f>
        <v>87</v>
      </c>
      <c r="CL378" s="72">
        <f>W378</f>
        <v>123</v>
      </c>
      <c r="CM378" s="72">
        <f>AA378</f>
        <v>131</v>
      </c>
      <c r="CN378" s="72">
        <f>AE378</f>
        <v>158</v>
      </c>
      <c r="CO378" s="72">
        <f>AI378</f>
        <v>172</v>
      </c>
      <c r="CP378" s="72">
        <f>AM378</f>
        <v>213</v>
      </c>
      <c r="CQ378" s="72">
        <f>AQ378</f>
        <v>252</v>
      </c>
      <c r="CR378" s="72">
        <f>AU378</f>
        <v>287</v>
      </c>
      <c r="CS378" s="72">
        <f>AY378</f>
        <v>302</v>
      </c>
      <c r="CT378" s="23">
        <f>M378-K378</f>
        <v>1</v>
      </c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U378" s="1"/>
      <c r="OV378" s="1"/>
      <c r="OW378" s="1"/>
      <c r="OX378" s="1"/>
      <c r="OY378" s="1"/>
      <c r="OZ378" s="1"/>
      <c r="PA378" s="1"/>
      <c r="PB378" s="1"/>
      <c r="PC378" s="1"/>
      <c r="PD378" s="1"/>
      <c r="PE378" s="1"/>
      <c r="PF378" s="1"/>
      <c r="PG378" s="1"/>
      <c r="PH378" s="1"/>
      <c r="PI378" s="1"/>
      <c r="PJ378" s="1"/>
      <c r="PK378" s="1"/>
      <c r="PL378" s="1"/>
      <c r="PM378" s="1"/>
      <c r="PN378" s="1"/>
      <c r="PO378" s="1"/>
      <c r="PP378" s="1"/>
      <c r="PQ378" s="1"/>
      <c r="PR378" s="1"/>
      <c r="PS378" s="1"/>
      <c r="PT378" s="1"/>
      <c r="PU378" s="1"/>
      <c r="PV378" s="1"/>
      <c r="PW378" s="1"/>
      <c r="PX378" s="1"/>
      <c r="PY378" s="1"/>
      <c r="PZ378" s="1"/>
      <c r="QA378" s="1"/>
      <c r="QB378" s="1"/>
      <c r="QC378" s="1"/>
      <c r="QD378" s="1"/>
      <c r="QE378" s="1"/>
      <c r="QF378" s="1"/>
      <c r="QG378" s="1"/>
      <c r="QH378" s="1"/>
      <c r="QI378" s="1"/>
      <c r="QJ378" s="1"/>
      <c r="QK378" s="1"/>
      <c r="QL378" s="1"/>
      <c r="QM378" s="1"/>
      <c r="QN378" s="1"/>
      <c r="QO378" s="1"/>
      <c r="QP378" s="1"/>
      <c r="QQ378" s="1"/>
      <c r="QR378" s="1"/>
      <c r="QS378" s="1"/>
      <c r="QT378" s="1"/>
      <c r="QU378" s="1"/>
      <c r="QV378" s="1"/>
      <c r="QW378" s="1"/>
      <c r="QX378" s="1"/>
      <c r="QY378" s="1"/>
      <c r="QZ378" s="1"/>
      <c r="RA378" s="1"/>
      <c r="RB378" s="1"/>
      <c r="RC378" s="1"/>
      <c r="RD378" s="1"/>
      <c r="RE378" s="1"/>
      <c r="RF378" s="1"/>
      <c r="RG378" s="1"/>
      <c r="RH378" s="1"/>
      <c r="RI378" s="1"/>
      <c r="RJ378" s="1"/>
      <c r="RK378" s="1"/>
      <c r="RL378" s="1"/>
      <c r="RM378" s="1"/>
      <c r="RN378" s="1"/>
      <c r="RO378" s="1"/>
      <c r="RP378" s="1"/>
      <c r="RQ378" s="1"/>
      <c r="RR378" s="1"/>
      <c r="RS378" s="1"/>
      <c r="RT378" s="1"/>
      <c r="RU378" s="1"/>
      <c r="RV378" s="1"/>
      <c r="RW378" s="1"/>
      <c r="RX378" s="1"/>
      <c r="RY378" s="1"/>
      <c r="RZ378" s="1"/>
      <c r="SA378" s="1"/>
      <c r="SB378" s="1"/>
      <c r="SC378" s="1"/>
      <c r="SD378" s="1"/>
      <c r="SE378" s="1"/>
      <c r="SF378" s="1"/>
      <c r="SG378" s="1"/>
      <c r="SH378" s="1"/>
      <c r="SI378" s="1"/>
      <c r="SJ378" s="1"/>
      <c r="SK378" s="1"/>
      <c r="SL378" s="1"/>
      <c r="SM378" s="1"/>
      <c r="SN378" s="1"/>
      <c r="SO378" s="1"/>
      <c r="SP378" s="1"/>
      <c r="SQ378" s="1"/>
      <c r="SR378" s="1"/>
      <c r="SS378" s="1"/>
      <c r="ST378" s="1"/>
      <c r="SU378" s="1"/>
      <c r="SV378" s="1"/>
      <c r="SW378" s="1"/>
      <c r="SX378" s="1"/>
      <c r="SY378" s="1"/>
      <c r="SZ378" s="1"/>
      <c r="TA378" s="1"/>
      <c r="TB378" s="1"/>
      <c r="TC378" s="1"/>
      <c r="TD378" s="1"/>
      <c r="TE378" s="1"/>
      <c r="TF378" s="1"/>
      <c r="TG378" s="1"/>
      <c r="TH378" s="1"/>
      <c r="TI378" s="1"/>
      <c r="TJ378" s="1"/>
      <c r="TK378" s="1"/>
      <c r="TL378" s="1"/>
      <c r="TM378" s="1"/>
      <c r="TN378" s="1"/>
      <c r="TO378" s="1"/>
      <c r="TP378" s="1"/>
      <c r="TQ378" s="1"/>
      <c r="TR378" s="1"/>
      <c r="TS378" s="1"/>
      <c r="TT378" s="1"/>
      <c r="TU378" s="1"/>
      <c r="TV378" s="1"/>
      <c r="TW378" s="1"/>
      <c r="TX378" s="1"/>
      <c r="TY378" s="1"/>
      <c r="TZ378" s="1"/>
      <c r="UA378" s="1"/>
      <c r="UB378" s="1"/>
      <c r="UC378" s="1"/>
      <c r="UD378" s="1"/>
      <c r="UE378" s="1"/>
      <c r="UF378" s="1"/>
      <c r="UG378" s="1"/>
      <c r="UH378" s="1"/>
      <c r="UI378" s="1"/>
      <c r="UJ378" s="1"/>
      <c r="UK378" s="1"/>
      <c r="UL378" s="1"/>
      <c r="UM378" s="1"/>
      <c r="UN378" s="1"/>
      <c r="UO378" s="1"/>
      <c r="UP378" s="1"/>
      <c r="UQ378" s="1"/>
      <c r="UR378" s="1"/>
      <c r="US378" s="1"/>
      <c r="UT378" s="1"/>
      <c r="UU378" s="1"/>
      <c r="UV378" s="1"/>
      <c r="UW378" s="1"/>
      <c r="UX378" s="1"/>
      <c r="UY378" s="1"/>
      <c r="UZ378" s="1"/>
      <c r="VA378" s="1"/>
      <c r="VB378" s="1"/>
      <c r="VC378" s="1"/>
      <c r="VD378" s="1"/>
      <c r="VE378" s="1"/>
      <c r="VF378" s="1"/>
      <c r="VG378" s="1"/>
      <c r="VH378" s="1"/>
      <c r="VI378" s="1"/>
      <c r="VJ378" s="1"/>
      <c r="VK378" s="1"/>
      <c r="VL378" s="1"/>
      <c r="VM378" s="1"/>
      <c r="VN378" s="1"/>
      <c r="VO378" s="1"/>
      <c r="VP378" s="1"/>
      <c r="VQ378" s="1"/>
      <c r="VR378" s="1"/>
      <c r="VS378" s="1"/>
      <c r="VT378" s="1"/>
      <c r="VU378" s="1"/>
      <c r="VV378" s="1"/>
      <c r="VW378" s="1"/>
      <c r="VX378" s="1"/>
      <c r="VY378" s="1"/>
      <c r="VZ378" s="1"/>
      <c r="WA378" s="1"/>
      <c r="WB378" s="1"/>
      <c r="WC378" s="1"/>
      <c r="WD378" s="1"/>
      <c r="WE378" s="1"/>
      <c r="WF378" s="1"/>
      <c r="WG378" s="1"/>
      <c r="WH378" s="1"/>
      <c r="WI378" s="1"/>
      <c r="WJ378" s="1"/>
      <c r="WK378" s="1"/>
      <c r="WL378" s="1"/>
      <c r="WM378" s="1"/>
      <c r="WN378" s="1"/>
      <c r="WO378" s="1"/>
      <c r="WP378" s="1"/>
      <c r="WQ378" s="1"/>
      <c r="WR378" s="1"/>
      <c r="WS378" s="1"/>
      <c r="WT378" s="1"/>
      <c r="WU378" s="1"/>
      <c r="WV378" s="1"/>
      <c r="WW378" s="1"/>
      <c r="WX378" s="1"/>
      <c r="WY378" s="1"/>
      <c r="WZ378" s="1"/>
      <c r="XA378" s="1"/>
      <c r="XB378" s="1"/>
      <c r="XC378" s="1"/>
      <c r="XD378" s="1"/>
      <c r="XE378" s="1"/>
      <c r="XF378" s="1"/>
      <c r="XG378" s="1"/>
      <c r="XH378" s="1"/>
      <c r="XI378" s="1"/>
      <c r="XJ378" s="1"/>
      <c r="XK378" s="1"/>
      <c r="XL378" s="1"/>
      <c r="XM378" s="1"/>
      <c r="XN378" s="1"/>
      <c r="XO378" s="1"/>
      <c r="XP378" s="1"/>
      <c r="XQ378" s="1"/>
      <c r="XR378" s="1"/>
      <c r="XS378" s="1"/>
      <c r="XT378" s="1"/>
      <c r="XU378" s="1"/>
      <c r="XV378" s="1"/>
      <c r="XW378" s="1"/>
      <c r="XX378" s="1"/>
      <c r="XY378" s="1"/>
      <c r="XZ378" s="1"/>
      <c r="YA378" s="1"/>
      <c r="YB378" s="1"/>
      <c r="YC378" s="1"/>
      <c r="YD378" s="1"/>
      <c r="YE378" s="1"/>
      <c r="YF378" s="1"/>
      <c r="YG378" s="1"/>
      <c r="YH378" s="1"/>
      <c r="YI378" s="1"/>
      <c r="YJ378" s="1"/>
      <c r="YK378" s="1"/>
      <c r="YL378" s="1"/>
      <c r="YM378" s="1"/>
      <c r="YN378" s="1"/>
      <c r="YO378" s="1"/>
      <c r="YP378" s="1"/>
      <c r="YQ378" s="1"/>
      <c r="YR378" s="1"/>
      <c r="YS378" s="1"/>
      <c r="YT378" s="1"/>
      <c r="YU378" s="1"/>
      <c r="YV378" s="1"/>
      <c r="YW378" s="1"/>
      <c r="YX378" s="1"/>
      <c r="YY378" s="1"/>
      <c r="YZ378" s="1"/>
      <c r="ZA378" s="1"/>
      <c r="ZB378" s="1"/>
      <c r="ZC378" s="1"/>
      <c r="ZD378" s="1"/>
      <c r="ZE378" s="1"/>
      <c r="ZF378" s="1"/>
      <c r="ZG378" s="1"/>
      <c r="ZH378" s="1"/>
      <c r="ZI378" s="1"/>
      <c r="ZJ378" s="1"/>
      <c r="ZK378" s="1"/>
      <c r="ZL378" s="1"/>
      <c r="ZM378" s="1"/>
      <c r="ZN378" s="1"/>
      <c r="ZO378" s="1"/>
      <c r="ZP378" s="1"/>
      <c r="ZQ378" s="1"/>
      <c r="ZR378" s="1"/>
      <c r="ZS378" s="1"/>
      <c r="ZT378" s="1"/>
      <c r="ZU378" s="1"/>
      <c r="ZV378" s="1"/>
      <c r="ZW378" s="1"/>
      <c r="ZX378" s="1"/>
      <c r="ZY378" s="1"/>
      <c r="ZZ378" s="1"/>
      <c r="AAA378" s="1"/>
      <c r="AAB378" s="1"/>
      <c r="AAC378" s="1"/>
      <c r="AAD378" s="1"/>
      <c r="AAE378" s="1"/>
      <c r="AAF378" s="1"/>
      <c r="AAG378" s="1"/>
      <c r="AAH378" s="1"/>
      <c r="AAI378" s="1"/>
      <c r="AAJ378" s="1"/>
      <c r="AAK378" s="1"/>
      <c r="AAL378" s="1"/>
      <c r="AAM378" s="1"/>
      <c r="AAN378" s="1"/>
      <c r="AAO378" s="1"/>
      <c r="AAP378" s="1"/>
      <c r="AAQ378" s="1"/>
      <c r="AAR378" s="1"/>
      <c r="AAS378" s="1"/>
      <c r="AAT378" s="1"/>
      <c r="AAU378" s="1"/>
      <c r="AAV378" s="1"/>
      <c r="AAW378" s="1"/>
      <c r="AAX378" s="1"/>
      <c r="AAY378" s="1"/>
      <c r="AAZ378" s="1"/>
      <c r="ABA378" s="1"/>
      <c r="ABB378" s="1"/>
      <c r="ABC378" s="1"/>
      <c r="ABD378" s="1"/>
      <c r="ABE378" s="1"/>
      <c r="ABF378" s="1"/>
      <c r="ABG378" s="1"/>
      <c r="ABH378" s="1"/>
      <c r="ABI378" s="1"/>
      <c r="ABJ378" s="1"/>
      <c r="ABK378" s="1"/>
      <c r="ABL378" s="1"/>
      <c r="ABM378" s="1"/>
      <c r="ABN378" s="1"/>
      <c r="ABO378" s="1"/>
      <c r="ABP378" s="1"/>
      <c r="ABQ378" s="1"/>
      <c r="ABR378" s="1"/>
      <c r="ABS378" s="1"/>
      <c r="ABT378" s="1"/>
      <c r="ABU378" s="1"/>
      <c r="ABV378" s="1"/>
      <c r="ABW378" s="1"/>
      <c r="ABX378" s="1"/>
      <c r="ABY378" s="1"/>
      <c r="ABZ378" s="1"/>
      <c r="ACA378" s="1"/>
      <c r="ACB378" s="1"/>
      <c r="ACC378" s="1"/>
      <c r="ACD378" s="1"/>
      <c r="ACE378" s="1"/>
      <c r="ACF378" s="1"/>
      <c r="ACG378" s="1"/>
      <c r="ACH378" s="1"/>
      <c r="ACI378" s="1"/>
      <c r="ACJ378" s="1"/>
      <c r="ACK378" s="1"/>
      <c r="ACL378" s="1"/>
      <c r="ACM378" s="1"/>
      <c r="ACN378" s="1"/>
      <c r="ACO378" s="1"/>
      <c r="ACP378" s="1"/>
      <c r="ACQ378" s="1"/>
      <c r="ACR378" s="1"/>
      <c r="ACS378" s="1"/>
      <c r="ACT378" s="1"/>
      <c r="ACU378" s="1"/>
      <c r="ACV378" s="1"/>
      <c r="ACW378" s="1"/>
      <c r="ACX378" s="1"/>
      <c r="ACY378" s="1"/>
      <c r="ACZ378" s="1"/>
      <c r="ADA378" s="1"/>
      <c r="ADB378" s="1"/>
      <c r="ADC378" s="1"/>
      <c r="ADD378" s="1"/>
      <c r="ADE378" s="1"/>
      <c r="ADF378" s="1"/>
      <c r="ADG378" s="1"/>
      <c r="ADH378" s="1"/>
      <c r="ADI378" s="1"/>
      <c r="ADJ378" s="1"/>
      <c r="ADK378" s="1"/>
      <c r="ADL378" s="1"/>
      <c r="ADM378" s="1"/>
      <c r="ADN378" s="1"/>
      <c r="ADO378" s="1"/>
      <c r="ADP378" s="1"/>
      <c r="ADQ378" s="1"/>
      <c r="ADR378" s="1"/>
      <c r="ADS378" s="1"/>
      <c r="ADT378" s="1"/>
      <c r="ADU378" s="1"/>
      <c r="ADV378" s="1"/>
      <c r="ADW378" s="1"/>
      <c r="ADX378" s="1"/>
      <c r="ADY378" s="1"/>
      <c r="ADZ378" s="1"/>
      <c r="AEA378" s="1"/>
      <c r="AEB378" s="1"/>
      <c r="AEC378" s="1"/>
      <c r="AED378" s="1"/>
      <c r="AEE378" s="1"/>
      <c r="AEF378" s="1"/>
      <c r="AEG378" s="1"/>
      <c r="AEH378" s="1"/>
      <c r="AEI378" s="1"/>
      <c r="AEJ378" s="1"/>
      <c r="AEK378" s="1"/>
      <c r="AEL378" s="1"/>
      <c r="AEM378" s="1"/>
      <c r="AEN378" s="1"/>
      <c r="AEO378" s="1"/>
      <c r="AEP378" s="1"/>
      <c r="AEQ378" s="1"/>
      <c r="AER378" s="1"/>
      <c r="AES378" s="1"/>
      <c r="AET378" s="1"/>
      <c r="AEU378" s="1"/>
      <c r="AEV378" s="1"/>
      <c r="AEW378" s="1"/>
      <c r="AEX378" s="1"/>
      <c r="AEY378" s="1"/>
      <c r="AEZ378" s="1"/>
      <c r="AFA378" s="1"/>
      <c r="AFB378" s="1"/>
      <c r="AFC378" s="1"/>
      <c r="AFD378" s="1"/>
      <c r="AFE378" s="1"/>
      <c r="AFF378" s="1"/>
      <c r="AFG378" s="1"/>
      <c r="AFH378" s="1"/>
      <c r="AFI378" s="1"/>
      <c r="AFJ378" s="1"/>
      <c r="AFK378" s="1"/>
      <c r="AFL378" s="1"/>
      <c r="AFM378" s="1"/>
      <c r="AFN378" s="1"/>
      <c r="AFO378" s="1"/>
      <c r="AFP378" s="1"/>
      <c r="AFQ378" s="1"/>
      <c r="AFR378" s="1"/>
      <c r="AFS378" s="1"/>
      <c r="AFT378" s="1"/>
      <c r="AFU378" s="1"/>
      <c r="AFV378" s="1"/>
      <c r="AFW378" s="1"/>
      <c r="AFX378" s="1"/>
      <c r="AFY378" s="1"/>
      <c r="AFZ378" s="1"/>
      <c r="AGA378" s="1"/>
      <c r="AGB378" s="1"/>
      <c r="AGC378" s="1"/>
      <c r="AGD378" s="1"/>
      <c r="AGE378" s="1"/>
      <c r="AGF378" s="1"/>
      <c r="AGG378" s="1"/>
      <c r="AGH378" s="1"/>
      <c r="AGI378" s="1"/>
      <c r="AGJ378" s="1"/>
      <c r="AGK378" s="1"/>
      <c r="AGL378" s="1"/>
      <c r="AGM378" s="1"/>
      <c r="AGN378" s="1"/>
      <c r="AGO378" s="1"/>
      <c r="AGP378" s="1"/>
      <c r="AGQ378" s="1"/>
      <c r="AGR378" s="1"/>
      <c r="AGS378" s="1"/>
      <c r="AGT378" s="1"/>
      <c r="AGU378" s="1"/>
      <c r="AGV378" s="1"/>
      <c r="AGW378" s="1"/>
      <c r="AGX378" s="1"/>
      <c r="AGY378" s="1"/>
      <c r="AGZ378" s="1"/>
      <c r="AHA378" s="1"/>
      <c r="AHB378" s="1"/>
      <c r="AHC378" s="1"/>
      <c r="AHD378" s="1"/>
      <c r="AHE378" s="1"/>
      <c r="AHF378" s="1"/>
      <c r="AHG378" s="1"/>
      <c r="AHH378" s="1"/>
      <c r="AHI378" s="1"/>
      <c r="AHJ378" s="1"/>
      <c r="AHK378" s="1"/>
      <c r="AHL378" s="1"/>
      <c r="AHM378" s="1"/>
      <c r="AHN378" s="1"/>
      <c r="AHO378" s="1"/>
      <c r="AHP378" s="1"/>
      <c r="AHQ378" s="1"/>
      <c r="AHR378" s="1"/>
      <c r="AHS378" s="1"/>
      <c r="AHT378" s="1"/>
      <c r="AHU378" s="1"/>
      <c r="AHV378" s="1"/>
      <c r="AHW378" s="1"/>
      <c r="AHX378" s="1"/>
      <c r="AHY378" s="1"/>
      <c r="AHZ378" s="1"/>
      <c r="AIA378" s="1"/>
      <c r="AIB378" s="1"/>
      <c r="AIC378" s="1"/>
      <c r="AID378" s="1"/>
      <c r="AIE378" s="1"/>
      <c r="AIF378" s="1"/>
      <c r="AIG378" s="1"/>
      <c r="AIH378" s="1"/>
      <c r="AII378" s="1"/>
      <c r="AIJ378" s="1"/>
      <c r="AIK378" s="1"/>
      <c r="AIL378" s="1"/>
      <c r="AIM378" s="1"/>
      <c r="AIN378" s="1"/>
      <c r="AIO378" s="1"/>
      <c r="AIP378" s="1"/>
      <c r="AIQ378" s="1"/>
      <c r="AIR378" s="1"/>
      <c r="AIS378" s="1"/>
      <c r="AIT378" s="1"/>
      <c r="AIU378" s="1"/>
      <c r="AIV378" s="1"/>
      <c r="AIW378" s="1"/>
      <c r="AIX378" s="1"/>
      <c r="AIY378" s="1"/>
      <c r="AIZ378" s="1"/>
      <c r="AJA378" s="1"/>
      <c r="AJB378" s="1"/>
      <c r="AJC378" s="1"/>
      <c r="AJD378" s="1"/>
      <c r="AJE378" s="1"/>
      <c r="AJF378" s="1"/>
      <c r="AJG378" s="1"/>
      <c r="AJH378" s="1"/>
      <c r="AJI378" s="1"/>
      <c r="AJJ378" s="1"/>
      <c r="AJK378" s="1"/>
      <c r="AJL378" s="1"/>
      <c r="AJM378" s="1"/>
      <c r="AJN378" s="1"/>
      <c r="AJO378" s="1"/>
      <c r="AJP378" s="1"/>
      <c r="AJQ378" s="1"/>
      <c r="AJR378" s="1"/>
      <c r="AJS378" s="1"/>
      <c r="AJT378" s="1"/>
      <c r="AJU378" s="1"/>
      <c r="AJV378" s="1"/>
      <c r="AJW378" s="1"/>
      <c r="AJX378" s="1"/>
      <c r="AJY378" s="1"/>
      <c r="AJZ378" s="1"/>
      <c r="AKA378" s="1"/>
      <c r="AKB378" s="1"/>
      <c r="AKC378" s="1"/>
      <c r="AKD378" s="1"/>
      <c r="AKE378" s="1"/>
      <c r="AKF378" s="1"/>
      <c r="AKG378" s="1"/>
      <c r="AKH378" s="1"/>
      <c r="AKI378" s="1"/>
      <c r="AKJ378" s="1"/>
      <c r="AKK378" s="1"/>
      <c r="AKL378" s="1"/>
      <c r="AKM378" s="1"/>
      <c r="AKN378" s="1"/>
      <c r="AKO378" s="1"/>
      <c r="AKP378" s="1"/>
      <c r="AKQ378" s="1"/>
      <c r="AKR378" s="1"/>
      <c r="AKS378" s="1"/>
      <c r="AKT378" s="1"/>
      <c r="AKU378" s="1"/>
      <c r="AKV378" s="1"/>
      <c r="AKW378" s="1"/>
      <c r="AKX378" s="1"/>
      <c r="AKY378" s="1"/>
      <c r="AKZ378" s="1"/>
      <c r="ALA378" s="1"/>
      <c r="ALB378" s="1"/>
      <c r="ALC378" s="1"/>
      <c r="ALD378" s="1"/>
      <c r="ALE378" s="1"/>
      <c r="ALF378" s="1"/>
      <c r="ALG378" s="1"/>
      <c r="ALH378" s="1"/>
      <c r="ALI378" s="1"/>
      <c r="ALJ378" s="1"/>
      <c r="ALK378" s="1"/>
      <c r="ALL378" s="1"/>
      <c r="ALM378" s="1"/>
      <c r="ALN378" s="1"/>
      <c r="ALO378" s="1"/>
      <c r="ALP378" s="1"/>
      <c r="ALQ378" s="1"/>
      <c r="ALR378" s="1"/>
      <c r="ALS378" s="1"/>
      <c r="ALT378" s="1"/>
      <c r="ALU378" s="1"/>
      <c r="ALV378" s="1"/>
      <c r="ALW378" s="1"/>
      <c r="ALX378" s="1"/>
      <c r="ALY378" s="1"/>
      <c r="ALZ378" s="1"/>
      <c r="AMA378" s="1"/>
      <c r="AMB378" s="1"/>
      <c r="AMC378" s="1"/>
      <c r="AMD378" s="1"/>
      <c r="AME378" s="1"/>
      <c r="AMF378" s="1"/>
      <c r="AMG378" s="1"/>
      <c r="AMH378" s="1"/>
      <c r="AMI378" s="1"/>
      <c r="AMJ378" s="1"/>
      <c r="AMK378" s="1"/>
      <c r="AML378" s="1"/>
      <c r="AMM378" s="1"/>
      <c r="AMN378" s="1"/>
      <c r="AMO378" s="1"/>
    </row>
    <row r="379" spans="1:1029" x14ac:dyDescent="0.2">
      <c r="A379" s="3" t="str">
        <f>CONCATENATE(B379,"_",C379)</f>
        <v>q9wtk1_cavpo_5X33</v>
      </c>
      <c r="B379" s="3" t="s">
        <v>1445</v>
      </c>
      <c r="C379" s="3" t="s">
        <v>1446</v>
      </c>
      <c r="D379" s="3" t="str">
        <f>IFERROR(MID(VLOOKUP($B379,Seqs!$A:$B,2,0),E379,1),"")</f>
        <v>T</v>
      </c>
      <c r="E379" s="3">
        <v>17</v>
      </c>
      <c r="F379" s="3" t="str">
        <f>IFERROR(MID(VLOOKUP($B379,Seqs!$A:$B,2,0),G379,1),"")</f>
        <v>R</v>
      </c>
      <c r="G379" s="3">
        <v>48</v>
      </c>
      <c r="H379" s="3" t="str">
        <f>IFERROR(MID(VLOOKUP($B379,Seqs!$A:$B,2,0),I379,1),"")</f>
        <v/>
      </c>
      <c r="I379" s="23" t="s">
        <v>23</v>
      </c>
      <c r="J379" s="3" t="str">
        <f>IFERROR(MID(VLOOKUP($B379,Seqs!$A:$B,2,0),K379,1),"")</f>
        <v/>
      </c>
      <c r="K379" s="23" t="s">
        <v>23</v>
      </c>
      <c r="L379" s="3" t="str">
        <f>IFERROR(MID(VLOOKUP($B379,Seqs!$A:$B,2,0),M379,1),"")</f>
        <v>S</v>
      </c>
      <c r="M379" s="3">
        <v>53</v>
      </c>
      <c r="N379" s="3" t="str">
        <f>IFERROR(MID(VLOOKUP($B379,Seqs!$A:$B,2,0),O379,1),"")</f>
        <v>H</v>
      </c>
      <c r="O379" s="3">
        <v>83</v>
      </c>
      <c r="P379" s="3" t="str">
        <f>IFERROR(MID(VLOOKUP($B379,Seqs!$A:$B,2,0),Q379,1),"")</f>
        <v>T</v>
      </c>
      <c r="Q379" s="3">
        <v>84</v>
      </c>
      <c r="R379" s="3" t="str">
        <f>IFERROR(MID(VLOOKUP($B379,Seqs!$A:$B,2,0),S379,1),"")</f>
        <v>F</v>
      </c>
      <c r="S379" s="3">
        <v>87</v>
      </c>
      <c r="T379" s="3" t="str">
        <f>IFERROR(MID(VLOOKUP($B379,Seqs!$A:$B,2,0),U379,1),"")</f>
        <v>K</v>
      </c>
      <c r="U379" s="3">
        <v>88</v>
      </c>
      <c r="V379" s="3" t="str">
        <f>IFERROR(MID(VLOOKUP($B379,Seqs!$A:$B,2,0),W379,1),"")</f>
        <v>S</v>
      </c>
      <c r="W379" s="3">
        <v>123</v>
      </c>
      <c r="X379" s="3" t="str">
        <f>IFERROR(MID(VLOOKUP($B379,Seqs!$A:$B,2,0),Y379,1),"")</f>
        <v>P</v>
      </c>
      <c r="Y379" s="3">
        <v>124</v>
      </c>
      <c r="Z379" s="3" t="str">
        <f>IFERROR(MID(VLOOKUP($B379,Seqs!$A:$B,2,0),AA379,1),"")</f>
        <v>R</v>
      </c>
      <c r="AA379" s="3">
        <v>131</v>
      </c>
      <c r="AB379" s="3" t="str">
        <f>IFERROR(MID(VLOOKUP($B379,Seqs!$A:$B,2,0),AC379,1),"")</f>
        <v>T</v>
      </c>
      <c r="AC379" s="3">
        <v>132</v>
      </c>
      <c r="AD379" s="3" t="str">
        <f>IFERROR(MID(VLOOKUP($B379,Seqs!$A:$B,2,0),AE379,1),"")</f>
        <v>R</v>
      </c>
      <c r="AE379" s="3">
        <v>158</v>
      </c>
      <c r="AF379" s="3" t="str">
        <f>IFERROR(MID(VLOOKUP($B379,Seqs!$A:$B,2,0),AG379,1),"")</f>
        <v>C</v>
      </c>
      <c r="AG379" s="3">
        <v>170</v>
      </c>
      <c r="AH379" s="3" t="str">
        <f>IFERROR(MID(VLOOKUP($B379,Seqs!$A:$B,2,0),AI379,1),"")</f>
        <v>A</v>
      </c>
      <c r="AI379" s="3">
        <v>172</v>
      </c>
      <c r="AJ379" s="3" t="str">
        <f>IFERROR(MID(VLOOKUP($B379,Seqs!$A:$B,2,0),AK379,1),"")</f>
        <v>S</v>
      </c>
      <c r="AK379" s="3">
        <v>176</v>
      </c>
      <c r="AL379" s="3" t="str">
        <f>IFERROR(MID(VLOOKUP($B379,Seqs!$A:$B,2,0),AM379,1),"")</f>
        <v>R</v>
      </c>
      <c r="AM379" s="3">
        <v>213</v>
      </c>
      <c r="AN379" s="3" t="str">
        <f>IFERROR(MID(VLOOKUP($B379,Seqs!$A:$B,2,0),AO379,1),"")</f>
        <v>I</v>
      </c>
      <c r="AO379" s="3">
        <v>227</v>
      </c>
      <c r="AP379" s="3" t="str">
        <f>IFERROR(MID(VLOOKUP($B379,Seqs!$A:$B,2,0),AQ379,1),"")</f>
        <v>R</v>
      </c>
      <c r="AQ379" s="3">
        <v>249</v>
      </c>
      <c r="AR379" s="3" t="str">
        <f>IFERROR(MID(VLOOKUP($B379,Seqs!$A:$B,2,0),AS379,1),"")</f>
        <v>Q</v>
      </c>
      <c r="AS379" s="3">
        <v>261</v>
      </c>
      <c r="AT379" s="3" t="str">
        <f>IFERROR(MID(VLOOKUP($B379,Seqs!$A:$B,2,0),AU379,1),"")</f>
        <v>S</v>
      </c>
      <c r="AU379" s="3">
        <v>278</v>
      </c>
      <c r="AV379" s="3" t="str">
        <f>IFERROR(MID(VLOOKUP($B379,Seqs!$A:$B,2,0),AW379,1),"")</f>
        <v/>
      </c>
      <c r="AW379" s="3" t="s">
        <v>23</v>
      </c>
      <c r="AX379" s="3" t="str">
        <f>IFERROR(MID(VLOOKUP($B379,Seqs!$A:$B,2,0),AY379,1),"")</f>
        <v/>
      </c>
      <c r="AY379" s="3" t="s">
        <v>23</v>
      </c>
      <c r="AZ379" s="77" t="str">
        <f>VLOOKUP(B379,Classification!A:D,2,0)</f>
        <v>A</v>
      </c>
      <c r="BA379" s="94" t="str">
        <f>VLOOKUP(B379,Classification!A:D,4,0)</f>
        <v>Leukotriene</v>
      </c>
      <c r="BB379" s="27" t="b">
        <f t="shared" si="1151"/>
        <v>1</v>
      </c>
      <c r="BC379" s="23">
        <f t="shared" si="1152"/>
        <v>222</v>
      </c>
      <c r="BD379" s="2" t="s">
        <v>1370</v>
      </c>
      <c r="BE379" s="3" t="s">
        <v>1368</v>
      </c>
      <c r="BF379" s="118">
        <v>3.7</v>
      </c>
      <c r="BG379" s="49" t="s">
        <v>1</v>
      </c>
      <c r="BH379" s="49" t="s">
        <v>1371</v>
      </c>
      <c r="BI379" s="1"/>
      <c r="BJ379" s="70" t="s">
        <v>1281</v>
      </c>
      <c r="BK379" s="57" t="s">
        <v>1281</v>
      </c>
      <c r="BL379" s="57" t="s">
        <v>1281</v>
      </c>
      <c r="BM379" s="57" t="s">
        <v>1281</v>
      </c>
      <c r="BN379" s="57" t="s">
        <v>1281</v>
      </c>
      <c r="BO379" s="57" t="s">
        <v>1281</v>
      </c>
      <c r="BP379" s="57" t="s">
        <v>1281</v>
      </c>
      <c r="BQ379" s="57" t="s">
        <v>1281</v>
      </c>
      <c r="BR379" s="57" t="s">
        <v>1281</v>
      </c>
      <c r="BS379" s="57" t="s">
        <v>1281</v>
      </c>
      <c r="BT379" s="57" t="s">
        <v>1281</v>
      </c>
      <c r="BU379" s="57" t="s">
        <v>1281</v>
      </c>
      <c r="BV379" s="70">
        <f>E379</f>
        <v>17</v>
      </c>
      <c r="BW379" s="71" t="str">
        <f>I379</f>
        <v>-</v>
      </c>
      <c r="BX379" s="72">
        <f>M379</f>
        <v>53</v>
      </c>
      <c r="BY379" s="71">
        <f>Q379</f>
        <v>84</v>
      </c>
      <c r="BZ379" s="72">
        <f>U379</f>
        <v>88</v>
      </c>
      <c r="CA379" s="71">
        <f>Y379</f>
        <v>124</v>
      </c>
      <c r="CB379" s="72">
        <f>AC379</f>
        <v>132</v>
      </c>
      <c r="CC379" s="71">
        <f>AG379</f>
        <v>170</v>
      </c>
      <c r="CD379" s="72">
        <f>AK379</f>
        <v>176</v>
      </c>
      <c r="CE379" s="71">
        <f>AO379</f>
        <v>227</v>
      </c>
      <c r="CF379" s="72">
        <f>AS379</f>
        <v>261</v>
      </c>
      <c r="CG379" s="71" t="str">
        <f>AW379</f>
        <v>-</v>
      </c>
      <c r="CH379" s="70">
        <f>G379</f>
        <v>48</v>
      </c>
      <c r="CI379" s="71" t="str">
        <f>K379</f>
        <v>-</v>
      </c>
      <c r="CJ379" s="72">
        <f>O379</f>
        <v>83</v>
      </c>
      <c r="CK379" s="72">
        <f>S379</f>
        <v>87</v>
      </c>
      <c r="CL379" s="72">
        <f>W379</f>
        <v>123</v>
      </c>
      <c r="CM379" s="72">
        <f>AA379</f>
        <v>131</v>
      </c>
      <c r="CN379" s="72">
        <f>AE379</f>
        <v>158</v>
      </c>
      <c r="CO379" s="72">
        <f>AI379</f>
        <v>172</v>
      </c>
      <c r="CP379" s="72">
        <f>AM379</f>
        <v>213</v>
      </c>
      <c r="CQ379" s="72">
        <f>AQ379</f>
        <v>249</v>
      </c>
      <c r="CR379" s="72">
        <f>AU379</f>
        <v>278</v>
      </c>
      <c r="CS379" s="72" t="str">
        <f>AY379</f>
        <v>-</v>
      </c>
      <c r="CT379" s="23" t="e">
        <f>M379-K379</f>
        <v>#VALUE!</v>
      </c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U379" s="1"/>
      <c r="OV379" s="1"/>
      <c r="OW379" s="1"/>
      <c r="OX379" s="1"/>
      <c r="OY379" s="1"/>
      <c r="OZ379" s="1"/>
      <c r="PA379" s="1"/>
      <c r="PB379" s="1"/>
      <c r="PC379" s="1"/>
      <c r="PD379" s="1"/>
      <c r="PE379" s="1"/>
      <c r="PF379" s="1"/>
      <c r="PG379" s="1"/>
      <c r="PH379" s="1"/>
      <c r="PI379" s="1"/>
      <c r="PJ379" s="1"/>
      <c r="PK379" s="1"/>
      <c r="PL379" s="1"/>
      <c r="PM379" s="1"/>
      <c r="PN379" s="1"/>
      <c r="PO379" s="1"/>
      <c r="PP379" s="1"/>
      <c r="PQ379" s="1"/>
      <c r="PR379" s="1"/>
      <c r="PS379" s="1"/>
      <c r="PT379" s="1"/>
      <c r="PU379" s="1"/>
      <c r="PV379" s="1"/>
      <c r="PW379" s="1"/>
      <c r="PX379" s="1"/>
      <c r="PY379" s="1"/>
      <c r="PZ379" s="1"/>
      <c r="QA379" s="1"/>
      <c r="QB379" s="1"/>
      <c r="QC379" s="1"/>
      <c r="QD379" s="1"/>
      <c r="QE379" s="1"/>
      <c r="QF379" s="1"/>
      <c r="QG379" s="1"/>
      <c r="QH379" s="1"/>
      <c r="QI379" s="1"/>
      <c r="QJ379" s="1"/>
      <c r="QK379" s="1"/>
      <c r="QL379" s="1"/>
      <c r="QM379" s="1"/>
      <c r="QN379" s="1"/>
      <c r="QO379" s="1"/>
      <c r="QP379" s="1"/>
      <c r="QQ379" s="1"/>
      <c r="QR379" s="1"/>
      <c r="QS379" s="1"/>
      <c r="QT379" s="1"/>
      <c r="QU379" s="1"/>
      <c r="QV379" s="1"/>
      <c r="QW379" s="1"/>
      <c r="QX379" s="1"/>
      <c r="QY379" s="1"/>
      <c r="QZ379" s="1"/>
      <c r="RA379" s="1"/>
      <c r="RB379" s="1"/>
      <c r="RC379" s="1"/>
      <c r="RD379" s="1"/>
      <c r="RE379" s="1"/>
      <c r="RF379" s="1"/>
      <c r="RG379" s="1"/>
      <c r="RH379" s="1"/>
      <c r="RI379" s="1"/>
      <c r="RJ379" s="1"/>
      <c r="RK379" s="1"/>
      <c r="RL379" s="1"/>
      <c r="RM379" s="1"/>
      <c r="RN379" s="1"/>
      <c r="RO379" s="1"/>
      <c r="RP379" s="1"/>
      <c r="RQ379" s="1"/>
      <c r="RR379" s="1"/>
      <c r="RS379" s="1"/>
      <c r="RT379" s="1"/>
      <c r="RU379" s="1"/>
      <c r="RV379" s="1"/>
      <c r="RW379" s="1"/>
      <c r="RX379" s="1"/>
      <c r="RY379" s="1"/>
      <c r="RZ379" s="1"/>
      <c r="SA379" s="1"/>
      <c r="SB379" s="1"/>
      <c r="SC379" s="1"/>
      <c r="SD379" s="1"/>
      <c r="SE379" s="1"/>
      <c r="SF379" s="1"/>
      <c r="SG379" s="1"/>
      <c r="SH379" s="1"/>
      <c r="SI379" s="1"/>
      <c r="SJ379" s="1"/>
      <c r="SK379" s="1"/>
      <c r="SL379" s="1"/>
      <c r="SM379" s="1"/>
      <c r="SN379" s="1"/>
      <c r="SO379" s="1"/>
      <c r="SP379" s="1"/>
      <c r="SQ379" s="1"/>
      <c r="SR379" s="1"/>
      <c r="SS379" s="1"/>
      <c r="ST379" s="1"/>
      <c r="SU379" s="1"/>
      <c r="SV379" s="1"/>
      <c r="SW379" s="1"/>
      <c r="SX379" s="1"/>
      <c r="SY379" s="1"/>
      <c r="SZ379" s="1"/>
      <c r="TA379" s="1"/>
      <c r="TB379" s="1"/>
      <c r="TC379" s="1"/>
      <c r="TD379" s="1"/>
      <c r="TE379" s="1"/>
      <c r="TF379" s="1"/>
      <c r="TG379" s="1"/>
      <c r="TH379" s="1"/>
      <c r="TI379" s="1"/>
      <c r="TJ379" s="1"/>
      <c r="TK379" s="1"/>
      <c r="TL379" s="1"/>
      <c r="TM379" s="1"/>
      <c r="TN379" s="1"/>
      <c r="TO379" s="1"/>
      <c r="TP379" s="1"/>
      <c r="TQ379" s="1"/>
      <c r="TR379" s="1"/>
      <c r="TS379" s="1"/>
      <c r="TT379" s="1"/>
      <c r="TU379" s="1"/>
      <c r="TV379" s="1"/>
      <c r="TW379" s="1"/>
      <c r="TX379" s="1"/>
      <c r="TY379" s="1"/>
      <c r="TZ379" s="1"/>
      <c r="UA379" s="1"/>
      <c r="UB379" s="1"/>
      <c r="UC379" s="1"/>
      <c r="UD379" s="1"/>
      <c r="UE379" s="1"/>
      <c r="UF379" s="1"/>
      <c r="UG379" s="1"/>
      <c r="UH379" s="1"/>
      <c r="UI379" s="1"/>
      <c r="UJ379" s="1"/>
      <c r="UK379" s="1"/>
      <c r="UL379" s="1"/>
      <c r="UM379" s="1"/>
      <c r="UN379" s="1"/>
      <c r="UO379" s="1"/>
      <c r="UP379" s="1"/>
      <c r="UQ379" s="1"/>
      <c r="UR379" s="1"/>
      <c r="US379" s="1"/>
      <c r="UT379" s="1"/>
      <c r="UU379" s="1"/>
      <c r="UV379" s="1"/>
      <c r="UW379" s="1"/>
      <c r="UX379" s="1"/>
      <c r="UY379" s="1"/>
      <c r="UZ379" s="1"/>
      <c r="VA379" s="1"/>
      <c r="VB379" s="1"/>
      <c r="VC379" s="1"/>
      <c r="VD379" s="1"/>
      <c r="VE379" s="1"/>
      <c r="VF379" s="1"/>
      <c r="VG379" s="1"/>
      <c r="VH379" s="1"/>
      <c r="VI379" s="1"/>
      <c r="VJ379" s="1"/>
      <c r="VK379" s="1"/>
      <c r="VL379" s="1"/>
      <c r="VM379" s="1"/>
      <c r="VN379" s="1"/>
      <c r="VO379" s="1"/>
      <c r="VP379" s="1"/>
      <c r="VQ379" s="1"/>
      <c r="VR379" s="1"/>
      <c r="VS379" s="1"/>
      <c r="VT379" s="1"/>
      <c r="VU379" s="1"/>
      <c r="VV379" s="1"/>
      <c r="VW379" s="1"/>
      <c r="VX379" s="1"/>
      <c r="VY379" s="1"/>
      <c r="VZ379" s="1"/>
      <c r="WA379" s="1"/>
      <c r="WB379" s="1"/>
      <c r="WC379" s="1"/>
      <c r="WD379" s="1"/>
      <c r="WE379" s="1"/>
      <c r="WF379" s="1"/>
      <c r="WG379" s="1"/>
      <c r="WH379" s="1"/>
      <c r="WI379" s="1"/>
      <c r="WJ379" s="1"/>
      <c r="WK379" s="1"/>
      <c r="WL379" s="1"/>
      <c r="WM379" s="1"/>
      <c r="WN379" s="1"/>
      <c r="WO379" s="1"/>
      <c r="WP379" s="1"/>
      <c r="WQ379" s="1"/>
      <c r="WR379" s="1"/>
      <c r="WS379" s="1"/>
      <c r="WT379" s="1"/>
      <c r="WU379" s="1"/>
      <c r="WV379" s="1"/>
      <c r="WW379" s="1"/>
      <c r="WX379" s="1"/>
      <c r="WY379" s="1"/>
      <c r="WZ379" s="1"/>
      <c r="XA379" s="1"/>
      <c r="XB379" s="1"/>
      <c r="XC379" s="1"/>
      <c r="XD379" s="1"/>
      <c r="XE379" s="1"/>
      <c r="XF379" s="1"/>
      <c r="XG379" s="1"/>
      <c r="XH379" s="1"/>
      <c r="XI379" s="1"/>
      <c r="XJ379" s="1"/>
      <c r="XK379" s="1"/>
      <c r="XL379" s="1"/>
      <c r="XM379" s="1"/>
      <c r="XN379" s="1"/>
      <c r="XO379" s="1"/>
      <c r="XP379" s="1"/>
      <c r="XQ379" s="1"/>
      <c r="XR379" s="1"/>
      <c r="XS379" s="1"/>
      <c r="XT379" s="1"/>
      <c r="XU379" s="1"/>
      <c r="XV379" s="1"/>
      <c r="XW379" s="1"/>
      <c r="XX379" s="1"/>
      <c r="XY379" s="1"/>
      <c r="XZ379" s="1"/>
      <c r="YA379" s="1"/>
      <c r="YB379" s="1"/>
      <c r="YC379" s="1"/>
      <c r="YD379" s="1"/>
      <c r="YE379" s="1"/>
      <c r="YF379" s="1"/>
      <c r="YG379" s="1"/>
      <c r="YH379" s="1"/>
      <c r="YI379" s="1"/>
      <c r="YJ379" s="1"/>
      <c r="YK379" s="1"/>
      <c r="YL379" s="1"/>
      <c r="YM379" s="1"/>
      <c r="YN379" s="1"/>
      <c r="YO379" s="1"/>
      <c r="YP379" s="1"/>
      <c r="YQ379" s="1"/>
      <c r="YR379" s="1"/>
      <c r="YS379" s="1"/>
      <c r="YT379" s="1"/>
      <c r="YU379" s="1"/>
      <c r="YV379" s="1"/>
      <c r="YW379" s="1"/>
      <c r="YX379" s="1"/>
      <c r="YY379" s="1"/>
      <c r="YZ379" s="1"/>
      <c r="ZA379" s="1"/>
      <c r="ZB379" s="1"/>
      <c r="ZC379" s="1"/>
      <c r="ZD379" s="1"/>
      <c r="ZE379" s="1"/>
      <c r="ZF379" s="1"/>
      <c r="ZG379" s="1"/>
      <c r="ZH379" s="1"/>
      <c r="ZI379" s="1"/>
      <c r="ZJ379" s="1"/>
      <c r="ZK379" s="1"/>
      <c r="ZL379" s="1"/>
      <c r="ZM379" s="1"/>
      <c r="ZN379" s="1"/>
      <c r="ZO379" s="1"/>
      <c r="ZP379" s="1"/>
      <c r="ZQ379" s="1"/>
      <c r="ZR379" s="1"/>
      <c r="ZS379" s="1"/>
      <c r="ZT379" s="1"/>
      <c r="ZU379" s="1"/>
      <c r="ZV379" s="1"/>
      <c r="ZW379" s="1"/>
      <c r="ZX379" s="1"/>
      <c r="ZY379" s="1"/>
      <c r="ZZ379" s="1"/>
      <c r="AAA379" s="1"/>
      <c r="AAB379" s="1"/>
      <c r="AAC379" s="1"/>
      <c r="AAD379" s="1"/>
      <c r="AAE379" s="1"/>
      <c r="AAF379" s="1"/>
      <c r="AAG379" s="1"/>
      <c r="AAH379" s="1"/>
      <c r="AAI379" s="1"/>
      <c r="AAJ379" s="1"/>
      <c r="AAK379" s="1"/>
      <c r="AAL379" s="1"/>
      <c r="AAM379" s="1"/>
      <c r="AAN379" s="1"/>
      <c r="AAO379" s="1"/>
      <c r="AAP379" s="1"/>
      <c r="AAQ379" s="1"/>
      <c r="AAR379" s="1"/>
      <c r="AAS379" s="1"/>
      <c r="AAT379" s="1"/>
      <c r="AAU379" s="1"/>
      <c r="AAV379" s="1"/>
      <c r="AAW379" s="1"/>
      <c r="AAX379" s="1"/>
      <c r="AAY379" s="1"/>
      <c r="AAZ379" s="1"/>
      <c r="ABA379" s="1"/>
      <c r="ABB379" s="1"/>
      <c r="ABC379" s="1"/>
      <c r="ABD379" s="1"/>
      <c r="ABE379" s="1"/>
      <c r="ABF379" s="1"/>
      <c r="ABG379" s="1"/>
      <c r="ABH379" s="1"/>
      <c r="ABI379" s="1"/>
      <c r="ABJ379" s="1"/>
      <c r="ABK379" s="1"/>
      <c r="ABL379" s="1"/>
      <c r="ABM379" s="1"/>
      <c r="ABN379" s="1"/>
      <c r="ABO379" s="1"/>
      <c r="ABP379" s="1"/>
      <c r="ABQ379" s="1"/>
      <c r="ABR379" s="1"/>
      <c r="ABS379" s="1"/>
      <c r="ABT379" s="1"/>
      <c r="ABU379" s="1"/>
      <c r="ABV379" s="1"/>
      <c r="ABW379" s="1"/>
      <c r="ABX379" s="1"/>
      <c r="ABY379" s="1"/>
      <c r="ABZ379" s="1"/>
      <c r="ACA379" s="1"/>
      <c r="ACB379" s="1"/>
      <c r="ACC379" s="1"/>
      <c r="ACD379" s="1"/>
      <c r="ACE379" s="1"/>
      <c r="ACF379" s="1"/>
      <c r="ACG379" s="1"/>
      <c r="ACH379" s="1"/>
      <c r="ACI379" s="1"/>
      <c r="ACJ379" s="1"/>
      <c r="ACK379" s="1"/>
      <c r="ACL379" s="1"/>
      <c r="ACM379" s="1"/>
      <c r="ACN379" s="1"/>
      <c r="ACO379" s="1"/>
      <c r="ACP379" s="1"/>
      <c r="ACQ379" s="1"/>
      <c r="ACR379" s="1"/>
      <c r="ACS379" s="1"/>
      <c r="ACT379" s="1"/>
      <c r="ACU379" s="1"/>
      <c r="ACV379" s="1"/>
      <c r="ACW379" s="1"/>
      <c r="ACX379" s="1"/>
      <c r="ACY379" s="1"/>
      <c r="ACZ379" s="1"/>
      <c r="ADA379" s="1"/>
      <c r="ADB379" s="1"/>
      <c r="ADC379" s="1"/>
      <c r="ADD379" s="1"/>
      <c r="ADE379" s="1"/>
      <c r="ADF379" s="1"/>
      <c r="ADG379" s="1"/>
      <c r="ADH379" s="1"/>
      <c r="ADI379" s="1"/>
      <c r="ADJ379" s="1"/>
      <c r="ADK379" s="1"/>
      <c r="ADL379" s="1"/>
      <c r="ADM379" s="1"/>
      <c r="ADN379" s="1"/>
      <c r="ADO379" s="1"/>
      <c r="ADP379" s="1"/>
      <c r="ADQ379" s="1"/>
      <c r="ADR379" s="1"/>
      <c r="ADS379" s="1"/>
      <c r="ADT379" s="1"/>
      <c r="ADU379" s="1"/>
      <c r="ADV379" s="1"/>
      <c r="ADW379" s="1"/>
      <c r="ADX379" s="1"/>
      <c r="ADY379" s="1"/>
      <c r="ADZ379" s="1"/>
      <c r="AEA379" s="1"/>
      <c r="AEB379" s="1"/>
      <c r="AEC379" s="1"/>
      <c r="AED379" s="1"/>
      <c r="AEE379" s="1"/>
      <c r="AEF379" s="1"/>
      <c r="AEG379" s="1"/>
      <c r="AEH379" s="1"/>
      <c r="AEI379" s="1"/>
      <c r="AEJ379" s="1"/>
      <c r="AEK379" s="1"/>
      <c r="AEL379" s="1"/>
      <c r="AEM379" s="1"/>
      <c r="AEN379" s="1"/>
      <c r="AEO379" s="1"/>
      <c r="AEP379" s="1"/>
      <c r="AEQ379" s="1"/>
      <c r="AER379" s="1"/>
      <c r="AES379" s="1"/>
      <c r="AET379" s="1"/>
      <c r="AEU379" s="1"/>
      <c r="AEV379" s="1"/>
      <c r="AEW379" s="1"/>
      <c r="AEX379" s="1"/>
      <c r="AEY379" s="1"/>
      <c r="AEZ379" s="1"/>
      <c r="AFA379" s="1"/>
      <c r="AFB379" s="1"/>
      <c r="AFC379" s="1"/>
      <c r="AFD379" s="1"/>
      <c r="AFE379" s="1"/>
      <c r="AFF379" s="1"/>
      <c r="AFG379" s="1"/>
      <c r="AFH379" s="1"/>
      <c r="AFI379" s="1"/>
      <c r="AFJ379" s="1"/>
      <c r="AFK379" s="1"/>
      <c r="AFL379" s="1"/>
      <c r="AFM379" s="1"/>
      <c r="AFN379" s="1"/>
      <c r="AFO379" s="1"/>
      <c r="AFP379" s="1"/>
      <c r="AFQ379" s="1"/>
      <c r="AFR379" s="1"/>
      <c r="AFS379" s="1"/>
      <c r="AFT379" s="1"/>
      <c r="AFU379" s="1"/>
      <c r="AFV379" s="1"/>
      <c r="AFW379" s="1"/>
      <c r="AFX379" s="1"/>
      <c r="AFY379" s="1"/>
      <c r="AFZ379" s="1"/>
      <c r="AGA379" s="1"/>
      <c r="AGB379" s="1"/>
      <c r="AGC379" s="1"/>
      <c r="AGD379" s="1"/>
      <c r="AGE379" s="1"/>
      <c r="AGF379" s="1"/>
      <c r="AGG379" s="1"/>
      <c r="AGH379" s="1"/>
      <c r="AGI379" s="1"/>
      <c r="AGJ379" s="1"/>
      <c r="AGK379" s="1"/>
      <c r="AGL379" s="1"/>
      <c r="AGM379" s="1"/>
      <c r="AGN379" s="1"/>
      <c r="AGO379" s="1"/>
      <c r="AGP379" s="1"/>
      <c r="AGQ379" s="1"/>
      <c r="AGR379" s="1"/>
      <c r="AGS379" s="1"/>
      <c r="AGT379" s="1"/>
      <c r="AGU379" s="1"/>
      <c r="AGV379" s="1"/>
      <c r="AGW379" s="1"/>
      <c r="AGX379" s="1"/>
      <c r="AGY379" s="1"/>
      <c r="AGZ379" s="1"/>
      <c r="AHA379" s="1"/>
      <c r="AHB379" s="1"/>
      <c r="AHC379" s="1"/>
      <c r="AHD379" s="1"/>
      <c r="AHE379" s="1"/>
      <c r="AHF379" s="1"/>
      <c r="AHG379" s="1"/>
      <c r="AHH379" s="1"/>
      <c r="AHI379" s="1"/>
      <c r="AHJ379" s="1"/>
      <c r="AHK379" s="1"/>
      <c r="AHL379" s="1"/>
      <c r="AHM379" s="1"/>
      <c r="AHN379" s="1"/>
      <c r="AHO379" s="1"/>
      <c r="AHP379" s="1"/>
      <c r="AHQ379" s="1"/>
      <c r="AHR379" s="1"/>
      <c r="AHS379" s="1"/>
      <c r="AHT379" s="1"/>
      <c r="AHU379" s="1"/>
      <c r="AHV379" s="1"/>
      <c r="AHW379" s="1"/>
      <c r="AHX379" s="1"/>
      <c r="AHY379" s="1"/>
      <c r="AHZ379" s="1"/>
      <c r="AIA379" s="1"/>
      <c r="AIB379" s="1"/>
      <c r="AIC379" s="1"/>
      <c r="AID379" s="1"/>
      <c r="AIE379" s="1"/>
      <c r="AIF379" s="1"/>
      <c r="AIG379" s="1"/>
      <c r="AIH379" s="1"/>
      <c r="AII379" s="1"/>
      <c r="AIJ379" s="1"/>
      <c r="AIK379" s="1"/>
      <c r="AIL379" s="1"/>
      <c r="AIM379" s="1"/>
      <c r="AIN379" s="1"/>
      <c r="AIO379" s="1"/>
      <c r="AIP379" s="1"/>
      <c r="AIQ379" s="1"/>
      <c r="AIR379" s="1"/>
      <c r="AIS379" s="1"/>
      <c r="AIT379" s="1"/>
      <c r="AIU379" s="1"/>
      <c r="AIV379" s="1"/>
      <c r="AIW379" s="1"/>
      <c r="AIX379" s="1"/>
      <c r="AIY379" s="1"/>
      <c r="AIZ379" s="1"/>
      <c r="AJA379" s="1"/>
      <c r="AJB379" s="1"/>
      <c r="AJC379" s="1"/>
      <c r="AJD379" s="1"/>
      <c r="AJE379" s="1"/>
      <c r="AJF379" s="1"/>
      <c r="AJG379" s="1"/>
      <c r="AJH379" s="1"/>
      <c r="AJI379" s="1"/>
      <c r="AJJ379" s="1"/>
      <c r="AJK379" s="1"/>
      <c r="AJL379" s="1"/>
      <c r="AJM379" s="1"/>
      <c r="AJN379" s="1"/>
      <c r="AJO379" s="1"/>
      <c r="AJP379" s="1"/>
      <c r="AJQ379" s="1"/>
      <c r="AJR379" s="1"/>
      <c r="AJS379" s="1"/>
      <c r="AJT379" s="1"/>
      <c r="AJU379" s="1"/>
      <c r="AJV379" s="1"/>
      <c r="AJW379" s="1"/>
      <c r="AJX379" s="1"/>
      <c r="AJY379" s="1"/>
      <c r="AJZ379" s="1"/>
      <c r="AKA379" s="1"/>
      <c r="AKB379" s="1"/>
      <c r="AKC379" s="1"/>
      <c r="AKD379" s="1"/>
      <c r="AKE379" s="1"/>
      <c r="AKF379" s="1"/>
      <c r="AKG379" s="1"/>
      <c r="AKH379" s="1"/>
      <c r="AKI379" s="1"/>
      <c r="AKJ379" s="1"/>
      <c r="AKK379" s="1"/>
      <c r="AKL379" s="1"/>
      <c r="AKM379" s="1"/>
      <c r="AKN379" s="1"/>
      <c r="AKO379" s="1"/>
      <c r="AKP379" s="1"/>
      <c r="AKQ379" s="1"/>
      <c r="AKR379" s="1"/>
      <c r="AKS379" s="1"/>
      <c r="AKT379" s="1"/>
      <c r="AKU379" s="1"/>
      <c r="AKV379" s="1"/>
      <c r="AKW379" s="1"/>
      <c r="AKX379" s="1"/>
      <c r="AKY379" s="1"/>
      <c r="AKZ379" s="1"/>
      <c r="ALA379" s="1"/>
      <c r="ALB379" s="1"/>
      <c r="ALC379" s="1"/>
      <c r="ALD379" s="1"/>
      <c r="ALE379" s="1"/>
      <c r="ALF379" s="1"/>
      <c r="ALG379" s="1"/>
      <c r="ALH379" s="1"/>
      <c r="ALI379" s="1"/>
      <c r="ALJ379" s="1"/>
      <c r="ALK379" s="1"/>
      <c r="ALL379" s="1"/>
      <c r="ALM379" s="1"/>
      <c r="ALN379" s="1"/>
      <c r="ALO379" s="1"/>
      <c r="ALP379" s="1"/>
      <c r="ALQ379" s="1"/>
      <c r="ALR379" s="1"/>
      <c r="ALS379" s="1"/>
      <c r="ALT379" s="1"/>
      <c r="ALU379" s="1"/>
      <c r="ALV379" s="1"/>
      <c r="ALW379" s="1"/>
      <c r="ALX379" s="1"/>
      <c r="ALY379" s="1"/>
      <c r="ALZ379" s="1"/>
      <c r="AMA379" s="1"/>
      <c r="AMB379" s="1"/>
      <c r="AMC379" s="1"/>
      <c r="AMD379" s="1"/>
      <c r="AME379" s="1"/>
      <c r="AMF379" s="1"/>
      <c r="AMG379" s="1"/>
      <c r="AMH379" s="1"/>
      <c r="AMI379" s="1"/>
      <c r="AMJ379" s="1"/>
      <c r="AMK379" s="1"/>
      <c r="AML379" s="1"/>
      <c r="AMM379" s="1"/>
      <c r="AMN379" s="1"/>
      <c r="AMO379" s="1"/>
    </row>
    <row r="380" spans="1:1029" x14ac:dyDescent="0.2">
      <c r="A380" s="3" t="str">
        <f>CONCATENATE(B380,"_",C380)</f>
        <v>s1pr1_human__wt</v>
      </c>
      <c r="B380" s="3" t="s">
        <v>104</v>
      </c>
      <c r="C380" s="3" t="s">
        <v>100</v>
      </c>
      <c r="D380" s="3" t="str">
        <f>IFERROR(MID(VLOOKUP($B380,Seqs!$A:$B,2,0),E380,1),"")</f>
        <v>E</v>
      </c>
      <c r="E380" s="3">
        <v>42</v>
      </c>
      <c r="F380" s="3" t="str">
        <f>IFERROR(MID(VLOOKUP($B380,Seqs!$A:$B,2,0),G380,1),"")</f>
        <v>T</v>
      </c>
      <c r="G380" s="3">
        <v>73</v>
      </c>
      <c r="H380" s="3" t="str">
        <f>IFERROR(MID(VLOOKUP($B380,Seqs!$A:$B,2,0),I380,1),"")</f>
        <v>K</v>
      </c>
      <c r="I380" s="23">
        <v>74</v>
      </c>
      <c r="J380" s="3" t="str">
        <f>IFERROR(MID(VLOOKUP($B380,Seqs!$A:$B,2,0),K380,1),"")</f>
        <v>H</v>
      </c>
      <c r="K380" s="23">
        <v>77</v>
      </c>
      <c r="L380" s="3" t="str">
        <f>IFERROR(MID(VLOOKUP($B380,Seqs!$A:$B,2,0),M380,1),"")</f>
        <v>R</v>
      </c>
      <c r="M380" s="3">
        <v>78</v>
      </c>
      <c r="N380" s="3" t="str">
        <f>IFERROR(MID(VLOOKUP($B380,Seqs!$A:$B,2,0),O380,1),"")</f>
        <v>L</v>
      </c>
      <c r="O380" s="3">
        <v>104</v>
      </c>
      <c r="P380" s="3" t="str">
        <f>IFERROR(MID(VLOOKUP($B380,Seqs!$A:$B,2,0),Q380,1),"")</f>
        <v>G</v>
      </c>
      <c r="Q380" s="3">
        <v>106</v>
      </c>
      <c r="R380" s="3" t="str">
        <f>IFERROR(MID(VLOOKUP($B380,Seqs!$A:$B,2,0),S380,1),"")</f>
        <v>L</v>
      </c>
      <c r="S380" s="3">
        <v>112</v>
      </c>
      <c r="T380" s="3" t="str">
        <f>IFERROR(MID(VLOOKUP($B380,Seqs!$A:$B,2,0),U380,1),"")</f>
        <v>T</v>
      </c>
      <c r="U380" s="3">
        <v>113</v>
      </c>
      <c r="V380" s="3" t="str">
        <f>IFERROR(MID(VLOOKUP($B380,Seqs!$A:$B,2,0),W380,1),"")</f>
        <v>K</v>
      </c>
      <c r="W380" s="105">
        <v>148</v>
      </c>
      <c r="X380" s="3" t="str">
        <f>IFERROR(MID(VLOOKUP($B380,Seqs!$A:$B,2,0),Y380,1),"")</f>
        <v>M</v>
      </c>
      <c r="Y380" s="105">
        <v>149</v>
      </c>
      <c r="Z380" s="3" t="str">
        <f>IFERROR(MID(VLOOKUP($B380,Seqs!$A:$B,2,0),AA380,1),"")</f>
        <v>S</v>
      </c>
      <c r="AA380" s="105">
        <v>155</v>
      </c>
      <c r="AB380" s="3" t="str">
        <f>IFERROR(MID(VLOOKUP($B380,Seqs!$A:$B,2,0),AC380,1),"")</f>
        <v>N</v>
      </c>
      <c r="AC380" s="105">
        <v>156</v>
      </c>
      <c r="AD380" s="3" t="str">
        <f>IFERROR(MID(VLOOKUP($B380,Seqs!$A:$B,2,0),AE380,1),"")</f>
        <v>G</v>
      </c>
      <c r="AE380" s="3">
        <v>181</v>
      </c>
      <c r="AF380" s="3" t="str">
        <f>IFERROR(MID(VLOOKUP($B380,Seqs!$A:$B,2,0),AG380,1),"")</f>
        <v/>
      </c>
      <c r="AG380" s="3" t="s">
        <v>23</v>
      </c>
      <c r="AH380" s="3" t="str">
        <f>IFERROR(MID(VLOOKUP($B380,Seqs!$A:$B,2,0),AI380,1),"")</f>
        <v/>
      </c>
      <c r="AI380" s="3" t="s">
        <v>23</v>
      </c>
      <c r="AJ380" s="3" t="str">
        <f>IFERROR(MID(VLOOKUP($B380,Seqs!$A:$B,2,0),AK380,1),"")</f>
        <v>H</v>
      </c>
      <c r="AK380" s="3">
        <v>199</v>
      </c>
      <c r="AL380" s="3" t="str">
        <f>IFERROR(MID(VLOOKUP($B380,Seqs!$A:$B,2,0),AM380,1),"")</f>
        <v>T</v>
      </c>
      <c r="AM380" s="3">
        <v>236</v>
      </c>
      <c r="AN380" s="3" t="str">
        <f>IFERROR(MID(VLOOKUP($B380,Seqs!$A:$B,2,0),AO380,1),"")</f>
        <v>S</v>
      </c>
      <c r="AO380" s="3">
        <v>245</v>
      </c>
      <c r="AP380" s="3" t="str">
        <f>IFERROR(MID(VLOOKUP($B380,Seqs!$A:$B,2,0),AQ380,1),"")</f>
        <v>C</v>
      </c>
      <c r="AQ380" s="3">
        <v>282</v>
      </c>
      <c r="AR380" s="3" t="str">
        <f>IFERROR(MID(VLOOKUP($B380,Seqs!$A:$B,2,0),AS380,1),"")</f>
        <v>D</v>
      </c>
      <c r="AS380" s="3">
        <v>288</v>
      </c>
      <c r="AT380" s="3" t="str">
        <f>IFERROR(MID(VLOOKUP($B380,Seqs!$A:$B,2,0),AU380,1),"")</f>
        <v>T</v>
      </c>
      <c r="AU380" s="3">
        <v>314</v>
      </c>
      <c r="AV380" s="3" t="str">
        <f>IFERROR(MID(VLOOKUP($B380,Seqs!$A:$B,2,0),AW380,1),"")</f>
        <v>N</v>
      </c>
      <c r="AW380" s="3">
        <v>315</v>
      </c>
      <c r="AX380" s="3" t="str">
        <f>IFERROR(MID(VLOOKUP($B380,Seqs!$A:$B,2,0),AY380,1),"")</f>
        <v>S</v>
      </c>
      <c r="AY380" s="3">
        <v>327</v>
      </c>
      <c r="AZ380" s="77" t="str">
        <f>VLOOKUP(B380,Classification!A:D,2,0)</f>
        <v>A</v>
      </c>
      <c r="BA380" s="94" t="str">
        <f>VLOOKUP(B380,Classification!A:D,4,0)</f>
        <v>Lysophospholipid(S1P)</v>
      </c>
      <c r="BB380" s="27" t="b">
        <f t="shared" si="1114"/>
        <v>1</v>
      </c>
      <c r="BC380" s="23">
        <f t="shared" si="1113"/>
        <v>256</v>
      </c>
      <c r="BD380" s="56" t="s">
        <v>23</v>
      </c>
      <c r="BE380" s="3" t="s">
        <v>23</v>
      </c>
      <c r="BF380" s="118" t="s">
        <v>23</v>
      </c>
      <c r="BG380" s="49" t="s">
        <v>1366</v>
      </c>
      <c r="BH380" s="49" t="s">
        <v>1371</v>
      </c>
      <c r="BI380" s="1"/>
      <c r="BJ380" s="70" t="s">
        <v>1281</v>
      </c>
      <c r="BK380" s="57" t="s">
        <v>1281</v>
      </c>
      <c r="BL380" s="57" t="s">
        <v>1281</v>
      </c>
      <c r="BM380" s="57" t="s">
        <v>1281</v>
      </c>
      <c r="BN380" s="57" t="s">
        <v>1281</v>
      </c>
      <c r="BO380" s="57" t="s">
        <v>1281</v>
      </c>
      <c r="BP380" s="57" t="s">
        <v>1281</v>
      </c>
      <c r="BQ380" s="57" t="s">
        <v>1281</v>
      </c>
      <c r="BR380" s="57" t="s">
        <v>1281</v>
      </c>
      <c r="BS380" s="57" t="s">
        <v>1281</v>
      </c>
      <c r="BT380" s="57" t="s">
        <v>1281</v>
      </c>
      <c r="BU380" s="57" t="s">
        <v>1281</v>
      </c>
      <c r="BV380" s="70">
        <f>E380</f>
        <v>42</v>
      </c>
      <c r="BW380" s="71">
        <f>I380</f>
        <v>74</v>
      </c>
      <c r="BX380" s="72">
        <f>M380</f>
        <v>78</v>
      </c>
      <c r="BY380" s="71">
        <f>Q380</f>
        <v>106</v>
      </c>
      <c r="BZ380" s="72">
        <f>U380</f>
        <v>113</v>
      </c>
      <c r="CA380" s="71">
        <f>Y380</f>
        <v>149</v>
      </c>
      <c r="CB380" s="72">
        <f>AC380</f>
        <v>156</v>
      </c>
      <c r="CC380" s="71" t="str">
        <f>AG380</f>
        <v>-</v>
      </c>
      <c r="CD380" s="72">
        <f>AK380</f>
        <v>199</v>
      </c>
      <c r="CE380" s="71">
        <f>AO380</f>
        <v>245</v>
      </c>
      <c r="CF380" s="72">
        <f>AS380</f>
        <v>288</v>
      </c>
      <c r="CG380" s="71">
        <f>AW380</f>
        <v>315</v>
      </c>
      <c r="CH380" s="70">
        <f>G380</f>
        <v>73</v>
      </c>
      <c r="CI380" s="71">
        <f>K380</f>
        <v>77</v>
      </c>
      <c r="CJ380" s="72">
        <f>O380</f>
        <v>104</v>
      </c>
      <c r="CK380" s="72">
        <f>S380</f>
        <v>112</v>
      </c>
      <c r="CL380" s="72">
        <f>W380</f>
        <v>148</v>
      </c>
      <c r="CM380" s="72">
        <f>AA380</f>
        <v>155</v>
      </c>
      <c r="CN380" s="72">
        <f>AE380</f>
        <v>181</v>
      </c>
      <c r="CO380" s="72" t="str">
        <f>AI380</f>
        <v>-</v>
      </c>
      <c r="CP380" s="72">
        <f>AM380</f>
        <v>236</v>
      </c>
      <c r="CQ380" s="72">
        <f>AQ380</f>
        <v>282</v>
      </c>
      <c r="CR380" s="72">
        <f>AU380</f>
        <v>314</v>
      </c>
      <c r="CS380" s="72">
        <f>AY380</f>
        <v>327</v>
      </c>
      <c r="CT380" s="23">
        <f>M380-K380</f>
        <v>1</v>
      </c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  <c r="OM380" s="1"/>
      <c r="ON380" s="1"/>
      <c r="OO380" s="1"/>
      <c r="OP380" s="1"/>
      <c r="OQ380" s="1"/>
      <c r="OR380" s="1"/>
      <c r="OS380" s="1"/>
      <c r="OT380" s="1"/>
      <c r="OU380" s="1"/>
      <c r="OV380" s="1"/>
      <c r="OW380" s="1"/>
      <c r="OX380" s="1"/>
      <c r="OY380" s="1"/>
      <c r="OZ380" s="1"/>
      <c r="PA380" s="1"/>
      <c r="PB380" s="1"/>
      <c r="PC380" s="1"/>
      <c r="PD380" s="1"/>
      <c r="PE380" s="1"/>
      <c r="PF380" s="1"/>
      <c r="PG380" s="1"/>
      <c r="PH380" s="1"/>
      <c r="PI380" s="1"/>
      <c r="PJ380" s="1"/>
      <c r="PK380" s="1"/>
      <c r="PL380" s="1"/>
      <c r="PM380" s="1"/>
      <c r="PN380" s="1"/>
      <c r="PO380" s="1"/>
      <c r="PP380" s="1"/>
      <c r="PQ380" s="1"/>
      <c r="PR380" s="1"/>
      <c r="PS380" s="1"/>
      <c r="PT380" s="1"/>
      <c r="PU380" s="1"/>
      <c r="PV380" s="1"/>
      <c r="PW380" s="1"/>
      <c r="PX380" s="1"/>
      <c r="PY380" s="1"/>
      <c r="PZ380" s="1"/>
      <c r="QA380" s="1"/>
      <c r="QB380" s="1"/>
      <c r="QC380" s="1"/>
      <c r="QD380" s="1"/>
      <c r="QE380" s="1"/>
      <c r="QF380" s="1"/>
      <c r="QG380" s="1"/>
      <c r="QH380" s="1"/>
      <c r="QI380" s="1"/>
      <c r="QJ380" s="1"/>
      <c r="QK380" s="1"/>
      <c r="QL380" s="1"/>
      <c r="QM380" s="1"/>
      <c r="QN380" s="1"/>
      <c r="QO380" s="1"/>
      <c r="QP380" s="1"/>
      <c r="QQ380" s="1"/>
      <c r="QR380" s="1"/>
      <c r="QS380" s="1"/>
      <c r="QT380" s="1"/>
      <c r="QU380" s="1"/>
      <c r="QV380" s="1"/>
      <c r="QW380" s="1"/>
      <c r="QX380" s="1"/>
      <c r="QY380" s="1"/>
      <c r="QZ380" s="1"/>
      <c r="RA380" s="1"/>
      <c r="RB380" s="1"/>
      <c r="RC380" s="1"/>
      <c r="RD380" s="1"/>
      <c r="RE380" s="1"/>
      <c r="RF380" s="1"/>
      <c r="RG380" s="1"/>
      <c r="RH380" s="1"/>
      <c r="RI380" s="1"/>
      <c r="RJ380" s="1"/>
      <c r="RK380" s="1"/>
      <c r="RL380" s="1"/>
      <c r="RM380" s="1"/>
      <c r="RN380" s="1"/>
      <c r="RO380" s="1"/>
      <c r="RP380" s="1"/>
      <c r="RQ380" s="1"/>
      <c r="RR380" s="1"/>
      <c r="RS380" s="1"/>
      <c r="RT380" s="1"/>
      <c r="RU380" s="1"/>
      <c r="RV380" s="1"/>
      <c r="RW380" s="1"/>
      <c r="RX380" s="1"/>
      <c r="RY380" s="1"/>
      <c r="RZ380" s="1"/>
      <c r="SA380" s="1"/>
      <c r="SB380" s="1"/>
      <c r="SC380" s="1"/>
      <c r="SD380" s="1"/>
      <c r="SE380" s="1"/>
      <c r="SF380" s="1"/>
      <c r="SG380" s="1"/>
      <c r="SH380" s="1"/>
      <c r="SI380" s="1"/>
      <c r="SJ380" s="1"/>
      <c r="SK380" s="1"/>
      <c r="SL380" s="1"/>
      <c r="SM380" s="1"/>
      <c r="SN380" s="1"/>
      <c r="SO380" s="1"/>
      <c r="SP380" s="1"/>
      <c r="SQ380" s="1"/>
      <c r="SR380" s="1"/>
      <c r="SS380" s="1"/>
      <c r="ST380" s="1"/>
      <c r="SU380" s="1"/>
      <c r="SV380" s="1"/>
      <c r="SW380" s="1"/>
      <c r="SX380" s="1"/>
      <c r="SY380" s="1"/>
      <c r="SZ380" s="1"/>
      <c r="TA380" s="1"/>
      <c r="TB380" s="1"/>
      <c r="TC380" s="1"/>
      <c r="TD380" s="1"/>
      <c r="TE380" s="1"/>
      <c r="TF380" s="1"/>
      <c r="TG380" s="1"/>
      <c r="TH380" s="1"/>
      <c r="TI380" s="1"/>
      <c r="TJ380" s="1"/>
      <c r="TK380" s="1"/>
      <c r="TL380" s="1"/>
      <c r="TM380" s="1"/>
      <c r="TN380" s="1"/>
      <c r="TO380" s="1"/>
      <c r="TP380" s="1"/>
      <c r="TQ380" s="1"/>
      <c r="TR380" s="1"/>
      <c r="TS380" s="1"/>
      <c r="TT380" s="1"/>
      <c r="TU380" s="1"/>
      <c r="TV380" s="1"/>
      <c r="TW380" s="1"/>
      <c r="TX380" s="1"/>
      <c r="TY380" s="1"/>
      <c r="TZ380" s="1"/>
      <c r="UA380" s="1"/>
      <c r="UB380" s="1"/>
      <c r="UC380" s="1"/>
      <c r="UD380" s="1"/>
      <c r="UE380" s="1"/>
      <c r="UF380" s="1"/>
      <c r="UG380" s="1"/>
      <c r="UH380" s="1"/>
      <c r="UI380" s="1"/>
      <c r="UJ380" s="1"/>
      <c r="UK380" s="1"/>
      <c r="UL380" s="1"/>
      <c r="UM380" s="1"/>
      <c r="UN380" s="1"/>
      <c r="UO380" s="1"/>
      <c r="UP380" s="1"/>
      <c r="UQ380" s="1"/>
      <c r="UR380" s="1"/>
      <c r="US380" s="1"/>
      <c r="UT380" s="1"/>
      <c r="UU380" s="1"/>
      <c r="UV380" s="1"/>
      <c r="UW380" s="1"/>
      <c r="UX380" s="1"/>
      <c r="UY380" s="1"/>
      <c r="UZ380" s="1"/>
      <c r="VA380" s="1"/>
      <c r="VB380" s="1"/>
      <c r="VC380" s="1"/>
      <c r="VD380" s="1"/>
      <c r="VE380" s="1"/>
      <c r="VF380" s="1"/>
      <c r="VG380" s="1"/>
      <c r="VH380" s="1"/>
      <c r="VI380" s="1"/>
      <c r="VJ380" s="1"/>
      <c r="VK380" s="1"/>
      <c r="VL380" s="1"/>
      <c r="VM380" s="1"/>
      <c r="VN380" s="1"/>
      <c r="VO380" s="1"/>
      <c r="VP380" s="1"/>
      <c r="VQ380" s="1"/>
      <c r="VR380" s="1"/>
      <c r="VS380" s="1"/>
      <c r="VT380" s="1"/>
      <c r="VU380" s="1"/>
      <c r="VV380" s="1"/>
      <c r="VW380" s="1"/>
      <c r="VX380" s="1"/>
      <c r="VY380" s="1"/>
      <c r="VZ380" s="1"/>
      <c r="WA380" s="1"/>
      <c r="WB380" s="1"/>
      <c r="WC380" s="1"/>
      <c r="WD380" s="1"/>
      <c r="WE380" s="1"/>
      <c r="WF380" s="1"/>
      <c r="WG380" s="1"/>
      <c r="WH380" s="1"/>
      <c r="WI380" s="1"/>
      <c r="WJ380" s="1"/>
      <c r="WK380" s="1"/>
      <c r="WL380" s="1"/>
      <c r="WM380" s="1"/>
      <c r="WN380" s="1"/>
      <c r="WO380" s="1"/>
      <c r="WP380" s="1"/>
      <c r="WQ380" s="1"/>
      <c r="WR380" s="1"/>
      <c r="WS380" s="1"/>
      <c r="WT380" s="1"/>
      <c r="WU380" s="1"/>
      <c r="WV380" s="1"/>
      <c r="WW380" s="1"/>
      <c r="WX380" s="1"/>
      <c r="WY380" s="1"/>
      <c r="WZ380" s="1"/>
      <c r="XA380" s="1"/>
      <c r="XB380" s="1"/>
      <c r="XC380" s="1"/>
      <c r="XD380" s="1"/>
      <c r="XE380" s="1"/>
      <c r="XF380" s="1"/>
      <c r="XG380" s="1"/>
      <c r="XH380" s="1"/>
      <c r="XI380" s="1"/>
      <c r="XJ380" s="1"/>
      <c r="XK380" s="1"/>
      <c r="XL380" s="1"/>
      <c r="XM380" s="1"/>
      <c r="XN380" s="1"/>
      <c r="XO380" s="1"/>
      <c r="XP380" s="1"/>
      <c r="XQ380" s="1"/>
      <c r="XR380" s="1"/>
      <c r="XS380" s="1"/>
      <c r="XT380" s="1"/>
      <c r="XU380" s="1"/>
      <c r="XV380" s="1"/>
      <c r="XW380" s="1"/>
      <c r="XX380" s="1"/>
      <c r="XY380" s="1"/>
      <c r="XZ380" s="1"/>
      <c r="YA380" s="1"/>
      <c r="YB380" s="1"/>
      <c r="YC380" s="1"/>
      <c r="YD380" s="1"/>
      <c r="YE380" s="1"/>
      <c r="YF380" s="1"/>
      <c r="YG380" s="1"/>
      <c r="YH380" s="1"/>
      <c r="YI380" s="1"/>
      <c r="YJ380" s="1"/>
      <c r="YK380" s="1"/>
      <c r="YL380" s="1"/>
      <c r="YM380" s="1"/>
      <c r="YN380" s="1"/>
      <c r="YO380" s="1"/>
      <c r="YP380" s="1"/>
      <c r="YQ380" s="1"/>
      <c r="YR380" s="1"/>
      <c r="YS380" s="1"/>
      <c r="YT380" s="1"/>
      <c r="YU380" s="1"/>
      <c r="YV380" s="1"/>
      <c r="YW380" s="1"/>
      <c r="YX380" s="1"/>
      <c r="YY380" s="1"/>
      <c r="YZ380" s="1"/>
      <c r="ZA380" s="1"/>
      <c r="ZB380" s="1"/>
      <c r="ZC380" s="1"/>
      <c r="ZD380" s="1"/>
      <c r="ZE380" s="1"/>
      <c r="ZF380" s="1"/>
      <c r="ZG380" s="1"/>
      <c r="ZH380" s="1"/>
      <c r="ZI380" s="1"/>
      <c r="ZJ380" s="1"/>
      <c r="ZK380" s="1"/>
      <c r="ZL380" s="1"/>
      <c r="ZM380" s="1"/>
      <c r="ZN380" s="1"/>
      <c r="ZO380" s="1"/>
      <c r="ZP380" s="1"/>
      <c r="ZQ380" s="1"/>
      <c r="ZR380" s="1"/>
      <c r="ZS380" s="1"/>
      <c r="ZT380" s="1"/>
      <c r="ZU380" s="1"/>
      <c r="ZV380" s="1"/>
      <c r="ZW380" s="1"/>
      <c r="ZX380" s="1"/>
      <c r="ZY380" s="1"/>
      <c r="ZZ380" s="1"/>
      <c r="AAA380" s="1"/>
      <c r="AAB380" s="1"/>
      <c r="AAC380" s="1"/>
      <c r="AAD380" s="1"/>
      <c r="AAE380" s="1"/>
      <c r="AAF380" s="1"/>
      <c r="AAG380" s="1"/>
      <c r="AAH380" s="1"/>
      <c r="AAI380" s="1"/>
      <c r="AAJ380" s="1"/>
      <c r="AAK380" s="1"/>
      <c r="AAL380" s="1"/>
      <c r="AAM380" s="1"/>
      <c r="AAN380" s="1"/>
      <c r="AAO380" s="1"/>
      <c r="AAP380" s="1"/>
      <c r="AAQ380" s="1"/>
      <c r="AAR380" s="1"/>
      <c r="AAS380" s="1"/>
      <c r="AAT380" s="1"/>
      <c r="AAU380" s="1"/>
      <c r="AAV380" s="1"/>
      <c r="AAW380" s="1"/>
      <c r="AAX380" s="1"/>
      <c r="AAY380" s="1"/>
      <c r="AAZ380" s="1"/>
      <c r="ABA380" s="1"/>
      <c r="ABB380" s="1"/>
      <c r="ABC380" s="1"/>
      <c r="ABD380" s="1"/>
      <c r="ABE380" s="1"/>
      <c r="ABF380" s="1"/>
      <c r="ABG380" s="1"/>
      <c r="ABH380" s="1"/>
      <c r="ABI380" s="1"/>
      <c r="ABJ380" s="1"/>
      <c r="ABK380" s="1"/>
      <c r="ABL380" s="1"/>
      <c r="ABM380" s="1"/>
      <c r="ABN380" s="1"/>
      <c r="ABO380" s="1"/>
      <c r="ABP380" s="1"/>
      <c r="ABQ380" s="1"/>
      <c r="ABR380" s="1"/>
      <c r="ABS380" s="1"/>
      <c r="ABT380" s="1"/>
      <c r="ABU380" s="1"/>
      <c r="ABV380" s="1"/>
      <c r="ABW380" s="1"/>
      <c r="ABX380" s="1"/>
      <c r="ABY380" s="1"/>
      <c r="ABZ380" s="1"/>
      <c r="ACA380" s="1"/>
      <c r="ACB380" s="1"/>
      <c r="ACC380" s="1"/>
      <c r="ACD380" s="1"/>
      <c r="ACE380" s="1"/>
      <c r="ACF380" s="1"/>
      <c r="ACG380" s="1"/>
      <c r="ACH380" s="1"/>
      <c r="ACI380" s="1"/>
      <c r="ACJ380" s="1"/>
      <c r="ACK380" s="1"/>
      <c r="ACL380" s="1"/>
      <c r="ACM380" s="1"/>
      <c r="ACN380" s="1"/>
      <c r="ACO380" s="1"/>
      <c r="ACP380" s="1"/>
      <c r="ACQ380" s="1"/>
      <c r="ACR380" s="1"/>
      <c r="ACS380" s="1"/>
      <c r="ACT380" s="1"/>
      <c r="ACU380" s="1"/>
      <c r="ACV380" s="1"/>
      <c r="ACW380" s="1"/>
      <c r="ACX380" s="1"/>
      <c r="ACY380" s="1"/>
      <c r="ACZ380" s="1"/>
      <c r="ADA380" s="1"/>
      <c r="ADB380" s="1"/>
      <c r="ADC380" s="1"/>
      <c r="ADD380" s="1"/>
      <c r="ADE380" s="1"/>
      <c r="ADF380" s="1"/>
      <c r="ADG380" s="1"/>
      <c r="ADH380" s="1"/>
      <c r="ADI380" s="1"/>
      <c r="ADJ380" s="1"/>
      <c r="ADK380" s="1"/>
      <c r="ADL380" s="1"/>
      <c r="ADM380" s="1"/>
      <c r="ADN380" s="1"/>
      <c r="ADO380" s="1"/>
      <c r="ADP380" s="1"/>
      <c r="ADQ380" s="1"/>
      <c r="ADR380" s="1"/>
      <c r="ADS380" s="1"/>
      <c r="ADT380" s="1"/>
      <c r="ADU380" s="1"/>
      <c r="ADV380" s="1"/>
      <c r="ADW380" s="1"/>
      <c r="ADX380" s="1"/>
      <c r="ADY380" s="1"/>
      <c r="ADZ380" s="1"/>
      <c r="AEA380" s="1"/>
      <c r="AEB380" s="1"/>
      <c r="AEC380" s="1"/>
      <c r="AED380" s="1"/>
      <c r="AEE380" s="1"/>
      <c r="AEF380" s="1"/>
      <c r="AEG380" s="1"/>
      <c r="AEH380" s="1"/>
      <c r="AEI380" s="1"/>
      <c r="AEJ380" s="1"/>
      <c r="AEK380" s="1"/>
      <c r="AEL380" s="1"/>
      <c r="AEM380" s="1"/>
      <c r="AEN380" s="1"/>
      <c r="AEO380" s="1"/>
      <c r="AEP380" s="1"/>
      <c r="AEQ380" s="1"/>
      <c r="AER380" s="1"/>
      <c r="AES380" s="1"/>
      <c r="AET380" s="1"/>
      <c r="AEU380" s="1"/>
      <c r="AEV380" s="1"/>
      <c r="AEW380" s="1"/>
      <c r="AEX380" s="1"/>
      <c r="AEY380" s="1"/>
      <c r="AEZ380" s="1"/>
      <c r="AFA380" s="1"/>
      <c r="AFB380" s="1"/>
      <c r="AFC380" s="1"/>
      <c r="AFD380" s="1"/>
      <c r="AFE380" s="1"/>
      <c r="AFF380" s="1"/>
      <c r="AFG380" s="1"/>
      <c r="AFH380" s="1"/>
      <c r="AFI380" s="1"/>
      <c r="AFJ380" s="1"/>
      <c r="AFK380" s="1"/>
      <c r="AFL380" s="1"/>
      <c r="AFM380" s="1"/>
      <c r="AFN380" s="1"/>
      <c r="AFO380" s="1"/>
      <c r="AFP380" s="1"/>
      <c r="AFQ380" s="1"/>
      <c r="AFR380" s="1"/>
      <c r="AFS380" s="1"/>
      <c r="AFT380" s="1"/>
      <c r="AFU380" s="1"/>
      <c r="AFV380" s="1"/>
      <c r="AFW380" s="1"/>
      <c r="AFX380" s="1"/>
      <c r="AFY380" s="1"/>
      <c r="AFZ380" s="1"/>
      <c r="AGA380" s="1"/>
      <c r="AGB380" s="1"/>
      <c r="AGC380" s="1"/>
      <c r="AGD380" s="1"/>
      <c r="AGE380" s="1"/>
      <c r="AGF380" s="1"/>
      <c r="AGG380" s="1"/>
      <c r="AGH380" s="1"/>
      <c r="AGI380" s="1"/>
      <c r="AGJ380" s="1"/>
      <c r="AGK380" s="1"/>
      <c r="AGL380" s="1"/>
      <c r="AGM380" s="1"/>
      <c r="AGN380" s="1"/>
      <c r="AGO380" s="1"/>
      <c r="AGP380" s="1"/>
      <c r="AGQ380" s="1"/>
      <c r="AGR380" s="1"/>
      <c r="AGS380" s="1"/>
      <c r="AGT380" s="1"/>
      <c r="AGU380" s="1"/>
      <c r="AGV380" s="1"/>
      <c r="AGW380" s="1"/>
      <c r="AGX380" s="1"/>
      <c r="AGY380" s="1"/>
      <c r="AGZ380" s="1"/>
      <c r="AHA380" s="1"/>
      <c r="AHB380" s="1"/>
      <c r="AHC380" s="1"/>
      <c r="AHD380" s="1"/>
      <c r="AHE380" s="1"/>
      <c r="AHF380" s="1"/>
      <c r="AHG380" s="1"/>
      <c r="AHH380" s="1"/>
      <c r="AHI380" s="1"/>
      <c r="AHJ380" s="1"/>
      <c r="AHK380" s="1"/>
      <c r="AHL380" s="1"/>
      <c r="AHM380" s="1"/>
      <c r="AHN380" s="1"/>
      <c r="AHO380" s="1"/>
      <c r="AHP380" s="1"/>
      <c r="AHQ380" s="1"/>
      <c r="AHR380" s="1"/>
      <c r="AHS380" s="1"/>
      <c r="AHT380" s="1"/>
      <c r="AHU380" s="1"/>
      <c r="AHV380" s="1"/>
      <c r="AHW380" s="1"/>
      <c r="AHX380" s="1"/>
      <c r="AHY380" s="1"/>
      <c r="AHZ380" s="1"/>
      <c r="AIA380" s="1"/>
      <c r="AIB380" s="1"/>
      <c r="AIC380" s="1"/>
      <c r="AID380" s="1"/>
      <c r="AIE380" s="1"/>
      <c r="AIF380" s="1"/>
      <c r="AIG380" s="1"/>
      <c r="AIH380" s="1"/>
      <c r="AII380" s="1"/>
      <c r="AIJ380" s="1"/>
      <c r="AIK380" s="1"/>
      <c r="AIL380" s="1"/>
      <c r="AIM380" s="1"/>
      <c r="AIN380" s="1"/>
      <c r="AIO380" s="1"/>
      <c r="AIP380" s="1"/>
      <c r="AIQ380" s="1"/>
      <c r="AIR380" s="1"/>
      <c r="AIS380" s="1"/>
      <c r="AIT380" s="1"/>
      <c r="AIU380" s="1"/>
      <c r="AIV380" s="1"/>
      <c r="AIW380" s="1"/>
      <c r="AIX380" s="1"/>
      <c r="AIY380" s="1"/>
      <c r="AIZ380" s="1"/>
      <c r="AJA380" s="1"/>
      <c r="AJB380" s="1"/>
      <c r="AJC380" s="1"/>
      <c r="AJD380" s="1"/>
      <c r="AJE380" s="1"/>
      <c r="AJF380" s="1"/>
      <c r="AJG380" s="1"/>
      <c r="AJH380" s="1"/>
      <c r="AJI380" s="1"/>
      <c r="AJJ380" s="1"/>
      <c r="AJK380" s="1"/>
      <c r="AJL380" s="1"/>
      <c r="AJM380" s="1"/>
      <c r="AJN380" s="1"/>
      <c r="AJO380" s="1"/>
      <c r="AJP380" s="1"/>
      <c r="AJQ380" s="1"/>
      <c r="AJR380" s="1"/>
      <c r="AJS380" s="1"/>
      <c r="AJT380" s="1"/>
      <c r="AJU380" s="1"/>
      <c r="AJV380" s="1"/>
      <c r="AJW380" s="1"/>
      <c r="AJX380" s="1"/>
      <c r="AJY380" s="1"/>
      <c r="AJZ380" s="1"/>
      <c r="AKA380" s="1"/>
      <c r="AKB380" s="1"/>
      <c r="AKC380" s="1"/>
      <c r="AKD380" s="1"/>
      <c r="AKE380" s="1"/>
      <c r="AKF380" s="1"/>
      <c r="AKG380" s="1"/>
      <c r="AKH380" s="1"/>
      <c r="AKI380" s="1"/>
      <c r="AKJ380" s="1"/>
      <c r="AKK380" s="1"/>
      <c r="AKL380" s="1"/>
      <c r="AKM380" s="1"/>
      <c r="AKN380" s="1"/>
      <c r="AKO380" s="1"/>
      <c r="AKP380" s="1"/>
      <c r="AKQ380" s="1"/>
      <c r="AKR380" s="1"/>
      <c r="AKS380" s="1"/>
      <c r="AKT380" s="1"/>
      <c r="AKU380" s="1"/>
      <c r="AKV380" s="1"/>
      <c r="AKW380" s="1"/>
      <c r="AKX380" s="1"/>
      <c r="AKY380" s="1"/>
      <c r="AKZ380" s="1"/>
      <c r="ALA380" s="1"/>
      <c r="ALB380" s="1"/>
      <c r="ALC380" s="1"/>
      <c r="ALD380" s="1"/>
      <c r="ALE380" s="1"/>
      <c r="ALF380" s="1"/>
      <c r="ALG380" s="1"/>
      <c r="ALH380" s="1"/>
      <c r="ALI380" s="1"/>
      <c r="ALJ380" s="1"/>
      <c r="ALK380" s="1"/>
      <c r="ALL380" s="1"/>
      <c r="ALM380" s="1"/>
      <c r="ALN380" s="1"/>
      <c r="ALO380" s="1"/>
      <c r="ALP380" s="1"/>
      <c r="ALQ380" s="1"/>
      <c r="ALR380" s="1"/>
      <c r="ALS380" s="1"/>
      <c r="ALT380" s="1"/>
      <c r="ALU380" s="1"/>
      <c r="ALV380" s="1"/>
      <c r="ALW380" s="1"/>
      <c r="ALX380" s="1"/>
      <c r="ALY380" s="1"/>
      <c r="ALZ380" s="1"/>
      <c r="AMA380" s="1"/>
      <c r="AMB380" s="1"/>
      <c r="AMC380" s="1"/>
      <c r="AMD380" s="1"/>
      <c r="AME380" s="1"/>
      <c r="AMF380" s="1"/>
      <c r="AMG380" s="1"/>
      <c r="AMH380" s="1"/>
      <c r="AMI380" s="1"/>
      <c r="AMJ380" s="1"/>
      <c r="AMK380" s="1"/>
      <c r="AML380" s="1"/>
      <c r="AMM380" s="1"/>
      <c r="AMN380" s="1"/>
      <c r="AMO380" s="1"/>
    </row>
    <row r="381" spans="1:1029" x14ac:dyDescent="0.2">
      <c r="A381" s="3" t="str">
        <f>CONCATENATE(B381,"_",C381)</f>
        <v>s1pr1_human_3V2Y</v>
      </c>
      <c r="B381" s="3" t="s">
        <v>104</v>
      </c>
      <c r="C381" s="3" t="s">
        <v>94</v>
      </c>
      <c r="D381" s="3" t="str">
        <f>IFERROR(MID(VLOOKUP($B381,Seqs!$A:$B,2,0),E381,1),"")</f>
        <v>E</v>
      </c>
      <c r="E381" s="3">
        <v>42</v>
      </c>
      <c r="F381" s="3" t="str">
        <f>IFERROR(MID(VLOOKUP($B381,Seqs!$A:$B,2,0),G381,1),"")</f>
        <v>T</v>
      </c>
      <c r="G381" s="3">
        <v>73</v>
      </c>
      <c r="H381" s="3" t="str">
        <f>IFERROR(MID(VLOOKUP($B381,Seqs!$A:$B,2,0),I381,1),"")</f>
        <v>K</v>
      </c>
      <c r="I381" s="23">
        <v>74</v>
      </c>
      <c r="J381" s="3" t="str">
        <f>IFERROR(MID(VLOOKUP($B381,Seqs!$A:$B,2,0),K381,1),"")</f>
        <v>H</v>
      </c>
      <c r="K381" s="23">
        <v>77</v>
      </c>
      <c r="L381" s="3" t="str">
        <f>IFERROR(MID(VLOOKUP($B381,Seqs!$A:$B,2,0),M381,1),"")</f>
        <v>R</v>
      </c>
      <c r="M381" s="3">
        <v>78</v>
      </c>
      <c r="N381" s="3" t="str">
        <f>IFERROR(MID(VLOOKUP($B381,Seqs!$A:$B,2,0),O381,1),"")</f>
        <v>L</v>
      </c>
      <c r="O381" s="3">
        <v>104</v>
      </c>
      <c r="P381" s="3" t="str">
        <f>IFERROR(MID(VLOOKUP($B381,Seqs!$A:$B,2,0),Q381,1),"")</f>
        <v>G</v>
      </c>
      <c r="Q381" s="3">
        <v>106</v>
      </c>
      <c r="R381" s="3" t="str">
        <f>IFERROR(MID(VLOOKUP($B381,Seqs!$A:$B,2,0),S381,1),"")</f>
        <v>L</v>
      </c>
      <c r="S381" s="3">
        <v>112</v>
      </c>
      <c r="T381" s="3" t="str">
        <f>IFERROR(MID(VLOOKUP($B381,Seqs!$A:$B,2,0),U381,1),"")</f>
        <v>T</v>
      </c>
      <c r="U381" s="3">
        <v>113</v>
      </c>
      <c r="V381" s="3" t="str">
        <f>IFERROR(MID(VLOOKUP($B381,Seqs!$A:$B,2,0),W381,1),"")</f>
        <v>T</v>
      </c>
      <c r="W381" s="105">
        <v>145</v>
      </c>
      <c r="X381" s="3" t="str">
        <f>IFERROR(MID(VLOOKUP($B381,Seqs!$A:$B,2,0),Y381,1),"")</f>
        <v/>
      </c>
      <c r="Y381" s="3" t="s">
        <v>23</v>
      </c>
      <c r="Z381" s="3" t="str">
        <f>IFERROR(MID(VLOOKUP($B381,Seqs!$A:$B,2,0),AA381,1),"")</f>
        <v/>
      </c>
      <c r="AA381" s="3" t="s">
        <v>23</v>
      </c>
      <c r="AB381" s="3" t="str">
        <f>IFERROR(MID(VLOOKUP($B381,Seqs!$A:$B,2,0),AC381,1),"")</f>
        <v>N</v>
      </c>
      <c r="AC381" s="105">
        <v>156</v>
      </c>
      <c r="AD381" s="3" t="str">
        <f>IFERROR(MID(VLOOKUP($B381,Seqs!$A:$B,2,0),AE381,1),"")</f>
        <v>G</v>
      </c>
      <c r="AE381" s="3">
        <v>181</v>
      </c>
      <c r="AF381" s="3" t="str">
        <f>IFERROR(MID(VLOOKUP($B381,Seqs!$A:$B,2,0),AG381,1),"")</f>
        <v/>
      </c>
      <c r="AG381" s="3" t="s">
        <v>23</v>
      </c>
      <c r="AH381" s="3" t="str">
        <f>IFERROR(MID(VLOOKUP($B381,Seqs!$A:$B,2,0),AI381,1),"")</f>
        <v/>
      </c>
      <c r="AI381" s="3" t="s">
        <v>23</v>
      </c>
      <c r="AJ381" s="3" t="str">
        <f>IFERROR(MID(VLOOKUP($B381,Seqs!$A:$B,2,0),AK381,1),"")</f>
        <v>H</v>
      </c>
      <c r="AK381" s="3">
        <v>199</v>
      </c>
      <c r="AL381" s="3" t="str">
        <f>IFERROR(MID(VLOOKUP($B381,Seqs!$A:$B,2,0),AM381,1),"")</f>
        <v>R</v>
      </c>
      <c r="AM381" s="3">
        <v>231</v>
      </c>
      <c r="AN381" s="3" t="str">
        <f>IFERROR(MID(VLOOKUP($B381,Seqs!$A:$B,2,0),AO381,1),"")</f>
        <v>S</v>
      </c>
      <c r="AO381" s="3">
        <v>251</v>
      </c>
      <c r="AP381" s="3" t="str">
        <f>IFERROR(MID(VLOOKUP($B381,Seqs!$A:$B,2,0),AQ381,1),"")</f>
        <v>C</v>
      </c>
      <c r="AQ381" s="3">
        <v>282</v>
      </c>
      <c r="AR381" s="3" t="str">
        <f>IFERROR(MID(VLOOKUP($B381,Seqs!$A:$B,2,0),AS381,1),"")</f>
        <v>D</v>
      </c>
      <c r="AS381" s="3">
        <v>288</v>
      </c>
      <c r="AT381" s="3" t="str">
        <f>IFERROR(MID(VLOOKUP($B381,Seqs!$A:$B,2,0),AU381,1),"")</f>
        <v>T</v>
      </c>
      <c r="AU381" s="3">
        <v>314</v>
      </c>
      <c r="AV381" s="3" t="str">
        <f>IFERROR(MID(VLOOKUP($B381,Seqs!$A:$B,2,0),AW381,1),"")</f>
        <v>N</v>
      </c>
      <c r="AW381" s="3">
        <v>315</v>
      </c>
      <c r="AX381" s="3" t="str">
        <f>IFERROR(MID(VLOOKUP($B381,Seqs!$A:$B,2,0),AY381,1),"")</f>
        <v>I</v>
      </c>
      <c r="AY381" s="3">
        <v>323</v>
      </c>
      <c r="AZ381" s="77" t="str">
        <f>VLOOKUP(B381,Classification!A:D,2,0)</f>
        <v>A</v>
      </c>
      <c r="BA381" s="94" t="str">
        <f>VLOOKUP(B381,Classification!A:D,4,0)</f>
        <v>Lysophospholipid(S1P)</v>
      </c>
      <c r="BB381" s="27" t="b">
        <f t="shared" si="1114"/>
        <v>1</v>
      </c>
      <c r="BC381" s="23">
        <f t="shared" si="1113"/>
        <v>232</v>
      </c>
      <c r="BD381" s="2" t="s">
        <v>1370</v>
      </c>
      <c r="BE381" s="3" t="s">
        <v>1368</v>
      </c>
      <c r="BF381" s="118">
        <v>2.8</v>
      </c>
      <c r="BG381" s="49" t="s">
        <v>1371</v>
      </c>
      <c r="BH381" s="49" t="s">
        <v>1371</v>
      </c>
      <c r="BI381" s="1"/>
      <c r="BJ381" s="70" t="s">
        <v>1281</v>
      </c>
      <c r="BK381" s="57" t="s">
        <v>1281</v>
      </c>
      <c r="BL381" s="57" t="s">
        <v>1281</v>
      </c>
      <c r="BM381" s="57" t="s">
        <v>1281</v>
      </c>
      <c r="BN381" s="57" t="s">
        <v>1281</v>
      </c>
      <c r="BO381" s="57" t="s">
        <v>1281</v>
      </c>
      <c r="BP381" s="57" t="s">
        <v>1281</v>
      </c>
      <c r="BQ381" s="57" t="s">
        <v>1281</v>
      </c>
      <c r="BR381" s="57" t="s">
        <v>1281</v>
      </c>
      <c r="BS381" s="57" t="s">
        <v>1281</v>
      </c>
      <c r="BT381" s="57" t="s">
        <v>1281</v>
      </c>
      <c r="BU381" s="57" t="s">
        <v>1281</v>
      </c>
      <c r="BV381" s="70">
        <f>E381</f>
        <v>42</v>
      </c>
      <c r="BW381" s="71">
        <f>I381</f>
        <v>74</v>
      </c>
      <c r="BX381" s="72">
        <f>M381</f>
        <v>78</v>
      </c>
      <c r="BY381" s="71">
        <f>Q381</f>
        <v>106</v>
      </c>
      <c r="BZ381" s="72">
        <f>U381</f>
        <v>113</v>
      </c>
      <c r="CA381" s="71" t="str">
        <f>Y381</f>
        <v>-</v>
      </c>
      <c r="CB381" s="72">
        <f>AC381</f>
        <v>156</v>
      </c>
      <c r="CC381" s="71" t="str">
        <f>AG381</f>
        <v>-</v>
      </c>
      <c r="CD381" s="72">
        <f>AK381</f>
        <v>199</v>
      </c>
      <c r="CE381" s="71">
        <f>AO381</f>
        <v>251</v>
      </c>
      <c r="CF381" s="72">
        <f>AS381</f>
        <v>288</v>
      </c>
      <c r="CG381" s="71">
        <f>AW381</f>
        <v>315</v>
      </c>
      <c r="CH381" s="70">
        <f>G381</f>
        <v>73</v>
      </c>
      <c r="CI381" s="71">
        <f>K381</f>
        <v>77</v>
      </c>
      <c r="CJ381" s="72">
        <f>O381</f>
        <v>104</v>
      </c>
      <c r="CK381" s="72">
        <f>S381</f>
        <v>112</v>
      </c>
      <c r="CL381" s="72">
        <f>W381</f>
        <v>145</v>
      </c>
      <c r="CM381" s="72" t="str">
        <f>AA381</f>
        <v>-</v>
      </c>
      <c r="CN381" s="72">
        <f>AE381</f>
        <v>181</v>
      </c>
      <c r="CO381" s="72" t="str">
        <f>AI381</f>
        <v>-</v>
      </c>
      <c r="CP381" s="72">
        <f>AM381</f>
        <v>231</v>
      </c>
      <c r="CQ381" s="72">
        <f>AQ381</f>
        <v>282</v>
      </c>
      <c r="CR381" s="72">
        <f>AU381</f>
        <v>314</v>
      </c>
      <c r="CS381" s="72">
        <f>AY381</f>
        <v>323</v>
      </c>
      <c r="CT381" s="23">
        <f>M381-K381</f>
        <v>1</v>
      </c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  <c r="OU381" s="1"/>
      <c r="OV381" s="1"/>
      <c r="OW381" s="1"/>
      <c r="OX381" s="1"/>
      <c r="OY381" s="1"/>
      <c r="OZ381" s="1"/>
      <c r="PA381" s="1"/>
      <c r="PB381" s="1"/>
      <c r="PC381" s="1"/>
      <c r="PD381" s="1"/>
      <c r="PE381" s="1"/>
      <c r="PF381" s="1"/>
      <c r="PG381" s="1"/>
      <c r="PH381" s="1"/>
      <c r="PI381" s="1"/>
      <c r="PJ381" s="1"/>
      <c r="PK381" s="1"/>
      <c r="PL381" s="1"/>
      <c r="PM381" s="1"/>
      <c r="PN381" s="1"/>
      <c r="PO381" s="1"/>
      <c r="PP381" s="1"/>
      <c r="PQ381" s="1"/>
      <c r="PR381" s="1"/>
      <c r="PS381" s="1"/>
      <c r="PT381" s="1"/>
      <c r="PU381" s="1"/>
      <c r="PV381" s="1"/>
      <c r="PW381" s="1"/>
      <c r="PX381" s="1"/>
      <c r="PY381" s="1"/>
      <c r="PZ381" s="1"/>
      <c r="QA381" s="1"/>
      <c r="QB381" s="1"/>
      <c r="QC381" s="1"/>
      <c r="QD381" s="1"/>
      <c r="QE381" s="1"/>
      <c r="QF381" s="1"/>
      <c r="QG381" s="1"/>
      <c r="QH381" s="1"/>
      <c r="QI381" s="1"/>
      <c r="QJ381" s="1"/>
      <c r="QK381" s="1"/>
      <c r="QL381" s="1"/>
      <c r="QM381" s="1"/>
      <c r="QN381" s="1"/>
      <c r="QO381" s="1"/>
      <c r="QP381" s="1"/>
      <c r="QQ381" s="1"/>
      <c r="QR381" s="1"/>
      <c r="QS381" s="1"/>
      <c r="QT381" s="1"/>
      <c r="QU381" s="1"/>
      <c r="QV381" s="1"/>
      <c r="QW381" s="1"/>
      <c r="QX381" s="1"/>
      <c r="QY381" s="1"/>
      <c r="QZ381" s="1"/>
      <c r="RA381" s="1"/>
      <c r="RB381" s="1"/>
      <c r="RC381" s="1"/>
      <c r="RD381" s="1"/>
      <c r="RE381" s="1"/>
      <c r="RF381" s="1"/>
      <c r="RG381" s="1"/>
      <c r="RH381" s="1"/>
      <c r="RI381" s="1"/>
      <c r="RJ381" s="1"/>
      <c r="RK381" s="1"/>
      <c r="RL381" s="1"/>
      <c r="RM381" s="1"/>
      <c r="RN381" s="1"/>
      <c r="RO381" s="1"/>
      <c r="RP381" s="1"/>
      <c r="RQ381" s="1"/>
      <c r="RR381" s="1"/>
      <c r="RS381" s="1"/>
      <c r="RT381" s="1"/>
      <c r="RU381" s="1"/>
      <c r="RV381" s="1"/>
      <c r="RW381" s="1"/>
      <c r="RX381" s="1"/>
      <c r="RY381" s="1"/>
      <c r="RZ381" s="1"/>
      <c r="SA381" s="1"/>
      <c r="SB381" s="1"/>
      <c r="SC381" s="1"/>
      <c r="SD381" s="1"/>
      <c r="SE381" s="1"/>
      <c r="SF381" s="1"/>
      <c r="SG381" s="1"/>
      <c r="SH381" s="1"/>
      <c r="SI381" s="1"/>
      <c r="SJ381" s="1"/>
      <c r="SK381" s="1"/>
      <c r="SL381" s="1"/>
      <c r="SM381" s="1"/>
      <c r="SN381" s="1"/>
      <c r="SO381" s="1"/>
      <c r="SP381" s="1"/>
      <c r="SQ381" s="1"/>
      <c r="SR381" s="1"/>
      <c r="SS381" s="1"/>
      <c r="ST381" s="1"/>
      <c r="SU381" s="1"/>
      <c r="SV381" s="1"/>
      <c r="SW381" s="1"/>
      <c r="SX381" s="1"/>
      <c r="SY381" s="1"/>
      <c r="SZ381" s="1"/>
      <c r="TA381" s="1"/>
      <c r="TB381" s="1"/>
      <c r="TC381" s="1"/>
      <c r="TD381" s="1"/>
      <c r="TE381" s="1"/>
      <c r="TF381" s="1"/>
      <c r="TG381" s="1"/>
      <c r="TH381" s="1"/>
      <c r="TI381" s="1"/>
      <c r="TJ381" s="1"/>
      <c r="TK381" s="1"/>
      <c r="TL381" s="1"/>
      <c r="TM381" s="1"/>
      <c r="TN381" s="1"/>
      <c r="TO381" s="1"/>
      <c r="TP381" s="1"/>
      <c r="TQ381" s="1"/>
      <c r="TR381" s="1"/>
      <c r="TS381" s="1"/>
      <c r="TT381" s="1"/>
      <c r="TU381" s="1"/>
      <c r="TV381" s="1"/>
      <c r="TW381" s="1"/>
      <c r="TX381" s="1"/>
      <c r="TY381" s="1"/>
      <c r="TZ381" s="1"/>
      <c r="UA381" s="1"/>
      <c r="UB381" s="1"/>
      <c r="UC381" s="1"/>
      <c r="UD381" s="1"/>
      <c r="UE381" s="1"/>
      <c r="UF381" s="1"/>
      <c r="UG381" s="1"/>
      <c r="UH381" s="1"/>
      <c r="UI381" s="1"/>
      <c r="UJ381" s="1"/>
      <c r="UK381" s="1"/>
      <c r="UL381" s="1"/>
      <c r="UM381" s="1"/>
      <c r="UN381" s="1"/>
      <c r="UO381" s="1"/>
      <c r="UP381" s="1"/>
      <c r="UQ381" s="1"/>
      <c r="UR381" s="1"/>
      <c r="US381" s="1"/>
      <c r="UT381" s="1"/>
      <c r="UU381" s="1"/>
      <c r="UV381" s="1"/>
      <c r="UW381" s="1"/>
      <c r="UX381" s="1"/>
      <c r="UY381" s="1"/>
      <c r="UZ381" s="1"/>
      <c r="VA381" s="1"/>
      <c r="VB381" s="1"/>
      <c r="VC381" s="1"/>
      <c r="VD381" s="1"/>
      <c r="VE381" s="1"/>
      <c r="VF381" s="1"/>
      <c r="VG381" s="1"/>
      <c r="VH381" s="1"/>
      <c r="VI381" s="1"/>
      <c r="VJ381" s="1"/>
      <c r="VK381" s="1"/>
      <c r="VL381" s="1"/>
      <c r="VM381" s="1"/>
      <c r="VN381" s="1"/>
      <c r="VO381" s="1"/>
      <c r="VP381" s="1"/>
      <c r="VQ381" s="1"/>
      <c r="VR381" s="1"/>
      <c r="VS381" s="1"/>
      <c r="VT381" s="1"/>
      <c r="VU381" s="1"/>
      <c r="VV381" s="1"/>
      <c r="VW381" s="1"/>
      <c r="VX381" s="1"/>
      <c r="VY381" s="1"/>
      <c r="VZ381" s="1"/>
      <c r="WA381" s="1"/>
      <c r="WB381" s="1"/>
      <c r="WC381" s="1"/>
      <c r="WD381" s="1"/>
      <c r="WE381" s="1"/>
      <c r="WF381" s="1"/>
      <c r="WG381" s="1"/>
      <c r="WH381" s="1"/>
      <c r="WI381" s="1"/>
      <c r="WJ381" s="1"/>
      <c r="WK381" s="1"/>
      <c r="WL381" s="1"/>
      <c r="WM381" s="1"/>
      <c r="WN381" s="1"/>
      <c r="WO381" s="1"/>
      <c r="WP381" s="1"/>
      <c r="WQ381" s="1"/>
      <c r="WR381" s="1"/>
      <c r="WS381" s="1"/>
      <c r="WT381" s="1"/>
      <c r="WU381" s="1"/>
      <c r="WV381" s="1"/>
      <c r="WW381" s="1"/>
      <c r="WX381" s="1"/>
      <c r="WY381" s="1"/>
      <c r="WZ381" s="1"/>
      <c r="XA381" s="1"/>
      <c r="XB381" s="1"/>
      <c r="XC381" s="1"/>
      <c r="XD381" s="1"/>
      <c r="XE381" s="1"/>
      <c r="XF381" s="1"/>
      <c r="XG381" s="1"/>
      <c r="XH381" s="1"/>
      <c r="XI381" s="1"/>
      <c r="XJ381" s="1"/>
      <c r="XK381" s="1"/>
      <c r="XL381" s="1"/>
      <c r="XM381" s="1"/>
      <c r="XN381" s="1"/>
      <c r="XO381" s="1"/>
      <c r="XP381" s="1"/>
      <c r="XQ381" s="1"/>
      <c r="XR381" s="1"/>
      <c r="XS381" s="1"/>
      <c r="XT381" s="1"/>
      <c r="XU381" s="1"/>
      <c r="XV381" s="1"/>
      <c r="XW381" s="1"/>
      <c r="XX381" s="1"/>
      <c r="XY381" s="1"/>
      <c r="XZ381" s="1"/>
      <c r="YA381" s="1"/>
      <c r="YB381" s="1"/>
      <c r="YC381" s="1"/>
      <c r="YD381" s="1"/>
      <c r="YE381" s="1"/>
      <c r="YF381" s="1"/>
      <c r="YG381" s="1"/>
      <c r="YH381" s="1"/>
      <c r="YI381" s="1"/>
      <c r="YJ381" s="1"/>
      <c r="YK381" s="1"/>
      <c r="YL381" s="1"/>
      <c r="YM381" s="1"/>
      <c r="YN381" s="1"/>
      <c r="YO381" s="1"/>
      <c r="YP381" s="1"/>
      <c r="YQ381" s="1"/>
      <c r="YR381" s="1"/>
      <c r="YS381" s="1"/>
      <c r="YT381" s="1"/>
      <c r="YU381" s="1"/>
      <c r="YV381" s="1"/>
      <c r="YW381" s="1"/>
      <c r="YX381" s="1"/>
      <c r="YY381" s="1"/>
      <c r="YZ381" s="1"/>
      <c r="ZA381" s="1"/>
      <c r="ZB381" s="1"/>
      <c r="ZC381" s="1"/>
      <c r="ZD381" s="1"/>
      <c r="ZE381" s="1"/>
      <c r="ZF381" s="1"/>
      <c r="ZG381" s="1"/>
      <c r="ZH381" s="1"/>
      <c r="ZI381" s="1"/>
      <c r="ZJ381" s="1"/>
      <c r="ZK381" s="1"/>
      <c r="ZL381" s="1"/>
      <c r="ZM381" s="1"/>
      <c r="ZN381" s="1"/>
      <c r="ZO381" s="1"/>
      <c r="ZP381" s="1"/>
      <c r="ZQ381" s="1"/>
      <c r="ZR381" s="1"/>
      <c r="ZS381" s="1"/>
      <c r="ZT381" s="1"/>
      <c r="ZU381" s="1"/>
      <c r="ZV381" s="1"/>
      <c r="ZW381" s="1"/>
      <c r="ZX381" s="1"/>
      <c r="ZY381" s="1"/>
      <c r="ZZ381" s="1"/>
      <c r="AAA381" s="1"/>
      <c r="AAB381" s="1"/>
      <c r="AAC381" s="1"/>
      <c r="AAD381" s="1"/>
      <c r="AAE381" s="1"/>
      <c r="AAF381" s="1"/>
      <c r="AAG381" s="1"/>
      <c r="AAH381" s="1"/>
      <c r="AAI381" s="1"/>
      <c r="AAJ381" s="1"/>
      <c r="AAK381" s="1"/>
      <c r="AAL381" s="1"/>
      <c r="AAM381" s="1"/>
      <c r="AAN381" s="1"/>
      <c r="AAO381" s="1"/>
      <c r="AAP381" s="1"/>
      <c r="AAQ381" s="1"/>
      <c r="AAR381" s="1"/>
      <c r="AAS381" s="1"/>
      <c r="AAT381" s="1"/>
      <c r="AAU381" s="1"/>
      <c r="AAV381" s="1"/>
      <c r="AAW381" s="1"/>
      <c r="AAX381" s="1"/>
      <c r="AAY381" s="1"/>
      <c r="AAZ381" s="1"/>
      <c r="ABA381" s="1"/>
      <c r="ABB381" s="1"/>
      <c r="ABC381" s="1"/>
      <c r="ABD381" s="1"/>
      <c r="ABE381" s="1"/>
      <c r="ABF381" s="1"/>
      <c r="ABG381" s="1"/>
      <c r="ABH381" s="1"/>
      <c r="ABI381" s="1"/>
      <c r="ABJ381" s="1"/>
      <c r="ABK381" s="1"/>
      <c r="ABL381" s="1"/>
      <c r="ABM381" s="1"/>
      <c r="ABN381" s="1"/>
      <c r="ABO381" s="1"/>
      <c r="ABP381" s="1"/>
      <c r="ABQ381" s="1"/>
      <c r="ABR381" s="1"/>
      <c r="ABS381" s="1"/>
      <c r="ABT381" s="1"/>
      <c r="ABU381" s="1"/>
      <c r="ABV381" s="1"/>
      <c r="ABW381" s="1"/>
      <c r="ABX381" s="1"/>
      <c r="ABY381" s="1"/>
      <c r="ABZ381" s="1"/>
      <c r="ACA381" s="1"/>
      <c r="ACB381" s="1"/>
      <c r="ACC381" s="1"/>
      <c r="ACD381" s="1"/>
      <c r="ACE381" s="1"/>
      <c r="ACF381" s="1"/>
      <c r="ACG381" s="1"/>
      <c r="ACH381" s="1"/>
      <c r="ACI381" s="1"/>
      <c r="ACJ381" s="1"/>
      <c r="ACK381" s="1"/>
      <c r="ACL381" s="1"/>
      <c r="ACM381" s="1"/>
      <c r="ACN381" s="1"/>
      <c r="ACO381" s="1"/>
      <c r="ACP381" s="1"/>
      <c r="ACQ381" s="1"/>
      <c r="ACR381" s="1"/>
      <c r="ACS381" s="1"/>
      <c r="ACT381" s="1"/>
      <c r="ACU381" s="1"/>
      <c r="ACV381" s="1"/>
      <c r="ACW381" s="1"/>
      <c r="ACX381" s="1"/>
      <c r="ACY381" s="1"/>
      <c r="ACZ381" s="1"/>
      <c r="ADA381" s="1"/>
      <c r="ADB381" s="1"/>
      <c r="ADC381" s="1"/>
      <c r="ADD381" s="1"/>
      <c r="ADE381" s="1"/>
      <c r="ADF381" s="1"/>
      <c r="ADG381" s="1"/>
      <c r="ADH381" s="1"/>
      <c r="ADI381" s="1"/>
      <c r="ADJ381" s="1"/>
      <c r="ADK381" s="1"/>
      <c r="ADL381" s="1"/>
      <c r="ADM381" s="1"/>
      <c r="ADN381" s="1"/>
      <c r="ADO381" s="1"/>
      <c r="ADP381" s="1"/>
      <c r="ADQ381" s="1"/>
      <c r="ADR381" s="1"/>
      <c r="ADS381" s="1"/>
      <c r="ADT381" s="1"/>
      <c r="ADU381" s="1"/>
      <c r="ADV381" s="1"/>
      <c r="ADW381" s="1"/>
      <c r="ADX381" s="1"/>
      <c r="ADY381" s="1"/>
      <c r="ADZ381" s="1"/>
      <c r="AEA381" s="1"/>
      <c r="AEB381" s="1"/>
      <c r="AEC381" s="1"/>
      <c r="AED381" s="1"/>
      <c r="AEE381" s="1"/>
      <c r="AEF381" s="1"/>
      <c r="AEG381" s="1"/>
      <c r="AEH381" s="1"/>
      <c r="AEI381" s="1"/>
      <c r="AEJ381" s="1"/>
      <c r="AEK381" s="1"/>
      <c r="AEL381" s="1"/>
      <c r="AEM381" s="1"/>
      <c r="AEN381" s="1"/>
      <c r="AEO381" s="1"/>
      <c r="AEP381" s="1"/>
      <c r="AEQ381" s="1"/>
      <c r="AER381" s="1"/>
      <c r="AES381" s="1"/>
      <c r="AET381" s="1"/>
      <c r="AEU381" s="1"/>
      <c r="AEV381" s="1"/>
      <c r="AEW381" s="1"/>
      <c r="AEX381" s="1"/>
      <c r="AEY381" s="1"/>
      <c r="AEZ381" s="1"/>
      <c r="AFA381" s="1"/>
      <c r="AFB381" s="1"/>
      <c r="AFC381" s="1"/>
      <c r="AFD381" s="1"/>
      <c r="AFE381" s="1"/>
      <c r="AFF381" s="1"/>
      <c r="AFG381" s="1"/>
      <c r="AFH381" s="1"/>
      <c r="AFI381" s="1"/>
      <c r="AFJ381" s="1"/>
      <c r="AFK381" s="1"/>
      <c r="AFL381" s="1"/>
      <c r="AFM381" s="1"/>
      <c r="AFN381" s="1"/>
      <c r="AFO381" s="1"/>
      <c r="AFP381" s="1"/>
      <c r="AFQ381" s="1"/>
      <c r="AFR381" s="1"/>
      <c r="AFS381" s="1"/>
      <c r="AFT381" s="1"/>
      <c r="AFU381" s="1"/>
      <c r="AFV381" s="1"/>
      <c r="AFW381" s="1"/>
      <c r="AFX381" s="1"/>
      <c r="AFY381" s="1"/>
      <c r="AFZ381" s="1"/>
      <c r="AGA381" s="1"/>
      <c r="AGB381" s="1"/>
      <c r="AGC381" s="1"/>
      <c r="AGD381" s="1"/>
      <c r="AGE381" s="1"/>
      <c r="AGF381" s="1"/>
      <c r="AGG381" s="1"/>
      <c r="AGH381" s="1"/>
      <c r="AGI381" s="1"/>
      <c r="AGJ381" s="1"/>
      <c r="AGK381" s="1"/>
      <c r="AGL381" s="1"/>
      <c r="AGM381" s="1"/>
      <c r="AGN381" s="1"/>
      <c r="AGO381" s="1"/>
      <c r="AGP381" s="1"/>
      <c r="AGQ381" s="1"/>
      <c r="AGR381" s="1"/>
      <c r="AGS381" s="1"/>
      <c r="AGT381" s="1"/>
      <c r="AGU381" s="1"/>
      <c r="AGV381" s="1"/>
      <c r="AGW381" s="1"/>
      <c r="AGX381" s="1"/>
      <c r="AGY381" s="1"/>
      <c r="AGZ381" s="1"/>
      <c r="AHA381" s="1"/>
      <c r="AHB381" s="1"/>
      <c r="AHC381" s="1"/>
      <c r="AHD381" s="1"/>
      <c r="AHE381" s="1"/>
      <c r="AHF381" s="1"/>
      <c r="AHG381" s="1"/>
      <c r="AHH381" s="1"/>
      <c r="AHI381" s="1"/>
      <c r="AHJ381" s="1"/>
      <c r="AHK381" s="1"/>
      <c r="AHL381" s="1"/>
      <c r="AHM381" s="1"/>
      <c r="AHN381" s="1"/>
      <c r="AHO381" s="1"/>
      <c r="AHP381" s="1"/>
      <c r="AHQ381" s="1"/>
      <c r="AHR381" s="1"/>
      <c r="AHS381" s="1"/>
      <c r="AHT381" s="1"/>
      <c r="AHU381" s="1"/>
      <c r="AHV381" s="1"/>
      <c r="AHW381" s="1"/>
      <c r="AHX381" s="1"/>
      <c r="AHY381" s="1"/>
      <c r="AHZ381" s="1"/>
      <c r="AIA381" s="1"/>
      <c r="AIB381" s="1"/>
      <c r="AIC381" s="1"/>
      <c r="AID381" s="1"/>
      <c r="AIE381" s="1"/>
      <c r="AIF381" s="1"/>
      <c r="AIG381" s="1"/>
      <c r="AIH381" s="1"/>
      <c r="AII381" s="1"/>
      <c r="AIJ381" s="1"/>
      <c r="AIK381" s="1"/>
      <c r="AIL381" s="1"/>
      <c r="AIM381" s="1"/>
      <c r="AIN381" s="1"/>
      <c r="AIO381" s="1"/>
      <c r="AIP381" s="1"/>
      <c r="AIQ381" s="1"/>
      <c r="AIR381" s="1"/>
      <c r="AIS381" s="1"/>
      <c r="AIT381" s="1"/>
      <c r="AIU381" s="1"/>
      <c r="AIV381" s="1"/>
      <c r="AIW381" s="1"/>
      <c r="AIX381" s="1"/>
      <c r="AIY381" s="1"/>
      <c r="AIZ381" s="1"/>
      <c r="AJA381" s="1"/>
      <c r="AJB381" s="1"/>
      <c r="AJC381" s="1"/>
      <c r="AJD381" s="1"/>
      <c r="AJE381" s="1"/>
      <c r="AJF381" s="1"/>
      <c r="AJG381" s="1"/>
      <c r="AJH381" s="1"/>
      <c r="AJI381" s="1"/>
      <c r="AJJ381" s="1"/>
      <c r="AJK381" s="1"/>
      <c r="AJL381" s="1"/>
      <c r="AJM381" s="1"/>
      <c r="AJN381" s="1"/>
      <c r="AJO381" s="1"/>
      <c r="AJP381" s="1"/>
      <c r="AJQ381" s="1"/>
      <c r="AJR381" s="1"/>
      <c r="AJS381" s="1"/>
      <c r="AJT381" s="1"/>
      <c r="AJU381" s="1"/>
      <c r="AJV381" s="1"/>
      <c r="AJW381" s="1"/>
      <c r="AJX381" s="1"/>
      <c r="AJY381" s="1"/>
      <c r="AJZ381" s="1"/>
      <c r="AKA381" s="1"/>
      <c r="AKB381" s="1"/>
      <c r="AKC381" s="1"/>
      <c r="AKD381" s="1"/>
      <c r="AKE381" s="1"/>
      <c r="AKF381" s="1"/>
      <c r="AKG381" s="1"/>
      <c r="AKH381" s="1"/>
      <c r="AKI381" s="1"/>
      <c r="AKJ381" s="1"/>
      <c r="AKK381" s="1"/>
      <c r="AKL381" s="1"/>
      <c r="AKM381" s="1"/>
      <c r="AKN381" s="1"/>
      <c r="AKO381" s="1"/>
      <c r="AKP381" s="1"/>
      <c r="AKQ381" s="1"/>
      <c r="AKR381" s="1"/>
      <c r="AKS381" s="1"/>
      <c r="AKT381" s="1"/>
      <c r="AKU381" s="1"/>
      <c r="AKV381" s="1"/>
      <c r="AKW381" s="1"/>
      <c r="AKX381" s="1"/>
      <c r="AKY381" s="1"/>
      <c r="AKZ381" s="1"/>
      <c r="ALA381" s="1"/>
      <c r="ALB381" s="1"/>
      <c r="ALC381" s="1"/>
      <c r="ALD381" s="1"/>
      <c r="ALE381" s="1"/>
      <c r="ALF381" s="1"/>
      <c r="ALG381" s="1"/>
      <c r="ALH381" s="1"/>
      <c r="ALI381" s="1"/>
      <c r="ALJ381" s="1"/>
      <c r="ALK381" s="1"/>
      <c r="ALL381" s="1"/>
      <c r="ALM381" s="1"/>
      <c r="ALN381" s="1"/>
      <c r="ALO381" s="1"/>
      <c r="ALP381" s="1"/>
      <c r="ALQ381" s="1"/>
      <c r="ALR381" s="1"/>
      <c r="ALS381" s="1"/>
      <c r="ALT381" s="1"/>
      <c r="ALU381" s="1"/>
      <c r="ALV381" s="1"/>
      <c r="ALW381" s="1"/>
      <c r="ALX381" s="1"/>
      <c r="ALY381" s="1"/>
      <c r="ALZ381" s="1"/>
      <c r="AMA381" s="1"/>
      <c r="AMB381" s="1"/>
      <c r="AMC381" s="1"/>
      <c r="AMD381" s="1"/>
      <c r="AME381" s="1"/>
      <c r="AMF381" s="1"/>
      <c r="AMG381" s="1"/>
      <c r="AMH381" s="1"/>
      <c r="AMI381" s="1"/>
      <c r="AMJ381" s="1"/>
      <c r="AMK381" s="1"/>
      <c r="AML381" s="1"/>
      <c r="AMM381" s="1"/>
      <c r="AMN381" s="1"/>
      <c r="AMO381" s="1"/>
    </row>
    <row r="382" spans="1:1029" s="12" customFormat="1" x14ac:dyDescent="0.2">
      <c r="A382" s="9" t="str">
        <f>CONCATENATE(B382,"_",C382)</f>
        <v>sucr1_rat__wt</v>
      </c>
      <c r="B382" s="9" t="s">
        <v>1591</v>
      </c>
      <c r="C382" s="9" t="s">
        <v>100</v>
      </c>
      <c r="D382" s="9" t="str">
        <f>IFERROR(MID(VLOOKUP($B382,Seqs!$A:$B,2,0),E382,1),"")</f>
        <v>C</v>
      </c>
      <c r="E382" s="9">
        <v>7</v>
      </c>
      <c r="F382" s="9" t="str">
        <f>IFERROR(MID(VLOOKUP($B382,Seqs!$A:$B,2,0),G382,1),"")</f>
        <v>M</v>
      </c>
      <c r="G382" s="9">
        <v>48</v>
      </c>
      <c r="H382" s="9" t="str">
        <f>IFERROR(MID(VLOOKUP($B382,Seqs!$A:$B,2,0),I382,1),"")</f>
        <v/>
      </c>
      <c r="I382" s="109" t="s">
        <v>23</v>
      </c>
      <c r="J382" s="9" t="str">
        <f>IFERROR(MID(VLOOKUP($B382,Seqs!$A:$B,2,0),K382,1),"")</f>
        <v/>
      </c>
      <c r="K382" s="109" t="s">
        <v>23</v>
      </c>
      <c r="L382" s="9" t="str">
        <f>IFERROR(MID(VLOOKUP($B382,Seqs!$A:$B,2,0),M382,1),"")</f>
        <v>N</v>
      </c>
      <c r="M382" s="9">
        <v>52</v>
      </c>
      <c r="N382" s="9" t="str">
        <f>IFERROR(MID(VLOOKUP($B382,Seqs!$A:$B,2,0),O382,1),"")</f>
        <v>G</v>
      </c>
      <c r="O382" s="9">
        <v>82</v>
      </c>
      <c r="P382" s="9" t="str">
        <f>IFERROR(MID(VLOOKUP($B382,Seqs!$A:$B,2,0),Q382,1),"")</f>
        <v>N</v>
      </c>
      <c r="Q382" s="9">
        <v>83</v>
      </c>
      <c r="R382" s="9" t="str">
        <f>IFERROR(MID(VLOOKUP($B382,Seqs!$A:$B,2,0),S382,1),"")</f>
        <v>Y</v>
      </c>
      <c r="S382" s="9">
        <v>86</v>
      </c>
      <c r="T382" s="9" t="str">
        <f>IFERROR(MID(VLOOKUP($B382,Seqs!$A:$B,2,0),U382,1),"")</f>
        <v>G</v>
      </c>
      <c r="U382" s="9">
        <v>87</v>
      </c>
      <c r="V382" s="9" t="str">
        <f>IFERROR(MID(VLOOKUP($B382,Seqs!$A:$B,2,0),W382,1),"")</f>
        <v>F</v>
      </c>
      <c r="W382" s="9">
        <v>122</v>
      </c>
      <c r="X382" s="9" t="str">
        <f>IFERROR(MID(VLOOKUP($B382,Seqs!$A:$B,2,0),Y382,1),"")</f>
        <v>P</v>
      </c>
      <c r="Y382" s="9">
        <v>123</v>
      </c>
      <c r="Z382" s="9" t="str">
        <f>IFERROR(MID(VLOOKUP($B382,Seqs!$A:$B,2,0),AA382,1),"")</f>
        <v>Q</v>
      </c>
      <c r="AA382" s="9">
        <v>130</v>
      </c>
      <c r="AB382" s="9" t="str">
        <f>IFERROR(MID(VLOOKUP($B382,Seqs!$A:$B,2,0),AC382,1),"")</f>
        <v>K</v>
      </c>
      <c r="AC382" s="9">
        <v>131</v>
      </c>
      <c r="AD382" s="9" t="str">
        <f>IFERROR(MID(VLOOKUP($B382,Seqs!$A:$B,2,0),AE382,1),"")</f>
        <v>T</v>
      </c>
      <c r="AE382" s="9">
        <v>160</v>
      </c>
      <c r="AF382" s="9" t="str">
        <f>IFERROR(MID(VLOOKUP($B382,Seqs!$A:$B,2,0),AG382,1),"")</f>
        <v>C</v>
      </c>
      <c r="AG382" s="9">
        <v>168</v>
      </c>
      <c r="AH382" s="9" t="str">
        <f>IFERROR(MID(VLOOKUP($B382,Seqs!$A:$B,2,0),AI382,1),"")</f>
        <v>D</v>
      </c>
      <c r="AI382" s="9">
        <v>170</v>
      </c>
      <c r="AJ382" s="9" t="str">
        <f>IFERROR(MID(VLOOKUP($B382,Seqs!$A:$B,2,0),AK382,1),"")</f>
        <v>N</v>
      </c>
      <c r="AK382" s="9">
        <v>176</v>
      </c>
      <c r="AL382" s="9" t="str">
        <f>IFERROR(MID(VLOOKUP($B382,Seqs!$A:$B,2,0),AM382,1),"")</f>
        <v>R</v>
      </c>
      <c r="AM382" s="9">
        <v>213</v>
      </c>
      <c r="AN382" s="9" t="str">
        <f>IFERROR(MID(VLOOKUP($B382,Seqs!$A:$B,2,0),AO382,1),"")</f>
        <v>Q</v>
      </c>
      <c r="AO382" s="9">
        <v>217</v>
      </c>
      <c r="AP382" s="9" t="str">
        <f>IFERROR(MID(VLOOKUP($B382,Seqs!$A:$B,2,0),AQ382,1),"")</f>
        <v>L</v>
      </c>
      <c r="AQ382" s="9">
        <v>256</v>
      </c>
      <c r="AR382" s="9" t="str">
        <f>IFERROR(MID(VLOOKUP($B382,Seqs!$A:$B,2,0),AS382,1),"")</f>
        <v>C</v>
      </c>
      <c r="AS382" s="9">
        <v>263</v>
      </c>
      <c r="AT382" s="9" t="str">
        <f>IFERROR(MID(VLOOKUP($B382,Seqs!$A:$B,2,0),AU382,1),"")</f>
        <v>V</v>
      </c>
      <c r="AU382" s="9">
        <v>293</v>
      </c>
      <c r="AV382" s="9" t="str">
        <f>IFERROR(MID(VLOOKUP($B382,Seqs!$A:$B,2,0),AW382,1),"")</f>
        <v>G</v>
      </c>
      <c r="AW382" s="9">
        <v>294</v>
      </c>
      <c r="AX382" s="9" t="str">
        <f>IFERROR(MID(VLOOKUP($B382,Seqs!$A:$B,2,0),AY382,1),"")</f>
        <v>L</v>
      </c>
      <c r="AY382" s="9">
        <v>312</v>
      </c>
      <c r="AZ382" s="110" t="str">
        <f>VLOOKUP(B382,Classification!A:D,2,0)</f>
        <v>A</v>
      </c>
      <c r="BA382" s="98" t="str">
        <f>VLOOKUP(B382,Classification!A:D,4,0)</f>
        <v>Succinate</v>
      </c>
      <c r="BB382" s="36" t="b">
        <f t="shared" ref="BB382:BB383" si="1165">AND(E382&lt;G382,OR(G382&lt;I382,I382="-"),OR(I382&lt;K382,I382="-"),OR(K382&lt;M382,K382="-"),M382&lt;O382,OR(O382&lt;Q382,Q382="-"),OR(Q382&lt;S382,Q382="-"),OR(S382&lt;U382,S382="-"),U382&lt;W382,OR(W382&lt;Y382,Y382="-"),OR(Y382&lt;AA382,Y382="-"),OR(AA382&lt;AC382,AA382="-"),AC382&lt;AE382,OR(AE382&lt;AG382,AG382="-"),OR(AG382&lt;AI382,AG382="-"),OR(AI382&lt;AK382,AI382="-"),AK382&lt;AM382,AM382&lt;AO382,AO382&lt;AQ382,AQ382&lt;AS382,AS382&lt;AU382,OR(AU382&lt;AW382,AW382="-"),OR(AW382&lt;AY382,AW382="-"))</f>
        <v>1</v>
      </c>
      <c r="BC382" s="109">
        <f t="shared" ref="BC382:BC383" si="1166">_xlfn.AGGREGATE(9,6,CH382:CS382)-_xlfn.AGGREGATE(9,6,BV382:CG382)+12</f>
        <v>283</v>
      </c>
      <c r="BD382" s="40" t="s">
        <v>23</v>
      </c>
      <c r="BE382" s="9" t="s">
        <v>23</v>
      </c>
      <c r="BF382" s="119" t="s">
        <v>23</v>
      </c>
      <c r="BG382" s="51" t="s">
        <v>1371</v>
      </c>
      <c r="BH382" s="51" t="s">
        <v>1371</v>
      </c>
      <c r="BJ382" s="111" t="s">
        <v>1281</v>
      </c>
      <c r="BK382" s="112" t="s">
        <v>1281</v>
      </c>
      <c r="BL382" s="112" t="s">
        <v>1281</v>
      </c>
      <c r="BM382" s="112" t="s">
        <v>1281</v>
      </c>
      <c r="BN382" s="112" t="s">
        <v>1281</v>
      </c>
      <c r="BO382" s="112" t="s">
        <v>1281</v>
      </c>
      <c r="BP382" s="112" t="s">
        <v>1281</v>
      </c>
      <c r="BQ382" s="112" t="s">
        <v>1281</v>
      </c>
      <c r="BR382" s="112" t="s">
        <v>1281</v>
      </c>
      <c r="BS382" s="112" t="s">
        <v>1281</v>
      </c>
      <c r="BT382" s="112" t="s">
        <v>1281</v>
      </c>
      <c r="BU382" s="112" t="s">
        <v>1281</v>
      </c>
      <c r="BV382" s="111">
        <f>E382</f>
        <v>7</v>
      </c>
      <c r="BW382" s="113" t="str">
        <f>I382</f>
        <v>-</v>
      </c>
      <c r="BX382" s="114">
        <f>M382</f>
        <v>52</v>
      </c>
      <c r="BY382" s="113">
        <f>Q382</f>
        <v>83</v>
      </c>
      <c r="BZ382" s="114">
        <f>U382</f>
        <v>87</v>
      </c>
      <c r="CA382" s="113">
        <f>Y382</f>
        <v>123</v>
      </c>
      <c r="CB382" s="114">
        <f>AC382</f>
        <v>131</v>
      </c>
      <c r="CC382" s="113">
        <f>AG382</f>
        <v>168</v>
      </c>
      <c r="CD382" s="114">
        <f>AK382</f>
        <v>176</v>
      </c>
      <c r="CE382" s="113">
        <f>AO382</f>
        <v>217</v>
      </c>
      <c r="CF382" s="114">
        <f>AS382</f>
        <v>263</v>
      </c>
      <c r="CG382" s="113">
        <f>AW382</f>
        <v>294</v>
      </c>
      <c r="CH382" s="111">
        <f>G382</f>
        <v>48</v>
      </c>
      <c r="CI382" s="113" t="str">
        <f>K382</f>
        <v>-</v>
      </c>
      <c r="CJ382" s="114">
        <f>O382</f>
        <v>82</v>
      </c>
      <c r="CK382" s="114">
        <f>S382</f>
        <v>86</v>
      </c>
      <c r="CL382" s="114">
        <f>W382</f>
        <v>122</v>
      </c>
      <c r="CM382" s="114">
        <f>AA382</f>
        <v>130</v>
      </c>
      <c r="CN382" s="114">
        <f>AE382</f>
        <v>160</v>
      </c>
      <c r="CO382" s="114">
        <f>AI382</f>
        <v>170</v>
      </c>
      <c r="CP382" s="114">
        <f>AM382</f>
        <v>213</v>
      </c>
      <c r="CQ382" s="114">
        <f>AQ382</f>
        <v>256</v>
      </c>
      <c r="CR382" s="114">
        <f>AU382</f>
        <v>293</v>
      </c>
      <c r="CS382" s="114">
        <f>AY382</f>
        <v>312</v>
      </c>
      <c r="CT382" s="109" t="e">
        <f>M382-K382</f>
        <v>#VALUE!</v>
      </c>
    </row>
    <row r="383" spans="1:1029" s="12" customFormat="1" x14ac:dyDescent="0.2">
      <c r="A383" s="9" t="str">
        <f>CONCATENATE(B383,"_",C383)</f>
        <v>sucr1_rat_6IBB</v>
      </c>
      <c r="B383" s="9" t="s">
        <v>1591</v>
      </c>
      <c r="C383" s="9" t="s">
        <v>1592</v>
      </c>
      <c r="D383" s="9" t="str">
        <f>IFERROR(MID(VLOOKUP($B383,Seqs!$A:$B,2,0),E383,1),"")</f>
        <v>C</v>
      </c>
      <c r="E383" s="9">
        <v>7</v>
      </c>
      <c r="F383" s="9" t="str">
        <f>IFERROR(MID(VLOOKUP($B383,Seqs!$A:$B,2,0),G383,1),"")</f>
        <v>M</v>
      </c>
      <c r="G383" s="9">
        <v>48</v>
      </c>
      <c r="H383" s="9" t="str">
        <f>IFERROR(MID(VLOOKUP($B383,Seqs!$A:$B,2,0),I383,1),"")</f>
        <v/>
      </c>
      <c r="I383" s="109" t="s">
        <v>23</v>
      </c>
      <c r="J383" s="9" t="str">
        <f>IFERROR(MID(VLOOKUP($B383,Seqs!$A:$B,2,0),K383,1),"")</f>
        <v/>
      </c>
      <c r="K383" s="109" t="s">
        <v>23</v>
      </c>
      <c r="L383" s="9" t="str">
        <f>IFERROR(MID(VLOOKUP($B383,Seqs!$A:$B,2,0),M383,1),"")</f>
        <v>N</v>
      </c>
      <c r="M383" s="9">
        <v>52</v>
      </c>
      <c r="N383" s="9" t="str">
        <f>IFERROR(MID(VLOOKUP($B383,Seqs!$A:$B,2,0),O383,1),"")</f>
        <v>T</v>
      </c>
      <c r="O383" s="9">
        <v>81</v>
      </c>
      <c r="P383" s="9" t="str">
        <f>IFERROR(MID(VLOOKUP($B383,Seqs!$A:$B,2,0),Q383,1),"")</f>
        <v>N</v>
      </c>
      <c r="Q383" s="9">
        <v>83</v>
      </c>
      <c r="R383" s="9" t="str">
        <f>IFERROR(MID(VLOOKUP($B383,Seqs!$A:$B,2,0),S383,1),"")</f>
        <v>Y</v>
      </c>
      <c r="S383" s="9">
        <v>86</v>
      </c>
      <c r="T383" s="9" t="str">
        <f>IFERROR(MID(VLOOKUP($B383,Seqs!$A:$B,2,0),U383,1),"")</f>
        <v>G</v>
      </c>
      <c r="U383" s="9">
        <v>87</v>
      </c>
      <c r="V383" s="9" t="str">
        <f>IFERROR(MID(VLOOKUP($B383,Seqs!$A:$B,2,0),W383,1),"")</f>
        <v>F</v>
      </c>
      <c r="W383" s="9">
        <v>122</v>
      </c>
      <c r="X383" s="9" t="str">
        <f>IFERROR(MID(VLOOKUP($B383,Seqs!$A:$B,2,0),Y383,1),"")</f>
        <v/>
      </c>
      <c r="Y383" s="9" t="s">
        <v>23</v>
      </c>
      <c r="Z383" s="9" t="str">
        <f>IFERROR(MID(VLOOKUP($B383,Seqs!$A:$B,2,0),AA383,1),"")</f>
        <v/>
      </c>
      <c r="AA383" s="9" t="s">
        <v>23</v>
      </c>
      <c r="AB383" s="9" t="str">
        <f>IFERROR(MID(VLOOKUP($B383,Seqs!$A:$B,2,0),AC383,1),"")</f>
        <v>K</v>
      </c>
      <c r="AC383" s="9">
        <v>131</v>
      </c>
      <c r="AD383" s="9" t="str">
        <f>IFERROR(MID(VLOOKUP($B383,Seqs!$A:$B,2,0),AE383,1),"")</f>
        <v>I</v>
      </c>
      <c r="AE383" s="9">
        <v>157</v>
      </c>
      <c r="AF383" s="9" t="str">
        <f>IFERROR(MID(VLOOKUP($B383,Seqs!$A:$B,2,0),AG383,1),"")</f>
        <v>C</v>
      </c>
      <c r="AG383" s="9">
        <v>168</v>
      </c>
      <c r="AH383" s="9" t="str">
        <f>IFERROR(MID(VLOOKUP($B383,Seqs!$A:$B,2,0),AI383,1),"")</f>
        <v>D</v>
      </c>
      <c r="AI383" s="9">
        <v>170</v>
      </c>
      <c r="AJ383" s="9" t="str">
        <f>IFERROR(MID(VLOOKUP($B383,Seqs!$A:$B,2,0),AK383,1),"")</f>
        <v>N</v>
      </c>
      <c r="AK383" s="9">
        <v>176</v>
      </c>
      <c r="AL383" s="9" t="str">
        <f>IFERROR(MID(VLOOKUP($B383,Seqs!$A:$B,2,0),AM383,1),"")</f>
        <v>R</v>
      </c>
      <c r="AM383" s="9">
        <v>213</v>
      </c>
      <c r="AN383" s="9" t="str">
        <f>IFERROR(MID(VLOOKUP($B383,Seqs!$A:$B,2,0),AO383,1),"")</f>
        <v>L</v>
      </c>
      <c r="AO383" s="9">
        <v>227</v>
      </c>
      <c r="AP383" s="9" t="str">
        <f>IFERROR(MID(VLOOKUP($B383,Seqs!$A:$B,2,0),AQ383,1),"")</f>
        <v>L</v>
      </c>
      <c r="AQ383" s="9">
        <v>256</v>
      </c>
      <c r="AR383" s="9" t="str">
        <f>IFERROR(MID(VLOOKUP($B383,Seqs!$A:$B,2,0),AS383,1),"")</f>
        <v>C</v>
      </c>
      <c r="AS383" s="9">
        <v>263</v>
      </c>
      <c r="AT383" s="9" t="str">
        <f>IFERROR(MID(VLOOKUP($B383,Seqs!$A:$B,2,0),AU383,1),"")</f>
        <v>Y</v>
      </c>
      <c r="AU383" s="9">
        <v>290</v>
      </c>
      <c r="AV383" s="9" t="str">
        <f>IFERROR(MID(VLOOKUP($B383,Seqs!$A:$B,2,0),AW383,1),"")</f>
        <v>H</v>
      </c>
      <c r="AW383" s="9">
        <v>296</v>
      </c>
      <c r="AX383" s="9" t="str">
        <f>IFERROR(MID(VLOOKUP($B383,Seqs!$A:$B,2,0),AY383,1),"")</f>
        <v>L</v>
      </c>
      <c r="AY383" s="9">
        <v>312</v>
      </c>
      <c r="AZ383" s="110" t="str">
        <f>VLOOKUP(B383,Classification!A:D,2,0)</f>
        <v>A</v>
      </c>
      <c r="BA383" s="98" t="str">
        <f>VLOOKUP(B383,Classification!A:D,4,0)</f>
        <v>Succinate</v>
      </c>
      <c r="BB383" s="36" t="b">
        <f t="shared" si="1165"/>
        <v>1</v>
      </c>
      <c r="BC383" s="109">
        <f t="shared" si="1166"/>
        <v>257</v>
      </c>
      <c r="BD383" s="40" t="s">
        <v>23</v>
      </c>
      <c r="BE383" s="9" t="s">
        <v>1285</v>
      </c>
      <c r="BF383" s="119">
        <v>2.12</v>
      </c>
      <c r="BG383" s="51" t="s">
        <v>1</v>
      </c>
      <c r="BH383" s="51" t="s">
        <v>1</v>
      </c>
      <c r="BJ383" s="111" t="s">
        <v>1281</v>
      </c>
      <c r="BK383" s="112" t="s">
        <v>1281</v>
      </c>
      <c r="BL383" s="112" t="s">
        <v>1281</v>
      </c>
      <c r="BM383" s="112" t="s">
        <v>1281</v>
      </c>
      <c r="BN383" s="112" t="s">
        <v>1281</v>
      </c>
      <c r="BO383" s="112" t="s">
        <v>1281</v>
      </c>
      <c r="BP383" s="112" t="s">
        <v>1281</v>
      </c>
      <c r="BQ383" s="112" t="s">
        <v>1281</v>
      </c>
      <c r="BR383" s="112" t="s">
        <v>1281</v>
      </c>
      <c r="BS383" s="112" t="s">
        <v>1281</v>
      </c>
      <c r="BT383" s="112" t="s">
        <v>1281</v>
      </c>
      <c r="BU383" s="112" t="s">
        <v>1281</v>
      </c>
      <c r="BV383" s="111">
        <f>E383</f>
        <v>7</v>
      </c>
      <c r="BW383" s="113" t="str">
        <f>I383</f>
        <v>-</v>
      </c>
      <c r="BX383" s="114">
        <f>M383</f>
        <v>52</v>
      </c>
      <c r="BY383" s="113">
        <f>Q383</f>
        <v>83</v>
      </c>
      <c r="BZ383" s="114">
        <f>U383</f>
        <v>87</v>
      </c>
      <c r="CA383" s="113" t="str">
        <f>Y383</f>
        <v>-</v>
      </c>
      <c r="CB383" s="114">
        <f>AC383</f>
        <v>131</v>
      </c>
      <c r="CC383" s="113">
        <f>AG383</f>
        <v>168</v>
      </c>
      <c r="CD383" s="114">
        <f>AK383</f>
        <v>176</v>
      </c>
      <c r="CE383" s="113">
        <f>AO383</f>
        <v>227</v>
      </c>
      <c r="CF383" s="114">
        <f>AS383</f>
        <v>263</v>
      </c>
      <c r="CG383" s="113">
        <f>AW383</f>
        <v>296</v>
      </c>
      <c r="CH383" s="111">
        <f>G383</f>
        <v>48</v>
      </c>
      <c r="CI383" s="113" t="str">
        <f>K383</f>
        <v>-</v>
      </c>
      <c r="CJ383" s="114">
        <f>O383</f>
        <v>81</v>
      </c>
      <c r="CK383" s="114">
        <f>S383</f>
        <v>86</v>
      </c>
      <c r="CL383" s="114">
        <f>W383</f>
        <v>122</v>
      </c>
      <c r="CM383" s="114" t="str">
        <f>AA383</f>
        <v>-</v>
      </c>
      <c r="CN383" s="114">
        <f>AE383</f>
        <v>157</v>
      </c>
      <c r="CO383" s="114">
        <f>AI383</f>
        <v>170</v>
      </c>
      <c r="CP383" s="114">
        <f>AM383</f>
        <v>213</v>
      </c>
      <c r="CQ383" s="114">
        <f>AQ383</f>
        <v>256</v>
      </c>
      <c r="CR383" s="114">
        <f>AU383</f>
        <v>290</v>
      </c>
      <c r="CS383" s="114">
        <f>AY383</f>
        <v>312</v>
      </c>
      <c r="CT383" s="109" t="e">
        <f>M383-K383</f>
        <v>#VALUE!</v>
      </c>
    </row>
    <row r="384" spans="1:1029" s="12" customFormat="1" x14ac:dyDescent="0.2">
      <c r="A384" s="9" t="str">
        <f>CONCATENATE(B384,"_",C384)</f>
        <v>sucr1_rat_6RNK</v>
      </c>
      <c r="B384" s="9" t="s">
        <v>1591</v>
      </c>
      <c r="C384" s="9" t="s">
        <v>1594</v>
      </c>
      <c r="D384" s="9" t="str">
        <f>IFERROR(MID(VLOOKUP($B384,Seqs!$A:$B,2,0),E384,1),"")</f>
        <v>C</v>
      </c>
      <c r="E384" s="9">
        <v>7</v>
      </c>
      <c r="F384" s="9" t="str">
        <f>IFERROR(MID(VLOOKUP($B384,Seqs!$A:$B,2,0),G384,1),"")</f>
        <v>M</v>
      </c>
      <c r="G384" s="9">
        <v>48</v>
      </c>
      <c r="H384" s="9" t="str">
        <f>IFERROR(MID(VLOOKUP($B384,Seqs!$A:$B,2,0),I384,1),"")</f>
        <v/>
      </c>
      <c r="I384" s="109" t="s">
        <v>23</v>
      </c>
      <c r="J384" s="9" t="str">
        <f>IFERROR(MID(VLOOKUP($B384,Seqs!$A:$B,2,0),K384,1),"")</f>
        <v/>
      </c>
      <c r="K384" s="109" t="s">
        <v>23</v>
      </c>
      <c r="L384" s="9" t="str">
        <f>IFERROR(MID(VLOOKUP($B384,Seqs!$A:$B,2,0),M384,1),"")</f>
        <v>N</v>
      </c>
      <c r="M384" s="9">
        <v>52</v>
      </c>
      <c r="N384" s="9" t="str">
        <f>IFERROR(MID(VLOOKUP($B384,Seqs!$A:$B,2,0),O384,1),"")</f>
        <v>G</v>
      </c>
      <c r="O384" s="9">
        <v>82</v>
      </c>
      <c r="P384" s="9" t="str">
        <f>IFERROR(MID(VLOOKUP($B384,Seqs!$A:$B,2,0),Q384,1),"")</f>
        <v>N</v>
      </c>
      <c r="Q384" s="9">
        <v>83</v>
      </c>
      <c r="R384" s="9" t="str">
        <f>IFERROR(MID(VLOOKUP($B384,Seqs!$A:$B,2,0),S384,1),"")</f>
        <v>Y</v>
      </c>
      <c r="S384" s="9">
        <v>86</v>
      </c>
      <c r="T384" s="9" t="str">
        <f>IFERROR(MID(VLOOKUP($B384,Seqs!$A:$B,2,0),U384,1),"")</f>
        <v>G</v>
      </c>
      <c r="U384" s="9">
        <v>87</v>
      </c>
      <c r="V384" s="9" t="str">
        <f>IFERROR(MID(VLOOKUP($B384,Seqs!$A:$B,2,0),W384,1),"")</f>
        <v>F</v>
      </c>
      <c r="W384" s="9">
        <v>122</v>
      </c>
      <c r="X384" s="9" t="str">
        <f>IFERROR(MID(VLOOKUP($B384,Seqs!$A:$B,2,0),Y384,1),"")</f>
        <v/>
      </c>
      <c r="Y384" s="9" t="s">
        <v>23</v>
      </c>
      <c r="Z384" s="9" t="str">
        <f>IFERROR(MID(VLOOKUP($B384,Seqs!$A:$B,2,0),AA384,1),"")</f>
        <v/>
      </c>
      <c r="AA384" s="9" t="s">
        <v>23</v>
      </c>
      <c r="AB384" s="9" t="str">
        <f>IFERROR(MID(VLOOKUP($B384,Seqs!$A:$B,2,0),AC384,1),"")</f>
        <v>K</v>
      </c>
      <c r="AC384" s="9">
        <v>131</v>
      </c>
      <c r="AD384" s="9" t="str">
        <f>IFERROR(MID(VLOOKUP($B384,Seqs!$A:$B,2,0),AE384,1),"")</f>
        <v>T</v>
      </c>
      <c r="AE384" s="9">
        <v>160</v>
      </c>
      <c r="AF384" s="9" t="str">
        <f>IFERROR(MID(VLOOKUP($B384,Seqs!$A:$B,2,0),AG384,1),"")</f>
        <v>C</v>
      </c>
      <c r="AG384" s="9">
        <v>168</v>
      </c>
      <c r="AH384" s="9" t="str">
        <f>IFERROR(MID(VLOOKUP($B384,Seqs!$A:$B,2,0),AI384,1),"")</f>
        <v>D</v>
      </c>
      <c r="AI384" s="9">
        <v>170</v>
      </c>
      <c r="AJ384" s="9" t="str">
        <f>IFERROR(MID(VLOOKUP($B384,Seqs!$A:$B,2,0),AK384,1),"")</f>
        <v>N</v>
      </c>
      <c r="AK384" s="9">
        <v>176</v>
      </c>
      <c r="AL384" s="9" t="str">
        <f>IFERROR(MID(VLOOKUP($B384,Seqs!$A:$B,2,0),AM384,1),"")</f>
        <v>S</v>
      </c>
      <c r="AM384" s="9">
        <v>214</v>
      </c>
      <c r="AN384" s="9" t="str">
        <f>IFERROR(MID(VLOOKUP($B384,Seqs!$A:$B,2,0),AO384,1),"")</f>
        <v>N</v>
      </c>
      <c r="AO384" s="9">
        <v>224</v>
      </c>
      <c r="AP384" s="9" t="str">
        <f>IFERROR(MID(VLOOKUP($B384,Seqs!$A:$B,2,0),AQ384,1),"")</f>
        <v>L</v>
      </c>
      <c r="AQ384" s="9">
        <v>256</v>
      </c>
      <c r="AR384" s="9" t="str">
        <f>IFERROR(MID(VLOOKUP($B384,Seqs!$A:$B,2,0),AS384,1),"")</f>
        <v>G</v>
      </c>
      <c r="AS384" s="9">
        <v>262</v>
      </c>
      <c r="AT384" s="9" t="str">
        <f>IFERROR(MID(VLOOKUP($B384,Seqs!$A:$B,2,0),AU384,1),"")</f>
        <v>Y</v>
      </c>
      <c r="AU384" s="9">
        <v>290</v>
      </c>
      <c r="AV384" s="9" t="str">
        <f>IFERROR(MID(VLOOKUP($B384,Seqs!$A:$B,2,0),AW384,1),"")</f>
        <v>H</v>
      </c>
      <c r="AW384" s="9">
        <v>296</v>
      </c>
      <c r="AX384" s="9" t="str">
        <f>IFERROR(MID(VLOOKUP($B384,Seqs!$A:$B,2,0),AY384,1),"")</f>
        <v>L</v>
      </c>
      <c r="AY384" s="9">
        <v>305</v>
      </c>
      <c r="AZ384" s="110" t="str">
        <f>VLOOKUP(B384,Classification!A:D,2,0)</f>
        <v>A</v>
      </c>
      <c r="BA384" s="98" t="str">
        <f>VLOOKUP(B384,Classification!A:D,4,0)</f>
        <v>Succinate</v>
      </c>
      <c r="BB384" s="36" t="b">
        <f t="shared" ref="BB384" si="1167">AND(E384&lt;G384,OR(G384&lt;I384,I384="-"),OR(I384&lt;K384,I384="-"),OR(K384&lt;M384,K384="-"),M384&lt;O384,OR(O384&lt;Q384,Q384="-"),OR(Q384&lt;S384,Q384="-"),OR(S384&lt;U384,S384="-"),U384&lt;W384,OR(W384&lt;Y384,Y384="-"),OR(Y384&lt;AA384,Y384="-"),OR(AA384&lt;AC384,AA384="-"),AC384&lt;AE384,OR(AE384&lt;AG384,AG384="-"),OR(AG384&lt;AI384,AG384="-"),OR(AI384&lt;AK384,AI384="-"),AK384&lt;AM384,AM384&lt;AO384,AO384&lt;AQ384,AQ384&lt;AS384,AS384&lt;AU384,OR(AU384&lt;AW384,AW384="-"),OR(AW384&lt;AY384,AW384="-"))</f>
        <v>1</v>
      </c>
      <c r="BC384" s="109">
        <f t="shared" ref="BC384" si="1168">_xlfn.AGGREGATE(9,6,CH384:CS384)-_xlfn.AGGREGATE(9,6,BV384:CG384)+12</f>
        <v>259</v>
      </c>
      <c r="BD384" s="40" t="s">
        <v>1369</v>
      </c>
      <c r="BE384" s="9" t="s">
        <v>1285</v>
      </c>
      <c r="BF384" s="119">
        <v>1.94</v>
      </c>
      <c r="BG384" s="51" t="s">
        <v>1</v>
      </c>
      <c r="BH384" s="51" t="s">
        <v>1</v>
      </c>
      <c r="BJ384" s="111" t="s">
        <v>1281</v>
      </c>
      <c r="BK384" s="112" t="s">
        <v>1281</v>
      </c>
      <c r="BL384" s="112" t="s">
        <v>1281</v>
      </c>
      <c r="BM384" s="112" t="s">
        <v>1281</v>
      </c>
      <c r="BN384" s="112" t="s">
        <v>1281</v>
      </c>
      <c r="BO384" s="112" t="s">
        <v>1281</v>
      </c>
      <c r="BP384" s="112" t="s">
        <v>1281</v>
      </c>
      <c r="BQ384" s="112" t="s">
        <v>1281</v>
      </c>
      <c r="BR384" s="112" t="s">
        <v>1281</v>
      </c>
      <c r="BS384" s="112" t="s">
        <v>1281</v>
      </c>
      <c r="BT384" s="112" t="s">
        <v>1281</v>
      </c>
      <c r="BU384" s="112" t="s">
        <v>1281</v>
      </c>
      <c r="BV384" s="111">
        <f>E384</f>
        <v>7</v>
      </c>
      <c r="BW384" s="113" t="str">
        <f>I384</f>
        <v>-</v>
      </c>
      <c r="BX384" s="114">
        <f>M384</f>
        <v>52</v>
      </c>
      <c r="BY384" s="113">
        <f>Q384</f>
        <v>83</v>
      </c>
      <c r="BZ384" s="114">
        <f>U384</f>
        <v>87</v>
      </c>
      <c r="CA384" s="113" t="str">
        <f>Y384</f>
        <v>-</v>
      </c>
      <c r="CB384" s="114">
        <f>AC384</f>
        <v>131</v>
      </c>
      <c r="CC384" s="113">
        <f>AG384</f>
        <v>168</v>
      </c>
      <c r="CD384" s="114">
        <f>AK384</f>
        <v>176</v>
      </c>
      <c r="CE384" s="113">
        <f>AO384</f>
        <v>224</v>
      </c>
      <c r="CF384" s="114">
        <f>AS384</f>
        <v>262</v>
      </c>
      <c r="CG384" s="113">
        <f>AW384</f>
        <v>296</v>
      </c>
      <c r="CH384" s="111">
        <f>G384</f>
        <v>48</v>
      </c>
      <c r="CI384" s="113" t="str">
        <f>K384</f>
        <v>-</v>
      </c>
      <c r="CJ384" s="114">
        <f>O384</f>
        <v>82</v>
      </c>
      <c r="CK384" s="114">
        <f>S384</f>
        <v>86</v>
      </c>
      <c r="CL384" s="114">
        <f>W384</f>
        <v>122</v>
      </c>
      <c r="CM384" s="114" t="str">
        <f>AA384</f>
        <v>-</v>
      </c>
      <c r="CN384" s="114">
        <f>AE384</f>
        <v>160</v>
      </c>
      <c r="CO384" s="114">
        <f>AI384</f>
        <v>170</v>
      </c>
      <c r="CP384" s="114">
        <f>AM384</f>
        <v>214</v>
      </c>
      <c r="CQ384" s="114">
        <f>AQ384</f>
        <v>256</v>
      </c>
      <c r="CR384" s="114">
        <f>AU384</f>
        <v>290</v>
      </c>
      <c r="CS384" s="114">
        <f>AY384</f>
        <v>305</v>
      </c>
      <c r="CT384" s="109" t="e">
        <f>M384-K384</f>
        <v>#VALUE!</v>
      </c>
    </row>
    <row r="385" spans="1:1030" x14ac:dyDescent="0.2">
      <c r="A385" s="3" t="str">
        <f>CONCATENATE(B385,"_",C385)</f>
        <v>us28_hcmva__wt</v>
      </c>
      <c r="B385" s="3" t="s">
        <v>917</v>
      </c>
      <c r="C385" s="3" t="s">
        <v>100</v>
      </c>
      <c r="D385" s="3" t="str">
        <f>IFERROR(MID(VLOOKUP($B385,Seqs!$A:$B,2,0),E385,1),"")</f>
        <v>F</v>
      </c>
      <c r="E385" s="105">
        <v>25</v>
      </c>
      <c r="F385" s="3" t="str">
        <f>IFERROR(MID(VLOOKUP($B385,Seqs!$A:$B,2,0),G385,1),"")</f>
        <v>R</v>
      </c>
      <c r="G385" s="3">
        <v>61</v>
      </c>
      <c r="H385" s="3" t="str">
        <f>IFERROR(MID(VLOOKUP($B385,Seqs!$A:$B,2,0),I385,1),"")</f>
        <v>R</v>
      </c>
      <c r="I385" s="23">
        <v>62</v>
      </c>
      <c r="J385" s="3" t="str">
        <f>IFERROR(MID(VLOOKUP($B385,Seqs!$A:$B,2,0),K385,1),"")</f>
        <v>Q</v>
      </c>
      <c r="K385" s="23">
        <v>65</v>
      </c>
      <c r="L385" s="3" t="str">
        <f>IFERROR(MID(VLOOKUP($B385,Seqs!$A:$B,2,0),M385,1),"")</f>
        <v>C</v>
      </c>
      <c r="M385" s="3">
        <v>66</v>
      </c>
      <c r="N385" s="3" t="str">
        <f>IFERROR(MID(VLOOKUP($B385,Seqs!$A:$B,2,0),O385,1),"")</f>
        <v>D</v>
      </c>
      <c r="O385" s="3">
        <v>95</v>
      </c>
      <c r="P385" s="3" t="str">
        <f>IFERROR(MID(VLOOKUP($B385,Seqs!$A:$B,2,0),Q385,1),"")</f>
        <v/>
      </c>
      <c r="Q385" s="3" t="s">
        <v>23</v>
      </c>
      <c r="R385" s="3" t="str">
        <f>IFERROR(MID(VLOOKUP($B385,Seqs!$A:$B,2,0),S385,1),"")</f>
        <v/>
      </c>
      <c r="S385" s="3" t="s">
        <v>23</v>
      </c>
      <c r="T385" s="3" t="str">
        <f>IFERROR(MID(VLOOKUP($B385,Seqs!$A:$B,2,0),U385,1),"")</f>
        <v>A</v>
      </c>
      <c r="U385" s="105">
        <v>100</v>
      </c>
      <c r="V385" s="3" t="str">
        <f>IFERROR(MID(VLOOKUP($B385,Seqs!$A:$B,2,0),W385,1),"")</f>
        <v>V</v>
      </c>
      <c r="W385" s="105">
        <v>134</v>
      </c>
      <c r="X385" s="3" t="str">
        <f>IFERROR(MID(VLOOKUP($B385,Seqs!$A:$B,2,0),Y385,1),"")</f>
        <v/>
      </c>
      <c r="Y385" s="3" t="s">
        <v>23</v>
      </c>
      <c r="Z385" s="3" t="str">
        <f>IFERROR(MID(VLOOKUP($B385,Seqs!$A:$B,2,0),AA385,1),"")</f>
        <v/>
      </c>
      <c r="AA385" s="3" t="s">
        <v>23</v>
      </c>
      <c r="AB385" s="3" t="str">
        <f>IFERROR(MID(VLOOKUP($B385,Seqs!$A:$B,2,0),AC385,1),"")</f>
        <v>P</v>
      </c>
      <c r="AC385" s="9">
        <v>140</v>
      </c>
      <c r="AD385" s="3" t="str">
        <f>IFERROR(MID(VLOOKUP($B385,Seqs!$A:$B,2,0),AE385,1),"")</f>
        <v>M</v>
      </c>
      <c r="AE385" s="105">
        <v>164</v>
      </c>
      <c r="AF385" s="3" t="str">
        <f>IFERROR(MID(VLOOKUP($B385,Seqs!$A:$B,2,0),AG385,1),"")</f>
        <v>C</v>
      </c>
      <c r="AG385" s="3">
        <v>173</v>
      </c>
      <c r="AH385" s="3" t="str">
        <f>IFERROR(MID(VLOOKUP($B385,Seqs!$A:$B,2,0),AI385,1),"")</f>
        <v>T</v>
      </c>
      <c r="AI385" s="3">
        <v>175</v>
      </c>
      <c r="AJ385" s="3" t="str">
        <f>IFERROR(MID(VLOOKUP($B385,Seqs!$A:$B,2,0),AK385,1),"")</f>
        <v>S</v>
      </c>
      <c r="AK385" s="105">
        <v>183</v>
      </c>
      <c r="AL385" s="3" t="str">
        <f>IFERROR(MID(VLOOKUP($B385,Seqs!$A:$B,2,0),AM385,1),"")</f>
        <v>S</v>
      </c>
      <c r="AM385" s="3">
        <v>218</v>
      </c>
      <c r="AN385" s="3" t="str">
        <f>IFERROR(MID(VLOOKUP($B385,Seqs!$A:$B,2,0),AO385,1),"")</f>
        <v>H</v>
      </c>
      <c r="AO385" s="3">
        <v>222</v>
      </c>
      <c r="AP385" s="3" t="str">
        <f>IFERROR(MID(VLOOKUP($B385,Seqs!$A:$B,2,0),AQ385,1),"")</f>
        <v>K</v>
      </c>
      <c r="AQ385" s="3">
        <v>257</v>
      </c>
      <c r="AR385" s="3" t="str">
        <f>IFERROR(MID(VLOOKUP($B385,Seqs!$A:$B,2,0),AS385,1),"")</f>
        <v>S</v>
      </c>
      <c r="AS385" s="3">
        <v>262</v>
      </c>
      <c r="AT385" s="3" t="str">
        <f>IFERROR(MID(VLOOKUP($B385,Seqs!$A:$B,2,0),AU385,1),"")</f>
        <v>V</v>
      </c>
      <c r="AU385" s="3">
        <v>294</v>
      </c>
      <c r="AV385" s="3" t="str">
        <f>IFERROR(MID(VLOOKUP($B385,Seqs!$A:$B,2,0),AW385,1),"")</f>
        <v>G</v>
      </c>
      <c r="AW385" s="3">
        <v>295</v>
      </c>
      <c r="AX385" s="3" t="str">
        <f>IFERROR(MID(VLOOKUP($B385,Seqs!$A:$B,2,0),AY385,1),"")</f>
        <v>R</v>
      </c>
      <c r="AY385" s="3">
        <v>310</v>
      </c>
      <c r="AZ385" s="77" t="str">
        <f>VLOOKUP(B385,Classification!A:D,2,0)</f>
        <v>A</v>
      </c>
      <c r="BA385" s="94" t="str">
        <f>VLOOKUP(B385,Classification!A:D,4,0)</f>
        <v>Chemokine</v>
      </c>
      <c r="BB385" s="27" t="b">
        <f t="shared" si="1114"/>
        <v>1</v>
      </c>
      <c r="BC385" s="23">
        <f t="shared" si="1113"/>
        <v>257</v>
      </c>
      <c r="BD385" s="56" t="s">
        <v>23</v>
      </c>
      <c r="BE385" s="3" t="s">
        <v>23</v>
      </c>
      <c r="BF385" s="118" t="s">
        <v>23</v>
      </c>
      <c r="BG385" s="49" t="s">
        <v>1366</v>
      </c>
      <c r="BH385" s="49" t="s">
        <v>1371</v>
      </c>
      <c r="BI385" s="1"/>
      <c r="BJ385" s="70" t="s">
        <v>1281</v>
      </c>
      <c r="BK385" s="57" t="s">
        <v>1281</v>
      </c>
      <c r="BL385" s="57" t="s">
        <v>1281</v>
      </c>
      <c r="BM385" s="57" t="s">
        <v>1281</v>
      </c>
      <c r="BN385" s="57" t="s">
        <v>1281</v>
      </c>
      <c r="BO385" s="57" t="s">
        <v>1281</v>
      </c>
      <c r="BP385" s="57" t="s">
        <v>1281</v>
      </c>
      <c r="BQ385" s="57" t="s">
        <v>1281</v>
      </c>
      <c r="BR385" s="57" t="s">
        <v>1281</v>
      </c>
      <c r="BS385" s="57" t="s">
        <v>1281</v>
      </c>
      <c r="BT385" s="57" t="s">
        <v>1281</v>
      </c>
      <c r="BU385" s="57" t="s">
        <v>1281</v>
      </c>
      <c r="BV385" s="70">
        <f>E385</f>
        <v>25</v>
      </c>
      <c r="BW385" s="71">
        <f>I385</f>
        <v>62</v>
      </c>
      <c r="BX385" s="72">
        <f>M385</f>
        <v>66</v>
      </c>
      <c r="BY385" s="71" t="str">
        <f>Q385</f>
        <v>-</v>
      </c>
      <c r="BZ385" s="72">
        <f>U385</f>
        <v>100</v>
      </c>
      <c r="CA385" s="71" t="str">
        <f>Y385</f>
        <v>-</v>
      </c>
      <c r="CB385" s="72">
        <f>AC385</f>
        <v>140</v>
      </c>
      <c r="CC385" s="71">
        <f>AG385</f>
        <v>173</v>
      </c>
      <c r="CD385" s="72">
        <f>AK385</f>
        <v>183</v>
      </c>
      <c r="CE385" s="71">
        <f>AO385</f>
        <v>222</v>
      </c>
      <c r="CF385" s="72">
        <f>AS385</f>
        <v>262</v>
      </c>
      <c r="CG385" s="71">
        <f>AW385</f>
        <v>295</v>
      </c>
      <c r="CH385" s="70">
        <f>G385</f>
        <v>61</v>
      </c>
      <c r="CI385" s="71">
        <f>K385</f>
        <v>65</v>
      </c>
      <c r="CJ385" s="72">
        <f>O385</f>
        <v>95</v>
      </c>
      <c r="CK385" s="72" t="str">
        <f>S385</f>
        <v>-</v>
      </c>
      <c r="CL385" s="72">
        <f>W385</f>
        <v>134</v>
      </c>
      <c r="CM385" s="72" t="str">
        <f>AA385</f>
        <v>-</v>
      </c>
      <c r="CN385" s="72">
        <f>AE385</f>
        <v>164</v>
      </c>
      <c r="CO385" s="72">
        <f>AI385</f>
        <v>175</v>
      </c>
      <c r="CP385" s="72">
        <f>AM385</f>
        <v>218</v>
      </c>
      <c r="CQ385" s="72">
        <f>AQ385</f>
        <v>257</v>
      </c>
      <c r="CR385" s="72">
        <f>AU385</f>
        <v>294</v>
      </c>
      <c r="CS385" s="72">
        <f>AY385</f>
        <v>310</v>
      </c>
      <c r="CT385" s="23">
        <f>M385-K385</f>
        <v>1</v>
      </c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1"/>
      <c r="OP385" s="1"/>
      <c r="OQ385" s="1"/>
      <c r="OR385" s="1"/>
      <c r="OS385" s="1"/>
      <c r="OT385" s="1"/>
      <c r="OU385" s="1"/>
      <c r="OV385" s="1"/>
      <c r="OW385" s="1"/>
      <c r="OX385" s="1"/>
      <c r="OY385" s="1"/>
      <c r="OZ385" s="1"/>
      <c r="PA385" s="1"/>
      <c r="PB385" s="1"/>
      <c r="PC385" s="1"/>
      <c r="PD385" s="1"/>
      <c r="PE385" s="1"/>
      <c r="PF385" s="1"/>
      <c r="PG385" s="1"/>
      <c r="PH385" s="1"/>
      <c r="PI385" s="1"/>
      <c r="PJ385" s="1"/>
      <c r="PK385" s="1"/>
      <c r="PL385" s="1"/>
      <c r="PM385" s="1"/>
      <c r="PN385" s="1"/>
      <c r="PO385" s="1"/>
      <c r="PP385" s="1"/>
      <c r="PQ385" s="1"/>
      <c r="PR385" s="1"/>
      <c r="PS385" s="1"/>
      <c r="PT385" s="1"/>
      <c r="PU385" s="1"/>
      <c r="PV385" s="1"/>
      <c r="PW385" s="1"/>
      <c r="PX385" s="1"/>
      <c r="PY385" s="1"/>
      <c r="PZ385" s="1"/>
      <c r="QA385" s="1"/>
      <c r="QB385" s="1"/>
      <c r="QC385" s="1"/>
      <c r="QD385" s="1"/>
      <c r="QE385" s="1"/>
      <c r="QF385" s="1"/>
      <c r="QG385" s="1"/>
      <c r="QH385" s="1"/>
      <c r="QI385" s="1"/>
      <c r="QJ385" s="1"/>
      <c r="QK385" s="1"/>
      <c r="QL385" s="1"/>
      <c r="QM385" s="1"/>
      <c r="QN385" s="1"/>
      <c r="QO385" s="1"/>
      <c r="QP385" s="1"/>
      <c r="QQ385" s="1"/>
      <c r="QR385" s="1"/>
      <c r="QS385" s="1"/>
      <c r="QT385" s="1"/>
      <c r="QU385" s="1"/>
      <c r="QV385" s="1"/>
      <c r="QW385" s="1"/>
      <c r="QX385" s="1"/>
      <c r="QY385" s="1"/>
      <c r="QZ385" s="1"/>
      <c r="RA385" s="1"/>
      <c r="RB385" s="1"/>
      <c r="RC385" s="1"/>
      <c r="RD385" s="1"/>
      <c r="RE385" s="1"/>
      <c r="RF385" s="1"/>
      <c r="RG385" s="1"/>
      <c r="RH385" s="1"/>
      <c r="RI385" s="1"/>
      <c r="RJ385" s="1"/>
      <c r="RK385" s="1"/>
      <c r="RL385" s="1"/>
      <c r="RM385" s="1"/>
      <c r="RN385" s="1"/>
      <c r="RO385" s="1"/>
      <c r="RP385" s="1"/>
      <c r="RQ385" s="1"/>
      <c r="RR385" s="1"/>
      <c r="RS385" s="1"/>
      <c r="RT385" s="1"/>
      <c r="RU385" s="1"/>
      <c r="RV385" s="1"/>
      <c r="RW385" s="1"/>
      <c r="RX385" s="1"/>
      <c r="RY385" s="1"/>
      <c r="RZ385" s="1"/>
      <c r="SA385" s="1"/>
      <c r="SB385" s="1"/>
      <c r="SC385" s="1"/>
      <c r="SD385" s="1"/>
      <c r="SE385" s="1"/>
      <c r="SF385" s="1"/>
      <c r="SG385" s="1"/>
      <c r="SH385" s="1"/>
      <c r="SI385" s="1"/>
      <c r="SJ385" s="1"/>
      <c r="SK385" s="1"/>
      <c r="SL385" s="1"/>
      <c r="SM385" s="1"/>
      <c r="SN385" s="1"/>
      <c r="SO385" s="1"/>
      <c r="SP385" s="1"/>
      <c r="SQ385" s="1"/>
      <c r="SR385" s="1"/>
      <c r="SS385" s="1"/>
      <c r="ST385" s="1"/>
      <c r="SU385" s="1"/>
      <c r="SV385" s="1"/>
      <c r="SW385" s="1"/>
      <c r="SX385" s="1"/>
      <c r="SY385" s="1"/>
      <c r="SZ385" s="1"/>
      <c r="TA385" s="1"/>
      <c r="TB385" s="1"/>
      <c r="TC385" s="1"/>
      <c r="TD385" s="1"/>
      <c r="TE385" s="1"/>
      <c r="TF385" s="1"/>
      <c r="TG385" s="1"/>
      <c r="TH385" s="1"/>
      <c r="TI385" s="1"/>
      <c r="TJ385" s="1"/>
      <c r="TK385" s="1"/>
      <c r="TL385" s="1"/>
      <c r="TM385" s="1"/>
      <c r="TN385" s="1"/>
      <c r="TO385" s="1"/>
      <c r="TP385" s="1"/>
      <c r="TQ385" s="1"/>
      <c r="TR385" s="1"/>
      <c r="TS385" s="1"/>
      <c r="TT385" s="1"/>
      <c r="TU385" s="1"/>
      <c r="TV385" s="1"/>
      <c r="TW385" s="1"/>
      <c r="TX385" s="1"/>
      <c r="TY385" s="1"/>
      <c r="TZ385" s="1"/>
      <c r="UA385" s="1"/>
      <c r="UB385" s="1"/>
      <c r="UC385" s="1"/>
      <c r="UD385" s="1"/>
      <c r="UE385" s="1"/>
      <c r="UF385" s="1"/>
      <c r="UG385" s="1"/>
      <c r="UH385" s="1"/>
      <c r="UI385" s="1"/>
      <c r="UJ385" s="1"/>
      <c r="UK385" s="1"/>
      <c r="UL385" s="1"/>
      <c r="UM385" s="1"/>
      <c r="UN385" s="1"/>
      <c r="UO385" s="1"/>
      <c r="UP385" s="1"/>
      <c r="UQ385" s="1"/>
      <c r="UR385" s="1"/>
      <c r="US385" s="1"/>
      <c r="UT385" s="1"/>
      <c r="UU385" s="1"/>
      <c r="UV385" s="1"/>
      <c r="UW385" s="1"/>
      <c r="UX385" s="1"/>
      <c r="UY385" s="1"/>
      <c r="UZ385" s="1"/>
      <c r="VA385" s="1"/>
      <c r="VB385" s="1"/>
      <c r="VC385" s="1"/>
      <c r="VD385" s="1"/>
      <c r="VE385" s="1"/>
      <c r="VF385" s="1"/>
      <c r="VG385" s="1"/>
      <c r="VH385" s="1"/>
      <c r="VI385" s="1"/>
      <c r="VJ385" s="1"/>
      <c r="VK385" s="1"/>
      <c r="VL385" s="1"/>
      <c r="VM385" s="1"/>
      <c r="VN385" s="1"/>
      <c r="VO385" s="1"/>
      <c r="VP385" s="1"/>
      <c r="VQ385" s="1"/>
      <c r="VR385" s="1"/>
      <c r="VS385" s="1"/>
      <c r="VT385" s="1"/>
      <c r="VU385" s="1"/>
      <c r="VV385" s="1"/>
      <c r="VW385" s="1"/>
      <c r="VX385" s="1"/>
      <c r="VY385" s="1"/>
      <c r="VZ385" s="1"/>
      <c r="WA385" s="1"/>
      <c r="WB385" s="1"/>
      <c r="WC385" s="1"/>
      <c r="WD385" s="1"/>
      <c r="WE385" s="1"/>
      <c r="WF385" s="1"/>
      <c r="WG385" s="1"/>
      <c r="WH385" s="1"/>
      <c r="WI385" s="1"/>
      <c r="WJ385" s="1"/>
      <c r="WK385" s="1"/>
      <c r="WL385" s="1"/>
      <c r="WM385" s="1"/>
      <c r="WN385" s="1"/>
      <c r="WO385" s="1"/>
      <c r="WP385" s="1"/>
      <c r="WQ385" s="1"/>
      <c r="WR385" s="1"/>
      <c r="WS385" s="1"/>
      <c r="WT385" s="1"/>
      <c r="WU385" s="1"/>
      <c r="WV385" s="1"/>
      <c r="WW385" s="1"/>
      <c r="WX385" s="1"/>
      <c r="WY385" s="1"/>
      <c r="WZ385" s="1"/>
      <c r="XA385" s="1"/>
      <c r="XB385" s="1"/>
      <c r="XC385" s="1"/>
      <c r="XD385" s="1"/>
      <c r="XE385" s="1"/>
      <c r="XF385" s="1"/>
      <c r="XG385" s="1"/>
      <c r="XH385" s="1"/>
      <c r="XI385" s="1"/>
      <c r="XJ385" s="1"/>
      <c r="XK385" s="1"/>
      <c r="XL385" s="1"/>
      <c r="XM385" s="1"/>
      <c r="XN385" s="1"/>
      <c r="XO385" s="1"/>
      <c r="XP385" s="1"/>
      <c r="XQ385" s="1"/>
      <c r="XR385" s="1"/>
      <c r="XS385" s="1"/>
      <c r="XT385" s="1"/>
      <c r="XU385" s="1"/>
      <c r="XV385" s="1"/>
      <c r="XW385" s="1"/>
      <c r="XX385" s="1"/>
      <c r="XY385" s="1"/>
      <c r="XZ385" s="1"/>
      <c r="YA385" s="1"/>
      <c r="YB385" s="1"/>
      <c r="YC385" s="1"/>
      <c r="YD385" s="1"/>
      <c r="YE385" s="1"/>
      <c r="YF385" s="1"/>
      <c r="YG385" s="1"/>
      <c r="YH385" s="1"/>
      <c r="YI385" s="1"/>
      <c r="YJ385" s="1"/>
      <c r="YK385" s="1"/>
      <c r="YL385" s="1"/>
      <c r="YM385" s="1"/>
      <c r="YN385" s="1"/>
      <c r="YO385" s="1"/>
      <c r="YP385" s="1"/>
      <c r="YQ385" s="1"/>
      <c r="YR385" s="1"/>
      <c r="YS385" s="1"/>
      <c r="YT385" s="1"/>
      <c r="YU385" s="1"/>
      <c r="YV385" s="1"/>
      <c r="YW385" s="1"/>
      <c r="YX385" s="1"/>
      <c r="YY385" s="1"/>
      <c r="YZ385" s="1"/>
      <c r="ZA385" s="1"/>
      <c r="ZB385" s="1"/>
      <c r="ZC385" s="1"/>
      <c r="ZD385" s="1"/>
      <c r="ZE385" s="1"/>
      <c r="ZF385" s="1"/>
      <c r="ZG385" s="1"/>
      <c r="ZH385" s="1"/>
      <c r="ZI385" s="1"/>
      <c r="ZJ385" s="1"/>
      <c r="ZK385" s="1"/>
      <c r="ZL385" s="1"/>
      <c r="ZM385" s="1"/>
      <c r="ZN385" s="1"/>
      <c r="ZO385" s="1"/>
      <c r="ZP385" s="1"/>
      <c r="ZQ385" s="1"/>
      <c r="ZR385" s="1"/>
      <c r="ZS385" s="1"/>
      <c r="ZT385" s="1"/>
      <c r="ZU385" s="1"/>
      <c r="ZV385" s="1"/>
      <c r="ZW385" s="1"/>
      <c r="ZX385" s="1"/>
      <c r="ZY385" s="1"/>
      <c r="ZZ385" s="1"/>
      <c r="AAA385" s="1"/>
      <c r="AAB385" s="1"/>
      <c r="AAC385" s="1"/>
      <c r="AAD385" s="1"/>
      <c r="AAE385" s="1"/>
      <c r="AAF385" s="1"/>
      <c r="AAG385" s="1"/>
      <c r="AAH385" s="1"/>
      <c r="AAI385" s="1"/>
      <c r="AAJ385" s="1"/>
      <c r="AAK385" s="1"/>
      <c r="AAL385" s="1"/>
      <c r="AAM385" s="1"/>
      <c r="AAN385" s="1"/>
      <c r="AAO385" s="1"/>
      <c r="AAP385" s="1"/>
      <c r="AAQ385" s="1"/>
      <c r="AAR385" s="1"/>
      <c r="AAS385" s="1"/>
      <c r="AAT385" s="1"/>
      <c r="AAU385" s="1"/>
      <c r="AAV385" s="1"/>
      <c r="AAW385" s="1"/>
      <c r="AAX385" s="1"/>
      <c r="AAY385" s="1"/>
      <c r="AAZ385" s="1"/>
      <c r="ABA385" s="1"/>
      <c r="ABB385" s="1"/>
      <c r="ABC385" s="1"/>
      <c r="ABD385" s="1"/>
      <c r="ABE385" s="1"/>
      <c r="ABF385" s="1"/>
      <c r="ABG385" s="1"/>
      <c r="ABH385" s="1"/>
      <c r="ABI385" s="1"/>
      <c r="ABJ385" s="1"/>
      <c r="ABK385" s="1"/>
      <c r="ABL385" s="1"/>
      <c r="ABM385" s="1"/>
      <c r="ABN385" s="1"/>
      <c r="ABO385" s="1"/>
      <c r="ABP385" s="1"/>
      <c r="ABQ385" s="1"/>
      <c r="ABR385" s="1"/>
      <c r="ABS385" s="1"/>
      <c r="ABT385" s="1"/>
      <c r="ABU385" s="1"/>
      <c r="ABV385" s="1"/>
      <c r="ABW385" s="1"/>
      <c r="ABX385" s="1"/>
      <c r="ABY385" s="1"/>
      <c r="ABZ385" s="1"/>
      <c r="ACA385" s="1"/>
      <c r="ACB385" s="1"/>
      <c r="ACC385" s="1"/>
      <c r="ACD385" s="1"/>
      <c r="ACE385" s="1"/>
      <c r="ACF385" s="1"/>
      <c r="ACG385" s="1"/>
      <c r="ACH385" s="1"/>
      <c r="ACI385" s="1"/>
      <c r="ACJ385" s="1"/>
      <c r="ACK385" s="1"/>
      <c r="ACL385" s="1"/>
      <c r="ACM385" s="1"/>
      <c r="ACN385" s="1"/>
      <c r="ACO385" s="1"/>
      <c r="ACP385" s="1"/>
      <c r="ACQ385" s="1"/>
      <c r="ACR385" s="1"/>
      <c r="ACS385" s="1"/>
      <c r="ACT385" s="1"/>
      <c r="ACU385" s="1"/>
      <c r="ACV385" s="1"/>
      <c r="ACW385" s="1"/>
      <c r="ACX385" s="1"/>
      <c r="ACY385" s="1"/>
      <c r="ACZ385" s="1"/>
      <c r="ADA385" s="1"/>
      <c r="ADB385" s="1"/>
      <c r="ADC385" s="1"/>
      <c r="ADD385" s="1"/>
      <c r="ADE385" s="1"/>
      <c r="ADF385" s="1"/>
      <c r="ADG385" s="1"/>
      <c r="ADH385" s="1"/>
      <c r="ADI385" s="1"/>
      <c r="ADJ385" s="1"/>
      <c r="ADK385" s="1"/>
      <c r="ADL385" s="1"/>
      <c r="ADM385" s="1"/>
      <c r="ADN385" s="1"/>
      <c r="ADO385" s="1"/>
      <c r="ADP385" s="1"/>
      <c r="ADQ385" s="1"/>
      <c r="ADR385" s="1"/>
      <c r="ADS385" s="1"/>
      <c r="ADT385" s="1"/>
      <c r="ADU385" s="1"/>
      <c r="ADV385" s="1"/>
      <c r="ADW385" s="1"/>
      <c r="ADX385" s="1"/>
      <c r="ADY385" s="1"/>
      <c r="ADZ385" s="1"/>
      <c r="AEA385" s="1"/>
      <c r="AEB385" s="1"/>
      <c r="AEC385" s="1"/>
      <c r="AED385" s="1"/>
      <c r="AEE385" s="1"/>
      <c r="AEF385" s="1"/>
      <c r="AEG385" s="1"/>
      <c r="AEH385" s="1"/>
      <c r="AEI385" s="1"/>
      <c r="AEJ385" s="1"/>
      <c r="AEK385" s="1"/>
      <c r="AEL385" s="1"/>
      <c r="AEM385" s="1"/>
      <c r="AEN385" s="1"/>
      <c r="AEO385" s="1"/>
      <c r="AEP385" s="1"/>
      <c r="AEQ385" s="1"/>
      <c r="AER385" s="1"/>
      <c r="AES385" s="1"/>
      <c r="AET385" s="1"/>
      <c r="AEU385" s="1"/>
      <c r="AEV385" s="1"/>
      <c r="AEW385" s="1"/>
      <c r="AEX385" s="1"/>
      <c r="AEY385" s="1"/>
      <c r="AEZ385" s="1"/>
      <c r="AFA385" s="1"/>
      <c r="AFB385" s="1"/>
      <c r="AFC385" s="1"/>
      <c r="AFD385" s="1"/>
      <c r="AFE385" s="1"/>
      <c r="AFF385" s="1"/>
      <c r="AFG385" s="1"/>
      <c r="AFH385" s="1"/>
      <c r="AFI385" s="1"/>
      <c r="AFJ385" s="1"/>
      <c r="AFK385" s="1"/>
      <c r="AFL385" s="1"/>
      <c r="AFM385" s="1"/>
      <c r="AFN385" s="1"/>
      <c r="AFO385" s="1"/>
      <c r="AFP385" s="1"/>
      <c r="AFQ385" s="1"/>
      <c r="AFR385" s="1"/>
      <c r="AFS385" s="1"/>
      <c r="AFT385" s="1"/>
      <c r="AFU385" s="1"/>
      <c r="AFV385" s="1"/>
      <c r="AFW385" s="1"/>
      <c r="AFX385" s="1"/>
      <c r="AFY385" s="1"/>
      <c r="AFZ385" s="1"/>
      <c r="AGA385" s="1"/>
      <c r="AGB385" s="1"/>
      <c r="AGC385" s="1"/>
      <c r="AGD385" s="1"/>
      <c r="AGE385" s="1"/>
      <c r="AGF385" s="1"/>
      <c r="AGG385" s="1"/>
      <c r="AGH385" s="1"/>
      <c r="AGI385" s="1"/>
      <c r="AGJ385" s="1"/>
      <c r="AGK385" s="1"/>
      <c r="AGL385" s="1"/>
      <c r="AGM385" s="1"/>
      <c r="AGN385" s="1"/>
      <c r="AGO385" s="1"/>
      <c r="AGP385" s="1"/>
      <c r="AGQ385" s="1"/>
      <c r="AGR385" s="1"/>
      <c r="AGS385" s="1"/>
      <c r="AGT385" s="1"/>
      <c r="AGU385" s="1"/>
      <c r="AGV385" s="1"/>
      <c r="AGW385" s="1"/>
      <c r="AGX385" s="1"/>
      <c r="AGY385" s="1"/>
      <c r="AGZ385" s="1"/>
      <c r="AHA385" s="1"/>
      <c r="AHB385" s="1"/>
      <c r="AHC385" s="1"/>
      <c r="AHD385" s="1"/>
      <c r="AHE385" s="1"/>
      <c r="AHF385" s="1"/>
      <c r="AHG385" s="1"/>
      <c r="AHH385" s="1"/>
      <c r="AHI385" s="1"/>
      <c r="AHJ385" s="1"/>
      <c r="AHK385" s="1"/>
      <c r="AHL385" s="1"/>
      <c r="AHM385" s="1"/>
      <c r="AHN385" s="1"/>
      <c r="AHO385" s="1"/>
      <c r="AHP385" s="1"/>
      <c r="AHQ385" s="1"/>
      <c r="AHR385" s="1"/>
      <c r="AHS385" s="1"/>
      <c r="AHT385" s="1"/>
      <c r="AHU385" s="1"/>
      <c r="AHV385" s="1"/>
      <c r="AHW385" s="1"/>
      <c r="AHX385" s="1"/>
      <c r="AHY385" s="1"/>
      <c r="AHZ385" s="1"/>
      <c r="AIA385" s="1"/>
      <c r="AIB385" s="1"/>
      <c r="AIC385" s="1"/>
      <c r="AID385" s="1"/>
      <c r="AIE385" s="1"/>
      <c r="AIF385" s="1"/>
      <c r="AIG385" s="1"/>
      <c r="AIH385" s="1"/>
      <c r="AII385" s="1"/>
      <c r="AIJ385" s="1"/>
      <c r="AIK385" s="1"/>
      <c r="AIL385" s="1"/>
      <c r="AIM385" s="1"/>
      <c r="AIN385" s="1"/>
      <c r="AIO385" s="1"/>
      <c r="AIP385" s="1"/>
      <c r="AIQ385" s="1"/>
      <c r="AIR385" s="1"/>
      <c r="AIS385" s="1"/>
      <c r="AIT385" s="1"/>
      <c r="AIU385" s="1"/>
      <c r="AIV385" s="1"/>
      <c r="AIW385" s="1"/>
      <c r="AIX385" s="1"/>
      <c r="AIY385" s="1"/>
      <c r="AIZ385" s="1"/>
      <c r="AJA385" s="1"/>
      <c r="AJB385" s="1"/>
      <c r="AJC385" s="1"/>
      <c r="AJD385" s="1"/>
      <c r="AJE385" s="1"/>
      <c r="AJF385" s="1"/>
      <c r="AJG385" s="1"/>
      <c r="AJH385" s="1"/>
      <c r="AJI385" s="1"/>
      <c r="AJJ385" s="1"/>
      <c r="AJK385" s="1"/>
      <c r="AJL385" s="1"/>
      <c r="AJM385" s="1"/>
      <c r="AJN385" s="1"/>
      <c r="AJO385" s="1"/>
      <c r="AJP385" s="1"/>
      <c r="AJQ385" s="1"/>
      <c r="AJR385" s="1"/>
      <c r="AJS385" s="1"/>
      <c r="AJT385" s="1"/>
      <c r="AJU385" s="1"/>
      <c r="AJV385" s="1"/>
      <c r="AJW385" s="1"/>
      <c r="AJX385" s="1"/>
      <c r="AJY385" s="1"/>
      <c r="AJZ385" s="1"/>
      <c r="AKA385" s="1"/>
      <c r="AKB385" s="1"/>
      <c r="AKC385" s="1"/>
      <c r="AKD385" s="1"/>
      <c r="AKE385" s="1"/>
      <c r="AKF385" s="1"/>
      <c r="AKG385" s="1"/>
      <c r="AKH385" s="1"/>
      <c r="AKI385" s="1"/>
      <c r="AKJ385" s="1"/>
      <c r="AKK385" s="1"/>
      <c r="AKL385" s="1"/>
      <c r="AKM385" s="1"/>
      <c r="AKN385" s="1"/>
      <c r="AKO385" s="1"/>
      <c r="AKP385" s="1"/>
      <c r="AKQ385" s="1"/>
      <c r="AKR385" s="1"/>
      <c r="AKS385" s="1"/>
      <c r="AKT385" s="1"/>
      <c r="AKU385" s="1"/>
      <c r="AKV385" s="1"/>
      <c r="AKW385" s="1"/>
      <c r="AKX385" s="1"/>
      <c r="AKY385" s="1"/>
      <c r="AKZ385" s="1"/>
      <c r="ALA385" s="1"/>
      <c r="ALB385" s="1"/>
      <c r="ALC385" s="1"/>
      <c r="ALD385" s="1"/>
      <c r="ALE385" s="1"/>
      <c r="ALF385" s="1"/>
      <c r="ALG385" s="1"/>
      <c r="ALH385" s="1"/>
      <c r="ALI385" s="1"/>
      <c r="ALJ385" s="1"/>
      <c r="ALK385" s="1"/>
      <c r="ALL385" s="1"/>
      <c r="ALM385" s="1"/>
      <c r="ALN385" s="1"/>
      <c r="ALO385" s="1"/>
      <c r="ALP385" s="1"/>
      <c r="ALQ385" s="1"/>
      <c r="ALR385" s="1"/>
      <c r="ALS385" s="1"/>
      <c r="ALT385" s="1"/>
      <c r="ALU385" s="1"/>
      <c r="ALV385" s="1"/>
      <c r="ALW385" s="1"/>
      <c r="ALX385" s="1"/>
      <c r="ALY385" s="1"/>
      <c r="ALZ385" s="1"/>
      <c r="AMA385" s="1"/>
      <c r="AMB385" s="1"/>
      <c r="AMC385" s="1"/>
      <c r="AMD385" s="1"/>
      <c r="AME385" s="1"/>
      <c r="AMF385" s="1"/>
      <c r="AMG385" s="1"/>
      <c r="AMH385" s="1"/>
      <c r="AMI385" s="1"/>
      <c r="AMJ385" s="1"/>
      <c r="AMK385" s="1"/>
      <c r="AML385" s="1"/>
      <c r="AMM385" s="1"/>
      <c r="AMN385" s="1"/>
      <c r="AMO385" s="1"/>
    </row>
    <row r="386" spans="1:1030" x14ac:dyDescent="0.2">
      <c r="A386" s="3" t="str">
        <f>CONCATENATE(B386,"_",C386)</f>
        <v>us28_hcmva_4XT1</v>
      </c>
      <c r="B386" s="3" t="s">
        <v>917</v>
      </c>
      <c r="C386" s="3" t="s">
        <v>1117</v>
      </c>
      <c r="D386" s="3" t="str">
        <f>IFERROR(MID(VLOOKUP($B386,Seqs!$A:$B,2,0),E386,1),"")</f>
        <v>F</v>
      </c>
      <c r="E386" s="105">
        <v>25</v>
      </c>
      <c r="F386" s="3" t="str">
        <f>IFERROR(MID(VLOOKUP($B386,Seqs!$A:$B,2,0),G386,1),"")</f>
        <v>R</v>
      </c>
      <c r="G386" s="3">
        <v>61</v>
      </c>
      <c r="H386" s="3" t="str">
        <f>IFERROR(MID(VLOOKUP($B386,Seqs!$A:$B,2,0),I386,1),"")</f>
        <v/>
      </c>
      <c r="I386" s="23" t="s">
        <v>23</v>
      </c>
      <c r="J386" s="3" t="str">
        <f>IFERROR(MID(VLOOKUP($B386,Seqs!$A:$B,2,0),K386,1),"")</f>
        <v/>
      </c>
      <c r="K386" s="23" t="s">
        <v>23</v>
      </c>
      <c r="L386" s="3" t="str">
        <f>IFERROR(MID(VLOOKUP($B386,Seqs!$A:$B,2,0),M386,1),"")</f>
        <v>C</v>
      </c>
      <c r="M386" s="3">
        <v>66</v>
      </c>
      <c r="N386" s="3" t="str">
        <f>IFERROR(MID(VLOOKUP($B386,Seqs!$A:$B,2,0),O386,1),"")</f>
        <v>D</v>
      </c>
      <c r="O386" s="3">
        <v>95</v>
      </c>
      <c r="P386" s="3" t="str">
        <f>IFERROR(MID(VLOOKUP($B386,Seqs!$A:$B,2,0),Q386,1),"")</f>
        <v/>
      </c>
      <c r="Q386" s="3" t="s">
        <v>23</v>
      </c>
      <c r="R386" s="3" t="str">
        <f>IFERROR(MID(VLOOKUP($B386,Seqs!$A:$B,2,0),S386,1),"")</f>
        <v/>
      </c>
      <c r="S386" s="3" t="s">
        <v>23</v>
      </c>
      <c r="T386" s="3" t="str">
        <f>IFERROR(MID(VLOOKUP($B386,Seqs!$A:$B,2,0),U386,1),"")</f>
        <v>P</v>
      </c>
      <c r="U386" s="3">
        <v>103</v>
      </c>
      <c r="V386" s="3" t="str">
        <f>IFERROR(MID(VLOOKUP($B386,Seqs!$A:$B,2,0),W386,1),"")</f>
        <v>V</v>
      </c>
      <c r="W386" s="105">
        <v>134</v>
      </c>
      <c r="X386" s="3" t="str">
        <f>IFERROR(MID(VLOOKUP($B386,Seqs!$A:$B,2,0),Y386,1),"")</f>
        <v/>
      </c>
      <c r="Y386" s="3" t="s">
        <v>23</v>
      </c>
      <c r="Z386" s="3" t="str">
        <f>IFERROR(MID(VLOOKUP($B386,Seqs!$A:$B,2,0),AA386,1),"")</f>
        <v/>
      </c>
      <c r="AA386" s="3" t="s">
        <v>23</v>
      </c>
      <c r="AB386" s="3" t="str">
        <f>IFERROR(MID(VLOOKUP($B386,Seqs!$A:$B,2,0),AC386,1),"")</f>
        <v>P</v>
      </c>
      <c r="AC386" s="9">
        <v>140</v>
      </c>
      <c r="AD386" s="3" t="str">
        <f>IFERROR(MID(VLOOKUP($B386,Seqs!$A:$B,2,0),AE386,1),"")</f>
        <v>M</v>
      </c>
      <c r="AE386" s="105">
        <v>164</v>
      </c>
      <c r="AF386" s="3" t="str">
        <f>IFERROR(MID(VLOOKUP($B386,Seqs!$A:$B,2,0),AG386,1),"")</f>
        <v>C</v>
      </c>
      <c r="AG386" s="3">
        <v>173</v>
      </c>
      <c r="AH386" s="3" t="str">
        <f>IFERROR(MID(VLOOKUP($B386,Seqs!$A:$B,2,0),AI386,1),"")</f>
        <v>T</v>
      </c>
      <c r="AI386" s="3">
        <v>175</v>
      </c>
      <c r="AJ386" s="3" t="str">
        <f>IFERROR(MID(VLOOKUP($B386,Seqs!$A:$B,2,0),AK386,1),"")</f>
        <v>S</v>
      </c>
      <c r="AK386" s="105">
        <v>183</v>
      </c>
      <c r="AL386" s="3" t="str">
        <f>IFERROR(MID(VLOOKUP($B386,Seqs!$A:$B,2,0),AM386,1),"")</f>
        <v>S</v>
      </c>
      <c r="AM386" s="3">
        <v>218</v>
      </c>
      <c r="AN386" s="3" t="str">
        <f>IFERROR(MID(VLOOKUP($B386,Seqs!$A:$B,2,0),AO386,1),"")</f>
        <v>H</v>
      </c>
      <c r="AO386" s="3">
        <v>222</v>
      </c>
      <c r="AP386" s="3" t="str">
        <f>IFERROR(MID(VLOOKUP($B386,Seqs!$A:$B,2,0),AQ386,1),"")</f>
        <v>K</v>
      </c>
      <c r="AQ386" s="3">
        <v>257</v>
      </c>
      <c r="AR386" s="3" t="str">
        <f>IFERROR(MID(VLOOKUP($B386,Seqs!$A:$B,2,0),AS386,1),"")</f>
        <v>C</v>
      </c>
      <c r="AS386" s="3">
        <v>263</v>
      </c>
      <c r="AT386" s="3" t="str">
        <f>IFERROR(MID(VLOOKUP($B386,Seqs!$A:$B,2,0),AU386,1),"")</f>
        <v>V</v>
      </c>
      <c r="AU386" s="3">
        <v>294</v>
      </c>
      <c r="AV386" s="3" t="str">
        <f>IFERROR(MID(VLOOKUP($B386,Seqs!$A:$B,2,0),AW386,1),"")</f>
        <v>G</v>
      </c>
      <c r="AW386" s="3">
        <v>295</v>
      </c>
      <c r="AX386" s="3" t="str">
        <f>IFERROR(MID(VLOOKUP($B386,Seqs!$A:$B,2,0),AY386,1),"")</f>
        <v>R</v>
      </c>
      <c r="AY386" s="3">
        <v>310</v>
      </c>
      <c r="AZ386" s="77" t="str">
        <f>VLOOKUP(B386,Classification!A:D,2,0)</f>
        <v>A</v>
      </c>
      <c r="BA386" s="94" t="str">
        <f>VLOOKUP(B386,Classification!A:D,4,0)</f>
        <v>Chemokine</v>
      </c>
      <c r="BB386" s="27" t="b">
        <f t="shared" si="1114"/>
        <v>1</v>
      </c>
      <c r="BC386" s="23">
        <f t="shared" si="1113"/>
        <v>250</v>
      </c>
      <c r="BD386" s="4" t="s">
        <v>23</v>
      </c>
      <c r="BE386" s="3" t="s">
        <v>1285</v>
      </c>
      <c r="BF386" s="118">
        <v>2.89</v>
      </c>
      <c r="BG386" s="49" t="s">
        <v>1371</v>
      </c>
      <c r="BH386" s="49" t="s">
        <v>1371</v>
      </c>
      <c r="BI386" s="1"/>
      <c r="BJ386" s="70" t="s">
        <v>1281</v>
      </c>
      <c r="BK386" s="57" t="s">
        <v>1281</v>
      </c>
      <c r="BL386" s="57" t="s">
        <v>1281</v>
      </c>
      <c r="BM386" s="57" t="s">
        <v>1281</v>
      </c>
      <c r="BN386" s="57" t="s">
        <v>1281</v>
      </c>
      <c r="BO386" s="57" t="s">
        <v>1281</v>
      </c>
      <c r="BP386" s="57" t="s">
        <v>1281</v>
      </c>
      <c r="BQ386" s="57" t="s">
        <v>1281</v>
      </c>
      <c r="BR386" s="57" t="s">
        <v>1281</v>
      </c>
      <c r="BS386" s="57" t="s">
        <v>1281</v>
      </c>
      <c r="BT386" s="57" t="s">
        <v>1281</v>
      </c>
      <c r="BU386" s="57" t="s">
        <v>1281</v>
      </c>
      <c r="BV386" s="70">
        <f>E386</f>
        <v>25</v>
      </c>
      <c r="BW386" s="71" t="str">
        <f>I386</f>
        <v>-</v>
      </c>
      <c r="BX386" s="72">
        <f>M386</f>
        <v>66</v>
      </c>
      <c r="BY386" s="71" t="str">
        <f>Q386</f>
        <v>-</v>
      </c>
      <c r="BZ386" s="72">
        <f>U386</f>
        <v>103</v>
      </c>
      <c r="CA386" s="71" t="str">
        <f>Y386</f>
        <v>-</v>
      </c>
      <c r="CB386" s="72">
        <f>AC386</f>
        <v>140</v>
      </c>
      <c r="CC386" s="71">
        <f>AG386</f>
        <v>173</v>
      </c>
      <c r="CD386" s="72">
        <f>AK386</f>
        <v>183</v>
      </c>
      <c r="CE386" s="71">
        <f>AO386</f>
        <v>222</v>
      </c>
      <c r="CF386" s="72">
        <f>AS386</f>
        <v>263</v>
      </c>
      <c r="CG386" s="71">
        <f>AW386</f>
        <v>295</v>
      </c>
      <c r="CH386" s="70">
        <f>G386</f>
        <v>61</v>
      </c>
      <c r="CI386" s="71" t="str">
        <f>K386</f>
        <v>-</v>
      </c>
      <c r="CJ386" s="72">
        <f>O386</f>
        <v>95</v>
      </c>
      <c r="CK386" s="72" t="str">
        <f>S386</f>
        <v>-</v>
      </c>
      <c r="CL386" s="72">
        <f>W386</f>
        <v>134</v>
      </c>
      <c r="CM386" s="72" t="str">
        <f>AA386</f>
        <v>-</v>
      </c>
      <c r="CN386" s="72">
        <f>AE386</f>
        <v>164</v>
      </c>
      <c r="CO386" s="72">
        <f>AI386</f>
        <v>175</v>
      </c>
      <c r="CP386" s="72">
        <f>AM386</f>
        <v>218</v>
      </c>
      <c r="CQ386" s="72">
        <f>AQ386</f>
        <v>257</v>
      </c>
      <c r="CR386" s="72">
        <f>AU386</f>
        <v>294</v>
      </c>
      <c r="CS386" s="72">
        <f>AY386</f>
        <v>310</v>
      </c>
      <c r="CT386" s="23" t="e">
        <f>M386-K386</f>
        <v>#VALUE!</v>
      </c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  <c r="OM386" s="1"/>
      <c r="ON386" s="1"/>
      <c r="OO386" s="1"/>
      <c r="OP386" s="1"/>
      <c r="OQ386" s="1"/>
      <c r="OR386" s="1"/>
      <c r="OS386" s="1"/>
      <c r="OT386" s="1"/>
      <c r="OU386" s="1"/>
      <c r="OV386" s="1"/>
      <c r="OW386" s="1"/>
      <c r="OX386" s="1"/>
      <c r="OY386" s="1"/>
      <c r="OZ386" s="1"/>
      <c r="PA386" s="1"/>
      <c r="PB386" s="1"/>
      <c r="PC386" s="1"/>
      <c r="PD386" s="1"/>
      <c r="PE386" s="1"/>
      <c r="PF386" s="1"/>
      <c r="PG386" s="1"/>
      <c r="PH386" s="1"/>
      <c r="PI386" s="1"/>
      <c r="PJ386" s="1"/>
      <c r="PK386" s="1"/>
      <c r="PL386" s="1"/>
      <c r="PM386" s="1"/>
      <c r="PN386" s="1"/>
      <c r="PO386" s="1"/>
      <c r="PP386" s="1"/>
      <c r="PQ386" s="1"/>
      <c r="PR386" s="1"/>
      <c r="PS386" s="1"/>
      <c r="PT386" s="1"/>
      <c r="PU386" s="1"/>
      <c r="PV386" s="1"/>
      <c r="PW386" s="1"/>
      <c r="PX386" s="1"/>
      <c r="PY386" s="1"/>
      <c r="PZ386" s="1"/>
      <c r="QA386" s="1"/>
      <c r="QB386" s="1"/>
      <c r="QC386" s="1"/>
      <c r="QD386" s="1"/>
      <c r="QE386" s="1"/>
      <c r="QF386" s="1"/>
      <c r="QG386" s="1"/>
      <c r="QH386" s="1"/>
      <c r="QI386" s="1"/>
      <c r="QJ386" s="1"/>
      <c r="QK386" s="1"/>
      <c r="QL386" s="1"/>
      <c r="QM386" s="1"/>
      <c r="QN386" s="1"/>
      <c r="QO386" s="1"/>
      <c r="QP386" s="1"/>
      <c r="QQ386" s="1"/>
      <c r="QR386" s="1"/>
      <c r="QS386" s="1"/>
      <c r="QT386" s="1"/>
      <c r="QU386" s="1"/>
      <c r="QV386" s="1"/>
      <c r="QW386" s="1"/>
      <c r="QX386" s="1"/>
      <c r="QY386" s="1"/>
      <c r="QZ386" s="1"/>
      <c r="RA386" s="1"/>
      <c r="RB386" s="1"/>
      <c r="RC386" s="1"/>
      <c r="RD386" s="1"/>
      <c r="RE386" s="1"/>
      <c r="RF386" s="1"/>
      <c r="RG386" s="1"/>
      <c r="RH386" s="1"/>
      <c r="RI386" s="1"/>
      <c r="RJ386" s="1"/>
      <c r="RK386" s="1"/>
      <c r="RL386" s="1"/>
      <c r="RM386" s="1"/>
      <c r="RN386" s="1"/>
      <c r="RO386" s="1"/>
      <c r="RP386" s="1"/>
      <c r="RQ386" s="1"/>
      <c r="RR386" s="1"/>
      <c r="RS386" s="1"/>
      <c r="RT386" s="1"/>
      <c r="RU386" s="1"/>
      <c r="RV386" s="1"/>
      <c r="RW386" s="1"/>
      <c r="RX386" s="1"/>
      <c r="RY386" s="1"/>
      <c r="RZ386" s="1"/>
      <c r="SA386" s="1"/>
      <c r="SB386" s="1"/>
      <c r="SC386" s="1"/>
      <c r="SD386" s="1"/>
      <c r="SE386" s="1"/>
      <c r="SF386" s="1"/>
      <c r="SG386" s="1"/>
      <c r="SH386" s="1"/>
      <c r="SI386" s="1"/>
      <c r="SJ386" s="1"/>
      <c r="SK386" s="1"/>
      <c r="SL386" s="1"/>
      <c r="SM386" s="1"/>
      <c r="SN386" s="1"/>
      <c r="SO386" s="1"/>
      <c r="SP386" s="1"/>
      <c r="SQ386" s="1"/>
      <c r="SR386" s="1"/>
      <c r="SS386" s="1"/>
      <c r="ST386" s="1"/>
      <c r="SU386" s="1"/>
      <c r="SV386" s="1"/>
      <c r="SW386" s="1"/>
      <c r="SX386" s="1"/>
      <c r="SY386" s="1"/>
      <c r="SZ386" s="1"/>
      <c r="TA386" s="1"/>
      <c r="TB386" s="1"/>
      <c r="TC386" s="1"/>
      <c r="TD386" s="1"/>
      <c r="TE386" s="1"/>
      <c r="TF386" s="1"/>
      <c r="TG386" s="1"/>
      <c r="TH386" s="1"/>
      <c r="TI386" s="1"/>
      <c r="TJ386" s="1"/>
      <c r="TK386" s="1"/>
      <c r="TL386" s="1"/>
      <c r="TM386" s="1"/>
      <c r="TN386" s="1"/>
      <c r="TO386" s="1"/>
      <c r="TP386" s="1"/>
      <c r="TQ386" s="1"/>
      <c r="TR386" s="1"/>
      <c r="TS386" s="1"/>
      <c r="TT386" s="1"/>
      <c r="TU386" s="1"/>
      <c r="TV386" s="1"/>
      <c r="TW386" s="1"/>
      <c r="TX386" s="1"/>
      <c r="TY386" s="1"/>
      <c r="TZ386" s="1"/>
      <c r="UA386" s="1"/>
      <c r="UB386" s="1"/>
      <c r="UC386" s="1"/>
      <c r="UD386" s="1"/>
      <c r="UE386" s="1"/>
      <c r="UF386" s="1"/>
      <c r="UG386" s="1"/>
      <c r="UH386" s="1"/>
      <c r="UI386" s="1"/>
      <c r="UJ386" s="1"/>
      <c r="UK386" s="1"/>
      <c r="UL386" s="1"/>
      <c r="UM386" s="1"/>
      <c r="UN386" s="1"/>
      <c r="UO386" s="1"/>
      <c r="UP386" s="1"/>
      <c r="UQ386" s="1"/>
      <c r="UR386" s="1"/>
      <c r="US386" s="1"/>
      <c r="UT386" s="1"/>
      <c r="UU386" s="1"/>
      <c r="UV386" s="1"/>
      <c r="UW386" s="1"/>
      <c r="UX386" s="1"/>
      <c r="UY386" s="1"/>
      <c r="UZ386" s="1"/>
      <c r="VA386" s="1"/>
      <c r="VB386" s="1"/>
      <c r="VC386" s="1"/>
      <c r="VD386" s="1"/>
      <c r="VE386" s="1"/>
      <c r="VF386" s="1"/>
      <c r="VG386" s="1"/>
      <c r="VH386" s="1"/>
      <c r="VI386" s="1"/>
      <c r="VJ386" s="1"/>
      <c r="VK386" s="1"/>
      <c r="VL386" s="1"/>
      <c r="VM386" s="1"/>
      <c r="VN386" s="1"/>
      <c r="VO386" s="1"/>
      <c r="VP386" s="1"/>
      <c r="VQ386" s="1"/>
      <c r="VR386" s="1"/>
      <c r="VS386" s="1"/>
      <c r="VT386" s="1"/>
      <c r="VU386" s="1"/>
      <c r="VV386" s="1"/>
      <c r="VW386" s="1"/>
      <c r="VX386" s="1"/>
      <c r="VY386" s="1"/>
      <c r="VZ386" s="1"/>
      <c r="WA386" s="1"/>
      <c r="WB386" s="1"/>
      <c r="WC386" s="1"/>
      <c r="WD386" s="1"/>
      <c r="WE386" s="1"/>
      <c r="WF386" s="1"/>
      <c r="WG386" s="1"/>
      <c r="WH386" s="1"/>
      <c r="WI386" s="1"/>
      <c r="WJ386" s="1"/>
      <c r="WK386" s="1"/>
      <c r="WL386" s="1"/>
      <c r="WM386" s="1"/>
      <c r="WN386" s="1"/>
      <c r="WO386" s="1"/>
      <c r="WP386" s="1"/>
      <c r="WQ386" s="1"/>
      <c r="WR386" s="1"/>
      <c r="WS386" s="1"/>
      <c r="WT386" s="1"/>
      <c r="WU386" s="1"/>
      <c r="WV386" s="1"/>
      <c r="WW386" s="1"/>
      <c r="WX386" s="1"/>
      <c r="WY386" s="1"/>
      <c r="WZ386" s="1"/>
      <c r="XA386" s="1"/>
      <c r="XB386" s="1"/>
      <c r="XC386" s="1"/>
      <c r="XD386" s="1"/>
      <c r="XE386" s="1"/>
      <c r="XF386" s="1"/>
      <c r="XG386" s="1"/>
      <c r="XH386" s="1"/>
      <c r="XI386" s="1"/>
      <c r="XJ386" s="1"/>
      <c r="XK386" s="1"/>
      <c r="XL386" s="1"/>
      <c r="XM386" s="1"/>
      <c r="XN386" s="1"/>
      <c r="XO386" s="1"/>
      <c r="XP386" s="1"/>
      <c r="XQ386" s="1"/>
      <c r="XR386" s="1"/>
      <c r="XS386" s="1"/>
      <c r="XT386" s="1"/>
      <c r="XU386" s="1"/>
      <c r="XV386" s="1"/>
      <c r="XW386" s="1"/>
      <c r="XX386" s="1"/>
      <c r="XY386" s="1"/>
      <c r="XZ386" s="1"/>
      <c r="YA386" s="1"/>
      <c r="YB386" s="1"/>
      <c r="YC386" s="1"/>
      <c r="YD386" s="1"/>
      <c r="YE386" s="1"/>
      <c r="YF386" s="1"/>
      <c r="YG386" s="1"/>
      <c r="YH386" s="1"/>
      <c r="YI386" s="1"/>
      <c r="YJ386" s="1"/>
      <c r="YK386" s="1"/>
      <c r="YL386" s="1"/>
      <c r="YM386" s="1"/>
      <c r="YN386" s="1"/>
      <c r="YO386" s="1"/>
      <c r="YP386" s="1"/>
      <c r="YQ386" s="1"/>
      <c r="YR386" s="1"/>
      <c r="YS386" s="1"/>
      <c r="YT386" s="1"/>
      <c r="YU386" s="1"/>
      <c r="YV386" s="1"/>
      <c r="YW386" s="1"/>
      <c r="YX386" s="1"/>
      <c r="YY386" s="1"/>
      <c r="YZ386" s="1"/>
      <c r="ZA386" s="1"/>
      <c r="ZB386" s="1"/>
      <c r="ZC386" s="1"/>
      <c r="ZD386" s="1"/>
      <c r="ZE386" s="1"/>
      <c r="ZF386" s="1"/>
      <c r="ZG386" s="1"/>
      <c r="ZH386" s="1"/>
      <c r="ZI386" s="1"/>
      <c r="ZJ386" s="1"/>
      <c r="ZK386" s="1"/>
      <c r="ZL386" s="1"/>
      <c r="ZM386" s="1"/>
      <c r="ZN386" s="1"/>
      <c r="ZO386" s="1"/>
      <c r="ZP386" s="1"/>
      <c r="ZQ386" s="1"/>
      <c r="ZR386" s="1"/>
      <c r="ZS386" s="1"/>
      <c r="ZT386" s="1"/>
      <c r="ZU386" s="1"/>
      <c r="ZV386" s="1"/>
      <c r="ZW386" s="1"/>
      <c r="ZX386" s="1"/>
      <c r="ZY386" s="1"/>
      <c r="ZZ386" s="1"/>
      <c r="AAA386" s="1"/>
      <c r="AAB386" s="1"/>
      <c r="AAC386" s="1"/>
      <c r="AAD386" s="1"/>
      <c r="AAE386" s="1"/>
      <c r="AAF386" s="1"/>
      <c r="AAG386" s="1"/>
      <c r="AAH386" s="1"/>
      <c r="AAI386" s="1"/>
      <c r="AAJ386" s="1"/>
      <c r="AAK386" s="1"/>
      <c r="AAL386" s="1"/>
      <c r="AAM386" s="1"/>
      <c r="AAN386" s="1"/>
      <c r="AAO386" s="1"/>
      <c r="AAP386" s="1"/>
      <c r="AAQ386" s="1"/>
      <c r="AAR386" s="1"/>
      <c r="AAS386" s="1"/>
      <c r="AAT386" s="1"/>
      <c r="AAU386" s="1"/>
      <c r="AAV386" s="1"/>
      <c r="AAW386" s="1"/>
      <c r="AAX386" s="1"/>
      <c r="AAY386" s="1"/>
      <c r="AAZ386" s="1"/>
      <c r="ABA386" s="1"/>
      <c r="ABB386" s="1"/>
      <c r="ABC386" s="1"/>
      <c r="ABD386" s="1"/>
      <c r="ABE386" s="1"/>
      <c r="ABF386" s="1"/>
      <c r="ABG386" s="1"/>
      <c r="ABH386" s="1"/>
      <c r="ABI386" s="1"/>
      <c r="ABJ386" s="1"/>
      <c r="ABK386" s="1"/>
      <c r="ABL386" s="1"/>
      <c r="ABM386" s="1"/>
      <c r="ABN386" s="1"/>
      <c r="ABO386" s="1"/>
      <c r="ABP386" s="1"/>
      <c r="ABQ386" s="1"/>
      <c r="ABR386" s="1"/>
      <c r="ABS386" s="1"/>
      <c r="ABT386" s="1"/>
      <c r="ABU386" s="1"/>
      <c r="ABV386" s="1"/>
      <c r="ABW386" s="1"/>
      <c r="ABX386" s="1"/>
      <c r="ABY386" s="1"/>
      <c r="ABZ386" s="1"/>
      <c r="ACA386" s="1"/>
      <c r="ACB386" s="1"/>
      <c r="ACC386" s="1"/>
      <c r="ACD386" s="1"/>
      <c r="ACE386" s="1"/>
      <c r="ACF386" s="1"/>
      <c r="ACG386" s="1"/>
      <c r="ACH386" s="1"/>
      <c r="ACI386" s="1"/>
      <c r="ACJ386" s="1"/>
      <c r="ACK386" s="1"/>
      <c r="ACL386" s="1"/>
      <c r="ACM386" s="1"/>
      <c r="ACN386" s="1"/>
      <c r="ACO386" s="1"/>
      <c r="ACP386" s="1"/>
      <c r="ACQ386" s="1"/>
      <c r="ACR386" s="1"/>
      <c r="ACS386" s="1"/>
      <c r="ACT386" s="1"/>
      <c r="ACU386" s="1"/>
      <c r="ACV386" s="1"/>
      <c r="ACW386" s="1"/>
      <c r="ACX386" s="1"/>
      <c r="ACY386" s="1"/>
      <c r="ACZ386" s="1"/>
      <c r="ADA386" s="1"/>
      <c r="ADB386" s="1"/>
      <c r="ADC386" s="1"/>
      <c r="ADD386" s="1"/>
      <c r="ADE386" s="1"/>
      <c r="ADF386" s="1"/>
      <c r="ADG386" s="1"/>
      <c r="ADH386" s="1"/>
      <c r="ADI386" s="1"/>
      <c r="ADJ386" s="1"/>
      <c r="ADK386" s="1"/>
      <c r="ADL386" s="1"/>
      <c r="ADM386" s="1"/>
      <c r="ADN386" s="1"/>
      <c r="ADO386" s="1"/>
      <c r="ADP386" s="1"/>
      <c r="ADQ386" s="1"/>
      <c r="ADR386" s="1"/>
      <c r="ADS386" s="1"/>
      <c r="ADT386" s="1"/>
      <c r="ADU386" s="1"/>
      <c r="ADV386" s="1"/>
      <c r="ADW386" s="1"/>
      <c r="ADX386" s="1"/>
      <c r="ADY386" s="1"/>
      <c r="ADZ386" s="1"/>
      <c r="AEA386" s="1"/>
      <c r="AEB386" s="1"/>
      <c r="AEC386" s="1"/>
      <c r="AED386" s="1"/>
      <c r="AEE386" s="1"/>
      <c r="AEF386" s="1"/>
      <c r="AEG386" s="1"/>
      <c r="AEH386" s="1"/>
      <c r="AEI386" s="1"/>
      <c r="AEJ386" s="1"/>
      <c r="AEK386" s="1"/>
      <c r="AEL386" s="1"/>
      <c r="AEM386" s="1"/>
      <c r="AEN386" s="1"/>
      <c r="AEO386" s="1"/>
      <c r="AEP386" s="1"/>
      <c r="AEQ386" s="1"/>
      <c r="AER386" s="1"/>
      <c r="AES386" s="1"/>
      <c r="AET386" s="1"/>
      <c r="AEU386" s="1"/>
      <c r="AEV386" s="1"/>
      <c r="AEW386" s="1"/>
      <c r="AEX386" s="1"/>
      <c r="AEY386" s="1"/>
      <c r="AEZ386" s="1"/>
      <c r="AFA386" s="1"/>
      <c r="AFB386" s="1"/>
      <c r="AFC386" s="1"/>
      <c r="AFD386" s="1"/>
      <c r="AFE386" s="1"/>
      <c r="AFF386" s="1"/>
      <c r="AFG386" s="1"/>
      <c r="AFH386" s="1"/>
      <c r="AFI386" s="1"/>
      <c r="AFJ386" s="1"/>
      <c r="AFK386" s="1"/>
      <c r="AFL386" s="1"/>
      <c r="AFM386" s="1"/>
      <c r="AFN386" s="1"/>
      <c r="AFO386" s="1"/>
      <c r="AFP386" s="1"/>
      <c r="AFQ386" s="1"/>
      <c r="AFR386" s="1"/>
      <c r="AFS386" s="1"/>
      <c r="AFT386" s="1"/>
      <c r="AFU386" s="1"/>
      <c r="AFV386" s="1"/>
      <c r="AFW386" s="1"/>
      <c r="AFX386" s="1"/>
      <c r="AFY386" s="1"/>
      <c r="AFZ386" s="1"/>
      <c r="AGA386" s="1"/>
      <c r="AGB386" s="1"/>
      <c r="AGC386" s="1"/>
      <c r="AGD386" s="1"/>
      <c r="AGE386" s="1"/>
      <c r="AGF386" s="1"/>
      <c r="AGG386" s="1"/>
      <c r="AGH386" s="1"/>
      <c r="AGI386" s="1"/>
      <c r="AGJ386" s="1"/>
      <c r="AGK386" s="1"/>
      <c r="AGL386" s="1"/>
      <c r="AGM386" s="1"/>
      <c r="AGN386" s="1"/>
      <c r="AGO386" s="1"/>
      <c r="AGP386" s="1"/>
      <c r="AGQ386" s="1"/>
      <c r="AGR386" s="1"/>
      <c r="AGS386" s="1"/>
      <c r="AGT386" s="1"/>
      <c r="AGU386" s="1"/>
      <c r="AGV386" s="1"/>
      <c r="AGW386" s="1"/>
      <c r="AGX386" s="1"/>
      <c r="AGY386" s="1"/>
      <c r="AGZ386" s="1"/>
      <c r="AHA386" s="1"/>
      <c r="AHB386" s="1"/>
      <c r="AHC386" s="1"/>
      <c r="AHD386" s="1"/>
      <c r="AHE386" s="1"/>
      <c r="AHF386" s="1"/>
      <c r="AHG386" s="1"/>
      <c r="AHH386" s="1"/>
      <c r="AHI386" s="1"/>
      <c r="AHJ386" s="1"/>
      <c r="AHK386" s="1"/>
      <c r="AHL386" s="1"/>
      <c r="AHM386" s="1"/>
      <c r="AHN386" s="1"/>
      <c r="AHO386" s="1"/>
      <c r="AHP386" s="1"/>
      <c r="AHQ386" s="1"/>
      <c r="AHR386" s="1"/>
      <c r="AHS386" s="1"/>
      <c r="AHT386" s="1"/>
      <c r="AHU386" s="1"/>
      <c r="AHV386" s="1"/>
      <c r="AHW386" s="1"/>
      <c r="AHX386" s="1"/>
      <c r="AHY386" s="1"/>
      <c r="AHZ386" s="1"/>
      <c r="AIA386" s="1"/>
      <c r="AIB386" s="1"/>
      <c r="AIC386" s="1"/>
      <c r="AID386" s="1"/>
      <c r="AIE386" s="1"/>
      <c r="AIF386" s="1"/>
      <c r="AIG386" s="1"/>
      <c r="AIH386" s="1"/>
      <c r="AII386" s="1"/>
      <c r="AIJ386" s="1"/>
      <c r="AIK386" s="1"/>
      <c r="AIL386" s="1"/>
      <c r="AIM386" s="1"/>
      <c r="AIN386" s="1"/>
      <c r="AIO386" s="1"/>
      <c r="AIP386" s="1"/>
      <c r="AIQ386" s="1"/>
      <c r="AIR386" s="1"/>
      <c r="AIS386" s="1"/>
      <c r="AIT386" s="1"/>
      <c r="AIU386" s="1"/>
      <c r="AIV386" s="1"/>
      <c r="AIW386" s="1"/>
      <c r="AIX386" s="1"/>
      <c r="AIY386" s="1"/>
      <c r="AIZ386" s="1"/>
      <c r="AJA386" s="1"/>
      <c r="AJB386" s="1"/>
      <c r="AJC386" s="1"/>
      <c r="AJD386" s="1"/>
      <c r="AJE386" s="1"/>
      <c r="AJF386" s="1"/>
      <c r="AJG386" s="1"/>
      <c r="AJH386" s="1"/>
      <c r="AJI386" s="1"/>
      <c r="AJJ386" s="1"/>
      <c r="AJK386" s="1"/>
      <c r="AJL386" s="1"/>
      <c r="AJM386" s="1"/>
      <c r="AJN386" s="1"/>
      <c r="AJO386" s="1"/>
      <c r="AJP386" s="1"/>
      <c r="AJQ386" s="1"/>
      <c r="AJR386" s="1"/>
      <c r="AJS386" s="1"/>
      <c r="AJT386" s="1"/>
      <c r="AJU386" s="1"/>
      <c r="AJV386" s="1"/>
      <c r="AJW386" s="1"/>
      <c r="AJX386" s="1"/>
      <c r="AJY386" s="1"/>
      <c r="AJZ386" s="1"/>
      <c r="AKA386" s="1"/>
      <c r="AKB386" s="1"/>
      <c r="AKC386" s="1"/>
      <c r="AKD386" s="1"/>
      <c r="AKE386" s="1"/>
      <c r="AKF386" s="1"/>
      <c r="AKG386" s="1"/>
      <c r="AKH386" s="1"/>
      <c r="AKI386" s="1"/>
      <c r="AKJ386" s="1"/>
      <c r="AKK386" s="1"/>
      <c r="AKL386" s="1"/>
      <c r="AKM386" s="1"/>
      <c r="AKN386" s="1"/>
      <c r="AKO386" s="1"/>
      <c r="AKP386" s="1"/>
      <c r="AKQ386" s="1"/>
      <c r="AKR386" s="1"/>
      <c r="AKS386" s="1"/>
      <c r="AKT386" s="1"/>
      <c r="AKU386" s="1"/>
      <c r="AKV386" s="1"/>
      <c r="AKW386" s="1"/>
      <c r="AKX386" s="1"/>
      <c r="AKY386" s="1"/>
      <c r="AKZ386" s="1"/>
      <c r="ALA386" s="1"/>
      <c r="ALB386" s="1"/>
      <c r="ALC386" s="1"/>
      <c r="ALD386" s="1"/>
      <c r="ALE386" s="1"/>
      <c r="ALF386" s="1"/>
      <c r="ALG386" s="1"/>
      <c r="ALH386" s="1"/>
      <c r="ALI386" s="1"/>
      <c r="ALJ386" s="1"/>
      <c r="ALK386" s="1"/>
      <c r="ALL386" s="1"/>
      <c r="ALM386" s="1"/>
      <c r="ALN386" s="1"/>
      <c r="ALO386" s="1"/>
      <c r="ALP386" s="1"/>
      <c r="ALQ386" s="1"/>
      <c r="ALR386" s="1"/>
      <c r="ALS386" s="1"/>
      <c r="ALT386" s="1"/>
      <c r="ALU386" s="1"/>
      <c r="ALV386" s="1"/>
      <c r="ALW386" s="1"/>
      <c r="ALX386" s="1"/>
      <c r="ALY386" s="1"/>
      <c r="ALZ386" s="1"/>
      <c r="AMA386" s="1"/>
      <c r="AMB386" s="1"/>
      <c r="AMC386" s="1"/>
      <c r="AMD386" s="1"/>
      <c r="AME386" s="1"/>
      <c r="AMF386" s="1"/>
      <c r="AMG386" s="1"/>
      <c r="AMH386" s="1"/>
      <c r="AMI386" s="1"/>
      <c r="AMJ386" s="1"/>
      <c r="AMK386" s="1"/>
      <c r="AML386" s="1"/>
      <c r="AMM386" s="1"/>
      <c r="AMN386" s="1"/>
      <c r="AMO386" s="1"/>
    </row>
    <row r="387" spans="1:1030" x14ac:dyDescent="0.2">
      <c r="A387" s="3" t="str">
        <f>CONCATENATE(B387,"_",C387)</f>
        <v>us28_hcmva_4XT3</v>
      </c>
      <c r="B387" s="2" t="s">
        <v>917</v>
      </c>
      <c r="C387" s="3" t="s">
        <v>1365</v>
      </c>
      <c r="D387" s="3" t="str">
        <f>IFERROR(MID(VLOOKUP($B387,Seqs!$A:$B,2,0),E387,1),"")</f>
        <v>F</v>
      </c>
      <c r="E387" s="105">
        <v>25</v>
      </c>
      <c r="F387" s="3" t="str">
        <f>IFERROR(MID(VLOOKUP($B387,Seqs!$A:$B,2,0),G387,1),"")</f>
        <v>R</v>
      </c>
      <c r="G387" s="105">
        <v>62</v>
      </c>
      <c r="H387" s="3" t="str">
        <f>IFERROR(MID(VLOOKUP($B387,Seqs!$A:$B,2,0),I387,1),"")</f>
        <v/>
      </c>
      <c r="I387" s="23" t="s">
        <v>23</v>
      </c>
      <c r="J387" s="3" t="str">
        <f>IFERROR(MID(VLOOKUP($B387,Seqs!$A:$B,2,0),K387,1),"")</f>
        <v/>
      </c>
      <c r="K387" s="23" t="s">
        <v>23</v>
      </c>
      <c r="L387" s="3" t="str">
        <f>IFERROR(MID(VLOOKUP($B387,Seqs!$A:$B,2,0),M387,1),"")</f>
        <v>C</v>
      </c>
      <c r="M387" s="3">
        <v>66</v>
      </c>
      <c r="N387" s="3" t="str">
        <f>IFERROR(MID(VLOOKUP($B387,Seqs!$A:$B,2,0),O387,1),"")</f>
        <v>D</v>
      </c>
      <c r="O387" s="3">
        <v>95</v>
      </c>
      <c r="P387" s="3" t="str">
        <f>IFERROR(MID(VLOOKUP($B387,Seqs!$A:$B,2,0),Q387,1),"")</f>
        <v/>
      </c>
      <c r="Q387" s="3" t="s">
        <v>23</v>
      </c>
      <c r="R387" s="3" t="str">
        <f>IFERROR(MID(VLOOKUP($B387,Seqs!$A:$B,2,0),S387,1),"")</f>
        <v/>
      </c>
      <c r="S387" s="3" t="s">
        <v>23</v>
      </c>
      <c r="T387" s="3" t="str">
        <f>IFERROR(MID(VLOOKUP($B387,Seqs!$A:$B,2,0),U387,1),"")</f>
        <v>P</v>
      </c>
      <c r="U387" s="3">
        <v>103</v>
      </c>
      <c r="V387" s="3" t="str">
        <f>IFERROR(MID(VLOOKUP($B387,Seqs!$A:$B,2,0),W387,1),"")</f>
        <v>V</v>
      </c>
      <c r="W387" s="105">
        <v>134</v>
      </c>
      <c r="X387" s="3" t="str">
        <f>IFERROR(MID(VLOOKUP($B387,Seqs!$A:$B,2,0),Y387,1),"")</f>
        <v/>
      </c>
      <c r="Y387" s="3" t="s">
        <v>23</v>
      </c>
      <c r="Z387" s="3" t="str">
        <f>IFERROR(MID(VLOOKUP($B387,Seqs!$A:$B,2,0),AA387,1),"")</f>
        <v/>
      </c>
      <c r="AA387" s="3" t="s">
        <v>23</v>
      </c>
      <c r="AB387" s="3" t="str">
        <f>IFERROR(MID(VLOOKUP($B387,Seqs!$A:$B,2,0),AC387,1),"")</f>
        <v>P</v>
      </c>
      <c r="AC387" s="9">
        <v>140</v>
      </c>
      <c r="AD387" s="3" t="str">
        <f>IFERROR(MID(VLOOKUP($B387,Seqs!$A:$B,2,0),AE387,1),"")</f>
        <v>M</v>
      </c>
      <c r="AE387" s="105">
        <v>164</v>
      </c>
      <c r="AF387" s="3" t="str">
        <f>IFERROR(MID(VLOOKUP($B387,Seqs!$A:$B,2,0),AG387,1),"")</f>
        <v>C</v>
      </c>
      <c r="AG387" s="3">
        <v>173</v>
      </c>
      <c r="AH387" s="3" t="str">
        <f>IFERROR(MID(VLOOKUP($B387,Seqs!$A:$B,2,0),AI387,1),"")</f>
        <v>T</v>
      </c>
      <c r="AI387" s="3">
        <v>175</v>
      </c>
      <c r="AJ387" s="3" t="str">
        <f>IFERROR(MID(VLOOKUP($B387,Seqs!$A:$B,2,0),AK387,1),"")</f>
        <v>S</v>
      </c>
      <c r="AK387" s="105">
        <v>183</v>
      </c>
      <c r="AL387" s="3" t="str">
        <f>IFERROR(MID(VLOOKUP($B387,Seqs!$A:$B,2,0),AM387,1),"")</f>
        <v>S</v>
      </c>
      <c r="AM387" s="3">
        <v>218</v>
      </c>
      <c r="AN387" s="3" t="str">
        <f>IFERROR(MID(VLOOKUP($B387,Seqs!$A:$B,2,0),AO387,1),"")</f>
        <v>H</v>
      </c>
      <c r="AO387" s="3">
        <v>222</v>
      </c>
      <c r="AP387" s="3" t="str">
        <f>IFERROR(MID(VLOOKUP($B387,Seqs!$A:$B,2,0),AQ387,1),"")</f>
        <v>K</v>
      </c>
      <c r="AQ387" s="3">
        <v>257</v>
      </c>
      <c r="AR387" s="3" t="str">
        <f>IFERROR(MID(VLOOKUP($B387,Seqs!$A:$B,2,0),AS387,1),"")</f>
        <v>C</v>
      </c>
      <c r="AS387" s="3">
        <v>263</v>
      </c>
      <c r="AT387" s="3" t="str">
        <f>IFERROR(MID(VLOOKUP($B387,Seqs!$A:$B,2,0),AU387,1),"")</f>
        <v>V</v>
      </c>
      <c r="AU387" s="3">
        <v>294</v>
      </c>
      <c r="AV387" s="3" t="str">
        <f>IFERROR(MID(VLOOKUP($B387,Seqs!$A:$B,2,0),AW387,1),"")</f>
        <v/>
      </c>
      <c r="AW387" s="3" t="s">
        <v>23</v>
      </c>
      <c r="AX387" s="3" t="str">
        <f>IFERROR(MID(VLOOKUP($B387,Seqs!$A:$B,2,0),AY387,1),"")</f>
        <v/>
      </c>
      <c r="AY387" s="3" t="s">
        <v>23</v>
      </c>
      <c r="AZ387" s="77" t="str">
        <f>VLOOKUP(B387,Classification!A:D,2,0)</f>
        <v>A</v>
      </c>
      <c r="BA387" s="94" t="str">
        <f>VLOOKUP(B387,Classification!A:D,4,0)</f>
        <v>Chemokine</v>
      </c>
      <c r="BB387" s="27" t="b">
        <f t="shared" ref="BB387:BB395" si="1169">AND(E387&lt;G387,OR(G387&lt;I387,I387="-"),OR(I387&lt;K387,I387="-"),OR(K387&lt;M387,K387="-"),M387&lt;O387,OR(O387&lt;Q387,Q387="-"),OR(Q387&lt;S387,Q387="-"),OR(S387&lt;U387,S387="-"),U387&lt;W387,OR(W387&lt;Y387,Y387="-"),OR(Y387&lt;AA387,Y387="-"),OR(AA387&lt;AC387,AA387="-"),AC387&lt;AE387,OR(AE387&lt;AG387,AG387="-"),OR(AG387&lt;AI387,AG387="-"),OR(AI387&lt;AK387,AI387="-"),AK387&lt;AM387,AM387&lt;AO387,AO387&lt;AQ387,AQ387&lt;AS387,AS387&lt;AU387,OR(AU387&lt;AW387,AW387="-"),OR(AW387&lt;AY387,AW387="-"))</f>
        <v>1</v>
      </c>
      <c r="BC387" s="23">
        <f t="shared" ref="BC387:BC395" si="1170">_xlfn.AGGREGATE(9,6,CH387:CS387)-_xlfn.AGGREGATE(9,6,BV387:CG387)+12</f>
        <v>236</v>
      </c>
      <c r="BD387" s="4" t="s">
        <v>23</v>
      </c>
      <c r="BE387" s="3" t="s">
        <v>1285</v>
      </c>
      <c r="BF387" s="118">
        <v>3.8</v>
      </c>
      <c r="BG387" s="49" t="s">
        <v>1371</v>
      </c>
      <c r="BH387" s="49" t="s">
        <v>1371</v>
      </c>
      <c r="BI387" s="1"/>
      <c r="BJ387" s="70" t="s">
        <v>1281</v>
      </c>
      <c r="BK387" s="57" t="s">
        <v>1281</v>
      </c>
      <c r="BL387" s="57" t="s">
        <v>1281</v>
      </c>
      <c r="BM387" s="57" t="s">
        <v>1281</v>
      </c>
      <c r="BN387" s="57" t="s">
        <v>1281</v>
      </c>
      <c r="BO387" s="57" t="s">
        <v>1281</v>
      </c>
      <c r="BP387" s="57" t="s">
        <v>1281</v>
      </c>
      <c r="BQ387" s="57" t="s">
        <v>1281</v>
      </c>
      <c r="BR387" s="57" t="s">
        <v>1281</v>
      </c>
      <c r="BS387" s="57" t="s">
        <v>1281</v>
      </c>
      <c r="BT387" s="57" t="s">
        <v>1281</v>
      </c>
      <c r="BU387" s="57" t="s">
        <v>1281</v>
      </c>
      <c r="BV387" s="70">
        <f>E387</f>
        <v>25</v>
      </c>
      <c r="BW387" s="71" t="str">
        <f>I387</f>
        <v>-</v>
      </c>
      <c r="BX387" s="72">
        <f>M387</f>
        <v>66</v>
      </c>
      <c r="BY387" s="71" t="str">
        <f>Q387</f>
        <v>-</v>
      </c>
      <c r="BZ387" s="72">
        <f>U387</f>
        <v>103</v>
      </c>
      <c r="CA387" s="71" t="str">
        <f>Y387</f>
        <v>-</v>
      </c>
      <c r="CB387" s="72">
        <f>AC387</f>
        <v>140</v>
      </c>
      <c r="CC387" s="71">
        <f>AG387</f>
        <v>173</v>
      </c>
      <c r="CD387" s="72">
        <f>AK387</f>
        <v>183</v>
      </c>
      <c r="CE387" s="71">
        <f>AO387</f>
        <v>222</v>
      </c>
      <c r="CF387" s="72">
        <f>AS387</f>
        <v>263</v>
      </c>
      <c r="CG387" s="71" t="str">
        <f>AW387</f>
        <v>-</v>
      </c>
      <c r="CH387" s="70">
        <f>G387</f>
        <v>62</v>
      </c>
      <c r="CI387" s="71" t="str">
        <f>K387</f>
        <v>-</v>
      </c>
      <c r="CJ387" s="72">
        <f>O387</f>
        <v>95</v>
      </c>
      <c r="CK387" s="72" t="str">
        <f>S387</f>
        <v>-</v>
      </c>
      <c r="CL387" s="72">
        <f>W387</f>
        <v>134</v>
      </c>
      <c r="CM387" s="72" t="str">
        <f>AA387</f>
        <v>-</v>
      </c>
      <c r="CN387" s="72">
        <f>AE387</f>
        <v>164</v>
      </c>
      <c r="CO387" s="72">
        <f>AI387</f>
        <v>175</v>
      </c>
      <c r="CP387" s="72">
        <f>AM387</f>
        <v>218</v>
      </c>
      <c r="CQ387" s="72">
        <f>AQ387</f>
        <v>257</v>
      </c>
      <c r="CR387" s="72">
        <f>AU387</f>
        <v>294</v>
      </c>
      <c r="CS387" s="72" t="str">
        <f>AY387</f>
        <v>-</v>
      </c>
      <c r="CT387" s="23" t="e">
        <f>M387-K387</f>
        <v>#VALUE!</v>
      </c>
      <c r="CU387" s="6"/>
      <c r="CV387" s="6"/>
      <c r="CW387" s="6"/>
      <c r="CX387" s="6"/>
      <c r="CY387" s="6"/>
      <c r="CZ387" s="6"/>
      <c r="DA387" s="6"/>
      <c r="DB387" s="6"/>
      <c r="DC387" s="6"/>
      <c r="DD387" s="6"/>
      <c r="DE387" s="6"/>
      <c r="DF387" s="6"/>
      <c r="DG387" s="6"/>
      <c r="DH387" s="6"/>
      <c r="DI387" s="6"/>
      <c r="DJ387" s="6"/>
      <c r="DK387" s="6"/>
      <c r="DL387" s="6"/>
      <c r="DM387" s="6"/>
      <c r="DN387" s="6"/>
      <c r="DO387" s="6"/>
      <c r="DP387" s="6"/>
      <c r="DQ387" s="6"/>
      <c r="DR387" s="6"/>
      <c r="DS387" s="6"/>
      <c r="DT387" s="6"/>
      <c r="DU387" s="6"/>
      <c r="DV387" s="6"/>
      <c r="DW387" s="6"/>
      <c r="DX387" s="6"/>
      <c r="DY387" s="6"/>
      <c r="DZ387" s="6"/>
      <c r="EA387" s="6"/>
      <c r="EB387" s="6"/>
      <c r="EC387" s="6"/>
      <c r="ED387" s="6"/>
      <c r="EE387" s="6"/>
      <c r="EF387" s="6"/>
      <c r="EG387" s="6"/>
      <c r="EH387" s="6"/>
      <c r="EI387" s="6"/>
      <c r="EJ387" s="6"/>
      <c r="EK387" s="6"/>
      <c r="EL387" s="6"/>
      <c r="EM387" s="6"/>
      <c r="EN387" s="6"/>
      <c r="EO387" s="6"/>
      <c r="EP387" s="6"/>
      <c r="EQ387" s="6"/>
      <c r="ER387" s="6"/>
      <c r="ES387" s="6"/>
      <c r="ET387" s="6"/>
      <c r="EU387" s="6"/>
      <c r="EV387" s="6"/>
      <c r="EW387" s="6"/>
      <c r="EX387" s="6"/>
      <c r="EY387" s="6"/>
      <c r="EZ387" s="6"/>
      <c r="FA387" s="6"/>
      <c r="FB387" s="6"/>
      <c r="FC387" s="6"/>
      <c r="FD387" s="6"/>
      <c r="FE387" s="6"/>
      <c r="FF387" s="6"/>
      <c r="FG387" s="6"/>
      <c r="FH387" s="6"/>
      <c r="FI387" s="6"/>
      <c r="FJ387" s="6"/>
      <c r="FK387" s="6"/>
      <c r="FL387" s="6"/>
      <c r="FM387" s="6"/>
      <c r="FN387" s="6"/>
      <c r="FO387" s="6"/>
      <c r="FP387" s="6"/>
      <c r="FQ387" s="6"/>
      <c r="FR387" s="6"/>
      <c r="FS387" s="6"/>
      <c r="FT387" s="6"/>
      <c r="FU387" s="6"/>
      <c r="FV387" s="6"/>
      <c r="FW387" s="6"/>
      <c r="FX387" s="6"/>
      <c r="FY387" s="6"/>
      <c r="FZ387" s="6"/>
      <c r="GA387" s="6"/>
      <c r="GB387" s="6"/>
      <c r="GC387" s="6"/>
      <c r="GD387" s="6"/>
      <c r="GE387" s="6"/>
      <c r="GF387" s="6"/>
      <c r="GG387" s="6"/>
      <c r="GH387" s="6"/>
      <c r="GI387" s="6"/>
      <c r="GJ387" s="6"/>
      <c r="GK387" s="6"/>
      <c r="GL387" s="6"/>
      <c r="GM387" s="6"/>
      <c r="GN387" s="6"/>
      <c r="GO387" s="6"/>
      <c r="GP387" s="6"/>
      <c r="GQ387" s="6"/>
      <c r="GR387" s="6"/>
      <c r="GS387" s="6"/>
      <c r="GT387" s="6"/>
      <c r="GU387" s="6"/>
      <c r="GV387" s="6"/>
      <c r="GW387" s="6"/>
      <c r="GX387" s="6"/>
      <c r="GY387" s="6"/>
      <c r="GZ387" s="6"/>
      <c r="HA387" s="6"/>
      <c r="HB387" s="6"/>
      <c r="HC387" s="6"/>
      <c r="HD387" s="6"/>
      <c r="HE387" s="6"/>
      <c r="HF387" s="6"/>
      <c r="HG387" s="6"/>
      <c r="HH387" s="6"/>
      <c r="HI387" s="6"/>
      <c r="HJ387" s="6"/>
      <c r="HK387" s="6"/>
      <c r="HL387" s="6"/>
      <c r="HM387" s="6"/>
      <c r="HN387" s="6"/>
      <c r="HO387" s="6"/>
      <c r="HP387" s="6"/>
      <c r="HQ387" s="6"/>
      <c r="HR387" s="6"/>
      <c r="HS387" s="6"/>
      <c r="HT387" s="6"/>
      <c r="HU387" s="6"/>
      <c r="HV387" s="6"/>
      <c r="HW387" s="6"/>
      <c r="HX387" s="6"/>
      <c r="HY387" s="6"/>
      <c r="HZ387" s="6"/>
      <c r="IA387" s="6"/>
      <c r="IB387" s="6"/>
      <c r="IC387" s="6"/>
      <c r="ID387" s="6"/>
      <c r="IE387" s="6"/>
      <c r="IF387" s="6"/>
      <c r="IG387" s="6"/>
      <c r="IH387" s="6"/>
      <c r="II387" s="6"/>
      <c r="IJ387" s="6"/>
      <c r="IK387" s="6"/>
      <c r="IL387" s="6"/>
      <c r="IM387" s="6"/>
      <c r="IN387" s="6"/>
      <c r="IO387" s="6"/>
      <c r="IP387" s="6"/>
      <c r="IQ387" s="6"/>
      <c r="IR387" s="6"/>
      <c r="IS387" s="6"/>
      <c r="IT387" s="6"/>
      <c r="IU387" s="6"/>
      <c r="IV387" s="6"/>
      <c r="IW387" s="6"/>
      <c r="IX387" s="6"/>
      <c r="IY387" s="6"/>
      <c r="IZ387" s="6"/>
      <c r="JA387" s="6"/>
      <c r="JB387" s="6"/>
      <c r="JC387" s="6"/>
      <c r="JD387" s="6"/>
      <c r="JE387" s="6"/>
      <c r="JF387" s="6"/>
      <c r="JG387" s="6"/>
      <c r="JH387" s="6"/>
      <c r="JI387" s="6"/>
      <c r="JJ387" s="6"/>
      <c r="JK387" s="6"/>
      <c r="JL387" s="6"/>
      <c r="JM387" s="6"/>
      <c r="JN387" s="6"/>
      <c r="JO387" s="6"/>
      <c r="JP387" s="6"/>
      <c r="JQ387" s="6"/>
      <c r="JR387" s="6"/>
      <c r="JS387" s="6"/>
      <c r="JT387" s="6"/>
      <c r="JU387" s="6"/>
      <c r="JV387" s="6"/>
      <c r="JW387" s="6"/>
      <c r="JX387" s="6"/>
      <c r="JY387" s="6"/>
      <c r="JZ387" s="6"/>
      <c r="KA387" s="6"/>
      <c r="KB387" s="6"/>
      <c r="KC387" s="6"/>
      <c r="KD387" s="6"/>
      <c r="KE387" s="6"/>
      <c r="KF387" s="6"/>
      <c r="KG387" s="6"/>
      <c r="KH387" s="6"/>
      <c r="KI387" s="6"/>
      <c r="KJ387" s="6"/>
      <c r="KK387" s="6"/>
      <c r="KL387" s="6"/>
      <c r="KM387" s="6"/>
      <c r="KN387" s="6"/>
      <c r="KO387" s="6"/>
      <c r="KP387" s="6"/>
      <c r="KQ387" s="6"/>
      <c r="KR387" s="6"/>
      <c r="KS387" s="6"/>
      <c r="KT387" s="6"/>
      <c r="KU387" s="6"/>
      <c r="KV387" s="6"/>
      <c r="KW387" s="6"/>
      <c r="KX387" s="6"/>
      <c r="KY387" s="6"/>
      <c r="KZ387" s="6"/>
      <c r="LA387" s="6"/>
      <c r="LB387" s="6"/>
      <c r="LC387" s="6"/>
      <c r="LD387" s="6"/>
      <c r="LE387" s="6"/>
      <c r="LF387" s="6"/>
      <c r="LG387" s="6"/>
      <c r="LH387" s="6"/>
      <c r="LI387" s="6"/>
      <c r="LJ387" s="6"/>
      <c r="LK387" s="6"/>
      <c r="LL387" s="6"/>
      <c r="LM387" s="6"/>
      <c r="LN387" s="6"/>
      <c r="LO387" s="6"/>
      <c r="LP387" s="6"/>
      <c r="LQ387" s="6"/>
      <c r="LR387" s="6"/>
      <c r="LS387" s="6"/>
      <c r="LT387" s="6"/>
      <c r="LU387" s="6"/>
      <c r="LV387" s="6"/>
      <c r="LW387" s="6"/>
      <c r="LX387" s="6"/>
      <c r="LY387" s="6"/>
      <c r="LZ387" s="6"/>
      <c r="MA387" s="6"/>
      <c r="MB387" s="6"/>
      <c r="MC387" s="6"/>
      <c r="MD387" s="6"/>
      <c r="ME387" s="6"/>
      <c r="MF387" s="6"/>
      <c r="MG387" s="6"/>
      <c r="MH387" s="6"/>
      <c r="MI387" s="6"/>
      <c r="MJ387" s="6"/>
      <c r="MK387" s="6"/>
      <c r="ML387" s="6"/>
      <c r="MM387" s="6"/>
      <c r="MN387" s="6"/>
      <c r="MO387" s="6"/>
      <c r="MP387" s="6"/>
      <c r="MQ387" s="6"/>
      <c r="MR387" s="6"/>
      <c r="MS387" s="6"/>
      <c r="MT387" s="6"/>
      <c r="MU387" s="6"/>
      <c r="MV387" s="6"/>
      <c r="MW387" s="6"/>
      <c r="MX387" s="6"/>
      <c r="MY387" s="6"/>
      <c r="MZ387" s="6"/>
      <c r="NA387" s="6"/>
      <c r="NB387" s="6"/>
      <c r="NC387" s="6"/>
      <c r="ND387" s="6"/>
      <c r="NE387" s="6"/>
      <c r="NF387" s="6"/>
      <c r="NG387" s="6"/>
      <c r="NH387" s="6"/>
      <c r="NI387" s="6"/>
      <c r="NJ387" s="6"/>
      <c r="NK387" s="6"/>
      <c r="NL387" s="6"/>
      <c r="NM387" s="6"/>
      <c r="NN387" s="6"/>
      <c r="NO387" s="6"/>
      <c r="NP387" s="6"/>
      <c r="NQ387" s="6"/>
      <c r="NR387" s="6"/>
      <c r="NS387" s="6"/>
      <c r="NT387" s="6"/>
      <c r="NU387" s="6"/>
      <c r="NV387" s="6"/>
      <c r="NW387" s="6"/>
      <c r="NX387" s="6"/>
      <c r="NY387" s="6"/>
      <c r="NZ387" s="6"/>
      <c r="OA387" s="6"/>
      <c r="OB387" s="6"/>
      <c r="OC387" s="6"/>
      <c r="OD387" s="6"/>
      <c r="OE387" s="6"/>
      <c r="OF387" s="6"/>
      <c r="OG387" s="6"/>
      <c r="OH387" s="6"/>
      <c r="OI387" s="6"/>
      <c r="OJ387" s="6"/>
      <c r="OK387" s="6"/>
      <c r="OL387" s="6"/>
      <c r="OM387" s="6"/>
      <c r="ON387" s="6"/>
      <c r="OO387" s="6"/>
      <c r="OP387" s="6"/>
      <c r="OQ387" s="6"/>
      <c r="OR387" s="6"/>
      <c r="OS387" s="6"/>
      <c r="OT387" s="6"/>
      <c r="OU387" s="6"/>
      <c r="OV387" s="6"/>
      <c r="OW387" s="6"/>
      <c r="OX387" s="6"/>
      <c r="OY387" s="6"/>
      <c r="OZ387" s="6"/>
      <c r="PA387" s="6"/>
      <c r="PB387" s="6"/>
      <c r="PC387" s="6"/>
      <c r="PD387" s="6"/>
      <c r="PE387" s="6"/>
      <c r="PF387" s="6"/>
      <c r="PG387" s="6"/>
      <c r="PH387" s="6"/>
      <c r="PI387" s="6"/>
      <c r="PJ387" s="6"/>
      <c r="PK387" s="6"/>
      <c r="PL387" s="6"/>
      <c r="PM387" s="6"/>
      <c r="PN387" s="6"/>
      <c r="PO387" s="6"/>
      <c r="PP387" s="6"/>
      <c r="PQ387" s="6"/>
      <c r="PR387" s="6"/>
      <c r="PS387" s="6"/>
      <c r="PT387" s="6"/>
      <c r="PU387" s="6"/>
      <c r="PV387" s="6"/>
      <c r="PW387" s="6"/>
      <c r="PX387" s="6"/>
      <c r="PY387" s="6"/>
      <c r="PZ387" s="6"/>
      <c r="QA387" s="6"/>
      <c r="QB387" s="6"/>
      <c r="QC387" s="6"/>
      <c r="QD387" s="6"/>
      <c r="QE387" s="6"/>
      <c r="QF387" s="6"/>
      <c r="QG387" s="6"/>
      <c r="QH387" s="6"/>
      <c r="QI387" s="6"/>
      <c r="QJ387" s="6"/>
      <c r="QK387" s="6"/>
      <c r="QL387" s="6"/>
      <c r="QM387" s="6"/>
      <c r="QN387" s="6"/>
      <c r="QO387" s="6"/>
      <c r="QP387" s="6"/>
      <c r="QQ387" s="6"/>
      <c r="QR387" s="6"/>
      <c r="QS387" s="6"/>
      <c r="QT387" s="6"/>
      <c r="QU387" s="6"/>
      <c r="QV387" s="6"/>
      <c r="QW387" s="6"/>
      <c r="QX387" s="6"/>
      <c r="QY387" s="6"/>
      <c r="QZ387" s="6"/>
      <c r="RA387" s="6"/>
      <c r="RB387" s="6"/>
      <c r="RC387" s="6"/>
      <c r="RD387" s="6"/>
      <c r="RE387" s="6"/>
      <c r="RF387" s="6"/>
      <c r="RG387" s="6"/>
      <c r="RH387" s="6"/>
      <c r="RI387" s="6"/>
      <c r="RJ387" s="6"/>
      <c r="RK387" s="6"/>
      <c r="RL387" s="6"/>
      <c r="RM387" s="6"/>
      <c r="RN387" s="6"/>
      <c r="RO387" s="6"/>
      <c r="RP387" s="6"/>
      <c r="RQ387" s="6"/>
      <c r="RR387" s="6"/>
      <c r="RS387" s="6"/>
      <c r="RT387" s="6"/>
      <c r="RU387" s="6"/>
      <c r="RV387" s="6"/>
      <c r="RW387" s="6"/>
      <c r="RX387" s="6"/>
      <c r="RY387" s="6"/>
      <c r="RZ387" s="6"/>
      <c r="SA387" s="6"/>
      <c r="SB387" s="6"/>
      <c r="SC387" s="6"/>
      <c r="SD387" s="6"/>
      <c r="SE387" s="6"/>
      <c r="SF387" s="6"/>
      <c r="SG387" s="6"/>
      <c r="SH387" s="6"/>
      <c r="SI387" s="6"/>
      <c r="SJ387" s="6"/>
      <c r="SK387" s="6"/>
      <c r="SL387" s="6"/>
      <c r="SM387" s="6"/>
      <c r="SN387" s="6"/>
      <c r="SO387" s="6"/>
      <c r="SP387" s="6"/>
      <c r="SQ387" s="6"/>
      <c r="SR387" s="6"/>
      <c r="SS387" s="6"/>
      <c r="ST387" s="6"/>
      <c r="SU387" s="6"/>
      <c r="SV387" s="6"/>
      <c r="SW387" s="6"/>
      <c r="SX387" s="6"/>
      <c r="SY387" s="6"/>
      <c r="SZ387" s="6"/>
      <c r="TA387" s="6"/>
      <c r="TB387" s="6"/>
      <c r="TC387" s="6"/>
      <c r="TD387" s="6"/>
      <c r="TE387" s="6"/>
      <c r="TF387" s="6"/>
      <c r="TG387" s="6"/>
      <c r="TH387" s="6"/>
      <c r="TI387" s="6"/>
      <c r="TJ387" s="6"/>
      <c r="TK387" s="6"/>
      <c r="TL387" s="6"/>
      <c r="TM387" s="6"/>
      <c r="TN387" s="6"/>
      <c r="TO387" s="6"/>
      <c r="TP387" s="6"/>
      <c r="TQ387" s="6"/>
      <c r="TR387" s="6"/>
      <c r="TS387" s="6"/>
      <c r="TT387" s="6"/>
      <c r="TU387" s="6"/>
      <c r="TV387" s="6"/>
      <c r="TW387" s="6"/>
      <c r="TX387" s="6"/>
      <c r="TY387" s="6"/>
      <c r="TZ387" s="6"/>
      <c r="UA387" s="6"/>
      <c r="UB387" s="6"/>
      <c r="UC387" s="6"/>
      <c r="UD387" s="6"/>
      <c r="UE387" s="6"/>
      <c r="UF387" s="6"/>
      <c r="UG387" s="6"/>
      <c r="UH387" s="6"/>
      <c r="UI387" s="6"/>
      <c r="UJ387" s="6"/>
      <c r="UK387" s="6"/>
      <c r="UL387" s="6"/>
      <c r="UM387" s="6"/>
      <c r="UN387" s="6"/>
      <c r="UO387" s="6"/>
      <c r="UP387" s="6"/>
      <c r="UQ387" s="6"/>
      <c r="UR387" s="6"/>
      <c r="US387" s="6"/>
      <c r="UT387" s="6"/>
      <c r="UU387" s="6"/>
      <c r="UV387" s="6"/>
      <c r="UW387" s="6"/>
      <c r="UX387" s="6"/>
      <c r="UY387" s="6"/>
      <c r="UZ387" s="6"/>
      <c r="VA387" s="6"/>
      <c r="VB387" s="6"/>
      <c r="VC387" s="6"/>
      <c r="VD387" s="6"/>
      <c r="VE387" s="6"/>
      <c r="VF387" s="6"/>
      <c r="VG387" s="6"/>
      <c r="VH387" s="6"/>
      <c r="VI387" s="6"/>
      <c r="VJ387" s="6"/>
      <c r="VK387" s="6"/>
      <c r="VL387" s="6"/>
      <c r="VM387" s="6"/>
      <c r="VN387" s="6"/>
      <c r="VO387" s="6"/>
      <c r="VP387" s="6"/>
      <c r="VQ387" s="6"/>
      <c r="VR387" s="6"/>
      <c r="VS387" s="6"/>
      <c r="VT387" s="6"/>
      <c r="VU387" s="6"/>
      <c r="VV387" s="6"/>
      <c r="VW387" s="6"/>
      <c r="VX387" s="6"/>
      <c r="VY387" s="6"/>
      <c r="VZ387" s="6"/>
      <c r="WA387" s="6"/>
      <c r="WB387" s="6"/>
      <c r="WC387" s="6"/>
      <c r="WD387" s="6"/>
      <c r="WE387" s="6"/>
      <c r="WF387" s="6"/>
      <c r="WG387" s="6"/>
      <c r="WH387" s="6"/>
      <c r="WI387" s="6"/>
      <c r="WJ387" s="6"/>
      <c r="WK387" s="6"/>
      <c r="WL387" s="6"/>
      <c r="WM387" s="6"/>
      <c r="WN387" s="6"/>
      <c r="WO387" s="6"/>
      <c r="WP387" s="6"/>
      <c r="WQ387" s="6"/>
      <c r="WR387" s="6"/>
      <c r="WS387" s="6"/>
      <c r="WT387" s="6"/>
      <c r="WU387" s="6"/>
      <c r="WV387" s="6"/>
      <c r="WW387" s="6"/>
      <c r="WX387" s="6"/>
      <c r="WY387" s="6"/>
      <c r="WZ387" s="6"/>
      <c r="XA387" s="6"/>
      <c r="XB387" s="6"/>
      <c r="XC387" s="6"/>
      <c r="XD387" s="6"/>
      <c r="XE387" s="6"/>
      <c r="XF387" s="6"/>
      <c r="XG387" s="6"/>
      <c r="XH387" s="6"/>
      <c r="XI387" s="6"/>
      <c r="XJ387" s="6"/>
      <c r="XK387" s="6"/>
      <c r="XL387" s="6"/>
      <c r="XM387" s="6"/>
      <c r="XN387" s="6"/>
      <c r="XO387" s="6"/>
      <c r="XP387" s="6"/>
      <c r="XQ387" s="6"/>
      <c r="XR387" s="6"/>
      <c r="XS387" s="6"/>
      <c r="XT387" s="6"/>
      <c r="XU387" s="6"/>
      <c r="XV387" s="6"/>
      <c r="XW387" s="6"/>
      <c r="XX387" s="6"/>
      <c r="XY387" s="6"/>
      <c r="XZ387" s="6"/>
      <c r="YA387" s="6"/>
      <c r="YB387" s="6"/>
      <c r="YC387" s="6"/>
      <c r="YD387" s="6"/>
      <c r="YE387" s="6"/>
      <c r="YF387" s="6"/>
      <c r="YG387" s="6"/>
      <c r="YH387" s="6"/>
      <c r="YI387" s="6"/>
      <c r="YJ387" s="6"/>
      <c r="YK387" s="6"/>
      <c r="YL387" s="6"/>
      <c r="YM387" s="6"/>
      <c r="YN387" s="6"/>
      <c r="YO387" s="6"/>
      <c r="YP387" s="6"/>
      <c r="YQ387" s="6"/>
      <c r="YR387" s="6"/>
      <c r="YS387" s="6"/>
      <c r="YT387" s="6"/>
      <c r="YU387" s="6"/>
      <c r="YV387" s="6"/>
      <c r="YW387" s="6"/>
      <c r="YX387" s="6"/>
      <c r="YY387" s="6"/>
      <c r="YZ387" s="6"/>
      <c r="ZA387" s="6"/>
      <c r="ZB387" s="6"/>
      <c r="ZC387" s="6"/>
      <c r="ZD387" s="6"/>
      <c r="ZE387" s="6"/>
      <c r="ZF387" s="6"/>
      <c r="ZG387" s="6"/>
      <c r="ZH387" s="6"/>
      <c r="ZI387" s="6"/>
      <c r="ZJ387" s="6"/>
      <c r="ZK387" s="6"/>
      <c r="ZL387" s="6"/>
      <c r="ZM387" s="6"/>
      <c r="ZN387" s="6"/>
      <c r="ZO387" s="6"/>
      <c r="ZP387" s="6"/>
      <c r="ZQ387" s="6"/>
      <c r="ZR387" s="6"/>
      <c r="ZS387" s="6"/>
      <c r="ZT387" s="6"/>
      <c r="ZU387" s="6"/>
      <c r="ZV387" s="6"/>
      <c r="ZW387" s="6"/>
      <c r="ZX387" s="6"/>
      <c r="ZY387" s="6"/>
      <c r="ZZ387" s="6"/>
      <c r="AAA387" s="6"/>
      <c r="AAB387" s="6"/>
      <c r="AAC387" s="6"/>
      <c r="AAD387" s="6"/>
      <c r="AAE387" s="6"/>
      <c r="AAF387" s="6"/>
      <c r="AAG387" s="6"/>
      <c r="AAH387" s="6"/>
      <c r="AAI387" s="6"/>
      <c r="AAJ387" s="6"/>
      <c r="AAK387" s="6"/>
      <c r="AAL387" s="6"/>
      <c r="AAM387" s="6"/>
      <c r="AAN387" s="6"/>
      <c r="AAO387" s="6"/>
      <c r="AAP387" s="6"/>
      <c r="AAQ387" s="6"/>
      <c r="AAR387" s="6"/>
      <c r="AAS387" s="6"/>
      <c r="AAT387" s="6"/>
      <c r="AAU387" s="6"/>
      <c r="AAV387" s="6"/>
      <c r="AAW387" s="6"/>
      <c r="AAX387" s="6"/>
      <c r="AAY387" s="6"/>
      <c r="AAZ387" s="6"/>
      <c r="ABA387" s="6"/>
      <c r="ABB387" s="6"/>
      <c r="ABC387" s="6"/>
      <c r="ABD387" s="6"/>
      <c r="ABE387" s="6"/>
      <c r="ABF387" s="6"/>
      <c r="ABG387" s="6"/>
      <c r="ABH387" s="6"/>
      <c r="ABI387" s="6"/>
      <c r="ABJ387" s="6"/>
      <c r="ABK387" s="6"/>
      <c r="ABL387" s="6"/>
      <c r="ABM387" s="6"/>
      <c r="ABN387" s="6"/>
      <c r="ABO387" s="6"/>
      <c r="ABP387" s="6"/>
      <c r="ABQ387" s="6"/>
      <c r="ABR387" s="6"/>
      <c r="ABS387" s="6"/>
      <c r="ABT387" s="6"/>
      <c r="ABU387" s="6"/>
      <c r="ABV387" s="6"/>
      <c r="ABW387" s="6"/>
      <c r="ABX387" s="6"/>
      <c r="ABY387" s="6"/>
      <c r="ABZ387" s="6"/>
      <c r="ACA387" s="6"/>
      <c r="ACB387" s="6"/>
      <c r="ACC387" s="6"/>
      <c r="ACD387" s="6"/>
      <c r="ACE387" s="6"/>
      <c r="ACF387" s="6"/>
      <c r="ACG387" s="6"/>
      <c r="ACH387" s="6"/>
      <c r="ACI387" s="6"/>
      <c r="ACJ387" s="6"/>
      <c r="ACK387" s="6"/>
      <c r="ACL387" s="6"/>
      <c r="ACM387" s="6"/>
      <c r="ACN387" s="6"/>
      <c r="ACO387" s="6"/>
      <c r="ACP387" s="6"/>
      <c r="ACQ387" s="6"/>
      <c r="ACR387" s="6"/>
      <c r="ACS387" s="6"/>
      <c r="ACT387" s="6"/>
      <c r="ACU387" s="6"/>
      <c r="ACV387" s="6"/>
      <c r="ACW387" s="6"/>
      <c r="ACX387" s="6"/>
      <c r="ACY387" s="6"/>
      <c r="ACZ387" s="6"/>
      <c r="ADA387" s="6"/>
      <c r="ADB387" s="6"/>
      <c r="ADC387" s="6"/>
      <c r="ADD387" s="6"/>
      <c r="ADE387" s="6"/>
      <c r="ADF387" s="6"/>
      <c r="ADG387" s="6"/>
      <c r="ADH387" s="6"/>
      <c r="ADI387" s="6"/>
      <c r="ADJ387" s="6"/>
      <c r="ADK387" s="6"/>
      <c r="ADL387" s="6"/>
      <c r="ADM387" s="6"/>
      <c r="ADN387" s="6"/>
      <c r="ADO387" s="6"/>
      <c r="ADP387" s="6"/>
      <c r="ADQ387" s="6"/>
      <c r="ADR387" s="6"/>
      <c r="ADS387" s="6"/>
      <c r="ADT387" s="6"/>
      <c r="ADU387" s="6"/>
      <c r="ADV387" s="6"/>
      <c r="ADW387" s="6"/>
      <c r="ADX387" s="6"/>
      <c r="ADY387" s="6"/>
      <c r="ADZ387" s="6"/>
      <c r="AEA387" s="6"/>
      <c r="AEB387" s="6"/>
      <c r="AEC387" s="6"/>
      <c r="AED387" s="6"/>
      <c r="AEE387" s="6"/>
      <c r="AEF387" s="6"/>
      <c r="AEG387" s="6"/>
      <c r="AEH387" s="6"/>
      <c r="AEI387" s="6"/>
      <c r="AEJ387" s="6"/>
      <c r="AEK387" s="6"/>
      <c r="AEL387" s="6"/>
      <c r="AEM387" s="6"/>
      <c r="AEN387" s="6"/>
      <c r="AEO387" s="6"/>
      <c r="AEP387" s="6"/>
      <c r="AEQ387" s="6"/>
      <c r="AER387" s="6"/>
      <c r="AES387" s="6"/>
      <c r="AET387" s="6"/>
      <c r="AEU387" s="6"/>
      <c r="AEV387" s="6"/>
      <c r="AEW387" s="6"/>
      <c r="AEX387" s="6"/>
      <c r="AEY387" s="6"/>
      <c r="AEZ387" s="6"/>
      <c r="AFA387" s="6"/>
      <c r="AFB387" s="6"/>
      <c r="AFC387" s="6"/>
      <c r="AFD387" s="6"/>
      <c r="AFE387" s="6"/>
      <c r="AFF387" s="6"/>
      <c r="AFG387" s="6"/>
      <c r="AFH387" s="6"/>
      <c r="AFI387" s="6"/>
      <c r="AFJ387" s="6"/>
      <c r="AFK387" s="6"/>
      <c r="AFL387" s="6"/>
      <c r="AFM387" s="6"/>
      <c r="AFN387" s="6"/>
      <c r="AFO387" s="6"/>
      <c r="AFP387" s="6"/>
      <c r="AFQ387" s="6"/>
      <c r="AFR387" s="6"/>
      <c r="AFS387" s="6"/>
      <c r="AFT387" s="6"/>
      <c r="AFU387" s="6"/>
      <c r="AFV387" s="6"/>
      <c r="AFW387" s="6"/>
      <c r="AFX387" s="6"/>
      <c r="AFY387" s="6"/>
      <c r="AFZ387" s="6"/>
      <c r="AGA387" s="6"/>
      <c r="AGB387" s="6"/>
      <c r="AGC387" s="6"/>
      <c r="AGD387" s="6"/>
      <c r="AGE387" s="6"/>
      <c r="AGF387" s="6"/>
      <c r="AGG387" s="6"/>
      <c r="AGH387" s="6"/>
      <c r="AGI387" s="6"/>
      <c r="AGJ387" s="6"/>
      <c r="AGK387" s="6"/>
      <c r="AGL387" s="6"/>
      <c r="AGM387" s="6"/>
      <c r="AGN387" s="6"/>
      <c r="AGO387" s="6"/>
      <c r="AGP387" s="6"/>
      <c r="AGQ387" s="6"/>
      <c r="AGR387" s="6"/>
      <c r="AGS387" s="6"/>
      <c r="AGT387" s="6"/>
      <c r="AGU387" s="6"/>
      <c r="AGV387" s="6"/>
      <c r="AGW387" s="6"/>
      <c r="AGX387" s="6"/>
      <c r="AGY387" s="6"/>
      <c r="AGZ387" s="6"/>
      <c r="AHA387" s="6"/>
      <c r="AHB387" s="6"/>
      <c r="AHC387" s="6"/>
      <c r="AHD387" s="6"/>
      <c r="AHE387" s="6"/>
      <c r="AHF387" s="6"/>
      <c r="AHG387" s="6"/>
      <c r="AHH387" s="6"/>
      <c r="AHI387" s="6"/>
      <c r="AHJ387" s="6"/>
      <c r="AHK387" s="6"/>
      <c r="AHL387" s="6"/>
      <c r="AHM387" s="6"/>
      <c r="AHN387" s="6"/>
      <c r="AHO387" s="6"/>
      <c r="AHP387" s="6"/>
      <c r="AHQ387" s="6"/>
      <c r="AHR387" s="6"/>
      <c r="AHS387" s="6"/>
      <c r="AHT387" s="6"/>
      <c r="AHU387" s="6"/>
      <c r="AHV387" s="6"/>
      <c r="AHW387" s="6"/>
      <c r="AHX387" s="6"/>
      <c r="AHY387" s="6"/>
      <c r="AHZ387" s="6"/>
      <c r="AIA387" s="6"/>
      <c r="AIB387" s="6"/>
      <c r="AIC387" s="6"/>
      <c r="AID387" s="6"/>
      <c r="AIE387" s="6"/>
      <c r="AIF387" s="6"/>
      <c r="AIG387" s="6"/>
      <c r="AIH387" s="6"/>
      <c r="AII387" s="6"/>
      <c r="AIJ387" s="6"/>
      <c r="AIK387" s="6"/>
      <c r="AIL387" s="6"/>
      <c r="AIM387" s="6"/>
      <c r="AIN387" s="6"/>
      <c r="AIO387" s="6"/>
      <c r="AIP387" s="6"/>
      <c r="AIQ387" s="6"/>
      <c r="AIR387" s="6"/>
      <c r="AIS387" s="6"/>
      <c r="AIT387" s="6"/>
      <c r="AIU387" s="6"/>
      <c r="AIV387" s="6"/>
      <c r="AIW387" s="6"/>
      <c r="AIX387" s="6"/>
      <c r="AIY387" s="6"/>
      <c r="AIZ387" s="6"/>
      <c r="AJA387" s="6"/>
      <c r="AJB387" s="6"/>
      <c r="AJC387" s="6"/>
      <c r="AJD387" s="6"/>
      <c r="AJE387" s="6"/>
      <c r="AJF387" s="6"/>
      <c r="AJG387" s="6"/>
      <c r="AJH387" s="6"/>
      <c r="AJI387" s="6"/>
      <c r="AJJ387" s="6"/>
      <c r="AJK387" s="6"/>
      <c r="AJL387" s="6"/>
      <c r="AJM387" s="6"/>
      <c r="AJN387" s="6"/>
      <c r="AJO387" s="6"/>
      <c r="AJP387" s="6"/>
      <c r="AJQ387" s="6"/>
      <c r="AJR387" s="6"/>
      <c r="AJS387" s="6"/>
      <c r="AJT387" s="6"/>
      <c r="AJU387" s="6"/>
      <c r="AJV387" s="6"/>
      <c r="AJW387" s="6"/>
      <c r="AJX387" s="6"/>
      <c r="AJY387" s="6"/>
      <c r="AJZ387" s="6"/>
      <c r="AKA387" s="6"/>
      <c r="AKB387" s="6"/>
      <c r="AKC387" s="6"/>
      <c r="AKD387" s="6"/>
      <c r="AKE387" s="6"/>
      <c r="AKF387" s="6"/>
      <c r="AKG387" s="6"/>
      <c r="AKH387" s="6"/>
      <c r="AKI387" s="6"/>
      <c r="AKJ387" s="6"/>
      <c r="AKK387" s="6"/>
      <c r="AKL387" s="6"/>
      <c r="AKM387" s="6"/>
      <c r="AKN387" s="6"/>
      <c r="AKO387" s="6"/>
      <c r="AKP387" s="6"/>
      <c r="AKQ387" s="6"/>
      <c r="AKR387" s="6"/>
      <c r="AKS387" s="6"/>
      <c r="AKT387" s="6"/>
      <c r="AKU387" s="6"/>
      <c r="AKV387" s="6"/>
      <c r="AKW387" s="6"/>
      <c r="AKX387" s="6"/>
      <c r="AKY387" s="6"/>
      <c r="AKZ387" s="6"/>
      <c r="ALA387" s="6"/>
      <c r="ALB387" s="6"/>
      <c r="ALC387" s="6"/>
      <c r="ALD387" s="6"/>
      <c r="ALE387" s="6"/>
      <c r="ALF387" s="6"/>
      <c r="ALG387" s="6"/>
      <c r="ALH387" s="6"/>
      <c r="ALI387" s="6"/>
      <c r="ALJ387" s="6"/>
      <c r="ALK387" s="6"/>
      <c r="ALL387" s="6"/>
      <c r="ALM387" s="6"/>
      <c r="ALN387" s="6"/>
      <c r="ALO387" s="6"/>
      <c r="ALP387" s="6"/>
      <c r="ALQ387" s="6"/>
      <c r="ALR387" s="6"/>
      <c r="ALS387" s="6"/>
      <c r="ALT387" s="6"/>
      <c r="ALU387" s="6"/>
      <c r="ALV387" s="6"/>
      <c r="ALW387" s="6"/>
      <c r="ALX387" s="6"/>
      <c r="ALY387" s="6"/>
      <c r="ALZ387" s="6"/>
      <c r="AMA387" s="6"/>
      <c r="AMB387" s="6"/>
      <c r="AMC387" s="6"/>
      <c r="AMD387" s="6"/>
      <c r="AME387" s="6"/>
      <c r="AMF387" s="6"/>
      <c r="AMG387" s="6"/>
      <c r="AMH387" s="6"/>
      <c r="AMI387" s="6"/>
      <c r="AMJ387" s="6"/>
      <c r="AMK387" s="6"/>
      <c r="AML387" s="6"/>
      <c r="AMM387" s="6"/>
      <c r="AMN387" s="6"/>
      <c r="AMO387" s="6"/>
      <c r="AMP387" s="6"/>
    </row>
    <row r="388" spans="1:1030" x14ac:dyDescent="0.2">
      <c r="A388" s="9" t="str">
        <f>CONCATENATE(B388,"_",C388)</f>
        <v>q80km9_hcmv__wt</v>
      </c>
      <c r="B388" s="40" t="s">
        <v>1501</v>
      </c>
      <c r="C388" s="9" t="s">
        <v>100</v>
      </c>
      <c r="D388" s="9" t="str">
        <f>IFERROR(MID(VLOOKUP($B388,Seqs!$A:$B,2,0),E388,1),"")</f>
        <v>F</v>
      </c>
      <c r="E388" s="9">
        <v>25</v>
      </c>
      <c r="F388" s="9" t="str">
        <f>IFERROR(MID(VLOOKUP($B388,Seqs!$A:$B,2,0),G388,1),"")</f>
        <v>R</v>
      </c>
      <c r="G388" s="9">
        <v>61</v>
      </c>
      <c r="H388" s="9" t="str">
        <f>IFERROR(MID(VLOOKUP($B388,Seqs!$A:$B,2,0),I388,1),"")</f>
        <v>R</v>
      </c>
      <c r="I388" s="109">
        <v>62</v>
      </c>
      <c r="J388" s="9" t="str">
        <f>IFERROR(MID(VLOOKUP($B388,Seqs!$A:$B,2,0),K388,1),"")</f>
        <v>Q</v>
      </c>
      <c r="K388" s="109">
        <v>65</v>
      </c>
      <c r="L388" s="9" t="str">
        <f>IFERROR(MID(VLOOKUP($B388,Seqs!$A:$B,2,0),M388,1),"")</f>
        <v>C</v>
      </c>
      <c r="M388" s="9">
        <v>66</v>
      </c>
      <c r="N388" s="9" t="str">
        <f>IFERROR(MID(VLOOKUP($B388,Seqs!$A:$B,2,0),O388,1),"")</f>
        <v>D</v>
      </c>
      <c r="O388" s="9">
        <v>95</v>
      </c>
      <c r="P388" s="9" t="str">
        <f>IFERROR(MID(VLOOKUP($B388,Seqs!$A:$B,2,0),Q388,1),"")</f>
        <v/>
      </c>
      <c r="Q388" s="9" t="s">
        <v>23</v>
      </c>
      <c r="R388" s="9" t="str">
        <f>IFERROR(MID(VLOOKUP($B388,Seqs!$A:$B,2,0),S388,1),"")</f>
        <v/>
      </c>
      <c r="S388" s="9" t="s">
        <v>23</v>
      </c>
      <c r="T388" s="9" t="str">
        <f>IFERROR(MID(VLOOKUP($B388,Seqs!$A:$B,2,0),U388,1),"")</f>
        <v>A</v>
      </c>
      <c r="U388" s="9">
        <v>100</v>
      </c>
      <c r="V388" s="9" t="str">
        <f>IFERROR(MID(VLOOKUP($B388,Seqs!$A:$B,2,0),W388,1),"")</f>
        <v>V</v>
      </c>
      <c r="W388" s="9">
        <v>134</v>
      </c>
      <c r="X388" s="9" t="str">
        <f>IFERROR(MID(VLOOKUP($B388,Seqs!$A:$B,2,0),Y388,1),"")</f>
        <v/>
      </c>
      <c r="Y388" s="9" t="s">
        <v>23</v>
      </c>
      <c r="Z388" s="9" t="str">
        <f>IFERROR(MID(VLOOKUP($B388,Seqs!$A:$B,2,0),AA388,1),"")</f>
        <v/>
      </c>
      <c r="AA388" s="9" t="s">
        <v>23</v>
      </c>
      <c r="AB388" s="9" t="str">
        <f>IFERROR(MID(VLOOKUP($B388,Seqs!$A:$B,2,0),AC388,1),"")</f>
        <v>P</v>
      </c>
      <c r="AC388" s="9">
        <v>140</v>
      </c>
      <c r="AD388" s="9" t="str">
        <f>IFERROR(MID(VLOOKUP($B388,Seqs!$A:$B,2,0),AE388,1),"")</f>
        <v>M</v>
      </c>
      <c r="AE388" s="9">
        <v>164</v>
      </c>
      <c r="AF388" s="9" t="str">
        <f>IFERROR(MID(VLOOKUP($B388,Seqs!$A:$B,2,0),AG388,1),"")</f>
        <v>C</v>
      </c>
      <c r="AG388" s="9">
        <v>173</v>
      </c>
      <c r="AH388" s="9" t="str">
        <f>IFERROR(MID(VLOOKUP($B388,Seqs!$A:$B,2,0),AI388,1),"")</f>
        <v>T</v>
      </c>
      <c r="AI388" s="9">
        <v>175</v>
      </c>
      <c r="AJ388" s="9" t="str">
        <f>IFERROR(MID(VLOOKUP($B388,Seqs!$A:$B,2,0),AK388,1),"")</f>
        <v>S</v>
      </c>
      <c r="AK388" s="9">
        <v>183</v>
      </c>
      <c r="AL388" s="9" t="str">
        <f>IFERROR(MID(VLOOKUP($B388,Seqs!$A:$B,2,0),AM388,1),"")</f>
        <v>S</v>
      </c>
      <c r="AM388" s="9">
        <v>218</v>
      </c>
      <c r="AN388" s="9" t="str">
        <f>IFERROR(MID(VLOOKUP($B388,Seqs!$A:$B,2,0),AO388,1),"")</f>
        <v>H</v>
      </c>
      <c r="AO388" s="9">
        <v>222</v>
      </c>
      <c r="AP388" s="9" t="str">
        <f>IFERROR(MID(VLOOKUP($B388,Seqs!$A:$B,2,0),AQ388,1),"")</f>
        <v>K</v>
      </c>
      <c r="AQ388" s="9">
        <v>257</v>
      </c>
      <c r="AR388" s="9" t="str">
        <f>IFERROR(MID(VLOOKUP($B388,Seqs!$A:$B,2,0),AS388,1),"")</f>
        <v>S</v>
      </c>
      <c r="AS388" s="9">
        <v>262</v>
      </c>
      <c r="AT388" s="9" t="str">
        <f>IFERROR(MID(VLOOKUP($B388,Seqs!$A:$B,2,0),AU388,1),"")</f>
        <v>V</v>
      </c>
      <c r="AU388" s="9">
        <v>294</v>
      </c>
      <c r="AV388" s="9" t="str">
        <f>IFERROR(MID(VLOOKUP($B388,Seqs!$A:$B,2,0),AW388,1),"")</f>
        <v>G</v>
      </c>
      <c r="AW388" s="9">
        <v>295</v>
      </c>
      <c r="AX388" s="9" t="str">
        <f>IFERROR(MID(VLOOKUP($B388,Seqs!$A:$B,2,0),AY388,1),"")</f>
        <v>R</v>
      </c>
      <c r="AY388" s="9">
        <v>310</v>
      </c>
      <c r="AZ388" s="110" t="str">
        <f>VLOOKUP(B388,Classification!A:D,2,0)</f>
        <v>A</v>
      </c>
      <c r="BA388" s="98" t="str">
        <f>VLOOKUP(B388,Classification!A:D,4,0)</f>
        <v>Chemokine</v>
      </c>
      <c r="BB388" s="36" t="b">
        <f t="shared" si="1169"/>
        <v>1</v>
      </c>
      <c r="BC388" s="109">
        <f t="shared" si="1170"/>
        <v>257</v>
      </c>
      <c r="BD388" s="11" t="s">
        <v>23</v>
      </c>
      <c r="BE388" s="9" t="s">
        <v>23</v>
      </c>
      <c r="BF388" s="119" t="s">
        <v>23</v>
      </c>
      <c r="BG388" s="51" t="s">
        <v>1371</v>
      </c>
      <c r="BH388" s="51" t="s">
        <v>1371</v>
      </c>
      <c r="BI388" s="12"/>
      <c r="BJ388" s="111" t="s">
        <v>1281</v>
      </c>
      <c r="BK388" s="112" t="s">
        <v>1281</v>
      </c>
      <c r="BL388" s="112" t="s">
        <v>1281</v>
      </c>
      <c r="BM388" s="112" t="s">
        <v>1281</v>
      </c>
      <c r="BN388" s="112" t="s">
        <v>1281</v>
      </c>
      <c r="BO388" s="112" t="s">
        <v>1281</v>
      </c>
      <c r="BP388" s="112" t="s">
        <v>1281</v>
      </c>
      <c r="BQ388" s="112" t="s">
        <v>1281</v>
      </c>
      <c r="BR388" s="112" t="s">
        <v>1281</v>
      </c>
      <c r="BS388" s="112" t="s">
        <v>1281</v>
      </c>
      <c r="BT388" s="112" t="s">
        <v>1281</v>
      </c>
      <c r="BU388" s="112" t="s">
        <v>1281</v>
      </c>
      <c r="BV388" s="111">
        <f>E388</f>
        <v>25</v>
      </c>
      <c r="BW388" s="113">
        <f>I388</f>
        <v>62</v>
      </c>
      <c r="BX388" s="114">
        <f>M388</f>
        <v>66</v>
      </c>
      <c r="BY388" s="113" t="str">
        <f>Q388</f>
        <v>-</v>
      </c>
      <c r="BZ388" s="114">
        <f>U388</f>
        <v>100</v>
      </c>
      <c r="CA388" s="113" t="str">
        <f>Y388</f>
        <v>-</v>
      </c>
      <c r="CB388" s="114">
        <f>AC388</f>
        <v>140</v>
      </c>
      <c r="CC388" s="113">
        <f>AG388</f>
        <v>173</v>
      </c>
      <c r="CD388" s="114">
        <f>AK388</f>
        <v>183</v>
      </c>
      <c r="CE388" s="113">
        <f>AO388</f>
        <v>222</v>
      </c>
      <c r="CF388" s="114">
        <f>AS388</f>
        <v>262</v>
      </c>
      <c r="CG388" s="113">
        <f>AW388</f>
        <v>295</v>
      </c>
      <c r="CH388" s="111">
        <f>G388</f>
        <v>61</v>
      </c>
      <c r="CI388" s="113">
        <f>K388</f>
        <v>65</v>
      </c>
      <c r="CJ388" s="114">
        <f>O388</f>
        <v>95</v>
      </c>
      <c r="CK388" s="114" t="str">
        <f>S388</f>
        <v>-</v>
      </c>
      <c r="CL388" s="114">
        <f>W388</f>
        <v>134</v>
      </c>
      <c r="CM388" s="114" t="str">
        <f>AA388</f>
        <v>-</v>
      </c>
      <c r="CN388" s="114">
        <f>AE388</f>
        <v>164</v>
      </c>
      <c r="CO388" s="114">
        <f>AI388</f>
        <v>175</v>
      </c>
      <c r="CP388" s="114">
        <f>AM388</f>
        <v>218</v>
      </c>
      <c r="CQ388" s="114">
        <f>AQ388</f>
        <v>257</v>
      </c>
      <c r="CR388" s="114">
        <f>AU388</f>
        <v>294</v>
      </c>
      <c r="CS388" s="114">
        <f>AY388</f>
        <v>310</v>
      </c>
      <c r="CT388" s="109">
        <f>M388-K388</f>
        <v>1</v>
      </c>
      <c r="CU388" s="6"/>
      <c r="CV388" s="6"/>
      <c r="CW388" s="6"/>
      <c r="CX388" s="6"/>
      <c r="CY388" s="6"/>
      <c r="CZ388" s="6"/>
      <c r="DA388" s="6"/>
      <c r="DB388" s="6"/>
      <c r="DC388" s="6"/>
      <c r="DD388" s="6"/>
      <c r="DE388" s="6"/>
      <c r="DF388" s="6"/>
      <c r="DG388" s="6"/>
      <c r="DH388" s="6"/>
      <c r="DI388" s="6"/>
      <c r="DJ388" s="6"/>
      <c r="DK388" s="6"/>
      <c r="DL388" s="6"/>
      <c r="DM388" s="6"/>
      <c r="DN388" s="6"/>
      <c r="DO388" s="6"/>
      <c r="DP388" s="6"/>
      <c r="DQ388" s="6"/>
      <c r="DR388" s="6"/>
      <c r="DS388" s="6"/>
      <c r="DT388" s="6"/>
      <c r="DU388" s="6"/>
      <c r="DV388" s="6"/>
      <c r="DW388" s="6"/>
      <c r="DX388" s="6"/>
      <c r="DY388" s="6"/>
      <c r="DZ388" s="6"/>
      <c r="EA388" s="6"/>
      <c r="EB388" s="6"/>
      <c r="EC388" s="6"/>
      <c r="ED388" s="6"/>
      <c r="EE388" s="6"/>
      <c r="EF388" s="6"/>
      <c r="EG388" s="6"/>
      <c r="EH388" s="6"/>
      <c r="EI388" s="6"/>
      <c r="EJ388" s="6"/>
      <c r="EK388" s="6"/>
      <c r="EL388" s="6"/>
      <c r="EM388" s="6"/>
      <c r="EN388" s="6"/>
      <c r="EO388" s="6"/>
      <c r="EP388" s="6"/>
      <c r="EQ388" s="6"/>
      <c r="ER388" s="6"/>
      <c r="ES388" s="6"/>
      <c r="ET388" s="6"/>
      <c r="EU388" s="6"/>
      <c r="EV388" s="6"/>
      <c r="EW388" s="6"/>
      <c r="EX388" s="6"/>
      <c r="EY388" s="6"/>
      <c r="EZ388" s="6"/>
      <c r="FA388" s="6"/>
      <c r="FB388" s="6"/>
      <c r="FC388" s="6"/>
      <c r="FD388" s="6"/>
      <c r="FE388" s="6"/>
      <c r="FF388" s="6"/>
      <c r="FG388" s="6"/>
      <c r="FH388" s="6"/>
      <c r="FI388" s="6"/>
      <c r="FJ388" s="6"/>
      <c r="FK388" s="6"/>
      <c r="FL388" s="6"/>
      <c r="FM388" s="6"/>
      <c r="FN388" s="6"/>
      <c r="FO388" s="6"/>
      <c r="FP388" s="6"/>
      <c r="FQ388" s="6"/>
      <c r="FR388" s="6"/>
      <c r="FS388" s="6"/>
      <c r="FT388" s="6"/>
      <c r="FU388" s="6"/>
      <c r="FV388" s="6"/>
      <c r="FW388" s="6"/>
      <c r="FX388" s="6"/>
      <c r="FY388" s="6"/>
      <c r="FZ388" s="6"/>
      <c r="GA388" s="6"/>
      <c r="GB388" s="6"/>
      <c r="GC388" s="6"/>
      <c r="GD388" s="6"/>
      <c r="GE388" s="6"/>
      <c r="GF388" s="6"/>
      <c r="GG388" s="6"/>
      <c r="GH388" s="6"/>
      <c r="GI388" s="6"/>
      <c r="GJ388" s="6"/>
      <c r="GK388" s="6"/>
      <c r="GL388" s="6"/>
      <c r="GM388" s="6"/>
      <c r="GN388" s="6"/>
      <c r="GO388" s="6"/>
      <c r="GP388" s="6"/>
      <c r="GQ388" s="6"/>
      <c r="GR388" s="6"/>
      <c r="GS388" s="6"/>
      <c r="GT388" s="6"/>
      <c r="GU388" s="6"/>
      <c r="GV388" s="6"/>
      <c r="GW388" s="6"/>
      <c r="GX388" s="6"/>
      <c r="GY388" s="6"/>
      <c r="GZ388" s="6"/>
      <c r="HA388" s="6"/>
      <c r="HB388" s="6"/>
      <c r="HC388" s="6"/>
      <c r="HD388" s="6"/>
      <c r="HE388" s="6"/>
      <c r="HF388" s="6"/>
      <c r="HG388" s="6"/>
      <c r="HH388" s="6"/>
      <c r="HI388" s="6"/>
      <c r="HJ388" s="6"/>
      <c r="HK388" s="6"/>
      <c r="HL388" s="6"/>
      <c r="HM388" s="6"/>
      <c r="HN388" s="6"/>
      <c r="HO388" s="6"/>
      <c r="HP388" s="6"/>
      <c r="HQ388" s="6"/>
      <c r="HR388" s="6"/>
      <c r="HS388" s="6"/>
      <c r="HT388" s="6"/>
      <c r="HU388" s="6"/>
      <c r="HV388" s="6"/>
      <c r="HW388" s="6"/>
      <c r="HX388" s="6"/>
      <c r="HY388" s="6"/>
      <c r="HZ388" s="6"/>
      <c r="IA388" s="6"/>
      <c r="IB388" s="6"/>
      <c r="IC388" s="6"/>
      <c r="ID388" s="6"/>
      <c r="IE388" s="6"/>
      <c r="IF388" s="6"/>
      <c r="IG388" s="6"/>
      <c r="IH388" s="6"/>
      <c r="II388" s="6"/>
      <c r="IJ388" s="6"/>
      <c r="IK388" s="6"/>
      <c r="IL388" s="6"/>
      <c r="IM388" s="6"/>
      <c r="IN388" s="6"/>
      <c r="IO388" s="6"/>
      <c r="IP388" s="6"/>
      <c r="IQ388" s="6"/>
      <c r="IR388" s="6"/>
      <c r="IS388" s="6"/>
      <c r="IT388" s="6"/>
      <c r="IU388" s="6"/>
      <c r="IV388" s="6"/>
      <c r="IW388" s="6"/>
      <c r="IX388" s="6"/>
      <c r="IY388" s="6"/>
      <c r="IZ388" s="6"/>
      <c r="JA388" s="6"/>
      <c r="JB388" s="6"/>
      <c r="JC388" s="6"/>
      <c r="JD388" s="6"/>
      <c r="JE388" s="6"/>
      <c r="JF388" s="6"/>
      <c r="JG388" s="6"/>
      <c r="JH388" s="6"/>
      <c r="JI388" s="6"/>
      <c r="JJ388" s="6"/>
      <c r="JK388" s="6"/>
      <c r="JL388" s="6"/>
      <c r="JM388" s="6"/>
      <c r="JN388" s="6"/>
      <c r="JO388" s="6"/>
      <c r="JP388" s="6"/>
      <c r="JQ388" s="6"/>
      <c r="JR388" s="6"/>
      <c r="JS388" s="6"/>
      <c r="JT388" s="6"/>
      <c r="JU388" s="6"/>
      <c r="JV388" s="6"/>
      <c r="JW388" s="6"/>
      <c r="JX388" s="6"/>
      <c r="JY388" s="6"/>
      <c r="JZ388" s="6"/>
      <c r="KA388" s="6"/>
      <c r="KB388" s="6"/>
      <c r="KC388" s="6"/>
      <c r="KD388" s="6"/>
      <c r="KE388" s="6"/>
      <c r="KF388" s="6"/>
      <c r="KG388" s="6"/>
      <c r="KH388" s="6"/>
      <c r="KI388" s="6"/>
      <c r="KJ388" s="6"/>
      <c r="KK388" s="6"/>
      <c r="KL388" s="6"/>
      <c r="KM388" s="6"/>
      <c r="KN388" s="6"/>
      <c r="KO388" s="6"/>
      <c r="KP388" s="6"/>
      <c r="KQ388" s="6"/>
      <c r="KR388" s="6"/>
      <c r="KS388" s="6"/>
      <c r="KT388" s="6"/>
      <c r="KU388" s="6"/>
      <c r="KV388" s="6"/>
      <c r="KW388" s="6"/>
      <c r="KX388" s="6"/>
      <c r="KY388" s="6"/>
      <c r="KZ388" s="6"/>
      <c r="LA388" s="6"/>
      <c r="LB388" s="6"/>
      <c r="LC388" s="6"/>
      <c r="LD388" s="6"/>
      <c r="LE388" s="6"/>
      <c r="LF388" s="6"/>
      <c r="LG388" s="6"/>
      <c r="LH388" s="6"/>
      <c r="LI388" s="6"/>
      <c r="LJ388" s="6"/>
      <c r="LK388" s="6"/>
      <c r="LL388" s="6"/>
      <c r="LM388" s="6"/>
      <c r="LN388" s="6"/>
      <c r="LO388" s="6"/>
      <c r="LP388" s="6"/>
      <c r="LQ388" s="6"/>
      <c r="LR388" s="6"/>
      <c r="LS388" s="6"/>
      <c r="LT388" s="6"/>
      <c r="LU388" s="6"/>
      <c r="LV388" s="6"/>
      <c r="LW388" s="6"/>
      <c r="LX388" s="6"/>
      <c r="LY388" s="6"/>
      <c r="LZ388" s="6"/>
      <c r="MA388" s="6"/>
      <c r="MB388" s="6"/>
      <c r="MC388" s="6"/>
      <c r="MD388" s="6"/>
      <c r="ME388" s="6"/>
      <c r="MF388" s="6"/>
      <c r="MG388" s="6"/>
      <c r="MH388" s="6"/>
      <c r="MI388" s="6"/>
      <c r="MJ388" s="6"/>
      <c r="MK388" s="6"/>
      <c r="ML388" s="6"/>
      <c r="MM388" s="6"/>
      <c r="MN388" s="6"/>
      <c r="MO388" s="6"/>
      <c r="MP388" s="6"/>
      <c r="MQ388" s="6"/>
      <c r="MR388" s="6"/>
      <c r="MS388" s="6"/>
      <c r="MT388" s="6"/>
      <c r="MU388" s="6"/>
      <c r="MV388" s="6"/>
      <c r="MW388" s="6"/>
      <c r="MX388" s="6"/>
      <c r="MY388" s="6"/>
      <c r="MZ388" s="6"/>
      <c r="NA388" s="6"/>
      <c r="NB388" s="6"/>
      <c r="NC388" s="6"/>
      <c r="ND388" s="6"/>
      <c r="NE388" s="6"/>
      <c r="NF388" s="6"/>
      <c r="NG388" s="6"/>
      <c r="NH388" s="6"/>
      <c r="NI388" s="6"/>
      <c r="NJ388" s="6"/>
      <c r="NK388" s="6"/>
      <c r="NL388" s="6"/>
      <c r="NM388" s="6"/>
      <c r="NN388" s="6"/>
      <c r="NO388" s="6"/>
      <c r="NP388" s="6"/>
      <c r="NQ388" s="6"/>
      <c r="NR388" s="6"/>
      <c r="NS388" s="6"/>
      <c r="NT388" s="6"/>
      <c r="NU388" s="6"/>
      <c r="NV388" s="6"/>
      <c r="NW388" s="6"/>
      <c r="NX388" s="6"/>
      <c r="NY388" s="6"/>
      <c r="NZ388" s="6"/>
      <c r="OA388" s="6"/>
      <c r="OB388" s="6"/>
      <c r="OC388" s="6"/>
      <c r="OD388" s="6"/>
      <c r="OE388" s="6"/>
      <c r="OF388" s="6"/>
      <c r="OG388" s="6"/>
      <c r="OH388" s="6"/>
      <c r="OI388" s="6"/>
      <c r="OJ388" s="6"/>
      <c r="OK388" s="6"/>
      <c r="OL388" s="6"/>
      <c r="OM388" s="6"/>
      <c r="ON388" s="6"/>
      <c r="OO388" s="6"/>
      <c r="OP388" s="6"/>
      <c r="OQ388" s="6"/>
      <c r="OR388" s="6"/>
      <c r="OS388" s="6"/>
      <c r="OT388" s="6"/>
      <c r="OU388" s="6"/>
      <c r="OV388" s="6"/>
      <c r="OW388" s="6"/>
      <c r="OX388" s="6"/>
      <c r="OY388" s="6"/>
      <c r="OZ388" s="6"/>
      <c r="PA388" s="6"/>
      <c r="PB388" s="6"/>
      <c r="PC388" s="6"/>
      <c r="PD388" s="6"/>
      <c r="PE388" s="6"/>
      <c r="PF388" s="6"/>
      <c r="PG388" s="6"/>
      <c r="PH388" s="6"/>
      <c r="PI388" s="6"/>
      <c r="PJ388" s="6"/>
      <c r="PK388" s="6"/>
      <c r="PL388" s="6"/>
      <c r="PM388" s="6"/>
      <c r="PN388" s="6"/>
      <c r="PO388" s="6"/>
      <c r="PP388" s="6"/>
      <c r="PQ388" s="6"/>
      <c r="PR388" s="6"/>
      <c r="PS388" s="6"/>
      <c r="PT388" s="6"/>
      <c r="PU388" s="6"/>
      <c r="PV388" s="6"/>
      <c r="PW388" s="6"/>
      <c r="PX388" s="6"/>
      <c r="PY388" s="6"/>
      <c r="PZ388" s="6"/>
      <c r="QA388" s="6"/>
      <c r="QB388" s="6"/>
      <c r="QC388" s="6"/>
      <c r="QD388" s="6"/>
      <c r="QE388" s="6"/>
      <c r="QF388" s="6"/>
      <c r="QG388" s="6"/>
      <c r="QH388" s="6"/>
      <c r="QI388" s="6"/>
      <c r="QJ388" s="6"/>
      <c r="QK388" s="6"/>
      <c r="QL388" s="6"/>
      <c r="QM388" s="6"/>
      <c r="QN388" s="6"/>
      <c r="QO388" s="6"/>
      <c r="QP388" s="6"/>
      <c r="QQ388" s="6"/>
      <c r="QR388" s="6"/>
      <c r="QS388" s="6"/>
      <c r="QT388" s="6"/>
      <c r="QU388" s="6"/>
      <c r="QV388" s="6"/>
      <c r="QW388" s="6"/>
      <c r="QX388" s="6"/>
      <c r="QY388" s="6"/>
      <c r="QZ388" s="6"/>
      <c r="RA388" s="6"/>
      <c r="RB388" s="6"/>
      <c r="RC388" s="6"/>
      <c r="RD388" s="6"/>
      <c r="RE388" s="6"/>
      <c r="RF388" s="6"/>
      <c r="RG388" s="6"/>
      <c r="RH388" s="6"/>
      <c r="RI388" s="6"/>
      <c r="RJ388" s="6"/>
      <c r="RK388" s="6"/>
      <c r="RL388" s="6"/>
      <c r="RM388" s="6"/>
      <c r="RN388" s="6"/>
      <c r="RO388" s="6"/>
      <c r="RP388" s="6"/>
      <c r="RQ388" s="6"/>
      <c r="RR388" s="6"/>
      <c r="RS388" s="6"/>
      <c r="RT388" s="6"/>
      <c r="RU388" s="6"/>
      <c r="RV388" s="6"/>
      <c r="RW388" s="6"/>
      <c r="RX388" s="6"/>
      <c r="RY388" s="6"/>
      <c r="RZ388" s="6"/>
      <c r="SA388" s="6"/>
      <c r="SB388" s="6"/>
      <c r="SC388" s="6"/>
      <c r="SD388" s="6"/>
      <c r="SE388" s="6"/>
      <c r="SF388" s="6"/>
      <c r="SG388" s="6"/>
      <c r="SH388" s="6"/>
      <c r="SI388" s="6"/>
      <c r="SJ388" s="6"/>
      <c r="SK388" s="6"/>
      <c r="SL388" s="6"/>
      <c r="SM388" s="6"/>
      <c r="SN388" s="6"/>
      <c r="SO388" s="6"/>
      <c r="SP388" s="6"/>
      <c r="SQ388" s="6"/>
      <c r="SR388" s="6"/>
      <c r="SS388" s="6"/>
      <c r="ST388" s="6"/>
      <c r="SU388" s="6"/>
      <c r="SV388" s="6"/>
      <c r="SW388" s="6"/>
      <c r="SX388" s="6"/>
      <c r="SY388" s="6"/>
      <c r="SZ388" s="6"/>
      <c r="TA388" s="6"/>
      <c r="TB388" s="6"/>
      <c r="TC388" s="6"/>
      <c r="TD388" s="6"/>
      <c r="TE388" s="6"/>
      <c r="TF388" s="6"/>
      <c r="TG388" s="6"/>
      <c r="TH388" s="6"/>
      <c r="TI388" s="6"/>
      <c r="TJ388" s="6"/>
      <c r="TK388" s="6"/>
      <c r="TL388" s="6"/>
      <c r="TM388" s="6"/>
      <c r="TN388" s="6"/>
      <c r="TO388" s="6"/>
      <c r="TP388" s="6"/>
      <c r="TQ388" s="6"/>
      <c r="TR388" s="6"/>
      <c r="TS388" s="6"/>
      <c r="TT388" s="6"/>
      <c r="TU388" s="6"/>
      <c r="TV388" s="6"/>
      <c r="TW388" s="6"/>
      <c r="TX388" s="6"/>
      <c r="TY388" s="6"/>
      <c r="TZ388" s="6"/>
      <c r="UA388" s="6"/>
      <c r="UB388" s="6"/>
      <c r="UC388" s="6"/>
      <c r="UD388" s="6"/>
      <c r="UE388" s="6"/>
      <c r="UF388" s="6"/>
      <c r="UG388" s="6"/>
      <c r="UH388" s="6"/>
      <c r="UI388" s="6"/>
      <c r="UJ388" s="6"/>
      <c r="UK388" s="6"/>
      <c r="UL388" s="6"/>
      <c r="UM388" s="6"/>
      <c r="UN388" s="6"/>
      <c r="UO388" s="6"/>
      <c r="UP388" s="6"/>
      <c r="UQ388" s="6"/>
      <c r="UR388" s="6"/>
      <c r="US388" s="6"/>
      <c r="UT388" s="6"/>
      <c r="UU388" s="6"/>
      <c r="UV388" s="6"/>
      <c r="UW388" s="6"/>
      <c r="UX388" s="6"/>
      <c r="UY388" s="6"/>
      <c r="UZ388" s="6"/>
      <c r="VA388" s="6"/>
      <c r="VB388" s="6"/>
      <c r="VC388" s="6"/>
      <c r="VD388" s="6"/>
      <c r="VE388" s="6"/>
      <c r="VF388" s="6"/>
      <c r="VG388" s="6"/>
      <c r="VH388" s="6"/>
      <c r="VI388" s="6"/>
      <c r="VJ388" s="6"/>
      <c r="VK388" s="6"/>
      <c r="VL388" s="6"/>
      <c r="VM388" s="6"/>
      <c r="VN388" s="6"/>
      <c r="VO388" s="6"/>
      <c r="VP388" s="6"/>
      <c r="VQ388" s="6"/>
      <c r="VR388" s="6"/>
      <c r="VS388" s="6"/>
      <c r="VT388" s="6"/>
      <c r="VU388" s="6"/>
      <c r="VV388" s="6"/>
      <c r="VW388" s="6"/>
      <c r="VX388" s="6"/>
      <c r="VY388" s="6"/>
      <c r="VZ388" s="6"/>
      <c r="WA388" s="6"/>
      <c r="WB388" s="6"/>
      <c r="WC388" s="6"/>
      <c r="WD388" s="6"/>
      <c r="WE388" s="6"/>
      <c r="WF388" s="6"/>
      <c r="WG388" s="6"/>
      <c r="WH388" s="6"/>
      <c r="WI388" s="6"/>
      <c r="WJ388" s="6"/>
      <c r="WK388" s="6"/>
      <c r="WL388" s="6"/>
      <c r="WM388" s="6"/>
      <c r="WN388" s="6"/>
      <c r="WO388" s="6"/>
      <c r="WP388" s="6"/>
      <c r="WQ388" s="6"/>
      <c r="WR388" s="6"/>
      <c r="WS388" s="6"/>
      <c r="WT388" s="6"/>
      <c r="WU388" s="6"/>
      <c r="WV388" s="6"/>
      <c r="WW388" s="6"/>
      <c r="WX388" s="6"/>
      <c r="WY388" s="6"/>
      <c r="WZ388" s="6"/>
      <c r="XA388" s="6"/>
      <c r="XB388" s="6"/>
      <c r="XC388" s="6"/>
      <c r="XD388" s="6"/>
      <c r="XE388" s="6"/>
      <c r="XF388" s="6"/>
      <c r="XG388" s="6"/>
      <c r="XH388" s="6"/>
      <c r="XI388" s="6"/>
      <c r="XJ388" s="6"/>
      <c r="XK388" s="6"/>
      <c r="XL388" s="6"/>
      <c r="XM388" s="6"/>
      <c r="XN388" s="6"/>
      <c r="XO388" s="6"/>
      <c r="XP388" s="6"/>
      <c r="XQ388" s="6"/>
      <c r="XR388" s="6"/>
      <c r="XS388" s="6"/>
      <c r="XT388" s="6"/>
      <c r="XU388" s="6"/>
      <c r="XV388" s="6"/>
      <c r="XW388" s="6"/>
      <c r="XX388" s="6"/>
      <c r="XY388" s="6"/>
      <c r="XZ388" s="6"/>
      <c r="YA388" s="6"/>
      <c r="YB388" s="6"/>
      <c r="YC388" s="6"/>
      <c r="YD388" s="6"/>
      <c r="YE388" s="6"/>
      <c r="YF388" s="6"/>
      <c r="YG388" s="6"/>
      <c r="YH388" s="6"/>
      <c r="YI388" s="6"/>
      <c r="YJ388" s="6"/>
      <c r="YK388" s="6"/>
      <c r="YL388" s="6"/>
      <c r="YM388" s="6"/>
      <c r="YN388" s="6"/>
      <c r="YO388" s="6"/>
      <c r="YP388" s="6"/>
      <c r="YQ388" s="6"/>
      <c r="YR388" s="6"/>
      <c r="YS388" s="6"/>
      <c r="YT388" s="6"/>
      <c r="YU388" s="6"/>
      <c r="YV388" s="6"/>
      <c r="YW388" s="6"/>
      <c r="YX388" s="6"/>
      <c r="YY388" s="6"/>
      <c r="YZ388" s="6"/>
      <c r="ZA388" s="6"/>
      <c r="ZB388" s="6"/>
      <c r="ZC388" s="6"/>
      <c r="ZD388" s="6"/>
      <c r="ZE388" s="6"/>
      <c r="ZF388" s="6"/>
      <c r="ZG388" s="6"/>
      <c r="ZH388" s="6"/>
      <c r="ZI388" s="6"/>
      <c r="ZJ388" s="6"/>
      <c r="ZK388" s="6"/>
      <c r="ZL388" s="6"/>
      <c r="ZM388" s="6"/>
      <c r="ZN388" s="6"/>
      <c r="ZO388" s="6"/>
      <c r="ZP388" s="6"/>
      <c r="ZQ388" s="6"/>
      <c r="ZR388" s="6"/>
      <c r="ZS388" s="6"/>
      <c r="ZT388" s="6"/>
      <c r="ZU388" s="6"/>
      <c r="ZV388" s="6"/>
      <c r="ZW388" s="6"/>
      <c r="ZX388" s="6"/>
      <c r="ZY388" s="6"/>
      <c r="ZZ388" s="6"/>
      <c r="AAA388" s="6"/>
      <c r="AAB388" s="6"/>
      <c r="AAC388" s="6"/>
      <c r="AAD388" s="6"/>
      <c r="AAE388" s="6"/>
      <c r="AAF388" s="6"/>
      <c r="AAG388" s="6"/>
      <c r="AAH388" s="6"/>
      <c r="AAI388" s="6"/>
      <c r="AAJ388" s="6"/>
      <c r="AAK388" s="6"/>
      <c r="AAL388" s="6"/>
      <c r="AAM388" s="6"/>
      <c r="AAN388" s="6"/>
      <c r="AAO388" s="6"/>
      <c r="AAP388" s="6"/>
      <c r="AAQ388" s="6"/>
      <c r="AAR388" s="6"/>
      <c r="AAS388" s="6"/>
      <c r="AAT388" s="6"/>
      <c r="AAU388" s="6"/>
      <c r="AAV388" s="6"/>
      <c r="AAW388" s="6"/>
      <c r="AAX388" s="6"/>
      <c r="AAY388" s="6"/>
      <c r="AAZ388" s="6"/>
      <c r="ABA388" s="6"/>
      <c r="ABB388" s="6"/>
      <c r="ABC388" s="6"/>
      <c r="ABD388" s="6"/>
      <c r="ABE388" s="6"/>
      <c r="ABF388" s="6"/>
      <c r="ABG388" s="6"/>
      <c r="ABH388" s="6"/>
      <c r="ABI388" s="6"/>
      <c r="ABJ388" s="6"/>
      <c r="ABK388" s="6"/>
      <c r="ABL388" s="6"/>
      <c r="ABM388" s="6"/>
      <c r="ABN388" s="6"/>
      <c r="ABO388" s="6"/>
      <c r="ABP388" s="6"/>
      <c r="ABQ388" s="6"/>
      <c r="ABR388" s="6"/>
      <c r="ABS388" s="6"/>
      <c r="ABT388" s="6"/>
      <c r="ABU388" s="6"/>
      <c r="ABV388" s="6"/>
      <c r="ABW388" s="6"/>
      <c r="ABX388" s="6"/>
      <c r="ABY388" s="6"/>
      <c r="ABZ388" s="6"/>
      <c r="ACA388" s="6"/>
      <c r="ACB388" s="6"/>
      <c r="ACC388" s="6"/>
      <c r="ACD388" s="6"/>
      <c r="ACE388" s="6"/>
      <c r="ACF388" s="6"/>
      <c r="ACG388" s="6"/>
      <c r="ACH388" s="6"/>
      <c r="ACI388" s="6"/>
      <c r="ACJ388" s="6"/>
      <c r="ACK388" s="6"/>
      <c r="ACL388" s="6"/>
      <c r="ACM388" s="6"/>
      <c r="ACN388" s="6"/>
      <c r="ACO388" s="6"/>
      <c r="ACP388" s="6"/>
      <c r="ACQ388" s="6"/>
      <c r="ACR388" s="6"/>
      <c r="ACS388" s="6"/>
      <c r="ACT388" s="6"/>
      <c r="ACU388" s="6"/>
      <c r="ACV388" s="6"/>
      <c r="ACW388" s="6"/>
      <c r="ACX388" s="6"/>
      <c r="ACY388" s="6"/>
      <c r="ACZ388" s="6"/>
      <c r="ADA388" s="6"/>
      <c r="ADB388" s="6"/>
      <c r="ADC388" s="6"/>
      <c r="ADD388" s="6"/>
      <c r="ADE388" s="6"/>
      <c r="ADF388" s="6"/>
      <c r="ADG388" s="6"/>
      <c r="ADH388" s="6"/>
      <c r="ADI388" s="6"/>
      <c r="ADJ388" s="6"/>
      <c r="ADK388" s="6"/>
      <c r="ADL388" s="6"/>
      <c r="ADM388" s="6"/>
      <c r="ADN388" s="6"/>
      <c r="ADO388" s="6"/>
      <c r="ADP388" s="6"/>
      <c r="ADQ388" s="6"/>
      <c r="ADR388" s="6"/>
      <c r="ADS388" s="6"/>
      <c r="ADT388" s="6"/>
      <c r="ADU388" s="6"/>
      <c r="ADV388" s="6"/>
      <c r="ADW388" s="6"/>
      <c r="ADX388" s="6"/>
      <c r="ADY388" s="6"/>
      <c r="ADZ388" s="6"/>
      <c r="AEA388" s="6"/>
      <c r="AEB388" s="6"/>
      <c r="AEC388" s="6"/>
      <c r="AED388" s="6"/>
      <c r="AEE388" s="6"/>
      <c r="AEF388" s="6"/>
      <c r="AEG388" s="6"/>
      <c r="AEH388" s="6"/>
      <c r="AEI388" s="6"/>
      <c r="AEJ388" s="6"/>
      <c r="AEK388" s="6"/>
      <c r="AEL388" s="6"/>
      <c r="AEM388" s="6"/>
      <c r="AEN388" s="6"/>
      <c r="AEO388" s="6"/>
      <c r="AEP388" s="6"/>
      <c r="AEQ388" s="6"/>
      <c r="AER388" s="6"/>
      <c r="AES388" s="6"/>
      <c r="AET388" s="6"/>
      <c r="AEU388" s="6"/>
      <c r="AEV388" s="6"/>
      <c r="AEW388" s="6"/>
      <c r="AEX388" s="6"/>
      <c r="AEY388" s="6"/>
      <c r="AEZ388" s="6"/>
      <c r="AFA388" s="6"/>
      <c r="AFB388" s="6"/>
      <c r="AFC388" s="6"/>
      <c r="AFD388" s="6"/>
      <c r="AFE388" s="6"/>
      <c r="AFF388" s="6"/>
      <c r="AFG388" s="6"/>
      <c r="AFH388" s="6"/>
      <c r="AFI388" s="6"/>
      <c r="AFJ388" s="6"/>
      <c r="AFK388" s="6"/>
      <c r="AFL388" s="6"/>
      <c r="AFM388" s="6"/>
      <c r="AFN388" s="6"/>
      <c r="AFO388" s="6"/>
      <c r="AFP388" s="6"/>
      <c r="AFQ388" s="6"/>
      <c r="AFR388" s="6"/>
      <c r="AFS388" s="6"/>
      <c r="AFT388" s="6"/>
      <c r="AFU388" s="6"/>
      <c r="AFV388" s="6"/>
      <c r="AFW388" s="6"/>
      <c r="AFX388" s="6"/>
      <c r="AFY388" s="6"/>
      <c r="AFZ388" s="6"/>
      <c r="AGA388" s="6"/>
      <c r="AGB388" s="6"/>
      <c r="AGC388" s="6"/>
      <c r="AGD388" s="6"/>
      <c r="AGE388" s="6"/>
      <c r="AGF388" s="6"/>
      <c r="AGG388" s="6"/>
      <c r="AGH388" s="6"/>
      <c r="AGI388" s="6"/>
      <c r="AGJ388" s="6"/>
      <c r="AGK388" s="6"/>
      <c r="AGL388" s="6"/>
      <c r="AGM388" s="6"/>
      <c r="AGN388" s="6"/>
      <c r="AGO388" s="6"/>
      <c r="AGP388" s="6"/>
      <c r="AGQ388" s="6"/>
      <c r="AGR388" s="6"/>
      <c r="AGS388" s="6"/>
      <c r="AGT388" s="6"/>
      <c r="AGU388" s="6"/>
      <c r="AGV388" s="6"/>
      <c r="AGW388" s="6"/>
      <c r="AGX388" s="6"/>
      <c r="AGY388" s="6"/>
      <c r="AGZ388" s="6"/>
      <c r="AHA388" s="6"/>
      <c r="AHB388" s="6"/>
      <c r="AHC388" s="6"/>
      <c r="AHD388" s="6"/>
      <c r="AHE388" s="6"/>
      <c r="AHF388" s="6"/>
      <c r="AHG388" s="6"/>
      <c r="AHH388" s="6"/>
      <c r="AHI388" s="6"/>
      <c r="AHJ388" s="6"/>
      <c r="AHK388" s="6"/>
      <c r="AHL388" s="6"/>
      <c r="AHM388" s="6"/>
      <c r="AHN388" s="6"/>
      <c r="AHO388" s="6"/>
      <c r="AHP388" s="6"/>
      <c r="AHQ388" s="6"/>
      <c r="AHR388" s="6"/>
      <c r="AHS388" s="6"/>
      <c r="AHT388" s="6"/>
      <c r="AHU388" s="6"/>
      <c r="AHV388" s="6"/>
      <c r="AHW388" s="6"/>
      <c r="AHX388" s="6"/>
      <c r="AHY388" s="6"/>
      <c r="AHZ388" s="6"/>
      <c r="AIA388" s="6"/>
      <c r="AIB388" s="6"/>
      <c r="AIC388" s="6"/>
      <c r="AID388" s="6"/>
      <c r="AIE388" s="6"/>
      <c r="AIF388" s="6"/>
      <c r="AIG388" s="6"/>
      <c r="AIH388" s="6"/>
      <c r="AII388" s="6"/>
      <c r="AIJ388" s="6"/>
      <c r="AIK388" s="6"/>
      <c r="AIL388" s="6"/>
      <c r="AIM388" s="6"/>
      <c r="AIN388" s="6"/>
      <c r="AIO388" s="6"/>
      <c r="AIP388" s="6"/>
      <c r="AIQ388" s="6"/>
      <c r="AIR388" s="6"/>
      <c r="AIS388" s="6"/>
      <c r="AIT388" s="6"/>
      <c r="AIU388" s="6"/>
      <c r="AIV388" s="6"/>
      <c r="AIW388" s="6"/>
      <c r="AIX388" s="6"/>
      <c r="AIY388" s="6"/>
      <c r="AIZ388" s="6"/>
      <c r="AJA388" s="6"/>
      <c r="AJB388" s="6"/>
      <c r="AJC388" s="6"/>
      <c r="AJD388" s="6"/>
      <c r="AJE388" s="6"/>
      <c r="AJF388" s="6"/>
      <c r="AJG388" s="6"/>
      <c r="AJH388" s="6"/>
      <c r="AJI388" s="6"/>
      <c r="AJJ388" s="6"/>
      <c r="AJK388" s="6"/>
      <c r="AJL388" s="6"/>
      <c r="AJM388" s="6"/>
      <c r="AJN388" s="6"/>
      <c r="AJO388" s="6"/>
      <c r="AJP388" s="6"/>
      <c r="AJQ388" s="6"/>
      <c r="AJR388" s="6"/>
      <c r="AJS388" s="6"/>
      <c r="AJT388" s="6"/>
      <c r="AJU388" s="6"/>
      <c r="AJV388" s="6"/>
      <c r="AJW388" s="6"/>
      <c r="AJX388" s="6"/>
      <c r="AJY388" s="6"/>
      <c r="AJZ388" s="6"/>
      <c r="AKA388" s="6"/>
      <c r="AKB388" s="6"/>
      <c r="AKC388" s="6"/>
      <c r="AKD388" s="6"/>
      <c r="AKE388" s="6"/>
      <c r="AKF388" s="6"/>
      <c r="AKG388" s="6"/>
      <c r="AKH388" s="6"/>
      <c r="AKI388" s="6"/>
      <c r="AKJ388" s="6"/>
      <c r="AKK388" s="6"/>
      <c r="AKL388" s="6"/>
      <c r="AKM388" s="6"/>
      <c r="AKN388" s="6"/>
      <c r="AKO388" s="6"/>
      <c r="AKP388" s="6"/>
      <c r="AKQ388" s="6"/>
      <c r="AKR388" s="6"/>
      <c r="AKS388" s="6"/>
      <c r="AKT388" s="6"/>
      <c r="AKU388" s="6"/>
      <c r="AKV388" s="6"/>
      <c r="AKW388" s="6"/>
      <c r="AKX388" s="6"/>
      <c r="AKY388" s="6"/>
      <c r="AKZ388" s="6"/>
      <c r="ALA388" s="6"/>
      <c r="ALB388" s="6"/>
      <c r="ALC388" s="6"/>
      <c r="ALD388" s="6"/>
      <c r="ALE388" s="6"/>
      <c r="ALF388" s="6"/>
      <c r="ALG388" s="6"/>
      <c r="ALH388" s="6"/>
      <c r="ALI388" s="6"/>
      <c r="ALJ388" s="6"/>
      <c r="ALK388" s="6"/>
      <c r="ALL388" s="6"/>
      <c r="ALM388" s="6"/>
      <c r="ALN388" s="6"/>
      <c r="ALO388" s="6"/>
      <c r="ALP388" s="6"/>
      <c r="ALQ388" s="6"/>
      <c r="ALR388" s="6"/>
      <c r="ALS388" s="6"/>
      <c r="ALT388" s="6"/>
      <c r="ALU388" s="6"/>
      <c r="ALV388" s="6"/>
      <c r="ALW388" s="6"/>
      <c r="ALX388" s="6"/>
      <c r="ALY388" s="6"/>
      <c r="ALZ388" s="6"/>
      <c r="AMA388" s="6"/>
      <c r="AMB388" s="6"/>
      <c r="AMC388" s="6"/>
      <c r="AMD388" s="6"/>
      <c r="AME388" s="6"/>
      <c r="AMF388" s="6"/>
      <c r="AMG388" s="6"/>
      <c r="AMH388" s="6"/>
      <c r="AMI388" s="6"/>
      <c r="AMJ388" s="6"/>
      <c r="AMK388" s="6"/>
      <c r="AML388" s="6"/>
      <c r="AMM388" s="6"/>
      <c r="AMN388" s="6"/>
      <c r="AMO388" s="6"/>
      <c r="AMP388" s="6"/>
    </row>
    <row r="389" spans="1:1030" x14ac:dyDescent="0.2">
      <c r="A389" s="9" t="str">
        <f>CONCATENATE(B389,"_",C389)</f>
        <v>q80km9_hcmv_5WB1</v>
      </c>
      <c r="B389" s="40" t="s">
        <v>1501</v>
      </c>
      <c r="C389" s="9" t="s">
        <v>1503</v>
      </c>
      <c r="D389" s="9" t="str">
        <f>IFERROR(MID(VLOOKUP($B389,Seqs!$A:$B,2,0),E389,1),"")</f>
        <v>F</v>
      </c>
      <c r="E389" s="9">
        <v>25</v>
      </c>
      <c r="F389" s="9" t="str">
        <f>IFERROR(MID(VLOOKUP($B389,Seqs!$A:$B,2,0),G389,1),"")</f>
        <v>W</v>
      </c>
      <c r="G389" s="9">
        <v>60</v>
      </c>
      <c r="H389" s="9" t="str">
        <f>IFERROR(MID(VLOOKUP($B389,Seqs!$A:$B,2,0),I389,1),"")</f>
        <v/>
      </c>
      <c r="I389" s="109" t="s">
        <v>23</v>
      </c>
      <c r="J389" s="9" t="str">
        <f>IFERROR(MID(VLOOKUP($B389,Seqs!$A:$B,2,0),K389,1),"")</f>
        <v/>
      </c>
      <c r="K389" s="109" t="s">
        <v>23</v>
      </c>
      <c r="L389" s="9" t="str">
        <f>IFERROR(MID(VLOOKUP($B389,Seqs!$A:$B,2,0),M389,1),"")</f>
        <v>C</v>
      </c>
      <c r="M389" s="9">
        <v>66</v>
      </c>
      <c r="N389" s="9" t="str">
        <f>IFERROR(MID(VLOOKUP($B389,Seqs!$A:$B,2,0),O389,1),"")</f>
        <v>D</v>
      </c>
      <c r="O389" s="9">
        <v>95</v>
      </c>
      <c r="P389" s="9" t="str">
        <f>IFERROR(MID(VLOOKUP($B389,Seqs!$A:$B,2,0),Q389,1),"")</f>
        <v/>
      </c>
      <c r="Q389" s="9" t="s">
        <v>23</v>
      </c>
      <c r="R389" s="9" t="str">
        <f>IFERROR(MID(VLOOKUP($B389,Seqs!$A:$B,2,0),S389,1),"")</f>
        <v/>
      </c>
      <c r="S389" s="9" t="s">
        <v>23</v>
      </c>
      <c r="T389" s="9" t="str">
        <f>IFERROR(MID(VLOOKUP($B389,Seqs!$A:$B,2,0),U389,1),"")</f>
        <v>A</v>
      </c>
      <c r="U389" s="9">
        <v>100</v>
      </c>
      <c r="V389" s="9" t="str">
        <f>IFERROR(MID(VLOOKUP($B389,Seqs!$A:$B,2,0),W389,1),"")</f>
        <v>V</v>
      </c>
      <c r="W389" s="9">
        <v>134</v>
      </c>
      <c r="X389" s="9" t="str">
        <f>IFERROR(MID(VLOOKUP($B389,Seqs!$A:$B,2,0),Y389,1),"")</f>
        <v/>
      </c>
      <c r="Y389" s="9" t="s">
        <v>23</v>
      </c>
      <c r="Z389" s="9" t="str">
        <f>IFERROR(MID(VLOOKUP($B389,Seqs!$A:$B,2,0),AA389,1),"")</f>
        <v/>
      </c>
      <c r="AA389" s="9" t="s">
        <v>23</v>
      </c>
      <c r="AB389" s="9" t="str">
        <f>IFERROR(MID(VLOOKUP($B389,Seqs!$A:$B,2,0),AC389,1),"")</f>
        <v>P</v>
      </c>
      <c r="AC389" s="9">
        <v>140</v>
      </c>
      <c r="AD389" s="9" t="str">
        <f>IFERROR(MID(VLOOKUP($B389,Seqs!$A:$B,2,0),AE389,1),"")</f>
        <v>M</v>
      </c>
      <c r="AE389" s="9">
        <v>164</v>
      </c>
      <c r="AF389" s="9" t="str">
        <f>IFERROR(MID(VLOOKUP($B389,Seqs!$A:$B,2,0),AG389,1),"")</f>
        <v>C</v>
      </c>
      <c r="AG389" s="9">
        <v>173</v>
      </c>
      <c r="AH389" s="9" t="str">
        <f>IFERROR(MID(VLOOKUP($B389,Seqs!$A:$B,2,0),AI389,1),"")</f>
        <v>T</v>
      </c>
      <c r="AI389" s="9">
        <v>175</v>
      </c>
      <c r="AJ389" s="9" t="str">
        <f>IFERROR(MID(VLOOKUP($B389,Seqs!$A:$B,2,0),AK389,1),"")</f>
        <v>S</v>
      </c>
      <c r="AK389" s="9">
        <v>183</v>
      </c>
      <c r="AL389" s="9" t="str">
        <f>IFERROR(MID(VLOOKUP($B389,Seqs!$A:$B,2,0),AM389,1),"")</f>
        <v>S</v>
      </c>
      <c r="AM389" s="9">
        <v>218</v>
      </c>
      <c r="AN389" s="9" t="str">
        <f>IFERROR(MID(VLOOKUP($B389,Seqs!$A:$B,2,0),AO389,1),"")</f>
        <v>H</v>
      </c>
      <c r="AO389" s="9">
        <v>222</v>
      </c>
      <c r="AP389" s="9" t="str">
        <f>IFERROR(MID(VLOOKUP($B389,Seqs!$A:$B,2,0),AQ389,1),"")</f>
        <v>K</v>
      </c>
      <c r="AQ389" s="9">
        <v>257</v>
      </c>
      <c r="AR389" s="9" t="str">
        <f>IFERROR(MID(VLOOKUP($B389,Seqs!$A:$B,2,0),AS389,1),"")</f>
        <v>S</v>
      </c>
      <c r="AS389" s="9">
        <v>262</v>
      </c>
      <c r="AT389" s="9" t="str">
        <f>IFERROR(MID(VLOOKUP($B389,Seqs!$A:$B,2,0),AU389,1),"")</f>
        <v>V</v>
      </c>
      <c r="AU389" s="9">
        <v>294</v>
      </c>
      <c r="AV389" s="9" t="str">
        <f>IFERROR(MID(VLOOKUP($B389,Seqs!$A:$B,2,0),AW389,1),"")</f>
        <v>G</v>
      </c>
      <c r="AW389" s="9">
        <v>295</v>
      </c>
      <c r="AX389" s="9" t="str">
        <f>IFERROR(MID(VLOOKUP($B389,Seqs!$A:$B,2,0),AY389,1),"")</f>
        <v>R</v>
      </c>
      <c r="AY389" s="9">
        <v>310</v>
      </c>
      <c r="AZ389" s="110" t="str">
        <f>VLOOKUP(B389,Classification!A:D,2,0)</f>
        <v>A</v>
      </c>
      <c r="BA389" s="98" t="str">
        <f>VLOOKUP(B389,Classification!A:D,4,0)</f>
        <v>Chemokine</v>
      </c>
      <c r="BB389" s="36" t="b">
        <f t="shared" si="1169"/>
        <v>1</v>
      </c>
      <c r="BC389" s="109">
        <f t="shared" si="1170"/>
        <v>253</v>
      </c>
      <c r="BD389" s="11" t="s">
        <v>1369</v>
      </c>
      <c r="BE389" s="9" t="s">
        <v>1285</v>
      </c>
      <c r="BF389" s="119">
        <v>3.51</v>
      </c>
      <c r="BG389" s="51" t="s">
        <v>1</v>
      </c>
      <c r="BH389" s="51" t="s">
        <v>1</v>
      </c>
      <c r="BI389" s="12"/>
      <c r="BJ389" s="111" t="s">
        <v>1281</v>
      </c>
      <c r="BK389" s="112" t="s">
        <v>1281</v>
      </c>
      <c r="BL389" s="112" t="s">
        <v>1281</v>
      </c>
      <c r="BM389" s="112" t="s">
        <v>1281</v>
      </c>
      <c r="BN389" s="112" t="s">
        <v>1281</v>
      </c>
      <c r="BO389" s="112" t="s">
        <v>1281</v>
      </c>
      <c r="BP389" s="112" t="s">
        <v>1281</v>
      </c>
      <c r="BQ389" s="112" t="s">
        <v>1281</v>
      </c>
      <c r="BR389" s="112" t="s">
        <v>1281</v>
      </c>
      <c r="BS389" s="112" t="s">
        <v>1281</v>
      </c>
      <c r="BT389" s="112" t="s">
        <v>1281</v>
      </c>
      <c r="BU389" s="112" t="s">
        <v>1281</v>
      </c>
      <c r="BV389" s="111">
        <f>E389</f>
        <v>25</v>
      </c>
      <c r="BW389" s="113" t="str">
        <f>I389</f>
        <v>-</v>
      </c>
      <c r="BX389" s="114">
        <f>M389</f>
        <v>66</v>
      </c>
      <c r="BY389" s="113" t="str">
        <f>Q389</f>
        <v>-</v>
      </c>
      <c r="BZ389" s="114">
        <f>U389</f>
        <v>100</v>
      </c>
      <c r="CA389" s="113" t="str">
        <f>Y389</f>
        <v>-</v>
      </c>
      <c r="CB389" s="114">
        <f>AC389</f>
        <v>140</v>
      </c>
      <c r="CC389" s="113">
        <f>AG389</f>
        <v>173</v>
      </c>
      <c r="CD389" s="114">
        <f>AK389</f>
        <v>183</v>
      </c>
      <c r="CE389" s="113">
        <f>AO389</f>
        <v>222</v>
      </c>
      <c r="CF389" s="114">
        <f>AS389</f>
        <v>262</v>
      </c>
      <c r="CG389" s="113">
        <f>AW389</f>
        <v>295</v>
      </c>
      <c r="CH389" s="111">
        <f>G389</f>
        <v>60</v>
      </c>
      <c r="CI389" s="113" t="str">
        <f>K389</f>
        <v>-</v>
      </c>
      <c r="CJ389" s="114">
        <f>O389</f>
        <v>95</v>
      </c>
      <c r="CK389" s="114" t="str">
        <f>S389</f>
        <v>-</v>
      </c>
      <c r="CL389" s="114">
        <f>W389</f>
        <v>134</v>
      </c>
      <c r="CM389" s="114" t="str">
        <f>AA389</f>
        <v>-</v>
      </c>
      <c r="CN389" s="114">
        <f>AE389</f>
        <v>164</v>
      </c>
      <c r="CO389" s="114">
        <f>AI389</f>
        <v>175</v>
      </c>
      <c r="CP389" s="114">
        <f>AM389</f>
        <v>218</v>
      </c>
      <c r="CQ389" s="114">
        <f>AQ389</f>
        <v>257</v>
      </c>
      <c r="CR389" s="114">
        <f>AU389</f>
        <v>294</v>
      </c>
      <c r="CS389" s="114">
        <f>AY389</f>
        <v>310</v>
      </c>
      <c r="CT389" s="109" t="e">
        <f>M389-K389</f>
        <v>#VALUE!</v>
      </c>
      <c r="CU389" s="6"/>
      <c r="CV389" s="6"/>
      <c r="CW389" s="6"/>
      <c r="CX389" s="6"/>
      <c r="CY389" s="6"/>
      <c r="CZ389" s="6"/>
      <c r="DA389" s="6"/>
      <c r="DB389" s="6"/>
      <c r="DC389" s="6"/>
      <c r="DD389" s="6"/>
      <c r="DE389" s="6"/>
      <c r="DF389" s="6"/>
      <c r="DG389" s="6"/>
      <c r="DH389" s="6"/>
      <c r="DI389" s="6"/>
      <c r="DJ389" s="6"/>
      <c r="DK389" s="6"/>
      <c r="DL389" s="6"/>
      <c r="DM389" s="6"/>
      <c r="DN389" s="6"/>
      <c r="DO389" s="6"/>
      <c r="DP389" s="6"/>
      <c r="DQ389" s="6"/>
      <c r="DR389" s="6"/>
      <c r="DS389" s="6"/>
      <c r="DT389" s="6"/>
      <c r="DU389" s="6"/>
      <c r="DV389" s="6"/>
      <c r="DW389" s="6"/>
      <c r="DX389" s="6"/>
      <c r="DY389" s="6"/>
      <c r="DZ389" s="6"/>
      <c r="EA389" s="6"/>
      <c r="EB389" s="6"/>
      <c r="EC389" s="6"/>
      <c r="ED389" s="6"/>
      <c r="EE389" s="6"/>
      <c r="EF389" s="6"/>
      <c r="EG389" s="6"/>
      <c r="EH389" s="6"/>
      <c r="EI389" s="6"/>
      <c r="EJ389" s="6"/>
      <c r="EK389" s="6"/>
      <c r="EL389" s="6"/>
      <c r="EM389" s="6"/>
      <c r="EN389" s="6"/>
      <c r="EO389" s="6"/>
      <c r="EP389" s="6"/>
      <c r="EQ389" s="6"/>
      <c r="ER389" s="6"/>
      <c r="ES389" s="6"/>
      <c r="ET389" s="6"/>
      <c r="EU389" s="6"/>
      <c r="EV389" s="6"/>
      <c r="EW389" s="6"/>
      <c r="EX389" s="6"/>
      <c r="EY389" s="6"/>
      <c r="EZ389" s="6"/>
      <c r="FA389" s="6"/>
      <c r="FB389" s="6"/>
      <c r="FC389" s="6"/>
      <c r="FD389" s="6"/>
      <c r="FE389" s="6"/>
      <c r="FF389" s="6"/>
      <c r="FG389" s="6"/>
      <c r="FH389" s="6"/>
      <c r="FI389" s="6"/>
      <c r="FJ389" s="6"/>
      <c r="FK389" s="6"/>
      <c r="FL389" s="6"/>
      <c r="FM389" s="6"/>
      <c r="FN389" s="6"/>
      <c r="FO389" s="6"/>
      <c r="FP389" s="6"/>
      <c r="FQ389" s="6"/>
      <c r="FR389" s="6"/>
      <c r="FS389" s="6"/>
      <c r="FT389" s="6"/>
      <c r="FU389" s="6"/>
      <c r="FV389" s="6"/>
      <c r="FW389" s="6"/>
      <c r="FX389" s="6"/>
      <c r="FY389" s="6"/>
      <c r="FZ389" s="6"/>
      <c r="GA389" s="6"/>
      <c r="GB389" s="6"/>
      <c r="GC389" s="6"/>
      <c r="GD389" s="6"/>
      <c r="GE389" s="6"/>
      <c r="GF389" s="6"/>
      <c r="GG389" s="6"/>
      <c r="GH389" s="6"/>
      <c r="GI389" s="6"/>
      <c r="GJ389" s="6"/>
      <c r="GK389" s="6"/>
      <c r="GL389" s="6"/>
      <c r="GM389" s="6"/>
      <c r="GN389" s="6"/>
      <c r="GO389" s="6"/>
      <c r="GP389" s="6"/>
      <c r="GQ389" s="6"/>
      <c r="GR389" s="6"/>
      <c r="GS389" s="6"/>
      <c r="GT389" s="6"/>
      <c r="GU389" s="6"/>
      <c r="GV389" s="6"/>
      <c r="GW389" s="6"/>
      <c r="GX389" s="6"/>
      <c r="GY389" s="6"/>
      <c r="GZ389" s="6"/>
      <c r="HA389" s="6"/>
      <c r="HB389" s="6"/>
      <c r="HC389" s="6"/>
      <c r="HD389" s="6"/>
      <c r="HE389" s="6"/>
      <c r="HF389" s="6"/>
      <c r="HG389" s="6"/>
      <c r="HH389" s="6"/>
      <c r="HI389" s="6"/>
      <c r="HJ389" s="6"/>
      <c r="HK389" s="6"/>
      <c r="HL389" s="6"/>
      <c r="HM389" s="6"/>
      <c r="HN389" s="6"/>
      <c r="HO389" s="6"/>
      <c r="HP389" s="6"/>
      <c r="HQ389" s="6"/>
      <c r="HR389" s="6"/>
      <c r="HS389" s="6"/>
      <c r="HT389" s="6"/>
      <c r="HU389" s="6"/>
      <c r="HV389" s="6"/>
      <c r="HW389" s="6"/>
      <c r="HX389" s="6"/>
      <c r="HY389" s="6"/>
      <c r="HZ389" s="6"/>
      <c r="IA389" s="6"/>
      <c r="IB389" s="6"/>
      <c r="IC389" s="6"/>
      <c r="ID389" s="6"/>
      <c r="IE389" s="6"/>
      <c r="IF389" s="6"/>
      <c r="IG389" s="6"/>
      <c r="IH389" s="6"/>
      <c r="II389" s="6"/>
      <c r="IJ389" s="6"/>
      <c r="IK389" s="6"/>
      <c r="IL389" s="6"/>
      <c r="IM389" s="6"/>
      <c r="IN389" s="6"/>
      <c r="IO389" s="6"/>
      <c r="IP389" s="6"/>
      <c r="IQ389" s="6"/>
      <c r="IR389" s="6"/>
      <c r="IS389" s="6"/>
      <c r="IT389" s="6"/>
      <c r="IU389" s="6"/>
      <c r="IV389" s="6"/>
      <c r="IW389" s="6"/>
      <c r="IX389" s="6"/>
      <c r="IY389" s="6"/>
      <c r="IZ389" s="6"/>
      <c r="JA389" s="6"/>
      <c r="JB389" s="6"/>
      <c r="JC389" s="6"/>
      <c r="JD389" s="6"/>
      <c r="JE389" s="6"/>
      <c r="JF389" s="6"/>
      <c r="JG389" s="6"/>
      <c r="JH389" s="6"/>
      <c r="JI389" s="6"/>
      <c r="JJ389" s="6"/>
      <c r="JK389" s="6"/>
      <c r="JL389" s="6"/>
      <c r="JM389" s="6"/>
      <c r="JN389" s="6"/>
      <c r="JO389" s="6"/>
      <c r="JP389" s="6"/>
      <c r="JQ389" s="6"/>
      <c r="JR389" s="6"/>
      <c r="JS389" s="6"/>
      <c r="JT389" s="6"/>
      <c r="JU389" s="6"/>
      <c r="JV389" s="6"/>
      <c r="JW389" s="6"/>
      <c r="JX389" s="6"/>
      <c r="JY389" s="6"/>
      <c r="JZ389" s="6"/>
      <c r="KA389" s="6"/>
      <c r="KB389" s="6"/>
      <c r="KC389" s="6"/>
      <c r="KD389" s="6"/>
      <c r="KE389" s="6"/>
      <c r="KF389" s="6"/>
      <c r="KG389" s="6"/>
      <c r="KH389" s="6"/>
      <c r="KI389" s="6"/>
      <c r="KJ389" s="6"/>
      <c r="KK389" s="6"/>
      <c r="KL389" s="6"/>
      <c r="KM389" s="6"/>
      <c r="KN389" s="6"/>
      <c r="KO389" s="6"/>
      <c r="KP389" s="6"/>
      <c r="KQ389" s="6"/>
      <c r="KR389" s="6"/>
      <c r="KS389" s="6"/>
      <c r="KT389" s="6"/>
      <c r="KU389" s="6"/>
      <c r="KV389" s="6"/>
      <c r="KW389" s="6"/>
      <c r="KX389" s="6"/>
      <c r="KY389" s="6"/>
      <c r="KZ389" s="6"/>
      <c r="LA389" s="6"/>
      <c r="LB389" s="6"/>
      <c r="LC389" s="6"/>
      <c r="LD389" s="6"/>
      <c r="LE389" s="6"/>
      <c r="LF389" s="6"/>
      <c r="LG389" s="6"/>
      <c r="LH389" s="6"/>
      <c r="LI389" s="6"/>
      <c r="LJ389" s="6"/>
      <c r="LK389" s="6"/>
      <c r="LL389" s="6"/>
      <c r="LM389" s="6"/>
      <c r="LN389" s="6"/>
      <c r="LO389" s="6"/>
      <c r="LP389" s="6"/>
      <c r="LQ389" s="6"/>
      <c r="LR389" s="6"/>
      <c r="LS389" s="6"/>
      <c r="LT389" s="6"/>
      <c r="LU389" s="6"/>
      <c r="LV389" s="6"/>
      <c r="LW389" s="6"/>
      <c r="LX389" s="6"/>
      <c r="LY389" s="6"/>
      <c r="LZ389" s="6"/>
      <c r="MA389" s="6"/>
      <c r="MB389" s="6"/>
      <c r="MC389" s="6"/>
      <c r="MD389" s="6"/>
      <c r="ME389" s="6"/>
      <c r="MF389" s="6"/>
      <c r="MG389" s="6"/>
      <c r="MH389" s="6"/>
      <c r="MI389" s="6"/>
      <c r="MJ389" s="6"/>
      <c r="MK389" s="6"/>
      <c r="ML389" s="6"/>
      <c r="MM389" s="6"/>
      <c r="MN389" s="6"/>
      <c r="MO389" s="6"/>
      <c r="MP389" s="6"/>
      <c r="MQ389" s="6"/>
      <c r="MR389" s="6"/>
      <c r="MS389" s="6"/>
      <c r="MT389" s="6"/>
      <c r="MU389" s="6"/>
      <c r="MV389" s="6"/>
      <c r="MW389" s="6"/>
      <c r="MX389" s="6"/>
      <c r="MY389" s="6"/>
      <c r="MZ389" s="6"/>
      <c r="NA389" s="6"/>
      <c r="NB389" s="6"/>
      <c r="NC389" s="6"/>
      <c r="ND389" s="6"/>
      <c r="NE389" s="6"/>
      <c r="NF389" s="6"/>
      <c r="NG389" s="6"/>
      <c r="NH389" s="6"/>
      <c r="NI389" s="6"/>
      <c r="NJ389" s="6"/>
      <c r="NK389" s="6"/>
      <c r="NL389" s="6"/>
      <c r="NM389" s="6"/>
      <c r="NN389" s="6"/>
      <c r="NO389" s="6"/>
      <c r="NP389" s="6"/>
      <c r="NQ389" s="6"/>
      <c r="NR389" s="6"/>
      <c r="NS389" s="6"/>
      <c r="NT389" s="6"/>
      <c r="NU389" s="6"/>
      <c r="NV389" s="6"/>
      <c r="NW389" s="6"/>
      <c r="NX389" s="6"/>
      <c r="NY389" s="6"/>
      <c r="NZ389" s="6"/>
      <c r="OA389" s="6"/>
      <c r="OB389" s="6"/>
      <c r="OC389" s="6"/>
      <c r="OD389" s="6"/>
      <c r="OE389" s="6"/>
      <c r="OF389" s="6"/>
      <c r="OG389" s="6"/>
      <c r="OH389" s="6"/>
      <c r="OI389" s="6"/>
      <c r="OJ389" s="6"/>
      <c r="OK389" s="6"/>
      <c r="OL389" s="6"/>
      <c r="OM389" s="6"/>
      <c r="ON389" s="6"/>
      <c r="OO389" s="6"/>
      <c r="OP389" s="6"/>
      <c r="OQ389" s="6"/>
      <c r="OR389" s="6"/>
      <c r="OS389" s="6"/>
      <c r="OT389" s="6"/>
      <c r="OU389" s="6"/>
      <c r="OV389" s="6"/>
      <c r="OW389" s="6"/>
      <c r="OX389" s="6"/>
      <c r="OY389" s="6"/>
      <c r="OZ389" s="6"/>
      <c r="PA389" s="6"/>
      <c r="PB389" s="6"/>
      <c r="PC389" s="6"/>
      <c r="PD389" s="6"/>
      <c r="PE389" s="6"/>
      <c r="PF389" s="6"/>
      <c r="PG389" s="6"/>
      <c r="PH389" s="6"/>
      <c r="PI389" s="6"/>
      <c r="PJ389" s="6"/>
      <c r="PK389" s="6"/>
      <c r="PL389" s="6"/>
      <c r="PM389" s="6"/>
      <c r="PN389" s="6"/>
      <c r="PO389" s="6"/>
      <c r="PP389" s="6"/>
      <c r="PQ389" s="6"/>
      <c r="PR389" s="6"/>
      <c r="PS389" s="6"/>
      <c r="PT389" s="6"/>
      <c r="PU389" s="6"/>
      <c r="PV389" s="6"/>
      <c r="PW389" s="6"/>
      <c r="PX389" s="6"/>
      <c r="PY389" s="6"/>
      <c r="PZ389" s="6"/>
      <c r="QA389" s="6"/>
      <c r="QB389" s="6"/>
      <c r="QC389" s="6"/>
      <c r="QD389" s="6"/>
      <c r="QE389" s="6"/>
      <c r="QF389" s="6"/>
      <c r="QG389" s="6"/>
      <c r="QH389" s="6"/>
      <c r="QI389" s="6"/>
      <c r="QJ389" s="6"/>
      <c r="QK389" s="6"/>
      <c r="QL389" s="6"/>
      <c r="QM389" s="6"/>
      <c r="QN389" s="6"/>
      <c r="QO389" s="6"/>
      <c r="QP389" s="6"/>
      <c r="QQ389" s="6"/>
      <c r="QR389" s="6"/>
      <c r="QS389" s="6"/>
      <c r="QT389" s="6"/>
      <c r="QU389" s="6"/>
      <c r="QV389" s="6"/>
      <c r="QW389" s="6"/>
      <c r="QX389" s="6"/>
      <c r="QY389" s="6"/>
      <c r="QZ389" s="6"/>
      <c r="RA389" s="6"/>
      <c r="RB389" s="6"/>
      <c r="RC389" s="6"/>
      <c r="RD389" s="6"/>
      <c r="RE389" s="6"/>
      <c r="RF389" s="6"/>
      <c r="RG389" s="6"/>
      <c r="RH389" s="6"/>
      <c r="RI389" s="6"/>
      <c r="RJ389" s="6"/>
      <c r="RK389" s="6"/>
      <c r="RL389" s="6"/>
      <c r="RM389" s="6"/>
      <c r="RN389" s="6"/>
      <c r="RO389" s="6"/>
      <c r="RP389" s="6"/>
      <c r="RQ389" s="6"/>
      <c r="RR389" s="6"/>
      <c r="RS389" s="6"/>
      <c r="RT389" s="6"/>
      <c r="RU389" s="6"/>
      <c r="RV389" s="6"/>
      <c r="RW389" s="6"/>
      <c r="RX389" s="6"/>
      <c r="RY389" s="6"/>
      <c r="RZ389" s="6"/>
      <c r="SA389" s="6"/>
      <c r="SB389" s="6"/>
      <c r="SC389" s="6"/>
      <c r="SD389" s="6"/>
      <c r="SE389" s="6"/>
      <c r="SF389" s="6"/>
      <c r="SG389" s="6"/>
      <c r="SH389" s="6"/>
      <c r="SI389" s="6"/>
      <c r="SJ389" s="6"/>
      <c r="SK389" s="6"/>
      <c r="SL389" s="6"/>
      <c r="SM389" s="6"/>
      <c r="SN389" s="6"/>
      <c r="SO389" s="6"/>
      <c r="SP389" s="6"/>
      <c r="SQ389" s="6"/>
      <c r="SR389" s="6"/>
      <c r="SS389" s="6"/>
      <c r="ST389" s="6"/>
      <c r="SU389" s="6"/>
      <c r="SV389" s="6"/>
      <c r="SW389" s="6"/>
      <c r="SX389" s="6"/>
      <c r="SY389" s="6"/>
      <c r="SZ389" s="6"/>
      <c r="TA389" s="6"/>
      <c r="TB389" s="6"/>
      <c r="TC389" s="6"/>
      <c r="TD389" s="6"/>
      <c r="TE389" s="6"/>
      <c r="TF389" s="6"/>
      <c r="TG389" s="6"/>
      <c r="TH389" s="6"/>
      <c r="TI389" s="6"/>
      <c r="TJ389" s="6"/>
      <c r="TK389" s="6"/>
      <c r="TL389" s="6"/>
      <c r="TM389" s="6"/>
      <c r="TN389" s="6"/>
      <c r="TO389" s="6"/>
      <c r="TP389" s="6"/>
      <c r="TQ389" s="6"/>
      <c r="TR389" s="6"/>
      <c r="TS389" s="6"/>
      <c r="TT389" s="6"/>
      <c r="TU389" s="6"/>
      <c r="TV389" s="6"/>
      <c r="TW389" s="6"/>
      <c r="TX389" s="6"/>
      <c r="TY389" s="6"/>
      <c r="TZ389" s="6"/>
      <c r="UA389" s="6"/>
      <c r="UB389" s="6"/>
      <c r="UC389" s="6"/>
      <c r="UD389" s="6"/>
      <c r="UE389" s="6"/>
      <c r="UF389" s="6"/>
      <c r="UG389" s="6"/>
      <c r="UH389" s="6"/>
      <c r="UI389" s="6"/>
      <c r="UJ389" s="6"/>
      <c r="UK389" s="6"/>
      <c r="UL389" s="6"/>
      <c r="UM389" s="6"/>
      <c r="UN389" s="6"/>
      <c r="UO389" s="6"/>
      <c r="UP389" s="6"/>
      <c r="UQ389" s="6"/>
      <c r="UR389" s="6"/>
      <c r="US389" s="6"/>
      <c r="UT389" s="6"/>
      <c r="UU389" s="6"/>
      <c r="UV389" s="6"/>
      <c r="UW389" s="6"/>
      <c r="UX389" s="6"/>
      <c r="UY389" s="6"/>
      <c r="UZ389" s="6"/>
      <c r="VA389" s="6"/>
      <c r="VB389" s="6"/>
      <c r="VC389" s="6"/>
      <c r="VD389" s="6"/>
      <c r="VE389" s="6"/>
      <c r="VF389" s="6"/>
      <c r="VG389" s="6"/>
      <c r="VH389" s="6"/>
      <c r="VI389" s="6"/>
      <c r="VJ389" s="6"/>
      <c r="VK389" s="6"/>
      <c r="VL389" s="6"/>
      <c r="VM389" s="6"/>
      <c r="VN389" s="6"/>
      <c r="VO389" s="6"/>
      <c r="VP389" s="6"/>
      <c r="VQ389" s="6"/>
      <c r="VR389" s="6"/>
      <c r="VS389" s="6"/>
      <c r="VT389" s="6"/>
      <c r="VU389" s="6"/>
      <c r="VV389" s="6"/>
      <c r="VW389" s="6"/>
      <c r="VX389" s="6"/>
      <c r="VY389" s="6"/>
      <c r="VZ389" s="6"/>
      <c r="WA389" s="6"/>
      <c r="WB389" s="6"/>
      <c r="WC389" s="6"/>
      <c r="WD389" s="6"/>
      <c r="WE389" s="6"/>
      <c r="WF389" s="6"/>
      <c r="WG389" s="6"/>
      <c r="WH389" s="6"/>
      <c r="WI389" s="6"/>
      <c r="WJ389" s="6"/>
      <c r="WK389" s="6"/>
      <c r="WL389" s="6"/>
      <c r="WM389" s="6"/>
      <c r="WN389" s="6"/>
      <c r="WO389" s="6"/>
      <c r="WP389" s="6"/>
      <c r="WQ389" s="6"/>
      <c r="WR389" s="6"/>
      <c r="WS389" s="6"/>
      <c r="WT389" s="6"/>
      <c r="WU389" s="6"/>
      <c r="WV389" s="6"/>
      <c r="WW389" s="6"/>
      <c r="WX389" s="6"/>
      <c r="WY389" s="6"/>
      <c r="WZ389" s="6"/>
      <c r="XA389" s="6"/>
      <c r="XB389" s="6"/>
      <c r="XC389" s="6"/>
      <c r="XD389" s="6"/>
      <c r="XE389" s="6"/>
      <c r="XF389" s="6"/>
      <c r="XG389" s="6"/>
      <c r="XH389" s="6"/>
      <c r="XI389" s="6"/>
      <c r="XJ389" s="6"/>
      <c r="XK389" s="6"/>
      <c r="XL389" s="6"/>
      <c r="XM389" s="6"/>
      <c r="XN389" s="6"/>
      <c r="XO389" s="6"/>
      <c r="XP389" s="6"/>
      <c r="XQ389" s="6"/>
      <c r="XR389" s="6"/>
      <c r="XS389" s="6"/>
      <c r="XT389" s="6"/>
      <c r="XU389" s="6"/>
      <c r="XV389" s="6"/>
      <c r="XW389" s="6"/>
      <c r="XX389" s="6"/>
      <c r="XY389" s="6"/>
      <c r="XZ389" s="6"/>
      <c r="YA389" s="6"/>
      <c r="YB389" s="6"/>
      <c r="YC389" s="6"/>
      <c r="YD389" s="6"/>
      <c r="YE389" s="6"/>
      <c r="YF389" s="6"/>
      <c r="YG389" s="6"/>
      <c r="YH389" s="6"/>
      <c r="YI389" s="6"/>
      <c r="YJ389" s="6"/>
      <c r="YK389" s="6"/>
      <c r="YL389" s="6"/>
      <c r="YM389" s="6"/>
      <c r="YN389" s="6"/>
      <c r="YO389" s="6"/>
      <c r="YP389" s="6"/>
      <c r="YQ389" s="6"/>
      <c r="YR389" s="6"/>
      <c r="YS389" s="6"/>
      <c r="YT389" s="6"/>
      <c r="YU389" s="6"/>
      <c r="YV389" s="6"/>
      <c r="YW389" s="6"/>
      <c r="YX389" s="6"/>
      <c r="YY389" s="6"/>
      <c r="YZ389" s="6"/>
      <c r="ZA389" s="6"/>
      <c r="ZB389" s="6"/>
      <c r="ZC389" s="6"/>
      <c r="ZD389" s="6"/>
      <c r="ZE389" s="6"/>
      <c r="ZF389" s="6"/>
      <c r="ZG389" s="6"/>
      <c r="ZH389" s="6"/>
      <c r="ZI389" s="6"/>
      <c r="ZJ389" s="6"/>
      <c r="ZK389" s="6"/>
      <c r="ZL389" s="6"/>
      <c r="ZM389" s="6"/>
      <c r="ZN389" s="6"/>
      <c r="ZO389" s="6"/>
      <c r="ZP389" s="6"/>
      <c r="ZQ389" s="6"/>
      <c r="ZR389" s="6"/>
      <c r="ZS389" s="6"/>
      <c r="ZT389" s="6"/>
      <c r="ZU389" s="6"/>
      <c r="ZV389" s="6"/>
      <c r="ZW389" s="6"/>
      <c r="ZX389" s="6"/>
      <c r="ZY389" s="6"/>
      <c r="ZZ389" s="6"/>
      <c r="AAA389" s="6"/>
      <c r="AAB389" s="6"/>
      <c r="AAC389" s="6"/>
      <c r="AAD389" s="6"/>
      <c r="AAE389" s="6"/>
      <c r="AAF389" s="6"/>
      <c r="AAG389" s="6"/>
      <c r="AAH389" s="6"/>
      <c r="AAI389" s="6"/>
      <c r="AAJ389" s="6"/>
      <c r="AAK389" s="6"/>
      <c r="AAL389" s="6"/>
      <c r="AAM389" s="6"/>
      <c r="AAN389" s="6"/>
      <c r="AAO389" s="6"/>
      <c r="AAP389" s="6"/>
      <c r="AAQ389" s="6"/>
      <c r="AAR389" s="6"/>
      <c r="AAS389" s="6"/>
      <c r="AAT389" s="6"/>
      <c r="AAU389" s="6"/>
      <c r="AAV389" s="6"/>
      <c r="AAW389" s="6"/>
      <c r="AAX389" s="6"/>
      <c r="AAY389" s="6"/>
      <c r="AAZ389" s="6"/>
      <c r="ABA389" s="6"/>
      <c r="ABB389" s="6"/>
      <c r="ABC389" s="6"/>
      <c r="ABD389" s="6"/>
      <c r="ABE389" s="6"/>
      <c r="ABF389" s="6"/>
      <c r="ABG389" s="6"/>
      <c r="ABH389" s="6"/>
      <c r="ABI389" s="6"/>
      <c r="ABJ389" s="6"/>
      <c r="ABK389" s="6"/>
      <c r="ABL389" s="6"/>
      <c r="ABM389" s="6"/>
      <c r="ABN389" s="6"/>
      <c r="ABO389" s="6"/>
      <c r="ABP389" s="6"/>
      <c r="ABQ389" s="6"/>
      <c r="ABR389" s="6"/>
      <c r="ABS389" s="6"/>
      <c r="ABT389" s="6"/>
      <c r="ABU389" s="6"/>
      <c r="ABV389" s="6"/>
      <c r="ABW389" s="6"/>
      <c r="ABX389" s="6"/>
      <c r="ABY389" s="6"/>
      <c r="ABZ389" s="6"/>
      <c r="ACA389" s="6"/>
      <c r="ACB389" s="6"/>
      <c r="ACC389" s="6"/>
      <c r="ACD389" s="6"/>
      <c r="ACE389" s="6"/>
      <c r="ACF389" s="6"/>
      <c r="ACG389" s="6"/>
      <c r="ACH389" s="6"/>
      <c r="ACI389" s="6"/>
      <c r="ACJ389" s="6"/>
      <c r="ACK389" s="6"/>
      <c r="ACL389" s="6"/>
      <c r="ACM389" s="6"/>
      <c r="ACN389" s="6"/>
      <c r="ACO389" s="6"/>
      <c r="ACP389" s="6"/>
      <c r="ACQ389" s="6"/>
      <c r="ACR389" s="6"/>
      <c r="ACS389" s="6"/>
      <c r="ACT389" s="6"/>
      <c r="ACU389" s="6"/>
      <c r="ACV389" s="6"/>
      <c r="ACW389" s="6"/>
      <c r="ACX389" s="6"/>
      <c r="ACY389" s="6"/>
      <c r="ACZ389" s="6"/>
      <c r="ADA389" s="6"/>
      <c r="ADB389" s="6"/>
      <c r="ADC389" s="6"/>
      <c r="ADD389" s="6"/>
      <c r="ADE389" s="6"/>
      <c r="ADF389" s="6"/>
      <c r="ADG389" s="6"/>
      <c r="ADH389" s="6"/>
      <c r="ADI389" s="6"/>
      <c r="ADJ389" s="6"/>
      <c r="ADK389" s="6"/>
      <c r="ADL389" s="6"/>
      <c r="ADM389" s="6"/>
      <c r="ADN389" s="6"/>
      <c r="ADO389" s="6"/>
      <c r="ADP389" s="6"/>
      <c r="ADQ389" s="6"/>
      <c r="ADR389" s="6"/>
      <c r="ADS389" s="6"/>
      <c r="ADT389" s="6"/>
      <c r="ADU389" s="6"/>
      <c r="ADV389" s="6"/>
      <c r="ADW389" s="6"/>
      <c r="ADX389" s="6"/>
      <c r="ADY389" s="6"/>
      <c r="ADZ389" s="6"/>
      <c r="AEA389" s="6"/>
      <c r="AEB389" s="6"/>
      <c r="AEC389" s="6"/>
      <c r="AED389" s="6"/>
      <c r="AEE389" s="6"/>
      <c r="AEF389" s="6"/>
      <c r="AEG389" s="6"/>
      <c r="AEH389" s="6"/>
      <c r="AEI389" s="6"/>
      <c r="AEJ389" s="6"/>
      <c r="AEK389" s="6"/>
      <c r="AEL389" s="6"/>
      <c r="AEM389" s="6"/>
      <c r="AEN389" s="6"/>
      <c r="AEO389" s="6"/>
      <c r="AEP389" s="6"/>
      <c r="AEQ389" s="6"/>
      <c r="AER389" s="6"/>
      <c r="AES389" s="6"/>
      <c r="AET389" s="6"/>
      <c r="AEU389" s="6"/>
      <c r="AEV389" s="6"/>
      <c r="AEW389" s="6"/>
      <c r="AEX389" s="6"/>
      <c r="AEY389" s="6"/>
      <c r="AEZ389" s="6"/>
      <c r="AFA389" s="6"/>
      <c r="AFB389" s="6"/>
      <c r="AFC389" s="6"/>
      <c r="AFD389" s="6"/>
      <c r="AFE389" s="6"/>
      <c r="AFF389" s="6"/>
      <c r="AFG389" s="6"/>
      <c r="AFH389" s="6"/>
      <c r="AFI389" s="6"/>
      <c r="AFJ389" s="6"/>
      <c r="AFK389" s="6"/>
      <c r="AFL389" s="6"/>
      <c r="AFM389" s="6"/>
      <c r="AFN389" s="6"/>
      <c r="AFO389" s="6"/>
      <c r="AFP389" s="6"/>
      <c r="AFQ389" s="6"/>
      <c r="AFR389" s="6"/>
      <c r="AFS389" s="6"/>
      <c r="AFT389" s="6"/>
      <c r="AFU389" s="6"/>
      <c r="AFV389" s="6"/>
      <c r="AFW389" s="6"/>
      <c r="AFX389" s="6"/>
      <c r="AFY389" s="6"/>
      <c r="AFZ389" s="6"/>
      <c r="AGA389" s="6"/>
      <c r="AGB389" s="6"/>
      <c r="AGC389" s="6"/>
      <c r="AGD389" s="6"/>
      <c r="AGE389" s="6"/>
      <c r="AGF389" s="6"/>
      <c r="AGG389" s="6"/>
      <c r="AGH389" s="6"/>
      <c r="AGI389" s="6"/>
      <c r="AGJ389" s="6"/>
      <c r="AGK389" s="6"/>
      <c r="AGL389" s="6"/>
      <c r="AGM389" s="6"/>
      <c r="AGN389" s="6"/>
      <c r="AGO389" s="6"/>
      <c r="AGP389" s="6"/>
      <c r="AGQ389" s="6"/>
      <c r="AGR389" s="6"/>
      <c r="AGS389" s="6"/>
      <c r="AGT389" s="6"/>
      <c r="AGU389" s="6"/>
      <c r="AGV389" s="6"/>
      <c r="AGW389" s="6"/>
      <c r="AGX389" s="6"/>
      <c r="AGY389" s="6"/>
      <c r="AGZ389" s="6"/>
      <c r="AHA389" s="6"/>
      <c r="AHB389" s="6"/>
      <c r="AHC389" s="6"/>
      <c r="AHD389" s="6"/>
      <c r="AHE389" s="6"/>
      <c r="AHF389" s="6"/>
      <c r="AHG389" s="6"/>
      <c r="AHH389" s="6"/>
      <c r="AHI389" s="6"/>
      <c r="AHJ389" s="6"/>
      <c r="AHK389" s="6"/>
      <c r="AHL389" s="6"/>
      <c r="AHM389" s="6"/>
      <c r="AHN389" s="6"/>
      <c r="AHO389" s="6"/>
      <c r="AHP389" s="6"/>
      <c r="AHQ389" s="6"/>
      <c r="AHR389" s="6"/>
      <c r="AHS389" s="6"/>
      <c r="AHT389" s="6"/>
      <c r="AHU389" s="6"/>
      <c r="AHV389" s="6"/>
      <c r="AHW389" s="6"/>
      <c r="AHX389" s="6"/>
      <c r="AHY389" s="6"/>
      <c r="AHZ389" s="6"/>
      <c r="AIA389" s="6"/>
      <c r="AIB389" s="6"/>
      <c r="AIC389" s="6"/>
      <c r="AID389" s="6"/>
      <c r="AIE389" s="6"/>
      <c r="AIF389" s="6"/>
      <c r="AIG389" s="6"/>
      <c r="AIH389" s="6"/>
      <c r="AII389" s="6"/>
      <c r="AIJ389" s="6"/>
      <c r="AIK389" s="6"/>
      <c r="AIL389" s="6"/>
      <c r="AIM389" s="6"/>
      <c r="AIN389" s="6"/>
      <c r="AIO389" s="6"/>
      <c r="AIP389" s="6"/>
      <c r="AIQ389" s="6"/>
      <c r="AIR389" s="6"/>
      <c r="AIS389" s="6"/>
      <c r="AIT389" s="6"/>
      <c r="AIU389" s="6"/>
      <c r="AIV389" s="6"/>
      <c r="AIW389" s="6"/>
      <c r="AIX389" s="6"/>
      <c r="AIY389" s="6"/>
      <c r="AIZ389" s="6"/>
      <c r="AJA389" s="6"/>
      <c r="AJB389" s="6"/>
      <c r="AJC389" s="6"/>
      <c r="AJD389" s="6"/>
      <c r="AJE389" s="6"/>
      <c r="AJF389" s="6"/>
      <c r="AJG389" s="6"/>
      <c r="AJH389" s="6"/>
      <c r="AJI389" s="6"/>
      <c r="AJJ389" s="6"/>
      <c r="AJK389" s="6"/>
      <c r="AJL389" s="6"/>
      <c r="AJM389" s="6"/>
      <c r="AJN389" s="6"/>
      <c r="AJO389" s="6"/>
      <c r="AJP389" s="6"/>
      <c r="AJQ389" s="6"/>
      <c r="AJR389" s="6"/>
      <c r="AJS389" s="6"/>
      <c r="AJT389" s="6"/>
      <c r="AJU389" s="6"/>
      <c r="AJV389" s="6"/>
      <c r="AJW389" s="6"/>
      <c r="AJX389" s="6"/>
      <c r="AJY389" s="6"/>
      <c r="AJZ389" s="6"/>
      <c r="AKA389" s="6"/>
      <c r="AKB389" s="6"/>
      <c r="AKC389" s="6"/>
      <c r="AKD389" s="6"/>
      <c r="AKE389" s="6"/>
      <c r="AKF389" s="6"/>
      <c r="AKG389" s="6"/>
      <c r="AKH389" s="6"/>
      <c r="AKI389" s="6"/>
      <c r="AKJ389" s="6"/>
      <c r="AKK389" s="6"/>
      <c r="AKL389" s="6"/>
      <c r="AKM389" s="6"/>
      <c r="AKN389" s="6"/>
      <c r="AKO389" s="6"/>
      <c r="AKP389" s="6"/>
      <c r="AKQ389" s="6"/>
      <c r="AKR389" s="6"/>
      <c r="AKS389" s="6"/>
      <c r="AKT389" s="6"/>
      <c r="AKU389" s="6"/>
      <c r="AKV389" s="6"/>
      <c r="AKW389" s="6"/>
      <c r="AKX389" s="6"/>
      <c r="AKY389" s="6"/>
      <c r="AKZ389" s="6"/>
      <c r="ALA389" s="6"/>
      <c r="ALB389" s="6"/>
      <c r="ALC389" s="6"/>
      <c r="ALD389" s="6"/>
      <c r="ALE389" s="6"/>
      <c r="ALF389" s="6"/>
      <c r="ALG389" s="6"/>
      <c r="ALH389" s="6"/>
      <c r="ALI389" s="6"/>
      <c r="ALJ389" s="6"/>
      <c r="ALK389" s="6"/>
      <c r="ALL389" s="6"/>
      <c r="ALM389" s="6"/>
      <c r="ALN389" s="6"/>
      <c r="ALO389" s="6"/>
      <c r="ALP389" s="6"/>
      <c r="ALQ389" s="6"/>
      <c r="ALR389" s="6"/>
      <c r="ALS389" s="6"/>
      <c r="ALT389" s="6"/>
      <c r="ALU389" s="6"/>
      <c r="ALV389" s="6"/>
      <c r="ALW389" s="6"/>
      <c r="ALX389" s="6"/>
      <c r="ALY389" s="6"/>
      <c r="ALZ389" s="6"/>
      <c r="AMA389" s="6"/>
      <c r="AMB389" s="6"/>
      <c r="AMC389" s="6"/>
      <c r="AMD389" s="6"/>
      <c r="AME389" s="6"/>
      <c r="AMF389" s="6"/>
      <c r="AMG389" s="6"/>
      <c r="AMH389" s="6"/>
      <c r="AMI389" s="6"/>
      <c r="AMJ389" s="6"/>
      <c r="AMK389" s="6"/>
      <c r="AML389" s="6"/>
      <c r="AMM389" s="6"/>
      <c r="AMN389" s="6"/>
      <c r="AMO389" s="6"/>
      <c r="AMP389" s="6"/>
    </row>
    <row r="390" spans="1:1030" x14ac:dyDescent="0.2">
      <c r="A390" s="9" t="str">
        <f>CONCATENATE(B390,"_",C390)</f>
        <v>q80km9_hcmv_5WB2</v>
      </c>
      <c r="B390" s="40" t="s">
        <v>1501</v>
      </c>
      <c r="C390" s="9" t="s">
        <v>1504</v>
      </c>
      <c r="D390" s="9" t="str">
        <f>IFERROR(MID(VLOOKUP($B390,Seqs!$A:$B,2,0),E390,1),"")</f>
        <v>F</v>
      </c>
      <c r="E390" s="9">
        <v>25</v>
      </c>
      <c r="F390" s="9" t="str">
        <f>IFERROR(MID(VLOOKUP($B390,Seqs!$A:$B,2,0),G390,1),"")</f>
        <v>W</v>
      </c>
      <c r="G390" s="9">
        <v>60</v>
      </c>
      <c r="H390" s="9" t="str">
        <f>IFERROR(MID(VLOOKUP($B390,Seqs!$A:$B,2,0),I390,1),"")</f>
        <v/>
      </c>
      <c r="I390" s="109" t="s">
        <v>23</v>
      </c>
      <c r="J390" s="9" t="str">
        <f>IFERROR(MID(VLOOKUP($B390,Seqs!$A:$B,2,0),K390,1),"")</f>
        <v/>
      </c>
      <c r="K390" s="109" t="s">
        <v>23</v>
      </c>
      <c r="L390" s="9" t="str">
        <f>IFERROR(MID(VLOOKUP($B390,Seqs!$A:$B,2,0),M390,1),"")</f>
        <v>C</v>
      </c>
      <c r="M390" s="9">
        <v>66</v>
      </c>
      <c r="N390" s="9" t="str">
        <f>IFERROR(MID(VLOOKUP($B390,Seqs!$A:$B,2,0),O390,1),"")</f>
        <v>D</v>
      </c>
      <c r="O390" s="9">
        <v>95</v>
      </c>
      <c r="P390" s="9" t="str">
        <f>IFERROR(MID(VLOOKUP($B390,Seqs!$A:$B,2,0),Q390,1),"")</f>
        <v/>
      </c>
      <c r="Q390" s="9" t="s">
        <v>23</v>
      </c>
      <c r="R390" s="9" t="str">
        <f>IFERROR(MID(VLOOKUP($B390,Seqs!$A:$B,2,0),S390,1),"")</f>
        <v/>
      </c>
      <c r="S390" s="9" t="s">
        <v>23</v>
      </c>
      <c r="T390" s="9" t="str">
        <f>IFERROR(MID(VLOOKUP($B390,Seqs!$A:$B,2,0),U390,1),"")</f>
        <v>A</v>
      </c>
      <c r="U390" s="9">
        <v>100</v>
      </c>
      <c r="V390" s="9" t="str">
        <f>IFERROR(MID(VLOOKUP($B390,Seqs!$A:$B,2,0),W390,1),"")</f>
        <v>V</v>
      </c>
      <c r="W390" s="9">
        <v>134</v>
      </c>
      <c r="X390" s="9" t="str">
        <f>IFERROR(MID(VLOOKUP($B390,Seqs!$A:$B,2,0),Y390,1),"")</f>
        <v/>
      </c>
      <c r="Y390" s="9" t="s">
        <v>23</v>
      </c>
      <c r="Z390" s="9" t="str">
        <f>IFERROR(MID(VLOOKUP($B390,Seqs!$A:$B,2,0),AA390,1),"")</f>
        <v/>
      </c>
      <c r="AA390" s="9" t="s">
        <v>23</v>
      </c>
      <c r="AB390" s="9" t="str">
        <f>IFERROR(MID(VLOOKUP($B390,Seqs!$A:$B,2,0),AC390,1),"")</f>
        <v>P</v>
      </c>
      <c r="AC390" s="9">
        <v>140</v>
      </c>
      <c r="AD390" s="9" t="str">
        <f>IFERROR(MID(VLOOKUP($B390,Seqs!$A:$B,2,0),AE390,1),"")</f>
        <v>M</v>
      </c>
      <c r="AE390" s="9">
        <v>164</v>
      </c>
      <c r="AF390" s="9" t="str">
        <f>IFERROR(MID(VLOOKUP($B390,Seqs!$A:$B,2,0),AG390,1),"")</f>
        <v>C</v>
      </c>
      <c r="AG390" s="9">
        <v>173</v>
      </c>
      <c r="AH390" s="9" t="str">
        <f>IFERROR(MID(VLOOKUP($B390,Seqs!$A:$B,2,0),AI390,1),"")</f>
        <v>T</v>
      </c>
      <c r="AI390" s="9">
        <v>175</v>
      </c>
      <c r="AJ390" s="9" t="str">
        <f>IFERROR(MID(VLOOKUP($B390,Seqs!$A:$B,2,0),AK390,1),"")</f>
        <v>S</v>
      </c>
      <c r="AK390" s="9">
        <v>183</v>
      </c>
      <c r="AL390" s="9" t="str">
        <f>IFERROR(MID(VLOOKUP($B390,Seqs!$A:$B,2,0),AM390,1),"")</f>
        <v>S</v>
      </c>
      <c r="AM390" s="9">
        <v>218</v>
      </c>
      <c r="AN390" s="9" t="str">
        <f>IFERROR(MID(VLOOKUP($B390,Seqs!$A:$B,2,0),AO390,1),"")</f>
        <v>H</v>
      </c>
      <c r="AO390" s="9">
        <v>222</v>
      </c>
      <c r="AP390" s="9" t="str">
        <f>IFERROR(MID(VLOOKUP($B390,Seqs!$A:$B,2,0),AQ390,1),"")</f>
        <v>K</v>
      </c>
      <c r="AQ390" s="9">
        <v>257</v>
      </c>
      <c r="AR390" s="9" t="str">
        <f>IFERROR(MID(VLOOKUP($B390,Seqs!$A:$B,2,0),AS390,1),"")</f>
        <v>S</v>
      </c>
      <c r="AS390" s="9">
        <v>262</v>
      </c>
      <c r="AT390" s="9" t="str">
        <f>IFERROR(MID(VLOOKUP($B390,Seqs!$A:$B,2,0),AU390,1),"")</f>
        <v>V</v>
      </c>
      <c r="AU390" s="9">
        <v>294</v>
      </c>
      <c r="AV390" s="9" t="str">
        <f>IFERROR(MID(VLOOKUP($B390,Seqs!$A:$B,2,0),AW390,1),"")</f>
        <v>G</v>
      </c>
      <c r="AW390" s="9">
        <v>295</v>
      </c>
      <c r="AX390" s="9" t="str">
        <f>IFERROR(MID(VLOOKUP($B390,Seqs!$A:$B,2,0),AY390,1),"")</f>
        <v>A</v>
      </c>
      <c r="AY390" s="9">
        <v>307</v>
      </c>
      <c r="AZ390" s="110" t="str">
        <f>VLOOKUP(B390,Classification!A:D,2,0)</f>
        <v>A</v>
      </c>
      <c r="BA390" s="98" t="str">
        <f>VLOOKUP(B390,Classification!A:D,4,0)</f>
        <v>Chemokine</v>
      </c>
      <c r="BB390" s="36" t="b">
        <f t="shared" si="1169"/>
        <v>1</v>
      </c>
      <c r="BC390" s="109">
        <f t="shared" si="1170"/>
        <v>250</v>
      </c>
      <c r="BD390" s="11" t="s">
        <v>23</v>
      </c>
      <c r="BE390" s="9" t="s">
        <v>1285</v>
      </c>
      <c r="BF390" s="119">
        <v>3.5</v>
      </c>
      <c r="BG390" s="51" t="s">
        <v>1</v>
      </c>
      <c r="BH390" s="51" t="s">
        <v>1</v>
      </c>
      <c r="BI390" s="12"/>
      <c r="BJ390" s="111" t="s">
        <v>1281</v>
      </c>
      <c r="BK390" s="112" t="s">
        <v>1281</v>
      </c>
      <c r="BL390" s="112" t="s">
        <v>1281</v>
      </c>
      <c r="BM390" s="112" t="s">
        <v>1281</v>
      </c>
      <c r="BN390" s="112" t="s">
        <v>1281</v>
      </c>
      <c r="BO390" s="112" t="s">
        <v>1281</v>
      </c>
      <c r="BP390" s="112" t="s">
        <v>1281</v>
      </c>
      <c r="BQ390" s="112" t="s">
        <v>1281</v>
      </c>
      <c r="BR390" s="112" t="s">
        <v>1281</v>
      </c>
      <c r="BS390" s="112" t="s">
        <v>1281</v>
      </c>
      <c r="BT390" s="112" t="s">
        <v>1281</v>
      </c>
      <c r="BU390" s="112" t="s">
        <v>1281</v>
      </c>
      <c r="BV390" s="111">
        <f>E390</f>
        <v>25</v>
      </c>
      <c r="BW390" s="113" t="str">
        <f>I390</f>
        <v>-</v>
      </c>
      <c r="BX390" s="114">
        <f>M390</f>
        <v>66</v>
      </c>
      <c r="BY390" s="113" t="str">
        <f>Q390</f>
        <v>-</v>
      </c>
      <c r="BZ390" s="114">
        <f>U390</f>
        <v>100</v>
      </c>
      <c r="CA390" s="113" t="str">
        <f>Y390</f>
        <v>-</v>
      </c>
      <c r="CB390" s="114">
        <f>AC390</f>
        <v>140</v>
      </c>
      <c r="CC390" s="113">
        <f>AG390</f>
        <v>173</v>
      </c>
      <c r="CD390" s="114">
        <f>AK390</f>
        <v>183</v>
      </c>
      <c r="CE390" s="113">
        <f>AO390</f>
        <v>222</v>
      </c>
      <c r="CF390" s="114">
        <f>AS390</f>
        <v>262</v>
      </c>
      <c r="CG390" s="113">
        <f>AW390</f>
        <v>295</v>
      </c>
      <c r="CH390" s="111">
        <f>G390</f>
        <v>60</v>
      </c>
      <c r="CI390" s="113" t="str">
        <f>K390</f>
        <v>-</v>
      </c>
      <c r="CJ390" s="114">
        <f>O390</f>
        <v>95</v>
      </c>
      <c r="CK390" s="114" t="str">
        <f>S390</f>
        <v>-</v>
      </c>
      <c r="CL390" s="114">
        <f>W390</f>
        <v>134</v>
      </c>
      <c r="CM390" s="114" t="str">
        <f>AA390</f>
        <v>-</v>
      </c>
      <c r="CN390" s="114">
        <f>AE390</f>
        <v>164</v>
      </c>
      <c r="CO390" s="114">
        <f>AI390</f>
        <v>175</v>
      </c>
      <c r="CP390" s="114">
        <f>AM390</f>
        <v>218</v>
      </c>
      <c r="CQ390" s="114">
        <f>AQ390</f>
        <v>257</v>
      </c>
      <c r="CR390" s="114">
        <f>AU390</f>
        <v>294</v>
      </c>
      <c r="CS390" s="114">
        <f>AY390</f>
        <v>307</v>
      </c>
      <c r="CT390" s="109" t="e">
        <f>M390-K390</f>
        <v>#VALUE!</v>
      </c>
      <c r="CU390" s="6"/>
      <c r="CV390" s="6"/>
      <c r="CW390" s="6"/>
      <c r="CX390" s="6"/>
      <c r="CY390" s="6"/>
      <c r="CZ390" s="6"/>
      <c r="DA390" s="6"/>
      <c r="DB390" s="6"/>
      <c r="DC390" s="6"/>
      <c r="DD390" s="6"/>
      <c r="DE390" s="6"/>
      <c r="DF390" s="6"/>
      <c r="DG390" s="6"/>
      <c r="DH390" s="6"/>
      <c r="DI390" s="6"/>
      <c r="DJ390" s="6"/>
      <c r="DK390" s="6"/>
      <c r="DL390" s="6"/>
      <c r="DM390" s="6"/>
      <c r="DN390" s="6"/>
      <c r="DO390" s="6"/>
      <c r="DP390" s="6"/>
      <c r="DQ390" s="6"/>
      <c r="DR390" s="6"/>
      <c r="DS390" s="6"/>
      <c r="DT390" s="6"/>
      <c r="DU390" s="6"/>
      <c r="DV390" s="6"/>
      <c r="DW390" s="6"/>
      <c r="DX390" s="6"/>
      <c r="DY390" s="6"/>
      <c r="DZ390" s="6"/>
      <c r="EA390" s="6"/>
      <c r="EB390" s="6"/>
      <c r="EC390" s="6"/>
      <c r="ED390" s="6"/>
      <c r="EE390" s="6"/>
      <c r="EF390" s="6"/>
      <c r="EG390" s="6"/>
      <c r="EH390" s="6"/>
      <c r="EI390" s="6"/>
      <c r="EJ390" s="6"/>
      <c r="EK390" s="6"/>
      <c r="EL390" s="6"/>
      <c r="EM390" s="6"/>
      <c r="EN390" s="6"/>
      <c r="EO390" s="6"/>
      <c r="EP390" s="6"/>
      <c r="EQ390" s="6"/>
      <c r="ER390" s="6"/>
      <c r="ES390" s="6"/>
      <c r="ET390" s="6"/>
      <c r="EU390" s="6"/>
      <c r="EV390" s="6"/>
      <c r="EW390" s="6"/>
      <c r="EX390" s="6"/>
      <c r="EY390" s="6"/>
      <c r="EZ390" s="6"/>
      <c r="FA390" s="6"/>
      <c r="FB390" s="6"/>
      <c r="FC390" s="6"/>
      <c r="FD390" s="6"/>
      <c r="FE390" s="6"/>
      <c r="FF390" s="6"/>
      <c r="FG390" s="6"/>
      <c r="FH390" s="6"/>
      <c r="FI390" s="6"/>
      <c r="FJ390" s="6"/>
      <c r="FK390" s="6"/>
      <c r="FL390" s="6"/>
      <c r="FM390" s="6"/>
      <c r="FN390" s="6"/>
      <c r="FO390" s="6"/>
      <c r="FP390" s="6"/>
      <c r="FQ390" s="6"/>
      <c r="FR390" s="6"/>
      <c r="FS390" s="6"/>
      <c r="FT390" s="6"/>
      <c r="FU390" s="6"/>
      <c r="FV390" s="6"/>
      <c r="FW390" s="6"/>
      <c r="FX390" s="6"/>
      <c r="FY390" s="6"/>
      <c r="FZ390" s="6"/>
      <c r="GA390" s="6"/>
      <c r="GB390" s="6"/>
      <c r="GC390" s="6"/>
      <c r="GD390" s="6"/>
      <c r="GE390" s="6"/>
      <c r="GF390" s="6"/>
      <c r="GG390" s="6"/>
      <c r="GH390" s="6"/>
      <c r="GI390" s="6"/>
      <c r="GJ390" s="6"/>
      <c r="GK390" s="6"/>
      <c r="GL390" s="6"/>
      <c r="GM390" s="6"/>
      <c r="GN390" s="6"/>
      <c r="GO390" s="6"/>
      <c r="GP390" s="6"/>
      <c r="GQ390" s="6"/>
      <c r="GR390" s="6"/>
      <c r="GS390" s="6"/>
      <c r="GT390" s="6"/>
      <c r="GU390" s="6"/>
      <c r="GV390" s="6"/>
      <c r="GW390" s="6"/>
      <c r="GX390" s="6"/>
      <c r="GY390" s="6"/>
      <c r="GZ390" s="6"/>
      <c r="HA390" s="6"/>
      <c r="HB390" s="6"/>
      <c r="HC390" s="6"/>
      <c r="HD390" s="6"/>
      <c r="HE390" s="6"/>
      <c r="HF390" s="6"/>
      <c r="HG390" s="6"/>
      <c r="HH390" s="6"/>
      <c r="HI390" s="6"/>
      <c r="HJ390" s="6"/>
      <c r="HK390" s="6"/>
      <c r="HL390" s="6"/>
      <c r="HM390" s="6"/>
      <c r="HN390" s="6"/>
      <c r="HO390" s="6"/>
      <c r="HP390" s="6"/>
      <c r="HQ390" s="6"/>
      <c r="HR390" s="6"/>
      <c r="HS390" s="6"/>
      <c r="HT390" s="6"/>
      <c r="HU390" s="6"/>
      <c r="HV390" s="6"/>
      <c r="HW390" s="6"/>
      <c r="HX390" s="6"/>
      <c r="HY390" s="6"/>
      <c r="HZ390" s="6"/>
      <c r="IA390" s="6"/>
      <c r="IB390" s="6"/>
      <c r="IC390" s="6"/>
      <c r="ID390" s="6"/>
      <c r="IE390" s="6"/>
      <c r="IF390" s="6"/>
      <c r="IG390" s="6"/>
      <c r="IH390" s="6"/>
      <c r="II390" s="6"/>
      <c r="IJ390" s="6"/>
      <c r="IK390" s="6"/>
      <c r="IL390" s="6"/>
      <c r="IM390" s="6"/>
      <c r="IN390" s="6"/>
      <c r="IO390" s="6"/>
      <c r="IP390" s="6"/>
      <c r="IQ390" s="6"/>
      <c r="IR390" s="6"/>
      <c r="IS390" s="6"/>
      <c r="IT390" s="6"/>
      <c r="IU390" s="6"/>
      <c r="IV390" s="6"/>
      <c r="IW390" s="6"/>
      <c r="IX390" s="6"/>
      <c r="IY390" s="6"/>
      <c r="IZ390" s="6"/>
      <c r="JA390" s="6"/>
      <c r="JB390" s="6"/>
      <c r="JC390" s="6"/>
      <c r="JD390" s="6"/>
      <c r="JE390" s="6"/>
      <c r="JF390" s="6"/>
      <c r="JG390" s="6"/>
      <c r="JH390" s="6"/>
      <c r="JI390" s="6"/>
      <c r="JJ390" s="6"/>
      <c r="JK390" s="6"/>
      <c r="JL390" s="6"/>
      <c r="JM390" s="6"/>
      <c r="JN390" s="6"/>
      <c r="JO390" s="6"/>
      <c r="JP390" s="6"/>
      <c r="JQ390" s="6"/>
      <c r="JR390" s="6"/>
      <c r="JS390" s="6"/>
      <c r="JT390" s="6"/>
      <c r="JU390" s="6"/>
      <c r="JV390" s="6"/>
      <c r="JW390" s="6"/>
      <c r="JX390" s="6"/>
      <c r="JY390" s="6"/>
      <c r="JZ390" s="6"/>
      <c r="KA390" s="6"/>
      <c r="KB390" s="6"/>
      <c r="KC390" s="6"/>
      <c r="KD390" s="6"/>
      <c r="KE390" s="6"/>
      <c r="KF390" s="6"/>
      <c r="KG390" s="6"/>
      <c r="KH390" s="6"/>
      <c r="KI390" s="6"/>
      <c r="KJ390" s="6"/>
      <c r="KK390" s="6"/>
      <c r="KL390" s="6"/>
      <c r="KM390" s="6"/>
      <c r="KN390" s="6"/>
      <c r="KO390" s="6"/>
      <c r="KP390" s="6"/>
      <c r="KQ390" s="6"/>
      <c r="KR390" s="6"/>
      <c r="KS390" s="6"/>
      <c r="KT390" s="6"/>
      <c r="KU390" s="6"/>
      <c r="KV390" s="6"/>
      <c r="KW390" s="6"/>
      <c r="KX390" s="6"/>
      <c r="KY390" s="6"/>
      <c r="KZ390" s="6"/>
      <c r="LA390" s="6"/>
      <c r="LB390" s="6"/>
      <c r="LC390" s="6"/>
      <c r="LD390" s="6"/>
      <c r="LE390" s="6"/>
      <c r="LF390" s="6"/>
      <c r="LG390" s="6"/>
      <c r="LH390" s="6"/>
      <c r="LI390" s="6"/>
      <c r="LJ390" s="6"/>
      <c r="LK390" s="6"/>
      <c r="LL390" s="6"/>
      <c r="LM390" s="6"/>
      <c r="LN390" s="6"/>
      <c r="LO390" s="6"/>
      <c r="LP390" s="6"/>
      <c r="LQ390" s="6"/>
      <c r="LR390" s="6"/>
      <c r="LS390" s="6"/>
      <c r="LT390" s="6"/>
      <c r="LU390" s="6"/>
      <c r="LV390" s="6"/>
      <c r="LW390" s="6"/>
      <c r="LX390" s="6"/>
      <c r="LY390" s="6"/>
      <c r="LZ390" s="6"/>
      <c r="MA390" s="6"/>
      <c r="MB390" s="6"/>
      <c r="MC390" s="6"/>
      <c r="MD390" s="6"/>
      <c r="ME390" s="6"/>
      <c r="MF390" s="6"/>
      <c r="MG390" s="6"/>
      <c r="MH390" s="6"/>
      <c r="MI390" s="6"/>
      <c r="MJ390" s="6"/>
      <c r="MK390" s="6"/>
      <c r="ML390" s="6"/>
      <c r="MM390" s="6"/>
      <c r="MN390" s="6"/>
      <c r="MO390" s="6"/>
      <c r="MP390" s="6"/>
      <c r="MQ390" s="6"/>
      <c r="MR390" s="6"/>
      <c r="MS390" s="6"/>
      <c r="MT390" s="6"/>
      <c r="MU390" s="6"/>
      <c r="MV390" s="6"/>
      <c r="MW390" s="6"/>
      <c r="MX390" s="6"/>
      <c r="MY390" s="6"/>
      <c r="MZ390" s="6"/>
      <c r="NA390" s="6"/>
      <c r="NB390" s="6"/>
      <c r="NC390" s="6"/>
      <c r="ND390" s="6"/>
      <c r="NE390" s="6"/>
      <c r="NF390" s="6"/>
      <c r="NG390" s="6"/>
      <c r="NH390" s="6"/>
      <c r="NI390" s="6"/>
      <c r="NJ390" s="6"/>
      <c r="NK390" s="6"/>
      <c r="NL390" s="6"/>
      <c r="NM390" s="6"/>
      <c r="NN390" s="6"/>
      <c r="NO390" s="6"/>
      <c r="NP390" s="6"/>
      <c r="NQ390" s="6"/>
      <c r="NR390" s="6"/>
      <c r="NS390" s="6"/>
      <c r="NT390" s="6"/>
      <c r="NU390" s="6"/>
      <c r="NV390" s="6"/>
      <c r="NW390" s="6"/>
      <c r="NX390" s="6"/>
      <c r="NY390" s="6"/>
      <c r="NZ390" s="6"/>
      <c r="OA390" s="6"/>
      <c r="OB390" s="6"/>
      <c r="OC390" s="6"/>
      <c r="OD390" s="6"/>
      <c r="OE390" s="6"/>
      <c r="OF390" s="6"/>
      <c r="OG390" s="6"/>
      <c r="OH390" s="6"/>
      <c r="OI390" s="6"/>
      <c r="OJ390" s="6"/>
      <c r="OK390" s="6"/>
      <c r="OL390" s="6"/>
      <c r="OM390" s="6"/>
      <c r="ON390" s="6"/>
      <c r="OO390" s="6"/>
      <c r="OP390" s="6"/>
      <c r="OQ390" s="6"/>
      <c r="OR390" s="6"/>
      <c r="OS390" s="6"/>
      <c r="OT390" s="6"/>
      <c r="OU390" s="6"/>
      <c r="OV390" s="6"/>
      <c r="OW390" s="6"/>
      <c r="OX390" s="6"/>
      <c r="OY390" s="6"/>
      <c r="OZ390" s="6"/>
      <c r="PA390" s="6"/>
      <c r="PB390" s="6"/>
      <c r="PC390" s="6"/>
      <c r="PD390" s="6"/>
      <c r="PE390" s="6"/>
      <c r="PF390" s="6"/>
      <c r="PG390" s="6"/>
      <c r="PH390" s="6"/>
      <c r="PI390" s="6"/>
      <c r="PJ390" s="6"/>
      <c r="PK390" s="6"/>
      <c r="PL390" s="6"/>
      <c r="PM390" s="6"/>
      <c r="PN390" s="6"/>
      <c r="PO390" s="6"/>
      <c r="PP390" s="6"/>
      <c r="PQ390" s="6"/>
      <c r="PR390" s="6"/>
      <c r="PS390" s="6"/>
      <c r="PT390" s="6"/>
      <c r="PU390" s="6"/>
      <c r="PV390" s="6"/>
      <c r="PW390" s="6"/>
      <c r="PX390" s="6"/>
      <c r="PY390" s="6"/>
      <c r="PZ390" s="6"/>
      <c r="QA390" s="6"/>
      <c r="QB390" s="6"/>
      <c r="QC390" s="6"/>
      <c r="QD390" s="6"/>
      <c r="QE390" s="6"/>
      <c r="QF390" s="6"/>
      <c r="QG390" s="6"/>
      <c r="QH390" s="6"/>
      <c r="QI390" s="6"/>
      <c r="QJ390" s="6"/>
      <c r="QK390" s="6"/>
      <c r="QL390" s="6"/>
      <c r="QM390" s="6"/>
      <c r="QN390" s="6"/>
      <c r="QO390" s="6"/>
      <c r="QP390" s="6"/>
      <c r="QQ390" s="6"/>
      <c r="QR390" s="6"/>
      <c r="QS390" s="6"/>
      <c r="QT390" s="6"/>
      <c r="QU390" s="6"/>
      <c r="QV390" s="6"/>
      <c r="QW390" s="6"/>
      <c r="QX390" s="6"/>
      <c r="QY390" s="6"/>
      <c r="QZ390" s="6"/>
      <c r="RA390" s="6"/>
      <c r="RB390" s="6"/>
      <c r="RC390" s="6"/>
      <c r="RD390" s="6"/>
      <c r="RE390" s="6"/>
      <c r="RF390" s="6"/>
      <c r="RG390" s="6"/>
      <c r="RH390" s="6"/>
      <c r="RI390" s="6"/>
      <c r="RJ390" s="6"/>
      <c r="RK390" s="6"/>
      <c r="RL390" s="6"/>
      <c r="RM390" s="6"/>
      <c r="RN390" s="6"/>
      <c r="RO390" s="6"/>
      <c r="RP390" s="6"/>
      <c r="RQ390" s="6"/>
      <c r="RR390" s="6"/>
      <c r="RS390" s="6"/>
      <c r="RT390" s="6"/>
      <c r="RU390" s="6"/>
      <c r="RV390" s="6"/>
      <c r="RW390" s="6"/>
      <c r="RX390" s="6"/>
      <c r="RY390" s="6"/>
      <c r="RZ390" s="6"/>
      <c r="SA390" s="6"/>
      <c r="SB390" s="6"/>
      <c r="SC390" s="6"/>
      <c r="SD390" s="6"/>
      <c r="SE390" s="6"/>
      <c r="SF390" s="6"/>
      <c r="SG390" s="6"/>
      <c r="SH390" s="6"/>
      <c r="SI390" s="6"/>
      <c r="SJ390" s="6"/>
      <c r="SK390" s="6"/>
      <c r="SL390" s="6"/>
      <c r="SM390" s="6"/>
      <c r="SN390" s="6"/>
      <c r="SO390" s="6"/>
      <c r="SP390" s="6"/>
      <c r="SQ390" s="6"/>
      <c r="SR390" s="6"/>
      <c r="SS390" s="6"/>
      <c r="ST390" s="6"/>
      <c r="SU390" s="6"/>
      <c r="SV390" s="6"/>
      <c r="SW390" s="6"/>
      <c r="SX390" s="6"/>
      <c r="SY390" s="6"/>
      <c r="SZ390" s="6"/>
      <c r="TA390" s="6"/>
      <c r="TB390" s="6"/>
      <c r="TC390" s="6"/>
      <c r="TD390" s="6"/>
      <c r="TE390" s="6"/>
      <c r="TF390" s="6"/>
      <c r="TG390" s="6"/>
      <c r="TH390" s="6"/>
      <c r="TI390" s="6"/>
      <c r="TJ390" s="6"/>
      <c r="TK390" s="6"/>
      <c r="TL390" s="6"/>
      <c r="TM390" s="6"/>
      <c r="TN390" s="6"/>
      <c r="TO390" s="6"/>
      <c r="TP390" s="6"/>
      <c r="TQ390" s="6"/>
      <c r="TR390" s="6"/>
      <c r="TS390" s="6"/>
      <c r="TT390" s="6"/>
      <c r="TU390" s="6"/>
      <c r="TV390" s="6"/>
      <c r="TW390" s="6"/>
      <c r="TX390" s="6"/>
      <c r="TY390" s="6"/>
      <c r="TZ390" s="6"/>
      <c r="UA390" s="6"/>
      <c r="UB390" s="6"/>
      <c r="UC390" s="6"/>
      <c r="UD390" s="6"/>
      <c r="UE390" s="6"/>
      <c r="UF390" s="6"/>
      <c r="UG390" s="6"/>
      <c r="UH390" s="6"/>
      <c r="UI390" s="6"/>
      <c r="UJ390" s="6"/>
      <c r="UK390" s="6"/>
      <c r="UL390" s="6"/>
      <c r="UM390" s="6"/>
      <c r="UN390" s="6"/>
      <c r="UO390" s="6"/>
      <c r="UP390" s="6"/>
      <c r="UQ390" s="6"/>
      <c r="UR390" s="6"/>
      <c r="US390" s="6"/>
      <c r="UT390" s="6"/>
      <c r="UU390" s="6"/>
      <c r="UV390" s="6"/>
      <c r="UW390" s="6"/>
      <c r="UX390" s="6"/>
      <c r="UY390" s="6"/>
      <c r="UZ390" s="6"/>
      <c r="VA390" s="6"/>
      <c r="VB390" s="6"/>
      <c r="VC390" s="6"/>
      <c r="VD390" s="6"/>
      <c r="VE390" s="6"/>
      <c r="VF390" s="6"/>
      <c r="VG390" s="6"/>
      <c r="VH390" s="6"/>
      <c r="VI390" s="6"/>
      <c r="VJ390" s="6"/>
      <c r="VK390" s="6"/>
      <c r="VL390" s="6"/>
      <c r="VM390" s="6"/>
      <c r="VN390" s="6"/>
      <c r="VO390" s="6"/>
      <c r="VP390" s="6"/>
      <c r="VQ390" s="6"/>
      <c r="VR390" s="6"/>
      <c r="VS390" s="6"/>
      <c r="VT390" s="6"/>
      <c r="VU390" s="6"/>
      <c r="VV390" s="6"/>
      <c r="VW390" s="6"/>
      <c r="VX390" s="6"/>
      <c r="VY390" s="6"/>
      <c r="VZ390" s="6"/>
      <c r="WA390" s="6"/>
      <c r="WB390" s="6"/>
      <c r="WC390" s="6"/>
      <c r="WD390" s="6"/>
      <c r="WE390" s="6"/>
      <c r="WF390" s="6"/>
      <c r="WG390" s="6"/>
      <c r="WH390" s="6"/>
      <c r="WI390" s="6"/>
      <c r="WJ390" s="6"/>
      <c r="WK390" s="6"/>
      <c r="WL390" s="6"/>
      <c r="WM390" s="6"/>
      <c r="WN390" s="6"/>
      <c r="WO390" s="6"/>
      <c r="WP390" s="6"/>
      <c r="WQ390" s="6"/>
      <c r="WR390" s="6"/>
      <c r="WS390" s="6"/>
      <c r="WT390" s="6"/>
      <c r="WU390" s="6"/>
      <c r="WV390" s="6"/>
      <c r="WW390" s="6"/>
      <c r="WX390" s="6"/>
      <c r="WY390" s="6"/>
      <c r="WZ390" s="6"/>
      <c r="XA390" s="6"/>
      <c r="XB390" s="6"/>
      <c r="XC390" s="6"/>
      <c r="XD390" s="6"/>
      <c r="XE390" s="6"/>
      <c r="XF390" s="6"/>
      <c r="XG390" s="6"/>
      <c r="XH390" s="6"/>
      <c r="XI390" s="6"/>
      <c r="XJ390" s="6"/>
      <c r="XK390" s="6"/>
      <c r="XL390" s="6"/>
      <c r="XM390" s="6"/>
      <c r="XN390" s="6"/>
      <c r="XO390" s="6"/>
      <c r="XP390" s="6"/>
      <c r="XQ390" s="6"/>
      <c r="XR390" s="6"/>
      <c r="XS390" s="6"/>
      <c r="XT390" s="6"/>
      <c r="XU390" s="6"/>
      <c r="XV390" s="6"/>
      <c r="XW390" s="6"/>
      <c r="XX390" s="6"/>
      <c r="XY390" s="6"/>
      <c r="XZ390" s="6"/>
      <c r="YA390" s="6"/>
      <c r="YB390" s="6"/>
      <c r="YC390" s="6"/>
      <c r="YD390" s="6"/>
      <c r="YE390" s="6"/>
      <c r="YF390" s="6"/>
      <c r="YG390" s="6"/>
      <c r="YH390" s="6"/>
      <c r="YI390" s="6"/>
      <c r="YJ390" s="6"/>
      <c r="YK390" s="6"/>
      <c r="YL390" s="6"/>
      <c r="YM390" s="6"/>
      <c r="YN390" s="6"/>
      <c r="YO390" s="6"/>
      <c r="YP390" s="6"/>
      <c r="YQ390" s="6"/>
      <c r="YR390" s="6"/>
      <c r="YS390" s="6"/>
      <c r="YT390" s="6"/>
      <c r="YU390" s="6"/>
      <c r="YV390" s="6"/>
      <c r="YW390" s="6"/>
      <c r="YX390" s="6"/>
      <c r="YY390" s="6"/>
      <c r="YZ390" s="6"/>
      <c r="ZA390" s="6"/>
      <c r="ZB390" s="6"/>
      <c r="ZC390" s="6"/>
      <c r="ZD390" s="6"/>
      <c r="ZE390" s="6"/>
      <c r="ZF390" s="6"/>
      <c r="ZG390" s="6"/>
      <c r="ZH390" s="6"/>
      <c r="ZI390" s="6"/>
      <c r="ZJ390" s="6"/>
      <c r="ZK390" s="6"/>
      <c r="ZL390" s="6"/>
      <c r="ZM390" s="6"/>
      <c r="ZN390" s="6"/>
      <c r="ZO390" s="6"/>
      <c r="ZP390" s="6"/>
      <c r="ZQ390" s="6"/>
      <c r="ZR390" s="6"/>
      <c r="ZS390" s="6"/>
      <c r="ZT390" s="6"/>
      <c r="ZU390" s="6"/>
      <c r="ZV390" s="6"/>
      <c r="ZW390" s="6"/>
      <c r="ZX390" s="6"/>
      <c r="ZY390" s="6"/>
      <c r="ZZ390" s="6"/>
      <c r="AAA390" s="6"/>
      <c r="AAB390" s="6"/>
      <c r="AAC390" s="6"/>
      <c r="AAD390" s="6"/>
      <c r="AAE390" s="6"/>
      <c r="AAF390" s="6"/>
      <c r="AAG390" s="6"/>
      <c r="AAH390" s="6"/>
      <c r="AAI390" s="6"/>
      <c r="AAJ390" s="6"/>
      <c r="AAK390" s="6"/>
      <c r="AAL390" s="6"/>
      <c r="AAM390" s="6"/>
      <c r="AAN390" s="6"/>
      <c r="AAO390" s="6"/>
      <c r="AAP390" s="6"/>
      <c r="AAQ390" s="6"/>
      <c r="AAR390" s="6"/>
      <c r="AAS390" s="6"/>
      <c r="AAT390" s="6"/>
      <c r="AAU390" s="6"/>
      <c r="AAV390" s="6"/>
      <c r="AAW390" s="6"/>
      <c r="AAX390" s="6"/>
      <c r="AAY390" s="6"/>
      <c r="AAZ390" s="6"/>
      <c r="ABA390" s="6"/>
      <c r="ABB390" s="6"/>
      <c r="ABC390" s="6"/>
      <c r="ABD390" s="6"/>
      <c r="ABE390" s="6"/>
      <c r="ABF390" s="6"/>
      <c r="ABG390" s="6"/>
      <c r="ABH390" s="6"/>
      <c r="ABI390" s="6"/>
      <c r="ABJ390" s="6"/>
      <c r="ABK390" s="6"/>
      <c r="ABL390" s="6"/>
      <c r="ABM390" s="6"/>
      <c r="ABN390" s="6"/>
      <c r="ABO390" s="6"/>
      <c r="ABP390" s="6"/>
      <c r="ABQ390" s="6"/>
      <c r="ABR390" s="6"/>
      <c r="ABS390" s="6"/>
      <c r="ABT390" s="6"/>
      <c r="ABU390" s="6"/>
      <c r="ABV390" s="6"/>
      <c r="ABW390" s="6"/>
      <c r="ABX390" s="6"/>
      <c r="ABY390" s="6"/>
      <c r="ABZ390" s="6"/>
      <c r="ACA390" s="6"/>
      <c r="ACB390" s="6"/>
      <c r="ACC390" s="6"/>
      <c r="ACD390" s="6"/>
      <c r="ACE390" s="6"/>
      <c r="ACF390" s="6"/>
      <c r="ACG390" s="6"/>
      <c r="ACH390" s="6"/>
      <c r="ACI390" s="6"/>
      <c r="ACJ390" s="6"/>
      <c r="ACK390" s="6"/>
      <c r="ACL390" s="6"/>
      <c r="ACM390" s="6"/>
      <c r="ACN390" s="6"/>
      <c r="ACO390" s="6"/>
      <c r="ACP390" s="6"/>
      <c r="ACQ390" s="6"/>
      <c r="ACR390" s="6"/>
      <c r="ACS390" s="6"/>
      <c r="ACT390" s="6"/>
      <c r="ACU390" s="6"/>
      <c r="ACV390" s="6"/>
      <c r="ACW390" s="6"/>
      <c r="ACX390" s="6"/>
      <c r="ACY390" s="6"/>
      <c r="ACZ390" s="6"/>
      <c r="ADA390" s="6"/>
      <c r="ADB390" s="6"/>
      <c r="ADC390" s="6"/>
      <c r="ADD390" s="6"/>
      <c r="ADE390" s="6"/>
      <c r="ADF390" s="6"/>
      <c r="ADG390" s="6"/>
      <c r="ADH390" s="6"/>
      <c r="ADI390" s="6"/>
      <c r="ADJ390" s="6"/>
      <c r="ADK390" s="6"/>
      <c r="ADL390" s="6"/>
      <c r="ADM390" s="6"/>
      <c r="ADN390" s="6"/>
      <c r="ADO390" s="6"/>
      <c r="ADP390" s="6"/>
      <c r="ADQ390" s="6"/>
      <c r="ADR390" s="6"/>
      <c r="ADS390" s="6"/>
      <c r="ADT390" s="6"/>
      <c r="ADU390" s="6"/>
      <c r="ADV390" s="6"/>
      <c r="ADW390" s="6"/>
      <c r="ADX390" s="6"/>
      <c r="ADY390" s="6"/>
      <c r="ADZ390" s="6"/>
      <c r="AEA390" s="6"/>
      <c r="AEB390" s="6"/>
      <c r="AEC390" s="6"/>
      <c r="AED390" s="6"/>
      <c r="AEE390" s="6"/>
      <c r="AEF390" s="6"/>
      <c r="AEG390" s="6"/>
      <c r="AEH390" s="6"/>
      <c r="AEI390" s="6"/>
      <c r="AEJ390" s="6"/>
      <c r="AEK390" s="6"/>
      <c r="AEL390" s="6"/>
      <c r="AEM390" s="6"/>
      <c r="AEN390" s="6"/>
      <c r="AEO390" s="6"/>
      <c r="AEP390" s="6"/>
      <c r="AEQ390" s="6"/>
      <c r="AER390" s="6"/>
      <c r="AES390" s="6"/>
      <c r="AET390" s="6"/>
      <c r="AEU390" s="6"/>
      <c r="AEV390" s="6"/>
      <c r="AEW390" s="6"/>
      <c r="AEX390" s="6"/>
      <c r="AEY390" s="6"/>
      <c r="AEZ390" s="6"/>
      <c r="AFA390" s="6"/>
      <c r="AFB390" s="6"/>
      <c r="AFC390" s="6"/>
      <c r="AFD390" s="6"/>
      <c r="AFE390" s="6"/>
      <c r="AFF390" s="6"/>
      <c r="AFG390" s="6"/>
      <c r="AFH390" s="6"/>
      <c r="AFI390" s="6"/>
      <c r="AFJ390" s="6"/>
      <c r="AFK390" s="6"/>
      <c r="AFL390" s="6"/>
      <c r="AFM390" s="6"/>
      <c r="AFN390" s="6"/>
      <c r="AFO390" s="6"/>
      <c r="AFP390" s="6"/>
      <c r="AFQ390" s="6"/>
      <c r="AFR390" s="6"/>
      <c r="AFS390" s="6"/>
      <c r="AFT390" s="6"/>
      <c r="AFU390" s="6"/>
      <c r="AFV390" s="6"/>
      <c r="AFW390" s="6"/>
      <c r="AFX390" s="6"/>
      <c r="AFY390" s="6"/>
      <c r="AFZ390" s="6"/>
      <c r="AGA390" s="6"/>
      <c r="AGB390" s="6"/>
      <c r="AGC390" s="6"/>
      <c r="AGD390" s="6"/>
      <c r="AGE390" s="6"/>
      <c r="AGF390" s="6"/>
      <c r="AGG390" s="6"/>
      <c r="AGH390" s="6"/>
      <c r="AGI390" s="6"/>
      <c r="AGJ390" s="6"/>
      <c r="AGK390" s="6"/>
      <c r="AGL390" s="6"/>
      <c r="AGM390" s="6"/>
      <c r="AGN390" s="6"/>
      <c r="AGO390" s="6"/>
      <c r="AGP390" s="6"/>
      <c r="AGQ390" s="6"/>
      <c r="AGR390" s="6"/>
      <c r="AGS390" s="6"/>
      <c r="AGT390" s="6"/>
      <c r="AGU390" s="6"/>
      <c r="AGV390" s="6"/>
      <c r="AGW390" s="6"/>
      <c r="AGX390" s="6"/>
      <c r="AGY390" s="6"/>
      <c r="AGZ390" s="6"/>
      <c r="AHA390" s="6"/>
      <c r="AHB390" s="6"/>
      <c r="AHC390" s="6"/>
      <c r="AHD390" s="6"/>
      <c r="AHE390" s="6"/>
      <c r="AHF390" s="6"/>
      <c r="AHG390" s="6"/>
      <c r="AHH390" s="6"/>
      <c r="AHI390" s="6"/>
      <c r="AHJ390" s="6"/>
      <c r="AHK390" s="6"/>
      <c r="AHL390" s="6"/>
      <c r="AHM390" s="6"/>
      <c r="AHN390" s="6"/>
      <c r="AHO390" s="6"/>
      <c r="AHP390" s="6"/>
      <c r="AHQ390" s="6"/>
      <c r="AHR390" s="6"/>
      <c r="AHS390" s="6"/>
      <c r="AHT390" s="6"/>
      <c r="AHU390" s="6"/>
      <c r="AHV390" s="6"/>
      <c r="AHW390" s="6"/>
      <c r="AHX390" s="6"/>
      <c r="AHY390" s="6"/>
      <c r="AHZ390" s="6"/>
      <c r="AIA390" s="6"/>
      <c r="AIB390" s="6"/>
      <c r="AIC390" s="6"/>
      <c r="AID390" s="6"/>
      <c r="AIE390" s="6"/>
      <c r="AIF390" s="6"/>
      <c r="AIG390" s="6"/>
      <c r="AIH390" s="6"/>
      <c r="AII390" s="6"/>
      <c r="AIJ390" s="6"/>
      <c r="AIK390" s="6"/>
      <c r="AIL390" s="6"/>
      <c r="AIM390" s="6"/>
      <c r="AIN390" s="6"/>
      <c r="AIO390" s="6"/>
      <c r="AIP390" s="6"/>
      <c r="AIQ390" s="6"/>
      <c r="AIR390" s="6"/>
      <c r="AIS390" s="6"/>
      <c r="AIT390" s="6"/>
      <c r="AIU390" s="6"/>
      <c r="AIV390" s="6"/>
      <c r="AIW390" s="6"/>
      <c r="AIX390" s="6"/>
      <c r="AIY390" s="6"/>
      <c r="AIZ390" s="6"/>
      <c r="AJA390" s="6"/>
      <c r="AJB390" s="6"/>
      <c r="AJC390" s="6"/>
      <c r="AJD390" s="6"/>
      <c r="AJE390" s="6"/>
      <c r="AJF390" s="6"/>
      <c r="AJG390" s="6"/>
      <c r="AJH390" s="6"/>
      <c r="AJI390" s="6"/>
      <c r="AJJ390" s="6"/>
      <c r="AJK390" s="6"/>
      <c r="AJL390" s="6"/>
      <c r="AJM390" s="6"/>
      <c r="AJN390" s="6"/>
      <c r="AJO390" s="6"/>
      <c r="AJP390" s="6"/>
      <c r="AJQ390" s="6"/>
      <c r="AJR390" s="6"/>
      <c r="AJS390" s="6"/>
      <c r="AJT390" s="6"/>
      <c r="AJU390" s="6"/>
      <c r="AJV390" s="6"/>
      <c r="AJW390" s="6"/>
      <c r="AJX390" s="6"/>
      <c r="AJY390" s="6"/>
      <c r="AJZ390" s="6"/>
      <c r="AKA390" s="6"/>
      <c r="AKB390" s="6"/>
      <c r="AKC390" s="6"/>
      <c r="AKD390" s="6"/>
      <c r="AKE390" s="6"/>
      <c r="AKF390" s="6"/>
      <c r="AKG390" s="6"/>
      <c r="AKH390" s="6"/>
      <c r="AKI390" s="6"/>
      <c r="AKJ390" s="6"/>
      <c r="AKK390" s="6"/>
      <c r="AKL390" s="6"/>
      <c r="AKM390" s="6"/>
      <c r="AKN390" s="6"/>
      <c r="AKO390" s="6"/>
      <c r="AKP390" s="6"/>
      <c r="AKQ390" s="6"/>
      <c r="AKR390" s="6"/>
      <c r="AKS390" s="6"/>
      <c r="AKT390" s="6"/>
      <c r="AKU390" s="6"/>
      <c r="AKV390" s="6"/>
      <c r="AKW390" s="6"/>
      <c r="AKX390" s="6"/>
      <c r="AKY390" s="6"/>
      <c r="AKZ390" s="6"/>
      <c r="ALA390" s="6"/>
      <c r="ALB390" s="6"/>
      <c r="ALC390" s="6"/>
      <c r="ALD390" s="6"/>
      <c r="ALE390" s="6"/>
      <c r="ALF390" s="6"/>
      <c r="ALG390" s="6"/>
      <c r="ALH390" s="6"/>
      <c r="ALI390" s="6"/>
      <c r="ALJ390" s="6"/>
      <c r="ALK390" s="6"/>
      <c r="ALL390" s="6"/>
      <c r="ALM390" s="6"/>
      <c r="ALN390" s="6"/>
      <c r="ALO390" s="6"/>
      <c r="ALP390" s="6"/>
      <c r="ALQ390" s="6"/>
      <c r="ALR390" s="6"/>
      <c r="ALS390" s="6"/>
      <c r="ALT390" s="6"/>
      <c r="ALU390" s="6"/>
      <c r="ALV390" s="6"/>
      <c r="ALW390" s="6"/>
      <c r="ALX390" s="6"/>
      <c r="ALY390" s="6"/>
      <c r="ALZ390" s="6"/>
      <c r="AMA390" s="6"/>
      <c r="AMB390" s="6"/>
      <c r="AMC390" s="6"/>
      <c r="AMD390" s="6"/>
      <c r="AME390" s="6"/>
      <c r="AMF390" s="6"/>
      <c r="AMG390" s="6"/>
      <c r="AMH390" s="6"/>
      <c r="AMI390" s="6"/>
      <c r="AMJ390" s="6"/>
      <c r="AMK390" s="6"/>
      <c r="AML390" s="6"/>
      <c r="AMM390" s="6"/>
      <c r="AMN390" s="6"/>
      <c r="AMO390" s="6"/>
      <c r="AMP390" s="6"/>
    </row>
    <row r="391" spans="1:1030" x14ac:dyDescent="0.2">
      <c r="A391" s="9" t="str">
        <f>CONCATENATE(B391,"_",C391)</f>
        <v>ta2r_human__wt</v>
      </c>
      <c r="B391" s="40" t="s">
        <v>467</v>
      </c>
      <c r="C391" s="9" t="s">
        <v>100</v>
      </c>
      <c r="D391" s="9" t="str">
        <f>IFERROR(MID(VLOOKUP($B391,Seqs!$A:$B,2,0),E391,1),"")</f>
        <v>S</v>
      </c>
      <c r="E391" s="9">
        <v>27</v>
      </c>
      <c r="F391" s="9" t="str">
        <f>IFERROR(MID(VLOOKUP($B391,Seqs!$A:$B,2,0),G391,1),"")</f>
        <v>Q</v>
      </c>
      <c r="G391" s="9">
        <v>54</v>
      </c>
      <c r="H391" s="9" t="str">
        <f>IFERROR(MID(VLOOKUP($B391,Seqs!$A:$B,2,0),I391,1),"")</f>
        <v/>
      </c>
      <c r="I391" s="109" t="s">
        <v>23</v>
      </c>
      <c r="J391" s="9" t="str">
        <f>IFERROR(MID(VLOOKUP($B391,Seqs!$A:$B,2,0),K391,1),"")</f>
        <v/>
      </c>
      <c r="K391" s="109" t="s">
        <v>23</v>
      </c>
      <c r="L391" s="9" t="str">
        <f>IFERROR(MID(VLOOKUP($B391,Seqs!$A:$B,2,0),M391,1),"")</f>
        <v>S</v>
      </c>
      <c r="M391" s="9">
        <v>61</v>
      </c>
      <c r="N391" s="9" t="str">
        <f>IFERROR(MID(VLOOKUP($B391,Seqs!$A:$B,2,0),O391,1),"")</f>
        <v>A</v>
      </c>
      <c r="O391" s="9">
        <v>91</v>
      </c>
      <c r="P391" s="9" t="str">
        <f>IFERROR(MID(VLOOKUP($B391,Seqs!$A:$B,2,0),Q391,1),"")</f>
        <v>E</v>
      </c>
      <c r="Q391" s="9">
        <v>94</v>
      </c>
      <c r="R391" s="9" t="str">
        <f>IFERROR(MID(VLOOKUP($B391,Seqs!$A:$B,2,0),S391,1),"")</f>
        <v>V</v>
      </c>
      <c r="S391" s="9">
        <v>98</v>
      </c>
      <c r="T391" s="9" t="str">
        <f>IFERROR(MID(VLOOKUP($B391,Seqs!$A:$B,2,0),U391,1),"")</f>
        <v>C</v>
      </c>
      <c r="U391" s="9">
        <v>102</v>
      </c>
      <c r="V391" s="9" t="str">
        <f>IFERROR(MID(VLOOKUP($B391,Seqs!$A:$B,2,0),W391,1),"")</f>
        <v>R</v>
      </c>
      <c r="W391" s="9">
        <v>136</v>
      </c>
      <c r="X391" s="9" t="str">
        <f>IFERROR(MID(VLOOKUP($B391,Seqs!$A:$B,2,0),Y391,1),"")</f>
        <v>P</v>
      </c>
      <c r="Y391" s="9">
        <v>137</v>
      </c>
      <c r="Z391" s="9" t="str">
        <f>IFERROR(MID(VLOOKUP($B391,Seqs!$A:$B,2,0),AA391,1),"")</f>
        <v>A</v>
      </c>
      <c r="AA391" s="9">
        <v>144</v>
      </c>
      <c r="AB391" s="9" t="str">
        <f>IFERROR(MID(VLOOKUP($B391,Seqs!$A:$B,2,0),AC391,1),"")</f>
        <v>S</v>
      </c>
      <c r="AC391" s="9">
        <v>145</v>
      </c>
      <c r="AD391" s="9" t="str">
        <f>IFERROR(MID(VLOOKUP($B391,Seqs!$A:$B,2,0),AE391,1),"")</f>
        <v>G</v>
      </c>
      <c r="AE391" s="9">
        <v>170</v>
      </c>
      <c r="AF391" s="9" t="str">
        <f>IFERROR(MID(VLOOKUP($B391,Seqs!$A:$B,2,0),AG391,1),"")</f>
        <v>C</v>
      </c>
      <c r="AG391" s="9">
        <v>183</v>
      </c>
      <c r="AH391" s="9" t="str">
        <f>IFERROR(MID(VLOOKUP($B391,Seqs!$A:$B,2,0),AI391,1),"")</f>
        <v>L</v>
      </c>
      <c r="AI391" s="9">
        <v>185</v>
      </c>
      <c r="AJ391" s="9" t="str">
        <f>IFERROR(MID(VLOOKUP($B391,Seqs!$A:$B,2,0),AK391,1),"")</f>
        <v>E</v>
      </c>
      <c r="AK391" s="9">
        <v>190</v>
      </c>
      <c r="AL391" s="9" t="str">
        <f>IFERROR(MID(VLOOKUP($B391,Seqs!$A:$B,2,0),AM391,1),"")</f>
        <v>P</v>
      </c>
      <c r="AM391" s="9">
        <v>236</v>
      </c>
      <c r="AN391" s="9" t="str">
        <f>IFERROR(MID(VLOOKUP($B391,Seqs!$A:$B,2,0),AO391,1),"")</f>
        <v>E</v>
      </c>
      <c r="AO391" s="9">
        <v>240</v>
      </c>
      <c r="AP391" s="9" t="str">
        <f>IFERROR(MID(VLOOKUP($B391,Seqs!$A:$B,2,0),AQ391,1),"")</f>
        <v>R</v>
      </c>
      <c r="AQ391" s="9">
        <v>271</v>
      </c>
      <c r="AR391" s="9" t="str">
        <f>IFERROR(MID(VLOOKUP($B391,Seqs!$A:$B,2,0),AS391,1),"")</f>
        <v>S</v>
      </c>
      <c r="AS391" s="9">
        <v>283</v>
      </c>
      <c r="AT391" s="9" t="str">
        <f>IFERROR(MID(VLOOKUP($B391,Seqs!$A:$B,2,0),AU391,1),"")</f>
        <v>F</v>
      </c>
      <c r="AU391" s="9">
        <v>311</v>
      </c>
      <c r="AV391" s="9" t="str">
        <f>IFERROR(MID(VLOOKUP($B391,Seqs!$A:$B,2,0),AW391,1),"")</f>
        <v>R</v>
      </c>
      <c r="AW391" s="9">
        <v>312</v>
      </c>
      <c r="AX391" s="9" t="str">
        <f>IFERROR(MID(VLOOKUP($B391,Seqs!$A:$B,2,0),AY391,1),"")</f>
        <v>S</v>
      </c>
      <c r="AY391" s="9">
        <v>331</v>
      </c>
      <c r="AZ391" s="110" t="str">
        <f>VLOOKUP(B391,Classification!A:D,2,0)</f>
        <v>A</v>
      </c>
      <c r="BA391" s="98" t="str">
        <f>VLOOKUP(B391,Classification!A:D,4,0)</f>
        <v>Prostanoid</v>
      </c>
      <c r="BB391" s="36" t="b">
        <f t="shared" ref="BB391:BB392" si="1171">AND(E391&lt;G391,OR(G391&lt;I391,I391="-"),OR(I391&lt;K391,I391="-"),OR(K391&lt;M391,K391="-"),M391&lt;O391,OR(O391&lt;Q391,Q391="-"),OR(Q391&lt;S391,Q391="-"),OR(S391&lt;U391,S391="-"),U391&lt;W391,OR(W391&lt;Y391,Y391="-"),OR(Y391&lt;AA391,Y391="-"),OR(AA391&lt;AC391,AA391="-"),AC391&lt;AE391,OR(AE391&lt;AG391,AG391="-"),OR(AG391&lt;AI391,AG391="-"),OR(AI391&lt;AK391,AI391="-"),AK391&lt;AM391,AM391&lt;AO391,AO391&lt;AQ391,AQ391&lt;AS391,AS391&lt;AU391,OR(AU391&lt;AW391,AW391="-"),OR(AW391&lt;AY391,AW391="-"))</f>
        <v>1</v>
      </c>
      <c r="BC391" s="109">
        <f t="shared" ref="BC391:BC392" si="1172">_xlfn.AGGREGATE(9,6,CH391:CS391)-_xlfn.AGGREGATE(9,6,BV391:CG391)+12</f>
        <v>265</v>
      </c>
      <c r="BD391" s="11" t="s">
        <v>23</v>
      </c>
      <c r="BE391" s="9" t="s">
        <v>23</v>
      </c>
      <c r="BF391" s="119" t="s">
        <v>23</v>
      </c>
      <c r="BG391" s="51" t="s">
        <v>1</v>
      </c>
      <c r="BH391" s="51" t="s">
        <v>1</v>
      </c>
      <c r="BI391" s="12"/>
      <c r="BJ391" s="111" t="s">
        <v>1281</v>
      </c>
      <c r="BK391" s="112" t="s">
        <v>1281</v>
      </c>
      <c r="BL391" s="112" t="s">
        <v>1281</v>
      </c>
      <c r="BM391" s="112" t="s">
        <v>1281</v>
      </c>
      <c r="BN391" s="112" t="s">
        <v>1281</v>
      </c>
      <c r="BO391" s="112" t="s">
        <v>1281</v>
      </c>
      <c r="BP391" s="112" t="s">
        <v>1281</v>
      </c>
      <c r="BQ391" s="112" t="s">
        <v>1281</v>
      </c>
      <c r="BR391" s="112" t="s">
        <v>1281</v>
      </c>
      <c r="BS391" s="112" t="s">
        <v>1281</v>
      </c>
      <c r="BT391" s="112" t="s">
        <v>1281</v>
      </c>
      <c r="BU391" s="112" t="s">
        <v>1281</v>
      </c>
      <c r="BV391" s="111">
        <f>E391</f>
        <v>27</v>
      </c>
      <c r="BW391" s="113" t="str">
        <f>I391</f>
        <v>-</v>
      </c>
      <c r="BX391" s="114">
        <f>M391</f>
        <v>61</v>
      </c>
      <c r="BY391" s="113">
        <f>Q391</f>
        <v>94</v>
      </c>
      <c r="BZ391" s="114">
        <f>U391</f>
        <v>102</v>
      </c>
      <c r="CA391" s="113">
        <f>Y391</f>
        <v>137</v>
      </c>
      <c r="CB391" s="114">
        <f>AC391</f>
        <v>145</v>
      </c>
      <c r="CC391" s="113">
        <f>AG391</f>
        <v>183</v>
      </c>
      <c r="CD391" s="114">
        <f>AK391</f>
        <v>190</v>
      </c>
      <c r="CE391" s="113">
        <f>AO391</f>
        <v>240</v>
      </c>
      <c r="CF391" s="114">
        <f>AS391</f>
        <v>283</v>
      </c>
      <c r="CG391" s="113">
        <f>AW391</f>
        <v>312</v>
      </c>
      <c r="CH391" s="111">
        <f>G391</f>
        <v>54</v>
      </c>
      <c r="CI391" s="113" t="str">
        <f>K391</f>
        <v>-</v>
      </c>
      <c r="CJ391" s="114">
        <f>O391</f>
        <v>91</v>
      </c>
      <c r="CK391" s="114">
        <f>S391</f>
        <v>98</v>
      </c>
      <c r="CL391" s="114">
        <f>W391</f>
        <v>136</v>
      </c>
      <c r="CM391" s="114">
        <f>AA391</f>
        <v>144</v>
      </c>
      <c r="CN391" s="114">
        <f>AE391</f>
        <v>170</v>
      </c>
      <c r="CO391" s="114">
        <f>AI391</f>
        <v>185</v>
      </c>
      <c r="CP391" s="114">
        <f>AM391</f>
        <v>236</v>
      </c>
      <c r="CQ391" s="114">
        <f>AQ391</f>
        <v>271</v>
      </c>
      <c r="CR391" s="114">
        <f>AU391</f>
        <v>311</v>
      </c>
      <c r="CS391" s="114">
        <f>AY391</f>
        <v>331</v>
      </c>
      <c r="CT391" s="109" t="e">
        <f>M391-K391</f>
        <v>#VALUE!</v>
      </c>
      <c r="CU391" s="6"/>
      <c r="CV391" s="6"/>
      <c r="CW391" s="6"/>
      <c r="CX391" s="6"/>
      <c r="CY391" s="6"/>
      <c r="CZ391" s="6"/>
      <c r="DA391" s="6"/>
      <c r="DB391" s="6"/>
      <c r="DC391" s="6"/>
      <c r="DD391" s="6"/>
      <c r="DE391" s="6"/>
      <c r="DF391" s="6"/>
      <c r="DG391" s="6"/>
      <c r="DH391" s="6"/>
      <c r="DI391" s="6"/>
      <c r="DJ391" s="6"/>
      <c r="DK391" s="6"/>
      <c r="DL391" s="6"/>
      <c r="DM391" s="6"/>
      <c r="DN391" s="6"/>
      <c r="DO391" s="6"/>
      <c r="DP391" s="6"/>
      <c r="DQ391" s="6"/>
      <c r="DR391" s="6"/>
      <c r="DS391" s="6"/>
      <c r="DT391" s="6"/>
      <c r="DU391" s="6"/>
      <c r="DV391" s="6"/>
      <c r="DW391" s="6"/>
      <c r="DX391" s="6"/>
      <c r="DY391" s="6"/>
      <c r="DZ391" s="6"/>
      <c r="EA391" s="6"/>
      <c r="EB391" s="6"/>
      <c r="EC391" s="6"/>
      <c r="ED391" s="6"/>
      <c r="EE391" s="6"/>
      <c r="EF391" s="6"/>
      <c r="EG391" s="6"/>
      <c r="EH391" s="6"/>
      <c r="EI391" s="6"/>
      <c r="EJ391" s="6"/>
      <c r="EK391" s="6"/>
      <c r="EL391" s="6"/>
      <c r="EM391" s="6"/>
      <c r="EN391" s="6"/>
      <c r="EO391" s="6"/>
      <c r="EP391" s="6"/>
      <c r="EQ391" s="6"/>
      <c r="ER391" s="6"/>
      <c r="ES391" s="6"/>
      <c r="ET391" s="6"/>
      <c r="EU391" s="6"/>
      <c r="EV391" s="6"/>
      <c r="EW391" s="6"/>
      <c r="EX391" s="6"/>
      <c r="EY391" s="6"/>
      <c r="EZ391" s="6"/>
      <c r="FA391" s="6"/>
      <c r="FB391" s="6"/>
      <c r="FC391" s="6"/>
      <c r="FD391" s="6"/>
      <c r="FE391" s="6"/>
      <c r="FF391" s="6"/>
      <c r="FG391" s="6"/>
      <c r="FH391" s="6"/>
      <c r="FI391" s="6"/>
      <c r="FJ391" s="6"/>
      <c r="FK391" s="6"/>
      <c r="FL391" s="6"/>
      <c r="FM391" s="6"/>
      <c r="FN391" s="6"/>
      <c r="FO391" s="6"/>
      <c r="FP391" s="6"/>
      <c r="FQ391" s="6"/>
      <c r="FR391" s="6"/>
      <c r="FS391" s="6"/>
      <c r="FT391" s="6"/>
      <c r="FU391" s="6"/>
      <c r="FV391" s="6"/>
      <c r="FW391" s="6"/>
      <c r="FX391" s="6"/>
      <c r="FY391" s="6"/>
      <c r="FZ391" s="6"/>
      <c r="GA391" s="6"/>
      <c r="GB391" s="6"/>
      <c r="GC391" s="6"/>
      <c r="GD391" s="6"/>
      <c r="GE391" s="6"/>
      <c r="GF391" s="6"/>
      <c r="GG391" s="6"/>
      <c r="GH391" s="6"/>
      <c r="GI391" s="6"/>
      <c r="GJ391" s="6"/>
      <c r="GK391" s="6"/>
      <c r="GL391" s="6"/>
      <c r="GM391" s="6"/>
      <c r="GN391" s="6"/>
      <c r="GO391" s="6"/>
      <c r="GP391" s="6"/>
      <c r="GQ391" s="6"/>
      <c r="GR391" s="6"/>
      <c r="GS391" s="6"/>
      <c r="GT391" s="6"/>
      <c r="GU391" s="6"/>
      <c r="GV391" s="6"/>
      <c r="GW391" s="6"/>
      <c r="GX391" s="6"/>
      <c r="GY391" s="6"/>
      <c r="GZ391" s="6"/>
      <c r="HA391" s="6"/>
      <c r="HB391" s="6"/>
      <c r="HC391" s="6"/>
      <c r="HD391" s="6"/>
      <c r="HE391" s="6"/>
      <c r="HF391" s="6"/>
      <c r="HG391" s="6"/>
      <c r="HH391" s="6"/>
      <c r="HI391" s="6"/>
      <c r="HJ391" s="6"/>
      <c r="HK391" s="6"/>
      <c r="HL391" s="6"/>
      <c r="HM391" s="6"/>
      <c r="HN391" s="6"/>
      <c r="HO391" s="6"/>
      <c r="HP391" s="6"/>
      <c r="HQ391" s="6"/>
      <c r="HR391" s="6"/>
      <c r="HS391" s="6"/>
      <c r="HT391" s="6"/>
      <c r="HU391" s="6"/>
      <c r="HV391" s="6"/>
      <c r="HW391" s="6"/>
      <c r="HX391" s="6"/>
      <c r="HY391" s="6"/>
      <c r="HZ391" s="6"/>
      <c r="IA391" s="6"/>
      <c r="IB391" s="6"/>
      <c r="IC391" s="6"/>
      <c r="ID391" s="6"/>
      <c r="IE391" s="6"/>
      <c r="IF391" s="6"/>
      <c r="IG391" s="6"/>
      <c r="IH391" s="6"/>
      <c r="II391" s="6"/>
      <c r="IJ391" s="6"/>
      <c r="IK391" s="6"/>
      <c r="IL391" s="6"/>
      <c r="IM391" s="6"/>
      <c r="IN391" s="6"/>
      <c r="IO391" s="6"/>
      <c r="IP391" s="6"/>
      <c r="IQ391" s="6"/>
      <c r="IR391" s="6"/>
      <c r="IS391" s="6"/>
      <c r="IT391" s="6"/>
      <c r="IU391" s="6"/>
      <c r="IV391" s="6"/>
      <c r="IW391" s="6"/>
      <c r="IX391" s="6"/>
      <c r="IY391" s="6"/>
      <c r="IZ391" s="6"/>
      <c r="JA391" s="6"/>
      <c r="JB391" s="6"/>
      <c r="JC391" s="6"/>
      <c r="JD391" s="6"/>
      <c r="JE391" s="6"/>
      <c r="JF391" s="6"/>
      <c r="JG391" s="6"/>
      <c r="JH391" s="6"/>
      <c r="JI391" s="6"/>
      <c r="JJ391" s="6"/>
      <c r="JK391" s="6"/>
      <c r="JL391" s="6"/>
      <c r="JM391" s="6"/>
      <c r="JN391" s="6"/>
      <c r="JO391" s="6"/>
      <c r="JP391" s="6"/>
      <c r="JQ391" s="6"/>
      <c r="JR391" s="6"/>
      <c r="JS391" s="6"/>
      <c r="JT391" s="6"/>
      <c r="JU391" s="6"/>
      <c r="JV391" s="6"/>
      <c r="JW391" s="6"/>
      <c r="JX391" s="6"/>
      <c r="JY391" s="6"/>
      <c r="JZ391" s="6"/>
      <c r="KA391" s="6"/>
      <c r="KB391" s="6"/>
      <c r="KC391" s="6"/>
      <c r="KD391" s="6"/>
      <c r="KE391" s="6"/>
      <c r="KF391" s="6"/>
      <c r="KG391" s="6"/>
      <c r="KH391" s="6"/>
      <c r="KI391" s="6"/>
      <c r="KJ391" s="6"/>
      <c r="KK391" s="6"/>
      <c r="KL391" s="6"/>
      <c r="KM391" s="6"/>
      <c r="KN391" s="6"/>
      <c r="KO391" s="6"/>
      <c r="KP391" s="6"/>
      <c r="KQ391" s="6"/>
      <c r="KR391" s="6"/>
      <c r="KS391" s="6"/>
      <c r="KT391" s="6"/>
      <c r="KU391" s="6"/>
      <c r="KV391" s="6"/>
      <c r="KW391" s="6"/>
      <c r="KX391" s="6"/>
      <c r="KY391" s="6"/>
      <c r="KZ391" s="6"/>
      <c r="LA391" s="6"/>
      <c r="LB391" s="6"/>
      <c r="LC391" s="6"/>
      <c r="LD391" s="6"/>
      <c r="LE391" s="6"/>
      <c r="LF391" s="6"/>
      <c r="LG391" s="6"/>
      <c r="LH391" s="6"/>
      <c r="LI391" s="6"/>
      <c r="LJ391" s="6"/>
      <c r="LK391" s="6"/>
      <c r="LL391" s="6"/>
      <c r="LM391" s="6"/>
      <c r="LN391" s="6"/>
      <c r="LO391" s="6"/>
      <c r="LP391" s="6"/>
      <c r="LQ391" s="6"/>
      <c r="LR391" s="6"/>
      <c r="LS391" s="6"/>
      <c r="LT391" s="6"/>
      <c r="LU391" s="6"/>
      <c r="LV391" s="6"/>
      <c r="LW391" s="6"/>
      <c r="LX391" s="6"/>
      <c r="LY391" s="6"/>
      <c r="LZ391" s="6"/>
      <c r="MA391" s="6"/>
      <c r="MB391" s="6"/>
      <c r="MC391" s="6"/>
      <c r="MD391" s="6"/>
      <c r="ME391" s="6"/>
      <c r="MF391" s="6"/>
      <c r="MG391" s="6"/>
      <c r="MH391" s="6"/>
      <c r="MI391" s="6"/>
      <c r="MJ391" s="6"/>
      <c r="MK391" s="6"/>
      <c r="ML391" s="6"/>
      <c r="MM391" s="6"/>
      <c r="MN391" s="6"/>
      <c r="MO391" s="6"/>
      <c r="MP391" s="6"/>
      <c r="MQ391" s="6"/>
      <c r="MR391" s="6"/>
      <c r="MS391" s="6"/>
      <c r="MT391" s="6"/>
      <c r="MU391" s="6"/>
      <c r="MV391" s="6"/>
      <c r="MW391" s="6"/>
      <c r="MX391" s="6"/>
      <c r="MY391" s="6"/>
      <c r="MZ391" s="6"/>
      <c r="NA391" s="6"/>
      <c r="NB391" s="6"/>
      <c r="NC391" s="6"/>
      <c r="ND391" s="6"/>
      <c r="NE391" s="6"/>
      <c r="NF391" s="6"/>
      <c r="NG391" s="6"/>
      <c r="NH391" s="6"/>
      <c r="NI391" s="6"/>
      <c r="NJ391" s="6"/>
      <c r="NK391" s="6"/>
      <c r="NL391" s="6"/>
      <c r="NM391" s="6"/>
      <c r="NN391" s="6"/>
      <c r="NO391" s="6"/>
      <c r="NP391" s="6"/>
      <c r="NQ391" s="6"/>
      <c r="NR391" s="6"/>
      <c r="NS391" s="6"/>
      <c r="NT391" s="6"/>
      <c r="NU391" s="6"/>
      <c r="NV391" s="6"/>
      <c r="NW391" s="6"/>
      <c r="NX391" s="6"/>
      <c r="NY391" s="6"/>
      <c r="NZ391" s="6"/>
      <c r="OA391" s="6"/>
      <c r="OB391" s="6"/>
      <c r="OC391" s="6"/>
      <c r="OD391" s="6"/>
      <c r="OE391" s="6"/>
      <c r="OF391" s="6"/>
      <c r="OG391" s="6"/>
      <c r="OH391" s="6"/>
      <c r="OI391" s="6"/>
      <c r="OJ391" s="6"/>
      <c r="OK391" s="6"/>
      <c r="OL391" s="6"/>
      <c r="OM391" s="6"/>
      <c r="ON391" s="6"/>
      <c r="OO391" s="6"/>
      <c r="OP391" s="6"/>
      <c r="OQ391" s="6"/>
      <c r="OR391" s="6"/>
      <c r="OS391" s="6"/>
      <c r="OT391" s="6"/>
      <c r="OU391" s="6"/>
      <c r="OV391" s="6"/>
      <c r="OW391" s="6"/>
      <c r="OX391" s="6"/>
      <c r="OY391" s="6"/>
      <c r="OZ391" s="6"/>
      <c r="PA391" s="6"/>
      <c r="PB391" s="6"/>
      <c r="PC391" s="6"/>
      <c r="PD391" s="6"/>
      <c r="PE391" s="6"/>
      <c r="PF391" s="6"/>
      <c r="PG391" s="6"/>
      <c r="PH391" s="6"/>
      <c r="PI391" s="6"/>
      <c r="PJ391" s="6"/>
      <c r="PK391" s="6"/>
      <c r="PL391" s="6"/>
      <c r="PM391" s="6"/>
      <c r="PN391" s="6"/>
      <c r="PO391" s="6"/>
      <c r="PP391" s="6"/>
      <c r="PQ391" s="6"/>
      <c r="PR391" s="6"/>
      <c r="PS391" s="6"/>
      <c r="PT391" s="6"/>
      <c r="PU391" s="6"/>
      <c r="PV391" s="6"/>
      <c r="PW391" s="6"/>
      <c r="PX391" s="6"/>
      <c r="PY391" s="6"/>
      <c r="PZ391" s="6"/>
      <c r="QA391" s="6"/>
      <c r="QB391" s="6"/>
      <c r="QC391" s="6"/>
      <c r="QD391" s="6"/>
      <c r="QE391" s="6"/>
      <c r="QF391" s="6"/>
      <c r="QG391" s="6"/>
      <c r="QH391" s="6"/>
      <c r="QI391" s="6"/>
      <c r="QJ391" s="6"/>
      <c r="QK391" s="6"/>
      <c r="QL391" s="6"/>
      <c r="QM391" s="6"/>
      <c r="QN391" s="6"/>
      <c r="QO391" s="6"/>
      <c r="QP391" s="6"/>
      <c r="QQ391" s="6"/>
      <c r="QR391" s="6"/>
      <c r="QS391" s="6"/>
      <c r="QT391" s="6"/>
      <c r="QU391" s="6"/>
      <c r="QV391" s="6"/>
      <c r="QW391" s="6"/>
      <c r="QX391" s="6"/>
      <c r="QY391" s="6"/>
      <c r="QZ391" s="6"/>
      <c r="RA391" s="6"/>
      <c r="RB391" s="6"/>
      <c r="RC391" s="6"/>
      <c r="RD391" s="6"/>
      <c r="RE391" s="6"/>
      <c r="RF391" s="6"/>
      <c r="RG391" s="6"/>
      <c r="RH391" s="6"/>
      <c r="RI391" s="6"/>
      <c r="RJ391" s="6"/>
      <c r="RK391" s="6"/>
      <c r="RL391" s="6"/>
      <c r="RM391" s="6"/>
      <c r="RN391" s="6"/>
      <c r="RO391" s="6"/>
      <c r="RP391" s="6"/>
      <c r="RQ391" s="6"/>
      <c r="RR391" s="6"/>
      <c r="RS391" s="6"/>
      <c r="RT391" s="6"/>
      <c r="RU391" s="6"/>
      <c r="RV391" s="6"/>
      <c r="RW391" s="6"/>
      <c r="RX391" s="6"/>
      <c r="RY391" s="6"/>
      <c r="RZ391" s="6"/>
      <c r="SA391" s="6"/>
      <c r="SB391" s="6"/>
      <c r="SC391" s="6"/>
      <c r="SD391" s="6"/>
      <c r="SE391" s="6"/>
      <c r="SF391" s="6"/>
      <c r="SG391" s="6"/>
      <c r="SH391" s="6"/>
      <c r="SI391" s="6"/>
      <c r="SJ391" s="6"/>
      <c r="SK391" s="6"/>
      <c r="SL391" s="6"/>
      <c r="SM391" s="6"/>
      <c r="SN391" s="6"/>
      <c r="SO391" s="6"/>
      <c r="SP391" s="6"/>
      <c r="SQ391" s="6"/>
      <c r="SR391" s="6"/>
      <c r="SS391" s="6"/>
      <c r="ST391" s="6"/>
      <c r="SU391" s="6"/>
      <c r="SV391" s="6"/>
      <c r="SW391" s="6"/>
      <c r="SX391" s="6"/>
      <c r="SY391" s="6"/>
      <c r="SZ391" s="6"/>
      <c r="TA391" s="6"/>
      <c r="TB391" s="6"/>
      <c r="TC391" s="6"/>
      <c r="TD391" s="6"/>
      <c r="TE391" s="6"/>
      <c r="TF391" s="6"/>
      <c r="TG391" s="6"/>
      <c r="TH391" s="6"/>
      <c r="TI391" s="6"/>
      <c r="TJ391" s="6"/>
      <c r="TK391" s="6"/>
      <c r="TL391" s="6"/>
      <c r="TM391" s="6"/>
      <c r="TN391" s="6"/>
      <c r="TO391" s="6"/>
      <c r="TP391" s="6"/>
      <c r="TQ391" s="6"/>
      <c r="TR391" s="6"/>
      <c r="TS391" s="6"/>
      <c r="TT391" s="6"/>
      <c r="TU391" s="6"/>
      <c r="TV391" s="6"/>
      <c r="TW391" s="6"/>
      <c r="TX391" s="6"/>
      <c r="TY391" s="6"/>
      <c r="TZ391" s="6"/>
      <c r="UA391" s="6"/>
      <c r="UB391" s="6"/>
      <c r="UC391" s="6"/>
      <c r="UD391" s="6"/>
      <c r="UE391" s="6"/>
      <c r="UF391" s="6"/>
      <c r="UG391" s="6"/>
      <c r="UH391" s="6"/>
      <c r="UI391" s="6"/>
      <c r="UJ391" s="6"/>
      <c r="UK391" s="6"/>
      <c r="UL391" s="6"/>
      <c r="UM391" s="6"/>
      <c r="UN391" s="6"/>
      <c r="UO391" s="6"/>
      <c r="UP391" s="6"/>
      <c r="UQ391" s="6"/>
      <c r="UR391" s="6"/>
      <c r="US391" s="6"/>
      <c r="UT391" s="6"/>
      <c r="UU391" s="6"/>
      <c r="UV391" s="6"/>
      <c r="UW391" s="6"/>
      <c r="UX391" s="6"/>
      <c r="UY391" s="6"/>
      <c r="UZ391" s="6"/>
      <c r="VA391" s="6"/>
      <c r="VB391" s="6"/>
      <c r="VC391" s="6"/>
      <c r="VD391" s="6"/>
      <c r="VE391" s="6"/>
      <c r="VF391" s="6"/>
      <c r="VG391" s="6"/>
      <c r="VH391" s="6"/>
      <c r="VI391" s="6"/>
      <c r="VJ391" s="6"/>
      <c r="VK391" s="6"/>
      <c r="VL391" s="6"/>
      <c r="VM391" s="6"/>
      <c r="VN391" s="6"/>
      <c r="VO391" s="6"/>
      <c r="VP391" s="6"/>
      <c r="VQ391" s="6"/>
      <c r="VR391" s="6"/>
      <c r="VS391" s="6"/>
      <c r="VT391" s="6"/>
      <c r="VU391" s="6"/>
      <c r="VV391" s="6"/>
      <c r="VW391" s="6"/>
      <c r="VX391" s="6"/>
      <c r="VY391" s="6"/>
      <c r="VZ391" s="6"/>
      <c r="WA391" s="6"/>
      <c r="WB391" s="6"/>
      <c r="WC391" s="6"/>
      <c r="WD391" s="6"/>
      <c r="WE391" s="6"/>
      <c r="WF391" s="6"/>
      <c r="WG391" s="6"/>
      <c r="WH391" s="6"/>
      <c r="WI391" s="6"/>
      <c r="WJ391" s="6"/>
      <c r="WK391" s="6"/>
      <c r="WL391" s="6"/>
      <c r="WM391" s="6"/>
      <c r="WN391" s="6"/>
      <c r="WO391" s="6"/>
      <c r="WP391" s="6"/>
      <c r="WQ391" s="6"/>
      <c r="WR391" s="6"/>
      <c r="WS391" s="6"/>
      <c r="WT391" s="6"/>
      <c r="WU391" s="6"/>
      <c r="WV391" s="6"/>
      <c r="WW391" s="6"/>
      <c r="WX391" s="6"/>
      <c r="WY391" s="6"/>
      <c r="WZ391" s="6"/>
      <c r="XA391" s="6"/>
      <c r="XB391" s="6"/>
      <c r="XC391" s="6"/>
      <c r="XD391" s="6"/>
      <c r="XE391" s="6"/>
      <c r="XF391" s="6"/>
      <c r="XG391" s="6"/>
      <c r="XH391" s="6"/>
      <c r="XI391" s="6"/>
      <c r="XJ391" s="6"/>
      <c r="XK391" s="6"/>
      <c r="XL391" s="6"/>
      <c r="XM391" s="6"/>
      <c r="XN391" s="6"/>
      <c r="XO391" s="6"/>
      <c r="XP391" s="6"/>
      <c r="XQ391" s="6"/>
      <c r="XR391" s="6"/>
      <c r="XS391" s="6"/>
      <c r="XT391" s="6"/>
      <c r="XU391" s="6"/>
      <c r="XV391" s="6"/>
      <c r="XW391" s="6"/>
      <c r="XX391" s="6"/>
      <c r="XY391" s="6"/>
      <c r="XZ391" s="6"/>
      <c r="YA391" s="6"/>
      <c r="YB391" s="6"/>
      <c r="YC391" s="6"/>
      <c r="YD391" s="6"/>
      <c r="YE391" s="6"/>
      <c r="YF391" s="6"/>
      <c r="YG391" s="6"/>
      <c r="YH391" s="6"/>
      <c r="YI391" s="6"/>
      <c r="YJ391" s="6"/>
      <c r="YK391" s="6"/>
      <c r="YL391" s="6"/>
      <c r="YM391" s="6"/>
      <c r="YN391" s="6"/>
      <c r="YO391" s="6"/>
      <c r="YP391" s="6"/>
      <c r="YQ391" s="6"/>
      <c r="YR391" s="6"/>
      <c r="YS391" s="6"/>
      <c r="YT391" s="6"/>
      <c r="YU391" s="6"/>
      <c r="YV391" s="6"/>
      <c r="YW391" s="6"/>
      <c r="YX391" s="6"/>
      <c r="YY391" s="6"/>
      <c r="YZ391" s="6"/>
      <c r="ZA391" s="6"/>
      <c r="ZB391" s="6"/>
      <c r="ZC391" s="6"/>
      <c r="ZD391" s="6"/>
      <c r="ZE391" s="6"/>
      <c r="ZF391" s="6"/>
      <c r="ZG391" s="6"/>
      <c r="ZH391" s="6"/>
      <c r="ZI391" s="6"/>
      <c r="ZJ391" s="6"/>
      <c r="ZK391" s="6"/>
      <c r="ZL391" s="6"/>
      <c r="ZM391" s="6"/>
      <c r="ZN391" s="6"/>
      <c r="ZO391" s="6"/>
      <c r="ZP391" s="6"/>
      <c r="ZQ391" s="6"/>
      <c r="ZR391" s="6"/>
      <c r="ZS391" s="6"/>
      <c r="ZT391" s="6"/>
      <c r="ZU391" s="6"/>
      <c r="ZV391" s="6"/>
      <c r="ZW391" s="6"/>
      <c r="ZX391" s="6"/>
      <c r="ZY391" s="6"/>
      <c r="ZZ391" s="6"/>
      <c r="AAA391" s="6"/>
      <c r="AAB391" s="6"/>
      <c r="AAC391" s="6"/>
      <c r="AAD391" s="6"/>
      <c r="AAE391" s="6"/>
      <c r="AAF391" s="6"/>
      <c r="AAG391" s="6"/>
      <c r="AAH391" s="6"/>
      <c r="AAI391" s="6"/>
      <c r="AAJ391" s="6"/>
      <c r="AAK391" s="6"/>
      <c r="AAL391" s="6"/>
      <c r="AAM391" s="6"/>
      <c r="AAN391" s="6"/>
      <c r="AAO391" s="6"/>
      <c r="AAP391" s="6"/>
      <c r="AAQ391" s="6"/>
      <c r="AAR391" s="6"/>
      <c r="AAS391" s="6"/>
      <c r="AAT391" s="6"/>
      <c r="AAU391" s="6"/>
      <c r="AAV391" s="6"/>
      <c r="AAW391" s="6"/>
      <c r="AAX391" s="6"/>
      <c r="AAY391" s="6"/>
      <c r="AAZ391" s="6"/>
      <c r="ABA391" s="6"/>
      <c r="ABB391" s="6"/>
      <c r="ABC391" s="6"/>
      <c r="ABD391" s="6"/>
      <c r="ABE391" s="6"/>
      <c r="ABF391" s="6"/>
      <c r="ABG391" s="6"/>
      <c r="ABH391" s="6"/>
      <c r="ABI391" s="6"/>
      <c r="ABJ391" s="6"/>
      <c r="ABK391" s="6"/>
      <c r="ABL391" s="6"/>
      <c r="ABM391" s="6"/>
      <c r="ABN391" s="6"/>
      <c r="ABO391" s="6"/>
      <c r="ABP391" s="6"/>
      <c r="ABQ391" s="6"/>
      <c r="ABR391" s="6"/>
      <c r="ABS391" s="6"/>
      <c r="ABT391" s="6"/>
      <c r="ABU391" s="6"/>
      <c r="ABV391" s="6"/>
      <c r="ABW391" s="6"/>
      <c r="ABX391" s="6"/>
      <c r="ABY391" s="6"/>
      <c r="ABZ391" s="6"/>
      <c r="ACA391" s="6"/>
      <c r="ACB391" s="6"/>
      <c r="ACC391" s="6"/>
      <c r="ACD391" s="6"/>
      <c r="ACE391" s="6"/>
      <c r="ACF391" s="6"/>
      <c r="ACG391" s="6"/>
      <c r="ACH391" s="6"/>
      <c r="ACI391" s="6"/>
      <c r="ACJ391" s="6"/>
      <c r="ACK391" s="6"/>
      <c r="ACL391" s="6"/>
      <c r="ACM391" s="6"/>
      <c r="ACN391" s="6"/>
      <c r="ACO391" s="6"/>
      <c r="ACP391" s="6"/>
      <c r="ACQ391" s="6"/>
      <c r="ACR391" s="6"/>
      <c r="ACS391" s="6"/>
      <c r="ACT391" s="6"/>
      <c r="ACU391" s="6"/>
      <c r="ACV391" s="6"/>
      <c r="ACW391" s="6"/>
      <c r="ACX391" s="6"/>
      <c r="ACY391" s="6"/>
      <c r="ACZ391" s="6"/>
      <c r="ADA391" s="6"/>
      <c r="ADB391" s="6"/>
      <c r="ADC391" s="6"/>
      <c r="ADD391" s="6"/>
      <c r="ADE391" s="6"/>
      <c r="ADF391" s="6"/>
      <c r="ADG391" s="6"/>
      <c r="ADH391" s="6"/>
      <c r="ADI391" s="6"/>
      <c r="ADJ391" s="6"/>
      <c r="ADK391" s="6"/>
      <c r="ADL391" s="6"/>
      <c r="ADM391" s="6"/>
      <c r="ADN391" s="6"/>
      <c r="ADO391" s="6"/>
      <c r="ADP391" s="6"/>
      <c r="ADQ391" s="6"/>
      <c r="ADR391" s="6"/>
      <c r="ADS391" s="6"/>
      <c r="ADT391" s="6"/>
      <c r="ADU391" s="6"/>
      <c r="ADV391" s="6"/>
      <c r="ADW391" s="6"/>
      <c r="ADX391" s="6"/>
      <c r="ADY391" s="6"/>
      <c r="ADZ391" s="6"/>
      <c r="AEA391" s="6"/>
      <c r="AEB391" s="6"/>
      <c r="AEC391" s="6"/>
      <c r="AED391" s="6"/>
      <c r="AEE391" s="6"/>
      <c r="AEF391" s="6"/>
      <c r="AEG391" s="6"/>
      <c r="AEH391" s="6"/>
      <c r="AEI391" s="6"/>
      <c r="AEJ391" s="6"/>
      <c r="AEK391" s="6"/>
      <c r="AEL391" s="6"/>
      <c r="AEM391" s="6"/>
      <c r="AEN391" s="6"/>
      <c r="AEO391" s="6"/>
      <c r="AEP391" s="6"/>
      <c r="AEQ391" s="6"/>
      <c r="AER391" s="6"/>
      <c r="AES391" s="6"/>
      <c r="AET391" s="6"/>
      <c r="AEU391" s="6"/>
      <c r="AEV391" s="6"/>
      <c r="AEW391" s="6"/>
      <c r="AEX391" s="6"/>
      <c r="AEY391" s="6"/>
      <c r="AEZ391" s="6"/>
      <c r="AFA391" s="6"/>
      <c r="AFB391" s="6"/>
      <c r="AFC391" s="6"/>
      <c r="AFD391" s="6"/>
      <c r="AFE391" s="6"/>
      <c r="AFF391" s="6"/>
      <c r="AFG391" s="6"/>
      <c r="AFH391" s="6"/>
      <c r="AFI391" s="6"/>
      <c r="AFJ391" s="6"/>
      <c r="AFK391" s="6"/>
      <c r="AFL391" s="6"/>
      <c r="AFM391" s="6"/>
      <c r="AFN391" s="6"/>
      <c r="AFO391" s="6"/>
      <c r="AFP391" s="6"/>
      <c r="AFQ391" s="6"/>
      <c r="AFR391" s="6"/>
      <c r="AFS391" s="6"/>
      <c r="AFT391" s="6"/>
      <c r="AFU391" s="6"/>
      <c r="AFV391" s="6"/>
      <c r="AFW391" s="6"/>
      <c r="AFX391" s="6"/>
      <c r="AFY391" s="6"/>
      <c r="AFZ391" s="6"/>
      <c r="AGA391" s="6"/>
      <c r="AGB391" s="6"/>
      <c r="AGC391" s="6"/>
      <c r="AGD391" s="6"/>
      <c r="AGE391" s="6"/>
      <c r="AGF391" s="6"/>
      <c r="AGG391" s="6"/>
      <c r="AGH391" s="6"/>
      <c r="AGI391" s="6"/>
      <c r="AGJ391" s="6"/>
      <c r="AGK391" s="6"/>
      <c r="AGL391" s="6"/>
      <c r="AGM391" s="6"/>
      <c r="AGN391" s="6"/>
      <c r="AGO391" s="6"/>
      <c r="AGP391" s="6"/>
      <c r="AGQ391" s="6"/>
      <c r="AGR391" s="6"/>
      <c r="AGS391" s="6"/>
      <c r="AGT391" s="6"/>
      <c r="AGU391" s="6"/>
      <c r="AGV391" s="6"/>
      <c r="AGW391" s="6"/>
      <c r="AGX391" s="6"/>
      <c r="AGY391" s="6"/>
      <c r="AGZ391" s="6"/>
      <c r="AHA391" s="6"/>
      <c r="AHB391" s="6"/>
      <c r="AHC391" s="6"/>
      <c r="AHD391" s="6"/>
      <c r="AHE391" s="6"/>
      <c r="AHF391" s="6"/>
      <c r="AHG391" s="6"/>
      <c r="AHH391" s="6"/>
      <c r="AHI391" s="6"/>
      <c r="AHJ391" s="6"/>
      <c r="AHK391" s="6"/>
      <c r="AHL391" s="6"/>
      <c r="AHM391" s="6"/>
      <c r="AHN391" s="6"/>
      <c r="AHO391" s="6"/>
      <c r="AHP391" s="6"/>
      <c r="AHQ391" s="6"/>
      <c r="AHR391" s="6"/>
      <c r="AHS391" s="6"/>
      <c r="AHT391" s="6"/>
      <c r="AHU391" s="6"/>
      <c r="AHV391" s="6"/>
      <c r="AHW391" s="6"/>
      <c r="AHX391" s="6"/>
      <c r="AHY391" s="6"/>
      <c r="AHZ391" s="6"/>
      <c r="AIA391" s="6"/>
      <c r="AIB391" s="6"/>
      <c r="AIC391" s="6"/>
      <c r="AID391" s="6"/>
      <c r="AIE391" s="6"/>
      <c r="AIF391" s="6"/>
      <c r="AIG391" s="6"/>
      <c r="AIH391" s="6"/>
      <c r="AII391" s="6"/>
      <c r="AIJ391" s="6"/>
      <c r="AIK391" s="6"/>
      <c r="AIL391" s="6"/>
      <c r="AIM391" s="6"/>
      <c r="AIN391" s="6"/>
      <c r="AIO391" s="6"/>
      <c r="AIP391" s="6"/>
      <c r="AIQ391" s="6"/>
      <c r="AIR391" s="6"/>
      <c r="AIS391" s="6"/>
      <c r="AIT391" s="6"/>
      <c r="AIU391" s="6"/>
      <c r="AIV391" s="6"/>
      <c r="AIW391" s="6"/>
      <c r="AIX391" s="6"/>
      <c r="AIY391" s="6"/>
      <c r="AIZ391" s="6"/>
      <c r="AJA391" s="6"/>
      <c r="AJB391" s="6"/>
      <c r="AJC391" s="6"/>
      <c r="AJD391" s="6"/>
      <c r="AJE391" s="6"/>
      <c r="AJF391" s="6"/>
      <c r="AJG391" s="6"/>
      <c r="AJH391" s="6"/>
      <c r="AJI391" s="6"/>
      <c r="AJJ391" s="6"/>
      <c r="AJK391" s="6"/>
      <c r="AJL391" s="6"/>
      <c r="AJM391" s="6"/>
      <c r="AJN391" s="6"/>
      <c r="AJO391" s="6"/>
      <c r="AJP391" s="6"/>
      <c r="AJQ391" s="6"/>
      <c r="AJR391" s="6"/>
      <c r="AJS391" s="6"/>
      <c r="AJT391" s="6"/>
      <c r="AJU391" s="6"/>
      <c r="AJV391" s="6"/>
      <c r="AJW391" s="6"/>
      <c r="AJX391" s="6"/>
      <c r="AJY391" s="6"/>
      <c r="AJZ391" s="6"/>
      <c r="AKA391" s="6"/>
      <c r="AKB391" s="6"/>
      <c r="AKC391" s="6"/>
      <c r="AKD391" s="6"/>
      <c r="AKE391" s="6"/>
      <c r="AKF391" s="6"/>
      <c r="AKG391" s="6"/>
      <c r="AKH391" s="6"/>
      <c r="AKI391" s="6"/>
      <c r="AKJ391" s="6"/>
      <c r="AKK391" s="6"/>
      <c r="AKL391" s="6"/>
      <c r="AKM391" s="6"/>
      <c r="AKN391" s="6"/>
      <c r="AKO391" s="6"/>
      <c r="AKP391" s="6"/>
      <c r="AKQ391" s="6"/>
      <c r="AKR391" s="6"/>
      <c r="AKS391" s="6"/>
      <c r="AKT391" s="6"/>
      <c r="AKU391" s="6"/>
      <c r="AKV391" s="6"/>
      <c r="AKW391" s="6"/>
      <c r="AKX391" s="6"/>
      <c r="AKY391" s="6"/>
      <c r="AKZ391" s="6"/>
      <c r="ALA391" s="6"/>
      <c r="ALB391" s="6"/>
      <c r="ALC391" s="6"/>
      <c r="ALD391" s="6"/>
      <c r="ALE391" s="6"/>
      <c r="ALF391" s="6"/>
      <c r="ALG391" s="6"/>
      <c r="ALH391" s="6"/>
      <c r="ALI391" s="6"/>
      <c r="ALJ391" s="6"/>
      <c r="ALK391" s="6"/>
      <c r="ALL391" s="6"/>
      <c r="ALM391" s="6"/>
      <c r="ALN391" s="6"/>
      <c r="ALO391" s="6"/>
      <c r="ALP391" s="6"/>
      <c r="ALQ391" s="6"/>
      <c r="ALR391" s="6"/>
      <c r="ALS391" s="6"/>
      <c r="ALT391" s="6"/>
      <c r="ALU391" s="6"/>
      <c r="ALV391" s="6"/>
      <c r="ALW391" s="6"/>
      <c r="ALX391" s="6"/>
      <c r="ALY391" s="6"/>
      <c r="ALZ391" s="6"/>
      <c r="AMA391" s="6"/>
      <c r="AMB391" s="6"/>
      <c r="AMC391" s="6"/>
      <c r="AMD391" s="6"/>
      <c r="AME391" s="6"/>
      <c r="AMF391" s="6"/>
      <c r="AMG391" s="6"/>
      <c r="AMH391" s="6"/>
      <c r="AMI391" s="6"/>
      <c r="AMJ391" s="6"/>
      <c r="AMK391" s="6"/>
      <c r="AML391" s="6"/>
      <c r="AMM391" s="6"/>
      <c r="AMN391" s="6"/>
      <c r="AMO391" s="6"/>
      <c r="AMP391" s="6"/>
    </row>
    <row r="392" spans="1:1030" x14ac:dyDescent="0.2">
      <c r="A392" s="9" t="str">
        <f>CONCATENATE(B392,"_",C392)</f>
        <v>ta2r_human_6IIU</v>
      </c>
      <c r="B392" s="40" t="s">
        <v>467</v>
      </c>
      <c r="C392" s="9" t="s">
        <v>1542</v>
      </c>
      <c r="D392" s="9" t="str">
        <f>IFERROR(MID(VLOOKUP($B392,Seqs!$A:$B,2,0),E392,1),"")</f>
        <v>S</v>
      </c>
      <c r="E392" s="9">
        <v>27</v>
      </c>
      <c r="F392" s="9" t="str">
        <f>IFERROR(MID(VLOOKUP($B392,Seqs!$A:$B,2,0),G392,1),"")</f>
        <v>A</v>
      </c>
      <c r="G392" s="9">
        <v>52</v>
      </c>
      <c r="H392" s="9" t="str">
        <f>IFERROR(MID(VLOOKUP($B392,Seqs!$A:$B,2,0),I392,1),"")</f>
        <v/>
      </c>
      <c r="I392" s="109" t="s">
        <v>23</v>
      </c>
      <c r="J392" s="9" t="str">
        <f>IFERROR(MID(VLOOKUP($B392,Seqs!$A:$B,2,0),K392,1),"")</f>
        <v/>
      </c>
      <c r="K392" s="109" t="s">
        <v>23</v>
      </c>
      <c r="L392" s="9" t="str">
        <f>IFERROR(MID(VLOOKUP($B392,Seqs!$A:$B,2,0),M392,1),"")</f>
        <v>S</v>
      </c>
      <c r="M392" s="9">
        <v>61</v>
      </c>
      <c r="N392" s="9" t="str">
        <f>IFERROR(MID(VLOOKUP($B392,Seqs!$A:$B,2,0),O392,1),"")</f>
        <v>A</v>
      </c>
      <c r="O392" s="9">
        <v>91</v>
      </c>
      <c r="P392" s="9" t="str">
        <f>IFERROR(MID(VLOOKUP($B392,Seqs!$A:$B,2,0),Q392,1),"")</f>
        <v>E</v>
      </c>
      <c r="Q392" s="9">
        <v>94</v>
      </c>
      <c r="R392" s="9" t="str">
        <f>IFERROR(MID(VLOOKUP($B392,Seqs!$A:$B,2,0),S392,1),"")</f>
        <v>V</v>
      </c>
      <c r="S392" s="9">
        <v>98</v>
      </c>
      <c r="T392" s="9" t="str">
        <f>IFERROR(MID(VLOOKUP($B392,Seqs!$A:$B,2,0),U392,1),"")</f>
        <v>C</v>
      </c>
      <c r="U392" s="9">
        <v>102</v>
      </c>
      <c r="V392" s="9" t="str">
        <f>IFERROR(MID(VLOOKUP($B392,Seqs!$A:$B,2,0),W392,1),"")</f>
        <v>R</v>
      </c>
      <c r="W392" s="9">
        <v>136</v>
      </c>
      <c r="X392" s="9" t="str">
        <f>IFERROR(MID(VLOOKUP($B392,Seqs!$A:$B,2,0),Y392,1),"")</f>
        <v/>
      </c>
      <c r="Y392" s="9" t="s">
        <v>23</v>
      </c>
      <c r="Z392" s="9" t="str">
        <f>IFERROR(MID(VLOOKUP($B392,Seqs!$A:$B,2,0),AA392,1),"")</f>
        <v/>
      </c>
      <c r="AA392" s="9" t="s">
        <v>23</v>
      </c>
      <c r="AB392" s="9" t="str">
        <f>IFERROR(MID(VLOOKUP($B392,Seqs!$A:$B,2,0),AC392,1),"")</f>
        <v>A</v>
      </c>
      <c r="AC392" s="9">
        <v>142</v>
      </c>
      <c r="AD392" s="9" t="str">
        <f>IFERROR(MID(VLOOKUP($B392,Seqs!$A:$B,2,0),AE392,1),"")</f>
        <v>L</v>
      </c>
      <c r="AE392" s="9">
        <v>169</v>
      </c>
      <c r="AF392" s="9" t="str">
        <f>IFERROR(MID(VLOOKUP($B392,Seqs!$A:$B,2,0),AG392,1),"")</f>
        <v>C</v>
      </c>
      <c r="AG392" s="9">
        <v>183</v>
      </c>
      <c r="AH392" s="9" t="str">
        <f>IFERROR(MID(VLOOKUP($B392,Seqs!$A:$B,2,0),AI392,1),"")</f>
        <v>L</v>
      </c>
      <c r="AI392" s="9">
        <v>185</v>
      </c>
      <c r="AJ392" s="9" t="str">
        <f>IFERROR(MID(VLOOKUP($B392,Seqs!$A:$B,2,0),AK392,1),"")</f>
        <v>E</v>
      </c>
      <c r="AK392" s="9">
        <v>190</v>
      </c>
      <c r="AL392" s="9" t="str">
        <f>IFERROR(MID(VLOOKUP($B392,Seqs!$A:$B,2,0),AM392,1),"")</f>
        <v>Y</v>
      </c>
      <c r="AM392" s="9">
        <v>226</v>
      </c>
      <c r="AN392" s="9" t="str">
        <f>IFERROR(MID(VLOOKUP($B392,Seqs!$A:$B,2,0),AO392,1),"")</f>
        <v>R</v>
      </c>
      <c r="AO392" s="9">
        <v>237</v>
      </c>
      <c r="AP392" s="9" t="str">
        <f>IFERROR(MID(VLOOKUP($B392,Seqs!$A:$B,2,0),AQ392,1),"")</f>
        <v>R</v>
      </c>
      <c r="AQ392" s="9">
        <v>271</v>
      </c>
      <c r="AR392" s="9" t="str">
        <f>IFERROR(MID(VLOOKUP($B392,Seqs!$A:$B,2,0),AS392,1),"")</f>
        <v>S</v>
      </c>
      <c r="AS392" s="9">
        <v>283</v>
      </c>
      <c r="AT392" s="9" t="str">
        <f>IFERROR(MID(VLOOKUP($B392,Seqs!$A:$B,2,0),AU392,1),"")</f>
        <v>F</v>
      </c>
      <c r="AU392" s="9">
        <v>311</v>
      </c>
      <c r="AV392" s="9" t="str">
        <f>IFERROR(MID(VLOOKUP($B392,Seqs!$A:$B,2,0),AW392,1),"")</f>
        <v>R</v>
      </c>
      <c r="AW392" s="9">
        <v>312</v>
      </c>
      <c r="AX392" s="9" t="str">
        <f>IFERROR(MID(VLOOKUP($B392,Seqs!$A:$B,2,0),AY392,1),"")</f>
        <v>Q</v>
      </c>
      <c r="AY392" s="9">
        <v>320</v>
      </c>
      <c r="AZ392" s="110" t="str">
        <f>VLOOKUP(B392,Classification!A:D,2,0)</f>
        <v>A</v>
      </c>
      <c r="BA392" s="98" t="str">
        <f>VLOOKUP(B392,Classification!A:D,4,0)</f>
        <v>Prostanoid</v>
      </c>
      <c r="BB392" s="36" t="b">
        <f t="shared" si="1171"/>
        <v>1</v>
      </c>
      <c r="BC392" s="109">
        <f t="shared" si="1172"/>
        <v>240</v>
      </c>
      <c r="BD392" s="11" t="s">
        <v>23</v>
      </c>
      <c r="BE392" s="9" t="s">
        <v>1368</v>
      </c>
      <c r="BF392" s="119">
        <v>2.5</v>
      </c>
      <c r="BG392" s="51" t="s">
        <v>1</v>
      </c>
      <c r="BH392" s="51" t="s">
        <v>1</v>
      </c>
      <c r="BI392" s="12"/>
      <c r="BJ392" s="111" t="s">
        <v>1281</v>
      </c>
      <c r="BK392" s="112" t="s">
        <v>1281</v>
      </c>
      <c r="BL392" s="112" t="s">
        <v>1281</v>
      </c>
      <c r="BM392" s="112" t="s">
        <v>1281</v>
      </c>
      <c r="BN392" s="112" t="s">
        <v>1281</v>
      </c>
      <c r="BO392" s="112" t="s">
        <v>1281</v>
      </c>
      <c r="BP392" s="112" t="s">
        <v>1281</v>
      </c>
      <c r="BQ392" s="112" t="s">
        <v>1281</v>
      </c>
      <c r="BR392" s="112" t="s">
        <v>1281</v>
      </c>
      <c r="BS392" s="112" t="s">
        <v>1281</v>
      </c>
      <c r="BT392" s="112" t="s">
        <v>1281</v>
      </c>
      <c r="BU392" s="112" t="s">
        <v>1281</v>
      </c>
      <c r="BV392" s="111">
        <f>E392</f>
        <v>27</v>
      </c>
      <c r="BW392" s="113" t="str">
        <f>I392</f>
        <v>-</v>
      </c>
      <c r="BX392" s="114">
        <f>M392</f>
        <v>61</v>
      </c>
      <c r="BY392" s="113">
        <f>Q392</f>
        <v>94</v>
      </c>
      <c r="BZ392" s="114">
        <f>U392</f>
        <v>102</v>
      </c>
      <c r="CA392" s="113" t="str">
        <f>Y392</f>
        <v>-</v>
      </c>
      <c r="CB392" s="114">
        <f>AC392</f>
        <v>142</v>
      </c>
      <c r="CC392" s="113">
        <f>AG392</f>
        <v>183</v>
      </c>
      <c r="CD392" s="114">
        <f>AK392</f>
        <v>190</v>
      </c>
      <c r="CE392" s="113">
        <f>AO392</f>
        <v>237</v>
      </c>
      <c r="CF392" s="114">
        <f>AS392</f>
        <v>283</v>
      </c>
      <c r="CG392" s="113">
        <f>AW392</f>
        <v>312</v>
      </c>
      <c r="CH392" s="111">
        <f>G392</f>
        <v>52</v>
      </c>
      <c r="CI392" s="113" t="str">
        <f>K392</f>
        <v>-</v>
      </c>
      <c r="CJ392" s="114">
        <f>O392</f>
        <v>91</v>
      </c>
      <c r="CK392" s="114">
        <f>S392</f>
        <v>98</v>
      </c>
      <c r="CL392" s="114">
        <f>W392</f>
        <v>136</v>
      </c>
      <c r="CM392" s="114" t="str">
        <f>AA392</f>
        <v>-</v>
      </c>
      <c r="CN392" s="114">
        <f>AE392</f>
        <v>169</v>
      </c>
      <c r="CO392" s="114">
        <f>AI392</f>
        <v>185</v>
      </c>
      <c r="CP392" s="114">
        <f>AM392</f>
        <v>226</v>
      </c>
      <c r="CQ392" s="114">
        <f>AQ392</f>
        <v>271</v>
      </c>
      <c r="CR392" s="114">
        <f>AU392</f>
        <v>311</v>
      </c>
      <c r="CS392" s="114">
        <f>AY392</f>
        <v>320</v>
      </c>
      <c r="CT392" s="109" t="e">
        <f>M392-K392</f>
        <v>#VALUE!</v>
      </c>
      <c r="CU392" s="6"/>
      <c r="CV392" s="6"/>
      <c r="CW392" s="6"/>
      <c r="CX392" s="6"/>
      <c r="CY392" s="6"/>
      <c r="CZ392" s="6"/>
      <c r="DA392" s="6"/>
      <c r="DB392" s="6"/>
      <c r="DC392" s="6"/>
      <c r="DD392" s="6"/>
      <c r="DE392" s="6"/>
      <c r="DF392" s="6"/>
      <c r="DG392" s="6"/>
      <c r="DH392" s="6"/>
      <c r="DI392" s="6"/>
      <c r="DJ392" s="6"/>
      <c r="DK392" s="6"/>
      <c r="DL392" s="6"/>
      <c r="DM392" s="6"/>
      <c r="DN392" s="6"/>
      <c r="DO392" s="6"/>
      <c r="DP392" s="6"/>
      <c r="DQ392" s="6"/>
      <c r="DR392" s="6"/>
      <c r="DS392" s="6"/>
      <c r="DT392" s="6"/>
      <c r="DU392" s="6"/>
      <c r="DV392" s="6"/>
      <c r="DW392" s="6"/>
      <c r="DX392" s="6"/>
      <c r="DY392" s="6"/>
      <c r="DZ392" s="6"/>
      <c r="EA392" s="6"/>
      <c r="EB392" s="6"/>
      <c r="EC392" s="6"/>
      <c r="ED392" s="6"/>
      <c r="EE392" s="6"/>
      <c r="EF392" s="6"/>
      <c r="EG392" s="6"/>
      <c r="EH392" s="6"/>
      <c r="EI392" s="6"/>
      <c r="EJ392" s="6"/>
      <c r="EK392" s="6"/>
      <c r="EL392" s="6"/>
      <c r="EM392" s="6"/>
      <c r="EN392" s="6"/>
      <c r="EO392" s="6"/>
      <c r="EP392" s="6"/>
      <c r="EQ392" s="6"/>
      <c r="ER392" s="6"/>
      <c r="ES392" s="6"/>
      <c r="ET392" s="6"/>
      <c r="EU392" s="6"/>
      <c r="EV392" s="6"/>
      <c r="EW392" s="6"/>
      <c r="EX392" s="6"/>
      <c r="EY392" s="6"/>
      <c r="EZ392" s="6"/>
      <c r="FA392" s="6"/>
      <c r="FB392" s="6"/>
      <c r="FC392" s="6"/>
      <c r="FD392" s="6"/>
      <c r="FE392" s="6"/>
      <c r="FF392" s="6"/>
      <c r="FG392" s="6"/>
      <c r="FH392" s="6"/>
      <c r="FI392" s="6"/>
      <c r="FJ392" s="6"/>
      <c r="FK392" s="6"/>
      <c r="FL392" s="6"/>
      <c r="FM392" s="6"/>
      <c r="FN392" s="6"/>
      <c r="FO392" s="6"/>
      <c r="FP392" s="6"/>
      <c r="FQ392" s="6"/>
      <c r="FR392" s="6"/>
      <c r="FS392" s="6"/>
      <c r="FT392" s="6"/>
      <c r="FU392" s="6"/>
      <c r="FV392" s="6"/>
      <c r="FW392" s="6"/>
      <c r="FX392" s="6"/>
      <c r="FY392" s="6"/>
      <c r="FZ392" s="6"/>
      <c r="GA392" s="6"/>
      <c r="GB392" s="6"/>
      <c r="GC392" s="6"/>
      <c r="GD392" s="6"/>
      <c r="GE392" s="6"/>
      <c r="GF392" s="6"/>
      <c r="GG392" s="6"/>
      <c r="GH392" s="6"/>
      <c r="GI392" s="6"/>
      <c r="GJ392" s="6"/>
      <c r="GK392" s="6"/>
      <c r="GL392" s="6"/>
      <c r="GM392" s="6"/>
      <c r="GN392" s="6"/>
      <c r="GO392" s="6"/>
      <c r="GP392" s="6"/>
      <c r="GQ392" s="6"/>
      <c r="GR392" s="6"/>
      <c r="GS392" s="6"/>
      <c r="GT392" s="6"/>
      <c r="GU392" s="6"/>
      <c r="GV392" s="6"/>
      <c r="GW392" s="6"/>
      <c r="GX392" s="6"/>
      <c r="GY392" s="6"/>
      <c r="GZ392" s="6"/>
      <c r="HA392" s="6"/>
      <c r="HB392" s="6"/>
      <c r="HC392" s="6"/>
      <c r="HD392" s="6"/>
      <c r="HE392" s="6"/>
      <c r="HF392" s="6"/>
      <c r="HG392" s="6"/>
      <c r="HH392" s="6"/>
      <c r="HI392" s="6"/>
      <c r="HJ392" s="6"/>
      <c r="HK392" s="6"/>
      <c r="HL392" s="6"/>
      <c r="HM392" s="6"/>
      <c r="HN392" s="6"/>
      <c r="HO392" s="6"/>
      <c r="HP392" s="6"/>
      <c r="HQ392" s="6"/>
      <c r="HR392" s="6"/>
      <c r="HS392" s="6"/>
      <c r="HT392" s="6"/>
      <c r="HU392" s="6"/>
      <c r="HV392" s="6"/>
      <c r="HW392" s="6"/>
      <c r="HX392" s="6"/>
      <c r="HY392" s="6"/>
      <c r="HZ392" s="6"/>
      <c r="IA392" s="6"/>
      <c r="IB392" s="6"/>
      <c r="IC392" s="6"/>
      <c r="ID392" s="6"/>
      <c r="IE392" s="6"/>
      <c r="IF392" s="6"/>
      <c r="IG392" s="6"/>
      <c r="IH392" s="6"/>
      <c r="II392" s="6"/>
      <c r="IJ392" s="6"/>
      <c r="IK392" s="6"/>
      <c r="IL392" s="6"/>
      <c r="IM392" s="6"/>
      <c r="IN392" s="6"/>
      <c r="IO392" s="6"/>
      <c r="IP392" s="6"/>
      <c r="IQ392" s="6"/>
      <c r="IR392" s="6"/>
      <c r="IS392" s="6"/>
      <c r="IT392" s="6"/>
      <c r="IU392" s="6"/>
      <c r="IV392" s="6"/>
      <c r="IW392" s="6"/>
      <c r="IX392" s="6"/>
      <c r="IY392" s="6"/>
      <c r="IZ392" s="6"/>
      <c r="JA392" s="6"/>
      <c r="JB392" s="6"/>
      <c r="JC392" s="6"/>
      <c r="JD392" s="6"/>
      <c r="JE392" s="6"/>
      <c r="JF392" s="6"/>
      <c r="JG392" s="6"/>
      <c r="JH392" s="6"/>
      <c r="JI392" s="6"/>
      <c r="JJ392" s="6"/>
      <c r="JK392" s="6"/>
      <c r="JL392" s="6"/>
      <c r="JM392" s="6"/>
      <c r="JN392" s="6"/>
      <c r="JO392" s="6"/>
      <c r="JP392" s="6"/>
      <c r="JQ392" s="6"/>
      <c r="JR392" s="6"/>
      <c r="JS392" s="6"/>
      <c r="JT392" s="6"/>
      <c r="JU392" s="6"/>
      <c r="JV392" s="6"/>
      <c r="JW392" s="6"/>
      <c r="JX392" s="6"/>
      <c r="JY392" s="6"/>
      <c r="JZ392" s="6"/>
      <c r="KA392" s="6"/>
      <c r="KB392" s="6"/>
      <c r="KC392" s="6"/>
      <c r="KD392" s="6"/>
      <c r="KE392" s="6"/>
      <c r="KF392" s="6"/>
      <c r="KG392" s="6"/>
      <c r="KH392" s="6"/>
      <c r="KI392" s="6"/>
      <c r="KJ392" s="6"/>
      <c r="KK392" s="6"/>
      <c r="KL392" s="6"/>
      <c r="KM392" s="6"/>
      <c r="KN392" s="6"/>
      <c r="KO392" s="6"/>
      <c r="KP392" s="6"/>
      <c r="KQ392" s="6"/>
      <c r="KR392" s="6"/>
      <c r="KS392" s="6"/>
      <c r="KT392" s="6"/>
      <c r="KU392" s="6"/>
      <c r="KV392" s="6"/>
      <c r="KW392" s="6"/>
      <c r="KX392" s="6"/>
      <c r="KY392" s="6"/>
      <c r="KZ392" s="6"/>
      <c r="LA392" s="6"/>
      <c r="LB392" s="6"/>
      <c r="LC392" s="6"/>
      <c r="LD392" s="6"/>
      <c r="LE392" s="6"/>
      <c r="LF392" s="6"/>
      <c r="LG392" s="6"/>
      <c r="LH392" s="6"/>
      <c r="LI392" s="6"/>
      <c r="LJ392" s="6"/>
      <c r="LK392" s="6"/>
      <c r="LL392" s="6"/>
      <c r="LM392" s="6"/>
      <c r="LN392" s="6"/>
      <c r="LO392" s="6"/>
      <c r="LP392" s="6"/>
      <c r="LQ392" s="6"/>
      <c r="LR392" s="6"/>
      <c r="LS392" s="6"/>
      <c r="LT392" s="6"/>
      <c r="LU392" s="6"/>
      <c r="LV392" s="6"/>
      <c r="LW392" s="6"/>
      <c r="LX392" s="6"/>
      <c r="LY392" s="6"/>
      <c r="LZ392" s="6"/>
      <c r="MA392" s="6"/>
      <c r="MB392" s="6"/>
      <c r="MC392" s="6"/>
      <c r="MD392" s="6"/>
      <c r="ME392" s="6"/>
      <c r="MF392" s="6"/>
      <c r="MG392" s="6"/>
      <c r="MH392" s="6"/>
      <c r="MI392" s="6"/>
      <c r="MJ392" s="6"/>
      <c r="MK392" s="6"/>
      <c r="ML392" s="6"/>
      <c r="MM392" s="6"/>
      <c r="MN392" s="6"/>
      <c r="MO392" s="6"/>
      <c r="MP392" s="6"/>
      <c r="MQ392" s="6"/>
      <c r="MR392" s="6"/>
      <c r="MS392" s="6"/>
      <c r="MT392" s="6"/>
      <c r="MU392" s="6"/>
      <c r="MV392" s="6"/>
      <c r="MW392" s="6"/>
      <c r="MX392" s="6"/>
      <c r="MY392" s="6"/>
      <c r="MZ392" s="6"/>
      <c r="NA392" s="6"/>
      <c r="NB392" s="6"/>
      <c r="NC392" s="6"/>
      <c r="ND392" s="6"/>
      <c r="NE392" s="6"/>
      <c r="NF392" s="6"/>
      <c r="NG392" s="6"/>
      <c r="NH392" s="6"/>
      <c r="NI392" s="6"/>
      <c r="NJ392" s="6"/>
      <c r="NK392" s="6"/>
      <c r="NL392" s="6"/>
      <c r="NM392" s="6"/>
      <c r="NN392" s="6"/>
      <c r="NO392" s="6"/>
      <c r="NP392" s="6"/>
      <c r="NQ392" s="6"/>
      <c r="NR392" s="6"/>
      <c r="NS392" s="6"/>
      <c r="NT392" s="6"/>
      <c r="NU392" s="6"/>
      <c r="NV392" s="6"/>
      <c r="NW392" s="6"/>
      <c r="NX392" s="6"/>
      <c r="NY392" s="6"/>
      <c r="NZ392" s="6"/>
      <c r="OA392" s="6"/>
      <c r="OB392" s="6"/>
      <c r="OC392" s="6"/>
      <c r="OD392" s="6"/>
      <c r="OE392" s="6"/>
      <c r="OF392" s="6"/>
      <c r="OG392" s="6"/>
      <c r="OH392" s="6"/>
      <c r="OI392" s="6"/>
      <c r="OJ392" s="6"/>
      <c r="OK392" s="6"/>
      <c r="OL392" s="6"/>
      <c r="OM392" s="6"/>
      <c r="ON392" s="6"/>
      <c r="OO392" s="6"/>
      <c r="OP392" s="6"/>
      <c r="OQ392" s="6"/>
      <c r="OR392" s="6"/>
      <c r="OS392" s="6"/>
      <c r="OT392" s="6"/>
      <c r="OU392" s="6"/>
      <c r="OV392" s="6"/>
      <c r="OW392" s="6"/>
      <c r="OX392" s="6"/>
      <c r="OY392" s="6"/>
      <c r="OZ392" s="6"/>
      <c r="PA392" s="6"/>
      <c r="PB392" s="6"/>
      <c r="PC392" s="6"/>
      <c r="PD392" s="6"/>
      <c r="PE392" s="6"/>
      <c r="PF392" s="6"/>
      <c r="PG392" s="6"/>
      <c r="PH392" s="6"/>
      <c r="PI392" s="6"/>
      <c r="PJ392" s="6"/>
      <c r="PK392" s="6"/>
      <c r="PL392" s="6"/>
      <c r="PM392" s="6"/>
      <c r="PN392" s="6"/>
      <c r="PO392" s="6"/>
      <c r="PP392" s="6"/>
      <c r="PQ392" s="6"/>
      <c r="PR392" s="6"/>
      <c r="PS392" s="6"/>
      <c r="PT392" s="6"/>
      <c r="PU392" s="6"/>
      <c r="PV392" s="6"/>
      <c r="PW392" s="6"/>
      <c r="PX392" s="6"/>
      <c r="PY392" s="6"/>
      <c r="PZ392" s="6"/>
      <c r="QA392" s="6"/>
      <c r="QB392" s="6"/>
      <c r="QC392" s="6"/>
      <c r="QD392" s="6"/>
      <c r="QE392" s="6"/>
      <c r="QF392" s="6"/>
      <c r="QG392" s="6"/>
      <c r="QH392" s="6"/>
      <c r="QI392" s="6"/>
      <c r="QJ392" s="6"/>
      <c r="QK392" s="6"/>
      <c r="QL392" s="6"/>
      <c r="QM392" s="6"/>
      <c r="QN392" s="6"/>
      <c r="QO392" s="6"/>
      <c r="QP392" s="6"/>
      <c r="QQ392" s="6"/>
      <c r="QR392" s="6"/>
      <c r="QS392" s="6"/>
      <c r="QT392" s="6"/>
      <c r="QU392" s="6"/>
      <c r="QV392" s="6"/>
      <c r="QW392" s="6"/>
      <c r="QX392" s="6"/>
      <c r="QY392" s="6"/>
      <c r="QZ392" s="6"/>
      <c r="RA392" s="6"/>
      <c r="RB392" s="6"/>
      <c r="RC392" s="6"/>
      <c r="RD392" s="6"/>
      <c r="RE392" s="6"/>
      <c r="RF392" s="6"/>
      <c r="RG392" s="6"/>
      <c r="RH392" s="6"/>
      <c r="RI392" s="6"/>
      <c r="RJ392" s="6"/>
      <c r="RK392" s="6"/>
      <c r="RL392" s="6"/>
      <c r="RM392" s="6"/>
      <c r="RN392" s="6"/>
      <c r="RO392" s="6"/>
      <c r="RP392" s="6"/>
      <c r="RQ392" s="6"/>
      <c r="RR392" s="6"/>
      <c r="RS392" s="6"/>
      <c r="RT392" s="6"/>
      <c r="RU392" s="6"/>
      <c r="RV392" s="6"/>
      <c r="RW392" s="6"/>
      <c r="RX392" s="6"/>
      <c r="RY392" s="6"/>
      <c r="RZ392" s="6"/>
      <c r="SA392" s="6"/>
      <c r="SB392" s="6"/>
      <c r="SC392" s="6"/>
      <c r="SD392" s="6"/>
      <c r="SE392" s="6"/>
      <c r="SF392" s="6"/>
      <c r="SG392" s="6"/>
      <c r="SH392" s="6"/>
      <c r="SI392" s="6"/>
      <c r="SJ392" s="6"/>
      <c r="SK392" s="6"/>
      <c r="SL392" s="6"/>
      <c r="SM392" s="6"/>
      <c r="SN392" s="6"/>
      <c r="SO392" s="6"/>
      <c r="SP392" s="6"/>
      <c r="SQ392" s="6"/>
      <c r="SR392" s="6"/>
      <c r="SS392" s="6"/>
      <c r="ST392" s="6"/>
      <c r="SU392" s="6"/>
      <c r="SV392" s="6"/>
      <c r="SW392" s="6"/>
      <c r="SX392" s="6"/>
      <c r="SY392" s="6"/>
      <c r="SZ392" s="6"/>
      <c r="TA392" s="6"/>
      <c r="TB392" s="6"/>
      <c r="TC392" s="6"/>
      <c r="TD392" s="6"/>
      <c r="TE392" s="6"/>
      <c r="TF392" s="6"/>
      <c r="TG392" s="6"/>
      <c r="TH392" s="6"/>
      <c r="TI392" s="6"/>
      <c r="TJ392" s="6"/>
      <c r="TK392" s="6"/>
      <c r="TL392" s="6"/>
      <c r="TM392" s="6"/>
      <c r="TN392" s="6"/>
      <c r="TO392" s="6"/>
      <c r="TP392" s="6"/>
      <c r="TQ392" s="6"/>
      <c r="TR392" s="6"/>
      <c r="TS392" s="6"/>
      <c r="TT392" s="6"/>
      <c r="TU392" s="6"/>
      <c r="TV392" s="6"/>
      <c r="TW392" s="6"/>
      <c r="TX392" s="6"/>
      <c r="TY392" s="6"/>
      <c r="TZ392" s="6"/>
      <c r="UA392" s="6"/>
      <c r="UB392" s="6"/>
      <c r="UC392" s="6"/>
      <c r="UD392" s="6"/>
      <c r="UE392" s="6"/>
      <c r="UF392" s="6"/>
      <c r="UG392" s="6"/>
      <c r="UH392" s="6"/>
      <c r="UI392" s="6"/>
      <c r="UJ392" s="6"/>
      <c r="UK392" s="6"/>
      <c r="UL392" s="6"/>
      <c r="UM392" s="6"/>
      <c r="UN392" s="6"/>
      <c r="UO392" s="6"/>
      <c r="UP392" s="6"/>
      <c r="UQ392" s="6"/>
      <c r="UR392" s="6"/>
      <c r="US392" s="6"/>
      <c r="UT392" s="6"/>
      <c r="UU392" s="6"/>
      <c r="UV392" s="6"/>
      <c r="UW392" s="6"/>
      <c r="UX392" s="6"/>
      <c r="UY392" s="6"/>
      <c r="UZ392" s="6"/>
      <c r="VA392" s="6"/>
      <c r="VB392" s="6"/>
      <c r="VC392" s="6"/>
      <c r="VD392" s="6"/>
      <c r="VE392" s="6"/>
      <c r="VF392" s="6"/>
      <c r="VG392" s="6"/>
      <c r="VH392" s="6"/>
      <c r="VI392" s="6"/>
      <c r="VJ392" s="6"/>
      <c r="VK392" s="6"/>
      <c r="VL392" s="6"/>
      <c r="VM392" s="6"/>
      <c r="VN392" s="6"/>
      <c r="VO392" s="6"/>
      <c r="VP392" s="6"/>
      <c r="VQ392" s="6"/>
      <c r="VR392" s="6"/>
      <c r="VS392" s="6"/>
      <c r="VT392" s="6"/>
      <c r="VU392" s="6"/>
      <c r="VV392" s="6"/>
      <c r="VW392" s="6"/>
      <c r="VX392" s="6"/>
      <c r="VY392" s="6"/>
      <c r="VZ392" s="6"/>
      <c r="WA392" s="6"/>
      <c r="WB392" s="6"/>
      <c r="WC392" s="6"/>
      <c r="WD392" s="6"/>
      <c r="WE392" s="6"/>
      <c r="WF392" s="6"/>
      <c r="WG392" s="6"/>
      <c r="WH392" s="6"/>
      <c r="WI392" s="6"/>
      <c r="WJ392" s="6"/>
      <c r="WK392" s="6"/>
      <c r="WL392" s="6"/>
      <c r="WM392" s="6"/>
      <c r="WN392" s="6"/>
      <c r="WO392" s="6"/>
      <c r="WP392" s="6"/>
      <c r="WQ392" s="6"/>
      <c r="WR392" s="6"/>
      <c r="WS392" s="6"/>
      <c r="WT392" s="6"/>
      <c r="WU392" s="6"/>
      <c r="WV392" s="6"/>
      <c r="WW392" s="6"/>
      <c r="WX392" s="6"/>
      <c r="WY392" s="6"/>
      <c r="WZ392" s="6"/>
      <c r="XA392" s="6"/>
      <c r="XB392" s="6"/>
      <c r="XC392" s="6"/>
      <c r="XD392" s="6"/>
      <c r="XE392" s="6"/>
      <c r="XF392" s="6"/>
      <c r="XG392" s="6"/>
      <c r="XH392" s="6"/>
      <c r="XI392" s="6"/>
      <c r="XJ392" s="6"/>
      <c r="XK392" s="6"/>
      <c r="XL392" s="6"/>
      <c r="XM392" s="6"/>
      <c r="XN392" s="6"/>
      <c r="XO392" s="6"/>
      <c r="XP392" s="6"/>
      <c r="XQ392" s="6"/>
      <c r="XR392" s="6"/>
      <c r="XS392" s="6"/>
      <c r="XT392" s="6"/>
      <c r="XU392" s="6"/>
      <c r="XV392" s="6"/>
      <c r="XW392" s="6"/>
      <c r="XX392" s="6"/>
      <c r="XY392" s="6"/>
      <c r="XZ392" s="6"/>
      <c r="YA392" s="6"/>
      <c r="YB392" s="6"/>
      <c r="YC392" s="6"/>
      <c r="YD392" s="6"/>
      <c r="YE392" s="6"/>
      <c r="YF392" s="6"/>
      <c r="YG392" s="6"/>
      <c r="YH392" s="6"/>
      <c r="YI392" s="6"/>
      <c r="YJ392" s="6"/>
      <c r="YK392" s="6"/>
      <c r="YL392" s="6"/>
      <c r="YM392" s="6"/>
      <c r="YN392" s="6"/>
      <c r="YO392" s="6"/>
      <c r="YP392" s="6"/>
      <c r="YQ392" s="6"/>
      <c r="YR392" s="6"/>
      <c r="YS392" s="6"/>
      <c r="YT392" s="6"/>
      <c r="YU392" s="6"/>
      <c r="YV392" s="6"/>
      <c r="YW392" s="6"/>
      <c r="YX392" s="6"/>
      <c r="YY392" s="6"/>
      <c r="YZ392" s="6"/>
      <c r="ZA392" s="6"/>
      <c r="ZB392" s="6"/>
      <c r="ZC392" s="6"/>
      <c r="ZD392" s="6"/>
      <c r="ZE392" s="6"/>
      <c r="ZF392" s="6"/>
      <c r="ZG392" s="6"/>
      <c r="ZH392" s="6"/>
      <c r="ZI392" s="6"/>
      <c r="ZJ392" s="6"/>
      <c r="ZK392" s="6"/>
      <c r="ZL392" s="6"/>
      <c r="ZM392" s="6"/>
      <c r="ZN392" s="6"/>
      <c r="ZO392" s="6"/>
      <c r="ZP392" s="6"/>
      <c r="ZQ392" s="6"/>
      <c r="ZR392" s="6"/>
      <c r="ZS392" s="6"/>
      <c r="ZT392" s="6"/>
      <c r="ZU392" s="6"/>
      <c r="ZV392" s="6"/>
      <c r="ZW392" s="6"/>
      <c r="ZX392" s="6"/>
      <c r="ZY392" s="6"/>
      <c r="ZZ392" s="6"/>
      <c r="AAA392" s="6"/>
      <c r="AAB392" s="6"/>
      <c r="AAC392" s="6"/>
      <c r="AAD392" s="6"/>
      <c r="AAE392" s="6"/>
      <c r="AAF392" s="6"/>
      <c r="AAG392" s="6"/>
      <c r="AAH392" s="6"/>
      <c r="AAI392" s="6"/>
      <c r="AAJ392" s="6"/>
      <c r="AAK392" s="6"/>
      <c r="AAL392" s="6"/>
      <c r="AAM392" s="6"/>
      <c r="AAN392" s="6"/>
      <c r="AAO392" s="6"/>
      <c r="AAP392" s="6"/>
      <c r="AAQ392" s="6"/>
      <c r="AAR392" s="6"/>
      <c r="AAS392" s="6"/>
      <c r="AAT392" s="6"/>
      <c r="AAU392" s="6"/>
      <c r="AAV392" s="6"/>
      <c r="AAW392" s="6"/>
      <c r="AAX392" s="6"/>
      <c r="AAY392" s="6"/>
      <c r="AAZ392" s="6"/>
      <c r="ABA392" s="6"/>
      <c r="ABB392" s="6"/>
      <c r="ABC392" s="6"/>
      <c r="ABD392" s="6"/>
      <c r="ABE392" s="6"/>
      <c r="ABF392" s="6"/>
      <c r="ABG392" s="6"/>
      <c r="ABH392" s="6"/>
      <c r="ABI392" s="6"/>
      <c r="ABJ392" s="6"/>
      <c r="ABK392" s="6"/>
      <c r="ABL392" s="6"/>
      <c r="ABM392" s="6"/>
      <c r="ABN392" s="6"/>
      <c r="ABO392" s="6"/>
      <c r="ABP392" s="6"/>
      <c r="ABQ392" s="6"/>
      <c r="ABR392" s="6"/>
      <c r="ABS392" s="6"/>
      <c r="ABT392" s="6"/>
      <c r="ABU392" s="6"/>
      <c r="ABV392" s="6"/>
      <c r="ABW392" s="6"/>
      <c r="ABX392" s="6"/>
      <c r="ABY392" s="6"/>
      <c r="ABZ392" s="6"/>
      <c r="ACA392" s="6"/>
      <c r="ACB392" s="6"/>
      <c r="ACC392" s="6"/>
      <c r="ACD392" s="6"/>
      <c r="ACE392" s="6"/>
      <c r="ACF392" s="6"/>
      <c r="ACG392" s="6"/>
      <c r="ACH392" s="6"/>
      <c r="ACI392" s="6"/>
      <c r="ACJ392" s="6"/>
      <c r="ACK392" s="6"/>
      <c r="ACL392" s="6"/>
      <c r="ACM392" s="6"/>
      <c r="ACN392" s="6"/>
      <c r="ACO392" s="6"/>
      <c r="ACP392" s="6"/>
      <c r="ACQ392" s="6"/>
      <c r="ACR392" s="6"/>
      <c r="ACS392" s="6"/>
      <c r="ACT392" s="6"/>
      <c r="ACU392" s="6"/>
      <c r="ACV392" s="6"/>
      <c r="ACW392" s="6"/>
      <c r="ACX392" s="6"/>
      <c r="ACY392" s="6"/>
      <c r="ACZ392" s="6"/>
      <c r="ADA392" s="6"/>
      <c r="ADB392" s="6"/>
      <c r="ADC392" s="6"/>
      <c r="ADD392" s="6"/>
      <c r="ADE392" s="6"/>
      <c r="ADF392" s="6"/>
      <c r="ADG392" s="6"/>
      <c r="ADH392" s="6"/>
      <c r="ADI392" s="6"/>
      <c r="ADJ392" s="6"/>
      <c r="ADK392" s="6"/>
      <c r="ADL392" s="6"/>
      <c r="ADM392" s="6"/>
      <c r="ADN392" s="6"/>
      <c r="ADO392" s="6"/>
      <c r="ADP392" s="6"/>
      <c r="ADQ392" s="6"/>
      <c r="ADR392" s="6"/>
      <c r="ADS392" s="6"/>
      <c r="ADT392" s="6"/>
      <c r="ADU392" s="6"/>
      <c r="ADV392" s="6"/>
      <c r="ADW392" s="6"/>
      <c r="ADX392" s="6"/>
      <c r="ADY392" s="6"/>
      <c r="ADZ392" s="6"/>
      <c r="AEA392" s="6"/>
      <c r="AEB392" s="6"/>
      <c r="AEC392" s="6"/>
      <c r="AED392" s="6"/>
      <c r="AEE392" s="6"/>
      <c r="AEF392" s="6"/>
      <c r="AEG392" s="6"/>
      <c r="AEH392" s="6"/>
      <c r="AEI392" s="6"/>
      <c r="AEJ392" s="6"/>
      <c r="AEK392" s="6"/>
      <c r="AEL392" s="6"/>
      <c r="AEM392" s="6"/>
      <c r="AEN392" s="6"/>
      <c r="AEO392" s="6"/>
      <c r="AEP392" s="6"/>
      <c r="AEQ392" s="6"/>
      <c r="AER392" s="6"/>
      <c r="AES392" s="6"/>
      <c r="AET392" s="6"/>
      <c r="AEU392" s="6"/>
      <c r="AEV392" s="6"/>
      <c r="AEW392" s="6"/>
      <c r="AEX392" s="6"/>
      <c r="AEY392" s="6"/>
      <c r="AEZ392" s="6"/>
      <c r="AFA392" s="6"/>
      <c r="AFB392" s="6"/>
      <c r="AFC392" s="6"/>
      <c r="AFD392" s="6"/>
      <c r="AFE392" s="6"/>
      <c r="AFF392" s="6"/>
      <c r="AFG392" s="6"/>
      <c r="AFH392" s="6"/>
      <c r="AFI392" s="6"/>
      <c r="AFJ392" s="6"/>
      <c r="AFK392" s="6"/>
      <c r="AFL392" s="6"/>
      <c r="AFM392" s="6"/>
      <c r="AFN392" s="6"/>
      <c r="AFO392" s="6"/>
      <c r="AFP392" s="6"/>
      <c r="AFQ392" s="6"/>
      <c r="AFR392" s="6"/>
      <c r="AFS392" s="6"/>
      <c r="AFT392" s="6"/>
      <c r="AFU392" s="6"/>
      <c r="AFV392" s="6"/>
      <c r="AFW392" s="6"/>
      <c r="AFX392" s="6"/>
      <c r="AFY392" s="6"/>
      <c r="AFZ392" s="6"/>
      <c r="AGA392" s="6"/>
      <c r="AGB392" s="6"/>
      <c r="AGC392" s="6"/>
      <c r="AGD392" s="6"/>
      <c r="AGE392" s="6"/>
      <c r="AGF392" s="6"/>
      <c r="AGG392" s="6"/>
      <c r="AGH392" s="6"/>
      <c r="AGI392" s="6"/>
      <c r="AGJ392" s="6"/>
      <c r="AGK392" s="6"/>
      <c r="AGL392" s="6"/>
      <c r="AGM392" s="6"/>
      <c r="AGN392" s="6"/>
      <c r="AGO392" s="6"/>
      <c r="AGP392" s="6"/>
      <c r="AGQ392" s="6"/>
      <c r="AGR392" s="6"/>
      <c r="AGS392" s="6"/>
      <c r="AGT392" s="6"/>
      <c r="AGU392" s="6"/>
      <c r="AGV392" s="6"/>
      <c r="AGW392" s="6"/>
      <c r="AGX392" s="6"/>
      <c r="AGY392" s="6"/>
      <c r="AGZ392" s="6"/>
      <c r="AHA392" s="6"/>
      <c r="AHB392" s="6"/>
      <c r="AHC392" s="6"/>
      <c r="AHD392" s="6"/>
      <c r="AHE392" s="6"/>
      <c r="AHF392" s="6"/>
      <c r="AHG392" s="6"/>
      <c r="AHH392" s="6"/>
      <c r="AHI392" s="6"/>
      <c r="AHJ392" s="6"/>
      <c r="AHK392" s="6"/>
      <c r="AHL392" s="6"/>
      <c r="AHM392" s="6"/>
      <c r="AHN392" s="6"/>
      <c r="AHO392" s="6"/>
      <c r="AHP392" s="6"/>
      <c r="AHQ392" s="6"/>
      <c r="AHR392" s="6"/>
      <c r="AHS392" s="6"/>
      <c r="AHT392" s="6"/>
      <c r="AHU392" s="6"/>
      <c r="AHV392" s="6"/>
      <c r="AHW392" s="6"/>
      <c r="AHX392" s="6"/>
      <c r="AHY392" s="6"/>
      <c r="AHZ392" s="6"/>
      <c r="AIA392" s="6"/>
      <c r="AIB392" s="6"/>
      <c r="AIC392" s="6"/>
      <c r="AID392" s="6"/>
      <c r="AIE392" s="6"/>
      <c r="AIF392" s="6"/>
      <c r="AIG392" s="6"/>
      <c r="AIH392" s="6"/>
      <c r="AII392" s="6"/>
      <c r="AIJ392" s="6"/>
      <c r="AIK392" s="6"/>
      <c r="AIL392" s="6"/>
      <c r="AIM392" s="6"/>
      <c r="AIN392" s="6"/>
      <c r="AIO392" s="6"/>
      <c r="AIP392" s="6"/>
      <c r="AIQ392" s="6"/>
      <c r="AIR392" s="6"/>
      <c r="AIS392" s="6"/>
      <c r="AIT392" s="6"/>
      <c r="AIU392" s="6"/>
      <c r="AIV392" s="6"/>
      <c r="AIW392" s="6"/>
      <c r="AIX392" s="6"/>
      <c r="AIY392" s="6"/>
      <c r="AIZ392" s="6"/>
      <c r="AJA392" s="6"/>
      <c r="AJB392" s="6"/>
      <c r="AJC392" s="6"/>
      <c r="AJD392" s="6"/>
      <c r="AJE392" s="6"/>
      <c r="AJF392" s="6"/>
      <c r="AJG392" s="6"/>
      <c r="AJH392" s="6"/>
      <c r="AJI392" s="6"/>
      <c r="AJJ392" s="6"/>
      <c r="AJK392" s="6"/>
      <c r="AJL392" s="6"/>
      <c r="AJM392" s="6"/>
      <c r="AJN392" s="6"/>
      <c r="AJO392" s="6"/>
      <c r="AJP392" s="6"/>
      <c r="AJQ392" s="6"/>
      <c r="AJR392" s="6"/>
      <c r="AJS392" s="6"/>
      <c r="AJT392" s="6"/>
      <c r="AJU392" s="6"/>
      <c r="AJV392" s="6"/>
      <c r="AJW392" s="6"/>
      <c r="AJX392" s="6"/>
      <c r="AJY392" s="6"/>
      <c r="AJZ392" s="6"/>
      <c r="AKA392" s="6"/>
      <c r="AKB392" s="6"/>
      <c r="AKC392" s="6"/>
      <c r="AKD392" s="6"/>
      <c r="AKE392" s="6"/>
      <c r="AKF392" s="6"/>
      <c r="AKG392" s="6"/>
      <c r="AKH392" s="6"/>
      <c r="AKI392" s="6"/>
      <c r="AKJ392" s="6"/>
      <c r="AKK392" s="6"/>
      <c r="AKL392" s="6"/>
      <c r="AKM392" s="6"/>
      <c r="AKN392" s="6"/>
      <c r="AKO392" s="6"/>
      <c r="AKP392" s="6"/>
      <c r="AKQ392" s="6"/>
      <c r="AKR392" s="6"/>
      <c r="AKS392" s="6"/>
      <c r="AKT392" s="6"/>
      <c r="AKU392" s="6"/>
      <c r="AKV392" s="6"/>
      <c r="AKW392" s="6"/>
      <c r="AKX392" s="6"/>
      <c r="AKY392" s="6"/>
      <c r="AKZ392" s="6"/>
      <c r="ALA392" s="6"/>
      <c r="ALB392" s="6"/>
      <c r="ALC392" s="6"/>
      <c r="ALD392" s="6"/>
      <c r="ALE392" s="6"/>
      <c r="ALF392" s="6"/>
      <c r="ALG392" s="6"/>
      <c r="ALH392" s="6"/>
      <c r="ALI392" s="6"/>
      <c r="ALJ392" s="6"/>
      <c r="ALK392" s="6"/>
      <c r="ALL392" s="6"/>
      <c r="ALM392" s="6"/>
      <c r="ALN392" s="6"/>
      <c r="ALO392" s="6"/>
      <c r="ALP392" s="6"/>
      <c r="ALQ392" s="6"/>
      <c r="ALR392" s="6"/>
      <c r="ALS392" s="6"/>
      <c r="ALT392" s="6"/>
      <c r="ALU392" s="6"/>
      <c r="ALV392" s="6"/>
      <c r="ALW392" s="6"/>
      <c r="ALX392" s="6"/>
      <c r="ALY392" s="6"/>
      <c r="ALZ392" s="6"/>
      <c r="AMA392" s="6"/>
      <c r="AMB392" s="6"/>
      <c r="AMC392" s="6"/>
      <c r="AMD392" s="6"/>
      <c r="AME392" s="6"/>
      <c r="AMF392" s="6"/>
      <c r="AMG392" s="6"/>
      <c r="AMH392" s="6"/>
      <c r="AMI392" s="6"/>
      <c r="AMJ392" s="6"/>
      <c r="AMK392" s="6"/>
      <c r="AML392" s="6"/>
      <c r="AMM392" s="6"/>
      <c r="AMN392" s="6"/>
      <c r="AMO392" s="6"/>
      <c r="AMP392" s="6"/>
    </row>
    <row r="393" spans="1:1030" x14ac:dyDescent="0.2">
      <c r="A393" s="9" t="str">
        <f>CONCATENATE(B393,"_",C393)</f>
        <v>ta2r_human_6IIV</v>
      </c>
      <c r="B393" s="40" t="s">
        <v>467</v>
      </c>
      <c r="C393" s="9" t="s">
        <v>1543</v>
      </c>
      <c r="D393" s="9" t="str">
        <f>IFERROR(MID(VLOOKUP($B393,Seqs!$A:$B,2,0),E393,1),"")</f>
        <v>S</v>
      </c>
      <c r="E393" s="9">
        <v>27</v>
      </c>
      <c r="F393" s="9" t="str">
        <f>IFERROR(MID(VLOOKUP($B393,Seqs!$A:$B,2,0),G393,1),"")</f>
        <v>R</v>
      </c>
      <c r="G393" s="9">
        <v>53</v>
      </c>
      <c r="H393" s="9" t="str">
        <f>IFERROR(MID(VLOOKUP($B393,Seqs!$A:$B,2,0),I393,1),"")</f>
        <v/>
      </c>
      <c r="I393" s="109" t="s">
        <v>23</v>
      </c>
      <c r="J393" s="9" t="str">
        <f>IFERROR(MID(VLOOKUP($B393,Seqs!$A:$B,2,0),K393,1),"")</f>
        <v/>
      </c>
      <c r="K393" s="109" t="s">
        <v>23</v>
      </c>
      <c r="L393" s="9" t="str">
        <f>IFERROR(MID(VLOOKUP($B393,Seqs!$A:$B,2,0),M393,1),"")</f>
        <v>S</v>
      </c>
      <c r="M393" s="9">
        <v>61</v>
      </c>
      <c r="N393" s="9" t="str">
        <f>IFERROR(MID(VLOOKUP($B393,Seqs!$A:$B,2,0),O393,1),"")</f>
        <v>A</v>
      </c>
      <c r="O393" s="9">
        <v>91</v>
      </c>
      <c r="P393" s="9" t="str">
        <f>IFERROR(MID(VLOOKUP($B393,Seqs!$A:$B,2,0),Q393,1),"")</f>
        <v>E</v>
      </c>
      <c r="Q393" s="9">
        <v>94</v>
      </c>
      <c r="R393" s="9" t="str">
        <f>IFERROR(MID(VLOOKUP($B393,Seqs!$A:$B,2,0),S393,1),"")</f>
        <v>V</v>
      </c>
      <c r="S393" s="9">
        <v>98</v>
      </c>
      <c r="T393" s="9" t="str">
        <f>IFERROR(MID(VLOOKUP($B393,Seqs!$A:$B,2,0),U393,1),"")</f>
        <v>C</v>
      </c>
      <c r="U393" s="9">
        <v>102</v>
      </c>
      <c r="V393" s="9" t="str">
        <f>IFERROR(MID(VLOOKUP($B393,Seqs!$A:$B,2,0),W393,1),"")</f>
        <v>R</v>
      </c>
      <c r="W393" s="9">
        <v>136</v>
      </c>
      <c r="X393" s="9" t="str">
        <f>IFERROR(MID(VLOOKUP($B393,Seqs!$A:$B,2,0),Y393,1),"")</f>
        <v/>
      </c>
      <c r="Y393" s="9" t="s">
        <v>23</v>
      </c>
      <c r="Z393" s="9" t="str">
        <f>IFERROR(MID(VLOOKUP($B393,Seqs!$A:$B,2,0),AA393,1),"")</f>
        <v/>
      </c>
      <c r="AA393" s="9" t="s">
        <v>23</v>
      </c>
      <c r="AB393" s="9" t="str">
        <f>IFERROR(MID(VLOOKUP($B393,Seqs!$A:$B,2,0),AC393,1),"")</f>
        <v>P</v>
      </c>
      <c r="AC393" s="9">
        <v>141</v>
      </c>
      <c r="AD393" s="9" t="str">
        <f>IFERROR(MID(VLOOKUP($B393,Seqs!$A:$B,2,0),AE393,1),"")</f>
        <v>G</v>
      </c>
      <c r="AE393" s="9">
        <v>170</v>
      </c>
      <c r="AF393" s="9" t="str">
        <f>IFERROR(MID(VLOOKUP($B393,Seqs!$A:$B,2,0),AG393,1),"")</f>
        <v>C</v>
      </c>
      <c r="AG393" s="9">
        <v>183</v>
      </c>
      <c r="AH393" s="9" t="str">
        <f>IFERROR(MID(VLOOKUP($B393,Seqs!$A:$B,2,0),AI393,1),"")</f>
        <v>L</v>
      </c>
      <c r="AI393" s="9">
        <v>185</v>
      </c>
      <c r="AJ393" s="9" t="str">
        <f>IFERROR(MID(VLOOKUP($B393,Seqs!$A:$B,2,0),AK393,1),"")</f>
        <v>E</v>
      </c>
      <c r="AK393" s="9">
        <v>190</v>
      </c>
      <c r="AL393" s="9" t="str">
        <f>IFERROR(MID(VLOOKUP($B393,Seqs!$A:$B,2,0),AM393,1),"")</f>
        <v>Y</v>
      </c>
      <c r="AM393" s="9">
        <v>226</v>
      </c>
      <c r="AN393" s="9" t="str">
        <f>IFERROR(MID(VLOOKUP($B393,Seqs!$A:$B,2,0),AO393,1),"")</f>
        <v>R</v>
      </c>
      <c r="AO393" s="9">
        <v>237</v>
      </c>
      <c r="AP393" s="9" t="str">
        <f>IFERROR(MID(VLOOKUP($B393,Seqs!$A:$B,2,0),AQ393,1),"")</f>
        <v>R</v>
      </c>
      <c r="AQ393" s="9">
        <v>271</v>
      </c>
      <c r="AR393" s="9" t="str">
        <f>IFERROR(MID(VLOOKUP($B393,Seqs!$A:$B,2,0),AS393,1),"")</f>
        <v>S</v>
      </c>
      <c r="AS393" s="9">
        <v>283</v>
      </c>
      <c r="AT393" s="9" t="str">
        <f>IFERROR(MID(VLOOKUP($B393,Seqs!$A:$B,2,0),AU393,1),"")</f>
        <v>F</v>
      </c>
      <c r="AU393" s="9">
        <v>311</v>
      </c>
      <c r="AV393" s="9" t="str">
        <f>IFERROR(MID(VLOOKUP($B393,Seqs!$A:$B,2,0),AW393,1),"")</f>
        <v>R</v>
      </c>
      <c r="AW393" s="9">
        <v>312</v>
      </c>
      <c r="AX393" s="9" t="str">
        <f>IFERROR(MID(VLOOKUP($B393,Seqs!$A:$B,2,0),AY393,1),"")</f>
        <v>L</v>
      </c>
      <c r="AY393" s="9">
        <v>319</v>
      </c>
      <c r="AZ393" s="110" t="str">
        <f>VLOOKUP(B393,Classification!A:D,2,0)</f>
        <v>A</v>
      </c>
      <c r="BA393" s="98" t="str">
        <f>VLOOKUP(B393,Classification!A:D,4,0)</f>
        <v>Prostanoid</v>
      </c>
      <c r="BB393" s="36" t="b">
        <f t="shared" ref="BB393" si="1173">AND(E393&lt;G393,OR(G393&lt;I393,I393="-"),OR(I393&lt;K393,I393="-"),OR(K393&lt;M393,K393="-"),M393&lt;O393,OR(O393&lt;Q393,Q393="-"),OR(Q393&lt;S393,Q393="-"),OR(S393&lt;U393,S393="-"),U393&lt;W393,OR(W393&lt;Y393,Y393="-"),OR(Y393&lt;AA393,Y393="-"),OR(AA393&lt;AC393,AA393="-"),AC393&lt;AE393,OR(AE393&lt;AG393,AG393="-"),OR(AG393&lt;AI393,AG393="-"),OR(AI393&lt;AK393,AI393="-"),AK393&lt;AM393,AM393&lt;AO393,AO393&lt;AQ393,AQ393&lt;AS393,AS393&lt;AU393,OR(AU393&lt;AW393,AW393="-"),OR(AW393&lt;AY393,AW393="-"))</f>
        <v>1</v>
      </c>
      <c r="BC393" s="109">
        <f t="shared" ref="BC393" si="1174">_xlfn.AGGREGATE(9,6,CH393:CS393)-_xlfn.AGGREGATE(9,6,BV393:CG393)+12</f>
        <v>242</v>
      </c>
      <c r="BD393" s="11" t="s">
        <v>1370</v>
      </c>
      <c r="BE393" s="9" t="s">
        <v>1368</v>
      </c>
      <c r="BF393" s="119">
        <v>3</v>
      </c>
      <c r="BG393" s="51" t="s">
        <v>1</v>
      </c>
      <c r="BH393" s="51" t="s">
        <v>1</v>
      </c>
      <c r="BI393" s="12"/>
      <c r="BJ393" s="111" t="s">
        <v>1281</v>
      </c>
      <c r="BK393" s="112" t="s">
        <v>1281</v>
      </c>
      <c r="BL393" s="112" t="s">
        <v>1281</v>
      </c>
      <c r="BM393" s="112" t="s">
        <v>1281</v>
      </c>
      <c r="BN393" s="112" t="s">
        <v>1281</v>
      </c>
      <c r="BO393" s="112" t="s">
        <v>1281</v>
      </c>
      <c r="BP393" s="112" t="s">
        <v>1281</v>
      </c>
      <c r="BQ393" s="112" t="s">
        <v>1281</v>
      </c>
      <c r="BR393" s="112" t="s">
        <v>1281</v>
      </c>
      <c r="BS393" s="112" t="s">
        <v>1281</v>
      </c>
      <c r="BT393" s="112" t="s">
        <v>1281</v>
      </c>
      <c r="BU393" s="112" t="s">
        <v>1281</v>
      </c>
      <c r="BV393" s="111">
        <f>E393</f>
        <v>27</v>
      </c>
      <c r="BW393" s="113" t="str">
        <f>I393</f>
        <v>-</v>
      </c>
      <c r="BX393" s="114">
        <f>M393</f>
        <v>61</v>
      </c>
      <c r="BY393" s="113">
        <f>Q393</f>
        <v>94</v>
      </c>
      <c r="BZ393" s="114">
        <f>U393</f>
        <v>102</v>
      </c>
      <c r="CA393" s="113" t="str">
        <f>Y393</f>
        <v>-</v>
      </c>
      <c r="CB393" s="114">
        <f>AC393</f>
        <v>141</v>
      </c>
      <c r="CC393" s="113">
        <f>AG393</f>
        <v>183</v>
      </c>
      <c r="CD393" s="114">
        <f>AK393</f>
        <v>190</v>
      </c>
      <c r="CE393" s="113">
        <f>AO393</f>
        <v>237</v>
      </c>
      <c r="CF393" s="114">
        <f>AS393</f>
        <v>283</v>
      </c>
      <c r="CG393" s="113">
        <f>AW393</f>
        <v>312</v>
      </c>
      <c r="CH393" s="111">
        <f>G393</f>
        <v>53</v>
      </c>
      <c r="CI393" s="113" t="str">
        <f>K393</f>
        <v>-</v>
      </c>
      <c r="CJ393" s="114">
        <f>O393</f>
        <v>91</v>
      </c>
      <c r="CK393" s="114">
        <f>S393</f>
        <v>98</v>
      </c>
      <c r="CL393" s="114">
        <f>W393</f>
        <v>136</v>
      </c>
      <c r="CM393" s="114" t="str">
        <f>AA393</f>
        <v>-</v>
      </c>
      <c r="CN393" s="114">
        <f>AE393</f>
        <v>170</v>
      </c>
      <c r="CO393" s="114">
        <f>AI393</f>
        <v>185</v>
      </c>
      <c r="CP393" s="114">
        <f>AM393</f>
        <v>226</v>
      </c>
      <c r="CQ393" s="114">
        <f>AQ393</f>
        <v>271</v>
      </c>
      <c r="CR393" s="114">
        <f>AU393</f>
        <v>311</v>
      </c>
      <c r="CS393" s="114">
        <f>AY393</f>
        <v>319</v>
      </c>
      <c r="CT393" s="109" t="e">
        <f>M393-K393</f>
        <v>#VALUE!</v>
      </c>
      <c r="CU393" s="6"/>
      <c r="CV393" s="6"/>
      <c r="CW393" s="6"/>
      <c r="CX393" s="6"/>
      <c r="CY393" s="6"/>
      <c r="CZ393" s="6"/>
      <c r="DA393" s="6"/>
      <c r="DB393" s="6"/>
      <c r="DC393" s="6"/>
      <c r="DD393" s="6"/>
      <c r="DE393" s="6"/>
      <c r="DF393" s="6"/>
      <c r="DG393" s="6"/>
      <c r="DH393" s="6"/>
      <c r="DI393" s="6"/>
      <c r="DJ393" s="6"/>
      <c r="DK393" s="6"/>
      <c r="DL393" s="6"/>
      <c r="DM393" s="6"/>
      <c r="DN393" s="6"/>
      <c r="DO393" s="6"/>
      <c r="DP393" s="6"/>
      <c r="DQ393" s="6"/>
      <c r="DR393" s="6"/>
      <c r="DS393" s="6"/>
      <c r="DT393" s="6"/>
      <c r="DU393" s="6"/>
      <c r="DV393" s="6"/>
      <c r="DW393" s="6"/>
      <c r="DX393" s="6"/>
      <c r="DY393" s="6"/>
      <c r="DZ393" s="6"/>
      <c r="EA393" s="6"/>
      <c r="EB393" s="6"/>
      <c r="EC393" s="6"/>
      <c r="ED393" s="6"/>
      <c r="EE393" s="6"/>
      <c r="EF393" s="6"/>
      <c r="EG393" s="6"/>
      <c r="EH393" s="6"/>
      <c r="EI393" s="6"/>
      <c r="EJ393" s="6"/>
      <c r="EK393" s="6"/>
      <c r="EL393" s="6"/>
      <c r="EM393" s="6"/>
      <c r="EN393" s="6"/>
      <c r="EO393" s="6"/>
      <c r="EP393" s="6"/>
      <c r="EQ393" s="6"/>
      <c r="ER393" s="6"/>
      <c r="ES393" s="6"/>
      <c r="ET393" s="6"/>
      <c r="EU393" s="6"/>
      <c r="EV393" s="6"/>
      <c r="EW393" s="6"/>
      <c r="EX393" s="6"/>
      <c r="EY393" s="6"/>
      <c r="EZ393" s="6"/>
      <c r="FA393" s="6"/>
      <c r="FB393" s="6"/>
      <c r="FC393" s="6"/>
      <c r="FD393" s="6"/>
      <c r="FE393" s="6"/>
      <c r="FF393" s="6"/>
      <c r="FG393" s="6"/>
      <c r="FH393" s="6"/>
      <c r="FI393" s="6"/>
      <c r="FJ393" s="6"/>
      <c r="FK393" s="6"/>
      <c r="FL393" s="6"/>
      <c r="FM393" s="6"/>
      <c r="FN393" s="6"/>
      <c r="FO393" s="6"/>
      <c r="FP393" s="6"/>
      <c r="FQ393" s="6"/>
      <c r="FR393" s="6"/>
      <c r="FS393" s="6"/>
      <c r="FT393" s="6"/>
      <c r="FU393" s="6"/>
      <c r="FV393" s="6"/>
      <c r="FW393" s="6"/>
      <c r="FX393" s="6"/>
      <c r="FY393" s="6"/>
      <c r="FZ393" s="6"/>
      <c r="GA393" s="6"/>
      <c r="GB393" s="6"/>
      <c r="GC393" s="6"/>
      <c r="GD393" s="6"/>
      <c r="GE393" s="6"/>
      <c r="GF393" s="6"/>
      <c r="GG393" s="6"/>
      <c r="GH393" s="6"/>
      <c r="GI393" s="6"/>
      <c r="GJ393" s="6"/>
      <c r="GK393" s="6"/>
      <c r="GL393" s="6"/>
      <c r="GM393" s="6"/>
      <c r="GN393" s="6"/>
      <c r="GO393" s="6"/>
      <c r="GP393" s="6"/>
      <c r="GQ393" s="6"/>
      <c r="GR393" s="6"/>
      <c r="GS393" s="6"/>
      <c r="GT393" s="6"/>
      <c r="GU393" s="6"/>
      <c r="GV393" s="6"/>
      <c r="GW393" s="6"/>
      <c r="GX393" s="6"/>
      <c r="GY393" s="6"/>
      <c r="GZ393" s="6"/>
      <c r="HA393" s="6"/>
      <c r="HB393" s="6"/>
      <c r="HC393" s="6"/>
      <c r="HD393" s="6"/>
      <c r="HE393" s="6"/>
      <c r="HF393" s="6"/>
      <c r="HG393" s="6"/>
      <c r="HH393" s="6"/>
      <c r="HI393" s="6"/>
      <c r="HJ393" s="6"/>
      <c r="HK393" s="6"/>
      <c r="HL393" s="6"/>
      <c r="HM393" s="6"/>
      <c r="HN393" s="6"/>
      <c r="HO393" s="6"/>
      <c r="HP393" s="6"/>
      <c r="HQ393" s="6"/>
      <c r="HR393" s="6"/>
      <c r="HS393" s="6"/>
      <c r="HT393" s="6"/>
      <c r="HU393" s="6"/>
      <c r="HV393" s="6"/>
      <c r="HW393" s="6"/>
      <c r="HX393" s="6"/>
      <c r="HY393" s="6"/>
      <c r="HZ393" s="6"/>
      <c r="IA393" s="6"/>
      <c r="IB393" s="6"/>
      <c r="IC393" s="6"/>
      <c r="ID393" s="6"/>
      <c r="IE393" s="6"/>
      <c r="IF393" s="6"/>
      <c r="IG393" s="6"/>
      <c r="IH393" s="6"/>
      <c r="II393" s="6"/>
      <c r="IJ393" s="6"/>
      <c r="IK393" s="6"/>
      <c r="IL393" s="6"/>
      <c r="IM393" s="6"/>
      <c r="IN393" s="6"/>
      <c r="IO393" s="6"/>
      <c r="IP393" s="6"/>
      <c r="IQ393" s="6"/>
      <c r="IR393" s="6"/>
      <c r="IS393" s="6"/>
      <c r="IT393" s="6"/>
      <c r="IU393" s="6"/>
      <c r="IV393" s="6"/>
      <c r="IW393" s="6"/>
      <c r="IX393" s="6"/>
      <c r="IY393" s="6"/>
      <c r="IZ393" s="6"/>
      <c r="JA393" s="6"/>
      <c r="JB393" s="6"/>
      <c r="JC393" s="6"/>
      <c r="JD393" s="6"/>
      <c r="JE393" s="6"/>
      <c r="JF393" s="6"/>
      <c r="JG393" s="6"/>
      <c r="JH393" s="6"/>
      <c r="JI393" s="6"/>
      <c r="JJ393" s="6"/>
      <c r="JK393" s="6"/>
      <c r="JL393" s="6"/>
      <c r="JM393" s="6"/>
      <c r="JN393" s="6"/>
      <c r="JO393" s="6"/>
      <c r="JP393" s="6"/>
      <c r="JQ393" s="6"/>
      <c r="JR393" s="6"/>
      <c r="JS393" s="6"/>
      <c r="JT393" s="6"/>
      <c r="JU393" s="6"/>
      <c r="JV393" s="6"/>
      <c r="JW393" s="6"/>
      <c r="JX393" s="6"/>
      <c r="JY393" s="6"/>
      <c r="JZ393" s="6"/>
      <c r="KA393" s="6"/>
      <c r="KB393" s="6"/>
      <c r="KC393" s="6"/>
      <c r="KD393" s="6"/>
      <c r="KE393" s="6"/>
      <c r="KF393" s="6"/>
      <c r="KG393" s="6"/>
      <c r="KH393" s="6"/>
      <c r="KI393" s="6"/>
      <c r="KJ393" s="6"/>
      <c r="KK393" s="6"/>
      <c r="KL393" s="6"/>
      <c r="KM393" s="6"/>
      <c r="KN393" s="6"/>
      <c r="KO393" s="6"/>
      <c r="KP393" s="6"/>
      <c r="KQ393" s="6"/>
      <c r="KR393" s="6"/>
      <c r="KS393" s="6"/>
      <c r="KT393" s="6"/>
      <c r="KU393" s="6"/>
      <c r="KV393" s="6"/>
      <c r="KW393" s="6"/>
      <c r="KX393" s="6"/>
      <c r="KY393" s="6"/>
      <c r="KZ393" s="6"/>
      <c r="LA393" s="6"/>
      <c r="LB393" s="6"/>
      <c r="LC393" s="6"/>
      <c r="LD393" s="6"/>
      <c r="LE393" s="6"/>
      <c r="LF393" s="6"/>
      <c r="LG393" s="6"/>
      <c r="LH393" s="6"/>
      <c r="LI393" s="6"/>
      <c r="LJ393" s="6"/>
      <c r="LK393" s="6"/>
      <c r="LL393" s="6"/>
      <c r="LM393" s="6"/>
      <c r="LN393" s="6"/>
      <c r="LO393" s="6"/>
      <c r="LP393" s="6"/>
      <c r="LQ393" s="6"/>
      <c r="LR393" s="6"/>
      <c r="LS393" s="6"/>
      <c r="LT393" s="6"/>
      <c r="LU393" s="6"/>
      <c r="LV393" s="6"/>
      <c r="LW393" s="6"/>
      <c r="LX393" s="6"/>
      <c r="LY393" s="6"/>
      <c r="LZ393" s="6"/>
      <c r="MA393" s="6"/>
      <c r="MB393" s="6"/>
      <c r="MC393" s="6"/>
      <c r="MD393" s="6"/>
      <c r="ME393" s="6"/>
      <c r="MF393" s="6"/>
      <c r="MG393" s="6"/>
      <c r="MH393" s="6"/>
      <c r="MI393" s="6"/>
      <c r="MJ393" s="6"/>
      <c r="MK393" s="6"/>
      <c r="ML393" s="6"/>
      <c r="MM393" s="6"/>
      <c r="MN393" s="6"/>
      <c r="MO393" s="6"/>
      <c r="MP393" s="6"/>
      <c r="MQ393" s="6"/>
      <c r="MR393" s="6"/>
      <c r="MS393" s="6"/>
      <c r="MT393" s="6"/>
      <c r="MU393" s="6"/>
      <c r="MV393" s="6"/>
      <c r="MW393" s="6"/>
      <c r="MX393" s="6"/>
      <c r="MY393" s="6"/>
      <c r="MZ393" s="6"/>
      <c r="NA393" s="6"/>
      <c r="NB393" s="6"/>
      <c r="NC393" s="6"/>
      <c r="ND393" s="6"/>
      <c r="NE393" s="6"/>
      <c r="NF393" s="6"/>
      <c r="NG393" s="6"/>
      <c r="NH393" s="6"/>
      <c r="NI393" s="6"/>
      <c r="NJ393" s="6"/>
      <c r="NK393" s="6"/>
      <c r="NL393" s="6"/>
      <c r="NM393" s="6"/>
      <c r="NN393" s="6"/>
      <c r="NO393" s="6"/>
      <c r="NP393" s="6"/>
      <c r="NQ393" s="6"/>
      <c r="NR393" s="6"/>
      <c r="NS393" s="6"/>
      <c r="NT393" s="6"/>
      <c r="NU393" s="6"/>
      <c r="NV393" s="6"/>
      <c r="NW393" s="6"/>
      <c r="NX393" s="6"/>
      <c r="NY393" s="6"/>
      <c r="NZ393" s="6"/>
      <c r="OA393" s="6"/>
      <c r="OB393" s="6"/>
      <c r="OC393" s="6"/>
      <c r="OD393" s="6"/>
      <c r="OE393" s="6"/>
      <c r="OF393" s="6"/>
      <c r="OG393" s="6"/>
      <c r="OH393" s="6"/>
      <c r="OI393" s="6"/>
      <c r="OJ393" s="6"/>
      <c r="OK393" s="6"/>
      <c r="OL393" s="6"/>
      <c r="OM393" s="6"/>
      <c r="ON393" s="6"/>
      <c r="OO393" s="6"/>
      <c r="OP393" s="6"/>
      <c r="OQ393" s="6"/>
      <c r="OR393" s="6"/>
      <c r="OS393" s="6"/>
      <c r="OT393" s="6"/>
      <c r="OU393" s="6"/>
      <c r="OV393" s="6"/>
      <c r="OW393" s="6"/>
      <c r="OX393" s="6"/>
      <c r="OY393" s="6"/>
      <c r="OZ393" s="6"/>
      <c r="PA393" s="6"/>
      <c r="PB393" s="6"/>
      <c r="PC393" s="6"/>
      <c r="PD393" s="6"/>
      <c r="PE393" s="6"/>
      <c r="PF393" s="6"/>
      <c r="PG393" s="6"/>
      <c r="PH393" s="6"/>
      <c r="PI393" s="6"/>
      <c r="PJ393" s="6"/>
      <c r="PK393" s="6"/>
      <c r="PL393" s="6"/>
      <c r="PM393" s="6"/>
      <c r="PN393" s="6"/>
      <c r="PO393" s="6"/>
      <c r="PP393" s="6"/>
      <c r="PQ393" s="6"/>
      <c r="PR393" s="6"/>
      <c r="PS393" s="6"/>
      <c r="PT393" s="6"/>
      <c r="PU393" s="6"/>
      <c r="PV393" s="6"/>
      <c r="PW393" s="6"/>
      <c r="PX393" s="6"/>
      <c r="PY393" s="6"/>
      <c r="PZ393" s="6"/>
      <c r="QA393" s="6"/>
      <c r="QB393" s="6"/>
      <c r="QC393" s="6"/>
      <c r="QD393" s="6"/>
      <c r="QE393" s="6"/>
      <c r="QF393" s="6"/>
      <c r="QG393" s="6"/>
      <c r="QH393" s="6"/>
      <c r="QI393" s="6"/>
      <c r="QJ393" s="6"/>
      <c r="QK393" s="6"/>
      <c r="QL393" s="6"/>
      <c r="QM393" s="6"/>
      <c r="QN393" s="6"/>
      <c r="QO393" s="6"/>
      <c r="QP393" s="6"/>
      <c r="QQ393" s="6"/>
      <c r="QR393" s="6"/>
      <c r="QS393" s="6"/>
      <c r="QT393" s="6"/>
      <c r="QU393" s="6"/>
      <c r="QV393" s="6"/>
      <c r="QW393" s="6"/>
      <c r="QX393" s="6"/>
      <c r="QY393" s="6"/>
      <c r="QZ393" s="6"/>
      <c r="RA393" s="6"/>
      <c r="RB393" s="6"/>
      <c r="RC393" s="6"/>
      <c r="RD393" s="6"/>
      <c r="RE393" s="6"/>
      <c r="RF393" s="6"/>
      <c r="RG393" s="6"/>
      <c r="RH393" s="6"/>
      <c r="RI393" s="6"/>
      <c r="RJ393" s="6"/>
      <c r="RK393" s="6"/>
      <c r="RL393" s="6"/>
      <c r="RM393" s="6"/>
      <c r="RN393" s="6"/>
      <c r="RO393" s="6"/>
      <c r="RP393" s="6"/>
      <c r="RQ393" s="6"/>
      <c r="RR393" s="6"/>
      <c r="RS393" s="6"/>
      <c r="RT393" s="6"/>
      <c r="RU393" s="6"/>
      <c r="RV393" s="6"/>
      <c r="RW393" s="6"/>
      <c r="RX393" s="6"/>
      <c r="RY393" s="6"/>
      <c r="RZ393" s="6"/>
      <c r="SA393" s="6"/>
      <c r="SB393" s="6"/>
      <c r="SC393" s="6"/>
      <c r="SD393" s="6"/>
      <c r="SE393" s="6"/>
      <c r="SF393" s="6"/>
      <c r="SG393" s="6"/>
      <c r="SH393" s="6"/>
      <c r="SI393" s="6"/>
      <c r="SJ393" s="6"/>
      <c r="SK393" s="6"/>
      <c r="SL393" s="6"/>
      <c r="SM393" s="6"/>
      <c r="SN393" s="6"/>
      <c r="SO393" s="6"/>
      <c r="SP393" s="6"/>
      <c r="SQ393" s="6"/>
      <c r="SR393" s="6"/>
      <c r="SS393" s="6"/>
      <c r="ST393" s="6"/>
      <c r="SU393" s="6"/>
      <c r="SV393" s="6"/>
      <c r="SW393" s="6"/>
      <c r="SX393" s="6"/>
      <c r="SY393" s="6"/>
      <c r="SZ393" s="6"/>
      <c r="TA393" s="6"/>
      <c r="TB393" s="6"/>
      <c r="TC393" s="6"/>
      <c r="TD393" s="6"/>
      <c r="TE393" s="6"/>
      <c r="TF393" s="6"/>
      <c r="TG393" s="6"/>
      <c r="TH393" s="6"/>
      <c r="TI393" s="6"/>
      <c r="TJ393" s="6"/>
      <c r="TK393" s="6"/>
      <c r="TL393" s="6"/>
      <c r="TM393" s="6"/>
      <c r="TN393" s="6"/>
      <c r="TO393" s="6"/>
      <c r="TP393" s="6"/>
      <c r="TQ393" s="6"/>
      <c r="TR393" s="6"/>
      <c r="TS393" s="6"/>
      <c r="TT393" s="6"/>
      <c r="TU393" s="6"/>
      <c r="TV393" s="6"/>
      <c r="TW393" s="6"/>
      <c r="TX393" s="6"/>
      <c r="TY393" s="6"/>
      <c r="TZ393" s="6"/>
      <c r="UA393" s="6"/>
      <c r="UB393" s="6"/>
      <c r="UC393" s="6"/>
      <c r="UD393" s="6"/>
      <c r="UE393" s="6"/>
      <c r="UF393" s="6"/>
      <c r="UG393" s="6"/>
      <c r="UH393" s="6"/>
      <c r="UI393" s="6"/>
      <c r="UJ393" s="6"/>
      <c r="UK393" s="6"/>
      <c r="UL393" s="6"/>
      <c r="UM393" s="6"/>
      <c r="UN393" s="6"/>
      <c r="UO393" s="6"/>
      <c r="UP393" s="6"/>
      <c r="UQ393" s="6"/>
      <c r="UR393" s="6"/>
      <c r="US393" s="6"/>
      <c r="UT393" s="6"/>
      <c r="UU393" s="6"/>
      <c r="UV393" s="6"/>
      <c r="UW393" s="6"/>
      <c r="UX393" s="6"/>
      <c r="UY393" s="6"/>
      <c r="UZ393" s="6"/>
      <c r="VA393" s="6"/>
      <c r="VB393" s="6"/>
      <c r="VC393" s="6"/>
      <c r="VD393" s="6"/>
      <c r="VE393" s="6"/>
      <c r="VF393" s="6"/>
      <c r="VG393" s="6"/>
      <c r="VH393" s="6"/>
      <c r="VI393" s="6"/>
      <c r="VJ393" s="6"/>
      <c r="VK393" s="6"/>
      <c r="VL393" s="6"/>
      <c r="VM393" s="6"/>
      <c r="VN393" s="6"/>
      <c r="VO393" s="6"/>
      <c r="VP393" s="6"/>
      <c r="VQ393" s="6"/>
      <c r="VR393" s="6"/>
      <c r="VS393" s="6"/>
      <c r="VT393" s="6"/>
      <c r="VU393" s="6"/>
      <c r="VV393" s="6"/>
      <c r="VW393" s="6"/>
      <c r="VX393" s="6"/>
      <c r="VY393" s="6"/>
      <c r="VZ393" s="6"/>
      <c r="WA393" s="6"/>
      <c r="WB393" s="6"/>
      <c r="WC393" s="6"/>
      <c r="WD393" s="6"/>
      <c r="WE393" s="6"/>
      <c r="WF393" s="6"/>
      <c r="WG393" s="6"/>
      <c r="WH393" s="6"/>
      <c r="WI393" s="6"/>
      <c r="WJ393" s="6"/>
      <c r="WK393" s="6"/>
      <c r="WL393" s="6"/>
      <c r="WM393" s="6"/>
      <c r="WN393" s="6"/>
      <c r="WO393" s="6"/>
      <c r="WP393" s="6"/>
      <c r="WQ393" s="6"/>
      <c r="WR393" s="6"/>
      <c r="WS393" s="6"/>
      <c r="WT393" s="6"/>
      <c r="WU393" s="6"/>
      <c r="WV393" s="6"/>
      <c r="WW393" s="6"/>
      <c r="WX393" s="6"/>
      <c r="WY393" s="6"/>
      <c r="WZ393" s="6"/>
      <c r="XA393" s="6"/>
      <c r="XB393" s="6"/>
      <c r="XC393" s="6"/>
      <c r="XD393" s="6"/>
      <c r="XE393" s="6"/>
      <c r="XF393" s="6"/>
      <c r="XG393" s="6"/>
      <c r="XH393" s="6"/>
      <c r="XI393" s="6"/>
      <c r="XJ393" s="6"/>
      <c r="XK393" s="6"/>
      <c r="XL393" s="6"/>
      <c r="XM393" s="6"/>
      <c r="XN393" s="6"/>
      <c r="XO393" s="6"/>
      <c r="XP393" s="6"/>
      <c r="XQ393" s="6"/>
      <c r="XR393" s="6"/>
      <c r="XS393" s="6"/>
      <c r="XT393" s="6"/>
      <c r="XU393" s="6"/>
      <c r="XV393" s="6"/>
      <c r="XW393" s="6"/>
      <c r="XX393" s="6"/>
      <c r="XY393" s="6"/>
      <c r="XZ393" s="6"/>
      <c r="YA393" s="6"/>
      <c r="YB393" s="6"/>
      <c r="YC393" s="6"/>
      <c r="YD393" s="6"/>
      <c r="YE393" s="6"/>
      <c r="YF393" s="6"/>
      <c r="YG393" s="6"/>
      <c r="YH393" s="6"/>
      <c r="YI393" s="6"/>
      <c r="YJ393" s="6"/>
      <c r="YK393" s="6"/>
      <c r="YL393" s="6"/>
      <c r="YM393" s="6"/>
      <c r="YN393" s="6"/>
      <c r="YO393" s="6"/>
      <c r="YP393" s="6"/>
      <c r="YQ393" s="6"/>
      <c r="YR393" s="6"/>
      <c r="YS393" s="6"/>
      <c r="YT393" s="6"/>
      <c r="YU393" s="6"/>
      <c r="YV393" s="6"/>
      <c r="YW393" s="6"/>
      <c r="YX393" s="6"/>
      <c r="YY393" s="6"/>
      <c r="YZ393" s="6"/>
      <c r="ZA393" s="6"/>
      <c r="ZB393" s="6"/>
      <c r="ZC393" s="6"/>
      <c r="ZD393" s="6"/>
      <c r="ZE393" s="6"/>
      <c r="ZF393" s="6"/>
      <c r="ZG393" s="6"/>
      <c r="ZH393" s="6"/>
      <c r="ZI393" s="6"/>
      <c r="ZJ393" s="6"/>
      <c r="ZK393" s="6"/>
      <c r="ZL393" s="6"/>
      <c r="ZM393" s="6"/>
      <c r="ZN393" s="6"/>
      <c r="ZO393" s="6"/>
      <c r="ZP393" s="6"/>
      <c r="ZQ393" s="6"/>
      <c r="ZR393" s="6"/>
      <c r="ZS393" s="6"/>
      <c r="ZT393" s="6"/>
      <c r="ZU393" s="6"/>
      <c r="ZV393" s="6"/>
      <c r="ZW393" s="6"/>
      <c r="ZX393" s="6"/>
      <c r="ZY393" s="6"/>
      <c r="ZZ393" s="6"/>
      <c r="AAA393" s="6"/>
      <c r="AAB393" s="6"/>
      <c r="AAC393" s="6"/>
      <c r="AAD393" s="6"/>
      <c r="AAE393" s="6"/>
      <c r="AAF393" s="6"/>
      <c r="AAG393" s="6"/>
      <c r="AAH393" s="6"/>
      <c r="AAI393" s="6"/>
      <c r="AAJ393" s="6"/>
      <c r="AAK393" s="6"/>
      <c r="AAL393" s="6"/>
      <c r="AAM393" s="6"/>
      <c r="AAN393" s="6"/>
      <c r="AAO393" s="6"/>
      <c r="AAP393" s="6"/>
      <c r="AAQ393" s="6"/>
      <c r="AAR393" s="6"/>
      <c r="AAS393" s="6"/>
      <c r="AAT393" s="6"/>
      <c r="AAU393" s="6"/>
      <c r="AAV393" s="6"/>
      <c r="AAW393" s="6"/>
      <c r="AAX393" s="6"/>
      <c r="AAY393" s="6"/>
      <c r="AAZ393" s="6"/>
      <c r="ABA393" s="6"/>
      <c r="ABB393" s="6"/>
      <c r="ABC393" s="6"/>
      <c r="ABD393" s="6"/>
      <c r="ABE393" s="6"/>
      <c r="ABF393" s="6"/>
      <c r="ABG393" s="6"/>
      <c r="ABH393" s="6"/>
      <c r="ABI393" s="6"/>
      <c r="ABJ393" s="6"/>
      <c r="ABK393" s="6"/>
      <c r="ABL393" s="6"/>
      <c r="ABM393" s="6"/>
      <c r="ABN393" s="6"/>
      <c r="ABO393" s="6"/>
      <c r="ABP393" s="6"/>
      <c r="ABQ393" s="6"/>
      <c r="ABR393" s="6"/>
      <c r="ABS393" s="6"/>
      <c r="ABT393" s="6"/>
      <c r="ABU393" s="6"/>
      <c r="ABV393" s="6"/>
      <c r="ABW393" s="6"/>
      <c r="ABX393" s="6"/>
      <c r="ABY393" s="6"/>
      <c r="ABZ393" s="6"/>
      <c r="ACA393" s="6"/>
      <c r="ACB393" s="6"/>
      <c r="ACC393" s="6"/>
      <c r="ACD393" s="6"/>
      <c r="ACE393" s="6"/>
      <c r="ACF393" s="6"/>
      <c r="ACG393" s="6"/>
      <c r="ACH393" s="6"/>
      <c r="ACI393" s="6"/>
      <c r="ACJ393" s="6"/>
      <c r="ACK393" s="6"/>
      <c r="ACL393" s="6"/>
      <c r="ACM393" s="6"/>
      <c r="ACN393" s="6"/>
      <c r="ACO393" s="6"/>
      <c r="ACP393" s="6"/>
      <c r="ACQ393" s="6"/>
      <c r="ACR393" s="6"/>
      <c r="ACS393" s="6"/>
      <c r="ACT393" s="6"/>
      <c r="ACU393" s="6"/>
      <c r="ACV393" s="6"/>
      <c r="ACW393" s="6"/>
      <c r="ACX393" s="6"/>
      <c r="ACY393" s="6"/>
      <c r="ACZ393" s="6"/>
      <c r="ADA393" s="6"/>
      <c r="ADB393" s="6"/>
      <c r="ADC393" s="6"/>
      <c r="ADD393" s="6"/>
      <c r="ADE393" s="6"/>
      <c r="ADF393" s="6"/>
      <c r="ADG393" s="6"/>
      <c r="ADH393" s="6"/>
      <c r="ADI393" s="6"/>
      <c r="ADJ393" s="6"/>
      <c r="ADK393" s="6"/>
      <c r="ADL393" s="6"/>
      <c r="ADM393" s="6"/>
      <c r="ADN393" s="6"/>
      <c r="ADO393" s="6"/>
      <c r="ADP393" s="6"/>
      <c r="ADQ393" s="6"/>
      <c r="ADR393" s="6"/>
      <c r="ADS393" s="6"/>
      <c r="ADT393" s="6"/>
      <c r="ADU393" s="6"/>
      <c r="ADV393" s="6"/>
      <c r="ADW393" s="6"/>
      <c r="ADX393" s="6"/>
      <c r="ADY393" s="6"/>
      <c r="ADZ393" s="6"/>
      <c r="AEA393" s="6"/>
      <c r="AEB393" s="6"/>
      <c r="AEC393" s="6"/>
      <c r="AED393" s="6"/>
      <c r="AEE393" s="6"/>
      <c r="AEF393" s="6"/>
      <c r="AEG393" s="6"/>
      <c r="AEH393" s="6"/>
      <c r="AEI393" s="6"/>
      <c r="AEJ393" s="6"/>
      <c r="AEK393" s="6"/>
      <c r="AEL393" s="6"/>
      <c r="AEM393" s="6"/>
      <c r="AEN393" s="6"/>
      <c r="AEO393" s="6"/>
      <c r="AEP393" s="6"/>
      <c r="AEQ393" s="6"/>
      <c r="AER393" s="6"/>
      <c r="AES393" s="6"/>
      <c r="AET393" s="6"/>
      <c r="AEU393" s="6"/>
      <c r="AEV393" s="6"/>
      <c r="AEW393" s="6"/>
      <c r="AEX393" s="6"/>
      <c r="AEY393" s="6"/>
      <c r="AEZ393" s="6"/>
      <c r="AFA393" s="6"/>
      <c r="AFB393" s="6"/>
      <c r="AFC393" s="6"/>
      <c r="AFD393" s="6"/>
      <c r="AFE393" s="6"/>
      <c r="AFF393" s="6"/>
      <c r="AFG393" s="6"/>
      <c r="AFH393" s="6"/>
      <c r="AFI393" s="6"/>
      <c r="AFJ393" s="6"/>
      <c r="AFK393" s="6"/>
      <c r="AFL393" s="6"/>
      <c r="AFM393" s="6"/>
      <c r="AFN393" s="6"/>
      <c r="AFO393" s="6"/>
      <c r="AFP393" s="6"/>
      <c r="AFQ393" s="6"/>
      <c r="AFR393" s="6"/>
      <c r="AFS393" s="6"/>
      <c r="AFT393" s="6"/>
      <c r="AFU393" s="6"/>
      <c r="AFV393" s="6"/>
      <c r="AFW393" s="6"/>
      <c r="AFX393" s="6"/>
      <c r="AFY393" s="6"/>
      <c r="AFZ393" s="6"/>
      <c r="AGA393" s="6"/>
      <c r="AGB393" s="6"/>
      <c r="AGC393" s="6"/>
      <c r="AGD393" s="6"/>
      <c r="AGE393" s="6"/>
      <c r="AGF393" s="6"/>
      <c r="AGG393" s="6"/>
      <c r="AGH393" s="6"/>
      <c r="AGI393" s="6"/>
      <c r="AGJ393" s="6"/>
      <c r="AGK393" s="6"/>
      <c r="AGL393" s="6"/>
      <c r="AGM393" s="6"/>
      <c r="AGN393" s="6"/>
      <c r="AGO393" s="6"/>
      <c r="AGP393" s="6"/>
      <c r="AGQ393" s="6"/>
      <c r="AGR393" s="6"/>
      <c r="AGS393" s="6"/>
      <c r="AGT393" s="6"/>
      <c r="AGU393" s="6"/>
      <c r="AGV393" s="6"/>
      <c r="AGW393" s="6"/>
      <c r="AGX393" s="6"/>
      <c r="AGY393" s="6"/>
      <c r="AGZ393" s="6"/>
      <c r="AHA393" s="6"/>
      <c r="AHB393" s="6"/>
      <c r="AHC393" s="6"/>
      <c r="AHD393" s="6"/>
      <c r="AHE393" s="6"/>
      <c r="AHF393" s="6"/>
      <c r="AHG393" s="6"/>
      <c r="AHH393" s="6"/>
      <c r="AHI393" s="6"/>
      <c r="AHJ393" s="6"/>
      <c r="AHK393" s="6"/>
      <c r="AHL393" s="6"/>
      <c r="AHM393" s="6"/>
      <c r="AHN393" s="6"/>
      <c r="AHO393" s="6"/>
      <c r="AHP393" s="6"/>
      <c r="AHQ393" s="6"/>
      <c r="AHR393" s="6"/>
      <c r="AHS393" s="6"/>
      <c r="AHT393" s="6"/>
      <c r="AHU393" s="6"/>
      <c r="AHV393" s="6"/>
      <c r="AHW393" s="6"/>
      <c r="AHX393" s="6"/>
      <c r="AHY393" s="6"/>
      <c r="AHZ393" s="6"/>
      <c r="AIA393" s="6"/>
      <c r="AIB393" s="6"/>
      <c r="AIC393" s="6"/>
      <c r="AID393" s="6"/>
      <c r="AIE393" s="6"/>
      <c r="AIF393" s="6"/>
      <c r="AIG393" s="6"/>
      <c r="AIH393" s="6"/>
      <c r="AII393" s="6"/>
      <c r="AIJ393" s="6"/>
      <c r="AIK393" s="6"/>
      <c r="AIL393" s="6"/>
      <c r="AIM393" s="6"/>
      <c r="AIN393" s="6"/>
      <c r="AIO393" s="6"/>
      <c r="AIP393" s="6"/>
      <c r="AIQ393" s="6"/>
      <c r="AIR393" s="6"/>
      <c r="AIS393" s="6"/>
      <c r="AIT393" s="6"/>
      <c r="AIU393" s="6"/>
      <c r="AIV393" s="6"/>
      <c r="AIW393" s="6"/>
      <c r="AIX393" s="6"/>
      <c r="AIY393" s="6"/>
      <c r="AIZ393" s="6"/>
      <c r="AJA393" s="6"/>
      <c r="AJB393" s="6"/>
      <c r="AJC393" s="6"/>
      <c r="AJD393" s="6"/>
      <c r="AJE393" s="6"/>
      <c r="AJF393" s="6"/>
      <c r="AJG393" s="6"/>
      <c r="AJH393" s="6"/>
      <c r="AJI393" s="6"/>
      <c r="AJJ393" s="6"/>
      <c r="AJK393" s="6"/>
      <c r="AJL393" s="6"/>
      <c r="AJM393" s="6"/>
      <c r="AJN393" s="6"/>
      <c r="AJO393" s="6"/>
      <c r="AJP393" s="6"/>
      <c r="AJQ393" s="6"/>
      <c r="AJR393" s="6"/>
      <c r="AJS393" s="6"/>
      <c r="AJT393" s="6"/>
      <c r="AJU393" s="6"/>
      <c r="AJV393" s="6"/>
      <c r="AJW393" s="6"/>
      <c r="AJX393" s="6"/>
      <c r="AJY393" s="6"/>
      <c r="AJZ393" s="6"/>
      <c r="AKA393" s="6"/>
      <c r="AKB393" s="6"/>
      <c r="AKC393" s="6"/>
      <c r="AKD393" s="6"/>
      <c r="AKE393" s="6"/>
      <c r="AKF393" s="6"/>
      <c r="AKG393" s="6"/>
      <c r="AKH393" s="6"/>
      <c r="AKI393" s="6"/>
      <c r="AKJ393" s="6"/>
      <c r="AKK393" s="6"/>
      <c r="AKL393" s="6"/>
      <c r="AKM393" s="6"/>
      <c r="AKN393" s="6"/>
      <c r="AKO393" s="6"/>
      <c r="AKP393" s="6"/>
      <c r="AKQ393" s="6"/>
      <c r="AKR393" s="6"/>
      <c r="AKS393" s="6"/>
      <c r="AKT393" s="6"/>
      <c r="AKU393" s="6"/>
      <c r="AKV393" s="6"/>
      <c r="AKW393" s="6"/>
      <c r="AKX393" s="6"/>
      <c r="AKY393" s="6"/>
      <c r="AKZ393" s="6"/>
      <c r="ALA393" s="6"/>
      <c r="ALB393" s="6"/>
      <c r="ALC393" s="6"/>
      <c r="ALD393" s="6"/>
      <c r="ALE393" s="6"/>
      <c r="ALF393" s="6"/>
      <c r="ALG393" s="6"/>
      <c r="ALH393" s="6"/>
      <c r="ALI393" s="6"/>
      <c r="ALJ393" s="6"/>
      <c r="ALK393" s="6"/>
      <c r="ALL393" s="6"/>
      <c r="ALM393" s="6"/>
      <c r="ALN393" s="6"/>
      <c r="ALO393" s="6"/>
      <c r="ALP393" s="6"/>
      <c r="ALQ393" s="6"/>
      <c r="ALR393" s="6"/>
      <c r="ALS393" s="6"/>
      <c r="ALT393" s="6"/>
      <c r="ALU393" s="6"/>
      <c r="ALV393" s="6"/>
      <c r="ALW393" s="6"/>
      <c r="ALX393" s="6"/>
      <c r="ALY393" s="6"/>
      <c r="ALZ393" s="6"/>
      <c r="AMA393" s="6"/>
      <c r="AMB393" s="6"/>
      <c r="AMC393" s="6"/>
      <c r="AMD393" s="6"/>
      <c r="AME393" s="6"/>
      <c r="AMF393" s="6"/>
      <c r="AMG393" s="6"/>
      <c r="AMH393" s="6"/>
      <c r="AMI393" s="6"/>
      <c r="AMJ393" s="6"/>
      <c r="AMK393" s="6"/>
      <c r="AML393" s="6"/>
      <c r="AMM393" s="6"/>
      <c r="AMN393" s="6"/>
      <c r="AMO393" s="6"/>
      <c r="AMP393" s="6"/>
    </row>
    <row r="394" spans="1:1030" x14ac:dyDescent="0.2">
      <c r="A394" s="3" t="str">
        <f>CONCATENATE(B394,"_",C394)</f>
        <v>calcr_human__wt</v>
      </c>
      <c r="B394" s="2" t="s">
        <v>400</v>
      </c>
      <c r="C394" s="3" t="s">
        <v>100</v>
      </c>
      <c r="D394" s="3" t="str">
        <f>IFERROR(MID(VLOOKUP($B394,Seqs!$A:$B,2,0),E394,1),"")</f>
        <v>T</v>
      </c>
      <c r="E394" s="3">
        <v>132</v>
      </c>
      <c r="F394" s="3" t="str">
        <f>IFERROR(MID(VLOOKUP($B394,Seqs!$A:$B,2,0),G394,1),"")</f>
        <v>F</v>
      </c>
      <c r="G394" s="3">
        <v>173</v>
      </c>
      <c r="H394" s="3" t="str">
        <f>IFERROR(MID(VLOOKUP($B394,Seqs!$A:$B,2,0),I394,1),"")</f>
        <v>R</v>
      </c>
      <c r="I394" s="23">
        <v>174</v>
      </c>
      <c r="J394" s="3" t="str">
        <f>IFERROR(MID(VLOOKUP($B394,Seqs!$A:$B,2,0),K394,1),"")</f>
        <v>G</v>
      </c>
      <c r="K394" s="23">
        <v>177</v>
      </c>
      <c r="L394" s="3" t="str">
        <f>IFERROR(MID(VLOOKUP($B394,Seqs!$A:$B,2,0),M394,1),"")</f>
        <v>C</v>
      </c>
      <c r="M394" s="3">
        <v>178</v>
      </c>
      <c r="N394" s="3" t="str">
        <f>IFERROR(MID(VLOOKUP($B394,Seqs!$A:$B,2,0),O394,1),"")</f>
        <v>V</v>
      </c>
      <c r="O394" s="3">
        <v>205</v>
      </c>
      <c r="P394" s="3" t="str">
        <f>IFERROR(MID(VLOOKUP($B394,Seqs!$A:$B,2,0),Q394,1),"")</f>
        <v/>
      </c>
      <c r="Q394" s="3" t="s">
        <v>23</v>
      </c>
      <c r="R394" s="3" t="str">
        <f>IFERROR(MID(VLOOKUP($B394,Seqs!$A:$B,2,0),S394,1),"")</f>
        <v/>
      </c>
      <c r="S394" s="3" t="s">
        <v>23</v>
      </c>
      <c r="T394" s="3" t="str">
        <f>IFERROR(MID(VLOOKUP($B394,Seqs!$A:$B,2,0),U394,1),"")</f>
        <v>V</v>
      </c>
      <c r="U394" s="105">
        <v>217</v>
      </c>
      <c r="V394" s="3" t="str">
        <f>IFERROR(MID(VLOOKUP($B394,Seqs!$A:$B,2,0),W394,1),"")</f>
        <v>V</v>
      </c>
      <c r="W394" s="3">
        <v>250</v>
      </c>
      <c r="X394" s="3" t="str">
        <f>IFERROR(MID(VLOOKUP($B394,Seqs!$A:$B,2,0),Y394,1),"")</f>
        <v/>
      </c>
      <c r="Y394" s="3" t="s">
        <v>23</v>
      </c>
      <c r="Z394" s="3" t="str">
        <f>IFERROR(MID(VLOOKUP($B394,Seqs!$A:$B,2,0),AA394,1),"")</f>
        <v/>
      </c>
      <c r="AA394" s="3" t="s">
        <v>23</v>
      </c>
      <c r="AB394" s="3" t="str">
        <f>IFERROR(MID(VLOOKUP($B394,Seqs!$A:$B,2,0),AC394,1),"")</f>
        <v>R</v>
      </c>
      <c r="AC394" s="3">
        <v>258</v>
      </c>
      <c r="AD394" s="3" t="str">
        <f>IFERROR(MID(VLOOKUP($B394,Seqs!$A:$B,2,0),AE394,1),"")</f>
        <v>F</v>
      </c>
      <c r="AE394" s="3">
        <v>285</v>
      </c>
      <c r="AF394" s="3" t="str">
        <f>IFERROR(MID(VLOOKUP($B394,Seqs!$A:$B,2,0),AG394,1),"")</f>
        <v>C</v>
      </c>
      <c r="AG394" s="3">
        <v>289</v>
      </c>
      <c r="AH394" s="3" t="str">
        <f>IFERROR(MID(VLOOKUP($B394,Seqs!$A:$B,2,0),AI394,1),"")</f>
        <v>L</v>
      </c>
      <c r="AI394" s="3">
        <v>291</v>
      </c>
      <c r="AJ394" s="3" t="str">
        <f>IFERROR(MID(VLOOKUP($B394,Seqs!$A:$B,2,0),AK394,1),"")</f>
        <v>L</v>
      </c>
      <c r="AK394" s="3">
        <v>298</v>
      </c>
      <c r="AL394" s="3" t="str">
        <f>IFERROR(MID(VLOOKUP($B394,Seqs!$A:$B,2,0),AM394,1),"")</f>
        <v>R</v>
      </c>
      <c r="AM394" s="3">
        <v>328</v>
      </c>
      <c r="AN394" s="3" t="str">
        <f>IFERROR(MID(VLOOKUP($B394,Seqs!$A:$B,2,0),AO394,1),"")</f>
        <v>Y</v>
      </c>
      <c r="AO394" s="3">
        <v>338</v>
      </c>
      <c r="AP394" s="3" t="str">
        <f>IFERROR(MID(VLOOKUP($B394,Seqs!$A:$B,2,0),AQ394,1),"")</f>
        <v>W</v>
      </c>
      <c r="AQ394" s="3">
        <v>361</v>
      </c>
      <c r="AR394" s="3" t="str">
        <f>IFERROR(MID(VLOOKUP($B394,Seqs!$A:$B,2,0),AS394,1),"")</f>
        <v>K</v>
      </c>
      <c r="AS394" s="3">
        <v>366</v>
      </c>
      <c r="AT394" s="3" t="str">
        <f>IFERROR(MID(VLOOKUP($B394,Seqs!$A:$B,2,0),AU394,1),"")</f>
        <v>C</v>
      </c>
      <c r="AU394" s="3">
        <v>394</v>
      </c>
      <c r="AV394" s="3" t="str">
        <f>IFERROR(MID(VLOOKUP($B394,Seqs!$A:$B,2,0),AW394,1),"")</f>
        <v>N</v>
      </c>
      <c r="AW394" s="3">
        <v>395</v>
      </c>
      <c r="AX394" s="3" t="str">
        <f>IFERROR(MID(VLOOKUP($B394,Seqs!$A:$B,2,0),AY394,1),"")</f>
        <v>R</v>
      </c>
      <c r="AY394" s="3">
        <v>420</v>
      </c>
      <c r="AZ394" s="77" t="str">
        <f>VLOOKUP(B394,Classification!A:D,2,0)</f>
        <v>B1</v>
      </c>
      <c r="BA394" s="94" t="str">
        <f>VLOOKUP(B394,Classification!A:D,4,0)</f>
        <v>Calcitonin</v>
      </c>
      <c r="BB394" s="27" t="b">
        <f t="shared" si="1169"/>
        <v>1</v>
      </c>
      <c r="BC394" s="23">
        <f t="shared" si="1170"/>
        <v>251</v>
      </c>
      <c r="BD394" s="4" t="s">
        <v>23</v>
      </c>
      <c r="BE394" s="3" t="s">
        <v>23</v>
      </c>
      <c r="BF394" s="118" t="s">
        <v>23</v>
      </c>
      <c r="BG394" s="49" t="s">
        <v>1371</v>
      </c>
      <c r="BH394" s="49" t="s">
        <v>1371</v>
      </c>
      <c r="BI394" s="1"/>
      <c r="BJ394" s="70" t="s">
        <v>1281</v>
      </c>
      <c r="BK394" s="57" t="s">
        <v>1281</v>
      </c>
      <c r="BL394" s="57" t="s">
        <v>1281</v>
      </c>
      <c r="BM394" s="57" t="s">
        <v>1281</v>
      </c>
      <c r="BN394" s="57" t="s">
        <v>1281</v>
      </c>
      <c r="BO394" s="57" t="s">
        <v>1281</v>
      </c>
      <c r="BP394" s="57" t="s">
        <v>1281</v>
      </c>
      <c r="BQ394" s="57" t="s">
        <v>1281</v>
      </c>
      <c r="BR394" s="57" t="s">
        <v>1281</v>
      </c>
      <c r="BS394" s="57" t="s">
        <v>1281</v>
      </c>
      <c r="BT394" s="57" t="s">
        <v>1281</v>
      </c>
      <c r="BU394" s="57" t="s">
        <v>1281</v>
      </c>
      <c r="BV394" s="70">
        <f>E394</f>
        <v>132</v>
      </c>
      <c r="BW394" s="71">
        <f>I394</f>
        <v>174</v>
      </c>
      <c r="BX394" s="72">
        <f>M394</f>
        <v>178</v>
      </c>
      <c r="BY394" s="71" t="str">
        <f>Q394</f>
        <v>-</v>
      </c>
      <c r="BZ394" s="72">
        <f>U394</f>
        <v>217</v>
      </c>
      <c r="CA394" s="71" t="str">
        <f>Y394</f>
        <v>-</v>
      </c>
      <c r="CB394" s="72">
        <f>AC394</f>
        <v>258</v>
      </c>
      <c r="CC394" s="71">
        <f>AG394</f>
        <v>289</v>
      </c>
      <c r="CD394" s="72">
        <f>AK394</f>
        <v>298</v>
      </c>
      <c r="CE394" s="71">
        <f>AO394</f>
        <v>338</v>
      </c>
      <c r="CF394" s="72">
        <f>AS394</f>
        <v>366</v>
      </c>
      <c r="CG394" s="71">
        <f>AW394</f>
        <v>395</v>
      </c>
      <c r="CH394" s="70">
        <f>G394</f>
        <v>173</v>
      </c>
      <c r="CI394" s="71">
        <f>K394</f>
        <v>177</v>
      </c>
      <c r="CJ394" s="72">
        <f>O394</f>
        <v>205</v>
      </c>
      <c r="CK394" s="72" t="str">
        <f>S394</f>
        <v>-</v>
      </c>
      <c r="CL394" s="72">
        <f>W394</f>
        <v>250</v>
      </c>
      <c r="CM394" s="72" t="str">
        <f>AA394</f>
        <v>-</v>
      </c>
      <c r="CN394" s="72">
        <f>AE394</f>
        <v>285</v>
      </c>
      <c r="CO394" s="72">
        <f>AI394</f>
        <v>291</v>
      </c>
      <c r="CP394" s="72">
        <f>AM394</f>
        <v>328</v>
      </c>
      <c r="CQ394" s="72">
        <f>AQ394</f>
        <v>361</v>
      </c>
      <c r="CR394" s="72">
        <f>AU394</f>
        <v>394</v>
      </c>
      <c r="CS394" s="72">
        <f>AY394</f>
        <v>420</v>
      </c>
      <c r="CT394" s="23">
        <f>M394-K394</f>
        <v>1</v>
      </c>
      <c r="CU394" s="6"/>
      <c r="CV394" s="6"/>
      <c r="CW394" s="6"/>
      <c r="CX394" s="6"/>
      <c r="CY394" s="6"/>
      <c r="CZ394" s="6"/>
      <c r="DA394" s="6"/>
      <c r="DB394" s="6"/>
      <c r="DC394" s="6"/>
      <c r="DD394" s="6"/>
      <c r="DE394" s="6"/>
      <c r="DF394" s="6"/>
      <c r="DG394" s="6"/>
      <c r="DH394" s="6"/>
      <c r="DI394" s="6"/>
      <c r="DJ394" s="6"/>
      <c r="DK394" s="6"/>
      <c r="DL394" s="6"/>
      <c r="DM394" s="6"/>
      <c r="DN394" s="6"/>
      <c r="DO394" s="6"/>
      <c r="DP394" s="6"/>
      <c r="DQ394" s="6"/>
      <c r="DR394" s="6"/>
      <c r="DS394" s="6"/>
      <c r="DT394" s="6"/>
      <c r="DU394" s="6"/>
      <c r="DV394" s="6"/>
      <c r="DW394" s="6"/>
      <c r="DX394" s="6"/>
      <c r="DY394" s="6"/>
      <c r="DZ394" s="6"/>
      <c r="EA394" s="6"/>
      <c r="EB394" s="6"/>
      <c r="EC394" s="6"/>
      <c r="ED394" s="6"/>
      <c r="EE394" s="6"/>
      <c r="EF394" s="6"/>
      <c r="EG394" s="6"/>
      <c r="EH394" s="6"/>
      <c r="EI394" s="6"/>
      <c r="EJ394" s="6"/>
      <c r="EK394" s="6"/>
      <c r="EL394" s="6"/>
      <c r="EM394" s="6"/>
      <c r="EN394" s="6"/>
      <c r="EO394" s="6"/>
      <c r="EP394" s="6"/>
      <c r="EQ394" s="6"/>
      <c r="ER394" s="6"/>
      <c r="ES394" s="6"/>
      <c r="ET394" s="6"/>
      <c r="EU394" s="6"/>
      <c r="EV394" s="6"/>
      <c r="EW394" s="6"/>
      <c r="EX394" s="6"/>
      <c r="EY394" s="6"/>
      <c r="EZ394" s="6"/>
      <c r="FA394" s="6"/>
      <c r="FB394" s="6"/>
      <c r="FC394" s="6"/>
      <c r="FD394" s="6"/>
      <c r="FE394" s="6"/>
      <c r="FF394" s="6"/>
      <c r="FG394" s="6"/>
      <c r="FH394" s="6"/>
      <c r="FI394" s="6"/>
      <c r="FJ394" s="6"/>
      <c r="FK394" s="6"/>
      <c r="FL394" s="6"/>
      <c r="FM394" s="6"/>
      <c r="FN394" s="6"/>
      <c r="FO394" s="6"/>
      <c r="FP394" s="6"/>
      <c r="FQ394" s="6"/>
      <c r="FR394" s="6"/>
      <c r="FS394" s="6"/>
      <c r="FT394" s="6"/>
      <c r="FU394" s="6"/>
      <c r="FV394" s="6"/>
      <c r="FW394" s="6"/>
      <c r="FX394" s="6"/>
      <c r="FY394" s="6"/>
      <c r="FZ394" s="6"/>
      <c r="GA394" s="6"/>
      <c r="GB394" s="6"/>
      <c r="GC394" s="6"/>
      <c r="GD394" s="6"/>
      <c r="GE394" s="6"/>
      <c r="GF394" s="6"/>
      <c r="GG394" s="6"/>
      <c r="GH394" s="6"/>
      <c r="GI394" s="6"/>
      <c r="GJ394" s="6"/>
      <c r="GK394" s="6"/>
      <c r="GL394" s="6"/>
      <c r="GM394" s="6"/>
      <c r="GN394" s="6"/>
      <c r="GO394" s="6"/>
      <c r="GP394" s="6"/>
      <c r="GQ394" s="6"/>
      <c r="GR394" s="6"/>
      <c r="GS394" s="6"/>
      <c r="GT394" s="6"/>
      <c r="GU394" s="6"/>
      <c r="GV394" s="6"/>
      <c r="GW394" s="6"/>
      <c r="GX394" s="6"/>
      <c r="GY394" s="6"/>
      <c r="GZ394" s="6"/>
      <c r="HA394" s="6"/>
      <c r="HB394" s="6"/>
      <c r="HC394" s="6"/>
      <c r="HD394" s="6"/>
      <c r="HE394" s="6"/>
      <c r="HF394" s="6"/>
      <c r="HG394" s="6"/>
      <c r="HH394" s="6"/>
      <c r="HI394" s="6"/>
      <c r="HJ394" s="6"/>
      <c r="HK394" s="6"/>
      <c r="HL394" s="6"/>
      <c r="HM394" s="6"/>
      <c r="HN394" s="6"/>
      <c r="HO394" s="6"/>
      <c r="HP394" s="6"/>
      <c r="HQ394" s="6"/>
      <c r="HR394" s="6"/>
      <c r="HS394" s="6"/>
      <c r="HT394" s="6"/>
      <c r="HU394" s="6"/>
      <c r="HV394" s="6"/>
      <c r="HW394" s="6"/>
      <c r="HX394" s="6"/>
      <c r="HY394" s="6"/>
      <c r="HZ394" s="6"/>
      <c r="IA394" s="6"/>
      <c r="IB394" s="6"/>
      <c r="IC394" s="6"/>
      <c r="ID394" s="6"/>
      <c r="IE394" s="6"/>
      <c r="IF394" s="6"/>
      <c r="IG394" s="6"/>
      <c r="IH394" s="6"/>
      <c r="II394" s="6"/>
      <c r="IJ394" s="6"/>
      <c r="IK394" s="6"/>
      <c r="IL394" s="6"/>
      <c r="IM394" s="6"/>
      <c r="IN394" s="6"/>
      <c r="IO394" s="6"/>
      <c r="IP394" s="6"/>
      <c r="IQ394" s="6"/>
      <c r="IR394" s="6"/>
      <c r="IS394" s="6"/>
      <c r="IT394" s="6"/>
      <c r="IU394" s="6"/>
      <c r="IV394" s="6"/>
      <c r="IW394" s="6"/>
      <c r="IX394" s="6"/>
      <c r="IY394" s="6"/>
      <c r="IZ394" s="6"/>
      <c r="JA394" s="6"/>
      <c r="JB394" s="6"/>
      <c r="JC394" s="6"/>
      <c r="JD394" s="6"/>
      <c r="JE394" s="6"/>
      <c r="JF394" s="6"/>
      <c r="JG394" s="6"/>
      <c r="JH394" s="6"/>
      <c r="JI394" s="6"/>
      <c r="JJ394" s="6"/>
      <c r="JK394" s="6"/>
      <c r="JL394" s="6"/>
      <c r="JM394" s="6"/>
      <c r="JN394" s="6"/>
      <c r="JO394" s="6"/>
      <c r="JP394" s="6"/>
      <c r="JQ394" s="6"/>
      <c r="JR394" s="6"/>
      <c r="JS394" s="6"/>
      <c r="JT394" s="6"/>
      <c r="JU394" s="6"/>
      <c r="JV394" s="6"/>
      <c r="JW394" s="6"/>
      <c r="JX394" s="6"/>
      <c r="JY394" s="6"/>
      <c r="JZ394" s="6"/>
      <c r="KA394" s="6"/>
      <c r="KB394" s="6"/>
      <c r="KC394" s="6"/>
      <c r="KD394" s="6"/>
      <c r="KE394" s="6"/>
      <c r="KF394" s="6"/>
      <c r="KG394" s="6"/>
      <c r="KH394" s="6"/>
      <c r="KI394" s="6"/>
      <c r="KJ394" s="6"/>
      <c r="KK394" s="6"/>
      <c r="KL394" s="6"/>
      <c r="KM394" s="6"/>
      <c r="KN394" s="6"/>
      <c r="KO394" s="6"/>
      <c r="KP394" s="6"/>
      <c r="KQ394" s="6"/>
      <c r="KR394" s="6"/>
      <c r="KS394" s="6"/>
      <c r="KT394" s="6"/>
      <c r="KU394" s="6"/>
      <c r="KV394" s="6"/>
      <c r="KW394" s="6"/>
      <c r="KX394" s="6"/>
      <c r="KY394" s="6"/>
      <c r="KZ394" s="6"/>
      <c r="LA394" s="6"/>
      <c r="LB394" s="6"/>
      <c r="LC394" s="6"/>
      <c r="LD394" s="6"/>
      <c r="LE394" s="6"/>
      <c r="LF394" s="6"/>
      <c r="LG394" s="6"/>
      <c r="LH394" s="6"/>
      <c r="LI394" s="6"/>
      <c r="LJ394" s="6"/>
      <c r="LK394" s="6"/>
      <c r="LL394" s="6"/>
      <c r="LM394" s="6"/>
      <c r="LN394" s="6"/>
      <c r="LO394" s="6"/>
      <c r="LP394" s="6"/>
      <c r="LQ394" s="6"/>
      <c r="LR394" s="6"/>
      <c r="LS394" s="6"/>
      <c r="LT394" s="6"/>
      <c r="LU394" s="6"/>
      <c r="LV394" s="6"/>
      <c r="LW394" s="6"/>
      <c r="LX394" s="6"/>
      <c r="LY394" s="6"/>
      <c r="LZ394" s="6"/>
      <c r="MA394" s="6"/>
      <c r="MB394" s="6"/>
      <c r="MC394" s="6"/>
      <c r="MD394" s="6"/>
      <c r="ME394" s="6"/>
      <c r="MF394" s="6"/>
      <c r="MG394" s="6"/>
      <c r="MH394" s="6"/>
      <c r="MI394" s="6"/>
      <c r="MJ394" s="6"/>
      <c r="MK394" s="6"/>
      <c r="ML394" s="6"/>
      <c r="MM394" s="6"/>
      <c r="MN394" s="6"/>
      <c r="MO394" s="6"/>
      <c r="MP394" s="6"/>
      <c r="MQ394" s="6"/>
      <c r="MR394" s="6"/>
      <c r="MS394" s="6"/>
      <c r="MT394" s="6"/>
      <c r="MU394" s="6"/>
      <c r="MV394" s="6"/>
      <c r="MW394" s="6"/>
      <c r="MX394" s="6"/>
      <c r="MY394" s="6"/>
      <c r="MZ394" s="6"/>
      <c r="NA394" s="6"/>
      <c r="NB394" s="6"/>
      <c r="NC394" s="6"/>
      <c r="ND394" s="6"/>
      <c r="NE394" s="6"/>
      <c r="NF394" s="6"/>
      <c r="NG394" s="6"/>
      <c r="NH394" s="6"/>
      <c r="NI394" s="6"/>
      <c r="NJ394" s="6"/>
      <c r="NK394" s="6"/>
      <c r="NL394" s="6"/>
      <c r="NM394" s="6"/>
      <c r="NN394" s="6"/>
      <c r="NO394" s="6"/>
      <c r="NP394" s="6"/>
      <c r="NQ394" s="6"/>
      <c r="NR394" s="6"/>
      <c r="NS394" s="6"/>
      <c r="NT394" s="6"/>
      <c r="NU394" s="6"/>
      <c r="NV394" s="6"/>
      <c r="NW394" s="6"/>
      <c r="NX394" s="6"/>
      <c r="NY394" s="6"/>
      <c r="NZ394" s="6"/>
      <c r="OA394" s="6"/>
      <c r="OB394" s="6"/>
      <c r="OC394" s="6"/>
      <c r="OD394" s="6"/>
      <c r="OE394" s="6"/>
      <c r="OF394" s="6"/>
      <c r="OG394" s="6"/>
      <c r="OH394" s="6"/>
      <c r="OI394" s="6"/>
      <c r="OJ394" s="6"/>
      <c r="OK394" s="6"/>
      <c r="OL394" s="6"/>
      <c r="OM394" s="6"/>
      <c r="ON394" s="6"/>
      <c r="OO394" s="6"/>
      <c r="OP394" s="6"/>
      <c r="OQ394" s="6"/>
      <c r="OR394" s="6"/>
      <c r="OS394" s="6"/>
      <c r="OT394" s="6"/>
      <c r="OU394" s="6"/>
      <c r="OV394" s="6"/>
      <c r="OW394" s="6"/>
      <c r="OX394" s="6"/>
      <c r="OY394" s="6"/>
      <c r="OZ394" s="6"/>
      <c r="PA394" s="6"/>
      <c r="PB394" s="6"/>
      <c r="PC394" s="6"/>
      <c r="PD394" s="6"/>
      <c r="PE394" s="6"/>
      <c r="PF394" s="6"/>
      <c r="PG394" s="6"/>
      <c r="PH394" s="6"/>
      <c r="PI394" s="6"/>
      <c r="PJ394" s="6"/>
      <c r="PK394" s="6"/>
      <c r="PL394" s="6"/>
      <c r="PM394" s="6"/>
      <c r="PN394" s="6"/>
      <c r="PO394" s="6"/>
      <c r="PP394" s="6"/>
      <c r="PQ394" s="6"/>
      <c r="PR394" s="6"/>
      <c r="PS394" s="6"/>
      <c r="PT394" s="6"/>
      <c r="PU394" s="6"/>
      <c r="PV394" s="6"/>
      <c r="PW394" s="6"/>
      <c r="PX394" s="6"/>
      <c r="PY394" s="6"/>
      <c r="PZ394" s="6"/>
      <c r="QA394" s="6"/>
      <c r="QB394" s="6"/>
      <c r="QC394" s="6"/>
      <c r="QD394" s="6"/>
      <c r="QE394" s="6"/>
      <c r="QF394" s="6"/>
      <c r="QG394" s="6"/>
      <c r="QH394" s="6"/>
      <c r="QI394" s="6"/>
      <c r="QJ394" s="6"/>
      <c r="QK394" s="6"/>
      <c r="QL394" s="6"/>
      <c r="QM394" s="6"/>
      <c r="QN394" s="6"/>
      <c r="QO394" s="6"/>
      <c r="QP394" s="6"/>
      <c r="QQ394" s="6"/>
      <c r="QR394" s="6"/>
      <c r="QS394" s="6"/>
      <c r="QT394" s="6"/>
      <c r="QU394" s="6"/>
      <c r="QV394" s="6"/>
      <c r="QW394" s="6"/>
      <c r="QX394" s="6"/>
      <c r="QY394" s="6"/>
      <c r="QZ394" s="6"/>
      <c r="RA394" s="6"/>
      <c r="RB394" s="6"/>
      <c r="RC394" s="6"/>
      <c r="RD394" s="6"/>
      <c r="RE394" s="6"/>
      <c r="RF394" s="6"/>
      <c r="RG394" s="6"/>
      <c r="RH394" s="6"/>
      <c r="RI394" s="6"/>
      <c r="RJ394" s="6"/>
      <c r="RK394" s="6"/>
      <c r="RL394" s="6"/>
      <c r="RM394" s="6"/>
      <c r="RN394" s="6"/>
      <c r="RO394" s="6"/>
      <c r="RP394" s="6"/>
      <c r="RQ394" s="6"/>
      <c r="RR394" s="6"/>
      <c r="RS394" s="6"/>
      <c r="RT394" s="6"/>
      <c r="RU394" s="6"/>
      <c r="RV394" s="6"/>
      <c r="RW394" s="6"/>
      <c r="RX394" s="6"/>
      <c r="RY394" s="6"/>
      <c r="RZ394" s="6"/>
      <c r="SA394" s="6"/>
      <c r="SB394" s="6"/>
      <c r="SC394" s="6"/>
      <c r="SD394" s="6"/>
      <c r="SE394" s="6"/>
      <c r="SF394" s="6"/>
      <c r="SG394" s="6"/>
      <c r="SH394" s="6"/>
      <c r="SI394" s="6"/>
      <c r="SJ394" s="6"/>
      <c r="SK394" s="6"/>
      <c r="SL394" s="6"/>
      <c r="SM394" s="6"/>
      <c r="SN394" s="6"/>
      <c r="SO394" s="6"/>
      <c r="SP394" s="6"/>
      <c r="SQ394" s="6"/>
      <c r="SR394" s="6"/>
      <c r="SS394" s="6"/>
      <c r="ST394" s="6"/>
      <c r="SU394" s="6"/>
      <c r="SV394" s="6"/>
      <c r="SW394" s="6"/>
      <c r="SX394" s="6"/>
      <c r="SY394" s="6"/>
      <c r="SZ394" s="6"/>
      <c r="TA394" s="6"/>
      <c r="TB394" s="6"/>
      <c r="TC394" s="6"/>
      <c r="TD394" s="6"/>
      <c r="TE394" s="6"/>
      <c r="TF394" s="6"/>
      <c r="TG394" s="6"/>
      <c r="TH394" s="6"/>
      <c r="TI394" s="6"/>
      <c r="TJ394" s="6"/>
      <c r="TK394" s="6"/>
      <c r="TL394" s="6"/>
      <c r="TM394" s="6"/>
      <c r="TN394" s="6"/>
      <c r="TO394" s="6"/>
      <c r="TP394" s="6"/>
      <c r="TQ394" s="6"/>
      <c r="TR394" s="6"/>
      <c r="TS394" s="6"/>
      <c r="TT394" s="6"/>
      <c r="TU394" s="6"/>
      <c r="TV394" s="6"/>
      <c r="TW394" s="6"/>
      <c r="TX394" s="6"/>
      <c r="TY394" s="6"/>
      <c r="TZ394" s="6"/>
      <c r="UA394" s="6"/>
      <c r="UB394" s="6"/>
      <c r="UC394" s="6"/>
      <c r="UD394" s="6"/>
      <c r="UE394" s="6"/>
      <c r="UF394" s="6"/>
      <c r="UG394" s="6"/>
      <c r="UH394" s="6"/>
      <c r="UI394" s="6"/>
      <c r="UJ394" s="6"/>
      <c r="UK394" s="6"/>
      <c r="UL394" s="6"/>
      <c r="UM394" s="6"/>
      <c r="UN394" s="6"/>
      <c r="UO394" s="6"/>
      <c r="UP394" s="6"/>
      <c r="UQ394" s="6"/>
      <c r="UR394" s="6"/>
      <c r="US394" s="6"/>
      <c r="UT394" s="6"/>
      <c r="UU394" s="6"/>
      <c r="UV394" s="6"/>
      <c r="UW394" s="6"/>
      <c r="UX394" s="6"/>
      <c r="UY394" s="6"/>
      <c r="UZ394" s="6"/>
      <c r="VA394" s="6"/>
      <c r="VB394" s="6"/>
      <c r="VC394" s="6"/>
      <c r="VD394" s="6"/>
      <c r="VE394" s="6"/>
      <c r="VF394" s="6"/>
      <c r="VG394" s="6"/>
      <c r="VH394" s="6"/>
      <c r="VI394" s="6"/>
      <c r="VJ394" s="6"/>
      <c r="VK394" s="6"/>
      <c r="VL394" s="6"/>
      <c r="VM394" s="6"/>
      <c r="VN394" s="6"/>
      <c r="VO394" s="6"/>
      <c r="VP394" s="6"/>
      <c r="VQ394" s="6"/>
      <c r="VR394" s="6"/>
      <c r="VS394" s="6"/>
      <c r="VT394" s="6"/>
      <c r="VU394" s="6"/>
      <c r="VV394" s="6"/>
      <c r="VW394" s="6"/>
      <c r="VX394" s="6"/>
      <c r="VY394" s="6"/>
      <c r="VZ394" s="6"/>
      <c r="WA394" s="6"/>
      <c r="WB394" s="6"/>
      <c r="WC394" s="6"/>
      <c r="WD394" s="6"/>
      <c r="WE394" s="6"/>
      <c r="WF394" s="6"/>
      <c r="WG394" s="6"/>
      <c r="WH394" s="6"/>
      <c r="WI394" s="6"/>
      <c r="WJ394" s="6"/>
      <c r="WK394" s="6"/>
      <c r="WL394" s="6"/>
      <c r="WM394" s="6"/>
      <c r="WN394" s="6"/>
      <c r="WO394" s="6"/>
      <c r="WP394" s="6"/>
      <c r="WQ394" s="6"/>
      <c r="WR394" s="6"/>
      <c r="WS394" s="6"/>
      <c r="WT394" s="6"/>
      <c r="WU394" s="6"/>
      <c r="WV394" s="6"/>
      <c r="WW394" s="6"/>
      <c r="WX394" s="6"/>
      <c r="WY394" s="6"/>
      <c r="WZ394" s="6"/>
      <c r="XA394" s="6"/>
      <c r="XB394" s="6"/>
      <c r="XC394" s="6"/>
      <c r="XD394" s="6"/>
      <c r="XE394" s="6"/>
      <c r="XF394" s="6"/>
      <c r="XG394" s="6"/>
      <c r="XH394" s="6"/>
      <c r="XI394" s="6"/>
      <c r="XJ394" s="6"/>
      <c r="XK394" s="6"/>
      <c r="XL394" s="6"/>
      <c r="XM394" s="6"/>
      <c r="XN394" s="6"/>
      <c r="XO394" s="6"/>
      <c r="XP394" s="6"/>
      <c r="XQ394" s="6"/>
      <c r="XR394" s="6"/>
      <c r="XS394" s="6"/>
      <c r="XT394" s="6"/>
      <c r="XU394" s="6"/>
      <c r="XV394" s="6"/>
      <c r="XW394" s="6"/>
      <c r="XX394" s="6"/>
      <c r="XY394" s="6"/>
      <c r="XZ394" s="6"/>
      <c r="YA394" s="6"/>
      <c r="YB394" s="6"/>
      <c r="YC394" s="6"/>
      <c r="YD394" s="6"/>
      <c r="YE394" s="6"/>
      <c r="YF394" s="6"/>
      <c r="YG394" s="6"/>
      <c r="YH394" s="6"/>
      <c r="YI394" s="6"/>
      <c r="YJ394" s="6"/>
      <c r="YK394" s="6"/>
      <c r="YL394" s="6"/>
      <c r="YM394" s="6"/>
      <c r="YN394" s="6"/>
      <c r="YO394" s="6"/>
      <c r="YP394" s="6"/>
      <c r="YQ394" s="6"/>
      <c r="YR394" s="6"/>
      <c r="YS394" s="6"/>
      <c r="YT394" s="6"/>
      <c r="YU394" s="6"/>
      <c r="YV394" s="6"/>
      <c r="YW394" s="6"/>
      <c r="YX394" s="6"/>
      <c r="YY394" s="6"/>
      <c r="YZ394" s="6"/>
      <c r="ZA394" s="6"/>
      <c r="ZB394" s="6"/>
      <c r="ZC394" s="6"/>
      <c r="ZD394" s="6"/>
      <c r="ZE394" s="6"/>
      <c r="ZF394" s="6"/>
      <c r="ZG394" s="6"/>
      <c r="ZH394" s="6"/>
      <c r="ZI394" s="6"/>
      <c r="ZJ394" s="6"/>
      <c r="ZK394" s="6"/>
      <c r="ZL394" s="6"/>
      <c r="ZM394" s="6"/>
      <c r="ZN394" s="6"/>
      <c r="ZO394" s="6"/>
      <c r="ZP394" s="6"/>
      <c r="ZQ394" s="6"/>
      <c r="ZR394" s="6"/>
      <c r="ZS394" s="6"/>
      <c r="ZT394" s="6"/>
      <c r="ZU394" s="6"/>
      <c r="ZV394" s="6"/>
      <c r="ZW394" s="6"/>
      <c r="ZX394" s="6"/>
      <c r="ZY394" s="6"/>
      <c r="ZZ394" s="6"/>
      <c r="AAA394" s="6"/>
      <c r="AAB394" s="6"/>
      <c r="AAC394" s="6"/>
      <c r="AAD394" s="6"/>
      <c r="AAE394" s="6"/>
      <c r="AAF394" s="6"/>
      <c r="AAG394" s="6"/>
      <c r="AAH394" s="6"/>
      <c r="AAI394" s="6"/>
      <c r="AAJ394" s="6"/>
      <c r="AAK394" s="6"/>
      <c r="AAL394" s="6"/>
      <c r="AAM394" s="6"/>
      <c r="AAN394" s="6"/>
      <c r="AAO394" s="6"/>
      <c r="AAP394" s="6"/>
      <c r="AAQ394" s="6"/>
      <c r="AAR394" s="6"/>
      <c r="AAS394" s="6"/>
      <c r="AAT394" s="6"/>
      <c r="AAU394" s="6"/>
      <c r="AAV394" s="6"/>
      <c r="AAW394" s="6"/>
      <c r="AAX394" s="6"/>
      <c r="AAY394" s="6"/>
      <c r="AAZ394" s="6"/>
      <c r="ABA394" s="6"/>
      <c r="ABB394" s="6"/>
      <c r="ABC394" s="6"/>
      <c r="ABD394" s="6"/>
      <c r="ABE394" s="6"/>
      <c r="ABF394" s="6"/>
      <c r="ABG394" s="6"/>
      <c r="ABH394" s="6"/>
      <c r="ABI394" s="6"/>
      <c r="ABJ394" s="6"/>
      <c r="ABK394" s="6"/>
      <c r="ABL394" s="6"/>
      <c r="ABM394" s="6"/>
      <c r="ABN394" s="6"/>
      <c r="ABO394" s="6"/>
      <c r="ABP394" s="6"/>
      <c r="ABQ394" s="6"/>
      <c r="ABR394" s="6"/>
      <c r="ABS394" s="6"/>
      <c r="ABT394" s="6"/>
      <c r="ABU394" s="6"/>
      <c r="ABV394" s="6"/>
      <c r="ABW394" s="6"/>
      <c r="ABX394" s="6"/>
      <c r="ABY394" s="6"/>
      <c r="ABZ394" s="6"/>
      <c r="ACA394" s="6"/>
      <c r="ACB394" s="6"/>
      <c r="ACC394" s="6"/>
      <c r="ACD394" s="6"/>
      <c r="ACE394" s="6"/>
      <c r="ACF394" s="6"/>
      <c r="ACG394" s="6"/>
      <c r="ACH394" s="6"/>
      <c r="ACI394" s="6"/>
      <c r="ACJ394" s="6"/>
      <c r="ACK394" s="6"/>
      <c r="ACL394" s="6"/>
      <c r="ACM394" s="6"/>
      <c r="ACN394" s="6"/>
      <c r="ACO394" s="6"/>
      <c r="ACP394" s="6"/>
      <c r="ACQ394" s="6"/>
      <c r="ACR394" s="6"/>
      <c r="ACS394" s="6"/>
      <c r="ACT394" s="6"/>
      <c r="ACU394" s="6"/>
      <c r="ACV394" s="6"/>
      <c r="ACW394" s="6"/>
      <c r="ACX394" s="6"/>
      <c r="ACY394" s="6"/>
      <c r="ACZ394" s="6"/>
      <c r="ADA394" s="6"/>
      <c r="ADB394" s="6"/>
      <c r="ADC394" s="6"/>
      <c r="ADD394" s="6"/>
      <c r="ADE394" s="6"/>
      <c r="ADF394" s="6"/>
      <c r="ADG394" s="6"/>
      <c r="ADH394" s="6"/>
      <c r="ADI394" s="6"/>
      <c r="ADJ394" s="6"/>
      <c r="ADK394" s="6"/>
      <c r="ADL394" s="6"/>
      <c r="ADM394" s="6"/>
      <c r="ADN394" s="6"/>
      <c r="ADO394" s="6"/>
      <c r="ADP394" s="6"/>
      <c r="ADQ394" s="6"/>
      <c r="ADR394" s="6"/>
      <c r="ADS394" s="6"/>
      <c r="ADT394" s="6"/>
      <c r="ADU394" s="6"/>
      <c r="ADV394" s="6"/>
      <c r="ADW394" s="6"/>
      <c r="ADX394" s="6"/>
      <c r="ADY394" s="6"/>
      <c r="ADZ394" s="6"/>
      <c r="AEA394" s="6"/>
      <c r="AEB394" s="6"/>
      <c r="AEC394" s="6"/>
      <c r="AED394" s="6"/>
      <c r="AEE394" s="6"/>
      <c r="AEF394" s="6"/>
      <c r="AEG394" s="6"/>
      <c r="AEH394" s="6"/>
      <c r="AEI394" s="6"/>
      <c r="AEJ394" s="6"/>
      <c r="AEK394" s="6"/>
      <c r="AEL394" s="6"/>
      <c r="AEM394" s="6"/>
      <c r="AEN394" s="6"/>
      <c r="AEO394" s="6"/>
      <c r="AEP394" s="6"/>
      <c r="AEQ394" s="6"/>
      <c r="AER394" s="6"/>
      <c r="AES394" s="6"/>
      <c r="AET394" s="6"/>
      <c r="AEU394" s="6"/>
      <c r="AEV394" s="6"/>
      <c r="AEW394" s="6"/>
      <c r="AEX394" s="6"/>
      <c r="AEY394" s="6"/>
      <c r="AEZ394" s="6"/>
      <c r="AFA394" s="6"/>
      <c r="AFB394" s="6"/>
      <c r="AFC394" s="6"/>
      <c r="AFD394" s="6"/>
      <c r="AFE394" s="6"/>
      <c r="AFF394" s="6"/>
      <c r="AFG394" s="6"/>
      <c r="AFH394" s="6"/>
      <c r="AFI394" s="6"/>
      <c r="AFJ394" s="6"/>
      <c r="AFK394" s="6"/>
      <c r="AFL394" s="6"/>
      <c r="AFM394" s="6"/>
      <c r="AFN394" s="6"/>
      <c r="AFO394" s="6"/>
      <c r="AFP394" s="6"/>
      <c r="AFQ394" s="6"/>
      <c r="AFR394" s="6"/>
      <c r="AFS394" s="6"/>
      <c r="AFT394" s="6"/>
      <c r="AFU394" s="6"/>
      <c r="AFV394" s="6"/>
      <c r="AFW394" s="6"/>
      <c r="AFX394" s="6"/>
      <c r="AFY394" s="6"/>
      <c r="AFZ394" s="6"/>
      <c r="AGA394" s="6"/>
      <c r="AGB394" s="6"/>
      <c r="AGC394" s="6"/>
      <c r="AGD394" s="6"/>
      <c r="AGE394" s="6"/>
      <c r="AGF394" s="6"/>
      <c r="AGG394" s="6"/>
      <c r="AGH394" s="6"/>
      <c r="AGI394" s="6"/>
      <c r="AGJ394" s="6"/>
      <c r="AGK394" s="6"/>
      <c r="AGL394" s="6"/>
      <c r="AGM394" s="6"/>
      <c r="AGN394" s="6"/>
      <c r="AGO394" s="6"/>
      <c r="AGP394" s="6"/>
      <c r="AGQ394" s="6"/>
      <c r="AGR394" s="6"/>
      <c r="AGS394" s="6"/>
      <c r="AGT394" s="6"/>
      <c r="AGU394" s="6"/>
      <c r="AGV394" s="6"/>
      <c r="AGW394" s="6"/>
      <c r="AGX394" s="6"/>
      <c r="AGY394" s="6"/>
      <c r="AGZ394" s="6"/>
      <c r="AHA394" s="6"/>
      <c r="AHB394" s="6"/>
      <c r="AHC394" s="6"/>
      <c r="AHD394" s="6"/>
      <c r="AHE394" s="6"/>
      <c r="AHF394" s="6"/>
      <c r="AHG394" s="6"/>
      <c r="AHH394" s="6"/>
      <c r="AHI394" s="6"/>
      <c r="AHJ394" s="6"/>
      <c r="AHK394" s="6"/>
      <c r="AHL394" s="6"/>
      <c r="AHM394" s="6"/>
      <c r="AHN394" s="6"/>
      <c r="AHO394" s="6"/>
      <c r="AHP394" s="6"/>
      <c r="AHQ394" s="6"/>
      <c r="AHR394" s="6"/>
      <c r="AHS394" s="6"/>
      <c r="AHT394" s="6"/>
      <c r="AHU394" s="6"/>
      <c r="AHV394" s="6"/>
      <c r="AHW394" s="6"/>
      <c r="AHX394" s="6"/>
      <c r="AHY394" s="6"/>
      <c r="AHZ394" s="6"/>
      <c r="AIA394" s="6"/>
      <c r="AIB394" s="6"/>
      <c r="AIC394" s="6"/>
      <c r="AID394" s="6"/>
      <c r="AIE394" s="6"/>
      <c r="AIF394" s="6"/>
      <c r="AIG394" s="6"/>
      <c r="AIH394" s="6"/>
      <c r="AII394" s="6"/>
      <c r="AIJ394" s="6"/>
      <c r="AIK394" s="6"/>
      <c r="AIL394" s="6"/>
      <c r="AIM394" s="6"/>
      <c r="AIN394" s="6"/>
      <c r="AIO394" s="6"/>
      <c r="AIP394" s="6"/>
      <c r="AIQ394" s="6"/>
      <c r="AIR394" s="6"/>
      <c r="AIS394" s="6"/>
      <c r="AIT394" s="6"/>
      <c r="AIU394" s="6"/>
      <c r="AIV394" s="6"/>
      <c r="AIW394" s="6"/>
      <c r="AIX394" s="6"/>
      <c r="AIY394" s="6"/>
      <c r="AIZ394" s="6"/>
      <c r="AJA394" s="6"/>
      <c r="AJB394" s="6"/>
      <c r="AJC394" s="6"/>
      <c r="AJD394" s="6"/>
      <c r="AJE394" s="6"/>
      <c r="AJF394" s="6"/>
      <c r="AJG394" s="6"/>
      <c r="AJH394" s="6"/>
      <c r="AJI394" s="6"/>
      <c r="AJJ394" s="6"/>
      <c r="AJK394" s="6"/>
      <c r="AJL394" s="6"/>
      <c r="AJM394" s="6"/>
      <c r="AJN394" s="6"/>
      <c r="AJO394" s="6"/>
      <c r="AJP394" s="6"/>
      <c r="AJQ394" s="6"/>
      <c r="AJR394" s="6"/>
      <c r="AJS394" s="6"/>
      <c r="AJT394" s="6"/>
      <c r="AJU394" s="6"/>
      <c r="AJV394" s="6"/>
      <c r="AJW394" s="6"/>
      <c r="AJX394" s="6"/>
      <c r="AJY394" s="6"/>
      <c r="AJZ394" s="6"/>
      <c r="AKA394" s="6"/>
      <c r="AKB394" s="6"/>
      <c r="AKC394" s="6"/>
      <c r="AKD394" s="6"/>
      <c r="AKE394" s="6"/>
      <c r="AKF394" s="6"/>
      <c r="AKG394" s="6"/>
      <c r="AKH394" s="6"/>
      <c r="AKI394" s="6"/>
      <c r="AKJ394" s="6"/>
      <c r="AKK394" s="6"/>
      <c r="AKL394" s="6"/>
      <c r="AKM394" s="6"/>
      <c r="AKN394" s="6"/>
      <c r="AKO394" s="6"/>
      <c r="AKP394" s="6"/>
      <c r="AKQ394" s="6"/>
      <c r="AKR394" s="6"/>
      <c r="AKS394" s="6"/>
      <c r="AKT394" s="6"/>
      <c r="AKU394" s="6"/>
      <c r="AKV394" s="6"/>
      <c r="AKW394" s="6"/>
      <c r="AKX394" s="6"/>
      <c r="AKY394" s="6"/>
      <c r="AKZ394" s="6"/>
      <c r="ALA394" s="6"/>
      <c r="ALB394" s="6"/>
      <c r="ALC394" s="6"/>
      <c r="ALD394" s="6"/>
      <c r="ALE394" s="6"/>
      <c r="ALF394" s="6"/>
      <c r="ALG394" s="6"/>
      <c r="ALH394" s="6"/>
      <c r="ALI394" s="6"/>
      <c r="ALJ394" s="6"/>
      <c r="ALK394" s="6"/>
      <c r="ALL394" s="6"/>
      <c r="ALM394" s="6"/>
      <c r="ALN394" s="6"/>
      <c r="ALO394" s="6"/>
      <c r="ALP394" s="6"/>
      <c r="ALQ394" s="6"/>
      <c r="ALR394" s="6"/>
      <c r="ALS394" s="6"/>
      <c r="ALT394" s="6"/>
      <c r="ALU394" s="6"/>
      <c r="ALV394" s="6"/>
      <c r="ALW394" s="6"/>
      <c r="ALX394" s="6"/>
      <c r="ALY394" s="6"/>
      <c r="ALZ394" s="6"/>
      <c r="AMA394" s="6"/>
      <c r="AMB394" s="6"/>
      <c r="AMC394" s="6"/>
      <c r="AMD394" s="6"/>
      <c r="AME394" s="6"/>
      <c r="AMF394" s="6"/>
      <c r="AMG394" s="6"/>
      <c r="AMH394" s="6"/>
      <c r="AMI394" s="6"/>
      <c r="AMJ394" s="6"/>
      <c r="AMK394" s="6"/>
      <c r="AML394" s="6"/>
      <c r="AMM394" s="6"/>
      <c r="AMN394" s="6"/>
      <c r="AMO394" s="6"/>
      <c r="AMP394" s="6"/>
    </row>
    <row r="395" spans="1:1030" x14ac:dyDescent="0.2">
      <c r="A395" s="3" t="str">
        <f>CONCATENATE(B395,"_",C395)</f>
        <v>calcr_human_5UZ7</v>
      </c>
      <c r="B395" s="2" t="s">
        <v>400</v>
      </c>
      <c r="C395" s="3" t="s">
        <v>1395</v>
      </c>
      <c r="D395" s="3" t="str">
        <f>IFERROR(MID(VLOOKUP($B395,Seqs!$A:$B,2,0),E395,1),"")</f>
        <v>A</v>
      </c>
      <c r="E395" s="3">
        <v>136</v>
      </c>
      <c r="F395" s="3" t="str">
        <f>IFERROR(MID(VLOOKUP($B395,Seqs!$A:$B,2,0),G395,1),"")</f>
        <v>F</v>
      </c>
      <c r="G395" s="3">
        <v>173</v>
      </c>
      <c r="H395" s="3" t="str">
        <f>IFERROR(MID(VLOOKUP($B395,Seqs!$A:$B,2,0),I395,1),"")</f>
        <v>R</v>
      </c>
      <c r="I395" s="23">
        <v>174</v>
      </c>
      <c r="J395" s="3" t="str">
        <f>IFERROR(MID(VLOOKUP($B395,Seqs!$A:$B,2,0),K395,1),"")</f>
        <v>G</v>
      </c>
      <c r="K395" s="23">
        <v>177</v>
      </c>
      <c r="L395" s="3" t="str">
        <f>IFERROR(MID(VLOOKUP($B395,Seqs!$A:$B,2,0),M395,1),"")</f>
        <v>C</v>
      </c>
      <c r="M395" s="3">
        <v>178</v>
      </c>
      <c r="N395" s="3" t="str">
        <f>IFERROR(MID(VLOOKUP($B395,Seqs!$A:$B,2,0),O395,1),"")</f>
        <v>V</v>
      </c>
      <c r="O395" s="3">
        <v>205</v>
      </c>
      <c r="P395" s="3" t="str">
        <f>IFERROR(MID(VLOOKUP($B395,Seqs!$A:$B,2,0),Q395,1),"")</f>
        <v/>
      </c>
      <c r="Q395" s="3" t="s">
        <v>23</v>
      </c>
      <c r="R395" s="3" t="str">
        <f>IFERROR(MID(VLOOKUP($B395,Seqs!$A:$B,2,0),S395,1),"")</f>
        <v/>
      </c>
      <c r="S395" s="3" t="s">
        <v>23</v>
      </c>
      <c r="T395" s="3" t="str">
        <f>IFERROR(MID(VLOOKUP($B395,Seqs!$A:$B,2,0),U395,1),"")</f>
        <v>D</v>
      </c>
      <c r="U395" s="3">
        <v>215</v>
      </c>
      <c r="V395" s="3" t="str">
        <f>IFERROR(MID(VLOOKUP($B395,Seqs!$A:$B,2,0),W395,1),"")</f>
        <v>V</v>
      </c>
      <c r="W395" s="3">
        <v>250</v>
      </c>
      <c r="X395" s="3" t="str">
        <f>IFERROR(MID(VLOOKUP($B395,Seqs!$A:$B,2,0),Y395,1),"")</f>
        <v/>
      </c>
      <c r="Y395" s="3" t="s">
        <v>23</v>
      </c>
      <c r="Z395" s="3" t="str">
        <f>IFERROR(MID(VLOOKUP($B395,Seqs!$A:$B,2,0),AA395,1),"")</f>
        <v/>
      </c>
      <c r="AA395" s="3" t="s">
        <v>23</v>
      </c>
      <c r="AB395" s="3" t="str">
        <f>IFERROR(MID(VLOOKUP($B395,Seqs!$A:$B,2,0),AC395,1),"")</f>
        <v>R</v>
      </c>
      <c r="AC395" s="3">
        <v>258</v>
      </c>
      <c r="AD395" s="3" t="str">
        <f>IFERROR(MID(VLOOKUP($B395,Seqs!$A:$B,2,0),AE395,1),"")</f>
        <v>F</v>
      </c>
      <c r="AE395" s="3">
        <v>285</v>
      </c>
      <c r="AF395" s="3" t="str">
        <f>IFERROR(MID(VLOOKUP($B395,Seqs!$A:$B,2,0),AG395,1),"")</f>
        <v>C</v>
      </c>
      <c r="AG395" s="3">
        <v>289</v>
      </c>
      <c r="AH395" s="3" t="str">
        <f>IFERROR(MID(VLOOKUP($B395,Seqs!$A:$B,2,0),AI395,1),"")</f>
        <v>L</v>
      </c>
      <c r="AI395" s="3">
        <v>291</v>
      </c>
      <c r="AJ395" s="3" t="str">
        <f>IFERROR(MID(VLOOKUP($B395,Seqs!$A:$B,2,0),AK395,1),"")</f>
        <v>L</v>
      </c>
      <c r="AK395" s="3">
        <v>298</v>
      </c>
      <c r="AL395" s="3" t="str">
        <f>IFERROR(MID(VLOOKUP($B395,Seqs!$A:$B,2,0),AM395,1),"")</f>
        <v>R</v>
      </c>
      <c r="AM395" s="3">
        <v>328</v>
      </c>
      <c r="AN395" s="3" t="str">
        <f>IFERROR(MID(VLOOKUP($B395,Seqs!$A:$B,2,0),AO395,1),"")</f>
        <v>L</v>
      </c>
      <c r="AO395" s="3">
        <v>352</v>
      </c>
      <c r="AP395" s="3" t="str">
        <f>IFERROR(MID(VLOOKUP($B395,Seqs!$A:$B,2,0),AQ395,1),"")</f>
        <v>P</v>
      </c>
      <c r="AQ395" s="3">
        <v>360</v>
      </c>
      <c r="AR395" s="3" t="str">
        <f>IFERROR(MID(VLOOKUP($B395,Seqs!$A:$B,2,0),AS395,1),"")</f>
        <v>K</v>
      </c>
      <c r="AS395" s="3">
        <v>366</v>
      </c>
      <c r="AT395" s="3" t="str">
        <f>IFERROR(MID(VLOOKUP($B395,Seqs!$A:$B,2,0),AU395,1),"")</f>
        <v>C</v>
      </c>
      <c r="AU395" s="3">
        <v>394</v>
      </c>
      <c r="AV395" s="3" t="str">
        <f>IFERROR(MID(VLOOKUP($B395,Seqs!$A:$B,2,0),AW395,1),"")</f>
        <v>N</v>
      </c>
      <c r="AW395" s="3">
        <v>395</v>
      </c>
      <c r="AX395" s="3" t="str">
        <f>IFERROR(MID(VLOOKUP($B395,Seqs!$A:$B,2,0),AY395,1),"")</f>
        <v>G</v>
      </c>
      <c r="AY395" s="3">
        <v>418</v>
      </c>
      <c r="AZ395" s="77" t="str">
        <f>VLOOKUP(B395,Classification!A:D,2,0)</f>
        <v>B1</v>
      </c>
      <c r="BA395" s="94" t="str">
        <f>VLOOKUP(B395,Classification!A:D,4,0)</f>
        <v>Calcitonin</v>
      </c>
      <c r="BB395" s="27" t="b">
        <f t="shared" si="1169"/>
        <v>1</v>
      </c>
      <c r="BC395" s="23">
        <f t="shared" si="1170"/>
        <v>232</v>
      </c>
      <c r="BD395" s="4" t="s">
        <v>23</v>
      </c>
      <c r="BE395" s="3" t="s">
        <v>1285</v>
      </c>
      <c r="BF395" s="118">
        <v>4.0999999999999996</v>
      </c>
      <c r="BG395" s="49" t="s">
        <v>1371</v>
      </c>
      <c r="BH395" s="49" t="s">
        <v>1371</v>
      </c>
      <c r="BI395" s="1"/>
      <c r="BJ395" s="70" t="s">
        <v>1281</v>
      </c>
      <c r="BK395" s="57" t="s">
        <v>1281</v>
      </c>
      <c r="BL395" s="57" t="s">
        <v>1281</v>
      </c>
      <c r="BM395" s="57" t="s">
        <v>1281</v>
      </c>
      <c r="BN395" s="57" t="s">
        <v>1281</v>
      </c>
      <c r="BO395" s="57" t="s">
        <v>1281</v>
      </c>
      <c r="BP395" s="57" t="s">
        <v>1281</v>
      </c>
      <c r="BQ395" s="57" t="s">
        <v>1281</v>
      </c>
      <c r="BR395" s="57" t="s">
        <v>1281</v>
      </c>
      <c r="BS395" s="57" t="s">
        <v>1281</v>
      </c>
      <c r="BT395" s="57" t="s">
        <v>1281</v>
      </c>
      <c r="BU395" s="57" t="s">
        <v>1281</v>
      </c>
      <c r="BV395" s="70">
        <f>E395</f>
        <v>136</v>
      </c>
      <c r="BW395" s="71">
        <f>I395</f>
        <v>174</v>
      </c>
      <c r="BX395" s="72">
        <f>M395</f>
        <v>178</v>
      </c>
      <c r="BY395" s="71" t="str">
        <f>Q395</f>
        <v>-</v>
      </c>
      <c r="BZ395" s="72">
        <f>U395</f>
        <v>215</v>
      </c>
      <c r="CA395" s="71" t="str">
        <f>Y395</f>
        <v>-</v>
      </c>
      <c r="CB395" s="72">
        <f>AC395</f>
        <v>258</v>
      </c>
      <c r="CC395" s="71">
        <f>AG395</f>
        <v>289</v>
      </c>
      <c r="CD395" s="72">
        <f>AK395</f>
        <v>298</v>
      </c>
      <c r="CE395" s="71">
        <f>AO395</f>
        <v>352</v>
      </c>
      <c r="CF395" s="72">
        <f>AS395</f>
        <v>366</v>
      </c>
      <c r="CG395" s="71">
        <f>AW395</f>
        <v>395</v>
      </c>
      <c r="CH395" s="70">
        <f>G395</f>
        <v>173</v>
      </c>
      <c r="CI395" s="71">
        <f>K395</f>
        <v>177</v>
      </c>
      <c r="CJ395" s="72">
        <f>O395</f>
        <v>205</v>
      </c>
      <c r="CK395" s="72" t="str">
        <f>S395</f>
        <v>-</v>
      </c>
      <c r="CL395" s="72">
        <f>W395</f>
        <v>250</v>
      </c>
      <c r="CM395" s="72" t="str">
        <f>AA395</f>
        <v>-</v>
      </c>
      <c r="CN395" s="72">
        <f>AE395</f>
        <v>285</v>
      </c>
      <c r="CO395" s="72">
        <f>AI395</f>
        <v>291</v>
      </c>
      <c r="CP395" s="72">
        <f>AM395</f>
        <v>328</v>
      </c>
      <c r="CQ395" s="72">
        <f>AQ395</f>
        <v>360</v>
      </c>
      <c r="CR395" s="72">
        <f>AU395</f>
        <v>394</v>
      </c>
      <c r="CS395" s="72">
        <f>AY395</f>
        <v>418</v>
      </c>
      <c r="CT395" s="23">
        <f>M395-K395</f>
        <v>1</v>
      </c>
      <c r="CU395" s="6"/>
      <c r="CV395" s="6"/>
      <c r="CW395" s="6"/>
      <c r="CX395" s="6"/>
      <c r="CY395" s="6"/>
      <c r="CZ395" s="6"/>
      <c r="DA395" s="6"/>
      <c r="DB395" s="6"/>
      <c r="DC395" s="6"/>
      <c r="DD395" s="6"/>
      <c r="DE395" s="6"/>
      <c r="DF395" s="6"/>
      <c r="DG395" s="6"/>
      <c r="DH395" s="6"/>
      <c r="DI395" s="6"/>
      <c r="DJ395" s="6"/>
      <c r="DK395" s="6"/>
      <c r="DL395" s="6"/>
      <c r="DM395" s="6"/>
      <c r="DN395" s="6"/>
      <c r="DO395" s="6"/>
      <c r="DP395" s="6"/>
      <c r="DQ395" s="6"/>
      <c r="DR395" s="6"/>
      <c r="DS395" s="6"/>
      <c r="DT395" s="6"/>
      <c r="DU395" s="6"/>
      <c r="DV395" s="6"/>
      <c r="DW395" s="6"/>
      <c r="DX395" s="6"/>
      <c r="DY395" s="6"/>
      <c r="DZ395" s="6"/>
      <c r="EA395" s="6"/>
      <c r="EB395" s="6"/>
      <c r="EC395" s="6"/>
      <c r="ED395" s="6"/>
      <c r="EE395" s="6"/>
      <c r="EF395" s="6"/>
      <c r="EG395" s="6"/>
      <c r="EH395" s="6"/>
      <c r="EI395" s="6"/>
      <c r="EJ395" s="6"/>
      <c r="EK395" s="6"/>
      <c r="EL395" s="6"/>
      <c r="EM395" s="6"/>
      <c r="EN395" s="6"/>
      <c r="EO395" s="6"/>
      <c r="EP395" s="6"/>
      <c r="EQ395" s="6"/>
      <c r="ER395" s="6"/>
      <c r="ES395" s="6"/>
      <c r="ET395" s="6"/>
      <c r="EU395" s="6"/>
      <c r="EV395" s="6"/>
      <c r="EW395" s="6"/>
      <c r="EX395" s="6"/>
      <c r="EY395" s="6"/>
      <c r="EZ395" s="6"/>
      <c r="FA395" s="6"/>
      <c r="FB395" s="6"/>
      <c r="FC395" s="6"/>
      <c r="FD395" s="6"/>
      <c r="FE395" s="6"/>
      <c r="FF395" s="6"/>
      <c r="FG395" s="6"/>
      <c r="FH395" s="6"/>
      <c r="FI395" s="6"/>
      <c r="FJ395" s="6"/>
      <c r="FK395" s="6"/>
      <c r="FL395" s="6"/>
      <c r="FM395" s="6"/>
      <c r="FN395" s="6"/>
      <c r="FO395" s="6"/>
      <c r="FP395" s="6"/>
      <c r="FQ395" s="6"/>
      <c r="FR395" s="6"/>
      <c r="FS395" s="6"/>
      <c r="FT395" s="6"/>
      <c r="FU395" s="6"/>
      <c r="FV395" s="6"/>
      <c r="FW395" s="6"/>
      <c r="FX395" s="6"/>
      <c r="FY395" s="6"/>
      <c r="FZ395" s="6"/>
      <c r="GA395" s="6"/>
      <c r="GB395" s="6"/>
      <c r="GC395" s="6"/>
      <c r="GD395" s="6"/>
      <c r="GE395" s="6"/>
      <c r="GF395" s="6"/>
      <c r="GG395" s="6"/>
      <c r="GH395" s="6"/>
      <c r="GI395" s="6"/>
      <c r="GJ395" s="6"/>
      <c r="GK395" s="6"/>
      <c r="GL395" s="6"/>
      <c r="GM395" s="6"/>
      <c r="GN395" s="6"/>
      <c r="GO395" s="6"/>
      <c r="GP395" s="6"/>
      <c r="GQ395" s="6"/>
      <c r="GR395" s="6"/>
      <c r="GS395" s="6"/>
      <c r="GT395" s="6"/>
      <c r="GU395" s="6"/>
      <c r="GV395" s="6"/>
      <c r="GW395" s="6"/>
      <c r="GX395" s="6"/>
      <c r="GY395" s="6"/>
      <c r="GZ395" s="6"/>
      <c r="HA395" s="6"/>
      <c r="HB395" s="6"/>
      <c r="HC395" s="6"/>
      <c r="HD395" s="6"/>
      <c r="HE395" s="6"/>
      <c r="HF395" s="6"/>
      <c r="HG395" s="6"/>
      <c r="HH395" s="6"/>
      <c r="HI395" s="6"/>
      <c r="HJ395" s="6"/>
      <c r="HK395" s="6"/>
      <c r="HL395" s="6"/>
      <c r="HM395" s="6"/>
      <c r="HN395" s="6"/>
      <c r="HO395" s="6"/>
      <c r="HP395" s="6"/>
      <c r="HQ395" s="6"/>
      <c r="HR395" s="6"/>
      <c r="HS395" s="6"/>
      <c r="HT395" s="6"/>
      <c r="HU395" s="6"/>
      <c r="HV395" s="6"/>
      <c r="HW395" s="6"/>
      <c r="HX395" s="6"/>
      <c r="HY395" s="6"/>
      <c r="HZ395" s="6"/>
      <c r="IA395" s="6"/>
      <c r="IB395" s="6"/>
      <c r="IC395" s="6"/>
      <c r="ID395" s="6"/>
      <c r="IE395" s="6"/>
      <c r="IF395" s="6"/>
      <c r="IG395" s="6"/>
      <c r="IH395" s="6"/>
      <c r="II395" s="6"/>
      <c r="IJ395" s="6"/>
      <c r="IK395" s="6"/>
      <c r="IL395" s="6"/>
      <c r="IM395" s="6"/>
      <c r="IN395" s="6"/>
      <c r="IO395" s="6"/>
      <c r="IP395" s="6"/>
      <c r="IQ395" s="6"/>
      <c r="IR395" s="6"/>
      <c r="IS395" s="6"/>
      <c r="IT395" s="6"/>
      <c r="IU395" s="6"/>
      <c r="IV395" s="6"/>
      <c r="IW395" s="6"/>
      <c r="IX395" s="6"/>
      <c r="IY395" s="6"/>
      <c r="IZ395" s="6"/>
      <c r="JA395" s="6"/>
      <c r="JB395" s="6"/>
      <c r="JC395" s="6"/>
      <c r="JD395" s="6"/>
      <c r="JE395" s="6"/>
      <c r="JF395" s="6"/>
      <c r="JG395" s="6"/>
      <c r="JH395" s="6"/>
      <c r="JI395" s="6"/>
      <c r="JJ395" s="6"/>
      <c r="JK395" s="6"/>
      <c r="JL395" s="6"/>
      <c r="JM395" s="6"/>
      <c r="JN395" s="6"/>
      <c r="JO395" s="6"/>
      <c r="JP395" s="6"/>
      <c r="JQ395" s="6"/>
      <c r="JR395" s="6"/>
      <c r="JS395" s="6"/>
      <c r="JT395" s="6"/>
      <c r="JU395" s="6"/>
      <c r="JV395" s="6"/>
      <c r="JW395" s="6"/>
      <c r="JX395" s="6"/>
      <c r="JY395" s="6"/>
      <c r="JZ395" s="6"/>
      <c r="KA395" s="6"/>
      <c r="KB395" s="6"/>
      <c r="KC395" s="6"/>
      <c r="KD395" s="6"/>
      <c r="KE395" s="6"/>
      <c r="KF395" s="6"/>
      <c r="KG395" s="6"/>
      <c r="KH395" s="6"/>
      <c r="KI395" s="6"/>
      <c r="KJ395" s="6"/>
      <c r="KK395" s="6"/>
      <c r="KL395" s="6"/>
      <c r="KM395" s="6"/>
      <c r="KN395" s="6"/>
      <c r="KO395" s="6"/>
      <c r="KP395" s="6"/>
      <c r="KQ395" s="6"/>
      <c r="KR395" s="6"/>
      <c r="KS395" s="6"/>
      <c r="KT395" s="6"/>
      <c r="KU395" s="6"/>
      <c r="KV395" s="6"/>
      <c r="KW395" s="6"/>
      <c r="KX395" s="6"/>
      <c r="KY395" s="6"/>
      <c r="KZ395" s="6"/>
      <c r="LA395" s="6"/>
      <c r="LB395" s="6"/>
      <c r="LC395" s="6"/>
      <c r="LD395" s="6"/>
      <c r="LE395" s="6"/>
      <c r="LF395" s="6"/>
      <c r="LG395" s="6"/>
      <c r="LH395" s="6"/>
      <c r="LI395" s="6"/>
      <c r="LJ395" s="6"/>
      <c r="LK395" s="6"/>
      <c r="LL395" s="6"/>
      <c r="LM395" s="6"/>
      <c r="LN395" s="6"/>
      <c r="LO395" s="6"/>
      <c r="LP395" s="6"/>
      <c r="LQ395" s="6"/>
      <c r="LR395" s="6"/>
      <c r="LS395" s="6"/>
      <c r="LT395" s="6"/>
      <c r="LU395" s="6"/>
      <c r="LV395" s="6"/>
      <c r="LW395" s="6"/>
      <c r="LX395" s="6"/>
      <c r="LY395" s="6"/>
      <c r="LZ395" s="6"/>
      <c r="MA395" s="6"/>
      <c r="MB395" s="6"/>
      <c r="MC395" s="6"/>
      <c r="MD395" s="6"/>
      <c r="ME395" s="6"/>
      <c r="MF395" s="6"/>
      <c r="MG395" s="6"/>
      <c r="MH395" s="6"/>
      <c r="MI395" s="6"/>
      <c r="MJ395" s="6"/>
      <c r="MK395" s="6"/>
      <c r="ML395" s="6"/>
      <c r="MM395" s="6"/>
      <c r="MN395" s="6"/>
      <c r="MO395" s="6"/>
      <c r="MP395" s="6"/>
      <c r="MQ395" s="6"/>
      <c r="MR395" s="6"/>
      <c r="MS395" s="6"/>
      <c r="MT395" s="6"/>
      <c r="MU395" s="6"/>
      <c r="MV395" s="6"/>
      <c r="MW395" s="6"/>
      <c r="MX395" s="6"/>
      <c r="MY395" s="6"/>
      <c r="MZ395" s="6"/>
      <c r="NA395" s="6"/>
      <c r="NB395" s="6"/>
      <c r="NC395" s="6"/>
      <c r="ND395" s="6"/>
      <c r="NE395" s="6"/>
      <c r="NF395" s="6"/>
      <c r="NG395" s="6"/>
      <c r="NH395" s="6"/>
      <c r="NI395" s="6"/>
      <c r="NJ395" s="6"/>
      <c r="NK395" s="6"/>
      <c r="NL395" s="6"/>
      <c r="NM395" s="6"/>
      <c r="NN395" s="6"/>
      <c r="NO395" s="6"/>
      <c r="NP395" s="6"/>
      <c r="NQ395" s="6"/>
      <c r="NR395" s="6"/>
      <c r="NS395" s="6"/>
      <c r="NT395" s="6"/>
      <c r="NU395" s="6"/>
      <c r="NV395" s="6"/>
      <c r="NW395" s="6"/>
      <c r="NX395" s="6"/>
      <c r="NY395" s="6"/>
      <c r="NZ395" s="6"/>
      <c r="OA395" s="6"/>
      <c r="OB395" s="6"/>
      <c r="OC395" s="6"/>
      <c r="OD395" s="6"/>
      <c r="OE395" s="6"/>
      <c r="OF395" s="6"/>
      <c r="OG395" s="6"/>
      <c r="OH395" s="6"/>
      <c r="OI395" s="6"/>
      <c r="OJ395" s="6"/>
      <c r="OK395" s="6"/>
      <c r="OL395" s="6"/>
      <c r="OM395" s="6"/>
      <c r="ON395" s="6"/>
      <c r="OO395" s="6"/>
      <c r="OP395" s="6"/>
      <c r="OQ395" s="6"/>
      <c r="OR395" s="6"/>
      <c r="OS395" s="6"/>
      <c r="OT395" s="6"/>
      <c r="OU395" s="6"/>
      <c r="OV395" s="6"/>
      <c r="OW395" s="6"/>
      <c r="OX395" s="6"/>
      <c r="OY395" s="6"/>
      <c r="OZ395" s="6"/>
      <c r="PA395" s="6"/>
      <c r="PB395" s="6"/>
      <c r="PC395" s="6"/>
      <c r="PD395" s="6"/>
      <c r="PE395" s="6"/>
      <c r="PF395" s="6"/>
      <c r="PG395" s="6"/>
      <c r="PH395" s="6"/>
      <c r="PI395" s="6"/>
      <c r="PJ395" s="6"/>
      <c r="PK395" s="6"/>
      <c r="PL395" s="6"/>
      <c r="PM395" s="6"/>
      <c r="PN395" s="6"/>
      <c r="PO395" s="6"/>
      <c r="PP395" s="6"/>
      <c r="PQ395" s="6"/>
      <c r="PR395" s="6"/>
      <c r="PS395" s="6"/>
      <c r="PT395" s="6"/>
      <c r="PU395" s="6"/>
      <c r="PV395" s="6"/>
      <c r="PW395" s="6"/>
      <c r="PX395" s="6"/>
      <c r="PY395" s="6"/>
      <c r="PZ395" s="6"/>
      <c r="QA395" s="6"/>
      <c r="QB395" s="6"/>
      <c r="QC395" s="6"/>
      <c r="QD395" s="6"/>
      <c r="QE395" s="6"/>
      <c r="QF395" s="6"/>
      <c r="QG395" s="6"/>
      <c r="QH395" s="6"/>
      <c r="QI395" s="6"/>
      <c r="QJ395" s="6"/>
      <c r="QK395" s="6"/>
      <c r="QL395" s="6"/>
      <c r="QM395" s="6"/>
      <c r="QN395" s="6"/>
      <c r="QO395" s="6"/>
      <c r="QP395" s="6"/>
      <c r="QQ395" s="6"/>
      <c r="QR395" s="6"/>
      <c r="QS395" s="6"/>
      <c r="QT395" s="6"/>
      <c r="QU395" s="6"/>
      <c r="QV395" s="6"/>
      <c r="QW395" s="6"/>
      <c r="QX395" s="6"/>
      <c r="QY395" s="6"/>
      <c r="QZ395" s="6"/>
      <c r="RA395" s="6"/>
      <c r="RB395" s="6"/>
      <c r="RC395" s="6"/>
      <c r="RD395" s="6"/>
      <c r="RE395" s="6"/>
      <c r="RF395" s="6"/>
      <c r="RG395" s="6"/>
      <c r="RH395" s="6"/>
      <c r="RI395" s="6"/>
      <c r="RJ395" s="6"/>
      <c r="RK395" s="6"/>
      <c r="RL395" s="6"/>
      <c r="RM395" s="6"/>
      <c r="RN395" s="6"/>
      <c r="RO395" s="6"/>
      <c r="RP395" s="6"/>
      <c r="RQ395" s="6"/>
      <c r="RR395" s="6"/>
      <c r="RS395" s="6"/>
      <c r="RT395" s="6"/>
      <c r="RU395" s="6"/>
      <c r="RV395" s="6"/>
      <c r="RW395" s="6"/>
      <c r="RX395" s="6"/>
      <c r="RY395" s="6"/>
      <c r="RZ395" s="6"/>
      <c r="SA395" s="6"/>
      <c r="SB395" s="6"/>
      <c r="SC395" s="6"/>
      <c r="SD395" s="6"/>
      <c r="SE395" s="6"/>
      <c r="SF395" s="6"/>
      <c r="SG395" s="6"/>
      <c r="SH395" s="6"/>
      <c r="SI395" s="6"/>
      <c r="SJ395" s="6"/>
      <c r="SK395" s="6"/>
      <c r="SL395" s="6"/>
      <c r="SM395" s="6"/>
      <c r="SN395" s="6"/>
      <c r="SO395" s="6"/>
      <c r="SP395" s="6"/>
      <c r="SQ395" s="6"/>
      <c r="SR395" s="6"/>
      <c r="SS395" s="6"/>
      <c r="ST395" s="6"/>
      <c r="SU395" s="6"/>
      <c r="SV395" s="6"/>
      <c r="SW395" s="6"/>
      <c r="SX395" s="6"/>
      <c r="SY395" s="6"/>
      <c r="SZ395" s="6"/>
      <c r="TA395" s="6"/>
      <c r="TB395" s="6"/>
      <c r="TC395" s="6"/>
      <c r="TD395" s="6"/>
      <c r="TE395" s="6"/>
      <c r="TF395" s="6"/>
      <c r="TG395" s="6"/>
      <c r="TH395" s="6"/>
      <c r="TI395" s="6"/>
      <c r="TJ395" s="6"/>
      <c r="TK395" s="6"/>
      <c r="TL395" s="6"/>
      <c r="TM395" s="6"/>
      <c r="TN395" s="6"/>
      <c r="TO395" s="6"/>
      <c r="TP395" s="6"/>
      <c r="TQ395" s="6"/>
      <c r="TR395" s="6"/>
      <c r="TS395" s="6"/>
      <c r="TT395" s="6"/>
      <c r="TU395" s="6"/>
      <c r="TV395" s="6"/>
      <c r="TW395" s="6"/>
      <c r="TX395" s="6"/>
      <c r="TY395" s="6"/>
      <c r="TZ395" s="6"/>
      <c r="UA395" s="6"/>
      <c r="UB395" s="6"/>
      <c r="UC395" s="6"/>
      <c r="UD395" s="6"/>
      <c r="UE395" s="6"/>
      <c r="UF395" s="6"/>
      <c r="UG395" s="6"/>
      <c r="UH395" s="6"/>
      <c r="UI395" s="6"/>
      <c r="UJ395" s="6"/>
      <c r="UK395" s="6"/>
      <c r="UL395" s="6"/>
      <c r="UM395" s="6"/>
      <c r="UN395" s="6"/>
      <c r="UO395" s="6"/>
      <c r="UP395" s="6"/>
      <c r="UQ395" s="6"/>
      <c r="UR395" s="6"/>
      <c r="US395" s="6"/>
      <c r="UT395" s="6"/>
      <c r="UU395" s="6"/>
      <c r="UV395" s="6"/>
      <c r="UW395" s="6"/>
      <c r="UX395" s="6"/>
      <c r="UY395" s="6"/>
      <c r="UZ395" s="6"/>
      <c r="VA395" s="6"/>
      <c r="VB395" s="6"/>
      <c r="VC395" s="6"/>
      <c r="VD395" s="6"/>
      <c r="VE395" s="6"/>
      <c r="VF395" s="6"/>
      <c r="VG395" s="6"/>
      <c r="VH395" s="6"/>
      <c r="VI395" s="6"/>
      <c r="VJ395" s="6"/>
      <c r="VK395" s="6"/>
      <c r="VL395" s="6"/>
      <c r="VM395" s="6"/>
      <c r="VN395" s="6"/>
      <c r="VO395" s="6"/>
      <c r="VP395" s="6"/>
      <c r="VQ395" s="6"/>
      <c r="VR395" s="6"/>
      <c r="VS395" s="6"/>
      <c r="VT395" s="6"/>
      <c r="VU395" s="6"/>
      <c r="VV395" s="6"/>
      <c r="VW395" s="6"/>
      <c r="VX395" s="6"/>
      <c r="VY395" s="6"/>
      <c r="VZ395" s="6"/>
      <c r="WA395" s="6"/>
      <c r="WB395" s="6"/>
      <c r="WC395" s="6"/>
      <c r="WD395" s="6"/>
      <c r="WE395" s="6"/>
      <c r="WF395" s="6"/>
      <c r="WG395" s="6"/>
      <c r="WH395" s="6"/>
      <c r="WI395" s="6"/>
      <c r="WJ395" s="6"/>
      <c r="WK395" s="6"/>
      <c r="WL395" s="6"/>
      <c r="WM395" s="6"/>
      <c r="WN395" s="6"/>
      <c r="WO395" s="6"/>
      <c r="WP395" s="6"/>
      <c r="WQ395" s="6"/>
      <c r="WR395" s="6"/>
      <c r="WS395" s="6"/>
      <c r="WT395" s="6"/>
      <c r="WU395" s="6"/>
      <c r="WV395" s="6"/>
      <c r="WW395" s="6"/>
      <c r="WX395" s="6"/>
      <c r="WY395" s="6"/>
      <c r="WZ395" s="6"/>
      <c r="XA395" s="6"/>
      <c r="XB395" s="6"/>
      <c r="XC395" s="6"/>
      <c r="XD395" s="6"/>
      <c r="XE395" s="6"/>
      <c r="XF395" s="6"/>
      <c r="XG395" s="6"/>
      <c r="XH395" s="6"/>
      <c r="XI395" s="6"/>
      <c r="XJ395" s="6"/>
      <c r="XK395" s="6"/>
      <c r="XL395" s="6"/>
      <c r="XM395" s="6"/>
      <c r="XN395" s="6"/>
      <c r="XO395" s="6"/>
      <c r="XP395" s="6"/>
      <c r="XQ395" s="6"/>
      <c r="XR395" s="6"/>
      <c r="XS395" s="6"/>
      <c r="XT395" s="6"/>
      <c r="XU395" s="6"/>
      <c r="XV395" s="6"/>
      <c r="XW395" s="6"/>
      <c r="XX395" s="6"/>
      <c r="XY395" s="6"/>
      <c r="XZ395" s="6"/>
      <c r="YA395" s="6"/>
      <c r="YB395" s="6"/>
      <c r="YC395" s="6"/>
      <c r="YD395" s="6"/>
      <c r="YE395" s="6"/>
      <c r="YF395" s="6"/>
      <c r="YG395" s="6"/>
      <c r="YH395" s="6"/>
      <c r="YI395" s="6"/>
      <c r="YJ395" s="6"/>
      <c r="YK395" s="6"/>
      <c r="YL395" s="6"/>
      <c r="YM395" s="6"/>
      <c r="YN395" s="6"/>
      <c r="YO395" s="6"/>
      <c r="YP395" s="6"/>
      <c r="YQ395" s="6"/>
      <c r="YR395" s="6"/>
      <c r="YS395" s="6"/>
      <c r="YT395" s="6"/>
      <c r="YU395" s="6"/>
      <c r="YV395" s="6"/>
      <c r="YW395" s="6"/>
      <c r="YX395" s="6"/>
      <c r="YY395" s="6"/>
      <c r="YZ395" s="6"/>
      <c r="ZA395" s="6"/>
      <c r="ZB395" s="6"/>
      <c r="ZC395" s="6"/>
      <c r="ZD395" s="6"/>
      <c r="ZE395" s="6"/>
      <c r="ZF395" s="6"/>
      <c r="ZG395" s="6"/>
      <c r="ZH395" s="6"/>
      <c r="ZI395" s="6"/>
      <c r="ZJ395" s="6"/>
      <c r="ZK395" s="6"/>
      <c r="ZL395" s="6"/>
      <c r="ZM395" s="6"/>
      <c r="ZN395" s="6"/>
      <c r="ZO395" s="6"/>
      <c r="ZP395" s="6"/>
      <c r="ZQ395" s="6"/>
      <c r="ZR395" s="6"/>
      <c r="ZS395" s="6"/>
      <c r="ZT395" s="6"/>
      <c r="ZU395" s="6"/>
      <c r="ZV395" s="6"/>
      <c r="ZW395" s="6"/>
      <c r="ZX395" s="6"/>
      <c r="ZY395" s="6"/>
      <c r="ZZ395" s="6"/>
      <c r="AAA395" s="6"/>
      <c r="AAB395" s="6"/>
      <c r="AAC395" s="6"/>
      <c r="AAD395" s="6"/>
      <c r="AAE395" s="6"/>
      <c r="AAF395" s="6"/>
      <c r="AAG395" s="6"/>
      <c r="AAH395" s="6"/>
      <c r="AAI395" s="6"/>
      <c r="AAJ395" s="6"/>
      <c r="AAK395" s="6"/>
      <c r="AAL395" s="6"/>
      <c r="AAM395" s="6"/>
      <c r="AAN395" s="6"/>
      <c r="AAO395" s="6"/>
      <c r="AAP395" s="6"/>
      <c r="AAQ395" s="6"/>
      <c r="AAR395" s="6"/>
      <c r="AAS395" s="6"/>
      <c r="AAT395" s="6"/>
      <c r="AAU395" s="6"/>
      <c r="AAV395" s="6"/>
      <c r="AAW395" s="6"/>
      <c r="AAX395" s="6"/>
      <c r="AAY395" s="6"/>
      <c r="AAZ395" s="6"/>
      <c r="ABA395" s="6"/>
      <c r="ABB395" s="6"/>
      <c r="ABC395" s="6"/>
      <c r="ABD395" s="6"/>
      <c r="ABE395" s="6"/>
      <c r="ABF395" s="6"/>
      <c r="ABG395" s="6"/>
      <c r="ABH395" s="6"/>
      <c r="ABI395" s="6"/>
      <c r="ABJ395" s="6"/>
      <c r="ABK395" s="6"/>
      <c r="ABL395" s="6"/>
      <c r="ABM395" s="6"/>
      <c r="ABN395" s="6"/>
      <c r="ABO395" s="6"/>
      <c r="ABP395" s="6"/>
      <c r="ABQ395" s="6"/>
      <c r="ABR395" s="6"/>
      <c r="ABS395" s="6"/>
      <c r="ABT395" s="6"/>
      <c r="ABU395" s="6"/>
      <c r="ABV395" s="6"/>
      <c r="ABW395" s="6"/>
      <c r="ABX395" s="6"/>
      <c r="ABY395" s="6"/>
      <c r="ABZ395" s="6"/>
      <c r="ACA395" s="6"/>
      <c r="ACB395" s="6"/>
      <c r="ACC395" s="6"/>
      <c r="ACD395" s="6"/>
      <c r="ACE395" s="6"/>
      <c r="ACF395" s="6"/>
      <c r="ACG395" s="6"/>
      <c r="ACH395" s="6"/>
      <c r="ACI395" s="6"/>
      <c r="ACJ395" s="6"/>
      <c r="ACK395" s="6"/>
      <c r="ACL395" s="6"/>
      <c r="ACM395" s="6"/>
      <c r="ACN395" s="6"/>
      <c r="ACO395" s="6"/>
      <c r="ACP395" s="6"/>
      <c r="ACQ395" s="6"/>
      <c r="ACR395" s="6"/>
      <c r="ACS395" s="6"/>
      <c r="ACT395" s="6"/>
      <c r="ACU395" s="6"/>
      <c r="ACV395" s="6"/>
      <c r="ACW395" s="6"/>
      <c r="ACX395" s="6"/>
      <c r="ACY395" s="6"/>
      <c r="ACZ395" s="6"/>
      <c r="ADA395" s="6"/>
      <c r="ADB395" s="6"/>
      <c r="ADC395" s="6"/>
      <c r="ADD395" s="6"/>
      <c r="ADE395" s="6"/>
      <c r="ADF395" s="6"/>
      <c r="ADG395" s="6"/>
      <c r="ADH395" s="6"/>
      <c r="ADI395" s="6"/>
      <c r="ADJ395" s="6"/>
      <c r="ADK395" s="6"/>
      <c r="ADL395" s="6"/>
      <c r="ADM395" s="6"/>
      <c r="ADN395" s="6"/>
      <c r="ADO395" s="6"/>
      <c r="ADP395" s="6"/>
      <c r="ADQ395" s="6"/>
      <c r="ADR395" s="6"/>
      <c r="ADS395" s="6"/>
      <c r="ADT395" s="6"/>
      <c r="ADU395" s="6"/>
      <c r="ADV395" s="6"/>
      <c r="ADW395" s="6"/>
      <c r="ADX395" s="6"/>
      <c r="ADY395" s="6"/>
      <c r="ADZ395" s="6"/>
      <c r="AEA395" s="6"/>
      <c r="AEB395" s="6"/>
      <c r="AEC395" s="6"/>
      <c r="AED395" s="6"/>
      <c r="AEE395" s="6"/>
      <c r="AEF395" s="6"/>
      <c r="AEG395" s="6"/>
      <c r="AEH395" s="6"/>
      <c r="AEI395" s="6"/>
      <c r="AEJ395" s="6"/>
      <c r="AEK395" s="6"/>
      <c r="AEL395" s="6"/>
      <c r="AEM395" s="6"/>
      <c r="AEN395" s="6"/>
      <c r="AEO395" s="6"/>
      <c r="AEP395" s="6"/>
      <c r="AEQ395" s="6"/>
      <c r="AER395" s="6"/>
      <c r="AES395" s="6"/>
      <c r="AET395" s="6"/>
      <c r="AEU395" s="6"/>
      <c r="AEV395" s="6"/>
      <c r="AEW395" s="6"/>
      <c r="AEX395" s="6"/>
      <c r="AEY395" s="6"/>
      <c r="AEZ395" s="6"/>
      <c r="AFA395" s="6"/>
      <c r="AFB395" s="6"/>
      <c r="AFC395" s="6"/>
      <c r="AFD395" s="6"/>
      <c r="AFE395" s="6"/>
      <c r="AFF395" s="6"/>
      <c r="AFG395" s="6"/>
      <c r="AFH395" s="6"/>
      <c r="AFI395" s="6"/>
      <c r="AFJ395" s="6"/>
      <c r="AFK395" s="6"/>
      <c r="AFL395" s="6"/>
      <c r="AFM395" s="6"/>
      <c r="AFN395" s="6"/>
      <c r="AFO395" s="6"/>
      <c r="AFP395" s="6"/>
      <c r="AFQ395" s="6"/>
      <c r="AFR395" s="6"/>
      <c r="AFS395" s="6"/>
      <c r="AFT395" s="6"/>
      <c r="AFU395" s="6"/>
      <c r="AFV395" s="6"/>
      <c r="AFW395" s="6"/>
      <c r="AFX395" s="6"/>
      <c r="AFY395" s="6"/>
      <c r="AFZ395" s="6"/>
      <c r="AGA395" s="6"/>
      <c r="AGB395" s="6"/>
      <c r="AGC395" s="6"/>
      <c r="AGD395" s="6"/>
      <c r="AGE395" s="6"/>
      <c r="AGF395" s="6"/>
      <c r="AGG395" s="6"/>
      <c r="AGH395" s="6"/>
      <c r="AGI395" s="6"/>
      <c r="AGJ395" s="6"/>
      <c r="AGK395" s="6"/>
      <c r="AGL395" s="6"/>
      <c r="AGM395" s="6"/>
      <c r="AGN395" s="6"/>
      <c r="AGO395" s="6"/>
      <c r="AGP395" s="6"/>
      <c r="AGQ395" s="6"/>
      <c r="AGR395" s="6"/>
      <c r="AGS395" s="6"/>
      <c r="AGT395" s="6"/>
      <c r="AGU395" s="6"/>
      <c r="AGV395" s="6"/>
      <c r="AGW395" s="6"/>
      <c r="AGX395" s="6"/>
      <c r="AGY395" s="6"/>
      <c r="AGZ395" s="6"/>
      <c r="AHA395" s="6"/>
      <c r="AHB395" s="6"/>
      <c r="AHC395" s="6"/>
      <c r="AHD395" s="6"/>
      <c r="AHE395" s="6"/>
      <c r="AHF395" s="6"/>
      <c r="AHG395" s="6"/>
      <c r="AHH395" s="6"/>
      <c r="AHI395" s="6"/>
      <c r="AHJ395" s="6"/>
      <c r="AHK395" s="6"/>
      <c r="AHL395" s="6"/>
      <c r="AHM395" s="6"/>
      <c r="AHN395" s="6"/>
      <c r="AHO395" s="6"/>
      <c r="AHP395" s="6"/>
      <c r="AHQ395" s="6"/>
      <c r="AHR395" s="6"/>
      <c r="AHS395" s="6"/>
      <c r="AHT395" s="6"/>
      <c r="AHU395" s="6"/>
      <c r="AHV395" s="6"/>
      <c r="AHW395" s="6"/>
      <c r="AHX395" s="6"/>
      <c r="AHY395" s="6"/>
      <c r="AHZ395" s="6"/>
      <c r="AIA395" s="6"/>
      <c r="AIB395" s="6"/>
      <c r="AIC395" s="6"/>
      <c r="AID395" s="6"/>
      <c r="AIE395" s="6"/>
      <c r="AIF395" s="6"/>
      <c r="AIG395" s="6"/>
      <c r="AIH395" s="6"/>
      <c r="AII395" s="6"/>
      <c r="AIJ395" s="6"/>
      <c r="AIK395" s="6"/>
      <c r="AIL395" s="6"/>
      <c r="AIM395" s="6"/>
      <c r="AIN395" s="6"/>
      <c r="AIO395" s="6"/>
      <c r="AIP395" s="6"/>
      <c r="AIQ395" s="6"/>
      <c r="AIR395" s="6"/>
      <c r="AIS395" s="6"/>
      <c r="AIT395" s="6"/>
      <c r="AIU395" s="6"/>
      <c r="AIV395" s="6"/>
      <c r="AIW395" s="6"/>
      <c r="AIX395" s="6"/>
      <c r="AIY395" s="6"/>
      <c r="AIZ395" s="6"/>
      <c r="AJA395" s="6"/>
      <c r="AJB395" s="6"/>
      <c r="AJC395" s="6"/>
      <c r="AJD395" s="6"/>
      <c r="AJE395" s="6"/>
      <c r="AJF395" s="6"/>
      <c r="AJG395" s="6"/>
      <c r="AJH395" s="6"/>
      <c r="AJI395" s="6"/>
      <c r="AJJ395" s="6"/>
      <c r="AJK395" s="6"/>
      <c r="AJL395" s="6"/>
      <c r="AJM395" s="6"/>
      <c r="AJN395" s="6"/>
      <c r="AJO395" s="6"/>
      <c r="AJP395" s="6"/>
      <c r="AJQ395" s="6"/>
      <c r="AJR395" s="6"/>
      <c r="AJS395" s="6"/>
      <c r="AJT395" s="6"/>
      <c r="AJU395" s="6"/>
      <c r="AJV395" s="6"/>
      <c r="AJW395" s="6"/>
      <c r="AJX395" s="6"/>
      <c r="AJY395" s="6"/>
      <c r="AJZ395" s="6"/>
      <c r="AKA395" s="6"/>
      <c r="AKB395" s="6"/>
      <c r="AKC395" s="6"/>
      <c r="AKD395" s="6"/>
      <c r="AKE395" s="6"/>
      <c r="AKF395" s="6"/>
      <c r="AKG395" s="6"/>
      <c r="AKH395" s="6"/>
      <c r="AKI395" s="6"/>
      <c r="AKJ395" s="6"/>
      <c r="AKK395" s="6"/>
      <c r="AKL395" s="6"/>
      <c r="AKM395" s="6"/>
      <c r="AKN395" s="6"/>
      <c r="AKO395" s="6"/>
      <c r="AKP395" s="6"/>
      <c r="AKQ395" s="6"/>
      <c r="AKR395" s="6"/>
      <c r="AKS395" s="6"/>
      <c r="AKT395" s="6"/>
      <c r="AKU395" s="6"/>
      <c r="AKV395" s="6"/>
      <c r="AKW395" s="6"/>
      <c r="AKX395" s="6"/>
      <c r="AKY395" s="6"/>
      <c r="AKZ395" s="6"/>
      <c r="ALA395" s="6"/>
      <c r="ALB395" s="6"/>
      <c r="ALC395" s="6"/>
      <c r="ALD395" s="6"/>
      <c r="ALE395" s="6"/>
      <c r="ALF395" s="6"/>
      <c r="ALG395" s="6"/>
      <c r="ALH395" s="6"/>
      <c r="ALI395" s="6"/>
      <c r="ALJ395" s="6"/>
      <c r="ALK395" s="6"/>
      <c r="ALL395" s="6"/>
      <c r="ALM395" s="6"/>
      <c r="ALN395" s="6"/>
      <c r="ALO395" s="6"/>
      <c r="ALP395" s="6"/>
      <c r="ALQ395" s="6"/>
      <c r="ALR395" s="6"/>
      <c r="ALS395" s="6"/>
      <c r="ALT395" s="6"/>
      <c r="ALU395" s="6"/>
      <c r="ALV395" s="6"/>
      <c r="ALW395" s="6"/>
      <c r="ALX395" s="6"/>
      <c r="ALY395" s="6"/>
      <c r="ALZ395" s="6"/>
      <c r="AMA395" s="6"/>
      <c r="AMB395" s="6"/>
      <c r="AMC395" s="6"/>
      <c r="AMD395" s="6"/>
      <c r="AME395" s="6"/>
      <c r="AMF395" s="6"/>
      <c r="AMG395" s="6"/>
      <c r="AMH395" s="6"/>
      <c r="AMI395" s="6"/>
      <c r="AMJ395" s="6"/>
      <c r="AMK395" s="6"/>
      <c r="AML395" s="6"/>
      <c r="AMM395" s="6"/>
      <c r="AMN395" s="6"/>
      <c r="AMO395" s="6"/>
      <c r="AMP395" s="6"/>
    </row>
    <row r="396" spans="1:1030" s="12" customFormat="1" x14ac:dyDescent="0.2">
      <c r="A396" s="9" t="str">
        <f>CONCATENATE(B396,"_",C396)</f>
        <v>calcr_human_6NIY</v>
      </c>
      <c r="B396" s="40" t="s">
        <v>400</v>
      </c>
      <c r="C396" s="9" t="s">
        <v>1545</v>
      </c>
      <c r="D396" s="9" t="str">
        <f>IFERROR(MID(VLOOKUP($B396,Seqs!$A:$B,2,0),E396,1),"")</f>
        <v>T</v>
      </c>
      <c r="E396" s="9">
        <v>138</v>
      </c>
      <c r="F396" s="9" t="str">
        <f>IFERROR(MID(VLOOKUP($B396,Seqs!$A:$B,2,0),G396,1),"")</f>
        <v>F</v>
      </c>
      <c r="G396" s="9">
        <v>173</v>
      </c>
      <c r="H396" s="9" t="str">
        <f>IFERROR(MID(VLOOKUP($B396,Seqs!$A:$B,2,0),I396,1),"")</f>
        <v>R</v>
      </c>
      <c r="I396" s="109">
        <v>174</v>
      </c>
      <c r="J396" s="9" t="str">
        <f>IFERROR(MID(VLOOKUP($B396,Seqs!$A:$B,2,0),K396,1),"")</f>
        <v>G</v>
      </c>
      <c r="K396" s="109">
        <v>177</v>
      </c>
      <c r="L396" s="9" t="str">
        <f>IFERROR(MID(VLOOKUP($B396,Seqs!$A:$B,2,0),M396,1),"")</f>
        <v>C</v>
      </c>
      <c r="M396" s="9">
        <v>178</v>
      </c>
      <c r="N396" s="9" t="str">
        <f>IFERROR(MID(VLOOKUP($B396,Seqs!$A:$B,2,0),O396,1),"")</f>
        <v>V</v>
      </c>
      <c r="O396" s="9">
        <v>205</v>
      </c>
      <c r="P396" s="9" t="str">
        <f>IFERROR(MID(VLOOKUP($B396,Seqs!$A:$B,2,0),Q396,1),"")</f>
        <v/>
      </c>
      <c r="Q396" s="9" t="s">
        <v>23</v>
      </c>
      <c r="R396" s="9" t="str">
        <f>IFERROR(MID(VLOOKUP($B396,Seqs!$A:$B,2,0),S396,1),"")</f>
        <v/>
      </c>
      <c r="S396" s="9" t="s">
        <v>23</v>
      </c>
      <c r="T396" s="9" t="str">
        <f>IFERROR(MID(VLOOKUP($B396,Seqs!$A:$B,2,0),U396,1),"")</f>
        <v>V</v>
      </c>
      <c r="U396" s="9">
        <v>217</v>
      </c>
      <c r="V396" s="9" t="str">
        <f>IFERROR(MID(VLOOKUP($B396,Seqs!$A:$B,2,0),W396,1),"")</f>
        <v>V</v>
      </c>
      <c r="W396" s="9">
        <v>250</v>
      </c>
      <c r="X396" s="9" t="str">
        <f>IFERROR(MID(VLOOKUP($B396,Seqs!$A:$B,2,0),Y396,1),"")</f>
        <v/>
      </c>
      <c r="Y396" s="9" t="s">
        <v>23</v>
      </c>
      <c r="Z396" s="9" t="str">
        <f>IFERROR(MID(VLOOKUP($B396,Seqs!$A:$B,2,0),AA396,1),"")</f>
        <v/>
      </c>
      <c r="AA396" s="9" t="s">
        <v>23</v>
      </c>
      <c r="AB396" s="9" t="str">
        <f>IFERROR(MID(VLOOKUP($B396,Seqs!$A:$B,2,0),AC396,1),"")</f>
        <v>R</v>
      </c>
      <c r="AC396" s="9">
        <v>258</v>
      </c>
      <c r="AD396" s="9" t="str">
        <f>IFERROR(MID(VLOOKUP($B396,Seqs!$A:$B,2,0),AE396,1),"")</f>
        <v>F</v>
      </c>
      <c r="AE396" s="9">
        <v>285</v>
      </c>
      <c r="AF396" s="9" t="str">
        <f>IFERROR(MID(VLOOKUP($B396,Seqs!$A:$B,2,0),AG396,1),"")</f>
        <v>C</v>
      </c>
      <c r="AG396" s="9">
        <v>289</v>
      </c>
      <c r="AH396" s="9" t="str">
        <f>IFERROR(MID(VLOOKUP($B396,Seqs!$A:$B,2,0),AI396,1),"")</f>
        <v>L</v>
      </c>
      <c r="AI396" s="9">
        <v>291</v>
      </c>
      <c r="AJ396" s="9" t="str">
        <f>IFERROR(MID(VLOOKUP($B396,Seqs!$A:$B,2,0),AK396,1),"")</f>
        <v>L</v>
      </c>
      <c r="AK396" s="9">
        <v>298</v>
      </c>
      <c r="AL396" s="9" t="str">
        <f>IFERROR(MID(VLOOKUP($B396,Seqs!$A:$B,2,0),AM396,1),"")</f>
        <v>T</v>
      </c>
      <c r="AM396" s="9">
        <v>330</v>
      </c>
      <c r="AN396" s="9" t="str">
        <f>IFERROR(MID(VLOOKUP($B396,Seqs!$A:$B,2,0),AO396,1),"")</f>
        <v>H</v>
      </c>
      <c r="AO396" s="9">
        <v>336</v>
      </c>
      <c r="AP396" s="9" t="str">
        <f>IFERROR(MID(VLOOKUP($B396,Seqs!$A:$B,2,0),AQ396,1),"")</f>
        <v>F</v>
      </c>
      <c r="AQ396" s="9">
        <v>359</v>
      </c>
      <c r="AR396" s="9" t="str">
        <f>IFERROR(MID(VLOOKUP($B396,Seqs!$A:$B,2,0),AS396,1),"")</f>
        <v>N</v>
      </c>
      <c r="AS396" s="9">
        <v>365</v>
      </c>
      <c r="AT396" s="9" t="str">
        <f>IFERROR(MID(VLOOKUP($B396,Seqs!$A:$B,2,0),AU396,1),"")</f>
        <v>C</v>
      </c>
      <c r="AU396" s="9">
        <v>394</v>
      </c>
      <c r="AV396" s="9" t="str">
        <f>IFERROR(MID(VLOOKUP($B396,Seqs!$A:$B,2,0),AW396,1),"")</f>
        <v>N</v>
      </c>
      <c r="AW396" s="9">
        <v>395</v>
      </c>
      <c r="AX396" s="9" t="str">
        <f>IFERROR(MID(VLOOKUP($B396,Seqs!$A:$B,2,0),AY396,1),"")</f>
        <v>Q</v>
      </c>
      <c r="AY396" s="9">
        <v>412</v>
      </c>
      <c r="AZ396" s="110" t="str">
        <f>VLOOKUP(B396,Classification!A:D,2,0)</f>
        <v>B1</v>
      </c>
      <c r="BA396" s="98" t="str">
        <f>VLOOKUP(B396,Classification!A:D,4,0)</f>
        <v>Calcitonin</v>
      </c>
      <c r="BB396" s="36" t="b">
        <f t="shared" ref="BB396" si="1175">AND(E396&lt;G396,OR(G396&lt;I396,I396="-"),OR(I396&lt;K396,I396="-"),OR(K396&lt;M396,K396="-"),M396&lt;O396,OR(O396&lt;Q396,Q396="-"),OR(Q396&lt;S396,Q396="-"),OR(S396&lt;U396,S396="-"),U396&lt;W396,OR(W396&lt;Y396,Y396="-"),OR(Y396&lt;AA396,Y396="-"),OR(AA396&lt;AC396,AA396="-"),AC396&lt;AE396,OR(AE396&lt;AG396,AG396="-"),OR(AG396&lt;AI396,AG396="-"),OR(AI396&lt;AK396,AI396="-"),AK396&lt;AM396,AM396&lt;AO396,AO396&lt;AQ396,AQ396&lt;AS396,AS396&lt;AU396,OR(AU396&lt;AW396,AW396="-"),OR(AW396&lt;AY396,AW396="-"))</f>
        <v>1</v>
      </c>
      <c r="BC396" s="109">
        <f t="shared" ref="BC396" si="1176">_xlfn.AGGREGATE(9,6,CH396:CS396)-_xlfn.AGGREGATE(9,6,BV396:CG396)+12</f>
        <v>240</v>
      </c>
      <c r="BD396" s="11" t="s">
        <v>1369</v>
      </c>
      <c r="BE396" s="9" t="s">
        <v>1285</v>
      </c>
      <c r="BF396" s="119">
        <v>3.34</v>
      </c>
      <c r="BG396" s="51" t="s">
        <v>1416</v>
      </c>
      <c r="BH396" s="51" t="s">
        <v>1416</v>
      </c>
      <c r="BJ396" s="111" t="s">
        <v>1281</v>
      </c>
      <c r="BK396" s="112" t="s">
        <v>1281</v>
      </c>
      <c r="BL396" s="112" t="s">
        <v>1281</v>
      </c>
      <c r="BM396" s="112" t="s">
        <v>1281</v>
      </c>
      <c r="BN396" s="112" t="s">
        <v>1281</v>
      </c>
      <c r="BO396" s="112" t="s">
        <v>1281</v>
      </c>
      <c r="BP396" s="112" t="s">
        <v>1281</v>
      </c>
      <c r="BQ396" s="112" t="s">
        <v>1281</v>
      </c>
      <c r="BR396" s="112" t="s">
        <v>1281</v>
      </c>
      <c r="BS396" s="112" t="s">
        <v>1281</v>
      </c>
      <c r="BT396" s="112" t="s">
        <v>1281</v>
      </c>
      <c r="BU396" s="112" t="s">
        <v>1281</v>
      </c>
      <c r="BV396" s="111">
        <f>E396</f>
        <v>138</v>
      </c>
      <c r="BW396" s="113">
        <f>I396</f>
        <v>174</v>
      </c>
      <c r="BX396" s="114">
        <f>M396</f>
        <v>178</v>
      </c>
      <c r="BY396" s="113" t="str">
        <f>Q396</f>
        <v>-</v>
      </c>
      <c r="BZ396" s="114">
        <f>U396</f>
        <v>217</v>
      </c>
      <c r="CA396" s="113" t="str">
        <f>Y396</f>
        <v>-</v>
      </c>
      <c r="CB396" s="114">
        <f>AC396</f>
        <v>258</v>
      </c>
      <c r="CC396" s="113">
        <f>AG396</f>
        <v>289</v>
      </c>
      <c r="CD396" s="114">
        <f>AK396</f>
        <v>298</v>
      </c>
      <c r="CE396" s="113">
        <f>AO396</f>
        <v>336</v>
      </c>
      <c r="CF396" s="114">
        <f>AS396</f>
        <v>365</v>
      </c>
      <c r="CG396" s="113">
        <f>AW396</f>
        <v>395</v>
      </c>
      <c r="CH396" s="111">
        <f>G396</f>
        <v>173</v>
      </c>
      <c r="CI396" s="113">
        <f>K396</f>
        <v>177</v>
      </c>
      <c r="CJ396" s="114">
        <f>O396</f>
        <v>205</v>
      </c>
      <c r="CK396" s="114" t="str">
        <f>S396</f>
        <v>-</v>
      </c>
      <c r="CL396" s="114">
        <f>W396</f>
        <v>250</v>
      </c>
      <c r="CM396" s="114" t="str">
        <f>AA396</f>
        <v>-</v>
      </c>
      <c r="CN396" s="114">
        <f>AE396</f>
        <v>285</v>
      </c>
      <c r="CO396" s="114">
        <f>AI396</f>
        <v>291</v>
      </c>
      <c r="CP396" s="114">
        <f>AM396</f>
        <v>330</v>
      </c>
      <c r="CQ396" s="114">
        <f>AQ396</f>
        <v>359</v>
      </c>
      <c r="CR396" s="114">
        <f>AU396</f>
        <v>394</v>
      </c>
      <c r="CS396" s="114">
        <f>AY396</f>
        <v>412</v>
      </c>
      <c r="CT396" s="109">
        <f>M396-K396</f>
        <v>1</v>
      </c>
      <c r="CU396" s="128"/>
      <c r="CV396" s="128"/>
      <c r="CW396" s="128"/>
      <c r="CX396" s="128"/>
      <c r="CY396" s="128"/>
      <c r="CZ396" s="128"/>
      <c r="DA396" s="128"/>
      <c r="DB396" s="128"/>
      <c r="DC396" s="128"/>
      <c r="DD396" s="128"/>
      <c r="DE396" s="128"/>
      <c r="DF396" s="128"/>
      <c r="DG396" s="128"/>
      <c r="DH396" s="128"/>
      <c r="DI396" s="128"/>
      <c r="DJ396" s="128"/>
      <c r="DK396" s="128"/>
      <c r="DL396" s="128"/>
      <c r="DM396" s="128"/>
      <c r="DN396" s="128"/>
      <c r="DO396" s="128"/>
      <c r="DP396" s="128"/>
      <c r="DQ396" s="128"/>
      <c r="DR396" s="128"/>
      <c r="DS396" s="128"/>
      <c r="DT396" s="128"/>
      <c r="DU396" s="128"/>
      <c r="DV396" s="128"/>
      <c r="DW396" s="128"/>
      <c r="DX396" s="128"/>
      <c r="DY396" s="128"/>
      <c r="DZ396" s="128"/>
      <c r="EA396" s="128"/>
      <c r="EB396" s="128"/>
      <c r="EC396" s="128"/>
      <c r="ED396" s="128"/>
      <c r="EE396" s="128"/>
      <c r="EF396" s="128"/>
      <c r="EG396" s="128"/>
      <c r="EH396" s="128"/>
      <c r="EI396" s="128"/>
      <c r="EJ396" s="128"/>
      <c r="EK396" s="128"/>
      <c r="EL396" s="128"/>
      <c r="EM396" s="128"/>
      <c r="EN396" s="128"/>
      <c r="EO396" s="128"/>
      <c r="EP396" s="128"/>
      <c r="EQ396" s="128"/>
      <c r="ER396" s="128"/>
      <c r="ES396" s="128"/>
      <c r="ET396" s="128"/>
      <c r="EU396" s="128"/>
      <c r="EV396" s="128"/>
      <c r="EW396" s="128"/>
      <c r="EX396" s="128"/>
      <c r="EY396" s="128"/>
      <c r="EZ396" s="128"/>
      <c r="FA396" s="128"/>
      <c r="FB396" s="128"/>
      <c r="FC396" s="128"/>
      <c r="FD396" s="128"/>
      <c r="FE396" s="128"/>
      <c r="FF396" s="128"/>
      <c r="FG396" s="128"/>
      <c r="FH396" s="128"/>
      <c r="FI396" s="128"/>
      <c r="FJ396" s="128"/>
      <c r="FK396" s="128"/>
      <c r="FL396" s="128"/>
      <c r="FM396" s="128"/>
      <c r="FN396" s="128"/>
      <c r="FO396" s="128"/>
      <c r="FP396" s="128"/>
      <c r="FQ396" s="128"/>
      <c r="FR396" s="128"/>
      <c r="FS396" s="128"/>
      <c r="FT396" s="128"/>
      <c r="FU396" s="128"/>
      <c r="FV396" s="128"/>
      <c r="FW396" s="128"/>
      <c r="FX396" s="128"/>
      <c r="FY396" s="128"/>
      <c r="FZ396" s="128"/>
      <c r="GA396" s="128"/>
      <c r="GB396" s="128"/>
      <c r="GC396" s="128"/>
      <c r="GD396" s="128"/>
      <c r="GE396" s="128"/>
      <c r="GF396" s="128"/>
      <c r="GG396" s="128"/>
      <c r="GH396" s="128"/>
      <c r="GI396" s="128"/>
      <c r="GJ396" s="128"/>
      <c r="GK396" s="128"/>
      <c r="GL396" s="128"/>
      <c r="GM396" s="128"/>
      <c r="GN396" s="128"/>
      <c r="GO396" s="128"/>
      <c r="GP396" s="128"/>
      <c r="GQ396" s="128"/>
      <c r="GR396" s="128"/>
      <c r="GS396" s="128"/>
      <c r="GT396" s="128"/>
      <c r="GU396" s="128"/>
      <c r="GV396" s="128"/>
      <c r="GW396" s="128"/>
      <c r="GX396" s="128"/>
      <c r="GY396" s="128"/>
      <c r="GZ396" s="128"/>
      <c r="HA396" s="128"/>
      <c r="HB396" s="128"/>
      <c r="HC396" s="128"/>
      <c r="HD396" s="128"/>
      <c r="HE396" s="128"/>
      <c r="HF396" s="128"/>
      <c r="HG396" s="128"/>
      <c r="HH396" s="128"/>
      <c r="HI396" s="128"/>
      <c r="HJ396" s="128"/>
      <c r="HK396" s="128"/>
      <c r="HL396" s="128"/>
      <c r="HM396" s="128"/>
      <c r="HN396" s="128"/>
      <c r="HO396" s="128"/>
      <c r="HP396" s="128"/>
      <c r="HQ396" s="128"/>
      <c r="HR396" s="128"/>
      <c r="HS396" s="128"/>
      <c r="HT396" s="128"/>
      <c r="HU396" s="128"/>
      <c r="HV396" s="128"/>
      <c r="HW396" s="128"/>
      <c r="HX396" s="128"/>
      <c r="HY396" s="128"/>
      <c r="HZ396" s="128"/>
      <c r="IA396" s="128"/>
      <c r="IB396" s="128"/>
      <c r="IC396" s="128"/>
      <c r="ID396" s="128"/>
      <c r="IE396" s="128"/>
      <c r="IF396" s="128"/>
      <c r="IG396" s="128"/>
      <c r="IH396" s="128"/>
      <c r="II396" s="128"/>
      <c r="IJ396" s="128"/>
      <c r="IK396" s="128"/>
      <c r="IL396" s="128"/>
      <c r="IM396" s="128"/>
      <c r="IN396" s="128"/>
      <c r="IO396" s="128"/>
      <c r="IP396" s="128"/>
      <c r="IQ396" s="128"/>
      <c r="IR396" s="128"/>
      <c r="IS396" s="128"/>
      <c r="IT396" s="128"/>
      <c r="IU396" s="128"/>
      <c r="IV396" s="128"/>
      <c r="IW396" s="128"/>
      <c r="IX396" s="128"/>
      <c r="IY396" s="128"/>
      <c r="IZ396" s="128"/>
      <c r="JA396" s="128"/>
      <c r="JB396" s="128"/>
      <c r="JC396" s="128"/>
      <c r="JD396" s="128"/>
      <c r="JE396" s="128"/>
      <c r="JF396" s="128"/>
      <c r="JG396" s="128"/>
      <c r="JH396" s="128"/>
      <c r="JI396" s="128"/>
      <c r="JJ396" s="128"/>
      <c r="JK396" s="128"/>
      <c r="JL396" s="128"/>
      <c r="JM396" s="128"/>
      <c r="JN396" s="128"/>
      <c r="JO396" s="128"/>
      <c r="JP396" s="128"/>
      <c r="JQ396" s="128"/>
      <c r="JR396" s="128"/>
      <c r="JS396" s="128"/>
      <c r="JT396" s="128"/>
      <c r="JU396" s="128"/>
      <c r="JV396" s="128"/>
      <c r="JW396" s="128"/>
      <c r="JX396" s="128"/>
      <c r="JY396" s="128"/>
      <c r="JZ396" s="128"/>
      <c r="KA396" s="128"/>
      <c r="KB396" s="128"/>
      <c r="KC396" s="128"/>
      <c r="KD396" s="128"/>
      <c r="KE396" s="128"/>
      <c r="KF396" s="128"/>
      <c r="KG396" s="128"/>
      <c r="KH396" s="128"/>
      <c r="KI396" s="128"/>
      <c r="KJ396" s="128"/>
      <c r="KK396" s="128"/>
      <c r="KL396" s="128"/>
      <c r="KM396" s="128"/>
      <c r="KN396" s="128"/>
      <c r="KO396" s="128"/>
      <c r="KP396" s="128"/>
      <c r="KQ396" s="128"/>
      <c r="KR396" s="128"/>
      <c r="KS396" s="128"/>
      <c r="KT396" s="128"/>
      <c r="KU396" s="128"/>
      <c r="KV396" s="128"/>
      <c r="KW396" s="128"/>
      <c r="KX396" s="128"/>
      <c r="KY396" s="128"/>
      <c r="KZ396" s="128"/>
      <c r="LA396" s="128"/>
      <c r="LB396" s="128"/>
      <c r="LC396" s="128"/>
      <c r="LD396" s="128"/>
      <c r="LE396" s="128"/>
      <c r="LF396" s="128"/>
      <c r="LG396" s="128"/>
      <c r="LH396" s="128"/>
      <c r="LI396" s="128"/>
      <c r="LJ396" s="128"/>
      <c r="LK396" s="128"/>
      <c r="LL396" s="128"/>
      <c r="LM396" s="128"/>
      <c r="LN396" s="128"/>
      <c r="LO396" s="128"/>
      <c r="LP396" s="128"/>
      <c r="LQ396" s="128"/>
      <c r="LR396" s="128"/>
      <c r="LS396" s="128"/>
      <c r="LT396" s="128"/>
      <c r="LU396" s="128"/>
      <c r="LV396" s="128"/>
      <c r="LW396" s="128"/>
      <c r="LX396" s="128"/>
      <c r="LY396" s="128"/>
      <c r="LZ396" s="128"/>
      <c r="MA396" s="128"/>
      <c r="MB396" s="128"/>
      <c r="MC396" s="128"/>
      <c r="MD396" s="128"/>
      <c r="ME396" s="128"/>
      <c r="MF396" s="128"/>
      <c r="MG396" s="128"/>
      <c r="MH396" s="128"/>
      <c r="MI396" s="128"/>
      <c r="MJ396" s="128"/>
      <c r="MK396" s="128"/>
      <c r="ML396" s="128"/>
      <c r="MM396" s="128"/>
      <c r="MN396" s="128"/>
      <c r="MO396" s="128"/>
      <c r="MP396" s="128"/>
      <c r="MQ396" s="128"/>
      <c r="MR396" s="128"/>
      <c r="MS396" s="128"/>
      <c r="MT396" s="128"/>
      <c r="MU396" s="128"/>
      <c r="MV396" s="128"/>
      <c r="MW396" s="128"/>
      <c r="MX396" s="128"/>
      <c r="MY396" s="128"/>
      <c r="MZ396" s="128"/>
      <c r="NA396" s="128"/>
      <c r="NB396" s="128"/>
      <c r="NC396" s="128"/>
      <c r="ND396" s="128"/>
      <c r="NE396" s="128"/>
      <c r="NF396" s="128"/>
      <c r="NG396" s="128"/>
      <c r="NH396" s="128"/>
      <c r="NI396" s="128"/>
      <c r="NJ396" s="128"/>
      <c r="NK396" s="128"/>
      <c r="NL396" s="128"/>
      <c r="NM396" s="128"/>
      <c r="NN396" s="128"/>
      <c r="NO396" s="128"/>
      <c r="NP396" s="128"/>
      <c r="NQ396" s="128"/>
      <c r="NR396" s="128"/>
      <c r="NS396" s="128"/>
      <c r="NT396" s="128"/>
      <c r="NU396" s="128"/>
      <c r="NV396" s="128"/>
      <c r="NW396" s="128"/>
      <c r="NX396" s="128"/>
      <c r="NY396" s="128"/>
      <c r="NZ396" s="128"/>
      <c r="OA396" s="128"/>
      <c r="OB396" s="128"/>
      <c r="OC396" s="128"/>
      <c r="OD396" s="128"/>
      <c r="OE396" s="128"/>
      <c r="OF396" s="128"/>
      <c r="OG396" s="128"/>
      <c r="OH396" s="128"/>
      <c r="OI396" s="128"/>
      <c r="OJ396" s="128"/>
      <c r="OK396" s="128"/>
      <c r="OL396" s="128"/>
      <c r="OM396" s="128"/>
      <c r="ON396" s="128"/>
      <c r="OO396" s="128"/>
      <c r="OP396" s="128"/>
      <c r="OQ396" s="128"/>
      <c r="OR396" s="128"/>
      <c r="OS396" s="128"/>
      <c r="OT396" s="128"/>
      <c r="OU396" s="128"/>
      <c r="OV396" s="128"/>
      <c r="OW396" s="128"/>
      <c r="OX396" s="128"/>
      <c r="OY396" s="128"/>
      <c r="OZ396" s="128"/>
      <c r="PA396" s="128"/>
      <c r="PB396" s="128"/>
      <c r="PC396" s="128"/>
      <c r="PD396" s="128"/>
      <c r="PE396" s="128"/>
      <c r="PF396" s="128"/>
      <c r="PG396" s="128"/>
      <c r="PH396" s="128"/>
      <c r="PI396" s="128"/>
      <c r="PJ396" s="128"/>
      <c r="PK396" s="128"/>
      <c r="PL396" s="128"/>
      <c r="PM396" s="128"/>
      <c r="PN396" s="128"/>
      <c r="PO396" s="128"/>
      <c r="PP396" s="128"/>
      <c r="PQ396" s="128"/>
      <c r="PR396" s="128"/>
      <c r="PS396" s="128"/>
      <c r="PT396" s="128"/>
      <c r="PU396" s="128"/>
      <c r="PV396" s="128"/>
      <c r="PW396" s="128"/>
      <c r="PX396" s="128"/>
      <c r="PY396" s="128"/>
      <c r="PZ396" s="128"/>
      <c r="QA396" s="128"/>
      <c r="QB396" s="128"/>
      <c r="QC396" s="128"/>
      <c r="QD396" s="128"/>
      <c r="QE396" s="128"/>
      <c r="QF396" s="128"/>
      <c r="QG396" s="128"/>
      <c r="QH396" s="128"/>
      <c r="QI396" s="128"/>
      <c r="QJ396" s="128"/>
      <c r="QK396" s="128"/>
      <c r="QL396" s="128"/>
      <c r="QM396" s="128"/>
      <c r="QN396" s="128"/>
      <c r="QO396" s="128"/>
      <c r="QP396" s="128"/>
      <c r="QQ396" s="128"/>
      <c r="QR396" s="128"/>
      <c r="QS396" s="128"/>
      <c r="QT396" s="128"/>
      <c r="QU396" s="128"/>
      <c r="QV396" s="128"/>
      <c r="QW396" s="128"/>
      <c r="QX396" s="128"/>
      <c r="QY396" s="128"/>
      <c r="QZ396" s="128"/>
      <c r="RA396" s="128"/>
      <c r="RB396" s="128"/>
      <c r="RC396" s="128"/>
      <c r="RD396" s="128"/>
      <c r="RE396" s="128"/>
      <c r="RF396" s="128"/>
      <c r="RG396" s="128"/>
      <c r="RH396" s="128"/>
      <c r="RI396" s="128"/>
      <c r="RJ396" s="128"/>
      <c r="RK396" s="128"/>
      <c r="RL396" s="128"/>
      <c r="RM396" s="128"/>
      <c r="RN396" s="128"/>
      <c r="RO396" s="128"/>
      <c r="RP396" s="128"/>
      <c r="RQ396" s="128"/>
      <c r="RR396" s="128"/>
      <c r="RS396" s="128"/>
      <c r="RT396" s="128"/>
      <c r="RU396" s="128"/>
      <c r="RV396" s="128"/>
      <c r="RW396" s="128"/>
      <c r="RX396" s="128"/>
      <c r="RY396" s="128"/>
      <c r="RZ396" s="128"/>
      <c r="SA396" s="128"/>
      <c r="SB396" s="128"/>
      <c r="SC396" s="128"/>
      <c r="SD396" s="128"/>
      <c r="SE396" s="128"/>
      <c r="SF396" s="128"/>
      <c r="SG396" s="128"/>
      <c r="SH396" s="128"/>
      <c r="SI396" s="128"/>
      <c r="SJ396" s="128"/>
      <c r="SK396" s="128"/>
      <c r="SL396" s="128"/>
      <c r="SM396" s="128"/>
      <c r="SN396" s="128"/>
      <c r="SO396" s="128"/>
      <c r="SP396" s="128"/>
      <c r="SQ396" s="128"/>
      <c r="SR396" s="128"/>
      <c r="SS396" s="128"/>
      <c r="ST396" s="128"/>
      <c r="SU396" s="128"/>
      <c r="SV396" s="128"/>
      <c r="SW396" s="128"/>
      <c r="SX396" s="128"/>
      <c r="SY396" s="128"/>
      <c r="SZ396" s="128"/>
      <c r="TA396" s="128"/>
      <c r="TB396" s="128"/>
      <c r="TC396" s="128"/>
      <c r="TD396" s="128"/>
      <c r="TE396" s="128"/>
      <c r="TF396" s="128"/>
      <c r="TG396" s="128"/>
      <c r="TH396" s="128"/>
      <c r="TI396" s="128"/>
      <c r="TJ396" s="128"/>
      <c r="TK396" s="128"/>
      <c r="TL396" s="128"/>
      <c r="TM396" s="128"/>
      <c r="TN396" s="128"/>
      <c r="TO396" s="128"/>
      <c r="TP396" s="128"/>
      <c r="TQ396" s="128"/>
      <c r="TR396" s="128"/>
      <c r="TS396" s="128"/>
      <c r="TT396" s="128"/>
      <c r="TU396" s="128"/>
      <c r="TV396" s="128"/>
      <c r="TW396" s="128"/>
      <c r="TX396" s="128"/>
      <c r="TY396" s="128"/>
      <c r="TZ396" s="128"/>
      <c r="UA396" s="128"/>
      <c r="UB396" s="128"/>
      <c r="UC396" s="128"/>
      <c r="UD396" s="128"/>
      <c r="UE396" s="128"/>
      <c r="UF396" s="128"/>
      <c r="UG396" s="128"/>
      <c r="UH396" s="128"/>
      <c r="UI396" s="128"/>
      <c r="UJ396" s="128"/>
      <c r="UK396" s="128"/>
      <c r="UL396" s="128"/>
      <c r="UM396" s="128"/>
      <c r="UN396" s="128"/>
      <c r="UO396" s="128"/>
      <c r="UP396" s="128"/>
      <c r="UQ396" s="128"/>
      <c r="UR396" s="128"/>
      <c r="US396" s="128"/>
      <c r="UT396" s="128"/>
      <c r="UU396" s="128"/>
      <c r="UV396" s="128"/>
      <c r="UW396" s="128"/>
      <c r="UX396" s="128"/>
      <c r="UY396" s="128"/>
      <c r="UZ396" s="128"/>
      <c r="VA396" s="128"/>
      <c r="VB396" s="128"/>
      <c r="VC396" s="128"/>
      <c r="VD396" s="128"/>
      <c r="VE396" s="128"/>
      <c r="VF396" s="128"/>
      <c r="VG396" s="128"/>
      <c r="VH396" s="128"/>
      <c r="VI396" s="128"/>
      <c r="VJ396" s="128"/>
      <c r="VK396" s="128"/>
      <c r="VL396" s="128"/>
      <c r="VM396" s="128"/>
      <c r="VN396" s="128"/>
      <c r="VO396" s="128"/>
      <c r="VP396" s="128"/>
      <c r="VQ396" s="128"/>
      <c r="VR396" s="128"/>
      <c r="VS396" s="128"/>
      <c r="VT396" s="128"/>
      <c r="VU396" s="128"/>
      <c r="VV396" s="128"/>
      <c r="VW396" s="128"/>
      <c r="VX396" s="128"/>
      <c r="VY396" s="128"/>
      <c r="VZ396" s="128"/>
      <c r="WA396" s="128"/>
      <c r="WB396" s="128"/>
      <c r="WC396" s="128"/>
      <c r="WD396" s="128"/>
      <c r="WE396" s="128"/>
      <c r="WF396" s="128"/>
      <c r="WG396" s="128"/>
      <c r="WH396" s="128"/>
      <c r="WI396" s="128"/>
      <c r="WJ396" s="128"/>
      <c r="WK396" s="128"/>
      <c r="WL396" s="128"/>
      <c r="WM396" s="128"/>
      <c r="WN396" s="128"/>
      <c r="WO396" s="128"/>
      <c r="WP396" s="128"/>
      <c r="WQ396" s="128"/>
      <c r="WR396" s="128"/>
      <c r="WS396" s="128"/>
      <c r="WT396" s="128"/>
      <c r="WU396" s="128"/>
      <c r="WV396" s="128"/>
      <c r="WW396" s="128"/>
      <c r="WX396" s="128"/>
      <c r="WY396" s="128"/>
      <c r="WZ396" s="128"/>
      <c r="XA396" s="128"/>
      <c r="XB396" s="128"/>
      <c r="XC396" s="128"/>
      <c r="XD396" s="128"/>
      <c r="XE396" s="128"/>
      <c r="XF396" s="128"/>
      <c r="XG396" s="128"/>
      <c r="XH396" s="128"/>
      <c r="XI396" s="128"/>
      <c r="XJ396" s="128"/>
      <c r="XK396" s="128"/>
      <c r="XL396" s="128"/>
      <c r="XM396" s="128"/>
      <c r="XN396" s="128"/>
      <c r="XO396" s="128"/>
      <c r="XP396" s="128"/>
      <c r="XQ396" s="128"/>
      <c r="XR396" s="128"/>
      <c r="XS396" s="128"/>
      <c r="XT396" s="128"/>
      <c r="XU396" s="128"/>
      <c r="XV396" s="128"/>
      <c r="XW396" s="128"/>
      <c r="XX396" s="128"/>
      <c r="XY396" s="128"/>
      <c r="XZ396" s="128"/>
      <c r="YA396" s="128"/>
      <c r="YB396" s="128"/>
      <c r="YC396" s="128"/>
      <c r="YD396" s="128"/>
      <c r="YE396" s="128"/>
      <c r="YF396" s="128"/>
      <c r="YG396" s="128"/>
      <c r="YH396" s="128"/>
      <c r="YI396" s="128"/>
      <c r="YJ396" s="128"/>
      <c r="YK396" s="128"/>
      <c r="YL396" s="128"/>
      <c r="YM396" s="128"/>
      <c r="YN396" s="128"/>
      <c r="YO396" s="128"/>
      <c r="YP396" s="128"/>
      <c r="YQ396" s="128"/>
      <c r="YR396" s="128"/>
      <c r="YS396" s="128"/>
      <c r="YT396" s="128"/>
      <c r="YU396" s="128"/>
      <c r="YV396" s="128"/>
      <c r="YW396" s="128"/>
      <c r="YX396" s="128"/>
      <c r="YY396" s="128"/>
      <c r="YZ396" s="128"/>
      <c r="ZA396" s="128"/>
      <c r="ZB396" s="128"/>
      <c r="ZC396" s="128"/>
      <c r="ZD396" s="128"/>
      <c r="ZE396" s="128"/>
      <c r="ZF396" s="128"/>
      <c r="ZG396" s="128"/>
      <c r="ZH396" s="128"/>
      <c r="ZI396" s="128"/>
      <c r="ZJ396" s="128"/>
      <c r="ZK396" s="128"/>
      <c r="ZL396" s="128"/>
      <c r="ZM396" s="128"/>
      <c r="ZN396" s="128"/>
      <c r="ZO396" s="128"/>
      <c r="ZP396" s="128"/>
      <c r="ZQ396" s="128"/>
      <c r="ZR396" s="128"/>
      <c r="ZS396" s="128"/>
      <c r="ZT396" s="128"/>
      <c r="ZU396" s="128"/>
      <c r="ZV396" s="128"/>
      <c r="ZW396" s="128"/>
      <c r="ZX396" s="128"/>
      <c r="ZY396" s="128"/>
      <c r="ZZ396" s="128"/>
      <c r="AAA396" s="128"/>
      <c r="AAB396" s="128"/>
      <c r="AAC396" s="128"/>
      <c r="AAD396" s="128"/>
      <c r="AAE396" s="128"/>
      <c r="AAF396" s="128"/>
      <c r="AAG396" s="128"/>
      <c r="AAH396" s="128"/>
      <c r="AAI396" s="128"/>
      <c r="AAJ396" s="128"/>
      <c r="AAK396" s="128"/>
      <c r="AAL396" s="128"/>
      <c r="AAM396" s="128"/>
      <c r="AAN396" s="128"/>
      <c r="AAO396" s="128"/>
      <c r="AAP396" s="128"/>
      <c r="AAQ396" s="128"/>
      <c r="AAR396" s="128"/>
      <c r="AAS396" s="128"/>
      <c r="AAT396" s="128"/>
      <c r="AAU396" s="128"/>
      <c r="AAV396" s="128"/>
      <c r="AAW396" s="128"/>
      <c r="AAX396" s="128"/>
      <c r="AAY396" s="128"/>
      <c r="AAZ396" s="128"/>
      <c r="ABA396" s="128"/>
      <c r="ABB396" s="128"/>
      <c r="ABC396" s="128"/>
      <c r="ABD396" s="128"/>
      <c r="ABE396" s="128"/>
      <c r="ABF396" s="128"/>
      <c r="ABG396" s="128"/>
      <c r="ABH396" s="128"/>
      <c r="ABI396" s="128"/>
      <c r="ABJ396" s="128"/>
      <c r="ABK396" s="128"/>
      <c r="ABL396" s="128"/>
      <c r="ABM396" s="128"/>
      <c r="ABN396" s="128"/>
      <c r="ABO396" s="128"/>
      <c r="ABP396" s="128"/>
      <c r="ABQ396" s="128"/>
      <c r="ABR396" s="128"/>
      <c r="ABS396" s="128"/>
      <c r="ABT396" s="128"/>
      <c r="ABU396" s="128"/>
      <c r="ABV396" s="128"/>
      <c r="ABW396" s="128"/>
      <c r="ABX396" s="128"/>
      <c r="ABY396" s="128"/>
      <c r="ABZ396" s="128"/>
      <c r="ACA396" s="128"/>
      <c r="ACB396" s="128"/>
      <c r="ACC396" s="128"/>
      <c r="ACD396" s="128"/>
      <c r="ACE396" s="128"/>
      <c r="ACF396" s="128"/>
      <c r="ACG396" s="128"/>
      <c r="ACH396" s="128"/>
      <c r="ACI396" s="128"/>
      <c r="ACJ396" s="128"/>
      <c r="ACK396" s="128"/>
      <c r="ACL396" s="128"/>
      <c r="ACM396" s="128"/>
      <c r="ACN396" s="128"/>
      <c r="ACO396" s="128"/>
      <c r="ACP396" s="128"/>
      <c r="ACQ396" s="128"/>
      <c r="ACR396" s="128"/>
      <c r="ACS396" s="128"/>
      <c r="ACT396" s="128"/>
      <c r="ACU396" s="128"/>
      <c r="ACV396" s="128"/>
      <c r="ACW396" s="128"/>
      <c r="ACX396" s="128"/>
      <c r="ACY396" s="128"/>
      <c r="ACZ396" s="128"/>
      <c r="ADA396" s="128"/>
      <c r="ADB396" s="128"/>
      <c r="ADC396" s="128"/>
      <c r="ADD396" s="128"/>
      <c r="ADE396" s="128"/>
      <c r="ADF396" s="128"/>
      <c r="ADG396" s="128"/>
      <c r="ADH396" s="128"/>
      <c r="ADI396" s="128"/>
      <c r="ADJ396" s="128"/>
      <c r="ADK396" s="128"/>
      <c r="ADL396" s="128"/>
      <c r="ADM396" s="128"/>
      <c r="ADN396" s="128"/>
      <c r="ADO396" s="128"/>
      <c r="ADP396" s="128"/>
      <c r="ADQ396" s="128"/>
      <c r="ADR396" s="128"/>
      <c r="ADS396" s="128"/>
      <c r="ADT396" s="128"/>
      <c r="ADU396" s="128"/>
      <c r="ADV396" s="128"/>
      <c r="ADW396" s="128"/>
      <c r="ADX396" s="128"/>
      <c r="ADY396" s="128"/>
      <c r="ADZ396" s="128"/>
      <c r="AEA396" s="128"/>
      <c r="AEB396" s="128"/>
      <c r="AEC396" s="128"/>
      <c r="AED396" s="128"/>
      <c r="AEE396" s="128"/>
      <c r="AEF396" s="128"/>
      <c r="AEG396" s="128"/>
      <c r="AEH396" s="128"/>
      <c r="AEI396" s="128"/>
      <c r="AEJ396" s="128"/>
      <c r="AEK396" s="128"/>
      <c r="AEL396" s="128"/>
      <c r="AEM396" s="128"/>
      <c r="AEN396" s="128"/>
      <c r="AEO396" s="128"/>
      <c r="AEP396" s="128"/>
      <c r="AEQ396" s="128"/>
      <c r="AER396" s="128"/>
      <c r="AES396" s="128"/>
      <c r="AET396" s="128"/>
      <c r="AEU396" s="128"/>
      <c r="AEV396" s="128"/>
      <c r="AEW396" s="128"/>
      <c r="AEX396" s="128"/>
      <c r="AEY396" s="128"/>
      <c r="AEZ396" s="128"/>
      <c r="AFA396" s="128"/>
      <c r="AFB396" s="128"/>
      <c r="AFC396" s="128"/>
      <c r="AFD396" s="128"/>
      <c r="AFE396" s="128"/>
      <c r="AFF396" s="128"/>
      <c r="AFG396" s="128"/>
      <c r="AFH396" s="128"/>
      <c r="AFI396" s="128"/>
      <c r="AFJ396" s="128"/>
      <c r="AFK396" s="128"/>
      <c r="AFL396" s="128"/>
      <c r="AFM396" s="128"/>
      <c r="AFN396" s="128"/>
      <c r="AFO396" s="128"/>
      <c r="AFP396" s="128"/>
      <c r="AFQ396" s="128"/>
      <c r="AFR396" s="128"/>
      <c r="AFS396" s="128"/>
      <c r="AFT396" s="128"/>
      <c r="AFU396" s="128"/>
      <c r="AFV396" s="128"/>
      <c r="AFW396" s="128"/>
      <c r="AFX396" s="128"/>
      <c r="AFY396" s="128"/>
      <c r="AFZ396" s="128"/>
      <c r="AGA396" s="128"/>
      <c r="AGB396" s="128"/>
      <c r="AGC396" s="128"/>
      <c r="AGD396" s="128"/>
      <c r="AGE396" s="128"/>
      <c r="AGF396" s="128"/>
      <c r="AGG396" s="128"/>
      <c r="AGH396" s="128"/>
      <c r="AGI396" s="128"/>
      <c r="AGJ396" s="128"/>
      <c r="AGK396" s="128"/>
      <c r="AGL396" s="128"/>
      <c r="AGM396" s="128"/>
      <c r="AGN396" s="128"/>
      <c r="AGO396" s="128"/>
      <c r="AGP396" s="128"/>
      <c r="AGQ396" s="128"/>
      <c r="AGR396" s="128"/>
      <c r="AGS396" s="128"/>
      <c r="AGT396" s="128"/>
      <c r="AGU396" s="128"/>
      <c r="AGV396" s="128"/>
      <c r="AGW396" s="128"/>
      <c r="AGX396" s="128"/>
      <c r="AGY396" s="128"/>
      <c r="AGZ396" s="128"/>
      <c r="AHA396" s="128"/>
      <c r="AHB396" s="128"/>
      <c r="AHC396" s="128"/>
      <c r="AHD396" s="128"/>
      <c r="AHE396" s="128"/>
      <c r="AHF396" s="128"/>
      <c r="AHG396" s="128"/>
      <c r="AHH396" s="128"/>
      <c r="AHI396" s="128"/>
      <c r="AHJ396" s="128"/>
      <c r="AHK396" s="128"/>
      <c r="AHL396" s="128"/>
      <c r="AHM396" s="128"/>
      <c r="AHN396" s="128"/>
      <c r="AHO396" s="128"/>
      <c r="AHP396" s="128"/>
      <c r="AHQ396" s="128"/>
      <c r="AHR396" s="128"/>
      <c r="AHS396" s="128"/>
      <c r="AHT396" s="128"/>
      <c r="AHU396" s="128"/>
      <c r="AHV396" s="128"/>
      <c r="AHW396" s="128"/>
      <c r="AHX396" s="128"/>
      <c r="AHY396" s="128"/>
      <c r="AHZ396" s="128"/>
      <c r="AIA396" s="128"/>
      <c r="AIB396" s="128"/>
      <c r="AIC396" s="128"/>
      <c r="AID396" s="128"/>
      <c r="AIE396" s="128"/>
      <c r="AIF396" s="128"/>
      <c r="AIG396" s="128"/>
      <c r="AIH396" s="128"/>
      <c r="AII396" s="128"/>
      <c r="AIJ396" s="128"/>
      <c r="AIK396" s="128"/>
      <c r="AIL396" s="128"/>
      <c r="AIM396" s="128"/>
      <c r="AIN396" s="128"/>
      <c r="AIO396" s="128"/>
      <c r="AIP396" s="128"/>
      <c r="AIQ396" s="128"/>
      <c r="AIR396" s="128"/>
      <c r="AIS396" s="128"/>
      <c r="AIT396" s="128"/>
      <c r="AIU396" s="128"/>
      <c r="AIV396" s="128"/>
      <c r="AIW396" s="128"/>
      <c r="AIX396" s="128"/>
      <c r="AIY396" s="128"/>
      <c r="AIZ396" s="128"/>
      <c r="AJA396" s="128"/>
      <c r="AJB396" s="128"/>
      <c r="AJC396" s="128"/>
      <c r="AJD396" s="128"/>
      <c r="AJE396" s="128"/>
      <c r="AJF396" s="128"/>
      <c r="AJG396" s="128"/>
      <c r="AJH396" s="128"/>
      <c r="AJI396" s="128"/>
      <c r="AJJ396" s="128"/>
      <c r="AJK396" s="128"/>
      <c r="AJL396" s="128"/>
      <c r="AJM396" s="128"/>
      <c r="AJN396" s="128"/>
      <c r="AJO396" s="128"/>
      <c r="AJP396" s="128"/>
      <c r="AJQ396" s="128"/>
      <c r="AJR396" s="128"/>
      <c r="AJS396" s="128"/>
      <c r="AJT396" s="128"/>
      <c r="AJU396" s="128"/>
      <c r="AJV396" s="128"/>
      <c r="AJW396" s="128"/>
      <c r="AJX396" s="128"/>
      <c r="AJY396" s="128"/>
      <c r="AJZ396" s="128"/>
      <c r="AKA396" s="128"/>
      <c r="AKB396" s="128"/>
      <c r="AKC396" s="128"/>
      <c r="AKD396" s="128"/>
      <c r="AKE396" s="128"/>
      <c r="AKF396" s="128"/>
      <c r="AKG396" s="128"/>
      <c r="AKH396" s="128"/>
      <c r="AKI396" s="128"/>
      <c r="AKJ396" s="128"/>
      <c r="AKK396" s="128"/>
      <c r="AKL396" s="128"/>
      <c r="AKM396" s="128"/>
      <c r="AKN396" s="128"/>
      <c r="AKO396" s="128"/>
      <c r="AKP396" s="128"/>
      <c r="AKQ396" s="128"/>
      <c r="AKR396" s="128"/>
      <c r="AKS396" s="128"/>
      <c r="AKT396" s="128"/>
      <c r="AKU396" s="128"/>
      <c r="AKV396" s="128"/>
      <c r="AKW396" s="128"/>
      <c r="AKX396" s="128"/>
      <c r="AKY396" s="128"/>
      <c r="AKZ396" s="128"/>
      <c r="ALA396" s="128"/>
      <c r="ALB396" s="128"/>
      <c r="ALC396" s="128"/>
      <c r="ALD396" s="128"/>
      <c r="ALE396" s="128"/>
      <c r="ALF396" s="128"/>
      <c r="ALG396" s="128"/>
      <c r="ALH396" s="128"/>
      <c r="ALI396" s="128"/>
      <c r="ALJ396" s="128"/>
      <c r="ALK396" s="128"/>
      <c r="ALL396" s="128"/>
      <c r="ALM396" s="128"/>
      <c r="ALN396" s="128"/>
      <c r="ALO396" s="128"/>
      <c r="ALP396" s="128"/>
      <c r="ALQ396" s="128"/>
      <c r="ALR396" s="128"/>
      <c r="ALS396" s="128"/>
      <c r="ALT396" s="128"/>
      <c r="ALU396" s="128"/>
      <c r="ALV396" s="128"/>
      <c r="ALW396" s="128"/>
      <c r="ALX396" s="128"/>
      <c r="ALY396" s="128"/>
      <c r="ALZ396" s="128"/>
      <c r="AMA396" s="128"/>
      <c r="AMB396" s="128"/>
      <c r="AMC396" s="128"/>
      <c r="AMD396" s="128"/>
      <c r="AME396" s="128"/>
      <c r="AMF396" s="128"/>
      <c r="AMG396" s="128"/>
      <c r="AMH396" s="128"/>
      <c r="AMI396" s="128"/>
      <c r="AMJ396" s="128"/>
      <c r="AMK396" s="128"/>
      <c r="AML396" s="128"/>
      <c r="AMM396" s="128"/>
      <c r="AMN396" s="128"/>
      <c r="AMO396" s="128"/>
      <c r="AMP396" s="128"/>
    </row>
    <row r="397" spans="1:1030" x14ac:dyDescent="0.2">
      <c r="A397" s="3" t="str">
        <f>CONCATENATE(B397,"_",C397)</f>
        <v>calrl_human__wt</v>
      </c>
      <c r="B397" s="2" t="s">
        <v>401</v>
      </c>
      <c r="C397" s="3" t="s">
        <v>100</v>
      </c>
      <c r="D397" s="3" t="str">
        <f>IFERROR(MID(VLOOKUP($B397,Seqs!$A:$B,2,0),E397,1),"")</f>
        <v>N</v>
      </c>
      <c r="E397" s="3">
        <v>130</v>
      </c>
      <c r="F397" s="3" t="str">
        <f>IFERROR(MID(VLOOKUP($B397,Seqs!$A:$B,2,0),G397,1),"")</f>
        <v>F</v>
      </c>
      <c r="G397" s="3">
        <v>166</v>
      </c>
      <c r="H397" s="3" t="str">
        <f>IFERROR(MID(VLOOKUP($B397,Seqs!$A:$B,2,0),I397,1),"")</f>
        <v>K</v>
      </c>
      <c r="I397" s="23">
        <v>167</v>
      </c>
      <c r="J397" s="3" t="str">
        <f>IFERROR(MID(VLOOKUP($B397,Seqs!$A:$B,2,0),K397,1),"")</f>
        <v>S</v>
      </c>
      <c r="K397" s="23">
        <v>170</v>
      </c>
      <c r="L397" s="3" t="str">
        <f>IFERROR(MID(VLOOKUP($B397,Seqs!$A:$B,2,0),M397,1),"")</f>
        <v>C</v>
      </c>
      <c r="M397" s="3">
        <v>171</v>
      </c>
      <c r="N397" s="3" t="str">
        <f>IFERROR(MID(VLOOKUP($B397,Seqs!$A:$B,2,0),O397,1),"")</f>
        <v>V</v>
      </c>
      <c r="O397" s="3">
        <v>198</v>
      </c>
      <c r="P397" s="3" t="str">
        <f>IFERROR(MID(VLOOKUP($B397,Seqs!$A:$B,2,0),Q397,1),"")</f>
        <v/>
      </c>
      <c r="Q397" s="3" t="s">
        <v>23</v>
      </c>
      <c r="R397" s="3" t="str">
        <f>IFERROR(MID(VLOOKUP($B397,Seqs!$A:$B,2,0),S397,1),"")</f>
        <v/>
      </c>
      <c r="S397" s="3" t="s">
        <v>23</v>
      </c>
      <c r="T397" s="3" t="str">
        <f>IFERROR(MID(VLOOKUP($B397,Seqs!$A:$B,2,0),U397,1),"")</f>
        <v>V</v>
      </c>
      <c r="U397" s="3">
        <v>210</v>
      </c>
      <c r="V397" s="3" t="str">
        <f>IFERROR(MID(VLOOKUP($B397,Seqs!$A:$B,2,0),W397,1),"")</f>
        <v>V</v>
      </c>
      <c r="W397" s="3">
        <v>243</v>
      </c>
      <c r="X397" s="3" t="str">
        <f>IFERROR(MID(VLOOKUP($B397,Seqs!$A:$B,2,0),Y397,1),"")</f>
        <v/>
      </c>
      <c r="Y397" s="3" t="s">
        <v>23</v>
      </c>
      <c r="Z397" s="3" t="str">
        <f>IFERROR(MID(VLOOKUP($B397,Seqs!$A:$B,2,0),AA397,1),"")</f>
        <v/>
      </c>
      <c r="AA397" s="3" t="s">
        <v>23</v>
      </c>
      <c r="AB397" s="3" t="str">
        <f>IFERROR(MID(VLOOKUP($B397,Seqs!$A:$B,2,0),AC397,1),"")</f>
        <v>H</v>
      </c>
      <c r="AC397" s="3">
        <v>251</v>
      </c>
      <c r="AD397" s="3" t="str">
        <f>IFERROR(MID(VLOOKUP($B397,Seqs!$A:$B,2,0),AE397,1),"")</f>
        <v>Y</v>
      </c>
      <c r="AE397" s="3">
        <v>277</v>
      </c>
      <c r="AF397" s="3" t="str">
        <f>IFERROR(MID(VLOOKUP($B397,Seqs!$A:$B,2,0),AG397,1),"")</f>
        <v>C</v>
      </c>
      <c r="AG397" s="3">
        <v>282</v>
      </c>
      <c r="AH397" s="3" t="str">
        <f>IFERROR(MID(VLOOKUP($B397,Seqs!$A:$B,2,0),AI397,1),"")</f>
        <v>I</v>
      </c>
      <c r="AI397" s="3">
        <v>284</v>
      </c>
      <c r="AJ397" s="3" t="str">
        <f>IFERROR(MID(VLOOKUP($B397,Seqs!$A:$B,2,0),AK397,1),"")</f>
        <v>L</v>
      </c>
      <c r="AK397" s="3">
        <v>290</v>
      </c>
      <c r="AL397" s="3" t="str">
        <f>IFERROR(MID(VLOOKUP($B397,Seqs!$A:$B,2,0),AM397,1),"")</f>
        <v>K</v>
      </c>
      <c r="AM397" s="3">
        <v>321</v>
      </c>
      <c r="AN397" s="3" t="str">
        <f>IFERROR(MID(VLOOKUP($B397,Seqs!$A:$B,2,0),AO397,1),"")</f>
        <v>Y</v>
      </c>
      <c r="AO397" s="3">
        <v>331</v>
      </c>
      <c r="AP397" s="3" t="str">
        <f>IFERROR(MID(VLOOKUP($B397,Seqs!$A:$B,2,0),AQ397,1),"")</f>
        <v>W</v>
      </c>
      <c r="AQ397" s="3">
        <v>354</v>
      </c>
      <c r="AR397" s="3" t="str">
        <f>IFERROR(MID(VLOOKUP($B397,Seqs!$A:$B,2,0),AS397,1),"")</f>
        <v>K</v>
      </c>
      <c r="AS397" s="3">
        <v>359</v>
      </c>
      <c r="AT397" s="3" t="str">
        <f>IFERROR(MID(VLOOKUP($B397,Seqs!$A:$B,2,0),AU397,1),"")</f>
        <v>F</v>
      </c>
      <c r="AU397" s="3">
        <v>387</v>
      </c>
      <c r="AV397" s="3" t="str">
        <f>IFERROR(MID(VLOOKUP($B397,Seqs!$A:$B,2,0),AW397,1),"")</f>
        <v>N</v>
      </c>
      <c r="AW397" s="3">
        <v>388</v>
      </c>
      <c r="AX397" s="3" t="str">
        <f>IFERROR(MID(VLOOKUP($B397,Seqs!$A:$B,2,0),AY397,1),"")</f>
        <v>S</v>
      </c>
      <c r="AY397" s="3">
        <v>413</v>
      </c>
      <c r="AZ397" s="77" t="str">
        <f>VLOOKUP(B397,Classification!A:D,2,0)</f>
        <v>B1</v>
      </c>
      <c r="BA397" s="94" t="str">
        <f>VLOOKUP(B397,Classification!A:D,4,0)</f>
        <v>Calcitonin</v>
      </c>
      <c r="BB397" s="27" t="b">
        <f t="shared" ref="BB397" si="1177">AND(E397&lt;G397,OR(G397&lt;I397,I397="-"),OR(I397&lt;K397,I397="-"),OR(K397&lt;M397,K397="-"),M397&lt;O397,OR(O397&lt;Q397,Q397="-"),OR(Q397&lt;S397,Q397="-"),OR(S397&lt;U397,S397="-"),U397&lt;W397,OR(W397&lt;Y397,Y397="-"),OR(Y397&lt;AA397,Y397="-"),OR(AA397&lt;AC397,AA397="-"),AC397&lt;AE397,OR(AE397&lt;AG397,AG397="-"),OR(AG397&lt;AI397,AG397="-"),OR(AI397&lt;AK397,AI397="-"),AK397&lt;AM397,AM397&lt;AO397,AO397&lt;AQ397,AQ397&lt;AS397,AS397&lt;AU397,OR(AU397&lt;AW397,AW397="-"),OR(AW397&lt;AY397,AW397="-"))</f>
        <v>1</v>
      </c>
      <c r="BC397" s="23">
        <f t="shared" ref="BC397" si="1178">_xlfn.AGGREGATE(9,6,CH397:CS397)-_xlfn.AGGREGATE(9,6,BV397:CG397)+12</f>
        <v>246</v>
      </c>
      <c r="BD397" s="4" t="s">
        <v>23</v>
      </c>
      <c r="BE397" s="3" t="s">
        <v>23</v>
      </c>
      <c r="BF397" s="118" t="s">
        <v>23</v>
      </c>
      <c r="BG397" s="49" t="s">
        <v>1371</v>
      </c>
      <c r="BH397" s="49" t="s">
        <v>1371</v>
      </c>
      <c r="BI397" s="1"/>
      <c r="BJ397" s="70" t="s">
        <v>1281</v>
      </c>
      <c r="BK397" s="57" t="s">
        <v>1281</v>
      </c>
      <c r="BL397" s="57" t="s">
        <v>1281</v>
      </c>
      <c r="BM397" s="57" t="s">
        <v>1281</v>
      </c>
      <c r="BN397" s="57" t="s">
        <v>1281</v>
      </c>
      <c r="BO397" s="57" t="s">
        <v>1281</v>
      </c>
      <c r="BP397" s="57" t="s">
        <v>1281</v>
      </c>
      <c r="BQ397" s="57" t="s">
        <v>1281</v>
      </c>
      <c r="BR397" s="57" t="s">
        <v>1281</v>
      </c>
      <c r="BS397" s="57" t="s">
        <v>1281</v>
      </c>
      <c r="BT397" s="57" t="s">
        <v>1281</v>
      </c>
      <c r="BU397" s="57" t="s">
        <v>1281</v>
      </c>
      <c r="BV397" s="70">
        <f>E397</f>
        <v>130</v>
      </c>
      <c r="BW397" s="71">
        <f>I397</f>
        <v>167</v>
      </c>
      <c r="BX397" s="72">
        <f>M397</f>
        <v>171</v>
      </c>
      <c r="BY397" s="71" t="str">
        <f>Q397</f>
        <v>-</v>
      </c>
      <c r="BZ397" s="72">
        <f>U397</f>
        <v>210</v>
      </c>
      <c r="CA397" s="71" t="str">
        <f>Y397</f>
        <v>-</v>
      </c>
      <c r="CB397" s="72">
        <f>AC397</f>
        <v>251</v>
      </c>
      <c r="CC397" s="71">
        <f>AG397</f>
        <v>282</v>
      </c>
      <c r="CD397" s="72">
        <f>AK397</f>
        <v>290</v>
      </c>
      <c r="CE397" s="71">
        <f>AO397</f>
        <v>331</v>
      </c>
      <c r="CF397" s="72">
        <f>AS397</f>
        <v>359</v>
      </c>
      <c r="CG397" s="71">
        <f>AW397</f>
        <v>388</v>
      </c>
      <c r="CH397" s="70">
        <f>G397</f>
        <v>166</v>
      </c>
      <c r="CI397" s="71">
        <f>K397</f>
        <v>170</v>
      </c>
      <c r="CJ397" s="72">
        <f>O397</f>
        <v>198</v>
      </c>
      <c r="CK397" s="72" t="str">
        <f>S397</f>
        <v>-</v>
      </c>
      <c r="CL397" s="72">
        <f>W397</f>
        <v>243</v>
      </c>
      <c r="CM397" s="72" t="str">
        <f>AA397</f>
        <v>-</v>
      </c>
      <c r="CN397" s="72">
        <f>AE397</f>
        <v>277</v>
      </c>
      <c r="CO397" s="72">
        <f>AI397</f>
        <v>284</v>
      </c>
      <c r="CP397" s="72">
        <f>AM397</f>
        <v>321</v>
      </c>
      <c r="CQ397" s="72">
        <f>AQ397</f>
        <v>354</v>
      </c>
      <c r="CR397" s="72">
        <f>AU397</f>
        <v>387</v>
      </c>
      <c r="CS397" s="72">
        <f>AY397</f>
        <v>413</v>
      </c>
      <c r="CT397" s="23">
        <f>M397-K397</f>
        <v>1</v>
      </c>
      <c r="CU397" s="6"/>
      <c r="CV397" s="6"/>
      <c r="CW397" s="6"/>
      <c r="CX397" s="6"/>
      <c r="CY397" s="6"/>
      <c r="CZ397" s="6"/>
      <c r="DA397" s="6"/>
      <c r="DB397" s="6"/>
      <c r="DC397" s="6"/>
      <c r="DD397" s="6"/>
      <c r="DE397" s="6"/>
      <c r="DF397" s="6"/>
      <c r="DG397" s="6"/>
      <c r="DH397" s="6"/>
      <c r="DI397" s="6"/>
      <c r="DJ397" s="6"/>
      <c r="DK397" s="6"/>
      <c r="DL397" s="6"/>
      <c r="DM397" s="6"/>
      <c r="DN397" s="6"/>
      <c r="DO397" s="6"/>
      <c r="DP397" s="6"/>
      <c r="DQ397" s="6"/>
      <c r="DR397" s="6"/>
      <c r="DS397" s="6"/>
      <c r="DT397" s="6"/>
      <c r="DU397" s="6"/>
      <c r="DV397" s="6"/>
      <c r="DW397" s="6"/>
      <c r="DX397" s="6"/>
      <c r="DY397" s="6"/>
      <c r="DZ397" s="6"/>
      <c r="EA397" s="6"/>
      <c r="EB397" s="6"/>
      <c r="EC397" s="6"/>
      <c r="ED397" s="6"/>
      <c r="EE397" s="6"/>
      <c r="EF397" s="6"/>
      <c r="EG397" s="6"/>
      <c r="EH397" s="6"/>
      <c r="EI397" s="6"/>
      <c r="EJ397" s="6"/>
      <c r="EK397" s="6"/>
      <c r="EL397" s="6"/>
      <c r="EM397" s="6"/>
      <c r="EN397" s="6"/>
      <c r="EO397" s="6"/>
      <c r="EP397" s="6"/>
      <c r="EQ397" s="6"/>
      <c r="ER397" s="6"/>
      <c r="ES397" s="6"/>
      <c r="ET397" s="6"/>
      <c r="EU397" s="6"/>
      <c r="EV397" s="6"/>
      <c r="EW397" s="6"/>
      <c r="EX397" s="6"/>
      <c r="EY397" s="6"/>
      <c r="EZ397" s="6"/>
      <c r="FA397" s="6"/>
      <c r="FB397" s="6"/>
      <c r="FC397" s="6"/>
      <c r="FD397" s="6"/>
      <c r="FE397" s="6"/>
      <c r="FF397" s="6"/>
      <c r="FG397" s="6"/>
      <c r="FH397" s="6"/>
      <c r="FI397" s="6"/>
      <c r="FJ397" s="6"/>
      <c r="FK397" s="6"/>
      <c r="FL397" s="6"/>
      <c r="FM397" s="6"/>
      <c r="FN397" s="6"/>
      <c r="FO397" s="6"/>
      <c r="FP397" s="6"/>
      <c r="FQ397" s="6"/>
      <c r="FR397" s="6"/>
      <c r="FS397" s="6"/>
      <c r="FT397" s="6"/>
      <c r="FU397" s="6"/>
      <c r="FV397" s="6"/>
      <c r="FW397" s="6"/>
      <c r="FX397" s="6"/>
      <c r="FY397" s="6"/>
      <c r="FZ397" s="6"/>
      <c r="GA397" s="6"/>
      <c r="GB397" s="6"/>
      <c r="GC397" s="6"/>
      <c r="GD397" s="6"/>
      <c r="GE397" s="6"/>
      <c r="GF397" s="6"/>
      <c r="GG397" s="6"/>
      <c r="GH397" s="6"/>
      <c r="GI397" s="6"/>
      <c r="GJ397" s="6"/>
      <c r="GK397" s="6"/>
      <c r="GL397" s="6"/>
      <c r="GM397" s="6"/>
      <c r="GN397" s="6"/>
      <c r="GO397" s="6"/>
      <c r="GP397" s="6"/>
      <c r="GQ397" s="6"/>
      <c r="GR397" s="6"/>
      <c r="GS397" s="6"/>
      <c r="GT397" s="6"/>
      <c r="GU397" s="6"/>
      <c r="GV397" s="6"/>
      <c r="GW397" s="6"/>
      <c r="GX397" s="6"/>
      <c r="GY397" s="6"/>
      <c r="GZ397" s="6"/>
      <c r="HA397" s="6"/>
      <c r="HB397" s="6"/>
      <c r="HC397" s="6"/>
      <c r="HD397" s="6"/>
      <c r="HE397" s="6"/>
      <c r="HF397" s="6"/>
      <c r="HG397" s="6"/>
      <c r="HH397" s="6"/>
      <c r="HI397" s="6"/>
      <c r="HJ397" s="6"/>
      <c r="HK397" s="6"/>
      <c r="HL397" s="6"/>
      <c r="HM397" s="6"/>
      <c r="HN397" s="6"/>
      <c r="HO397" s="6"/>
      <c r="HP397" s="6"/>
      <c r="HQ397" s="6"/>
      <c r="HR397" s="6"/>
      <c r="HS397" s="6"/>
      <c r="HT397" s="6"/>
      <c r="HU397" s="6"/>
      <c r="HV397" s="6"/>
      <c r="HW397" s="6"/>
      <c r="HX397" s="6"/>
      <c r="HY397" s="6"/>
      <c r="HZ397" s="6"/>
      <c r="IA397" s="6"/>
      <c r="IB397" s="6"/>
      <c r="IC397" s="6"/>
      <c r="ID397" s="6"/>
      <c r="IE397" s="6"/>
      <c r="IF397" s="6"/>
      <c r="IG397" s="6"/>
      <c r="IH397" s="6"/>
      <c r="II397" s="6"/>
      <c r="IJ397" s="6"/>
      <c r="IK397" s="6"/>
      <c r="IL397" s="6"/>
      <c r="IM397" s="6"/>
      <c r="IN397" s="6"/>
      <c r="IO397" s="6"/>
      <c r="IP397" s="6"/>
      <c r="IQ397" s="6"/>
      <c r="IR397" s="6"/>
      <c r="IS397" s="6"/>
      <c r="IT397" s="6"/>
      <c r="IU397" s="6"/>
      <c r="IV397" s="6"/>
      <c r="IW397" s="6"/>
      <c r="IX397" s="6"/>
      <c r="IY397" s="6"/>
      <c r="IZ397" s="6"/>
      <c r="JA397" s="6"/>
      <c r="JB397" s="6"/>
      <c r="JC397" s="6"/>
      <c r="JD397" s="6"/>
      <c r="JE397" s="6"/>
      <c r="JF397" s="6"/>
      <c r="JG397" s="6"/>
      <c r="JH397" s="6"/>
      <c r="JI397" s="6"/>
      <c r="JJ397" s="6"/>
      <c r="JK397" s="6"/>
      <c r="JL397" s="6"/>
      <c r="JM397" s="6"/>
      <c r="JN397" s="6"/>
      <c r="JO397" s="6"/>
      <c r="JP397" s="6"/>
      <c r="JQ397" s="6"/>
      <c r="JR397" s="6"/>
      <c r="JS397" s="6"/>
      <c r="JT397" s="6"/>
      <c r="JU397" s="6"/>
      <c r="JV397" s="6"/>
      <c r="JW397" s="6"/>
      <c r="JX397" s="6"/>
      <c r="JY397" s="6"/>
      <c r="JZ397" s="6"/>
      <c r="KA397" s="6"/>
      <c r="KB397" s="6"/>
      <c r="KC397" s="6"/>
      <c r="KD397" s="6"/>
      <c r="KE397" s="6"/>
      <c r="KF397" s="6"/>
      <c r="KG397" s="6"/>
      <c r="KH397" s="6"/>
      <c r="KI397" s="6"/>
      <c r="KJ397" s="6"/>
      <c r="KK397" s="6"/>
      <c r="KL397" s="6"/>
      <c r="KM397" s="6"/>
      <c r="KN397" s="6"/>
      <c r="KO397" s="6"/>
      <c r="KP397" s="6"/>
      <c r="KQ397" s="6"/>
      <c r="KR397" s="6"/>
      <c r="KS397" s="6"/>
      <c r="KT397" s="6"/>
      <c r="KU397" s="6"/>
      <c r="KV397" s="6"/>
      <c r="KW397" s="6"/>
      <c r="KX397" s="6"/>
      <c r="KY397" s="6"/>
      <c r="KZ397" s="6"/>
      <c r="LA397" s="6"/>
      <c r="LB397" s="6"/>
      <c r="LC397" s="6"/>
      <c r="LD397" s="6"/>
      <c r="LE397" s="6"/>
      <c r="LF397" s="6"/>
      <c r="LG397" s="6"/>
      <c r="LH397" s="6"/>
      <c r="LI397" s="6"/>
      <c r="LJ397" s="6"/>
      <c r="LK397" s="6"/>
      <c r="LL397" s="6"/>
      <c r="LM397" s="6"/>
      <c r="LN397" s="6"/>
      <c r="LO397" s="6"/>
      <c r="LP397" s="6"/>
      <c r="LQ397" s="6"/>
      <c r="LR397" s="6"/>
      <c r="LS397" s="6"/>
      <c r="LT397" s="6"/>
      <c r="LU397" s="6"/>
      <c r="LV397" s="6"/>
      <c r="LW397" s="6"/>
      <c r="LX397" s="6"/>
      <c r="LY397" s="6"/>
      <c r="LZ397" s="6"/>
      <c r="MA397" s="6"/>
      <c r="MB397" s="6"/>
      <c r="MC397" s="6"/>
      <c r="MD397" s="6"/>
      <c r="ME397" s="6"/>
      <c r="MF397" s="6"/>
      <c r="MG397" s="6"/>
      <c r="MH397" s="6"/>
      <c r="MI397" s="6"/>
      <c r="MJ397" s="6"/>
      <c r="MK397" s="6"/>
      <c r="ML397" s="6"/>
      <c r="MM397" s="6"/>
      <c r="MN397" s="6"/>
      <c r="MO397" s="6"/>
      <c r="MP397" s="6"/>
      <c r="MQ397" s="6"/>
      <c r="MR397" s="6"/>
      <c r="MS397" s="6"/>
      <c r="MT397" s="6"/>
      <c r="MU397" s="6"/>
      <c r="MV397" s="6"/>
      <c r="MW397" s="6"/>
      <c r="MX397" s="6"/>
      <c r="MY397" s="6"/>
      <c r="MZ397" s="6"/>
      <c r="NA397" s="6"/>
      <c r="NB397" s="6"/>
      <c r="NC397" s="6"/>
      <c r="ND397" s="6"/>
      <c r="NE397" s="6"/>
      <c r="NF397" s="6"/>
      <c r="NG397" s="6"/>
      <c r="NH397" s="6"/>
      <c r="NI397" s="6"/>
      <c r="NJ397" s="6"/>
      <c r="NK397" s="6"/>
      <c r="NL397" s="6"/>
      <c r="NM397" s="6"/>
      <c r="NN397" s="6"/>
      <c r="NO397" s="6"/>
      <c r="NP397" s="6"/>
      <c r="NQ397" s="6"/>
      <c r="NR397" s="6"/>
      <c r="NS397" s="6"/>
      <c r="NT397" s="6"/>
      <c r="NU397" s="6"/>
      <c r="NV397" s="6"/>
      <c r="NW397" s="6"/>
      <c r="NX397" s="6"/>
      <c r="NY397" s="6"/>
      <c r="NZ397" s="6"/>
      <c r="OA397" s="6"/>
      <c r="OB397" s="6"/>
      <c r="OC397" s="6"/>
      <c r="OD397" s="6"/>
      <c r="OE397" s="6"/>
      <c r="OF397" s="6"/>
      <c r="OG397" s="6"/>
      <c r="OH397" s="6"/>
      <c r="OI397" s="6"/>
      <c r="OJ397" s="6"/>
      <c r="OK397" s="6"/>
      <c r="OL397" s="6"/>
      <c r="OM397" s="6"/>
      <c r="ON397" s="6"/>
      <c r="OO397" s="6"/>
      <c r="OP397" s="6"/>
      <c r="OQ397" s="6"/>
      <c r="OR397" s="6"/>
      <c r="OS397" s="6"/>
      <c r="OT397" s="6"/>
      <c r="OU397" s="6"/>
      <c r="OV397" s="6"/>
      <c r="OW397" s="6"/>
      <c r="OX397" s="6"/>
      <c r="OY397" s="6"/>
      <c r="OZ397" s="6"/>
      <c r="PA397" s="6"/>
      <c r="PB397" s="6"/>
      <c r="PC397" s="6"/>
      <c r="PD397" s="6"/>
      <c r="PE397" s="6"/>
      <c r="PF397" s="6"/>
      <c r="PG397" s="6"/>
      <c r="PH397" s="6"/>
      <c r="PI397" s="6"/>
      <c r="PJ397" s="6"/>
      <c r="PK397" s="6"/>
      <c r="PL397" s="6"/>
      <c r="PM397" s="6"/>
      <c r="PN397" s="6"/>
      <c r="PO397" s="6"/>
      <c r="PP397" s="6"/>
      <c r="PQ397" s="6"/>
      <c r="PR397" s="6"/>
      <c r="PS397" s="6"/>
      <c r="PT397" s="6"/>
      <c r="PU397" s="6"/>
      <c r="PV397" s="6"/>
      <c r="PW397" s="6"/>
      <c r="PX397" s="6"/>
      <c r="PY397" s="6"/>
      <c r="PZ397" s="6"/>
      <c r="QA397" s="6"/>
      <c r="QB397" s="6"/>
      <c r="QC397" s="6"/>
      <c r="QD397" s="6"/>
      <c r="QE397" s="6"/>
      <c r="QF397" s="6"/>
      <c r="QG397" s="6"/>
      <c r="QH397" s="6"/>
      <c r="QI397" s="6"/>
      <c r="QJ397" s="6"/>
      <c r="QK397" s="6"/>
      <c r="QL397" s="6"/>
      <c r="QM397" s="6"/>
      <c r="QN397" s="6"/>
      <c r="QO397" s="6"/>
      <c r="QP397" s="6"/>
      <c r="QQ397" s="6"/>
      <c r="QR397" s="6"/>
      <c r="QS397" s="6"/>
      <c r="QT397" s="6"/>
      <c r="QU397" s="6"/>
      <c r="QV397" s="6"/>
      <c r="QW397" s="6"/>
      <c r="QX397" s="6"/>
      <c r="QY397" s="6"/>
      <c r="QZ397" s="6"/>
      <c r="RA397" s="6"/>
      <c r="RB397" s="6"/>
      <c r="RC397" s="6"/>
      <c r="RD397" s="6"/>
      <c r="RE397" s="6"/>
      <c r="RF397" s="6"/>
      <c r="RG397" s="6"/>
      <c r="RH397" s="6"/>
      <c r="RI397" s="6"/>
      <c r="RJ397" s="6"/>
      <c r="RK397" s="6"/>
      <c r="RL397" s="6"/>
      <c r="RM397" s="6"/>
      <c r="RN397" s="6"/>
      <c r="RO397" s="6"/>
      <c r="RP397" s="6"/>
      <c r="RQ397" s="6"/>
      <c r="RR397" s="6"/>
      <c r="RS397" s="6"/>
      <c r="RT397" s="6"/>
      <c r="RU397" s="6"/>
      <c r="RV397" s="6"/>
      <c r="RW397" s="6"/>
      <c r="RX397" s="6"/>
      <c r="RY397" s="6"/>
      <c r="RZ397" s="6"/>
      <c r="SA397" s="6"/>
      <c r="SB397" s="6"/>
      <c r="SC397" s="6"/>
      <c r="SD397" s="6"/>
      <c r="SE397" s="6"/>
      <c r="SF397" s="6"/>
      <c r="SG397" s="6"/>
      <c r="SH397" s="6"/>
      <c r="SI397" s="6"/>
      <c r="SJ397" s="6"/>
      <c r="SK397" s="6"/>
      <c r="SL397" s="6"/>
      <c r="SM397" s="6"/>
      <c r="SN397" s="6"/>
      <c r="SO397" s="6"/>
      <c r="SP397" s="6"/>
      <c r="SQ397" s="6"/>
      <c r="SR397" s="6"/>
      <c r="SS397" s="6"/>
      <c r="ST397" s="6"/>
      <c r="SU397" s="6"/>
      <c r="SV397" s="6"/>
      <c r="SW397" s="6"/>
      <c r="SX397" s="6"/>
      <c r="SY397" s="6"/>
      <c r="SZ397" s="6"/>
      <c r="TA397" s="6"/>
      <c r="TB397" s="6"/>
      <c r="TC397" s="6"/>
      <c r="TD397" s="6"/>
      <c r="TE397" s="6"/>
      <c r="TF397" s="6"/>
      <c r="TG397" s="6"/>
      <c r="TH397" s="6"/>
      <c r="TI397" s="6"/>
      <c r="TJ397" s="6"/>
      <c r="TK397" s="6"/>
      <c r="TL397" s="6"/>
      <c r="TM397" s="6"/>
      <c r="TN397" s="6"/>
      <c r="TO397" s="6"/>
      <c r="TP397" s="6"/>
      <c r="TQ397" s="6"/>
      <c r="TR397" s="6"/>
      <c r="TS397" s="6"/>
      <c r="TT397" s="6"/>
      <c r="TU397" s="6"/>
      <c r="TV397" s="6"/>
      <c r="TW397" s="6"/>
      <c r="TX397" s="6"/>
      <c r="TY397" s="6"/>
      <c r="TZ397" s="6"/>
      <c r="UA397" s="6"/>
      <c r="UB397" s="6"/>
      <c r="UC397" s="6"/>
      <c r="UD397" s="6"/>
      <c r="UE397" s="6"/>
      <c r="UF397" s="6"/>
      <c r="UG397" s="6"/>
      <c r="UH397" s="6"/>
      <c r="UI397" s="6"/>
      <c r="UJ397" s="6"/>
      <c r="UK397" s="6"/>
      <c r="UL397" s="6"/>
      <c r="UM397" s="6"/>
      <c r="UN397" s="6"/>
      <c r="UO397" s="6"/>
      <c r="UP397" s="6"/>
      <c r="UQ397" s="6"/>
      <c r="UR397" s="6"/>
      <c r="US397" s="6"/>
      <c r="UT397" s="6"/>
      <c r="UU397" s="6"/>
      <c r="UV397" s="6"/>
      <c r="UW397" s="6"/>
      <c r="UX397" s="6"/>
      <c r="UY397" s="6"/>
      <c r="UZ397" s="6"/>
      <c r="VA397" s="6"/>
      <c r="VB397" s="6"/>
      <c r="VC397" s="6"/>
      <c r="VD397" s="6"/>
      <c r="VE397" s="6"/>
      <c r="VF397" s="6"/>
      <c r="VG397" s="6"/>
      <c r="VH397" s="6"/>
      <c r="VI397" s="6"/>
      <c r="VJ397" s="6"/>
      <c r="VK397" s="6"/>
      <c r="VL397" s="6"/>
      <c r="VM397" s="6"/>
      <c r="VN397" s="6"/>
      <c r="VO397" s="6"/>
      <c r="VP397" s="6"/>
      <c r="VQ397" s="6"/>
      <c r="VR397" s="6"/>
      <c r="VS397" s="6"/>
      <c r="VT397" s="6"/>
      <c r="VU397" s="6"/>
      <c r="VV397" s="6"/>
      <c r="VW397" s="6"/>
      <c r="VX397" s="6"/>
      <c r="VY397" s="6"/>
      <c r="VZ397" s="6"/>
      <c r="WA397" s="6"/>
      <c r="WB397" s="6"/>
      <c r="WC397" s="6"/>
      <c r="WD397" s="6"/>
      <c r="WE397" s="6"/>
      <c r="WF397" s="6"/>
      <c r="WG397" s="6"/>
      <c r="WH397" s="6"/>
      <c r="WI397" s="6"/>
      <c r="WJ397" s="6"/>
      <c r="WK397" s="6"/>
      <c r="WL397" s="6"/>
      <c r="WM397" s="6"/>
      <c r="WN397" s="6"/>
      <c r="WO397" s="6"/>
      <c r="WP397" s="6"/>
      <c r="WQ397" s="6"/>
      <c r="WR397" s="6"/>
      <c r="WS397" s="6"/>
      <c r="WT397" s="6"/>
      <c r="WU397" s="6"/>
      <c r="WV397" s="6"/>
      <c r="WW397" s="6"/>
      <c r="WX397" s="6"/>
      <c r="WY397" s="6"/>
      <c r="WZ397" s="6"/>
      <c r="XA397" s="6"/>
      <c r="XB397" s="6"/>
      <c r="XC397" s="6"/>
      <c r="XD397" s="6"/>
      <c r="XE397" s="6"/>
      <c r="XF397" s="6"/>
      <c r="XG397" s="6"/>
      <c r="XH397" s="6"/>
      <c r="XI397" s="6"/>
      <c r="XJ397" s="6"/>
      <c r="XK397" s="6"/>
      <c r="XL397" s="6"/>
      <c r="XM397" s="6"/>
      <c r="XN397" s="6"/>
      <c r="XO397" s="6"/>
      <c r="XP397" s="6"/>
      <c r="XQ397" s="6"/>
      <c r="XR397" s="6"/>
      <c r="XS397" s="6"/>
      <c r="XT397" s="6"/>
      <c r="XU397" s="6"/>
      <c r="XV397" s="6"/>
      <c r="XW397" s="6"/>
      <c r="XX397" s="6"/>
      <c r="XY397" s="6"/>
      <c r="XZ397" s="6"/>
      <c r="YA397" s="6"/>
      <c r="YB397" s="6"/>
      <c r="YC397" s="6"/>
      <c r="YD397" s="6"/>
      <c r="YE397" s="6"/>
      <c r="YF397" s="6"/>
      <c r="YG397" s="6"/>
      <c r="YH397" s="6"/>
      <c r="YI397" s="6"/>
      <c r="YJ397" s="6"/>
      <c r="YK397" s="6"/>
      <c r="YL397" s="6"/>
      <c r="YM397" s="6"/>
      <c r="YN397" s="6"/>
      <c r="YO397" s="6"/>
      <c r="YP397" s="6"/>
      <c r="YQ397" s="6"/>
      <c r="YR397" s="6"/>
      <c r="YS397" s="6"/>
      <c r="YT397" s="6"/>
      <c r="YU397" s="6"/>
      <c r="YV397" s="6"/>
      <c r="YW397" s="6"/>
      <c r="YX397" s="6"/>
      <c r="YY397" s="6"/>
      <c r="YZ397" s="6"/>
      <c r="ZA397" s="6"/>
      <c r="ZB397" s="6"/>
      <c r="ZC397" s="6"/>
      <c r="ZD397" s="6"/>
      <c r="ZE397" s="6"/>
      <c r="ZF397" s="6"/>
      <c r="ZG397" s="6"/>
      <c r="ZH397" s="6"/>
      <c r="ZI397" s="6"/>
      <c r="ZJ397" s="6"/>
      <c r="ZK397" s="6"/>
      <c r="ZL397" s="6"/>
      <c r="ZM397" s="6"/>
      <c r="ZN397" s="6"/>
      <c r="ZO397" s="6"/>
      <c r="ZP397" s="6"/>
      <c r="ZQ397" s="6"/>
      <c r="ZR397" s="6"/>
      <c r="ZS397" s="6"/>
      <c r="ZT397" s="6"/>
      <c r="ZU397" s="6"/>
      <c r="ZV397" s="6"/>
      <c r="ZW397" s="6"/>
      <c r="ZX397" s="6"/>
      <c r="ZY397" s="6"/>
      <c r="ZZ397" s="6"/>
      <c r="AAA397" s="6"/>
      <c r="AAB397" s="6"/>
      <c r="AAC397" s="6"/>
      <c r="AAD397" s="6"/>
      <c r="AAE397" s="6"/>
      <c r="AAF397" s="6"/>
      <c r="AAG397" s="6"/>
      <c r="AAH397" s="6"/>
      <c r="AAI397" s="6"/>
      <c r="AAJ397" s="6"/>
      <c r="AAK397" s="6"/>
      <c r="AAL397" s="6"/>
      <c r="AAM397" s="6"/>
      <c r="AAN397" s="6"/>
      <c r="AAO397" s="6"/>
      <c r="AAP397" s="6"/>
      <c r="AAQ397" s="6"/>
      <c r="AAR397" s="6"/>
      <c r="AAS397" s="6"/>
      <c r="AAT397" s="6"/>
      <c r="AAU397" s="6"/>
      <c r="AAV397" s="6"/>
      <c r="AAW397" s="6"/>
      <c r="AAX397" s="6"/>
      <c r="AAY397" s="6"/>
      <c r="AAZ397" s="6"/>
      <c r="ABA397" s="6"/>
      <c r="ABB397" s="6"/>
      <c r="ABC397" s="6"/>
      <c r="ABD397" s="6"/>
      <c r="ABE397" s="6"/>
      <c r="ABF397" s="6"/>
      <c r="ABG397" s="6"/>
      <c r="ABH397" s="6"/>
      <c r="ABI397" s="6"/>
      <c r="ABJ397" s="6"/>
      <c r="ABK397" s="6"/>
      <c r="ABL397" s="6"/>
      <c r="ABM397" s="6"/>
      <c r="ABN397" s="6"/>
      <c r="ABO397" s="6"/>
      <c r="ABP397" s="6"/>
      <c r="ABQ397" s="6"/>
      <c r="ABR397" s="6"/>
      <c r="ABS397" s="6"/>
      <c r="ABT397" s="6"/>
      <c r="ABU397" s="6"/>
      <c r="ABV397" s="6"/>
      <c r="ABW397" s="6"/>
      <c r="ABX397" s="6"/>
      <c r="ABY397" s="6"/>
      <c r="ABZ397" s="6"/>
      <c r="ACA397" s="6"/>
      <c r="ACB397" s="6"/>
      <c r="ACC397" s="6"/>
      <c r="ACD397" s="6"/>
      <c r="ACE397" s="6"/>
      <c r="ACF397" s="6"/>
      <c r="ACG397" s="6"/>
      <c r="ACH397" s="6"/>
      <c r="ACI397" s="6"/>
      <c r="ACJ397" s="6"/>
      <c r="ACK397" s="6"/>
      <c r="ACL397" s="6"/>
      <c r="ACM397" s="6"/>
      <c r="ACN397" s="6"/>
      <c r="ACO397" s="6"/>
      <c r="ACP397" s="6"/>
      <c r="ACQ397" s="6"/>
      <c r="ACR397" s="6"/>
      <c r="ACS397" s="6"/>
      <c r="ACT397" s="6"/>
      <c r="ACU397" s="6"/>
      <c r="ACV397" s="6"/>
      <c r="ACW397" s="6"/>
      <c r="ACX397" s="6"/>
      <c r="ACY397" s="6"/>
      <c r="ACZ397" s="6"/>
      <c r="ADA397" s="6"/>
      <c r="ADB397" s="6"/>
      <c r="ADC397" s="6"/>
      <c r="ADD397" s="6"/>
      <c r="ADE397" s="6"/>
      <c r="ADF397" s="6"/>
      <c r="ADG397" s="6"/>
      <c r="ADH397" s="6"/>
      <c r="ADI397" s="6"/>
      <c r="ADJ397" s="6"/>
      <c r="ADK397" s="6"/>
      <c r="ADL397" s="6"/>
      <c r="ADM397" s="6"/>
      <c r="ADN397" s="6"/>
      <c r="ADO397" s="6"/>
      <c r="ADP397" s="6"/>
      <c r="ADQ397" s="6"/>
      <c r="ADR397" s="6"/>
      <c r="ADS397" s="6"/>
      <c r="ADT397" s="6"/>
      <c r="ADU397" s="6"/>
      <c r="ADV397" s="6"/>
      <c r="ADW397" s="6"/>
      <c r="ADX397" s="6"/>
      <c r="ADY397" s="6"/>
      <c r="ADZ397" s="6"/>
      <c r="AEA397" s="6"/>
      <c r="AEB397" s="6"/>
      <c r="AEC397" s="6"/>
      <c r="AED397" s="6"/>
      <c r="AEE397" s="6"/>
      <c r="AEF397" s="6"/>
      <c r="AEG397" s="6"/>
      <c r="AEH397" s="6"/>
      <c r="AEI397" s="6"/>
      <c r="AEJ397" s="6"/>
      <c r="AEK397" s="6"/>
      <c r="AEL397" s="6"/>
      <c r="AEM397" s="6"/>
      <c r="AEN397" s="6"/>
      <c r="AEO397" s="6"/>
      <c r="AEP397" s="6"/>
      <c r="AEQ397" s="6"/>
      <c r="AER397" s="6"/>
      <c r="AES397" s="6"/>
      <c r="AET397" s="6"/>
      <c r="AEU397" s="6"/>
      <c r="AEV397" s="6"/>
      <c r="AEW397" s="6"/>
      <c r="AEX397" s="6"/>
      <c r="AEY397" s="6"/>
      <c r="AEZ397" s="6"/>
      <c r="AFA397" s="6"/>
      <c r="AFB397" s="6"/>
      <c r="AFC397" s="6"/>
      <c r="AFD397" s="6"/>
      <c r="AFE397" s="6"/>
      <c r="AFF397" s="6"/>
      <c r="AFG397" s="6"/>
      <c r="AFH397" s="6"/>
      <c r="AFI397" s="6"/>
      <c r="AFJ397" s="6"/>
      <c r="AFK397" s="6"/>
      <c r="AFL397" s="6"/>
      <c r="AFM397" s="6"/>
      <c r="AFN397" s="6"/>
      <c r="AFO397" s="6"/>
      <c r="AFP397" s="6"/>
      <c r="AFQ397" s="6"/>
      <c r="AFR397" s="6"/>
      <c r="AFS397" s="6"/>
      <c r="AFT397" s="6"/>
      <c r="AFU397" s="6"/>
      <c r="AFV397" s="6"/>
      <c r="AFW397" s="6"/>
      <c r="AFX397" s="6"/>
      <c r="AFY397" s="6"/>
      <c r="AFZ397" s="6"/>
      <c r="AGA397" s="6"/>
      <c r="AGB397" s="6"/>
      <c r="AGC397" s="6"/>
      <c r="AGD397" s="6"/>
      <c r="AGE397" s="6"/>
      <c r="AGF397" s="6"/>
      <c r="AGG397" s="6"/>
      <c r="AGH397" s="6"/>
      <c r="AGI397" s="6"/>
      <c r="AGJ397" s="6"/>
      <c r="AGK397" s="6"/>
      <c r="AGL397" s="6"/>
      <c r="AGM397" s="6"/>
      <c r="AGN397" s="6"/>
      <c r="AGO397" s="6"/>
      <c r="AGP397" s="6"/>
      <c r="AGQ397" s="6"/>
      <c r="AGR397" s="6"/>
      <c r="AGS397" s="6"/>
      <c r="AGT397" s="6"/>
      <c r="AGU397" s="6"/>
      <c r="AGV397" s="6"/>
      <c r="AGW397" s="6"/>
      <c r="AGX397" s="6"/>
      <c r="AGY397" s="6"/>
      <c r="AGZ397" s="6"/>
      <c r="AHA397" s="6"/>
      <c r="AHB397" s="6"/>
      <c r="AHC397" s="6"/>
      <c r="AHD397" s="6"/>
      <c r="AHE397" s="6"/>
      <c r="AHF397" s="6"/>
      <c r="AHG397" s="6"/>
      <c r="AHH397" s="6"/>
      <c r="AHI397" s="6"/>
      <c r="AHJ397" s="6"/>
      <c r="AHK397" s="6"/>
      <c r="AHL397" s="6"/>
      <c r="AHM397" s="6"/>
      <c r="AHN397" s="6"/>
      <c r="AHO397" s="6"/>
      <c r="AHP397" s="6"/>
      <c r="AHQ397" s="6"/>
      <c r="AHR397" s="6"/>
      <c r="AHS397" s="6"/>
      <c r="AHT397" s="6"/>
      <c r="AHU397" s="6"/>
      <c r="AHV397" s="6"/>
      <c r="AHW397" s="6"/>
      <c r="AHX397" s="6"/>
      <c r="AHY397" s="6"/>
      <c r="AHZ397" s="6"/>
      <c r="AIA397" s="6"/>
      <c r="AIB397" s="6"/>
      <c r="AIC397" s="6"/>
      <c r="AID397" s="6"/>
      <c r="AIE397" s="6"/>
      <c r="AIF397" s="6"/>
      <c r="AIG397" s="6"/>
      <c r="AIH397" s="6"/>
      <c r="AII397" s="6"/>
      <c r="AIJ397" s="6"/>
      <c r="AIK397" s="6"/>
      <c r="AIL397" s="6"/>
      <c r="AIM397" s="6"/>
      <c r="AIN397" s="6"/>
      <c r="AIO397" s="6"/>
      <c r="AIP397" s="6"/>
      <c r="AIQ397" s="6"/>
      <c r="AIR397" s="6"/>
      <c r="AIS397" s="6"/>
      <c r="AIT397" s="6"/>
      <c r="AIU397" s="6"/>
      <c r="AIV397" s="6"/>
      <c r="AIW397" s="6"/>
      <c r="AIX397" s="6"/>
      <c r="AIY397" s="6"/>
      <c r="AIZ397" s="6"/>
      <c r="AJA397" s="6"/>
      <c r="AJB397" s="6"/>
      <c r="AJC397" s="6"/>
      <c r="AJD397" s="6"/>
      <c r="AJE397" s="6"/>
      <c r="AJF397" s="6"/>
      <c r="AJG397" s="6"/>
      <c r="AJH397" s="6"/>
      <c r="AJI397" s="6"/>
      <c r="AJJ397" s="6"/>
      <c r="AJK397" s="6"/>
      <c r="AJL397" s="6"/>
      <c r="AJM397" s="6"/>
      <c r="AJN397" s="6"/>
      <c r="AJO397" s="6"/>
      <c r="AJP397" s="6"/>
      <c r="AJQ397" s="6"/>
      <c r="AJR397" s="6"/>
      <c r="AJS397" s="6"/>
      <c r="AJT397" s="6"/>
      <c r="AJU397" s="6"/>
      <c r="AJV397" s="6"/>
      <c r="AJW397" s="6"/>
      <c r="AJX397" s="6"/>
      <c r="AJY397" s="6"/>
      <c r="AJZ397" s="6"/>
      <c r="AKA397" s="6"/>
      <c r="AKB397" s="6"/>
      <c r="AKC397" s="6"/>
      <c r="AKD397" s="6"/>
      <c r="AKE397" s="6"/>
      <c r="AKF397" s="6"/>
      <c r="AKG397" s="6"/>
      <c r="AKH397" s="6"/>
      <c r="AKI397" s="6"/>
      <c r="AKJ397" s="6"/>
      <c r="AKK397" s="6"/>
      <c r="AKL397" s="6"/>
      <c r="AKM397" s="6"/>
      <c r="AKN397" s="6"/>
      <c r="AKO397" s="6"/>
      <c r="AKP397" s="6"/>
      <c r="AKQ397" s="6"/>
      <c r="AKR397" s="6"/>
      <c r="AKS397" s="6"/>
      <c r="AKT397" s="6"/>
      <c r="AKU397" s="6"/>
      <c r="AKV397" s="6"/>
      <c r="AKW397" s="6"/>
      <c r="AKX397" s="6"/>
      <c r="AKY397" s="6"/>
      <c r="AKZ397" s="6"/>
      <c r="ALA397" s="6"/>
      <c r="ALB397" s="6"/>
      <c r="ALC397" s="6"/>
      <c r="ALD397" s="6"/>
      <c r="ALE397" s="6"/>
      <c r="ALF397" s="6"/>
      <c r="ALG397" s="6"/>
      <c r="ALH397" s="6"/>
      <c r="ALI397" s="6"/>
      <c r="ALJ397" s="6"/>
      <c r="ALK397" s="6"/>
      <c r="ALL397" s="6"/>
      <c r="ALM397" s="6"/>
      <c r="ALN397" s="6"/>
      <c r="ALO397" s="6"/>
      <c r="ALP397" s="6"/>
      <c r="ALQ397" s="6"/>
      <c r="ALR397" s="6"/>
      <c r="ALS397" s="6"/>
      <c r="ALT397" s="6"/>
      <c r="ALU397" s="6"/>
      <c r="ALV397" s="6"/>
      <c r="ALW397" s="6"/>
      <c r="ALX397" s="6"/>
      <c r="ALY397" s="6"/>
      <c r="ALZ397" s="6"/>
      <c r="AMA397" s="6"/>
      <c r="AMB397" s="6"/>
      <c r="AMC397" s="6"/>
      <c r="AMD397" s="6"/>
      <c r="AME397" s="6"/>
      <c r="AMF397" s="6"/>
      <c r="AMG397" s="6"/>
      <c r="AMH397" s="6"/>
      <c r="AMI397" s="6"/>
      <c r="AMJ397" s="6"/>
      <c r="AMK397" s="6"/>
      <c r="AML397" s="6"/>
      <c r="AMM397" s="6"/>
      <c r="AMN397" s="6"/>
      <c r="AMO397" s="6"/>
      <c r="AMP397" s="6"/>
    </row>
    <row r="398" spans="1:1030" x14ac:dyDescent="0.2">
      <c r="A398" s="3" t="str">
        <f>CONCATENATE(B398,"_",C398)</f>
        <v>calrl_human_6E3Y</v>
      </c>
      <c r="B398" s="2" t="s">
        <v>401</v>
      </c>
      <c r="C398" s="3" t="s">
        <v>1510</v>
      </c>
      <c r="D398" s="3" t="str">
        <f>IFERROR(MID(VLOOKUP($B398,Seqs!$A:$B,2,0),E398,1),"")</f>
        <v>N</v>
      </c>
      <c r="E398" s="3">
        <v>130</v>
      </c>
      <c r="F398" s="3" t="str">
        <f>IFERROR(MID(VLOOKUP($B398,Seqs!$A:$B,2,0),G398,1),"")</f>
        <v>F</v>
      </c>
      <c r="G398" s="3">
        <v>166</v>
      </c>
      <c r="H398" s="3" t="str">
        <f>IFERROR(MID(VLOOKUP($B398,Seqs!$A:$B,2,0),I398,1),"")</f>
        <v/>
      </c>
      <c r="I398" s="23" t="s">
        <v>23</v>
      </c>
      <c r="J398" s="3" t="str">
        <f>IFERROR(MID(VLOOKUP($B398,Seqs!$A:$B,2,0),K398,1),"")</f>
        <v/>
      </c>
      <c r="K398" s="23" t="s">
        <v>23</v>
      </c>
      <c r="L398" s="3" t="str">
        <f>IFERROR(MID(VLOOKUP($B398,Seqs!$A:$B,2,0),M398,1),"")</f>
        <v>C</v>
      </c>
      <c r="M398" s="3">
        <v>171</v>
      </c>
      <c r="N398" s="3" t="str">
        <f>IFERROR(MID(VLOOKUP($B398,Seqs!$A:$B,2,0),O398,1),"")</f>
        <v>V</v>
      </c>
      <c r="O398" s="3">
        <v>198</v>
      </c>
      <c r="P398" s="3" t="str">
        <f>IFERROR(MID(VLOOKUP($B398,Seqs!$A:$B,2,0),Q398,1),"")</f>
        <v/>
      </c>
      <c r="Q398" s="3" t="s">
        <v>23</v>
      </c>
      <c r="R398" s="3" t="str">
        <f>IFERROR(MID(VLOOKUP($B398,Seqs!$A:$B,2,0),S398,1),"")</f>
        <v/>
      </c>
      <c r="S398" s="3" t="s">
        <v>23</v>
      </c>
      <c r="T398" s="3" t="str">
        <f>IFERROR(MID(VLOOKUP($B398,Seqs!$A:$B,2,0),U398,1),"")</f>
        <v>V</v>
      </c>
      <c r="U398" s="3">
        <v>210</v>
      </c>
      <c r="V398" s="3" t="str">
        <f>IFERROR(MID(VLOOKUP($B398,Seqs!$A:$B,2,0),W398,1),"")</f>
        <v>V</v>
      </c>
      <c r="W398" s="3">
        <v>242</v>
      </c>
      <c r="X398" s="3" t="str">
        <f>IFERROR(MID(VLOOKUP($B398,Seqs!$A:$B,2,0),Y398,1),"")</f>
        <v/>
      </c>
      <c r="Y398" s="3" t="s">
        <v>23</v>
      </c>
      <c r="Z398" s="3" t="str">
        <f>IFERROR(MID(VLOOKUP($B398,Seqs!$A:$B,2,0),AA398,1),"")</f>
        <v/>
      </c>
      <c r="AA398" s="3" t="s">
        <v>23</v>
      </c>
      <c r="AB398" s="3" t="str">
        <f>IFERROR(MID(VLOOKUP($B398,Seqs!$A:$B,2,0),AC398,1),"")</f>
        <v>M</v>
      </c>
      <c r="AC398" s="3">
        <v>253</v>
      </c>
      <c r="AD398" s="3" t="str">
        <f>IFERROR(MID(VLOOKUP($B398,Seqs!$A:$B,2,0),AE398,1),"")</f>
        <v>Y</v>
      </c>
      <c r="AE398" s="3">
        <v>277</v>
      </c>
      <c r="AF398" s="3" t="str">
        <f>IFERROR(MID(VLOOKUP($B398,Seqs!$A:$B,2,0),AG398,1),"")</f>
        <v>C</v>
      </c>
      <c r="AG398" s="3">
        <v>282</v>
      </c>
      <c r="AH398" s="3" t="str">
        <f>IFERROR(MID(VLOOKUP($B398,Seqs!$A:$B,2,0),AI398,1),"")</f>
        <v>I</v>
      </c>
      <c r="AI398" s="3">
        <v>284</v>
      </c>
      <c r="AJ398" s="3" t="str">
        <f>IFERROR(MID(VLOOKUP($B398,Seqs!$A:$B,2,0),AK398,1),"")</f>
        <v>L</v>
      </c>
      <c r="AK398" s="3">
        <v>290</v>
      </c>
      <c r="AL398" s="3" t="str">
        <f>IFERROR(MID(VLOOKUP($B398,Seqs!$A:$B,2,0),AM398,1),"")</f>
        <v>K</v>
      </c>
      <c r="AM398" s="3">
        <v>321</v>
      </c>
      <c r="AN398" s="3" t="str">
        <f>IFERROR(MID(VLOOKUP($B398,Seqs!$A:$B,2,0),AO398,1),"")</f>
        <v>N</v>
      </c>
      <c r="AO398" s="3">
        <v>329</v>
      </c>
      <c r="AP398" s="3" t="str">
        <f>IFERROR(MID(VLOOKUP($B398,Seqs!$A:$B,2,0),AQ398,1),"")</f>
        <v>L</v>
      </c>
      <c r="AQ398" s="3">
        <v>351</v>
      </c>
      <c r="AR398" s="3" t="str">
        <f>IFERROR(MID(VLOOKUP($B398,Seqs!$A:$B,2,0),AS398,1),"")</f>
        <v>V</v>
      </c>
      <c r="AS398" s="3">
        <v>364</v>
      </c>
      <c r="AT398" s="3" t="str">
        <f>IFERROR(MID(VLOOKUP($B398,Seqs!$A:$B,2,0),AU398,1),"")</f>
        <v>F</v>
      </c>
      <c r="AU398" s="3">
        <v>387</v>
      </c>
      <c r="AV398" s="3" t="str">
        <f>IFERROR(MID(VLOOKUP($B398,Seqs!$A:$B,2,0),AW398,1),"")</f>
        <v>N</v>
      </c>
      <c r="AW398" s="3">
        <v>388</v>
      </c>
      <c r="AX398" s="3" t="str">
        <f>IFERROR(MID(VLOOKUP($B398,Seqs!$A:$B,2,0),AY398,1),"")</f>
        <v>W</v>
      </c>
      <c r="AY398" s="3">
        <v>399</v>
      </c>
      <c r="AZ398" s="77" t="str">
        <f>VLOOKUP(B398,Classification!A:D,2,0)</f>
        <v>B1</v>
      </c>
      <c r="BA398" s="94" t="str">
        <f>VLOOKUP(B398,Classification!A:D,4,0)</f>
        <v>Calcitonin</v>
      </c>
      <c r="BB398" s="27" t="b">
        <f t="shared" ref="BB398" si="1179">AND(E398&lt;G398,OR(G398&lt;I398,I398="-"),OR(I398&lt;K398,I398="-"),OR(K398&lt;M398,K398="-"),M398&lt;O398,OR(O398&lt;Q398,Q398="-"),OR(Q398&lt;S398,Q398="-"),OR(S398&lt;U398,S398="-"),U398&lt;W398,OR(W398&lt;Y398,Y398="-"),OR(Y398&lt;AA398,Y398="-"),OR(AA398&lt;AC398,AA398="-"),AC398&lt;AE398,OR(AE398&lt;AG398,AG398="-"),OR(AG398&lt;AI398,AG398="-"),OR(AI398&lt;AK398,AI398="-"),AK398&lt;AM398,AM398&lt;AO398,AO398&lt;AQ398,AQ398&lt;AS398,AS398&lt;AU398,OR(AU398&lt;AW398,AW398="-"),OR(AW398&lt;AY398,AW398="-"))</f>
        <v>1</v>
      </c>
      <c r="BC398" s="23">
        <f t="shared" ref="BC398" si="1180">_xlfn.AGGREGATE(9,6,CH398:CS398)-_xlfn.AGGREGATE(9,6,BV398:CG398)+12</f>
        <v>220</v>
      </c>
      <c r="BD398" s="4" t="s">
        <v>23</v>
      </c>
      <c r="BE398" s="3" t="s">
        <v>1285</v>
      </c>
      <c r="BF398" s="118">
        <v>3.3</v>
      </c>
      <c r="BG398" s="49" t="s">
        <v>1416</v>
      </c>
      <c r="BH398" s="49" t="s">
        <v>1416</v>
      </c>
      <c r="BI398" s="1"/>
      <c r="BJ398" s="70" t="s">
        <v>1281</v>
      </c>
      <c r="BK398" s="57" t="s">
        <v>1281</v>
      </c>
      <c r="BL398" s="57" t="s">
        <v>1281</v>
      </c>
      <c r="BM398" s="57" t="s">
        <v>1281</v>
      </c>
      <c r="BN398" s="57" t="s">
        <v>1281</v>
      </c>
      <c r="BO398" s="57" t="s">
        <v>1281</v>
      </c>
      <c r="BP398" s="57" t="s">
        <v>1281</v>
      </c>
      <c r="BQ398" s="57" t="s">
        <v>1281</v>
      </c>
      <c r="BR398" s="57" t="s">
        <v>1281</v>
      </c>
      <c r="BS398" s="57" t="s">
        <v>1281</v>
      </c>
      <c r="BT398" s="57" t="s">
        <v>1281</v>
      </c>
      <c r="BU398" s="57" t="s">
        <v>1281</v>
      </c>
      <c r="BV398" s="70">
        <f>E398</f>
        <v>130</v>
      </c>
      <c r="BW398" s="71" t="str">
        <f>I398</f>
        <v>-</v>
      </c>
      <c r="BX398" s="72">
        <f>M398</f>
        <v>171</v>
      </c>
      <c r="BY398" s="71" t="str">
        <f>Q398</f>
        <v>-</v>
      </c>
      <c r="BZ398" s="72">
        <f>U398</f>
        <v>210</v>
      </c>
      <c r="CA398" s="71" t="str">
        <f>Y398</f>
        <v>-</v>
      </c>
      <c r="CB398" s="72">
        <f>AC398</f>
        <v>253</v>
      </c>
      <c r="CC398" s="71">
        <f>AG398</f>
        <v>282</v>
      </c>
      <c r="CD398" s="72">
        <f>AK398</f>
        <v>290</v>
      </c>
      <c r="CE398" s="71">
        <f>AO398</f>
        <v>329</v>
      </c>
      <c r="CF398" s="72">
        <f>AS398</f>
        <v>364</v>
      </c>
      <c r="CG398" s="71">
        <f>AW398</f>
        <v>388</v>
      </c>
      <c r="CH398" s="70">
        <f>G398</f>
        <v>166</v>
      </c>
      <c r="CI398" s="71" t="str">
        <f>K398</f>
        <v>-</v>
      </c>
      <c r="CJ398" s="72">
        <f>O398</f>
        <v>198</v>
      </c>
      <c r="CK398" s="72" t="str">
        <f>S398</f>
        <v>-</v>
      </c>
      <c r="CL398" s="72">
        <f>W398</f>
        <v>242</v>
      </c>
      <c r="CM398" s="72" t="str">
        <f>AA398</f>
        <v>-</v>
      </c>
      <c r="CN398" s="72">
        <f>AE398</f>
        <v>277</v>
      </c>
      <c r="CO398" s="72">
        <f>AI398</f>
        <v>284</v>
      </c>
      <c r="CP398" s="72">
        <f>AM398</f>
        <v>321</v>
      </c>
      <c r="CQ398" s="72">
        <f>AQ398</f>
        <v>351</v>
      </c>
      <c r="CR398" s="72">
        <f>AU398</f>
        <v>387</v>
      </c>
      <c r="CS398" s="72">
        <f>AY398</f>
        <v>399</v>
      </c>
      <c r="CT398" s="23" t="e">
        <f>M398-K398</f>
        <v>#VALUE!</v>
      </c>
      <c r="CU398" s="6"/>
      <c r="CV398" s="6"/>
      <c r="CW398" s="6"/>
      <c r="CX398" s="6"/>
      <c r="CY398" s="6"/>
      <c r="CZ398" s="6"/>
      <c r="DA398" s="6"/>
      <c r="DB398" s="6"/>
      <c r="DC398" s="6"/>
      <c r="DD398" s="6"/>
      <c r="DE398" s="6"/>
      <c r="DF398" s="6"/>
      <c r="DG398" s="6"/>
      <c r="DH398" s="6"/>
      <c r="DI398" s="6"/>
      <c r="DJ398" s="6"/>
      <c r="DK398" s="6"/>
      <c r="DL398" s="6"/>
      <c r="DM398" s="6"/>
      <c r="DN398" s="6"/>
      <c r="DO398" s="6"/>
      <c r="DP398" s="6"/>
      <c r="DQ398" s="6"/>
      <c r="DR398" s="6"/>
      <c r="DS398" s="6"/>
      <c r="DT398" s="6"/>
      <c r="DU398" s="6"/>
      <c r="DV398" s="6"/>
      <c r="DW398" s="6"/>
      <c r="DX398" s="6"/>
      <c r="DY398" s="6"/>
      <c r="DZ398" s="6"/>
      <c r="EA398" s="6"/>
      <c r="EB398" s="6"/>
      <c r="EC398" s="6"/>
      <c r="ED398" s="6"/>
      <c r="EE398" s="6"/>
      <c r="EF398" s="6"/>
      <c r="EG398" s="6"/>
      <c r="EH398" s="6"/>
      <c r="EI398" s="6"/>
      <c r="EJ398" s="6"/>
      <c r="EK398" s="6"/>
      <c r="EL398" s="6"/>
      <c r="EM398" s="6"/>
      <c r="EN398" s="6"/>
      <c r="EO398" s="6"/>
      <c r="EP398" s="6"/>
      <c r="EQ398" s="6"/>
      <c r="ER398" s="6"/>
      <c r="ES398" s="6"/>
      <c r="ET398" s="6"/>
      <c r="EU398" s="6"/>
      <c r="EV398" s="6"/>
      <c r="EW398" s="6"/>
      <c r="EX398" s="6"/>
      <c r="EY398" s="6"/>
      <c r="EZ398" s="6"/>
      <c r="FA398" s="6"/>
      <c r="FB398" s="6"/>
      <c r="FC398" s="6"/>
      <c r="FD398" s="6"/>
      <c r="FE398" s="6"/>
      <c r="FF398" s="6"/>
      <c r="FG398" s="6"/>
      <c r="FH398" s="6"/>
      <c r="FI398" s="6"/>
      <c r="FJ398" s="6"/>
      <c r="FK398" s="6"/>
      <c r="FL398" s="6"/>
      <c r="FM398" s="6"/>
      <c r="FN398" s="6"/>
      <c r="FO398" s="6"/>
      <c r="FP398" s="6"/>
      <c r="FQ398" s="6"/>
      <c r="FR398" s="6"/>
      <c r="FS398" s="6"/>
      <c r="FT398" s="6"/>
      <c r="FU398" s="6"/>
      <c r="FV398" s="6"/>
      <c r="FW398" s="6"/>
      <c r="FX398" s="6"/>
      <c r="FY398" s="6"/>
      <c r="FZ398" s="6"/>
      <c r="GA398" s="6"/>
      <c r="GB398" s="6"/>
      <c r="GC398" s="6"/>
      <c r="GD398" s="6"/>
      <c r="GE398" s="6"/>
      <c r="GF398" s="6"/>
      <c r="GG398" s="6"/>
      <c r="GH398" s="6"/>
      <c r="GI398" s="6"/>
      <c r="GJ398" s="6"/>
      <c r="GK398" s="6"/>
      <c r="GL398" s="6"/>
      <c r="GM398" s="6"/>
      <c r="GN398" s="6"/>
      <c r="GO398" s="6"/>
      <c r="GP398" s="6"/>
      <c r="GQ398" s="6"/>
      <c r="GR398" s="6"/>
      <c r="GS398" s="6"/>
      <c r="GT398" s="6"/>
      <c r="GU398" s="6"/>
      <c r="GV398" s="6"/>
      <c r="GW398" s="6"/>
      <c r="GX398" s="6"/>
      <c r="GY398" s="6"/>
      <c r="GZ398" s="6"/>
      <c r="HA398" s="6"/>
      <c r="HB398" s="6"/>
      <c r="HC398" s="6"/>
      <c r="HD398" s="6"/>
      <c r="HE398" s="6"/>
      <c r="HF398" s="6"/>
      <c r="HG398" s="6"/>
      <c r="HH398" s="6"/>
      <c r="HI398" s="6"/>
      <c r="HJ398" s="6"/>
      <c r="HK398" s="6"/>
      <c r="HL398" s="6"/>
      <c r="HM398" s="6"/>
      <c r="HN398" s="6"/>
      <c r="HO398" s="6"/>
      <c r="HP398" s="6"/>
      <c r="HQ398" s="6"/>
      <c r="HR398" s="6"/>
      <c r="HS398" s="6"/>
      <c r="HT398" s="6"/>
      <c r="HU398" s="6"/>
      <c r="HV398" s="6"/>
      <c r="HW398" s="6"/>
      <c r="HX398" s="6"/>
      <c r="HY398" s="6"/>
      <c r="HZ398" s="6"/>
      <c r="IA398" s="6"/>
      <c r="IB398" s="6"/>
      <c r="IC398" s="6"/>
      <c r="ID398" s="6"/>
      <c r="IE398" s="6"/>
      <c r="IF398" s="6"/>
      <c r="IG398" s="6"/>
      <c r="IH398" s="6"/>
      <c r="II398" s="6"/>
      <c r="IJ398" s="6"/>
      <c r="IK398" s="6"/>
      <c r="IL398" s="6"/>
      <c r="IM398" s="6"/>
      <c r="IN398" s="6"/>
      <c r="IO398" s="6"/>
      <c r="IP398" s="6"/>
      <c r="IQ398" s="6"/>
      <c r="IR398" s="6"/>
      <c r="IS398" s="6"/>
      <c r="IT398" s="6"/>
      <c r="IU398" s="6"/>
      <c r="IV398" s="6"/>
      <c r="IW398" s="6"/>
      <c r="IX398" s="6"/>
      <c r="IY398" s="6"/>
      <c r="IZ398" s="6"/>
      <c r="JA398" s="6"/>
      <c r="JB398" s="6"/>
      <c r="JC398" s="6"/>
      <c r="JD398" s="6"/>
      <c r="JE398" s="6"/>
      <c r="JF398" s="6"/>
      <c r="JG398" s="6"/>
      <c r="JH398" s="6"/>
      <c r="JI398" s="6"/>
      <c r="JJ398" s="6"/>
      <c r="JK398" s="6"/>
      <c r="JL398" s="6"/>
      <c r="JM398" s="6"/>
      <c r="JN398" s="6"/>
      <c r="JO398" s="6"/>
      <c r="JP398" s="6"/>
      <c r="JQ398" s="6"/>
      <c r="JR398" s="6"/>
      <c r="JS398" s="6"/>
      <c r="JT398" s="6"/>
      <c r="JU398" s="6"/>
      <c r="JV398" s="6"/>
      <c r="JW398" s="6"/>
      <c r="JX398" s="6"/>
      <c r="JY398" s="6"/>
      <c r="JZ398" s="6"/>
      <c r="KA398" s="6"/>
      <c r="KB398" s="6"/>
      <c r="KC398" s="6"/>
      <c r="KD398" s="6"/>
      <c r="KE398" s="6"/>
      <c r="KF398" s="6"/>
      <c r="KG398" s="6"/>
      <c r="KH398" s="6"/>
      <c r="KI398" s="6"/>
      <c r="KJ398" s="6"/>
      <c r="KK398" s="6"/>
      <c r="KL398" s="6"/>
      <c r="KM398" s="6"/>
      <c r="KN398" s="6"/>
      <c r="KO398" s="6"/>
      <c r="KP398" s="6"/>
      <c r="KQ398" s="6"/>
      <c r="KR398" s="6"/>
      <c r="KS398" s="6"/>
      <c r="KT398" s="6"/>
      <c r="KU398" s="6"/>
      <c r="KV398" s="6"/>
      <c r="KW398" s="6"/>
      <c r="KX398" s="6"/>
      <c r="KY398" s="6"/>
      <c r="KZ398" s="6"/>
      <c r="LA398" s="6"/>
      <c r="LB398" s="6"/>
      <c r="LC398" s="6"/>
      <c r="LD398" s="6"/>
      <c r="LE398" s="6"/>
      <c r="LF398" s="6"/>
      <c r="LG398" s="6"/>
      <c r="LH398" s="6"/>
      <c r="LI398" s="6"/>
      <c r="LJ398" s="6"/>
      <c r="LK398" s="6"/>
      <c r="LL398" s="6"/>
      <c r="LM398" s="6"/>
      <c r="LN398" s="6"/>
      <c r="LO398" s="6"/>
      <c r="LP398" s="6"/>
      <c r="LQ398" s="6"/>
      <c r="LR398" s="6"/>
      <c r="LS398" s="6"/>
      <c r="LT398" s="6"/>
      <c r="LU398" s="6"/>
      <c r="LV398" s="6"/>
      <c r="LW398" s="6"/>
      <c r="LX398" s="6"/>
      <c r="LY398" s="6"/>
      <c r="LZ398" s="6"/>
      <c r="MA398" s="6"/>
      <c r="MB398" s="6"/>
      <c r="MC398" s="6"/>
      <c r="MD398" s="6"/>
      <c r="ME398" s="6"/>
      <c r="MF398" s="6"/>
      <c r="MG398" s="6"/>
      <c r="MH398" s="6"/>
      <c r="MI398" s="6"/>
      <c r="MJ398" s="6"/>
      <c r="MK398" s="6"/>
      <c r="ML398" s="6"/>
      <c r="MM398" s="6"/>
      <c r="MN398" s="6"/>
      <c r="MO398" s="6"/>
      <c r="MP398" s="6"/>
      <c r="MQ398" s="6"/>
      <c r="MR398" s="6"/>
      <c r="MS398" s="6"/>
      <c r="MT398" s="6"/>
      <c r="MU398" s="6"/>
      <c r="MV398" s="6"/>
      <c r="MW398" s="6"/>
      <c r="MX398" s="6"/>
      <c r="MY398" s="6"/>
      <c r="MZ398" s="6"/>
      <c r="NA398" s="6"/>
      <c r="NB398" s="6"/>
      <c r="NC398" s="6"/>
      <c r="ND398" s="6"/>
      <c r="NE398" s="6"/>
      <c r="NF398" s="6"/>
      <c r="NG398" s="6"/>
      <c r="NH398" s="6"/>
      <c r="NI398" s="6"/>
      <c r="NJ398" s="6"/>
      <c r="NK398" s="6"/>
      <c r="NL398" s="6"/>
      <c r="NM398" s="6"/>
      <c r="NN398" s="6"/>
      <c r="NO398" s="6"/>
      <c r="NP398" s="6"/>
      <c r="NQ398" s="6"/>
      <c r="NR398" s="6"/>
      <c r="NS398" s="6"/>
      <c r="NT398" s="6"/>
      <c r="NU398" s="6"/>
      <c r="NV398" s="6"/>
      <c r="NW398" s="6"/>
      <c r="NX398" s="6"/>
      <c r="NY398" s="6"/>
      <c r="NZ398" s="6"/>
      <c r="OA398" s="6"/>
      <c r="OB398" s="6"/>
      <c r="OC398" s="6"/>
      <c r="OD398" s="6"/>
      <c r="OE398" s="6"/>
      <c r="OF398" s="6"/>
      <c r="OG398" s="6"/>
      <c r="OH398" s="6"/>
      <c r="OI398" s="6"/>
      <c r="OJ398" s="6"/>
      <c r="OK398" s="6"/>
      <c r="OL398" s="6"/>
      <c r="OM398" s="6"/>
      <c r="ON398" s="6"/>
      <c r="OO398" s="6"/>
      <c r="OP398" s="6"/>
      <c r="OQ398" s="6"/>
      <c r="OR398" s="6"/>
      <c r="OS398" s="6"/>
      <c r="OT398" s="6"/>
      <c r="OU398" s="6"/>
      <c r="OV398" s="6"/>
      <c r="OW398" s="6"/>
      <c r="OX398" s="6"/>
      <c r="OY398" s="6"/>
      <c r="OZ398" s="6"/>
      <c r="PA398" s="6"/>
      <c r="PB398" s="6"/>
      <c r="PC398" s="6"/>
      <c r="PD398" s="6"/>
      <c r="PE398" s="6"/>
      <c r="PF398" s="6"/>
      <c r="PG398" s="6"/>
      <c r="PH398" s="6"/>
      <c r="PI398" s="6"/>
      <c r="PJ398" s="6"/>
      <c r="PK398" s="6"/>
      <c r="PL398" s="6"/>
      <c r="PM398" s="6"/>
      <c r="PN398" s="6"/>
      <c r="PO398" s="6"/>
      <c r="PP398" s="6"/>
      <c r="PQ398" s="6"/>
      <c r="PR398" s="6"/>
      <c r="PS398" s="6"/>
      <c r="PT398" s="6"/>
      <c r="PU398" s="6"/>
      <c r="PV398" s="6"/>
      <c r="PW398" s="6"/>
      <c r="PX398" s="6"/>
      <c r="PY398" s="6"/>
      <c r="PZ398" s="6"/>
      <c r="QA398" s="6"/>
      <c r="QB398" s="6"/>
      <c r="QC398" s="6"/>
      <c r="QD398" s="6"/>
      <c r="QE398" s="6"/>
      <c r="QF398" s="6"/>
      <c r="QG398" s="6"/>
      <c r="QH398" s="6"/>
      <c r="QI398" s="6"/>
      <c r="QJ398" s="6"/>
      <c r="QK398" s="6"/>
      <c r="QL398" s="6"/>
      <c r="QM398" s="6"/>
      <c r="QN398" s="6"/>
      <c r="QO398" s="6"/>
      <c r="QP398" s="6"/>
      <c r="QQ398" s="6"/>
      <c r="QR398" s="6"/>
      <c r="QS398" s="6"/>
      <c r="QT398" s="6"/>
      <c r="QU398" s="6"/>
      <c r="QV398" s="6"/>
      <c r="QW398" s="6"/>
      <c r="QX398" s="6"/>
      <c r="QY398" s="6"/>
      <c r="QZ398" s="6"/>
      <c r="RA398" s="6"/>
      <c r="RB398" s="6"/>
      <c r="RC398" s="6"/>
      <c r="RD398" s="6"/>
      <c r="RE398" s="6"/>
      <c r="RF398" s="6"/>
      <c r="RG398" s="6"/>
      <c r="RH398" s="6"/>
      <c r="RI398" s="6"/>
      <c r="RJ398" s="6"/>
      <c r="RK398" s="6"/>
      <c r="RL398" s="6"/>
      <c r="RM398" s="6"/>
      <c r="RN398" s="6"/>
      <c r="RO398" s="6"/>
      <c r="RP398" s="6"/>
      <c r="RQ398" s="6"/>
      <c r="RR398" s="6"/>
      <c r="RS398" s="6"/>
      <c r="RT398" s="6"/>
      <c r="RU398" s="6"/>
      <c r="RV398" s="6"/>
      <c r="RW398" s="6"/>
      <c r="RX398" s="6"/>
      <c r="RY398" s="6"/>
      <c r="RZ398" s="6"/>
      <c r="SA398" s="6"/>
      <c r="SB398" s="6"/>
      <c r="SC398" s="6"/>
      <c r="SD398" s="6"/>
      <c r="SE398" s="6"/>
      <c r="SF398" s="6"/>
      <c r="SG398" s="6"/>
      <c r="SH398" s="6"/>
      <c r="SI398" s="6"/>
      <c r="SJ398" s="6"/>
      <c r="SK398" s="6"/>
      <c r="SL398" s="6"/>
      <c r="SM398" s="6"/>
      <c r="SN398" s="6"/>
      <c r="SO398" s="6"/>
      <c r="SP398" s="6"/>
      <c r="SQ398" s="6"/>
      <c r="SR398" s="6"/>
      <c r="SS398" s="6"/>
      <c r="ST398" s="6"/>
      <c r="SU398" s="6"/>
      <c r="SV398" s="6"/>
      <c r="SW398" s="6"/>
      <c r="SX398" s="6"/>
      <c r="SY398" s="6"/>
      <c r="SZ398" s="6"/>
      <c r="TA398" s="6"/>
      <c r="TB398" s="6"/>
      <c r="TC398" s="6"/>
      <c r="TD398" s="6"/>
      <c r="TE398" s="6"/>
      <c r="TF398" s="6"/>
      <c r="TG398" s="6"/>
      <c r="TH398" s="6"/>
      <c r="TI398" s="6"/>
      <c r="TJ398" s="6"/>
      <c r="TK398" s="6"/>
      <c r="TL398" s="6"/>
      <c r="TM398" s="6"/>
      <c r="TN398" s="6"/>
      <c r="TO398" s="6"/>
      <c r="TP398" s="6"/>
      <c r="TQ398" s="6"/>
      <c r="TR398" s="6"/>
      <c r="TS398" s="6"/>
      <c r="TT398" s="6"/>
      <c r="TU398" s="6"/>
      <c r="TV398" s="6"/>
      <c r="TW398" s="6"/>
      <c r="TX398" s="6"/>
      <c r="TY398" s="6"/>
      <c r="TZ398" s="6"/>
      <c r="UA398" s="6"/>
      <c r="UB398" s="6"/>
      <c r="UC398" s="6"/>
      <c r="UD398" s="6"/>
      <c r="UE398" s="6"/>
      <c r="UF398" s="6"/>
      <c r="UG398" s="6"/>
      <c r="UH398" s="6"/>
      <c r="UI398" s="6"/>
      <c r="UJ398" s="6"/>
      <c r="UK398" s="6"/>
      <c r="UL398" s="6"/>
      <c r="UM398" s="6"/>
      <c r="UN398" s="6"/>
      <c r="UO398" s="6"/>
      <c r="UP398" s="6"/>
      <c r="UQ398" s="6"/>
      <c r="UR398" s="6"/>
      <c r="US398" s="6"/>
      <c r="UT398" s="6"/>
      <c r="UU398" s="6"/>
      <c r="UV398" s="6"/>
      <c r="UW398" s="6"/>
      <c r="UX398" s="6"/>
      <c r="UY398" s="6"/>
      <c r="UZ398" s="6"/>
      <c r="VA398" s="6"/>
      <c r="VB398" s="6"/>
      <c r="VC398" s="6"/>
      <c r="VD398" s="6"/>
      <c r="VE398" s="6"/>
      <c r="VF398" s="6"/>
      <c r="VG398" s="6"/>
      <c r="VH398" s="6"/>
      <c r="VI398" s="6"/>
      <c r="VJ398" s="6"/>
      <c r="VK398" s="6"/>
      <c r="VL398" s="6"/>
      <c r="VM398" s="6"/>
      <c r="VN398" s="6"/>
      <c r="VO398" s="6"/>
      <c r="VP398" s="6"/>
      <c r="VQ398" s="6"/>
      <c r="VR398" s="6"/>
      <c r="VS398" s="6"/>
      <c r="VT398" s="6"/>
      <c r="VU398" s="6"/>
      <c r="VV398" s="6"/>
      <c r="VW398" s="6"/>
      <c r="VX398" s="6"/>
      <c r="VY398" s="6"/>
      <c r="VZ398" s="6"/>
      <c r="WA398" s="6"/>
      <c r="WB398" s="6"/>
      <c r="WC398" s="6"/>
      <c r="WD398" s="6"/>
      <c r="WE398" s="6"/>
      <c r="WF398" s="6"/>
      <c r="WG398" s="6"/>
      <c r="WH398" s="6"/>
      <c r="WI398" s="6"/>
      <c r="WJ398" s="6"/>
      <c r="WK398" s="6"/>
      <c r="WL398" s="6"/>
      <c r="WM398" s="6"/>
      <c r="WN398" s="6"/>
      <c r="WO398" s="6"/>
      <c r="WP398" s="6"/>
      <c r="WQ398" s="6"/>
      <c r="WR398" s="6"/>
      <c r="WS398" s="6"/>
      <c r="WT398" s="6"/>
      <c r="WU398" s="6"/>
      <c r="WV398" s="6"/>
      <c r="WW398" s="6"/>
      <c r="WX398" s="6"/>
      <c r="WY398" s="6"/>
      <c r="WZ398" s="6"/>
      <c r="XA398" s="6"/>
      <c r="XB398" s="6"/>
      <c r="XC398" s="6"/>
      <c r="XD398" s="6"/>
      <c r="XE398" s="6"/>
      <c r="XF398" s="6"/>
      <c r="XG398" s="6"/>
      <c r="XH398" s="6"/>
      <c r="XI398" s="6"/>
      <c r="XJ398" s="6"/>
      <c r="XK398" s="6"/>
      <c r="XL398" s="6"/>
      <c r="XM398" s="6"/>
      <c r="XN398" s="6"/>
      <c r="XO398" s="6"/>
      <c r="XP398" s="6"/>
      <c r="XQ398" s="6"/>
      <c r="XR398" s="6"/>
      <c r="XS398" s="6"/>
      <c r="XT398" s="6"/>
      <c r="XU398" s="6"/>
      <c r="XV398" s="6"/>
      <c r="XW398" s="6"/>
      <c r="XX398" s="6"/>
      <c r="XY398" s="6"/>
      <c r="XZ398" s="6"/>
      <c r="YA398" s="6"/>
      <c r="YB398" s="6"/>
      <c r="YC398" s="6"/>
      <c r="YD398" s="6"/>
      <c r="YE398" s="6"/>
      <c r="YF398" s="6"/>
      <c r="YG398" s="6"/>
      <c r="YH398" s="6"/>
      <c r="YI398" s="6"/>
      <c r="YJ398" s="6"/>
      <c r="YK398" s="6"/>
      <c r="YL398" s="6"/>
      <c r="YM398" s="6"/>
      <c r="YN398" s="6"/>
      <c r="YO398" s="6"/>
      <c r="YP398" s="6"/>
      <c r="YQ398" s="6"/>
      <c r="YR398" s="6"/>
      <c r="YS398" s="6"/>
      <c r="YT398" s="6"/>
      <c r="YU398" s="6"/>
      <c r="YV398" s="6"/>
      <c r="YW398" s="6"/>
      <c r="YX398" s="6"/>
      <c r="YY398" s="6"/>
      <c r="YZ398" s="6"/>
      <c r="ZA398" s="6"/>
      <c r="ZB398" s="6"/>
      <c r="ZC398" s="6"/>
      <c r="ZD398" s="6"/>
      <c r="ZE398" s="6"/>
      <c r="ZF398" s="6"/>
      <c r="ZG398" s="6"/>
      <c r="ZH398" s="6"/>
      <c r="ZI398" s="6"/>
      <c r="ZJ398" s="6"/>
      <c r="ZK398" s="6"/>
      <c r="ZL398" s="6"/>
      <c r="ZM398" s="6"/>
      <c r="ZN398" s="6"/>
      <c r="ZO398" s="6"/>
      <c r="ZP398" s="6"/>
      <c r="ZQ398" s="6"/>
      <c r="ZR398" s="6"/>
      <c r="ZS398" s="6"/>
      <c r="ZT398" s="6"/>
      <c r="ZU398" s="6"/>
      <c r="ZV398" s="6"/>
      <c r="ZW398" s="6"/>
      <c r="ZX398" s="6"/>
      <c r="ZY398" s="6"/>
      <c r="ZZ398" s="6"/>
      <c r="AAA398" s="6"/>
      <c r="AAB398" s="6"/>
      <c r="AAC398" s="6"/>
      <c r="AAD398" s="6"/>
      <c r="AAE398" s="6"/>
      <c r="AAF398" s="6"/>
      <c r="AAG398" s="6"/>
      <c r="AAH398" s="6"/>
      <c r="AAI398" s="6"/>
      <c r="AAJ398" s="6"/>
      <c r="AAK398" s="6"/>
      <c r="AAL398" s="6"/>
      <c r="AAM398" s="6"/>
      <c r="AAN398" s="6"/>
      <c r="AAO398" s="6"/>
      <c r="AAP398" s="6"/>
      <c r="AAQ398" s="6"/>
      <c r="AAR398" s="6"/>
      <c r="AAS398" s="6"/>
      <c r="AAT398" s="6"/>
      <c r="AAU398" s="6"/>
      <c r="AAV398" s="6"/>
      <c r="AAW398" s="6"/>
      <c r="AAX398" s="6"/>
      <c r="AAY398" s="6"/>
      <c r="AAZ398" s="6"/>
      <c r="ABA398" s="6"/>
      <c r="ABB398" s="6"/>
      <c r="ABC398" s="6"/>
      <c r="ABD398" s="6"/>
      <c r="ABE398" s="6"/>
      <c r="ABF398" s="6"/>
      <c r="ABG398" s="6"/>
      <c r="ABH398" s="6"/>
      <c r="ABI398" s="6"/>
      <c r="ABJ398" s="6"/>
      <c r="ABK398" s="6"/>
      <c r="ABL398" s="6"/>
      <c r="ABM398" s="6"/>
      <c r="ABN398" s="6"/>
      <c r="ABO398" s="6"/>
      <c r="ABP398" s="6"/>
      <c r="ABQ398" s="6"/>
      <c r="ABR398" s="6"/>
      <c r="ABS398" s="6"/>
      <c r="ABT398" s="6"/>
      <c r="ABU398" s="6"/>
      <c r="ABV398" s="6"/>
      <c r="ABW398" s="6"/>
      <c r="ABX398" s="6"/>
      <c r="ABY398" s="6"/>
      <c r="ABZ398" s="6"/>
      <c r="ACA398" s="6"/>
      <c r="ACB398" s="6"/>
      <c r="ACC398" s="6"/>
      <c r="ACD398" s="6"/>
      <c r="ACE398" s="6"/>
      <c r="ACF398" s="6"/>
      <c r="ACG398" s="6"/>
      <c r="ACH398" s="6"/>
      <c r="ACI398" s="6"/>
      <c r="ACJ398" s="6"/>
      <c r="ACK398" s="6"/>
      <c r="ACL398" s="6"/>
      <c r="ACM398" s="6"/>
      <c r="ACN398" s="6"/>
      <c r="ACO398" s="6"/>
      <c r="ACP398" s="6"/>
      <c r="ACQ398" s="6"/>
      <c r="ACR398" s="6"/>
      <c r="ACS398" s="6"/>
      <c r="ACT398" s="6"/>
      <c r="ACU398" s="6"/>
      <c r="ACV398" s="6"/>
      <c r="ACW398" s="6"/>
      <c r="ACX398" s="6"/>
      <c r="ACY398" s="6"/>
      <c r="ACZ398" s="6"/>
      <c r="ADA398" s="6"/>
      <c r="ADB398" s="6"/>
      <c r="ADC398" s="6"/>
      <c r="ADD398" s="6"/>
      <c r="ADE398" s="6"/>
      <c r="ADF398" s="6"/>
      <c r="ADG398" s="6"/>
      <c r="ADH398" s="6"/>
      <c r="ADI398" s="6"/>
      <c r="ADJ398" s="6"/>
      <c r="ADK398" s="6"/>
      <c r="ADL398" s="6"/>
      <c r="ADM398" s="6"/>
      <c r="ADN398" s="6"/>
      <c r="ADO398" s="6"/>
      <c r="ADP398" s="6"/>
      <c r="ADQ398" s="6"/>
      <c r="ADR398" s="6"/>
      <c r="ADS398" s="6"/>
      <c r="ADT398" s="6"/>
      <c r="ADU398" s="6"/>
      <c r="ADV398" s="6"/>
      <c r="ADW398" s="6"/>
      <c r="ADX398" s="6"/>
      <c r="ADY398" s="6"/>
      <c r="ADZ398" s="6"/>
      <c r="AEA398" s="6"/>
      <c r="AEB398" s="6"/>
      <c r="AEC398" s="6"/>
      <c r="AED398" s="6"/>
      <c r="AEE398" s="6"/>
      <c r="AEF398" s="6"/>
      <c r="AEG398" s="6"/>
      <c r="AEH398" s="6"/>
      <c r="AEI398" s="6"/>
      <c r="AEJ398" s="6"/>
      <c r="AEK398" s="6"/>
      <c r="AEL398" s="6"/>
      <c r="AEM398" s="6"/>
      <c r="AEN398" s="6"/>
      <c r="AEO398" s="6"/>
      <c r="AEP398" s="6"/>
      <c r="AEQ398" s="6"/>
      <c r="AER398" s="6"/>
      <c r="AES398" s="6"/>
      <c r="AET398" s="6"/>
      <c r="AEU398" s="6"/>
      <c r="AEV398" s="6"/>
      <c r="AEW398" s="6"/>
      <c r="AEX398" s="6"/>
      <c r="AEY398" s="6"/>
      <c r="AEZ398" s="6"/>
      <c r="AFA398" s="6"/>
      <c r="AFB398" s="6"/>
      <c r="AFC398" s="6"/>
      <c r="AFD398" s="6"/>
      <c r="AFE398" s="6"/>
      <c r="AFF398" s="6"/>
      <c r="AFG398" s="6"/>
      <c r="AFH398" s="6"/>
      <c r="AFI398" s="6"/>
      <c r="AFJ398" s="6"/>
      <c r="AFK398" s="6"/>
      <c r="AFL398" s="6"/>
      <c r="AFM398" s="6"/>
      <c r="AFN398" s="6"/>
      <c r="AFO398" s="6"/>
      <c r="AFP398" s="6"/>
      <c r="AFQ398" s="6"/>
      <c r="AFR398" s="6"/>
      <c r="AFS398" s="6"/>
      <c r="AFT398" s="6"/>
      <c r="AFU398" s="6"/>
      <c r="AFV398" s="6"/>
      <c r="AFW398" s="6"/>
      <c r="AFX398" s="6"/>
      <c r="AFY398" s="6"/>
      <c r="AFZ398" s="6"/>
      <c r="AGA398" s="6"/>
      <c r="AGB398" s="6"/>
      <c r="AGC398" s="6"/>
      <c r="AGD398" s="6"/>
      <c r="AGE398" s="6"/>
      <c r="AGF398" s="6"/>
      <c r="AGG398" s="6"/>
      <c r="AGH398" s="6"/>
      <c r="AGI398" s="6"/>
      <c r="AGJ398" s="6"/>
      <c r="AGK398" s="6"/>
      <c r="AGL398" s="6"/>
      <c r="AGM398" s="6"/>
      <c r="AGN398" s="6"/>
      <c r="AGO398" s="6"/>
      <c r="AGP398" s="6"/>
      <c r="AGQ398" s="6"/>
      <c r="AGR398" s="6"/>
      <c r="AGS398" s="6"/>
      <c r="AGT398" s="6"/>
      <c r="AGU398" s="6"/>
      <c r="AGV398" s="6"/>
      <c r="AGW398" s="6"/>
      <c r="AGX398" s="6"/>
      <c r="AGY398" s="6"/>
      <c r="AGZ398" s="6"/>
      <c r="AHA398" s="6"/>
      <c r="AHB398" s="6"/>
      <c r="AHC398" s="6"/>
      <c r="AHD398" s="6"/>
      <c r="AHE398" s="6"/>
      <c r="AHF398" s="6"/>
      <c r="AHG398" s="6"/>
      <c r="AHH398" s="6"/>
      <c r="AHI398" s="6"/>
      <c r="AHJ398" s="6"/>
      <c r="AHK398" s="6"/>
      <c r="AHL398" s="6"/>
      <c r="AHM398" s="6"/>
      <c r="AHN398" s="6"/>
      <c r="AHO398" s="6"/>
      <c r="AHP398" s="6"/>
      <c r="AHQ398" s="6"/>
      <c r="AHR398" s="6"/>
      <c r="AHS398" s="6"/>
      <c r="AHT398" s="6"/>
      <c r="AHU398" s="6"/>
      <c r="AHV398" s="6"/>
      <c r="AHW398" s="6"/>
      <c r="AHX398" s="6"/>
      <c r="AHY398" s="6"/>
      <c r="AHZ398" s="6"/>
      <c r="AIA398" s="6"/>
      <c r="AIB398" s="6"/>
      <c r="AIC398" s="6"/>
      <c r="AID398" s="6"/>
      <c r="AIE398" s="6"/>
      <c r="AIF398" s="6"/>
      <c r="AIG398" s="6"/>
      <c r="AIH398" s="6"/>
      <c r="AII398" s="6"/>
      <c r="AIJ398" s="6"/>
      <c r="AIK398" s="6"/>
      <c r="AIL398" s="6"/>
      <c r="AIM398" s="6"/>
      <c r="AIN398" s="6"/>
      <c r="AIO398" s="6"/>
      <c r="AIP398" s="6"/>
      <c r="AIQ398" s="6"/>
      <c r="AIR398" s="6"/>
      <c r="AIS398" s="6"/>
      <c r="AIT398" s="6"/>
      <c r="AIU398" s="6"/>
      <c r="AIV398" s="6"/>
      <c r="AIW398" s="6"/>
      <c r="AIX398" s="6"/>
      <c r="AIY398" s="6"/>
      <c r="AIZ398" s="6"/>
      <c r="AJA398" s="6"/>
      <c r="AJB398" s="6"/>
      <c r="AJC398" s="6"/>
      <c r="AJD398" s="6"/>
      <c r="AJE398" s="6"/>
      <c r="AJF398" s="6"/>
      <c r="AJG398" s="6"/>
      <c r="AJH398" s="6"/>
      <c r="AJI398" s="6"/>
      <c r="AJJ398" s="6"/>
      <c r="AJK398" s="6"/>
      <c r="AJL398" s="6"/>
      <c r="AJM398" s="6"/>
      <c r="AJN398" s="6"/>
      <c r="AJO398" s="6"/>
      <c r="AJP398" s="6"/>
      <c r="AJQ398" s="6"/>
      <c r="AJR398" s="6"/>
      <c r="AJS398" s="6"/>
      <c r="AJT398" s="6"/>
      <c r="AJU398" s="6"/>
      <c r="AJV398" s="6"/>
      <c r="AJW398" s="6"/>
      <c r="AJX398" s="6"/>
      <c r="AJY398" s="6"/>
      <c r="AJZ398" s="6"/>
      <c r="AKA398" s="6"/>
      <c r="AKB398" s="6"/>
      <c r="AKC398" s="6"/>
      <c r="AKD398" s="6"/>
      <c r="AKE398" s="6"/>
      <c r="AKF398" s="6"/>
      <c r="AKG398" s="6"/>
      <c r="AKH398" s="6"/>
      <c r="AKI398" s="6"/>
      <c r="AKJ398" s="6"/>
      <c r="AKK398" s="6"/>
      <c r="AKL398" s="6"/>
      <c r="AKM398" s="6"/>
      <c r="AKN398" s="6"/>
      <c r="AKO398" s="6"/>
      <c r="AKP398" s="6"/>
      <c r="AKQ398" s="6"/>
      <c r="AKR398" s="6"/>
      <c r="AKS398" s="6"/>
      <c r="AKT398" s="6"/>
      <c r="AKU398" s="6"/>
      <c r="AKV398" s="6"/>
      <c r="AKW398" s="6"/>
      <c r="AKX398" s="6"/>
      <c r="AKY398" s="6"/>
      <c r="AKZ398" s="6"/>
      <c r="ALA398" s="6"/>
      <c r="ALB398" s="6"/>
      <c r="ALC398" s="6"/>
      <c r="ALD398" s="6"/>
      <c r="ALE398" s="6"/>
      <c r="ALF398" s="6"/>
      <c r="ALG398" s="6"/>
      <c r="ALH398" s="6"/>
      <c r="ALI398" s="6"/>
      <c r="ALJ398" s="6"/>
      <c r="ALK398" s="6"/>
      <c r="ALL398" s="6"/>
      <c r="ALM398" s="6"/>
      <c r="ALN398" s="6"/>
      <c r="ALO398" s="6"/>
      <c r="ALP398" s="6"/>
      <c r="ALQ398" s="6"/>
      <c r="ALR398" s="6"/>
      <c r="ALS398" s="6"/>
      <c r="ALT398" s="6"/>
      <c r="ALU398" s="6"/>
      <c r="ALV398" s="6"/>
      <c r="ALW398" s="6"/>
      <c r="ALX398" s="6"/>
      <c r="ALY398" s="6"/>
      <c r="ALZ398" s="6"/>
      <c r="AMA398" s="6"/>
      <c r="AMB398" s="6"/>
      <c r="AMC398" s="6"/>
      <c r="AMD398" s="6"/>
      <c r="AME398" s="6"/>
      <c r="AMF398" s="6"/>
      <c r="AMG398" s="6"/>
      <c r="AMH398" s="6"/>
      <c r="AMI398" s="6"/>
      <c r="AMJ398" s="6"/>
      <c r="AMK398" s="6"/>
      <c r="AML398" s="6"/>
      <c r="AMM398" s="6"/>
      <c r="AMN398" s="6"/>
      <c r="AMO398" s="6"/>
      <c r="AMP398" s="6"/>
    </row>
    <row r="399" spans="1:1030" s="12" customFormat="1" x14ac:dyDescent="0.2">
      <c r="A399" s="9" t="str">
        <f>CONCATENATE(B399,"_",C399)</f>
        <v>calrl_human_6UUN</v>
      </c>
      <c r="B399" s="40" t="s">
        <v>401</v>
      </c>
      <c r="C399" s="9" t="s">
        <v>1666</v>
      </c>
      <c r="D399" s="9" t="str">
        <f>IFERROR(MID(VLOOKUP($B399,Seqs!$A:$B,2,0),E399,1),"")</f>
        <v>T</v>
      </c>
      <c r="E399" s="9">
        <v>131</v>
      </c>
      <c r="F399" s="9" t="str">
        <f>IFERROR(MID(VLOOKUP($B399,Seqs!$A:$B,2,0),G399,1),"")</f>
        <v>F</v>
      </c>
      <c r="G399" s="9">
        <v>166</v>
      </c>
      <c r="H399" s="9" t="str">
        <f>IFERROR(MID(VLOOKUP($B399,Seqs!$A:$B,2,0),I399,1),"")</f>
        <v/>
      </c>
      <c r="I399" s="109" t="s">
        <v>23</v>
      </c>
      <c r="J399" s="9" t="str">
        <f>IFERROR(MID(VLOOKUP($B399,Seqs!$A:$B,2,0),K399,1),"")</f>
        <v/>
      </c>
      <c r="K399" s="109" t="s">
        <v>23</v>
      </c>
      <c r="L399" s="9" t="str">
        <f>IFERROR(MID(VLOOKUP($B399,Seqs!$A:$B,2,0),M399,1),"")</f>
        <v>C</v>
      </c>
      <c r="M399" s="9">
        <v>171</v>
      </c>
      <c r="N399" s="9" t="str">
        <f>IFERROR(MID(VLOOKUP($B399,Seqs!$A:$B,2,0),O399,1),"")</f>
        <v>A</v>
      </c>
      <c r="O399" s="9">
        <v>199</v>
      </c>
      <c r="P399" s="9" t="str">
        <f>IFERROR(MID(VLOOKUP($B399,Seqs!$A:$B,2,0),Q399,1),"")</f>
        <v/>
      </c>
      <c r="Q399" s="9" t="s">
        <v>23</v>
      </c>
      <c r="R399" s="9" t="str">
        <f>IFERROR(MID(VLOOKUP($B399,Seqs!$A:$B,2,0),S399,1),"")</f>
        <v/>
      </c>
      <c r="S399" s="9" t="s">
        <v>23</v>
      </c>
      <c r="T399" s="9" t="str">
        <f>IFERROR(MID(VLOOKUP($B399,Seqs!$A:$B,2,0),U399,1),"")</f>
        <v>P</v>
      </c>
      <c r="U399" s="9">
        <v>209</v>
      </c>
      <c r="V399" s="9" t="str">
        <f>IFERROR(MID(VLOOKUP($B399,Seqs!$A:$B,2,0),W399,1),"")</f>
        <v>V</v>
      </c>
      <c r="W399" s="9">
        <v>242</v>
      </c>
      <c r="X399" s="9" t="str">
        <f>IFERROR(MID(VLOOKUP($B399,Seqs!$A:$B,2,0),Y399,1),"")</f>
        <v/>
      </c>
      <c r="Y399" s="9" t="s">
        <v>23</v>
      </c>
      <c r="Z399" s="9" t="str">
        <f>IFERROR(MID(VLOOKUP($B399,Seqs!$A:$B,2,0),AA399,1),"")</f>
        <v/>
      </c>
      <c r="AA399" s="9" t="s">
        <v>23</v>
      </c>
      <c r="AB399" s="9" t="str">
        <f>IFERROR(MID(VLOOKUP($B399,Seqs!$A:$B,2,0),AC399,1),"")</f>
        <v>M</v>
      </c>
      <c r="AC399" s="9">
        <v>253</v>
      </c>
      <c r="AD399" s="9" t="str">
        <f>IFERROR(MID(VLOOKUP($B399,Seqs!$A:$B,2,0),AE399,1),"")</f>
        <v>Y</v>
      </c>
      <c r="AE399" s="9">
        <v>278</v>
      </c>
      <c r="AF399" s="9" t="str">
        <f>IFERROR(MID(VLOOKUP($B399,Seqs!$A:$B,2,0),AG399,1),"")</f>
        <v>C</v>
      </c>
      <c r="AG399" s="9">
        <v>282</v>
      </c>
      <c r="AH399" s="9" t="str">
        <f>IFERROR(MID(VLOOKUP($B399,Seqs!$A:$B,2,0),AI399,1),"")</f>
        <v>I</v>
      </c>
      <c r="AI399" s="9">
        <v>284</v>
      </c>
      <c r="AJ399" s="9" t="str">
        <f>IFERROR(MID(VLOOKUP($B399,Seqs!$A:$B,2,0),AK399,1),"")</f>
        <v>L</v>
      </c>
      <c r="AK399" s="9">
        <v>290</v>
      </c>
      <c r="AL399" s="9" t="str">
        <f>IFERROR(MID(VLOOKUP($B399,Seqs!$A:$B,2,0),AM399,1),"")</f>
        <v>K</v>
      </c>
      <c r="AM399" s="9">
        <v>321</v>
      </c>
      <c r="AN399" s="9" t="str">
        <f>IFERROR(MID(VLOOKUP($B399,Seqs!$A:$B,2,0),AO399,1),"")</f>
        <v>K</v>
      </c>
      <c r="AO399" s="9">
        <v>333</v>
      </c>
      <c r="AP399" s="9" t="str">
        <f>IFERROR(MID(VLOOKUP($B399,Seqs!$A:$B,2,0),AQ399,1),"")</f>
        <v>L</v>
      </c>
      <c r="AQ399" s="9">
        <v>351</v>
      </c>
      <c r="AR399" s="9" t="str">
        <f>IFERROR(MID(VLOOKUP($B399,Seqs!$A:$B,2,0),AS399,1),"")</f>
        <v>E</v>
      </c>
      <c r="AS399" s="9">
        <v>363</v>
      </c>
      <c r="AT399" s="9" t="str">
        <f>IFERROR(MID(VLOOKUP($B399,Seqs!$A:$B,2,0),AU399,1),"")</f>
        <v>F</v>
      </c>
      <c r="AU399" s="9">
        <v>387</v>
      </c>
      <c r="AV399" s="9" t="str">
        <f>IFERROR(MID(VLOOKUP($B399,Seqs!$A:$B,2,0),AW399,1),"")</f>
        <v>N</v>
      </c>
      <c r="AW399" s="9">
        <v>388</v>
      </c>
      <c r="AX399" s="9" t="str">
        <f>IFERROR(MID(VLOOKUP($B399,Seqs!$A:$B,2,0),AY399,1),"")</f>
        <v>W</v>
      </c>
      <c r="AY399" s="9">
        <v>399</v>
      </c>
      <c r="AZ399" s="110" t="str">
        <f>VLOOKUP(B399,Classification!A:D,2,0)</f>
        <v>B1</v>
      </c>
      <c r="BA399" s="98" t="str">
        <f>VLOOKUP(B399,Classification!A:D,4,0)</f>
        <v>Calcitonin</v>
      </c>
      <c r="BB399" s="36" t="b">
        <f t="shared" ref="BB399" si="1181">AND(E399&lt;G399,OR(G399&lt;I399,I399="-"),OR(I399&lt;K399,I399="-"),OR(K399&lt;M399,K399="-"),M399&lt;O399,OR(O399&lt;Q399,Q399="-"),OR(Q399&lt;S399,Q399="-"),OR(S399&lt;U399,S399="-"),U399&lt;W399,OR(W399&lt;Y399,Y399="-"),OR(Y399&lt;AA399,Y399="-"),OR(AA399&lt;AC399,AA399="-"),AC399&lt;AE399,OR(AE399&lt;AG399,AG399="-"),OR(AG399&lt;AI399,AG399="-"),OR(AI399&lt;AK399,AI399="-"),AK399&lt;AM399,AM399&lt;AO399,AO399&lt;AQ399,AQ399&lt;AS399,AS399&lt;AU399,OR(AU399&lt;AW399,AW399="-"),OR(AW399&lt;AY399,AW399="-"))</f>
        <v>1</v>
      </c>
      <c r="BC399" s="109">
        <f t="shared" ref="BC399" si="1182">_xlfn.AGGREGATE(9,6,CH399:CS399)-_xlfn.AGGREGATE(9,6,BV399:CG399)+12</f>
        <v>219</v>
      </c>
      <c r="BD399" s="11" t="s">
        <v>23</v>
      </c>
      <c r="BE399" s="9" t="s">
        <v>1285</v>
      </c>
      <c r="BF399" s="119">
        <v>3</v>
      </c>
      <c r="BG399" s="51" t="s">
        <v>1416</v>
      </c>
      <c r="BH399" s="51" t="s">
        <v>1416</v>
      </c>
      <c r="BJ399" s="111" t="s">
        <v>1281</v>
      </c>
      <c r="BK399" s="112" t="s">
        <v>1281</v>
      </c>
      <c r="BL399" s="112" t="s">
        <v>1281</v>
      </c>
      <c r="BM399" s="112" t="s">
        <v>1281</v>
      </c>
      <c r="BN399" s="112" t="s">
        <v>1281</v>
      </c>
      <c r="BO399" s="112" t="s">
        <v>1281</v>
      </c>
      <c r="BP399" s="112" t="s">
        <v>1281</v>
      </c>
      <c r="BQ399" s="112" t="s">
        <v>1281</v>
      </c>
      <c r="BR399" s="112" t="s">
        <v>1281</v>
      </c>
      <c r="BS399" s="112" t="s">
        <v>1281</v>
      </c>
      <c r="BT399" s="112" t="s">
        <v>1281</v>
      </c>
      <c r="BU399" s="112" t="s">
        <v>1281</v>
      </c>
      <c r="BV399" s="111">
        <f>E399</f>
        <v>131</v>
      </c>
      <c r="BW399" s="113" t="str">
        <f>I399</f>
        <v>-</v>
      </c>
      <c r="BX399" s="114">
        <f>M399</f>
        <v>171</v>
      </c>
      <c r="BY399" s="113" t="str">
        <f>Q399</f>
        <v>-</v>
      </c>
      <c r="BZ399" s="114">
        <f>U399</f>
        <v>209</v>
      </c>
      <c r="CA399" s="113" t="str">
        <f>Y399</f>
        <v>-</v>
      </c>
      <c r="CB399" s="114">
        <f>AC399</f>
        <v>253</v>
      </c>
      <c r="CC399" s="113">
        <f>AG399</f>
        <v>282</v>
      </c>
      <c r="CD399" s="114">
        <f>AK399</f>
        <v>290</v>
      </c>
      <c r="CE399" s="113">
        <f>AO399</f>
        <v>333</v>
      </c>
      <c r="CF399" s="114">
        <f>AS399</f>
        <v>363</v>
      </c>
      <c r="CG399" s="113">
        <f>AW399</f>
        <v>388</v>
      </c>
      <c r="CH399" s="111">
        <f>G399</f>
        <v>166</v>
      </c>
      <c r="CI399" s="113" t="str">
        <f>K399</f>
        <v>-</v>
      </c>
      <c r="CJ399" s="114">
        <f>O399</f>
        <v>199</v>
      </c>
      <c r="CK399" s="114" t="str">
        <f>S399</f>
        <v>-</v>
      </c>
      <c r="CL399" s="114">
        <f>W399</f>
        <v>242</v>
      </c>
      <c r="CM399" s="114" t="str">
        <f>AA399</f>
        <v>-</v>
      </c>
      <c r="CN399" s="114">
        <f>AE399</f>
        <v>278</v>
      </c>
      <c r="CO399" s="114">
        <f>AI399</f>
        <v>284</v>
      </c>
      <c r="CP399" s="114">
        <f>AM399</f>
        <v>321</v>
      </c>
      <c r="CQ399" s="114">
        <f>AQ399</f>
        <v>351</v>
      </c>
      <c r="CR399" s="114">
        <f>AU399</f>
        <v>387</v>
      </c>
      <c r="CS399" s="114">
        <f>AY399</f>
        <v>399</v>
      </c>
      <c r="CT399" s="109" t="e">
        <f>M399-K399</f>
        <v>#VALUE!</v>
      </c>
      <c r="CU399" s="128"/>
      <c r="CV399" s="128"/>
      <c r="CW399" s="128"/>
      <c r="CX399" s="128"/>
      <c r="CY399" s="128"/>
      <c r="CZ399" s="128"/>
      <c r="DA399" s="128"/>
      <c r="DB399" s="128"/>
      <c r="DC399" s="128"/>
      <c r="DD399" s="128"/>
      <c r="DE399" s="128"/>
      <c r="DF399" s="128"/>
      <c r="DG399" s="128"/>
      <c r="DH399" s="128"/>
      <c r="DI399" s="128"/>
      <c r="DJ399" s="128"/>
      <c r="DK399" s="128"/>
      <c r="DL399" s="128"/>
      <c r="DM399" s="128"/>
      <c r="DN399" s="128"/>
      <c r="DO399" s="128"/>
      <c r="DP399" s="128"/>
      <c r="DQ399" s="128"/>
      <c r="DR399" s="128"/>
      <c r="DS399" s="128"/>
      <c r="DT399" s="128"/>
      <c r="DU399" s="128"/>
      <c r="DV399" s="128"/>
      <c r="DW399" s="128"/>
      <c r="DX399" s="128"/>
      <c r="DY399" s="128"/>
      <c r="DZ399" s="128"/>
      <c r="EA399" s="128"/>
      <c r="EB399" s="128"/>
      <c r="EC399" s="128"/>
      <c r="ED399" s="128"/>
      <c r="EE399" s="128"/>
      <c r="EF399" s="128"/>
      <c r="EG399" s="128"/>
      <c r="EH399" s="128"/>
      <c r="EI399" s="128"/>
      <c r="EJ399" s="128"/>
      <c r="EK399" s="128"/>
      <c r="EL399" s="128"/>
      <c r="EM399" s="128"/>
      <c r="EN399" s="128"/>
      <c r="EO399" s="128"/>
      <c r="EP399" s="128"/>
      <c r="EQ399" s="128"/>
      <c r="ER399" s="128"/>
      <c r="ES399" s="128"/>
      <c r="ET399" s="128"/>
      <c r="EU399" s="128"/>
      <c r="EV399" s="128"/>
      <c r="EW399" s="128"/>
      <c r="EX399" s="128"/>
      <c r="EY399" s="128"/>
      <c r="EZ399" s="128"/>
      <c r="FA399" s="128"/>
      <c r="FB399" s="128"/>
      <c r="FC399" s="128"/>
      <c r="FD399" s="128"/>
      <c r="FE399" s="128"/>
      <c r="FF399" s="128"/>
      <c r="FG399" s="128"/>
      <c r="FH399" s="128"/>
      <c r="FI399" s="128"/>
      <c r="FJ399" s="128"/>
      <c r="FK399" s="128"/>
      <c r="FL399" s="128"/>
      <c r="FM399" s="128"/>
      <c r="FN399" s="128"/>
      <c r="FO399" s="128"/>
      <c r="FP399" s="128"/>
      <c r="FQ399" s="128"/>
      <c r="FR399" s="128"/>
      <c r="FS399" s="128"/>
      <c r="FT399" s="128"/>
      <c r="FU399" s="128"/>
      <c r="FV399" s="128"/>
      <c r="FW399" s="128"/>
      <c r="FX399" s="128"/>
      <c r="FY399" s="128"/>
      <c r="FZ399" s="128"/>
      <c r="GA399" s="128"/>
      <c r="GB399" s="128"/>
      <c r="GC399" s="128"/>
      <c r="GD399" s="128"/>
      <c r="GE399" s="128"/>
      <c r="GF399" s="128"/>
      <c r="GG399" s="128"/>
      <c r="GH399" s="128"/>
      <c r="GI399" s="128"/>
      <c r="GJ399" s="128"/>
      <c r="GK399" s="128"/>
      <c r="GL399" s="128"/>
      <c r="GM399" s="128"/>
      <c r="GN399" s="128"/>
      <c r="GO399" s="128"/>
      <c r="GP399" s="128"/>
      <c r="GQ399" s="128"/>
      <c r="GR399" s="128"/>
      <c r="GS399" s="128"/>
      <c r="GT399" s="128"/>
      <c r="GU399" s="128"/>
      <c r="GV399" s="128"/>
      <c r="GW399" s="128"/>
      <c r="GX399" s="128"/>
      <c r="GY399" s="128"/>
      <c r="GZ399" s="128"/>
      <c r="HA399" s="128"/>
      <c r="HB399" s="128"/>
      <c r="HC399" s="128"/>
      <c r="HD399" s="128"/>
      <c r="HE399" s="128"/>
      <c r="HF399" s="128"/>
      <c r="HG399" s="128"/>
      <c r="HH399" s="128"/>
      <c r="HI399" s="128"/>
      <c r="HJ399" s="128"/>
      <c r="HK399" s="128"/>
      <c r="HL399" s="128"/>
      <c r="HM399" s="128"/>
      <c r="HN399" s="128"/>
      <c r="HO399" s="128"/>
      <c r="HP399" s="128"/>
      <c r="HQ399" s="128"/>
      <c r="HR399" s="128"/>
      <c r="HS399" s="128"/>
      <c r="HT399" s="128"/>
      <c r="HU399" s="128"/>
      <c r="HV399" s="128"/>
      <c r="HW399" s="128"/>
      <c r="HX399" s="128"/>
      <c r="HY399" s="128"/>
      <c r="HZ399" s="128"/>
      <c r="IA399" s="128"/>
      <c r="IB399" s="128"/>
      <c r="IC399" s="128"/>
      <c r="ID399" s="128"/>
      <c r="IE399" s="128"/>
      <c r="IF399" s="128"/>
      <c r="IG399" s="128"/>
      <c r="IH399" s="128"/>
      <c r="II399" s="128"/>
      <c r="IJ399" s="128"/>
      <c r="IK399" s="128"/>
      <c r="IL399" s="128"/>
      <c r="IM399" s="128"/>
      <c r="IN399" s="128"/>
      <c r="IO399" s="128"/>
      <c r="IP399" s="128"/>
      <c r="IQ399" s="128"/>
      <c r="IR399" s="128"/>
      <c r="IS399" s="128"/>
      <c r="IT399" s="128"/>
      <c r="IU399" s="128"/>
      <c r="IV399" s="128"/>
      <c r="IW399" s="128"/>
      <c r="IX399" s="128"/>
      <c r="IY399" s="128"/>
      <c r="IZ399" s="128"/>
      <c r="JA399" s="128"/>
      <c r="JB399" s="128"/>
      <c r="JC399" s="128"/>
      <c r="JD399" s="128"/>
      <c r="JE399" s="128"/>
      <c r="JF399" s="128"/>
      <c r="JG399" s="128"/>
      <c r="JH399" s="128"/>
      <c r="JI399" s="128"/>
      <c r="JJ399" s="128"/>
      <c r="JK399" s="128"/>
      <c r="JL399" s="128"/>
      <c r="JM399" s="128"/>
      <c r="JN399" s="128"/>
      <c r="JO399" s="128"/>
      <c r="JP399" s="128"/>
      <c r="JQ399" s="128"/>
      <c r="JR399" s="128"/>
      <c r="JS399" s="128"/>
      <c r="JT399" s="128"/>
      <c r="JU399" s="128"/>
      <c r="JV399" s="128"/>
      <c r="JW399" s="128"/>
      <c r="JX399" s="128"/>
      <c r="JY399" s="128"/>
      <c r="JZ399" s="128"/>
      <c r="KA399" s="128"/>
      <c r="KB399" s="128"/>
      <c r="KC399" s="128"/>
      <c r="KD399" s="128"/>
      <c r="KE399" s="128"/>
      <c r="KF399" s="128"/>
      <c r="KG399" s="128"/>
      <c r="KH399" s="128"/>
      <c r="KI399" s="128"/>
      <c r="KJ399" s="128"/>
      <c r="KK399" s="128"/>
      <c r="KL399" s="128"/>
      <c r="KM399" s="128"/>
      <c r="KN399" s="128"/>
      <c r="KO399" s="128"/>
      <c r="KP399" s="128"/>
      <c r="KQ399" s="128"/>
      <c r="KR399" s="128"/>
      <c r="KS399" s="128"/>
      <c r="KT399" s="128"/>
      <c r="KU399" s="128"/>
      <c r="KV399" s="128"/>
      <c r="KW399" s="128"/>
      <c r="KX399" s="128"/>
      <c r="KY399" s="128"/>
      <c r="KZ399" s="128"/>
      <c r="LA399" s="128"/>
      <c r="LB399" s="128"/>
      <c r="LC399" s="128"/>
      <c r="LD399" s="128"/>
      <c r="LE399" s="128"/>
      <c r="LF399" s="128"/>
      <c r="LG399" s="128"/>
      <c r="LH399" s="128"/>
      <c r="LI399" s="128"/>
      <c r="LJ399" s="128"/>
      <c r="LK399" s="128"/>
      <c r="LL399" s="128"/>
      <c r="LM399" s="128"/>
      <c r="LN399" s="128"/>
      <c r="LO399" s="128"/>
      <c r="LP399" s="128"/>
      <c r="LQ399" s="128"/>
      <c r="LR399" s="128"/>
      <c r="LS399" s="128"/>
      <c r="LT399" s="128"/>
      <c r="LU399" s="128"/>
      <c r="LV399" s="128"/>
      <c r="LW399" s="128"/>
      <c r="LX399" s="128"/>
      <c r="LY399" s="128"/>
      <c r="LZ399" s="128"/>
      <c r="MA399" s="128"/>
      <c r="MB399" s="128"/>
      <c r="MC399" s="128"/>
      <c r="MD399" s="128"/>
      <c r="ME399" s="128"/>
      <c r="MF399" s="128"/>
      <c r="MG399" s="128"/>
      <c r="MH399" s="128"/>
      <c r="MI399" s="128"/>
      <c r="MJ399" s="128"/>
      <c r="MK399" s="128"/>
      <c r="ML399" s="128"/>
      <c r="MM399" s="128"/>
      <c r="MN399" s="128"/>
      <c r="MO399" s="128"/>
      <c r="MP399" s="128"/>
      <c r="MQ399" s="128"/>
      <c r="MR399" s="128"/>
      <c r="MS399" s="128"/>
      <c r="MT399" s="128"/>
      <c r="MU399" s="128"/>
      <c r="MV399" s="128"/>
      <c r="MW399" s="128"/>
      <c r="MX399" s="128"/>
      <c r="MY399" s="128"/>
      <c r="MZ399" s="128"/>
      <c r="NA399" s="128"/>
      <c r="NB399" s="128"/>
      <c r="NC399" s="128"/>
      <c r="ND399" s="128"/>
      <c r="NE399" s="128"/>
      <c r="NF399" s="128"/>
      <c r="NG399" s="128"/>
      <c r="NH399" s="128"/>
      <c r="NI399" s="128"/>
      <c r="NJ399" s="128"/>
      <c r="NK399" s="128"/>
      <c r="NL399" s="128"/>
      <c r="NM399" s="128"/>
      <c r="NN399" s="128"/>
      <c r="NO399" s="128"/>
      <c r="NP399" s="128"/>
      <c r="NQ399" s="128"/>
      <c r="NR399" s="128"/>
      <c r="NS399" s="128"/>
      <c r="NT399" s="128"/>
      <c r="NU399" s="128"/>
      <c r="NV399" s="128"/>
      <c r="NW399" s="128"/>
      <c r="NX399" s="128"/>
      <c r="NY399" s="128"/>
      <c r="NZ399" s="128"/>
      <c r="OA399" s="128"/>
      <c r="OB399" s="128"/>
      <c r="OC399" s="128"/>
      <c r="OD399" s="128"/>
      <c r="OE399" s="128"/>
      <c r="OF399" s="128"/>
      <c r="OG399" s="128"/>
      <c r="OH399" s="128"/>
      <c r="OI399" s="128"/>
      <c r="OJ399" s="128"/>
      <c r="OK399" s="128"/>
      <c r="OL399" s="128"/>
      <c r="OM399" s="128"/>
      <c r="ON399" s="128"/>
      <c r="OO399" s="128"/>
      <c r="OP399" s="128"/>
      <c r="OQ399" s="128"/>
      <c r="OR399" s="128"/>
      <c r="OS399" s="128"/>
      <c r="OT399" s="128"/>
      <c r="OU399" s="128"/>
      <c r="OV399" s="128"/>
      <c r="OW399" s="128"/>
      <c r="OX399" s="128"/>
      <c r="OY399" s="128"/>
      <c r="OZ399" s="128"/>
      <c r="PA399" s="128"/>
      <c r="PB399" s="128"/>
      <c r="PC399" s="128"/>
      <c r="PD399" s="128"/>
      <c r="PE399" s="128"/>
      <c r="PF399" s="128"/>
      <c r="PG399" s="128"/>
      <c r="PH399" s="128"/>
      <c r="PI399" s="128"/>
      <c r="PJ399" s="128"/>
      <c r="PK399" s="128"/>
      <c r="PL399" s="128"/>
      <c r="PM399" s="128"/>
      <c r="PN399" s="128"/>
      <c r="PO399" s="128"/>
      <c r="PP399" s="128"/>
      <c r="PQ399" s="128"/>
      <c r="PR399" s="128"/>
      <c r="PS399" s="128"/>
      <c r="PT399" s="128"/>
      <c r="PU399" s="128"/>
      <c r="PV399" s="128"/>
      <c r="PW399" s="128"/>
      <c r="PX399" s="128"/>
      <c r="PY399" s="128"/>
      <c r="PZ399" s="128"/>
      <c r="QA399" s="128"/>
      <c r="QB399" s="128"/>
      <c r="QC399" s="128"/>
      <c r="QD399" s="128"/>
      <c r="QE399" s="128"/>
      <c r="QF399" s="128"/>
      <c r="QG399" s="128"/>
      <c r="QH399" s="128"/>
      <c r="QI399" s="128"/>
      <c r="QJ399" s="128"/>
      <c r="QK399" s="128"/>
      <c r="QL399" s="128"/>
      <c r="QM399" s="128"/>
      <c r="QN399" s="128"/>
      <c r="QO399" s="128"/>
      <c r="QP399" s="128"/>
      <c r="QQ399" s="128"/>
      <c r="QR399" s="128"/>
      <c r="QS399" s="128"/>
      <c r="QT399" s="128"/>
      <c r="QU399" s="128"/>
      <c r="QV399" s="128"/>
      <c r="QW399" s="128"/>
      <c r="QX399" s="128"/>
      <c r="QY399" s="128"/>
      <c r="QZ399" s="128"/>
      <c r="RA399" s="128"/>
      <c r="RB399" s="128"/>
      <c r="RC399" s="128"/>
      <c r="RD399" s="128"/>
      <c r="RE399" s="128"/>
      <c r="RF399" s="128"/>
      <c r="RG399" s="128"/>
      <c r="RH399" s="128"/>
      <c r="RI399" s="128"/>
      <c r="RJ399" s="128"/>
      <c r="RK399" s="128"/>
      <c r="RL399" s="128"/>
      <c r="RM399" s="128"/>
      <c r="RN399" s="128"/>
      <c r="RO399" s="128"/>
      <c r="RP399" s="128"/>
      <c r="RQ399" s="128"/>
      <c r="RR399" s="128"/>
      <c r="RS399" s="128"/>
      <c r="RT399" s="128"/>
      <c r="RU399" s="128"/>
      <c r="RV399" s="128"/>
      <c r="RW399" s="128"/>
      <c r="RX399" s="128"/>
      <c r="RY399" s="128"/>
      <c r="RZ399" s="128"/>
      <c r="SA399" s="128"/>
      <c r="SB399" s="128"/>
      <c r="SC399" s="128"/>
      <c r="SD399" s="128"/>
      <c r="SE399" s="128"/>
      <c r="SF399" s="128"/>
      <c r="SG399" s="128"/>
      <c r="SH399" s="128"/>
      <c r="SI399" s="128"/>
      <c r="SJ399" s="128"/>
      <c r="SK399" s="128"/>
      <c r="SL399" s="128"/>
      <c r="SM399" s="128"/>
      <c r="SN399" s="128"/>
      <c r="SO399" s="128"/>
      <c r="SP399" s="128"/>
      <c r="SQ399" s="128"/>
      <c r="SR399" s="128"/>
      <c r="SS399" s="128"/>
      <c r="ST399" s="128"/>
      <c r="SU399" s="128"/>
      <c r="SV399" s="128"/>
      <c r="SW399" s="128"/>
      <c r="SX399" s="128"/>
      <c r="SY399" s="128"/>
      <c r="SZ399" s="128"/>
      <c r="TA399" s="128"/>
      <c r="TB399" s="128"/>
      <c r="TC399" s="128"/>
      <c r="TD399" s="128"/>
      <c r="TE399" s="128"/>
      <c r="TF399" s="128"/>
      <c r="TG399" s="128"/>
      <c r="TH399" s="128"/>
      <c r="TI399" s="128"/>
      <c r="TJ399" s="128"/>
      <c r="TK399" s="128"/>
      <c r="TL399" s="128"/>
      <c r="TM399" s="128"/>
      <c r="TN399" s="128"/>
      <c r="TO399" s="128"/>
      <c r="TP399" s="128"/>
      <c r="TQ399" s="128"/>
      <c r="TR399" s="128"/>
      <c r="TS399" s="128"/>
      <c r="TT399" s="128"/>
      <c r="TU399" s="128"/>
      <c r="TV399" s="128"/>
      <c r="TW399" s="128"/>
      <c r="TX399" s="128"/>
      <c r="TY399" s="128"/>
      <c r="TZ399" s="128"/>
      <c r="UA399" s="128"/>
      <c r="UB399" s="128"/>
      <c r="UC399" s="128"/>
      <c r="UD399" s="128"/>
      <c r="UE399" s="128"/>
      <c r="UF399" s="128"/>
      <c r="UG399" s="128"/>
      <c r="UH399" s="128"/>
      <c r="UI399" s="128"/>
      <c r="UJ399" s="128"/>
      <c r="UK399" s="128"/>
      <c r="UL399" s="128"/>
      <c r="UM399" s="128"/>
      <c r="UN399" s="128"/>
      <c r="UO399" s="128"/>
      <c r="UP399" s="128"/>
      <c r="UQ399" s="128"/>
      <c r="UR399" s="128"/>
      <c r="US399" s="128"/>
      <c r="UT399" s="128"/>
      <c r="UU399" s="128"/>
      <c r="UV399" s="128"/>
      <c r="UW399" s="128"/>
      <c r="UX399" s="128"/>
      <c r="UY399" s="128"/>
      <c r="UZ399" s="128"/>
      <c r="VA399" s="128"/>
      <c r="VB399" s="128"/>
      <c r="VC399" s="128"/>
      <c r="VD399" s="128"/>
      <c r="VE399" s="128"/>
      <c r="VF399" s="128"/>
      <c r="VG399" s="128"/>
      <c r="VH399" s="128"/>
      <c r="VI399" s="128"/>
      <c r="VJ399" s="128"/>
      <c r="VK399" s="128"/>
      <c r="VL399" s="128"/>
      <c r="VM399" s="128"/>
      <c r="VN399" s="128"/>
      <c r="VO399" s="128"/>
      <c r="VP399" s="128"/>
      <c r="VQ399" s="128"/>
      <c r="VR399" s="128"/>
      <c r="VS399" s="128"/>
      <c r="VT399" s="128"/>
      <c r="VU399" s="128"/>
      <c r="VV399" s="128"/>
      <c r="VW399" s="128"/>
      <c r="VX399" s="128"/>
      <c r="VY399" s="128"/>
      <c r="VZ399" s="128"/>
      <c r="WA399" s="128"/>
      <c r="WB399" s="128"/>
      <c r="WC399" s="128"/>
      <c r="WD399" s="128"/>
      <c r="WE399" s="128"/>
      <c r="WF399" s="128"/>
      <c r="WG399" s="128"/>
      <c r="WH399" s="128"/>
      <c r="WI399" s="128"/>
      <c r="WJ399" s="128"/>
      <c r="WK399" s="128"/>
      <c r="WL399" s="128"/>
      <c r="WM399" s="128"/>
      <c r="WN399" s="128"/>
      <c r="WO399" s="128"/>
      <c r="WP399" s="128"/>
      <c r="WQ399" s="128"/>
      <c r="WR399" s="128"/>
      <c r="WS399" s="128"/>
      <c r="WT399" s="128"/>
      <c r="WU399" s="128"/>
      <c r="WV399" s="128"/>
      <c r="WW399" s="128"/>
      <c r="WX399" s="128"/>
      <c r="WY399" s="128"/>
      <c r="WZ399" s="128"/>
      <c r="XA399" s="128"/>
      <c r="XB399" s="128"/>
      <c r="XC399" s="128"/>
      <c r="XD399" s="128"/>
      <c r="XE399" s="128"/>
      <c r="XF399" s="128"/>
      <c r="XG399" s="128"/>
      <c r="XH399" s="128"/>
      <c r="XI399" s="128"/>
      <c r="XJ399" s="128"/>
      <c r="XK399" s="128"/>
      <c r="XL399" s="128"/>
      <c r="XM399" s="128"/>
      <c r="XN399" s="128"/>
      <c r="XO399" s="128"/>
      <c r="XP399" s="128"/>
      <c r="XQ399" s="128"/>
      <c r="XR399" s="128"/>
      <c r="XS399" s="128"/>
      <c r="XT399" s="128"/>
      <c r="XU399" s="128"/>
      <c r="XV399" s="128"/>
      <c r="XW399" s="128"/>
      <c r="XX399" s="128"/>
      <c r="XY399" s="128"/>
      <c r="XZ399" s="128"/>
      <c r="YA399" s="128"/>
      <c r="YB399" s="128"/>
      <c r="YC399" s="128"/>
      <c r="YD399" s="128"/>
      <c r="YE399" s="128"/>
      <c r="YF399" s="128"/>
      <c r="YG399" s="128"/>
      <c r="YH399" s="128"/>
      <c r="YI399" s="128"/>
      <c r="YJ399" s="128"/>
      <c r="YK399" s="128"/>
      <c r="YL399" s="128"/>
      <c r="YM399" s="128"/>
      <c r="YN399" s="128"/>
      <c r="YO399" s="128"/>
      <c r="YP399" s="128"/>
      <c r="YQ399" s="128"/>
      <c r="YR399" s="128"/>
      <c r="YS399" s="128"/>
      <c r="YT399" s="128"/>
      <c r="YU399" s="128"/>
      <c r="YV399" s="128"/>
      <c r="YW399" s="128"/>
      <c r="YX399" s="128"/>
      <c r="YY399" s="128"/>
      <c r="YZ399" s="128"/>
      <c r="ZA399" s="128"/>
      <c r="ZB399" s="128"/>
      <c r="ZC399" s="128"/>
      <c r="ZD399" s="128"/>
      <c r="ZE399" s="128"/>
      <c r="ZF399" s="128"/>
      <c r="ZG399" s="128"/>
      <c r="ZH399" s="128"/>
      <c r="ZI399" s="128"/>
      <c r="ZJ399" s="128"/>
      <c r="ZK399" s="128"/>
      <c r="ZL399" s="128"/>
      <c r="ZM399" s="128"/>
      <c r="ZN399" s="128"/>
      <c r="ZO399" s="128"/>
      <c r="ZP399" s="128"/>
      <c r="ZQ399" s="128"/>
      <c r="ZR399" s="128"/>
      <c r="ZS399" s="128"/>
      <c r="ZT399" s="128"/>
      <c r="ZU399" s="128"/>
      <c r="ZV399" s="128"/>
      <c r="ZW399" s="128"/>
      <c r="ZX399" s="128"/>
      <c r="ZY399" s="128"/>
      <c r="ZZ399" s="128"/>
      <c r="AAA399" s="128"/>
      <c r="AAB399" s="128"/>
      <c r="AAC399" s="128"/>
      <c r="AAD399" s="128"/>
      <c r="AAE399" s="128"/>
      <c r="AAF399" s="128"/>
      <c r="AAG399" s="128"/>
      <c r="AAH399" s="128"/>
      <c r="AAI399" s="128"/>
      <c r="AAJ399" s="128"/>
      <c r="AAK399" s="128"/>
      <c r="AAL399" s="128"/>
      <c r="AAM399" s="128"/>
      <c r="AAN399" s="128"/>
      <c r="AAO399" s="128"/>
      <c r="AAP399" s="128"/>
      <c r="AAQ399" s="128"/>
      <c r="AAR399" s="128"/>
      <c r="AAS399" s="128"/>
      <c r="AAT399" s="128"/>
      <c r="AAU399" s="128"/>
      <c r="AAV399" s="128"/>
      <c r="AAW399" s="128"/>
      <c r="AAX399" s="128"/>
      <c r="AAY399" s="128"/>
      <c r="AAZ399" s="128"/>
      <c r="ABA399" s="128"/>
      <c r="ABB399" s="128"/>
      <c r="ABC399" s="128"/>
      <c r="ABD399" s="128"/>
      <c r="ABE399" s="128"/>
      <c r="ABF399" s="128"/>
      <c r="ABG399" s="128"/>
      <c r="ABH399" s="128"/>
      <c r="ABI399" s="128"/>
      <c r="ABJ399" s="128"/>
      <c r="ABK399" s="128"/>
      <c r="ABL399" s="128"/>
      <c r="ABM399" s="128"/>
      <c r="ABN399" s="128"/>
      <c r="ABO399" s="128"/>
      <c r="ABP399" s="128"/>
      <c r="ABQ399" s="128"/>
      <c r="ABR399" s="128"/>
      <c r="ABS399" s="128"/>
      <c r="ABT399" s="128"/>
      <c r="ABU399" s="128"/>
      <c r="ABV399" s="128"/>
      <c r="ABW399" s="128"/>
      <c r="ABX399" s="128"/>
      <c r="ABY399" s="128"/>
      <c r="ABZ399" s="128"/>
      <c r="ACA399" s="128"/>
      <c r="ACB399" s="128"/>
      <c r="ACC399" s="128"/>
      <c r="ACD399" s="128"/>
      <c r="ACE399" s="128"/>
      <c r="ACF399" s="128"/>
      <c r="ACG399" s="128"/>
      <c r="ACH399" s="128"/>
      <c r="ACI399" s="128"/>
      <c r="ACJ399" s="128"/>
      <c r="ACK399" s="128"/>
      <c r="ACL399" s="128"/>
      <c r="ACM399" s="128"/>
      <c r="ACN399" s="128"/>
      <c r="ACO399" s="128"/>
      <c r="ACP399" s="128"/>
      <c r="ACQ399" s="128"/>
      <c r="ACR399" s="128"/>
      <c r="ACS399" s="128"/>
      <c r="ACT399" s="128"/>
      <c r="ACU399" s="128"/>
      <c r="ACV399" s="128"/>
      <c r="ACW399" s="128"/>
      <c r="ACX399" s="128"/>
      <c r="ACY399" s="128"/>
      <c r="ACZ399" s="128"/>
      <c r="ADA399" s="128"/>
      <c r="ADB399" s="128"/>
      <c r="ADC399" s="128"/>
      <c r="ADD399" s="128"/>
      <c r="ADE399" s="128"/>
      <c r="ADF399" s="128"/>
      <c r="ADG399" s="128"/>
      <c r="ADH399" s="128"/>
      <c r="ADI399" s="128"/>
      <c r="ADJ399" s="128"/>
      <c r="ADK399" s="128"/>
      <c r="ADL399" s="128"/>
      <c r="ADM399" s="128"/>
      <c r="ADN399" s="128"/>
      <c r="ADO399" s="128"/>
      <c r="ADP399" s="128"/>
      <c r="ADQ399" s="128"/>
      <c r="ADR399" s="128"/>
      <c r="ADS399" s="128"/>
      <c r="ADT399" s="128"/>
      <c r="ADU399" s="128"/>
      <c r="ADV399" s="128"/>
      <c r="ADW399" s="128"/>
      <c r="ADX399" s="128"/>
      <c r="ADY399" s="128"/>
      <c r="ADZ399" s="128"/>
      <c r="AEA399" s="128"/>
      <c r="AEB399" s="128"/>
      <c r="AEC399" s="128"/>
      <c r="AED399" s="128"/>
      <c r="AEE399" s="128"/>
      <c r="AEF399" s="128"/>
      <c r="AEG399" s="128"/>
      <c r="AEH399" s="128"/>
      <c r="AEI399" s="128"/>
      <c r="AEJ399" s="128"/>
      <c r="AEK399" s="128"/>
      <c r="AEL399" s="128"/>
      <c r="AEM399" s="128"/>
      <c r="AEN399" s="128"/>
      <c r="AEO399" s="128"/>
      <c r="AEP399" s="128"/>
      <c r="AEQ399" s="128"/>
      <c r="AER399" s="128"/>
      <c r="AES399" s="128"/>
      <c r="AET399" s="128"/>
      <c r="AEU399" s="128"/>
      <c r="AEV399" s="128"/>
      <c r="AEW399" s="128"/>
      <c r="AEX399" s="128"/>
      <c r="AEY399" s="128"/>
      <c r="AEZ399" s="128"/>
      <c r="AFA399" s="128"/>
      <c r="AFB399" s="128"/>
      <c r="AFC399" s="128"/>
      <c r="AFD399" s="128"/>
      <c r="AFE399" s="128"/>
      <c r="AFF399" s="128"/>
      <c r="AFG399" s="128"/>
      <c r="AFH399" s="128"/>
      <c r="AFI399" s="128"/>
      <c r="AFJ399" s="128"/>
      <c r="AFK399" s="128"/>
      <c r="AFL399" s="128"/>
      <c r="AFM399" s="128"/>
      <c r="AFN399" s="128"/>
      <c r="AFO399" s="128"/>
      <c r="AFP399" s="128"/>
      <c r="AFQ399" s="128"/>
      <c r="AFR399" s="128"/>
      <c r="AFS399" s="128"/>
      <c r="AFT399" s="128"/>
      <c r="AFU399" s="128"/>
      <c r="AFV399" s="128"/>
      <c r="AFW399" s="128"/>
      <c r="AFX399" s="128"/>
      <c r="AFY399" s="128"/>
      <c r="AFZ399" s="128"/>
      <c r="AGA399" s="128"/>
      <c r="AGB399" s="128"/>
      <c r="AGC399" s="128"/>
      <c r="AGD399" s="128"/>
      <c r="AGE399" s="128"/>
      <c r="AGF399" s="128"/>
      <c r="AGG399" s="128"/>
      <c r="AGH399" s="128"/>
      <c r="AGI399" s="128"/>
      <c r="AGJ399" s="128"/>
      <c r="AGK399" s="128"/>
      <c r="AGL399" s="128"/>
      <c r="AGM399" s="128"/>
      <c r="AGN399" s="128"/>
      <c r="AGO399" s="128"/>
      <c r="AGP399" s="128"/>
      <c r="AGQ399" s="128"/>
      <c r="AGR399" s="128"/>
      <c r="AGS399" s="128"/>
      <c r="AGT399" s="128"/>
      <c r="AGU399" s="128"/>
      <c r="AGV399" s="128"/>
      <c r="AGW399" s="128"/>
      <c r="AGX399" s="128"/>
      <c r="AGY399" s="128"/>
      <c r="AGZ399" s="128"/>
      <c r="AHA399" s="128"/>
      <c r="AHB399" s="128"/>
      <c r="AHC399" s="128"/>
      <c r="AHD399" s="128"/>
      <c r="AHE399" s="128"/>
      <c r="AHF399" s="128"/>
      <c r="AHG399" s="128"/>
      <c r="AHH399" s="128"/>
      <c r="AHI399" s="128"/>
      <c r="AHJ399" s="128"/>
      <c r="AHK399" s="128"/>
      <c r="AHL399" s="128"/>
      <c r="AHM399" s="128"/>
      <c r="AHN399" s="128"/>
      <c r="AHO399" s="128"/>
      <c r="AHP399" s="128"/>
      <c r="AHQ399" s="128"/>
      <c r="AHR399" s="128"/>
      <c r="AHS399" s="128"/>
      <c r="AHT399" s="128"/>
      <c r="AHU399" s="128"/>
      <c r="AHV399" s="128"/>
      <c r="AHW399" s="128"/>
      <c r="AHX399" s="128"/>
      <c r="AHY399" s="128"/>
      <c r="AHZ399" s="128"/>
      <c r="AIA399" s="128"/>
      <c r="AIB399" s="128"/>
      <c r="AIC399" s="128"/>
      <c r="AID399" s="128"/>
      <c r="AIE399" s="128"/>
      <c r="AIF399" s="128"/>
      <c r="AIG399" s="128"/>
      <c r="AIH399" s="128"/>
      <c r="AII399" s="128"/>
      <c r="AIJ399" s="128"/>
      <c r="AIK399" s="128"/>
      <c r="AIL399" s="128"/>
      <c r="AIM399" s="128"/>
      <c r="AIN399" s="128"/>
      <c r="AIO399" s="128"/>
      <c r="AIP399" s="128"/>
      <c r="AIQ399" s="128"/>
      <c r="AIR399" s="128"/>
      <c r="AIS399" s="128"/>
      <c r="AIT399" s="128"/>
      <c r="AIU399" s="128"/>
      <c r="AIV399" s="128"/>
      <c r="AIW399" s="128"/>
      <c r="AIX399" s="128"/>
      <c r="AIY399" s="128"/>
      <c r="AIZ399" s="128"/>
      <c r="AJA399" s="128"/>
      <c r="AJB399" s="128"/>
      <c r="AJC399" s="128"/>
      <c r="AJD399" s="128"/>
      <c r="AJE399" s="128"/>
      <c r="AJF399" s="128"/>
      <c r="AJG399" s="128"/>
      <c r="AJH399" s="128"/>
      <c r="AJI399" s="128"/>
      <c r="AJJ399" s="128"/>
      <c r="AJK399" s="128"/>
      <c r="AJL399" s="128"/>
      <c r="AJM399" s="128"/>
      <c r="AJN399" s="128"/>
      <c r="AJO399" s="128"/>
      <c r="AJP399" s="128"/>
      <c r="AJQ399" s="128"/>
      <c r="AJR399" s="128"/>
      <c r="AJS399" s="128"/>
      <c r="AJT399" s="128"/>
      <c r="AJU399" s="128"/>
      <c r="AJV399" s="128"/>
      <c r="AJW399" s="128"/>
      <c r="AJX399" s="128"/>
      <c r="AJY399" s="128"/>
      <c r="AJZ399" s="128"/>
      <c r="AKA399" s="128"/>
      <c r="AKB399" s="128"/>
      <c r="AKC399" s="128"/>
      <c r="AKD399" s="128"/>
      <c r="AKE399" s="128"/>
      <c r="AKF399" s="128"/>
      <c r="AKG399" s="128"/>
      <c r="AKH399" s="128"/>
      <c r="AKI399" s="128"/>
      <c r="AKJ399" s="128"/>
      <c r="AKK399" s="128"/>
      <c r="AKL399" s="128"/>
      <c r="AKM399" s="128"/>
      <c r="AKN399" s="128"/>
      <c r="AKO399" s="128"/>
      <c r="AKP399" s="128"/>
      <c r="AKQ399" s="128"/>
      <c r="AKR399" s="128"/>
      <c r="AKS399" s="128"/>
      <c r="AKT399" s="128"/>
      <c r="AKU399" s="128"/>
      <c r="AKV399" s="128"/>
      <c r="AKW399" s="128"/>
      <c r="AKX399" s="128"/>
      <c r="AKY399" s="128"/>
      <c r="AKZ399" s="128"/>
      <c r="ALA399" s="128"/>
      <c r="ALB399" s="128"/>
      <c r="ALC399" s="128"/>
      <c r="ALD399" s="128"/>
      <c r="ALE399" s="128"/>
      <c r="ALF399" s="128"/>
      <c r="ALG399" s="128"/>
      <c r="ALH399" s="128"/>
      <c r="ALI399" s="128"/>
      <c r="ALJ399" s="128"/>
      <c r="ALK399" s="128"/>
      <c r="ALL399" s="128"/>
      <c r="ALM399" s="128"/>
      <c r="ALN399" s="128"/>
      <c r="ALO399" s="128"/>
      <c r="ALP399" s="128"/>
      <c r="ALQ399" s="128"/>
      <c r="ALR399" s="128"/>
      <c r="ALS399" s="128"/>
      <c r="ALT399" s="128"/>
      <c r="ALU399" s="128"/>
      <c r="ALV399" s="128"/>
      <c r="ALW399" s="128"/>
      <c r="ALX399" s="128"/>
      <c r="ALY399" s="128"/>
      <c r="ALZ399" s="128"/>
      <c r="AMA399" s="128"/>
      <c r="AMB399" s="128"/>
      <c r="AMC399" s="128"/>
      <c r="AMD399" s="128"/>
      <c r="AME399" s="128"/>
      <c r="AMF399" s="128"/>
      <c r="AMG399" s="128"/>
      <c r="AMH399" s="128"/>
      <c r="AMI399" s="128"/>
      <c r="AMJ399" s="128"/>
      <c r="AMK399" s="128"/>
      <c r="AML399" s="128"/>
      <c r="AMM399" s="128"/>
      <c r="AMN399" s="128"/>
      <c r="AMO399" s="128"/>
      <c r="AMP399" s="128"/>
    </row>
    <row r="400" spans="1:1030" s="12" customFormat="1" x14ac:dyDescent="0.2">
      <c r="A400" s="9" t="str">
        <f>CONCATENATE(B400,"_",C400)</f>
        <v>calrl_human_6UUS</v>
      </c>
      <c r="B400" s="40" t="s">
        <v>401</v>
      </c>
      <c r="C400" s="9" t="s">
        <v>1667</v>
      </c>
      <c r="D400" s="9" t="str">
        <f>IFERROR(MID(VLOOKUP($B400,Seqs!$A:$B,2,0),E400,1),"")</f>
        <v>T</v>
      </c>
      <c r="E400" s="9">
        <v>131</v>
      </c>
      <c r="F400" s="9" t="str">
        <f>IFERROR(MID(VLOOKUP($B400,Seqs!$A:$B,2,0),G400,1),"")</f>
        <v>F</v>
      </c>
      <c r="G400" s="9">
        <v>166</v>
      </c>
      <c r="H400" s="9" t="str">
        <f>IFERROR(MID(VLOOKUP($B400,Seqs!$A:$B,2,0),I400,1),"")</f>
        <v>K</v>
      </c>
      <c r="I400" s="109">
        <v>167</v>
      </c>
      <c r="J400" s="9" t="str">
        <f>IFERROR(MID(VLOOKUP($B400,Seqs!$A:$B,2,0),K400,1),"")</f>
        <v>S</v>
      </c>
      <c r="K400" s="109">
        <v>170</v>
      </c>
      <c r="L400" s="9" t="str">
        <f>IFERROR(MID(VLOOKUP($B400,Seqs!$A:$B,2,0),M400,1),"")</f>
        <v>C</v>
      </c>
      <c r="M400" s="9">
        <v>171</v>
      </c>
      <c r="N400" s="9" t="str">
        <f>IFERROR(MID(VLOOKUP($B400,Seqs!$A:$B,2,0),O400,1),"")</f>
        <v>V</v>
      </c>
      <c r="O400" s="9">
        <v>198</v>
      </c>
      <c r="P400" s="9" t="str">
        <f>IFERROR(MID(VLOOKUP($B400,Seqs!$A:$B,2,0),Q400,1),"")</f>
        <v/>
      </c>
      <c r="Q400" s="9" t="s">
        <v>23</v>
      </c>
      <c r="R400" s="9" t="str">
        <f>IFERROR(MID(VLOOKUP($B400,Seqs!$A:$B,2,0),S400,1),"")</f>
        <v/>
      </c>
      <c r="S400" s="9" t="s">
        <v>23</v>
      </c>
      <c r="T400" s="9" t="str">
        <f>IFERROR(MID(VLOOKUP($B400,Seqs!$A:$B,2,0),U400,1),"")</f>
        <v>V</v>
      </c>
      <c r="U400" s="9">
        <v>210</v>
      </c>
      <c r="V400" s="9" t="str">
        <f>IFERROR(MID(VLOOKUP($B400,Seqs!$A:$B,2,0),W400,1),"")</f>
        <v>V</v>
      </c>
      <c r="W400" s="9">
        <v>243</v>
      </c>
      <c r="X400" s="9" t="str">
        <f>IFERROR(MID(VLOOKUP($B400,Seqs!$A:$B,2,0),Y400,1),"")</f>
        <v/>
      </c>
      <c r="Y400" s="9" t="s">
        <v>23</v>
      </c>
      <c r="Z400" s="9" t="str">
        <f>IFERROR(MID(VLOOKUP($B400,Seqs!$A:$B,2,0),AA400,1),"")</f>
        <v/>
      </c>
      <c r="AA400" s="9" t="s">
        <v>23</v>
      </c>
      <c r="AB400" s="9" t="str">
        <f>IFERROR(MID(VLOOKUP($B400,Seqs!$A:$B,2,0),AC400,1),"")</f>
        <v>L</v>
      </c>
      <c r="AC400" s="9">
        <v>252</v>
      </c>
      <c r="AD400" s="9" t="str">
        <f>IFERROR(MID(VLOOKUP($B400,Seqs!$A:$B,2,0),AE400,1),"")</f>
        <v>Y</v>
      </c>
      <c r="AE400" s="9">
        <v>278</v>
      </c>
      <c r="AF400" s="9" t="str">
        <f>IFERROR(MID(VLOOKUP($B400,Seqs!$A:$B,2,0),AG400,1),"")</f>
        <v>C</v>
      </c>
      <c r="AG400" s="9">
        <v>282</v>
      </c>
      <c r="AH400" s="9" t="str">
        <f>IFERROR(MID(VLOOKUP($B400,Seqs!$A:$B,2,0),AI400,1),"")</f>
        <v>I</v>
      </c>
      <c r="AI400" s="9">
        <v>284</v>
      </c>
      <c r="AJ400" s="9" t="str">
        <f>IFERROR(MID(VLOOKUP($B400,Seqs!$A:$B,2,0),AK400,1),"")</f>
        <v>H</v>
      </c>
      <c r="AK400" s="9">
        <v>289</v>
      </c>
      <c r="AL400" s="9" t="str">
        <f>IFERROR(MID(VLOOKUP($B400,Seqs!$A:$B,2,0),AM400,1),"")</f>
        <v>K</v>
      </c>
      <c r="AM400" s="9">
        <v>321</v>
      </c>
      <c r="AN400" s="9" t="str">
        <f>IFERROR(MID(VLOOKUP($B400,Seqs!$A:$B,2,0),AO400,1),"")</f>
        <v>L</v>
      </c>
      <c r="AO400" s="9">
        <v>330</v>
      </c>
      <c r="AP400" s="9" t="str">
        <f>IFERROR(MID(VLOOKUP($B400,Seqs!$A:$B,2,0),AQ400,1),"")</f>
        <v>L</v>
      </c>
      <c r="AQ400" s="9">
        <v>351</v>
      </c>
      <c r="AR400" s="9" t="str">
        <f>IFERROR(MID(VLOOKUP($B400,Seqs!$A:$B,2,0),AS400,1),"")</f>
        <v>V</v>
      </c>
      <c r="AS400" s="9">
        <v>364</v>
      </c>
      <c r="AT400" s="9" t="str">
        <f>IFERROR(MID(VLOOKUP($B400,Seqs!$A:$B,2,0),AU400,1),"")</f>
        <v>F</v>
      </c>
      <c r="AU400" s="9">
        <v>387</v>
      </c>
      <c r="AV400" s="9" t="str">
        <f>IFERROR(MID(VLOOKUP($B400,Seqs!$A:$B,2,0),AW400,1),"")</f>
        <v>N</v>
      </c>
      <c r="AW400" s="9">
        <v>388</v>
      </c>
      <c r="AX400" s="9" t="str">
        <f>IFERROR(MID(VLOOKUP($B400,Seqs!$A:$B,2,0),AY400,1),"")</f>
        <v>W</v>
      </c>
      <c r="AY400" s="9">
        <v>399</v>
      </c>
      <c r="AZ400" s="110" t="str">
        <f>VLOOKUP(B400,Classification!A:D,2,0)</f>
        <v>B1</v>
      </c>
      <c r="BA400" s="98" t="str">
        <f>VLOOKUP(B400,Classification!A:D,4,0)</f>
        <v>Calcitonin</v>
      </c>
      <c r="BB400" s="36" t="b">
        <f t="shared" ref="BB400" si="1183">AND(E400&lt;G400,OR(G400&lt;I400,I400="-"),OR(I400&lt;K400,I400="-"),OR(K400&lt;M400,K400="-"),M400&lt;O400,OR(O400&lt;Q400,Q400="-"),OR(Q400&lt;S400,Q400="-"),OR(S400&lt;U400,S400="-"),U400&lt;W400,OR(W400&lt;Y400,Y400="-"),OR(Y400&lt;AA400,Y400="-"),OR(AA400&lt;AC400,AA400="-"),AC400&lt;AE400,OR(AE400&lt;AG400,AG400="-"),OR(AG400&lt;AI400,AG400="-"),OR(AI400&lt;AK400,AI400="-"),AK400&lt;AM400,AM400&lt;AO400,AO400&lt;AQ400,AQ400&lt;AS400,AS400&lt;AU400,OR(AU400&lt;AW400,AW400="-"),OR(AW400&lt;AY400,AW400="-"))</f>
        <v>1</v>
      </c>
      <c r="BC400" s="109">
        <f t="shared" ref="BC400" si="1184">_xlfn.AGGREGATE(9,6,CH400:CS400)-_xlfn.AGGREGATE(9,6,BV400:CG400)+12</f>
        <v>225</v>
      </c>
      <c r="BD400" s="11" t="s">
        <v>1369</v>
      </c>
      <c r="BE400" s="9" t="s">
        <v>1285</v>
      </c>
      <c r="BF400" s="119">
        <v>2.4</v>
      </c>
      <c r="BG400" s="51" t="s">
        <v>1416</v>
      </c>
      <c r="BH400" s="51" t="s">
        <v>1416</v>
      </c>
      <c r="BJ400" s="111" t="s">
        <v>1281</v>
      </c>
      <c r="BK400" s="112" t="s">
        <v>1281</v>
      </c>
      <c r="BL400" s="112" t="s">
        <v>1281</v>
      </c>
      <c r="BM400" s="112" t="s">
        <v>1281</v>
      </c>
      <c r="BN400" s="112" t="s">
        <v>1281</v>
      </c>
      <c r="BO400" s="112" t="s">
        <v>1281</v>
      </c>
      <c r="BP400" s="112" t="s">
        <v>1281</v>
      </c>
      <c r="BQ400" s="112" t="s">
        <v>1281</v>
      </c>
      <c r="BR400" s="112" t="s">
        <v>1281</v>
      </c>
      <c r="BS400" s="112" t="s">
        <v>1281</v>
      </c>
      <c r="BT400" s="112" t="s">
        <v>1281</v>
      </c>
      <c r="BU400" s="112" t="s">
        <v>1281</v>
      </c>
      <c r="BV400" s="111">
        <f>E400</f>
        <v>131</v>
      </c>
      <c r="BW400" s="113">
        <f>I400</f>
        <v>167</v>
      </c>
      <c r="BX400" s="114">
        <f>M400</f>
        <v>171</v>
      </c>
      <c r="BY400" s="113" t="str">
        <f>Q400</f>
        <v>-</v>
      </c>
      <c r="BZ400" s="114">
        <f>U400</f>
        <v>210</v>
      </c>
      <c r="CA400" s="113" t="str">
        <f>Y400</f>
        <v>-</v>
      </c>
      <c r="CB400" s="114">
        <f>AC400</f>
        <v>252</v>
      </c>
      <c r="CC400" s="113">
        <f>AG400</f>
        <v>282</v>
      </c>
      <c r="CD400" s="114">
        <f>AK400</f>
        <v>289</v>
      </c>
      <c r="CE400" s="113">
        <f>AO400</f>
        <v>330</v>
      </c>
      <c r="CF400" s="114">
        <f>AS400</f>
        <v>364</v>
      </c>
      <c r="CG400" s="113">
        <f>AW400</f>
        <v>388</v>
      </c>
      <c r="CH400" s="111">
        <f>G400</f>
        <v>166</v>
      </c>
      <c r="CI400" s="113">
        <f>K400</f>
        <v>170</v>
      </c>
      <c r="CJ400" s="114">
        <f>O400</f>
        <v>198</v>
      </c>
      <c r="CK400" s="114" t="str">
        <f>S400</f>
        <v>-</v>
      </c>
      <c r="CL400" s="114">
        <f>W400</f>
        <v>243</v>
      </c>
      <c r="CM400" s="114" t="str">
        <f>AA400</f>
        <v>-</v>
      </c>
      <c r="CN400" s="114">
        <f>AE400</f>
        <v>278</v>
      </c>
      <c r="CO400" s="114">
        <f>AI400</f>
        <v>284</v>
      </c>
      <c r="CP400" s="114">
        <f>AM400</f>
        <v>321</v>
      </c>
      <c r="CQ400" s="114">
        <f>AQ400</f>
        <v>351</v>
      </c>
      <c r="CR400" s="114">
        <f>AU400</f>
        <v>387</v>
      </c>
      <c r="CS400" s="114">
        <f>AY400</f>
        <v>399</v>
      </c>
      <c r="CT400" s="109">
        <f>M400-K400</f>
        <v>1</v>
      </c>
      <c r="CU400" s="128"/>
      <c r="CV400" s="128"/>
      <c r="CW400" s="128"/>
      <c r="CX400" s="128"/>
      <c r="CY400" s="128"/>
      <c r="CZ400" s="128"/>
      <c r="DA400" s="128"/>
      <c r="DB400" s="128"/>
      <c r="DC400" s="128"/>
      <c r="DD400" s="128"/>
      <c r="DE400" s="128"/>
      <c r="DF400" s="128"/>
      <c r="DG400" s="128"/>
      <c r="DH400" s="128"/>
      <c r="DI400" s="128"/>
      <c r="DJ400" s="128"/>
      <c r="DK400" s="128"/>
      <c r="DL400" s="128"/>
      <c r="DM400" s="128"/>
      <c r="DN400" s="128"/>
      <c r="DO400" s="128"/>
      <c r="DP400" s="128"/>
      <c r="DQ400" s="128"/>
      <c r="DR400" s="128"/>
      <c r="DS400" s="128"/>
      <c r="DT400" s="128"/>
      <c r="DU400" s="128"/>
      <c r="DV400" s="128"/>
      <c r="DW400" s="128"/>
      <c r="DX400" s="128"/>
      <c r="DY400" s="128"/>
      <c r="DZ400" s="128"/>
      <c r="EA400" s="128"/>
      <c r="EB400" s="128"/>
      <c r="EC400" s="128"/>
      <c r="ED400" s="128"/>
      <c r="EE400" s="128"/>
      <c r="EF400" s="128"/>
      <c r="EG400" s="128"/>
      <c r="EH400" s="128"/>
      <c r="EI400" s="128"/>
      <c r="EJ400" s="128"/>
      <c r="EK400" s="128"/>
      <c r="EL400" s="128"/>
      <c r="EM400" s="128"/>
      <c r="EN400" s="128"/>
      <c r="EO400" s="128"/>
      <c r="EP400" s="128"/>
      <c r="EQ400" s="128"/>
      <c r="ER400" s="128"/>
      <c r="ES400" s="128"/>
      <c r="ET400" s="128"/>
      <c r="EU400" s="128"/>
      <c r="EV400" s="128"/>
      <c r="EW400" s="128"/>
      <c r="EX400" s="128"/>
      <c r="EY400" s="128"/>
      <c r="EZ400" s="128"/>
      <c r="FA400" s="128"/>
      <c r="FB400" s="128"/>
      <c r="FC400" s="128"/>
      <c r="FD400" s="128"/>
      <c r="FE400" s="128"/>
      <c r="FF400" s="128"/>
      <c r="FG400" s="128"/>
      <c r="FH400" s="128"/>
      <c r="FI400" s="128"/>
      <c r="FJ400" s="128"/>
      <c r="FK400" s="128"/>
      <c r="FL400" s="128"/>
      <c r="FM400" s="128"/>
      <c r="FN400" s="128"/>
      <c r="FO400" s="128"/>
      <c r="FP400" s="128"/>
      <c r="FQ400" s="128"/>
      <c r="FR400" s="128"/>
      <c r="FS400" s="128"/>
      <c r="FT400" s="128"/>
      <c r="FU400" s="128"/>
      <c r="FV400" s="128"/>
      <c r="FW400" s="128"/>
      <c r="FX400" s="128"/>
      <c r="FY400" s="128"/>
      <c r="FZ400" s="128"/>
      <c r="GA400" s="128"/>
      <c r="GB400" s="128"/>
      <c r="GC400" s="128"/>
      <c r="GD400" s="128"/>
      <c r="GE400" s="128"/>
      <c r="GF400" s="128"/>
      <c r="GG400" s="128"/>
      <c r="GH400" s="128"/>
      <c r="GI400" s="128"/>
      <c r="GJ400" s="128"/>
      <c r="GK400" s="128"/>
      <c r="GL400" s="128"/>
      <c r="GM400" s="128"/>
      <c r="GN400" s="128"/>
      <c r="GO400" s="128"/>
      <c r="GP400" s="128"/>
      <c r="GQ400" s="128"/>
      <c r="GR400" s="128"/>
      <c r="GS400" s="128"/>
      <c r="GT400" s="128"/>
      <c r="GU400" s="128"/>
      <c r="GV400" s="128"/>
      <c r="GW400" s="128"/>
      <c r="GX400" s="128"/>
      <c r="GY400" s="128"/>
      <c r="GZ400" s="128"/>
      <c r="HA400" s="128"/>
      <c r="HB400" s="128"/>
      <c r="HC400" s="128"/>
      <c r="HD400" s="128"/>
      <c r="HE400" s="128"/>
      <c r="HF400" s="128"/>
      <c r="HG400" s="128"/>
      <c r="HH400" s="128"/>
      <c r="HI400" s="128"/>
      <c r="HJ400" s="128"/>
      <c r="HK400" s="128"/>
      <c r="HL400" s="128"/>
      <c r="HM400" s="128"/>
      <c r="HN400" s="128"/>
      <c r="HO400" s="128"/>
      <c r="HP400" s="128"/>
      <c r="HQ400" s="128"/>
      <c r="HR400" s="128"/>
      <c r="HS400" s="128"/>
      <c r="HT400" s="128"/>
      <c r="HU400" s="128"/>
      <c r="HV400" s="128"/>
      <c r="HW400" s="128"/>
      <c r="HX400" s="128"/>
      <c r="HY400" s="128"/>
      <c r="HZ400" s="128"/>
      <c r="IA400" s="128"/>
      <c r="IB400" s="128"/>
      <c r="IC400" s="128"/>
      <c r="ID400" s="128"/>
      <c r="IE400" s="128"/>
      <c r="IF400" s="128"/>
      <c r="IG400" s="128"/>
      <c r="IH400" s="128"/>
      <c r="II400" s="128"/>
      <c r="IJ400" s="128"/>
      <c r="IK400" s="128"/>
      <c r="IL400" s="128"/>
      <c r="IM400" s="128"/>
      <c r="IN400" s="128"/>
      <c r="IO400" s="128"/>
      <c r="IP400" s="128"/>
      <c r="IQ400" s="128"/>
      <c r="IR400" s="128"/>
      <c r="IS400" s="128"/>
      <c r="IT400" s="128"/>
      <c r="IU400" s="128"/>
      <c r="IV400" s="128"/>
      <c r="IW400" s="128"/>
      <c r="IX400" s="128"/>
      <c r="IY400" s="128"/>
      <c r="IZ400" s="128"/>
      <c r="JA400" s="128"/>
      <c r="JB400" s="128"/>
      <c r="JC400" s="128"/>
      <c r="JD400" s="128"/>
      <c r="JE400" s="128"/>
      <c r="JF400" s="128"/>
      <c r="JG400" s="128"/>
      <c r="JH400" s="128"/>
      <c r="JI400" s="128"/>
      <c r="JJ400" s="128"/>
      <c r="JK400" s="128"/>
      <c r="JL400" s="128"/>
      <c r="JM400" s="128"/>
      <c r="JN400" s="128"/>
      <c r="JO400" s="128"/>
      <c r="JP400" s="128"/>
      <c r="JQ400" s="128"/>
      <c r="JR400" s="128"/>
      <c r="JS400" s="128"/>
      <c r="JT400" s="128"/>
      <c r="JU400" s="128"/>
      <c r="JV400" s="128"/>
      <c r="JW400" s="128"/>
      <c r="JX400" s="128"/>
      <c r="JY400" s="128"/>
      <c r="JZ400" s="128"/>
      <c r="KA400" s="128"/>
      <c r="KB400" s="128"/>
      <c r="KC400" s="128"/>
      <c r="KD400" s="128"/>
      <c r="KE400" s="128"/>
      <c r="KF400" s="128"/>
      <c r="KG400" s="128"/>
      <c r="KH400" s="128"/>
      <c r="KI400" s="128"/>
      <c r="KJ400" s="128"/>
      <c r="KK400" s="128"/>
      <c r="KL400" s="128"/>
      <c r="KM400" s="128"/>
      <c r="KN400" s="128"/>
      <c r="KO400" s="128"/>
      <c r="KP400" s="128"/>
      <c r="KQ400" s="128"/>
      <c r="KR400" s="128"/>
      <c r="KS400" s="128"/>
      <c r="KT400" s="128"/>
      <c r="KU400" s="128"/>
      <c r="KV400" s="128"/>
      <c r="KW400" s="128"/>
      <c r="KX400" s="128"/>
      <c r="KY400" s="128"/>
      <c r="KZ400" s="128"/>
      <c r="LA400" s="128"/>
      <c r="LB400" s="128"/>
      <c r="LC400" s="128"/>
      <c r="LD400" s="128"/>
      <c r="LE400" s="128"/>
      <c r="LF400" s="128"/>
      <c r="LG400" s="128"/>
      <c r="LH400" s="128"/>
      <c r="LI400" s="128"/>
      <c r="LJ400" s="128"/>
      <c r="LK400" s="128"/>
      <c r="LL400" s="128"/>
      <c r="LM400" s="128"/>
      <c r="LN400" s="128"/>
      <c r="LO400" s="128"/>
      <c r="LP400" s="128"/>
      <c r="LQ400" s="128"/>
      <c r="LR400" s="128"/>
      <c r="LS400" s="128"/>
      <c r="LT400" s="128"/>
      <c r="LU400" s="128"/>
      <c r="LV400" s="128"/>
      <c r="LW400" s="128"/>
      <c r="LX400" s="128"/>
      <c r="LY400" s="128"/>
      <c r="LZ400" s="128"/>
      <c r="MA400" s="128"/>
      <c r="MB400" s="128"/>
      <c r="MC400" s="128"/>
      <c r="MD400" s="128"/>
      <c r="ME400" s="128"/>
      <c r="MF400" s="128"/>
      <c r="MG400" s="128"/>
      <c r="MH400" s="128"/>
      <c r="MI400" s="128"/>
      <c r="MJ400" s="128"/>
      <c r="MK400" s="128"/>
      <c r="ML400" s="128"/>
      <c r="MM400" s="128"/>
      <c r="MN400" s="128"/>
      <c r="MO400" s="128"/>
      <c r="MP400" s="128"/>
      <c r="MQ400" s="128"/>
      <c r="MR400" s="128"/>
      <c r="MS400" s="128"/>
      <c r="MT400" s="128"/>
      <c r="MU400" s="128"/>
      <c r="MV400" s="128"/>
      <c r="MW400" s="128"/>
      <c r="MX400" s="128"/>
      <c r="MY400" s="128"/>
      <c r="MZ400" s="128"/>
      <c r="NA400" s="128"/>
      <c r="NB400" s="128"/>
      <c r="NC400" s="128"/>
      <c r="ND400" s="128"/>
      <c r="NE400" s="128"/>
      <c r="NF400" s="128"/>
      <c r="NG400" s="128"/>
      <c r="NH400" s="128"/>
      <c r="NI400" s="128"/>
      <c r="NJ400" s="128"/>
      <c r="NK400" s="128"/>
      <c r="NL400" s="128"/>
      <c r="NM400" s="128"/>
      <c r="NN400" s="128"/>
      <c r="NO400" s="128"/>
      <c r="NP400" s="128"/>
      <c r="NQ400" s="128"/>
      <c r="NR400" s="128"/>
      <c r="NS400" s="128"/>
      <c r="NT400" s="128"/>
      <c r="NU400" s="128"/>
      <c r="NV400" s="128"/>
      <c r="NW400" s="128"/>
      <c r="NX400" s="128"/>
      <c r="NY400" s="128"/>
      <c r="NZ400" s="128"/>
      <c r="OA400" s="128"/>
      <c r="OB400" s="128"/>
      <c r="OC400" s="128"/>
      <c r="OD400" s="128"/>
      <c r="OE400" s="128"/>
      <c r="OF400" s="128"/>
      <c r="OG400" s="128"/>
      <c r="OH400" s="128"/>
      <c r="OI400" s="128"/>
      <c r="OJ400" s="128"/>
      <c r="OK400" s="128"/>
      <c r="OL400" s="128"/>
      <c r="OM400" s="128"/>
      <c r="ON400" s="128"/>
      <c r="OO400" s="128"/>
      <c r="OP400" s="128"/>
      <c r="OQ400" s="128"/>
      <c r="OR400" s="128"/>
      <c r="OS400" s="128"/>
      <c r="OT400" s="128"/>
      <c r="OU400" s="128"/>
      <c r="OV400" s="128"/>
      <c r="OW400" s="128"/>
      <c r="OX400" s="128"/>
      <c r="OY400" s="128"/>
      <c r="OZ400" s="128"/>
      <c r="PA400" s="128"/>
      <c r="PB400" s="128"/>
      <c r="PC400" s="128"/>
      <c r="PD400" s="128"/>
      <c r="PE400" s="128"/>
      <c r="PF400" s="128"/>
      <c r="PG400" s="128"/>
      <c r="PH400" s="128"/>
      <c r="PI400" s="128"/>
      <c r="PJ400" s="128"/>
      <c r="PK400" s="128"/>
      <c r="PL400" s="128"/>
      <c r="PM400" s="128"/>
      <c r="PN400" s="128"/>
      <c r="PO400" s="128"/>
      <c r="PP400" s="128"/>
      <c r="PQ400" s="128"/>
      <c r="PR400" s="128"/>
      <c r="PS400" s="128"/>
      <c r="PT400" s="128"/>
      <c r="PU400" s="128"/>
      <c r="PV400" s="128"/>
      <c r="PW400" s="128"/>
      <c r="PX400" s="128"/>
      <c r="PY400" s="128"/>
      <c r="PZ400" s="128"/>
      <c r="QA400" s="128"/>
      <c r="QB400" s="128"/>
      <c r="QC400" s="128"/>
      <c r="QD400" s="128"/>
      <c r="QE400" s="128"/>
      <c r="QF400" s="128"/>
      <c r="QG400" s="128"/>
      <c r="QH400" s="128"/>
      <c r="QI400" s="128"/>
      <c r="QJ400" s="128"/>
      <c r="QK400" s="128"/>
      <c r="QL400" s="128"/>
      <c r="QM400" s="128"/>
      <c r="QN400" s="128"/>
      <c r="QO400" s="128"/>
      <c r="QP400" s="128"/>
      <c r="QQ400" s="128"/>
      <c r="QR400" s="128"/>
      <c r="QS400" s="128"/>
      <c r="QT400" s="128"/>
      <c r="QU400" s="128"/>
      <c r="QV400" s="128"/>
      <c r="QW400" s="128"/>
      <c r="QX400" s="128"/>
      <c r="QY400" s="128"/>
      <c r="QZ400" s="128"/>
      <c r="RA400" s="128"/>
      <c r="RB400" s="128"/>
      <c r="RC400" s="128"/>
      <c r="RD400" s="128"/>
      <c r="RE400" s="128"/>
      <c r="RF400" s="128"/>
      <c r="RG400" s="128"/>
      <c r="RH400" s="128"/>
      <c r="RI400" s="128"/>
      <c r="RJ400" s="128"/>
      <c r="RK400" s="128"/>
      <c r="RL400" s="128"/>
      <c r="RM400" s="128"/>
      <c r="RN400" s="128"/>
      <c r="RO400" s="128"/>
      <c r="RP400" s="128"/>
      <c r="RQ400" s="128"/>
      <c r="RR400" s="128"/>
      <c r="RS400" s="128"/>
      <c r="RT400" s="128"/>
      <c r="RU400" s="128"/>
      <c r="RV400" s="128"/>
      <c r="RW400" s="128"/>
      <c r="RX400" s="128"/>
      <c r="RY400" s="128"/>
      <c r="RZ400" s="128"/>
      <c r="SA400" s="128"/>
      <c r="SB400" s="128"/>
      <c r="SC400" s="128"/>
      <c r="SD400" s="128"/>
      <c r="SE400" s="128"/>
      <c r="SF400" s="128"/>
      <c r="SG400" s="128"/>
      <c r="SH400" s="128"/>
      <c r="SI400" s="128"/>
      <c r="SJ400" s="128"/>
      <c r="SK400" s="128"/>
      <c r="SL400" s="128"/>
      <c r="SM400" s="128"/>
      <c r="SN400" s="128"/>
      <c r="SO400" s="128"/>
      <c r="SP400" s="128"/>
      <c r="SQ400" s="128"/>
      <c r="SR400" s="128"/>
      <c r="SS400" s="128"/>
      <c r="ST400" s="128"/>
      <c r="SU400" s="128"/>
      <c r="SV400" s="128"/>
      <c r="SW400" s="128"/>
      <c r="SX400" s="128"/>
      <c r="SY400" s="128"/>
      <c r="SZ400" s="128"/>
      <c r="TA400" s="128"/>
      <c r="TB400" s="128"/>
      <c r="TC400" s="128"/>
      <c r="TD400" s="128"/>
      <c r="TE400" s="128"/>
      <c r="TF400" s="128"/>
      <c r="TG400" s="128"/>
      <c r="TH400" s="128"/>
      <c r="TI400" s="128"/>
      <c r="TJ400" s="128"/>
      <c r="TK400" s="128"/>
      <c r="TL400" s="128"/>
      <c r="TM400" s="128"/>
      <c r="TN400" s="128"/>
      <c r="TO400" s="128"/>
      <c r="TP400" s="128"/>
      <c r="TQ400" s="128"/>
      <c r="TR400" s="128"/>
      <c r="TS400" s="128"/>
      <c r="TT400" s="128"/>
      <c r="TU400" s="128"/>
      <c r="TV400" s="128"/>
      <c r="TW400" s="128"/>
      <c r="TX400" s="128"/>
      <c r="TY400" s="128"/>
      <c r="TZ400" s="128"/>
      <c r="UA400" s="128"/>
      <c r="UB400" s="128"/>
      <c r="UC400" s="128"/>
      <c r="UD400" s="128"/>
      <c r="UE400" s="128"/>
      <c r="UF400" s="128"/>
      <c r="UG400" s="128"/>
      <c r="UH400" s="128"/>
      <c r="UI400" s="128"/>
      <c r="UJ400" s="128"/>
      <c r="UK400" s="128"/>
      <c r="UL400" s="128"/>
      <c r="UM400" s="128"/>
      <c r="UN400" s="128"/>
      <c r="UO400" s="128"/>
      <c r="UP400" s="128"/>
      <c r="UQ400" s="128"/>
      <c r="UR400" s="128"/>
      <c r="US400" s="128"/>
      <c r="UT400" s="128"/>
      <c r="UU400" s="128"/>
      <c r="UV400" s="128"/>
      <c r="UW400" s="128"/>
      <c r="UX400" s="128"/>
      <c r="UY400" s="128"/>
      <c r="UZ400" s="128"/>
      <c r="VA400" s="128"/>
      <c r="VB400" s="128"/>
      <c r="VC400" s="128"/>
      <c r="VD400" s="128"/>
      <c r="VE400" s="128"/>
      <c r="VF400" s="128"/>
      <c r="VG400" s="128"/>
      <c r="VH400" s="128"/>
      <c r="VI400" s="128"/>
      <c r="VJ400" s="128"/>
      <c r="VK400" s="128"/>
      <c r="VL400" s="128"/>
      <c r="VM400" s="128"/>
      <c r="VN400" s="128"/>
      <c r="VO400" s="128"/>
      <c r="VP400" s="128"/>
      <c r="VQ400" s="128"/>
      <c r="VR400" s="128"/>
      <c r="VS400" s="128"/>
      <c r="VT400" s="128"/>
      <c r="VU400" s="128"/>
      <c r="VV400" s="128"/>
      <c r="VW400" s="128"/>
      <c r="VX400" s="128"/>
      <c r="VY400" s="128"/>
      <c r="VZ400" s="128"/>
      <c r="WA400" s="128"/>
      <c r="WB400" s="128"/>
      <c r="WC400" s="128"/>
      <c r="WD400" s="128"/>
      <c r="WE400" s="128"/>
      <c r="WF400" s="128"/>
      <c r="WG400" s="128"/>
      <c r="WH400" s="128"/>
      <c r="WI400" s="128"/>
      <c r="WJ400" s="128"/>
      <c r="WK400" s="128"/>
      <c r="WL400" s="128"/>
      <c r="WM400" s="128"/>
      <c r="WN400" s="128"/>
      <c r="WO400" s="128"/>
      <c r="WP400" s="128"/>
      <c r="WQ400" s="128"/>
      <c r="WR400" s="128"/>
      <c r="WS400" s="128"/>
      <c r="WT400" s="128"/>
      <c r="WU400" s="128"/>
      <c r="WV400" s="128"/>
      <c r="WW400" s="128"/>
      <c r="WX400" s="128"/>
      <c r="WY400" s="128"/>
      <c r="WZ400" s="128"/>
      <c r="XA400" s="128"/>
      <c r="XB400" s="128"/>
      <c r="XC400" s="128"/>
      <c r="XD400" s="128"/>
      <c r="XE400" s="128"/>
      <c r="XF400" s="128"/>
      <c r="XG400" s="128"/>
      <c r="XH400" s="128"/>
      <c r="XI400" s="128"/>
      <c r="XJ400" s="128"/>
      <c r="XK400" s="128"/>
      <c r="XL400" s="128"/>
      <c r="XM400" s="128"/>
      <c r="XN400" s="128"/>
      <c r="XO400" s="128"/>
      <c r="XP400" s="128"/>
      <c r="XQ400" s="128"/>
      <c r="XR400" s="128"/>
      <c r="XS400" s="128"/>
      <c r="XT400" s="128"/>
      <c r="XU400" s="128"/>
      <c r="XV400" s="128"/>
      <c r="XW400" s="128"/>
      <c r="XX400" s="128"/>
      <c r="XY400" s="128"/>
      <c r="XZ400" s="128"/>
      <c r="YA400" s="128"/>
      <c r="YB400" s="128"/>
      <c r="YC400" s="128"/>
      <c r="YD400" s="128"/>
      <c r="YE400" s="128"/>
      <c r="YF400" s="128"/>
      <c r="YG400" s="128"/>
      <c r="YH400" s="128"/>
      <c r="YI400" s="128"/>
      <c r="YJ400" s="128"/>
      <c r="YK400" s="128"/>
      <c r="YL400" s="128"/>
      <c r="YM400" s="128"/>
      <c r="YN400" s="128"/>
      <c r="YO400" s="128"/>
      <c r="YP400" s="128"/>
      <c r="YQ400" s="128"/>
      <c r="YR400" s="128"/>
      <c r="YS400" s="128"/>
      <c r="YT400" s="128"/>
      <c r="YU400" s="128"/>
      <c r="YV400" s="128"/>
      <c r="YW400" s="128"/>
      <c r="YX400" s="128"/>
      <c r="YY400" s="128"/>
      <c r="YZ400" s="128"/>
      <c r="ZA400" s="128"/>
      <c r="ZB400" s="128"/>
      <c r="ZC400" s="128"/>
      <c r="ZD400" s="128"/>
      <c r="ZE400" s="128"/>
      <c r="ZF400" s="128"/>
      <c r="ZG400" s="128"/>
      <c r="ZH400" s="128"/>
      <c r="ZI400" s="128"/>
      <c r="ZJ400" s="128"/>
      <c r="ZK400" s="128"/>
      <c r="ZL400" s="128"/>
      <c r="ZM400" s="128"/>
      <c r="ZN400" s="128"/>
      <c r="ZO400" s="128"/>
      <c r="ZP400" s="128"/>
      <c r="ZQ400" s="128"/>
      <c r="ZR400" s="128"/>
      <c r="ZS400" s="128"/>
      <c r="ZT400" s="128"/>
      <c r="ZU400" s="128"/>
      <c r="ZV400" s="128"/>
      <c r="ZW400" s="128"/>
      <c r="ZX400" s="128"/>
      <c r="ZY400" s="128"/>
      <c r="ZZ400" s="128"/>
      <c r="AAA400" s="128"/>
      <c r="AAB400" s="128"/>
      <c r="AAC400" s="128"/>
      <c r="AAD400" s="128"/>
      <c r="AAE400" s="128"/>
      <c r="AAF400" s="128"/>
      <c r="AAG400" s="128"/>
      <c r="AAH400" s="128"/>
      <c r="AAI400" s="128"/>
      <c r="AAJ400" s="128"/>
      <c r="AAK400" s="128"/>
      <c r="AAL400" s="128"/>
      <c r="AAM400" s="128"/>
      <c r="AAN400" s="128"/>
      <c r="AAO400" s="128"/>
      <c r="AAP400" s="128"/>
      <c r="AAQ400" s="128"/>
      <c r="AAR400" s="128"/>
      <c r="AAS400" s="128"/>
      <c r="AAT400" s="128"/>
      <c r="AAU400" s="128"/>
      <c r="AAV400" s="128"/>
      <c r="AAW400" s="128"/>
      <c r="AAX400" s="128"/>
      <c r="AAY400" s="128"/>
      <c r="AAZ400" s="128"/>
      <c r="ABA400" s="128"/>
      <c r="ABB400" s="128"/>
      <c r="ABC400" s="128"/>
      <c r="ABD400" s="128"/>
      <c r="ABE400" s="128"/>
      <c r="ABF400" s="128"/>
      <c r="ABG400" s="128"/>
      <c r="ABH400" s="128"/>
      <c r="ABI400" s="128"/>
      <c r="ABJ400" s="128"/>
      <c r="ABK400" s="128"/>
      <c r="ABL400" s="128"/>
      <c r="ABM400" s="128"/>
      <c r="ABN400" s="128"/>
      <c r="ABO400" s="128"/>
      <c r="ABP400" s="128"/>
      <c r="ABQ400" s="128"/>
      <c r="ABR400" s="128"/>
      <c r="ABS400" s="128"/>
      <c r="ABT400" s="128"/>
      <c r="ABU400" s="128"/>
      <c r="ABV400" s="128"/>
      <c r="ABW400" s="128"/>
      <c r="ABX400" s="128"/>
      <c r="ABY400" s="128"/>
      <c r="ABZ400" s="128"/>
      <c r="ACA400" s="128"/>
      <c r="ACB400" s="128"/>
      <c r="ACC400" s="128"/>
      <c r="ACD400" s="128"/>
      <c r="ACE400" s="128"/>
      <c r="ACF400" s="128"/>
      <c r="ACG400" s="128"/>
      <c r="ACH400" s="128"/>
      <c r="ACI400" s="128"/>
      <c r="ACJ400" s="128"/>
      <c r="ACK400" s="128"/>
      <c r="ACL400" s="128"/>
      <c r="ACM400" s="128"/>
      <c r="ACN400" s="128"/>
      <c r="ACO400" s="128"/>
      <c r="ACP400" s="128"/>
      <c r="ACQ400" s="128"/>
      <c r="ACR400" s="128"/>
      <c r="ACS400" s="128"/>
      <c r="ACT400" s="128"/>
      <c r="ACU400" s="128"/>
      <c r="ACV400" s="128"/>
      <c r="ACW400" s="128"/>
      <c r="ACX400" s="128"/>
      <c r="ACY400" s="128"/>
      <c r="ACZ400" s="128"/>
      <c r="ADA400" s="128"/>
      <c r="ADB400" s="128"/>
      <c r="ADC400" s="128"/>
      <c r="ADD400" s="128"/>
      <c r="ADE400" s="128"/>
      <c r="ADF400" s="128"/>
      <c r="ADG400" s="128"/>
      <c r="ADH400" s="128"/>
      <c r="ADI400" s="128"/>
      <c r="ADJ400" s="128"/>
      <c r="ADK400" s="128"/>
      <c r="ADL400" s="128"/>
      <c r="ADM400" s="128"/>
      <c r="ADN400" s="128"/>
      <c r="ADO400" s="128"/>
      <c r="ADP400" s="128"/>
      <c r="ADQ400" s="128"/>
      <c r="ADR400" s="128"/>
      <c r="ADS400" s="128"/>
      <c r="ADT400" s="128"/>
      <c r="ADU400" s="128"/>
      <c r="ADV400" s="128"/>
      <c r="ADW400" s="128"/>
      <c r="ADX400" s="128"/>
      <c r="ADY400" s="128"/>
      <c r="ADZ400" s="128"/>
      <c r="AEA400" s="128"/>
      <c r="AEB400" s="128"/>
      <c r="AEC400" s="128"/>
      <c r="AED400" s="128"/>
      <c r="AEE400" s="128"/>
      <c r="AEF400" s="128"/>
      <c r="AEG400" s="128"/>
      <c r="AEH400" s="128"/>
      <c r="AEI400" s="128"/>
      <c r="AEJ400" s="128"/>
      <c r="AEK400" s="128"/>
      <c r="AEL400" s="128"/>
      <c r="AEM400" s="128"/>
      <c r="AEN400" s="128"/>
      <c r="AEO400" s="128"/>
      <c r="AEP400" s="128"/>
      <c r="AEQ400" s="128"/>
      <c r="AER400" s="128"/>
      <c r="AES400" s="128"/>
      <c r="AET400" s="128"/>
      <c r="AEU400" s="128"/>
      <c r="AEV400" s="128"/>
      <c r="AEW400" s="128"/>
      <c r="AEX400" s="128"/>
      <c r="AEY400" s="128"/>
      <c r="AEZ400" s="128"/>
      <c r="AFA400" s="128"/>
      <c r="AFB400" s="128"/>
      <c r="AFC400" s="128"/>
      <c r="AFD400" s="128"/>
      <c r="AFE400" s="128"/>
      <c r="AFF400" s="128"/>
      <c r="AFG400" s="128"/>
      <c r="AFH400" s="128"/>
      <c r="AFI400" s="128"/>
      <c r="AFJ400" s="128"/>
      <c r="AFK400" s="128"/>
      <c r="AFL400" s="128"/>
      <c r="AFM400" s="128"/>
      <c r="AFN400" s="128"/>
      <c r="AFO400" s="128"/>
      <c r="AFP400" s="128"/>
      <c r="AFQ400" s="128"/>
      <c r="AFR400" s="128"/>
      <c r="AFS400" s="128"/>
      <c r="AFT400" s="128"/>
      <c r="AFU400" s="128"/>
      <c r="AFV400" s="128"/>
      <c r="AFW400" s="128"/>
      <c r="AFX400" s="128"/>
      <c r="AFY400" s="128"/>
      <c r="AFZ400" s="128"/>
      <c r="AGA400" s="128"/>
      <c r="AGB400" s="128"/>
      <c r="AGC400" s="128"/>
      <c r="AGD400" s="128"/>
      <c r="AGE400" s="128"/>
      <c r="AGF400" s="128"/>
      <c r="AGG400" s="128"/>
      <c r="AGH400" s="128"/>
      <c r="AGI400" s="128"/>
      <c r="AGJ400" s="128"/>
      <c r="AGK400" s="128"/>
      <c r="AGL400" s="128"/>
      <c r="AGM400" s="128"/>
      <c r="AGN400" s="128"/>
      <c r="AGO400" s="128"/>
      <c r="AGP400" s="128"/>
      <c r="AGQ400" s="128"/>
      <c r="AGR400" s="128"/>
      <c r="AGS400" s="128"/>
      <c r="AGT400" s="128"/>
      <c r="AGU400" s="128"/>
      <c r="AGV400" s="128"/>
      <c r="AGW400" s="128"/>
      <c r="AGX400" s="128"/>
      <c r="AGY400" s="128"/>
      <c r="AGZ400" s="128"/>
      <c r="AHA400" s="128"/>
      <c r="AHB400" s="128"/>
      <c r="AHC400" s="128"/>
      <c r="AHD400" s="128"/>
      <c r="AHE400" s="128"/>
      <c r="AHF400" s="128"/>
      <c r="AHG400" s="128"/>
      <c r="AHH400" s="128"/>
      <c r="AHI400" s="128"/>
      <c r="AHJ400" s="128"/>
      <c r="AHK400" s="128"/>
      <c r="AHL400" s="128"/>
      <c r="AHM400" s="128"/>
      <c r="AHN400" s="128"/>
      <c r="AHO400" s="128"/>
      <c r="AHP400" s="128"/>
      <c r="AHQ400" s="128"/>
      <c r="AHR400" s="128"/>
      <c r="AHS400" s="128"/>
      <c r="AHT400" s="128"/>
      <c r="AHU400" s="128"/>
      <c r="AHV400" s="128"/>
      <c r="AHW400" s="128"/>
      <c r="AHX400" s="128"/>
      <c r="AHY400" s="128"/>
      <c r="AHZ400" s="128"/>
      <c r="AIA400" s="128"/>
      <c r="AIB400" s="128"/>
      <c r="AIC400" s="128"/>
      <c r="AID400" s="128"/>
      <c r="AIE400" s="128"/>
      <c r="AIF400" s="128"/>
      <c r="AIG400" s="128"/>
      <c r="AIH400" s="128"/>
      <c r="AII400" s="128"/>
      <c r="AIJ400" s="128"/>
      <c r="AIK400" s="128"/>
      <c r="AIL400" s="128"/>
      <c r="AIM400" s="128"/>
      <c r="AIN400" s="128"/>
      <c r="AIO400" s="128"/>
      <c r="AIP400" s="128"/>
      <c r="AIQ400" s="128"/>
      <c r="AIR400" s="128"/>
      <c r="AIS400" s="128"/>
      <c r="AIT400" s="128"/>
      <c r="AIU400" s="128"/>
      <c r="AIV400" s="128"/>
      <c r="AIW400" s="128"/>
      <c r="AIX400" s="128"/>
      <c r="AIY400" s="128"/>
      <c r="AIZ400" s="128"/>
      <c r="AJA400" s="128"/>
      <c r="AJB400" s="128"/>
      <c r="AJC400" s="128"/>
      <c r="AJD400" s="128"/>
      <c r="AJE400" s="128"/>
      <c r="AJF400" s="128"/>
      <c r="AJG400" s="128"/>
      <c r="AJH400" s="128"/>
      <c r="AJI400" s="128"/>
      <c r="AJJ400" s="128"/>
      <c r="AJK400" s="128"/>
      <c r="AJL400" s="128"/>
      <c r="AJM400" s="128"/>
      <c r="AJN400" s="128"/>
      <c r="AJO400" s="128"/>
      <c r="AJP400" s="128"/>
      <c r="AJQ400" s="128"/>
      <c r="AJR400" s="128"/>
      <c r="AJS400" s="128"/>
      <c r="AJT400" s="128"/>
      <c r="AJU400" s="128"/>
      <c r="AJV400" s="128"/>
      <c r="AJW400" s="128"/>
      <c r="AJX400" s="128"/>
      <c r="AJY400" s="128"/>
      <c r="AJZ400" s="128"/>
      <c r="AKA400" s="128"/>
      <c r="AKB400" s="128"/>
      <c r="AKC400" s="128"/>
      <c r="AKD400" s="128"/>
      <c r="AKE400" s="128"/>
      <c r="AKF400" s="128"/>
      <c r="AKG400" s="128"/>
      <c r="AKH400" s="128"/>
      <c r="AKI400" s="128"/>
      <c r="AKJ400" s="128"/>
      <c r="AKK400" s="128"/>
      <c r="AKL400" s="128"/>
      <c r="AKM400" s="128"/>
      <c r="AKN400" s="128"/>
      <c r="AKO400" s="128"/>
      <c r="AKP400" s="128"/>
      <c r="AKQ400" s="128"/>
      <c r="AKR400" s="128"/>
      <c r="AKS400" s="128"/>
      <c r="AKT400" s="128"/>
      <c r="AKU400" s="128"/>
      <c r="AKV400" s="128"/>
      <c r="AKW400" s="128"/>
      <c r="AKX400" s="128"/>
      <c r="AKY400" s="128"/>
      <c r="AKZ400" s="128"/>
      <c r="ALA400" s="128"/>
      <c r="ALB400" s="128"/>
      <c r="ALC400" s="128"/>
      <c r="ALD400" s="128"/>
      <c r="ALE400" s="128"/>
      <c r="ALF400" s="128"/>
      <c r="ALG400" s="128"/>
      <c r="ALH400" s="128"/>
      <c r="ALI400" s="128"/>
      <c r="ALJ400" s="128"/>
      <c r="ALK400" s="128"/>
      <c r="ALL400" s="128"/>
      <c r="ALM400" s="128"/>
      <c r="ALN400" s="128"/>
      <c r="ALO400" s="128"/>
      <c r="ALP400" s="128"/>
      <c r="ALQ400" s="128"/>
      <c r="ALR400" s="128"/>
      <c r="ALS400" s="128"/>
      <c r="ALT400" s="128"/>
      <c r="ALU400" s="128"/>
      <c r="ALV400" s="128"/>
      <c r="ALW400" s="128"/>
      <c r="ALX400" s="128"/>
      <c r="ALY400" s="128"/>
      <c r="ALZ400" s="128"/>
      <c r="AMA400" s="128"/>
      <c r="AMB400" s="128"/>
      <c r="AMC400" s="128"/>
      <c r="AMD400" s="128"/>
      <c r="AME400" s="128"/>
      <c r="AMF400" s="128"/>
      <c r="AMG400" s="128"/>
      <c r="AMH400" s="128"/>
      <c r="AMI400" s="128"/>
      <c r="AMJ400" s="128"/>
      <c r="AMK400" s="128"/>
      <c r="AML400" s="128"/>
      <c r="AMM400" s="128"/>
      <c r="AMN400" s="128"/>
      <c r="AMO400" s="128"/>
      <c r="AMP400" s="128"/>
    </row>
    <row r="401" spans="1:1030" s="12" customFormat="1" x14ac:dyDescent="0.2">
      <c r="A401" s="9" t="str">
        <f>CONCATENATE(B401,"_",C401)</f>
        <v>calrl_human_6UVA</v>
      </c>
      <c r="B401" s="40" t="s">
        <v>401</v>
      </c>
      <c r="C401" s="9" t="s">
        <v>1668</v>
      </c>
      <c r="D401" s="9" t="str">
        <f>IFERROR(MID(VLOOKUP($B401,Seqs!$A:$B,2,0),E401,1),"")</f>
        <v>T</v>
      </c>
      <c r="E401" s="9">
        <v>131</v>
      </c>
      <c r="F401" s="9" t="str">
        <f>IFERROR(MID(VLOOKUP($B401,Seqs!$A:$B,2,0),G401,1),"")</f>
        <v>F</v>
      </c>
      <c r="G401" s="9">
        <v>166</v>
      </c>
      <c r="H401" s="9" t="str">
        <f>IFERROR(MID(VLOOKUP($B401,Seqs!$A:$B,2,0),I401,1),"")</f>
        <v>K</v>
      </c>
      <c r="I401" s="109">
        <v>167</v>
      </c>
      <c r="J401" s="9" t="str">
        <f>IFERROR(MID(VLOOKUP($B401,Seqs!$A:$B,2,0),K401,1),"")</f>
        <v>S</v>
      </c>
      <c r="K401" s="109">
        <v>170</v>
      </c>
      <c r="L401" s="9" t="str">
        <f>IFERROR(MID(VLOOKUP($B401,Seqs!$A:$B,2,0),M401,1),"")</f>
        <v>C</v>
      </c>
      <c r="M401" s="9">
        <v>171</v>
      </c>
      <c r="N401" s="9" t="str">
        <f>IFERROR(MID(VLOOKUP($B401,Seqs!$A:$B,2,0),O401,1),"")</f>
        <v>V</v>
      </c>
      <c r="O401" s="9">
        <v>198</v>
      </c>
      <c r="P401" s="9" t="str">
        <f>IFERROR(MID(VLOOKUP($B401,Seqs!$A:$B,2,0),Q401,1),"")</f>
        <v/>
      </c>
      <c r="Q401" s="9" t="s">
        <v>23</v>
      </c>
      <c r="R401" s="9" t="str">
        <f>IFERROR(MID(VLOOKUP($B401,Seqs!$A:$B,2,0),S401,1),"")</f>
        <v/>
      </c>
      <c r="S401" s="9" t="s">
        <v>23</v>
      </c>
      <c r="T401" s="9" t="str">
        <f>IFERROR(MID(VLOOKUP($B401,Seqs!$A:$B,2,0),U401,1),"")</f>
        <v>V</v>
      </c>
      <c r="U401" s="9">
        <v>210</v>
      </c>
      <c r="V401" s="9" t="str">
        <f>IFERROR(MID(VLOOKUP($B401,Seqs!$A:$B,2,0),W401,1),"")</f>
        <v>V</v>
      </c>
      <c r="W401" s="9">
        <v>243</v>
      </c>
      <c r="X401" s="9" t="str">
        <f>IFERROR(MID(VLOOKUP($B401,Seqs!$A:$B,2,0),Y401,1),"")</f>
        <v/>
      </c>
      <c r="Y401" s="9" t="s">
        <v>23</v>
      </c>
      <c r="Z401" s="9" t="str">
        <f>IFERROR(MID(VLOOKUP($B401,Seqs!$A:$B,2,0),AA401,1),"")</f>
        <v/>
      </c>
      <c r="AA401" s="9" t="s">
        <v>23</v>
      </c>
      <c r="AB401" s="9" t="str">
        <f>IFERROR(MID(VLOOKUP($B401,Seqs!$A:$B,2,0),AC401,1),"")</f>
        <v>L</v>
      </c>
      <c r="AC401" s="9">
        <v>252</v>
      </c>
      <c r="AD401" s="9" t="str">
        <f>IFERROR(MID(VLOOKUP($B401,Seqs!$A:$B,2,0),AE401,1),"")</f>
        <v>Y</v>
      </c>
      <c r="AE401" s="9">
        <v>278</v>
      </c>
      <c r="AF401" s="9" t="str">
        <f>IFERROR(MID(VLOOKUP($B401,Seqs!$A:$B,2,0),AG401,1),"")</f>
        <v>C</v>
      </c>
      <c r="AG401" s="9">
        <v>282</v>
      </c>
      <c r="AH401" s="9" t="str">
        <f>IFERROR(MID(VLOOKUP($B401,Seqs!$A:$B,2,0),AI401,1),"")</f>
        <v>I</v>
      </c>
      <c r="AI401" s="9">
        <v>284</v>
      </c>
      <c r="AJ401" s="9" t="str">
        <f>IFERROR(MID(VLOOKUP($B401,Seqs!$A:$B,2,0),AK401,1),"")</f>
        <v>L</v>
      </c>
      <c r="AK401" s="9">
        <v>290</v>
      </c>
      <c r="AL401" s="9" t="str">
        <f>IFERROR(MID(VLOOKUP($B401,Seqs!$A:$B,2,0),AM401,1),"")</f>
        <v>K</v>
      </c>
      <c r="AM401" s="9">
        <v>321</v>
      </c>
      <c r="AN401" s="9" t="str">
        <f>IFERROR(MID(VLOOKUP($B401,Seqs!$A:$B,2,0),AO401,1),"")</f>
        <v>L</v>
      </c>
      <c r="AO401" s="9">
        <v>330</v>
      </c>
      <c r="AP401" s="9" t="str">
        <f>IFERROR(MID(VLOOKUP($B401,Seqs!$A:$B,2,0),AQ401,1),"")</f>
        <v>L</v>
      </c>
      <c r="AQ401" s="9">
        <v>351</v>
      </c>
      <c r="AR401" s="9" t="str">
        <f>IFERROR(MID(VLOOKUP($B401,Seqs!$A:$B,2,0),AS401,1),"")</f>
        <v>E</v>
      </c>
      <c r="AS401" s="9">
        <v>363</v>
      </c>
      <c r="AT401" s="9" t="str">
        <f>IFERROR(MID(VLOOKUP($B401,Seqs!$A:$B,2,0),AU401,1),"")</f>
        <v>F</v>
      </c>
      <c r="AU401" s="9">
        <v>387</v>
      </c>
      <c r="AV401" s="9" t="str">
        <f>IFERROR(MID(VLOOKUP($B401,Seqs!$A:$B,2,0),AW401,1),"")</f>
        <v>N</v>
      </c>
      <c r="AW401" s="9">
        <v>388</v>
      </c>
      <c r="AX401" s="9" t="str">
        <f>IFERROR(MID(VLOOKUP($B401,Seqs!$A:$B,2,0),AY401,1),"")</f>
        <v>W</v>
      </c>
      <c r="AY401" s="9">
        <v>399</v>
      </c>
      <c r="AZ401" s="110" t="str">
        <f>VLOOKUP(B401,Classification!A:D,2,0)</f>
        <v>B1</v>
      </c>
      <c r="BA401" s="98" t="str">
        <f>VLOOKUP(B401,Classification!A:D,4,0)</f>
        <v>Calcitonin</v>
      </c>
      <c r="BB401" s="36" t="b">
        <f t="shared" ref="BB401" si="1185">AND(E401&lt;G401,OR(G401&lt;I401,I401="-"),OR(I401&lt;K401,I401="-"),OR(K401&lt;M401,K401="-"),M401&lt;O401,OR(O401&lt;Q401,Q401="-"),OR(Q401&lt;S401,Q401="-"),OR(S401&lt;U401,S401="-"),U401&lt;W401,OR(W401&lt;Y401,Y401="-"),OR(Y401&lt;AA401,Y401="-"),OR(AA401&lt;AC401,AA401="-"),AC401&lt;AE401,OR(AE401&lt;AG401,AG401="-"),OR(AG401&lt;AI401,AG401="-"),OR(AI401&lt;AK401,AI401="-"),AK401&lt;AM401,AM401&lt;AO401,AO401&lt;AQ401,AQ401&lt;AS401,AS401&lt;AU401,OR(AU401&lt;AW401,AW401="-"),OR(AW401&lt;AY401,AW401="-"))</f>
        <v>1</v>
      </c>
      <c r="BC401" s="109">
        <f t="shared" ref="BC401" si="1186">_xlfn.AGGREGATE(9,6,CH401:CS401)-_xlfn.AGGREGATE(9,6,BV401:CG401)+12</f>
        <v>225</v>
      </c>
      <c r="BD401" s="11" t="s">
        <v>23</v>
      </c>
      <c r="BE401" s="9" t="s">
        <v>1285</v>
      </c>
      <c r="BF401" s="119">
        <v>2.2999999999999998</v>
      </c>
      <c r="BG401" s="51" t="s">
        <v>1416</v>
      </c>
      <c r="BH401" s="51" t="s">
        <v>1416</v>
      </c>
      <c r="BJ401" s="111" t="s">
        <v>1281</v>
      </c>
      <c r="BK401" s="112" t="s">
        <v>1281</v>
      </c>
      <c r="BL401" s="112" t="s">
        <v>1281</v>
      </c>
      <c r="BM401" s="112" t="s">
        <v>1281</v>
      </c>
      <c r="BN401" s="112" t="s">
        <v>1281</v>
      </c>
      <c r="BO401" s="112" t="s">
        <v>1281</v>
      </c>
      <c r="BP401" s="112" t="s">
        <v>1281</v>
      </c>
      <c r="BQ401" s="112" t="s">
        <v>1281</v>
      </c>
      <c r="BR401" s="112" t="s">
        <v>1281</v>
      </c>
      <c r="BS401" s="112" t="s">
        <v>1281</v>
      </c>
      <c r="BT401" s="112" t="s">
        <v>1281</v>
      </c>
      <c r="BU401" s="112" t="s">
        <v>1281</v>
      </c>
      <c r="BV401" s="111">
        <f>E401</f>
        <v>131</v>
      </c>
      <c r="BW401" s="113">
        <f>I401</f>
        <v>167</v>
      </c>
      <c r="BX401" s="114">
        <f>M401</f>
        <v>171</v>
      </c>
      <c r="BY401" s="113" t="str">
        <f>Q401</f>
        <v>-</v>
      </c>
      <c r="BZ401" s="114">
        <f>U401</f>
        <v>210</v>
      </c>
      <c r="CA401" s="113" t="str">
        <f>Y401</f>
        <v>-</v>
      </c>
      <c r="CB401" s="114">
        <f>AC401</f>
        <v>252</v>
      </c>
      <c r="CC401" s="113">
        <f>AG401</f>
        <v>282</v>
      </c>
      <c r="CD401" s="114">
        <f>AK401</f>
        <v>290</v>
      </c>
      <c r="CE401" s="113">
        <f>AO401</f>
        <v>330</v>
      </c>
      <c r="CF401" s="114">
        <f>AS401</f>
        <v>363</v>
      </c>
      <c r="CG401" s="113">
        <f>AW401</f>
        <v>388</v>
      </c>
      <c r="CH401" s="111">
        <f>G401</f>
        <v>166</v>
      </c>
      <c r="CI401" s="113">
        <f>K401</f>
        <v>170</v>
      </c>
      <c r="CJ401" s="114">
        <f>O401</f>
        <v>198</v>
      </c>
      <c r="CK401" s="114" t="str">
        <f>S401</f>
        <v>-</v>
      </c>
      <c r="CL401" s="114">
        <f>W401</f>
        <v>243</v>
      </c>
      <c r="CM401" s="114" t="str">
        <f>AA401</f>
        <v>-</v>
      </c>
      <c r="CN401" s="114">
        <f>AE401</f>
        <v>278</v>
      </c>
      <c r="CO401" s="114">
        <f>AI401</f>
        <v>284</v>
      </c>
      <c r="CP401" s="114">
        <f>AM401</f>
        <v>321</v>
      </c>
      <c r="CQ401" s="114">
        <f>AQ401</f>
        <v>351</v>
      </c>
      <c r="CR401" s="114">
        <f>AU401</f>
        <v>387</v>
      </c>
      <c r="CS401" s="114">
        <f>AY401</f>
        <v>399</v>
      </c>
      <c r="CT401" s="109">
        <f>M401-K401</f>
        <v>1</v>
      </c>
      <c r="CU401" s="128"/>
      <c r="CV401" s="128"/>
      <c r="CW401" s="128"/>
      <c r="CX401" s="128"/>
      <c r="CY401" s="128"/>
      <c r="CZ401" s="128"/>
      <c r="DA401" s="128"/>
      <c r="DB401" s="128"/>
      <c r="DC401" s="128"/>
      <c r="DD401" s="128"/>
      <c r="DE401" s="128"/>
      <c r="DF401" s="128"/>
      <c r="DG401" s="128"/>
      <c r="DH401" s="128"/>
      <c r="DI401" s="128"/>
      <c r="DJ401" s="128"/>
      <c r="DK401" s="128"/>
      <c r="DL401" s="128"/>
      <c r="DM401" s="128"/>
      <c r="DN401" s="128"/>
      <c r="DO401" s="128"/>
      <c r="DP401" s="128"/>
      <c r="DQ401" s="128"/>
      <c r="DR401" s="128"/>
      <c r="DS401" s="128"/>
      <c r="DT401" s="128"/>
      <c r="DU401" s="128"/>
      <c r="DV401" s="128"/>
      <c r="DW401" s="128"/>
      <c r="DX401" s="128"/>
      <c r="DY401" s="128"/>
      <c r="DZ401" s="128"/>
      <c r="EA401" s="128"/>
      <c r="EB401" s="128"/>
      <c r="EC401" s="128"/>
      <c r="ED401" s="128"/>
      <c r="EE401" s="128"/>
      <c r="EF401" s="128"/>
      <c r="EG401" s="128"/>
      <c r="EH401" s="128"/>
      <c r="EI401" s="128"/>
      <c r="EJ401" s="128"/>
      <c r="EK401" s="128"/>
      <c r="EL401" s="128"/>
      <c r="EM401" s="128"/>
      <c r="EN401" s="128"/>
      <c r="EO401" s="128"/>
      <c r="EP401" s="128"/>
      <c r="EQ401" s="128"/>
      <c r="ER401" s="128"/>
      <c r="ES401" s="128"/>
      <c r="ET401" s="128"/>
      <c r="EU401" s="128"/>
      <c r="EV401" s="128"/>
      <c r="EW401" s="128"/>
      <c r="EX401" s="128"/>
      <c r="EY401" s="128"/>
      <c r="EZ401" s="128"/>
      <c r="FA401" s="128"/>
      <c r="FB401" s="128"/>
      <c r="FC401" s="128"/>
      <c r="FD401" s="128"/>
      <c r="FE401" s="128"/>
      <c r="FF401" s="128"/>
      <c r="FG401" s="128"/>
      <c r="FH401" s="128"/>
      <c r="FI401" s="128"/>
      <c r="FJ401" s="128"/>
      <c r="FK401" s="128"/>
      <c r="FL401" s="128"/>
      <c r="FM401" s="128"/>
      <c r="FN401" s="128"/>
      <c r="FO401" s="128"/>
      <c r="FP401" s="128"/>
      <c r="FQ401" s="128"/>
      <c r="FR401" s="128"/>
      <c r="FS401" s="128"/>
      <c r="FT401" s="128"/>
      <c r="FU401" s="128"/>
      <c r="FV401" s="128"/>
      <c r="FW401" s="128"/>
      <c r="FX401" s="128"/>
      <c r="FY401" s="128"/>
      <c r="FZ401" s="128"/>
      <c r="GA401" s="128"/>
      <c r="GB401" s="128"/>
      <c r="GC401" s="128"/>
      <c r="GD401" s="128"/>
      <c r="GE401" s="128"/>
      <c r="GF401" s="128"/>
      <c r="GG401" s="128"/>
      <c r="GH401" s="128"/>
      <c r="GI401" s="128"/>
      <c r="GJ401" s="128"/>
      <c r="GK401" s="128"/>
      <c r="GL401" s="128"/>
      <c r="GM401" s="128"/>
      <c r="GN401" s="128"/>
      <c r="GO401" s="128"/>
      <c r="GP401" s="128"/>
      <c r="GQ401" s="128"/>
      <c r="GR401" s="128"/>
      <c r="GS401" s="128"/>
      <c r="GT401" s="128"/>
      <c r="GU401" s="128"/>
      <c r="GV401" s="128"/>
      <c r="GW401" s="128"/>
      <c r="GX401" s="128"/>
      <c r="GY401" s="128"/>
      <c r="GZ401" s="128"/>
      <c r="HA401" s="128"/>
      <c r="HB401" s="128"/>
      <c r="HC401" s="128"/>
      <c r="HD401" s="128"/>
      <c r="HE401" s="128"/>
      <c r="HF401" s="128"/>
      <c r="HG401" s="128"/>
      <c r="HH401" s="128"/>
      <c r="HI401" s="128"/>
      <c r="HJ401" s="128"/>
      <c r="HK401" s="128"/>
      <c r="HL401" s="128"/>
      <c r="HM401" s="128"/>
      <c r="HN401" s="128"/>
      <c r="HO401" s="128"/>
      <c r="HP401" s="128"/>
      <c r="HQ401" s="128"/>
      <c r="HR401" s="128"/>
      <c r="HS401" s="128"/>
      <c r="HT401" s="128"/>
      <c r="HU401" s="128"/>
      <c r="HV401" s="128"/>
      <c r="HW401" s="128"/>
      <c r="HX401" s="128"/>
      <c r="HY401" s="128"/>
      <c r="HZ401" s="128"/>
      <c r="IA401" s="128"/>
      <c r="IB401" s="128"/>
      <c r="IC401" s="128"/>
      <c r="ID401" s="128"/>
      <c r="IE401" s="128"/>
      <c r="IF401" s="128"/>
      <c r="IG401" s="128"/>
      <c r="IH401" s="128"/>
      <c r="II401" s="128"/>
      <c r="IJ401" s="128"/>
      <c r="IK401" s="128"/>
      <c r="IL401" s="128"/>
      <c r="IM401" s="128"/>
      <c r="IN401" s="128"/>
      <c r="IO401" s="128"/>
      <c r="IP401" s="128"/>
      <c r="IQ401" s="128"/>
      <c r="IR401" s="128"/>
      <c r="IS401" s="128"/>
      <c r="IT401" s="128"/>
      <c r="IU401" s="128"/>
      <c r="IV401" s="128"/>
      <c r="IW401" s="128"/>
      <c r="IX401" s="128"/>
      <c r="IY401" s="128"/>
      <c r="IZ401" s="128"/>
      <c r="JA401" s="128"/>
      <c r="JB401" s="128"/>
      <c r="JC401" s="128"/>
      <c r="JD401" s="128"/>
      <c r="JE401" s="128"/>
      <c r="JF401" s="128"/>
      <c r="JG401" s="128"/>
      <c r="JH401" s="128"/>
      <c r="JI401" s="128"/>
      <c r="JJ401" s="128"/>
      <c r="JK401" s="128"/>
      <c r="JL401" s="128"/>
      <c r="JM401" s="128"/>
      <c r="JN401" s="128"/>
      <c r="JO401" s="128"/>
      <c r="JP401" s="128"/>
      <c r="JQ401" s="128"/>
      <c r="JR401" s="128"/>
      <c r="JS401" s="128"/>
      <c r="JT401" s="128"/>
      <c r="JU401" s="128"/>
      <c r="JV401" s="128"/>
      <c r="JW401" s="128"/>
      <c r="JX401" s="128"/>
      <c r="JY401" s="128"/>
      <c r="JZ401" s="128"/>
      <c r="KA401" s="128"/>
      <c r="KB401" s="128"/>
      <c r="KC401" s="128"/>
      <c r="KD401" s="128"/>
      <c r="KE401" s="128"/>
      <c r="KF401" s="128"/>
      <c r="KG401" s="128"/>
      <c r="KH401" s="128"/>
      <c r="KI401" s="128"/>
      <c r="KJ401" s="128"/>
      <c r="KK401" s="128"/>
      <c r="KL401" s="128"/>
      <c r="KM401" s="128"/>
      <c r="KN401" s="128"/>
      <c r="KO401" s="128"/>
      <c r="KP401" s="128"/>
      <c r="KQ401" s="128"/>
      <c r="KR401" s="128"/>
      <c r="KS401" s="128"/>
      <c r="KT401" s="128"/>
      <c r="KU401" s="128"/>
      <c r="KV401" s="128"/>
      <c r="KW401" s="128"/>
      <c r="KX401" s="128"/>
      <c r="KY401" s="128"/>
      <c r="KZ401" s="128"/>
      <c r="LA401" s="128"/>
      <c r="LB401" s="128"/>
      <c r="LC401" s="128"/>
      <c r="LD401" s="128"/>
      <c r="LE401" s="128"/>
      <c r="LF401" s="128"/>
      <c r="LG401" s="128"/>
      <c r="LH401" s="128"/>
      <c r="LI401" s="128"/>
      <c r="LJ401" s="128"/>
      <c r="LK401" s="128"/>
      <c r="LL401" s="128"/>
      <c r="LM401" s="128"/>
      <c r="LN401" s="128"/>
      <c r="LO401" s="128"/>
      <c r="LP401" s="128"/>
      <c r="LQ401" s="128"/>
      <c r="LR401" s="128"/>
      <c r="LS401" s="128"/>
      <c r="LT401" s="128"/>
      <c r="LU401" s="128"/>
      <c r="LV401" s="128"/>
      <c r="LW401" s="128"/>
      <c r="LX401" s="128"/>
      <c r="LY401" s="128"/>
      <c r="LZ401" s="128"/>
      <c r="MA401" s="128"/>
      <c r="MB401" s="128"/>
      <c r="MC401" s="128"/>
      <c r="MD401" s="128"/>
      <c r="ME401" s="128"/>
      <c r="MF401" s="128"/>
      <c r="MG401" s="128"/>
      <c r="MH401" s="128"/>
      <c r="MI401" s="128"/>
      <c r="MJ401" s="128"/>
      <c r="MK401" s="128"/>
      <c r="ML401" s="128"/>
      <c r="MM401" s="128"/>
      <c r="MN401" s="128"/>
      <c r="MO401" s="128"/>
      <c r="MP401" s="128"/>
      <c r="MQ401" s="128"/>
      <c r="MR401" s="128"/>
      <c r="MS401" s="128"/>
      <c r="MT401" s="128"/>
      <c r="MU401" s="128"/>
      <c r="MV401" s="128"/>
      <c r="MW401" s="128"/>
      <c r="MX401" s="128"/>
      <c r="MY401" s="128"/>
      <c r="MZ401" s="128"/>
      <c r="NA401" s="128"/>
      <c r="NB401" s="128"/>
      <c r="NC401" s="128"/>
      <c r="ND401" s="128"/>
      <c r="NE401" s="128"/>
      <c r="NF401" s="128"/>
      <c r="NG401" s="128"/>
      <c r="NH401" s="128"/>
      <c r="NI401" s="128"/>
      <c r="NJ401" s="128"/>
      <c r="NK401" s="128"/>
      <c r="NL401" s="128"/>
      <c r="NM401" s="128"/>
      <c r="NN401" s="128"/>
      <c r="NO401" s="128"/>
      <c r="NP401" s="128"/>
      <c r="NQ401" s="128"/>
      <c r="NR401" s="128"/>
      <c r="NS401" s="128"/>
      <c r="NT401" s="128"/>
      <c r="NU401" s="128"/>
      <c r="NV401" s="128"/>
      <c r="NW401" s="128"/>
      <c r="NX401" s="128"/>
      <c r="NY401" s="128"/>
      <c r="NZ401" s="128"/>
      <c r="OA401" s="128"/>
      <c r="OB401" s="128"/>
      <c r="OC401" s="128"/>
      <c r="OD401" s="128"/>
      <c r="OE401" s="128"/>
      <c r="OF401" s="128"/>
      <c r="OG401" s="128"/>
      <c r="OH401" s="128"/>
      <c r="OI401" s="128"/>
      <c r="OJ401" s="128"/>
      <c r="OK401" s="128"/>
      <c r="OL401" s="128"/>
      <c r="OM401" s="128"/>
      <c r="ON401" s="128"/>
      <c r="OO401" s="128"/>
      <c r="OP401" s="128"/>
      <c r="OQ401" s="128"/>
      <c r="OR401" s="128"/>
      <c r="OS401" s="128"/>
      <c r="OT401" s="128"/>
      <c r="OU401" s="128"/>
      <c r="OV401" s="128"/>
      <c r="OW401" s="128"/>
      <c r="OX401" s="128"/>
      <c r="OY401" s="128"/>
      <c r="OZ401" s="128"/>
      <c r="PA401" s="128"/>
      <c r="PB401" s="128"/>
      <c r="PC401" s="128"/>
      <c r="PD401" s="128"/>
      <c r="PE401" s="128"/>
      <c r="PF401" s="128"/>
      <c r="PG401" s="128"/>
      <c r="PH401" s="128"/>
      <c r="PI401" s="128"/>
      <c r="PJ401" s="128"/>
      <c r="PK401" s="128"/>
      <c r="PL401" s="128"/>
      <c r="PM401" s="128"/>
      <c r="PN401" s="128"/>
      <c r="PO401" s="128"/>
      <c r="PP401" s="128"/>
      <c r="PQ401" s="128"/>
      <c r="PR401" s="128"/>
      <c r="PS401" s="128"/>
      <c r="PT401" s="128"/>
      <c r="PU401" s="128"/>
      <c r="PV401" s="128"/>
      <c r="PW401" s="128"/>
      <c r="PX401" s="128"/>
      <c r="PY401" s="128"/>
      <c r="PZ401" s="128"/>
      <c r="QA401" s="128"/>
      <c r="QB401" s="128"/>
      <c r="QC401" s="128"/>
      <c r="QD401" s="128"/>
      <c r="QE401" s="128"/>
      <c r="QF401" s="128"/>
      <c r="QG401" s="128"/>
      <c r="QH401" s="128"/>
      <c r="QI401" s="128"/>
      <c r="QJ401" s="128"/>
      <c r="QK401" s="128"/>
      <c r="QL401" s="128"/>
      <c r="QM401" s="128"/>
      <c r="QN401" s="128"/>
      <c r="QO401" s="128"/>
      <c r="QP401" s="128"/>
      <c r="QQ401" s="128"/>
      <c r="QR401" s="128"/>
      <c r="QS401" s="128"/>
      <c r="QT401" s="128"/>
      <c r="QU401" s="128"/>
      <c r="QV401" s="128"/>
      <c r="QW401" s="128"/>
      <c r="QX401" s="128"/>
      <c r="QY401" s="128"/>
      <c r="QZ401" s="128"/>
      <c r="RA401" s="128"/>
      <c r="RB401" s="128"/>
      <c r="RC401" s="128"/>
      <c r="RD401" s="128"/>
      <c r="RE401" s="128"/>
      <c r="RF401" s="128"/>
      <c r="RG401" s="128"/>
      <c r="RH401" s="128"/>
      <c r="RI401" s="128"/>
      <c r="RJ401" s="128"/>
      <c r="RK401" s="128"/>
      <c r="RL401" s="128"/>
      <c r="RM401" s="128"/>
      <c r="RN401" s="128"/>
      <c r="RO401" s="128"/>
      <c r="RP401" s="128"/>
      <c r="RQ401" s="128"/>
      <c r="RR401" s="128"/>
      <c r="RS401" s="128"/>
      <c r="RT401" s="128"/>
      <c r="RU401" s="128"/>
      <c r="RV401" s="128"/>
      <c r="RW401" s="128"/>
      <c r="RX401" s="128"/>
      <c r="RY401" s="128"/>
      <c r="RZ401" s="128"/>
      <c r="SA401" s="128"/>
      <c r="SB401" s="128"/>
      <c r="SC401" s="128"/>
      <c r="SD401" s="128"/>
      <c r="SE401" s="128"/>
      <c r="SF401" s="128"/>
      <c r="SG401" s="128"/>
      <c r="SH401" s="128"/>
      <c r="SI401" s="128"/>
      <c r="SJ401" s="128"/>
      <c r="SK401" s="128"/>
      <c r="SL401" s="128"/>
      <c r="SM401" s="128"/>
      <c r="SN401" s="128"/>
      <c r="SO401" s="128"/>
      <c r="SP401" s="128"/>
      <c r="SQ401" s="128"/>
      <c r="SR401" s="128"/>
      <c r="SS401" s="128"/>
      <c r="ST401" s="128"/>
      <c r="SU401" s="128"/>
      <c r="SV401" s="128"/>
      <c r="SW401" s="128"/>
      <c r="SX401" s="128"/>
      <c r="SY401" s="128"/>
      <c r="SZ401" s="128"/>
      <c r="TA401" s="128"/>
      <c r="TB401" s="128"/>
      <c r="TC401" s="128"/>
      <c r="TD401" s="128"/>
      <c r="TE401" s="128"/>
      <c r="TF401" s="128"/>
      <c r="TG401" s="128"/>
      <c r="TH401" s="128"/>
      <c r="TI401" s="128"/>
      <c r="TJ401" s="128"/>
      <c r="TK401" s="128"/>
      <c r="TL401" s="128"/>
      <c r="TM401" s="128"/>
      <c r="TN401" s="128"/>
      <c r="TO401" s="128"/>
      <c r="TP401" s="128"/>
      <c r="TQ401" s="128"/>
      <c r="TR401" s="128"/>
      <c r="TS401" s="128"/>
      <c r="TT401" s="128"/>
      <c r="TU401" s="128"/>
      <c r="TV401" s="128"/>
      <c r="TW401" s="128"/>
      <c r="TX401" s="128"/>
      <c r="TY401" s="128"/>
      <c r="TZ401" s="128"/>
      <c r="UA401" s="128"/>
      <c r="UB401" s="128"/>
      <c r="UC401" s="128"/>
      <c r="UD401" s="128"/>
      <c r="UE401" s="128"/>
      <c r="UF401" s="128"/>
      <c r="UG401" s="128"/>
      <c r="UH401" s="128"/>
      <c r="UI401" s="128"/>
      <c r="UJ401" s="128"/>
      <c r="UK401" s="128"/>
      <c r="UL401" s="128"/>
      <c r="UM401" s="128"/>
      <c r="UN401" s="128"/>
      <c r="UO401" s="128"/>
      <c r="UP401" s="128"/>
      <c r="UQ401" s="128"/>
      <c r="UR401" s="128"/>
      <c r="US401" s="128"/>
      <c r="UT401" s="128"/>
      <c r="UU401" s="128"/>
      <c r="UV401" s="128"/>
      <c r="UW401" s="128"/>
      <c r="UX401" s="128"/>
      <c r="UY401" s="128"/>
      <c r="UZ401" s="128"/>
      <c r="VA401" s="128"/>
      <c r="VB401" s="128"/>
      <c r="VC401" s="128"/>
      <c r="VD401" s="128"/>
      <c r="VE401" s="128"/>
      <c r="VF401" s="128"/>
      <c r="VG401" s="128"/>
      <c r="VH401" s="128"/>
      <c r="VI401" s="128"/>
      <c r="VJ401" s="128"/>
      <c r="VK401" s="128"/>
      <c r="VL401" s="128"/>
      <c r="VM401" s="128"/>
      <c r="VN401" s="128"/>
      <c r="VO401" s="128"/>
      <c r="VP401" s="128"/>
      <c r="VQ401" s="128"/>
      <c r="VR401" s="128"/>
      <c r="VS401" s="128"/>
      <c r="VT401" s="128"/>
      <c r="VU401" s="128"/>
      <c r="VV401" s="128"/>
      <c r="VW401" s="128"/>
      <c r="VX401" s="128"/>
      <c r="VY401" s="128"/>
      <c r="VZ401" s="128"/>
      <c r="WA401" s="128"/>
      <c r="WB401" s="128"/>
      <c r="WC401" s="128"/>
      <c r="WD401" s="128"/>
      <c r="WE401" s="128"/>
      <c r="WF401" s="128"/>
      <c r="WG401" s="128"/>
      <c r="WH401" s="128"/>
      <c r="WI401" s="128"/>
      <c r="WJ401" s="128"/>
      <c r="WK401" s="128"/>
      <c r="WL401" s="128"/>
      <c r="WM401" s="128"/>
      <c r="WN401" s="128"/>
      <c r="WO401" s="128"/>
      <c r="WP401" s="128"/>
      <c r="WQ401" s="128"/>
      <c r="WR401" s="128"/>
      <c r="WS401" s="128"/>
      <c r="WT401" s="128"/>
      <c r="WU401" s="128"/>
      <c r="WV401" s="128"/>
      <c r="WW401" s="128"/>
      <c r="WX401" s="128"/>
      <c r="WY401" s="128"/>
      <c r="WZ401" s="128"/>
      <c r="XA401" s="128"/>
      <c r="XB401" s="128"/>
      <c r="XC401" s="128"/>
      <c r="XD401" s="128"/>
      <c r="XE401" s="128"/>
      <c r="XF401" s="128"/>
      <c r="XG401" s="128"/>
      <c r="XH401" s="128"/>
      <c r="XI401" s="128"/>
      <c r="XJ401" s="128"/>
      <c r="XK401" s="128"/>
      <c r="XL401" s="128"/>
      <c r="XM401" s="128"/>
      <c r="XN401" s="128"/>
      <c r="XO401" s="128"/>
      <c r="XP401" s="128"/>
      <c r="XQ401" s="128"/>
      <c r="XR401" s="128"/>
      <c r="XS401" s="128"/>
      <c r="XT401" s="128"/>
      <c r="XU401" s="128"/>
      <c r="XV401" s="128"/>
      <c r="XW401" s="128"/>
      <c r="XX401" s="128"/>
      <c r="XY401" s="128"/>
      <c r="XZ401" s="128"/>
      <c r="YA401" s="128"/>
      <c r="YB401" s="128"/>
      <c r="YC401" s="128"/>
      <c r="YD401" s="128"/>
      <c r="YE401" s="128"/>
      <c r="YF401" s="128"/>
      <c r="YG401" s="128"/>
      <c r="YH401" s="128"/>
      <c r="YI401" s="128"/>
      <c r="YJ401" s="128"/>
      <c r="YK401" s="128"/>
      <c r="YL401" s="128"/>
      <c r="YM401" s="128"/>
      <c r="YN401" s="128"/>
      <c r="YO401" s="128"/>
      <c r="YP401" s="128"/>
      <c r="YQ401" s="128"/>
      <c r="YR401" s="128"/>
      <c r="YS401" s="128"/>
      <c r="YT401" s="128"/>
      <c r="YU401" s="128"/>
      <c r="YV401" s="128"/>
      <c r="YW401" s="128"/>
      <c r="YX401" s="128"/>
      <c r="YY401" s="128"/>
      <c r="YZ401" s="128"/>
      <c r="ZA401" s="128"/>
      <c r="ZB401" s="128"/>
      <c r="ZC401" s="128"/>
      <c r="ZD401" s="128"/>
      <c r="ZE401" s="128"/>
      <c r="ZF401" s="128"/>
      <c r="ZG401" s="128"/>
      <c r="ZH401" s="128"/>
      <c r="ZI401" s="128"/>
      <c r="ZJ401" s="128"/>
      <c r="ZK401" s="128"/>
      <c r="ZL401" s="128"/>
      <c r="ZM401" s="128"/>
      <c r="ZN401" s="128"/>
      <c r="ZO401" s="128"/>
      <c r="ZP401" s="128"/>
      <c r="ZQ401" s="128"/>
      <c r="ZR401" s="128"/>
      <c r="ZS401" s="128"/>
      <c r="ZT401" s="128"/>
      <c r="ZU401" s="128"/>
      <c r="ZV401" s="128"/>
      <c r="ZW401" s="128"/>
      <c r="ZX401" s="128"/>
      <c r="ZY401" s="128"/>
      <c r="ZZ401" s="128"/>
      <c r="AAA401" s="128"/>
      <c r="AAB401" s="128"/>
      <c r="AAC401" s="128"/>
      <c r="AAD401" s="128"/>
      <c r="AAE401" s="128"/>
      <c r="AAF401" s="128"/>
      <c r="AAG401" s="128"/>
      <c r="AAH401" s="128"/>
      <c r="AAI401" s="128"/>
      <c r="AAJ401" s="128"/>
      <c r="AAK401" s="128"/>
      <c r="AAL401" s="128"/>
      <c r="AAM401" s="128"/>
      <c r="AAN401" s="128"/>
      <c r="AAO401" s="128"/>
      <c r="AAP401" s="128"/>
      <c r="AAQ401" s="128"/>
      <c r="AAR401" s="128"/>
      <c r="AAS401" s="128"/>
      <c r="AAT401" s="128"/>
      <c r="AAU401" s="128"/>
      <c r="AAV401" s="128"/>
      <c r="AAW401" s="128"/>
      <c r="AAX401" s="128"/>
      <c r="AAY401" s="128"/>
      <c r="AAZ401" s="128"/>
      <c r="ABA401" s="128"/>
      <c r="ABB401" s="128"/>
      <c r="ABC401" s="128"/>
      <c r="ABD401" s="128"/>
      <c r="ABE401" s="128"/>
      <c r="ABF401" s="128"/>
      <c r="ABG401" s="128"/>
      <c r="ABH401" s="128"/>
      <c r="ABI401" s="128"/>
      <c r="ABJ401" s="128"/>
      <c r="ABK401" s="128"/>
      <c r="ABL401" s="128"/>
      <c r="ABM401" s="128"/>
      <c r="ABN401" s="128"/>
      <c r="ABO401" s="128"/>
      <c r="ABP401" s="128"/>
      <c r="ABQ401" s="128"/>
      <c r="ABR401" s="128"/>
      <c r="ABS401" s="128"/>
      <c r="ABT401" s="128"/>
      <c r="ABU401" s="128"/>
      <c r="ABV401" s="128"/>
      <c r="ABW401" s="128"/>
      <c r="ABX401" s="128"/>
      <c r="ABY401" s="128"/>
      <c r="ABZ401" s="128"/>
      <c r="ACA401" s="128"/>
      <c r="ACB401" s="128"/>
      <c r="ACC401" s="128"/>
      <c r="ACD401" s="128"/>
      <c r="ACE401" s="128"/>
      <c r="ACF401" s="128"/>
      <c r="ACG401" s="128"/>
      <c r="ACH401" s="128"/>
      <c r="ACI401" s="128"/>
      <c r="ACJ401" s="128"/>
      <c r="ACK401" s="128"/>
      <c r="ACL401" s="128"/>
      <c r="ACM401" s="128"/>
      <c r="ACN401" s="128"/>
      <c r="ACO401" s="128"/>
      <c r="ACP401" s="128"/>
      <c r="ACQ401" s="128"/>
      <c r="ACR401" s="128"/>
      <c r="ACS401" s="128"/>
      <c r="ACT401" s="128"/>
      <c r="ACU401" s="128"/>
      <c r="ACV401" s="128"/>
      <c r="ACW401" s="128"/>
      <c r="ACX401" s="128"/>
      <c r="ACY401" s="128"/>
      <c r="ACZ401" s="128"/>
      <c r="ADA401" s="128"/>
      <c r="ADB401" s="128"/>
      <c r="ADC401" s="128"/>
      <c r="ADD401" s="128"/>
      <c r="ADE401" s="128"/>
      <c r="ADF401" s="128"/>
      <c r="ADG401" s="128"/>
      <c r="ADH401" s="128"/>
      <c r="ADI401" s="128"/>
      <c r="ADJ401" s="128"/>
      <c r="ADK401" s="128"/>
      <c r="ADL401" s="128"/>
      <c r="ADM401" s="128"/>
      <c r="ADN401" s="128"/>
      <c r="ADO401" s="128"/>
      <c r="ADP401" s="128"/>
      <c r="ADQ401" s="128"/>
      <c r="ADR401" s="128"/>
      <c r="ADS401" s="128"/>
      <c r="ADT401" s="128"/>
      <c r="ADU401" s="128"/>
      <c r="ADV401" s="128"/>
      <c r="ADW401" s="128"/>
      <c r="ADX401" s="128"/>
      <c r="ADY401" s="128"/>
      <c r="ADZ401" s="128"/>
      <c r="AEA401" s="128"/>
      <c r="AEB401" s="128"/>
      <c r="AEC401" s="128"/>
      <c r="AED401" s="128"/>
      <c r="AEE401" s="128"/>
      <c r="AEF401" s="128"/>
      <c r="AEG401" s="128"/>
      <c r="AEH401" s="128"/>
      <c r="AEI401" s="128"/>
      <c r="AEJ401" s="128"/>
      <c r="AEK401" s="128"/>
      <c r="AEL401" s="128"/>
      <c r="AEM401" s="128"/>
      <c r="AEN401" s="128"/>
      <c r="AEO401" s="128"/>
      <c r="AEP401" s="128"/>
      <c r="AEQ401" s="128"/>
      <c r="AER401" s="128"/>
      <c r="AES401" s="128"/>
      <c r="AET401" s="128"/>
      <c r="AEU401" s="128"/>
      <c r="AEV401" s="128"/>
      <c r="AEW401" s="128"/>
      <c r="AEX401" s="128"/>
      <c r="AEY401" s="128"/>
      <c r="AEZ401" s="128"/>
      <c r="AFA401" s="128"/>
      <c r="AFB401" s="128"/>
      <c r="AFC401" s="128"/>
      <c r="AFD401" s="128"/>
      <c r="AFE401" s="128"/>
      <c r="AFF401" s="128"/>
      <c r="AFG401" s="128"/>
      <c r="AFH401" s="128"/>
      <c r="AFI401" s="128"/>
      <c r="AFJ401" s="128"/>
      <c r="AFK401" s="128"/>
      <c r="AFL401" s="128"/>
      <c r="AFM401" s="128"/>
      <c r="AFN401" s="128"/>
      <c r="AFO401" s="128"/>
      <c r="AFP401" s="128"/>
      <c r="AFQ401" s="128"/>
      <c r="AFR401" s="128"/>
      <c r="AFS401" s="128"/>
      <c r="AFT401" s="128"/>
      <c r="AFU401" s="128"/>
      <c r="AFV401" s="128"/>
      <c r="AFW401" s="128"/>
      <c r="AFX401" s="128"/>
      <c r="AFY401" s="128"/>
      <c r="AFZ401" s="128"/>
      <c r="AGA401" s="128"/>
      <c r="AGB401" s="128"/>
      <c r="AGC401" s="128"/>
      <c r="AGD401" s="128"/>
      <c r="AGE401" s="128"/>
      <c r="AGF401" s="128"/>
      <c r="AGG401" s="128"/>
      <c r="AGH401" s="128"/>
      <c r="AGI401" s="128"/>
      <c r="AGJ401" s="128"/>
      <c r="AGK401" s="128"/>
      <c r="AGL401" s="128"/>
      <c r="AGM401" s="128"/>
      <c r="AGN401" s="128"/>
      <c r="AGO401" s="128"/>
      <c r="AGP401" s="128"/>
      <c r="AGQ401" s="128"/>
      <c r="AGR401" s="128"/>
      <c r="AGS401" s="128"/>
      <c r="AGT401" s="128"/>
      <c r="AGU401" s="128"/>
      <c r="AGV401" s="128"/>
      <c r="AGW401" s="128"/>
      <c r="AGX401" s="128"/>
      <c r="AGY401" s="128"/>
      <c r="AGZ401" s="128"/>
      <c r="AHA401" s="128"/>
      <c r="AHB401" s="128"/>
      <c r="AHC401" s="128"/>
      <c r="AHD401" s="128"/>
      <c r="AHE401" s="128"/>
      <c r="AHF401" s="128"/>
      <c r="AHG401" s="128"/>
      <c r="AHH401" s="128"/>
      <c r="AHI401" s="128"/>
      <c r="AHJ401" s="128"/>
      <c r="AHK401" s="128"/>
      <c r="AHL401" s="128"/>
      <c r="AHM401" s="128"/>
      <c r="AHN401" s="128"/>
      <c r="AHO401" s="128"/>
      <c r="AHP401" s="128"/>
      <c r="AHQ401" s="128"/>
      <c r="AHR401" s="128"/>
      <c r="AHS401" s="128"/>
      <c r="AHT401" s="128"/>
      <c r="AHU401" s="128"/>
      <c r="AHV401" s="128"/>
      <c r="AHW401" s="128"/>
      <c r="AHX401" s="128"/>
      <c r="AHY401" s="128"/>
      <c r="AHZ401" s="128"/>
      <c r="AIA401" s="128"/>
      <c r="AIB401" s="128"/>
      <c r="AIC401" s="128"/>
      <c r="AID401" s="128"/>
      <c r="AIE401" s="128"/>
      <c r="AIF401" s="128"/>
      <c r="AIG401" s="128"/>
      <c r="AIH401" s="128"/>
      <c r="AII401" s="128"/>
      <c r="AIJ401" s="128"/>
      <c r="AIK401" s="128"/>
      <c r="AIL401" s="128"/>
      <c r="AIM401" s="128"/>
      <c r="AIN401" s="128"/>
      <c r="AIO401" s="128"/>
      <c r="AIP401" s="128"/>
      <c r="AIQ401" s="128"/>
      <c r="AIR401" s="128"/>
      <c r="AIS401" s="128"/>
      <c r="AIT401" s="128"/>
      <c r="AIU401" s="128"/>
      <c r="AIV401" s="128"/>
      <c r="AIW401" s="128"/>
      <c r="AIX401" s="128"/>
      <c r="AIY401" s="128"/>
      <c r="AIZ401" s="128"/>
      <c r="AJA401" s="128"/>
      <c r="AJB401" s="128"/>
      <c r="AJC401" s="128"/>
      <c r="AJD401" s="128"/>
      <c r="AJE401" s="128"/>
      <c r="AJF401" s="128"/>
      <c r="AJG401" s="128"/>
      <c r="AJH401" s="128"/>
      <c r="AJI401" s="128"/>
      <c r="AJJ401" s="128"/>
      <c r="AJK401" s="128"/>
      <c r="AJL401" s="128"/>
      <c r="AJM401" s="128"/>
      <c r="AJN401" s="128"/>
      <c r="AJO401" s="128"/>
      <c r="AJP401" s="128"/>
      <c r="AJQ401" s="128"/>
      <c r="AJR401" s="128"/>
      <c r="AJS401" s="128"/>
      <c r="AJT401" s="128"/>
      <c r="AJU401" s="128"/>
      <c r="AJV401" s="128"/>
      <c r="AJW401" s="128"/>
      <c r="AJX401" s="128"/>
      <c r="AJY401" s="128"/>
      <c r="AJZ401" s="128"/>
      <c r="AKA401" s="128"/>
      <c r="AKB401" s="128"/>
      <c r="AKC401" s="128"/>
      <c r="AKD401" s="128"/>
      <c r="AKE401" s="128"/>
      <c r="AKF401" s="128"/>
      <c r="AKG401" s="128"/>
      <c r="AKH401" s="128"/>
      <c r="AKI401" s="128"/>
      <c r="AKJ401" s="128"/>
      <c r="AKK401" s="128"/>
      <c r="AKL401" s="128"/>
      <c r="AKM401" s="128"/>
      <c r="AKN401" s="128"/>
      <c r="AKO401" s="128"/>
      <c r="AKP401" s="128"/>
      <c r="AKQ401" s="128"/>
      <c r="AKR401" s="128"/>
      <c r="AKS401" s="128"/>
      <c r="AKT401" s="128"/>
      <c r="AKU401" s="128"/>
      <c r="AKV401" s="128"/>
      <c r="AKW401" s="128"/>
      <c r="AKX401" s="128"/>
      <c r="AKY401" s="128"/>
      <c r="AKZ401" s="128"/>
      <c r="ALA401" s="128"/>
      <c r="ALB401" s="128"/>
      <c r="ALC401" s="128"/>
      <c r="ALD401" s="128"/>
      <c r="ALE401" s="128"/>
      <c r="ALF401" s="128"/>
      <c r="ALG401" s="128"/>
      <c r="ALH401" s="128"/>
      <c r="ALI401" s="128"/>
      <c r="ALJ401" s="128"/>
      <c r="ALK401" s="128"/>
      <c r="ALL401" s="128"/>
      <c r="ALM401" s="128"/>
      <c r="ALN401" s="128"/>
      <c r="ALO401" s="128"/>
      <c r="ALP401" s="128"/>
      <c r="ALQ401" s="128"/>
      <c r="ALR401" s="128"/>
      <c r="ALS401" s="128"/>
      <c r="ALT401" s="128"/>
      <c r="ALU401" s="128"/>
      <c r="ALV401" s="128"/>
      <c r="ALW401" s="128"/>
      <c r="ALX401" s="128"/>
      <c r="ALY401" s="128"/>
      <c r="ALZ401" s="128"/>
      <c r="AMA401" s="128"/>
      <c r="AMB401" s="128"/>
      <c r="AMC401" s="128"/>
      <c r="AMD401" s="128"/>
      <c r="AME401" s="128"/>
      <c r="AMF401" s="128"/>
      <c r="AMG401" s="128"/>
      <c r="AMH401" s="128"/>
      <c r="AMI401" s="128"/>
      <c r="AMJ401" s="128"/>
      <c r="AMK401" s="128"/>
      <c r="AML401" s="128"/>
      <c r="AMM401" s="128"/>
      <c r="AMN401" s="128"/>
      <c r="AMO401" s="128"/>
      <c r="AMP401" s="128"/>
    </row>
    <row r="402" spans="1:1030" x14ac:dyDescent="0.2">
      <c r="A402" s="3" t="str">
        <f>CONCATENATE(B402,"_",C402)</f>
        <v>crfr1_human__wt</v>
      </c>
      <c r="B402" s="3" t="s">
        <v>38</v>
      </c>
      <c r="C402" s="3" t="s">
        <v>100</v>
      </c>
      <c r="D402" s="3" t="str">
        <f>IFERROR(MID(VLOOKUP($B402,Seqs!$A:$B,2,0),E402,1),"")</f>
        <v>Q</v>
      </c>
      <c r="E402" s="3">
        <v>103</v>
      </c>
      <c r="F402" s="3" t="str">
        <f>IFERROR(MID(VLOOKUP($B402,Seqs!$A:$B,2,0),G402,1),"")</f>
        <v>L</v>
      </c>
      <c r="G402" s="3">
        <v>144</v>
      </c>
      <c r="H402" s="3" t="str">
        <f>IFERROR(MID(VLOOKUP($B402,Seqs!$A:$B,2,0),I402,1),"")</f>
        <v>R</v>
      </c>
      <c r="I402" s="23">
        <v>145</v>
      </c>
      <c r="J402" s="3" t="str">
        <f>IFERROR(MID(VLOOKUP($B402,Seqs!$A:$B,2,0),K402,1),"")</f>
        <v>R</v>
      </c>
      <c r="K402" s="23">
        <v>148</v>
      </c>
      <c r="L402" s="3" t="str">
        <f>IFERROR(MID(VLOOKUP($B402,Seqs!$A:$B,2,0),M402,1),"")</f>
        <v>C</v>
      </c>
      <c r="M402" s="23">
        <v>149</v>
      </c>
      <c r="N402" s="3" t="str">
        <f>IFERROR(MID(VLOOKUP($B402,Seqs!$A:$B,2,0),O402,1),"")</f>
        <v>T</v>
      </c>
      <c r="O402" s="3">
        <v>175</v>
      </c>
      <c r="P402" s="3" t="str">
        <f>IFERROR(MID(VLOOKUP($B402,Seqs!$A:$B,2,0),Q402,1),"")</f>
        <v/>
      </c>
      <c r="Q402" s="3" t="s">
        <v>23</v>
      </c>
      <c r="R402" s="3" t="str">
        <f>IFERROR(MID(VLOOKUP($B402,Seqs!$A:$B,2,0),S402,1),"")</f>
        <v/>
      </c>
      <c r="S402" s="3" t="s">
        <v>23</v>
      </c>
      <c r="T402" s="3" t="str">
        <f>IFERROR(MID(VLOOKUP($B402,Seqs!$A:$B,2,0),U402,1),"")</f>
        <v>V</v>
      </c>
      <c r="U402" s="3">
        <v>185</v>
      </c>
      <c r="V402" s="3" t="str">
        <f>IFERROR(MID(VLOOKUP($B402,Seqs!$A:$B,2,0),W402,1),"")</f>
        <v>L</v>
      </c>
      <c r="W402" s="3">
        <v>219</v>
      </c>
      <c r="X402" s="3" t="str">
        <f>IFERROR(MID(VLOOKUP($B402,Seqs!$A:$B,2,0),Y402,1),"")</f>
        <v/>
      </c>
      <c r="Y402" s="3" t="s">
        <v>23</v>
      </c>
      <c r="Z402" s="3" t="str">
        <f>IFERROR(MID(VLOOKUP($B402,Seqs!$A:$B,2,0),AA402,1),"")</f>
        <v/>
      </c>
      <c r="AA402" s="3" t="s">
        <v>23</v>
      </c>
      <c r="AB402" s="3" t="str">
        <f>IFERROR(MID(VLOOKUP($B402,Seqs!$A:$B,2,0),AC402,1),"")</f>
        <v>L</v>
      </c>
      <c r="AC402" s="9">
        <v>226</v>
      </c>
      <c r="AD402" s="3" t="str">
        <f>IFERROR(MID(VLOOKUP($B402,Seqs!$A:$B,2,0),AE402,1),"")</f>
        <v>D</v>
      </c>
      <c r="AE402" s="3">
        <v>254</v>
      </c>
      <c r="AF402" s="3" t="str">
        <f>IFERROR(MID(VLOOKUP($B402,Seqs!$A:$B,2,0),AG402,1),"")</f>
        <v>C</v>
      </c>
      <c r="AG402" s="3">
        <v>258</v>
      </c>
      <c r="AH402" s="3" t="str">
        <f>IFERROR(MID(VLOOKUP($B402,Seqs!$A:$B,2,0),AI402,1),"")</f>
        <v>F</v>
      </c>
      <c r="AI402" s="3">
        <v>260</v>
      </c>
      <c r="AJ402" s="3" t="str">
        <f>IFERROR(MID(VLOOKUP($B402,Seqs!$A:$B,2,0),AK402,1),"")</f>
        <v>T</v>
      </c>
      <c r="AK402" s="3">
        <v>268</v>
      </c>
      <c r="AL402" s="3" t="str">
        <f>IFERROR(MID(VLOOKUP($B402,Seqs!$A:$B,2,0),AM402,1),"")</f>
        <v>L</v>
      </c>
      <c r="AM402" s="3">
        <v>298</v>
      </c>
      <c r="AN402" s="3" t="str">
        <f>IFERROR(MID(VLOOKUP($B402,Seqs!$A:$B,2,0),AO402,1),"")</f>
        <v>S</v>
      </c>
      <c r="AO402" s="3">
        <v>304</v>
      </c>
      <c r="AP402" s="3" t="str">
        <f>IFERROR(MID(VLOOKUP($B402,Seqs!$A:$B,2,0),AQ402,1),"")</f>
        <v>V</v>
      </c>
      <c r="AQ402" s="3">
        <v>332</v>
      </c>
      <c r="AR402" s="3" t="str">
        <f>IFERROR(MID(VLOOKUP($B402,Seqs!$A:$B,2,0),AS402,1),"")</f>
        <v>E</v>
      </c>
      <c r="AS402" s="3">
        <v>338</v>
      </c>
      <c r="AT402" s="3" t="str">
        <f>IFERROR(MID(VLOOKUP($B402,Seqs!$A:$B,2,0),AU402,1),"")</f>
        <v>L</v>
      </c>
      <c r="AU402" s="3">
        <v>366</v>
      </c>
      <c r="AV402" s="3" t="str">
        <f>IFERROR(MID(VLOOKUP($B402,Seqs!$A:$B,2,0),AW402,1),"")</f>
        <v>N</v>
      </c>
      <c r="AW402" s="3">
        <v>367</v>
      </c>
      <c r="AX402" s="3" t="str">
        <f>IFERROR(MID(VLOOKUP($B402,Seqs!$A:$B,2,0),AY402,1),"")</f>
        <v>A</v>
      </c>
      <c r="AY402" s="3">
        <v>392</v>
      </c>
      <c r="AZ402" s="77" t="str">
        <f>VLOOKUP(B402,Classification!A:D,2,0)</f>
        <v>B1</v>
      </c>
      <c r="BA402" s="94" t="str">
        <f>VLOOKUP(B402,Classification!A:D,4,0)</f>
        <v>Corticotropin-releasingfact</v>
      </c>
      <c r="BB402" s="27" t="b">
        <f t="shared" si="1114"/>
        <v>1</v>
      </c>
      <c r="BC402" s="23">
        <f t="shared" ref="BC402:BC456" si="1187">_xlfn.AGGREGATE(9,6,CH402:CS402)-_xlfn.AGGREGATE(9,6,BV402:CG402)+12</f>
        <v>257</v>
      </c>
      <c r="BD402" s="56" t="s">
        <v>23</v>
      </c>
      <c r="BE402" s="3" t="s">
        <v>23</v>
      </c>
      <c r="BF402" s="118" t="s">
        <v>23</v>
      </c>
      <c r="BG402" s="49" t="s">
        <v>1366</v>
      </c>
      <c r="BH402" s="49" t="s">
        <v>1371</v>
      </c>
      <c r="BI402" s="1"/>
      <c r="BJ402" s="70" t="s">
        <v>1281</v>
      </c>
      <c r="BK402" s="57" t="s">
        <v>1281</v>
      </c>
      <c r="BL402" s="57" t="s">
        <v>1281</v>
      </c>
      <c r="BM402" s="57" t="s">
        <v>1281</v>
      </c>
      <c r="BN402" s="57" t="s">
        <v>1281</v>
      </c>
      <c r="BO402" s="57" t="s">
        <v>1281</v>
      </c>
      <c r="BP402" s="57" t="s">
        <v>1281</v>
      </c>
      <c r="BQ402" s="57" t="s">
        <v>1281</v>
      </c>
      <c r="BR402" s="57" t="s">
        <v>1281</v>
      </c>
      <c r="BS402" s="57" t="s">
        <v>1281</v>
      </c>
      <c r="BT402" s="57" t="s">
        <v>1281</v>
      </c>
      <c r="BU402" s="57" t="s">
        <v>1281</v>
      </c>
      <c r="BV402" s="70">
        <f>E402</f>
        <v>103</v>
      </c>
      <c r="BW402" s="71">
        <f>I402</f>
        <v>145</v>
      </c>
      <c r="BX402" s="72">
        <f>M402</f>
        <v>149</v>
      </c>
      <c r="BY402" s="71" t="str">
        <f>Q402</f>
        <v>-</v>
      </c>
      <c r="BZ402" s="72">
        <f>U402</f>
        <v>185</v>
      </c>
      <c r="CA402" s="71" t="str">
        <f>Y402</f>
        <v>-</v>
      </c>
      <c r="CB402" s="72">
        <f>AC402</f>
        <v>226</v>
      </c>
      <c r="CC402" s="71">
        <f>AG402</f>
        <v>258</v>
      </c>
      <c r="CD402" s="72">
        <f>AK402</f>
        <v>268</v>
      </c>
      <c r="CE402" s="71">
        <f>AO402</f>
        <v>304</v>
      </c>
      <c r="CF402" s="72">
        <f>AS402</f>
        <v>338</v>
      </c>
      <c r="CG402" s="71">
        <f>AW402</f>
        <v>367</v>
      </c>
      <c r="CH402" s="70">
        <f>G402</f>
        <v>144</v>
      </c>
      <c r="CI402" s="71">
        <f>K402</f>
        <v>148</v>
      </c>
      <c r="CJ402" s="72">
        <f>O402</f>
        <v>175</v>
      </c>
      <c r="CK402" s="72" t="str">
        <f>S402</f>
        <v>-</v>
      </c>
      <c r="CL402" s="72">
        <f>W402</f>
        <v>219</v>
      </c>
      <c r="CM402" s="72" t="str">
        <f>AA402</f>
        <v>-</v>
      </c>
      <c r="CN402" s="72">
        <f>AE402</f>
        <v>254</v>
      </c>
      <c r="CO402" s="72">
        <f>AI402</f>
        <v>260</v>
      </c>
      <c r="CP402" s="72">
        <f>AM402</f>
        <v>298</v>
      </c>
      <c r="CQ402" s="72">
        <f>AQ402</f>
        <v>332</v>
      </c>
      <c r="CR402" s="72">
        <f>AU402</f>
        <v>366</v>
      </c>
      <c r="CS402" s="72">
        <f>AY402</f>
        <v>392</v>
      </c>
      <c r="CT402" s="23">
        <f>M402-K402</f>
        <v>1</v>
      </c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  <c r="ALN402" s="1"/>
      <c r="ALO402" s="1"/>
      <c r="ALP402" s="1"/>
      <c r="ALQ402" s="1"/>
      <c r="ALR402" s="1"/>
      <c r="ALS402" s="1"/>
      <c r="ALT402" s="1"/>
      <c r="ALU402" s="1"/>
      <c r="ALV402" s="1"/>
      <c r="ALW402" s="1"/>
      <c r="ALX402" s="1"/>
      <c r="ALY402" s="1"/>
      <c r="ALZ402" s="1"/>
      <c r="AMA402" s="1"/>
      <c r="AMB402" s="1"/>
      <c r="AMC402" s="1"/>
      <c r="AMD402" s="1"/>
      <c r="AME402" s="1"/>
      <c r="AMF402" s="1"/>
      <c r="AMG402" s="1"/>
      <c r="AMH402" s="1"/>
      <c r="AMI402" s="1"/>
      <c r="AMJ402" s="1"/>
      <c r="AMK402" s="1"/>
      <c r="AML402" s="1"/>
      <c r="AMM402" s="1"/>
      <c r="AMN402" s="1"/>
      <c r="AMO402" s="1"/>
    </row>
    <row r="403" spans="1:1030" x14ac:dyDescent="0.2">
      <c r="A403" s="3" t="str">
        <f>CONCATENATE(B403,"_",C403)</f>
        <v>crfr1_human_4K5Y</v>
      </c>
      <c r="B403" s="3" t="s">
        <v>38</v>
      </c>
      <c r="C403" s="3" t="s">
        <v>95</v>
      </c>
      <c r="D403" s="3" t="str">
        <f>IFERROR(MID(VLOOKUP($B403,Seqs!$A:$B,2,0),E403,1),"")</f>
        <v>H</v>
      </c>
      <c r="E403" s="3">
        <v>117</v>
      </c>
      <c r="F403" s="3" t="str">
        <f>IFERROR(MID(VLOOKUP($B403,Seqs!$A:$B,2,0),G403,1),"")</f>
        <v>L</v>
      </c>
      <c r="G403" s="3">
        <v>144</v>
      </c>
      <c r="H403" s="3" t="str">
        <f>IFERROR(MID(VLOOKUP($B403,Seqs!$A:$B,2,0),I403,1),"")</f>
        <v>R</v>
      </c>
      <c r="I403" s="23">
        <v>145</v>
      </c>
      <c r="J403" s="3" t="str">
        <f>IFERROR(MID(VLOOKUP($B403,Seqs!$A:$B,2,0),K403,1),"")</f>
        <v>R</v>
      </c>
      <c r="K403" s="23">
        <v>148</v>
      </c>
      <c r="L403" s="3" t="str">
        <f>IFERROR(MID(VLOOKUP($B403,Seqs!$A:$B,2,0),M403,1),"")</f>
        <v>C</v>
      </c>
      <c r="M403" s="23">
        <v>149</v>
      </c>
      <c r="N403" s="3" t="str">
        <f>IFERROR(MID(VLOOKUP($B403,Seqs!$A:$B,2,0),O403,1),"")</f>
        <v>T</v>
      </c>
      <c r="O403" s="3">
        <v>175</v>
      </c>
      <c r="P403" s="3" t="str">
        <f>IFERROR(MID(VLOOKUP($B403,Seqs!$A:$B,2,0),Q403,1),"")</f>
        <v/>
      </c>
      <c r="Q403" s="3" t="s">
        <v>23</v>
      </c>
      <c r="R403" s="3" t="str">
        <f>IFERROR(MID(VLOOKUP($B403,Seqs!$A:$B,2,0),S403,1),"")</f>
        <v/>
      </c>
      <c r="S403" s="3" t="s">
        <v>23</v>
      </c>
      <c r="T403" s="3" t="str">
        <f>IFERROR(MID(VLOOKUP($B403,Seqs!$A:$B,2,0),U403,1),"")</f>
        <v>V</v>
      </c>
      <c r="U403" s="3">
        <v>185</v>
      </c>
      <c r="V403" s="3" t="str">
        <f>IFERROR(MID(VLOOKUP($B403,Seqs!$A:$B,2,0),W403,1),"")</f>
        <v>L</v>
      </c>
      <c r="W403" s="3">
        <v>219</v>
      </c>
      <c r="X403" s="3" t="str">
        <f>IFERROR(MID(VLOOKUP($B403,Seqs!$A:$B,2,0),Y403,1),"")</f>
        <v/>
      </c>
      <c r="Y403" s="3" t="s">
        <v>23</v>
      </c>
      <c r="Z403" s="3" t="str">
        <f>IFERROR(MID(VLOOKUP($B403,Seqs!$A:$B,2,0),AA403,1),"")</f>
        <v/>
      </c>
      <c r="AA403" s="3" t="s">
        <v>23</v>
      </c>
      <c r="AB403" s="3" t="str">
        <f>IFERROR(MID(VLOOKUP($B403,Seqs!$A:$B,2,0),AC403,1),"")</f>
        <v>L</v>
      </c>
      <c r="AC403" s="9">
        <v>226</v>
      </c>
      <c r="AD403" s="3" t="str">
        <f>IFERROR(MID(VLOOKUP($B403,Seqs!$A:$B,2,0),AE403,1),"")</f>
        <v>D</v>
      </c>
      <c r="AE403" s="3">
        <v>254</v>
      </c>
      <c r="AF403" s="3" t="str">
        <f>IFERROR(MID(VLOOKUP($B403,Seqs!$A:$B,2,0),AG403,1),"")</f>
        <v>C</v>
      </c>
      <c r="AG403" s="3">
        <v>258</v>
      </c>
      <c r="AH403" s="3" t="str">
        <f>IFERROR(MID(VLOOKUP($B403,Seqs!$A:$B,2,0),AI403,1),"")</f>
        <v>F</v>
      </c>
      <c r="AI403" s="3">
        <v>260</v>
      </c>
      <c r="AJ403" s="3" t="str">
        <f>IFERROR(MID(VLOOKUP($B403,Seqs!$A:$B,2,0),AK403,1),"")</f>
        <v>T</v>
      </c>
      <c r="AK403" s="3">
        <v>268</v>
      </c>
      <c r="AL403" s="3" t="str">
        <f>IFERROR(MID(VLOOKUP($B403,Seqs!$A:$B,2,0),AM403,1),"")</f>
        <v>L</v>
      </c>
      <c r="AM403" s="3">
        <v>298</v>
      </c>
      <c r="AN403" s="3" t="str">
        <f>IFERROR(MID(VLOOKUP($B403,Seqs!$A:$B,2,0),AO403,1),"")</f>
        <v>S</v>
      </c>
      <c r="AO403" s="3">
        <v>304</v>
      </c>
      <c r="AP403" s="3" t="str">
        <f>IFERROR(MID(VLOOKUP($B403,Seqs!$A:$B,2,0),AQ403,1),"")</f>
        <v>V</v>
      </c>
      <c r="AQ403" s="3">
        <v>332</v>
      </c>
      <c r="AR403" s="3" t="str">
        <f>IFERROR(MID(VLOOKUP($B403,Seqs!$A:$B,2,0),AS403,1),"")</f>
        <v>E</v>
      </c>
      <c r="AS403" s="3">
        <v>338</v>
      </c>
      <c r="AT403" s="3" t="str">
        <f>IFERROR(MID(VLOOKUP($B403,Seqs!$A:$B,2,0),AU403,1),"")</f>
        <v>F</v>
      </c>
      <c r="AU403" s="3">
        <v>362</v>
      </c>
      <c r="AV403" s="3" t="str">
        <f>IFERROR(MID(VLOOKUP($B403,Seqs!$A:$B,2,0),AW403,1),"")</f>
        <v/>
      </c>
      <c r="AW403" s="3" t="s">
        <v>23</v>
      </c>
      <c r="AX403" s="3" t="str">
        <f>IFERROR(MID(VLOOKUP($B403,Seqs!$A:$B,2,0),AY403,1),"")</f>
        <v/>
      </c>
      <c r="AY403" s="3" t="s">
        <v>23</v>
      </c>
      <c r="AZ403" s="77" t="str">
        <f>VLOOKUP(B403,Classification!A:D,2,0)</f>
        <v>B1</v>
      </c>
      <c r="BA403" s="94" t="str">
        <f>VLOOKUP(B403,Classification!A:D,4,0)</f>
        <v>Corticotropin-releasingfact</v>
      </c>
      <c r="BB403" s="27" t="b">
        <f t="shared" si="1114"/>
        <v>1</v>
      </c>
      <c r="BC403" s="23">
        <f t="shared" si="1187"/>
        <v>214</v>
      </c>
      <c r="BD403" s="4" t="s">
        <v>23</v>
      </c>
      <c r="BE403" s="3" t="s">
        <v>1368</v>
      </c>
      <c r="BF403" s="118">
        <v>2.98</v>
      </c>
      <c r="BG403" s="49" t="s">
        <v>1371</v>
      </c>
      <c r="BH403" s="49" t="s">
        <v>1371</v>
      </c>
      <c r="BI403" s="1"/>
      <c r="BJ403" s="70" t="s">
        <v>1281</v>
      </c>
      <c r="BK403" s="57" t="s">
        <v>1281</v>
      </c>
      <c r="BL403" s="57" t="s">
        <v>1281</v>
      </c>
      <c r="BM403" s="57" t="s">
        <v>1281</v>
      </c>
      <c r="BN403" s="57" t="s">
        <v>1281</v>
      </c>
      <c r="BO403" s="57" t="s">
        <v>1281</v>
      </c>
      <c r="BP403" s="57" t="s">
        <v>1281</v>
      </c>
      <c r="BQ403" s="57" t="s">
        <v>1281</v>
      </c>
      <c r="BR403" s="57" t="s">
        <v>1281</v>
      </c>
      <c r="BS403" s="57" t="s">
        <v>1281</v>
      </c>
      <c r="BT403" s="57" t="s">
        <v>1281</v>
      </c>
      <c r="BU403" s="57" t="s">
        <v>1281</v>
      </c>
      <c r="BV403" s="70">
        <f>E403</f>
        <v>117</v>
      </c>
      <c r="BW403" s="71">
        <f>I403</f>
        <v>145</v>
      </c>
      <c r="BX403" s="72">
        <f>M403</f>
        <v>149</v>
      </c>
      <c r="BY403" s="71" t="str">
        <f>Q403</f>
        <v>-</v>
      </c>
      <c r="BZ403" s="72">
        <f>U403</f>
        <v>185</v>
      </c>
      <c r="CA403" s="71" t="str">
        <f>Y403</f>
        <v>-</v>
      </c>
      <c r="CB403" s="72">
        <f>AC403</f>
        <v>226</v>
      </c>
      <c r="CC403" s="71">
        <f>AG403</f>
        <v>258</v>
      </c>
      <c r="CD403" s="72">
        <f>AK403</f>
        <v>268</v>
      </c>
      <c r="CE403" s="71">
        <f>AO403</f>
        <v>304</v>
      </c>
      <c r="CF403" s="72">
        <f>AS403</f>
        <v>338</v>
      </c>
      <c r="CG403" s="71" t="str">
        <f>AW403</f>
        <v>-</v>
      </c>
      <c r="CH403" s="70">
        <f>G403</f>
        <v>144</v>
      </c>
      <c r="CI403" s="71">
        <f>K403</f>
        <v>148</v>
      </c>
      <c r="CJ403" s="72">
        <f>O403</f>
        <v>175</v>
      </c>
      <c r="CK403" s="72" t="str">
        <f>S403</f>
        <v>-</v>
      </c>
      <c r="CL403" s="72">
        <f>W403</f>
        <v>219</v>
      </c>
      <c r="CM403" s="72" t="str">
        <f>AA403</f>
        <v>-</v>
      </c>
      <c r="CN403" s="72">
        <f>AE403</f>
        <v>254</v>
      </c>
      <c r="CO403" s="72">
        <f>AI403</f>
        <v>260</v>
      </c>
      <c r="CP403" s="72">
        <f>AM403</f>
        <v>298</v>
      </c>
      <c r="CQ403" s="72">
        <f>AQ403</f>
        <v>332</v>
      </c>
      <c r="CR403" s="72">
        <f>AU403</f>
        <v>362</v>
      </c>
      <c r="CS403" s="72" t="str">
        <f>AY403</f>
        <v>-</v>
      </c>
      <c r="CT403" s="23">
        <f>M403-K403</f>
        <v>1</v>
      </c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  <c r="ALN403" s="1"/>
      <c r="ALO403" s="1"/>
      <c r="ALP403" s="1"/>
      <c r="ALQ403" s="1"/>
      <c r="ALR403" s="1"/>
      <c r="ALS403" s="1"/>
      <c r="ALT403" s="1"/>
      <c r="ALU403" s="1"/>
      <c r="ALV403" s="1"/>
      <c r="ALW403" s="1"/>
      <c r="ALX403" s="1"/>
      <c r="ALY403" s="1"/>
      <c r="ALZ403" s="1"/>
      <c r="AMA403" s="1"/>
      <c r="AMB403" s="1"/>
      <c r="AMC403" s="1"/>
      <c r="AMD403" s="1"/>
      <c r="AME403" s="1"/>
      <c r="AMF403" s="1"/>
      <c r="AMG403" s="1"/>
      <c r="AMH403" s="1"/>
      <c r="AMI403" s="1"/>
      <c r="AMJ403" s="1"/>
      <c r="AMK403" s="1"/>
      <c r="AML403" s="1"/>
      <c r="AMM403" s="1"/>
      <c r="AMN403" s="1"/>
      <c r="AMO403" s="1"/>
    </row>
    <row r="404" spans="1:1030" x14ac:dyDescent="0.2">
      <c r="A404" s="3" t="str">
        <f>CONCATENATE(B404,"_",C404)</f>
        <v>crfr1_human_4K5Y_dist</v>
      </c>
      <c r="B404" s="3" t="s">
        <v>38</v>
      </c>
      <c r="C404" s="3" t="s">
        <v>1154</v>
      </c>
      <c r="D404" s="3" t="str">
        <f>IFERROR(MID(VLOOKUP($B404,Seqs!$A:$B,2,0),E404,1),"")</f>
        <v>H</v>
      </c>
      <c r="E404" s="3">
        <v>117</v>
      </c>
      <c r="F404" s="3" t="str">
        <f>IFERROR(MID(VLOOKUP($B404,Seqs!$A:$B,2,0),G404,1),"")</f>
        <v>L</v>
      </c>
      <c r="G404" s="3">
        <v>144</v>
      </c>
      <c r="H404" s="3" t="str">
        <f>IFERROR(MID(VLOOKUP($B404,Seqs!$A:$B,2,0),I404,1),"")</f>
        <v>R</v>
      </c>
      <c r="I404" s="23">
        <v>145</v>
      </c>
      <c r="J404" s="3" t="str">
        <f>IFERROR(MID(VLOOKUP($B404,Seqs!$A:$B,2,0),K404,1),"")</f>
        <v>R</v>
      </c>
      <c r="K404" s="23">
        <v>148</v>
      </c>
      <c r="L404" s="3" t="str">
        <f>IFERROR(MID(VLOOKUP($B404,Seqs!$A:$B,2,0),M404,1),"")</f>
        <v>C</v>
      </c>
      <c r="M404" s="23">
        <v>149</v>
      </c>
      <c r="N404" s="3" t="str">
        <f>IFERROR(MID(VLOOKUP($B404,Seqs!$A:$B,2,0),O404,1),"")</f>
        <v>T</v>
      </c>
      <c r="O404" s="3">
        <v>175</v>
      </c>
      <c r="P404" s="3" t="str">
        <f>IFERROR(MID(VLOOKUP($B404,Seqs!$A:$B,2,0),Q404,1),"")</f>
        <v/>
      </c>
      <c r="Q404" s="3" t="s">
        <v>23</v>
      </c>
      <c r="R404" s="3" t="str">
        <f>IFERROR(MID(VLOOKUP($B404,Seqs!$A:$B,2,0),S404,1),"")</f>
        <v/>
      </c>
      <c r="S404" s="3" t="s">
        <v>23</v>
      </c>
      <c r="T404" s="3" t="str">
        <f>IFERROR(MID(VLOOKUP($B404,Seqs!$A:$B,2,0),U404,1),"")</f>
        <v>V</v>
      </c>
      <c r="U404" s="3">
        <v>185</v>
      </c>
      <c r="V404" s="3" t="str">
        <f>IFERROR(MID(VLOOKUP($B404,Seqs!$A:$B,2,0),W404,1),"")</f>
        <v>L</v>
      </c>
      <c r="W404" s="3">
        <v>219</v>
      </c>
      <c r="X404" s="3" t="str">
        <f>IFERROR(MID(VLOOKUP($B404,Seqs!$A:$B,2,0),Y404,1),"")</f>
        <v/>
      </c>
      <c r="Y404" s="3" t="s">
        <v>23</v>
      </c>
      <c r="Z404" s="3" t="str">
        <f>IFERROR(MID(VLOOKUP($B404,Seqs!$A:$B,2,0),AA404,1),"")</f>
        <v/>
      </c>
      <c r="AA404" s="3" t="s">
        <v>23</v>
      </c>
      <c r="AB404" s="3" t="str">
        <f>IFERROR(MID(VLOOKUP($B404,Seqs!$A:$B,2,0),AC404,1),"")</f>
        <v>L</v>
      </c>
      <c r="AC404" s="9">
        <v>226</v>
      </c>
      <c r="AD404" s="3" t="str">
        <f>IFERROR(MID(VLOOKUP($B404,Seqs!$A:$B,2,0),AE404,1),"")</f>
        <v>D</v>
      </c>
      <c r="AE404" s="3">
        <v>254</v>
      </c>
      <c r="AF404" s="3" t="str">
        <f>IFERROR(MID(VLOOKUP($B404,Seqs!$A:$B,2,0),AG404,1),"")</f>
        <v>C</v>
      </c>
      <c r="AG404" s="3">
        <v>258</v>
      </c>
      <c r="AH404" s="3" t="str">
        <f>IFERROR(MID(VLOOKUP($B404,Seqs!$A:$B,2,0),AI404,1),"")</f>
        <v>F</v>
      </c>
      <c r="AI404" s="3">
        <v>260</v>
      </c>
      <c r="AJ404" s="3" t="str">
        <f>IFERROR(MID(VLOOKUP($B404,Seqs!$A:$B,2,0),AK404,1),"")</f>
        <v>T</v>
      </c>
      <c r="AK404" s="3">
        <v>268</v>
      </c>
      <c r="AL404" s="3" t="str">
        <f>IFERROR(MID(VLOOKUP($B404,Seqs!$A:$B,2,0),AM404,1),"")</f>
        <v>L</v>
      </c>
      <c r="AM404" s="3">
        <v>298</v>
      </c>
      <c r="AN404" s="3" t="str">
        <f>IFERROR(MID(VLOOKUP($B404,Seqs!$A:$B,2,0),AO404,1),"")</f>
        <v>S</v>
      </c>
      <c r="AO404" s="3">
        <v>304</v>
      </c>
      <c r="AP404" s="3" t="str">
        <f>IFERROR(MID(VLOOKUP($B404,Seqs!$A:$B,2,0),AQ404,1),"")</f>
        <v>V</v>
      </c>
      <c r="AQ404" s="3">
        <v>332</v>
      </c>
      <c r="AR404" s="3" t="str">
        <f>IFERROR(MID(VLOOKUP($B404,Seqs!$A:$B,2,0),AS404,1),"")</f>
        <v>E</v>
      </c>
      <c r="AS404" s="3">
        <v>338</v>
      </c>
      <c r="AT404" s="3" t="str">
        <f>IFERROR(MID(VLOOKUP($B404,Seqs!$A:$B,2,0),AU404,1),"")</f>
        <v>L</v>
      </c>
      <c r="AU404" s="3">
        <v>366</v>
      </c>
      <c r="AV404" s="3" t="str">
        <f>IFERROR(MID(VLOOKUP($B404,Seqs!$A:$B,2,0),AW404,1),"")</f>
        <v/>
      </c>
      <c r="AW404" s="3" t="s">
        <v>23</v>
      </c>
      <c r="AX404" s="3" t="str">
        <f>IFERROR(MID(VLOOKUP($B404,Seqs!$A:$B,2,0),AY404,1),"")</f>
        <v/>
      </c>
      <c r="AY404" s="3" t="s">
        <v>23</v>
      </c>
      <c r="AZ404" s="77" t="str">
        <f>VLOOKUP(B404,Classification!A:D,2,0)</f>
        <v>B1</v>
      </c>
      <c r="BA404" s="94" t="str">
        <f>VLOOKUP(B404,Classification!A:D,4,0)</f>
        <v>Corticotropin-releasingfact</v>
      </c>
      <c r="BB404" s="27" t="b">
        <f t="shared" si="1114"/>
        <v>1</v>
      </c>
      <c r="BC404" s="23">
        <f t="shared" si="1187"/>
        <v>218</v>
      </c>
      <c r="BD404" s="56" t="s">
        <v>23</v>
      </c>
      <c r="BE404" s="3" t="s">
        <v>1368</v>
      </c>
      <c r="BF404" s="118">
        <v>2.98</v>
      </c>
      <c r="BG404" s="49" t="s">
        <v>1371</v>
      </c>
      <c r="BH404" s="49" t="s">
        <v>1371</v>
      </c>
      <c r="BI404" s="3" t="s">
        <v>1156</v>
      </c>
      <c r="BJ404" s="70" t="s">
        <v>1281</v>
      </c>
      <c r="BK404" s="57" t="s">
        <v>1281</v>
      </c>
      <c r="BL404" s="57" t="s">
        <v>1281</v>
      </c>
      <c r="BM404" s="57" t="s">
        <v>1281</v>
      </c>
      <c r="BN404" s="57" t="s">
        <v>1281</v>
      </c>
      <c r="BO404" s="57" t="s">
        <v>1281</v>
      </c>
      <c r="BP404" s="57" t="s">
        <v>1281</v>
      </c>
      <c r="BQ404" s="57" t="s">
        <v>1281</v>
      </c>
      <c r="BR404" s="57" t="s">
        <v>1281</v>
      </c>
      <c r="BS404" s="57" t="s">
        <v>1281</v>
      </c>
      <c r="BT404" s="57" t="s">
        <v>1281</v>
      </c>
      <c r="BU404" s="57" t="s">
        <v>1281</v>
      </c>
      <c r="BV404" s="70">
        <f>E404</f>
        <v>117</v>
      </c>
      <c r="BW404" s="71">
        <f>I404</f>
        <v>145</v>
      </c>
      <c r="BX404" s="72">
        <f>M404</f>
        <v>149</v>
      </c>
      <c r="BY404" s="71" t="str">
        <f>Q404</f>
        <v>-</v>
      </c>
      <c r="BZ404" s="72">
        <f>U404</f>
        <v>185</v>
      </c>
      <c r="CA404" s="71" t="str">
        <f>Y404</f>
        <v>-</v>
      </c>
      <c r="CB404" s="72">
        <f>AC404</f>
        <v>226</v>
      </c>
      <c r="CC404" s="71">
        <f>AG404</f>
        <v>258</v>
      </c>
      <c r="CD404" s="72">
        <f>AK404</f>
        <v>268</v>
      </c>
      <c r="CE404" s="71">
        <f>AO404</f>
        <v>304</v>
      </c>
      <c r="CF404" s="72">
        <f>AS404</f>
        <v>338</v>
      </c>
      <c r="CG404" s="71" t="str">
        <f>AW404</f>
        <v>-</v>
      </c>
      <c r="CH404" s="70">
        <f>G404</f>
        <v>144</v>
      </c>
      <c r="CI404" s="71">
        <f>K404</f>
        <v>148</v>
      </c>
      <c r="CJ404" s="72">
        <f>O404</f>
        <v>175</v>
      </c>
      <c r="CK404" s="72" t="str">
        <f>S404</f>
        <v>-</v>
      </c>
      <c r="CL404" s="72">
        <f>W404</f>
        <v>219</v>
      </c>
      <c r="CM404" s="72" t="str">
        <f>AA404</f>
        <v>-</v>
      </c>
      <c r="CN404" s="72">
        <f>AE404</f>
        <v>254</v>
      </c>
      <c r="CO404" s="72">
        <f>AI404</f>
        <v>260</v>
      </c>
      <c r="CP404" s="72">
        <f>AM404</f>
        <v>298</v>
      </c>
      <c r="CQ404" s="72">
        <f>AQ404</f>
        <v>332</v>
      </c>
      <c r="CR404" s="72">
        <f>AU404</f>
        <v>366</v>
      </c>
      <c r="CS404" s="72" t="str">
        <f>AY404</f>
        <v>-</v>
      </c>
      <c r="CT404" s="23">
        <f>M404-K404</f>
        <v>1</v>
      </c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"/>
      <c r="NI404" s="1"/>
      <c r="NJ404" s="1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  <c r="OB404" s="1"/>
      <c r="OC404" s="1"/>
      <c r="OD404" s="1"/>
      <c r="OE404" s="1"/>
      <c r="OF404" s="1"/>
      <c r="OG404" s="1"/>
      <c r="OH404" s="1"/>
      <c r="OI404" s="1"/>
      <c r="OJ404" s="1"/>
      <c r="OK404" s="1"/>
      <c r="OL404" s="1"/>
      <c r="OM404" s="1"/>
      <c r="ON404" s="1"/>
      <c r="OO404" s="1"/>
      <c r="OP404" s="1"/>
      <c r="OQ404" s="1"/>
      <c r="OR404" s="1"/>
      <c r="OS404" s="1"/>
      <c r="OT404" s="1"/>
      <c r="OU404" s="1"/>
      <c r="OV404" s="1"/>
      <c r="OW404" s="1"/>
      <c r="OX404" s="1"/>
      <c r="OY404" s="1"/>
      <c r="OZ404" s="1"/>
      <c r="PA404" s="1"/>
      <c r="PB404" s="1"/>
      <c r="PC404" s="1"/>
      <c r="PD404" s="1"/>
      <c r="PE404" s="1"/>
      <c r="PF404" s="1"/>
      <c r="PG404" s="1"/>
      <c r="PH404" s="1"/>
      <c r="PI404" s="1"/>
      <c r="PJ404" s="1"/>
      <c r="PK404" s="1"/>
      <c r="PL404" s="1"/>
      <c r="PM404" s="1"/>
      <c r="PN404" s="1"/>
      <c r="PO404" s="1"/>
      <c r="PP404" s="1"/>
      <c r="PQ404" s="1"/>
      <c r="PR404" s="1"/>
      <c r="PS404" s="1"/>
      <c r="PT404" s="1"/>
      <c r="PU404" s="1"/>
      <c r="PV404" s="1"/>
      <c r="PW404" s="1"/>
      <c r="PX404" s="1"/>
      <c r="PY404" s="1"/>
      <c r="PZ404" s="1"/>
      <c r="QA404" s="1"/>
      <c r="QB404" s="1"/>
      <c r="QC404" s="1"/>
      <c r="QD404" s="1"/>
      <c r="QE404" s="1"/>
      <c r="QF404" s="1"/>
      <c r="QG404" s="1"/>
      <c r="QH404" s="1"/>
      <c r="QI404" s="1"/>
      <c r="QJ404" s="1"/>
      <c r="QK404" s="1"/>
      <c r="QL404" s="1"/>
      <c r="QM404" s="1"/>
      <c r="QN404" s="1"/>
      <c r="QO404" s="1"/>
      <c r="QP404" s="1"/>
      <c r="QQ404" s="1"/>
      <c r="QR404" s="1"/>
      <c r="QS404" s="1"/>
      <c r="QT404" s="1"/>
      <c r="QU404" s="1"/>
      <c r="QV404" s="1"/>
      <c r="QW404" s="1"/>
      <c r="QX404" s="1"/>
      <c r="QY404" s="1"/>
      <c r="QZ404" s="1"/>
      <c r="RA404" s="1"/>
      <c r="RB404" s="1"/>
      <c r="RC404" s="1"/>
      <c r="RD404" s="1"/>
      <c r="RE404" s="1"/>
      <c r="RF404" s="1"/>
      <c r="RG404" s="1"/>
      <c r="RH404" s="1"/>
      <c r="RI404" s="1"/>
      <c r="RJ404" s="1"/>
      <c r="RK404" s="1"/>
      <c r="RL404" s="1"/>
      <c r="RM404" s="1"/>
      <c r="RN404" s="1"/>
      <c r="RO404" s="1"/>
      <c r="RP404" s="1"/>
      <c r="RQ404" s="1"/>
      <c r="RR404" s="1"/>
      <c r="RS404" s="1"/>
      <c r="RT404" s="1"/>
      <c r="RU404" s="1"/>
      <c r="RV404" s="1"/>
      <c r="RW404" s="1"/>
      <c r="RX404" s="1"/>
      <c r="RY404" s="1"/>
      <c r="RZ404" s="1"/>
      <c r="SA404" s="1"/>
      <c r="SB404" s="1"/>
      <c r="SC404" s="1"/>
      <c r="SD404" s="1"/>
      <c r="SE404" s="1"/>
      <c r="SF404" s="1"/>
      <c r="SG404" s="1"/>
      <c r="SH404" s="1"/>
      <c r="SI404" s="1"/>
      <c r="SJ404" s="1"/>
      <c r="SK404" s="1"/>
      <c r="SL404" s="1"/>
      <c r="SM404" s="1"/>
      <c r="SN404" s="1"/>
      <c r="SO404" s="1"/>
      <c r="SP404" s="1"/>
      <c r="SQ404" s="1"/>
      <c r="SR404" s="1"/>
      <c r="SS404" s="1"/>
      <c r="ST404" s="1"/>
      <c r="SU404" s="1"/>
      <c r="SV404" s="1"/>
      <c r="SW404" s="1"/>
      <c r="SX404" s="1"/>
      <c r="SY404" s="1"/>
      <c r="SZ404" s="1"/>
      <c r="TA404" s="1"/>
      <c r="TB404" s="1"/>
      <c r="TC404" s="1"/>
      <c r="TD404" s="1"/>
      <c r="TE404" s="1"/>
      <c r="TF404" s="1"/>
      <c r="TG404" s="1"/>
      <c r="TH404" s="1"/>
      <c r="TI404" s="1"/>
      <c r="TJ404" s="1"/>
      <c r="TK404" s="1"/>
      <c r="TL404" s="1"/>
      <c r="TM404" s="1"/>
      <c r="TN404" s="1"/>
      <c r="TO404" s="1"/>
      <c r="TP404" s="1"/>
      <c r="TQ404" s="1"/>
      <c r="TR404" s="1"/>
      <c r="TS404" s="1"/>
      <c r="TT404" s="1"/>
      <c r="TU404" s="1"/>
      <c r="TV404" s="1"/>
      <c r="TW404" s="1"/>
      <c r="TX404" s="1"/>
      <c r="TY404" s="1"/>
      <c r="TZ404" s="1"/>
      <c r="UA404" s="1"/>
      <c r="UB404" s="1"/>
      <c r="UC404" s="1"/>
      <c r="UD404" s="1"/>
      <c r="UE404" s="1"/>
      <c r="UF404" s="1"/>
      <c r="UG404" s="1"/>
      <c r="UH404" s="1"/>
      <c r="UI404" s="1"/>
      <c r="UJ404" s="1"/>
      <c r="UK404" s="1"/>
      <c r="UL404" s="1"/>
      <c r="UM404" s="1"/>
      <c r="UN404" s="1"/>
      <c r="UO404" s="1"/>
      <c r="UP404" s="1"/>
      <c r="UQ404" s="1"/>
      <c r="UR404" s="1"/>
      <c r="US404" s="1"/>
      <c r="UT404" s="1"/>
      <c r="UU404" s="1"/>
      <c r="UV404" s="1"/>
      <c r="UW404" s="1"/>
      <c r="UX404" s="1"/>
      <c r="UY404" s="1"/>
      <c r="UZ404" s="1"/>
      <c r="VA404" s="1"/>
      <c r="VB404" s="1"/>
      <c r="VC404" s="1"/>
      <c r="VD404" s="1"/>
      <c r="VE404" s="1"/>
      <c r="VF404" s="1"/>
      <c r="VG404" s="1"/>
      <c r="VH404" s="1"/>
      <c r="VI404" s="1"/>
      <c r="VJ404" s="1"/>
      <c r="VK404" s="1"/>
      <c r="VL404" s="1"/>
      <c r="VM404" s="1"/>
      <c r="VN404" s="1"/>
      <c r="VO404" s="1"/>
      <c r="VP404" s="1"/>
      <c r="VQ404" s="1"/>
      <c r="VR404" s="1"/>
      <c r="VS404" s="1"/>
      <c r="VT404" s="1"/>
      <c r="VU404" s="1"/>
      <c r="VV404" s="1"/>
      <c r="VW404" s="1"/>
      <c r="VX404" s="1"/>
      <c r="VY404" s="1"/>
      <c r="VZ404" s="1"/>
      <c r="WA404" s="1"/>
      <c r="WB404" s="1"/>
      <c r="WC404" s="1"/>
      <c r="WD404" s="1"/>
      <c r="WE404" s="1"/>
      <c r="WF404" s="1"/>
      <c r="WG404" s="1"/>
      <c r="WH404" s="1"/>
      <c r="WI404" s="1"/>
      <c r="WJ404" s="1"/>
      <c r="WK404" s="1"/>
      <c r="WL404" s="1"/>
      <c r="WM404" s="1"/>
      <c r="WN404" s="1"/>
      <c r="WO404" s="1"/>
      <c r="WP404" s="1"/>
      <c r="WQ404" s="1"/>
      <c r="WR404" s="1"/>
      <c r="WS404" s="1"/>
      <c r="WT404" s="1"/>
      <c r="WU404" s="1"/>
      <c r="WV404" s="1"/>
      <c r="WW404" s="1"/>
      <c r="WX404" s="1"/>
      <c r="WY404" s="1"/>
      <c r="WZ404" s="1"/>
      <c r="XA404" s="1"/>
      <c r="XB404" s="1"/>
      <c r="XC404" s="1"/>
      <c r="XD404" s="1"/>
      <c r="XE404" s="1"/>
      <c r="XF404" s="1"/>
      <c r="XG404" s="1"/>
      <c r="XH404" s="1"/>
      <c r="XI404" s="1"/>
      <c r="XJ404" s="1"/>
      <c r="XK404" s="1"/>
      <c r="XL404" s="1"/>
      <c r="XM404" s="1"/>
      <c r="XN404" s="1"/>
      <c r="XO404" s="1"/>
      <c r="XP404" s="1"/>
      <c r="XQ404" s="1"/>
      <c r="XR404" s="1"/>
      <c r="XS404" s="1"/>
      <c r="XT404" s="1"/>
      <c r="XU404" s="1"/>
      <c r="XV404" s="1"/>
      <c r="XW404" s="1"/>
      <c r="XX404" s="1"/>
      <c r="XY404" s="1"/>
      <c r="XZ404" s="1"/>
      <c r="YA404" s="1"/>
      <c r="YB404" s="1"/>
      <c r="YC404" s="1"/>
      <c r="YD404" s="1"/>
      <c r="YE404" s="1"/>
      <c r="YF404" s="1"/>
      <c r="YG404" s="1"/>
      <c r="YH404" s="1"/>
      <c r="YI404" s="1"/>
      <c r="YJ404" s="1"/>
      <c r="YK404" s="1"/>
      <c r="YL404" s="1"/>
      <c r="YM404" s="1"/>
      <c r="YN404" s="1"/>
      <c r="YO404" s="1"/>
      <c r="YP404" s="1"/>
      <c r="YQ404" s="1"/>
      <c r="YR404" s="1"/>
      <c r="YS404" s="1"/>
      <c r="YT404" s="1"/>
      <c r="YU404" s="1"/>
      <c r="YV404" s="1"/>
      <c r="YW404" s="1"/>
      <c r="YX404" s="1"/>
      <c r="YY404" s="1"/>
      <c r="YZ404" s="1"/>
      <c r="ZA404" s="1"/>
      <c r="ZB404" s="1"/>
      <c r="ZC404" s="1"/>
      <c r="ZD404" s="1"/>
      <c r="ZE404" s="1"/>
      <c r="ZF404" s="1"/>
      <c r="ZG404" s="1"/>
      <c r="ZH404" s="1"/>
      <c r="ZI404" s="1"/>
      <c r="ZJ404" s="1"/>
      <c r="ZK404" s="1"/>
      <c r="ZL404" s="1"/>
      <c r="ZM404" s="1"/>
      <c r="ZN404" s="1"/>
      <c r="ZO404" s="1"/>
      <c r="ZP404" s="1"/>
      <c r="ZQ404" s="1"/>
      <c r="ZR404" s="1"/>
      <c r="ZS404" s="1"/>
      <c r="ZT404" s="1"/>
      <c r="ZU404" s="1"/>
      <c r="ZV404" s="1"/>
      <c r="ZW404" s="1"/>
      <c r="ZX404" s="1"/>
      <c r="ZY404" s="1"/>
      <c r="ZZ404" s="1"/>
      <c r="AAA404" s="1"/>
      <c r="AAB404" s="1"/>
      <c r="AAC404" s="1"/>
      <c r="AAD404" s="1"/>
      <c r="AAE404" s="1"/>
      <c r="AAF404" s="1"/>
      <c r="AAG404" s="1"/>
      <c r="AAH404" s="1"/>
      <c r="AAI404" s="1"/>
      <c r="AAJ404" s="1"/>
      <c r="AAK404" s="1"/>
      <c r="AAL404" s="1"/>
      <c r="AAM404" s="1"/>
      <c r="AAN404" s="1"/>
      <c r="AAO404" s="1"/>
      <c r="AAP404" s="1"/>
      <c r="AAQ404" s="1"/>
      <c r="AAR404" s="1"/>
      <c r="AAS404" s="1"/>
      <c r="AAT404" s="1"/>
      <c r="AAU404" s="1"/>
      <c r="AAV404" s="1"/>
      <c r="AAW404" s="1"/>
      <c r="AAX404" s="1"/>
      <c r="AAY404" s="1"/>
      <c r="AAZ404" s="1"/>
      <c r="ABA404" s="1"/>
      <c r="ABB404" s="1"/>
      <c r="ABC404" s="1"/>
      <c r="ABD404" s="1"/>
      <c r="ABE404" s="1"/>
      <c r="ABF404" s="1"/>
      <c r="ABG404" s="1"/>
      <c r="ABH404" s="1"/>
      <c r="ABI404" s="1"/>
      <c r="ABJ404" s="1"/>
      <c r="ABK404" s="1"/>
      <c r="ABL404" s="1"/>
      <c r="ABM404" s="1"/>
      <c r="ABN404" s="1"/>
      <c r="ABO404" s="1"/>
      <c r="ABP404" s="1"/>
      <c r="ABQ404" s="1"/>
      <c r="ABR404" s="1"/>
      <c r="ABS404" s="1"/>
      <c r="ABT404" s="1"/>
      <c r="ABU404" s="1"/>
      <c r="ABV404" s="1"/>
      <c r="ABW404" s="1"/>
      <c r="ABX404" s="1"/>
      <c r="ABY404" s="1"/>
      <c r="ABZ404" s="1"/>
      <c r="ACA404" s="1"/>
      <c r="ACB404" s="1"/>
      <c r="ACC404" s="1"/>
      <c r="ACD404" s="1"/>
      <c r="ACE404" s="1"/>
      <c r="ACF404" s="1"/>
      <c r="ACG404" s="1"/>
      <c r="ACH404" s="1"/>
      <c r="ACI404" s="1"/>
      <c r="ACJ404" s="1"/>
      <c r="ACK404" s="1"/>
      <c r="ACL404" s="1"/>
      <c r="ACM404" s="1"/>
      <c r="ACN404" s="1"/>
      <c r="ACO404" s="1"/>
      <c r="ACP404" s="1"/>
      <c r="ACQ404" s="1"/>
      <c r="ACR404" s="1"/>
      <c r="ACS404" s="1"/>
      <c r="ACT404" s="1"/>
      <c r="ACU404" s="1"/>
      <c r="ACV404" s="1"/>
      <c r="ACW404" s="1"/>
      <c r="ACX404" s="1"/>
      <c r="ACY404" s="1"/>
      <c r="ACZ404" s="1"/>
      <c r="ADA404" s="1"/>
      <c r="ADB404" s="1"/>
      <c r="ADC404" s="1"/>
      <c r="ADD404" s="1"/>
      <c r="ADE404" s="1"/>
      <c r="ADF404" s="1"/>
      <c r="ADG404" s="1"/>
      <c r="ADH404" s="1"/>
      <c r="ADI404" s="1"/>
      <c r="ADJ404" s="1"/>
      <c r="ADK404" s="1"/>
      <c r="ADL404" s="1"/>
      <c r="ADM404" s="1"/>
      <c r="ADN404" s="1"/>
      <c r="ADO404" s="1"/>
      <c r="ADP404" s="1"/>
      <c r="ADQ404" s="1"/>
      <c r="ADR404" s="1"/>
      <c r="ADS404" s="1"/>
      <c r="ADT404" s="1"/>
      <c r="ADU404" s="1"/>
      <c r="ADV404" s="1"/>
      <c r="ADW404" s="1"/>
      <c r="ADX404" s="1"/>
      <c r="ADY404" s="1"/>
      <c r="ADZ404" s="1"/>
      <c r="AEA404" s="1"/>
      <c r="AEB404" s="1"/>
      <c r="AEC404" s="1"/>
      <c r="AED404" s="1"/>
      <c r="AEE404" s="1"/>
      <c r="AEF404" s="1"/>
      <c r="AEG404" s="1"/>
      <c r="AEH404" s="1"/>
      <c r="AEI404" s="1"/>
      <c r="AEJ404" s="1"/>
      <c r="AEK404" s="1"/>
      <c r="AEL404" s="1"/>
      <c r="AEM404" s="1"/>
      <c r="AEN404" s="1"/>
      <c r="AEO404" s="1"/>
      <c r="AEP404" s="1"/>
      <c r="AEQ404" s="1"/>
      <c r="AER404" s="1"/>
      <c r="AES404" s="1"/>
      <c r="AET404" s="1"/>
      <c r="AEU404" s="1"/>
      <c r="AEV404" s="1"/>
      <c r="AEW404" s="1"/>
      <c r="AEX404" s="1"/>
      <c r="AEY404" s="1"/>
      <c r="AEZ404" s="1"/>
      <c r="AFA404" s="1"/>
      <c r="AFB404" s="1"/>
      <c r="AFC404" s="1"/>
      <c r="AFD404" s="1"/>
      <c r="AFE404" s="1"/>
      <c r="AFF404" s="1"/>
      <c r="AFG404" s="1"/>
      <c r="AFH404" s="1"/>
      <c r="AFI404" s="1"/>
      <c r="AFJ404" s="1"/>
      <c r="AFK404" s="1"/>
      <c r="AFL404" s="1"/>
      <c r="AFM404" s="1"/>
      <c r="AFN404" s="1"/>
      <c r="AFO404" s="1"/>
      <c r="AFP404" s="1"/>
      <c r="AFQ404" s="1"/>
      <c r="AFR404" s="1"/>
      <c r="AFS404" s="1"/>
      <c r="AFT404" s="1"/>
      <c r="AFU404" s="1"/>
      <c r="AFV404" s="1"/>
      <c r="AFW404" s="1"/>
      <c r="AFX404" s="1"/>
      <c r="AFY404" s="1"/>
      <c r="AFZ404" s="1"/>
      <c r="AGA404" s="1"/>
      <c r="AGB404" s="1"/>
      <c r="AGC404" s="1"/>
      <c r="AGD404" s="1"/>
      <c r="AGE404" s="1"/>
      <c r="AGF404" s="1"/>
      <c r="AGG404" s="1"/>
      <c r="AGH404" s="1"/>
      <c r="AGI404" s="1"/>
      <c r="AGJ404" s="1"/>
      <c r="AGK404" s="1"/>
      <c r="AGL404" s="1"/>
      <c r="AGM404" s="1"/>
      <c r="AGN404" s="1"/>
      <c r="AGO404" s="1"/>
      <c r="AGP404" s="1"/>
      <c r="AGQ404" s="1"/>
      <c r="AGR404" s="1"/>
      <c r="AGS404" s="1"/>
      <c r="AGT404" s="1"/>
      <c r="AGU404" s="1"/>
      <c r="AGV404" s="1"/>
      <c r="AGW404" s="1"/>
      <c r="AGX404" s="1"/>
      <c r="AGY404" s="1"/>
      <c r="AGZ404" s="1"/>
      <c r="AHA404" s="1"/>
      <c r="AHB404" s="1"/>
      <c r="AHC404" s="1"/>
      <c r="AHD404" s="1"/>
      <c r="AHE404" s="1"/>
      <c r="AHF404" s="1"/>
      <c r="AHG404" s="1"/>
      <c r="AHH404" s="1"/>
      <c r="AHI404" s="1"/>
      <c r="AHJ404" s="1"/>
      <c r="AHK404" s="1"/>
      <c r="AHL404" s="1"/>
      <c r="AHM404" s="1"/>
      <c r="AHN404" s="1"/>
      <c r="AHO404" s="1"/>
      <c r="AHP404" s="1"/>
      <c r="AHQ404" s="1"/>
      <c r="AHR404" s="1"/>
      <c r="AHS404" s="1"/>
      <c r="AHT404" s="1"/>
      <c r="AHU404" s="1"/>
      <c r="AHV404" s="1"/>
      <c r="AHW404" s="1"/>
      <c r="AHX404" s="1"/>
      <c r="AHY404" s="1"/>
      <c r="AHZ404" s="1"/>
      <c r="AIA404" s="1"/>
      <c r="AIB404" s="1"/>
      <c r="AIC404" s="1"/>
      <c r="AID404" s="1"/>
      <c r="AIE404" s="1"/>
      <c r="AIF404" s="1"/>
      <c r="AIG404" s="1"/>
      <c r="AIH404" s="1"/>
      <c r="AII404" s="1"/>
      <c r="AIJ404" s="1"/>
      <c r="AIK404" s="1"/>
      <c r="AIL404" s="1"/>
      <c r="AIM404" s="1"/>
      <c r="AIN404" s="1"/>
      <c r="AIO404" s="1"/>
      <c r="AIP404" s="1"/>
      <c r="AIQ404" s="1"/>
      <c r="AIR404" s="1"/>
      <c r="AIS404" s="1"/>
      <c r="AIT404" s="1"/>
      <c r="AIU404" s="1"/>
      <c r="AIV404" s="1"/>
      <c r="AIW404" s="1"/>
      <c r="AIX404" s="1"/>
      <c r="AIY404" s="1"/>
      <c r="AIZ404" s="1"/>
      <c r="AJA404" s="1"/>
      <c r="AJB404" s="1"/>
      <c r="AJC404" s="1"/>
      <c r="AJD404" s="1"/>
      <c r="AJE404" s="1"/>
      <c r="AJF404" s="1"/>
      <c r="AJG404" s="1"/>
      <c r="AJH404" s="1"/>
      <c r="AJI404" s="1"/>
      <c r="AJJ404" s="1"/>
      <c r="AJK404" s="1"/>
      <c r="AJL404" s="1"/>
      <c r="AJM404" s="1"/>
      <c r="AJN404" s="1"/>
      <c r="AJO404" s="1"/>
      <c r="AJP404" s="1"/>
      <c r="AJQ404" s="1"/>
      <c r="AJR404" s="1"/>
      <c r="AJS404" s="1"/>
      <c r="AJT404" s="1"/>
      <c r="AJU404" s="1"/>
      <c r="AJV404" s="1"/>
      <c r="AJW404" s="1"/>
      <c r="AJX404" s="1"/>
      <c r="AJY404" s="1"/>
      <c r="AJZ404" s="1"/>
      <c r="AKA404" s="1"/>
      <c r="AKB404" s="1"/>
      <c r="AKC404" s="1"/>
      <c r="AKD404" s="1"/>
      <c r="AKE404" s="1"/>
      <c r="AKF404" s="1"/>
      <c r="AKG404" s="1"/>
      <c r="AKH404" s="1"/>
      <c r="AKI404" s="1"/>
      <c r="AKJ404" s="1"/>
      <c r="AKK404" s="1"/>
      <c r="AKL404" s="1"/>
      <c r="AKM404" s="1"/>
      <c r="AKN404" s="1"/>
      <c r="AKO404" s="1"/>
      <c r="AKP404" s="1"/>
      <c r="AKQ404" s="1"/>
      <c r="AKR404" s="1"/>
      <c r="AKS404" s="1"/>
      <c r="AKT404" s="1"/>
      <c r="AKU404" s="1"/>
      <c r="AKV404" s="1"/>
      <c r="AKW404" s="1"/>
      <c r="AKX404" s="1"/>
      <c r="AKY404" s="1"/>
      <c r="AKZ404" s="1"/>
      <c r="ALA404" s="1"/>
      <c r="ALB404" s="1"/>
      <c r="ALC404" s="1"/>
      <c r="ALD404" s="1"/>
      <c r="ALE404" s="1"/>
      <c r="ALF404" s="1"/>
      <c r="ALG404" s="1"/>
      <c r="ALH404" s="1"/>
      <c r="ALI404" s="1"/>
      <c r="ALJ404" s="1"/>
      <c r="ALK404" s="1"/>
      <c r="ALL404" s="1"/>
      <c r="ALM404" s="1"/>
      <c r="ALN404" s="1"/>
      <c r="ALO404" s="1"/>
      <c r="ALP404" s="1"/>
      <c r="ALQ404" s="1"/>
      <c r="ALR404" s="1"/>
      <c r="ALS404" s="1"/>
      <c r="ALT404" s="1"/>
      <c r="ALU404" s="1"/>
      <c r="ALV404" s="1"/>
      <c r="ALW404" s="1"/>
      <c r="ALX404" s="1"/>
      <c r="ALY404" s="1"/>
      <c r="ALZ404" s="1"/>
      <c r="AMA404" s="1"/>
      <c r="AMB404" s="1"/>
      <c r="AMC404" s="1"/>
      <c r="AMD404" s="1"/>
      <c r="AME404" s="1"/>
      <c r="AMF404" s="1"/>
      <c r="AMG404" s="1"/>
      <c r="AMH404" s="1"/>
      <c r="AMI404" s="1"/>
      <c r="AMJ404" s="1"/>
      <c r="AMK404" s="1"/>
      <c r="AML404" s="1"/>
      <c r="AMM404" s="1"/>
      <c r="AMN404" s="1"/>
      <c r="AMO404" s="1"/>
    </row>
    <row r="405" spans="1:1030" x14ac:dyDescent="0.2">
      <c r="A405" s="3" t="str">
        <f>CONCATENATE(B405,"_",C405)</f>
        <v>crfr1_human_4Z9G</v>
      </c>
      <c r="B405" s="3" t="s">
        <v>38</v>
      </c>
      <c r="C405" s="3" t="s">
        <v>1053</v>
      </c>
      <c r="D405" s="3" t="str">
        <f>IFERROR(MID(VLOOKUP($B405,Seqs!$A:$B,2,0),E405,1),"")</f>
        <v>S</v>
      </c>
      <c r="E405" s="3">
        <v>112</v>
      </c>
      <c r="F405" s="3" t="str">
        <f>IFERROR(MID(VLOOKUP($B405,Seqs!$A:$B,2,0),G405,1),"")</f>
        <v>L</v>
      </c>
      <c r="G405" s="3">
        <v>144</v>
      </c>
      <c r="H405" s="3" t="str">
        <f>IFERROR(MID(VLOOKUP($B405,Seqs!$A:$B,2,0),I405,1),"")</f>
        <v>R</v>
      </c>
      <c r="I405" s="23">
        <v>145</v>
      </c>
      <c r="J405" s="3" t="str">
        <f>IFERROR(MID(VLOOKUP($B405,Seqs!$A:$B,2,0),K405,1),"")</f>
        <v>R</v>
      </c>
      <c r="K405" s="23">
        <v>148</v>
      </c>
      <c r="L405" s="3" t="str">
        <f>IFERROR(MID(VLOOKUP($B405,Seqs!$A:$B,2,0),M405,1),"")</f>
        <v>C</v>
      </c>
      <c r="M405" s="23">
        <v>149</v>
      </c>
      <c r="N405" s="3" t="str">
        <f>IFERROR(MID(VLOOKUP($B405,Seqs!$A:$B,2,0),O405,1),"")</f>
        <v>T</v>
      </c>
      <c r="O405" s="3">
        <v>175</v>
      </c>
      <c r="P405" s="3" t="str">
        <f>IFERROR(MID(VLOOKUP($B405,Seqs!$A:$B,2,0),Q405,1),"")</f>
        <v/>
      </c>
      <c r="Q405" s="3" t="s">
        <v>23</v>
      </c>
      <c r="R405" s="3" t="str">
        <f>IFERROR(MID(VLOOKUP($B405,Seqs!$A:$B,2,0),S405,1),"")</f>
        <v/>
      </c>
      <c r="S405" s="3" t="s">
        <v>23</v>
      </c>
      <c r="T405" s="3" t="str">
        <f>IFERROR(MID(VLOOKUP($B405,Seqs!$A:$B,2,0),U405,1),"")</f>
        <v>V</v>
      </c>
      <c r="U405" s="3">
        <v>185</v>
      </c>
      <c r="V405" s="3" t="str">
        <f>IFERROR(MID(VLOOKUP($B405,Seqs!$A:$B,2,0),W405,1),"")</f>
        <v>L</v>
      </c>
      <c r="W405" s="3">
        <v>219</v>
      </c>
      <c r="X405" s="3" t="str">
        <f>IFERROR(MID(VLOOKUP($B405,Seqs!$A:$B,2,0),Y405,1),"")</f>
        <v/>
      </c>
      <c r="Y405" s="3" t="s">
        <v>23</v>
      </c>
      <c r="Z405" s="3" t="str">
        <f>IFERROR(MID(VLOOKUP($B405,Seqs!$A:$B,2,0),AA405,1),"")</f>
        <v/>
      </c>
      <c r="AA405" s="3" t="s">
        <v>23</v>
      </c>
      <c r="AB405" s="3" t="str">
        <f>IFERROR(MID(VLOOKUP($B405,Seqs!$A:$B,2,0),AC405,1),"")</f>
        <v>L</v>
      </c>
      <c r="AC405" s="9">
        <v>226</v>
      </c>
      <c r="AD405" s="3" t="str">
        <f>IFERROR(MID(VLOOKUP($B405,Seqs!$A:$B,2,0),AE405,1),"")</f>
        <v>D</v>
      </c>
      <c r="AE405" s="3">
        <v>254</v>
      </c>
      <c r="AF405" s="3" t="str">
        <f>IFERROR(MID(VLOOKUP($B405,Seqs!$A:$B,2,0),AG405,1),"")</f>
        <v>C</v>
      </c>
      <c r="AG405" s="3">
        <v>258</v>
      </c>
      <c r="AH405" s="3" t="str">
        <f>IFERROR(MID(VLOOKUP($B405,Seqs!$A:$B,2,0),AI405,1),"")</f>
        <v>F</v>
      </c>
      <c r="AI405" s="3">
        <v>260</v>
      </c>
      <c r="AJ405" s="3" t="str">
        <f>IFERROR(MID(VLOOKUP($B405,Seqs!$A:$B,2,0),AK405,1),"")</f>
        <v>T</v>
      </c>
      <c r="AK405" s="3">
        <v>268</v>
      </c>
      <c r="AL405" s="3" t="str">
        <f>IFERROR(MID(VLOOKUP($B405,Seqs!$A:$B,2,0),AM405,1),"")</f>
        <v>L</v>
      </c>
      <c r="AM405" s="3">
        <v>298</v>
      </c>
      <c r="AN405" s="3" t="str">
        <f>IFERROR(MID(VLOOKUP($B405,Seqs!$A:$B,2,0),AO405,1),"")</f>
        <v>S</v>
      </c>
      <c r="AO405" s="3">
        <v>304</v>
      </c>
      <c r="AP405" s="3" t="str">
        <f>IFERROR(MID(VLOOKUP($B405,Seqs!$A:$B,2,0),AQ405,1),"")</f>
        <v>V</v>
      </c>
      <c r="AQ405" s="3">
        <v>332</v>
      </c>
      <c r="AR405" s="3" t="str">
        <f>IFERROR(MID(VLOOKUP($B405,Seqs!$A:$B,2,0),AS405,1),"")</f>
        <v>V</v>
      </c>
      <c r="AS405" s="3">
        <v>339</v>
      </c>
      <c r="AT405" s="3" t="str">
        <f>IFERROR(MID(VLOOKUP($B405,Seqs!$A:$B,2,0),AU405,1),"")</f>
        <v>F</v>
      </c>
      <c r="AU405" s="3">
        <v>362</v>
      </c>
      <c r="AV405" s="3" t="str">
        <f>IFERROR(MID(VLOOKUP($B405,Seqs!$A:$B,2,0),AW405,1),"")</f>
        <v/>
      </c>
      <c r="AW405" s="3" t="s">
        <v>23</v>
      </c>
      <c r="AX405" s="3" t="str">
        <f>IFERROR(MID(VLOOKUP($B405,Seqs!$A:$B,2,0),AY405,1),"")</f>
        <v/>
      </c>
      <c r="AY405" s="3" t="s">
        <v>23</v>
      </c>
      <c r="AZ405" s="77" t="str">
        <f>VLOOKUP(B405,Classification!A:D,2,0)</f>
        <v>B1</v>
      </c>
      <c r="BA405" s="94" t="str">
        <f>VLOOKUP(B405,Classification!A:D,4,0)</f>
        <v>Corticotropin-releasingfact</v>
      </c>
      <c r="BB405" s="27" t="b">
        <f t="shared" si="1114"/>
        <v>1</v>
      </c>
      <c r="BC405" s="23">
        <f t="shared" si="1187"/>
        <v>218</v>
      </c>
      <c r="BD405" s="2" t="s">
        <v>1370</v>
      </c>
      <c r="BE405" s="3" t="s">
        <v>1368</v>
      </c>
      <c r="BF405" s="118">
        <v>3.18</v>
      </c>
      <c r="BG405" s="49" t="s">
        <v>1371</v>
      </c>
      <c r="BH405" s="49" t="s">
        <v>1371</v>
      </c>
      <c r="BI405" s="1"/>
      <c r="BJ405" s="70" t="s">
        <v>1281</v>
      </c>
      <c r="BK405" s="57" t="s">
        <v>1281</v>
      </c>
      <c r="BL405" s="57" t="s">
        <v>1281</v>
      </c>
      <c r="BM405" s="57" t="s">
        <v>1281</v>
      </c>
      <c r="BN405" s="57" t="s">
        <v>1281</v>
      </c>
      <c r="BO405" s="57" t="s">
        <v>1281</v>
      </c>
      <c r="BP405" s="57" t="s">
        <v>1281</v>
      </c>
      <c r="BQ405" s="57" t="s">
        <v>1281</v>
      </c>
      <c r="BR405" s="57" t="s">
        <v>1281</v>
      </c>
      <c r="BS405" s="57" t="s">
        <v>1281</v>
      </c>
      <c r="BT405" s="57" t="s">
        <v>1281</v>
      </c>
      <c r="BU405" s="57" t="s">
        <v>1281</v>
      </c>
      <c r="BV405" s="70">
        <f>E405</f>
        <v>112</v>
      </c>
      <c r="BW405" s="71">
        <f>I405</f>
        <v>145</v>
      </c>
      <c r="BX405" s="72">
        <f>M405</f>
        <v>149</v>
      </c>
      <c r="BY405" s="71" t="str">
        <f>Q405</f>
        <v>-</v>
      </c>
      <c r="BZ405" s="72">
        <f>U405</f>
        <v>185</v>
      </c>
      <c r="CA405" s="71" t="str">
        <f>Y405</f>
        <v>-</v>
      </c>
      <c r="CB405" s="72">
        <f>AC405</f>
        <v>226</v>
      </c>
      <c r="CC405" s="71">
        <f>AG405</f>
        <v>258</v>
      </c>
      <c r="CD405" s="72">
        <f>AK405</f>
        <v>268</v>
      </c>
      <c r="CE405" s="71">
        <f>AO405</f>
        <v>304</v>
      </c>
      <c r="CF405" s="72">
        <f>AS405</f>
        <v>339</v>
      </c>
      <c r="CG405" s="71" t="str">
        <f>AW405</f>
        <v>-</v>
      </c>
      <c r="CH405" s="70">
        <f>G405</f>
        <v>144</v>
      </c>
      <c r="CI405" s="71">
        <f>K405</f>
        <v>148</v>
      </c>
      <c r="CJ405" s="72">
        <f>O405</f>
        <v>175</v>
      </c>
      <c r="CK405" s="72" t="str">
        <f>S405</f>
        <v>-</v>
      </c>
      <c r="CL405" s="72">
        <f>W405</f>
        <v>219</v>
      </c>
      <c r="CM405" s="72" t="str">
        <f>AA405</f>
        <v>-</v>
      </c>
      <c r="CN405" s="72">
        <f>AE405</f>
        <v>254</v>
      </c>
      <c r="CO405" s="72">
        <f>AI405</f>
        <v>260</v>
      </c>
      <c r="CP405" s="72">
        <f>AM405</f>
        <v>298</v>
      </c>
      <c r="CQ405" s="72">
        <f>AQ405</f>
        <v>332</v>
      </c>
      <c r="CR405" s="72">
        <f>AU405</f>
        <v>362</v>
      </c>
      <c r="CS405" s="72" t="str">
        <f>AY405</f>
        <v>-</v>
      </c>
      <c r="CT405" s="23">
        <f>M405-K405</f>
        <v>1</v>
      </c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  <c r="OM405" s="1"/>
      <c r="ON405" s="1"/>
      <c r="OO405" s="1"/>
      <c r="OP405" s="1"/>
      <c r="OQ405" s="1"/>
      <c r="OR405" s="1"/>
      <c r="OS405" s="1"/>
      <c r="OT405" s="1"/>
      <c r="OU405" s="1"/>
      <c r="OV405" s="1"/>
      <c r="OW405" s="1"/>
      <c r="OX405" s="1"/>
      <c r="OY405" s="1"/>
      <c r="OZ405" s="1"/>
      <c r="PA405" s="1"/>
      <c r="PB405" s="1"/>
      <c r="PC405" s="1"/>
      <c r="PD405" s="1"/>
      <c r="PE405" s="1"/>
      <c r="PF405" s="1"/>
      <c r="PG405" s="1"/>
      <c r="PH405" s="1"/>
      <c r="PI405" s="1"/>
      <c r="PJ405" s="1"/>
      <c r="PK405" s="1"/>
      <c r="PL405" s="1"/>
      <c r="PM405" s="1"/>
      <c r="PN405" s="1"/>
      <c r="PO405" s="1"/>
      <c r="PP405" s="1"/>
      <c r="PQ405" s="1"/>
      <c r="PR405" s="1"/>
      <c r="PS405" s="1"/>
      <c r="PT405" s="1"/>
      <c r="PU405" s="1"/>
      <c r="PV405" s="1"/>
      <c r="PW405" s="1"/>
      <c r="PX405" s="1"/>
      <c r="PY405" s="1"/>
      <c r="PZ405" s="1"/>
      <c r="QA405" s="1"/>
      <c r="QB405" s="1"/>
      <c r="QC405" s="1"/>
      <c r="QD405" s="1"/>
      <c r="QE405" s="1"/>
      <c r="QF405" s="1"/>
      <c r="QG405" s="1"/>
      <c r="QH405" s="1"/>
      <c r="QI405" s="1"/>
      <c r="QJ405" s="1"/>
      <c r="QK405" s="1"/>
      <c r="QL405" s="1"/>
      <c r="QM405" s="1"/>
      <c r="QN405" s="1"/>
      <c r="QO405" s="1"/>
      <c r="QP405" s="1"/>
      <c r="QQ405" s="1"/>
      <c r="QR405" s="1"/>
      <c r="QS405" s="1"/>
      <c r="QT405" s="1"/>
      <c r="QU405" s="1"/>
      <c r="QV405" s="1"/>
      <c r="QW405" s="1"/>
      <c r="QX405" s="1"/>
      <c r="QY405" s="1"/>
      <c r="QZ405" s="1"/>
      <c r="RA405" s="1"/>
      <c r="RB405" s="1"/>
      <c r="RC405" s="1"/>
      <c r="RD405" s="1"/>
      <c r="RE405" s="1"/>
      <c r="RF405" s="1"/>
      <c r="RG405" s="1"/>
      <c r="RH405" s="1"/>
      <c r="RI405" s="1"/>
      <c r="RJ405" s="1"/>
      <c r="RK405" s="1"/>
      <c r="RL405" s="1"/>
      <c r="RM405" s="1"/>
      <c r="RN405" s="1"/>
      <c r="RO405" s="1"/>
      <c r="RP405" s="1"/>
      <c r="RQ405" s="1"/>
      <c r="RR405" s="1"/>
      <c r="RS405" s="1"/>
      <c r="RT405" s="1"/>
      <c r="RU405" s="1"/>
      <c r="RV405" s="1"/>
      <c r="RW405" s="1"/>
      <c r="RX405" s="1"/>
      <c r="RY405" s="1"/>
      <c r="RZ405" s="1"/>
      <c r="SA405" s="1"/>
      <c r="SB405" s="1"/>
      <c r="SC405" s="1"/>
      <c r="SD405" s="1"/>
      <c r="SE405" s="1"/>
      <c r="SF405" s="1"/>
      <c r="SG405" s="1"/>
      <c r="SH405" s="1"/>
      <c r="SI405" s="1"/>
      <c r="SJ405" s="1"/>
      <c r="SK405" s="1"/>
      <c r="SL405" s="1"/>
      <c r="SM405" s="1"/>
      <c r="SN405" s="1"/>
      <c r="SO405" s="1"/>
      <c r="SP405" s="1"/>
      <c r="SQ405" s="1"/>
      <c r="SR405" s="1"/>
      <c r="SS405" s="1"/>
      <c r="ST405" s="1"/>
      <c r="SU405" s="1"/>
      <c r="SV405" s="1"/>
      <c r="SW405" s="1"/>
      <c r="SX405" s="1"/>
      <c r="SY405" s="1"/>
      <c r="SZ405" s="1"/>
      <c r="TA405" s="1"/>
      <c r="TB405" s="1"/>
      <c r="TC405" s="1"/>
      <c r="TD405" s="1"/>
      <c r="TE405" s="1"/>
      <c r="TF405" s="1"/>
      <c r="TG405" s="1"/>
      <c r="TH405" s="1"/>
      <c r="TI405" s="1"/>
      <c r="TJ405" s="1"/>
      <c r="TK405" s="1"/>
      <c r="TL405" s="1"/>
      <c r="TM405" s="1"/>
      <c r="TN405" s="1"/>
      <c r="TO405" s="1"/>
      <c r="TP405" s="1"/>
      <c r="TQ405" s="1"/>
      <c r="TR405" s="1"/>
      <c r="TS405" s="1"/>
      <c r="TT405" s="1"/>
      <c r="TU405" s="1"/>
      <c r="TV405" s="1"/>
      <c r="TW405" s="1"/>
      <c r="TX405" s="1"/>
      <c r="TY405" s="1"/>
      <c r="TZ405" s="1"/>
      <c r="UA405" s="1"/>
      <c r="UB405" s="1"/>
      <c r="UC405" s="1"/>
      <c r="UD405" s="1"/>
      <c r="UE405" s="1"/>
      <c r="UF405" s="1"/>
      <c r="UG405" s="1"/>
      <c r="UH405" s="1"/>
      <c r="UI405" s="1"/>
      <c r="UJ405" s="1"/>
      <c r="UK405" s="1"/>
      <c r="UL405" s="1"/>
      <c r="UM405" s="1"/>
      <c r="UN405" s="1"/>
      <c r="UO405" s="1"/>
      <c r="UP405" s="1"/>
      <c r="UQ405" s="1"/>
      <c r="UR405" s="1"/>
      <c r="US405" s="1"/>
      <c r="UT405" s="1"/>
      <c r="UU405" s="1"/>
      <c r="UV405" s="1"/>
      <c r="UW405" s="1"/>
      <c r="UX405" s="1"/>
      <c r="UY405" s="1"/>
      <c r="UZ405" s="1"/>
      <c r="VA405" s="1"/>
      <c r="VB405" s="1"/>
      <c r="VC405" s="1"/>
      <c r="VD405" s="1"/>
      <c r="VE405" s="1"/>
      <c r="VF405" s="1"/>
      <c r="VG405" s="1"/>
      <c r="VH405" s="1"/>
      <c r="VI405" s="1"/>
      <c r="VJ405" s="1"/>
      <c r="VK405" s="1"/>
      <c r="VL405" s="1"/>
      <c r="VM405" s="1"/>
      <c r="VN405" s="1"/>
      <c r="VO405" s="1"/>
      <c r="VP405" s="1"/>
      <c r="VQ405" s="1"/>
      <c r="VR405" s="1"/>
      <c r="VS405" s="1"/>
      <c r="VT405" s="1"/>
      <c r="VU405" s="1"/>
      <c r="VV405" s="1"/>
      <c r="VW405" s="1"/>
      <c r="VX405" s="1"/>
      <c r="VY405" s="1"/>
      <c r="VZ405" s="1"/>
      <c r="WA405" s="1"/>
      <c r="WB405" s="1"/>
      <c r="WC405" s="1"/>
      <c r="WD405" s="1"/>
      <c r="WE405" s="1"/>
      <c r="WF405" s="1"/>
      <c r="WG405" s="1"/>
      <c r="WH405" s="1"/>
      <c r="WI405" s="1"/>
      <c r="WJ405" s="1"/>
      <c r="WK405" s="1"/>
      <c r="WL405" s="1"/>
      <c r="WM405" s="1"/>
      <c r="WN405" s="1"/>
      <c r="WO405" s="1"/>
      <c r="WP405" s="1"/>
      <c r="WQ405" s="1"/>
      <c r="WR405" s="1"/>
      <c r="WS405" s="1"/>
      <c r="WT405" s="1"/>
      <c r="WU405" s="1"/>
      <c r="WV405" s="1"/>
      <c r="WW405" s="1"/>
      <c r="WX405" s="1"/>
      <c r="WY405" s="1"/>
      <c r="WZ405" s="1"/>
      <c r="XA405" s="1"/>
      <c r="XB405" s="1"/>
      <c r="XC405" s="1"/>
      <c r="XD405" s="1"/>
      <c r="XE405" s="1"/>
      <c r="XF405" s="1"/>
      <c r="XG405" s="1"/>
      <c r="XH405" s="1"/>
      <c r="XI405" s="1"/>
      <c r="XJ405" s="1"/>
      <c r="XK405" s="1"/>
      <c r="XL405" s="1"/>
      <c r="XM405" s="1"/>
      <c r="XN405" s="1"/>
      <c r="XO405" s="1"/>
      <c r="XP405" s="1"/>
      <c r="XQ405" s="1"/>
      <c r="XR405" s="1"/>
      <c r="XS405" s="1"/>
      <c r="XT405" s="1"/>
      <c r="XU405" s="1"/>
      <c r="XV405" s="1"/>
      <c r="XW405" s="1"/>
      <c r="XX405" s="1"/>
      <c r="XY405" s="1"/>
      <c r="XZ405" s="1"/>
      <c r="YA405" s="1"/>
      <c r="YB405" s="1"/>
      <c r="YC405" s="1"/>
      <c r="YD405" s="1"/>
      <c r="YE405" s="1"/>
      <c r="YF405" s="1"/>
      <c r="YG405" s="1"/>
      <c r="YH405" s="1"/>
      <c r="YI405" s="1"/>
      <c r="YJ405" s="1"/>
      <c r="YK405" s="1"/>
      <c r="YL405" s="1"/>
      <c r="YM405" s="1"/>
      <c r="YN405" s="1"/>
      <c r="YO405" s="1"/>
      <c r="YP405" s="1"/>
      <c r="YQ405" s="1"/>
      <c r="YR405" s="1"/>
      <c r="YS405" s="1"/>
      <c r="YT405" s="1"/>
      <c r="YU405" s="1"/>
      <c r="YV405" s="1"/>
      <c r="YW405" s="1"/>
      <c r="YX405" s="1"/>
      <c r="YY405" s="1"/>
      <c r="YZ405" s="1"/>
      <c r="ZA405" s="1"/>
      <c r="ZB405" s="1"/>
      <c r="ZC405" s="1"/>
      <c r="ZD405" s="1"/>
      <c r="ZE405" s="1"/>
      <c r="ZF405" s="1"/>
      <c r="ZG405" s="1"/>
      <c r="ZH405" s="1"/>
      <c r="ZI405" s="1"/>
      <c r="ZJ405" s="1"/>
      <c r="ZK405" s="1"/>
      <c r="ZL405" s="1"/>
      <c r="ZM405" s="1"/>
      <c r="ZN405" s="1"/>
      <c r="ZO405" s="1"/>
      <c r="ZP405" s="1"/>
      <c r="ZQ405" s="1"/>
      <c r="ZR405" s="1"/>
      <c r="ZS405" s="1"/>
      <c r="ZT405" s="1"/>
      <c r="ZU405" s="1"/>
      <c r="ZV405" s="1"/>
      <c r="ZW405" s="1"/>
      <c r="ZX405" s="1"/>
      <c r="ZY405" s="1"/>
      <c r="ZZ405" s="1"/>
      <c r="AAA405" s="1"/>
      <c r="AAB405" s="1"/>
      <c r="AAC405" s="1"/>
      <c r="AAD405" s="1"/>
      <c r="AAE405" s="1"/>
      <c r="AAF405" s="1"/>
      <c r="AAG405" s="1"/>
      <c r="AAH405" s="1"/>
      <c r="AAI405" s="1"/>
      <c r="AAJ405" s="1"/>
      <c r="AAK405" s="1"/>
      <c r="AAL405" s="1"/>
      <c r="AAM405" s="1"/>
      <c r="AAN405" s="1"/>
      <c r="AAO405" s="1"/>
      <c r="AAP405" s="1"/>
      <c r="AAQ405" s="1"/>
      <c r="AAR405" s="1"/>
      <c r="AAS405" s="1"/>
      <c r="AAT405" s="1"/>
      <c r="AAU405" s="1"/>
      <c r="AAV405" s="1"/>
      <c r="AAW405" s="1"/>
      <c r="AAX405" s="1"/>
      <c r="AAY405" s="1"/>
      <c r="AAZ405" s="1"/>
      <c r="ABA405" s="1"/>
      <c r="ABB405" s="1"/>
      <c r="ABC405" s="1"/>
      <c r="ABD405" s="1"/>
      <c r="ABE405" s="1"/>
      <c r="ABF405" s="1"/>
      <c r="ABG405" s="1"/>
      <c r="ABH405" s="1"/>
      <c r="ABI405" s="1"/>
      <c r="ABJ405" s="1"/>
      <c r="ABK405" s="1"/>
      <c r="ABL405" s="1"/>
      <c r="ABM405" s="1"/>
      <c r="ABN405" s="1"/>
      <c r="ABO405" s="1"/>
      <c r="ABP405" s="1"/>
      <c r="ABQ405" s="1"/>
      <c r="ABR405" s="1"/>
      <c r="ABS405" s="1"/>
      <c r="ABT405" s="1"/>
      <c r="ABU405" s="1"/>
      <c r="ABV405" s="1"/>
      <c r="ABW405" s="1"/>
      <c r="ABX405" s="1"/>
      <c r="ABY405" s="1"/>
      <c r="ABZ405" s="1"/>
      <c r="ACA405" s="1"/>
      <c r="ACB405" s="1"/>
      <c r="ACC405" s="1"/>
      <c r="ACD405" s="1"/>
      <c r="ACE405" s="1"/>
      <c r="ACF405" s="1"/>
      <c r="ACG405" s="1"/>
      <c r="ACH405" s="1"/>
      <c r="ACI405" s="1"/>
      <c r="ACJ405" s="1"/>
      <c r="ACK405" s="1"/>
      <c r="ACL405" s="1"/>
      <c r="ACM405" s="1"/>
      <c r="ACN405" s="1"/>
      <c r="ACO405" s="1"/>
      <c r="ACP405" s="1"/>
      <c r="ACQ405" s="1"/>
      <c r="ACR405" s="1"/>
      <c r="ACS405" s="1"/>
      <c r="ACT405" s="1"/>
      <c r="ACU405" s="1"/>
      <c r="ACV405" s="1"/>
      <c r="ACW405" s="1"/>
      <c r="ACX405" s="1"/>
      <c r="ACY405" s="1"/>
      <c r="ACZ405" s="1"/>
      <c r="ADA405" s="1"/>
      <c r="ADB405" s="1"/>
      <c r="ADC405" s="1"/>
      <c r="ADD405" s="1"/>
      <c r="ADE405" s="1"/>
      <c r="ADF405" s="1"/>
      <c r="ADG405" s="1"/>
      <c r="ADH405" s="1"/>
      <c r="ADI405" s="1"/>
      <c r="ADJ405" s="1"/>
      <c r="ADK405" s="1"/>
      <c r="ADL405" s="1"/>
      <c r="ADM405" s="1"/>
      <c r="ADN405" s="1"/>
      <c r="ADO405" s="1"/>
      <c r="ADP405" s="1"/>
      <c r="ADQ405" s="1"/>
      <c r="ADR405" s="1"/>
      <c r="ADS405" s="1"/>
      <c r="ADT405" s="1"/>
      <c r="ADU405" s="1"/>
      <c r="ADV405" s="1"/>
      <c r="ADW405" s="1"/>
      <c r="ADX405" s="1"/>
      <c r="ADY405" s="1"/>
      <c r="ADZ405" s="1"/>
      <c r="AEA405" s="1"/>
      <c r="AEB405" s="1"/>
      <c r="AEC405" s="1"/>
      <c r="AED405" s="1"/>
      <c r="AEE405" s="1"/>
      <c r="AEF405" s="1"/>
      <c r="AEG405" s="1"/>
      <c r="AEH405" s="1"/>
      <c r="AEI405" s="1"/>
      <c r="AEJ405" s="1"/>
      <c r="AEK405" s="1"/>
      <c r="AEL405" s="1"/>
      <c r="AEM405" s="1"/>
      <c r="AEN405" s="1"/>
      <c r="AEO405" s="1"/>
      <c r="AEP405" s="1"/>
      <c r="AEQ405" s="1"/>
      <c r="AER405" s="1"/>
      <c r="AES405" s="1"/>
      <c r="AET405" s="1"/>
      <c r="AEU405" s="1"/>
      <c r="AEV405" s="1"/>
      <c r="AEW405" s="1"/>
      <c r="AEX405" s="1"/>
      <c r="AEY405" s="1"/>
      <c r="AEZ405" s="1"/>
      <c r="AFA405" s="1"/>
      <c r="AFB405" s="1"/>
      <c r="AFC405" s="1"/>
      <c r="AFD405" s="1"/>
      <c r="AFE405" s="1"/>
      <c r="AFF405" s="1"/>
      <c r="AFG405" s="1"/>
      <c r="AFH405" s="1"/>
      <c r="AFI405" s="1"/>
      <c r="AFJ405" s="1"/>
      <c r="AFK405" s="1"/>
      <c r="AFL405" s="1"/>
      <c r="AFM405" s="1"/>
      <c r="AFN405" s="1"/>
      <c r="AFO405" s="1"/>
      <c r="AFP405" s="1"/>
      <c r="AFQ405" s="1"/>
      <c r="AFR405" s="1"/>
      <c r="AFS405" s="1"/>
      <c r="AFT405" s="1"/>
      <c r="AFU405" s="1"/>
      <c r="AFV405" s="1"/>
      <c r="AFW405" s="1"/>
      <c r="AFX405" s="1"/>
      <c r="AFY405" s="1"/>
      <c r="AFZ405" s="1"/>
      <c r="AGA405" s="1"/>
      <c r="AGB405" s="1"/>
      <c r="AGC405" s="1"/>
      <c r="AGD405" s="1"/>
      <c r="AGE405" s="1"/>
      <c r="AGF405" s="1"/>
      <c r="AGG405" s="1"/>
      <c r="AGH405" s="1"/>
      <c r="AGI405" s="1"/>
      <c r="AGJ405" s="1"/>
      <c r="AGK405" s="1"/>
      <c r="AGL405" s="1"/>
      <c r="AGM405" s="1"/>
      <c r="AGN405" s="1"/>
      <c r="AGO405" s="1"/>
      <c r="AGP405" s="1"/>
      <c r="AGQ405" s="1"/>
      <c r="AGR405" s="1"/>
      <c r="AGS405" s="1"/>
      <c r="AGT405" s="1"/>
      <c r="AGU405" s="1"/>
      <c r="AGV405" s="1"/>
      <c r="AGW405" s="1"/>
      <c r="AGX405" s="1"/>
      <c r="AGY405" s="1"/>
      <c r="AGZ405" s="1"/>
      <c r="AHA405" s="1"/>
      <c r="AHB405" s="1"/>
      <c r="AHC405" s="1"/>
      <c r="AHD405" s="1"/>
      <c r="AHE405" s="1"/>
      <c r="AHF405" s="1"/>
      <c r="AHG405" s="1"/>
      <c r="AHH405" s="1"/>
      <c r="AHI405" s="1"/>
      <c r="AHJ405" s="1"/>
      <c r="AHK405" s="1"/>
      <c r="AHL405" s="1"/>
      <c r="AHM405" s="1"/>
      <c r="AHN405" s="1"/>
      <c r="AHO405" s="1"/>
      <c r="AHP405" s="1"/>
      <c r="AHQ405" s="1"/>
      <c r="AHR405" s="1"/>
      <c r="AHS405" s="1"/>
      <c r="AHT405" s="1"/>
      <c r="AHU405" s="1"/>
      <c r="AHV405" s="1"/>
      <c r="AHW405" s="1"/>
      <c r="AHX405" s="1"/>
      <c r="AHY405" s="1"/>
      <c r="AHZ405" s="1"/>
      <c r="AIA405" s="1"/>
      <c r="AIB405" s="1"/>
      <c r="AIC405" s="1"/>
      <c r="AID405" s="1"/>
      <c r="AIE405" s="1"/>
      <c r="AIF405" s="1"/>
      <c r="AIG405" s="1"/>
      <c r="AIH405" s="1"/>
      <c r="AII405" s="1"/>
      <c r="AIJ405" s="1"/>
      <c r="AIK405" s="1"/>
      <c r="AIL405" s="1"/>
      <c r="AIM405" s="1"/>
      <c r="AIN405" s="1"/>
      <c r="AIO405" s="1"/>
      <c r="AIP405" s="1"/>
      <c r="AIQ405" s="1"/>
      <c r="AIR405" s="1"/>
      <c r="AIS405" s="1"/>
      <c r="AIT405" s="1"/>
      <c r="AIU405" s="1"/>
      <c r="AIV405" s="1"/>
      <c r="AIW405" s="1"/>
      <c r="AIX405" s="1"/>
      <c r="AIY405" s="1"/>
      <c r="AIZ405" s="1"/>
      <c r="AJA405" s="1"/>
      <c r="AJB405" s="1"/>
      <c r="AJC405" s="1"/>
      <c r="AJD405" s="1"/>
      <c r="AJE405" s="1"/>
      <c r="AJF405" s="1"/>
      <c r="AJG405" s="1"/>
      <c r="AJH405" s="1"/>
      <c r="AJI405" s="1"/>
      <c r="AJJ405" s="1"/>
      <c r="AJK405" s="1"/>
      <c r="AJL405" s="1"/>
      <c r="AJM405" s="1"/>
      <c r="AJN405" s="1"/>
      <c r="AJO405" s="1"/>
      <c r="AJP405" s="1"/>
      <c r="AJQ405" s="1"/>
      <c r="AJR405" s="1"/>
      <c r="AJS405" s="1"/>
      <c r="AJT405" s="1"/>
      <c r="AJU405" s="1"/>
      <c r="AJV405" s="1"/>
      <c r="AJW405" s="1"/>
      <c r="AJX405" s="1"/>
      <c r="AJY405" s="1"/>
      <c r="AJZ405" s="1"/>
      <c r="AKA405" s="1"/>
      <c r="AKB405" s="1"/>
      <c r="AKC405" s="1"/>
      <c r="AKD405" s="1"/>
      <c r="AKE405" s="1"/>
      <c r="AKF405" s="1"/>
      <c r="AKG405" s="1"/>
      <c r="AKH405" s="1"/>
      <c r="AKI405" s="1"/>
      <c r="AKJ405" s="1"/>
      <c r="AKK405" s="1"/>
      <c r="AKL405" s="1"/>
      <c r="AKM405" s="1"/>
      <c r="AKN405" s="1"/>
      <c r="AKO405" s="1"/>
      <c r="AKP405" s="1"/>
      <c r="AKQ405" s="1"/>
      <c r="AKR405" s="1"/>
      <c r="AKS405" s="1"/>
      <c r="AKT405" s="1"/>
      <c r="AKU405" s="1"/>
      <c r="AKV405" s="1"/>
      <c r="AKW405" s="1"/>
      <c r="AKX405" s="1"/>
      <c r="AKY405" s="1"/>
      <c r="AKZ405" s="1"/>
      <c r="ALA405" s="1"/>
      <c r="ALB405" s="1"/>
      <c r="ALC405" s="1"/>
      <c r="ALD405" s="1"/>
      <c r="ALE405" s="1"/>
      <c r="ALF405" s="1"/>
      <c r="ALG405" s="1"/>
      <c r="ALH405" s="1"/>
      <c r="ALI405" s="1"/>
      <c r="ALJ405" s="1"/>
      <c r="ALK405" s="1"/>
      <c r="ALL405" s="1"/>
      <c r="ALM405" s="1"/>
      <c r="ALN405" s="1"/>
      <c r="ALO405" s="1"/>
      <c r="ALP405" s="1"/>
      <c r="ALQ405" s="1"/>
      <c r="ALR405" s="1"/>
      <c r="ALS405" s="1"/>
      <c r="ALT405" s="1"/>
      <c r="ALU405" s="1"/>
      <c r="ALV405" s="1"/>
      <c r="ALW405" s="1"/>
      <c r="ALX405" s="1"/>
      <c r="ALY405" s="1"/>
      <c r="ALZ405" s="1"/>
      <c r="AMA405" s="1"/>
      <c r="AMB405" s="1"/>
      <c r="AMC405" s="1"/>
      <c r="AMD405" s="1"/>
      <c r="AME405" s="1"/>
      <c r="AMF405" s="1"/>
      <c r="AMG405" s="1"/>
      <c r="AMH405" s="1"/>
      <c r="AMI405" s="1"/>
      <c r="AMJ405" s="1"/>
      <c r="AMK405" s="1"/>
      <c r="AML405" s="1"/>
      <c r="AMM405" s="1"/>
      <c r="AMN405" s="1"/>
      <c r="AMO405" s="1"/>
    </row>
    <row r="406" spans="1:1030" x14ac:dyDescent="0.2">
      <c r="A406" s="3" t="str">
        <f>CONCATENATE(B406,"_",C406)</f>
        <v>crfr1_human_4Z9G_dist</v>
      </c>
      <c r="B406" s="3" t="s">
        <v>38</v>
      </c>
      <c r="C406" s="3" t="s">
        <v>1155</v>
      </c>
      <c r="D406" s="3" t="str">
        <f>IFERROR(MID(VLOOKUP($B406,Seqs!$A:$B,2,0),E406,1),"")</f>
        <v>S</v>
      </c>
      <c r="E406" s="3">
        <v>112</v>
      </c>
      <c r="F406" s="3" t="str">
        <f>IFERROR(MID(VLOOKUP($B406,Seqs!$A:$B,2,0),G406,1),"")</f>
        <v>L</v>
      </c>
      <c r="G406" s="3">
        <v>144</v>
      </c>
      <c r="H406" s="3" t="str">
        <f>IFERROR(MID(VLOOKUP($B406,Seqs!$A:$B,2,0),I406,1),"")</f>
        <v>R</v>
      </c>
      <c r="I406" s="23">
        <v>145</v>
      </c>
      <c r="J406" s="3" t="str">
        <f>IFERROR(MID(VLOOKUP($B406,Seqs!$A:$B,2,0),K406,1),"")</f>
        <v>R</v>
      </c>
      <c r="K406" s="23">
        <v>148</v>
      </c>
      <c r="L406" s="3" t="str">
        <f>IFERROR(MID(VLOOKUP($B406,Seqs!$A:$B,2,0),M406,1),"")</f>
        <v>C</v>
      </c>
      <c r="M406" s="23">
        <v>149</v>
      </c>
      <c r="N406" s="3" t="str">
        <f>IFERROR(MID(VLOOKUP($B406,Seqs!$A:$B,2,0),O406,1),"")</f>
        <v>T</v>
      </c>
      <c r="O406" s="3">
        <v>175</v>
      </c>
      <c r="P406" s="3" t="str">
        <f>IFERROR(MID(VLOOKUP($B406,Seqs!$A:$B,2,0),Q406,1),"")</f>
        <v/>
      </c>
      <c r="Q406" s="3" t="s">
        <v>23</v>
      </c>
      <c r="R406" s="3" t="str">
        <f>IFERROR(MID(VLOOKUP($B406,Seqs!$A:$B,2,0),S406,1),"")</f>
        <v/>
      </c>
      <c r="S406" s="3" t="s">
        <v>23</v>
      </c>
      <c r="T406" s="3" t="str">
        <f>IFERROR(MID(VLOOKUP($B406,Seqs!$A:$B,2,0),U406,1),"")</f>
        <v>V</v>
      </c>
      <c r="U406" s="3">
        <v>185</v>
      </c>
      <c r="V406" s="3" t="str">
        <f>IFERROR(MID(VLOOKUP($B406,Seqs!$A:$B,2,0),W406,1),"")</f>
        <v>L</v>
      </c>
      <c r="W406" s="3">
        <v>219</v>
      </c>
      <c r="X406" s="3" t="str">
        <f>IFERROR(MID(VLOOKUP($B406,Seqs!$A:$B,2,0),Y406,1),"")</f>
        <v/>
      </c>
      <c r="Y406" s="3" t="s">
        <v>23</v>
      </c>
      <c r="Z406" s="3" t="str">
        <f>IFERROR(MID(VLOOKUP($B406,Seqs!$A:$B,2,0),AA406,1),"")</f>
        <v/>
      </c>
      <c r="AA406" s="3" t="s">
        <v>23</v>
      </c>
      <c r="AB406" s="3" t="str">
        <f>IFERROR(MID(VLOOKUP($B406,Seqs!$A:$B,2,0),AC406,1),"")</f>
        <v>L</v>
      </c>
      <c r="AC406" s="9">
        <v>226</v>
      </c>
      <c r="AD406" s="3" t="str">
        <f>IFERROR(MID(VLOOKUP($B406,Seqs!$A:$B,2,0),AE406,1),"")</f>
        <v>D</v>
      </c>
      <c r="AE406" s="3">
        <v>254</v>
      </c>
      <c r="AF406" s="3" t="str">
        <f>IFERROR(MID(VLOOKUP($B406,Seqs!$A:$B,2,0),AG406,1),"")</f>
        <v>C</v>
      </c>
      <c r="AG406" s="3">
        <v>258</v>
      </c>
      <c r="AH406" s="3" t="str">
        <f>IFERROR(MID(VLOOKUP($B406,Seqs!$A:$B,2,0),AI406,1),"")</f>
        <v>F</v>
      </c>
      <c r="AI406" s="3">
        <v>260</v>
      </c>
      <c r="AJ406" s="3" t="str">
        <f>IFERROR(MID(VLOOKUP($B406,Seqs!$A:$B,2,0),AK406,1),"")</f>
        <v>T</v>
      </c>
      <c r="AK406" s="3">
        <v>268</v>
      </c>
      <c r="AL406" s="3" t="str">
        <f>IFERROR(MID(VLOOKUP($B406,Seqs!$A:$B,2,0),AM406,1),"")</f>
        <v>L</v>
      </c>
      <c r="AM406" s="3">
        <v>298</v>
      </c>
      <c r="AN406" s="3" t="str">
        <f>IFERROR(MID(VLOOKUP($B406,Seqs!$A:$B,2,0),AO406,1),"")</f>
        <v>S</v>
      </c>
      <c r="AO406" s="3">
        <v>304</v>
      </c>
      <c r="AP406" s="3" t="str">
        <f>IFERROR(MID(VLOOKUP($B406,Seqs!$A:$B,2,0),AQ406,1),"")</f>
        <v>V</v>
      </c>
      <c r="AQ406" s="3">
        <v>332</v>
      </c>
      <c r="AR406" s="3" t="str">
        <f>IFERROR(MID(VLOOKUP($B406,Seqs!$A:$B,2,0),AS406,1),"")</f>
        <v>V</v>
      </c>
      <c r="AS406" s="3">
        <v>339</v>
      </c>
      <c r="AT406" s="3" t="str">
        <f>IFERROR(MID(VLOOKUP($B406,Seqs!$A:$B,2,0),AU406,1),"")</f>
        <v>E</v>
      </c>
      <c r="AU406" s="3">
        <v>369</v>
      </c>
      <c r="AV406" s="3" t="str">
        <f>IFERROR(MID(VLOOKUP($B406,Seqs!$A:$B,2,0),AW406,1),"")</f>
        <v/>
      </c>
      <c r="AW406" s="3" t="s">
        <v>23</v>
      </c>
      <c r="AX406" s="3" t="str">
        <f>IFERROR(MID(VLOOKUP($B406,Seqs!$A:$B,2,0),AY406,1),"")</f>
        <v/>
      </c>
      <c r="AY406" s="3" t="s">
        <v>23</v>
      </c>
      <c r="AZ406" s="77" t="str">
        <f>VLOOKUP(B406,Classification!A:D,2,0)</f>
        <v>B1</v>
      </c>
      <c r="BA406" s="94" t="str">
        <f>VLOOKUP(B406,Classification!A:D,4,0)</f>
        <v>Corticotropin-releasingfact</v>
      </c>
      <c r="BB406" s="27" t="b">
        <f t="shared" si="1114"/>
        <v>1</v>
      </c>
      <c r="BC406" s="23">
        <f t="shared" si="1187"/>
        <v>225</v>
      </c>
      <c r="BD406" s="56" t="s">
        <v>23</v>
      </c>
      <c r="BE406" s="3" t="s">
        <v>1368</v>
      </c>
      <c r="BF406" s="118">
        <v>3.18</v>
      </c>
      <c r="BG406" s="49" t="s">
        <v>1371</v>
      </c>
      <c r="BH406" s="49" t="s">
        <v>1371</v>
      </c>
      <c r="BI406" s="3" t="s">
        <v>1156</v>
      </c>
      <c r="BJ406" s="70" t="s">
        <v>1281</v>
      </c>
      <c r="BK406" s="57" t="s">
        <v>1281</v>
      </c>
      <c r="BL406" s="57" t="s">
        <v>1281</v>
      </c>
      <c r="BM406" s="57" t="s">
        <v>1281</v>
      </c>
      <c r="BN406" s="57" t="s">
        <v>1281</v>
      </c>
      <c r="BO406" s="57" t="s">
        <v>1281</v>
      </c>
      <c r="BP406" s="57" t="s">
        <v>1281</v>
      </c>
      <c r="BQ406" s="57" t="s">
        <v>1281</v>
      </c>
      <c r="BR406" s="57" t="s">
        <v>1281</v>
      </c>
      <c r="BS406" s="57" t="s">
        <v>1281</v>
      </c>
      <c r="BT406" s="57" t="s">
        <v>1281</v>
      </c>
      <c r="BU406" s="57" t="s">
        <v>1281</v>
      </c>
      <c r="BV406" s="70">
        <f>E406</f>
        <v>112</v>
      </c>
      <c r="BW406" s="71">
        <f>I406</f>
        <v>145</v>
      </c>
      <c r="BX406" s="72">
        <f>M406</f>
        <v>149</v>
      </c>
      <c r="BY406" s="71" t="str">
        <f>Q406</f>
        <v>-</v>
      </c>
      <c r="BZ406" s="72">
        <f>U406</f>
        <v>185</v>
      </c>
      <c r="CA406" s="71" t="str">
        <f>Y406</f>
        <v>-</v>
      </c>
      <c r="CB406" s="72">
        <f>AC406</f>
        <v>226</v>
      </c>
      <c r="CC406" s="71">
        <f>AG406</f>
        <v>258</v>
      </c>
      <c r="CD406" s="72">
        <f>AK406</f>
        <v>268</v>
      </c>
      <c r="CE406" s="71">
        <f>AO406</f>
        <v>304</v>
      </c>
      <c r="CF406" s="72">
        <f>AS406</f>
        <v>339</v>
      </c>
      <c r="CG406" s="71" t="str">
        <f>AW406</f>
        <v>-</v>
      </c>
      <c r="CH406" s="70">
        <f>G406</f>
        <v>144</v>
      </c>
      <c r="CI406" s="71">
        <f>K406</f>
        <v>148</v>
      </c>
      <c r="CJ406" s="72">
        <f>O406</f>
        <v>175</v>
      </c>
      <c r="CK406" s="72" t="str">
        <f>S406</f>
        <v>-</v>
      </c>
      <c r="CL406" s="72">
        <f>W406</f>
        <v>219</v>
      </c>
      <c r="CM406" s="72" t="str">
        <f>AA406</f>
        <v>-</v>
      </c>
      <c r="CN406" s="72">
        <f>AE406</f>
        <v>254</v>
      </c>
      <c r="CO406" s="72">
        <f>AI406</f>
        <v>260</v>
      </c>
      <c r="CP406" s="72">
        <f>AM406</f>
        <v>298</v>
      </c>
      <c r="CQ406" s="72">
        <f>AQ406</f>
        <v>332</v>
      </c>
      <c r="CR406" s="72">
        <f>AU406</f>
        <v>369</v>
      </c>
      <c r="CS406" s="72" t="str">
        <f>AY406</f>
        <v>-</v>
      </c>
      <c r="CT406" s="23">
        <f>M406-K406</f>
        <v>1</v>
      </c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  <c r="OM406" s="1"/>
      <c r="ON406" s="1"/>
      <c r="OO406" s="1"/>
      <c r="OP406" s="1"/>
      <c r="OQ406" s="1"/>
      <c r="OR406" s="1"/>
      <c r="OS406" s="1"/>
      <c r="OT406" s="1"/>
      <c r="OU406" s="1"/>
      <c r="OV406" s="1"/>
      <c r="OW406" s="1"/>
      <c r="OX406" s="1"/>
      <c r="OY406" s="1"/>
      <c r="OZ406" s="1"/>
      <c r="PA406" s="1"/>
      <c r="PB406" s="1"/>
      <c r="PC406" s="1"/>
      <c r="PD406" s="1"/>
      <c r="PE406" s="1"/>
      <c r="PF406" s="1"/>
      <c r="PG406" s="1"/>
      <c r="PH406" s="1"/>
      <c r="PI406" s="1"/>
      <c r="PJ406" s="1"/>
      <c r="PK406" s="1"/>
      <c r="PL406" s="1"/>
      <c r="PM406" s="1"/>
      <c r="PN406" s="1"/>
      <c r="PO406" s="1"/>
      <c r="PP406" s="1"/>
      <c r="PQ406" s="1"/>
      <c r="PR406" s="1"/>
      <c r="PS406" s="1"/>
      <c r="PT406" s="1"/>
      <c r="PU406" s="1"/>
      <c r="PV406" s="1"/>
      <c r="PW406" s="1"/>
      <c r="PX406" s="1"/>
      <c r="PY406" s="1"/>
      <c r="PZ406" s="1"/>
      <c r="QA406" s="1"/>
      <c r="QB406" s="1"/>
      <c r="QC406" s="1"/>
      <c r="QD406" s="1"/>
      <c r="QE406" s="1"/>
      <c r="QF406" s="1"/>
      <c r="QG406" s="1"/>
      <c r="QH406" s="1"/>
      <c r="QI406" s="1"/>
      <c r="QJ406" s="1"/>
      <c r="QK406" s="1"/>
      <c r="QL406" s="1"/>
      <c r="QM406" s="1"/>
      <c r="QN406" s="1"/>
      <c r="QO406" s="1"/>
      <c r="QP406" s="1"/>
      <c r="QQ406" s="1"/>
      <c r="QR406" s="1"/>
      <c r="QS406" s="1"/>
      <c r="QT406" s="1"/>
      <c r="QU406" s="1"/>
      <c r="QV406" s="1"/>
      <c r="QW406" s="1"/>
      <c r="QX406" s="1"/>
      <c r="QY406" s="1"/>
      <c r="QZ406" s="1"/>
      <c r="RA406" s="1"/>
      <c r="RB406" s="1"/>
      <c r="RC406" s="1"/>
      <c r="RD406" s="1"/>
      <c r="RE406" s="1"/>
      <c r="RF406" s="1"/>
      <c r="RG406" s="1"/>
      <c r="RH406" s="1"/>
      <c r="RI406" s="1"/>
      <c r="RJ406" s="1"/>
      <c r="RK406" s="1"/>
      <c r="RL406" s="1"/>
      <c r="RM406" s="1"/>
      <c r="RN406" s="1"/>
      <c r="RO406" s="1"/>
      <c r="RP406" s="1"/>
      <c r="RQ406" s="1"/>
      <c r="RR406" s="1"/>
      <c r="RS406" s="1"/>
      <c r="RT406" s="1"/>
      <c r="RU406" s="1"/>
      <c r="RV406" s="1"/>
      <c r="RW406" s="1"/>
      <c r="RX406" s="1"/>
      <c r="RY406" s="1"/>
      <c r="RZ406" s="1"/>
      <c r="SA406" s="1"/>
      <c r="SB406" s="1"/>
      <c r="SC406" s="1"/>
      <c r="SD406" s="1"/>
      <c r="SE406" s="1"/>
      <c r="SF406" s="1"/>
      <c r="SG406" s="1"/>
      <c r="SH406" s="1"/>
      <c r="SI406" s="1"/>
      <c r="SJ406" s="1"/>
      <c r="SK406" s="1"/>
      <c r="SL406" s="1"/>
      <c r="SM406" s="1"/>
      <c r="SN406" s="1"/>
      <c r="SO406" s="1"/>
      <c r="SP406" s="1"/>
      <c r="SQ406" s="1"/>
      <c r="SR406" s="1"/>
      <c r="SS406" s="1"/>
      <c r="ST406" s="1"/>
      <c r="SU406" s="1"/>
      <c r="SV406" s="1"/>
      <c r="SW406" s="1"/>
      <c r="SX406" s="1"/>
      <c r="SY406" s="1"/>
      <c r="SZ406" s="1"/>
      <c r="TA406" s="1"/>
      <c r="TB406" s="1"/>
      <c r="TC406" s="1"/>
      <c r="TD406" s="1"/>
      <c r="TE406" s="1"/>
      <c r="TF406" s="1"/>
      <c r="TG406" s="1"/>
      <c r="TH406" s="1"/>
      <c r="TI406" s="1"/>
      <c r="TJ406" s="1"/>
      <c r="TK406" s="1"/>
      <c r="TL406" s="1"/>
      <c r="TM406" s="1"/>
      <c r="TN406" s="1"/>
      <c r="TO406" s="1"/>
      <c r="TP406" s="1"/>
      <c r="TQ406" s="1"/>
      <c r="TR406" s="1"/>
      <c r="TS406" s="1"/>
      <c r="TT406" s="1"/>
      <c r="TU406" s="1"/>
      <c r="TV406" s="1"/>
      <c r="TW406" s="1"/>
      <c r="TX406" s="1"/>
      <c r="TY406" s="1"/>
      <c r="TZ406" s="1"/>
      <c r="UA406" s="1"/>
      <c r="UB406" s="1"/>
      <c r="UC406" s="1"/>
      <c r="UD406" s="1"/>
      <c r="UE406" s="1"/>
      <c r="UF406" s="1"/>
      <c r="UG406" s="1"/>
      <c r="UH406" s="1"/>
      <c r="UI406" s="1"/>
      <c r="UJ406" s="1"/>
      <c r="UK406" s="1"/>
      <c r="UL406" s="1"/>
      <c r="UM406" s="1"/>
      <c r="UN406" s="1"/>
      <c r="UO406" s="1"/>
      <c r="UP406" s="1"/>
      <c r="UQ406" s="1"/>
      <c r="UR406" s="1"/>
      <c r="US406" s="1"/>
      <c r="UT406" s="1"/>
      <c r="UU406" s="1"/>
      <c r="UV406" s="1"/>
      <c r="UW406" s="1"/>
      <c r="UX406" s="1"/>
      <c r="UY406" s="1"/>
      <c r="UZ406" s="1"/>
      <c r="VA406" s="1"/>
      <c r="VB406" s="1"/>
      <c r="VC406" s="1"/>
      <c r="VD406" s="1"/>
      <c r="VE406" s="1"/>
      <c r="VF406" s="1"/>
      <c r="VG406" s="1"/>
      <c r="VH406" s="1"/>
      <c r="VI406" s="1"/>
      <c r="VJ406" s="1"/>
      <c r="VK406" s="1"/>
      <c r="VL406" s="1"/>
      <c r="VM406" s="1"/>
      <c r="VN406" s="1"/>
      <c r="VO406" s="1"/>
      <c r="VP406" s="1"/>
      <c r="VQ406" s="1"/>
      <c r="VR406" s="1"/>
      <c r="VS406" s="1"/>
      <c r="VT406" s="1"/>
      <c r="VU406" s="1"/>
      <c r="VV406" s="1"/>
      <c r="VW406" s="1"/>
      <c r="VX406" s="1"/>
      <c r="VY406" s="1"/>
      <c r="VZ406" s="1"/>
      <c r="WA406" s="1"/>
      <c r="WB406" s="1"/>
      <c r="WC406" s="1"/>
      <c r="WD406" s="1"/>
      <c r="WE406" s="1"/>
      <c r="WF406" s="1"/>
      <c r="WG406" s="1"/>
      <c r="WH406" s="1"/>
      <c r="WI406" s="1"/>
      <c r="WJ406" s="1"/>
      <c r="WK406" s="1"/>
      <c r="WL406" s="1"/>
      <c r="WM406" s="1"/>
      <c r="WN406" s="1"/>
      <c r="WO406" s="1"/>
      <c r="WP406" s="1"/>
      <c r="WQ406" s="1"/>
      <c r="WR406" s="1"/>
      <c r="WS406" s="1"/>
      <c r="WT406" s="1"/>
      <c r="WU406" s="1"/>
      <c r="WV406" s="1"/>
      <c r="WW406" s="1"/>
      <c r="WX406" s="1"/>
      <c r="WY406" s="1"/>
      <c r="WZ406" s="1"/>
      <c r="XA406" s="1"/>
      <c r="XB406" s="1"/>
      <c r="XC406" s="1"/>
      <c r="XD406" s="1"/>
      <c r="XE406" s="1"/>
      <c r="XF406" s="1"/>
      <c r="XG406" s="1"/>
      <c r="XH406" s="1"/>
      <c r="XI406" s="1"/>
      <c r="XJ406" s="1"/>
      <c r="XK406" s="1"/>
      <c r="XL406" s="1"/>
      <c r="XM406" s="1"/>
      <c r="XN406" s="1"/>
      <c r="XO406" s="1"/>
      <c r="XP406" s="1"/>
      <c r="XQ406" s="1"/>
      <c r="XR406" s="1"/>
      <c r="XS406" s="1"/>
      <c r="XT406" s="1"/>
      <c r="XU406" s="1"/>
      <c r="XV406" s="1"/>
      <c r="XW406" s="1"/>
      <c r="XX406" s="1"/>
      <c r="XY406" s="1"/>
      <c r="XZ406" s="1"/>
      <c r="YA406" s="1"/>
      <c r="YB406" s="1"/>
      <c r="YC406" s="1"/>
      <c r="YD406" s="1"/>
      <c r="YE406" s="1"/>
      <c r="YF406" s="1"/>
      <c r="YG406" s="1"/>
      <c r="YH406" s="1"/>
      <c r="YI406" s="1"/>
      <c r="YJ406" s="1"/>
      <c r="YK406" s="1"/>
      <c r="YL406" s="1"/>
      <c r="YM406" s="1"/>
      <c r="YN406" s="1"/>
      <c r="YO406" s="1"/>
      <c r="YP406" s="1"/>
      <c r="YQ406" s="1"/>
      <c r="YR406" s="1"/>
      <c r="YS406" s="1"/>
      <c r="YT406" s="1"/>
      <c r="YU406" s="1"/>
      <c r="YV406" s="1"/>
      <c r="YW406" s="1"/>
      <c r="YX406" s="1"/>
      <c r="YY406" s="1"/>
      <c r="YZ406" s="1"/>
      <c r="ZA406" s="1"/>
      <c r="ZB406" s="1"/>
      <c r="ZC406" s="1"/>
      <c r="ZD406" s="1"/>
      <c r="ZE406" s="1"/>
      <c r="ZF406" s="1"/>
      <c r="ZG406" s="1"/>
      <c r="ZH406" s="1"/>
      <c r="ZI406" s="1"/>
      <c r="ZJ406" s="1"/>
      <c r="ZK406" s="1"/>
      <c r="ZL406" s="1"/>
      <c r="ZM406" s="1"/>
      <c r="ZN406" s="1"/>
      <c r="ZO406" s="1"/>
      <c r="ZP406" s="1"/>
      <c r="ZQ406" s="1"/>
      <c r="ZR406" s="1"/>
      <c r="ZS406" s="1"/>
      <c r="ZT406" s="1"/>
      <c r="ZU406" s="1"/>
      <c r="ZV406" s="1"/>
      <c r="ZW406" s="1"/>
      <c r="ZX406" s="1"/>
      <c r="ZY406" s="1"/>
      <c r="ZZ406" s="1"/>
      <c r="AAA406" s="1"/>
      <c r="AAB406" s="1"/>
      <c r="AAC406" s="1"/>
      <c r="AAD406" s="1"/>
      <c r="AAE406" s="1"/>
      <c r="AAF406" s="1"/>
      <c r="AAG406" s="1"/>
      <c r="AAH406" s="1"/>
      <c r="AAI406" s="1"/>
      <c r="AAJ406" s="1"/>
      <c r="AAK406" s="1"/>
      <c r="AAL406" s="1"/>
      <c r="AAM406" s="1"/>
      <c r="AAN406" s="1"/>
      <c r="AAO406" s="1"/>
      <c r="AAP406" s="1"/>
      <c r="AAQ406" s="1"/>
      <c r="AAR406" s="1"/>
      <c r="AAS406" s="1"/>
      <c r="AAT406" s="1"/>
      <c r="AAU406" s="1"/>
      <c r="AAV406" s="1"/>
      <c r="AAW406" s="1"/>
      <c r="AAX406" s="1"/>
      <c r="AAY406" s="1"/>
      <c r="AAZ406" s="1"/>
      <c r="ABA406" s="1"/>
      <c r="ABB406" s="1"/>
      <c r="ABC406" s="1"/>
      <c r="ABD406" s="1"/>
      <c r="ABE406" s="1"/>
      <c r="ABF406" s="1"/>
      <c r="ABG406" s="1"/>
      <c r="ABH406" s="1"/>
      <c r="ABI406" s="1"/>
      <c r="ABJ406" s="1"/>
      <c r="ABK406" s="1"/>
      <c r="ABL406" s="1"/>
      <c r="ABM406" s="1"/>
      <c r="ABN406" s="1"/>
      <c r="ABO406" s="1"/>
      <c r="ABP406" s="1"/>
      <c r="ABQ406" s="1"/>
      <c r="ABR406" s="1"/>
      <c r="ABS406" s="1"/>
      <c r="ABT406" s="1"/>
      <c r="ABU406" s="1"/>
      <c r="ABV406" s="1"/>
      <c r="ABW406" s="1"/>
      <c r="ABX406" s="1"/>
      <c r="ABY406" s="1"/>
      <c r="ABZ406" s="1"/>
      <c r="ACA406" s="1"/>
      <c r="ACB406" s="1"/>
      <c r="ACC406" s="1"/>
      <c r="ACD406" s="1"/>
      <c r="ACE406" s="1"/>
      <c r="ACF406" s="1"/>
      <c r="ACG406" s="1"/>
      <c r="ACH406" s="1"/>
      <c r="ACI406" s="1"/>
      <c r="ACJ406" s="1"/>
      <c r="ACK406" s="1"/>
      <c r="ACL406" s="1"/>
      <c r="ACM406" s="1"/>
      <c r="ACN406" s="1"/>
      <c r="ACO406" s="1"/>
      <c r="ACP406" s="1"/>
      <c r="ACQ406" s="1"/>
      <c r="ACR406" s="1"/>
      <c r="ACS406" s="1"/>
      <c r="ACT406" s="1"/>
      <c r="ACU406" s="1"/>
      <c r="ACV406" s="1"/>
      <c r="ACW406" s="1"/>
      <c r="ACX406" s="1"/>
      <c r="ACY406" s="1"/>
      <c r="ACZ406" s="1"/>
      <c r="ADA406" s="1"/>
      <c r="ADB406" s="1"/>
      <c r="ADC406" s="1"/>
      <c r="ADD406" s="1"/>
      <c r="ADE406" s="1"/>
      <c r="ADF406" s="1"/>
      <c r="ADG406" s="1"/>
      <c r="ADH406" s="1"/>
      <c r="ADI406" s="1"/>
      <c r="ADJ406" s="1"/>
      <c r="ADK406" s="1"/>
      <c r="ADL406" s="1"/>
      <c r="ADM406" s="1"/>
      <c r="ADN406" s="1"/>
      <c r="ADO406" s="1"/>
      <c r="ADP406" s="1"/>
      <c r="ADQ406" s="1"/>
      <c r="ADR406" s="1"/>
      <c r="ADS406" s="1"/>
      <c r="ADT406" s="1"/>
      <c r="ADU406" s="1"/>
      <c r="ADV406" s="1"/>
      <c r="ADW406" s="1"/>
      <c r="ADX406" s="1"/>
      <c r="ADY406" s="1"/>
      <c r="ADZ406" s="1"/>
      <c r="AEA406" s="1"/>
      <c r="AEB406" s="1"/>
      <c r="AEC406" s="1"/>
      <c r="AED406" s="1"/>
      <c r="AEE406" s="1"/>
      <c r="AEF406" s="1"/>
      <c r="AEG406" s="1"/>
      <c r="AEH406" s="1"/>
      <c r="AEI406" s="1"/>
      <c r="AEJ406" s="1"/>
      <c r="AEK406" s="1"/>
      <c r="AEL406" s="1"/>
      <c r="AEM406" s="1"/>
      <c r="AEN406" s="1"/>
      <c r="AEO406" s="1"/>
      <c r="AEP406" s="1"/>
      <c r="AEQ406" s="1"/>
      <c r="AER406" s="1"/>
      <c r="AES406" s="1"/>
      <c r="AET406" s="1"/>
      <c r="AEU406" s="1"/>
      <c r="AEV406" s="1"/>
      <c r="AEW406" s="1"/>
      <c r="AEX406" s="1"/>
      <c r="AEY406" s="1"/>
      <c r="AEZ406" s="1"/>
      <c r="AFA406" s="1"/>
      <c r="AFB406" s="1"/>
      <c r="AFC406" s="1"/>
      <c r="AFD406" s="1"/>
      <c r="AFE406" s="1"/>
      <c r="AFF406" s="1"/>
      <c r="AFG406" s="1"/>
      <c r="AFH406" s="1"/>
      <c r="AFI406" s="1"/>
      <c r="AFJ406" s="1"/>
      <c r="AFK406" s="1"/>
      <c r="AFL406" s="1"/>
      <c r="AFM406" s="1"/>
      <c r="AFN406" s="1"/>
      <c r="AFO406" s="1"/>
      <c r="AFP406" s="1"/>
      <c r="AFQ406" s="1"/>
      <c r="AFR406" s="1"/>
      <c r="AFS406" s="1"/>
      <c r="AFT406" s="1"/>
      <c r="AFU406" s="1"/>
      <c r="AFV406" s="1"/>
      <c r="AFW406" s="1"/>
      <c r="AFX406" s="1"/>
      <c r="AFY406" s="1"/>
      <c r="AFZ406" s="1"/>
      <c r="AGA406" s="1"/>
      <c r="AGB406" s="1"/>
      <c r="AGC406" s="1"/>
      <c r="AGD406" s="1"/>
      <c r="AGE406" s="1"/>
      <c r="AGF406" s="1"/>
      <c r="AGG406" s="1"/>
      <c r="AGH406" s="1"/>
      <c r="AGI406" s="1"/>
      <c r="AGJ406" s="1"/>
      <c r="AGK406" s="1"/>
      <c r="AGL406" s="1"/>
      <c r="AGM406" s="1"/>
      <c r="AGN406" s="1"/>
      <c r="AGO406" s="1"/>
      <c r="AGP406" s="1"/>
      <c r="AGQ406" s="1"/>
      <c r="AGR406" s="1"/>
      <c r="AGS406" s="1"/>
      <c r="AGT406" s="1"/>
      <c r="AGU406" s="1"/>
      <c r="AGV406" s="1"/>
      <c r="AGW406" s="1"/>
      <c r="AGX406" s="1"/>
      <c r="AGY406" s="1"/>
      <c r="AGZ406" s="1"/>
      <c r="AHA406" s="1"/>
      <c r="AHB406" s="1"/>
      <c r="AHC406" s="1"/>
      <c r="AHD406" s="1"/>
      <c r="AHE406" s="1"/>
      <c r="AHF406" s="1"/>
      <c r="AHG406" s="1"/>
      <c r="AHH406" s="1"/>
      <c r="AHI406" s="1"/>
      <c r="AHJ406" s="1"/>
      <c r="AHK406" s="1"/>
      <c r="AHL406" s="1"/>
      <c r="AHM406" s="1"/>
      <c r="AHN406" s="1"/>
      <c r="AHO406" s="1"/>
      <c r="AHP406" s="1"/>
      <c r="AHQ406" s="1"/>
      <c r="AHR406" s="1"/>
      <c r="AHS406" s="1"/>
      <c r="AHT406" s="1"/>
      <c r="AHU406" s="1"/>
      <c r="AHV406" s="1"/>
      <c r="AHW406" s="1"/>
      <c r="AHX406" s="1"/>
      <c r="AHY406" s="1"/>
      <c r="AHZ406" s="1"/>
      <c r="AIA406" s="1"/>
      <c r="AIB406" s="1"/>
      <c r="AIC406" s="1"/>
      <c r="AID406" s="1"/>
      <c r="AIE406" s="1"/>
      <c r="AIF406" s="1"/>
      <c r="AIG406" s="1"/>
      <c r="AIH406" s="1"/>
      <c r="AII406" s="1"/>
      <c r="AIJ406" s="1"/>
      <c r="AIK406" s="1"/>
      <c r="AIL406" s="1"/>
      <c r="AIM406" s="1"/>
      <c r="AIN406" s="1"/>
      <c r="AIO406" s="1"/>
      <c r="AIP406" s="1"/>
      <c r="AIQ406" s="1"/>
      <c r="AIR406" s="1"/>
      <c r="AIS406" s="1"/>
      <c r="AIT406" s="1"/>
      <c r="AIU406" s="1"/>
      <c r="AIV406" s="1"/>
      <c r="AIW406" s="1"/>
      <c r="AIX406" s="1"/>
      <c r="AIY406" s="1"/>
      <c r="AIZ406" s="1"/>
      <c r="AJA406" s="1"/>
      <c r="AJB406" s="1"/>
      <c r="AJC406" s="1"/>
      <c r="AJD406" s="1"/>
      <c r="AJE406" s="1"/>
      <c r="AJF406" s="1"/>
      <c r="AJG406" s="1"/>
      <c r="AJH406" s="1"/>
      <c r="AJI406" s="1"/>
      <c r="AJJ406" s="1"/>
      <c r="AJK406" s="1"/>
      <c r="AJL406" s="1"/>
      <c r="AJM406" s="1"/>
      <c r="AJN406" s="1"/>
      <c r="AJO406" s="1"/>
      <c r="AJP406" s="1"/>
      <c r="AJQ406" s="1"/>
      <c r="AJR406" s="1"/>
      <c r="AJS406" s="1"/>
      <c r="AJT406" s="1"/>
      <c r="AJU406" s="1"/>
      <c r="AJV406" s="1"/>
      <c r="AJW406" s="1"/>
      <c r="AJX406" s="1"/>
      <c r="AJY406" s="1"/>
      <c r="AJZ406" s="1"/>
      <c r="AKA406" s="1"/>
      <c r="AKB406" s="1"/>
      <c r="AKC406" s="1"/>
      <c r="AKD406" s="1"/>
      <c r="AKE406" s="1"/>
      <c r="AKF406" s="1"/>
      <c r="AKG406" s="1"/>
      <c r="AKH406" s="1"/>
      <c r="AKI406" s="1"/>
      <c r="AKJ406" s="1"/>
      <c r="AKK406" s="1"/>
      <c r="AKL406" s="1"/>
      <c r="AKM406" s="1"/>
      <c r="AKN406" s="1"/>
      <c r="AKO406" s="1"/>
      <c r="AKP406" s="1"/>
      <c r="AKQ406" s="1"/>
      <c r="AKR406" s="1"/>
      <c r="AKS406" s="1"/>
      <c r="AKT406" s="1"/>
      <c r="AKU406" s="1"/>
      <c r="AKV406" s="1"/>
      <c r="AKW406" s="1"/>
      <c r="AKX406" s="1"/>
      <c r="AKY406" s="1"/>
      <c r="AKZ406" s="1"/>
      <c r="ALA406" s="1"/>
      <c r="ALB406" s="1"/>
      <c r="ALC406" s="1"/>
      <c r="ALD406" s="1"/>
      <c r="ALE406" s="1"/>
      <c r="ALF406" s="1"/>
      <c r="ALG406" s="1"/>
      <c r="ALH406" s="1"/>
      <c r="ALI406" s="1"/>
      <c r="ALJ406" s="1"/>
      <c r="ALK406" s="1"/>
      <c r="ALL406" s="1"/>
      <c r="ALM406" s="1"/>
      <c r="ALN406" s="1"/>
      <c r="ALO406" s="1"/>
      <c r="ALP406" s="1"/>
      <c r="ALQ406" s="1"/>
      <c r="ALR406" s="1"/>
      <c r="ALS406" s="1"/>
      <c r="ALT406" s="1"/>
      <c r="ALU406" s="1"/>
      <c r="ALV406" s="1"/>
      <c r="ALW406" s="1"/>
      <c r="ALX406" s="1"/>
      <c r="ALY406" s="1"/>
      <c r="ALZ406" s="1"/>
      <c r="AMA406" s="1"/>
      <c r="AMB406" s="1"/>
      <c r="AMC406" s="1"/>
      <c r="AMD406" s="1"/>
      <c r="AME406" s="1"/>
      <c r="AMF406" s="1"/>
      <c r="AMG406" s="1"/>
      <c r="AMH406" s="1"/>
      <c r="AMI406" s="1"/>
      <c r="AMJ406" s="1"/>
      <c r="AMK406" s="1"/>
      <c r="AML406" s="1"/>
      <c r="AMM406" s="1"/>
      <c r="AMN406" s="1"/>
      <c r="AMO406" s="1"/>
    </row>
    <row r="407" spans="1:1030" s="12" customFormat="1" x14ac:dyDescent="0.2">
      <c r="A407" s="9" t="str">
        <f>CONCATENATE(B407,"_",C407)</f>
        <v>crfr2_human__wt</v>
      </c>
      <c r="B407" s="9" t="s">
        <v>402</v>
      </c>
      <c r="C407" s="9" t="s">
        <v>100</v>
      </c>
      <c r="D407" s="9" t="str">
        <f>IFERROR(MID(VLOOKUP($B407,Seqs!$A:$B,2,0),E407,1),"")</f>
        <v>P</v>
      </c>
      <c r="E407" s="9">
        <v>100</v>
      </c>
      <c r="F407" s="9" t="str">
        <f>IFERROR(MID(VLOOKUP($B407,Seqs!$A:$B,2,0),G407,1),"")</f>
        <v>L</v>
      </c>
      <c r="G407" s="9">
        <v>141</v>
      </c>
      <c r="H407" s="9" t="str">
        <f>IFERROR(MID(VLOOKUP($B407,Seqs!$A:$B,2,0),I407,1),"")</f>
        <v>R</v>
      </c>
      <c r="I407" s="109">
        <v>142</v>
      </c>
      <c r="J407" s="9" t="str">
        <f>IFERROR(MID(VLOOKUP($B407,Seqs!$A:$B,2,0),K407,1),"")</f>
        <v>R</v>
      </c>
      <c r="K407" s="109">
        <v>145</v>
      </c>
      <c r="L407" s="9" t="str">
        <f>IFERROR(MID(VLOOKUP($B407,Seqs!$A:$B,2,0),M407,1),"")</f>
        <v>C</v>
      </c>
      <c r="M407" s="109">
        <v>146</v>
      </c>
      <c r="N407" s="9" t="str">
        <f>IFERROR(MID(VLOOKUP($B407,Seqs!$A:$B,2,0),O407,1),"")</f>
        <v>V</v>
      </c>
      <c r="O407" s="9">
        <v>172</v>
      </c>
      <c r="P407" s="9" t="str">
        <f>IFERROR(MID(VLOOKUP($B407,Seqs!$A:$B,2,0),Q407,1),"")</f>
        <v/>
      </c>
      <c r="Q407" s="9" t="s">
        <v>23</v>
      </c>
      <c r="R407" s="9" t="str">
        <f>IFERROR(MID(VLOOKUP($B407,Seqs!$A:$B,2,0),S407,1),"")</f>
        <v/>
      </c>
      <c r="S407" s="9" t="s">
        <v>23</v>
      </c>
      <c r="T407" s="9" t="str">
        <f>IFERROR(MID(VLOOKUP($B407,Seqs!$A:$B,2,0),U407,1),"")</f>
        <v>E</v>
      </c>
      <c r="U407" s="9">
        <v>181</v>
      </c>
      <c r="V407" s="9" t="str">
        <f>IFERROR(MID(VLOOKUP($B407,Seqs!$A:$B,2,0),W407,1),"")</f>
        <v>M</v>
      </c>
      <c r="W407" s="9">
        <v>215</v>
      </c>
      <c r="X407" s="9" t="str">
        <f>IFERROR(MID(VLOOKUP($B407,Seqs!$A:$B,2,0),Y407,1),"")</f>
        <v/>
      </c>
      <c r="Y407" s="9" t="s">
        <v>23</v>
      </c>
      <c r="Z407" s="9" t="str">
        <f>IFERROR(MID(VLOOKUP($B407,Seqs!$A:$B,2,0),AA407,1),"")</f>
        <v/>
      </c>
      <c r="AA407" s="9" t="s">
        <v>23</v>
      </c>
      <c r="AB407" s="9" t="str">
        <f>IFERROR(MID(VLOOKUP($B407,Seqs!$A:$B,2,0),AC407,1),"")</f>
        <v>R</v>
      </c>
      <c r="AC407" s="9">
        <v>223</v>
      </c>
      <c r="AD407" s="9" t="str">
        <f>IFERROR(MID(VLOOKUP($B407,Seqs!$A:$B,2,0),AE407,1),"")</f>
        <v>E</v>
      </c>
      <c r="AE407" s="9">
        <v>250</v>
      </c>
      <c r="AF407" s="9" t="str">
        <f>IFERROR(MID(VLOOKUP($B407,Seqs!$A:$B,2,0),AG407,1),"")</f>
        <v>C</v>
      </c>
      <c r="AG407" s="9">
        <v>254</v>
      </c>
      <c r="AH407" s="9" t="str">
        <f>IFERROR(MID(VLOOKUP($B407,Seqs!$A:$B,2,0),AI407,1),"")</f>
        <v>F</v>
      </c>
      <c r="AI407" s="9">
        <v>256</v>
      </c>
      <c r="AJ407" s="9" t="str">
        <f>IFERROR(MID(VLOOKUP($B407,Seqs!$A:$B,2,0),AK407,1),"")</f>
        <v>V</v>
      </c>
      <c r="AK407" s="9">
        <v>264</v>
      </c>
      <c r="AL407" s="9" t="str">
        <f>IFERROR(MID(VLOOKUP($B407,Seqs!$A:$B,2,0),AM407,1),"")</f>
        <v>A</v>
      </c>
      <c r="AM407" s="9">
        <v>296</v>
      </c>
      <c r="AN407" s="9" t="str">
        <f>IFERROR(MID(VLOOKUP($B407,Seqs!$A:$B,2,0),AO407,1),"")</f>
        <v>S</v>
      </c>
      <c r="AO407" s="9">
        <v>300</v>
      </c>
      <c r="AP407" s="9" t="str">
        <f>IFERROR(MID(VLOOKUP($B407,Seqs!$A:$B,2,0),AQ407,1),"")</f>
        <v>V</v>
      </c>
      <c r="AQ407" s="9">
        <v>328</v>
      </c>
      <c r="AR407" s="9" t="str">
        <f>IFERROR(MID(VLOOKUP($B407,Seqs!$A:$B,2,0),AS407,1),"")</f>
        <v>D</v>
      </c>
      <c r="AS407" s="9">
        <v>334</v>
      </c>
      <c r="AT407" s="9" t="str">
        <f>IFERROR(MID(VLOOKUP($B407,Seqs!$A:$B,2,0),AU407,1),"")</f>
        <v>F</v>
      </c>
      <c r="AU407" s="9">
        <v>362</v>
      </c>
      <c r="AV407" s="9" t="str">
        <f>IFERROR(MID(VLOOKUP($B407,Seqs!$A:$B,2,0),AW407,1),"")</f>
        <v>N</v>
      </c>
      <c r="AW407" s="9">
        <v>363</v>
      </c>
      <c r="AX407" s="9" t="str">
        <f>IFERROR(MID(VLOOKUP($B407,Seqs!$A:$B,2,0),AY407,1),"")</f>
        <v>A</v>
      </c>
      <c r="AY407" s="9">
        <v>388</v>
      </c>
      <c r="AZ407" s="110" t="str">
        <f>VLOOKUP(B407,Classification!A:D,2,0)</f>
        <v>B1</v>
      </c>
      <c r="BA407" s="98" t="str">
        <f>VLOOKUP(B407,Classification!A:D,4,0)</f>
        <v>Corticotropin-releasingfact</v>
      </c>
      <c r="BB407" s="36" t="b">
        <f t="shared" ref="BB407:BB408" si="1188">AND(E407&lt;G407,OR(G407&lt;I407,I407="-"),OR(I407&lt;K407,I407="-"),OR(K407&lt;M407,K407="-"),M407&lt;O407,OR(O407&lt;Q407,Q407="-"),OR(Q407&lt;S407,Q407="-"),OR(S407&lt;U407,S407="-"),U407&lt;W407,OR(W407&lt;Y407,Y407="-"),OR(Y407&lt;AA407,Y407="-"),OR(AA407&lt;AC407,AA407="-"),AC407&lt;AE407,OR(AE407&lt;AG407,AG407="-"),OR(AG407&lt;AI407,AG407="-"),OR(AI407&lt;AK407,AI407="-"),AK407&lt;AM407,AM407&lt;AO407,AO407&lt;AQ407,AQ407&lt;AS407,AS407&lt;AU407,OR(AU407&lt;AW407,AW407="-"),OR(AW407&lt;AY407,AW407="-"))</f>
        <v>1</v>
      </c>
      <c r="BC407" s="109">
        <f t="shared" ref="BC407:BC408" si="1189">_xlfn.AGGREGATE(9,6,CH407:CS407)-_xlfn.AGGREGATE(9,6,BV407:CG407)+12</f>
        <v>258</v>
      </c>
      <c r="BD407" s="129" t="s">
        <v>23</v>
      </c>
      <c r="BE407" s="9" t="s">
        <v>23</v>
      </c>
      <c r="BF407" s="119" t="s">
        <v>23</v>
      </c>
      <c r="BG407" s="51" t="s">
        <v>1371</v>
      </c>
      <c r="BH407" s="51" t="s">
        <v>1371</v>
      </c>
      <c r="BI407" s="9"/>
      <c r="BJ407" s="111" t="s">
        <v>1281</v>
      </c>
      <c r="BK407" s="112" t="s">
        <v>1281</v>
      </c>
      <c r="BL407" s="112" t="s">
        <v>1281</v>
      </c>
      <c r="BM407" s="112" t="s">
        <v>1281</v>
      </c>
      <c r="BN407" s="112" t="s">
        <v>1281</v>
      </c>
      <c r="BO407" s="112" t="s">
        <v>1281</v>
      </c>
      <c r="BP407" s="112" t="s">
        <v>1281</v>
      </c>
      <c r="BQ407" s="112" t="s">
        <v>1281</v>
      </c>
      <c r="BR407" s="112" t="s">
        <v>1281</v>
      </c>
      <c r="BS407" s="112" t="s">
        <v>1281</v>
      </c>
      <c r="BT407" s="112" t="s">
        <v>1281</v>
      </c>
      <c r="BU407" s="112" t="s">
        <v>1281</v>
      </c>
      <c r="BV407" s="111">
        <f>E407</f>
        <v>100</v>
      </c>
      <c r="BW407" s="113">
        <f>I407</f>
        <v>142</v>
      </c>
      <c r="BX407" s="114">
        <f>M407</f>
        <v>146</v>
      </c>
      <c r="BY407" s="113" t="str">
        <f>Q407</f>
        <v>-</v>
      </c>
      <c r="BZ407" s="114">
        <f>U407</f>
        <v>181</v>
      </c>
      <c r="CA407" s="113" t="str">
        <f>Y407</f>
        <v>-</v>
      </c>
      <c r="CB407" s="114">
        <f>AC407</f>
        <v>223</v>
      </c>
      <c r="CC407" s="113">
        <f>AG407</f>
        <v>254</v>
      </c>
      <c r="CD407" s="114">
        <f>AK407</f>
        <v>264</v>
      </c>
      <c r="CE407" s="113">
        <f>AO407</f>
        <v>300</v>
      </c>
      <c r="CF407" s="114">
        <f>AS407</f>
        <v>334</v>
      </c>
      <c r="CG407" s="113">
        <f>AW407</f>
        <v>363</v>
      </c>
      <c r="CH407" s="111">
        <f>G407</f>
        <v>141</v>
      </c>
      <c r="CI407" s="113">
        <f>K407</f>
        <v>145</v>
      </c>
      <c r="CJ407" s="114">
        <f>O407</f>
        <v>172</v>
      </c>
      <c r="CK407" s="114" t="str">
        <f>S407</f>
        <v>-</v>
      </c>
      <c r="CL407" s="114">
        <f>W407</f>
        <v>215</v>
      </c>
      <c r="CM407" s="114" t="str">
        <f>AA407</f>
        <v>-</v>
      </c>
      <c r="CN407" s="114">
        <f>AE407</f>
        <v>250</v>
      </c>
      <c r="CO407" s="114">
        <f>AI407</f>
        <v>256</v>
      </c>
      <c r="CP407" s="114">
        <f>AM407</f>
        <v>296</v>
      </c>
      <c r="CQ407" s="114">
        <f>AQ407</f>
        <v>328</v>
      </c>
      <c r="CR407" s="114">
        <f>AU407</f>
        <v>362</v>
      </c>
      <c r="CS407" s="114">
        <f>AY407</f>
        <v>388</v>
      </c>
      <c r="CT407" s="109">
        <f>M407-K407</f>
        <v>1</v>
      </c>
    </row>
    <row r="408" spans="1:1030" s="12" customFormat="1" x14ac:dyDescent="0.2">
      <c r="A408" s="9" t="str">
        <f>CONCATENATE(B408,"_",C408)</f>
        <v>crfr2_human_6PB1</v>
      </c>
      <c r="B408" s="9" t="s">
        <v>402</v>
      </c>
      <c r="C408" s="9" t="s">
        <v>1646</v>
      </c>
      <c r="D408" s="9" t="str">
        <f>IFERROR(MID(VLOOKUP($B408,Seqs!$A:$B,2,0),E408,1),"")</f>
        <v>L</v>
      </c>
      <c r="E408" s="9">
        <v>111</v>
      </c>
      <c r="F408" s="9" t="str">
        <f>IFERROR(MID(VLOOKUP($B408,Seqs!$A:$B,2,0),G408,1),"")</f>
        <v>L</v>
      </c>
      <c r="G408" s="9">
        <v>141</v>
      </c>
      <c r="H408" s="9" t="str">
        <f>IFERROR(MID(VLOOKUP($B408,Seqs!$A:$B,2,0),I408,1),"")</f>
        <v>R</v>
      </c>
      <c r="I408" s="109">
        <v>142</v>
      </c>
      <c r="J408" s="9" t="str">
        <f>IFERROR(MID(VLOOKUP($B408,Seqs!$A:$B,2,0),K408,1),"")</f>
        <v>R</v>
      </c>
      <c r="K408" s="109">
        <v>145</v>
      </c>
      <c r="L408" s="9" t="str">
        <f>IFERROR(MID(VLOOKUP($B408,Seqs!$A:$B,2,0),M408,1),"")</f>
        <v>C</v>
      </c>
      <c r="M408" s="109">
        <v>146</v>
      </c>
      <c r="N408" s="9" t="str">
        <f>IFERROR(MID(VLOOKUP($B408,Seqs!$A:$B,2,0),O408,1),"")</f>
        <v>Q</v>
      </c>
      <c r="O408" s="9">
        <v>170</v>
      </c>
      <c r="P408" s="9" t="str">
        <f>IFERROR(MID(VLOOKUP($B408,Seqs!$A:$B,2,0),Q408,1),"")</f>
        <v/>
      </c>
      <c r="Q408" s="9" t="s">
        <v>23</v>
      </c>
      <c r="R408" s="9" t="str">
        <f>IFERROR(MID(VLOOKUP($B408,Seqs!$A:$B,2,0),S408,1),"")</f>
        <v/>
      </c>
      <c r="S408" s="9" t="s">
        <v>23</v>
      </c>
      <c r="T408" s="9" t="str">
        <f>IFERROR(MID(VLOOKUP($B408,Seqs!$A:$B,2,0),U408,1),"")</f>
        <v>V</v>
      </c>
      <c r="U408" s="9">
        <v>182</v>
      </c>
      <c r="V408" s="9" t="str">
        <f>IFERROR(MID(VLOOKUP($B408,Seqs!$A:$B,2,0),W408,1),"")</f>
        <v>M</v>
      </c>
      <c r="W408" s="9">
        <v>215</v>
      </c>
      <c r="X408" s="9" t="str">
        <f>IFERROR(MID(VLOOKUP($B408,Seqs!$A:$B,2,0),Y408,1),"")</f>
        <v/>
      </c>
      <c r="Y408" s="9" t="s">
        <v>23</v>
      </c>
      <c r="Z408" s="9" t="str">
        <f>IFERROR(MID(VLOOKUP($B408,Seqs!$A:$B,2,0),AA408,1),"")</f>
        <v/>
      </c>
      <c r="AA408" s="9" t="s">
        <v>23</v>
      </c>
      <c r="AB408" s="9" t="str">
        <f>IFERROR(MID(VLOOKUP($B408,Seqs!$A:$B,2,0),AC408,1),"")</f>
        <v>R</v>
      </c>
      <c r="AC408" s="9">
        <v>223</v>
      </c>
      <c r="AD408" s="9" t="str">
        <f>IFERROR(MID(VLOOKUP($B408,Seqs!$A:$B,2,0),AE408,1),"")</f>
        <v>E</v>
      </c>
      <c r="AE408" s="9">
        <v>250</v>
      </c>
      <c r="AF408" s="9" t="str">
        <f>IFERROR(MID(VLOOKUP($B408,Seqs!$A:$B,2,0),AG408,1),"")</f>
        <v>C</v>
      </c>
      <c r="AG408" s="9">
        <v>254</v>
      </c>
      <c r="AH408" s="9" t="str">
        <f>IFERROR(MID(VLOOKUP($B408,Seqs!$A:$B,2,0),AI408,1),"")</f>
        <v>F</v>
      </c>
      <c r="AI408" s="9">
        <v>256</v>
      </c>
      <c r="AJ408" s="9" t="str">
        <f>IFERROR(MID(VLOOKUP($B408,Seqs!$A:$B,2,0),AK408,1),"")</f>
        <v>V</v>
      </c>
      <c r="AK408" s="9">
        <v>264</v>
      </c>
      <c r="AL408" s="9" t="str">
        <f>IFERROR(MID(VLOOKUP($B408,Seqs!$A:$B,2,0),AM408,1),"")</f>
        <v>A</v>
      </c>
      <c r="AM408" s="9">
        <v>296</v>
      </c>
      <c r="AN408" s="9" t="str">
        <f>IFERROR(MID(VLOOKUP($B408,Seqs!$A:$B,2,0),AO408,1),"")</f>
        <v>S</v>
      </c>
      <c r="AO408" s="9">
        <v>300</v>
      </c>
      <c r="AP408" s="9" t="str">
        <f>IFERROR(MID(VLOOKUP($B408,Seqs!$A:$B,2,0),AQ408,1),"")</f>
        <v>L</v>
      </c>
      <c r="AQ408" s="9">
        <v>325</v>
      </c>
      <c r="AR408" s="9" t="str">
        <f>IFERROR(MID(VLOOKUP($B408,Seqs!$A:$B,2,0),AS408,1),"")</f>
        <v>D</v>
      </c>
      <c r="AS408" s="9">
        <v>334</v>
      </c>
      <c r="AT408" s="9" t="str">
        <f>IFERROR(MID(VLOOKUP($B408,Seqs!$A:$B,2,0),AU408,1),"")</f>
        <v>F</v>
      </c>
      <c r="AU408" s="9">
        <v>362</v>
      </c>
      <c r="AV408" s="9" t="str">
        <f>IFERROR(MID(VLOOKUP($B408,Seqs!$A:$B,2,0),AW408,1),"")</f>
        <v>N</v>
      </c>
      <c r="AW408" s="9">
        <v>363</v>
      </c>
      <c r="AX408" s="9" t="str">
        <f>IFERROR(MID(VLOOKUP($B408,Seqs!$A:$B,2,0),AY408,1),"")</f>
        <v>S</v>
      </c>
      <c r="AY408" s="9">
        <v>382</v>
      </c>
      <c r="AZ408" s="110" t="str">
        <f>VLOOKUP(B408,Classification!A:D,2,0)</f>
        <v>B1</v>
      </c>
      <c r="BA408" s="98" t="str">
        <f>VLOOKUP(B408,Classification!A:D,4,0)</f>
        <v>Corticotropin-releasingfact</v>
      </c>
      <c r="BB408" s="36" t="b">
        <f t="shared" si="1188"/>
        <v>1</v>
      </c>
      <c r="BC408" s="109">
        <f t="shared" si="1189"/>
        <v>235</v>
      </c>
      <c r="BD408" s="129" t="s">
        <v>1369</v>
      </c>
      <c r="BE408" s="9" t="s">
        <v>1285</v>
      </c>
      <c r="BF408" s="119">
        <v>2.8</v>
      </c>
      <c r="BG408" s="51" t="s">
        <v>1647</v>
      </c>
      <c r="BH408" s="51" t="s">
        <v>1647</v>
      </c>
      <c r="BI408" s="9"/>
      <c r="BJ408" s="111" t="s">
        <v>1281</v>
      </c>
      <c r="BK408" s="112" t="s">
        <v>1281</v>
      </c>
      <c r="BL408" s="112" t="s">
        <v>1281</v>
      </c>
      <c r="BM408" s="112" t="s">
        <v>1281</v>
      </c>
      <c r="BN408" s="112" t="s">
        <v>1281</v>
      </c>
      <c r="BO408" s="112" t="s">
        <v>1281</v>
      </c>
      <c r="BP408" s="112" t="s">
        <v>1281</v>
      </c>
      <c r="BQ408" s="112" t="s">
        <v>1281</v>
      </c>
      <c r="BR408" s="112" t="s">
        <v>1281</v>
      </c>
      <c r="BS408" s="112" t="s">
        <v>1281</v>
      </c>
      <c r="BT408" s="112" t="s">
        <v>1281</v>
      </c>
      <c r="BU408" s="112" t="s">
        <v>1281</v>
      </c>
      <c r="BV408" s="111">
        <f>E408</f>
        <v>111</v>
      </c>
      <c r="BW408" s="113">
        <f>I408</f>
        <v>142</v>
      </c>
      <c r="BX408" s="114">
        <f>M408</f>
        <v>146</v>
      </c>
      <c r="BY408" s="113" t="str">
        <f>Q408</f>
        <v>-</v>
      </c>
      <c r="BZ408" s="114">
        <f>U408</f>
        <v>182</v>
      </c>
      <c r="CA408" s="113" t="str">
        <f>Y408</f>
        <v>-</v>
      </c>
      <c r="CB408" s="114">
        <f>AC408</f>
        <v>223</v>
      </c>
      <c r="CC408" s="113">
        <f>AG408</f>
        <v>254</v>
      </c>
      <c r="CD408" s="114">
        <f>AK408</f>
        <v>264</v>
      </c>
      <c r="CE408" s="113">
        <f>AO408</f>
        <v>300</v>
      </c>
      <c r="CF408" s="114">
        <f>AS408</f>
        <v>334</v>
      </c>
      <c r="CG408" s="113">
        <f>AW408</f>
        <v>363</v>
      </c>
      <c r="CH408" s="111">
        <f>G408</f>
        <v>141</v>
      </c>
      <c r="CI408" s="113">
        <f>K408</f>
        <v>145</v>
      </c>
      <c r="CJ408" s="114">
        <f>O408</f>
        <v>170</v>
      </c>
      <c r="CK408" s="114" t="str">
        <f>S408</f>
        <v>-</v>
      </c>
      <c r="CL408" s="114">
        <f>W408</f>
        <v>215</v>
      </c>
      <c r="CM408" s="114" t="str">
        <f>AA408</f>
        <v>-</v>
      </c>
      <c r="CN408" s="114">
        <f>AE408</f>
        <v>250</v>
      </c>
      <c r="CO408" s="114">
        <f>AI408</f>
        <v>256</v>
      </c>
      <c r="CP408" s="114">
        <f>AM408</f>
        <v>296</v>
      </c>
      <c r="CQ408" s="114">
        <f>AQ408</f>
        <v>325</v>
      </c>
      <c r="CR408" s="114">
        <f>AU408</f>
        <v>362</v>
      </c>
      <c r="CS408" s="114">
        <f>AY408</f>
        <v>382</v>
      </c>
      <c r="CT408" s="109">
        <f>M408-K408</f>
        <v>1</v>
      </c>
    </row>
    <row r="409" spans="1:1030" x14ac:dyDescent="0.2">
      <c r="A409" s="3" t="str">
        <f>CONCATENATE(B409,"_",C409)</f>
        <v>glr_human__wt</v>
      </c>
      <c r="B409" s="3" t="s">
        <v>32</v>
      </c>
      <c r="C409" s="3" t="s">
        <v>100</v>
      </c>
      <c r="D409" s="3" t="str">
        <f>IFERROR(MID(VLOOKUP($B409,Seqs!$A:$B,2,0),E409,1),"")</f>
        <v>Q</v>
      </c>
      <c r="E409" s="105">
        <v>131</v>
      </c>
      <c r="F409" s="3" t="str">
        <f>IFERROR(MID(VLOOKUP($B409,Seqs!$A:$B,2,0),G409,1),"")</f>
        <v>L</v>
      </c>
      <c r="G409" s="3">
        <v>166</v>
      </c>
      <c r="H409" s="3" t="str">
        <f>IFERROR(MID(VLOOKUP($B409,Seqs!$A:$B,2,0),I409,1),"")</f>
        <v>S</v>
      </c>
      <c r="I409" s="23">
        <v>167</v>
      </c>
      <c r="J409" s="3" t="str">
        <f>IFERROR(MID(VLOOKUP($B409,Seqs!$A:$B,2,0),K409,1),"")</f>
        <v>H</v>
      </c>
      <c r="K409" s="23">
        <v>170</v>
      </c>
      <c r="L409" s="3" t="str">
        <f>IFERROR(MID(VLOOKUP($B409,Seqs!$A:$B,2,0),M409,1),"")</f>
        <v>C</v>
      </c>
      <c r="M409" s="23">
        <v>171</v>
      </c>
      <c r="N409" s="3" t="str">
        <f>IFERROR(MID(VLOOKUP($B409,Seqs!$A:$B,2,0),O409,1),"")</f>
        <v>S</v>
      </c>
      <c r="O409" s="105">
        <v>203</v>
      </c>
      <c r="P409" s="3" t="str">
        <f>IFERROR(MID(VLOOKUP($B409,Seqs!$A:$B,2,0),Q409,1),"")</f>
        <v/>
      </c>
      <c r="Q409" s="3" t="s">
        <v>23</v>
      </c>
      <c r="R409" s="3" t="str">
        <f>IFERROR(MID(VLOOKUP($B409,Seqs!$A:$B,2,0),S409,1),"")</f>
        <v/>
      </c>
      <c r="S409" s="3" t="s">
        <v>23</v>
      </c>
      <c r="T409" s="3" t="str">
        <f>IFERROR(MID(VLOOKUP($B409,Seqs!$A:$B,2,0),U409,1),"")</f>
        <v>A</v>
      </c>
      <c r="U409" s="3">
        <v>220</v>
      </c>
      <c r="V409" s="3" t="str">
        <f>IFERROR(MID(VLOOKUP($B409,Seqs!$A:$B,2,0),W409,1),"")</f>
        <v>L</v>
      </c>
      <c r="W409" s="3">
        <v>255</v>
      </c>
      <c r="X409" s="3" t="str">
        <f>IFERROR(MID(VLOOKUP($B409,Seqs!$A:$B,2,0),Y409,1),"")</f>
        <v/>
      </c>
      <c r="Y409" s="3" t="s">
        <v>23</v>
      </c>
      <c r="Z409" s="3" t="str">
        <f>IFERROR(MID(VLOOKUP($B409,Seqs!$A:$B,2,0),AA409,1),"")</f>
        <v/>
      </c>
      <c r="AA409" s="3" t="s">
        <v>23</v>
      </c>
      <c r="AB409" s="3" t="str">
        <f>IFERROR(MID(VLOOKUP($B409,Seqs!$A:$B,2,0),AC409,1),"")</f>
        <v>S</v>
      </c>
      <c r="AC409" s="9">
        <v>262</v>
      </c>
      <c r="AD409" s="3" t="str">
        <f>IFERROR(MID(VLOOKUP($B409,Seqs!$A:$B,2,0),AE409,1),"")</f>
        <v>E</v>
      </c>
      <c r="AE409" s="3">
        <v>290</v>
      </c>
      <c r="AF409" s="3" t="str">
        <f>IFERROR(MID(VLOOKUP($B409,Seqs!$A:$B,2,0),AG409,1),"")</f>
        <v>C</v>
      </c>
      <c r="AG409" s="3">
        <v>294</v>
      </c>
      <c r="AH409" s="3" t="str">
        <f>IFERROR(MID(VLOOKUP($B409,Seqs!$A:$B,2,0),AI409,1),"")</f>
        <v>T</v>
      </c>
      <c r="AI409" s="3">
        <v>296</v>
      </c>
      <c r="AJ409" s="3" t="str">
        <f>IFERROR(MID(VLOOKUP($B409,Seqs!$A:$B,2,0),AK409,1),"")</f>
        <v>D</v>
      </c>
      <c r="AK409" s="105">
        <v>299</v>
      </c>
      <c r="AL409" s="3" t="str">
        <f>IFERROR(MID(VLOOKUP($B409,Seqs!$A:$B,2,0),AM409,1),"")</f>
        <v>A</v>
      </c>
      <c r="AM409" s="3">
        <v>335</v>
      </c>
      <c r="AN409" s="3" t="str">
        <f>IFERROR(MID(VLOOKUP($B409,Seqs!$A:$B,2,0),AO409,1),"")</f>
        <v>D</v>
      </c>
      <c r="AO409" s="3">
        <v>342</v>
      </c>
      <c r="AP409" s="3" t="str">
        <f>IFERROR(MID(VLOOKUP($B409,Seqs!$A:$B,2,0),AQ409,1),"")</f>
        <v>F</v>
      </c>
      <c r="AQ409" s="3">
        <v>367</v>
      </c>
      <c r="AR409" s="3" t="str">
        <f>IFERROR(MID(VLOOKUP($B409,Seqs!$A:$B,2,0),AS409,1),"")</f>
        <v>Q</v>
      </c>
      <c r="AS409" s="3">
        <v>374</v>
      </c>
      <c r="AT409" s="3" t="str">
        <f>IFERROR(MID(VLOOKUP($B409,Seqs!$A:$B,2,0),AU409,1),"")</f>
        <v>L</v>
      </c>
      <c r="AU409" s="3">
        <v>403</v>
      </c>
      <c r="AV409" s="3" t="str">
        <f>IFERROR(MID(VLOOKUP($B409,Seqs!$A:$B,2,0),AW409,1),"")</f>
        <v>N</v>
      </c>
      <c r="AW409" s="3">
        <v>404</v>
      </c>
      <c r="AX409" s="3" t="str">
        <f>IFERROR(MID(VLOOKUP($B409,Seqs!$A:$B,2,0),AY409,1),"")</f>
        <v>N</v>
      </c>
      <c r="AY409" s="3">
        <v>429</v>
      </c>
      <c r="AZ409" s="77" t="str">
        <f>VLOOKUP(B409,Classification!A:D,2,0)</f>
        <v>B1</v>
      </c>
      <c r="BA409" s="94" t="str">
        <f>VLOOKUP(B409,Classification!A:D,4,0)</f>
        <v>Glucagonreceptorfamily</v>
      </c>
      <c r="BB409" s="27" t="b">
        <f t="shared" si="1114"/>
        <v>1</v>
      </c>
      <c r="BC409" s="23">
        <f t="shared" si="1187"/>
        <v>262</v>
      </c>
      <c r="BD409" s="56" t="s">
        <v>23</v>
      </c>
      <c r="BE409" s="3" t="s">
        <v>23</v>
      </c>
      <c r="BF409" s="118" t="s">
        <v>23</v>
      </c>
      <c r="BG409" s="49" t="s">
        <v>1366</v>
      </c>
      <c r="BH409" s="49" t="s">
        <v>1371</v>
      </c>
      <c r="BI409" s="1"/>
      <c r="BJ409" s="70" t="s">
        <v>1281</v>
      </c>
      <c r="BK409" s="57" t="s">
        <v>1281</v>
      </c>
      <c r="BL409" s="57" t="s">
        <v>1281</v>
      </c>
      <c r="BM409" s="57" t="s">
        <v>1281</v>
      </c>
      <c r="BN409" s="57" t="s">
        <v>1281</v>
      </c>
      <c r="BO409" s="57" t="s">
        <v>1281</v>
      </c>
      <c r="BP409" s="57" t="s">
        <v>1281</v>
      </c>
      <c r="BQ409" s="57" t="s">
        <v>1281</v>
      </c>
      <c r="BR409" s="57" t="s">
        <v>1281</v>
      </c>
      <c r="BS409" s="57" t="s">
        <v>1281</v>
      </c>
      <c r="BT409" s="57" t="s">
        <v>1281</v>
      </c>
      <c r="BU409" s="57" t="s">
        <v>1281</v>
      </c>
      <c r="BV409" s="70">
        <f>E409</f>
        <v>131</v>
      </c>
      <c r="BW409" s="71">
        <f>I409</f>
        <v>167</v>
      </c>
      <c r="BX409" s="72">
        <f>M409</f>
        <v>171</v>
      </c>
      <c r="BY409" s="71" t="str">
        <f>Q409</f>
        <v>-</v>
      </c>
      <c r="BZ409" s="72">
        <f>U409</f>
        <v>220</v>
      </c>
      <c r="CA409" s="71" t="str">
        <f>Y409</f>
        <v>-</v>
      </c>
      <c r="CB409" s="72">
        <f>AC409</f>
        <v>262</v>
      </c>
      <c r="CC409" s="71">
        <f>AG409</f>
        <v>294</v>
      </c>
      <c r="CD409" s="72">
        <f>AK409</f>
        <v>299</v>
      </c>
      <c r="CE409" s="71">
        <f>AO409</f>
        <v>342</v>
      </c>
      <c r="CF409" s="72">
        <f>AS409</f>
        <v>374</v>
      </c>
      <c r="CG409" s="71">
        <f>AW409</f>
        <v>404</v>
      </c>
      <c r="CH409" s="70">
        <f>G409</f>
        <v>166</v>
      </c>
      <c r="CI409" s="71">
        <f>K409</f>
        <v>170</v>
      </c>
      <c r="CJ409" s="72">
        <f>O409</f>
        <v>203</v>
      </c>
      <c r="CK409" s="72" t="str">
        <f>S409</f>
        <v>-</v>
      </c>
      <c r="CL409" s="72">
        <f>W409</f>
        <v>255</v>
      </c>
      <c r="CM409" s="72" t="str">
        <f>AA409</f>
        <v>-</v>
      </c>
      <c r="CN409" s="72">
        <f>AE409</f>
        <v>290</v>
      </c>
      <c r="CO409" s="72">
        <f>AI409</f>
        <v>296</v>
      </c>
      <c r="CP409" s="72">
        <f>AM409</f>
        <v>335</v>
      </c>
      <c r="CQ409" s="72">
        <f>AQ409</f>
        <v>367</v>
      </c>
      <c r="CR409" s="72">
        <f>AU409</f>
        <v>403</v>
      </c>
      <c r="CS409" s="72">
        <f>AY409</f>
        <v>429</v>
      </c>
      <c r="CT409" s="23">
        <f>M409-K409</f>
        <v>1</v>
      </c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1"/>
      <c r="OF409" s="1"/>
      <c r="OG409" s="1"/>
      <c r="OH409" s="1"/>
      <c r="OI409" s="1"/>
      <c r="OJ409" s="1"/>
      <c r="OK409" s="1"/>
      <c r="OL409" s="1"/>
      <c r="OM409" s="1"/>
      <c r="ON409" s="1"/>
      <c r="OO409" s="1"/>
      <c r="OP409" s="1"/>
      <c r="OQ409" s="1"/>
      <c r="OR409" s="1"/>
      <c r="OS409" s="1"/>
      <c r="OT409" s="1"/>
      <c r="OU409" s="1"/>
      <c r="OV409" s="1"/>
      <c r="OW409" s="1"/>
      <c r="OX409" s="1"/>
      <c r="OY409" s="1"/>
      <c r="OZ409" s="1"/>
      <c r="PA409" s="1"/>
      <c r="PB409" s="1"/>
      <c r="PC409" s="1"/>
      <c r="PD409" s="1"/>
      <c r="PE409" s="1"/>
      <c r="PF409" s="1"/>
      <c r="PG409" s="1"/>
      <c r="PH409" s="1"/>
      <c r="PI409" s="1"/>
      <c r="PJ409" s="1"/>
      <c r="PK409" s="1"/>
      <c r="PL409" s="1"/>
      <c r="PM409" s="1"/>
      <c r="PN409" s="1"/>
      <c r="PO409" s="1"/>
      <c r="PP409" s="1"/>
      <c r="PQ409" s="1"/>
      <c r="PR409" s="1"/>
      <c r="PS409" s="1"/>
      <c r="PT409" s="1"/>
      <c r="PU409" s="1"/>
      <c r="PV409" s="1"/>
      <c r="PW409" s="1"/>
      <c r="PX409" s="1"/>
      <c r="PY409" s="1"/>
      <c r="PZ409" s="1"/>
      <c r="QA409" s="1"/>
      <c r="QB409" s="1"/>
      <c r="QC409" s="1"/>
      <c r="QD409" s="1"/>
      <c r="QE409" s="1"/>
      <c r="QF409" s="1"/>
      <c r="QG409" s="1"/>
      <c r="QH409" s="1"/>
      <c r="QI409" s="1"/>
      <c r="QJ409" s="1"/>
      <c r="QK409" s="1"/>
      <c r="QL409" s="1"/>
      <c r="QM409" s="1"/>
      <c r="QN409" s="1"/>
      <c r="QO409" s="1"/>
      <c r="QP409" s="1"/>
      <c r="QQ409" s="1"/>
      <c r="QR409" s="1"/>
      <c r="QS409" s="1"/>
      <c r="QT409" s="1"/>
      <c r="QU409" s="1"/>
      <c r="QV409" s="1"/>
      <c r="QW409" s="1"/>
      <c r="QX409" s="1"/>
      <c r="QY409" s="1"/>
      <c r="QZ409" s="1"/>
      <c r="RA409" s="1"/>
      <c r="RB409" s="1"/>
      <c r="RC409" s="1"/>
      <c r="RD409" s="1"/>
      <c r="RE409" s="1"/>
      <c r="RF409" s="1"/>
      <c r="RG409" s="1"/>
      <c r="RH409" s="1"/>
      <c r="RI409" s="1"/>
      <c r="RJ409" s="1"/>
      <c r="RK409" s="1"/>
      <c r="RL409" s="1"/>
      <c r="RM409" s="1"/>
      <c r="RN409" s="1"/>
      <c r="RO409" s="1"/>
      <c r="RP409" s="1"/>
      <c r="RQ409" s="1"/>
      <c r="RR409" s="1"/>
      <c r="RS409" s="1"/>
      <c r="RT409" s="1"/>
      <c r="RU409" s="1"/>
      <c r="RV409" s="1"/>
      <c r="RW409" s="1"/>
      <c r="RX409" s="1"/>
      <c r="RY409" s="1"/>
      <c r="RZ409" s="1"/>
      <c r="SA409" s="1"/>
      <c r="SB409" s="1"/>
      <c r="SC409" s="1"/>
      <c r="SD409" s="1"/>
      <c r="SE409" s="1"/>
      <c r="SF409" s="1"/>
      <c r="SG409" s="1"/>
      <c r="SH409" s="1"/>
      <c r="SI409" s="1"/>
      <c r="SJ409" s="1"/>
      <c r="SK409" s="1"/>
      <c r="SL409" s="1"/>
      <c r="SM409" s="1"/>
      <c r="SN409" s="1"/>
      <c r="SO409" s="1"/>
      <c r="SP409" s="1"/>
      <c r="SQ409" s="1"/>
      <c r="SR409" s="1"/>
      <c r="SS409" s="1"/>
      <c r="ST409" s="1"/>
      <c r="SU409" s="1"/>
      <c r="SV409" s="1"/>
      <c r="SW409" s="1"/>
      <c r="SX409" s="1"/>
      <c r="SY409" s="1"/>
      <c r="SZ409" s="1"/>
      <c r="TA409" s="1"/>
      <c r="TB409" s="1"/>
      <c r="TC409" s="1"/>
      <c r="TD409" s="1"/>
      <c r="TE409" s="1"/>
      <c r="TF409" s="1"/>
      <c r="TG409" s="1"/>
      <c r="TH409" s="1"/>
      <c r="TI409" s="1"/>
      <c r="TJ409" s="1"/>
      <c r="TK409" s="1"/>
      <c r="TL409" s="1"/>
      <c r="TM409" s="1"/>
      <c r="TN409" s="1"/>
      <c r="TO409" s="1"/>
      <c r="TP409" s="1"/>
      <c r="TQ409" s="1"/>
      <c r="TR409" s="1"/>
      <c r="TS409" s="1"/>
      <c r="TT409" s="1"/>
      <c r="TU409" s="1"/>
      <c r="TV409" s="1"/>
      <c r="TW409" s="1"/>
      <c r="TX409" s="1"/>
      <c r="TY409" s="1"/>
      <c r="TZ409" s="1"/>
      <c r="UA409" s="1"/>
      <c r="UB409" s="1"/>
      <c r="UC409" s="1"/>
      <c r="UD409" s="1"/>
      <c r="UE409" s="1"/>
      <c r="UF409" s="1"/>
      <c r="UG409" s="1"/>
      <c r="UH409" s="1"/>
      <c r="UI409" s="1"/>
      <c r="UJ409" s="1"/>
      <c r="UK409" s="1"/>
      <c r="UL409" s="1"/>
      <c r="UM409" s="1"/>
      <c r="UN409" s="1"/>
      <c r="UO409" s="1"/>
      <c r="UP409" s="1"/>
      <c r="UQ409" s="1"/>
      <c r="UR409" s="1"/>
      <c r="US409" s="1"/>
      <c r="UT409" s="1"/>
      <c r="UU409" s="1"/>
      <c r="UV409" s="1"/>
      <c r="UW409" s="1"/>
      <c r="UX409" s="1"/>
      <c r="UY409" s="1"/>
      <c r="UZ409" s="1"/>
      <c r="VA409" s="1"/>
      <c r="VB409" s="1"/>
      <c r="VC409" s="1"/>
      <c r="VD409" s="1"/>
      <c r="VE409" s="1"/>
      <c r="VF409" s="1"/>
      <c r="VG409" s="1"/>
      <c r="VH409" s="1"/>
      <c r="VI409" s="1"/>
      <c r="VJ409" s="1"/>
      <c r="VK409" s="1"/>
      <c r="VL409" s="1"/>
      <c r="VM409" s="1"/>
      <c r="VN409" s="1"/>
      <c r="VO409" s="1"/>
      <c r="VP409" s="1"/>
      <c r="VQ409" s="1"/>
      <c r="VR409" s="1"/>
      <c r="VS409" s="1"/>
      <c r="VT409" s="1"/>
      <c r="VU409" s="1"/>
      <c r="VV409" s="1"/>
      <c r="VW409" s="1"/>
      <c r="VX409" s="1"/>
      <c r="VY409" s="1"/>
      <c r="VZ409" s="1"/>
      <c r="WA409" s="1"/>
      <c r="WB409" s="1"/>
      <c r="WC409" s="1"/>
      <c r="WD409" s="1"/>
      <c r="WE409" s="1"/>
      <c r="WF409" s="1"/>
      <c r="WG409" s="1"/>
      <c r="WH409" s="1"/>
      <c r="WI409" s="1"/>
      <c r="WJ409" s="1"/>
      <c r="WK409" s="1"/>
      <c r="WL409" s="1"/>
      <c r="WM409" s="1"/>
      <c r="WN409" s="1"/>
      <c r="WO409" s="1"/>
      <c r="WP409" s="1"/>
      <c r="WQ409" s="1"/>
      <c r="WR409" s="1"/>
      <c r="WS409" s="1"/>
      <c r="WT409" s="1"/>
      <c r="WU409" s="1"/>
      <c r="WV409" s="1"/>
      <c r="WW409" s="1"/>
      <c r="WX409" s="1"/>
      <c r="WY409" s="1"/>
      <c r="WZ409" s="1"/>
      <c r="XA409" s="1"/>
      <c r="XB409" s="1"/>
      <c r="XC409" s="1"/>
      <c r="XD409" s="1"/>
      <c r="XE409" s="1"/>
      <c r="XF409" s="1"/>
      <c r="XG409" s="1"/>
      <c r="XH409" s="1"/>
      <c r="XI409" s="1"/>
      <c r="XJ409" s="1"/>
      <c r="XK409" s="1"/>
      <c r="XL409" s="1"/>
      <c r="XM409" s="1"/>
      <c r="XN409" s="1"/>
      <c r="XO409" s="1"/>
      <c r="XP409" s="1"/>
      <c r="XQ409" s="1"/>
      <c r="XR409" s="1"/>
      <c r="XS409" s="1"/>
      <c r="XT409" s="1"/>
      <c r="XU409" s="1"/>
      <c r="XV409" s="1"/>
      <c r="XW409" s="1"/>
      <c r="XX409" s="1"/>
      <c r="XY409" s="1"/>
      <c r="XZ409" s="1"/>
      <c r="YA409" s="1"/>
      <c r="YB409" s="1"/>
      <c r="YC409" s="1"/>
      <c r="YD409" s="1"/>
      <c r="YE409" s="1"/>
      <c r="YF409" s="1"/>
      <c r="YG409" s="1"/>
      <c r="YH409" s="1"/>
      <c r="YI409" s="1"/>
      <c r="YJ409" s="1"/>
      <c r="YK409" s="1"/>
      <c r="YL409" s="1"/>
      <c r="YM409" s="1"/>
      <c r="YN409" s="1"/>
      <c r="YO409" s="1"/>
      <c r="YP409" s="1"/>
      <c r="YQ409" s="1"/>
      <c r="YR409" s="1"/>
      <c r="YS409" s="1"/>
      <c r="YT409" s="1"/>
      <c r="YU409" s="1"/>
      <c r="YV409" s="1"/>
      <c r="YW409" s="1"/>
      <c r="YX409" s="1"/>
      <c r="YY409" s="1"/>
      <c r="YZ409" s="1"/>
      <c r="ZA409" s="1"/>
      <c r="ZB409" s="1"/>
      <c r="ZC409" s="1"/>
      <c r="ZD409" s="1"/>
      <c r="ZE409" s="1"/>
      <c r="ZF409" s="1"/>
      <c r="ZG409" s="1"/>
      <c r="ZH409" s="1"/>
      <c r="ZI409" s="1"/>
      <c r="ZJ409" s="1"/>
      <c r="ZK409" s="1"/>
      <c r="ZL409" s="1"/>
      <c r="ZM409" s="1"/>
      <c r="ZN409" s="1"/>
      <c r="ZO409" s="1"/>
      <c r="ZP409" s="1"/>
      <c r="ZQ409" s="1"/>
      <c r="ZR409" s="1"/>
      <c r="ZS409" s="1"/>
      <c r="ZT409" s="1"/>
      <c r="ZU409" s="1"/>
      <c r="ZV409" s="1"/>
      <c r="ZW409" s="1"/>
      <c r="ZX409" s="1"/>
      <c r="ZY409" s="1"/>
      <c r="ZZ409" s="1"/>
      <c r="AAA409" s="1"/>
      <c r="AAB409" s="1"/>
      <c r="AAC409" s="1"/>
      <c r="AAD409" s="1"/>
      <c r="AAE409" s="1"/>
      <c r="AAF409" s="1"/>
      <c r="AAG409" s="1"/>
      <c r="AAH409" s="1"/>
      <c r="AAI409" s="1"/>
      <c r="AAJ409" s="1"/>
      <c r="AAK409" s="1"/>
      <c r="AAL409" s="1"/>
      <c r="AAM409" s="1"/>
      <c r="AAN409" s="1"/>
      <c r="AAO409" s="1"/>
      <c r="AAP409" s="1"/>
      <c r="AAQ409" s="1"/>
      <c r="AAR409" s="1"/>
      <c r="AAS409" s="1"/>
      <c r="AAT409" s="1"/>
      <c r="AAU409" s="1"/>
      <c r="AAV409" s="1"/>
      <c r="AAW409" s="1"/>
      <c r="AAX409" s="1"/>
      <c r="AAY409" s="1"/>
      <c r="AAZ409" s="1"/>
      <c r="ABA409" s="1"/>
      <c r="ABB409" s="1"/>
      <c r="ABC409" s="1"/>
      <c r="ABD409" s="1"/>
      <c r="ABE409" s="1"/>
      <c r="ABF409" s="1"/>
      <c r="ABG409" s="1"/>
      <c r="ABH409" s="1"/>
      <c r="ABI409" s="1"/>
      <c r="ABJ409" s="1"/>
      <c r="ABK409" s="1"/>
      <c r="ABL409" s="1"/>
      <c r="ABM409" s="1"/>
      <c r="ABN409" s="1"/>
      <c r="ABO409" s="1"/>
      <c r="ABP409" s="1"/>
      <c r="ABQ409" s="1"/>
      <c r="ABR409" s="1"/>
      <c r="ABS409" s="1"/>
      <c r="ABT409" s="1"/>
      <c r="ABU409" s="1"/>
      <c r="ABV409" s="1"/>
      <c r="ABW409" s="1"/>
      <c r="ABX409" s="1"/>
      <c r="ABY409" s="1"/>
      <c r="ABZ409" s="1"/>
      <c r="ACA409" s="1"/>
      <c r="ACB409" s="1"/>
      <c r="ACC409" s="1"/>
      <c r="ACD409" s="1"/>
      <c r="ACE409" s="1"/>
      <c r="ACF409" s="1"/>
      <c r="ACG409" s="1"/>
      <c r="ACH409" s="1"/>
      <c r="ACI409" s="1"/>
      <c r="ACJ409" s="1"/>
      <c r="ACK409" s="1"/>
      <c r="ACL409" s="1"/>
      <c r="ACM409" s="1"/>
      <c r="ACN409" s="1"/>
      <c r="ACO409" s="1"/>
      <c r="ACP409" s="1"/>
      <c r="ACQ409" s="1"/>
      <c r="ACR409" s="1"/>
      <c r="ACS409" s="1"/>
      <c r="ACT409" s="1"/>
      <c r="ACU409" s="1"/>
      <c r="ACV409" s="1"/>
      <c r="ACW409" s="1"/>
      <c r="ACX409" s="1"/>
      <c r="ACY409" s="1"/>
      <c r="ACZ409" s="1"/>
      <c r="ADA409" s="1"/>
      <c r="ADB409" s="1"/>
      <c r="ADC409" s="1"/>
      <c r="ADD409" s="1"/>
      <c r="ADE409" s="1"/>
      <c r="ADF409" s="1"/>
      <c r="ADG409" s="1"/>
      <c r="ADH409" s="1"/>
      <c r="ADI409" s="1"/>
      <c r="ADJ409" s="1"/>
      <c r="ADK409" s="1"/>
      <c r="ADL409" s="1"/>
      <c r="ADM409" s="1"/>
      <c r="ADN409" s="1"/>
      <c r="ADO409" s="1"/>
      <c r="ADP409" s="1"/>
      <c r="ADQ409" s="1"/>
      <c r="ADR409" s="1"/>
      <c r="ADS409" s="1"/>
      <c r="ADT409" s="1"/>
      <c r="ADU409" s="1"/>
      <c r="ADV409" s="1"/>
      <c r="ADW409" s="1"/>
      <c r="ADX409" s="1"/>
      <c r="ADY409" s="1"/>
      <c r="ADZ409" s="1"/>
      <c r="AEA409" s="1"/>
      <c r="AEB409" s="1"/>
      <c r="AEC409" s="1"/>
      <c r="AED409" s="1"/>
      <c r="AEE409" s="1"/>
      <c r="AEF409" s="1"/>
      <c r="AEG409" s="1"/>
      <c r="AEH409" s="1"/>
      <c r="AEI409" s="1"/>
      <c r="AEJ409" s="1"/>
      <c r="AEK409" s="1"/>
      <c r="AEL409" s="1"/>
      <c r="AEM409" s="1"/>
      <c r="AEN409" s="1"/>
      <c r="AEO409" s="1"/>
      <c r="AEP409" s="1"/>
      <c r="AEQ409" s="1"/>
      <c r="AER409" s="1"/>
      <c r="AES409" s="1"/>
      <c r="AET409" s="1"/>
      <c r="AEU409" s="1"/>
      <c r="AEV409" s="1"/>
      <c r="AEW409" s="1"/>
      <c r="AEX409" s="1"/>
      <c r="AEY409" s="1"/>
      <c r="AEZ409" s="1"/>
      <c r="AFA409" s="1"/>
      <c r="AFB409" s="1"/>
      <c r="AFC409" s="1"/>
      <c r="AFD409" s="1"/>
      <c r="AFE409" s="1"/>
      <c r="AFF409" s="1"/>
      <c r="AFG409" s="1"/>
      <c r="AFH409" s="1"/>
      <c r="AFI409" s="1"/>
      <c r="AFJ409" s="1"/>
      <c r="AFK409" s="1"/>
      <c r="AFL409" s="1"/>
      <c r="AFM409" s="1"/>
      <c r="AFN409" s="1"/>
      <c r="AFO409" s="1"/>
      <c r="AFP409" s="1"/>
      <c r="AFQ409" s="1"/>
      <c r="AFR409" s="1"/>
      <c r="AFS409" s="1"/>
      <c r="AFT409" s="1"/>
      <c r="AFU409" s="1"/>
      <c r="AFV409" s="1"/>
      <c r="AFW409" s="1"/>
      <c r="AFX409" s="1"/>
      <c r="AFY409" s="1"/>
      <c r="AFZ409" s="1"/>
      <c r="AGA409" s="1"/>
      <c r="AGB409" s="1"/>
      <c r="AGC409" s="1"/>
      <c r="AGD409" s="1"/>
      <c r="AGE409" s="1"/>
      <c r="AGF409" s="1"/>
      <c r="AGG409" s="1"/>
      <c r="AGH409" s="1"/>
      <c r="AGI409" s="1"/>
      <c r="AGJ409" s="1"/>
      <c r="AGK409" s="1"/>
      <c r="AGL409" s="1"/>
      <c r="AGM409" s="1"/>
      <c r="AGN409" s="1"/>
      <c r="AGO409" s="1"/>
      <c r="AGP409" s="1"/>
      <c r="AGQ409" s="1"/>
      <c r="AGR409" s="1"/>
      <c r="AGS409" s="1"/>
      <c r="AGT409" s="1"/>
      <c r="AGU409" s="1"/>
      <c r="AGV409" s="1"/>
      <c r="AGW409" s="1"/>
      <c r="AGX409" s="1"/>
      <c r="AGY409" s="1"/>
      <c r="AGZ409" s="1"/>
      <c r="AHA409" s="1"/>
      <c r="AHB409" s="1"/>
      <c r="AHC409" s="1"/>
      <c r="AHD409" s="1"/>
      <c r="AHE409" s="1"/>
      <c r="AHF409" s="1"/>
      <c r="AHG409" s="1"/>
      <c r="AHH409" s="1"/>
      <c r="AHI409" s="1"/>
      <c r="AHJ409" s="1"/>
      <c r="AHK409" s="1"/>
      <c r="AHL409" s="1"/>
      <c r="AHM409" s="1"/>
      <c r="AHN409" s="1"/>
      <c r="AHO409" s="1"/>
      <c r="AHP409" s="1"/>
      <c r="AHQ409" s="1"/>
      <c r="AHR409" s="1"/>
      <c r="AHS409" s="1"/>
      <c r="AHT409" s="1"/>
      <c r="AHU409" s="1"/>
      <c r="AHV409" s="1"/>
      <c r="AHW409" s="1"/>
      <c r="AHX409" s="1"/>
      <c r="AHY409" s="1"/>
      <c r="AHZ409" s="1"/>
      <c r="AIA409" s="1"/>
      <c r="AIB409" s="1"/>
      <c r="AIC409" s="1"/>
      <c r="AID409" s="1"/>
      <c r="AIE409" s="1"/>
      <c r="AIF409" s="1"/>
      <c r="AIG409" s="1"/>
      <c r="AIH409" s="1"/>
      <c r="AII409" s="1"/>
      <c r="AIJ409" s="1"/>
      <c r="AIK409" s="1"/>
      <c r="AIL409" s="1"/>
      <c r="AIM409" s="1"/>
      <c r="AIN409" s="1"/>
      <c r="AIO409" s="1"/>
      <c r="AIP409" s="1"/>
      <c r="AIQ409" s="1"/>
      <c r="AIR409" s="1"/>
      <c r="AIS409" s="1"/>
      <c r="AIT409" s="1"/>
      <c r="AIU409" s="1"/>
      <c r="AIV409" s="1"/>
      <c r="AIW409" s="1"/>
      <c r="AIX409" s="1"/>
      <c r="AIY409" s="1"/>
      <c r="AIZ409" s="1"/>
      <c r="AJA409" s="1"/>
      <c r="AJB409" s="1"/>
      <c r="AJC409" s="1"/>
      <c r="AJD409" s="1"/>
      <c r="AJE409" s="1"/>
      <c r="AJF409" s="1"/>
      <c r="AJG409" s="1"/>
      <c r="AJH409" s="1"/>
      <c r="AJI409" s="1"/>
      <c r="AJJ409" s="1"/>
      <c r="AJK409" s="1"/>
      <c r="AJL409" s="1"/>
      <c r="AJM409" s="1"/>
      <c r="AJN409" s="1"/>
      <c r="AJO409" s="1"/>
      <c r="AJP409" s="1"/>
      <c r="AJQ409" s="1"/>
      <c r="AJR409" s="1"/>
      <c r="AJS409" s="1"/>
      <c r="AJT409" s="1"/>
      <c r="AJU409" s="1"/>
      <c r="AJV409" s="1"/>
      <c r="AJW409" s="1"/>
      <c r="AJX409" s="1"/>
      <c r="AJY409" s="1"/>
      <c r="AJZ409" s="1"/>
      <c r="AKA409" s="1"/>
      <c r="AKB409" s="1"/>
      <c r="AKC409" s="1"/>
      <c r="AKD409" s="1"/>
      <c r="AKE409" s="1"/>
      <c r="AKF409" s="1"/>
      <c r="AKG409" s="1"/>
      <c r="AKH409" s="1"/>
      <c r="AKI409" s="1"/>
      <c r="AKJ409" s="1"/>
      <c r="AKK409" s="1"/>
      <c r="AKL409" s="1"/>
      <c r="AKM409" s="1"/>
      <c r="AKN409" s="1"/>
      <c r="AKO409" s="1"/>
      <c r="AKP409" s="1"/>
      <c r="AKQ409" s="1"/>
      <c r="AKR409" s="1"/>
      <c r="AKS409" s="1"/>
      <c r="AKT409" s="1"/>
      <c r="AKU409" s="1"/>
      <c r="AKV409" s="1"/>
      <c r="AKW409" s="1"/>
      <c r="AKX409" s="1"/>
      <c r="AKY409" s="1"/>
      <c r="AKZ409" s="1"/>
      <c r="ALA409" s="1"/>
      <c r="ALB409" s="1"/>
      <c r="ALC409" s="1"/>
      <c r="ALD409" s="1"/>
      <c r="ALE409" s="1"/>
      <c r="ALF409" s="1"/>
      <c r="ALG409" s="1"/>
      <c r="ALH409" s="1"/>
      <c r="ALI409" s="1"/>
      <c r="ALJ409" s="1"/>
      <c r="ALK409" s="1"/>
      <c r="ALL409" s="1"/>
      <c r="ALM409" s="1"/>
      <c r="ALN409" s="1"/>
      <c r="ALO409" s="1"/>
      <c r="ALP409" s="1"/>
      <c r="ALQ409" s="1"/>
      <c r="ALR409" s="1"/>
      <c r="ALS409" s="1"/>
      <c r="ALT409" s="1"/>
      <c r="ALU409" s="1"/>
      <c r="ALV409" s="1"/>
      <c r="ALW409" s="1"/>
      <c r="ALX409" s="1"/>
      <c r="ALY409" s="1"/>
      <c r="ALZ409" s="1"/>
      <c r="AMA409" s="1"/>
      <c r="AMB409" s="1"/>
      <c r="AMC409" s="1"/>
      <c r="AMD409" s="1"/>
      <c r="AME409" s="1"/>
      <c r="AMF409" s="1"/>
      <c r="AMG409" s="1"/>
      <c r="AMH409" s="1"/>
      <c r="AMI409" s="1"/>
      <c r="AMJ409" s="1"/>
      <c r="AMK409" s="1"/>
      <c r="AML409" s="1"/>
      <c r="AMM409" s="1"/>
      <c r="AMN409" s="1"/>
      <c r="AMO409" s="1"/>
    </row>
    <row r="410" spans="1:1030" x14ac:dyDescent="0.2">
      <c r="A410" s="3" t="str">
        <f>CONCATENATE(B410,"_",C410)</f>
        <v>glr_human_4L6R</v>
      </c>
      <c r="B410" s="3" t="s">
        <v>32</v>
      </c>
      <c r="C410" s="3" t="s">
        <v>51</v>
      </c>
      <c r="D410" s="3" t="str">
        <f>IFERROR(MID(VLOOKUP($B410,Seqs!$A:$B,2,0),E410,1),"")</f>
        <v>G</v>
      </c>
      <c r="E410" s="3">
        <v>125</v>
      </c>
      <c r="F410" s="3" t="str">
        <f>IFERROR(MID(VLOOKUP($B410,Seqs!$A:$B,2,0),G410,1),"")</f>
        <v>G</v>
      </c>
      <c r="G410" s="3">
        <v>164</v>
      </c>
      <c r="H410" s="3" t="str">
        <f>IFERROR(MID(VLOOKUP($B410,Seqs!$A:$B,2,0),I410,1),"")</f>
        <v>S</v>
      </c>
      <c r="I410" s="23">
        <v>167</v>
      </c>
      <c r="J410" s="3" t="str">
        <f>IFERROR(MID(VLOOKUP($B410,Seqs!$A:$B,2,0),K410,1),"")</f>
        <v>H</v>
      </c>
      <c r="K410" s="23">
        <v>170</v>
      </c>
      <c r="L410" s="3" t="str">
        <f>IFERROR(MID(VLOOKUP($B410,Seqs!$A:$B,2,0),M410,1),"")</f>
        <v>C</v>
      </c>
      <c r="M410" s="23">
        <v>171</v>
      </c>
      <c r="N410" s="3" t="str">
        <f>IFERROR(MID(VLOOKUP($B410,Seqs!$A:$B,2,0),O410,1),"")</f>
        <v>R</v>
      </c>
      <c r="O410" s="3">
        <v>199</v>
      </c>
      <c r="P410" s="3" t="str">
        <f>IFERROR(MID(VLOOKUP($B410,Seqs!$A:$B,2,0),Q410,1),"")</f>
        <v/>
      </c>
      <c r="Q410" s="3" t="s">
        <v>23</v>
      </c>
      <c r="R410" s="3" t="str">
        <f>IFERROR(MID(VLOOKUP($B410,Seqs!$A:$B,2,0),S410,1),"")</f>
        <v/>
      </c>
      <c r="S410" s="3" t="s">
        <v>23</v>
      </c>
      <c r="T410" s="3" t="str">
        <f>IFERROR(MID(VLOOKUP($B410,Seqs!$A:$B,2,0),U410,1),"")</f>
        <v>S</v>
      </c>
      <c r="U410" s="3">
        <v>217</v>
      </c>
      <c r="V410" s="3" t="str">
        <f>IFERROR(MID(VLOOKUP($B410,Seqs!$A:$B,2,0),W410,1),"")</f>
        <v>L</v>
      </c>
      <c r="W410" s="3">
        <v>255</v>
      </c>
      <c r="X410" s="3" t="str">
        <f>IFERROR(MID(VLOOKUP($B410,Seqs!$A:$B,2,0),Y410,1),"")</f>
        <v/>
      </c>
      <c r="Y410" s="3" t="s">
        <v>23</v>
      </c>
      <c r="Z410" s="3" t="str">
        <f>IFERROR(MID(VLOOKUP($B410,Seqs!$A:$B,2,0),AA410,1),"")</f>
        <v/>
      </c>
      <c r="AA410" s="3" t="s">
        <v>23</v>
      </c>
      <c r="AB410" s="3" t="str">
        <f>IFERROR(MID(VLOOKUP($B410,Seqs!$A:$B,2,0),AC410,1),"")</f>
        <v>A</v>
      </c>
      <c r="AC410" s="9">
        <v>274</v>
      </c>
      <c r="AD410" s="3" t="str">
        <f>IFERROR(MID(VLOOKUP($B410,Seqs!$A:$B,2,0),AE410,1),"")</f>
        <v>E</v>
      </c>
      <c r="AE410" s="3">
        <v>290</v>
      </c>
      <c r="AF410" s="3" t="str">
        <f>IFERROR(MID(VLOOKUP($B410,Seqs!$A:$B,2,0),AG410,1),"")</f>
        <v>C</v>
      </c>
      <c r="AG410" s="3">
        <v>294</v>
      </c>
      <c r="AH410" s="3" t="str">
        <f>IFERROR(MID(VLOOKUP($B410,Seqs!$A:$B,2,0),AI410,1),"")</f>
        <v>T</v>
      </c>
      <c r="AI410" s="3">
        <v>296</v>
      </c>
      <c r="AJ410" s="3" t="str">
        <f>IFERROR(MID(VLOOKUP($B410,Seqs!$A:$B,2,0),AK410,1),"")</f>
        <v>N</v>
      </c>
      <c r="AK410" s="3">
        <v>300</v>
      </c>
      <c r="AL410" s="3" t="str">
        <f>IFERROR(MID(VLOOKUP($B410,Seqs!$A:$B,2,0),AM410,1),"")</f>
        <v>A</v>
      </c>
      <c r="AM410" s="3">
        <v>335</v>
      </c>
      <c r="AN410" s="3" t="str">
        <f>IFERROR(MID(VLOOKUP($B410,Seqs!$A:$B,2,0),AO410,1),"")</f>
        <v>D</v>
      </c>
      <c r="AO410" s="3">
        <v>342</v>
      </c>
      <c r="AP410" s="3" t="str">
        <f>IFERROR(MID(VLOOKUP($B410,Seqs!$A:$B,2,0),AQ410,1),"")</f>
        <v>F</v>
      </c>
      <c r="AQ410" s="3">
        <v>367</v>
      </c>
      <c r="AR410" s="3" t="str">
        <f>IFERROR(MID(VLOOKUP($B410,Seqs!$A:$B,2,0),AS410,1),"")</f>
        <v>Q</v>
      </c>
      <c r="AS410" s="3">
        <v>374</v>
      </c>
      <c r="AT410" s="3" t="str">
        <f>IFERROR(MID(VLOOKUP($B410,Seqs!$A:$B,2,0),AU410,1),"")</f>
        <v>L</v>
      </c>
      <c r="AU410" s="3">
        <v>403</v>
      </c>
      <c r="AV410" s="3" t="str">
        <f>IFERROR(MID(VLOOKUP($B410,Seqs!$A:$B,2,0),AW410,1),"")</f>
        <v>N</v>
      </c>
      <c r="AW410" s="3">
        <v>404</v>
      </c>
      <c r="AX410" s="3" t="str">
        <f>IFERROR(MID(VLOOKUP($B410,Seqs!$A:$B,2,0),AY410,1),"")</f>
        <v>N</v>
      </c>
      <c r="AY410" s="3">
        <v>429</v>
      </c>
      <c r="AZ410" s="77" t="str">
        <f>VLOOKUP(B410,Classification!A:D,2,0)</f>
        <v>B1</v>
      </c>
      <c r="BA410" s="94" t="str">
        <f>VLOOKUP(B410,Classification!A:D,4,0)</f>
        <v>Glucagonreceptorfamily</v>
      </c>
      <c r="BB410" s="27" t="b">
        <f t="shared" si="1114"/>
        <v>1</v>
      </c>
      <c r="BC410" s="23">
        <f t="shared" si="1187"/>
        <v>252</v>
      </c>
      <c r="BD410" s="2" t="s">
        <v>23</v>
      </c>
      <c r="BE410" s="3" t="s">
        <v>1368</v>
      </c>
      <c r="BF410" s="118">
        <v>3.3</v>
      </c>
      <c r="BG410" s="49" t="s">
        <v>1371</v>
      </c>
      <c r="BH410" s="49" t="s">
        <v>1371</v>
      </c>
      <c r="BI410" s="1"/>
      <c r="BJ410" s="70" t="s">
        <v>1281</v>
      </c>
      <c r="BK410" s="57" t="s">
        <v>1281</v>
      </c>
      <c r="BL410" s="57" t="s">
        <v>1281</v>
      </c>
      <c r="BM410" s="57" t="s">
        <v>1281</v>
      </c>
      <c r="BN410" s="57" t="s">
        <v>1281</v>
      </c>
      <c r="BO410" s="57" t="s">
        <v>1281</v>
      </c>
      <c r="BP410" s="57" t="s">
        <v>1281</v>
      </c>
      <c r="BQ410" s="57" t="s">
        <v>1281</v>
      </c>
      <c r="BR410" s="57" t="s">
        <v>1281</v>
      </c>
      <c r="BS410" s="57" t="s">
        <v>1281</v>
      </c>
      <c r="BT410" s="57" t="s">
        <v>1281</v>
      </c>
      <c r="BU410" s="57" t="s">
        <v>1281</v>
      </c>
      <c r="BV410" s="70">
        <f>E410</f>
        <v>125</v>
      </c>
      <c r="BW410" s="71">
        <f>I410</f>
        <v>167</v>
      </c>
      <c r="BX410" s="72">
        <f>M410</f>
        <v>171</v>
      </c>
      <c r="BY410" s="71" t="str">
        <f>Q410</f>
        <v>-</v>
      </c>
      <c r="BZ410" s="72">
        <f>U410</f>
        <v>217</v>
      </c>
      <c r="CA410" s="71" t="str">
        <f>Y410</f>
        <v>-</v>
      </c>
      <c r="CB410" s="72">
        <f>AC410</f>
        <v>274</v>
      </c>
      <c r="CC410" s="71">
        <f>AG410</f>
        <v>294</v>
      </c>
      <c r="CD410" s="72">
        <f>AK410</f>
        <v>300</v>
      </c>
      <c r="CE410" s="71">
        <f>AO410</f>
        <v>342</v>
      </c>
      <c r="CF410" s="72">
        <f>AS410</f>
        <v>374</v>
      </c>
      <c r="CG410" s="71">
        <f>AW410</f>
        <v>404</v>
      </c>
      <c r="CH410" s="70">
        <f>G410</f>
        <v>164</v>
      </c>
      <c r="CI410" s="71">
        <f>K410</f>
        <v>170</v>
      </c>
      <c r="CJ410" s="72">
        <f>O410</f>
        <v>199</v>
      </c>
      <c r="CK410" s="72" t="str">
        <f>S410</f>
        <v>-</v>
      </c>
      <c r="CL410" s="72">
        <f>W410</f>
        <v>255</v>
      </c>
      <c r="CM410" s="72" t="str">
        <f>AA410</f>
        <v>-</v>
      </c>
      <c r="CN410" s="72">
        <f>AE410</f>
        <v>290</v>
      </c>
      <c r="CO410" s="72">
        <f>AI410</f>
        <v>296</v>
      </c>
      <c r="CP410" s="72">
        <f>AM410</f>
        <v>335</v>
      </c>
      <c r="CQ410" s="72">
        <f>AQ410</f>
        <v>367</v>
      </c>
      <c r="CR410" s="72">
        <f>AU410</f>
        <v>403</v>
      </c>
      <c r="CS410" s="72">
        <f>AY410</f>
        <v>429</v>
      </c>
      <c r="CT410" s="23">
        <f>M410-K410</f>
        <v>1</v>
      </c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  <c r="OM410" s="1"/>
      <c r="ON410" s="1"/>
      <c r="OO410" s="1"/>
      <c r="OP410" s="1"/>
      <c r="OQ410" s="1"/>
      <c r="OR410" s="1"/>
      <c r="OS410" s="1"/>
      <c r="OT410" s="1"/>
      <c r="OU410" s="1"/>
      <c r="OV410" s="1"/>
      <c r="OW410" s="1"/>
      <c r="OX410" s="1"/>
      <c r="OY410" s="1"/>
      <c r="OZ410" s="1"/>
      <c r="PA410" s="1"/>
      <c r="PB410" s="1"/>
      <c r="PC410" s="1"/>
      <c r="PD410" s="1"/>
      <c r="PE410" s="1"/>
      <c r="PF410" s="1"/>
      <c r="PG410" s="1"/>
      <c r="PH410" s="1"/>
      <c r="PI410" s="1"/>
      <c r="PJ410" s="1"/>
      <c r="PK410" s="1"/>
      <c r="PL410" s="1"/>
      <c r="PM410" s="1"/>
      <c r="PN410" s="1"/>
      <c r="PO410" s="1"/>
      <c r="PP410" s="1"/>
      <c r="PQ410" s="1"/>
      <c r="PR410" s="1"/>
      <c r="PS410" s="1"/>
      <c r="PT410" s="1"/>
      <c r="PU410" s="1"/>
      <c r="PV410" s="1"/>
      <c r="PW410" s="1"/>
      <c r="PX410" s="1"/>
      <c r="PY410" s="1"/>
      <c r="PZ410" s="1"/>
      <c r="QA410" s="1"/>
      <c r="QB410" s="1"/>
      <c r="QC410" s="1"/>
      <c r="QD410" s="1"/>
      <c r="QE410" s="1"/>
      <c r="QF410" s="1"/>
      <c r="QG410" s="1"/>
      <c r="QH410" s="1"/>
      <c r="QI410" s="1"/>
      <c r="QJ410" s="1"/>
      <c r="QK410" s="1"/>
      <c r="QL410" s="1"/>
      <c r="QM410" s="1"/>
      <c r="QN410" s="1"/>
      <c r="QO410" s="1"/>
      <c r="QP410" s="1"/>
      <c r="QQ410" s="1"/>
      <c r="QR410" s="1"/>
      <c r="QS410" s="1"/>
      <c r="QT410" s="1"/>
      <c r="QU410" s="1"/>
      <c r="QV410" s="1"/>
      <c r="QW410" s="1"/>
      <c r="QX410" s="1"/>
      <c r="QY410" s="1"/>
      <c r="QZ410" s="1"/>
      <c r="RA410" s="1"/>
      <c r="RB410" s="1"/>
      <c r="RC410" s="1"/>
      <c r="RD410" s="1"/>
      <c r="RE410" s="1"/>
      <c r="RF410" s="1"/>
      <c r="RG410" s="1"/>
      <c r="RH410" s="1"/>
      <c r="RI410" s="1"/>
      <c r="RJ410" s="1"/>
      <c r="RK410" s="1"/>
      <c r="RL410" s="1"/>
      <c r="RM410" s="1"/>
      <c r="RN410" s="1"/>
      <c r="RO410" s="1"/>
      <c r="RP410" s="1"/>
      <c r="RQ410" s="1"/>
      <c r="RR410" s="1"/>
      <c r="RS410" s="1"/>
      <c r="RT410" s="1"/>
      <c r="RU410" s="1"/>
      <c r="RV410" s="1"/>
      <c r="RW410" s="1"/>
      <c r="RX410" s="1"/>
      <c r="RY410" s="1"/>
      <c r="RZ410" s="1"/>
      <c r="SA410" s="1"/>
      <c r="SB410" s="1"/>
      <c r="SC410" s="1"/>
      <c r="SD410" s="1"/>
      <c r="SE410" s="1"/>
      <c r="SF410" s="1"/>
      <c r="SG410" s="1"/>
      <c r="SH410" s="1"/>
      <c r="SI410" s="1"/>
      <c r="SJ410" s="1"/>
      <c r="SK410" s="1"/>
      <c r="SL410" s="1"/>
      <c r="SM410" s="1"/>
      <c r="SN410" s="1"/>
      <c r="SO410" s="1"/>
      <c r="SP410" s="1"/>
      <c r="SQ410" s="1"/>
      <c r="SR410" s="1"/>
      <c r="SS410" s="1"/>
      <c r="ST410" s="1"/>
      <c r="SU410" s="1"/>
      <c r="SV410" s="1"/>
      <c r="SW410" s="1"/>
      <c r="SX410" s="1"/>
      <c r="SY410" s="1"/>
      <c r="SZ410" s="1"/>
      <c r="TA410" s="1"/>
      <c r="TB410" s="1"/>
      <c r="TC410" s="1"/>
      <c r="TD410" s="1"/>
      <c r="TE410" s="1"/>
      <c r="TF410" s="1"/>
      <c r="TG410" s="1"/>
      <c r="TH410" s="1"/>
      <c r="TI410" s="1"/>
      <c r="TJ410" s="1"/>
      <c r="TK410" s="1"/>
      <c r="TL410" s="1"/>
      <c r="TM410" s="1"/>
      <c r="TN410" s="1"/>
      <c r="TO410" s="1"/>
      <c r="TP410" s="1"/>
      <c r="TQ410" s="1"/>
      <c r="TR410" s="1"/>
      <c r="TS410" s="1"/>
      <c r="TT410" s="1"/>
      <c r="TU410" s="1"/>
      <c r="TV410" s="1"/>
      <c r="TW410" s="1"/>
      <c r="TX410" s="1"/>
      <c r="TY410" s="1"/>
      <c r="TZ410" s="1"/>
      <c r="UA410" s="1"/>
      <c r="UB410" s="1"/>
      <c r="UC410" s="1"/>
      <c r="UD410" s="1"/>
      <c r="UE410" s="1"/>
      <c r="UF410" s="1"/>
      <c r="UG410" s="1"/>
      <c r="UH410" s="1"/>
      <c r="UI410" s="1"/>
      <c r="UJ410" s="1"/>
      <c r="UK410" s="1"/>
      <c r="UL410" s="1"/>
      <c r="UM410" s="1"/>
      <c r="UN410" s="1"/>
      <c r="UO410" s="1"/>
      <c r="UP410" s="1"/>
      <c r="UQ410" s="1"/>
      <c r="UR410" s="1"/>
      <c r="US410" s="1"/>
      <c r="UT410" s="1"/>
      <c r="UU410" s="1"/>
      <c r="UV410" s="1"/>
      <c r="UW410" s="1"/>
      <c r="UX410" s="1"/>
      <c r="UY410" s="1"/>
      <c r="UZ410" s="1"/>
      <c r="VA410" s="1"/>
      <c r="VB410" s="1"/>
      <c r="VC410" s="1"/>
      <c r="VD410" s="1"/>
      <c r="VE410" s="1"/>
      <c r="VF410" s="1"/>
      <c r="VG410" s="1"/>
      <c r="VH410" s="1"/>
      <c r="VI410" s="1"/>
      <c r="VJ410" s="1"/>
      <c r="VK410" s="1"/>
      <c r="VL410" s="1"/>
      <c r="VM410" s="1"/>
      <c r="VN410" s="1"/>
      <c r="VO410" s="1"/>
      <c r="VP410" s="1"/>
      <c r="VQ410" s="1"/>
      <c r="VR410" s="1"/>
      <c r="VS410" s="1"/>
      <c r="VT410" s="1"/>
      <c r="VU410" s="1"/>
      <c r="VV410" s="1"/>
      <c r="VW410" s="1"/>
      <c r="VX410" s="1"/>
      <c r="VY410" s="1"/>
      <c r="VZ410" s="1"/>
      <c r="WA410" s="1"/>
      <c r="WB410" s="1"/>
      <c r="WC410" s="1"/>
      <c r="WD410" s="1"/>
      <c r="WE410" s="1"/>
      <c r="WF410" s="1"/>
      <c r="WG410" s="1"/>
      <c r="WH410" s="1"/>
      <c r="WI410" s="1"/>
      <c r="WJ410" s="1"/>
      <c r="WK410" s="1"/>
      <c r="WL410" s="1"/>
      <c r="WM410" s="1"/>
      <c r="WN410" s="1"/>
      <c r="WO410" s="1"/>
      <c r="WP410" s="1"/>
      <c r="WQ410" s="1"/>
      <c r="WR410" s="1"/>
      <c r="WS410" s="1"/>
      <c r="WT410" s="1"/>
      <c r="WU410" s="1"/>
      <c r="WV410" s="1"/>
      <c r="WW410" s="1"/>
      <c r="WX410" s="1"/>
      <c r="WY410" s="1"/>
      <c r="WZ410" s="1"/>
      <c r="XA410" s="1"/>
      <c r="XB410" s="1"/>
      <c r="XC410" s="1"/>
      <c r="XD410" s="1"/>
      <c r="XE410" s="1"/>
      <c r="XF410" s="1"/>
      <c r="XG410" s="1"/>
      <c r="XH410" s="1"/>
      <c r="XI410" s="1"/>
      <c r="XJ410" s="1"/>
      <c r="XK410" s="1"/>
      <c r="XL410" s="1"/>
      <c r="XM410" s="1"/>
      <c r="XN410" s="1"/>
      <c r="XO410" s="1"/>
      <c r="XP410" s="1"/>
      <c r="XQ410" s="1"/>
      <c r="XR410" s="1"/>
      <c r="XS410" s="1"/>
      <c r="XT410" s="1"/>
      <c r="XU410" s="1"/>
      <c r="XV410" s="1"/>
      <c r="XW410" s="1"/>
      <c r="XX410" s="1"/>
      <c r="XY410" s="1"/>
      <c r="XZ410" s="1"/>
      <c r="YA410" s="1"/>
      <c r="YB410" s="1"/>
      <c r="YC410" s="1"/>
      <c r="YD410" s="1"/>
      <c r="YE410" s="1"/>
      <c r="YF410" s="1"/>
      <c r="YG410" s="1"/>
      <c r="YH410" s="1"/>
      <c r="YI410" s="1"/>
      <c r="YJ410" s="1"/>
      <c r="YK410" s="1"/>
      <c r="YL410" s="1"/>
      <c r="YM410" s="1"/>
      <c r="YN410" s="1"/>
      <c r="YO410" s="1"/>
      <c r="YP410" s="1"/>
      <c r="YQ410" s="1"/>
      <c r="YR410" s="1"/>
      <c r="YS410" s="1"/>
      <c r="YT410" s="1"/>
      <c r="YU410" s="1"/>
      <c r="YV410" s="1"/>
      <c r="YW410" s="1"/>
      <c r="YX410" s="1"/>
      <c r="YY410" s="1"/>
      <c r="YZ410" s="1"/>
      <c r="ZA410" s="1"/>
      <c r="ZB410" s="1"/>
      <c r="ZC410" s="1"/>
      <c r="ZD410" s="1"/>
      <c r="ZE410" s="1"/>
      <c r="ZF410" s="1"/>
      <c r="ZG410" s="1"/>
      <c r="ZH410" s="1"/>
      <c r="ZI410" s="1"/>
      <c r="ZJ410" s="1"/>
      <c r="ZK410" s="1"/>
      <c r="ZL410" s="1"/>
      <c r="ZM410" s="1"/>
      <c r="ZN410" s="1"/>
      <c r="ZO410" s="1"/>
      <c r="ZP410" s="1"/>
      <c r="ZQ410" s="1"/>
      <c r="ZR410" s="1"/>
      <c r="ZS410" s="1"/>
      <c r="ZT410" s="1"/>
      <c r="ZU410" s="1"/>
      <c r="ZV410" s="1"/>
      <c r="ZW410" s="1"/>
      <c r="ZX410" s="1"/>
      <c r="ZY410" s="1"/>
      <c r="ZZ410" s="1"/>
      <c r="AAA410" s="1"/>
      <c r="AAB410" s="1"/>
      <c r="AAC410" s="1"/>
      <c r="AAD410" s="1"/>
      <c r="AAE410" s="1"/>
      <c r="AAF410" s="1"/>
      <c r="AAG410" s="1"/>
      <c r="AAH410" s="1"/>
      <c r="AAI410" s="1"/>
      <c r="AAJ410" s="1"/>
      <c r="AAK410" s="1"/>
      <c r="AAL410" s="1"/>
      <c r="AAM410" s="1"/>
      <c r="AAN410" s="1"/>
      <c r="AAO410" s="1"/>
      <c r="AAP410" s="1"/>
      <c r="AAQ410" s="1"/>
      <c r="AAR410" s="1"/>
      <c r="AAS410" s="1"/>
      <c r="AAT410" s="1"/>
      <c r="AAU410" s="1"/>
      <c r="AAV410" s="1"/>
      <c r="AAW410" s="1"/>
      <c r="AAX410" s="1"/>
      <c r="AAY410" s="1"/>
      <c r="AAZ410" s="1"/>
      <c r="ABA410" s="1"/>
      <c r="ABB410" s="1"/>
      <c r="ABC410" s="1"/>
      <c r="ABD410" s="1"/>
      <c r="ABE410" s="1"/>
      <c r="ABF410" s="1"/>
      <c r="ABG410" s="1"/>
      <c r="ABH410" s="1"/>
      <c r="ABI410" s="1"/>
      <c r="ABJ410" s="1"/>
      <c r="ABK410" s="1"/>
      <c r="ABL410" s="1"/>
      <c r="ABM410" s="1"/>
      <c r="ABN410" s="1"/>
      <c r="ABO410" s="1"/>
      <c r="ABP410" s="1"/>
      <c r="ABQ410" s="1"/>
      <c r="ABR410" s="1"/>
      <c r="ABS410" s="1"/>
      <c r="ABT410" s="1"/>
      <c r="ABU410" s="1"/>
      <c r="ABV410" s="1"/>
      <c r="ABW410" s="1"/>
      <c r="ABX410" s="1"/>
      <c r="ABY410" s="1"/>
      <c r="ABZ410" s="1"/>
      <c r="ACA410" s="1"/>
      <c r="ACB410" s="1"/>
      <c r="ACC410" s="1"/>
      <c r="ACD410" s="1"/>
      <c r="ACE410" s="1"/>
      <c r="ACF410" s="1"/>
      <c r="ACG410" s="1"/>
      <c r="ACH410" s="1"/>
      <c r="ACI410" s="1"/>
      <c r="ACJ410" s="1"/>
      <c r="ACK410" s="1"/>
      <c r="ACL410" s="1"/>
      <c r="ACM410" s="1"/>
      <c r="ACN410" s="1"/>
      <c r="ACO410" s="1"/>
      <c r="ACP410" s="1"/>
      <c r="ACQ410" s="1"/>
      <c r="ACR410" s="1"/>
      <c r="ACS410" s="1"/>
      <c r="ACT410" s="1"/>
      <c r="ACU410" s="1"/>
      <c r="ACV410" s="1"/>
      <c r="ACW410" s="1"/>
      <c r="ACX410" s="1"/>
      <c r="ACY410" s="1"/>
      <c r="ACZ410" s="1"/>
      <c r="ADA410" s="1"/>
      <c r="ADB410" s="1"/>
      <c r="ADC410" s="1"/>
      <c r="ADD410" s="1"/>
      <c r="ADE410" s="1"/>
      <c r="ADF410" s="1"/>
      <c r="ADG410" s="1"/>
      <c r="ADH410" s="1"/>
      <c r="ADI410" s="1"/>
      <c r="ADJ410" s="1"/>
      <c r="ADK410" s="1"/>
      <c r="ADL410" s="1"/>
      <c r="ADM410" s="1"/>
      <c r="ADN410" s="1"/>
      <c r="ADO410" s="1"/>
      <c r="ADP410" s="1"/>
      <c r="ADQ410" s="1"/>
      <c r="ADR410" s="1"/>
      <c r="ADS410" s="1"/>
      <c r="ADT410" s="1"/>
      <c r="ADU410" s="1"/>
      <c r="ADV410" s="1"/>
      <c r="ADW410" s="1"/>
      <c r="ADX410" s="1"/>
      <c r="ADY410" s="1"/>
      <c r="ADZ410" s="1"/>
      <c r="AEA410" s="1"/>
      <c r="AEB410" s="1"/>
      <c r="AEC410" s="1"/>
      <c r="AED410" s="1"/>
      <c r="AEE410" s="1"/>
      <c r="AEF410" s="1"/>
      <c r="AEG410" s="1"/>
      <c r="AEH410" s="1"/>
      <c r="AEI410" s="1"/>
      <c r="AEJ410" s="1"/>
      <c r="AEK410" s="1"/>
      <c r="AEL410" s="1"/>
      <c r="AEM410" s="1"/>
      <c r="AEN410" s="1"/>
      <c r="AEO410" s="1"/>
      <c r="AEP410" s="1"/>
      <c r="AEQ410" s="1"/>
      <c r="AER410" s="1"/>
      <c r="AES410" s="1"/>
      <c r="AET410" s="1"/>
      <c r="AEU410" s="1"/>
      <c r="AEV410" s="1"/>
      <c r="AEW410" s="1"/>
      <c r="AEX410" s="1"/>
      <c r="AEY410" s="1"/>
      <c r="AEZ410" s="1"/>
      <c r="AFA410" s="1"/>
      <c r="AFB410" s="1"/>
      <c r="AFC410" s="1"/>
      <c r="AFD410" s="1"/>
      <c r="AFE410" s="1"/>
      <c r="AFF410" s="1"/>
      <c r="AFG410" s="1"/>
      <c r="AFH410" s="1"/>
      <c r="AFI410" s="1"/>
      <c r="AFJ410" s="1"/>
      <c r="AFK410" s="1"/>
      <c r="AFL410" s="1"/>
      <c r="AFM410" s="1"/>
      <c r="AFN410" s="1"/>
      <c r="AFO410" s="1"/>
      <c r="AFP410" s="1"/>
      <c r="AFQ410" s="1"/>
      <c r="AFR410" s="1"/>
      <c r="AFS410" s="1"/>
      <c r="AFT410" s="1"/>
      <c r="AFU410" s="1"/>
      <c r="AFV410" s="1"/>
      <c r="AFW410" s="1"/>
      <c r="AFX410" s="1"/>
      <c r="AFY410" s="1"/>
      <c r="AFZ410" s="1"/>
      <c r="AGA410" s="1"/>
      <c r="AGB410" s="1"/>
      <c r="AGC410" s="1"/>
      <c r="AGD410" s="1"/>
      <c r="AGE410" s="1"/>
      <c r="AGF410" s="1"/>
      <c r="AGG410" s="1"/>
      <c r="AGH410" s="1"/>
      <c r="AGI410" s="1"/>
      <c r="AGJ410" s="1"/>
      <c r="AGK410" s="1"/>
      <c r="AGL410" s="1"/>
      <c r="AGM410" s="1"/>
      <c r="AGN410" s="1"/>
      <c r="AGO410" s="1"/>
      <c r="AGP410" s="1"/>
      <c r="AGQ410" s="1"/>
      <c r="AGR410" s="1"/>
      <c r="AGS410" s="1"/>
      <c r="AGT410" s="1"/>
      <c r="AGU410" s="1"/>
      <c r="AGV410" s="1"/>
      <c r="AGW410" s="1"/>
      <c r="AGX410" s="1"/>
      <c r="AGY410" s="1"/>
      <c r="AGZ410" s="1"/>
      <c r="AHA410" s="1"/>
      <c r="AHB410" s="1"/>
      <c r="AHC410" s="1"/>
      <c r="AHD410" s="1"/>
      <c r="AHE410" s="1"/>
      <c r="AHF410" s="1"/>
      <c r="AHG410" s="1"/>
      <c r="AHH410" s="1"/>
      <c r="AHI410" s="1"/>
      <c r="AHJ410" s="1"/>
      <c r="AHK410" s="1"/>
      <c r="AHL410" s="1"/>
      <c r="AHM410" s="1"/>
      <c r="AHN410" s="1"/>
      <c r="AHO410" s="1"/>
      <c r="AHP410" s="1"/>
      <c r="AHQ410" s="1"/>
      <c r="AHR410" s="1"/>
      <c r="AHS410" s="1"/>
      <c r="AHT410" s="1"/>
      <c r="AHU410" s="1"/>
      <c r="AHV410" s="1"/>
      <c r="AHW410" s="1"/>
      <c r="AHX410" s="1"/>
      <c r="AHY410" s="1"/>
      <c r="AHZ410" s="1"/>
      <c r="AIA410" s="1"/>
      <c r="AIB410" s="1"/>
      <c r="AIC410" s="1"/>
      <c r="AID410" s="1"/>
      <c r="AIE410" s="1"/>
      <c r="AIF410" s="1"/>
      <c r="AIG410" s="1"/>
      <c r="AIH410" s="1"/>
      <c r="AII410" s="1"/>
      <c r="AIJ410" s="1"/>
      <c r="AIK410" s="1"/>
      <c r="AIL410" s="1"/>
      <c r="AIM410" s="1"/>
      <c r="AIN410" s="1"/>
      <c r="AIO410" s="1"/>
      <c r="AIP410" s="1"/>
      <c r="AIQ410" s="1"/>
      <c r="AIR410" s="1"/>
      <c r="AIS410" s="1"/>
      <c r="AIT410" s="1"/>
      <c r="AIU410" s="1"/>
      <c r="AIV410" s="1"/>
      <c r="AIW410" s="1"/>
      <c r="AIX410" s="1"/>
      <c r="AIY410" s="1"/>
      <c r="AIZ410" s="1"/>
      <c r="AJA410" s="1"/>
      <c r="AJB410" s="1"/>
      <c r="AJC410" s="1"/>
      <c r="AJD410" s="1"/>
      <c r="AJE410" s="1"/>
      <c r="AJF410" s="1"/>
      <c r="AJG410" s="1"/>
      <c r="AJH410" s="1"/>
      <c r="AJI410" s="1"/>
      <c r="AJJ410" s="1"/>
      <c r="AJK410" s="1"/>
      <c r="AJL410" s="1"/>
      <c r="AJM410" s="1"/>
      <c r="AJN410" s="1"/>
      <c r="AJO410" s="1"/>
      <c r="AJP410" s="1"/>
      <c r="AJQ410" s="1"/>
      <c r="AJR410" s="1"/>
      <c r="AJS410" s="1"/>
      <c r="AJT410" s="1"/>
      <c r="AJU410" s="1"/>
      <c r="AJV410" s="1"/>
      <c r="AJW410" s="1"/>
      <c r="AJX410" s="1"/>
      <c r="AJY410" s="1"/>
      <c r="AJZ410" s="1"/>
      <c r="AKA410" s="1"/>
      <c r="AKB410" s="1"/>
      <c r="AKC410" s="1"/>
      <c r="AKD410" s="1"/>
      <c r="AKE410" s="1"/>
      <c r="AKF410" s="1"/>
      <c r="AKG410" s="1"/>
      <c r="AKH410" s="1"/>
      <c r="AKI410" s="1"/>
      <c r="AKJ410" s="1"/>
      <c r="AKK410" s="1"/>
      <c r="AKL410" s="1"/>
      <c r="AKM410" s="1"/>
      <c r="AKN410" s="1"/>
      <c r="AKO410" s="1"/>
      <c r="AKP410" s="1"/>
      <c r="AKQ410" s="1"/>
      <c r="AKR410" s="1"/>
      <c r="AKS410" s="1"/>
      <c r="AKT410" s="1"/>
      <c r="AKU410" s="1"/>
      <c r="AKV410" s="1"/>
      <c r="AKW410" s="1"/>
      <c r="AKX410" s="1"/>
      <c r="AKY410" s="1"/>
      <c r="AKZ410" s="1"/>
      <c r="ALA410" s="1"/>
      <c r="ALB410" s="1"/>
      <c r="ALC410" s="1"/>
      <c r="ALD410" s="1"/>
      <c r="ALE410" s="1"/>
      <c r="ALF410" s="1"/>
      <c r="ALG410" s="1"/>
      <c r="ALH410" s="1"/>
      <c r="ALI410" s="1"/>
      <c r="ALJ410" s="1"/>
      <c r="ALK410" s="1"/>
      <c r="ALL410" s="1"/>
      <c r="ALM410" s="1"/>
      <c r="ALN410" s="1"/>
      <c r="ALO410" s="1"/>
      <c r="ALP410" s="1"/>
      <c r="ALQ410" s="1"/>
      <c r="ALR410" s="1"/>
      <c r="ALS410" s="1"/>
      <c r="ALT410" s="1"/>
      <c r="ALU410" s="1"/>
      <c r="ALV410" s="1"/>
      <c r="ALW410" s="1"/>
      <c r="ALX410" s="1"/>
      <c r="ALY410" s="1"/>
      <c r="ALZ410" s="1"/>
      <c r="AMA410" s="1"/>
      <c r="AMB410" s="1"/>
      <c r="AMC410" s="1"/>
      <c r="AMD410" s="1"/>
      <c r="AME410" s="1"/>
      <c r="AMF410" s="1"/>
      <c r="AMG410" s="1"/>
      <c r="AMH410" s="1"/>
      <c r="AMI410" s="1"/>
      <c r="AMJ410" s="1"/>
      <c r="AMK410" s="1"/>
      <c r="AML410" s="1"/>
      <c r="AMM410" s="1"/>
      <c r="AMN410" s="1"/>
      <c r="AMO410" s="1"/>
    </row>
    <row r="411" spans="1:1030" x14ac:dyDescent="0.2">
      <c r="A411" s="3" t="str">
        <f>CONCATENATE(B411,"_",C411)</f>
        <v>glr_human_4L6R_dist</v>
      </c>
      <c r="B411" s="3" t="s">
        <v>32</v>
      </c>
      <c r="C411" s="3" t="s">
        <v>1270</v>
      </c>
      <c r="D411" s="3" t="str">
        <f>IFERROR(MID(VLOOKUP($B411,Seqs!$A:$B,2,0),E411,1),"")</f>
        <v>G</v>
      </c>
      <c r="E411" s="3">
        <v>125</v>
      </c>
      <c r="F411" s="3" t="str">
        <f>IFERROR(MID(VLOOKUP($B411,Seqs!$A:$B,2,0),G411,1),"")</f>
        <v>G</v>
      </c>
      <c r="G411" s="3">
        <v>164</v>
      </c>
      <c r="H411" s="3" t="str">
        <f>IFERROR(MID(VLOOKUP($B411,Seqs!$A:$B,2,0),I411,1),"")</f>
        <v>S</v>
      </c>
      <c r="I411" s="23">
        <v>167</v>
      </c>
      <c r="J411" s="3" t="str">
        <f>IFERROR(MID(VLOOKUP($B411,Seqs!$A:$B,2,0),K411,1),"")</f>
        <v>H</v>
      </c>
      <c r="K411" s="23">
        <v>170</v>
      </c>
      <c r="L411" s="3" t="str">
        <f>IFERROR(MID(VLOOKUP($B411,Seqs!$A:$B,2,0),M411,1),"")</f>
        <v>C</v>
      </c>
      <c r="M411" s="23">
        <v>171</v>
      </c>
      <c r="N411" s="3" t="str">
        <f>IFERROR(MID(VLOOKUP($B411,Seqs!$A:$B,2,0),O411,1),"")</f>
        <v>R</v>
      </c>
      <c r="O411" s="3">
        <v>199</v>
      </c>
      <c r="P411" s="3" t="str">
        <f>IFERROR(MID(VLOOKUP($B411,Seqs!$A:$B,2,0),Q411,1),"")</f>
        <v/>
      </c>
      <c r="Q411" s="3" t="s">
        <v>23</v>
      </c>
      <c r="R411" s="3" t="str">
        <f>IFERROR(MID(VLOOKUP($B411,Seqs!$A:$B,2,0),S411,1),"")</f>
        <v/>
      </c>
      <c r="S411" s="3" t="s">
        <v>23</v>
      </c>
      <c r="T411" s="3" t="str">
        <f>IFERROR(MID(VLOOKUP($B411,Seqs!$A:$B,2,0),U411,1),"")</f>
        <v>S</v>
      </c>
      <c r="U411" s="3">
        <v>217</v>
      </c>
      <c r="V411" s="3" t="str">
        <f>IFERROR(MID(VLOOKUP($B411,Seqs!$A:$B,2,0),W411,1),"")</f>
        <v>L</v>
      </c>
      <c r="W411" s="3">
        <v>255</v>
      </c>
      <c r="X411" s="3" t="str">
        <f>IFERROR(MID(VLOOKUP($B411,Seqs!$A:$B,2,0),Y411,1),"")</f>
        <v/>
      </c>
      <c r="Y411" s="3" t="s">
        <v>23</v>
      </c>
      <c r="Z411" s="3" t="str">
        <f>IFERROR(MID(VLOOKUP($B411,Seqs!$A:$B,2,0),AA411,1),"")</f>
        <v/>
      </c>
      <c r="AA411" s="3" t="s">
        <v>23</v>
      </c>
      <c r="AB411" s="3" t="str">
        <f>IFERROR(MID(VLOOKUP($B411,Seqs!$A:$B,2,0),AC411,1),"")</f>
        <v>S</v>
      </c>
      <c r="AC411" s="9">
        <v>262</v>
      </c>
      <c r="AD411" s="3" t="str">
        <f>IFERROR(MID(VLOOKUP($B411,Seqs!$A:$B,2,0),AE411,1),"")</f>
        <v>E</v>
      </c>
      <c r="AE411" s="3">
        <v>290</v>
      </c>
      <c r="AF411" s="3" t="str">
        <f>IFERROR(MID(VLOOKUP($B411,Seqs!$A:$B,2,0),AG411,1),"")</f>
        <v>C</v>
      </c>
      <c r="AG411" s="3">
        <v>294</v>
      </c>
      <c r="AH411" s="3" t="str">
        <f>IFERROR(MID(VLOOKUP($B411,Seqs!$A:$B,2,0),AI411,1),"")</f>
        <v>T</v>
      </c>
      <c r="AI411" s="3">
        <v>296</v>
      </c>
      <c r="AJ411" s="3" t="str">
        <f>IFERROR(MID(VLOOKUP($B411,Seqs!$A:$B,2,0),AK411,1),"")</f>
        <v>N</v>
      </c>
      <c r="AK411" s="3">
        <v>300</v>
      </c>
      <c r="AL411" s="3" t="str">
        <f>IFERROR(MID(VLOOKUP($B411,Seqs!$A:$B,2,0),AM411,1),"")</f>
        <v>A</v>
      </c>
      <c r="AM411" s="3">
        <v>335</v>
      </c>
      <c r="AN411" s="3" t="str">
        <f>IFERROR(MID(VLOOKUP($B411,Seqs!$A:$B,2,0),AO411,1),"")</f>
        <v>D</v>
      </c>
      <c r="AO411" s="3">
        <v>342</v>
      </c>
      <c r="AP411" s="3" t="str">
        <f>IFERROR(MID(VLOOKUP($B411,Seqs!$A:$B,2,0),AQ411,1),"")</f>
        <v>F</v>
      </c>
      <c r="AQ411" s="3">
        <v>367</v>
      </c>
      <c r="AR411" s="3" t="str">
        <f>IFERROR(MID(VLOOKUP($B411,Seqs!$A:$B,2,0),AS411,1),"")</f>
        <v>Q</v>
      </c>
      <c r="AS411" s="3">
        <v>374</v>
      </c>
      <c r="AT411" s="3" t="str">
        <f>IFERROR(MID(VLOOKUP($B411,Seqs!$A:$B,2,0),AU411,1),"")</f>
        <v>L</v>
      </c>
      <c r="AU411" s="3">
        <v>403</v>
      </c>
      <c r="AV411" s="3" t="str">
        <f>IFERROR(MID(VLOOKUP($B411,Seqs!$A:$B,2,0),AW411,1),"")</f>
        <v>N</v>
      </c>
      <c r="AW411" s="3">
        <v>404</v>
      </c>
      <c r="AX411" s="3" t="str">
        <f>IFERROR(MID(VLOOKUP($B411,Seqs!$A:$B,2,0),AY411,1),"")</f>
        <v>N</v>
      </c>
      <c r="AY411" s="3">
        <v>429</v>
      </c>
      <c r="AZ411" s="77" t="str">
        <f>VLOOKUP(B411,Classification!A:D,2,0)</f>
        <v>B1</v>
      </c>
      <c r="BA411" s="94" t="str">
        <f>VLOOKUP(B411,Classification!A:D,4,0)</f>
        <v>Glucagonreceptorfamily</v>
      </c>
      <c r="BB411" s="27" t="b">
        <f t="shared" si="1114"/>
        <v>1</v>
      </c>
      <c r="BC411" s="23">
        <f t="shared" si="1187"/>
        <v>264</v>
      </c>
      <c r="BD411" s="56" t="s">
        <v>23</v>
      </c>
      <c r="BE411" s="3" t="s">
        <v>1368</v>
      </c>
      <c r="BF411" s="118">
        <v>3.3</v>
      </c>
      <c r="BG411" s="49" t="s">
        <v>1371</v>
      </c>
      <c r="BH411" s="49" t="s">
        <v>1371</v>
      </c>
      <c r="BI411" s="1"/>
      <c r="BJ411" s="70" t="s">
        <v>1281</v>
      </c>
      <c r="BK411" s="57" t="s">
        <v>1281</v>
      </c>
      <c r="BL411" s="57" t="s">
        <v>1281</v>
      </c>
      <c r="BM411" s="57" t="s">
        <v>1281</v>
      </c>
      <c r="BN411" s="57" t="s">
        <v>1281</v>
      </c>
      <c r="BO411" s="57" t="s">
        <v>1281</v>
      </c>
      <c r="BP411" s="57" t="s">
        <v>1281</v>
      </c>
      <c r="BQ411" s="57" t="s">
        <v>1281</v>
      </c>
      <c r="BR411" s="57" t="s">
        <v>1281</v>
      </c>
      <c r="BS411" s="57" t="s">
        <v>1281</v>
      </c>
      <c r="BT411" s="57" t="s">
        <v>1281</v>
      </c>
      <c r="BU411" s="57" t="s">
        <v>1281</v>
      </c>
      <c r="BV411" s="70">
        <f>E411</f>
        <v>125</v>
      </c>
      <c r="BW411" s="71">
        <f>I411</f>
        <v>167</v>
      </c>
      <c r="BX411" s="72">
        <f>M411</f>
        <v>171</v>
      </c>
      <c r="BY411" s="71" t="str">
        <f>Q411</f>
        <v>-</v>
      </c>
      <c r="BZ411" s="72">
        <f>U411</f>
        <v>217</v>
      </c>
      <c r="CA411" s="71" t="str">
        <f>Y411</f>
        <v>-</v>
      </c>
      <c r="CB411" s="72">
        <f>AC411</f>
        <v>262</v>
      </c>
      <c r="CC411" s="71">
        <f>AG411</f>
        <v>294</v>
      </c>
      <c r="CD411" s="72">
        <f>AK411</f>
        <v>300</v>
      </c>
      <c r="CE411" s="71">
        <f>AO411</f>
        <v>342</v>
      </c>
      <c r="CF411" s="72">
        <f>AS411</f>
        <v>374</v>
      </c>
      <c r="CG411" s="71">
        <f>AW411</f>
        <v>404</v>
      </c>
      <c r="CH411" s="70">
        <f>G411</f>
        <v>164</v>
      </c>
      <c r="CI411" s="71">
        <f>K411</f>
        <v>170</v>
      </c>
      <c r="CJ411" s="72">
        <f>O411</f>
        <v>199</v>
      </c>
      <c r="CK411" s="72" t="str">
        <f>S411</f>
        <v>-</v>
      </c>
      <c r="CL411" s="72">
        <f>W411</f>
        <v>255</v>
      </c>
      <c r="CM411" s="72" t="str">
        <f>AA411</f>
        <v>-</v>
      </c>
      <c r="CN411" s="72">
        <f>AE411</f>
        <v>290</v>
      </c>
      <c r="CO411" s="72">
        <f>AI411</f>
        <v>296</v>
      </c>
      <c r="CP411" s="72">
        <f>AM411</f>
        <v>335</v>
      </c>
      <c r="CQ411" s="72">
        <f>AQ411</f>
        <v>367</v>
      </c>
      <c r="CR411" s="72">
        <f>AU411</f>
        <v>403</v>
      </c>
      <c r="CS411" s="72">
        <f>AY411</f>
        <v>429</v>
      </c>
      <c r="CT411" s="23">
        <f>M411-K411</f>
        <v>1</v>
      </c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  <c r="OM411" s="1"/>
      <c r="ON411" s="1"/>
      <c r="OO411" s="1"/>
      <c r="OP411" s="1"/>
      <c r="OQ411" s="1"/>
      <c r="OR411" s="1"/>
      <c r="OS411" s="1"/>
      <c r="OT411" s="1"/>
      <c r="OU411" s="1"/>
      <c r="OV411" s="1"/>
      <c r="OW411" s="1"/>
      <c r="OX411" s="1"/>
      <c r="OY411" s="1"/>
      <c r="OZ411" s="1"/>
      <c r="PA411" s="1"/>
      <c r="PB411" s="1"/>
      <c r="PC411" s="1"/>
      <c r="PD411" s="1"/>
      <c r="PE411" s="1"/>
      <c r="PF411" s="1"/>
      <c r="PG411" s="1"/>
      <c r="PH411" s="1"/>
      <c r="PI411" s="1"/>
      <c r="PJ411" s="1"/>
      <c r="PK411" s="1"/>
      <c r="PL411" s="1"/>
      <c r="PM411" s="1"/>
      <c r="PN411" s="1"/>
      <c r="PO411" s="1"/>
      <c r="PP411" s="1"/>
      <c r="PQ411" s="1"/>
      <c r="PR411" s="1"/>
      <c r="PS411" s="1"/>
      <c r="PT411" s="1"/>
      <c r="PU411" s="1"/>
      <c r="PV411" s="1"/>
      <c r="PW411" s="1"/>
      <c r="PX411" s="1"/>
      <c r="PY411" s="1"/>
      <c r="PZ411" s="1"/>
      <c r="QA411" s="1"/>
      <c r="QB411" s="1"/>
      <c r="QC411" s="1"/>
      <c r="QD411" s="1"/>
      <c r="QE411" s="1"/>
      <c r="QF411" s="1"/>
      <c r="QG411" s="1"/>
      <c r="QH411" s="1"/>
      <c r="QI411" s="1"/>
      <c r="QJ411" s="1"/>
      <c r="QK411" s="1"/>
      <c r="QL411" s="1"/>
      <c r="QM411" s="1"/>
      <c r="QN411" s="1"/>
      <c r="QO411" s="1"/>
      <c r="QP411" s="1"/>
      <c r="QQ411" s="1"/>
      <c r="QR411" s="1"/>
      <c r="QS411" s="1"/>
      <c r="QT411" s="1"/>
      <c r="QU411" s="1"/>
      <c r="QV411" s="1"/>
      <c r="QW411" s="1"/>
      <c r="QX411" s="1"/>
      <c r="QY411" s="1"/>
      <c r="QZ411" s="1"/>
      <c r="RA411" s="1"/>
      <c r="RB411" s="1"/>
      <c r="RC411" s="1"/>
      <c r="RD411" s="1"/>
      <c r="RE411" s="1"/>
      <c r="RF411" s="1"/>
      <c r="RG411" s="1"/>
      <c r="RH411" s="1"/>
      <c r="RI411" s="1"/>
      <c r="RJ411" s="1"/>
      <c r="RK411" s="1"/>
      <c r="RL411" s="1"/>
      <c r="RM411" s="1"/>
      <c r="RN411" s="1"/>
      <c r="RO411" s="1"/>
      <c r="RP411" s="1"/>
      <c r="RQ411" s="1"/>
      <c r="RR411" s="1"/>
      <c r="RS411" s="1"/>
      <c r="RT411" s="1"/>
      <c r="RU411" s="1"/>
      <c r="RV411" s="1"/>
      <c r="RW411" s="1"/>
      <c r="RX411" s="1"/>
      <c r="RY411" s="1"/>
      <c r="RZ411" s="1"/>
      <c r="SA411" s="1"/>
      <c r="SB411" s="1"/>
      <c r="SC411" s="1"/>
      <c r="SD411" s="1"/>
      <c r="SE411" s="1"/>
      <c r="SF411" s="1"/>
      <c r="SG411" s="1"/>
      <c r="SH411" s="1"/>
      <c r="SI411" s="1"/>
      <c r="SJ411" s="1"/>
      <c r="SK411" s="1"/>
      <c r="SL411" s="1"/>
      <c r="SM411" s="1"/>
      <c r="SN411" s="1"/>
      <c r="SO411" s="1"/>
      <c r="SP411" s="1"/>
      <c r="SQ411" s="1"/>
      <c r="SR411" s="1"/>
      <c r="SS411" s="1"/>
      <c r="ST411" s="1"/>
      <c r="SU411" s="1"/>
      <c r="SV411" s="1"/>
      <c r="SW411" s="1"/>
      <c r="SX411" s="1"/>
      <c r="SY411" s="1"/>
      <c r="SZ411" s="1"/>
      <c r="TA411" s="1"/>
      <c r="TB411" s="1"/>
      <c r="TC411" s="1"/>
      <c r="TD411" s="1"/>
      <c r="TE411" s="1"/>
      <c r="TF411" s="1"/>
      <c r="TG411" s="1"/>
      <c r="TH411" s="1"/>
      <c r="TI411" s="1"/>
      <c r="TJ411" s="1"/>
      <c r="TK411" s="1"/>
      <c r="TL411" s="1"/>
      <c r="TM411" s="1"/>
      <c r="TN411" s="1"/>
      <c r="TO411" s="1"/>
      <c r="TP411" s="1"/>
      <c r="TQ411" s="1"/>
      <c r="TR411" s="1"/>
      <c r="TS411" s="1"/>
      <c r="TT411" s="1"/>
      <c r="TU411" s="1"/>
      <c r="TV411" s="1"/>
      <c r="TW411" s="1"/>
      <c r="TX411" s="1"/>
      <c r="TY411" s="1"/>
      <c r="TZ411" s="1"/>
      <c r="UA411" s="1"/>
      <c r="UB411" s="1"/>
      <c r="UC411" s="1"/>
      <c r="UD411" s="1"/>
      <c r="UE411" s="1"/>
      <c r="UF411" s="1"/>
      <c r="UG411" s="1"/>
      <c r="UH411" s="1"/>
      <c r="UI411" s="1"/>
      <c r="UJ411" s="1"/>
      <c r="UK411" s="1"/>
      <c r="UL411" s="1"/>
      <c r="UM411" s="1"/>
      <c r="UN411" s="1"/>
      <c r="UO411" s="1"/>
      <c r="UP411" s="1"/>
      <c r="UQ411" s="1"/>
      <c r="UR411" s="1"/>
      <c r="US411" s="1"/>
      <c r="UT411" s="1"/>
      <c r="UU411" s="1"/>
      <c r="UV411" s="1"/>
      <c r="UW411" s="1"/>
      <c r="UX411" s="1"/>
      <c r="UY411" s="1"/>
      <c r="UZ411" s="1"/>
      <c r="VA411" s="1"/>
      <c r="VB411" s="1"/>
      <c r="VC411" s="1"/>
      <c r="VD411" s="1"/>
      <c r="VE411" s="1"/>
      <c r="VF411" s="1"/>
      <c r="VG411" s="1"/>
      <c r="VH411" s="1"/>
      <c r="VI411" s="1"/>
      <c r="VJ411" s="1"/>
      <c r="VK411" s="1"/>
      <c r="VL411" s="1"/>
      <c r="VM411" s="1"/>
      <c r="VN411" s="1"/>
      <c r="VO411" s="1"/>
      <c r="VP411" s="1"/>
      <c r="VQ411" s="1"/>
      <c r="VR411" s="1"/>
      <c r="VS411" s="1"/>
      <c r="VT411" s="1"/>
      <c r="VU411" s="1"/>
      <c r="VV411" s="1"/>
      <c r="VW411" s="1"/>
      <c r="VX411" s="1"/>
      <c r="VY411" s="1"/>
      <c r="VZ411" s="1"/>
      <c r="WA411" s="1"/>
      <c r="WB411" s="1"/>
      <c r="WC411" s="1"/>
      <c r="WD411" s="1"/>
      <c r="WE411" s="1"/>
      <c r="WF411" s="1"/>
      <c r="WG411" s="1"/>
      <c r="WH411" s="1"/>
      <c r="WI411" s="1"/>
      <c r="WJ411" s="1"/>
      <c r="WK411" s="1"/>
      <c r="WL411" s="1"/>
      <c r="WM411" s="1"/>
      <c r="WN411" s="1"/>
      <c r="WO411" s="1"/>
      <c r="WP411" s="1"/>
      <c r="WQ411" s="1"/>
      <c r="WR411" s="1"/>
      <c r="WS411" s="1"/>
      <c r="WT411" s="1"/>
      <c r="WU411" s="1"/>
      <c r="WV411" s="1"/>
      <c r="WW411" s="1"/>
      <c r="WX411" s="1"/>
      <c r="WY411" s="1"/>
      <c r="WZ411" s="1"/>
      <c r="XA411" s="1"/>
      <c r="XB411" s="1"/>
      <c r="XC411" s="1"/>
      <c r="XD411" s="1"/>
      <c r="XE411" s="1"/>
      <c r="XF411" s="1"/>
      <c r="XG411" s="1"/>
      <c r="XH411" s="1"/>
      <c r="XI411" s="1"/>
      <c r="XJ411" s="1"/>
      <c r="XK411" s="1"/>
      <c r="XL411" s="1"/>
      <c r="XM411" s="1"/>
      <c r="XN411" s="1"/>
      <c r="XO411" s="1"/>
      <c r="XP411" s="1"/>
      <c r="XQ411" s="1"/>
      <c r="XR411" s="1"/>
      <c r="XS411" s="1"/>
      <c r="XT411" s="1"/>
      <c r="XU411" s="1"/>
      <c r="XV411" s="1"/>
      <c r="XW411" s="1"/>
      <c r="XX411" s="1"/>
      <c r="XY411" s="1"/>
      <c r="XZ411" s="1"/>
      <c r="YA411" s="1"/>
      <c r="YB411" s="1"/>
      <c r="YC411" s="1"/>
      <c r="YD411" s="1"/>
      <c r="YE411" s="1"/>
      <c r="YF411" s="1"/>
      <c r="YG411" s="1"/>
      <c r="YH411" s="1"/>
      <c r="YI411" s="1"/>
      <c r="YJ411" s="1"/>
      <c r="YK411" s="1"/>
      <c r="YL411" s="1"/>
      <c r="YM411" s="1"/>
      <c r="YN411" s="1"/>
      <c r="YO411" s="1"/>
      <c r="YP411" s="1"/>
      <c r="YQ411" s="1"/>
      <c r="YR411" s="1"/>
      <c r="YS411" s="1"/>
      <c r="YT411" s="1"/>
      <c r="YU411" s="1"/>
      <c r="YV411" s="1"/>
      <c r="YW411" s="1"/>
      <c r="YX411" s="1"/>
      <c r="YY411" s="1"/>
      <c r="YZ411" s="1"/>
      <c r="ZA411" s="1"/>
      <c r="ZB411" s="1"/>
      <c r="ZC411" s="1"/>
      <c r="ZD411" s="1"/>
      <c r="ZE411" s="1"/>
      <c r="ZF411" s="1"/>
      <c r="ZG411" s="1"/>
      <c r="ZH411" s="1"/>
      <c r="ZI411" s="1"/>
      <c r="ZJ411" s="1"/>
      <c r="ZK411" s="1"/>
      <c r="ZL411" s="1"/>
      <c r="ZM411" s="1"/>
      <c r="ZN411" s="1"/>
      <c r="ZO411" s="1"/>
      <c r="ZP411" s="1"/>
      <c r="ZQ411" s="1"/>
      <c r="ZR411" s="1"/>
      <c r="ZS411" s="1"/>
      <c r="ZT411" s="1"/>
      <c r="ZU411" s="1"/>
      <c r="ZV411" s="1"/>
      <c r="ZW411" s="1"/>
      <c r="ZX411" s="1"/>
      <c r="ZY411" s="1"/>
      <c r="ZZ411" s="1"/>
      <c r="AAA411" s="1"/>
      <c r="AAB411" s="1"/>
      <c r="AAC411" s="1"/>
      <c r="AAD411" s="1"/>
      <c r="AAE411" s="1"/>
      <c r="AAF411" s="1"/>
      <c r="AAG411" s="1"/>
      <c r="AAH411" s="1"/>
      <c r="AAI411" s="1"/>
      <c r="AAJ411" s="1"/>
      <c r="AAK411" s="1"/>
      <c r="AAL411" s="1"/>
      <c r="AAM411" s="1"/>
      <c r="AAN411" s="1"/>
      <c r="AAO411" s="1"/>
      <c r="AAP411" s="1"/>
      <c r="AAQ411" s="1"/>
      <c r="AAR411" s="1"/>
      <c r="AAS411" s="1"/>
      <c r="AAT411" s="1"/>
      <c r="AAU411" s="1"/>
      <c r="AAV411" s="1"/>
      <c r="AAW411" s="1"/>
      <c r="AAX411" s="1"/>
      <c r="AAY411" s="1"/>
      <c r="AAZ411" s="1"/>
      <c r="ABA411" s="1"/>
      <c r="ABB411" s="1"/>
      <c r="ABC411" s="1"/>
      <c r="ABD411" s="1"/>
      <c r="ABE411" s="1"/>
      <c r="ABF411" s="1"/>
      <c r="ABG411" s="1"/>
      <c r="ABH411" s="1"/>
      <c r="ABI411" s="1"/>
      <c r="ABJ411" s="1"/>
      <c r="ABK411" s="1"/>
      <c r="ABL411" s="1"/>
      <c r="ABM411" s="1"/>
      <c r="ABN411" s="1"/>
      <c r="ABO411" s="1"/>
      <c r="ABP411" s="1"/>
      <c r="ABQ411" s="1"/>
      <c r="ABR411" s="1"/>
      <c r="ABS411" s="1"/>
      <c r="ABT411" s="1"/>
      <c r="ABU411" s="1"/>
      <c r="ABV411" s="1"/>
      <c r="ABW411" s="1"/>
      <c r="ABX411" s="1"/>
      <c r="ABY411" s="1"/>
      <c r="ABZ411" s="1"/>
      <c r="ACA411" s="1"/>
      <c r="ACB411" s="1"/>
      <c r="ACC411" s="1"/>
      <c r="ACD411" s="1"/>
      <c r="ACE411" s="1"/>
      <c r="ACF411" s="1"/>
      <c r="ACG411" s="1"/>
      <c r="ACH411" s="1"/>
      <c r="ACI411" s="1"/>
      <c r="ACJ411" s="1"/>
      <c r="ACK411" s="1"/>
      <c r="ACL411" s="1"/>
      <c r="ACM411" s="1"/>
      <c r="ACN411" s="1"/>
      <c r="ACO411" s="1"/>
      <c r="ACP411" s="1"/>
      <c r="ACQ411" s="1"/>
      <c r="ACR411" s="1"/>
      <c r="ACS411" s="1"/>
      <c r="ACT411" s="1"/>
      <c r="ACU411" s="1"/>
      <c r="ACV411" s="1"/>
      <c r="ACW411" s="1"/>
      <c r="ACX411" s="1"/>
      <c r="ACY411" s="1"/>
      <c r="ACZ411" s="1"/>
      <c r="ADA411" s="1"/>
      <c r="ADB411" s="1"/>
      <c r="ADC411" s="1"/>
      <c r="ADD411" s="1"/>
      <c r="ADE411" s="1"/>
      <c r="ADF411" s="1"/>
      <c r="ADG411" s="1"/>
      <c r="ADH411" s="1"/>
      <c r="ADI411" s="1"/>
      <c r="ADJ411" s="1"/>
      <c r="ADK411" s="1"/>
      <c r="ADL411" s="1"/>
      <c r="ADM411" s="1"/>
      <c r="ADN411" s="1"/>
      <c r="ADO411" s="1"/>
      <c r="ADP411" s="1"/>
      <c r="ADQ411" s="1"/>
      <c r="ADR411" s="1"/>
      <c r="ADS411" s="1"/>
      <c r="ADT411" s="1"/>
      <c r="ADU411" s="1"/>
      <c r="ADV411" s="1"/>
      <c r="ADW411" s="1"/>
      <c r="ADX411" s="1"/>
      <c r="ADY411" s="1"/>
      <c r="ADZ411" s="1"/>
      <c r="AEA411" s="1"/>
      <c r="AEB411" s="1"/>
      <c r="AEC411" s="1"/>
      <c r="AED411" s="1"/>
      <c r="AEE411" s="1"/>
      <c r="AEF411" s="1"/>
      <c r="AEG411" s="1"/>
      <c r="AEH411" s="1"/>
      <c r="AEI411" s="1"/>
      <c r="AEJ411" s="1"/>
      <c r="AEK411" s="1"/>
      <c r="AEL411" s="1"/>
      <c r="AEM411" s="1"/>
      <c r="AEN411" s="1"/>
      <c r="AEO411" s="1"/>
      <c r="AEP411" s="1"/>
      <c r="AEQ411" s="1"/>
      <c r="AER411" s="1"/>
      <c r="AES411" s="1"/>
      <c r="AET411" s="1"/>
      <c r="AEU411" s="1"/>
      <c r="AEV411" s="1"/>
      <c r="AEW411" s="1"/>
      <c r="AEX411" s="1"/>
      <c r="AEY411" s="1"/>
      <c r="AEZ411" s="1"/>
      <c r="AFA411" s="1"/>
      <c r="AFB411" s="1"/>
      <c r="AFC411" s="1"/>
      <c r="AFD411" s="1"/>
      <c r="AFE411" s="1"/>
      <c r="AFF411" s="1"/>
      <c r="AFG411" s="1"/>
      <c r="AFH411" s="1"/>
      <c r="AFI411" s="1"/>
      <c r="AFJ411" s="1"/>
      <c r="AFK411" s="1"/>
      <c r="AFL411" s="1"/>
      <c r="AFM411" s="1"/>
      <c r="AFN411" s="1"/>
      <c r="AFO411" s="1"/>
      <c r="AFP411" s="1"/>
      <c r="AFQ411" s="1"/>
      <c r="AFR411" s="1"/>
      <c r="AFS411" s="1"/>
      <c r="AFT411" s="1"/>
      <c r="AFU411" s="1"/>
      <c r="AFV411" s="1"/>
      <c r="AFW411" s="1"/>
      <c r="AFX411" s="1"/>
      <c r="AFY411" s="1"/>
      <c r="AFZ411" s="1"/>
      <c r="AGA411" s="1"/>
      <c r="AGB411" s="1"/>
      <c r="AGC411" s="1"/>
      <c r="AGD411" s="1"/>
      <c r="AGE411" s="1"/>
      <c r="AGF411" s="1"/>
      <c r="AGG411" s="1"/>
      <c r="AGH411" s="1"/>
      <c r="AGI411" s="1"/>
      <c r="AGJ411" s="1"/>
      <c r="AGK411" s="1"/>
      <c r="AGL411" s="1"/>
      <c r="AGM411" s="1"/>
      <c r="AGN411" s="1"/>
      <c r="AGO411" s="1"/>
      <c r="AGP411" s="1"/>
      <c r="AGQ411" s="1"/>
      <c r="AGR411" s="1"/>
      <c r="AGS411" s="1"/>
      <c r="AGT411" s="1"/>
      <c r="AGU411" s="1"/>
      <c r="AGV411" s="1"/>
      <c r="AGW411" s="1"/>
      <c r="AGX411" s="1"/>
      <c r="AGY411" s="1"/>
      <c r="AGZ411" s="1"/>
      <c r="AHA411" s="1"/>
      <c r="AHB411" s="1"/>
      <c r="AHC411" s="1"/>
      <c r="AHD411" s="1"/>
      <c r="AHE411" s="1"/>
      <c r="AHF411" s="1"/>
      <c r="AHG411" s="1"/>
      <c r="AHH411" s="1"/>
      <c r="AHI411" s="1"/>
      <c r="AHJ411" s="1"/>
      <c r="AHK411" s="1"/>
      <c r="AHL411" s="1"/>
      <c r="AHM411" s="1"/>
      <c r="AHN411" s="1"/>
      <c r="AHO411" s="1"/>
      <c r="AHP411" s="1"/>
      <c r="AHQ411" s="1"/>
      <c r="AHR411" s="1"/>
      <c r="AHS411" s="1"/>
      <c r="AHT411" s="1"/>
      <c r="AHU411" s="1"/>
      <c r="AHV411" s="1"/>
      <c r="AHW411" s="1"/>
      <c r="AHX411" s="1"/>
      <c r="AHY411" s="1"/>
      <c r="AHZ411" s="1"/>
      <c r="AIA411" s="1"/>
      <c r="AIB411" s="1"/>
      <c r="AIC411" s="1"/>
      <c r="AID411" s="1"/>
      <c r="AIE411" s="1"/>
      <c r="AIF411" s="1"/>
      <c r="AIG411" s="1"/>
      <c r="AIH411" s="1"/>
      <c r="AII411" s="1"/>
      <c r="AIJ411" s="1"/>
      <c r="AIK411" s="1"/>
      <c r="AIL411" s="1"/>
      <c r="AIM411" s="1"/>
      <c r="AIN411" s="1"/>
      <c r="AIO411" s="1"/>
      <c r="AIP411" s="1"/>
      <c r="AIQ411" s="1"/>
      <c r="AIR411" s="1"/>
      <c r="AIS411" s="1"/>
      <c r="AIT411" s="1"/>
      <c r="AIU411" s="1"/>
      <c r="AIV411" s="1"/>
      <c r="AIW411" s="1"/>
      <c r="AIX411" s="1"/>
      <c r="AIY411" s="1"/>
      <c r="AIZ411" s="1"/>
      <c r="AJA411" s="1"/>
      <c r="AJB411" s="1"/>
      <c r="AJC411" s="1"/>
      <c r="AJD411" s="1"/>
      <c r="AJE411" s="1"/>
      <c r="AJF411" s="1"/>
      <c r="AJG411" s="1"/>
      <c r="AJH411" s="1"/>
      <c r="AJI411" s="1"/>
      <c r="AJJ411" s="1"/>
      <c r="AJK411" s="1"/>
      <c r="AJL411" s="1"/>
      <c r="AJM411" s="1"/>
      <c r="AJN411" s="1"/>
      <c r="AJO411" s="1"/>
      <c r="AJP411" s="1"/>
      <c r="AJQ411" s="1"/>
      <c r="AJR411" s="1"/>
      <c r="AJS411" s="1"/>
      <c r="AJT411" s="1"/>
      <c r="AJU411" s="1"/>
      <c r="AJV411" s="1"/>
      <c r="AJW411" s="1"/>
      <c r="AJX411" s="1"/>
      <c r="AJY411" s="1"/>
      <c r="AJZ411" s="1"/>
      <c r="AKA411" s="1"/>
      <c r="AKB411" s="1"/>
      <c r="AKC411" s="1"/>
      <c r="AKD411" s="1"/>
      <c r="AKE411" s="1"/>
      <c r="AKF411" s="1"/>
      <c r="AKG411" s="1"/>
      <c r="AKH411" s="1"/>
      <c r="AKI411" s="1"/>
      <c r="AKJ411" s="1"/>
      <c r="AKK411" s="1"/>
      <c r="AKL411" s="1"/>
      <c r="AKM411" s="1"/>
      <c r="AKN411" s="1"/>
      <c r="AKO411" s="1"/>
      <c r="AKP411" s="1"/>
      <c r="AKQ411" s="1"/>
      <c r="AKR411" s="1"/>
      <c r="AKS411" s="1"/>
      <c r="AKT411" s="1"/>
      <c r="AKU411" s="1"/>
      <c r="AKV411" s="1"/>
      <c r="AKW411" s="1"/>
      <c r="AKX411" s="1"/>
      <c r="AKY411" s="1"/>
      <c r="AKZ411" s="1"/>
      <c r="ALA411" s="1"/>
      <c r="ALB411" s="1"/>
      <c r="ALC411" s="1"/>
      <c r="ALD411" s="1"/>
      <c r="ALE411" s="1"/>
      <c r="ALF411" s="1"/>
      <c r="ALG411" s="1"/>
      <c r="ALH411" s="1"/>
      <c r="ALI411" s="1"/>
      <c r="ALJ411" s="1"/>
      <c r="ALK411" s="1"/>
      <c r="ALL411" s="1"/>
      <c r="ALM411" s="1"/>
      <c r="ALN411" s="1"/>
      <c r="ALO411" s="1"/>
      <c r="ALP411" s="1"/>
      <c r="ALQ411" s="1"/>
      <c r="ALR411" s="1"/>
      <c r="ALS411" s="1"/>
      <c r="ALT411" s="1"/>
      <c r="ALU411" s="1"/>
      <c r="ALV411" s="1"/>
      <c r="ALW411" s="1"/>
      <c r="ALX411" s="1"/>
      <c r="ALY411" s="1"/>
      <c r="ALZ411" s="1"/>
      <c r="AMA411" s="1"/>
      <c r="AMB411" s="1"/>
      <c r="AMC411" s="1"/>
      <c r="AMD411" s="1"/>
      <c r="AME411" s="1"/>
      <c r="AMF411" s="1"/>
      <c r="AMG411" s="1"/>
      <c r="AMH411" s="1"/>
      <c r="AMI411" s="1"/>
      <c r="AMJ411" s="1"/>
      <c r="AMK411" s="1"/>
      <c r="AML411" s="1"/>
      <c r="AMM411" s="1"/>
      <c r="AMN411" s="1"/>
      <c r="AMO411" s="1"/>
    </row>
    <row r="412" spans="1:1030" x14ac:dyDescent="0.2">
      <c r="A412" s="3" t="str">
        <f>CONCATENATE(B412,"_",C412)</f>
        <v>glr_human_5EE7</v>
      </c>
      <c r="B412" s="3" t="s">
        <v>32</v>
      </c>
      <c r="C412" s="3" t="s">
        <v>49</v>
      </c>
      <c r="D412" s="3" t="str">
        <f>IFERROR(MID(VLOOKUP($B412,Seqs!$A:$B,2,0),E412,1),"")</f>
        <v>Y</v>
      </c>
      <c r="E412" s="3">
        <v>138</v>
      </c>
      <c r="F412" s="3" t="str">
        <f>IFERROR(MID(VLOOKUP($B412,Seqs!$A:$B,2,0),G412,1),"")</f>
        <v>L</v>
      </c>
      <c r="G412" s="3">
        <v>166</v>
      </c>
      <c r="H412" s="3" t="str">
        <f>IFERROR(MID(VLOOKUP($B412,Seqs!$A:$B,2,0),I412,1),"")</f>
        <v>S</v>
      </c>
      <c r="I412" s="23">
        <v>167</v>
      </c>
      <c r="J412" s="3" t="str">
        <f>IFERROR(MID(VLOOKUP($B412,Seqs!$A:$B,2,0),K412,1),"")</f>
        <v>H</v>
      </c>
      <c r="K412" s="23">
        <v>170</v>
      </c>
      <c r="L412" s="3" t="str">
        <f>IFERROR(MID(VLOOKUP($B412,Seqs!$A:$B,2,0),M412,1),"")</f>
        <v>C</v>
      </c>
      <c r="M412" s="23">
        <v>171</v>
      </c>
      <c r="N412" s="3" t="str">
        <f>IFERROR(MID(VLOOKUP($B412,Seqs!$A:$B,2,0),O412,1),"")</f>
        <v>R</v>
      </c>
      <c r="O412" s="3">
        <v>199</v>
      </c>
      <c r="P412" s="3" t="str">
        <f>IFERROR(MID(VLOOKUP($B412,Seqs!$A:$B,2,0),Q412,1),"")</f>
        <v/>
      </c>
      <c r="Q412" s="3" t="s">
        <v>23</v>
      </c>
      <c r="R412" s="3" t="str">
        <f>IFERROR(MID(VLOOKUP($B412,Seqs!$A:$B,2,0),S412,1),"")</f>
        <v/>
      </c>
      <c r="S412" s="3" t="s">
        <v>23</v>
      </c>
      <c r="T412" s="3" t="str">
        <f>IFERROR(MID(VLOOKUP($B412,Seqs!$A:$B,2,0),U412,1),"")</f>
        <v>D</v>
      </c>
      <c r="U412" s="3">
        <v>218</v>
      </c>
      <c r="V412" s="3" t="str">
        <f>IFERROR(MID(VLOOKUP($B412,Seqs!$A:$B,2,0),W412,1),"")</f>
        <v>G</v>
      </c>
      <c r="W412" s="3">
        <v>254</v>
      </c>
      <c r="X412" s="3" t="str">
        <f>IFERROR(MID(VLOOKUP($B412,Seqs!$A:$B,2,0),Y412,1),"")</f>
        <v/>
      </c>
      <c r="Y412" s="3" t="s">
        <v>23</v>
      </c>
      <c r="Z412" s="3" t="str">
        <f>IFERROR(MID(VLOOKUP($B412,Seqs!$A:$B,2,0),AA412,1),"")</f>
        <v/>
      </c>
      <c r="AA412" s="3" t="s">
        <v>23</v>
      </c>
      <c r="AB412" s="3" t="str">
        <f>IFERROR(MID(VLOOKUP($B412,Seqs!$A:$B,2,0),AC412,1),"")</f>
        <v>S</v>
      </c>
      <c r="AC412" s="9">
        <v>262</v>
      </c>
      <c r="AD412" s="3" t="str">
        <f>IFERROR(MID(VLOOKUP($B412,Seqs!$A:$B,2,0),AE412,1),"")</f>
        <v>E</v>
      </c>
      <c r="AE412" s="3">
        <v>290</v>
      </c>
      <c r="AF412" s="3" t="str">
        <f>IFERROR(MID(VLOOKUP($B412,Seqs!$A:$B,2,0),AG412,1),"")</f>
        <v>C</v>
      </c>
      <c r="AG412" s="3">
        <v>294</v>
      </c>
      <c r="AH412" s="3" t="str">
        <f>IFERROR(MID(VLOOKUP($B412,Seqs!$A:$B,2,0),AI412,1),"")</f>
        <v>T</v>
      </c>
      <c r="AI412" s="3">
        <v>296</v>
      </c>
      <c r="AJ412" s="3" t="str">
        <f>IFERROR(MID(VLOOKUP($B412,Seqs!$A:$B,2,0),AK412,1),"")</f>
        <v>R</v>
      </c>
      <c r="AK412" s="105">
        <v>308</v>
      </c>
      <c r="AL412" s="3" t="str">
        <f>IFERROR(MID(VLOOKUP($B412,Seqs!$A:$B,2,0),AM412,1),"")</f>
        <v>A</v>
      </c>
      <c r="AM412" s="3">
        <v>335</v>
      </c>
      <c r="AN412" s="3" t="str">
        <f>IFERROR(MID(VLOOKUP($B412,Seqs!$A:$B,2,0),AO412,1),"")</f>
        <v>D</v>
      </c>
      <c r="AO412" s="3">
        <v>342</v>
      </c>
      <c r="AP412" s="3" t="str">
        <f>IFERROR(MID(VLOOKUP($B412,Seqs!$A:$B,2,0),AQ412,1),"")</f>
        <v>D</v>
      </c>
      <c r="AQ412" s="3">
        <v>370</v>
      </c>
      <c r="AR412" s="3" t="str">
        <f>IFERROR(MID(VLOOKUP($B412,Seqs!$A:$B,2,0),AS412,1),"")</f>
        <v>S</v>
      </c>
      <c r="AS412" s="3">
        <v>379</v>
      </c>
      <c r="AT412" s="3" t="str">
        <f>IFERROR(MID(VLOOKUP($B412,Seqs!$A:$B,2,0),AU412,1),"")</f>
        <v>F</v>
      </c>
      <c r="AU412" s="3">
        <v>402</v>
      </c>
      <c r="AV412" s="3" t="str">
        <f>IFERROR(MID(VLOOKUP($B412,Seqs!$A:$B,2,0),AW412,1),"")</f>
        <v>N</v>
      </c>
      <c r="AW412" s="3">
        <v>404</v>
      </c>
      <c r="AX412" s="3" t="str">
        <f>IFERROR(MID(VLOOKUP($B412,Seqs!$A:$B,2,0),AY412,1),"")</f>
        <v>R</v>
      </c>
      <c r="AY412" s="3">
        <v>417</v>
      </c>
      <c r="AZ412" s="77" t="str">
        <f>VLOOKUP(B412,Classification!A:D,2,0)</f>
        <v>B1</v>
      </c>
      <c r="BA412" s="94" t="str">
        <f>VLOOKUP(B412,Classification!A:D,4,0)</f>
        <v>Glucagonreceptorfamily</v>
      </c>
      <c r="BB412" s="27" t="b">
        <f t="shared" ref="BB412:BB456" si="1190">AND(E412&lt;G412,OR(G412&lt;I412,I412="-"),OR(I412&lt;K412,I412="-"),OR(K412&lt;M412,K412="-"),M412&lt;O412,OR(O412&lt;Q412,Q412="-"),OR(Q412&lt;S412,Q412="-"),OR(S412&lt;U412,S412="-"),U412&lt;W412,OR(W412&lt;Y412,Y412="-"),OR(Y412&lt;AA412,Y412="-"),OR(AA412&lt;AC412,AA412="-"),AC412&lt;AE412,OR(AE412&lt;AG412,AG412="-"),OR(AG412&lt;AI412,AG412="-"),OR(AI412&lt;AK412,AI412="-"),AK412&lt;AM412,AM412&lt;AO412,AO412&lt;AQ412,AQ412&lt;AS412,AS412&lt;AU412,OR(AU412&lt;AW412,AW412="-"),OR(AW412&lt;AY412,AW412="-"))</f>
        <v>1</v>
      </c>
      <c r="BC412" s="23">
        <f t="shared" si="1187"/>
        <v>228</v>
      </c>
      <c r="BD412" s="4" t="s">
        <v>23</v>
      </c>
      <c r="BE412" s="3" t="s">
        <v>1368</v>
      </c>
      <c r="BF412" s="118">
        <v>2.5</v>
      </c>
      <c r="BG412" s="49" t="s">
        <v>1371</v>
      </c>
      <c r="BH412" s="49" t="s">
        <v>1371</v>
      </c>
      <c r="BI412" s="1"/>
      <c r="BJ412" s="70" t="s">
        <v>1281</v>
      </c>
      <c r="BK412" s="57" t="s">
        <v>1281</v>
      </c>
      <c r="BL412" s="57" t="s">
        <v>1281</v>
      </c>
      <c r="BM412" s="57" t="s">
        <v>1281</v>
      </c>
      <c r="BN412" s="57" t="s">
        <v>1281</v>
      </c>
      <c r="BO412" s="57" t="s">
        <v>1281</v>
      </c>
      <c r="BP412" s="57" t="s">
        <v>1281</v>
      </c>
      <c r="BQ412" s="57" t="s">
        <v>1281</v>
      </c>
      <c r="BR412" s="57" t="s">
        <v>1281</v>
      </c>
      <c r="BS412" s="57" t="s">
        <v>1281</v>
      </c>
      <c r="BT412" s="57" t="s">
        <v>1281</v>
      </c>
      <c r="BU412" s="57" t="s">
        <v>1281</v>
      </c>
      <c r="BV412" s="70">
        <f>E412</f>
        <v>138</v>
      </c>
      <c r="BW412" s="71">
        <f>I412</f>
        <v>167</v>
      </c>
      <c r="BX412" s="72">
        <f>M412</f>
        <v>171</v>
      </c>
      <c r="BY412" s="71" t="str">
        <f>Q412</f>
        <v>-</v>
      </c>
      <c r="BZ412" s="72">
        <f>U412</f>
        <v>218</v>
      </c>
      <c r="CA412" s="71" t="str">
        <f>Y412</f>
        <v>-</v>
      </c>
      <c r="CB412" s="72">
        <f>AC412</f>
        <v>262</v>
      </c>
      <c r="CC412" s="71">
        <f>AG412</f>
        <v>294</v>
      </c>
      <c r="CD412" s="72">
        <f>AK412</f>
        <v>308</v>
      </c>
      <c r="CE412" s="71">
        <f>AO412</f>
        <v>342</v>
      </c>
      <c r="CF412" s="72">
        <f>AS412</f>
        <v>379</v>
      </c>
      <c r="CG412" s="71">
        <f>AW412</f>
        <v>404</v>
      </c>
      <c r="CH412" s="70">
        <f>G412</f>
        <v>166</v>
      </c>
      <c r="CI412" s="71">
        <f>K412</f>
        <v>170</v>
      </c>
      <c r="CJ412" s="72">
        <f>O412</f>
        <v>199</v>
      </c>
      <c r="CK412" s="72" t="str">
        <f>S412</f>
        <v>-</v>
      </c>
      <c r="CL412" s="72">
        <f>W412</f>
        <v>254</v>
      </c>
      <c r="CM412" s="72" t="str">
        <f>AA412</f>
        <v>-</v>
      </c>
      <c r="CN412" s="72">
        <f>AE412</f>
        <v>290</v>
      </c>
      <c r="CO412" s="72">
        <f>AI412</f>
        <v>296</v>
      </c>
      <c r="CP412" s="72">
        <f>AM412</f>
        <v>335</v>
      </c>
      <c r="CQ412" s="72">
        <f>AQ412</f>
        <v>370</v>
      </c>
      <c r="CR412" s="72">
        <f>AU412</f>
        <v>402</v>
      </c>
      <c r="CS412" s="72">
        <f>AY412</f>
        <v>417</v>
      </c>
      <c r="CT412" s="23">
        <f>M412-K412</f>
        <v>1</v>
      </c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  <c r="NK412" s="1"/>
      <c r="NL412" s="1"/>
      <c r="NM412" s="1"/>
      <c r="NN412" s="1"/>
      <c r="NO412" s="1"/>
      <c r="NP412" s="1"/>
      <c r="NQ412" s="1"/>
      <c r="NR412" s="1"/>
      <c r="NS412" s="1"/>
      <c r="NT412" s="1"/>
      <c r="NU412" s="1"/>
      <c r="NV412" s="1"/>
      <c r="NW412" s="1"/>
      <c r="NX412" s="1"/>
      <c r="NY412" s="1"/>
      <c r="NZ412" s="1"/>
      <c r="OA412" s="1"/>
      <c r="OB412" s="1"/>
      <c r="OC412" s="1"/>
      <c r="OD412" s="1"/>
      <c r="OE412" s="1"/>
      <c r="OF412" s="1"/>
      <c r="OG412" s="1"/>
      <c r="OH412" s="1"/>
      <c r="OI412" s="1"/>
      <c r="OJ412" s="1"/>
      <c r="OK412" s="1"/>
      <c r="OL412" s="1"/>
      <c r="OM412" s="1"/>
      <c r="ON412" s="1"/>
      <c r="OO412" s="1"/>
      <c r="OP412" s="1"/>
      <c r="OQ412" s="1"/>
      <c r="OR412" s="1"/>
      <c r="OS412" s="1"/>
      <c r="OT412" s="1"/>
      <c r="OU412" s="1"/>
      <c r="OV412" s="1"/>
      <c r="OW412" s="1"/>
      <c r="OX412" s="1"/>
      <c r="OY412" s="1"/>
      <c r="OZ412" s="1"/>
      <c r="PA412" s="1"/>
      <c r="PB412" s="1"/>
      <c r="PC412" s="1"/>
      <c r="PD412" s="1"/>
      <c r="PE412" s="1"/>
      <c r="PF412" s="1"/>
      <c r="PG412" s="1"/>
      <c r="PH412" s="1"/>
      <c r="PI412" s="1"/>
      <c r="PJ412" s="1"/>
      <c r="PK412" s="1"/>
      <c r="PL412" s="1"/>
      <c r="PM412" s="1"/>
      <c r="PN412" s="1"/>
      <c r="PO412" s="1"/>
      <c r="PP412" s="1"/>
      <c r="PQ412" s="1"/>
      <c r="PR412" s="1"/>
      <c r="PS412" s="1"/>
      <c r="PT412" s="1"/>
      <c r="PU412" s="1"/>
      <c r="PV412" s="1"/>
      <c r="PW412" s="1"/>
      <c r="PX412" s="1"/>
      <c r="PY412" s="1"/>
      <c r="PZ412" s="1"/>
      <c r="QA412" s="1"/>
      <c r="QB412" s="1"/>
      <c r="QC412" s="1"/>
      <c r="QD412" s="1"/>
      <c r="QE412" s="1"/>
      <c r="QF412" s="1"/>
      <c r="QG412" s="1"/>
      <c r="QH412" s="1"/>
      <c r="QI412" s="1"/>
      <c r="QJ412" s="1"/>
      <c r="QK412" s="1"/>
      <c r="QL412" s="1"/>
      <c r="QM412" s="1"/>
      <c r="QN412" s="1"/>
      <c r="QO412" s="1"/>
      <c r="QP412" s="1"/>
      <c r="QQ412" s="1"/>
      <c r="QR412" s="1"/>
      <c r="QS412" s="1"/>
      <c r="QT412" s="1"/>
      <c r="QU412" s="1"/>
      <c r="QV412" s="1"/>
      <c r="QW412" s="1"/>
      <c r="QX412" s="1"/>
      <c r="QY412" s="1"/>
      <c r="QZ412" s="1"/>
      <c r="RA412" s="1"/>
      <c r="RB412" s="1"/>
      <c r="RC412" s="1"/>
      <c r="RD412" s="1"/>
      <c r="RE412" s="1"/>
      <c r="RF412" s="1"/>
      <c r="RG412" s="1"/>
      <c r="RH412" s="1"/>
      <c r="RI412" s="1"/>
      <c r="RJ412" s="1"/>
      <c r="RK412" s="1"/>
      <c r="RL412" s="1"/>
      <c r="RM412" s="1"/>
      <c r="RN412" s="1"/>
      <c r="RO412" s="1"/>
      <c r="RP412" s="1"/>
      <c r="RQ412" s="1"/>
      <c r="RR412" s="1"/>
      <c r="RS412" s="1"/>
      <c r="RT412" s="1"/>
      <c r="RU412" s="1"/>
      <c r="RV412" s="1"/>
      <c r="RW412" s="1"/>
      <c r="RX412" s="1"/>
      <c r="RY412" s="1"/>
      <c r="RZ412" s="1"/>
      <c r="SA412" s="1"/>
      <c r="SB412" s="1"/>
      <c r="SC412" s="1"/>
      <c r="SD412" s="1"/>
      <c r="SE412" s="1"/>
      <c r="SF412" s="1"/>
      <c r="SG412" s="1"/>
      <c r="SH412" s="1"/>
      <c r="SI412" s="1"/>
      <c r="SJ412" s="1"/>
      <c r="SK412" s="1"/>
      <c r="SL412" s="1"/>
      <c r="SM412" s="1"/>
      <c r="SN412" s="1"/>
      <c r="SO412" s="1"/>
      <c r="SP412" s="1"/>
      <c r="SQ412" s="1"/>
      <c r="SR412" s="1"/>
      <c r="SS412" s="1"/>
      <c r="ST412" s="1"/>
      <c r="SU412" s="1"/>
      <c r="SV412" s="1"/>
      <c r="SW412" s="1"/>
      <c r="SX412" s="1"/>
      <c r="SY412" s="1"/>
      <c r="SZ412" s="1"/>
      <c r="TA412" s="1"/>
      <c r="TB412" s="1"/>
      <c r="TC412" s="1"/>
      <c r="TD412" s="1"/>
      <c r="TE412" s="1"/>
      <c r="TF412" s="1"/>
      <c r="TG412" s="1"/>
      <c r="TH412" s="1"/>
      <c r="TI412" s="1"/>
      <c r="TJ412" s="1"/>
      <c r="TK412" s="1"/>
      <c r="TL412" s="1"/>
      <c r="TM412" s="1"/>
      <c r="TN412" s="1"/>
      <c r="TO412" s="1"/>
      <c r="TP412" s="1"/>
      <c r="TQ412" s="1"/>
      <c r="TR412" s="1"/>
      <c r="TS412" s="1"/>
      <c r="TT412" s="1"/>
      <c r="TU412" s="1"/>
      <c r="TV412" s="1"/>
      <c r="TW412" s="1"/>
      <c r="TX412" s="1"/>
      <c r="TY412" s="1"/>
      <c r="TZ412" s="1"/>
      <c r="UA412" s="1"/>
      <c r="UB412" s="1"/>
      <c r="UC412" s="1"/>
      <c r="UD412" s="1"/>
      <c r="UE412" s="1"/>
      <c r="UF412" s="1"/>
      <c r="UG412" s="1"/>
      <c r="UH412" s="1"/>
      <c r="UI412" s="1"/>
      <c r="UJ412" s="1"/>
      <c r="UK412" s="1"/>
      <c r="UL412" s="1"/>
      <c r="UM412" s="1"/>
      <c r="UN412" s="1"/>
      <c r="UO412" s="1"/>
      <c r="UP412" s="1"/>
      <c r="UQ412" s="1"/>
      <c r="UR412" s="1"/>
      <c r="US412" s="1"/>
      <c r="UT412" s="1"/>
      <c r="UU412" s="1"/>
      <c r="UV412" s="1"/>
      <c r="UW412" s="1"/>
      <c r="UX412" s="1"/>
      <c r="UY412" s="1"/>
      <c r="UZ412" s="1"/>
      <c r="VA412" s="1"/>
      <c r="VB412" s="1"/>
      <c r="VC412" s="1"/>
      <c r="VD412" s="1"/>
      <c r="VE412" s="1"/>
      <c r="VF412" s="1"/>
      <c r="VG412" s="1"/>
      <c r="VH412" s="1"/>
      <c r="VI412" s="1"/>
      <c r="VJ412" s="1"/>
      <c r="VK412" s="1"/>
      <c r="VL412" s="1"/>
      <c r="VM412" s="1"/>
      <c r="VN412" s="1"/>
      <c r="VO412" s="1"/>
      <c r="VP412" s="1"/>
      <c r="VQ412" s="1"/>
      <c r="VR412" s="1"/>
      <c r="VS412" s="1"/>
      <c r="VT412" s="1"/>
      <c r="VU412" s="1"/>
      <c r="VV412" s="1"/>
      <c r="VW412" s="1"/>
      <c r="VX412" s="1"/>
      <c r="VY412" s="1"/>
      <c r="VZ412" s="1"/>
      <c r="WA412" s="1"/>
      <c r="WB412" s="1"/>
      <c r="WC412" s="1"/>
      <c r="WD412" s="1"/>
      <c r="WE412" s="1"/>
      <c r="WF412" s="1"/>
      <c r="WG412" s="1"/>
      <c r="WH412" s="1"/>
      <c r="WI412" s="1"/>
      <c r="WJ412" s="1"/>
      <c r="WK412" s="1"/>
      <c r="WL412" s="1"/>
      <c r="WM412" s="1"/>
      <c r="WN412" s="1"/>
      <c r="WO412" s="1"/>
      <c r="WP412" s="1"/>
      <c r="WQ412" s="1"/>
      <c r="WR412" s="1"/>
      <c r="WS412" s="1"/>
      <c r="WT412" s="1"/>
      <c r="WU412" s="1"/>
      <c r="WV412" s="1"/>
      <c r="WW412" s="1"/>
      <c r="WX412" s="1"/>
      <c r="WY412" s="1"/>
      <c r="WZ412" s="1"/>
      <c r="XA412" s="1"/>
      <c r="XB412" s="1"/>
      <c r="XC412" s="1"/>
      <c r="XD412" s="1"/>
      <c r="XE412" s="1"/>
      <c r="XF412" s="1"/>
      <c r="XG412" s="1"/>
      <c r="XH412" s="1"/>
      <c r="XI412" s="1"/>
      <c r="XJ412" s="1"/>
      <c r="XK412" s="1"/>
      <c r="XL412" s="1"/>
      <c r="XM412" s="1"/>
      <c r="XN412" s="1"/>
      <c r="XO412" s="1"/>
      <c r="XP412" s="1"/>
      <c r="XQ412" s="1"/>
      <c r="XR412" s="1"/>
      <c r="XS412" s="1"/>
      <c r="XT412" s="1"/>
      <c r="XU412" s="1"/>
      <c r="XV412" s="1"/>
      <c r="XW412" s="1"/>
      <c r="XX412" s="1"/>
      <c r="XY412" s="1"/>
      <c r="XZ412" s="1"/>
      <c r="YA412" s="1"/>
      <c r="YB412" s="1"/>
      <c r="YC412" s="1"/>
      <c r="YD412" s="1"/>
      <c r="YE412" s="1"/>
      <c r="YF412" s="1"/>
      <c r="YG412" s="1"/>
      <c r="YH412" s="1"/>
      <c r="YI412" s="1"/>
      <c r="YJ412" s="1"/>
      <c r="YK412" s="1"/>
      <c r="YL412" s="1"/>
      <c r="YM412" s="1"/>
      <c r="YN412" s="1"/>
      <c r="YO412" s="1"/>
      <c r="YP412" s="1"/>
      <c r="YQ412" s="1"/>
      <c r="YR412" s="1"/>
      <c r="YS412" s="1"/>
      <c r="YT412" s="1"/>
      <c r="YU412" s="1"/>
      <c r="YV412" s="1"/>
      <c r="YW412" s="1"/>
      <c r="YX412" s="1"/>
      <c r="YY412" s="1"/>
      <c r="YZ412" s="1"/>
      <c r="ZA412" s="1"/>
      <c r="ZB412" s="1"/>
      <c r="ZC412" s="1"/>
      <c r="ZD412" s="1"/>
      <c r="ZE412" s="1"/>
      <c r="ZF412" s="1"/>
      <c r="ZG412" s="1"/>
      <c r="ZH412" s="1"/>
      <c r="ZI412" s="1"/>
      <c r="ZJ412" s="1"/>
      <c r="ZK412" s="1"/>
      <c r="ZL412" s="1"/>
      <c r="ZM412" s="1"/>
      <c r="ZN412" s="1"/>
      <c r="ZO412" s="1"/>
      <c r="ZP412" s="1"/>
      <c r="ZQ412" s="1"/>
      <c r="ZR412" s="1"/>
      <c r="ZS412" s="1"/>
      <c r="ZT412" s="1"/>
      <c r="ZU412" s="1"/>
      <c r="ZV412" s="1"/>
      <c r="ZW412" s="1"/>
      <c r="ZX412" s="1"/>
      <c r="ZY412" s="1"/>
      <c r="ZZ412" s="1"/>
      <c r="AAA412" s="1"/>
      <c r="AAB412" s="1"/>
      <c r="AAC412" s="1"/>
      <c r="AAD412" s="1"/>
      <c r="AAE412" s="1"/>
      <c r="AAF412" s="1"/>
      <c r="AAG412" s="1"/>
      <c r="AAH412" s="1"/>
      <c r="AAI412" s="1"/>
      <c r="AAJ412" s="1"/>
      <c r="AAK412" s="1"/>
      <c r="AAL412" s="1"/>
      <c r="AAM412" s="1"/>
      <c r="AAN412" s="1"/>
      <c r="AAO412" s="1"/>
      <c r="AAP412" s="1"/>
      <c r="AAQ412" s="1"/>
      <c r="AAR412" s="1"/>
      <c r="AAS412" s="1"/>
      <c r="AAT412" s="1"/>
      <c r="AAU412" s="1"/>
      <c r="AAV412" s="1"/>
      <c r="AAW412" s="1"/>
      <c r="AAX412" s="1"/>
      <c r="AAY412" s="1"/>
      <c r="AAZ412" s="1"/>
      <c r="ABA412" s="1"/>
      <c r="ABB412" s="1"/>
      <c r="ABC412" s="1"/>
      <c r="ABD412" s="1"/>
      <c r="ABE412" s="1"/>
      <c r="ABF412" s="1"/>
      <c r="ABG412" s="1"/>
      <c r="ABH412" s="1"/>
      <c r="ABI412" s="1"/>
      <c r="ABJ412" s="1"/>
      <c r="ABK412" s="1"/>
      <c r="ABL412" s="1"/>
      <c r="ABM412" s="1"/>
      <c r="ABN412" s="1"/>
      <c r="ABO412" s="1"/>
      <c r="ABP412" s="1"/>
      <c r="ABQ412" s="1"/>
      <c r="ABR412" s="1"/>
      <c r="ABS412" s="1"/>
      <c r="ABT412" s="1"/>
      <c r="ABU412" s="1"/>
      <c r="ABV412" s="1"/>
      <c r="ABW412" s="1"/>
      <c r="ABX412" s="1"/>
      <c r="ABY412" s="1"/>
      <c r="ABZ412" s="1"/>
      <c r="ACA412" s="1"/>
      <c r="ACB412" s="1"/>
      <c r="ACC412" s="1"/>
      <c r="ACD412" s="1"/>
      <c r="ACE412" s="1"/>
      <c r="ACF412" s="1"/>
      <c r="ACG412" s="1"/>
      <c r="ACH412" s="1"/>
      <c r="ACI412" s="1"/>
      <c r="ACJ412" s="1"/>
      <c r="ACK412" s="1"/>
      <c r="ACL412" s="1"/>
      <c r="ACM412" s="1"/>
      <c r="ACN412" s="1"/>
      <c r="ACO412" s="1"/>
      <c r="ACP412" s="1"/>
      <c r="ACQ412" s="1"/>
      <c r="ACR412" s="1"/>
      <c r="ACS412" s="1"/>
      <c r="ACT412" s="1"/>
      <c r="ACU412" s="1"/>
      <c r="ACV412" s="1"/>
      <c r="ACW412" s="1"/>
      <c r="ACX412" s="1"/>
      <c r="ACY412" s="1"/>
      <c r="ACZ412" s="1"/>
      <c r="ADA412" s="1"/>
      <c r="ADB412" s="1"/>
      <c r="ADC412" s="1"/>
      <c r="ADD412" s="1"/>
      <c r="ADE412" s="1"/>
      <c r="ADF412" s="1"/>
      <c r="ADG412" s="1"/>
      <c r="ADH412" s="1"/>
      <c r="ADI412" s="1"/>
      <c r="ADJ412" s="1"/>
      <c r="ADK412" s="1"/>
      <c r="ADL412" s="1"/>
      <c r="ADM412" s="1"/>
      <c r="ADN412" s="1"/>
      <c r="ADO412" s="1"/>
      <c r="ADP412" s="1"/>
      <c r="ADQ412" s="1"/>
      <c r="ADR412" s="1"/>
      <c r="ADS412" s="1"/>
      <c r="ADT412" s="1"/>
      <c r="ADU412" s="1"/>
      <c r="ADV412" s="1"/>
      <c r="ADW412" s="1"/>
      <c r="ADX412" s="1"/>
      <c r="ADY412" s="1"/>
      <c r="ADZ412" s="1"/>
      <c r="AEA412" s="1"/>
      <c r="AEB412" s="1"/>
      <c r="AEC412" s="1"/>
      <c r="AED412" s="1"/>
      <c r="AEE412" s="1"/>
      <c r="AEF412" s="1"/>
      <c r="AEG412" s="1"/>
      <c r="AEH412" s="1"/>
      <c r="AEI412" s="1"/>
      <c r="AEJ412" s="1"/>
      <c r="AEK412" s="1"/>
      <c r="AEL412" s="1"/>
      <c r="AEM412" s="1"/>
      <c r="AEN412" s="1"/>
      <c r="AEO412" s="1"/>
      <c r="AEP412" s="1"/>
      <c r="AEQ412" s="1"/>
      <c r="AER412" s="1"/>
      <c r="AES412" s="1"/>
      <c r="AET412" s="1"/>
      <c r="AEU412" s="1"/>
      <c r="AEV412" s="1"/>
      <c r="AEW412" s="1"/>
      <c r="AEX412" s="1"/>
      <c r="AEY412" s="1"/>
      <c r="AEZ412" s="1"/>
      <c r="AFA412" s="1"/>
      <c r="AFB412" s="1"/>
      <c r="AFC412" s="1"/>
      <c r="AFD412" s="1"/>
      <c r="AFE412" s="1"/>
      <c r="AFF412" s="1"/>
      <c r="AFG412" s="1"/>
      <c r="AFH412" s="1"/>
      <c r="AFI412" s="1"/>
      <c r="AFJ412" s="1"/>
      <c r="AFK412" s="1"/>
      <c r="AFL412" s="1"/>
      <c r="AFM412" s="1"/>
      <c r="AFN412" s="1"/>
      <c r="AFO412" s="1"/>
      <c r="AFP412" s="1"/>
      <c r="AFQ412" s="1"/>
      <c r="AFR412" s="1"/>
      <c r="AFS412" s="1"/>
      <c r="AFT412" s="1"/>
      <c r="AFU412" s="1"/>
      <c r="AFV412" s="1"/>
      <c r="AFW412" s="1"/>
      <c r="AFX412" s="1"/>
      <c r="AFY412" s="1"/>
      <c r="AFZ412" s="1"/>
      <c r="AGA412" s="1"/>
      <c r="AGB412" s="1"/>
      <c r="AGC412" s="1"/>
      <c r="AGD412" s="1"/>
      <c r="AGE412" s="1"/>
      <c r="AGF412" s="1"/>
      <c r="AGG412" s="1"/>
      <c r="AGH412" s="1"/>
      <c r="AGI412" s="1"/>
      <c r="AGJ412" s="1"/>
      <c r="AGK412" s="1"/>
      <c r="AGL412" s="1"/>
      <c r="AGM412" s="1"/>
      <c r="AGN412" s="1"/>
      <c r="AGO412" s="1"/>
      <c r="AGP412" s="1"/>
      <c r="AGQ412" s="1"/>
      <c r="AGR412" s="1"/>
      <c r="AGS412" s="1"/>
      <c r="AGT412" s="1"/>
      <c r="AGU412" s="1"/>
      <c r="AGV412" s="1"/>
      <c r="AGW412" s="1"/>
      <c r="AGX412" s="1"/>
      <c r="AGY412" s="1"/>
      <c r="AGZ412" s="1"/>
      <c r="AHA412" s="1"/>
      <c r="AHB412" s="1"/>
      <c r="AHC412" s="1"/>
      <c r="AHD412" s="1"/>
      <c r="AHE412" s="1"/>
      <c r="AHF412" s="1"/>
      <c r="AHG412" s="1"/>
      <c r="AHH412" s="1"/>
      <c r="AHI412" s="1"/>
      <c r="AHJ412" s="1"/>
      <c r="AHK412" s="1"/>
      <c r="AHL412" s="1"/>
      <c r="AHM412" s="1"/>
      <c r="AHN412" s="1"/>
      <c r="AHO412" s="1"/>
      <c r="AHP412" s="1"/>
      <c r="AHQ412" s="1"/>
      <c r="AHR412" s="1"/>
      <c r="AHS412" s="1"/>
      <c r="AHT412" s="1"/>
      <c r="AHU412" s="1"/>
      <c r="AHV412" s="1"/>
      <c r="AHW412" s="1"/>
      <c r="AHX412" s="1"/>
      <c r="AHY412" s="1"/>
      <c r="AHZ412" s="1"/>
      <c r="AIA412" s="1"/>
      <c r="AIB412" s="1"/>
      <c r="AIC412" s="1"/>
      <c r="AID412" s="1"/>
      <c r="AIE412" s="1"/>
      <c r="AIF412" s="1"/>
      <c r="AIG412" s="1"/>
      <c r="AIH412" s="1"/>
      <c r="AII412" s="1"/>
      <c r="AIJ412" s="1"/>
      <c r="AIK412" s="1"/>
      <c r="AIL412" s="1"/>
      <c r="AIM412" s="1"/>
      <c r="AIN412" s="1"/>
      <c r="AIO412" s="1"/>
      <c r="AIP412" s="1"/>
      <c r="AIQ412" s="1"/>
      <c r="AIR412" s="1"/>
      <c r="AIS412" s="1"/>
      <c r="AIT412" s="1"/>
      <c r="AIU412" s="1"/>
      <c r="AIV412" s="1"/>
      <c r="AIW412" s="1"/>
      <c r="AIX412" s="1"/>
      <c r="AIY412" s="1"/>
      <c r="AIZ412" s="1"/>
      <c r="AJA412" s="1"/>
      <c r="AJB412" s="1"/>
      <c r="AJC412" s="1"/>
      <c r="AJD412" s="1"/>
      <c r="AJE412" s="1"/>
      <c r="AJF412" s="1"/>
      <c r="AJG412" s="1"/>
      <c r="AJH412" s="1"/>
      <c r="AJI412" s="1"/>
      <c r="AJJ412" s="1"/>
      <c r="AJK412" s="1"/>
      <c r="AJL412" s="1"/>
      <c r="AJM412" s="1"/>
      <c r="AJN412" s="1"/>
      <c r="AJO412" s="1"/>
      <c r="AJP412" s="1"/>
      <c r="AJQ412" s="1"/>
      <c r="AJR412" s="1"/>
      <c r="AJS412" s="1"/>
      <c r="AJT412" s="1"/>
      <c r="AJU412" s="1"/>
      <c r="AJV412" s="1"/>
      <c r="AJW412" s="1"/>
      <c r="AJX412" s="1"/>
      <c r="AJY412" s="1"/>
      <c r="AJZ412" s="1"/>
      <c r="AKA412" s="1"/>
      <c r="AKB412" s="1"/>
      <c r="AKC412" s="1"/>
      <c r="AKD412" s="1"/>
      <c r="AKE412" s="1"/>
      <c r="AKF412" s="1"/>
      <c r="AKG412" s="1"/>
      <c r="AKH412" s="1"/>
      <c r="AKI412" s="1"/>
      <c r="AKJ412" s="1"/>
      <c r="AKK412" s="1"/>
      <c r="AKL412" s="1"/>
      <c r="AKM412" s="1"/>
      <c r="AKN412" s="1"/>
      <c r="AKO412" s="1"/>
      <c r="AKP412" s="1"/>
      <c r="AKQ412" s="1"/>
      <c r="AKR412" s="1"/>
      <c r="AKS412" s="1"/>
      <c r="AKT412" s="1"/>
      <c r="AKU412" s="1"/>
      <c r="AKV412" s="1"/>
      <c r="AKW412" s="1"/>
      <c r="AKX412" s="1"/>
      <c r="AKY412" s="1"/>
      <c r="AKZ412" s="1"/>
      <c r="ALA412" s="1"/>
      <c r="ALB412" s="1"/>
      <c r="ALC412" s="1"/>
      <c r="ALD412" s="1"/>
      <c r="ALE412" s="1"/>
      <c r="ALF412" s="1"/>
      <c r="ALG412" s="1"/>
      <c r="ALH412" s="1"/>
      <c r="ALI412" s="1"/>
      <c r="ALJ412" s="1"/>
      <c r="ALK412" s="1"/>
      <c r="ALL412" s="1"/>
      <c r="ALM412" s="1"/>
      <c r="ALN412" s="1"/>
      <c r="ALO412" s="1"/>
      <c r="ALP412" s="1"/>
      <c r="ALQ412" s="1"/>
      <c r="ALR412" s="1"/>
      <c r="ALS412" s="1"/>
      <c r="ALT412" s="1"/>
      <c r="ALU412" s="1"/>
      <c r="ALV412" s="1"/>
      <c r="ALW412" s="1"/>
      <c r="ALX412" s="1"/>
      <c r="ALY412" s="1"/>
      <c r="ALZ412" s="1"/>
      <c r="AMA412" s="1"/>
      <c r="AMB412" s="1"/>
      <c r="AMC412" s="1"/>
      <c r="AMD412" s="1"/>
      <c r="AME412" s="1"/>
      <c r="AMF412" s="1"/>
      <c r="AMG412" s="1"/>
      <c r="AMH412" s="1"/>
      <c r="AMI412" s="1"/>
      <c r="AMJ412" s="1"/>
      <c r="AMK412" s="1"/>
      <c r="AML412" s="1"/>
      <c r="AMM412" s="1"/>
      <c r="AMN412" s="1"/>
      <c r="AMO412" s="1"/>
    </row>
    <row r="413" spans="1:1030" x14ac:dyDescent="0.2">
      <c r="A413" s="3" t="str">
        <f>CONCATENATE(B413,"_",C413)</f>
        <v>glr_human_5XEZ</v>
      </c>
      <c r="B413" s="3" t="s">
        <v>32</v>
      </c>
      <c r="C413" s="3" t="s">
        <v>1403</v>
      </c>
      <c r="D413" s="3" t="str">
        <f>IFERROR(MID(VLOOKUP($B413,Seqs!$A:$B,2,0),E413,1),"")</f>
        <v>Q</v>
      </c>
      <c r="E413" s="3">
        <v>131</v>
      </c>
      <c r="F413" s="3" t="str">
        <f>IFERROR(MID(VLOOKUP($B413,Seqs!$A:$B,2,0),G413,1),"")</f>
        <v>G</v>
      </c>
      <c r="G413" s="3">
        <v>164</v>
      </c>
      <c r="H413" s="3" t="str">
        <f>IFERROR(MID(VLOOKUP($B413,Seqs!$A:$B,2,0),I413,1),"")</f>
        <v>S</v>
      </c>
      <c r="I413" s="23">
        <v>167</v>
      </c>
      <c r="J413" s="3" t="str">
        <f>IFERROR(MID(VLOOKUP($B413,Seqs!$A:$B,2,0),K413,1),"")</f>
        <v>H</v>
      </c>
      <c r="K413" s="23">
        <v>170</v>
      </c>
      <c r="L413" s="3" t="str">
        <f>IFERROR(MID(VLOOKUP($B413,Seqs!$A:$B,2,0),M413,1),"")</f>
        <v>C</v>
      </c>
      <c r="M413" s="23">
        <v>171</v>
      </c>
      <c r="N413" s="3" t="str">
        <f>IFERROR(MID(VLOOKUP($B413,Seqs!$A:$B,2,0),O413,1),"")</f>
        <v>R</v>
      </c>
      <c r="O413" s="3">
        <v>201</v>
      </c>
      <c r="P413" s="3" t="str">
        <f>IFERROR(MID(VLOOKUP($B413,Seqs!$A:$B,2,0),Q413,1),"")</f>
        <v/>
      </c>
      <c r="Q413" s="3" t="s">
        <v>23</v>
      </c>
      <c r="R413" s="3" t="str">
        <f>IFERROR(MID(VLOOKUP($B413,Seqs!$A:$B,2,0),S413,1),"")</f>
        <v/>
      </c>
      <c r="S413" s="3" t="s">
        <v>23</v>
      </c>
      <c r="T413" s="3" t="str">
        <f>IFERROR(MID(VLOOKUP($B413,Seqs!$A:$B,2,0),U413,1),"")</f>
        <v>S</v>
      </c>
      <c r="U413" s="3">
        <v>217</v>
      </c>
      <c r="V413" s="3" t="str">
        <f>IFERROR(MID(VLOOKUP($B413,Seqs!$A:$B,2,0),W413,1),"")</f>
        <v>L</v>
      </c>
      <c r="W413" s="3">
        <v>255</v>
      </c>
      <c r="X413" s="3" t="str">
        <f>IFERROR(MID(VLOOKUP($B413,Seqs!$A:$B,2,0),Y413,1),"")</f>
        <v/>
      </c>
      <c r="Y413" s="3" t="s">
        <v>23</v>
      </c>
      <c r="Z413" s="3" t="str">
        <f>IFERROR(MID(VLOOKUP($B413,Seqs!$A:$B,2,0),AA413,1),"")</f>
        <v/>
      </c>
      <c r="AA413" s="3" t="s">
        <v>23</v>
      </c>
      <c r="AB413" s="3" t="str">
        <f>IFERROR(MID(VLOOKUP($B413,Seqs!$A:$B,2,0),AC413,1),"")</f>
        <v>E</v>
      </c>
      <c r="AC413" s="3">
        <v>260</v>
      </c>
      <c r="AD413" s="3" t="str">
        <f>IFERROR(MID(VLOOKUP($B413,Seqs!$A:$B,2,0),AE413,1),"")</f>
        <v>E</v>
      </c>
      <c r="AE413" s="3">
        <v>290</v>
      </c>
      <c r="AF413" s="3" t="str">
        <f>IFERROR(MID(VLOOKUP($B413,Seqs!$A:$B,2,0),AG413,1),"")</f>
        <v>C</v>
      </c>
      <c r="AG413" s="3">
        <v>294</v>
      </c>
      <c r="AH413" s="3" t="str">
        <f>IFERROR(MID(VLOOKUP($B413,Seqs!$A:$B,2,0),AI413,1),"")</f>
        <v>T</v>
      </c>
      <c r="AI413" s="3">
        <v>296</v>
      </c>
      <c r="AJ413" s="3" t="str">
        <f>IFERROR(MID(VLOOKUP($B413,Seqs!$A:$B,2,0),AK413,1),"")</f>
        <v>D</v>
      </c>
      <c r="AK413" s="3">
        <v>299</v>
      </c>
      <c r="AL413" s="3" t="str">
        <f>IFERROR(MID(VLOOKUP($B413,Seqs!$A:$B,2,0),AM413,1),"")</f>
        <v>R</v>
      </c>
      <c r="AM413" s="3">
        <v>334</v>
      </c>
      <c r="AN413" s="3" t="str">
        <f>IFERROR(MID(VLOOKUP($B413,Seqs!$A:$B,2,0),AO413,1),"")</f>
        <v>D</v>
      </c>
      <c r="AO413" s="3">
        <v>342</v>
      </c>
      <c r="AP413" s="3" t="str">
        <f>IFERROR(MID(VLOOKUP($B413,Seqs!$A:$B,2,0),AQ413,1),"")</f>
        <v>F</v>
      </c>
      <c r="AQ413" s="3">
        <v>367</v>
      </c>
      <c r="AR413" s="3" t="str">
        <f>IFERROR(MID(VLOOKUP($B413,Seqs!$A:$B,2,0),AS413,1),"")</f>
        <v>G</v>
      </c>
      <c r="AS413" s="3">
        <v>375</v>
      </c>
      <c r="AT413" s="3" t="str">
        <f>IFERROR(MID(VLOOKUP($B413,Seqs!$A:$B,2,0),AU413,1),"")</f>
        <v>L</v>
      </c>
      <c r="AU413" s="3">
        <v>403</v>
      </c>
      <c r="AV413" s="3" t="str">
        <f>IFERROR(MID(VLOOKUP($B413,Seqs!$A:$B,2,0),AW413,1),"")</f>
        <v>N</v>
      </c>
      <c r="AW413" s="3">
        <v>404</v>
      </c>
      <c r="AX413" s="3" t="str">
        <f>IFERROR(MID(VLOOKUP($B413,Seqs!$A:$B,2,0),AY413,1),"")</f>
        <v>W</v>
      </c>
      <c r="AY413" s="3">
        <v>415</v>
      </c>
      <c r="AZ413" s="77" t="str">
        <f>VLOOKUP(B413,Classification!A:D,2,0)</f>
        <v>B1</v>
      </c>
      <c r="BA413" s="94" t="str">
        <f>VLOOKUP(B413,Classification!A:D,4,0)</f>
        <v>Glucagonreceptorfamily</v>
      </c>
      <c r="BB413" s="27" t="b">
        <f t="shared" ref="BB413:BB428" si="1191">AND(E413&lt;G413,OR(G413&lt;I413,I413="-"),OR(I413&lt;K413,I413="-"),OR(K413&lt;M413,K413="-"),M413&lt;O413,OR(O413&lt;Q413,Q413="-"),OR(Q413&lt;S413,Q413="-"),OR(S413&lt;U413,S413="-"),U413&lt;W413,OR(W413&lt;Y413,Y413="-"),OR(Y413&lt;AA413,Y413="-"),OR(AA413&lt;AC413,AA413="-"),AC413&lt;AE413,OR(AE413&lt;AG413,AG413="-"),OR(AG413&lt;AI413,AG413="-"),OR(AI413&lt;AK413,AI413="-"),AK413&lt;AM413,AM413&lt;AO413,AO413&lt;AQ413,AQ413&lt;AS413,AS413&lt;AU413,OR(AU413&lt;AW413,AW413="-"),OR(AW413&lt;AY413,AW413="-"))</f>
        <v>1</v>
      </c>
      <c r="BC413" s="23">
        <f t="shared" ref="BC413:BC428" si="1192">_xlfn.AGGREGATE(9,6,CH413:CS413)-_xlfn.AGGREGATE(9,6,BV413:CG413)+12</f>
        <v>247</v>
      </c>
      <c r="BD413" s="4" t="s">
        <v>1370</v>
      </c>
      <c r="BE413" s="3" t="s">
        <v>1368</v>
      </c>
      <c r="BF413" s="118">
        <v>3</v>
      </c>
      <c r="BG413" s="49" t="s">
        <v>1275</v>
      </c>
      <c r="BH413" s="49" t="s">
        <v>1275</v>
      </c>
      <c r="BI413" s="1"/>
      <c r="BJ413" s="70" t="s">
        <v>1281</v>
      </c>
      <c r="BK413" s="57" t="s">
        <v>1281</v>
      </c>
      <c r="BL413" s="57" t="s">
        <v>1281</v>
      </c>
      <c r="BM413" s="57" t="s">
        <v>1281</v>
      </c>
      <c r="BN413" s="57" t="s">
        <v>1281</v>
      </c>
      <c r="BO413" s="57" t="s">
        <v>1281</v>
      </c>
      <c r="BP413" s="57" t="s">
        <v>1281</v>
      </c>
      <c r="BQ413" s="57" t="s">
        <v>1281</v>
      </c>
      <c r="BR413" s="57" t="s">
        <v>1281</v>
      </c>
      <c r="BS413" s="57" t="s">
        <v>1281</v>
      </c>
      <c r="BT413" s="57" t="s">
        <v>1281</v>
      </c>
      <c r="BU413" s="57" t="s">
        <v>1281</v>
      </c>
      <c r="BV413" s="70">
        <f>E413</f>
        <v>131</v>
      </c>
      <c r="BW413" s="71">
        <f>I413</f>
        <v>167</v>
      </c>
      <c r="BX413" s="72">
        <f>M413</f>
        <v>171</v>
      </c>
      <c r="BY413" s="71" t="str">
        <f>Q413</f>
        <v>-</v>
      </c>
      <c r="BZ413" s="72">
        <f>U413</f>
        <v>217</v>
      </c>
      <c r="CA413" s="71" t="str">
        <f>Y413</f>
        <v>-</v>
      </c>
      <c r="CB413" s="72">
        <f>AC413</f>
        <v>260</v>
      </c>
      <c r="CC413" s="71">
        <f>AG413</f>
        <v>294</v>
      </c>
      <c r="CD413" s="72">
        <f>AK413</f>
        <v>299</v>
      </c>
      <c r="CE413" s="71">
        <f>AO413</f>
        <v>342</v>
      </c>
      <c r="CF413" s="72">
        <f>AS413</f>
        <v>375</v>
      </c>
      <c r="CG413" s="71">
        <f>AW413</f>
        <v>404</v>
      </c>
      <c r="CH413" s="70">
        <f>G413</f>
        <v>164</v>
      </c>
      <c r="CI413" s="71">
        <f>K413</f>
        <v>170</v>
      </c>
      <c r="CJ413" s="72">
        <f>O413</f>
        <v>201</v>
      </c>
      <c r="CK413" s="72" t="str">
        <f>S413</f>
        <v>-</v>
      </c>
      <c r="CL413" s="72">
        <f>W413</f>
        <v>255</v>
      </c>
      <c r="CM413" s="72" t="str">
        <f>AA413</f>
        <v>-</v>
      </c>
      <c r="CN413" s="72">
        <f>AE413</f>
        <v>290</v>
      </c>
      <c r="CO413" s="72">
        <f>AI413</f>
        <v>296</v>
      </c>
      <c r="CP413" s="72">
        <f>AM413</f>
        <v>334</v>
      </c>
      <c r="CQ413" s="72">
        <f>AQ413</f>
        <v>367</v>
      </c>
      <c r="CR413" s="72">
        <f>AU413</f>
        <v>403</v>
      </c>
      <c r="CS413" s="72">
        <f>AY413</f>
        <v>415</v>
      </c>
      <c r="CT413" s="23">
        <f>M413-K413</f>
        <v>1</v>
      </c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  <c r="OA413" s="1"/>
      <c r="OB413" s="1"/>
      <c r="OC413" s="1"/>
      <c r="OD413" s="1"/>
      <c r="OE413" s="1"/>
      <c r="OF413" s="1"/>
      <c r="OG413" s="1"/>
      <c r="OH413" s="1"/>
      <c r="OI413" s="1"/>
      <c r="OJ413" s="1"/>
      <c r="OK413" s="1"/>
      <c r="OL413" s="1"/>
      <c r="OM413" s="1"/>
      <c r="ON413" s="1"/>
      <c r="OO413" s="1"/>
      <c r="OP413" s="1"/>
      <c r="OQ413" s="1"/>
      <c r="OR413" s="1"/>
      <c r="OS413" s="1"/>
      <c r="OT413" s="1"/>
      <c r="OU413" s="1"/>
      <c r="OV413" s="1"/>
      <c r="OW413" s="1"/>
      <c r="OX413" s="1"/>
      <c r="OY413" s="1"/>
      <c r="OZ413" s="1"/>
      <c r="PA413" s="1"/>
      <c r="PB413" s="1"/>
      <c r="PC413" s="1"/>
      <c r="PD413" s="1"/>
      <c r="PE413" s="1"/>
      <c r="PF413" s="1"/>
      <c r="PG413" s="1"/>
      <c r="PH413" s="1"/>
      <c r="PI413" s="1"/>
      <c r="PJ413" s="1"/>
      <c r="PK413" s="1"/>
      <c r="PL413" s="1"/>
      <c r="PM413" s="1"/>
      <c r="PN413" s="1"/>
      <c r="PO413" s="1"/>
      <c r="PP413" s="1"/>
      <c r="PQ413" s="1"/>
      <c r="PR413" s="1"/>
      <c r="PS413" s="1"/>
      <c r="PT413" s="1"/>
      <c r="PU413" s="1"/>
      <c r="PV413" s="1"/>
      <c r="PW413" s="1"/>
      <c r="PX413" s="1"/>
      <c r="PY413" s="1"/>
      <c r="PZ413" s="1"/>
      <c r="QA413" s="1"/>
      <c r="QB413" s="1"/>
      <c r="QC413" s="1"/>
      <c r="QD413" s="1"/>
      <c r="QE413" s="1"/>
      <c r="QF413" s="1"/>
      <c r="QG413" s="1"/>
      <c r="QH413" s="1"/>
      <c r="QI413" s="1"/>
      <c r="QJ413" s="1"/>
      <c r="QK413" s="1"/>
      <c r="QL413" s="1"/>
      <c r="QM413" s="1"/>
      <c r="QN413" s="1"/>
      <c r="QO413" s="1"/>
      <c r="QP413" s="1"/>
      <c r="QQ413" s="1"/>
      <c r="QR413" s="1"/>
      <c r="QS413" s="1"/>
      <c r="QT413" s="1"/>
      <c r="QU413" s="1"/>
      <c r="QV413" s="1"/>
      <c r="QW413" s="1"/>
      <c r="QX413" s="1"/>
      <c r="QY413" s="1"/>
      <c r="QZ413" s="1"/>
      <c r="RA413" s="1"/>
      <c r="RB413" s="1"/>
      <c r="RC413" s="1"/>
      <c r="RD413" s="1"/>
      <c r="RE413" s="1"/>
      <c r="RF413" s="1"/>
      <c r="RG413" s="1"/>
      <c r="RH413" s="1"/>
      <c r="RI413" s="1"/>
      <c r="RJ413" s="1"/>
      <c r="RK413" s="1"/>
      <c r="RL413" s="1"/>
      <c r="RM413" s="1"/>
      <c r="RN413" s="1"/>
      <c r="RO413" s="1"/>
      <c r="RP413" s="1"/>
      <c r="RQ413" s="1"/>
      <c r="RR413" s="1"/>
      <c r="RS413" s="1"/>
      <c r="RT413" s="1"/>
      <c r="RU413" s="1"/>
      <c r="RV413" s="1"/>
      <c r="RW413" s="1"/>
      <c r="RX413" s="1"/>
      <c r="RY413" s="1"/>
      <c r="RZ413" s="1"/>
      <c r="SA413" s="1"/>
      <c r="SB413" s="1"/>
      <c r="SC413" s="1"/>
      <c r="SD413" s="1"/>
      <c r="SE413" s="1"/>
      <c r="SF413" s="1"/>
      <c r="SG413" s="1"/>
      <c r="SH413" s="1"/>
      <c r="SI413" s="1"/>
      <c r="SJ413" s="1"/>
      <c r="SK413" s="1"/>
      <c r="SL413" s="1"/>
      <c r="SM413" s="1"/>
      <c r="SN413" s="1"/>
      <c r="SO413" s="1"/>
      <c r="SP413" s="1"/>
      <c r="SQ413" s="1"/>
      <c r="SR413" s="1"/>
      <c r="SS413" s="1"/>
      <c r="ST413" s="1"/>
      <c r="SU413" s="1"/>
      <c r="SV413" s="1"/>
      <c r="SW413" s="1"/>
      <c r="SX413" s="1"/>
      <c r="SY413" s="1"/>
      <c r="SZ413" s="1"/>
      <c r="TA413" s="1"/>
      <c r="TB413" s="1"/>
      <c r="TC413" s="1"/>
      <c r="TD413" s="1"/>
      <c r="TE413" s="1"/>
      <c r="TF413" s="1"/>
      <c r="TG413" s="1"/>
      <c r="TH413" s="1"/>
      <c r="TI413" s="1"/>
      <c r="TJ413" s="1"/>
      <c r="TK413" s="1"/>
      <c r="TL413" s="1"/>
      <c r="TM413" s="1"/>
      <c r="TN413" s="1"/>
      <c r="TO413" s="1"/>
      <c r="TP413" s="1"/>
      <c r="TQ413" s="1"/>
      <c r="TR413" s="1"/>
      <c r="TS413" s="1"/>
      <c r="TT413" s="1"/>
      <c r="TU413" s="1"/>
      <c r="TV413" s="1"/>
      <c r="TW413" s="1"/>
      <c r="TX413" s="1"/>
      <c r="TY413" s="1"/>
      <c r="TZ413" s="1"/>
      <c r="UA413" s="1"/>
      <c r="UB413" s="1"/>
      <c r="UC413" s="1"/>
      <c r="UD413" s="1"/>
      <c r="UE413" s="1"/>
      <c r="UF413" s="1"/>
      <c r="UG413" s="1"/>
      <c r="UH413" s="1"/>
      <c r="UI413" s="1"/>
      <c r="UJ413" s="1"/>
      <c r="UK413" s="1"/>
      <c r="UL413" s="1"/>
      <c r="UM413" s="1"/>
      <c r="UN413" s="1"/>
      <c r="UO413" s="1"/>
      <c r="UP413" s="1"/>
      <c r="UQ413" s="1"/>
      <c r="UR413" s="1"/>
      <c r="US413" s="1"/>
      <c r="UT413" s="1"/>
      <c r="UU413" s="1"/>
      <c r="UV413" s="1"/>
      <c r="UW413" s="1"/>
      <c r="UX413" s="1"/>
      <c r="UY413" s="1"/>
      <c r="UZ413" s="1"/>
      <c r="VA413" s="1"/>
      <c r="VB413" s="1"/>
      <c r="VC413" s="1"/>
      <c r="VD413" s="1"/>
      <c r="VE413" s="1"/>
      <c r="VF413" s="1"/>
      <c r="VG413" s="1"/>
      <c r="VH413" s="1"/>
      <c r="VI413" s="1"/>
      <c r="VJ413" s="1"/>
      <c r="VK413" s="1"/>
      <c r="VL413" s="1"/>
      <c r="VM413" s="1"/>
      <c r="VN413" s="1"/>
      <c r="VO413" s="1"/>
      <c r="VP413" s="1"/>
      <c r="VQ413" s="1"/>
      <c r="VR413" s="1"/>
      <c r="VS413" s="1"/>
      <c r="VT413" s="1"/>
      <c r="VU413" s="1"/>
      <c r="VV413" s="1"/>
      <c r="VW413" s="1"/>
      <c r="VX413" s="1"/>
      <c r="VY413" s="1"/>
      <c r="VZ413" s="1"/>
      <c r="WA413" s="1"/>
      <c r="WB413" s="1"/>
      <c r="WC413" s="1"/>
      <c r="WD413" s="1"/>
      <c r="WE413" s="1"/>
      <c r="WF413" s="1"/>
      <c r="WG413" s="1"/>
      <c r="WH413" s="1"/>
      <c r="WI413" s="1"/>
      <c r="WJ413" s="1"/>
      <c r="WK413" s="1"/>
      <c r="WL413" s="1"/>
      <c r="WM413" s="1"/>
      <c r="WN413" s="1"/>
      <c r="WO413" s="1"/>
      <c r="WP413" s="1"/>
      <c r="WQ413" s="1"/>
      <c r="WR413" s="1"/>
      <c r="WS413" s="1"/>
      <c r="WT413" s="1"/>
      <c r="WU413" s="1"/>
      <c r="WV413" s="1"/>
      <c r="WW413" s="1"/>
      <c r="WX413" s="1"/>
      <c r="WY413" s="1"/>
      <c r="WZ413" s="1"/>
      <c r="XA413" s="1"/>
      <c r="XB413" s="1"/>
      <c r="XC413" s="1"/>
      <c r="XD413" s="1"/>
      <c r="XE413" s="1"/>
      <c r="XF413" s="1"/>
      <c r="XG413" s="1"/>
      <c r="XH413" s="1"/>
      <c r="XI413" s="1"/>
      <c r="XJ413" s="1"/>
      <c r="XK413" s="1"/>
      <c r="XL413" s="1"/>
      <c r="XM413" s="1"/>
      <c r="XN413" s="1"/>
      <c r="XO413" s="1"/>
      <c r="XP413" s="1"/>
      <c r="XQ413" s="1"/>
      <c r="XR413" s="1"/>
      <c r="XS413" s="1"/>
      <c r="XT413" s="1"/>
      <c r="XU413" s="1"/>
      <c r="XV413" s="1"/>
      <c r="XW413" s="1"/>
      <c r="XX413" s="1"/>
      <c r="XY413" s="1"/>
      <c r="XZ413" s="1"/>
      <c r="YA413" s="1"/>
      <c r="YB413" s="1"/>
      <c r="YC413" s="1"/>
      <c r="YD413" s="1"/>
      <c r="YE413" s="1"/>
      <c r="YF413" s="1"/>
      <c r="YG413" s="1"/>
      <c r="YH413" s="1"/>
      <c r="YI413" s="1"/>
      <c r="YJ413" s="1"/>
      <c r="YK413" s="1"/>
      <c r="YL413" s="1"/>
      <c r="YM413" s="1"/>
      <c r="YN413" s="1"/>
      <c r="YO413" s="1"/>
      <c r="YP413" s="1"/>
      <c r="YQ413" s="1"/>
      <c r="YR413" s="1"/>
      <c r="YS413" s="1"/>
      <c r="YT413" s="1"/>
      <c r="YU413" s="1"/>
      <c r="YV413" s="1"/>
      <c r="YW413" s="1"/>
      <c r="YX413" s="1"/>
      <c r="YY413" s="1"/>
      <c r="YZ413" s="1"/>
      <c r="ZA413" s="1"/>
      <c r="ZB413" s="1"/>
      <c r="ZC413" s="1"/>
      <c r="ZD413" s="1"/>
      <c r="ZE413" s="1"/>
      <c r="ZF413" s="1"/>
      <c r="ZG413" s="1"/>
      <c r="ZH413" s="1"/>
      <c r="ZI413" s="1"/>
      <c r="ZJ413" s="1"/>
      <c r="ZK413" s="1"/>
      <c r="ZL413" s="1"/>
      <c r="ZM413" s="1"/>
      <c r="ZN413" s="1"/>
      <c r="ZO413" s="1"/>
      <c r="ZP413" s="1"/>
      <c r="ZQ413" s="1"/>
      <c r="ZR413" s="1"/>
      <c r="ZS413" s="1"/>
      <c r="ZT413" s="1"/>
      <c r="ZU413" s="1"/>
      <c r="ZV413" s="1"/>
      <c r="ZW413" s="1"/>
      <c r="ZX413" s="1"/>
      <c r="ZY413" s="1"/>
      <c r="ZZ413" s="1"/>
      <c r="AAA413" s="1"/>
      <c r="AAB413" s="1"/>
      <c r="AAC413" s="1"/>
      <c r="AAD413" s="1"/>
      <c r="AAE413" s="1"/>
      <c r="AAF413" s="1"/>
      <c r="AAG413" s="1"/>
      <c r="AAH413" s="1"/>
      <c r="AAI413" s="1"/>
      <c r="AAJ413" s="1"/>
      <c r="AAK413" s="1"/>
      <c r="AAL413" s="1"/>
      <c r="AAM413" s="1"/>
      <c r="AAN413" s="1"/>
      <c r="AAO413" s="1"/>
      <c r="AAP413" s="1"/>
      <c r="AAQ413" s="1"/>
      <c r="AAR413" s="1"/>
      <c r="AAS413" s="1"/>
      <c r="AAT413" s="1"/>
      <c r="AAU413" s="1"/>
      <c r="AAV413" s="1"/>
      <c r="AAW413" s="1"/>
      <c r="AAX413" s="1"/>
      <c r="AAY413" s="1"/>
      <c r="AAZ413" s="1"/>
      <c r="ABA413" s="1"/>
      <c r="ABB413" s="1"/>
      <c r="ABC413" s="1"/>
      <c r="ABD413" s="1"/>
      <c r="ABE413" s="1"/>
      <c r="ABF413" s="1"/>
      <c r="ABG413" s="1"/>
      <c r="ABH413" s="1"/>
      <c r="ABI413" s="1"/>
      <c r="ABJ413" s="1"/>
      <c r="ABK413" s="1"/>
      <c r="ABL413" s="1"/>
      <c r="ABM413" s="1"/>
      <c r="ABN413" s="1"/>
      <c r="ABO413" s="1"/>
      <c r="ABP413" s="1"/>
      <c r="ABQ413" s="1"/>
      <c r="ABR413" s="1"/>
      <c r="ABS413" s="1"/>
      <c r="ABT413" s="1"/>
      <c r="ABU413" s="1"/>
      <c r="ABV413" s="1"/>
      <c r="ABW413" s="1"/>
      <c r="ABX413" s="1"/>
      <c r="ABY413" s="1"/>
      <c r="ABZ413" s="1"/>
      <c r="ACA413" s="1"/>
      <c r="ACB413" s="1"/>
      <c r="ACC413" s="1"/>
      <c r="ACD413" s="1"/>
      <c r="ACE413" s="1"/>
      <c r="ACF413" s="1"/>
      <c r="ACG413" s="1"/>
      <c r="ACH413" s="1"/>
      <c r="ACI413" s="1"/>
      <c r="ACJ413" s="1"/>
      <c r="ACK413" s="1"/>
      <c r="ACL413" s="1"/>
      <c r="ACM413" s="1"/>
      <c r="ACN413" s="1"/>
      <c r="ACO413" s="1"/>
      <c r="ACP413" s="1"/>
      <c r="ACQ413" s="1"/>
      <c r="ACR413" s="1"/>
      <c r="ACS413" s="1"/>
      <c r="ACT413" s="1"/>
      <c r="ACU413" s="1"/>
      <c r="ACV413" s="1"/>
      <c r="ACW413" s="1"/>
      <c r="ACX413" s="1"/>
      <c r="ACY413" s="1"/>
      <c r="ACZ413" s="1"/>
      <c r="ADA413" s="1"/>
      <c r="ADB413" s="1"/>
      <c r="ADC413" s="1"/>
      <c r="ADD413" s="1"/>
      <c r="ADE413" s="1"/>
      <c r="ADF413" s="1"/>
      <c r="ADG413" s="1"/>
      <c r="ADH413" s="1"/>
      <c r="ADI413" s="1"/>
      <c r="ADJ413" s="1"/>
      <c r="ADK413" s="1"/>
      <c r="ADL413" s="1"/>
      <c r="ADM413" s="1"/>
      <c r="ADN413" s="1"/>
      <c r="ADO413" s="1"/>
      <c r="ADP413" s="1"/>
      <c r="ADQ413" s="1"/>
      <c r="ADR413" s="1"/>
      <c r="ADS413" s="1"/>
      <c r="ADT413" s="1"/>
      <c r="ADU413" s="1"/>
      <c r="ADV413" s="1"/>
      <c r="ADW413" s="1"/>
      <c r="ADX413" s="1"/>
      <c r="ADY413" s="1"/>
      <c r="ADZ413" s="1"/>
      <c r="AEA413" s="1"/>
      <c r="AEB413" s="1"/>
      <c r="AEC413" s="1"/>
      <c r="AED413" s="1"/>
      <c r="AEE413" s="1"/>
      <c r="AEF413" s="1"/>
      <c r="AEG413" s="1"/>
      <c r="AEH413" s="1"/>
      <c r="AEI413" s="1"/>
      <c r="AEJ413" s="1"/>
      <c r="AEK413" s="1"/>
      <c r="AEL413" s="1"/>
      <c r="AEM413" s="1"/>
      <c r="AEN413" s="1"/>
      <c r="AEO413" s="1"/>
      <c r="AEP413" s="1"/>
      <c r="AEQ413" s="1"/>
      <c r="AER413" s="1"/>
      <c r="AES413" s="1"/>
      <c r="AET413" s="1"/>
      <c r="AEU413" s="1"/>
      <c r="AEV413" s="1"/>
      <c r="AEW413" s="1"/>
      <c r="AEX413" s="1"/>
      <c r="AEY413" s="1"/>
      <c r="AEZ413" s="1"/>
      <c r="AFA413" s="1"/>
      <c r="AFB413" s="1"/>
      <c r="AFC413" s="1"/>
      <c r="AFD413" s="1"/>
      <c r="AFE413" s="1"/>
      <c r="AFF413" s="1"/>
      <c r="AFG413" s="1"/>
      <c r="AFH413" s="1"/>
      <c r="AFI413" s="1"/>
      <c r="AFJ413" s="1"/>
      <c r="AFK413" s="1"/>
      <c r="AFL413" s="1"/>
      <c r="AFM413" s="1"/>
      <c r="AFN413" s="1"/>
      <c r="AFO413" s="1"/>
      <c r="AFP413" s="1"/>
      <c r="AFQ413" s="1"/>
      <c r="AFR413" s="1"/>
      <c r="AFS413" s="1"/>
      <c r="AFT413" s="1"/>
      <c r="AFU413" s="1"/>
      <c r="AFV413" s="1"/>
      <c r="AFW413" s="1"/>
      <c r="AFX413" s="1"/>
      <c r="AFY413" s="1"/>
      <c r="AFZ413" s="1"/>
      <c r="AGA413" s="1"/>
      <c r="AGB413" s="1"/>
      <c r="AGC413" s="1"/>
      <c r="AGD413" s="1"/>
      <c r="AGE413" s="1"/>
      <c r="AGF413" s="1"/>
      <c r="AGG413" s="1"/>
      <c r="AGH413" s="1"/>
      <c r="AGI413" s="1"/>
      <c r="AGJ413" s="1"/>
      <c r="AGK413" s="1"/>
      <c r="AGL413" s="1"/>
      <c r="AGM413" s="1"/>
      <c r="AGN413" s="1"/>
      <c r="AGO413" s="1"/>
      <c r="AGP413" s="1"/>
      <c r="AGQ413" s="1"/>
      <c r="AGR413" s="1"/>
      <c r="AGS413" s="1"/>
      <c r="AGT413" s="1"/>
      <c r="AGU413" s="1"/>
      <c r="AGV413" s="1"/>
      <c r="AGW413" s="1"/>
      <c r="AGX413" s="1"/>
      <c r="AGY413" s="1"/>
      <c r="AGZ413" s="1"/>
      <c r="AHA413" s="1"/>
      <c r="AHB413" s="1"/>
      <c r="AHC413" s="1"/>
      <c r="AHD413" s="1"/>
      <c r="AHE413" s="1"/>
      <c r="AHF413" s="1"/>
      <c r="AHG413" s="1"/>
      <c r="AHH413" s="1"/>
      <c r="AHI413" s="1"/>
      <c r="AHJ413" s="1"/>
      <c r="AHK413" s="1"/>
      <c r="AHL413" s="1"/>
      <c r="AHM413" s="1"/>
      <c r="AHN413" s="1"/>
      <c r="AHO413" s="1"/>
      <c r="AHP413" s="1"/>
      <c r="AHQ413" s="1"/>
      <c r="AHR413" s="1"/>
      <c r="AHS413" s="1"/>
      <c r="AHT413" s="1"/>
      <c r="AHU413" s="1"/>
      <c r="AHV413" s="1"/>
      <c r="AHW413" s="1"/>
      <c r="AHX413" s="1"/>
      <c r="AHY413" s="1"/>
      <c r="AHZ413" s="1"/>
      <c r="AIA413" s="1"/>
      <c r="AIB413" s="1"/>
      <c r="AIC413" s="1"/>
      <c r="AID413" s="1"/>
      <c r="AIE413" s="1"/>
      <c r="AIF413" s="1"/>
      <c r="AIG413" s="1"/>
      <c r="AIH413" s="1"/>
      <c r="AII413" s="1"/>
      <c r="AIJ413" s="1"/>
      <c r="AIK413" s="1"/>
      <c r="AIL413" s="1"/>
      <c r="AIM413" s="1"/>
      <c r="AIN413" s="1"/>
      <c r="AIO413" s="1"/>
      <c r="AIP413" s="1"/>
      <c r="AIQ413" s="1"/>
      <c r="AIR413" s="1"/>
      <c r="AIS413" s="1"/>
      <c r="AIT413" s="1"/>
      <c r="AIU413" s="1"/>
      <c r="AIV413" s="1"/>
      <c r="AIW413" s="1"/>
      <c r="AIX413" s="1"/>
      <c r="AIY413" s="1"/>
      <c r="AIZ413" s="1"/>
      <c r="AJA413" s="1"/>
      <c r="AJB413" s="1"/>
      <c r="AJC413" s="1"/>
      <c r="AJD413" s="1"/>
      <c r="AJE413" s="1"/>
      <c r="AJF413" s="1"/>
      <c r="AJG413" s="1"/>
      <c r="AJH413" s="1"/>
      <c r="AJI413" s="1"/>
      <c r="AJJ413" s="1"/>
      <c r="AJK413" s="1"/>
      <c r="AJL413" s="1"/>
      <c r="AJM413" s="1"/>
      <c r="AJN413" s="1"/>
      <c r="AJO413" s="1"/>
      <c r="AJP413" s="1"/>
      <c r="AJQ413" s="1"/>
      <c r="AJR413" s="1"/>
      <c r="AJS413" s="1"/>
      <c r="AJT413" s="1"/>
      <c r="AJU413" s="1"/>
      <c r="AJV413" s="1"/>
      <c r="AJW413" s="1"/>
      <c r="AJX413" s="1"/>
      <c r="AJY413" s="1"/>
      <c r="AJZ413" s="1"/>
      <c r="AKA413" s="1"/>
      <c r="AKB413" s="1"/>
      <c r="AKC413" s="1"/>
      <c r="AKD413" s="1"/>
      <c r="AKE413" s="1"/>
      <c r="AKF413" s="1"/>
      <c r="AKG413" s="1"/>
      <c r="AKH413" s="1"/>
      <c r="AKI413" s="1"/>
      <c r="AKJ413" s="1"/>
      <c r="AKK413" s="1"/>
      <c r="AKL413" s="1"/>
      <c r="AKM413" s="1"/>
      <c r="AKN413" s="1"/>
      <c r="AKO413" s="1"/>
      <c r="AKP413" s="1"/>
      <c r="AKQ413" s="1"/>
      <c r="AKR413" s="1"/>
      <c r="AKS413" s="1"/>
      <c r="AKT413" s="1"/>
      <c r="AKU413" s="1"/>
      <c r="AKV413" s="1"/>
      <c r="AKW413" s="1"/>
      <c r="AKX413" s="1"/>
      <c r="AKY413" s="1"/>
      <c r="AKZ413" s="1"/>
      <c r="ALA413" s="1"/>
      <c r="ALB413" s="1"/>
      <c r="ALC413" s="1"/>
      <c r="ALD413" s="1"/>
      <c r="ALE413" s="1"/>
      <c r="ALF413" s="1"/>
      <c r="ALG413" s="1"/>
      <c r="ALH413" s="1"/>
      <c r="ALI413" s="1"/>
      <c r="ALJ413" s="1"/>
      <c r="ALK413" s="1"/>
      <c r="ALL413" s="1"/>
      <c r="ALM413" s="1"/>
      <c r="ALN413" s="1"/>
      <c r="ALO413" s="1"/>
      <c r="ALP413" s="1"/>
      <c r="ALQ413" s="1"/>
      <c r="ALR413" s="1"/>
      <c r="ALS413" s="1"/>
      <c r="ALT413" s="1"/>
      <c r="ALU413" s="1"/>
      <c r="ALV413" s="1"/>
      <c r="ALW413" s="1"/>
      <c r="ALX413" s="1"/>
      <c r="ALY413" s="1"/>
      <c r="ALZ413" s="1"/>
      <c r="AMA413" s="1"/>
      <c r="AMB413" s="1"/>
      <c r="AMC413" s="1"/>
      <c r="AMD413" s="1"/>
      <c r="AME413" s="1"/>
      <c r="AMF413" s="1"/>
      <c r="AMG413" s="1"/>
      <c r="AMH413" s="1"/>
      <c r="AMI413" s="1"/>
      <c r="AMJ413" s="1"/>
      <c r="AMK413" s="1"/>
      <c r="AML413" s="1"/>
      <c r="AMM413" s="1"/>
      <c r="AMN413" s="1"/>
      <c r="AMO413" s="1"/>
    </row>
    <row r="414" spans="1:1030" x14ac:dyDescent="0.2">
      <c r="A414" s="3" t="str">
        <f>CONCATENATE(B414,"_",C414)</f>
        <v>glr_human_5XF1</v>
      </c>
      <c r="B414" s="3" t="s">
        <v>32</v>
      </c>
      <c r="C414" s="3" t="s">
        <v>1404</v>
      </c>
      <c r="D414" s="3" t="str">
        <f>IFERROR(MID(VLOOKUP($B414,Seqs!$A:$B,2,0),E414,1),"")</f>
        <v>Q</v>
      </c>
      <c r="E414" s="3">
        <v>131</v>
      </c>
      <c r="F414" s="3" t="str">
        <f>IFERROR(MID(VLOOKUP($B414,Seqs!$A:$B,2,0),G414,1),"")</f>
        <v>L</v>
      </c>
      <c r="G414" s="3">
        <v>166</v>
      </c>
      <c r="H414" s="3" t="str">
        <f>IFERROR(MID(VLOOKUP($B414,Seqs!$A:$B,2,0),I414,1),"")</f>
        <v>S</v>
      </c>
      <c r="I414" s="23">
        <v>167</v>
      </c>
      <c r="J414" s="3" t="str">
        <f>IFERROR(MID(VLOOKUP($B414,Seqs!$A:$B,2,0),K414,1),"")</f>
        <v>H</v>
      </c>
      <c r="K414" s="23">
        <v>170</v>
      </c>
      <c r="L414" s="3" t="str">
        <f>IFERROR(MID(VLOOKUP($B414,Seqs!$A:$B,2,0),M414,1),"")</f>
        <v>N</v>
      </c>
      <c r="M414" s="23">
        <v>174</v>
      </c>
      <c r="N414" s="3" t="str">
        <f>IFERROR(MID(VLOOKUP($B414,Seqs!$A:$B,2,0),O414,1),"")</f>
        <v>R</v>
      </c>
      <c r="O414" s="3">
        <v>201</v>
      </c>
      <c r="P414" s="3" t="str">
        <f>IFERROR(MID(VLOOKUP($B414,Seqs!$A:$B,2,0),Q414,1),"")</f>
        <v/>
      </c>
      <c r="Q414" s="3" t="s">
        <v>23</v>
      </c>
      <c r="R414" s="3" t="str">
        <f>IFERROR(MID(VLOOKUP($B414,Seqs!$A:$B,2,0),S414,1),"")</f>
        <v/>
      </c>
      <c r="S414" s="3" t="s">
        <v>23</v>
      </c>
      <c r="T414" s="3" t="str">
        <f>IFERROR(MID(VLOOKUP($B414,Seqs!$A:$B,2,0),U414,1),"")</f>
        <v>S</v>
      </c>
      <c r="U414" s="3">
        <v>217</v>
      </c>
      <c r="V414" s="3" t="str">
        <f>IFERROR(MID(VLOOKUP($B414,Seqs!$A:$B,2,0),W414,1),"")</f>
        <v>L</v>
      </c>
      <c r="W414" s="3">
        <v>255</v>
      </c>
      <c r="X414" s="3" t="str">
        <f>IFERROR(MID(VLOOKUP($B414,Seqs!$A:$B,2,0),Y414,1),"")</f>
        <v/>
      </c>
      <c r="Y414" s="3" t="s">
        <v>23</v>
      </c>
      <c r="Z414" s="3" t="str">
        <f>IFERROR(MID(VLOOKUP($B414,Seqs!$A:$B,2,0),AA414,1),"")</f>
        <v/>
      </c>
      <c r="AA414" s="3" t="s">
        <v>23</v>
      </c>
      <c r="AB414" s="3" t="str">
        <f>IFERROR(MID(VLOOKUP($B414,Seqs!$A:$B,2,0),AC414,1),"")</f>
        <v>R</v>
      </c>
      <c r="AC414" s="3">
        <v>261</v>
      </c>
      <c r="AD414" s="3" t="str">
        <f>IFERROR(MID(VLOOKUP($B414,Seqs!$A:$B,2,0),AE414,1),"")</f>
        <v>F</v>
      </c>
      <c r="AE414" s="3">
        <v>289</v>
      </c>
      <c r="AF414" s="3" t="str">
        <f>IFERROR(MID(VLOOKUP($B414,Seqs!$A:$B,2,0),AG414,1),"")</f>
        <v>C</v>
      </c>
      <c r="AG414" s="3">
        <v>294</v>
      </c>
      <c r="AH414" s="3" t="str">
        <f>IFERROR(MID(VLOOKUP($B414,Seqs!$A:$B,2,0),AI414,1),"")</f>
        <v>T</v>
      </c>
      <c r="AI414" s="3">
        <v>296</v>
      </c>
      <c r="AJ414" s="3" t="str">
        <f>IFERROR(MID(VLOOKUP($B414,Seqs!$A:$B,2,0),AK414,1),"")</f>
        <v>D</v>
      </c>
      <c r="AK414" s="3">
        <v>299</v>
      </c>
      <c r="AL414" s="3" t="str">
        <f>IFERROR(MID(VLOOKUP($B414,Seqs!$A:$B,2,0),AM414,1),"")</f>
        <v>L</v>
      </c>
      <c r="AM414" s="3">
        <v>333</v>
      </c>
      <c r="AN414" s="3" t="str">
        <f>IFERROR(MID(VLOOKUP($B414,Seqs!$A:$B,2,0),AO414,1),"")</f>
        <v>D</v>
      </c>
      <c r="AO414" s="3">
        <v>342</v>
      </c>
      <c r="AP414" s="3" t="str">
        <f>IFERROR(MID(VLOOKUP($B414,Seqs!$A:$B,2,0),AQ414,1),"")</f>
        <v>V</v>
      </c>
      <c r="AQ414" s="3">
        <v>368</v>
      </c>
      <c r="AR414" s="3" t="str">
        <f>IFERROR(MID(VLOOKUP($B414,Seqs!$A:$B,2,0),AS414,1),"")</f>
        <v>L</v>
      </c>
      <c r="AS414" s="3">
        <v>377</v>
      </c>
      <c r="AT414" s="3" t="str">
        <f>IFERROR(MID(VLOOKUP($B414,Seqs!$A:$B,2,0),AU414,1),"")</f>
        <v>L</v>
      </c>
      <c r="AU414" s="3">
        <v>403</v>
      </c>
      <c r="AV414" s="3" t="str">
        <f>IFERROR(MID(VLOOKUP($B414,Seqs!$A:$B,2,0),AW414,1),"")</f>
        <v>N</v>
      </c>
      <c r="AW414" s="3">
        <v>404</v>
      </c>
      <c r="AX414" s="3" t="str">
        <f>IFERROR(MID(VLOOKUP($B414,Seqs!$A:$B,2,0),AY414,1),"")</f>
        <v>W</v>
      </c>
      <c r="AY414" s="3">
        <v>415</v>
      </c>
      <c r="AZ414" s="77" t="str">
        <f>VLOOKUP(B414,Classification!A:D,2,0)</f>
        <v>B1</v>
      </c>
      <c r="BA414" s="94" t="str">
        <f>VLOOKUP(B414,Classification!A:D,4,0)</f>
        <v>Glucagonreceptorfamily</v>
      </c>
      <c r="BB414" s="27" t="b">
        <f t="shared" si="1191"/>
        <v>1</v>
      </c>
      <c r="BC414" s="23">
        <f t="shared" si="1192"/>
        <v>242</v>
      </c>
      <c r="BD414" s="4" t="s">
        <v>23</v>
      </c>
      <c r="BE414" s="3" t="s">
        <v>1368</v>
      </c>
      <c r="BF414" s="118">
        <v>3.19</v>
      </c>
      <c r="BG414" s="49" t="s">
        <v>1275</v>
      </c>
      <c r="BH414" s="49" t="s">
        <v>1275</v>
      </c>
      <c r="BI414" s="1"/>
      <c r="BJ414" s="70" t="s">
        <v>1281</v>
      </c>
      <c r="BK414" s="57" t="s">
        <v>1281</v>
      </c>
      <c r="BL414" s="57" t="s">
        <v>1281</v>
      </c>
      <c r="BM414" s="57" t="s">
        <v>1281</v>
      </c>
      <c r="BN414" s="57" t="s">
        <v>1281</v>
      </c>
      <c r="BO414" s="57" t="s">
        <v>1281</v>
      </c>
      <c r="BP414" s="57" t="s">
        <v>1281</v>
      </c>
      <c r="BQ414" s="57" t="s">
        <v>1281</v>
      </c>
      <c r="BR414" s="57" t="s">
        <v>1281</v>
      </c>
      <c r="BS414" s="57" t="s">
        <v>1281</v>
      </c>
      <c r="BT414" s="57" t="s">
        <v>1281</v>
      </c>
      <c r="BU414" s="57" t="s">
        <v>1281</v>
      </c>
      <c r="BV414" s="70">
        <f>E414</f>
        <v>131</v>
      </c>
      <c r="BW414" s="71">
        <f>I414</f>
        <v>167</v>
      </c>
      <c r="BX414" s="72">
        <f>M414</f>
        <v>174</v>
      </c>
      <c r="BY414" s="71" t="str">
        <f>Q414</f>
        <v>-</v>
      </c>
      <c r="BZ414" s="72">
        <f>U414</f>
        <v>217</v>
      </c>
      <c r="CA414" s="71" t="str">
        <f>Y414</f>
        <v>-</v>
      </c>
      <c r="CB414" s="72">
        <f>AC414</f>
        <v>261</v>
      </c>
      <c r="CC414" s="71">
        <f>AG414</f>
        <v>294</v>
      </c>
      <c r="CD414" s="72">
        <f>AK414</f>
        <v>299</v>
      </c>
      <c r="CE414" s="71">
        <f>AO414</f>
        <v>342</v>
      </c>
      <c r="CF414" s="72">
        <f>AS414</f>
        <v>377</v>
      </c>
      <c r="CG414" s="71">
        <f>AW414</f>
        <v>404</v>
      </c>
      <c r="CH414" s="70">
        <f>G414</f>
        <v>166</v>
      </c>
      <c r="CI414" s="71">
        <f>K414</f>
        <v>170</v>
      </c>
      <c r="CJ414" s="72">
        <f>O414</f>
        <v>201</v>
      </c>
      <c r="CK414" s="72" t="str">
        <f>S414</f>
        <v>-</v>
      </c>
      <c r="CL414" s="72">
        <f>W414</f>
        <v>255</v>
      </c>
      <c r="CM414" s="72" t="str">
        <f>AA414</f>
        <v>-</v>
      </c>
      <c r="CN414" s="72">
        <f>AE414</f>
        <v>289</v>
      </c>
      <c r="CO414" s="72">
        <f>AI414</f>
        <v>296</v>
      </c>
      <c r="CP414" s="72">
        <f>AM414</f>
        <v>333</v>
      </c>
      <c r="CQ414" s="72">
        <f>AQ414</f>
        <v>368</v>
      </c>
      <c r="CR414" s="72">
        <f>AU414</f>
        <v>403</v>
      </c>
      <c r="CS414" s="72">
        <f>AY414</f>
        <v>415</v>
      </c>
      <c r="CT414" s="23">
        <f>M414-K414</f>
        <v>4</v>
      </c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  <c r="OA414" s="1"/>
      <c r="OB414" s="1"/>
      <c r="OC414" s="1"/>
      <c r="OD414" s="1"/>
      <c r="OE414" s="1"/>
      <c r="OF414" s="1"/>
      <c r="OG414" s="1"/>
      <c r="OH414" s="1"/>
      <c r="OI414" s="1"/>
      <c r="OJ414" s="1"/>
      <c r="OK414" s="1"/>
      <c r="OL414" s="1"/>
      <c r="OM414" s="1"/>
      <c r="ON414" s="1"/>
      <c r="OO414" s="1"/>
      <c r="OP414" s="1"/>
      <c r="OQ414" s="1"/>
      <c r="OR414" s="1"/>
      <c r="OS414" s="1"/>
      <c r="OT414" s="1"/>
      <c r="OU414" s="1"/>
      <c r="OV414" s="1"/>
      <c r="OW414" s="1"/>
      <c r="OX414" s="1"/>
      <c r="OY414" s="1"/>
      <c r="OZ414" s="1"/>
      <c r="PA414" s="1"/>
      <c r="PB414" s="1"/>
      <c r="PC414" s="1"/>
      <c r="PD414" s="1"/>
      <c r="PE414" s="1"/>
      <c r="PF414" s="1"/>
      <c r="PG414" s="1"/>
      <c r="PH414" s="1"/>
      <c r="PI414" s="1"/>
      <c r="PJ414" s="1"/>
      <c r="PK414" s="1"/>
      <c r="PL414" s="1"/>
      <c r="PM414" s="1"/>
      <c r="PN414" s="1"/>
      <c r="PO414" s="1"/>
      <c r="PP414" s="1"/>
      <c r="PQ414" s="1"/>
      <c r="PR414" s="1"/>
      <c r="PS414" s="1"/>
      <c r="PT414" s="1"/>
      <c r="PU414" s="1"/>
      <c r="PV414" s="1"/>
      <c r="PW414" s="1"/>
      <c r="PX414" s="1"/>
      <c r="PY414" s="1"/>
      <c r="PZ414" s="1"/>
      <c r="QA414" s="1"/>
      <c r="QB414" s="1"/>
      <c r="QC414" s="1"/>
      <c r="QD414" s="1"/>
      <c r="QE414" s="1"/>
      <c r="QF414" s="1"/>
      <c r="QG414" s="1"/>
      <c r="QH414" s="1"/>
      <c r="QI414" s="1"/>
      <c r="QJ414" s="1"/>
      <c r="QK414" s="1"/>
      <c r="QL414" s="1"/>
      <c r="QM414" s="1"/>
      <c r="QN414" s="1"/>
      <c r="QO414" s="1"/>
      <c r="QP414" s="1"/>
      <c r="QQ414" s="1"/>
      <c r="QR414" s="1"/>
      <c r="QS414" s="1"/>
      <c r="QT414" s="1"/>
      <c r="QU414" s="1"/>
      <c r="QV414" s="1"/>
      <c r="QW414" s="1"/>
      <c r="QX414" s="1"/>
      <c r="QY414" s="1"/>
      <c r="QZ414" s="1"/>
      <c r="RA414" s="1"/>
      <c r="RB414" s="1"/>
      <c r="RC414" s="1"/>
      <c r="RD414" s="1"/>
      <c r="RE414" s="1"/>
      <c r="RF414" s="1"/>
      <c r="RG414" s="1"/>
      <c r="RH414" s="1"/>
      <c r="RI414" s="1"/>
      <c r="RJ414" s="1"/>
      <c r="RK414" s="1"/>
      <c r="RL414" s="1"/>
      <c r="RM414" s="1"/>
      <c r="RN414" s="1"/>
      <c r="RO414" s="1"/>
      <c r="RP414" s="1"/>
      <c r="RQ414" s="1"/>
      <c r="RR414" s="1"/>
      <c r="RS414" s="1"/>
      <c r="RT414" s="1"/>
      <c r="RU414" s="1"/>
      <c r="RV414" s="1"/>
      <c r="RW414" s="1"/>
      <c r="RX414" s="1"/>
      <c r="RY414" s="1"/>
      <c r="RZ414" s="1"/>
      <c r="SA414" s="1"/>
      <c r="SB414" s="1"/>
      <c r="SC414" s="1"/>
      <c r="SD414" s="1"/>
      <c r="SE414" s="1"/>
      <c r="SF414" s="1"/>
      <c r="SG414" s="1"/>
      <c r="SH414" s="1"/>
      <c r="SI414" s="1"/>
      <c r="SJ414" s="1"/>
      <c r="SK414" s="1"/>
      <c r="SL414" s="1"/>
      <c r="SM414" s="1"/>
      <c r="SN414" s="1"/>
      <c r="SO414" s="1"/>
      <c r="SP414" s="1"/>
      <c r="SQ414" s="1"/>
      <c r="SR414" s="1"/>
      <c r="SS414" s="1"/>
      <c r="ST414" s="1"/>
      <c r="SU414" s="1"/>
      <c r="SV414" s="1"/>
      <c r="SW414" s="1"/>
      <c r="SX414" s="1"/>
      <c r="SY414" s="1"/>
      <c r="SZ414" s="1"/>
      <c r="TA414" s="1"/>
      <c r="TB414" s="1"/>
      <c r="TC414" s="1"/>
      <c r="TD414" s="1"/>
      <c r="TE414" s="1"/>
      <c r="TF414" s="1"/>
      <c r="TG414" s="1"/>
      <c r="TH414" s="1"/>
      <c r="TI414" s="1"/>
      <c r="TJ414" s="1"/>
      <c r="TK414" s="1"/>
      <c r="TL414" s="1"/>
      <c r="TM414" s="1"/>
      <c r="TN414" s="1"/>
      <c r="TO414" s="1"/>
      <c r="TP414" s="1"/>
      <c r="TQ414" s="1"/>
      <c r="TR414" s="1"/>
      <c r="TS414" s="1"/>
      <c r="TT414" s="1"/>
      <c r="TU414" s="1"/>
      <c r="TV414" s="1"/>
      <c r="TW414" s="1"/>
      <c r="TX414" s="1"/>
      <c r="TY414" s="1"/>
      <c r="TZ414" s="1"/>
      <c r="UA414" s="1"/>
      <c r="UB414" s="1"/>
      <c r="UC414" s="1"/>
      <c r="UD414" s="1"/>
      <c r="UE414" s="1"/>
      <c r="UF414" s="1"/>
      <c r="UG414" s="1"/>
      <c r="UH414" s="1"/>
      <c r="UI414" s="1"/>
      <c r="UJ414" s="1"/>
      <c r="UK414" s="1"/>
      <c r="UL414" s="1"/>
      <c r="UM414" s="1"/>
      <c r="UN414" s="1"/>
      <c r="UO414" s="1"/>
      <c r="UP414" s="1"/>
      <c r="UQ414" s="1"/>
      <c r="UR414" s="1"/>
      <c r="US414" s="1"/>
      <c r="UT414" s="1"/>
      <c r="UU414" s="1"/>
      <c r="UV414" s="1"/>
      <c r="UW414" s="1"/>
      <c r="UX414" s="1"/>
      <c r="UY414" s="1"/>
      <c r="UZ414" s="1"/>
      <c r="VA414" s="1"/>
      <c r="VB414" s="1"/>
      <c r="VC414" s="1"/>
      <c r="VD414" s="1"/>
      <c r="VE414" s="1"/>
      <c r="VF414" s="1"/>
      <c r="VG414" s="1"/>
      <c r="VH414" s="1"/>
      <c r="VI414" s="1"/>
      <c r="VJ414" s="1"/>
      <c r="VK414" s="1"/>
      <c r="VL414" s="1"/>
      <c r="VM414" s="1"/>
      <c r="VN414" s="1"/>
      <c r="VO414" s="1"/>
      <c r="VP414" s="1"/>
      <c r="VQ414" s="1"/>
      <c r="VR414" s="1"/>
      <c r="VS414" s="1"/>
      <c r="VT414" s="1"/>
      <c r="VU414" s="1"/>
      <c r="VV414" s="1"/>
      <c r="VW414" s="1"/>
      <c r="VX414" s="1"/>
      <c r="VY414" s="1"/>
      <c r="VZ414" s="1"/>
      <c r="WA414" s="1"/>
      <c r="WB414" s="1"/>
      <c r="WC414" s="1"/>
      <c r="WD414" s="1"/>
      <c r="WE414" s="1"/>
      <c r="WF414" s="1"/>
      <c r="WG414" s="1"/>
      <c r="WH414" s="1"/>
      <c r="WI414" s="1"/>
      <c r="WJ414" s="1"/>
      <c r="WK414" s="1"/>
      <c r="WL414" s="1"/>
      <c r="WM414" s="1"/>
      <c r="WN414" s="1"/>
      <c r="WO414" s="1"/>
      <c r="WP414" s="1"/>
      <c r="WQ414" s="1"/>
      <c r="WR414" s="1"/>
      <c r="WS414" s="1"/>
      <c r="WT414" s="1"/>
      <c r="WU414" s="1"/>
      <c r="WV414" s="1"/>
      <c r="WW414" s="1"/>
      <c r="WX414" s="1"/>
      <c r="WY414" s="1"/>
      <c r="WZ414" s="1"/>
      <c r="XA414" s="1"/>
      <c r="XB414" s="1"/>
      <c r="XC414" s="1"/>
      <c r="XD414" s="1"/>
      <c r="XE414" s="1"/>
      <c r="XF414" s="1"/>
      <c r="XG414" s="1"/>
      <c r="XH414" s="1"/>
      <c r="XI414" s="1"/>
      <c r="XJ414" s="1"/>
      <c r="XK414" s="1"/>
      <c r="XL414" s="1"/>
      <c r="XM414" s="1"/>
      <c r="XN414" s="1"/>
      <c r="XO414" s="1"/>
      <c r="XP414" s="1"/>
      <c r="XQ414" s="1"/>
      <c r="XR414" s="1"/>
      <c r="XS414" s="1"/>
      <c r="XT414" s="1"/>
      <c r="XU414" s="1"/>
      <c r="XV414" s="1"/>
      <c r="XW414" s="1"/>
      <c r="XX414" s="1"/>
      <c r="XY414" s="1"/>
      <c r="XZ414" s="1"/>
      <c r="YA414" s="1"/>
      <c r="YB414" s="1"/>
      <c r="YC414" s="1"/>
      <c r="YD414" s="1"/>
      <c r="YE414" s="1"/>
      <c r="YF414" s="1"/>
      <c r="YG414" s="1"/>
      <c r="YH414" s="1"/>
      <c r="YI414" s="1"/>
      <c r="YJ414" s="1"/>
      <c r="YK414" s="1"/>
      <c r="YL414" s="1"/>
      <c r="YM414" s="1"/>
      <c r="YN414" s="1"/>
      <c r="YO414" s="1"/>
      <c r="YP414" s="1"/>
      <c r="YQ414" s="1"/>
      <c r="YR414" s="1"/>
      <c r="YS414" s="1"/>
      <c r="YT414" s="1"/>
      <c r="YU414" s="1"/>
      <c r="YV414" s="1"/>
      <c r="YW414" s="1"/>
      <c r="YX414" s="1"/>
      <c r="YY414" s="1"/>
      <c r="YZ414" s="1"/>
      <c r="ZA414" s="1"/>
      <c r="ZB414" s="1"/>
      <c r="ZC414" s="1"/>
      <c r="ZD414" s="1"/>
      <c r="ZE414" s="1"/>
      <c r="ZF414" s="1"/>
      <c r="ZG414" s="1"/>
      <c r="ZH414" s="1"/>
      <c r="ZI414" s="1"/>
      <c r="ZJ414" s="1"/>
      <c r="ZK414" s="1"/>
      <c r="ZL414" s="1"/>
      <c r="ZM414" s="1"/>
      <c r="ZN414" s="1"/>
      <c r="ZO414" s="1"/>
      <c r="ZP414" s="1"/>
      <c r="ZQ414" s="1"/>
      <c r="ZR414" s="1"/>
      <c r="ZS414" s="1"/>
      <c r="ZT414" s="1"/>
      <c r="ZU414" s="1"/>
      <c r="ZV414" s="1"/>
      <c r="ZW414" s="1"/>
      <c r="ZX414" s="1"/>
      <c r="ZY414" s="1"/>
      <c r="ZZ414" s="1"/>
      <c r="AAA414" s="1"/>
      <c r="AAB414" s="1"/>
      <c r="AAC414" s="1"/>
      <c r="AAD414" s="1"/>
      <c r="AAE414" s="1"/>
      <c r="AAF414" s="1"/>
      <c r="AAG414" s="1"/>
      <c r="AAH414" s="1"/>
      <c r="AAI414" s="1"/>
      <c r="AAJ414" s="1"/>
      <c r="AAK414" s="1"/>
      <c r="AAL414" s="1"/>
      <c r="AAM414" s="1"/>
      <c r="AAN414" s="1"/>
      <c r="AAO414" s="1"/>
      <c r="AAP414" s="1"/>
      <c r="AAQ414" s="1"/>
      <c r="AAR414" s="1"/>
      <c r="AAS414" s="1"/>
      <c r="AAT414" s="1"/>
      <c r="AAU414" s="1"/>
      <c r="AAV414" s="1"/>
      <c r="AAW414" s="1"/>
      <c r="AAX414" s="1"/>
      <c r="AAY414" s="1"/>
      <c r="AAZ414" s="1"/>
      <c r="ABA414" s="1"/>
      <c r="ABB414" s="1"/>
      <c r="ABC414" s="1"/>
      <c r="ABD414" s="1"/>
      <c r="ABE414" s="1"/>
      <c r="ABF414" s="1"/>
      <c r="ABG414" s="1"/>
      <c r="ABH414" s="1"/>
      <c r="ABI414" s="1"/>
      <c r="ABJ414" s="1"/>
      <c r="ABK414" s="1"/>
      <c r="ABL414" s="1"/>
      <c r="ABM414" s="1"/>
      <c r="ABN414" s="1"/>
      <c r="ABO414" s="1"/>
      <c r="ABP414" s="1"/>
      <c r="ABQ414" s="1"/>
      <c r="ABR414" s="1"/>
      <c r="ABS414" s="1"/>
      <c r="ABT414" s="1"/>
      <c r="ABU414" s="1"/>
      <c r="ABV414" s="1"/>
      <c r="ABW414" s="1"/>
      <c r="ABX414" s="1"/>
      <c r="ABY414" s="1"/>
      <c r="ABZ414" s="1"/>
      <c r="ACA414" s="1"/>
      <c r="ACB414" s="1"/>
      <c r="ACC414" s="1"/>
      <c r="ACD414" s="1"/>
      <c r="ACE414" s="1"/>
      <c r="ACF414" s="1"/>
      <c r="ACG414" s="1"/>
      <c r="ACH414" s="1"/>
      <c r="ACI414" s="1"/>
      <c r="ACJ414" s="1"/>
      <c r="ACK414" s="1"/>
      <c r="ACL414" s="1"/>
      <c r="ACM414" s="1"/>
      <c r="ACN414" s="1"/>
      <c r="ACO414" s="1"/>
      <c r="ACP414" s="1"/>
      <c r="ACQ414" s="1"/>
      <c r="ACR414" s="1"/>
      <c r="ACS414" s="1"/>
      <c r="ACT414" s="1"/>
      <c r="ACU414" s="1"/>
      <c r="ACV414" s="1"/>
      <c r="ACW414" s="1"/>
      <c r="ACX414" s="1"/>
      <c r="ACY414" s="1"/>
      <c r="ACZ414" s="1"/>
      <c r="ADA414" s="1"/>
      <c r="ADB414" s="1"/>
      <c r="ADC414" s="1"/>
      <c r="ADD414" s="1"/>
      <c r="ADE414" s="1"/>
      <c r="ADF414" s="1"/>
      <c r="ADG414" s="1"/>
      <c r="ADH414" s="1"/>
      <c r="ADI414" s="1"/>
      <c r="ADJ414" s="1"/>
      <c r="ADK414" s="1"/>
      <c r="ADL414" s="1"/>
      <c r="ADM414" s="1"/>
      <c r="ADN414" s="1"/>
      <c r="ADO414" s="1"/>
      <c r="ADP414" s="1"/>
      <c r="ADQ414" s="1"/>
      <c r="ADR414" s="1"/>
      <c r="ADS414" s="1"/>
      <c r="ADT414" s="1"/>
      <c r="ADU414" s="1"/>
      <c r="ADV414" s="1"/>
      <c r="ADW414" s="1"/>
      <c r="ADX414" s="1"/>
      <c r="ADY414" s="1"/>
      <c r="ADZ414" s="1"/>
      <c r="AEA414" s="1"/>
      <c r="AEB414" s="1"/>
      <c r="AEC414" s="1"/>
      <c r="AED414" s="1"/>
      <c r="AEE414" s="1"/>
      <c r="AEF414" s="1"/>
      <c r="AEG414" s="1"/>
      <c r="AEH414" s="1"/>
      <c r="AEI414" s="1"/>
      <c r="AEJ414" s="1"/>
      <c r="AEK414" s="1"/>
      <c r="AEL414" s="1"/>
      <c r="AEM414" s="1"/>
      <c r="AEN414" s="1"/>
      <c r="AEO414" s="1"/>
      <c r="AEP414" s="1"/>
      <c r="AEQ414" s="1"/>
      <c r="AER414" s="1"/>
      <c r="AES414" s="1"/>
      <c r="AET414" s="1"/>
      <c r="AEU414" s="1"/>
      <c r="AEV414" s="1"/>
      <c r="AEW414" s="1"/>
      <c r="AEX414" s="1"/>
      <c r="AEY414" s="1"/>
      <c r="AEZ414" s="1"/>
      <c r="AFA414" s="1"/>
      <c r="AFB414" s="1"/>
      <c r="AFC414" s="1"/>
      <c r="AFD414" s="1"/>
      <c r="AFE414" s="1"/>
      <c r="AFF414" s="1"/>
      <c r="AFG414" s="1"/>
      <c r="AFH414" s="1"/>
      <c r="AFI414" s="1"/>
      <c r="AFJ414" s="1"/>
      <c r="AFK414" s="1"/>
      <c r="AFL414" s="1"/>
      <c r="AFM414" s="1"/>
      <c r="AFN414" s="1"/>
      <c r="AFO414" s="1"/>
      <c r="AFP414" s="1"/>
      <c r="AFQ414" s="1"/>
      <c r="AFR414" s="1"/>
      <c r="AFS414" s="1"/>
      <c r="AFT414" s="1"/>
      <c r="AFU414" s="1"/>
      <c r="AFV414" s="1"/>
      <c r="AFW414" s="1"/>
      <c r="AFX414" s="1"/>
      <c r="AFY414" s="1"/>
      <c r="AFZ414" s="1"/>
      <c r="AGA414" s="1"/>
      <c r="AGB414" s="1"/>
      <c r="AGC414" s="1"/>
      <c r="AGD414" s="1"/>
      <c r="AGE414" s="1"/>
      <c r="AGF414" s="1"/>
      <c r="AGG414" s="1"/>
      <c r="AGH414" s="1"/>
      <c r="AGI414" s="1"/>
      <c r="AGJ414" s="1"/>
      <c r="AGK414" s="1"/>
      <c r="AGL414" s="1"/>
      <c r="AGM414" s="1"/>
      <c r="AGN414" s="1"/>
      <c r="AGO414" s="1"/>
      <c r="AGP414" s="1"/>
      <c r="AGQ414" s="1"/>
      <c r="AGR414" s="1"/>
      <c r="AGS414" s="1"/>
      <c r="AGT414" s="1"/>
      <c r="AGU414" s="1"/>
      <c r="AGV414" s="1"/>
      <c r="AGW414" s="1"/>
      <c r="AGX414" s="1"/>
      <c r="AGY414" s="1"/>
      <c r="AGZ414" s="1"/>
      <c r="AHA414" s="1"/>
      <c r="AHB414" s="1"/>
      <c r="AHC414" s="1"/>
      <c r="AHD414" s="1"/>
      <c r="AHE414" s="1"/>
      <c r="AHF414" s="1"/>
      <c r="AHG414" s="1"/>
      <c r="AHH414" s="1"/>
      <c r="AHI414" s="1"/>
      <c r="AHJ414" s="1"/>
      <c r="AHK414" s="1"/>
      <c r="AHL414" s="1"/>
      <c r="AHM414" s="1"/>
      <c r="AHN414" s="1"/>
      <c r="AHO414" s="1"/>
      <c r="AHP414" s="1"/>
      <c r="AHQ414" s="1"/>
      <c r="AHR414" s="1"/>
      <c r="AHS414" s="1"/>
      <c r="AHT414" s="1"/>
      <c r="AHU414" s="1"/>
      <c r="AHV414" s="1"/>
      <c r="AHW414" s="1"/>
      <c r="AHX414" s="1"/>
      <c r="AHY414" s="1"/>
      <c r="AHZ414" s="1"/>
      <c r="AIA414" s="1"/>
      <c r="AIB414" s="1"/>
      <c r="AIC414" s="1"/>
      <c r="AID414" s="1"/>
      <c r="AIE414" s="1"/>
      <c r="AIF414" s="1"/>
      <c r="AIG414" s="1"/>
      <c r="AIH414" s="1"/>
      <c r="AII414" s="1"/>
      <c r="AIJ414" s="1"/>
      <c r="AIK414" s="1"/>
      <c r="AIL414" s="1"/>
      <c r="AIM414" s="1"/>
      <c r="AIN414" s="1"/>
      <c r="AIO414" s="1"/>
      <c r="AIP414" s="1"/>
      <c r="AIQ414" s="1"/>
      <c r="AIR414" s="1"/>
      <c r="AIS414" s="1"/>
      <c r="AIT414" s="1"/>
      <c r="AIU414" s="1"/>
      <c r="AIV414" s="1"/>
      <c r="AIW414" s="1"/>
      <c r="AIX414" s="1"/>
      <c r="AIY414" s="1"/>
      <c r="AIZ414" s="1"/>
      <c r="AJA414" s="1"/>
      <c r="AJB414" s="1"/>
      <c r="AJC414" s="1"/>
      <c r="AJD414" s="1"/>
      <c r="AJE414" s="1"/>
      <c r="AJF414" s="1"/>
      <c r="AJG414" s="1"/>
      <c r="AJH414" s="1"/>
      <c r="AJI414" s="1"/>
      <c r="AJJ414" s="1"/>
      <c r="AJK414" s="1"/>
      <c r="AJL414" s="1"/>
      <c r="AJM414" s="1"/>
      <c r="AJN414" s="1"/>
      <c r="AJO414" s="1"/>
      <c r="AJP414" s="1"/>
      <c r="AJQ414" s="1"/>
      <c r="AJR414" s="1"/>
      <c r="AJS414" s="1"/>
      <c r="AJT414" s="1"/>
      <c r="AJU414" s="1"/>
      <c r="AJV414" s="1"/>
      <c r="AJW414" s="1"/>
      <c r="AJX414" s="1"/>
      <c r="AJY414" s="1"/>
      <c r="AJZ414" s="1"/>
      <c r="AKA414" s="1"/>
      <c r="AKB414" s="1"/>
      <c r="AKC414" s="1"/>
      <c r="AKD414" s="1"/>
      <c r="AKE414" s="1"/>
      <c r="AKF414" s="1"/>
      <c r="AKG414" s="1"/>
      <c r="AKH414" s="1"/>
      <c r="AKI414" s="1"/>
      <c r="AKJ414" s="1"/>
      <c r="AKK414" s="1"/>
      <c r="AKL414" s="1"/>
      <c r="AKM414" s="1"/>
      <c r="AKN414" s="1"/>
      <c r="AKO414" s="1"/>
      <c r="AKP414" s="1"/>
      <c r="AKQ414" s="1"/>
      <c r="AKR414" s="1"/>
      <c r="AKS414" s="1"/>
      <c r="AKT414" s="1"/>
      <c r="AKU414" s="1"/>
      <c r="AKV414" s="1"/>
      <c r="AKW414" s="1"/>
      <c r="AKX414" s="1"/>
      <c r="AKY414" s="1"/>
      <c r="AKZ414" s="1"/>
      <c r="ALA414" s="1"/>
      <c r="ALB414" s="1"/>
      <c r="ALC414" s="1"/>
      <c r="ALD414" s="1"/>
      <c r="ALE414" s="1"/>
      <c r="ALF414" s="1"/>
      <c r="ALG414" s="1"/>
      <c r="ALH414" s="1"/>
      <c r="ALI414" s="1"/>
      <c r="ALJ414" s="1"/>
      <c r="ALK414" s="1"/>
      <c r="ALL414" s="1"/>
      <c r="ALM414" s="1"/>
      <c r="ALN414" s="1"/>
      <c r="ALO414" s="1"/>
      <c r="ALP414" s="1"/>
      <c r="ALQ414" s="1"/>
      <c r="ALR414" s="1"/>
      <c r="ALS414" s="1"/>
      <c r="ALT414" s="1"/>
      <c r="ALU414" s="1"/>
      <c r="ALV414" s="1"/>
      <c r="ALW414" s="1"/>
      <c r="ALX414" s="1"/>
      <c r="ALY414" s="1"/>
      <c r="ALZ414" s="1"/>
      <c r="AMA414" s="1"/>
      <c r="AMB414" s="1"/>
      <c r="AMC414" s="1"/>
      <c r="AMD414" s="1"/>
      <c r="AME414" s="1"/>
      <c r="AMF414" s="1"/>
      <c r="AMG414" s="1"/>
      <c r="AMH414" s="1"/>
      <c r="AMI414" s="1"/>
      <c r="AMJ414" s="1"/>
      <c r="AMK414" s="1"/>
      <c r="AML414" s="1"/>
      <c r="AMM414" s="1"/>
      <c r="AMN414" s="1"/>
      <c r="AMO414" s="1"/>
    </row>
    <row r="415" spans="1:1030" x14ac:dyDescent="0.2">
      <c r="A415" s="3" t="str">
        <f>CONCATENATE(B415,"_",C415)</f>
        <v>glr_human_5YQZ</v>
      </c>
      <c r="B415" s="3" t="s">
        <v>32</v>
      </c>
      <c r="C415" s="3" t="s">
        <v>1456</v>
      </c>
      <c r="D415" s="3" t="str">
        <f>IFERROR(MID(VLOOKUP($B415,Seqs!$A:$B,2,0),E415,1),"")</f>
        <v>D</v>
      </c>
      <c r="E415" s="3">
        <v>124</v>
      </c>
      <c r="F415" s="3" t="str">
        <f>IFERROR(MID(VLOOKUP($B415,Seqs!$A:$B,2,0),G415,1),"")</f>
        <v>L</v>
      </c>
      <c r="G415" s="3">
        <v>166</v>
      </c>
      <c r="H415" s="3" t="str">
        <f>IFERROR(MID(VLOOKUP($B415,Seqs!$A:$B,2,0),I415,1),"")</f>
        <v>S</v>
      </c>
      <c r="I415" s="23">
        <v>167</v>
      </c>
      <c r="J415" s="3" t="str">
        <f>IFERROR(MID(VLOOKUP($B415,Seqs!$A:$B,2,0),K415,1),"")</f>
        <v>H</v>
      </c>
      <c r="K415" s="23">
        <v>170</v>
      </c>
      <c r="L415" s="3" t="str">
        <f>IFERROR(MID(VLOOKUP($B415,Seqs!$A:$B,2,0),M415,1),"")</f>
        <v>C</v>
      </c>
      <c r="M415" s="23">
        <v>171</v>
      </c>
      <c r="N415" s="3" t="str">
        <f>IFERROR(MID(VLOOKUP($B415,Seqs!$A:$B,2,0),O415,1),"")</f>
        <v>S</v>
      </c>
      <c r="O415" s="3">
        <v>203</v>
      </c>
      <c r="P415" s="3" t="str">
        <f>IFERROR(MID(VLOOKUP($B415,Seqs!$A:$B,2,0),Q415,1),"")</f>
        <v/>
      </c>
      <c r="Q415" s="3" t="s">
        <v>23</v>
      </c>
      <c r="R415" s="3" t="str">
        <f>IFERROR(MID(VLOOKUP($B415,Seqs!$A:$B,2,0),S415,1),"")</f>
        <v/>
      </c>
      <c r="S415" s="3" t="s">
        <v>23</v>
      </c>
      <c r="T415" s="3" t="str">
        <f>IFERROR(MID(VLOOKUP($B415,Seqs!$A:$B,2,0),U415,1),"")</f>
        <v>A</v>
      </c>
      <c r="U415" s="3">
        <v>220</v>
      </c>
      <c r="V415" s="3" t="str">
        <f>IFERROR(MID(VLOOKUP($B415,Seqs!$A:$B,2,0),W415,1),"")</f>
        <v>L</v>
      </c>
      <c r="W415" s="3">
        <v>255</v>
      </c>
      <c r="X415" s="3" t="str">
        <f>IFERROR(MID(VLOOKUP($B415,Seqs!$A:$B,2,0),Y415,1),"")</f>
        <v/>
      </c>
      <c r="Y415" s="3" t="s">
        <v>23</v>
      </c>
      <c r="Z415" s="3" t="str">
        <f>IFERROR(MID(VLOOKUP($B415,Seqs!$A:$B,2,0),AA415,1),"")</f>
        <v/>
      </c>
      <c r="AA415" s="3" t="s">
        <v>23</v>
      </c>
      <c r="AB415" s="3" t="str">
        <f>IFERROR(MID(VLOOKUP($B415,Seqs!$A:$B,2,0),AC415,1),"")</f>
        <v>F</v>
      </c>
      <c r="AC415" s="3">
        <v>263</v>
      </c>
      <c r="AD415" s="3" t="str">
        <f>IFERROR(MID(VLOOKUP($B415,Seqs!$A:$B,2,0),AE415,1),"")</f>
        <v>E</v>
      </c>
      <c r="AE415" s="3">
        <v>290</v>
      </c>
      <c r="AF415" s="3" t="str">
        <f>IFERROR(MID(VLOOKUP($B415,Seqs!$A:$B,2,0),AG415,1),"")</f>
        <v>C</v>
      </c>
      <c r="AG415" s="3">
        <v>294</v>
      </c>
      <c r="AH415" s="3" t="str">
        <f>IFERROR(MID(VLOOKUP($B415,Seqs!$A:$B,2,0),AI415,1),"")</f>
        <v>T</v>
      </c>
      <c r="AI415" s="3">
        <v>296</v>
      </c>
      <c r="AJ415" s="3" t="str">
        <f>IFERROR(MID(VLOOKUP($B415,Seqs!$A:$B,2,0),AK415,1),"")</f>
        <v>F</v>
      </c>
      <c r="AK415" s="3">
        <v>303</v>
      </c>
      <c r="AL415" s="3" t="str">
        <f>IFERROR(MID(VLOOKUP($B415,Seqs!$A:$B,2,0),AM415,1),"")</f>
        <v>A</v>
      </c>
      <c r="AM415" s="3">
        <v>335</v>
      </c>
      <c r="AN415" s="3" t="str">
        <f>IFERROR(MID(VLOOKUP($B415,Seqs!$A:$B,2,0),AO415,1),"")</f>
        <v>D</v>
      </c>
      <c r="AO415" s="3">
        <v>342</v>
      </c>
      <c r="AP415" s="3" t="str">
        <f>IFERROR(MID(VLOOKUP($B415,Seqs!$A:$B,2,0),AQ415,1),"")</f>
        <v>T</v>
      </c>
      <c r="AQ415" s="3">
        <v>369</v>
      </c>
      <c r="AR415" s="3" t="str">
        <f>IFERROR(MID(VLOOKUP($B415,Seqs!$A:$B,2,0),AS415,1),"")</f>
        <v>G</v>
      </c>
      <c r="AS415" s="3">
        <v>375</v>
      </c>
      <c r="AT415" s="3" t="str">
        <f>IFERROR(MID(VLOOKUP($B415,Seqs!$A:$B,2,0),AU415,1),"")</f>
        <v>L</v>
      </c>
      <c r="AU415" s="3">
        <v>403</v>
      </c>
      <c r="AV415" s="3" t="str">
        <f>IFERROR(MID(VLOOKUP($B415,Seqs!$A:$B,2,0),AW415,1),"")</f>
        <v>N</v>
      </c>
      <c r="AW415" s="3">
        <v>404</v>
      </c>
      <c r="AX415" s="3" t="str">
        <f>IFERROR(MID(VLOOKUP($B415,Seqs!$A:$B,2,0),AY415,1),"")</f>
        <v>E</v>
      </c>
      <c r="AY415" s="3">
        <v>426</v>
      </c>
      <c r="AZ415" s="77" t="str">
        <f>VLOOKUP(B415,Classification!A:D,2,0)</f>
        <v>B1</v>
      </c>
      <c r="BA415" s="94" t="str">
        <f>VLOOKUP(B415,Classification!A:D,4,0)</f>
        <v>Glucagonreceptorfamily</v>
      </c>
      <c r="BB415" s="27" t="b">
        <f t="shared" si="1191"/>
        <v>1</v>
      </c>
      <c r="BC415" s="23">
        <f t="shared" si="1192"/>
        <v>262</v>
      </c>
      <c r="BD415" s="4" t="s">
        <v>23</v>
      </c>
      <c r="BE415" s="3" t="s">
        <v>1368</v>
      </c>
      <c r="BF415" s="118">
        <v>3</v>
      </c>
      <c r="BG415" s="49" t="s">
        <v>1416</v>
      </c>
      <c r="BH415" s="49" t="s">
        <v>1416</v>
      </c>
      <c r="BI415" s="1"/>
      <c r="BJ415" s="70" t="s">
        <v>1281</v>
      </c>
      <c r="BK415" s="57" t="s">
        <v>1281</v>
      </c>
      <c r="BL415" s="57" t="s">
        <v>1281</v>
      </c>
      <c r="BM415" s="57" t="s">
        <v>1281</v>
      </c>
      <c r="BN415" s="57" t="s">
        <v>1281</v>
      </c>
      <c r="BO415" s="57" t="s">
        <v>1281</v>
      </c>
      <c r="BP415" s="57" t="s">
        <v>1281</v>
      </c>
      <c r="BQ415" s="57" t="s">
        <v>1281</v>
      </c>
      <c r="BR415" s="57" t="s">
        <v>1281</v>
      </c>
      <c r="BS415" s="57" t="s">
        <v>1281</v>
      </c>
      <c r="BT415" s="57" t="s">
        <v>1281</v>
      </c>
      <c r="BU415" s="57" t="s">
        <v>1281</v>
      </c>
      <c r="BV415" s="70">
        <f>E415</f>
        <v>124</v>
      </c>
      <c r="BW415" s="71">
        <f>I415</f>
        <v>167</v>
      </c>
      <c r="BX415" s="72">
        <f>M415</f>
        <v>171</v>
      </c>
      <c r="BY415" s="71" t="str">
        <f>Q415</f>
        <v>-</v>
      </c>
      <c r="BZ415" s="72">
        <f>U415</f>
        <v>220</v>
      </c>
      <c r="CA415" s="71" t="str">
        <f>Y415</f>
        <v>-</v>
      </c>
      <c r="CB415" s="72">
        <f>AC415</f>
        <v>263</v>
      </c>
      <c r="CC415" s="71">
        <f>AG415</f>
        <v>294</v>
      </c>
      <c r="CD415" s="72">
        <f>AK415</f>
        <v>303</v>
      </c>
      <c r="CE415" s="71">
        <f>AO415</f>
        <v>342</v>
      </c>
      <c r="CF415" s="72">
        <f>AS415</f>
        <v>375</v>
      </c>
      <c r="CG415" s="71">
        <f>AW415</f>
        <v>404</v>
      </c>
      <c r="CH415" s="70">
        <f>G415</f>
        <v>166</v>
      </c>
      <c r="CI415" s="71">
        <f>K415</f>
        <v>170</v>
      </c>
      <c r="CJ415" s="72">
        <f>O415</f>
        <v>203</v>
      </c>
      <c r="CK415" s="72" t="str">
        <f>S415</f>
        <v>-</v>
      </c>
      <c r="CL415" s="72">
        <f>W415</f>
        <v>255</v>
      </c>
      <c r="CM415" s="72" t="str">
        <f>AA415</f>
        <v>-</v>
      </c>
      <c r="CN415" s="72">
        <f>AE415</f>
        <v>290</v>
      </c>
      <c r="CO415" s="72">
        <f>AI415</f>
        <v>296</v>
      </c>
      <c r="CP415" s="72">
        <f>AM415</f>
        <v>335</v>
      </c>
      <c r="CQ415" s="72">
        <f>AQ415</f>
        <v>369</v>
      </c>
      <c r="CR415" s="72">
        <f>AU415</f>
        <v>403</v>
      </c>
      <c r="CS415" s="72">
        <f>AY415</f>
        <v>426</v>
      </c>
      <c r="CT415" s="23">
        <f>M415-K415</f>
        <v>1</v>
      </c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  <c r="NC415" s="1"/>
      <c r="ND415" s="1"/>
      <c r="NE415" s="1"/>
      <c r="NF415" s="1"/>
      <c r="NG415" s="1"/>
      <c r="NH415" s="1"/>
      <c r="NI415" s="1"/>
      <c r="NJ415" s="1"/>
      <c r="NK415" s="1"/>
      <c r="NL415" s="1"/>
      <c r="NM415" s="1"/>
      <c r="NN415" s="1"/>
      <c r="NO415" s="1"/>
      <c r="NP415" s="1"/>
      <c r="NQ415" s="1"/>
      <c r="NR415" s="1"/>
      <c r="NS415" s="1"/>
      <c r="NT415" s="1"/>
      <c r="NU415" s="1"/>
      <c r="NV415" s="1"/>
      <c r="NW415" s="1"/>
      <c r="NX415" s="1"/>
      <c r="NY415" s="1"/>
      <c r="NZ415" s="1"/>
      <c r="OA415" s="1"/>
      <c r="OB415" s="1"/>
      <c r="OC415" s="1"/>
      <c r="OD415" s="1"/>
      <c r="OE415" s="1"/>
      <c r="OF415" s="1"/>
      <c r="OG415" s="1"/>
      <c r="OH415" s="1"/>
      <c r="OI415" s="1"/>
      <c r="OJ415" s="1"/>
      <c r="OK415" s="1"/>
      <c r="OL415" s="1"/>
      <c r="OM415" s="1"/>
      <c r="ON415" s="1"/>
      <c r="OO415" s="1"/>
      <c r="OP415" s="1"/>
      <c r="OQ415" s="1"/>
      <c r="OR415" s="1"/>
      <c r="OS415" s="1"/>
      <c r="OT415" s="1"/>
      <c r="OU415" s="1"/>
      <c r="OV415" s="1"/>
      <c r="OW415" s="1"/>
      <c r="OX415" s="1"/>
      <c r="OY415" s="1"/>
      <c r="OZ415" s="1"/>
      <c r="PA415" s="1"/>
      <c r="PB415" s="1"/>
      <c r="PC415" s="1"/>
      <c r="PD415" s="1"/>
      <c r="PE415" s="1"/>
      <c r="PF415" s="1"/>
      <c r="PG415" s="1"/>
      <c r="PH415" s="1"/>
      <c r="PI415" s="1"/>
      <c r="PJ415" s="1"/>
      <c r="PK415" s="1"/>
      <c r="PL415" s="1"/>
      <c r="PM415" s="1"/>
      <c r="PN415" s="1"/>
      <c r="PO415" s="1"/>
      <c r="PP415" s="1"/>
      <c r="PQ415" s="1"/>
      <c r="PR415" s="1"/>
      <c r="PS415" s="1"/>
      <c r="PT415" s="1"/>
      <c r="PU415" s="1"/>
      <c r="PV415" s="1"/>
      <c r="PW415" s="1"/>
      <c r="PX415" s="1"/>
      <c r="PY415" s="1"/>
      <c r="PZ415" s="1"/>
      <c r="QA415" s="1"/>
      <c r="QB415" s="1"/>
      <c r="QC415" s="1"/>
      <c r="QD415" s="1"/>
      <c r="QE415" s="1"/>
      <c r="QF415" s="1"/>
      <c r="QG415" s="1"/>
      <c r="QH415" s="1"/>
      <c r="QI415" s="1"/>
      <c r="QJ415" s="1"/>
      <c r="QK415" s="1"/>
      <c r="QL415" s="1"/>
      <c r="QM415" s="1"/>
      <c r="QN415" s="1"/>
      <c r="QO415" s="1"/>
      <c r="QP415" s="1"/>
      <c r="QQ415" s="1"/>
      <c r="QR415" s="1"/>
      <c r="QS415" s="1"/>
      <c r="QT415" s="1"/>
      <c r="QU415" s="1"/>
      <c r="QV415" s="1"/>
      <c r="QW415" s="1"/>
      <c r="QX415" s="1"/>
      <c r="QY415" s="1"/>
      <c r="QZ415" s="1"/>
      <c r="RA415" s="1"/>
      <c r="RB415" s="1"/>
      <c r="RC415" s="1"/>
      <c r="RD415" s="1"/>
      <c r="RE415" s="1"/>
      <c r="RF415" s="1"/>
      <c r="RG415" s="1"/>
      <c r="RH415" s="1"/>
      <c r="RI415" s="1"/>
      <c r="RJ415" s="1"/>
      <c r="RK415" s="1"/>
      <c r="RL415" s="1"/>
      <c r="RM415" s="1"/>
      <c r="RN415" s="1"/>
      <c r="RO415" s="1"/>
      <c r="RP415" s="1"/>
      <c r="RQ415" s="1"/>
      <c r="RR415" s="1"/>
      <c r="RS415" s="1"/>
      <c r="RT415" s="1"/>
      <c r="RU415" s="1"/>
      <c r="RV415" s="1"/>
      <c r="RW415" s="1"/>
      <c r="RX415" s="1"/>
      <c r="RY415" s="1"/>
      <c r="RZ415" s="1"/>
      <c r="SA415" s="1"/>
      <c r="SB415" s="1"/>
      <c r="SC415" s="1"/>
      <c r="SD415" s="1"/>
      <c r="SE415" s="1"/>
      <c r="SF415" s="1"/>
      <c r="SG415" s="1"/>
      <c r="SH415" s="1"/>
      <c r="SI415" s="1"/>
      <c r="SJ415" s="1"/>
      <c r="SK415" s="1"/>
      <c r="SL415" s="1"/>
      <c r="SM415" s="1"/>
      <c r="SN415" s="1"/>
      <c r="SO415" s="1"/>
      <c r="SP415" s="1"/>
      <c r="SQ415" s="1"/>
      <c r="SR415" s="1"/>
      <c r="SS415" s="1"/>
      <c r="ST415" s="1"/>
      <c r="SU415" s="1"/>
      <c r="SV415" s="1"/>
      <c r="SW415" s="1"/>
      <c r="SX415" s="1"/>
      <c r="SY415" s="1"/>
      <c r="SZ415" s="1"/>
      <c r="TA415" s="1"/>
      <c r="TB415" s="1"/>
      <c r="TC415" s="1"/>
      <c r="TD415" s="1"/>
      <c r="TE415" s="1"/>
      <c r="TF415" s="1"/>
      <c r="TG415" s="1"/>
      <c r="TH415" s="1"/>
      <c r="TI415" s="1"/>
      <c r="TJ415" s="1"/>
      <c r="TK415" s="1"/>
      <c r="TL415" s="1"/>
      <c r="TM415" s="1"/>
      <c r="TN415" s="1"/>
      <c r="TO415" s="1"/>
      <c r="TP415" s="1"/>
      <c r="TQ415" s="1"/>
      <c r="TR415" s="1"/>
      <c r="TS415" s="1"/>
      <c r="TT415" s="1"/>
      <c r="TU415" s="1"/>
      <c r="TV415" s="1"/>
      <c r="TW415" s="1"/>
      <c r="TX415" s="1"/>
      <c r="TY415" s="1"/>
      <c r="TZ415" s="1"/>
      <c r="UA415" s="1"/>
      <c r="UB415" s="1"/>
      <c r="UC415" s="1"/>
      <c r="UD415" s="1"/>
      <c r="UE415" s="1"/>
      <c r="UF415" s="1"/>
      <c r="UG415" s="1"/>
      <c r="UH415" s="1"/>
      <c r="UI415" s="1"/>
      <c r="UJ415" s="1"/>
      <c r="UK415" s="1"/>
      <c r="UL415" s="1"/>
      <c r="UM415" s="1"/>
      <c r="UN415" s="1"/>
      <c r="UO415" s="1"/>
      <c r="UP415" s="1"/>
      <c r="UQ415" s="1"/>
      <c r="UR415" s="1"/>
      <c r="US415" s="1"/>
      <c r="UT415" s="1"/>
      <c r="UU415" s="1"/>
      <c r="UV415" s="1"/>
      <c r="UW415" s="1"/>
      <c r="UX415" s="1"/>
      <c r="UY415" s="1"/>
      <c r="UZ415" s="1"/>
      <c r="VA415" s="1"/>
      <c r="VB415" s="1"/>
      <c r="VC415" s="1"/>
      <c r="VD415" s="1"/>
      <c r="VE415" s="1"/>
      <c r="VF415" s="1"/>
      <c r="VG415" s="1"/>
      <c r="VH415" s="1"/>
      <c r="VI415" s="1"/>
      <c r="VJ415" s="1"/>
      <c r="VK415" s="1"/>
      <c r="VL415" s="1"/>
      <c r="VM415" s="1"/>
      <c r="VN415" s="1"/>
      <c r="VO415" s="1"/>
      <c r="VP415" s="1"/>
      <c r="VQ415" s="1"/>
      <c r="VR415" s="1"/>
      <c r="VS415" s="1"/>
      <c r="VT415" s="1"/>
      <c r="VU415" s="1"/>
      <c r="VV415" s="1"/>
      <c r="VW415" s="1"/>
      <c r="VX415" s="1"/>
      <c r="VY415" s="1"/>
      <c r="VZ415" s="1"/>
      <c r="WA415" s="1"/>
      <c r="WB415" s="1"/>
      <c r="WC415" s="1"/>
      <c r="WD415" s="1"/>
      <c r="WE415" s="1"/>
      <c r="WF415" s="1"/>
      <c r="WG415" s="1"/>
      <c r="WH415" s="1"/>
      <c r="WI415" s="1"/>
      <c r="WJ415" s="1"/>
      <c r="WK415" s="1"/>
      <c r="WL415" s="1"/>
      <c r="WM415" s="1"/>
      <c r="WN415" s="1"/>
      <c r="WO415" s="1"/>
      <c r="WP415" s="1"/>
      <c r="WQ415" s="1"/>
      <c r="WR415" s="1"/>
      <c r="WS415" s="1"/>
      <c r="WT415" s="1"/>
      <c r="WU415" s="1"/>
      <c r="WV415" s="1"/>
      <c r="WW415" s="1"/>
      <c r="WX415" s="1"/>
      <c r="WY415" s="1"/>
      <c r="WZ415" s="1"/>
      <c r="XA415" s="1"/>
      <c r="XB415" s="1"/>
      <c r="XC415" s="1"/>
      <c r="XD415" s="1"/>
      <c r="XE415" s="1"/>
      <c r="XF415" s="1"/>
      <c r="XG415" s="1"/>
      <c r="XH415" s="1"/>
      <c r="XI415" s="1"/>
      <c r="XJ415" s="1"/>
      <c r="XK415" s="1"/>
      <c r="XL415" s="1"/>
      <c r="XM415" s="1"/>
      <c r="XN415" s="1"/>
      <c r="XO415" s="1"/>
      <c r="XP415" s="1"/>
      <c r="XQ415" s="1"/>
      <c r="XR415" s="1"/>
      <c r="XS415" s="1"/>
      <c r="XT415" s="1"/>
      <c r="XU415" s="1"/>
      <c r="XV415" s="1"/>
      <c r="XW415" s="1"/>
      <c r="XX415" s="1"/>
      <c r="XY415" s="1"/>
      <c r="XZ415" s="1"/>
      <c r="YA415" s="1"/>
      <c r="YB415" s="1"/>
      <c r="YC415" s="1"/>
      <c r="YD415" s="1"/>
      <c r="YE415" s="1"/>
      <c r="YF415" s="1"/>
      <c r="YG415" s="1"/>
      <c r="YH415" s="1"/>
      <c r="YI415" s="1"/>
      <c r="YJ415" s="1"/>
      <c r="YK415" s="1"/>
      <c r="YL415" s="1"/>
      <c r="YM415" s="1"/>
      <c r="YN415" s="1"/>
      <c r="YO415" s="1"/>
      <c r="YP415" s="1"/>
      <c r="YQ415" s="1"/>
      <c r="YR415" s="1"/>
      <c r="YS415" s="1"/>
      <c r="YT415" s="1"/>
      <c r="YU415" s="1"/>
      <c r="YV415" s="1"/>
      <c r="YW415" s="1"/>
      <c r="YX415" s="1"/>
      <c r="YY415" s="1"/>
      <c r="YZ415" s="1"/>
      <c r="ZA415" s="1"/>
      <c r="ZB415" s="1"/>
      <c r="ZC415" s="1"/>
      <c r="ZD415" s="1"/>
      <c r="ZE415" s="1"/>
      <c r="ZF415" s="1"/>
      <c r="ZG415" s="1"/>
      <c r="ZH415" s="1"/>
      <c r="ZI415" s="1"/>
      <c r="ZJ415" s="1"/>
      <c r="ZK415" s="1"/>
      <c r="ZL415" s="1"/>
      <c r="ZM415" s="1"/>
      <c r="ZN415" s="1"/>
      <c r="ZO415" s="1"/>
      <c r="ZP415" s="1"/>
      <c r="ZQ415" s="1"/>
      <c r="ZR415" s="1"/>
      <c r="ZS415" s="1"/>
      <c r="ZT415" s="1"/>
      <c r="ZU415" s="1"/>
      <c r="ZV415" s="1"/>
      <c r="ZW415" s="1"/>
      <c r="ZX415" s="1"/>
      <c r="ZY415" s="1"/>
      <c r="ZZ415" s="1"/>
      <c r="AAA415" s="1"/>
      <c r="AAB415" s="1"/>
      <c r="AAC415" s="1"/>
      <c r="AAD415" s="1"/>
      <c r="AAE415" s="1"/>
      <c r="AAF415" s="1"/>
      <c r="AAG415" s="1"/>
      <c r="AAH415" s="1"/>
      <c r="AAI415" s="1"/>
      <c r="AAJ415" s="1"/>
      <c r="AAK415" s="1"/>
      <c r="AAL415" s="1"/>
      <c r="AAM415" s="1"/>
      <c r="AAN415" s="1"/>
      <c r="AAO415" s="1"/>
      <c r="AAP415" s="1"/>
      <c r="AAQ415" s="1"/>
      <c r="AAR415" s="1"/>
      <c r="AAS415" s="1"/>
      <c r="AAT415" s="1"/>
      <c r="AAU415" s="1"/>
      <c r="AAV415" s="1"/>
      <c r="AAW415" s="1"/>
      <c r="AAX415" s="1"/>
      <c r="AAY415" s="1"/>
      <c r="AAZ415" s="1"/>
      <c r="ABA415" s="1"/>
      <c r="ABB415" s="1"/>
      <c r="ABC415" s="1"/>
      <c r="ABD415" s="1"/>
      <c r="ABE415" s="1"/>
      <c r="ABF415" s="1"/>
      <c r="ABG415" s="1"/>
      <c r="ABH415" s="1"/>
      <c r="ABI415" s="1"/>
      <c r="ABJ415" s="1"/>
      <c r="ABK415" s="1"/>
      <c r="ABL415" s="1"/>
      <c r="ABM415" s="1"/>
      <c r="ABN415" s="1"/>
      <c r="ABO415" s="1"/>
      <c r="ABP415" s="1"/>
      <c r="ABQ415" s="1"/>
      <c r="ABR415" s="1"/>
      <c r="ABS415" s="1"/>
      <c r="ABT415" s="1"/>
      <c r="ABU415" s="1"/>
      <c r="ABV415" s="1"/>
      <c r="ABW415" s="1"/>
      <c r="ABX415" s="1"/>
      <c r="ABY415" s="1"/>
      <c r="ABZ415" s="1"/>
      <c r="ACA415" s="1"/>
      <c r="ACB415" s="1"/>
      <c r="ACC415" s="1"/>
      <c r="ACD415" s="1"/>
      <c r="ACE415" s="1"/>
      <c r="ACF415" s="1"/>
      <c r="ACG415" s="1"/>
      <c r="ACH415" s="1"/>
      <c r="ACI415" s="1"/>
      <c r="ACJ415" s="1"/>
      <c r="ACK415" s="1"/>
      <c r="ACL415" s="1"/>
      <c r="ACM415" s="1"/>
      <c r="ACN415" s="1"/>
      <c r="ACO415" s="1"/>
      <c r="ACP415" s="1"/>
      <c r="ACQ415" s="1"/>
      <c r="ACR415" s="1"/>
      <c r="ACS415" s="1"/>
      <c r="ACT415" s="1"/>
      <c r="ACU415" s="1"/>
      <c r="ACV415" s="1"/>
      <c r="ACW415" s="1"/>
      <c r="ACX415" s="1"/>
      <c r="ACY415" s="1"/>
      <c r="ACZ415" s="1"/>
      <c r="ADA415" s="1"/>
      <c r="ADB415" s="1"/>
      <c r="ADC415" s="1"/>
      <c r="ADD415" s="1"/>
      <c r="ADE415" s="1"/>
      <c r="ADF415" s="1"/>
      <c r="ADG415" s="1"/>
      <c r="ADH415" s="1"/>
      <c r="ADI415" s="1"/>
      <c r="ADJ415" s="1"/>
      <c r="ADK415" s="1"/>
      <c r="ADL415" s="1"/>
      <c r="ADM415" s="1"/>
      <c r="ADN415" s="1"/>
      <c r="ADO415" s="1"/>
      <c r="ADP415" s="1"/>
      <c r="ADQ415" s="1"/>
      <c r="ADR415" s="1"/>
      <c r="ADS415" s="1"/>
      <c r="ADT415" s="1"/>
      <c r="ADU415" s="1"/>
      <c r="ADV415" s="1"/>
      <c r="ADW415" s="1"/>
      <c r="ADX415" s="1"/>
      <c r="ADY415" s="1"/>
      <c r="ADZ415" s="1"/>
      <c r="AEA415" s="1"/>
      <c r="AEB415" s="1"/>
      <c r="AEC415" s="1"/>
      <c r="AED415" s="1"/>
      <c r="AEE415" s="1"/>
      <c r="AEF415" s="1"/>
      <c r="AEG415" s="1"/>
      <c r="AEH415" s="1"/>
      <c r="AEI415" s="1"/>
      <c r="AEJ415" s="1"/>
      <c r="AEK415" s="1"/>
      <c r="AEL415" s="1"/>
      <c r="AEM415" s="1"/>
      <c r="AEN415" s="1"/>
      <c r="AEO415" s="1"/>
      <c r="AEP415" s="1"/>
      <c r="AEQ415" s="1"/>
      <c r="AER415" s="1"/>
      <c r="AES415" s="1"/>
      <c r="AET415" s="1"/>
      <c r="AEU415" s="1"/>
      <c r="AEV415" s="1"/>
      <c r="AEW415" s="1"/>
      <c r="AEX415" s="1"/>
      <c r="AEY415" s="1"/>
      <c r="AEZ415" s="1"/>
      <c r="AFA415" s="1"/>
      <c r="AFB415" s="1"/>
      <c r="AFC415" s="1"/>
      <c r="AFD415" s="1"/>
      <c r="AFE415" s="1"/>
      <c r="AFF415" s="1"/>
      <c r="AFG415" s="1"/>
      <c r="AFH415" s="1"/>
      <c r="AFI415" s="1"/>
      <c r="AFJ415" s="1"/>
      <c r="AFK415" s="1"/>
      <c r="AFL415" s="1"/>
      <c r="AFM415" s="1"/>
      <c r="AFN415" s="1"/>
      <c r="AFO415" s="1"/>
      <c r="AFP415" s="1"/>
      <c r="AFQ415" s="1"/>
      <c r="AFR415" s="1"/>
      <c r="AFS415" s="1"/>
      <c r="AFT415" s="1"/>
      <c r="AFU415" s="1"/>
      <c r="AFV415" s="1"/>
      <c r="AFW415" s="1"/>
      <c r="AFX415" s="1"/>
      <c r="AFY415" s="1"/>
      <c r="AFZ415" s="1"/>
      <c r="AGA415" s="1"/>
      <c r="AGB415" s="1"/>
      <c r="AGC415" s="1"/>
      <c r="AGD415" s="1"/>
      <c r="AGE415" s="1"/>
      <c r="AGF415" s="1"/>
      <c r="AGG415" s="1"/>
      <c r="AGH415" s="1"/>
      <c r="AGI415" s="1"/>
      <c r="AGJ415" s="1"/>
      <c r="AGK415" s="1"/>
      <c r="AGL415" s="1"/>
      <c r="AGM415" s="1"/>
      <c r="AGN415" s="1"/>
      <c r="AGO415" s="1"/>
      <c r="AGP415" s="1"/>
      <c r="AGQ415" s="1"/>
      <c r="AGR415" s="1"/>
      <c r="AGS415" s="1"/>
      <c r="AGT415" s="1"/>
      <c r="AGU415" s="1"/>
      <c r="AGV415" s="1"/>
      <c r="AGW415" s="1"/>
      <c r="AGX415" s="1"/>
      <c r="AGY415" s="1"/>
      <c r="AGZ415" s="1"/>
      <c r="AHA415" s="1"/>
      <c r="AHB415" s="1"/>
      <c r="AHC415" s="1"/>
      <c r="AHD415" s="1"/>
      <c r="AHE415" s="1"/>
      <c r="AHF415" s="1"/>
      <c r="AHG415" s="1"/>
      <c r="AHH415" s="1"/>
      <c r="AHI415" s="1"/>
      <c r="AHJ415" s="1"/>
      <c r="AHK415" s="1"/>
      <c r="AHL415" s="1"/>
      <c r="AHM415" s="1"/>
      <c r="AHN415" s="1"/>
      <c r="AHO415" s="1"/>
      <c r="AHP415" s="1"/>
      <c r="AHQ415" s="1"/>
      <c r="AHR415" s="1"/>
      <c r="AHS415" s="1"/>
      <c r="AHT415" s="1"/>
      <c r="AHU415" s="1"/>
      <c r="AHV415" s="1"/>
      <c r="AHW415" s="1"/>
      <c r="AHX415" s="1"/>
      <c r="AHY415" s="1"/>
      <c r="AHZ415" s="1"/>
      <c r="AIA415" s="1"/>
      <c r="AIB415" s="1"/>
      <c r="AIC415" s="1"/>
      <c r="AID415" s="1"/>
      <c r="AIE415" s="1"/>
      <c r="AIF415" s="1"/>
      <c r="AIG415" s="1"/>
      <c r="AIH415" s="1"/>
      <c r="AII415" s="1"/>
      <c r="AIJ415" s="1"/>
      <c r="AIK415" s="1"/>
      <c r="AIL415" s="1"/>
      <c r="AIM415" s="1"/>
      <c r="AIN415" s="1"/>
      <c r="AIO415" s="1"/>
      <c r="AIP415" s="1"/>
      <c r="AIQ415" s="1"/>
      <c r="AIR415" s="1"/>
      <c r="AIS415" s="1"/>
      <c r="AIT415" s="1"/>
      <c r="AIU415" s="1"/>
      <c r="AIV415" s="1"/>
      <c r="AIW415" s="1"/>
      <c r="AIX415" s="1"/>
      <c r="AIY415" s="1"/>
      <c r="AIZ415" s="1"/>
      <c r="AJA415" s="1"/>
      <c r="AJB415" s="1"/>
      <c r="AJC415" s="1"/>
      <c r="AJD415" s="1"/>
      <c r="AJE415" s="1"/>
      <c r="AJF415" s="1"/>
      <c r="AJG415" s="1"/>
      <c r="AJH415" s="1"/>
      <c r="AJI415" s="1"/>
      <c r="AJJ415" s="1"/>
      <c r="AJK415" s="1"/>
      <c r="AJL415" s="1"/>
      <c r="AJM415" s="1"/>
      <c r="AJN415" s="1"/>
      <c r="AJO415" s="1"/>
      <c r="AJP415" s="1"/>
      <c r="AJQ415" s="1"/>
      <c r="AJR415" s="1"/>
      <c r="AJS415" s="1"/>
      <c r="AJT415" s="1"/>
      <c r="AJU415" s="1"/>
      <c r="AJV415" s="1"/>
      <c r="AJW415" s="1"/>
      <c r="AJX415" s="1"/>
      <c r="AJY415" s="1"/>
      <c r="AJZ415" s="1"/>
      <c r="AKA415" s="1"/>
      <c r="AKB415" s="1"/>
      <c r="AKC415" s="1"/>
      <c r="AKD415" s="1"/>
      <c r="AKE415" s="1"/>
      <c r="AKF415" s="1"/>
      <c r="AKG415" s="1"/>
      <c r="AKH415" s="1"/>
      <c r="AKI415" s="1"/>
      <c r="AKJ415" s="1"/>
      <c r="AKK415" s="1"/>
      <c r="AKL415" s="1"/>
      <c r="AKM415" s="1"/>
      <c r="AKN415" s="1"/>
      <c r="AKO415" s="1"/>
      <c r="AKP415" s="1"/>
      <c r="AKQ415" s="1"/>
      <c r="AKR415" s="1"/>
      <c r="AKS415" s="1"/>
      <c r="AKT415" s="1"/>
      <c r="AKU415" s="1"/>
      <c r="AKV415" s="1"/>
      <c r="AKW415" s="1"/>
      <c r="AKX415" s="1"/>
      <c r="AKY415" s="1"/>
      <c r="AKZ415" s="1"/>
      <c r="ALA415" s="1"/>
      <c r="ALB415" s="1"/>
      <c r="ALC415" s="1"/>
      <c r="ALD415" s="1"/>
      <c r="ALE415" s="1"/>
      <c r="ALF415" s="1"/>
      <c r="ALG415" s="1"/>
      <c r="ALH415" s="1"/>
      <c r="ALI415" s="1"/>
      <c r="ALJ415" s="1"/>
      <c r="ALK415" s="1"/>
      <c r="ALL415" s="1"/>
      <c r="ALM415" s="1"/>
      <c r="ALN415" s="1"/>
      <c r="ALO415" s="1"/>
      <c r="ALP415" s="1"/>
      <c r="ALQ415" s="1"/>
      <c r="ALR415" s="1"/>
      <c r="ALS415" s="1"/>
      <c r="ALT415" s="1"/>
      <c r="ALU415" s="1"/>
      <c r="ALV415" s="1"/>
      <c r="ALW415" s="1"/>
      <c r="ALX415" s="1"/>
      <c r="ALY415" s="1"/>
      <c r="ALZ415" s="1"/>
      <c r="AMA415" s="1"/>
      <c r="AMB415" s="1"/>
      <c r="AMC415" s="1"/>
      <c r="AMD415" s="1"/>
      <c r="AME415" s="1"/>
      <c r="AMF415" s="1"/>
      <c r="AMG415" s="1"/>
      <c r="AMH415" s="1"/>
      <c r="AMI415" s="1"/>
      <c r="AMJ415" s="1"/>
      <c r="AMK415" s="1"/>
      <c r="AML415" s="1"/>
      <c r="AMM415" s="1"/>
      <c r="AMN415" s="1"/>
      <c r="AMO415" s="1"/>
    </row>
    <row r="416" spans="1:1030" s="12" customFormat="1" x14ac:dyDescent="0.2">
      <c r="A416" s="9" t="str">
        <f>CONCATENATE(B416,"_",C416)</f>
        <v>glr_human_6LMK</v>
      </c>
      <c r="B416" s="9" t="s">
        <v>32</v>
      </c>
      <c r="C416" s="9" t="s">
        <v>1669</v>
      </c>
      <c r="D416" s="9" t="str">
        <f>IFERROR(MID(VLOOKUP($B416,Seqs!$A:$B,2,0),E416,1),"")</f>
        <v>D</v>
      </c>
      <c r="E416" s="9">
        <v>124</v>
      </c>
      <c r="F416" s="9" t="str">
        <f>IFERROR(MID(VLOOKUP($B416,Seqs!$A:$B,2,0),G416,1),"")</f>
        <v>G</v>
      </c>
      <c r="G416" s="9">
        <v>165</v>
      </c>
      <c r="H416" s="9" t="str">
        <f>IFERROR(MID(VLOOKUP($B416,Seqs!$A:$B,2,0),I416,1),"")</f>
        <v/>
      </c>
      <c r="I416" s="109" t="s">
        <v>23</v>
      </c>
      <c r="J416" s="9" t="str">
        <f>IFERROR(MID(VLOOKUP($B416,Seqs!$A:$B,2,0),K416,1),"")</f>
        <v/>
      </c>
      <c r="K416" s="109" t="s">
        <v>23</v>
      </c>
      <c r="L416" s="9" t="str">
        <f>IFERROR(MID(VLOOKUP($B416,Seqs!$A:$B,2,0),M416,1),"")</f>
        <v>C</v>
      </c>
      <c r="M416" s="109">
        <v>171</v>
      </c>
      <c r="N416" s="9" t="str">
        <f>IFERROR(MID(VLOOKUP($B416,Seqs!$A:$B,2,0),O416,1),"")</f>
        <v>S</v>
      </c>
      <c r="O416" s="9">
        <v>203</v>
      </c>
      <c r="P416" s="9" t="str">
        <f>IFERROR(MID(VLOOKUP($B416,Seqs!$A:$B,2,0),Q416,1),"")</f>
        <v/>
      </c>
      <c r="Q416" s="9" t="s">
        <v>23</v>
      </c>
      <c r="R416" s="9" t="str">
        <f>IFERROR(MID(VLOOKUP($B416,Seqs!$A:$B,2,0),S416,1),"")</f>
        <v/>
      </c>
      <c r="S416" s="9" t="s">
        <v>23</v>
      </c>
      <c r="T416" s="9" t="str">
        <f>IFERROR(MID(VLOOKUP($B416,Seqs!$A:$B,2,0),U416,1),"")</f>
        <v>A</v>
      </c>
      <c r="U416" s="9">
        <v>220</v>
      </c>
      <c r="V416" s="9" t="str">
        <f>IFERROR(MID(VLOOKUP($B416,Seqs!$A:$B,2,0),W416,1),"")</f>
        <v>L</v>
      </c>
      <c r="W416" s="9">
        <v>253</v>
      </c>
      <c r="X416" s="9" t="str">
        <f>IFERROR(MID(VLOOKUP($B416,Seqs!$A:$B,2,0),Y416,1),"")</f>
        <v/>
      </c>
      <c r="Y416" s="9" t="s">
        <v>23</v>
      </c>
      <c r="Z416" s="9" t="str">
        <f>IFERROR(MID(VLOOKUP($B416,Seqs!$A:$B,2,0),AA416,1),"")</f>
        <v/>
      </c>
      <c r="AA416" s="9" t="s">
        <v>23</v>
      </c>
      <c r="AB416" s="9" t="str">
        <f>IFERROR(MID(VLOOKUP($B416,Seqs!$A:$B,2,0),AC416,1),"")</f>
        <v>F</v>
      </c>
      <c r="AC416" s="9">
        <v>263</v>
      </c>
      <c r="AD416" s="9" t="str">
        <f>IFERROR(MID(VLOOKUP($B416,Seqs!$A:$B,2,0),AE416,1),"")</f>
        <v>E</v>
      </c>
      <c r="AE416" s="9">
        <v>290</v>
      </c>
      <c r="AF416" s="9" t="str">
        <f>IFERROR(MID(VLOOKUP($B416,Seqs!$A:$B,2,0),AG416,1),"")</f>
        <v>C</v>
      </c>
      <c r="AG416" s="9">
        <v>294</v>
      </c>
      <c r="AH416" s="9" t="str">
        <f>IFERROR(MID(VLOOKUP($B416,Seqs!$A:$B,2,0),AI416,1),"")</f>
        <v>T</v>
      </c>
      <c r="AI416" s="9">
        <v>296</v>
      </c>
      <c r="AJ416" s="9" t="str">
        <f>IFERROR(MID(VLOOKUP($B416,Seqs!$A:$B,2,0),AK416,1),"")</f>
        <v>W</v>
      </c>
      <c r="AK416" s="9">
        <v>304</v>
      </c>
      <c r="AL416" s="9" t="str">
        <f>IFERROR(MID(VLOOKUP($B416,Seqs!$A:$B,2,0),AM416,1),"")</f>
        <v>R</v>
      </c>
      <c r="AM416" s="9">
        <v>334</v>
      </c>
      <c r="AN416" s="9" t="str">
        <f>IFERROR(MID(VLOOKUP($B416,Seqs!$A:$B,2,0),AO416,1),"")</f>
        <v>D</v>
      </c>
      <c r="AO416" s="9">
        <v>342</v>
      </c>
      <c r="AP416" s="9" t="str">
        <f>IFERROR(MID(VLOOKUP($B416,Seqs!$A:$B,2,0),AQ416,1),"")</f>
        <v>A</v>
      </c>
      <c r="AQ416" s="9">
        <v>366</v>
      </c>
      <c r="AR416" s="9" t="str">
        <f>IFERROR(MID(VLOOKUP($B416,Seqs!$A:$B,2,0),AS416,1),"")</f>
        <v>Q</v>
      </c>
      <c r="AS416" s="9">
        <v>374</v>
      </c>
      <c r="AT416" s="9" t="str">
        <f>IFERROR(MID(VLOOKUP($B416,Seqs!$A:$B,2,0),AU416,1),"")</f>
        <v>L</v>
      </c>
      <c r="AU416" s="9">
        <v>403</v>
      </c>
      <c r="AV416" s="9" t="str">
        <f>IFERROR(MID(VLOOKUP($B416,Seqs!$A:$B,2,0),AW416,1),"")</f>
        <v>N</v>
      </c>
      <c r="AW416" s="9">
        <v>404</v>
      </c>
      <c r="AX416" s="9" t="str">
        <f>IFERROR(MID(VLOOKUP($B416,Seqs!$A:$B,2,0),AY416,1),"")</f>
        <v>R</v>
      </c>
      <c r="AY416" s="9">
        <v>419</v>
      </c>
      <c r="AZ416" s="110" t="str">
        <f>VLOOKUP(B416,Classification!A:D,2,0)</f>
        <v>B1</v>
      </c>
      <c r="BA416" s="98" t="str">
        <f>VLOOKUP(B416,Classification!A:D,4,0)</f>
        <v>Glucagonreceptorfamily</v>
      </c>
      <c r="BB416" s="36" t="b">
        <f t="shared" ref="BB416" si="1193">AND(E416&lt;G416,OR(G416&lt;I416,I416="-"),OR(I416&lt;K416,I416="-"),OR(K416&lt;M416,K416="-"),M416&lt;O416,OR(O416&lt;Q416,Q416="-"),OR(Q416&lt;S416,Q416="-"),OR(S416&lt;U416,S416="-"),U416&lt;W416,OR(W416&lt;Y416,Y416="-"),OR(Y416&lt;AA416,Y416="-"),OR(AA416&lt;AC416,AA416="-"),AC416&lt;AE416,OR(AE416&lt;AG416,AG416="-"),OR(AG416&lt;AI416,AG416="-"),OR(AI416&lt;AK416,AI416="-"),AK416&lt;AM416,AM416&lt;AO416,AO416&lt;AQ416,AQ416&lt;AS416,AS416&lt;AU416,OR(AU416&lt;AW416,AW416="-"),OR(AW416&lt;AY416,AW416="-"))</f>
        <v>1</v>
      </c>
      <c r="BC416" s="109">
        <f t="shared" ref="BC416" si="1194">_xlfn.AGGREGATE(9,6,CH416:CS416)-_xlfn.AGGREGATE(9,6,BV416:CG416)+12</f>
        <v>245</v>
      </c>
      <c r="BD416" s="11" t="s">
        <v>1369</v>
      </c>
      <c r="BE416" s="9" t="s">
        <v>1285</v>
      </c>
      <c r="BF416" s="119">
        <v>3.7</v>
      </c>
      <c r="BG416" s="51" t="s">
        <v>1416</v>
      </c>
      <c r="BH416" s="51" t="s">
        <v>1416</v>
      </c>
      <c r="BJ416" s="111" t="s">
        <v>1281</v>
      </c>
      <c r="BK416" s="112" t="s">
        <v>1281</v>
      </c>
      <c r="BL416" s="112" t="s">
        <v>1281</v>
      </c>
      <c r="BM416" s="112" t="s">
        <v>1281</v>
      </c>
      <c r="BN416" s="112" t="s">
        <v>1281</v>
      </c>
      <c r="BO416" s="112" t="s">
        <v>1281</v>
      </c>
      <c r="BP416" s="112" t="s">
        <v>1281</v>
      </c>
      <c r="BQ416" s="112" t="s">
        <v>1281</v>
      </c>
      <c r="BR416" s="112" t="s">
        <v>1281</v>
      </c>
      <c r="BS416" s="112" t="s">
        <v>1281</v>
      </c>
      <c r="BT416" s="112" t="s">
        <v>1281</v>
      </c>
      <c r="BU416" s="112" t="s">
        <v>1281</v>
      </c>
      <c r="BV416" s="111">
        <f>E416</f>
        <v>124</v>
      </c>
      <c r="BW416" s="113" t="str">
        <f>I416</f>
        <v>-</v>
      </c>
      <c r="BX416" s="114">
        <f>M416</f>
        <v>171</v>
      </c>
      <c r="BY416" s="113" t="str">
        <f>Q416</f>
        <v>-</v>
      </c>
      <c r="BZ416" s="114">
        <f>U416</f>
        <v>220</v>
      </c>
      <c r="CA416" s="113" t="str">
        <f>Y416</f>
        <v>-</v>
      </c>
      <c r="CB416" s="114">
        <f>AC416</f>
        <v>263</v>
      </c>
      <c r="CC416" s="113">
        <f>AG416</f>
        <v>294</v>
      </c>
      <c r="CD416" s="114">
        <f>AK416</f>
        <v>304</v>
      </c>
      <c r="CE416" s="113">
        <f>AO416</f>
        <v>342</v>
      </c>
      <c r="CF416" s="114">
        <f>AS416</f>
        <v>374</v>
      </c>
      <c r="CG416" s="113">
        <f>AW416</f>
        <v>404</v>
      </c>
      <c r="CH416" s="111">
        <f>G416</f>
        <v>165</v>
      </c>
      <c r="CI416" s="113" t="str">
        <f>K416</f>
        <v>-</v>
      </c>
      <c r="CJ416" s="114">
        <f>O416</f>
        <v>203</v>
      </c>
      <c r="CK416" s="114" t="str">
        <f>S416</f>
        <v>-</v>
      </c>
      <c r="CL416" s="114">
        <f>W416</f>
        <v>253</v>
      </c>
      <c r="CM416" s="114" t="str">
        <f>AA416</f>
        <v>-</v>
      </c>
      <c r="CN416" s="114">
        <f>AE416</f>
        <v>290</v>
      </c>
      <c r="CO416" s="114">
        <f>AI416</f>
        <v>296</v>
      </c>
      <c r="CP416" s="114">
        <f>AM416</f>
        <v>334</v>
      </c>
      <c r="CQ416" s="114">
        <f>AQ416</f>
        <v>366</v>
      </c>
      <c r="CR416" s="114">
        <f>AU416</f>
        <v>403</v>
      </c>
      <c r="CS416" s="114">
        <f>AY416</f>
        <v>419</v>
      </c>
      <c r="CT416" s="109" t="e">
        <f>M416-K416</f>
        <v>#VALUE!</v>
      </c>
    </row>
    <row r="417" spans="1:1029" s="12" customFormat="1" x14ac:dyDescent="0.2">
      <c r="A417" s="9" t="str">
        <f>CONCATENATE(B417,"_",C417)</f>
        <v>glr_human_6LML</v>
      </c>
      <c r="B417" s="9" t="s">
        <v>32</v>
      </c>
      <c r="C417" s="9" t="s">
        <v>1670</v>
      </c>
      <c r="D417" s="9" t="str">
        <f>IFERROR(MID(VLOOKUP($B417,Seqs!$A:$B,2,0),E417,1),"")</f>
        <v>D</v>
      </c>
      <c r="E417" s="9">
        <v>124</v>
      </c>
      <c r="F417" s="9" t="str">
        <f>IFERROR(MID(VLOOKUP($B417,Seqs!$A:$B,2,0),G417,1),"")</f>
        <v>G</v>
      </c>
      <c r="G417" s="9">
        <v>165</v>
      </c>
      <c r="H417" s="9" t="str">
        <f>IFERROR(MID(VLOOKUP($B417,Seqs!$A:$B,2,0),I417,1),"")</f>
        <v/>
      </c>
      <c r="I417" s="109" t="s">
        <v>23</v>
      </c>
      <c r="J417" s="9" t="str">
        <f>IFERROR(MID(VLOOKUP($B417,Seqs!$A:$B,2,0),K417,1),"")</f>
        <v/>
      </c>
      <c r="K417" s="109" t="s">
        <v>23</v>
      </c>
      <c r="L417" s="9" t="str">
        <f>IFERROR(MID(VLOOKUP($B417,Seqs!$A:$B,2,0),M417,1),"")</f>
        <v>C</v>
      </c>
      <c r="M417" s="109">
        <v>171</v>
      </c>
      <c r="N417" s="9" t="str">
        <f>IFERROR(MID(VLOOKUP($B417,Seqs!$A:$B,2,0),O417,1),"")</f>
        <v>S</v>
      </c>
      <c r="O417" s="9">
        <v>203</v>
      </c>
      <c r="P417" s="9" t="str">
        <f>IFERROR(MID(VLOOKUP($B417,Seqs!$A:$B,2,0),Q417,1),"")</f>
        <v/>
      </c>
      <c r="Q417" s="9" t="s">
        <v>23</v>
      </c>
      <c r="R417" s="9" t="str">
        <f>IFERROR(MID(VLOOKUP($B417,Seqs!$A:$B,2,0),S417,1),"")</f>
        <v/>
      </c>
      <c r="S417" s="9" t="s">
        <v>23</v>
      </c>
      <c r="T417" s="9" t="str">
        <f>IFERROR(MID(VLOOKUP($B417,Seqs!$A:$B,2,0),U417,1),"")</f>
        <v>V</v>
      </c>
      <c r="U417" s="9">
        <v>221</v>
      </c>
      <c r="V417" s="9" t="str">
        <f>IFERROR(MID(VLOOKUP($B417,Seqs!$A:$B,2,0),W417,1),"")</f>
        <v>G</v>
      </c>
      <c r="W417" s="9">
        <v>254</v>
      </c>
      <c r="X417" s="9" t="str">
        <f>IFERROR(MID(VLOOKUP($B417,Seqs!$A:$B,2,0),Y417,1),"")</f>
        <v/>
      </c>
      <c r="Y417" s="9" t="s">
        <v>23</v>
      </c>
      <c r="Z417" s="9" t="str">
        <f>IFERROR(MID(VLOOKUP($B417,Seqs!$A:$B,2,0),AA417,1),"")</f>
        <v/>
      </c>
      <c r="AA417" s="9" t="s">
        <v>23</v>
      </c>
      <c r="AB417" s="9" t="str">
        <f>IFERROR(MID(VLOOKUP($B417,Seqs!$A:$B,2,0),AC417,1),"")</f>
        <v>F</v>
      </c>
      <c r="AC417" s="9">
        <v>263</v>
      </c>
      <c r="AD417" s="9" t="str">
        <f>IFERROR(MID(VLOOKUP($B417,Seqs!$A:$B,2,0),AE417,1),"")</f>
        <v>E</v>
      </c>
      <c r="AE417" s="9">
        <v>290</v>
      </c>
      <c r="AF417" s="9" t="str">
        <f>IFERROR(MID(VLOOKUP($B417,Seqs!$A:$B,2,0),AG417,1),"")</f>
        <v>C</v>
      </c>
      <c r="AG417" s="9">
        <v>294</v>
      </c>
      <c r="AH417" s="9" t="str">
        <f>IFERROR(MID(VLOOKUP($B417,Seqs!$A:$B,2,0),AI417,1),"")</f>
        <v>T</v>
      </c>
      <c r="AI417" s="9">
        <v>296</v>
      </c>
      <c r="AJ417" s="9" t="str">
        <f>IFERROR(MID(VLOOKUP($B417,Seqs!$A:$B,2,0),AK417,1),"")</f>
        <v>N</v>
      </c>
      <c r="AK417" s="9">
        <v>300</v>
      </c>
      <c r="AL417" s="9" t="str">
        <f>IFERROR(MID(VLOOKUP($B417,Seqs!$A:$B,2,0),AM417,1),"")</f>
        <v>L</v>
      </c>
      <c r="AM417" s="9">
        <v>333</v>
      </c>
      <c r="AN417" s="9" t="str">
        <f>IFERROR(MID(VLOOKUP($B417,Seqs!$A:$B,2,0),AO417,1),"")</f>
        <v>Y</v>
      </c>
      <c r="AO417" s="9">
        <v>343</v>
      </c>
      <c r="AP417" s="9" t="str">
        <f>IFERROR(MID(VLOOKUP($B417,Seqs!$A:$B,2,0),AQ417,1),"")</f>
        <v>H</v>
      </c>
      <c r="AQ417" s="9">
        <v>361</v>
      </c>
      <c r="AR417" s="9" t="str">
        <f>IFERROR(MID(VLOOKUP($B417,Seqs!$A:$B,2,0),AS417,1),"")</f>
        <v>L</v>
      </c>
      <c r="AS417" s="9">
        <v>377</v>
      </c>
      <c r="AT417" s="9" t="str">
        <f>IFERROR(MID(VLOOKUP($B417,Seqs!$A:$B,2,0),AU417,1),"")</f>
        <v>L</v>
      </c>
      <c r="AU417" s="9">
        <v>403</v>
      </c>
      <c r="AV417" s="9" t="str">
        <f>IFERROR(MID(VLOOKUP($B417,Seqs!$A:$B,2,0),AW417,1),"")</f>
        <v>N</v>
      </c>
      <c r="AW417" s="9">
        <v>404</v>
      </c>
      <c r="AX417" s="9" t="str">
        <f>IFERROR(MID(VLOOKUP($B417,Seqs!$A:$B,2,0),AY417,1),"")</f>
        <v>R</v>
      </c>
      <c r="AY417" s="9">
        <v>419</v>
      </c>
      <c r="AZ417" s="110" t="str">
        <f>VLOOKUP(B417,Classification!A:D,2,0)</f>
        <v>B1</v>
      </c>
      <c r="BA417" s="98" t="str">
        <f>VLOOKUP(B417,Classification!A:D,4,0)</f>
        <v>Glucagonreceptorfamily</v>
      </c>
      <c r="BB417" s="36" t="b">
        <f t="shared" ref="BB417" si="1195">AND(E417&lt;G417,OR(G417&lt;I417,I417="-"),OR(I417&lt;K417,I417="-"),OR(K417&lt;M417,K417="-"),M417&lt;O417,OR(O417&lt;Q417,Q417="-"),OR(Q417&lt;S417,Q417="-"),OR(S417&lt;U417,S417="-"),U417&lt;W417,OR(W417&lt;Y417,Y417="-"),OR(Y417&lt;AA417,Y417="-"),OR(AA417&lt;AC417,AA417="-"),AC417&lt;AE417,OR(AE417&lt;AG417,AG417="-"),OR(AG417&lt;AI417,AG417="-"),OR(AI417&lt;AK417,AI417="-"),AK417&lt;AM417,AM417&lt;AO417,AO417&lt;AQ417,AQ417&lt;AS417,AS417&lt;AU417,OR(AU417&lt;AW417,AW417="-"),OR(AW417&lt;AY417,AW417="-"))</f>
        <v>1</v>
      </c>
      <c r="BC417" s="109">
        <f t="shared" ref="BC417" si="1196">_xlfn.AGGREGATE(9,6,CH417:CS417)-_xlfn.AGGREGATE(9,6,BV417:CG417)+12</f>
        <v>239</v>
      </c>
      <c r="BD417" s="11" t="s">
        <v>23</v>
      </c>
      <c r="BE417" s="9" t="s">
        <v>1285</v>
      </c>
      <c r="BF417" s="119">
        <v>3.9</v>
      </c>
      <c r="BG417" s="51" t="s">
        <v>1416</v>
      </c>
      <c r="BH417" s="51" t="s">
        <v>1416</v>
      </c>
      <c r="BJ417" s="111" t="s">
        <v>1281</v>
      </c>
      <c r="BK417" s="112" t="s">
        <v>1281</v>
      </c>
      <c r="BL417" s="112" t="s">
        <v>1281</v>
      </c>
      <c r="BM417" s="112" t="s">
        <v>1281</v>
      </c>
      <c r="BN417" s="112" t="s">
        <v>1281</v>
      </c>
      <c r="BO417" s="112" t="s">
        <v>1281</v>
      </c>
      <c r="BP417" s="112" t="s">
        <v>1281</v>
      </c>
      <c r="BQ417" s="112" t="s">
        <v>1281</v>
      </c>
      <c r="BR417" s="112" t="s">
        <v>1281</v>
      </c>
      <c r="BS417" s="112" t="s">
        <v>1281</v>
      </c>
      <c r="BT417" s="112" t="s">
        <v>1281</v>
      </c>
      <c r="BU417" s="112" t="s">
        <v>1281</v>
      </c>
      <c r="BV417" s="111">
        <f>E417</f>
        <v>124</v>
      </c>
      <c r="BW417" s="113" t="str">
        <f>I417</f>
        <v>-</v>
      </c>
      <c r="BX417" s="114">
        <f>M417</f>
        <v>171</v>
      </c>
      <c r="BY417" s="113" t="str">
        <f>Q417</f>
        <v>-</v>
      </c>
      <c r="BZ417" s="114">
        <f>U417</f>
        <v>221</v>
      </c>
      <c r="CA417" s="113" t="str">
        <f>Y417</f>
        <v>-</v>
      </c>
      <c r="CB417" s="114">
        <f>AC417</f>
        <v>263</v>
      </c>
      <c r="CC417" s="113">
        <f>AG417</f>
        <v>294</v>
      </c>
      <c r="CD417" s="114">
        <f>AK417</f>
        <v>300</v>
      </c>
      <c r="CE417" s="113">
        <f>AO417</f>
        <v>343</v>
      </c>
      <c r="CF417" s="114">
        <f>AS417</f>
        <v>377</v>
      </c>
      <c r="CG417" s="113">
        <f>AW417</f>
        <v>404</v>
      </c>
      <c r="CH417" s="111">
        <f>G417</f>
        <v>165</v>
      </c>
      <c r="CI417" s="113" t="str">
        <f>K417</f>
        <v>-</v>
      </c>
      <c r="CJ417" s="114">
        <f>O417</f>
        <v>203</v>
      </c>
      <c r="CK417" s="114" t="str">
        <f>S417</f>
        <v>-</v>
      </c>
      <c r="CL417" s="114">
        <f>W417</f>
        <v>254</v>
      </c>
      <c r="CM417" s="114" t="str">
        <f>AA417</f>
        <v>-</v>
      </c>
      <c r="CN417" s="114">
        <f>AE417</f>
        <v>290</v>
      </c>
      <c r="CO417" s="114">
        <f>AI417</f>
        <v>296</v>
      </c>
      <c r="CP417" s="114">
        <f>AM417</f>
        <v>333</v>
      </c>
      <c r="CQ417" s="114">
        <f>AQ417</f>
        <v>361</v>
      </c>
      <c r="CR417" s="114">
        <f>AU417</f>
        <v>403</v>
      </c>
      <c r="CS417" s="114">
        <f>AY417</f>
        <v>419</v>
      </c>
      <c r="CT417" s="109" t="e">
        <f>M417-K417</f>
        <v>#VALUE!</v>
      </c>
    </row>
    <row r="418" spans="1:1029" x14ac:dyDescent="0.2">
      <c r="A418" s="3" t="str">
        <f>CONCATENATE(B418,"_",C418)</f>
        <v>glp1r_human__wt</v>
      </c>
      <c r="B418" s="3" t="s">
        <v>405</v>
      </c>
      <c r="C418" s="3" t="s">
        <v>100</v>
      </c>
      <c r="D418" s="3" t="str">
        <f>IFERROR(MID(VLOOKUP($B418,Seqs!$A:$B,2,0),E418,1),"")</f>
        <v>E</v>
      </c>
      <c r="E418" s="3">
        <v>138</v>
      </c>
      <c r="F418" s="3" t="str">
        <f>IFERROR(MID(VLOOKUP($B418,Seqs!$A:$B,2,0),G418,1),"")</f>
        <v>F</v>
      </c>
      <c r="G418" s="3">
        <v>169</v>
      </c>
      <c r="H418" s="3" t="str">
        <f>IFERROR(MID(VLOOKUP($B418,Seqs!$A:$B,2,0),I418,1),"")</f>
        <v>R</v>
      </c>
      <c r="I418" s="23">
        <v>170</v>
      </c>
      <c r="J418" s="3" t="str">
        <f>IFERROR(MID(VLOOKUP($B418,Seqs!$A:$B,2,0),K418,1),"")</f>
        <v>H</v>
      </c>
      <c r="K418" s="23">
        <v>173</v>
      </c>
      <c r="L418" s="3" t="str">
        <f>IFERROR(MID(VLOOKUP($B418,Seqs!$A:$B,2,0),M418,1),"")</f>
        <v>C</v>
      </c>
      <c r="M418" s="23">
        <v>174</v>
      </c>
      <c r="N418" s="3" t="str">
        <f>IFERROR(MID(VLOOKUP($B418,Seqs!$A:$B,2,0),O418,1),"")</f>
        <v>S</v>
      </c>
      <c r="O418" s="3">
        <v>206</v>
      </c>
      <c r="P418" s="3" t="str">
        <f>IFERROR(MID(VLOOKUP($B418,Seqs!$A:$B,2,0),Q418,1),"")</f>
        <v/>
      </c>
      <c r="Q418" s="3" t="s">
        <v>23</v>
      </c>
      <c r="R418" s="3" t="str">
        <f>IFERROR(MID(VLOOKUP($B418,Seqs!$A:$B,2,0),S418,1),"")</f>
        <v/>
      </c>
      <c r="S418" s="3" t="s">
        <v>23</v>
      </c>
      <c r="T418" s="3" t="str">
        <f>IFERROR(MID(VLOOKUP($B418,Seqs!$A:$B,2,0),U418,1),"")</f>
        <v>L</v>
      </c>
      <c r="U418" s="3">
        <v>224</v>
      </c>
      <c r="V418" s="3" t="str">
        <f>IFERROR(MID(VLOOKUP($B418,Seqs!$A:$B,2,0),W418,1),"")</f>
        <v>F</v>
      </c>
      <c r="W418" s="3">
        <v>257</v>
      </c>
      <c r="X418" s="3" t="str">
        <f>IFERROR(MID(VLOOKUP($B418,Seqs!$A:$B,2,0),Y418,1),"")</f>
        <v/>
      </c>
      <c r="Y418" s="3" t="s">
        <v>23</v>
      </c>
      <c r="Z418" s="3" t="str">
        <f>IFERROR(MID(VLOOKUP($B418,Seqs!$A:$B,2,0),AA418,1),"")</f>
        <v/>
      </c>
      <c r="AA418" s="3" t="s">
        <v>23</v>
      </c>
      <c r="AB418" s="3" t="str">
        <f>IFERROR(MID(VLOOKUP($B418,Seqs!$A:$B,2,0),AC418,1),"")</f>
        <v>E</v>
      </c>
      <c r="AC418" s="3">
        <v>262</v>
      </c>
      <c r="AD418" s="3" t="str">
        <f>IFERROR(MID(VLOOKUP($B418,Seqs!$A:$B,2,0),AE418,1),"")</f>
        <v>E</v>
      </c>
      <c r="AE418" s="3">
        <v>292</v>
      </c>
      <c r="AF418" s="3" t="str">
        <f>IFERROR(MID(VLOOKUP($B418,Seqs!$A:$B,2,0),AG418,1),"")</f>
        <v>C</v>
      </c>
      <c r="AG418" s="3">
        <v>296</v>
      </c>
      <c r="AH418" s="3" t="str">
        <f>IFERROR(MID(VLOOKUP($B418,Seqs!$A:$B,2,0),AI418,1),"")</f>
        <v>T</v>
      </c>
      <c r="AI418" s="3">
        <v>298</v>
      </c>
      <c r="AJ418" s="3" t="str">
        <f>IFERROR(MID(VLOOKUP($B418,Seqs!$A:$B,2,0),AK418,1),"")</f>
        <v>N</v>
      </c>
      <c r="AK418" s="3">
        <v>302</v>
      </c>
      <c r="AL418" s="3" t="str">
        <f>IFERROR(MID(VLOOKUP($B418,Seqs!$A:$B,2,0),AM418,1),"")</f>
        <v>A</v>
      </c>
      <c r="AM418" s="3">
        <v>337</v>
      </c>
      <c r="AN418" s="3" t="str">
        <f>IFERROR(MID(VLOOKUP($B418,Seqs!$A:$B,2,0),AO418,1),"")</f>
        <v>D</v>
      </c>
      <c r="AO418" s="3">
        <v>344</v>
      </c>
      <c r="AP418" s="3" t="str">
        <f>IFERROR(MID(VLOOKUP($B418,Seqs!$A:$B,2,0),AQ418,1),"")</f>
        <v>F</v>
      </c>
      <c r="AQ418" s="3">
        <v>369</v>
      </c>
      <c r="AR418" s="3" t="str">
        <f>IFERROR(MID(VLOOKUP($B418,Seqs!$A:$B,2,0),AS418,1),"")</f>
        <v>G</v>
      </c>
      <c r="AS418" s="3">
        <v>377</v>
      </c>
      <c r="AT418" s="3" t="str">
        <f>IFERROR(MID(VLOOKUP($B418,Seqs!$A:$B,2,0),AU418,1),"")</f>
        <v>V</v>
      </c>
      <c r="AU418" s="3">
        <v>405</v>
      </c>
      <c r="AV418" s="3" t="str">
        <f>IFERROR(MID(VLOOKUP($B418,Seqs!$A:$B,2,0),AW418,1),"")</f>
        <v>N</v>
      </c>
      <c r="AW418" s="3">
        <v>406</v>
      </c>
      <c r="AX418" s="3" t="str">
        <f>IFERROR(MID(VLOOKUP($B418,Seqs!$A:$B,2,0),AY418,1),"")</f>
        <v>S</v>
      </c>
      <c r="AY418" s="3">
        <v>431</v>
      </c>
      <c r="AZ418" s="77" t="str">
        <f>VLOOKUP(B418,Classification!A:D,2,0)</f>
        <v>B1</v>
      </c>
      <c r="BA418" s="94" t="str">
        <f>VLOOKUP(B418,Classification!A:D,4,0)</f>
        <v>Glucagonreceptorfamily</v>
      </c>
      <c r="BB418" s="27" t="b">
        <f t="shared" si="1191"/>
        <v>1</v>
      </c>
      <c r="BC418" s="23">
        <f t="shared" si="1192"/>
        <v>256</v>
      </c>
      <c r="BD418" s="4" t="s">
        <v>23</v>
      </c>
      <c r="BE418" s="3" t="s">
        <v>23</v>
      </c>
      <c r="BF418" s="118" t="s">
        <v>23</v>
      </c>
      <c r="BG418" s="49" t="s">
        <v>1371</v>
      </c>
      <c r="BH418" s="49" t="s">
        <v>1371</v>
      </c>
      <c r="BI418" s="1"/>
      <c r="BJ418" s="70" t="s">
        <v>1281</v>
      </c>
      <c r="BK418" s="57" t="s">
        <v>1281</v>
      </c>
      <c r="BL418" s="57" t="s">
        <v>1281</v>
      </c>
      <c r="BM418" s="57" t="s">
        <v>1281</v>
      </c>
      <c r="BN418" s="57" t="s">
        <v>1281</v>
      </c>
      <c r="BO418" s="57" t="s">
        <v>1281</v>
      </c>
      <c r="BP418" s="57" t="s">
        <v>1281</v>
      </c>
      <c r="BQ418" s="57" t="s">
        <v>1281</v>
      </c>
      <c r="BR418" s="57" t="s">
        <v>1281</v>
      </c>
      <c r="BS418" s="57" t="s">
        <v>1281</v>
      </c>
      <c r="BT418" s="57" t="s">
        <v>1281</v>
      </c>
      <c r="BU418" s="57" t="s">
        <v>1281</v>
      </c>
      <c r="BV418" s="70">
        <f>E418</f>
        <v>138</v>
      </c>
      <c r="BW418" s="71">
        <f>I418</f>
        <v>170</v>
      </c>
      <c r="BX418" s="72">
        <f>M418</f>
        <v>174</v>
      </c>
      <c r="BY418" s="71" t="str">
        <f>Q418</f>
        <v>-</v>
      </c>
      <c r="BZ418" s="72">
        <f>U418</f>
        <v>224</v>
      </c>
      <c r="CA418" s="71" t="str">
        <f>Y418</f>
        <v>-</v>
      </c>
      <c r="CB418" s="72">
        <f>AC418</f>
        <v>262</v>
      </c>
      <c r="CC418" s="71">
        <f>AG418</f>
        <v>296</v>
      </c>
      <c r="CD418" s="72">
        <f>AK418</f>
        <v>302</v>
      </c>
      <c r="CE418" s="71">
        <f>AO418</f>
        <v>344</v>
      </c>
      <c r="CF418" s="72">
        <f>AS418</f>
        <v>377</v>
      </c>
      <c r="CG418" s="71">
        <f>AW418</f>
        <v>406</v>
      </c>
      <c r="CH418" s="70">
        <f>G418</f>
        <v>169</v>
      </c>
      <c r="CI418" s="71">
        <f>K418</f>
        <v>173</v>
      </c>
      <c r="CJ418" s="72">
        <f>O418</f>
        <v>206</v>
      </c>
      <c r="CK418" s="72" t="str">
        <f>S418</f>
        <v>-</v>
      </c>
      <c r="CL418" s="72">
        <f>W418</f>
        <v>257</v>
      </c>
      <c r="CM418" s="72" t="str">
        <f>AA418</f>
        <v>-</v>
      </c>
      <c r="CN418" s="72">
        <f>AE418</f>
        <v>292</v>
      </c>
      <c r="CO418" s="72">
        <f>AI418</f>
        <v>298</v>
      </c>
      <c r="CP418" s="72">
        <f>AM418</f>
        <v>337</v>
      </c>
      <c r="CQ418" s="72">
        <f>AQ418</f>
        <v>369</v>
      </c>
      <c r="CR418" s="72">
        <f>AU418</f>
        <v>405</v>
      </c>
      <c r="CS418" s="72">
        <f>AY418</f>
        <v>431</v>
      </c>
      <c r="CT418" s="23">
        <f>M418-K418</f>
        <v>1</v>
      </c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  <c r="NA418" s="1"/>
      <c r="NB418" s="1"/>
      <c r="NC418" s="1"/>
      <c r="ND418" s="1"/>
      <c r="NE418" s="1"/>
      <c r="NF418" s="1"/>
      <c r="NG418" s="1"/>
      <c r="NH418" s="1"/>
      <c r="NI418" s="1"/>
      <c r="NJ418" s="1"/>
      <c r="NK418" s="1"/>
      <c r="NL418" s="1"/>
      <c r="NM418" s="1"/>
      <c r="NN418" s="1"/>
      <c r="NO418" s="1"/>
      <c r="NP418" s="1"/>
      <c r="NQ418" s="1"/>
      <c r="NR418" s="1"/>
      <c r="NS418" s="1"/>
      <c r="NT418" s="1"/>
      <c r="NU418" s="1"/>
      <c r="NV418" s="1"/>
      <c r="NW418" s="1"/>
      <c r="NX418" s="1"/>
      <c r="NY418" s="1"/>
      <c r="NZ418" s="1"/>
      <c r="OA418" s="1"/>
      <c r="OB418" s="1"/>
      <c r="OC418" s="1"/>
      <c r="OD418" s="1"/>
      <c r="OE418" s="1"/>
      <c r="OF418" s="1"/>
      <c r="OG418" s="1"/>
      <c r="OH418" s="1"/>
      <c r="OI418" s="1"/>
      <c r="OJ418" s="1"/>
      <c r="OK418" s="1"/>
      <c r="OL418" s="1"/>
      <c r="OM418" s="1"/>
      <c r="ON418" s="1"/>
      <c r="OO418" s="1"/>
      <c r="OP418" s="1"/>
      <c r="OQ418" s="1"/>
      <c r="OR418" s="1"/>
      <c r="OS418" s="1"/>
      <c r="OT418" s="1"/>
      <c r="OU418" s="1"/>
      <c r="OV418" s="1"/>
      <c r="OW418" s="1"/>
      <c r="OX418" s="1"/>
      <c r="OY418" s="1"/>
      <c r="OZ418" s="1"/>
      <c r="PA418" s="1"/>
      <c r="PB418" s="1"/>
      <c r="PC418" s="1"/>
      <c r="PD418" s="1"/>
      <c r="PE418" s="1"/>
      <c r="PF418" s="1"/>
      <c r="PG418" s="1"/>
      <c r="PH418" s="1"/>
      <c r="PI418" s="1"/>
      <c r="PJ418" s="1"/>
      <c r="PK418" s="1"/>
      <c r="PL418" s="1"/>
      <c r="PM418" s="1"/>
      <c r="PN418" s="1"/>
      <c r="PO418" s="1"/>
      <c r="PP418" s="1"/>
      <c r="PQ418" s="1"/>
      <c r="PR418" s="1"/>
      <c r="PS418" s="1"/>
      <c r="PT418" s="1"/>
      <c r="PU418" s="1"/>
      <c r="PV418" s="1"/>
      <c r="PW418" s="1"/>
      <c r="PX418" s="1"/>
      <c r="PY418" s="1"/>
      <c r="PZ418" s="1"/>
      <c r="QA418" s="1"/>
      <c r="QB418" s="1"/>
      <c r="QC418" s="1"/>
      <c r="QD418" s="1"/>
      <c r="QE418" s="1"/>
      <c r="QF418" s="1"/>
      <c r="QG418" s="1"/>
      <c r="QH418" s="1"/>
      <c r="QI418" s="1"/>
      <c r="QJ418" s="1"/>
      <c r="QK418" s="1"/>
      <c r="QL418" s="1"/>
      <c r="QM418" s="1"/>
      <c r="QN418" s="1"/>
      <c r="QO418" s="1"/>
      <c r="QP418" s="1"/>
      <c r="QQ418" s="1"/>
      <c r="QR418" s="1"/>
      <c r="QS418" s="1"/>
      <c r="QT418" s="1"/>
      <c r="QU418" s="1"/>
      <c r="QV418" s="1"/>
      <c r="QW418" s="1"/>
      <c r="QX418" s="1"/>
      <c r="QY418" s="1"/>
      <c r="QZ418" s="1"/>
      <c r="RA418" s="1"/>
      <c r="RB418" s="1"/>
      <c r="RC418" s="1"/>
      <c r="RD418" s="1"/>
      <c r="RE418" s="1"/>
      <c r="RF418" s="1"/>
      <c r="RG418" s="1"/>
      <c r="RH418" s="1"/>
      <c r="RI418" s="1"/>
      <c r="RJ418" s="1"/>
      <c r="RK418" s="1"/>
      <c r="RL418" s="1"/>
      <c r="RM418" s="1"/>
      <c r="RN418" s="1"/>
      <c r="RO418" s="1"/>
      <c r="RP418" s="1"/>
      <c r="RQ418" s="1"/>
      <c r="RR418" s="1"/>
      <c r="RS418" s="1"/>
      <c r="RT418" s="1"/>
      <c r="RU418" s="1"/>
      <c r="RV418" s="1"/>
      <c r="RW418" s="1"/>
      <c r="RX418" s="1"/>
      <c r="RY418" s="1"/>
      <c r="RZ418" s="1"/>
      <c r="SA418" s="1"/>
      <c r="SB418" s="1"/>
      <c r="SC418" s="1"/>
      <c r="SD418" s="1"/>
      <c r="SE418" s="1"/>
      <c r="SF418" s="1"/>
      <c r="SG418" s="1"/>
      <c r="SH418" s="1"/>
      <c r="SI418" s="1"/>
      <c r="SJ418" s="1"/>
      <c r="SK418" s="1"/>
      <c r="SL418" s="1"/>
      <c r="SM418" s="1"/>
      <c r="SN418" s="1"/>
      <c r="SO418" s="1"/>
      <c r="SP418" s="1"/>
      <c r="SQ418" s="1"/>
      <c r="SR418" s="1"/>
      <c r="SS418" s="1"/>
      <c r="ST418" s="1"/>
      <c r="SU418" s="1"/>
      <c r="SV418" s="1"/>
      <c r="SW418" s="1"/>
      <c r="SX418" s="1"/>
      <c r="SY418" s="1"/>
      <c r="SZ418" s="1"/>
      <c r="TA418" s="1"/>
      <c r="TB418" s="1"/>
      <c r="TC418" s="1"/>
      <c r="TD418" s="1"/>
      <c r="TE418" s="1"/>
      <c r="TF418" s="1"/>
      <c r="TG418" s="1"/>
      <c r="TH418" s="1"/>
      <c r="TI418" s="1"/>
      <c r="TJ418" s="1"/>
      <c r="TK418" s="1"/>
      <c r="TL418" s="1"/>
      <c r="TM418" s="1"/>
      <c r="TN418" s="1"/>
      <c r="TO418" s="1"/>
      <c r="TP418" s="1"/>
      <c r="TQ418" s="1"/>
      <c r="TR418" s="1"/>
      <c r="TS418" s="1"/>
      <c r="TT418" s="1"/>
      <c r="TU418" s="1"/>
      <c r="TV418" s="1"/>
      <c r="TW418" s="1"/>
      <c r="TX418" s="1"/>
      <c r="TY418" s="1"/>
      <c r="TZ418" s="1"/>
      <c r="UA418" s="1"/>
      <c r="UB418" s="1"/>
      <c r="UC418" s="1"/>
      <c r="UD418" s="1"/>
      <c r="UE418" s="1"/>
      <c r="UF418" s="1"/>
      <c r="UG418" s="1"/>
      <c r="UH418" s="1"/>
      <c r="UI418" s="1"/>
      <c r="UJ418" s="1"/>
      <c r="UK418" s="1"/>
      <c r="UL418" s="1"/>
      <c r="UM418" s="1"/>
      <c r="UN418" s="1"/>
      <c r="UO418" s="1"/>
      <c r="UP418" s="1"/>
      <c r="UQ418" s="1"/>
      <c r="UR418" s="1"/>
      <c r="US418" s="1"/>
      <c r="UT418" s="1"/>
      <c r="UU418" s="1"/>
      <c r="UV418" s="1"/>
      <c r="UW418" s="1"/>
      <c r="UX418" s="1"/>
      <c r="UY418" s="1"/>
      <c r="UZ418" s="1"/>
      <c r="VA418" s="1"/>
      <c r="VB418" s="1"/>
      <c r="VC418" s="1"/>
      <c r="VD418" s="1"/>
      <c r="VE418" s="1"/>
      <c r="VF418" s="1"/>
      <c r="VG418" s="1"/>
      <c r="VH418" s="1"/>
      <c r="VI418" s="1"/>
      <c r="VJ418" s="1"/>
      <c r="VK418" s="1"/>
      <c r="VL418" s="1"/>
      <c r="VM418" s="1"/>
      <c r="VN418" s="1"/>
      <c r="VO418" s="1"/>
      <c r="VP418" s="1"/>
      <c r="VQ418" s="1"/>
      <c r="VR418" s="1"/>
      <c r="VS418" s="1"/>
      <c r="VT418" s="1"/>
      <c r="VU418" s="1"/>
      <c r="VV418" s="1"/>
      <c r="VW418" s="1"/>
      <c r="VX418" s="1"/>
      <c r="VY418" s="1"/>
      <c r="VZ418" s="1"/>
      <c r="WA418" s="1"/>
      <c r="WB418" s="1"/>
      <c r="WC418" s="1"/>
      <c r="WD418" s="1"/>
      <c r="WE418" s="1"/>
      <c r="WF418" s="1"/>
      <c r="WG418" s="1"/>
      <c r="WH418" s="1"/>
      <c r="WI418" s="1"/>
      <c r="WJ418" s="1"/>
      <c r="WK418" s="1"/>
      <c r="WL418" s="1"/>
      <c r="WM418" s="1"/>
      <c r="WN418" s="1"/>
      <c r="WO418" s="1"/>
      <c r="WP418" s="1"/>
      <c r="WQ418" s="1"/>
      <c r="WR418" s="1"/>
      <c r="WS418" s="1"/>
      <c r="WT418" s="1"/>
      <c r="WU418" s="1"/>
      <c r="WV418" s="1"/>
      <c r="WW418" s="1"/>
      <c r="WX418" s="1"/>
      <c r="WY418" s="1"/>
      <c r="WZ418" s="1"/>
      <c r="XA418" s="1"/>
      <c r="XB418" s="1"/>
      <c r="XC418" s="1"/>
      <c r="XD418" s="1"/>
      <c r="XE418" s="1"/>
      <c r="XF418" s="1"/>
      <c r="XG418" s="1"/>
      <c r="XH418" s="1"/>
      <c r="XI418" s="1"/>
      <c r="XJ418" s="1"/>
      <c r="XK418" s="1"/>
      <c r="XL418" s="1"/>
      <c r="XM418" s="1"/>
      <c r="XN418" s="1"/>
      <c r="XO418" s="1"/>
      <c r="XP418" s="1"/>
      <c r="XQ418" s="1"/>
      <c r="XR418" s="1"/>
      <c r="XS418" s="1"/>
      <c r="XT418" s="1"/>
      <c r="XU418" s="1"/>
      <c r="XV418" s="1"/>
      <c r="XW418" s="1"/>
      <c r="XX418" s="1"/>
      <c r="XY418" s="1"/>
      <c r="XZ418" s="1"/>
      <c r="YA418" s="1"/>
      <c r="YB418" s="1"/>
      <c r="YC418" s="1"/>
      <c r="YD418" s="1"/>
      <c r="YE418" s="1"/>
      <c r="YF418" s="1"/>
      <c r="YG418" s="1"/>
      <c r="YH418" s="1"/>
      <c r="YI418" s="1"/>
      <c r="YJ418" s="1"/>
      <c r="YK418" s="1"/>
      <c r="YL418" s="1"/>
      <c r="YM418" s="1"/>
      <c r="YN418" s="1"/>
      <c r="YO418" s="1"/>
      <c r="YP418" s="1"/>
      <c r="YQ418" s="1"/>
      <c r="YR418" s="1"/>
      <c r="YS418" s="1"/>
      <c r="YT418" s="1"/>
      <c r="YU418" s="1"/>
      <c r="YV418" s="1"/>
      <c r="YW418" s="1"/>
      <c r="YX418" s="1"/>
      <c r="YY418" s="1"/>
      <c r="YZ418" s="1"/>
      <c r="ZA418" s="1"/>
      <c r="ZB418" s="1"/>
      <c r="ZC418" s="1"/>
      <c r="ZD418" s="1"/>
      <c r="ZE418" s="1"/>
      <c r="ZF418" s="1"/>
      <c r="ZG418" s="1"/>
      <c r="ZH418" s="1"/>
      <c r="ZI418" s="1"/>
      <c r="ZJ418" s="1"/>
      <c r="ZK418" s="1"/>
      <c r="ZL418" s="1"/>
      <c r="ZM418" s="1"/>
      <c r="ZN418" s="1"/>
      <c r="ZO418" s="1"/>
      <c r="ZP418" s="1"/>
      <c r="ZQ418" s="1"/>
      <c r="ZR418" s="1"/>
      <c r="ZS418" s="1"/>
      <c r="ZT418" s="1"/>
      <c r="ZU418" s="1"/>
      <c r="ZV418" s="1"/>
      <c r="ZW418" s="1"/>
      <c r="ZX418" s="1"/>
      <c r="ZY418" s="1"/>
      <c r="ZZ418" s="1"/>
      <c r="AAA418" s="1"/>
      <c r="AAB418" s="1"/>
      <c r="AAC418" s="1"/>
      <c r="AAD418" s="1"/>
      <c r="AAE418" s="1"/>
      <c r="AAF418" s="1"/>
      <c r="AAG418" s="1"/>
      <c r="AAH418" s="1"/>
      <c r="AAI418" s="1"/>
      <c r="AAJ418" s="1"/>
      <c r="AAK418" s="1"/>
      <c r="AAL418" s="1"/>
      <c r="AAM418" s="1"/>
      <c r="AAN418" s="1"/>
      <c r="AAO418" s="1"/>
      <c r="AAP418" s="1"/>
      <c r="AAQ418" s="1"/>
      <c r="AAR418" s="1"/>
      <c r="AAS418" s="1"/>
      <c r="AAT418" s="1"/>
      <c r="AAU418" s="1"/>
      <c r="AAV418" s="1"/>
      <c r="AAW418" s="1"/>
      <c r="AAX418" s="1"/>
      <c r="AAY418" s="1"/>
      <c r="AAZ418" s="1"/>
      <c r="ABA418" s="1"/>
      <c r="ABB418" s="1"/>
      <c r="ABC418" s="1"/>
      <c r="ABD418" s="1"/>
      <c r="ABE418" s="1"/>
      <c r="ABF418" s="1"/>
      <c r="ABG418" s="1"/>
      <c r="ABH418" s="1"/>
      <c r="ABI418" s="1"/>
      <c r="ABJ418" s="1"/>
      <c r="ABK418" s="1"/>
      <c r="ABL418" s="1"/>
      <c r="ABM418" s="1"/>
      <c r="ABN418" s="1"/>
      <c r="ABO418" s="1"/>
      <c r="ABP418" s="1"/>
      <c r="ABQ418" s="1"/>
      <c r="ABR418" s="1"/>
      <c r="ABS418" s="1"/>
      <c r="ABT418" s="1"/>
      <c r="ABU418" s="1"/>
      <c r="ABV418" s="1"/>
      <c r="ABW418" s="1"/>
      <c r="ABX418" s="1"/>
      <c r="ABY418" s="1"/>
      <c r="ABZ418" s="1"/>
      <c r="ACA418" s="1"/>
      <c r="ACB418" s="1"/>
      <c r="ACC418" s="1"/>
      <c r="ACD418" s="1"/>
      <c r="ACE418" s="1"/>
      <c r="ACF418" s="1"/>
      <c r="ACG418" s="1"/>
      <c r="ACH418" s="1"/>
      <c r="ACI418" s="1"/>
      <c r="ACJ418" s="1"/>
      <c r="ACK418" s="1"/>
      <c r="ACL418" s="1"/>
      <c r="ACM418" s="1"/>
      <c r="ACN418" s="1"/>
      <c r="ACO418" s="1"/>
      <c r="ACP418" s="1"/>
      <c r="ACQ418" s="1"/>
      <c r="ACR418" s="1"/>
      <c r="ACS418" s="1"/>
      <c r="ACT418" s="1"/>
      <c r="ACU418" s="1"/>
      <c r="ACV418" s="1"/>
      <c r="ACW418" s="1"/>
      <c r="ACX418" s="1"/>
      <c r="ACY418" s="1"/>
      <c r="ACZ418" s="1"/>
      <c r="ADA418" s="1"/>
      <c r="ADB418" s="1"/>
      <c r="ADC418" s="1"/>
      <c r="ADD418" s="1"/>
      <c r="ADE418" s="1"/>
      <c r="ADF418" s="1"/>
      <c r="ADG418" s="1"/>
      <c r="ADH418" s="1"/>
      <c r="ADI418" s="1"/>
      <c r="ADJ418" s="1"/>
      <c r="ADK418" s="1"/>
      <c r="ADL418" s="1"/>
      <c r="ADM418" s="1"/>
      <c r="ADN418" s="1"/>
      <c r="ADO418" s="1"/>
      <c r="ADP418" s="1"/>
      <c r="ADQ418" s="1"/>
      <c r="ADR418" s="1"/>
      <c r="ADS418" s="1"/>
      <c r="ADT418" s="1"/>
      <c r="ADU418" s="1"/>
      <c r="ADV418" s="1"/>
      <c r="ADW418" s="1"/>
      <c r="ADX418" s="1"/>
      <c r="ADY418" s="1"/>
      <c r="ADZ418" s="1"/>
      <c r="AEA418" s="1"/>
      <c r="AEB418" s="1"/>
      <c r="AEC418" s="1"/>
      <c r="AED418" s="1"/>
      <c r="AEE418" s="1"/>
      <c r="AEF418" s="1"/>
      <c r="AEG418" s="1"/>
      <c r="AEH418" s="1"/>
      <c r="AEI418" s="1"/>
      <c r="AEJ418" s="1"/>
      <c r="AEK418" s="1"/>
      <c r="AEL418" s="1"/>
      <c r="AEM418" s="1"/>
      <c r="AEN418" s="1"/>
      <c r="AEO418" s="1"/>
      <c r="AEP418" s="1"/>
      <c r="AEQ418" s="1"/>
      <c r="AER418" s="1"/>
      <c r="AES418" s="1"/>
      <c r="AET418" s="1"/>
      <c r="AEU418" s="1"/>
      <c r="AEV418" s="1"/>
      <c r="AEW418" s="1"/>
      <c r="AEX418" s="1"/>
      <c r="AEY418" s="1"/>
      <c r="AEZ418" s="1"/>
      <c r="AFA418" s="1"/>
      <c r="AFB418" s="1"/>
      <c r="AFC418" s="1"/>
      <c r="AFD418" s="1"/>
      <c r="AFE418" s="1"/>
      <c r="AFF418" s="1"/>
      <c r="AFG418" s="1"/>
      <c r="AFH418" s="1"/>
      <c r="AFI418" s="1"/>
      <c r="AFJ418" s="1"/>
      <c r="AFK418" s="1"/>
      <c r="AFL418" s="1"/>
      <c r="AFM418" s="1"/>
      <c r="AFN418" s="1"/>
      <c r="AFO418" s="1"/>
      <c r="AFP418" s="1"/>
      <c r="AFQ418" s="1"/>
      <c r="AFR418" s="1"/>
      <c r="AFS418" s="1"/>
      <c r="AFT418" s="1"/>
      <c r="AFU418" s="1"/>
      <c r="AFV418" s="1"/>
      <c r="AFW418" s="1"/>
      <c r="AFX418" s="1"/>
      <c r="AFY418" s="1"/>
      <c r="AFZ418" s="1"/>
      <c r="AGA418" s="1"/>
      <c r="AGB418" s="1"/>
      <c r="AGC418" s="1"/>
      <c r="AGD418" s="1"/>
      <c r="AGE418" s="1"/>
      <c r="AGF418" s="1"/>
      <c r="AGG418" s="1"/>
      <c r="AGH418" s="1"/>
      <c r="AGI418" s="1"/>
      <c r="AGJ418" s="1"/>
      <c r="AGK418" s="1"/>
      <c r="AGL418" s="1"/>
      <c r="AGM418" s="1"/>
      <c r="AGN418" s="1"/>
      <c r="AGO418" s="1"/>
      <c r="AGP418" s="1"/>
      <c r="AGQ418" s="1"/>
      <c r="AGR418" s="1"/>
      <c r="AGS418" s="1"/>
      <c r="AGT418" s="1"/>
      <c r="AGU418" s="1"/>
      <c r="AGV418" s="1"/>
      <c r="AGW418" s="1"/>
      <c r="AGX418" s="1"/>
      <c r="AGY418" s="1"/>
      <c r="AGZ418" s="1"/>
      <c r="AHA418" s="1"/>
      <c r="AHB418" s="1"/>
      <c r="AHC418" s="1"/>
      <c r="AHD418" s="1"/>
      <c r="AHE418" s="1"/>
      <c r="AHF418" s="1"/>
      <c r="AHG418" s="1"/>
      <c r="AHH418" s="1"/>
      <c r="AHI418" s="1"/>
      <c r="AHJ418" s="1"/>
      <c r="AHK418" s="1"/>
      <c r="AHL418" s="1"/>
      <c r="AHM418" s="1"/>
      <c r="AHN418" s="1"/>
      <c r="AHO418" s="1"/>
      <c r="AHP418" s="1"/>
      <c r="AHQ418" s="1"/>
      <c r="AHR418" s="1"/>
      <c r="AHS418" s="1"/>
      <c r="AHT418" s="1"/>
      <c r="AHU418" s="1"/>
      <c r="AHV418" s="1"/>
      <c r="AHW418" s="1"/>
      <c r="AHX418" s="1"/>
      <c r="AHY418" s="1"/>
      <c r="AHZ418" s="1"/>
      <c r="AIA418" s="1"/>
      <c r="AIB418" s="1"/>
      <c r="AIC418" s="1"/>
      <c r="AID418" s="1"/>
      <c r="AIE418" s="1"/>
      <c r="AIF418" s="1"/>
      <c r="AIG418" s="1"/>
      <c r="AIH418" s="1"/>
      <c r="AII418" s="1"/>
      <c r="AIJ418" s="1"/>
      <c r="AIK418" s="1"/>
      <c r="AIL418" s="1"/>
      <c r="AIM418" s="1"/>
      <c r="AIN418" s="1"/>
      <c r="AIO418" s="1"/>
      <c r="AIP418" s="1"/>
      <c r="AIQ418" s="1"/>
      <c r="AIR418" s="1"/>
      <c r="AIS418" s="1"/>
      <c r="AIT418" s="1"/>
      <c r="AIU418" s="1"/>
      <c r="AIV418" s="1"/>
      <c r="AIW418" s="1"/>
      <c r="AIX418" s="1"/>
      <c r="AIY418" s="1"/>
      <c r="AIZ418" s="1"/>
      <c r="AJA418" s="1"/>
      <c r="AJB418" s="1"/>
      <c r="AJC418" s="1"/>
      <c r="AJD418" s="1"/>
      <c r="AJE418" s="1"/>
      <c r="AJF418" s="1"/>
      <c r="AJG418" s="1"/>
      <c r="AJH418" s="1"/>
      <c r="AJI418" s="1"/>
      <c r="AJJ418" s="1"/>
      <c r="AJK418" s="1"/>
      <c r="AJL418" s="1"/>
      <c r="AJM418" s="1"/>
      <c r="AJN418" s="1"/>
      <c r="AJO418" s="1"/>
      <c r="AJP418" s="1"/>
      <c r="AJQ418" s="1"/>
      <c r="AJR418" s="1"/>
      <c r="AJS418" s="1"/>
      <c r="AJT418" s="1"/>
      <c r="AJU418" s="1"/>
      <c r="AJV418" s="1"/>
      <c r="AJW418" s="1"/>
      <c r="AJX418" s="1"/>
      <c r="AJY418" s="1"/>
      <c r="AJZ418" s="1"/>
      <c r="AKA418" s="1"/>
      <c r="AKB418" s="1"/>
      <c r="AKC418" s="1"/>
      <c r="AKD418" s="1"/>
      <c r="AKE418" s="1"/>
      <c r="AKF418" s="1"/>
      <c r="AKG418" s="1"/>
      <c r="AKH418" s="1"/>
      <c r="AKI418" s="1"/>
      <c r="AKJ418" s="1"/>
      <c r="AKK418" s="1"/>
      <c r="AKL418" s="1"/>
      <c r="AKM418" s="1"/>
      <c r="AKN418" s="1"/>
      <c r="AKO418" s="1"/>
      <c r="AKP418" s="1"/>
      <c r="AKQ418" s="1"/>
      <c r="AKR418" s="1"/>
      <c r="AKS418" s="1"/>
      <c r="AKT418" s="1"/>
      <c r="AKU418" s="1"/>
      <c r="AKV418" s="1"/>
      <c r="AKW418" s="1"/>
      <c r="AKX418" s="1"/>
      <c r="AKY418" s="1"/>
      <c r="AKZ418" s="1"/>
      <c r="ALA418" s="1"/>
      <c r="ALB418" s="1"/>
      <c r="ALC418" s="1"/>
      <c r="ALD418" s="1"/>
      <c r="ALE418" s="1"/>
      <c r="ALF418" s="1"/>
      <c r="ALG418" s="1"/>
      <c r="ALH418" s="1"/>
      <c r="ALI418" s="1"/>
      <c r="ALJ418" s="1"/>
      <c r="ALK418" s="1"/>
      <c r="ALL418" s="1"/>
      <c r="ALM418" s="1"/>
      <c r="ALN418" s="1"/>
      <c r="ALO418" s="1"/>
      <c r="ALP418" s="1"/>
      <c r="ALQ418" s="1"/>
      <c r="ALR418" s="1"/>
      <c r="ALS418" s="1"/>
      <c r="ALT418" s="1"/>
      <c r="ALU418" s="1"/>
      <c r="ALV418" s="1"/>
      <c r="ALW418" s="1"/>
      <c r="ALX418" s="1"/>
      <c r="ALY418" s="1"/>
      <c r="ALZ418" s="1"/>
      <c r="AMA418" s="1"/>
      <c r="AMB418" s="1"/>
      <c r="AMC418" s="1"/>
      <c r="AMD418" s="1"/>
      <c r="AME418" s="1"/>
      <c r="AMF418" s="1"/>
      <c r="AMG418" s="1"/>
      <c r="AMH418" s="1"/>
      <c r="AMI418" s="1"/>
      <c r="AMJ418" s="1"/>
      <c r="AMK418" s="1"/>
      <c r="AML418" s="1"/>
      <c r="AMM418" s="1"/>
      <c r="AMN418" s="1"/>
      <c r="AMO418" s="1"/>
    </row>
    <row r="419" spans="1:1029" x14ac:dyDescent="0.2">
      <c r="A419" s="3" t="str">
        <f>CONCATENATE(B419,"_",C419)</f>
        <v>glp1r_human_5VEW</v>
      </c>
      <c r="B419" s="3" t="s">
        <v>405</v>
      </c>
      <c r="C419" s="3" t="s">
        <v>1401</v>
      </c>
      <c r="D419" s="3" t="str">
        <f>IFERROR(MID(VLOOKUP($B419,Seqs!$A:$B,2,0),E419,1),"")</f>
        <v>S</v>
      </c>
      <c r="E419" s="3">
        <v>136</v>
      </c>
      <c r="F419" s="3" t="str">
        <f>IFERROR(MID(VLOOKUP($B419,Seqs!$A:$B,2,0),G419,1),"")</f>
        <v>F</v>
      </c>
      <c r="G419" s="3">
        <v>169</v>
      </c>
      <c r="H419" s="3" t="str">
        <f>IFERROR(MID(VLOOKUP($B419,Seqs!$A:$B,2,0),I419,1),"")</f>
        <v>R</v>
      </c>
      <c r="I419" s="23">
        <v>170</v>
      </c>
      <c r="J419" s="3" t="str">
        <f>IFERROR(MID(VLOOKUP($B419,Seqs!$A:$B,2,0),K419,1),"")</f>
        <v>H</v>
      </c>
      <c r="K419" s="23">
        <v>173</v>
      </c>
      <c r="L419" s="3" t="str">
        <f>IFERROR(MID(VLOOKUP($B419,Seqs!$A:$B,2,0),M419,1),"")</f>
        <v>C</v>
      </c>
      <c r="M419" s="23">
        <v>174</v>
      </c>
      <c r="N419" s="3" t="str">
        <f>IFERROR(MID(VLOOKUP($B419,Seqs!$A:$B,2,0),O419,1),"")</f>
        <v>K</v>
      </c>
      <c r="O419" s="3">
        <v>202</v>
      </c>
      <c r="P419" s="3" t="str">
        <f>IFERROR(MID(VLOOKUP($B419,Seqs!$A:$B,2,0),Q419,1),"")</f>
        <v/>
      </c>
      <c r="Q419" s="3" t="s">
        <v>23</v>
      </c>
      <c r="R419" s="3" t="str">
        <f>IFERROR(MID(VLOOKUP($B419,Seqs!$A:$B,2,0),S419,1),"")</f>
        <v/>
      </c>
      <c r="S419" s="3" t="s">
        <v>23</v>
      </c>
      <c r="T419" s="3" t="str">
        <f>IFERROR(MID(VLOOKUP($B419,Seqs!$A:$B,2,0),U419,1),"")</f>
        <v>L</v>
      </c>
      <c r="U419" s="3">
        <v>224</v>
      </c>
      <c r="V419" s="3" t="str">
        <f>IFERROR(MID(VLOOKUP($B419,Seqs!$A:$B,2,0),W419,1),"")</f>
        <v>F</v>
      </c>
      <c r="W419" s="3">
        <v>257</v>
      </c>
      <c r="X419" s="3" t="str">
        <f>IFERROR(MID(VLOOKUP($B419,Seqs!$A:$B,2,0),Y419,1),"")</f>
        <v/>
      </c>
      <c r="Y419" s="3" t="s">
        <v>23</v>
      </c>
      <c r="Z419" s="3" t="str">
        <f>IFERROR(MID(VLOOKUP($B419,Seqs!$A:$B,2,0),AA419,1),"")</f>
        <v/>
      </c>
      <c r="AA419" s="3" t="s">
        <v>23</v>
      </c>
      <c r="AB419" s="3" t="str">
        <f>IFERROR(MID(VLOOKUP($B419,Seqs!$A:$B,2,0),AC419,1),"")</f>
        <v>E</v>
      </c>
      <c r="AC419" s="3">
        <v>262</v>
      </c>
      <c r="AD419" s="3" t="str">
        <f>IFERROR(MID(VLOOKUP($B419,Seqs!$A:$B,2,0),AE419,1),"")</f>
        <v>E</v>
      </c>
      <c r="AE419" s="3">
        <v>292</v>
      </c>
      <c r="AF419" s="3" t="str">
        <f>IFERROR(MID(VLOOKUP($B419,Seqs!$A:$B,2,0),AG419,1),"")</f>
        <v>C</v>
      </c>
      <c r="AG419" s="3">
        <v>296</v>
      </c>
      <c r="AH419" s="3" t="str">
        <f>IFERROR(MID(VLOOKUP($B419,Seqs!$A:$B,2,0),AI419,1),"")</f>
        <v>T</v>
      </c>
      <c r="AI419" s="3">
        <v>298</v>
      </c>
      <c r="AJ419" s="3" t="str">
        <f>IFERROR(MID(VLOOKUP($B419,Seqs!$A:$B,2,0),AK419,1),"")</f>
        <v>M</v>
      </c>
      <c r="AK419" s="3">
        <v>303</v>
      </c>
      <c r="AL419" s="3" t="str">
        <f>IFERROR(MID(VLOOKUP($B419,Seqs!$A:$B,2,0),AM419,1),"")</f>
        <v>A</v>
      </c>
      <c r="AM419" s="3">
        <v>337</v>
      </c>
      <c r="AN419" s="3" t="str">
        <f>IFERROR(MID(VLOOKUP($B419,Seqs!$A:$B,2,0),AO419,1),"")</f>
        <v>D</v>
      </c>
      <c r="AO419" s="3">
        <v>344</v>
      </c>
      <c r="AP419" s="3" t="str">
        <f>IFERROR(MID(VLOOKUP($B419,Seqs!$A:$B,2,0),AQ419,1),"")</f>
        <v>F</v>
      </c>
      <c r="AQ419" s="3">
        <v>367</v>
      </c>
      <c r="AR419" s="3" t="str">
        <f>IFERROR(MID(VLOOKUP($B419,Seqs!$A:$B,2,0),AS419,1),"")</f>
        <v>R</v>
      </c>
      <c r="AS419" s="3">
        <v>380</v>
      </c>
      <c r="AT419" s="3" t="str">
        <f>IFERROR(MID(VLOOKUP($B419,Seqs!$A:$B,2,0),AU419,1),"")</f>
        <v>V</v>
      </c>
      <c r="AU419" s="3">
        <v>405</v>
      </c>
      <c r="AV419" s="3" t="str">
        <f>IFERROR(MID(VLOOKUP($B419,Seqs!$A:$B,2,0),AW419,1),"")</f>
        <v>N</v>
      </c>
      <c r="AW419" s="3">
        <v>406</v>
      </c>
      <c r="AX419" s="3" t="str">
        <f>IFERROR(MID(VLOOKUP($B419,Seqs!$A:$B,2,0),AY419,1),"")</f>
        <v>L</v>
      </c>
      <c r="AY419" s="3">
        <v>422</v>
      </c>
      <c r="AZ419" s="77" t="str">
        <f>VLOOKUP(B419,Classification!A:D,2,0)</f>
        <v>B1</v>
      </c>
      <c r="BA419" s="94" t="str">
        <f>VLOOKUP(B419,Classification!A:D,4,0)</f>
        <v>Glucagonreceptorfamily</v>
      </c>
      <c r="BB419" s="27" t="b">
        <f t="shared" si="1191"/>
        <v>1</v>
      </c>
      <c r="BC419" s="23">
        <f t="shared" si="1192"/>
        <v>239</v>
      </c>
      <c r="BD419" s="4" t="s">
        <v>1370</v>
      </c>
      <c r="BE419" s="3" t="s">
        <v>1368</v>
      </c>
      <c r="BF419" s="118">
        <v>2.7</v>
      </c>
      <c r="BG419" s="49" t="s">
        <v>1275</v>
      </c>
      <c r="BH419" s="49" t="s">
        <v>1275</v>
      </c>
      <c r="BI419" s="1"/>
      <c r="BJ419" s="70" t="s">
        <v>1281</v>
      </c>
      <c r="BK419" s="57" t="s">
        <v>1281</v>
      </c>
      <c r="BL419" s="57" t="s">
        <v>1281</v>
      </c>
      <c r="BM419" s="57" t="s">
        <v>1281</v>
      </c>
      <c r="BN419" s="57" t="s">
        <v>1281</v>
      </c>
      <c r="BO419" s="57" t="s">
        <v>1281</v>
      </c>
      <c r="BP419" s="57" t="s">
        <v>1281</v>
      </c>
      <c r="BQ419" s="57" t="s">
        <v>1281</v>
      </c>
      <c r="BR419" s="57" t="s">
        <v>1281</v>
      </c>
      <c r="BS419" s="57" t="s">
        <v>1281</v>
      </c>
      <c r="BT419" s="57" t="s">
        <v>1281</v>
      </c>
      <c r="BU419" s="57" t="s">
        <v>1281</v>
      </c>
      <c r="BV419" s="70">
        <f>E419</f>
        <v>136</v>
      </c>
      <c r="BW419" s="71">
        <f>I419</f>
        <v>170</v>
      </c>
      <c r="BX419" s="72">
        <f>M419</f>
        <v>174</v>
      </c>
      <c r="BY419" s="71" t="str">
        <f>Q419</f>
        <v>-</v>
      </c>
      <c r="BZ419" s="72">
        <f>U419</f>
        <v>224</v>
      </c>
      <c r="CA419" s="71" t="str">
        <f>Y419</f>
        <v>-</v>
      </c>
      <c r="CB419" s="72">
        <f>AC419</f>
        <v>262</v>
      </c>
      <c r="CC419" s="71">
        <f>AG419</f>
        <v>296</v>
      </c>
      <c r="CD419" s="72">
        <f>AK419</f>
        <v>303</v>
      </c>
      <c r="CE419" s="71">
        <f>AO419</f>
        <v>344</v>
      </c>
      <c r="CF419" s="72">
        <f>AS419</f>
        <v>380</v>
      </c>
      <c r="CG419" s="71">
        <f>AW419</f>
        <v>406</v>
      </c>
      <c r="CH419" s="70">
        <f>G419</f>
        <v>169</v>
      </c>
      <c r="CI419" s="71">
        <f>K419</f>
        <v>173</v>
      </c>
      <c r="CJ419" s="72">
        <f>O419</f>
        <v>202</v>
      </c>
      <c r="CK419" s="72" t="str">
        <f>S419</f>
        <v>-</v>
      </c>
      <c r="CL419" s="72">
        <f>W419</f>
        <v>257</v>
      </c>
      <c r="CM419" s="72" t="str">
        <f>AA419</f>
        <v>-</v>
      </c>
      <c r="CN419" s="72">
        <f>AE419</f>
        <v>292</v>
      </c>
      <c r="CO419" s="72">
        <f>AI419</f>
        <v>298</v>
      </c>
      <c r="CP419" s="72">
        <f>AM419</f>
        <v>337</v>
      </c>
      <c r="CQ419" s="72">
        <f>AQ419</f>
        <v>367</v>
      </c>
      <c r="CR419" s="72">
        <f>AU419</f>
        <v>405</v>
      </c>
      <c r="CS419" s="72">
        <f>AY419</f>
        <v>422</v>
      </c>
      <c r="CT419" s="23">
        <f>M419-K419</f>
        <v>1</v>
      </c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/>
      <c r="NK419" s="1"/>
      <c r="NL419" s="1"/>
      <c r="NM419" s="1"/>
      <c r="NN419" s="1"/>
      <c r="NO419" s="1"/>
      <c r="NP419" s="1"/>
      <c r="NQ419" s="1"/>
      <c r="NR419" s="1"/>
      <c r="NS419" s="1"/>
      <c r="NT419" s="1"/>
      <c r="NU419" s="1"/>
      <c r="NV419" s="1"/>
      <c r="NW419" s="1"/>
      <c r="NX419" s="1"/>
      <c r="NY419" s="1"/>
      <c r="NZ419" s="1"/>
      <c r="OA419" s="1"/>
      <c r="OB419" s="1"/>
      <c r="OC419" s="1"/>
      <c r="OD419" s="1"/>
      <c r="OE419" s="1"/>
      <c r="OF419" s="1"/>
      <c r="OG419" s="1"/>
      <c r="OH419" s="1"/>
      <c r="OI419" s="1"/>
      <c r="OJ419" s="1"/>
      <c r="OK419" s="1"/>
      <c r="OL419" s="1"/>
      <c r="OM419" s="1"/>
      <c r="ON419" s="1"/>
      <c r="OO419" s="1"/>
      <c r="OP419" s="1"/>
      <c r="OQ419" s="1"/>
      <c r="OR419" s="1"/>
      <c r="OS419" s="1"/>
      <c r="OT419" s="1"/>
      <c r="OU419" s="1"/>
      <c r="OV419" s="1"/>
      <c r="OW419" s="1"/>
      <c r="OX419" s="1"/>
      <c r="OY419" s="1"/>
      <c r="OZ419" s="1"/>
      <c r="PA419" s="1"/>
      <c r="PB419" s="1"/>
      <c r="PC419" s="1"/>
      <c r="PD419" s="1"/>
      <c r="PE419" s="1"/>
      <c r="PF419" s="1"/>
      <c r="PG419" s="1"/>
      <c r="PH419" s="1"/>
      <c r="PI419" s="1"/>
      <c r="PJ419" s="1"/>
      <c r="PK419" s="1"/>
      <c r="PL419" s="1"/>
      <c r="PM419" s="1"/>
      <c r="PN419" s="1"/>
      <c r="PO419" s="1"/>
      <c r="PP419" s="1"/>
      <c r="PQ419" s="1"/>
      <c r="PR419" s="1"/>
      <c r="PS419" s="1"/>
      <c r="PT419" s="1"/>
      <c r="PU419" s="1"/>
      <c r="PV419" s="1"/>
      <c r="PW419" s="1"/>
      <c r="PX419" s="1"/>
      <c r="PY419" s="1"/>
      <c r="PZ419" s="1"/>
      <c r="QA419" s="1"/>
      <c r="QB419" s="1"/>
      <c r="QC419" s="1"/>
      <c r="QD419" s="1"/>
      <c r="QE419" s="1"/>
      <c r="QF419" s="1"/>
      <c r="QG419" s="1"/>
      <c r="QH419" s="1"/>
      <c r="QI419" s="1"/>
      <c r="QJ419" s="1"/>
      <c r="QK419" s="1"/>
      <c r="QL419" s="1"/>
      <c r="QM419" s="1"/>
      <c r="QN419" s="1"/>
      <c r="QO419" s="1"/>
      <c r="QP419" s="1"/>
      <c r="QQ419" s="1"/>
      <c r="QR419" s="1"/>
      <c r="QS419" s="1"/>
      <c r="QT419" s="1"/>
      <c r="QU419" s="1"/>
      <c r="QV419" s="1"/>
      <c r="QW419" s="1"/>
      <c r="QX419" s="1"/>
      <c r="QY419" s="1"/>
      <c r="QZ419" s="1"/>
      <c r="RA419" s="1"/>
      <c r="RB419" s="1"/>
      <c r="RC419" s="1"/>
      <c r="RD419" s="1"/>
      <c r="RE419" s="1"/>
      <c r="RF419" s="1"/>
      <c r="RG419" s="1"/>
      <c r="RH419" s="1"/>
      <c r="RI419" s="1"/>
      <c r="RJ419" s="1"/>
      <c r="RK419" s="1"/>
      <c r="RL419" s="1"/>
      <c r="RM419" s="1"/>
      <c r="RN419" s="1"/>
      <c r="RO419" s="1"/>
      <c r="RP419" s="1"/>
      <c r="RQ419" s="1"/>
      <c r="RR419" s="1"/>
      <c r="RS419" s="1"/>
      <c r="RT419" s="1"/>
      <c r="RU419" s="1"/>
      <c r="RV419" s="1"/>
      <c r="RW419" s="1"/>
      <c r="RX419" s="1"/>
      <c r="RY419" s="1"/>
      <c r="RZ419" s="1"/>
      <c r="SA419" s="1"/>
      <c r="SB419" s="1"/>
      <c r="SC419" s="1"/>
      <c r="SD419" s="1"/>
      <c r="SE419" s="1"/>
      <c r="SF419" s="1"/>
      <c r="SG419" s="1"/>
      <c r="SH419" s="1"/>
      <c r="SI419" s="1"/>
      <c r="SJ419" s="1"/>
      <c r="SK419" s="1"/>
      <c r="SL419" s="1"/>
      <c r="SM419" s="1"/>
      <c r="SN419" s="1"/>
      <c r="SO419" s="1"/>
      <c r="SP419" s="1"/>
      <c r="SQ419" s="1"/>
      <c r="SR419" s="1"/>
      <c r="SS419" s="1"/>
      <c r="ST419" s="1"/>
      <c r="SU419" s="1"/>
      <c r="SV419" s="1"/>
      <c r="SW419" s="1"/>
      <c r="SX419" s="1"/>
      <c r="SY419" s="1"/>
      <c r="SZ419" s="1"/>
      <c r="TA419" s="1"/>
      <c r="TB419" s="1"/>
      <c r="TC419" s="1"/>
      <c r="TD419" s="1"/>
      <c r="TE419" s="1"/>
      <c r="TF419" s="1"/>
      <c r="TG419" s="1"/>
      <c r="TH419" s="1"/>
      <c r="TI419" s="1"/>
      <c r="TJ419" s="1"/>
      <c r="TK419" s="1"/>
      <c r="TL419" s="1"/>
      <c r="TM419" s="1"/>
      <c r="TN419" s="1"/>
      <c r="TO419" s="1"/>
      <c r="TP419" s="1"/>
      <c r="TQ419" s="1"/>
      <c r="TR419" s="1"/>
      <c r="TS419" s="1"/>
      <c r="TT419" s="1"/>
      <c r="TU419" s="1"/>
      <c r="TV419" s="1"/>
      <c r="TW419" s="1"/>
      <c r="TX419" s="1"/>
      <c r="TY419" s="1"/>
      <c r="TZ419" s="1"/>
      <c r="UA419" s="1"/>
      <c r="UB419" s="1"/>
      <c r="UC419" s="1"/>
      <c r="UD419" s="1"/>
      <c r="UE419" s="1"/>
      <c r="UF419" s="1"/>
      <c r="UG419" s="1"/>
      <c r="UH419" s="1"/>
      <c r="UI419" s="1"/>
      <c r="UJ419" s="1"/>
      <c r="UK419" s="1"/>
      <c r="UL419" s="1"/>
      <c r="UM419" s="1"/>
      <c r="UN419" s="1"/>
      <c r="UO419" s="1"/>
      <c r="UP419" s="1"/>
      <c r="UQ419" s="1"/>
      <c r="UR419" s="1"/>
      <c r="US419" s="1"/>
      <c r="UT419" s="1"/>
      <c r="UU419" s="1"/>
      <c r="UV419" s="1"/>
      <c r="UW419" s="1"/>
      <c r="UX419" s="1"/>
      <c r="UY419" s="1"/>
      <c r="UZ419" s="1"/>
      <c r="VA419" s="1"/>
      <c r="VB419" s="1"/>
      <c r="VC419" s="1"/>
      <c r="VD419" s="1"/>
      <c r="VE419" s="1"/>
      <c r="VF419" s="1"/>
      <c r="VG419" s="1"/>
      <c r="VH419" s="1"/>
      <c r="VI419" s="1"/>
      <c r="VJ419" s="1"/>
      <c r="VK419" s="1"/>
      <c r="VL419" s="1"/>
      <c r="VM419" s="1"/>
      <c r="VN419" s="1"/>
      <c r="VO419" s="1"/>
      <c r="VP419" s="1"/>
      <c r="VQ419" s="1"/>
      <c r="VR419" s="1"/>
      <c r="VS419" s="1"/>
      <c r="VT419" s="1"/>
      <c r="VU419" s="1"/>
      <c r="VV419" s="1"/>
      <c r="VW419" s="1"/>
      <c r="VX419" s="1"/>
      <c r="VY419" s="1"/>
      <c r="VZ419" s="1"/>
      <c r="WA419" s="1"/>
      <c r="WB419" s="1"/>
      <c r="WC419" s="1"/>
      <c r="WD419" s="1"/>
      <c r="WE419" s="1"/>
      <c r="WF419" s="1"/>
      <c r="WG419" s="1"/>
      <c r="WH419" s="1"/>
      <c r="WI419" s="1"/>
      <c r="WJ419" s="1"/>
      <c r="WK419" s="1"/>
      <c r="WL419" s="1"/>
      <c r="WM419" s="1"/>
      <c r="WN419" s="1"/>
      <c r="WO419" s="1"/>
      <c r="WP419" s="1"/>
      <c r="WQ419" s="1"/>
      <c r="WR419" s="1"/>
      <c r="WS419" s="1"/>
      <c r="WT419" s="1"/>
      <c r="WU419" s="1"/>
      <c r="WV419" s="1"/>
      <c r="WW419" s="1"/>
      <c r="WX419" s="1"/>
      <c r="WY419" s="1"/>
      <c r="WZ419" s="1"/>
      <c r="XA419" s="1"/>
      <c r="XB419" s="1"/>
      <c r="XC419" s="1"/>
      <c r="XD419" s="1"/>
      <c r="XE419" s="1"/>
      <c r="XF419" s="1"/>
      <c r="XG419" s="1"/>
      <c r="XH419" s="1"/>
      <c r="XI419" s="1"/>
      <c r="XJ419" s="1"/>
      <c r="XK419" s="1"/>
      <c r="XL419" s="1"/>
      <c r="XM419" s="1"/>
      <c r="XN419" s="1"/>
      <c r="XO419" s="1"/>
      <c r="XP419" s="1"/>
      <c r="XQ419" s="1"/>
      <c r="XR419" s="1"/>
      <c r="XS419" s="1"/>
      <c r="XT419" s="1"/>
      <c r="XU419" s="1"/>
      <c r="XV419" s="1"/>
      <c r="XW419" s="1"/>
      <c r="XX419" s="1"/>
      <c r="XY419" s="1"/>
      <c r="XZ419" s="1"/>
      <c r="YA419" s="1"/>
      <c r="YB419" s="1"/>
      <c r="YC419" s="1"/>
      <c r="YD419" s="1"/>
      <c r="YE419" s="1"/>
      <c r="YF419" s="1"/>
      <c r="YG419" s="1"/>
      <c r="YH419" s="1"/>
      <c r="YI419" s="1"/>
      <c r="YJ419" s="1"/>
      <c r="YK419" s="1"/>
      <c r="YL419" s="1"/>
      <c r="YM419" s="1"/>
      <c r="YN419" s="1"/>
      <c r="YO419" s="1"/>
      <c r="YP419" s="1"/>
      <c r="YQ419" s="1"/>
      <c r="YR419" s="1"/>
      <c r="YS419" s="1"/>
      <c r="YT419" s="1"/>
      <c r="YU419" s="1"/>
      <c r="YV419" s="1"/>
      <c r="YW419" s="1"/>
      <c r="YX419" s="1"/>
      <c r="YY419" s="1"/>
      <c r="YZ419" s="1"/>
      <c r="ZA419" s="1"/>
      <c r="ZB419" s="1"/>
      <c r="ZC419" s="1"/>
      <c r="ZD419" s="1"/>
      <c r="ZE419" s="1"/>
      <c r="ZF419" s="1"/>
      <c r="ZG419" s="1"/>
      <c r="ZH419" s="1"/>
      <c r="ZI419" s="1"/>
      <c r="ZJ419" s="1"/>
      <c r="ZK419" s="1"/>
      <c r="ZL419" s="1"/>
      <c r="ZM419" s="1"/>
      <c r="ZN419" s="1"/>
      <c r="ZO419" s="1"/>
      <c r="ZP419" s="1"/>
      <c r="ZQ419" s="1"/>
      <c r="ZR419" s="1"/>
      <c r="ZS419" s="1"/>
      <c r="ZT419" s="1"/>
      <c r="ZU419" s="1"/>
      <c r="ZV419" s="1"/>
      <c r="ZW419" s="1"/>
      <c r="ZX419" s="1"/>
      <c r="ZY419" s="1"/>
      <c r="ZZ419" s="1"/>
      <c r="AAA419" s="1"/>
      <c r="AAB419" s="1"/>
      <c r="AAC419" s="1"/>
      <c r="AAD419" s="1"/>
      <c r="AAE419" s="1"/>
      <c r="AAF419" s="1"/>
      <c r="AAG419" s="1"/>
      <c r="AAH419" s="1"/>
      <c r="AAI419" s="1"/>
      <c r="AAJ419" s="1"/>
      <c r="AAK419" s="1"/>
      <c r="AAL419" s="1"/>
      <c r="AAM419" s="1"/>
      <c r="AAN419" s="1"/>
      <c r="AAO419" s="1"/>
      <c r="AAP419" s="1"/>
      <c r="AAQ419" s="1"/>
      <c r="AAR419" s="1"/>
      <c r="AAS419" s="1"/>
      <c r="AAT419" s="1"/>
      <c r="AAU419" s="1"/>
      <c r="AAV419" s="1"/>
      <c r="AAW419" s="1"/>
      <c r="AAX419" s="1"/>
      <c r="AAY419" s="1"/>
      <c r="AAZ419" s="1"/>
      <c r="ABA419" s="1"/>
      <c r="ABB419" s="1"/>
      <c r="ABC419" s="1"/>
      <c r="ABD419" s="1"/>
      <c r="ABE419" s="1"/>
      <c r="ABF419" s="1"/>
      <c r="ABG419" s="1"/>
      <c r="ABH419" s="1"/>
      <c r="ABI419" s="1"/>
      <c r="ABJ419" s="1"/>
      <c r="ABK419" s="1"/>
      <c r="ABL419" s="1"/>
      <c r="ABM419" s="1"/>
      <c r="ABN419" s="1"/>
      <c r="ABO419" s="1"/>
      <c r="ABP419" s="1"/>
      <c r="ABQ419" s="1"/>
      <c r="ABR419" s="1"/>
      <c r="ABS419" s="1"/>
      <c r="ABT419" s="1"/>
      <c r="ABU419" s="1"/>
      <c r="ABV419" s="1"/>
      <c r="ABW419" s="1"/>
      <c r="ABX419" s="1"/>
      <c r="ABY419" s="1"/>
      <c r="ABZ419" s="1"/>
      <c r="ACA419" s="1"/>
      <c r="ACB419" s="1"/>
      <c r="ACC419" s="1"/>
      <c r="ACD419" s="1"/>
      <c r="ACE419" s="1"/>
      <c r="ACF419" s="1"/>
      <c r="ACG419" s="1"/>
      <c r="ACH419" s="1"/>
      <c r="ACI419" s="1"/>
      <c r="ACJ419" s="1"/>
      <c r="ACK419" s="1"/>
      <c r="ACL419" s="1"/>
      <c r="ACM419" s="1"/>
      <c r="ACN419" s="1"/>
      <c r="ACO419" s="1"/>
      <c r="ACP419" s="1"/>
      <c r="ACQ419" s="1"/>
      <c r="ACR419" s="1"/>
      <c r="ACS419" s="1"/>
      <c r="ACT419" s="1"/>
      <c r="ACU419" s="1"/>
      <c r="ACV419" s="1"/>
      <c r="ACW419" s="1"/>
      <c r="ACX419" s="1"/>
      <c r="ACY419" s="1"/>
      <c r="ACZ419" s="1"/>
      <c r="ADA419" s="1"/>
      <c r="ADB419" s="1"/>
      <c r="ADC419" s="1"/>
      <c r="ADD419" s="1"/>
      <c r="ADE419" s="1"/>
      <c r="ADF419" s="1"/>
      <c r="ADG419" s="1"/>
      <c r="ADH419" s="1"/>
      <c r="ADI419" s="1"/>
      <c r="ADJ419" s="1"/>
      <c r="ADK419" s="1"/>
      <c r="ADL419" s="1"/>
      <c r="ADM419" s="1"/>
      <c r="ADN419" s="1"/>
      <c r="ADO419" s="1"/>
      <c r="ADP419" s="1"/>
      <c r="ADQ419" s="1"/>
      <c r="ADR419" s="1"/>
      <c r="ADS419" s="1"/>
      <c r="ADT419" s="1"/>
      <c r="ADU419" s="1"/>
      <c r="ADV419" s="1"/>
      <c r="ADW419" s="1"/>
      <c r="ADX419" s="1"/>
      <c r="ADY419" s="1"/>
      <c r="ADZ419" s="1"/>
      <c r="AEA419" s="1"/>
      <c r="AEB419" s="1"/>
      <c r="AEC419" s="1"/>
      <c r="AED419" s="1"/>
      <c r="AEE419" s="1"/>
      <c r="AEF419" s="1"/>
      <c r="AEG419" s="1"/>
      <c r="AEH419" s="1"/>
      <c r="AEI419" s="1"/>
      <c r="AEJ419" s="1"/>
      <c r="AEK419" s="1"/>
      <c r="AEL419" s="1"/>
      <c r="AEM419" s="1"/>
      <c r="AEN419" s="1"/>
      <c r="AEO419" s="1"/>
      <c r="AEP419" s="1"/>
      <c r="AEQ419" s="1"/>
      <c r="AER419" s="1"/>
      <c r="AES419" s="1"/>
      <c r="AET419" s="1"/>
      <c r="AEU419" s="1"/>
      <c r="AEV419" s="1"/>
      <c r="AEW419" s="1"/>
      <c r="AEX419" s="1"/>
      <c r="AEY419" s="1"/>
      <c r="AEZ419" s="1"/>
      <c r="AFA419" s="1"/>
      <c r="AFB419" s="1"/>
      <c r="AFC419" s="1"/>
      <c r="AFD419" s="1"/>
      <c r="AFE419" s="1"/>
      <c r="AFF419" s="1"/>
      <c r="AFG419" s="1"/>
      <c r="AFH419" s="1"/>
      <c r="AFI419" s="1"/>
      <c r="AFJ419" s="1"/>
      <c r="AFK419" s="1"/>
      <c r="AFL419" s="1"/>
      <c r="AFM419" s="1"/>
      <c r="AFN419" s="1"/>
      <c r="AFO419" s="1"/>
      <c r="AFP419" s="1"/>
      <c r="AFQ419" s="1"/>
      <c r="AFR419" s="1"/>
      <c r="AFS419" s="1"/>
      <c r="AFT419" s="1"/>
      <c r="AFU419" s="1"/>
      <c r="AFV419" s="1"/>
      <c r="AFW419" s="1"/>
      <c r="AFX419" s="1"/>
      <c r="AFY419" s="1"/>
      <c r="AFZ419" s="1"/>
      <c r="AGA419" s="1"/>
      <c r="AGB419" s="1"/>
      <c r="AGC419" s="1"/>
      <c r="AGD419" s="1"/>
      <c r="AGE419" s="1"/>
      <c r="AGF419" s="1"/>
      <c r="AGG419" s="1"/>
      <c r="AGH419" s="1"/>
      <c r="AGI419" s="1"/>
      <c r="AGJ419" s="1"/>
      <c r="AGK419" s="1"/>
      <c r="AGL419" s="1"/>
      <c r="AGM419" s="1"/>
      <c r="AGN419" s="1"/>
      <c r="AGO419" s="1"/>
      <c r="AGP419" s="1"/>
      <c r="AGQ419" s="1"/>
      <c r="AGR419" s="1"/>
      <c r="AGS419" s="1"/>
      <c r="AGT419" s="1"/>
      <c r="AGU419" s="1"/>
      <c r="AGV419" s="1"/>
      <c r="AGW419" s="1"/>
      <c r="AGX419" s="1"/>
      <c r="AGY419" s="1"/>
      <c r="AGZ419" s="1"/>
      <c r="AHA419" s="1"/>
      <c r="AHB419" s="1"/>
      <c r="AHC419" s="1"/>
      <c r="AHD419" s="1"/>
      <c r="AHE419" s="1"/>
      <c r="AHF419" s="1"/>
      <c r="AHG419" s="1"/>
      <c r="AHH419" s="1"/>
      <c r="AHI419" s="1"/>
      <c r="AHJ419" s="1"/>
      <c r="AHK419" s="1"/>
      <c r="AHL419" s="1"/>
      <c r="AHM419" s="1"/>
      <c r="AHN419" s="1"/>
      <c r="AHO419" s="1"/>
      <c r="AHP419" s="1"/>
      <c r="AHQ419" s="1"/>
      <c r="AHR419" s="1"/>
      <c r="AHS419" s="1"/>
      <c r="AHT419" s="1"/>
      <c r="AHU419" s="1"/>
      <c r="AHV419" s="1"/>
      <c r="AHW419" s="1"/>
      <c r="AHX419" s="1"/>
      <c r="AHY419" s="1"/>
      <c r="AHZ419" s="1"/>
      <c r="AIA419" s="1"/>
      <c r="AIB419" s="1"/>
      <c r="AIC419" s="1"/>
      <c r="AID419" s="1"/>
      <c r="AIE419" s="1"/>
      <c r="AIF419" s="1"/>
      <c r="AIG419" s="1"/>
      <c r="AIH419" s="1"/>
      <c r="AII419" s="1"/>
      <c r="AIJ419" s="1"/>
      <c r="AIK419" s="1"/>
      <c r="AIL419" s="1"/>
      <c r="AIM419" s="1"/>
      <c r="AIN419" s="1"/>
      <c r="AIO419" s="1"/>
      <c r="AIP419" s="1"/>
      <c r="AIQ419" s="1"/>
      <c r="AIR419" s="1"/>
      <c r="AIS419" s="1"/>
      <c r="AIT419" s="1"/>
      <c r="AIU419" s="1"/>
      <c r="AIV419" s="1"/>
      <c r="AIW419" s="1"/>
      <c r="AIX419" s="1"/>
      <c r="AIY419" s="1"/>
      <c r="AIZ419" s="1"/>
      <c r="AJA419" s="1"/>
      <c r="AJB419" s="1"/>
      <c r="AJC419" s="1"/>
      <c r="AJD419" s="1"/>
      <c r="AJE419" s="1"/>
      <c r="AJF419" s="1"/>
      <c r="AJG419" s="1"/>
      <c r="AJH419" s="1"/>
      <c r="AJI419" s="1"/>
      <c r="AJJ419" s="1"/>
      <c r="AJK419" s="1"/>
      <c r="AJL419" s="1"/>
      <c r="AJM419" s="1"/>
      <c r="AJN419" s="1"/>
      <c r="AJO419" s="1"/>
      <c r="AJP419" s="1"/>
      <c r="AJQ419" s="1"/>
      <c r="AJR419" s="1"/>
      <c r="AJS419" s="1"/>
      <c r="AJT419" s="1"/>
      <c r="AJU419" s="1"/>
      <c r="AJV419" s="1"/>
      <c r="AJW419" s="1"/>
      <c r="AJX419" s="1"/>
      <c r="AJY419" s="1"/>
      <c r="AJZ419" s="1"/>
      <c r="AKA419" s="1"/>
      <c r="AKB419" s="1"/>
      <c r="AKC419" s="1"/>
      <c r="AKD419" s="1"/>
      <c r="AKE419" s="1"/>
      <c r="AKF419" s="1"/>
      <c r="AKG419" s="1"/>
      <c r="AKH419" s="1"/>
      <c r="AKI419" s="1"/>
      <c r="AKJ419" s="1"/>
      <c r="AKK419" s="1"/>
      <c r="AKL419" s="1"/>
      <c r="AKM419" s="1"/>
      <c r="AKN419" s="1"/>
      <c r="AKO419" s="1"/>
      <c r="AKP419" s="1"/>
      <c r="AKQ419" s="1"/>
      <c r="AKR419" s="1"/>
      <c r="AKS419" s="1"/>
      <c r="AKT419" s="1"/>
      <c r="AKU419" s="1"/>
      <c r="AKV419" s="1"/>
      <c r="AKW419" s="1"/>
      <c r="AKX419" s="1"/>
      <c r="AKY419" s="1"/>
      <c r="AKZ419" s="1"/>
      <c r="ALA419" s="1"/>
      <c r="ALB419" s="1"/>
      <c r="ALC419" s="1"/>
      <c r="ALD419" s="1"/>
      <c r="ALE419" s="1"/>
      <c r="ALF419" s="1"/>
      <c r="ALG419" s="1"/>
      <c r="ALH419" s="1"/>
      <c r="ALI419" s="1"/>
      <c r="ALJ419" s="1"/>
      <c r="ALK419" s="1"/>
      <c r="ALL419" s="1"/>
      <c r="ALM419" s="1"/>
      <c r="ALN419" s="1"/>
      <c r="ALO419" s="1"/>
      <c r="ALP419" s="1"/>
      <c r="ALQ419" s="1"/>
      <c r="ALR419" s="1"/>
      <c r="ALS419" s="1"/>
      <c r="ALT419" s="1"/>
      <c r="ALU419" s="1"/>
      <c r="ALV419" s="1"/>
      <c r="ALW419" s="1"/>
      <c r="ALX419" s="1"/>
      <c r="ALY419" s="1"/>
      <c r="ALZ419" s="1"/>
      <c r="AMA419" s="1"/>
      <c r="AMB419" s="1"/>
      <c r="AMC419" s="1"/>
      <c r="AMD419" s="1"/>
      <c r="AME419" s="1"/>
      <c r="AMF419" s="1"/>
      <c r="AMG419" s="1"/>
      <c r="AMH419" s="1"/>
      <c r="AMI419" s="1"/>
      <c r="AMJ419" s="1"/>
      <c r="AMK419" s="1"/>
      <c r="AML419" s="1"/>
      <c r="AMM419" s="1"/>
      <c r="AMN419" s="1"/>
      <c r="AMO419" s="1"/>
    </row>
    <row r="420" spans="1:1029" x14ac:dyDescent="0.2">
      <c r="A420" s="3" t="str">
        <f>CONCATENATE(B420,"_",C420)</f>
        <v>glp1r_human_5VEX</v>
      </c>
      <c r="B420" s="3" t="s">
        <v>405</v>
      </c>
      <c r="C420" s="3" t="s">
        <v>1400</v>
      </c>
      <c r="D420" s="3" t="str">
        <f>IFERROR(MID(VLOOKUP($B420,Seqs!$A:$B,2,0),E420,1),"")</f>
        <v>S</v>
      </c>
      <c r="E420" s="3">
        <v>136</v>
      </c>
      <c r="F420" s="3" t="str">
        <f>IFERROR(MID(VLOOKUP($B420,Seqs!$A:$B,2,0),G420,1),"")</f>
        <v>F</v>
      </c>
      <c r="G420" s="3">
        <v>169</v>
      </c>
      <c r="H420" s="3" t="str">
        <f>IFERROR(MID(VLOOKUP($B420,Seqs!$A:$B,2,0),I420,1),"")</f>
        <v>R</v>
      </c>
      <c r="I420" s="23">
        <v>170</v>
      </c>
      <c r="J420" s="3" t="str">
        <f>IFERROR(MID(VLOOKUP($B420,Seqs!$A:$B,2,0),K420,1),"")</f>
        <v>H</v>
      </c>
      <c r="K420" s="23">
        <v>173</v>
      </c>
      <c r="L420" s="3" t="str">
        <f>IFERROR(MID(VLOOKUP($B420,Seqs!$A:$B,2,0),M420,1),"")</f>
        <v>C</v>
      </c>
      <c r="M420" s="23">
        <v>174</v>
      </c>
      <c r="N420" s="3" t="str">
        <f>IFERROR(MID(VLOOKUP($B420,Seqs!$A:$B,2,0),O420,1),"")</f>
        <v>K</v>
      </c>
      <c r="O420" s="3">
        <v>202</v>
      </c>
      <c r="P420" s="3" t="str">
        <f>IFERROR(MID(VLOOKUP($B420,Seqs!$A:$B,2,0),Q420,1),"")</f>
        <v/>
      </c>
      <c r="Q420" s="3" t="s">
        <v>23</v>
      </c>
      <c r="R420" s="3" t="str">
        <f>IFERROR(MID(VLOOKUP($B420,Seqs!$A:$B,2,0),S420,1),"")</f>
        <v/>
      </c>
      <c r="S420" s="3" t="s">
        <v>23</v>
      </c>
      <c r="T420" s="3" t="str">
        <f>IFERROR(MID(VLOOKUP($B420,Seqs!$A:$B,2,0),U420,1),"")</f>
        <v>L</v>
      </c>
      <c r="U420" s="3">
        <v>224</v>
      </c>
      <c r="V420" s="3" t="str">
        <f>IFERROR(MID(VLOOKUP($B420,Seqs!$A:$B,2,0),W420,1),"")</f>
        <v>F</v>
      </c>
      <c r="W420" s="3">
        <v>257</v>
      </c>
      <c r="X420" s="3" t="str">
        <f>IFERROR(MID(VLOOKUP($B420,Seqs!$A:$B,2,0),Y420,1),"")</f>
        <v/>
      </c>
      <c r="Y420" s="3" t="s">
        <v>23</v>
      </c>
      <c r="Z420" s="3" t="str">
        <f>IFERROR(MID(VLOOKUP($B420,Seqs!$A:$B,2,0),AA420,1),"")</f>
        <v/>
      </c>
      <c r="AA420" s="3" t="s">
        <v>23</v>
      </c>
      <c r="AB420" s="3" t="str">
        <f>IFERROR(MID(VLOOKUP($B420,Seqs!$A:$B,2,0),AC420,1),"")</f>
        <v>E</v>
      </c>
      <c r="AC420" s="3">
        <v>262</v>
      </c>
      <c r="AD420" s="3" t="str">
        <f>IFERROR(MID(VLOOKUP($B420,Seqs!$A:$B,2,0),AE420,1),"")</f>
        <v>E</v>
      </c>
      <c r="AE420" s="3">
        <v>292</v>
      </c>
      <c r="AF420" s="3" t="str">
        <f>IFERROR(MID(VLOOKUP($B420,Seqs!$A:$B,2,0),AG420,1),"")</f>
        <v>C</v>
      </c>
      <c r="AG420" s="3">
        <v>296</v>
      </c>
      <c r="AH420" s="3" t="str">
        <f>IFERROR(MID(VLOOKUP($B420,Seqs!$A:$B,2,0),AI420,1),"")</f>
        <v>T</v>
      </c>
      <c r="AI420" s="3">
        <v>298</v>
      </c>
      <c r="AJ420" s="3" t="str">
        <f>IFERROR(MID(VLOOKUP($B420,Seqs!$A:$B,2,0),AK420,1),"")</f>
        <v>N</v>
      </c>
      <c r="AK420" s="3">
        <v>304</v>
      </c>
      <c r="AL420" s="3" t="str">
        <f>IFERROR(MID(VLOOKUP($B420,Seqs!$A:$B,2,0),AM420,1),"")</f>
        <v>A</v>
      </c>
      <c r="AM420" s="3">
        <v>337</v>
      </c>
      <c r="AN420" s="3" t="str">
        <f>IFERROR(MID(VLOOKUP($B420,Seqs!$A:$B,2,0),AO420,1),"")</f>
        <v>D</v>
      </c>
      <c r="AO420" s="3">
        <v>344</v>
      </c>
      <c r="AP420" s="3" t="str">
        <f>IFERROR(MID(VLOOKUP($B420,Seqs!$A:$B,2,0),AQ420,1),"")</f>
        <v>F</v>
      </c>
      <c r="AQ420" s="3">
        <v>367</v>
      </c>
      <c r="AR420" s="3" t="str">
        <f>IFERROR(MID(VLOOKUP($B420,Seqs!$A:$B,2,0),AS420,1),"")</f>
        <v>R</v>
      </c>
      <c r="AS420" s="3">
        <v>380</v>
      </c>
      <c r="AT420" s="3" t="str">
        <f>IFERROR(MID(VLOOKUP($B420,Seqs!$A:$B,2,0),AU420,1),"")</f>
        <v>V</v>
      </c>
      <c r="AU420" s="3">
        <v>405</v>
      </c>
      <c r="AV420" s="3" t="str">
        <f>IFERROR(MID(VLOOKUP($B420,Seqs!$A:$B,2,0),AW420,1),"")</f>
        <v>N</v>
      </c>
      <c r="AW420" s="3">
        <v>406</v>
      </c>
      <c r="AX420" s="3" t="str">
        <f>IFERROR(MID(VLOOKUP($B420,Seqs!$A:$B,2,0),AY420,1),"")</f>
        <v>L</v>
      </c>
      <c r="AY420" s="3">
        <v>422</v>
      </c>
      <c r="AZ420" s="77" t="str">
        <f>VLOOKUP(B420,Classification!A:D,2,0)</f>
        <v>B1</v>
      </c>
      <c r="BA420" s="94" t="str">
        <f>VLOOKUP(B420,Classification!A:D,4,0)</f>
        <v>Glucagonreceptorfamily</v>
      </c>
      <c r="BB420" s="27" t="b">
        <f t="shared" si="1191"/>
        <v>1</v>
      </c>
      <c r="BC420" s="23">
        <f t="shared" si="1192"/>
        <v>238</v>
      </c>
      <c r="BD420" s="4" t="s">
        <v>23</v>
      </c>
      <c r="BE420" s="3" t="s">
        <v>1368</v>
      </c>
      <c r="BF420" s="118">
        <v>3</v>
      </c>
      <c r="BG420" s="49" t="s">
        <v>1</v>
      </c>
      <c r="BH420" s="49" t="s">
        <v>1</v>
      </c>
      <c r="BI420" s="1"/>
      <c r="BJ420" s="70" t="s">
        <v>1281</v>
      </c>
      <c r="BK420" s="57" t="s">
        <v>1281</v>
      </c>
      <c r="BL420" s="57" t="s">
        <v>1281</v>
      </c>
      <c r="BM420" s="57" t="s">
        <v>1281</v>
      </c>
      <c r="BN420" s="57" t="s">
        <v>1281</v>
      </c>
      <c r="BO420" s="57" t="s">
        <v>1281</v>
      </c>
      <c r="BP420" s="57" t="s">
        <v>1281</v>
      </c>
      <c r="BQ420" s="57" t="s">
        <v>1281</v>
      </c>
      <c r="BR420" s="57" t="s">
        <v>1281</v>
      </c>
      <c r="BS420" s="57" t="s">
        <v>1281</v>
      </c>
      <c r="BT420" s="57" t="s">
        <v>1281</v>
      </c>
      <c r="BU420" s="57" t="s">
        <v>1281</v>
      </c>
      <c r="BV420" s="70">
        <f>E420</f>
        <v>136</v>
      </c>
      <c r="BW420" s="71">
        <f>I420</f>
        <v>170</v>
      </c>
      <c r="BX420" s="72">
        <f>M420</f>
        <v>174</v>
      </c>
      <c r="BY420" s="71" t="str">
        <f>Q420</f>
        <v>-</v>
      </c>
      <c r="BZ420" s="72">
        <f>U420</f>
        <v>224</v>
      </c>
      <c r="CA420" s="71" t="str">
        <f>Y420</f>
        <v>-</v>
      </c>
      <c r="CB420" s="72">
        <f>AC420</f>
        <v>262</v>
      </c>
      <c r="CC420" s="71">
        <f>AG420</f>
        <v>296</v>
      </c>
      <c r="CD420" s="72">
        <f>AK420</f>
        <v>304</v>
      </c>
      <c r="CE420" s="71">
        <f>AO420</f>
        <v>344</v>
      </c>
      <c r="CF420" s="72">
        <f>AS420</f>
        <v>380</v>
      </c>
      <c r="CG420" s="71">
        <f>AW420</f>
        <v>406</v>
      </c>
      <c r="CH420" s="70">
        <f>G420</f>
        <v>169</v>
      </c>
      <c r="CI420" s="71">
        <f>K420</f>
        <v>173</v>
      </c>
      <c r="CJ420" s="72">
        <f>O420</f>
        <v>202</v>
      </c>
      <c r="CK420" s="72" t="str">
        <f>S420</f>
        <v>-</v>
      </c>
      <c r="CL420" s="72">
        <f>W420</f>
        <v>257</v>
      </c>
      <c r="CM420" s="72" t="str">
        <f>AA420</f>
        <v>-</v>
      </c>
      <c r="CN420" s="72">
        <f>AE420</f>
        <v>292</v>
      </c>
      <c r="CO420" s="72">
        <f>AI420</f>
        <v>298</v>
      </c>
      <c r="CP420" s="72">
        <f>AM420</f>
        <v>337</v>
      </c>
      <c r="CQ420" s="72">
        <f>AQ420</f>
        <v>367</v>
      </c>
      <c r="CR420" s="72">
        <f>AU420</f>
        <v>405</v>
      </c>
      <c r="CS420" s="72">
        <f>AY420</f>
        <v>422</v>
      </c>
      <c r="CT420" s="23">
        <f>M420-K420</f>
        <v>1</v>
      </c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Q420" s="1"/>
      <c r="MR420" s="1"/>
      <c r="MS420" s="1"/>
      <c r="MT420" s="1"/>
      <c r="MU420" s="1"/>
      <c r="MV420" s="1"/>
      <c r="MW420" s="1"/>
      <c r="MX420" s="1"/>
      <c r="MY420" s="1"/>
      <c r="MZ420" s="1"/>
      <c r="NA420" s="1"/>
      <c r="NB420" s="1"/>
      <c r="NC420" s="1"/>
      <c r="ND420" s="1"/>
      <c r="NE420" s="1"/>
      <c r="NF420" s="1"/>
      <c r="NG420" s="1"/>
      <c r="NH420" s="1"/>
      <c r="NI420" s="1"/>
      <c r="NJ420" s="1"/>
      <c r="NK420" s="1"/>
      <c r="NL420" s="1"/>
      <c r="NM420" s="1"/>
      <c r="NN420" s="1"/>
      <c r="NO420" s="1"/>
      <c r="NP420" s="1"/>
      <c r="NQ420" s="1"/>
      <c r="NR420" s="1"/>
      <c r="NS420" s="1"/>
      <c r="NT420" s="1"/>
      <c r="NU420" s="1"/>
      <c r="NV420" s="1"/>
      <c r="NW420" s="1"/>
      <c r="NX420" s="1"/>
      <c r="NY420" s="1"/>
      <c r="NZ420" s="1"/>
      <c r="OA420" s="1"/>
      <c r="OB420" s="1"/>
      <c r="OC420" s="1"/>
      <c r="OD420" s="1"/>
      <c r="OE420" s="1"/>
      <c r="OF420" s="1"/>
      <c r="OG420" s="1"/>
      <c r="OH420" s="1"/>
      <c r="OI420" s="1"/>
      <c r="OJ420" s="1"/>
      <c r="OK420" s="1"/>
      <c r="OL420" s="1"/>
      <c r="OM420" s="1"/>
      <c r="ON420" s="1"/>
      <c r="OO420" s="1"/>
      <c r="OP420" s="1"/>
      <c r="OQ420" s="1"/>
      <c r="OR420" s="1"/>
      <c r="OS420" s="1"/>
      <c r="OT420" s="1"/>
      <c r="OU420" s="1"/>
      <c r="OV420" s="1"/>
      <c r="OW420" s="1"/>
      <c r="OX420" s="1"/>
      <c r="OY420" s="1"/>
      <c r="OZ420" s="1"/>
      <c r="PA420" s="1"/>
      <c r="PB420" s="1"/>
      <c r="PC420" s="1"/>
      <c r="PD420" s="1"/>
      <c r="PE420" s="1"/>
      <c r="PF420" s="1"/>
      <c r="PG420" s="1"/>
      <c r="PH420" s="1"/>
      <c r="PI420" s="1"/>
      <c r="PJ420" s="1"/>
      <c r="PK420" s="1"/>
      <c r="PL420" s="1"/>
      <c r="PM420" s="1"/>
      <c r="PN420" s="1"/>
      <c r="PO420" s="1"/>
      <c r="PP420" s="1"/>
      <c r="PQ420" s="1"/>
      <c r="PR420" s="1"/>
      <c r="PS420" s="1"/>
      <c r="PT420" s="1"/>
      <c r="PU420" s="1"/>
      <c r="PV420" s="1"/>
      <c r="PW420" s="1"/>
      <c r="PX420" s="1"/>
      <c r="PY420" s="1"/>
      <c r="PZ420" s="1"/>
      <c r="QA420" s="1"/>
      <c r="QB420" s="1"/>
      <c r="QC420" s="1"/>
      <c r="QD420" s="1"/>
      <c r="QE420" s="1"/>
      <c r="QF420" s="1"/>
      <c r="QG420" s="1"/>
      <c r="QH420" s="1"/>
      <c r="QI420" s="1"/>
      <c r="QJ420" s="1"/>
      <c r="QK420" s="1"/>
      <c r="QL420" s="1"/>
      <c r="QM420" s="1"/>
      <c r="QN420" s="1"/>
      <c r="QO420" s="1"/>
      <c r="QP420" s="1"/>
      <c r="QQ420" s="1"/>
      <c r="QR420" s="1"/>
      <c r="QS420" s="1"/>
      <c r="QT420" s="1"/>
      <c r="QU420" s="1"/>
      <c r="QV420" s="1"/>
      <c r="QW420" s="1"/>
      <c r="QX420" s="1"/>
      <c r="QY420" s="1"/>
      <c r="QZ420" s="1"/>
      <c r="RA420" s="1"/>
      <c r="RB420" s="1"/>
      <c r="RC420" s="1"/>
      <c r="RD420" s="1"/>
      <c r="RE420" s="1"/>
      <c r="RF420" s="1"/>
      <c r="RG420" s="1"/>
      <c r="RH420" s="1"/>
      <c r="RI420" s="1"/>
      <c r="RJ420" s="1"/>
      <c r="RK420" s="1"/>
      <c r="RL420" s="1"/>
      <c r="RM420" s="1"/>
      <c r="RN420" s="1"/>
      <c r="RO420" s="1"/>
      <c r="RP420" s="1"/>
      <c r="RQ420" s="1"/>
      <c r="RR420" s="1"/>
      <c r="RS420" s="1"/>
      <c r="RT420" s="1"/>
      <c r="RU420" s="1"/>
      <c r="RV420" s="1"/>
      <c r="RW420" s="1"/>
      <c r="RX420" s="1"/>
      <c r="RY420" s="1"/>
      <c r="RZ420" s="1"/>
      <c r="SA420" s="1"/>
      <c r="SB420" s="1"/>
      <c r="SC420" s="1"/>
      <c r="SD420" s="1"/>
      <c r="SE420" s="1"/>
      <c r="SF420" s="1"/>
      <c r="SG420" s="1"/>
      <c r="SH420" s="1"/>
      <c r="SI420" s="1"/>
      <c r="SJ420" s="1"/>
      <c r="SK420" s="1"/>
      <c r="SL420" s="1"/>
      <c r="SM420" s="1"/>
      <c r="SN420" s="1"/>
      <c r="SO420" s="1"/>
      <c r="SP420" s="1"/>
      <c r="SQ420" s="1"/>
      <c r="SR420" s="1"/>
      <c r="SS420" s="1"/>
      <c r="ST420" s="1"/>
      <c r="SU420" s="1"/>
      <c r="SV420" s="1"/>
      <c r="SW420" s="1"/>
      <c r="SX420" s="1"/>
      <c r="SY420" s="1"/>
      <c r="SZ420" s="1"/>
      <c r="TA420" s="1"/>
      <c r="TB420" s="1"/>
      <c r="TC420" s="1"/>
      <c r="TD420" s="1"/>
      <c r="TE420" s="1"/>
      <c r="TF420" s="1"/>
      <c r="TG420" s="1"/>
      <c r="TH420" s="1"/>
      <c r="TI420" s="1"/>
      <c r="TJ420" s="1"/>
      <c r="TK420" s="1"/>
      <c r="TL420" s="1"/>
      <c r="TM420" s="1"/>
      <c r="TN420" s="1"/>
      <c r="TO420" s="1"/>
      <c r="TP420" s="1"/>
      <c r="TQ420" s="1"/>
      <c r="TR420" s="1"/>
      <c r="TS420" s="1"/>
      <c r="TT420" s="1"/>
      <c r="TU420" s="1"/>
      <c r="TV420" s="1"/>
      <c r="TW420" s="1"/>
      <c r="TX420" s="1"/>
      <c r="TY420" s="1"/>
      <c r="TZ420" s="1"/>
      <c r="UA420" s="1"/>
      <c r="UB420" s="1"/>
      <c r="UC420" s="1"/>
      <c r="UD420" s="1"/>
      <c r="UE420" s="1"/>
      <c r="UF420" s="1"/>
      <c r="UG420" s="1"/>
      <c r="UH420" s="1"/>
      <c r="UI420" s="1"/>
      <c r="UJ420" s="1"/>
      <c r="UK420" s="1"/>
      <c r="UL420" s="1"/>
      <c r="UM420" s="1"/>
      <c r="UN420" s="1"/>
      <c r="UO420" s="1"/>
      <c r="UP420" s="1"/>
      <c r="UQ420" s="1"/>
      <c r="UR420" s="1"/>
      <c r="US420" s="1"/>
      <c r="UT420" s="1"/>
      <c r="UU420" s="1"/>
      <c r="UV420" s="1"/>
      <c r="UW420" s="1"/>
      <c r="UX420" s="1"/>
      <c r="UY420" s="1"/>
      <c r="UZ420" s="1"/>
      <c r="VA420" s="1"/>
      <c r="VB420" s="1"/>
      <c r="VC420" s="1"/>
      <c r="VD420" s="1"/>
      <c r="VE420" s="1"/>
      <c r="VF420" s="1"/>
      <c r="VG420" s="1"/>
      <c r="VH420" s="1"/>
      <c r="VI420" s="1"/>
      <c r="VJ420" s="1"/>
      <c r="VK420" s="1"/>
      <c r="VL420" s="1"/>
      <c r="VM420" s="1"/>
      <c r="VN420" s="1"/>
      <c r="VO420" s="1"/>
      <c r="VP420" s="1"/>
      <c r="VQ420" s="1"/>
      <c r="VR420" s="1"/>
      <c r="VS420" s="1"/>
      <c r="VT420" s="1"/>
      <c r="VU420" s="1"/>
      <c r="VV420" s="1"/>
      <c r="VW420" s="1"/>
      <c r="VX420" s="1"/>
      <c r="VY420" s="1"/>
      <c r="VZ420" s="1"/>
      <c r="WA420" s="1"/>
      <c r="WB420" s="1"/>
      <c r="WC420" s="1"/>
      <c r="WD420" s="1"/>
      <c r="WE420" s="1"/>
      <c r="WF420" s="1"/>
      <c r="WG420" s="1"/>
      <c r="WH420" s="1"/>
      <c r="WI420" s="1"/>
      <c r="WJ420" s="1"/>
      <c r="WK420" s="1"/>
      <c r="WL420" s="1"/>
      <c r="WM420" s="1"/>
      <c r="WN420" s="1"/>
      <c r="WO420" s="1"/>
      <c r="WP420" s="1"/>
      <c r="WQ420" s="1"/>
      <c r="WR420" s="1"/>
      <c r="WS420" s="1"/>
      <c r="WT420" s="1"/>
      <c r="WU420" s="1"/>
      <c r="WV420" s="1"/>
      <c r="WW420" s="1"/>
      <c r="WX420" s="1"/>
      <c r="WY420" s="1"/>
      <c r="WZ420" s="1"/>
      <c r="XA420" s="1"/>
      <c r="XB420" s="1"/>
      <c r="XC420" s="1"/>
      <c r="XD420" s="1"/>
      <c r="XE420" s="1"/>
      <c r="XF420" s="1"/>
      <c r="XG420" s="1"/>
      <c r="XH420" s="1"/>
      <c r="XI420" s="1"/>
      <c r="XJ420" s="1"/>
      <c r="XK420" s="1"/>
      <c r="XL420" s="1"/>
      <c r="XM420" s="1"/>
      <c r="XN420" s="1"/>
      <c r="XO420" s="1"/>
      <c r="XP420" s="1"/>
      <c r="XQ420" s="1"/>
      <c r="XR420" s="1"/>
      <c r="XS420" s="1"/>
      <c r="XT420" s="1"/>
      <c r="XU420" s="1"/>
      <c r="XV420" s="1"/>
      <c r="XW420" s="1"/>
      <c r="XX420" s="1"/>
      <c r="XY420" s="1"/>
      <c r="XZ420" s="1"/>
      <c r="YA420" s="1"/>
      <c r="YB420" s="1"/>
      <c r="YC420" s="1"/>
      <c r="YD420" s="1"/>
      <c r="YE420" s="1"/>
      <c r="YF420" s="1"/>
      <c r="YG420" s="1"/>
      <c r="YH420" s="1"/>
      <c r="YI420" s="1"/>
      <c r="YJ420" s="1"/>
      <c r="YK420" s="1"/>
      <c r="YL420" s="1"/>
      <c r="YM420" s="1"/>
      <c r="YN420" s="1"/>
      <c r="YO420" s="1"/>
      <c r="YP420" s="1"/>
      <c r="YQ420" s="1"/>
      <c r="YR420" s="1"/>
      <c r="YS420" s="1"/>
      <c r="YT420" s="1"/>
      <c r="YU420" s="1"/>
      <c r="YV420" s="1"/>
      <c r="YW420" s="1"/>
      <c r="YX420" s="1"/>
      <c r="YY420" s="1"/>
      <c r="YZ420" s="1"/>
      <c r="ZA420" s="1"/>
      <c r="ZB420" s="1"/>
      <c r="ZC420" s="1"/>
      <c r="ZD420" s="1"/>
      <c r="ZE420" s="1"/>
      <c r="ZF420" s="1"/>
      <c r="ZG420" s="1"/>
      <c r="ZH420" s="1"/>
      <c r="ZI420" s="1"/>
      <c r="ZJ420" s="1"/>
      <c r="ZK420" s="1"/>
      <c r="ZL420" s="1"/>
      <c r="ZM420" s="1"/>
      <c r="ZN420" s="1"/>
      <c r="ZO420" s="1"/>
      <c r="ZP420" s="1"/>
      <c r="ZQ420" s="1"/>
      <c r="ZR420" s="1"/>
      <c r="ZS420" s="1"/>
      <c r="ZT420" s="1"/>
      <c r="ZU420" s="1"/>
      <c r="ZV420" s="1"/>
      <c r="ZW420" s="1"/>
      <c r="ZX420" s="1"/>
      <c r="ZY420" s="1"/>
      <c r="ZZ420" s="1"/>
      <c r="AAA420" s="1"/>
      <c r="AAB420" s="1"/>
      <c r="AAC420" s="1"/>
      <c r="AAD420" s="1"/>
      <c r="AAE420" s="1"/>
      <c r="AAF420" s="1"/>
      <c r="AAG420" s="1"/>
      <c r="AAH420" s="1"/>
      <c r="AAI420" s="1"/>
      <c r="AAJ420" s="1"/>
      <c r="AAK420" s="1"/>
      <c r="AAL420" s="1"/>
      <c r="AAM420" s="1"/>
      <c r="AAN420" s="1"/>
      <c r="AAO420" s="1"/>
      <c r="AAP420" s="1"/>
      <c r="AAQ420" s="1"/>
      <c r="AAR420" s="1"/>
      <c r="AAS420" s="1"/>
      <c r="AAT420" s="1"/>
      <c r="AAU420" s="1"/>
      <c r="AAV420" s="1"/>
      <c r="AAW420" s="1"/>
      <c r="AAX420" s="1"/>
      <c r="AAY420" s="1"/>
      <c r="AAZ420" s="1"/>
      <c r="ABA420" s="1"/>
      <c r="ABB420" s="1"/>
      <c r="ABC420" s="1"/>
      <c r="ABD420" s="1"/>
      <c r="ABE420" s="1"/>
      <c r="ABF420" s="1"/>
      <c r="ABG420" s="1"/>
      <c r="ABH420" s="1"/>
      <c r="ABI420" s="1"/>
      <c r="ABJ420" s="1"/>
      <c r="ABK420" s="1"/>
      <c r="ABL420" s="1"/>
      <c r="ABM420" s="1"/>
      <c r="ABN420" s="1"/>
      <c r="ABO420" s="1"/>
      <c r="ABP420" s="1"/>
      <c r="ABQ420" s="1"/>
      <c r="ABR420" s="1"/>
      <c r="ABS420" s="1"/>
      <c r="ABT420" s="1"/>
      <c r="ABU420" s="1"/>
      <c r="ABV420" s="1"/>
      <c r="ABW420" s="1"/>
      <c r="ABX420" s="1"/>
      <c r="ABY420" s="1"/>
      <c r="ABZ420" s="1"/>
      <c r="ACA420" s="1"/>
      <c r="ACB420" s="1"/>
      <c r="ACC420" s="1"/>
      <c r="ACD420" s="1"/>
      <c r="ACE420" s="1"/>
      <c r="ACF420" s="1"/>
      <c r="ACG420" s="1"/>
      <c r="ACH420" s="1"/>
      <c r="ACI420" s="1"/>
      <c r="ACJ420" s="1"/>
      <c r="ACK420" s="1"/>
      <c r="ACL420" s="1"/>
      <c r="ACM420" s="1"/>
      <c r="ACN420" s="1"/>
      <c r="ACO420" s="1"/>
      <c r="ACP420" s="1"/>
      <c r="ACQ420" s="1"/>
      <c r="ACR420" s="1"/>
      <c r="ACS420" s="1"/>
      <c r="ACT420" s="1"/>
      <c r="ACU420" s="1"/>
      <c r="ACV420" s="1"/>
      <c r="ACW420" s="1"/>
      <c r="ACX420" s="1"/>
      <c r="ACY420" s="1"/>
      <c r="ACZ420" s="1"/>
      <c r="ADA420" s="1"/>
      <c r="ADB420" s="1"/>
      <c r="ADC420" s="1"/>
      <c r="ADD420" s="1"/>
      <c r="ADE420" s="1"/>
      <c r="ADF420" s="1"/>
      <c r="ADG420" s="1"/>
      <c r="ADH420" s="1"/>
      <c r="ADI420" s="1"/>
      <c r="ADJ420" s="1"/>
      <c r="ADK420" s="1"/>
      <c r="ADL420" s="1"/>
      <c r="ADM420" s="1"/>
      <c r="ADN420" s="1"/>
      <c r="ADO420" s="1"/>
      <c r="ADP420" s="1"/>
      <c r="ADQ420" s="1"/>
      <c r="ADR420" s="1"/>
      <c r="ADS420" s="1"/>
      <c r="ADT420" s="1"/>
      <c r="ADU420" s="1"/>
      <c r="ADV420" s="1"/>
      <c r="ADW420" s="1"/>
      <c r="ADX420" s="1"/>
      <c r="ADY420" s="1"/>
      <c r="ADZ420" s="1"/>
      <c r="AEA420" s="1"/>
      <c r="AEB420" s="1"/>
      <c r="AEC420" s="1"/>
      <c r="AED420" s="1"/>
      <c r="AEE420" s="1"/>
      <c r="AEF420" s="1"/>
      <c r="AEG420" s="1"/>
      <c r="AEH420" s="1"/>
      <c r="AEI420" s="1"/>
      <c r="AEJ420" s="1"/>
      <c r="AEK420" s="1"/>
      <c r="AEL420" s="1"/>
      <c r="AEM420" s="1"/>
      <c r="AEN420" s="1"/>
      <c r="AEO420" s="1"/>
      <c r="AEP420" s="1"/>
      <c r="AEQ420" s="1"/>
      <c r="AER420" s="1"/>
      <c r="AES420" s="1"/>
      <c r="AET420" s="1"/>
      <c r="AEU420" s="1"/>
      <c r="AEV420" s="1"/>
      <c r="AEW420" s="1"/>
      <c r="AEX420" s="1"/>
      <c r="AEY420" s="1"/>
      <c r="AEZ420" s="1"/>
      <c r="AFA420" s="1"/>
      <c r="AFB420" s="1"/>
      <c r="AFC420" s="1"/>
      <c r="AFD420" s="1"/>
      <c r="AFE420" s="1"/>
      <c r="AFF420" s="1"/>
      <c r="AFG420" s="1"/>
      <c r="AFH420" s="1"/>
      <c r="AFI420" s="1"/>
      <c r="AFJ420" s="1"/>
      <c r="AFK420" s="1"/>
      <c r="AFL420" s="1"/>
      <c r="AFM420" s="1"/>
      <c r="AFN420" s="1"/>
      <c r="AFO420" s="1"/>
      <c r="AFP420" s="1"/>
      <c r="AFQ420" s="1"/>
      <c r="AFR420" s="1"/>
      <c r="AFS420" s="1"/>
      <c r="AFT420" s="1"/>
      <c r="AFU420" s="1"/>
      <c r="AFV420" s="1"/>
      <c r="AFW420" s="1"/>
      <c r="AFX420" s="1"/>
      <c r="AFY420" s="1"/>
      <c r="AFZ420" s="1"/>
      <c r="AGA420" s="1"/>
      <c r="AGB420" s="1"/>
      <c r="AGC420" s="1"/>
      <c r="AGD420" s="1"/>
      <c r="AGE420" s="1"/>
      <c r="AGF420" s="1"/>
      <c r="AGG420" s="1"/>
      <c r="AGH420" s="1"/>
      <c r="AGI420" s="1"/>
      <c r="AGJ420" s="1"/>
      <c r="AGK420" s="1"/>
      <c r="AGL420" s="1"/>
      <c r="AGM420" s="1"/>
      <c r="AGN420" s="1"/>
      <c r="AGO420" s="1"/>
      <c r="AGP420" s="1"/>
      <c r="AGQ420" s="1"/>
      <c r="AGR420" s="1"/>
      <c r="AGS420" s="1"/>
      <c r="AGT420" s="1"/>
      <c r="AGU420" s="1"/>
      <c r="AGV420" s="1"/>
      <c r="AGW420" s="1"/>
      <c r="AGX420" s="1"/>
      <c r="AGY420" s="1"/>
      <c r="AGZ420" s="1"/>
      <c r="AHA420" s="1"/>
      <c r="AHB420" s="1"/>
      <c r="AHC420" s="1"/>
      <c r="AHD420" s="1"/>
      <c r="AHE420" s="1"/>
      <c r="AHF420" s="1"/>
      <c r="AHG420" s="1"/>
      <c r="AHH420" s="1"/>
      <c r="AHI420" s="1"/>
      <c r="AHJ420" s="1"/>
      <c r="AHK420" s="1"/>
      <c r="AHL420" s="1"/>
      <c r="AHM420" s="1"/>
      <c r="AHN420" s="1"/>
      <c r="AHO420" s="1"/>
      <c r="AHP420" s="1"/>
      <c r="AHQ420" s="1"/>
      <c r="AHR420" s="1"/>
      <c r="AHS420" s="1"/>
      <c r="AHT420" s="1"/>
      <c r="AHU420" s="1"/>
      <c r="AHV420" s="1"/>
      <c r="AHW420" s="1"/>
      <c r="AHX420" s="1"/>
      <c r="AHY420" s="1"/>
      <c r="AHZ420" s="1"/>
      <c r="AIA420" s="1"/>
      <c r="AIB420" s="1"/>
      <c r="AIC420" s="1"/>
      <c r="AID420" s="1"/>
      <c r="AIE420" s="1"/>
      <c r="AIF420" s="1"/>
      <c r="AIG420" s="1"/>
      <c r="AIH420" s="1"/>
      <c r="AII420" s="1"/>
      <c r="AIJ420" s="1"/>
      <c r="AIK420" s="1"/>
      <c r="AIL420" s="1"/>
      <c r="AIM420" s="1"/>
      <c r="AIN420" s="1"/>
      <c r="AIO420" s="1"/>
      <c r="AIP420" s="1"/>
      <c r="AIQ420" s="1"/>
      <c r="AIR420" s="1"/>
      <c r="AIS420" s="1"/>
      <c r="AIT420" s="1"/>
      <c r="AIU420" s="1"/>
      <c r="AIV420" s="1"/>
      <c r="AIW420" s="1"/>
      <c r="AIX420" s="1"/>
      <c r="AIY420" s="1"/>
      <c r="AIZ420" s="1"/>
      <c r="AJA420" s="1"/>
      <c r="AJB420" s="1"/>
      <c r="AJC420" s="1"/>
      <c r="AJD420" s="1"/>
      <c r="AJE420" s="1"/>
      <c r="AJF420" s="1"/>
      <c r="AJG420" s="1"/>
      <c r="AJH420" s="1"/>
      <c r="AJI420" s="1"/>
      <c r="AJJ420" s="1"/>
      <c r="AJK420" s="1"/>
      <c r="AJL420" s="1"/>
      <c r="AJM420" s="1"/>
      <c r="AJN420" s="1"/>
      <c r="AJO420" s="1"/>
      <c r="AJP420" s="1"/>
      <c r="AJQ420" s="1"/>
      <c r="AJR420" s="1"/>
      <c r="AJS420" s="1"/>
      <c r="AJT420" s="1"/>
      <c r="AJU420" s="1"/>
      <c r="AJV420" s="1"/>
      <c r="AJW420" s="1"/>
      <c r="AJX420" s="1"/>
      <c r="AJY420" s="1"/>
      <c r="AJZ420" s="1"/>
      <c r="AKA420" s="1"/>
      <c r="AKB420" s="1"/>
      <c r="AKC420" s="1"/>
      <c r="AKD420" s="1"/>
      <c r="AKE420" s="1"/>
      <c r="AKF420" s="1"/>
      <c r="AKG420" s="1"/>
      <c r="AKH420" s="1"/>
      <c r="AKI420" s="1"/>
      <c r="AKJ420" s="1"/>
      <c r="AKK420" s="1"/>
      <c r="AKL420" s="1"/>
      <c r="AKM420" s="1"/>
      <c r="AKN420" s="1"/>
      <c r="AKO420" s="1"/>
      <c r="AKP420" s="1"/>
      <c r="AKQ420" s="1"/>
      <c r="AKR420" s="1"/>
      <c r="AKS420" s="1"/>
      <c r="AKT420" s="1"/>
      <c r="AKU420" s="1"/>
      <c r="AKV420" s="1"/>
      <c r="AKW420" s="1"/>
      <c r="AKX420" s="1"/>
      <c r="AKY420" s="1"/>
      <c r="AKZ420" s="1"/>
      <c r="ALA420" s="1"/>
      <c r="ALB420" s="1"/>
      <c r="ALC420" s="1"/>
      <c r="ALD420" s="1"/>
      <c r="ALE420" s="1"/>
      <c r="ALF420" s="1"/>
      <c r="ALG420" s="1"/>
      <c r="ALH420" s="1"/>
      <c r="ALI420" s="1"/>
      <c r="ALJ420" s="1"/>
      <c r="ALK420" s="1"/>
      <c r="ALL420" s="1"/>
      <c r="ALM420" s="1"/>
      <c r="ALN420" s="1"/>
      <c r="ALO420" s="1"/>
      <c r="ALP420" s="1"/>
      <c r="ALQ420" s="1"/>
      <c r="ALR420" s="1"/>
      <c r="ALS420" s="1"/>
      <c r="ALT420" s="1"/>
      <c r="ALU420" s="1"/>
      <c r="ALV420" s="1"/>
      <c r="ALW420" s="1"/>
      <c r="ALX420" s="1"/>
      <c r="ALY420" s="1"/>
      <c r="ALZ420" s="1"/>
      <c r="AMA420" s="1"/>
      <c r="AMB420" s="1"/>
      <c r="AMC420" s="1"/>
      <c r="AMD420" s="1"/>
      <c r="AME420" s="1"/>
      <c r="AMF420" s="1"/>
      <c r="AMG420" s="1"/>
      <c r="AMH420" s="1"/>
      <c r="AMI420" s="1"/>
      <c r="AMJ420" s="1"/>
      <c r="AMK420" s="1"/>
      <c r="AML420" s="1"/>
      <c r="AMM420" s="1"/>
      <c r="AMN420" s="1"/>
      <c r="AMO420" s="1"/>
    </row>
    <row r="421" spans="1:1029" x14ac:dyDescent="0.2">
      <c r="A421" s="3" t="str">
        <f>CONCATENATE(B421,"_",C421)</f>
        <v>glp1r_human_5NX2</v>
      </c>
      <c r="B421" s="3" t="s">
        <v>405</v>
      </c>
      <c r="C421" s="3" t="s">
        <v>1412</v>
      </c>
      <c r="D421" s="3" t="str">
        <f>IFERROR(MID(VLOOKUP($B421,Seqs!$A:$B,2,0),E421,1),"")</f>
        <v>E</v>
      </c>
      <c r="E421" s="3">
        <v>138</v>
      </c>
      <c r="F421" s="3" t="str">
        <f>IFERROR(MID(VLOOKUP($B421,Seqs!$A:$B,2,0),G421,1),"")</f>
        <v>F</v>
      </c>
      <c r="G421" s="3">
        <v>169</v>
      </c>
      <c r="H421" s="3" t="str">
        <f>IFERROR(MID(VLOOKUP($B421,Seqs!$A:$B,2,0),I421,1),"")</f>
        <v>R</v>
      </c>
      <c r="I421" s="23">
        <v>170</v>
      </c>
      <c r="J421" s="3" t="str">
        <f>IFERROR(MID(VLOOKUP($B421,Seqs!$A:$B,2,0),K421,1),"")</f>
        <v>H</v>
      </c>
      <c r="K421" s="23">
        <v>173</v>
      </c>
      <c r="L421" s="3" t="str">
        <f>IFERROR(MID(VLOOKUP($B421,Seqs!$A:$B,2,0),M421,1),"")</f>
        <v>C</v>
      </c>
      <c r="M421" s="23">
        <v>174</v>
      </c>
      <c r="N421" s="3" t="str">
        <f>IFERROR(MID(VLOOKUP($B421,Seqs!$A:$B,2,0),O421,1),"")</f>
        <v>S</v>
      </c>
      <c r="O421" s="3">
        <v>206</v>
      </c>
      <c r="P421" s="3" t="str">
        <f>IFERROR(MID(VLOOKUP($B421,Seqs!$A:$B,2,0),Q421,1),"")</f>
        <v/>
      </c>
      <c r="Q421" s="3" t="s">
        <v>23</v>
      </c>
      <c r="R421" s="3" t="str">
        <f>IFERROR(MID(VLOOKUP($B421,Seqs!$A:$B,2,0),S421,1),"")</f>
        <v/>
      </c>
      <c r="S421" s="3" t="s">
        <v>23</v>
      </c>
      <c r="T421" s="3" t="str">
        <f>IFERROR(MID(VLOOKUP($B421,Seqs!$A:$B,2,0),U421,1),"")</f>
        <v>L</v>
      </c>
      <c r="U421" s="3">
        <v>224</v>
      </c>
      <c r="V421" s="3" t="str">
        <f>IFERROR(MID(VLOOKUP($B421,Seqs!$A:$B,2,0),W421,1),"")</f>
        <v>F</v>
      </c>
      <c r="W421" s="3">
        <v>257</v>
      </c>
      <c r="X421" s="3" t="str">
        <f>IFERROR(MID(VLOOKUP($B421,Seqs!$A:$B,2,0),Y421,1),"")</f>
        <v/>
      </c>
      <c r="Y421" s="3" t="s">
        <v>23</v>
      </c>
      <c r="Z421" s="3" t="str">
        <f>IFERROR(MID(VLOOKUP($B421,Seqs!$A:$B,2,0),AA421,1),"")</f>
        <v/>
      </c>
      <c r="AA421" s="3" t="s">
        <v>23</v>
      </c>
      <c r="AB421" s="3" t="str">
        <f>IFERROR(MID(VLOOKUP($B421,Seqs!$A:$B,2,0),AC421,1),"")</f>
        <v>E</v>
      </c>
      <c r="AC421" s="3">
        <v>262</v>
      </c>
      <c r="AD421" s="3" t="str">
        <f>IFERROR(MID(VLOOKUP($B421,Seqs!$A:$B,2,0),AE421,1),"")</f>
        <v>Y</v>
      </c>
      <c r="AE421" s="3">
        <v>291</v>
      </c>
      <c r="AF421" s="3" t="str">
        <f>IFERROR(MID(VLOOKUP($B421,Seqs!$A:$B,2,0),AG421,1),"")</f>
        <v>C</v>
      </c>
      <c r="AG421" s="3">
        <v>296</v>
      </c>
      <c r="AH421" s="3" t="str">
        <f>IFERROR(MID(VLOOKUP($B421,Seqs!$A:$B,2,0),AI421,1),"")</f>
        <v>T</v>
      </c>
      <c r="AI421" s="3">
        <v>298</v>
      </c>
      <c r="AJ421" s="3" t="str">
        <f>IFERROR(MID(VLOOKUP($B421,Seqs!$A:$B,2,0),AK421,1),"")</f>
        <v>N</v>
      </c>
      <c r="AK421" s="3">
        <v>302</v>
      </c>
      <c r="AL421" s="3" t="str">
        <f>IFERROR(MID(VLOOKUP($B421,Seqs!$A:$B,2,0),AM421,1),"")</f>
        <v>L</v>
      </c>
      <c r="AM421" s="3">
        <v>335</v>
      </c>
      <c r="AN421" s="3" t="str">
        <f>IFERROR(MID(VLOOKUP($B421,Seqs!$A:$B,2,0),AO421,1),"")</f>
        <v>M</v>
      </c>
      <c r="AO421" s="3">
        <v>340</v>
      </c>
      <c r="AP421" s="3" t="str">
        <f>IFERROR(MID(VLOOKUP($B421,Seqs!$A:$B,2,0),AQ421,1),"")</f>
        <v>F</v>
      </c>
      <c r="AQ421" s="3">
        <v>369</v>
      </c>
      <c r="AR421" s="3" t="str">
        <f>IFERROR(MID(VLOOKUP($B421,Seqs!$A:$B,2,0),AS421,1),"")</f>
        <v>G</v>
      </c>
      <c r="AS421" s="3">
        <v>377</v>
      </c>
      <c r="AT421" s="3" t="str">
        <f>IFERROR(MID(VLOOKUP($B421,Seqs!$A:$B,2,0),AU421,1),"")</f>
        <v>V</v>
      </c>
      <c r="AU421" s="3">
        <v>405</v>
      </c>
      <c r="AV421" s="3" t="str">
        <f>IFERROR(MID(VLOOKUP($B421,Seqs!$A:$B,2,0),AW421,1),"")</f>
        <v>N</v>
      </c>
      <c r="AW421" s="3">
        <v>406</v>
      </c>
      <c r="AX421" s="3" t="str">
        <f>IFERROR(MID(VLOOKUP($B421,Seqs!$A:$B,2,0),AY421,1),"")</f>
        <v>S</v>
      </c>
      <c r="AY421" s="3">
        <v>416</v>
      </c>
      <c r="AZ421" s="77" t="str">
        <f>VLOOKUP(B421,Classification!A:D,2,0)</f>
        <v>B1</v>
      </c>
      <c r="BA421" s="94" t="str">
        <f>VLOOKUP(B421,Classification!A:D,4,0)</f>
        <v>Glucagonreceptorfamily</v>
      </c>
      <c r="BB421" s="27" t="b">
        <f t="shared" si="1191"/>
        <v>1</v>
      </c>
      <c r="BC421" s="23">
        <f t="shared" si="1192"/>
        <v>242</v>
      </c>
      <c r="BD421" s="4" t="s">
        <v>1423</v>
      </c>
      <c r="BE421" s="3" t="s">
        <v>1422</v>
      </c>
      <c r="BF421" s="118">
        <v>3.7</v>
      </c>
      <c r="BG421" s="49" t="s">
        <v>1</v>
      </c>
      <c r="BH421" s="49" t="s">
        <v>1</v>
      </c>
      <c r="BI421" s="1"/>
      <c r="BJ421" s="70" t="s">
        <v>1281</v>
      </c>
      <c r="BK421" s="57" t="s">
        <v>1281</v>
      </c>
      <c r="BL421" s="57" t="s">
        <v>1281</v>
      </c>
      <c r="BM421" s="57" t="s">
        <v>1281</v>
      </c>
      <c r="BN421" s="57" t="s">
        <v>1281</v>
      </c>
      <c r="BO421" s="57" t="s">
        <v>1281</v>
      </c>
      <c r="BP421" s="57" t="s">
        <v>1281</v>
      </c>
      <c r="BQ421" s="57" t="s">
        <v>1281</v>
      </c>
      <c r="BR421" s="57" t="s">
        <v>1281</v>
      </c>
      <c r="BS421" s="57" t="s">
        <v>1281</v>
      </c>
      <c r="BT421" s="57" t="s">
        <v>1281</v>
      </c>
      <c r="BU421" s="57" t="s">
        <v>1281</v>
      </c>
      <c r="BV421" s="70">
        <f>E421</f>
        <v>138</v>
      </c>
      <c r="BW421" s="71">
        <f>I421</f>
        <v>170</v>
      </c>
      <c r="BX421" s="72">
        <f>M421</f>
        <v>174</v>
      </c>
      <c r="BY421" s="71" t="str">
        <f>Q421</f>
        <v>-</v>
      </c>
      <c r="BZ421" s="72">
        <f>U421</f>
        <v>224</v>
      </c>
      <c r="CA421" s="71" t="str">
        <f>Y421</f>
        <v>-</v>
      </c>
      <c r="CB421" s="72">
        <f>AC421</f>
        <v>262</v>
      </c>
      <c r="CC421" s="71">
        <f>AG421</f>
        <v>296</v>
      </c>
      <c r="CD421" s="72">
        <f>AK421</f>
        <v>302</v>
      </c>
      <c r="CE421" s="71">
        <f>AO421</f>
        <v>340</v>
      </c>
      <c r="CF421" s="72">
        <f>AS421</f>
        <v>377</v>
      </c>
      <c r="CG421" s="71">
        <f>AW421</f>
        <v>406</v>
      </c>
      <c r="CH421" s="70">
        <f>G421</f>
        <v>169</v>
      </c>
      <c r="CI421" s="71">
        <f>K421</f>
        <v>173</v>
      </c>
      <c r="CJ421" s="72">
        <f>O421</f>
        <v>206</v>
      </c>
      <c r="CK421" s="72" t="str">
        <f>S421</f>
        <v>-</v>
      </c>
      <c r="CL421" s="72">
        <f>W421</f>
        <v>257</v>
      </c>
      <c r="CM421" s="72" t="str">
        <f>AA421</f>
        <v>-</v>
      </c>
      <c r="CN421" s="72">
        <f>AE421</f>
        <v>291</v>
      </c>
      <c r="CO421" s="72">
        <f>AI421</f>
        <v>298</v>
      </c>
      <c r="CP421" s="72">
        <f>AM421</f>
        <v>335</v>
      </c>
      <c r="CQ421" s="72">
        <f>AQ421</f>
        <v>369</v>
      </c>
      <c r="CR421" s="72">
        <f>AU421</f>
        <v>405</v>
      </c>
      <c r="CS421" s="72">
        <f>AY421</f>
        <v>416</v>
      </c>
      <c r="CT421" s="23">
        <f>M421-K421</f>
        <v>1</v>
      </c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  <c r="NK421" s="1"/>
      <c r="NL421" s="1"/>
      <c r="NM421" s="1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  <c r="OA421" s="1"/>
      <c r="OB421" s="1"/>
      <c r="OC421" s="1"/>
      <c r="OD421" s="1"/>
      <c r="OE421" s="1"/>
      <c r="OF421" s="1"/>
      <c r="OG421" s="1"/>
      <c r="OH421" s="1"/>
      <c r="OI421" s="1"/>
      <c r="OJ421" s="1"/>
      <c r="OK421" s="1"/>
      <c r="OL421" s="1"/>
      <c r="OM421" s="1"/>
      <c r="ON421" s="1"/>
      <c r="OO421" s="1"/>
      <c r="OP421" s="1"/>
      <c r="OQ421" s="1"/>
      <c r="OR421" s="1"/>
      <c r="OS421" s="1"/>
      <c r="OT421" s="1"/>
      <c r="OU421" s="1"/>
      <c r="OV421" s="1"/>
      <c r="OW421" s="1"/>
      <c r="OX421" s="1"/>
      <c r="OY421" s="1"/>
      <c r="OZ421" s="1"/>
      <c r="PA421" s="1"/>
      <c r="PB421" s="1"/>
      <c r="PC421" s="1"/>
      <c r="PD421" s="1"/>
      <c r="PE421" s="1"/>
      <c r="PF421" s="1"/>
      <c r="PG421" s="1"/>
      <c r="PH421" s="1"/>
      <c r="PI421" s="1"/>
      <c r="PJ421" s="1"/>
      <c r="PK421" s="1"/>
      <c r="PL421" s="1"/>
      <c r="PM421" s="1"/>
      <c r="PN421" s="1"/>
      <c r="PO421" s="1"/>
      <c r="PP421" s="1"/>
      <c r="PQ421" s="1"/>
      <c r="PR421" s="1"/>
      <c r="PS421" s="1"/>
      <c r="PT421" s="1"/>
      <c r="PU421" s="1"/>
      <c r="PV421" s="1"/>
      <c r="PW421" s="1"/>
      <c r="PX421" s="1"/>
      <c r="PY421" s="1"/>
      <c r="PZ421" s="1"/>
      <c r="QA421" s="1"/>
      <c r="QB421" s="1"/>
      <c r="QC421" s="1"/>
      <c r="QD421" s="1"/>
      <c r="QE421" s="1"/>
      <c r="QF421" s="1"/>
      <c r="QG421" s="1"/>
      <c r="QH421" s="1"/>
      <c r="QI421" s="1"/>
      <c r="QJ421" s="1"/>
      <c r="QK421" s="1"/>
      <c r="QL421" s="1"/>
      <c r="QM421" s="1"/>
      <c r="QN421" s="1"/>
      <c r="QO421" s="1"/>
      <c r="QP421" s="1"/>
      <c r="QQ421" s="1"/>
      <c r="QR421" s="1"/>
      <c r="QS421" s="1"/>
      <c r="QT421" s="1"/>
      <c r="QU421" s="1"/>
      <c r="QV421" s="1"/>
      <c r="QW421" s="1"/>
      <c r="QX421" s="1"/>
      <c r="QY421" s="1"/>
      <c r="QZ421" s="1"/>
      <c r="RA421" s="1"/>
      <c r="RB421" s="1"/>
      <c r="RC421" s="1"/>
      <c r="RD421" s="1"/>
      <c r="RE421" s="1"/>
      <c r="RF421" s="1"/>
      <c r="RG421" s="1"/>
      <c r="RH421" s="1"/>
      <c r="RI421" s="1"/>
      <c r="RJ421" s="1"/>
      <c r="RK421" s="1"/>
      <c r="RL421" s="1"/>
      <c r="RM421" s="1"/>
      <c r="RN421" s="1"/>
      <c r="RO421" s="1"/>
      <c r="RP421" s="1"/>
      <c r="RQ421" s="1"/>
      <c r="RR421" s="1"/>
      <c r="RS421" s="1"/>
      <c r="RT421" s="1"/>
      <c r="RU421" s="1"/>
      <c r="RV421" s="1"/>
      <c r="RW421" s="1"/>
      <c r="RX421" s="1"/>
      <c r="RY421" s="1"/>
      <c r="RZ421" s="1"/>
      <c r="SA421" s="1"/>
      <c r="SB421" s="1"/>
      <c r="SC421" s="1"/>
      <c r="SD421" s="1"/>
      <c r="SE421" s="1"/>
      <c r="SF421" s="1"/>
      <c r="SG421" s="1"/>
      <c r="SH421" s="1"/>
      <c r="SI421" s="1"/>
      <c r="SJ421" s="1"/>
      <c r="SK421" s="1"/>
      <c r="SL421" s="1"/>
      <c r="SM421" s="1"/>
      <c r="SN421" s="1"/>
      <c r="SO421" s="1"/>
      <c r="SP421" s="1"/>
      <c r="SQ421" s="1"/>
      <c r="SR421" s="1"/>
      <c r="SS421" s="1"/>
      <c r="ST421" s="1"/>
      <c r="SU421" s="1"/>
      <c r="SV421" s="1"/>
      <c r="SW421" s="1"/>
      <c r="SX421" s="1"/>
      <c r="SY421" s="1"/>
      <c r="SZ421" s="1"/>
      <c r="TA421" s="1"/>
      <c r="TB421" s="1"/>
      <c r="TC421" s="1"/>
      <c r="TD421" s="1"/>
      <c r="TE421" s="1"/>
      <c r="TF421" s="1"/>
      <c r="TG421" s="1"/>
      <c r="TH421" s="1"/>
      <c r="TI421" s="1"/>
      <c r="TJ421" s="1"/>
      <c r="TK421" s="1"/>
      <c r="TL421" s="1"/>
      <c r="TM421" s="1"/>
      <c r="TN421" s="1"/>
      <c r="TO421" s="1"/>
      <c r="TP421" s="1"/>
      <c r="TQ421" s="1"/>
      <c r="TR421" s="1"/>
      <c r="TS421" s="1"/>
      <c r="TT421" s="1"/>
      <c r="TU421" s="1"/>
      <c r="TV421" s="1"/>
      <c r="TW421" s="1"/>
      <c r="TX421" s="1"/>
      <c r="TY421" s="1"/>
      <c r="TZ421" s="1"/>
      <c r="UA421" s="1"/>
      <c r="UB421" s="1"/>
      <c r="UC421" s="1"/>
      <c r="UD421" s="1"/>
      <c r="UE421" s="1"/>
      <c r="UF421" s="1"/>
      <c r="UG421" s="1"/>
      <c r="UH421" s="1"/>
      <c r="UI421" s="1"/>
      <c r="UJ421" s="1"/>
      <c r="UK421" s="1"/>
      <c r="UL421" s="1"/>
      <c r="UM421" s="1"/>
      <c r="UN421" s="1"/>
      <c r="UO421" s="1"/>
      <c r="UP421" s="1"/>
      <c r="UQ421" s="1"/>
      <c r="UR421" s="1"/>
      <c r="US421" s="1"/>
      <c r="UT421" s="1"/>
      <c r="UU421" s="1"/>
      <c r="UV421" s="1"/>
      <c r="UW421" s="1"/>
      <c r="UX421" s="1"/>
      <c r="UY421" s="1"/>
      <c r="UZ421" s="1"/>
      <c r="VA421" s="1"/>
      <c r="VB421" s="1"/>
      <c r="VC421" s="1"/>
      <c r="VD421" s="1"/>
      <c r="VE421" s="1"/>
      <c r="VF421" s="1"/>
      <c r="VG421" s="1"/>
      <c r="VH421" s="1"/>
      <c r="VI421" s="1"/>
      <c r="VJ421" s="1"/>
      <c r="VK421" s="1"/>
      <c r="VL421" s="1"/>
      <c r="VM421" s="1"/>
      <c r="VN421" s="1"/>
      <c r="VO421" s="1"/>
      <c r="VP421" s="1"/>
      <c r="VQ421" s="1"/>
      <c r="VR421" s="1"/>
      <c r="VS421" s="1"/>
      <c r="VT421" s="1"/>
      <c r="VU421" s="1"/>
      <c r="VV421" s="1"/>
      <c r="VW421" s="1"/>
      <c r="VX421" s="1"/>
      <c r="VY421" s="1"/>
      <c r="VZ421" s="1"/>
      <c r="WA421" s="1"/>
      <c r="WB421" s="1"/>
      <c r="WC421" s="1"/>
      <c r="WD421" s="1"/>
      <c r="WE421" s="1"/>
      <c r="WF421" s="1"/>
      <c r="WG421" s="1"/>
      <c r="WH421" s="1"/>
      <c r="WI421" s="1"/>
      <c r="WJ421" s="1"/>
      <c r="WK421" s="1"/>
      <c r="WL421" s="1"/>
      <c r="WM421" s="1"/>
      <c r="WN421" s="1"/>
      <c r="WO421" s="1"/>
      <c r="WP421" s="1"/>
      <c r="WQ421" s="1"/>
      <c r="WR421" s="1"/>
      <c r="WS421" s="1"/>
      <c r="WT421" s="1"/>
      <c r="WU421" s="1"/>
      <c r="WV421" s="1"/>
      <c r="WW421" s="1"/>
      <c r="WX421" s="1"/>
      <c r="WY421" s="1"/>
      <c r="WZ421" s="1"/>
      <c r="XA421" s="1"/>
      <c r="XB421" s="1"/>
      <c r="XC421" s="1"/>
      <c r="XD421" s="1"/>
      <c r="XE421" s="1"/>
      <c r="XF421" s="1"/>
      <c r="XG421" s="1"/>
      <c r="XH421" s="1"/>
      <c r="XI421" s="1"/>
      <c r="XJ421" s="1"/>
      <c r="XK421" s="1"/>
      <c r="XL421" s="1"/>
      <c r="XM421" s="1"/>
      <c r="XN421" s="1"/>
      <c r="XO421" s="1"/>
      <c r="XP421" s="1"/>
      <c r="XQ421" s="1"/>
      <c r="XR421" s="1"/>
      <c r="XS421" s="1"/>
      <c r="XT421" s="1"/>
      <c r="XU421" s="1"/>
      <c r="XV421" s="1"/>
      <c r="XW421" s="1"/>
      <c r="XX421" s="1"/>
      <c r="XY421" s="1"/>
      <c r="XZ421" s="1"/>
      <c r="YA421" s="1"/>
      <c r="YB421" s="1"/>
      <c r="YC421" s="1"/>
      <c r="YD421" s="1"/>
      <c r="YE421" s="1"/>
      <c r="YF421" s="1"/>
      <c r="YG421" s="1"/>
      <c r="YH421" s="1"/>
      <c r="YI421" s="1"/>
      <c r="YJ421" s="1"/>
      <c r="YK421" s="1"/>
      <c r="YL421" s="1"/>
      <c r="YM421" s="1"/>
      <c r="YN421" s="1"/>
      <c r="YO421" s="1"/>
      <c r="YP421" s="1"/>
      <c r="YQ421" s="1"/>
      <c r="YR421" s="1"/>
      <c r="YS421" s="1"/>
      <c r="YT421" s="1"/>
      <c r="YU421" s="1"/>
      <c r="YV421" s="1"/>
      <c r="YW421" s="1"/>
      <c r="YX421" s="1"/>
      <c r="YY421" s="1"/>
      <c r="YZ421" s="1"/>
      <c r="ZA421" s="1"/>
      <c r="ZB421" s="1"/>
      <c r="ZC421" s="1"/>
      <c r="ZD421" s="1"/>
      <c r="ZE421" s="1"/>
      <c r="ZF421" s="1"/>
      <c r="ZG421" s="1"/>
      <c r="ZH421" s="1"/>
      <c r="ZI421" s="1"/>
      <c r="ZJ421" s="1"/>
      <c r="ZK421" s="1"/>
      <c r="ZL421" s="1"/>
      <c r="ZM421" s="1"/>
      <c r="ZN421" s="1"/>
      <c r="ZO421" s="1"/>
      <c r="ZP421" s="1"/>
      <c r="ZQ421" s="1"/>
      <c r="ZR421" s="1"/>
      <c r="ZS421" s="1"/>
      <c r="ZT421" s="1"/>
      <c r="ZU421" s="1"/>
      <c r="ZV421" s="1"/>
      <c r="ZW421" s="1"/>
      <c r="ZX421" s="1"/>
      <c r="ZY421" s="1"/>
      <c r="ZZ421" s="1"/>
      <c r="AAA421" s="1"/>
      <c r="AAB421" s="1"/>
      <c r="AAC421" s="1"/>
      <c r="AAD421" s="1"/>
      <c r="AAE421" s="1"/>
      <c r="AAF421" s="1"/>
      <c r="AAG421" s="1"/>
      <c r="AAH421" s="1"/>
      <c r="AAI421" s="1"/>
      <c r="AAJ421" s="1"/>
      <c r="AAK421" s="1"/>
      <c r="AAL421" s="1"/>
      <c r="AAM421" s="1"/>
      <c r="AAN421" s="1"/>
      <c r="AAO421" s="1"/>
      <c r="AAP421" s="1"/>
      <c r="AAQ421" s="1"/>
      <c r="AAR421" s="1"/>
      <c r="AAS421" s="1"/>
      <c r="AAT421" s="1"/>
      <c r="AAU421" s="1"/>
      <c r="AAV421" s="1"/>
      <c r="AAW421" s="1"/>
      <c r="AAX421" s="1"/>
      <c r="AAY421" s="1"/>
      <c r="AAZ421" s="1"/>
      <c r="ABA421" s="1"/>
      <c r="ABB421" s="1"/>
      <c r="ABC421" s="1"/>
      <c r="ABD421" s="1"/>
      <c r="ABE421" s="1"/>
      <c r="ABF421" s="1"/>
      <c r="ABG421" s="1"/>
      <c r="ABH421" s="1"/>
      <c r="ABI421" s="1"/>
      <c r="ABJ421" s="1"/>
      <c r="ABK421" s="1"/>
      <c r="ABL421" s="1"/>
      <c r="ABM421" s="1"/>
      <c r="ABN421" s="1"/>
      <c r="ABO421" s="1"/>
      <c r="ABP421" s="1"/>
      <c r="ABQ421" s="1"/>
      <c r="ABR421" s="1"/>
      <c r="ABS421" s="1"/>
      <c r="ABT421" s="1"/>
      <c r="ABU421" s="1"/>
      <c r="ABV421" s="1"/>
      <c r="ABW421" s="1"/>
      <c r="ABX421" s="1"/>
      <c r="ABY421" s="1"/>
      <c r="ABZ421" s="1"/>
      <c r="ACA421" s="1"/>
      <c r="ACB421" s="1"/>
      <c r="ACC421" s="1"/>
      <c r="ACD421" s="1"/>
      <c r="ACE421" s="1"/>
      <c r="ACF421" s="1"/>
      <c r="ACG421" s="1"/>
      <c r="ACH421" s="1"/>
      <c r="ACI421" s="1"/>
      <c r="ACJ421" s="1"/>
      <c r="ACK421" s="1"/>
      <c r="ACL421" s="1"/>
      <c r="ACM421" s="1"/>
      <c r="ACN421" s="1"/>
      <c r="ACO421" s="1"/>
      <c r="ACP421" s="1"/>
      <c r="ACQ421" s="1"/>
      <c r="ACR421" s="1"/>
      <c r="ACS421" s="1"/>
      <c r="ACT421" s="1"/>
      <c r="ACU421" s="1"/>
      <c r="ACV421" s="1"/>
      <c r="ACW421" s="1"/>
      <c r="ACX421" s="1"/>
      <c r="ACY421" s="1"/>
      <c r="ACZ421" s="1"/>
      <c r="ADA421" s="1"/>
      <c r="ADB421" s="1"/>
      <c r="ADC421" s="1"/>
      <c r="ADD421" s="1"/>
      <c r="ADE421" s="1"/>
      <c r="ADF421" s="1"/>
      <c r="ADG421" s="1"/>
      <c r="ADH421" s="1"/>
      <c r="ADI421" s="1"/>
      <c r="ADJ421" s="1"/>
      <c r="ADK421" s="1"/>
      <c r="ADL421" s="1"/>
      <c r="ADM421" s="1"/>
      <c r="ADN421" s="1"/>
      <c r="ADO421" s="1"/>
      <c r="ADP421" s="1"/>
      <c r="ADQ421" s="1"/>
      <c r="ADR421" s="1"/>
      <c r="ADS421" s="1"/>
      <c r="ADT421" s="1"/>
      <c r="ADU421" s="1"/>
      <c r="ADV421" s="1"/>
      <c r="ADW421" s="1"/>
      <c r="ADX421" s="1"/>
      <c r="ADY421" s="1"/>
      <c r="ADZ421" s="1"/>
      <c r="AEA421" s="1"/>
      <c r="AEB421" s="1"/>
      <c r="AEC421" s="1"/>
      <c r="AED421" s="1"/>
      <c r="AEE421" s="1"/>
      <c r="AEF421" s="1"/>
      <c r="AEG421" s="1"/>
      <c r="AEH421" s="1"/>
      <c r="AEI421" s="1"/>
      <c r="AEJ421" s="1"/>
      <c r="AEK421" s="1"/>
      <c r="AEL421" s="1"/>
      <c r="AEM421" s="1"/>
      <c r="AEN421" s="1"/>
      <c r="AEO421" s="1"/>
      <c r="AEP421" s="1"/>
      <c r="AEQ421" s="1"/>
      <c r="AER421" s="1"/>
      <c r="AES421" s="1"/>
      <c r="AET421" s="1"/>
      <c r="AEU421" s="1"/>
      <c r="AEV421" s="1"/>
      <c r="AEW421" s="1"/>
      <c r="AEX421" s="1"/>
      <c r="AEY421" s="1"/>
      <c r="AEZ421" s="1"/>
      <c r="AFA421" s="1"/>
      <c r="AFB421" s="1"/>
      <c r="AFC421" s="1"/>
      <c r="AFD421" s="1"/>
      <c r="AFE421" s="1"/>
      <c r="AFF421" s="1"/>
      <c r="AFG421" s="1"/>
      <c r="AFH421" s="1"/>
      <c r="AFI421" s="1"/>
      <c r="AFJ421" s="1"/>
      <c r="AFK421" s="1"/>
      <c r="AFL421" s="1"/>
      <c r="AFM421" s="1"/>
      <c r="AFN421" s="1"/>
      <c r="AFO421" s="1"/>
      <c r="AFP421" s="1"/>
      <c r="AFQ421" s="1"/>
      <c r="AFR421" s="1"/>
      <c r="AFS421" s="1"/>
      <c r="AFT421" s="1"/>
      <c r="AFU421" s="1"/>
      <c r="AFV421" s="1"/>
      <c r="AFW421" s="1"/>
      <c r="AFX421" s="1"/>
      <c r="AFY421" s="1"/>
      <c r="AFZ421" s="1"/>
      <c r="AGA421" s="1"/>
      <c r="AGB421" s="1"/>
      <c r="AGC421" s="1"/>
      <c r="AGD421" s="1"/>
      <c r="AGE421" s="1"/>
      <c r="AGF421" s="1"/>
      <c r="AGG421" s="1"/>
      <c r="AGH421" s="1"/>
      <c r="AGI421" s="1"/>
      <c r="AGJ421" s="1"/>
      <c r="AGK421" s="1"/>
      <c r="AGL421" s="1"/>
      <c r="AGM421" s="1"/>
      <c r="AGN421" s="1"/>
      <c r="AGO421" s="1"/>
      <c r="AGP421" s="1"/>
      <c r="AGQ421" s="1"/>
      <c r="AGR421" s="1"/>
      <c r="AGS421" s="1"/>
      <c r="AGT421" s="1"/>
      <c r="AGU421" s="1"/>
      <c r="AGV421" s="1"/>
      <c r="AGW421" s="1"/>
      <c r="AGX421" s="1"/>
      <c r="AGY421" s="1"/>
      <c r="AGZ421" s="1"/>
      <c r="AHA421" s="1"/>
      <c r="AHB421" s="1"/>
      <c r="AHC421" s="1"/>
      <c r="AHD421" s="1"/>
      <c r="AHE421" s="1"/>
      <c r="AHF421" s="1"/>
      <c r="AHG421" s="1"/>
      <c r="AHH421" s="1"/>
      <c r="AHI421" s="1"/>
      <c r="AHJ421" s="1"/>
      <c r="AHK421" s="1"/>
      <c r="AHL421" s="1"/>
      <c r="AHM421" s="1"/>
      <c r="AHN421" s="1"/>
      <c r="AHO421" s="1"/>
      <c r="AHP421" s="1"/>
      <c r="AHQ421" s="1"/>
      <c r="AHR421" s="1"/>
      <c r="AHS421" s="1"/>
      <c r="AHT421" s="1"/>
      <c r="AHU421" s="1"/>
      <c r="AHV421" s="1"/>
      <c r="AHW421" s="1"/>
      <c r="AHX421" s="1"/>
      <c r="AHY421" s="1"/>
      <c r="AHZ421" s="1"/>
      <c r="AIA421" s="1"/>
      <c r="AIB421" s="1"/>
      <c r="AIC421" s="1"/>
      <c r="AID421" s="1"/>
      <c r="AIE421" s="1"/>
      <c r="AIF421" s="1"/>
      <c r="AIG421" s="1"/>
      <c r="AIH421" s="1"/>
      <c r="AII421" s="1"/>
      <c r="AIJ421" s="1"/>
      <c r="AIK421" s="1"/>
      <c r="AIL421" s="1"/>
      <c r="AIM421" s="1"/>
      <c r="AIN421" s="1"/>
      <c r="AIO421" s="1"/>
      <c r="AIP421" s="1"/>
      <c r="AIQ421" s="1"/>
      <c r="AIR421" s="1"/>
      <c r="AIS421" s="1"/>
      <c r="AIT421" s="1"/>
      <c r="AIU421" s="1"/>
      <c r="AIV421" s="1"/>
      <c r="AIW421" s="1"/>
      <c r="AIX421" s="1"/>
      <c r="AIY421" s="1"/>
      <c r="AIZ421" s="1"/>
      <c r="AJA421" s="1"/>
      <c r="AJB421" s="1"/>
      <c r="AJC421" s="1"/>
      <c r="AJD421" s="1"/>
      <c r="AJE421" s="1"/>
      <c r="AJF421" s="1"/>
      <c r="AJG421" s="1"/>
      <c r="AJH421" s="1"/>
      <c r="AJI421" s="1"/>
      <c r="AJJ421" s="1"/>
      <c r="AJK421" s="1"/>
      <c r="AJL421" s="1"/>
      <c r="AJM421" s="1"/>
      <c r="AJN421" s="1"/>
      <c r="AJO421" s="1"/>
      <c r="AJP421" s="1"/>
      <c r="AJQ421" s="1"/>
      <c r="AJR421" s="1"/>
      <c r="AJS421" s="1"/>
      <c r="AJT421" s="1"/>
      <c r="AJU421" s="1"/>
      <c r="AJV421" s="1"/>
      <c r="AJW421" s="1"/>
      <c r="AJX421" s="1"/>
      <c r="AJY421" s="1"/>
      <c r="AJZ421" s="1"/>
      <c r="AKA421" s="1"/>
      <c r="AKB421" s="1"/>
      <c r="AKC421" s="1"/>
      <c r="AKD421" s="1"/>
      <c r="AKE421" s="1"/>
      <c r="AKF421" s="1"/>
      <c r="AKG421" s="1"/>
      <c r="AKH421" s="1"/>
      <c r="AKI421" s="1"/>
      <c r="AKJ421" s="1"/>
      <c r="AKK421" s="1"/>
      <c r="AKL421" s="1"/>
      <c r="AKM421" s="1"/>
      <c r="AKN421" s="1"/>
      <c r="AKO421" s="1"/>
      <c r="AKP421" s="1"/>
      <c r="AKQ421" s="1"/>
      <c r="AKR421" s="1"/>
      <c r="AKS421" s="1"/>
      <c r="AKT421" s="1"/>
      <c r="AKU421" s="1"/>
      <c r="AKV421" s="1"/>
      <c r="AKW421" s="1"/>
      <c r="AKX421" s="1"/>
      <c r="AKY421" s="1"/>
      <c r="AKZ421" s="1"/>
      <c r="ALA421" s="1"/>
      <c r="ALB421" s="1"/>
      <c r="ALC421" s="1"/>
      <c r="ALD421" s="1"/>
      <c r="ALE421" s="1"/>
      <c r="ALF421" s="1"/>
      <c r="ALG421" s="1"/>
      <c r="ALH421" s="1"/>
      <c r="ALI421" s="1"/>
      <c r="ALJ421" s="1"/>
      <c r="ALK421" s="1"/>
      <c r="ALL421" s="1"/>
      <c r="ALM421" s="1"/>
      <c r="ALN421" s="1"/>
      <c r="ALO421" s="1"/>
      <c r="ALP421" s="1"/>
      <c r="ALQ421" s="1"/>
      <c r="ALR421" s="1"/>
      <c r="ALS421" s="1"/>
      <c r="ALT421" s="1"/>
      <c r="ALU421" s="1"/>
      <c r="ALV421" s="1"/>
      <c r="ALW421" s="1"/>
      <c r="ALX421" s="1"/>
      <c r="ALY421" s="1"/>
      <c r="ALZ421" s="1"/>
      <c r="AMA421" s="1"/>
      <c r="AMB421" s="1"/>
      <c r="AMC421" s="1"/>
      <c r="AMD421" s="1"/>
      <c r="AME421" s="1"/>
      <c r="AMF421" s="1"/>
      <c r="AMG421" s="1"/>
      <c r="AMH421" s="1"/>
      <c r="AMI421" s="1"/>
      <c r="AMJ421" s="1"/>
      <c r="AMK421" s="1"/>
      <c r="AML421" s="1"/>
      <c r="AMM421" s="1"/>
      <c r="AMN421" s="1"/>
      <c r="AMO421" s="1"/>
    </row>
    <row r="422" spans="1:1029" x14ac:dyDescent="0.2">
      <c r="A422" s="3" t="str">
        <f>CONCATENATE(B422,"_",C422)</f>
        <v>glp1r_human_6B3J</v>
      </c>
      <c r="B422" s="3" t="s">
        <v>405</v>
      </c>
      <c r="C422" s="3" t="s">
        <v>1467</v>
      </c>
      <c r="D422" s="3" t="str">
        <f>IFERROR(MID(VLOOKUP($B422,Seqs!$A:$B,2,0),E422,1),"")</f>
        <v>E</v>
      </c>
      <c r="E422" s="3">
        <v>138</v>
      </c>
      <c r="F422" s="3" t="str">
        <f>IFERROR(MID(VLOOKUP($B422,Seqs!$A:$B,2,0),G422,1),"")</f>
        <v>F</v>
      </c>
      <c r="G422" s="3">
        <v>169</v>
      </c>
      <c r="H422" s="3" t="str">
        <f>IFERROR(MID(VLOOKUP($B422,Seqs!$A:$B,2,0),I422,1),"")</f>
        <v/>
      </c>
      <c r="I422" s="23" t="s">
        <v>23</v>
      </c>
      <c r="J422" s="3" t="str">
        <f>IFERROR(MID(VLOOKUP($B422,Seqs!$A:$B,2,0),K422,1),"")</f>
        <v/>
      </c>
      <c r="K422" s="23" t="s">
        <v>23</v>
      </c>
      <c r="L422" s="3" t="str">
        <f>IFERROR(MID(VLOOKUP($B422,Seqs!$A:$B,2,0),M422,1),"")</f>
        <v>C</v>
      </c>
      <c r="M422" s="23">
        <v>174</v>
      </c>
      <c r="N422" s="3" t="str">
        <f>IFERROR(MID(VLOOKUP($B422,Seqs!$A:$B,2,0),O422,1),"")</f>
        <v>Y</v>
      </c>
      <c r="O422" s="3">
        <v>205</v>
      </c>
      <c r="P422" s="3" t="str">
        <f>IFERROR(MID(VLOOKUP($B422,Seqs!$A:$B,2,0),Q422,1),"")</f>
        <v/>
      </c>
      <c r="Q422" s="3" t="s">
        <v>23</v>
      </c>
      <c r="R422" s="3" t="str">
        <f>IFERROR(MID(VLOOKUP($B422,Seqs!$A:$B,2,0),S422,1),"")</f>
        <v/>
      </c>
      <c r="S422" s="3" t="s">
        <v>23</v>
      </c>
      <c r="T422" s="3" t="str">
        <f>IFERROR(MID(VLOOKUP($B422,Seqs!$A:$B,2,0),U422,1),"")</f>
        <v>S</v>
      </c>
      <c r="U422" s="3">
        <v>225</v>
      </c>
      <c r="V422" s="3" t="str">
        <f>IFERROR(MID(VLOOKUP($B422,Seqs!$A:$B,2,0),W422,1),"")</f>
        <v>F</v>
      </c>
      <c r="W422" s="3">
        <v>257</v>
      </c>
      <c r="X422" s="3" t="str">
        <f>IFERROR(MID(VLOOKUP($B422,Seqs!$A:$B,2,0),Y422,1),"")</f>
        <v/>
      </c>
      <c r="Y422" s="3" t="s">
        <v>23</v>
      </c>
      <c r="Z422" s="3" t="str">
        <f>IFERROR(MID(VLOOKUP($B422,Seqs!$A:$B,2,0),AA422,1),"")</f>
        <v/>
      </c>
      <c r="AA422" s="3" t="s">
        <v>23</v>
      </c>
      <c r="AB422" s="3" t="str">
        <f>IFERROR(MID(VLOOKUP($B422,Seqs!$A:$B,2,0),AC422,1),"")</f>
        <v>S</v>
      </c>
      <c r="AC422" s="3">
        <v>261</v>
      </c>
      <c r="AD422" s="3" t="str">
        <f>IFERROR(MID(VLOOKUP($B422,Seqs!$A:$B,2,0),AE422,1),"")</f>
        <v>E</v>
      </c>
      <c r="AE422" s="3">
        <v>292</v>
      </c>
      <c r="AF422" s="3" t="str">
        <f>IFERROR(MID(VLOOKUP($B422,Seqs!$A:$B,2,0),AG422,1),"")</f>
        <v>C</v>
      </c>
      <c r="AG422" s="3">
        <v>296</v>
      </c>
      <c r="AH422" s="3" t="str">
        <f>IFERROR(MID(VLOOKUP($B422,Seqs!$A:$B,2,0),AI422,1),"")</f>
        <v>T</v>
      </c>
      <c r="AI422" s="3">
        <v>298</v>
      </c>
      <c r="AJ422" s="3" t="str">
        <f>IFERROR(MID(VLOOKUP($B422,Seqs!$A:$B,2,0),AK422,1),"")</f>
        <v>N</v>
      </c>
      <c r="AK422" s="3">
        <v>302</v>
      </c>
      <c r="AL422" s="3" t="str">
        <f>IFERROR(MID(VLOOKUP($B422,Seqs!$A:$B,2,0),AM422,1),"")</f>
        <v>A</v>
      </c>
      <c r="AM422" s="3">
        <v>337</v>
      </c>
      <c r="AN422" s="3" t="str">
        <f>IFERROR(MID(VLOOKUP($B422,Seqs!$A:$B,2,0),AO422,1),"")</f>
        <v>D</v>
      </c>
      <c r="AO422" s="3">
        <v>344</v>
      </c>
      <c r="AP422" s="3" t="str">
        <f>IFERROR(MID(VLOOKUP($B422,Seqs!$A:$B,2,0),AQ422,1),"")</f>
        <v>F</v>
      </c>
      <c r="AQ422" s="3">
        <v>369</v>
      </c>
      <c r="AR422" s="3" t="str">
        <f>IFERROR(MID(VLOOKUP($B422,Seqs!$A:$B,2,0),AS422,1),"")</f>
        <v>R</v>
      </c>
      <c r="AS422" s="3">
        <v>380</v>
      </c>
      <c r="AT422" s="3" t="str">
        <f>IFERROR(MID(VLOOKUP($B422,Seqs!$A:$B,2,0),AU422,1),"")</f>
        <v>V</v>
      </c>
      <c r="AU422" s="3">
        <v>405</v>
      </c>
      <c r="AV422" s="3" t="str">
        <f>IFERROR(MID(VLOOKUP($B422,Seqs!$A:$B,2,0),AW422,1),"")</f>
        <v>N</v>
      </c>
      <c r="AW422" s="3">
        <v>406</v>
      </c>
      <c r="AX422" s="3" t="str">
        <f>IFERROR(MID(VLOOKUP($B422,Seqs!$A:$B,2,0),AY422,1),"")</f>
        <v>E</v>
      </c>
      <c r="AY422" s="3">
        <v>423</v>
      </c>
      <c r="AZ422" s="77" t="str">
        <f>VLOOKUP(B422,Classification!A:D,2,0)</f>
        <v>B1</v>
      </c>
      <c r="BA422" s="94" t="str">
        <f>VLOOKUP(B422,Classification!A:D,4,0)</f>
        <v>Glucagonreceptorfamily</v>
      </c>
      <c r="BB422" s="27" t="b">
        <f t="shared" si="1191"/>
        <v>1</v>
      </c>
      <c r="BC422" s="23">
        <f t="shared" si="1192"/>
        <v>241</v>
      </c>
      <c r="BD422" s="4" t="s">
        <v>1369</v>
      </c>
      <c r="BE422" s="3" t="s">
        <v>1285</v>
      </c>
      <c r="BF422" s="118">
        <v>3.3</v>
      </c>
      <c r="BG422" s="49" t="s">
        <v>1416</v>
      </c>
      <c r="BH422" s="49" t="s">
        <v>1416</v>
      </c>
      <c r="BI422" s="1"/>
      <c r="BJ422" s="70" t="s">
        <v>1281</v>
      </c>
      <c r="BK422" s="57" t="s">
        <v>1281</v>
      </c>
      <c r="BL422" s="57" t="s">
        <v>1281</v>
      </c>
      <c r="BM422" s="57" t="s">
        <v>1281</v>
      </c>
      <c r="BN422" s="57" t="s">
        <v>1281</v>
      </c>
      <c r="BO422" s="57" t="s">
        <v>1281</v>
      </c>
      <c r="BP422" s="57" t="s">
        <v>1281</v>
      </c>
      <c r="BQ422" s="57" t="s">
        <v>1281</v>
      </c>
      <c r="BR422" s="57" t="s">
        <v>1281</v>
      </c>
      <c r="BS422" s="57" t="s">
        <v>1281</v>
      </c>
      <c r="BT422" s="57" t="s">
        <v>1281</v>
      </c>
      <c r="BU422" s="57" t="s">
        <v>1281</v>
      </c>
      <c r="BV422" s="70">
        <f>E422</f>
        <v>138</v>
      </c>
      <c r="BW422" s="71" t="str">
        <f>I422</f>
        <v>-</v>
      </c>
      <c r="BX422" s="72">
        <f>M422</f>
        <v>174</v>
      </c>
      <c r="BY422" s="71" t="str">
        <f>Q422</f>
        <v>-</v>
      </c>
      <c r="BZ422" s="72">
        <f>U422</f>
        <v>225</v>
      </c>
      <c r="CA422" s="71" t="str">
        <f>Y422</f>
        <v>-</v>
      </c>
      <c r="CB422" s="72">
        <f>AC422</f>
        <v>261</v>
      </c>
      <c r="CC422" s="71">
        <f>AG422</f>
        <v>296</v>
      </c>
      <c r="CD422" s="72">
        <f>AK422</f>
        <v>302</v>
      </c>
      <c r="CE422" s="71">
        <f>AO422</f>
        <v>344</v>
      </c>
      <c r="CF422" s="72">
        <f>AS422</f>
        <v>380</v>
      </c>
      <c r="CG422" s="71">
        <f>AW422</f>
        <v>406</v>
      </c>
      <c r="CH422" s="70">
        <f>G422</f>
        <v>169</v>
      </c>
      <c r="CI422" s="71" t="str">
        <f>K422</f>
        <v>-</v>
      </c>
      <c r="CJ422" s="72">
        <f>O422</f>
        <v>205</v>
      </c>
      <c r="CK422" s="72" t="str">
        <f>S422</f>
        <v>-</v>
      </c>
      <c r="CL422" s="72">
        <f>W422</f>
        <v>257</v>
      </c>
      <c r="CM422" s="72" t="str">
        <f>AA422</f>
        <v>-</v>
      </c>
      <c r="CN422" s="72">
        <f>AE422</f>
        <v>292</v>
      </c>
      <c r="CO422" s="72">
        <f>AI422</f>
        <v>298</v>
      </c>
      <c r="CP422" s="72">
        <f>AM422</f>
        <v>337</v>
      </c>
      <c r="CQ422" s="72">
        <f>AQ422</f>
        <v>369</v>
      </c>
      <c r="CR422" s="72">
        <f>AU422</f>
        <v>405</v>
      </c>
      <c r="CS422" s="72">
        <f>AY422</f>
        <v>423</v>
      </c>
      <c r="CT422" s="23" t="e">
        <f>M422-K422</f>
        <v>#VALUE!</v>
      </c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B422" s="1"/>
      <c r="NC422" s="1"/>
      <c r="ND422" s="1"/>
      <c r="NE422" s="1"/>
      <c r="NF422" s="1"/>
      <c r="NG422" s="1"/>
      <c r="NH422" s="1"/>
      <c r="NI422" s="1"/>
      <c r="NJ422" s="1"/>
      <c r="NK422" s="1"/>
      <c r="NL422" s="1"/>
      <c r="NM422" s="1"/>
      <c r="NN422" s="1"/>
      <c r="NO422" s="1"/>
      <c r="NP422" s="1"/>
      <c r="NQ422" s="1"/>
      <c r="NR422" s="1"/>
      <c r="NS422" s="1"/>
      <c r="NT422" s="1"/>
      <c r="NU422" s="1"/>
      <c r="NV422" s="1"/>
      <c r="NW422" s="1"/>
      <c r="NX422" s="1"/>
      <c r="NY422" s="1"/>
      <c r="NZ422" s="1"/>
      <c r="OA422" s="1"/>
      <c r="OB422" s="1"/>
      <c r="OC422" s="1"/>
      <c r="OD422" s="1"/>
      <c r="OE422" s="1"/>
      <c r="OF422" s="1"/>
      <c r="OG422" s="1"/>
      <c r="OH422" s="1"/>
      <c r="OI422" s="1"/>
      <c r="OJ422" s="1"/>
      <c r="OK422" s="1"/>
      <c r="OL422" s="1"/>
      <c r="OM422" s="1"/>
      <c r="ON422" s="1"/>
      <c r="OO422" s="1"/>
      <c r="OP422" s="1"/>
      <c r="OQ422" s="1"/>
      <c r="OR422" s="1"/>
      <c r="OS422" s="1"/>
      <c r="OT422" s="1"/>
      <c r="OU422" s="1"/>
      <c r="OV422" s="1"/>
      <c r="OW422" s="1"/>
      <c r="OX422" s="1"/>
      <c r="OY422" s="1"/>
      <c r="OZ422" s="1"/>
      <c r="PA422" s="1"/>
      <c r="PB422" s="1"/>
      <c r="PC422" s="1"/>
      <c r="PD422" s="1"/>
      <c r="PE422" s="1"/>
      <c r="PF422" s="1"/>
      <c r="PG422" s="1"/>
      <c r="PH422" s="1"/>
      <c r="PI422" s="1"/>
      <c r="PJ422" s="1"/>
      <c r="PK422" s="1"/>
      <c r="PL422" s="1"/>
      <c r="PM422" s="1"/>
      <c r="PN422" s="1"/>
      <c r="PO422" s="1"/>
      <c r="PP422" s="1"/>
      <c r="PQ422" s="1"/>
      <c r="PR422" s="1"/>
      <c r="PS422" s="1"/>
      <c r="PT422" s="1"/>
      <c r="PU422" s="1"/>
      <c r="PV422" s="1"/>
      <c r="PW422" s="1"/>
      <c r="PX422" s="1"/>
      <c r="PY422" s="1"/>
      <c r="PZ422" s="1"/>
      <c r="QA422" s="1"/>
      <c r="QB422" s="1"/>
      <c r="QC422" s="1"/>
      <c r="QD422" s="1"/>
      <c r="QE422" s="1"/>
      <c r="QF422" s="1"/>
      <c r="QG422" s="1"/>
      <c r="QH422" s="1"/>
      <c r="QI422" s="1"/>
      <c r="QJ422" s="1"/>
      <c r="QK422" s="1"/>
      <c r="QL422" s="1"/>
      <c r="QM422" s="1"/>
      <c r="QN422" s="1"/>
      <c r="QO422" s="1"/>
      <c r="QP422" s="1"/>
      <c r="QQ422" s="1"/>
      <c r="QR422" s="1"/>
      <c r="QS422" s="1"/>
      <c r="QT422" s="1"/>
      <c r="QU422" s="1"/>
      <c r="QV422" s="1"/>
      <c r="QW422" s="1"/>
      <c r="QX422" s="1"/>
      <c r="QY422" s="1"/>
      <c r="QZ422" s="1"/>
      <c r="RA422" s="1"/>
      <c r="RB422" s="1"/>
      <c r="RC422" s="1"/>
      <c r="RD422" s="1"/>
      <c r="RE422" s="1"/>
      <c r="RF422" s="1"/>
      <c r="RG422" s="1"/>
      <c r="RH422" s="1"/>
      <c r="RI422" s="1"/>
      <c r="RJ422" s="1"/>
      <c r="RK422" s="1"/>
      <c r="RL422" s="1"/>
      <c r="RM422" s="1"/>
      <c r="RN422" s="1"/>
      <c r="RO422" s="1"/>
      <c r="RP422" s="1"/>
      <c r="RQ422" s="1"/>
      <c r="RR422" s="1"/>
      <c r="RS422" s="1"/>
      <c r="RT422" s="1"/>
      <c r="RU422" s="1"/>
      <c r="RV422" s="1"/>
      <c r="RW422" s="1"/>
      <c r="RX422" s="1"/>
      <c r="RY422" s="1"/>
      <c r="RZ422" s="1"/>
      <c r="SA422" s="1"/>
      <c r="SB422" s="1"/>
      <c r="SC422" s="1"/>
      <c r="SD422" s="1"/>
      <c r="SE422" s="1"/>
      <c r="SF422" s="1"/>
      <c r="SG422" s="1"/>
      <c r="SH422" s="1"/>
      <c r="SI422" s="1"/>
      <c r="SJ422" s="1"/>
      <c r="SK422" s="1"/>
      <c r="SL422" s="1"/>
      <c r="SM422" s="1"/>
      <c r="SN422" s="1"/>
      <c r="SO422" s="1"/>
      <c r="SP422" s="1"/>
      <c r="SQ422" s="1"/>
      <c r="SR422" s="1"/>
      <c r="SS422" s="1"/>
      <c r="ST422" s="1"/>
      <c r="SU422" s="1"/>
      <c r="SV422" s="1"/>
      <c r="SW422" s="1"/>
      <c r="SX422" s="1"/>
      <c r="SY422" s="1"/>
      <c r="SZ422" s="1"/>
      <c r="TA422" s="1"/>
      <c r="TB422" s="1"/>
      <c r="TC422" s="1"/>
      <c r="TD422" s="1"/>
      <c r="TE422" s="1"/>
      <c r="TF422" s="1"/>
      <c r="TG422" s="1"/>
      <c r="TH422" s="1"/>
      <c r="TI422" s="1"/>
      <c r="TJ422" s="1"/>
      <c r="TK422" s="1"/>
      <c r="TL422" s="1"/>
      <c r="TM422" s="1"/>
      <c r="TN422" s="1"/>
      <c r="TO422" s="1"/>
      <c r="TP422" s="1"/>
      <c r="TQ422" s="1"/>
      <c r="TR422" s="1"/>
      <c r="TS422" s="1"/>
      <c r="TT422" s="1"/>
      <c r="TU422" s="1"/>
      <c r="TV422" s="1"/>
      <c r="TW422" s="1"/>
      <c r="TX422" s="1"/>
      <c r="TY422" s="1"/>
      <c r="TZ422" s="1"/>
      <c r="UA422" s="1"/>
      <c r="UB422" s="1"/>
      <c r="UC422" s="1"/>
      <c r="UD422" s="1"/>
      <c r="UE422" s="1"/>
      <c r="UF422" s="1"/>
      <c r="UG422" s="1"/>
      <c r="UH422" s="1"/>
      <c r="UI422" s="1"/>
      <c r="UJ422" s="1"/>
      <c r="UK422" s="1"/>
      <c r="UL422" s="1"/>
      <c r="UM422" s="1"/>
      <c r="UN422" s="1"/>
      <c r="UO422" s="1"/>
      <c r="UP422" s="1"/>
      <c r="UQ422" s="1"/>
      <c r="UR422" s="1"/>
      <c r="US422" s="1"/>
      <c r="UT422" s="1"/>
      <c r="UU422" s="1"/>
      <c r="UV422" s="1"/>
      <c r="UW422" s="1"/>
      <c r="UX422" s="1"/>
      <c r="UY422" s="1"/>
      <c r="UZ422" s="1"/>
      <c r="VA422" s="1"/>
      <c r="VB422" s="1"/>
      <c r="VC422" s="1"/>
      <c r="VD422" s="1"/>
      <c r="VE422" s="1"/>
      <c r="VF422" s="1"/>
      <c r="VG422" s="1"/>
      <c r="VH422" s="1"/>
      <c r="VI422" s="1"/>
      <c r="VJ422" s="1"/>
      <c r="VK422" s="1"/>
      <c r="VL422" s="1"/>
      <c r="VM422" s="1"/>
      <c r="VN422" s="1"/>
      <c r="VO422" s="1"/>
      <c r="VP422" s="1"/>
      <c r="VQ422" s="1"/>
      <c r="VR422" s="1"/>
      <c r="VS422" s="1"/>
      <c r="VT422" s="1"/>
      <c r="VU422" s="1"/>
      <c r="VV422" s="1"/>
      <c r="VW422" s="1"/>
      <c r="VX422" s="1"/>
      <c r="VY422" s="1"/>
      <c r="VZ422" s="1"/>
      <c r="WA422" s="1"/>
      <c r="WB422" s="1"/>
      <c r="WC422" s="1"/>
      <c r="WD422" s="1"/>
      <c r="WE422" s="1"/>
      <c r="WF422" s="1"/>
      <c r="WG422" s="1"/>
      <c r="WH422" s="1"/>
      <c r="WI422" s="1"/>
      <c r="WJ422" s="1"/>
      <c r="WK422" s="1"/>
      <c r="WL422" s="1"/>
      <c r="WM422" s="1"/>
      <c r="WN422" s="1"/>
      <c r="WO422" s="1"/>
      <c r="WP422" s="1"/>
      <c r="WQ422" s="1"/>
      <c r="WR422" s="1"/>
      <c r="WS422" s="1"/>
      <c r="WT422" s="1"/>
      <c r="WU422" s="1"/>
      <c r="WV422" s="1"/>
      <c r="WW422" s="1"/>
      <c r="WX422" s="1"/>
      <c r="WY422" s="1"/>
      <c r="WZ422" s="1"/>
      <c r="XA422" s="1"/>
      <c r="XB422" s="1"/>
      <c r="XC422" s="1"/>
      <c r="XD422" s="1"/>
      <c r="XE422" s="1"/>
      <c r="XF422" s="1"/>
      <c r="XG422" s="1"/>
      <c r="XH422" s="1"/>
      <c r="XI422" s="1"/>
      <c r="XJ422" s="1"/>
      <c r="XK422" s="1"/>
      <c r="XL422" s="1"/>
      <c r="XM422" s="1"/>
      <c r="XN422" s="1"/>
      <c r="XO422" s="1"/>
      <c r="XP422" s="1"/>
      <c r="XQ422" s="1"/>
      <c r="XR422" s="1"/>
      <c r="XS422" s="1"/>
      <c r="XT422" s="1"/>
      <c r="XU422" s="1"/>
      <c r="XV422" s="1"/>
      <c r="XW422" s="1"/>
      <c r="XX422" s="1"/>
      <c r="XY422" s="1"/>
      <c r="XZ422" s="1"/>
      <c r="YA422" s="1"/>
      <c r="YB422" s="1"/>
      <c r="YC422" s="1"/>
      <c r="YD422" s="1"/>
      <c r="YE422" s="1"/>
      <c r="YF422" s="1"/>
      <c r="YG422" s="1"/>
      <c r="YH422" s="1"/>
      <c r="YI422" s="1"/>
      <c r="YJ422" s="1"/>
      <c r="YK422" s="1"/>
      <c r="YL422" s="1"/>
      <c r="YM422" s="1"/>
      <c r="YN422" s="1"/>
      <c r="YO422" s="1"/>
      <c r="YP422" s="1"/>
      <c r="YQ422" s="1"/>
      <c r="YR422" s="1"/>
      <c r="YS422" s="1"/>
      <c r="YT422" s="1"/>
      <c r="YU422" s="1"/>
      <c r="YV422" s="1"/>
      <c r="YW422" s="1"/>
      <c r="YX422" s="1"/>
      <c r="YY422" s="1"/>
      <c r="YZ422" s="1"/>
      <c r="ZA422" s="1"/>
      <c r="ZB422" s="1"/>
      <c r="ZC422" s="1"/>
      <c r="ZD422" s="1"/>
      <c r="ZE422" s="1"/>
      <c r="ZF422" s="1"/>
      <c r="ZG422" s="1"/>
      <c r="ZH422" s="1"/>
      <c r="ZI422" s="1"/>
      <c r="ZJ422" s="1"/>
      <c r="ZK422" s="1"/>
      <c r="ZL422" s="1"/>
      <c r="ZM422" s="1"/>
      <c r="ZN422" s="1"/>
      <c r="ZO422" s="1"/>
      <c r="ZP422" s="1"/>
      <c r="ZQ422" s="1"/>
      <c r="ZR422" s="1"/>
      <c r="ZS422" s="1"/>
      <c r="ZT422" s="1"/>
      <c r="ZU422" s="1"/>
      <c r="ZV422" s="1"/>
      <c r="ZW422" s="1"/>
      <c r="ZX422" s="1"/>
      <c r="ZY422" s="1"/>
      <c r="ZZ422" s="1"/>
      <c r="AAA422" s="1"/>
      <c r="AAB422" s="1"/>
      <c r="AAC422" s="1"/>
      <c r="AAD422" s="1"/>
      <c r="AAE422" s="1"/>
      <c r="AAF422" s="1"/>
      <c r="AAG422" s="1"/>
      <c r="AAH422" s="1"/>
      <c r="AAI422" s="1"/>
      <c r="AAJ422" s="1"/>
      <c r="AAK422" s="1"/>
      <c r="AAL422" s="1"/>
      <c r="AAM422" s="1"/>
      <c r="AAN422" s="1"/>
      <c r="AAO422" s="1"/>
      <c r="AAP422" s="1"/>
      <c r="AAQ422" s="1"/>
      <c r="AAR422" s="1"/>
      <c r="AAS422" s="1"/>
      <c r="AAT422" s="1"/>
      <c r="AAU422" s="1"/>
      <c r="AAV422" s="1"/>
      <c r="AAW422" s="1"/>
      <c r="AAX422" s="1"/>
      <c r="AAY422" s="1"/>
      <c r="AAZ422" s="1"/>
      <c r="ABA422" s="1"/>
      <c r="ABB422" s="1"/>
      <c r="ABC422" s="1"/>
      <c r="ABD422" s="1"/>
      <c r="ABE422" s="1"/>
      <c r="ABF422" s="1"/>
      <c r="ABG422" s="1"/>
      <c r="ABH422" s="1"/>
      <c r="ABI422" s="1"/>
      <c r="ABJ422" s="1"/>
      <c r="ABK422" s="1"/>
      <c r="ABL422" s="1"/>
      <c r="ABM422" s="1"/>
      <c r="ABN422" s="1"/>
      <c r="ABO422" s="1"/>
      <c r="ABP422" s="1"/>
      <c r="ABQ422" s="1"/>
      <c r="ABR422" s="1"/>
      <c r="ABS422" s="1"/>
      <c r="ABT422" s="1"/>
      <c r="ABU422" s="1"/>
      <c r="ABV422" s="1"/>
      <c r="ABW422" s="1"/>
      <c r="ABX422" s="1"/>
      <c r="ABY422" s="1"/>
      <c r="ABZ422" s="1"/>
      <c r="ACA422" s="1"/>
      <c r="ACB422" s="1"/>
      <c r="ACC422" s="1"/>
      <c r="ACD422" s="1"/>
      <c r="ACE422" s="1"/>
      <c r="ACF422" s="1"/>
      <c r="ACG422" s="1"/>
      <c r="ACH422" s="1"/>
      <c r="ACI422" s="1"/>
      <c r="ACJ422" s="1"/>
      <c r="ACK422" s="1"/>
      <c r="ACL422" s="1"/>
      <c r="ACM422" s="1"/>
      <c r="ACN422" s="1"/>
      <c r="ACO422" s="1"/>
      <c r="ACP422" s="1"/>
      <c r="ACQ422" s="1"/>
      <c r="ACR422" s="1"/>
      <c r="ACS422" s="1"/>
      <c r="ACT422" s="1"/>
      <c r="ACU422" s="1"/>
      <c r="ACV422" s="1"/>
      <c r="ACW422" s="1"/>
      <c r="ACX422" s="1"/>
      <c r="ACY422" s="1"/>
      <c r="ACZ422" s="1"/>
      <c r="ADA422" s="1"/>
      <c r="ADB422" s="1"/>
      <c r="ADC422" s="1"/>
      <c r="ADD422" s="1"/>
      <c r="ADE422" s="1"/>
      <c r="ADF422" s="1"/>
      <c r="ADG422" s="1"/>
      <c r="ADH422" s="1"/>
      <c r="ADI422" s="1"/>
      <c r="ADJ422" s="1"/>
      <c r="ADK422" s="1"/>
      <c r="ADL422" s="1"/>
      <c r="ADM422" s="1"/>
      <c r="ADN422" s="1"/>
      <c r="ADO422" s="1"/>
      <c r="ADP422" s="1"/>
      <c r="ADQ422" s="1"/>
      <c r="ADR422" s="1"/>
      <c r="ADS422" s="1"/>
      <c r="ADT422" s="1"/>
      <c r="ADU422" s="1"/>
      <c r="ADV422" s="1"/>
      <c r="ADW422" s="1"/>
      <c r="ADX422" s="1"/>
      <c r="ADY422" s="1"/>
      <c r="ADZ422" s="1"/>
      <c r="AEA422" s="1"/>
      <c r="AEB422" s="1"/>
      <c r="AEC422" s="1"/>
      <c r="AED422" s="1"/>
      <c r="AEE422" s="1"/>
      <c r="AEF422" s="1"/>
      <c r="AEG422" s="1"/>
      <c r="AEH422" s="1"/>
      <c r="AEI422" s="1"/>
      <c r="AEJ422" s="1"/>
      <c r="AEK422" s="1"/>
      <c r="AEL422" s="1"/>
      <c r="AEM422" s="1"/>
      <c r="AEN422" s="1"/>
      <c r="AEO422" s="1"/>
      <c r="AEP422" s="1"/>
      <c r="AEQ422" s="1"/>
      <c r="AER422" s="1"/>
      <c r="AES422" s="1"/>
      <c r="AET422" s="1"/>
      <c r="AEU422" s="1"/>
      <c r="AEV422" s="1"/>
      <c r="AEW422" s="1"/>
      <c r="AEX422" s="1"/>
      <c r="AEY422" s="1"/>
      <c r="AEZ422" s="1"/>
      <c r="AFA422" s="1"/>
      <c r="AFB422" s="1"/>
      <c r="AFC422" s="1"/>
      <c r="AFD422" s="1"/>
      <c r="AFE422" s="1"/>
      <c r="AFF422" s="1"/>
      <c r="AFG422" s="1"/>
      <c r="AFH422" s="1"/>
      <c r="AFI422" s="1"/>
      <c r="AFJ422" s="1"/>
      <c r="AFK422" s="1"/>
      <c r="AFL422" s="1"/>
      <c r="AFM422" s="1"/>
      <c r="AFN422" s="1"/>
      <c r="AFO422" s="1"/>
      <c r="AFP422" s="1"/>
      <c r="AFQ422" s="1"/>
      <c r="AFR422" s="1"/>
      <c r="AFS422" s="1"/>
      <c r="AFT422" s="1"/>
      <c r="AFU422" s="1"/>
      <c r="AFV422" s="1"/>
      <c r="AFW422" s="1"/>
      <c r="AFX422" s="1"/>
      <c r="AFY422" s="1"/>
      <c r="AFZ422" s="1"/>
      <c r="AGA422" s="1"/>
      <c r="AGB422" s="1"/>
      <c r="AGC422" s="1"/>
      <c r="AGD422" s="1"/>
      <c r="AGE422" s="1"/>
      <c r="AGF422" s="1"/>
      <c r="AGG422" s="1"/>
      <c r="AGH422" s="1"/>
      <c r="AGI422" s="1"/>
      <c r="AGJ422" s="1"/>
      <c r="AGK422" s="1"/>
      <c r="AGL422" s="1"/>
      <c r="AGM422" s="1"/>
      <c r="AGN422" s="1"/>
      <c r="AGO422" s="1"/>
      <c r="AGP422" s="1"/>
      <c r="AGQ422" s="1"/>
      <c r="AGR422" s="1"/>
      <c r="AGS422" s="1"/>
      <c r="AGT422" s="1"/>
      <c r="AGU422" s="1"/>
      <c r="AGV422" s="1"/>
      <c r="AGW422" s="1"/>
      <c r="AGX422" s="1"/>
      <c r="AGY422" s="1"/>
      <c r="AGZ422" s="1"/>
      <c r="AHA422" s="1"/>
      <c r="AHB422" s="1"/>
      <c r="AHC422" s="1"/>
      <c r="AHD422" s="1"/>
      <c r="AHE422" s="1"/>
      <c r="AHF422" s="1"/>
      <c r="AHG422" s="1"/>
      <c r="AHH422" s="1"/>
      <c r="AHI422" s="1"/>
      <c r="AHJ422" s="1"/>
      <c r="AHK422" s="1"/>
      <c r="AHL422" s="1"/>
      <c r="AHM422" s="1"/>
      <c r="AHN422" s="1"/>
      <c r="AHO422" s="1"/>
      <c r="AHP422" s="1"/>
      <c r="AHQ422" s="1"/>
      <c r="AHR422" s="1"/>
      <c r="AHS422" s="1"/>
      <c r="AHT422" s="1"/>
      <c r="AHU422" s="1"/>
      <c r="AHV422" s="1"/>
      <c r="AHW422" s="1"/>
      <c r="AHX422" s="1"/>
      <c r="AHY422" s="1"/>
      <c r="AHZ422" s="1"/>
      <c r="AIA422" s="1"/>
      <c r="AIB422" s="1"/>
      <c r="AIC422" s="1"/>
      <c r="AID422" s="1"/>
      <c r="AIE422" s="1"/>
      <c r="AIF422" s="1"/>
      <c r="AIG422" s="1"/>
      <c r="AIH422" s="1"/>
      <c r="AII422" s="1"/>
      <c r="AIJ422" s="1"/>
      <c r="AIK422" s="1"/>
      <c r="AIL422" s="1"/>
      <c r="AIM422" s="1"/>
      <c r="AIN422" s="1"/>
      <c r="AIO422" s="1"/>
      <c r="AIP422" s="1"/>
      <c r="AIQ422" s="1"/>
      <c r="AIR422" s="1"/>
      <c r="AIS422" s="1"/>
      <c r="AIT422" s="1"/>
      <c r="AIU422" s="1"/>
      <c r="AIV422" s="1"/>
      <c r="AIW422" s="1"/>
      <c r="AIX422" s="1"/>
      <c r="AIY422" s="1"/>
      <c r="AIZ422" s="1"/>
      <c r="AJA422" s="1"/>
      <c r="AJB422" s="1"/>
      <c r="AJC422" s="1"/>
      <c r="AJD422" s="1"/>
      <c r="AJE422" s="1"/>
      <c r="AJF422" s="1"/>
      <c r="AJG422" s="1"/>
      <c r="AJH422" s="1"/>
      <c r="AJI422" s="1"/>
      <c r="AJJ422" s="1"/>
      <c r="AJK422" s="1"/>
      <c r="AJL422" s="1"/>
      <c r="AJM422" s="1"/>
      <c r="AJN422" s="1"/>
      <c r="AJO422" s="1"/>
      <c r="AJP422" s="1"/>
      <c r="AJQ422" s="1"/>
      <c r="AJR422" s="1"/>
      <c r="AJS422" s="1"/>
      <c r="AJT422" s="1"/>
      <c r="AJU422" s="1"/>
      <c r="AJV422" s="1"/>
      <c r="AJW422" s="1"/>
      <c r="AJX422" s="1"/>
      <c r="AJY422" s="1"/>
      <c r="AJZ422" s="1"/>
      <c r="AKA422" s="1"/>
      <c r="AKB422" s="1"/>
      <c r="AKC422" s="1"/>
      <c r="AKD422" s="1"/>
      <c r="AKE422" s="1"/>
      <c r="AKF422" s="1"/>
      <c r="AKG422" s="1"/>
      <c r="AKH422" s="1"/>
      <c r="AKI422" s="1"/>
      <c r="AKJ422" s="1"/>
      <c r="AKK422" s="1"/>
      <c r="AKL422" s="1"/>
      <c r="AKM422" s="1"/>
      <c r="AKN422" s="1"/>
      <c r="AKO422" s="1"/>
      <c r="AKP422" s="1"/>
      <c r="AKQ422" s="1"/>
      <c r="AKR422" s="1"/>
      <c r="AKS422" s="1"/>
      <c r="AKT422" s="1"/>
      <c r="AKU422" s="1"/>
      <c r="AKV422" s="1"/>
      <c r="AKW422" s="1"/>
      <c r="AKX422" s="1"/>
      <c r="AKY422" s="1"/>
      <c r="AKZ422" s="1"/>
      <c r="ALA422" s="1"/>
      <c r="ALB422" s="1"/>
      <c r="ALC422" s="1"/>
      <c r="ALD422" s="1"/>
      <c r="ALE422" s="1"/>
      <c r="ALF422" s="1"/>
      <c r="ALG422" s="1"/>
      <c r="ALH422" s="1"/>
      <c r="ALI422" s="1"/>
      <c r="ALJ422" s="1"/>
      <c r="ALK422" s="1"/>
      <c r="ALL422" s="1"/>
      <c r="ALM422" s="1"/>
      <c r="ALN422" s="1"/>
      <c r="ALO422" s="1"/>
      <c r="ALP422" s="1"/>
      <c r="ALQ422" s="1"/>
      <c r="ALR422" s="1"/>
      <c r="ALS422" s="1"/>
      <c r="ALT422" s="1"/>
      <c r="ALU422" s="1"/>
      <c r="ALV422" s="1"/>
      <c r="ALW422" s="1"/>
      <c r="ALX422" s="1"/>
      <c r="ALY422" s="1"/>
      <c r="ALZ422" s="1"/>
      <c r="AMA422" s="1"/>
      <c r="AMB422" s="1"/>
      <c r="AMC422" s="1"/>
      <c r="AMD422" s="1"/>
      <c r="AME422" s="1"/>
      <c r="AMF422" s="1"/>
      <c r="AMG422" s="1"/>
      <c r="AMH422" s="1"/>
      <c r="AMI422" s="1"/>
      <c r="AMJ422" s="1"/>
      <c r="AMK422" s="1"/>
      <c r="AML422" s="1"/>
      <c r="AMM422" s="1"/>
      <c r="AMN422" s="1"/>
      <c r="AMO422" s="1"/>
    </row>
    <row r="423" spans="1:1029" s="12" customFormat="1" x14ac:dyDescent="0.2">
      <c r="A423" s="9" t="str">
        <f>CONCATENATE(B423,"_",C423)</f>
        <v>glp1r_human_6KJV</v>
      </c>
      <c r="B423" s="9" t="s">
        <v>405</v>
      </c>
      <c r="C423" s="9" t="s">
        <v>1598</v>
      </c>
      <c r="D423" s="9" t="str">
        <f>IFERROR(MID(VLOOKUP($B423,Seqs!$A:$B,2,0),E423,1),"")</f>
        <v>S</v>
      </c>
      <c r="E423" s="9">
        <v>136</v>
      </c>
      <c r="F423" s="9" t="str">
        <f>IFERROR(MID(VLOOKUP($B423,Seqs!$A:$B,2,0),G423,1),"")</f>
        <v>F</v>
      </c>
      <c r="G423" s="9">
        <v>169</v>
      </c>
      <c r="H423" s="9" t="str">
        <f>IFERROR(MID(VLOOKUP($B423,Seqs!$A:$B,2,0),I423,1),"")</f>
        <v>R</v>
      </c>
      <c r="I423" s="109">
        <v>170</v>
      </c>
      <c r="J423" s="9" t="str">
        <f>IFERROR(MID(VLOOKUP($B423,Seqs!$A:$B,2,0),K423,1),"")</f>
        <v>H</v>
      </c>
      <c r="K423" s="109">
        <v>173</v>
      </c>
      <c r="L423" s="9" t="str">
        <f>IFERROR(MID(VLOOKUP($B423,Seqs!$A:$B,2,0),M423,1),"")</f>
        <v>C</v>
      </c>
      <c r="M423" s="109">
        <v>174</v>
      </c>
      <c r="N423" s="9" t="str">
        <f>IFERROR(MID(VLOOKUP($B423,Seqs!$A:$B,2,0),O423,1),"")</f>
        <v>K</v>
      </c>
      <c r="O423" s="9">
        <v>202</v>
      </c>
      <c r="P423" s="9" t="str">
        <f>IFERROR(MID(VLOOKUP($B423,Seqs!$A:$B,2,0),Q423,1),"")</f>
        <v/>
      </c>
      <c r="Q423" s="9" t="s">
        <v>23</v>
      </c>
      <c r="R423" s="9" t="str">
        <f>IFERROR(MID(VLOOKUP($B423,Seqs!$A:$B,2,0),S423,1),"")</f>
        <v/>
      </c>
      <c r="S423" s="9" t="s">
        <v>23</v>
      </c>
      <c r="T423" s="9" t="str">
        <f>IFERROR(MID(VLOOKUP($B423,Seqs!$A:$B,2,0),U423,1),"")</f>
        <v>L</v>
      </c>
      <c r="U423" s="9">
        <v>224</v>
      </c>
      <c r="V423" s="9" t="str">
        <f>IFERROR(MID(VLOOKUP($B423,Seqs!$A:$B,2,0),W423,1),"")</f>
        <v>F</v>
      </c>
      <c r="W423" s="9">
        <v>257</v>
      </c>
      <c r="X423" s="9" t="str">
        <f>IFERROR(MID(VLOOKUP($B423,Seqs!$A:$B,2,0),Y423,1),"")</f>
        <v/>
      </c>
      <c r="Y423" s="9" t="s">
        <v>23</v>
      </c>
      <c r="Z423" s="9" t="str">
        <f>IFERROR(MID(VLOOKUP($B423,Seqs!$A:$B,2,0),AA423,1),"")</f>
        <v/>
      </c>
      <c r="AA423" s="9" t="s">
        <v>23</v>
      </c>
      <c r="AB423" s="9" t="str">
        <f>IFERROR(MID(VLOOKUP($B423,Seqs!$A:$B,2,0),AC423,1),"")</f>
        <v>E</v>
      </c>
      <c r="AC423" s="9">
        <v>262</v>
      </c>
      <c r="AD423" s="9" t="str">
        <f>IFERROR(MID(VLOOKUP($B423,Seqs!$A:$B,2,0),AE423,1),"")</f>
        <v>E</v>
      </c>
      <c r="AE423" s="9">
        <v>292</v>
      </c>
      <c r="AF423" s="9" t="str">
        <f>IFERROR(MID(VLOOKUP($B423,Seqs!$A:$B,2,0),AG423,1),"")</f>
        <v>C</v>
      </c>
      <c r="AG423" s="9">
        <v>296</v>
      </c>
      <c r="AH423" s="9" t="str">
        <f>IFERROR(MID(VLOOKUP($B423,Seqs!$A:$B,2,0),AI423,1),"")</f>
        <v>T</v>
      </c>
      <c r="AI423" s="9">
        <v>298</v>
      </c>
      <c r="AJ423" s="9" t="str">
        <f>IFERROR(MID(VLOOKUP($B423,Seqs!$A:$B,2,0),AK423,1),"")</f>
        <v>M</v>
      </c>
      <c r="AK423" s="9">
        <v>303</v>
      </c>
      <c r="AL423" s="9" t="str">
        <f>IFERROR(MID(VLOOKUP($B423,Seqs!$A:$B,2,0),AM423,1),"")</f>
        <v>N</v>
      </c>
      <c r="AM423" s="9">
        <v>338</v>
      </c>
      <c r="AN423" s="9" t="str">
        <f>IFERROR(MID(VLOOKUP($B423,Seqs!$A:$B,2,0),AO423,1),"")</f>
        <v>D</v>
      </c>
      <c r="AO423" s="9">
        <v>344</v>
      </c>
      <c r="AP423" s="9" t="str">
        <f>IFERROR(MID(VLOOKUP($B423,Seqs!$A:$B,2,0),AQ423,1),"")</f>
        <v>F</v>
      </c>
      <c r="AQ423" s="9">
        <v>367</v>
      </c>
      <c r="AR423" s="9" t="str">
        <f>IFERROR(MID(VLOOKUP($B423,Seqs!$A:$B,2,0),AS423,1),"")</f>
        <v>R</v>
      </c>
      <c r="AS423" s="9">
        <v>380</v>
      </c>
      <c r="AT423" s="9" t="str">
        <f>IFERROR(MID(VLOOKUP($B423,Seqs!$A:$B,2,0),AU423,1),"")</f>
        <v>V</v>
      </c>
      <c r="AU423" s="9">
        <v>405</v>
      </c>
      <c r="AV423" s="9" t="str">
        <f>IFERROR(MID(VLOOKUP($B423,Seqs!$A:$B,2,0),AW423,1),"")</f>
        <v>N</v>
      </c>
      <c r="AW423" s="9">
        <v>406</v>
      </c>
      <c r="AX423" s="9" t="str">
        <f>IFERROR(MID(VLOOKUP($B423,Seqs!$A:$B,2,0),AY423,1),"")</f>
        <v>L</v>
      </c>
      <c r="AY423" s="9">
        <v>422</v>
      </c>
      <c r="AZ423" s="110" t="str">
        <f>VLOOKUP(B423,Classification!A:D,2,0)</f>
        <v>B1</v>
      </c>
      <c r="BA423" s="98" t="str">
        <f>VLOOKUP(B423,Classification!A:D,4,0)</f>
        <v>Glucagonreceptorfamily</v>
      </c>
      <c r="BB423" s="36" t="b">
        <f t="shared" ref="BB423" si="1197">AND(E423&lt;G423,OR(G423&lt;I423,I423="-"),OR(I423&lt;K423,I423="-"),OR(K423&lt;M423,K423="-"),M423&lt;O423,OR(O423&lt;Q423,Q423="-"),OR(Q423&lt;S423,Q423="-"),OR(S423&lt;U423,S423="-"),U423&lt;W423,OR(W423&lt;Y423,Y423="-"),OR(Y423&lt;AA423,Y423="-"),OR(AA423&lt;AC423,AA423="-"),AC423&lt;AE423,OR(AE423&lt;AG423,AG423="-"),OR(AG423&lt;AI423,AG423="-"),OR(AI423&lt;AK423,AI423="-"),AK423&lt;AM423,AM423&lt;AO423,AO423&lt;AQ423,AQ423&lt;AS423,AS423&lt;AU423,OR(AU423&lt;AW423,AW423="-"),OR(AW423&lt;AY423,AW423="-"))</f>
        <v>1</v>
      </c>
      <c r="BC423" s="109">
        <f t="shared" ref="BC423" si="1198">_xlfn.AGGREGATE(9,6,CH423:CS423)-_xlfn.AGGREGATE(9,6,BV423:CG423)+12</f>
        <v>240</v>
      </c>
      <c r="BD423" s="11" t="s">
        <v>23</v>
      </c>
      <c r="BE423" s="9" t="s">
        <v>1368</v>
      </c>
      <c r="BF423" s="119">
        <v>2.8</v>
      </c>
      <c r="BG423" s="51" t="s">
        <v>1275</v>
      </c>
      <c r="BH423" s="51" t="s">
        <v>1275</v>
      </c>
      <c r="BJ423" s="111" t="s">
        <v>1281</v>
      </c>
      <c r="BK423" s="112" t="s">
        <v>1281</v>
      </c>
      <c r="BL423" s="112" t="s">
        <v>1281</v>
      </c>
      <c r="BM423" s="112" t="s">
        <v>1281</v>
      </c>
      <c r="BN423" s="112" t="s">
        <v>1281</v>
      </c>
      <c r="BO423" s="112" t="s">
        <v>1281</v>
      </c>
      <c r="BP423" s="112" t="s">
        <v>1281</v>
      </c>
      <c r="BQ423" s="112" t="s">
        <v>1281</v>
      </c>
      <c r="BR423" s="112" t="s">
        <v>1281</v>
      </c>
      <c r="BS423" s="112" t="s">
        <v>1281</v>
      </c>
      <c r="BT423" s="112" t="s">
        <v>1281</v>
      </c>
      <c r="BU423" s="112" t="s">
        <v>1281</v>
      </c>
      <c r="BV423" s="111">
        <f>E423</f>
        <v>136</v>
      </c>
      <c r="BW423" s="113">
        <f>I423</f>
        <v>170</v>
      </c>
      <c r="BX423" s="114">
        <f>M423</f>
        <v>174</v>
      </c>
      <c r="BY423" s="113" t="str">
        <f>Q423</f>
        <v>-</v>
      </c>
      <c r="BZ423" s="114">
        <f>U423</f>
        <v>224</v>
      </c>
      <c r="CA423" s="113" t="str">
        <f>Y423</f>
        <v>-</v>
      </c>
      <c r="CB423" s="114">
        <f>AC423</f>
        <v>262</v>
      </c>
      <c r="CC423" s="113">
        <f>AG423</f>
        <v>296</v>
      </c>
      <c r="CD423" s="114">
        <f>AK423</f>
        <v>303</v>
      </c>
      <c r="CE423" s="113">
        <f>AO423</f>
        <v>344</v>
      </c>
      <c r="CF423" s="114">
        <f>AS423</f>
        <v>380</v>
      </c>
      <c r="CG423" s="113">
        <f>AW423</f>
        <v>406</v>
      </c>
      <c r="CH423" s="111">
        <f>G423</f>
        <v>169</v>
      </c>
      <c r="CI423" s="113">
        <f>K423</f>
        <v>173</v>
      </c>
      <c r="CJ423" s="114">
        <f>O423</f>
        <v>202</v>
      </c>
      <c r="CK423" s="114" t="str">
        <f>S423</f>
        <v>-</v>
      </c>
      <c r="CL423" s="114">
        <f>W423</f>
        <v>257</v>
      </c>
      <c r="CM423" s="114" t="str">
        <f>AA423</f>
        <v>-</v>
      </c>
      <c r="CN423" s="114">
        <f>AE423</f>
        <v>292</v>
      </c>
      <c r="CO423" s="114">
        <f>AI423</f>
        <v>298</v>
      </c>
      <c r="CP423" s="114">
        <f>AM423</f>
        <v>338</v>
      </c>
      <c r="CQ423" s="114">
        <f>AQ423</f>
        <v>367</v>
      </c>
      <c r="CR423" s="114">
        <f>AU423</f>
        <v>405</v>
      </c>
      <c r="CS423" s="114">
        <f>AY423</f>
        <v>422</v>
      </c>
      <c r="CT423" s="109">
        <f>M423-K423</f>
        <v>1</v>
      </c>
    </row>
    <row r="424" spans="1:1029" s="12" customFormat="1" x14ac:dyDescent="0.2">
      <c r="A424" s="9" t="str">
        <f>CONCATENATE(B424,"_",C424)</f>
        <v>glp1r_human_6KK1</v>
      </c>
      <c r="B424" s="9" t="s">
        <v>405</v>
      </c>
      <c r="C424" s="9" t="s">
        <v>1599</v>
      </c>
      <c r="D424" s="9" t="str">
        <f>IFERROR(MID(VLOOKUP($B424,Seqs!$A:$B,2,0),E424,1),"")</f>
        <v>S</v>
      </c>
      <c r="E424" s="9">
        <v>136</v>
      </c>
      <c r="F424" s="9" t="str">
        <f>IFERROR(MID(VLOOKUP($B424,Seqs!$A:$B,2,0),G424,1),"")</f>
        <v>F</v>
      </c>
      <c r="G424" s="9">
        <v>169</v>
      </c>
      <c r="H424" s="9" t="str">
        <f>IFERROR(MID(VLOOKUP($B424,Seqs!$A:$B,2,0),I424,1),"")</f>
        <v>R</v>
      </c>
      <c r="I424" s="109">
        <v>170</v>
      </c>
      <c r="J424" s="9" t="str">
        <f>IFERROR(MID(VLOOKUP($B424,Seqs!$A:$B,2,0),K424,1),"")</f>
        <v>H</v>
      </c>
      <c r="K424" s="109">
        <v>173</v>
      </c>
      <c r="L424" s="9" t="str">
        <f>IFERROR(MID(VLOOKUP($B424,Seqs!$A:$B,2,0),M424,1),"")</f>
        <v>C</v>
      </c>
      <c r="M424" s="109">
        <v>174</v>
      </c>
      <c r="N424" s="9" t="str">
        <f>IFERROR(MID(VLOOKUP($B424,Seqs!$A:$B,2,0),O424,1),"")</f>
        <v>K</v>
      </c>
      <c r="O424" s="9">
        <v>202</v>
      </c>
      <c r="P424" s="9" t="str">
        <f>IFERROR(MID(VLOOKUP($B424,Seqs!$A:$B,2,0),Q424,1),"")</f>
        <v/>
      </c>
      <c r="Q424" s="9" t="s">
        <v>23</v>
      </c>
      <c r="R424" s="9" t="str">
        <f>IFERROR(MID(VLOOKUP($B424,Seqs!$A:$B,2,0),S424,1),"")</f>
        <v/>
      </c>
      <c r="S424" s="9" t="s">
        <v>23</v>
      </c>
      <c r="T424" s="9" t="str">
        <f>IFERROR(MID(VLOOKUP($B424,Seqs!$A:$B,2,0),U424,1),"")</f>
        <v>L</v>
      </c>
      <c r="U424" s="9">
        <v>224</v>
      </c>
      <c r="V424" s="9" t="str">
        <f>IFERROR(MID(VLOOKUP($B424,Seqs!$A:$B,2,0),W424,1),"")</f>
        <v>F</v>
      </c>
      <c r="W424" s="9">
        <v>257</v>
      </c>
      <c r="X424" s="9" t="str">
        <f>IFERROR(MID(VLOOKUP($B424,Seqs!$A:$B,2,0),Y424,1),"")</f>
        <v/>
      </c>
      <c r="Y424" s="9" t="s">
        <v>23</v>
      </c>
      <c r="Z424" s="9" t="str">
        <f>IFERROR(MID(VLOOKUP($B424,Seqs!$A:$B,2,0),AA424,1),"")</f>
        <v/>
      </c>
      <c r="AA424" s="9" t="s">
        <v>23</v>
      </c>
      <c r="AB424" s="9" t="str">
        <f>IFERROR(MID(VLOOKUP($B424,Seqs!$A:$B,2,0),AC424,1),"")</f>
        <v>E</v>
      </c>
      <c r="AC424" s="9">
        <v>262</v>
      </c>
      <c r="AD424" s="9" t="str">
        <f>IFERROR(MID(VLOOKUP($B424,Seqs!$A:$B,2,0),AE424,1),"")</f>
        <v>E</v>
      </c>
      <c r="AE424" s="9">
        <v>292</v>
      </c>
      <c r="AF424" s="9" t="str">
        <f>IFERROR(MID(VLOOKUP($B424,Seqs!$A:$B,2,0),AG424,1),"")</f>
        <v>C</v>
      </c>
      <c r="AG424" s="9">
        <v>296</v>
      </c>
      <c r="AH424" s="9" t="str">
        <f>IFERROR(MID(VLOOKUP($B424,Seqs!$A:$B,2,0),AI424,1),"")</f>
        <v>T</v>
      </c>
      <c r="AI424" s="9">
        <v>298</v>
      </c>
      <c r="AJ424" s="9" t="str">
        <f>IFERROR(MID(VLOOKUP($B424,Seqs!$A:$B,2,0),AK424,1),"")</f>
        <v>M</v>
      </c>
      <c r="AK424" s="9">
        <v>303</v>
      </c>
      <c r="AL424" s="9" t="str">
        <f>IFERROR(MID(VLOOKUP($B424,Seqs!$A:$B,2,0),AM424,1),"")</f>
        <v>N</v>
      </c>
      <c r="AM424" s="9">
        <v>338</v>
      </c>
      <c r="AN424" s="9" t="str">
        <f>IFERROR(MID(VLOOKUP($B424,Seqs!$A:$B,2,0),AO424,1),"")</f>
        <v>D</v>
      </c>
      <c r="AO424" s="9">
        <v>344</v>
      </c>
      <c r="AP424" s="9" t="str">
        <f>IFERROR(MID(VLOOKUP($B424,Seqs!$A:$B,2,0),AQ424,1),"")</f>
        <v>F</v>
      </c>
      <c r="AQ424" s="9">
        <v>367</v>
      </c>
      <c r="AR424" s="9" t="str">
        <f>IFERROR(MID(VLOOKUP($B424,Seqs!$A:$B,2,0),AS424,1),"")</f>
        <v>R</v>
      </c>
      <c r="AS424" s="9">
        <v>380</v>
      </c>
      <c r="AT424" s="9" t="str">
        <f>IFERROR(MID(VLOOKUP($B424,Seqs!$A:$B,2,0),AU424,1),"")</f>
        <v>V</v>
      </c>
      <c r="AU424" s="9">
        <v>405</v>
      </c>
      <c r="AV424" s="9" t="str">
        <f>IFERROR(MID(VLOOKUP($B424,Seqs!$A:$B,2,0),AW424,1),"")</f>
        <v>N</v>
      </c>
      <c r="AW424" s="9">
        <v>406</v>
      </c>
      <c r="AX424" s="9" t="str">
        <f>IFERROR(MID(VLOOKUP($B424,Seqs!$A:$B,2,0),AY424,1),"")</f>
        <v>L</v>
      </c>
      <c r="AY424" s="9">
        <v>422</v>
      </c>
      <c r="AZ424" s="110" t="str">
        <f>VLOOKUP(B424,Classification!A:D,2,0)</f>
        <v>B1</v>
      </c>
      <c r="BA424" s="98" t="str">
        <f>VLOOKUP(B424,Classification!A:D,4,0)</f>
        <v>Glucagonreceptorfamily</v>
      </c>
      <c r="BB424" s="36" t="b">
        <f t="shared" ref="BB424" si="1199">AND(E424&lt;G424,OR(G424&lt;I424,I424="-"),OR(I424&lt;K424,I424="-"),OR(K424&lt;M424,K424="-"),M424&lt;O424,OR(O424&lt;Q424,Q424="-"),OR(Q424&lt;S424,Q424="-"),OR(S424&lt;U424,S424="-"),U424&lt;W424,OR(W424&lt;Y424,Y424="-"),OR(Y424&lt;AA424,Y424="-"),OR(AA424&lt;AC424,AA424="-"),AC424&lt;AE424,OR(AE424&lt;AG424,AG424="-"),OR(AG424&lt;AI424,AG424="-"),OR(AI424&lt;AK424,AI424="-"),AK424&lt;AM424,AM424&lt;AO424,AO424&lt;AQ424,AQ424&lt;AS424,AS424&lt;AU424,OR(AU424&lt;AW424,AW424="-"),OR(AW424&lt;AY424,AW424="-"))</f>
        <v>1</v>
      </c>
      <c r="BC424" s="109">
        <f t="shared" ref="BC424" si="1200">_xlfn.AGGREGATE(9,6,CH424:CS424)-_xlfn.AGGREGATE(9,6,BV424:CG424)+12</f>
        <v>240</v>
      </c>
      <c r="BD424" s="11" t="s">
        <v>23</v>
      </c>
      <c r="BE424" s="9" t="s">
        <v>1368</v>
      </c>
      <c r="BF424" s="119">
        <v>2.8</v>
      </c>
      <c r="BG424" s="51" t="s">
        <v>1275</v>
      </c>
      <c r="BH424" s="51" t="s">
        <v>1275</v>
      </c>
      <c r="BJ424" s="111" t="s">
        <v>1281</v>
      </c>
      <c r="BK424" s="112" t="s">
        <v>1281</v>
      </c>
      <c r="BL424" s="112" t="s">
        <v>1281</v>
      </c>
      <c r="BM424" s="112" t="s">
        <v>1281</v>
      </c>
      <c r="BN424" s="112" t="s">
        <v>1281</v>
      </c>
      <c r="BO424" s="112" t="s">
        <v>1281</v>
      </c>
      <c r="BP424" s="112" t="s">
        <v>1281</v>
      </c>
      <c r="BQ424" s="112" t="s">
        <v>1281</v>
      </c>
      <c r="BR424" s="112" t="s">
        <v>1281</v>
      </c>
      <c r="BS424" s="112" t="s">
        <v>1281</v>
      </c>
      <c r="BT424" s="112" t="s">
        <v>1281</v>
      </c>
      <c r="BU424" s="112" t="s">
        <v>1281</v>
      </c>
      <c r="BV424" s="111">
        <f>E424</f>
        <v>136</v>
      </c>
      <c r="BW424" s="113">
        <f>I424</f>
        <v>170</v>
      </c>
      <c r="BX424" s="114">
        <f>M424</f>
        <v>174</v>
      </c>
      <c r="BY424" s="113" t="str">
        <f>Q424</f>
        <v>-</v>
      </c>
      <c r="BZ424" s="114">
        <f>U424</f>
        <v>224</v>
      </c>
      <c r="CA424" s="113" t="str">
        <f>Y424</f>
        <v>-</v>
      </c>
      <c r="CB424" s="114">
        <f>AC424</f>
        <v>262</v>
      </c>
      <c r="CC424" s="113">
        <f>AG424</f>
        <v>296</v>
      </c>
      <c r="CD424" s="114">
        <f>AK424</f>
        <v>303</v>
      </c>
      <c r="CE424" s="113">
        <f>AO424</f>
        <v>344</v>
      </c>
      <c r="CF424" s="114">
        <f>AS424</f>
        <v>380</v>
      </c>
      <c r="CG424" s="113">
        <f>AW424</f>
        <v>406</v>
      </c>
      <c r="CH424" s="111">
        <f>G424</f>
        <v>169</v>
      </c>
      <c r="CI424" s="113">
        <f>K424</f>
        <v>173</v>
      </c>
      <c r="CJ424" s="114">
        <f>O424</f>
        <v>202</v>
      </c>
      <c r="CK424" s="114" t="str">
        <f>S424</f>
        <v>-</v>
      </c>
      <c r="CL424" s="114">
        <f>W424</f>
        <v>257</v>
      </c>
      <c r="CM424" s="114" t="str">
        <f>AA424</f>
        <v>-</v>
      </c>
      <c r="CN424" s="114">
        <f>AE424</f>
        <v>292</v>
      </c>
      <c r="CO424" s="114">
        <f>AI424</f>
        <v>298</v>
      </c>
      <c r="CP424" s="114">
        <f>AM424</f>
        <v>338</v>
      </c>
      <c r="CQ424" s="114">
        <f>AQ424</f>
        <v>367</v>
      </c>
      <c r="CR424" s="114">
        <f>AU424</f>
        <v>405</v>
      </c>
      <c r="CS424" s="114">
        <f>AY424</f>
        <v>422</v>
      </c>
      <c r="CT424" s="109">
        <f>M424-K424</f>
        <v>1</v>
      </c>
    </row>
    <row r="425" spans="1:1029" s="12" customFormat="1" x14ac:dyDescent="0.2">
      <c r="A425" s="9" t="str">
        <f>CONCATENATE(B425,"_",C425)</f>
        <v>glp1r_human_6KK7</v>
      </c>
      <c r="B425" s="9" t="s">
        <v>405</v>
      </c>
      <c r="C425" s="9" t="s">
        <v>1600</v>
      </c>
      <c r="D425" s="9" t="str">
        <f>IFERROR(MID(VLOOKUP($B425,Seqs!$A:$B,2,0),E425,1),"")</f>
        <v>S</v>
      </c>
      <c r="E425" s="9">
        <v>136</v>
      </c>
      <c r="F425" s="9" t="str">
        <f>IFERROR(MID(VLOOKUP($B425,Seqs!$A:$B,2,0),G425,1),"")</f>
        <v>F</v>
      </c>
      <c r="G425" s="9">
        <v>169</v>
      </c>
      <c r="H425" s="9" t="str">
        <f>IFERROR(MID(VLOOKUP($B425,Seqs!$A:$B,2,0),I425,1),"")</f>
        <v>R</v>
      </c>
      <c r="I425" s="109">
        <v>170</v>
      </c>
      <c r="J425" s="9" t="str">
        <f>IFERROR(MID(VLOOKUP($B425,Seqs!$A:$B,2,0),K425,1),"")</f>
        <v>H</v>
      </c>
      <c r="K425" s="109">
        <v>173</v>
      </c>
      <c r="L425" s="9" t="str">
        <f>IFERROR(MID(VLOOKUP($B425,Seqs!$A:$B,2,0),M425,1),"")</f>
        <v>C</v>
      </c>
      <c r="M425" s="109">
        <v>174</v>
      </c>
      <c r="N425" s="9" t="str">
        <f>IFERROR(MID(VLOOKUP($B425,Seqs!$A:$B,2,0),O425,1),"")</f>
        <v>K</v>
      </c>
      <c r="O425" s="9">
        <v>202</v>
      </c>
      <c r="P425" s="9" t="str">
        <f>IFERROR(MID(VLOOKUP($B425,Seqs!$A:$B,2,0),Q425,1),"")</f>
        <v/>
      </c>
      <c r="Q425" s="9" t="s">
        <v>23</v>
      </c>
      <c r="R425" s="9" t="str">
        <f>IFERROR(MID(VLOOKUP($B425,Seqs!$A:$B,2,0),S425,1),"")</f>
        <v/>
      </c>
      <c r="S425" s="9" t="s">
        <v>23</v>
      </c>
      <c r="T425" s="9" t="str">
        <f>IFERROR(MID(VLOOKUP($B425,Seqs!$A:$B,2,0),U425,1),"")</f>
        <v>L</v>
      </c>
      <c r="U425" s="9">
        <v>224</v>
      </c>
      <c r="V425" s="9" t="str">
        <f>IFERROR(MID(VLOOKUP($B425,Seqs!$A:$B,2,0),W425,1),"")</f>
        <v>F</v>
      </c>
      <c r="W425" s="9">
        <v>257</v>
      </c>
      <c r="X425" s="9" t="str">
        <f>IFERROR(MID(VLOOKUP($B425,Seqs!$A:$B,2,0),Y425,1),"")</f>
        <v/>
      </c>
      <c r="Y425" s="9" t="s">
        <v>23</v>
      </c>
      <c r="Z425" s="9" t="str">
        <f>IFERROR(MID(VLOOKUP($B425,Seqs!$A:$B,2,0),AA425,1),"")</f>
        <v/>
      </c>
      <c r="AA425" s="9" t="s">
        <v>23</v>
      </c>
      <c r="AB425" s="9" t="str">
        <f>IFERROR(MID(VLOOKUP($B425,Seqs!$A:$B,2,0),AC425,1),"")</f>
        <v>E</v>
      </c>
      <c r="AC425" s="9">
        <v>262</v>
      </c>
      <c r="AD425" s="9" t="str">
        <f>IFERROR(MID(VLOOKUP($B425,Seqs!$A:$B,2,0),AE425,1),"")</f>
        <v>E</v>
      </c>
      <c r="AE425" s="9">
        <v>292</v>
      </c>
      <c r="AF425" s="9" t="str">
        <f>IFERROR(MID(VLOOKUP($B425,Seqs!$A:$B,2,0),AG425,1),"")</f>
        <v>C</v>
      </c>
      <c r="AG425" s="9">
        <v>296</v>
      </c>
      <c r="AH425" s="9" t="str">
        <f>IFERROR(MID(VLOOKUP($B425,Seqs!$A:$B,2,0),AI425,1),"")</f>
        <v>T</v>
      </c>
      <c r="AI425" s="9">
        <v>298</v>
      </c>
      <c r="AJ425" s="9" t="str">
        <f>IFERROR(MID(VLOOKUP($B425,Seqs!$A:$B,2,0),AK425,1),"")</f>
        <v>M</v>
      </c>
      <c r="AK425" s="9">
        <v>303</v>
      </c>
      <c r="AL425" s="9" t="str">
        <f>IFERROR(MID(VLOOKUP($B425,Seqs!$A:$B,2,0),AM425,1),"")</f>
        <v>N</v>
      </c>
      <c r="AM425" s="9">
        <v>338</v>
      </c>
      <c r="AN425" s="9" t="str">
        <f>IFERROR(MID(VLOOKUP($B425,Seqs!$A:$B,2,0),AO425,1),"")</f>
        <v>D</v>
      </c>
      <c r="AO425" s="9">
        <v>344</v>
      </c>
      <c r="AP425" s="9" t="str">
        <f>IFERROR(MID(VLOOKUP($B425,Seqs!$A:$B,2,0),AQ425,1),"")</f>
        <v>F</v>
      </c>
      <c r="AQ425" s="9">
        <v>367</v>
      </c>
      <c r="AR425" s="9" t="str">
        <f>IFERROR(MID(VLOOKUP($B425,Seqs!$A:$B,2,0),AS425,1),"")</f>
        <v>R</v>
      </c>
      <c r="AS425" s="9">
        <v>380</v>
      </c>
      <c r="AT425" s="9" t="str">
        <f>IFERROR(MID(VLOOKUP($B425,Seqs!$A:$B,2,0),AU425,1),"")</f>
        <v>V</v>
      </c>
      <c r="AU425" s="9">
        <v>405</v>
      </c>
      <c r="AV425" s="9" t="str">
        <f>IFERROR(MID(VLOOKUP($B425,Seqs!$A:$B,2,0),AW425,1),"")</f>
        <v>N</v>
      </c>
      <c r="AW425" s="9">
        <v>406</v>
      </c>
      <c r="AX425" s="9" t="str">
        <f>IFERROR(MID(VLOOKUP($B425,Seqs!$A:$B,2,0),AY425,1),"")</f>
        <v>L</v>
      </c>
      <c r="AY425" s="9">
        <v>422</v>
      </c>
      <c r="AZ425" s="110" t="str">
        <f>VLOOKUP(B425,Classification!A:D,2,0)</f>
        <v>B1</v>
      </c>
      <c r="BA425" s="98" t="str">
        <f>VLOOKUP(B425,Classification!A:D,4,0)</f>
        <v>Glucagonreceptorfamily</v>
      </c>
      <c r="BB425" s="36" t="b">
        <f t="shared" ref="BB425" si="1201">AND(E425&lt;G425,OR(G425&lt;I425,I425="-"),OR(I425&lt;K425,I425="-"),OR(K425&lt;M425,K425="-"),M425&lt;O425,OR(O425&lt;Q425,Q425="-"),OR(Q425&lt;S425,Q425="-"),OR(S425&lt;U425,S425="-"),U425&lt;W425,OR(W425&lt;Y425,Y425="-"),OR(Y425&lt;AA425,Y425="-"),OR(AA425&lt;AC425,AA425="-"),AC425&lt;AE425,OR(AE425&lt;AG425,AG425="-"),OR(AG425&lt;AI425,AG425="-"),OR(AI425&lt;AK425,AI425="-"),AK425&lt;AM425,AM425&lt;AO425,AO425&lt;AQ425,AQ425&lt;AS425,AS425&lt;AU425,OR(AU425&lt;AW425,AW425="-"),OR(AW425&lt;AY425,AW425="-"))</f>
        <v>1</v>
      </c>
      <c r="BC425" s="109">
        <f t="shared" ref="BC425" si="1202">_xlfn.AGGREGATE(9,6,CH425:CS425)-_xlfn.AGGREGATE(9,6,BV425:CG425)+12</f>
        <v>240</v>
      </c>
      <c r="BD425" s="11" t="s">
        <v>23</v>
      </c>
      <c r="BE425" s="9" t="s">
        <v>1368</v>
      </c>
      <c r="BF425" s="119">
        <v>2.8</v>
      </c>
      <c r="BG425" s="51" t="s">
        <v>1275</v>
      </c>
      <c r="BH425" s="51" t="s">
        <v>1275</v>
      </c>
      <c r="BJ425" s="111" t="s">
        <v>1281</v>
      </c>
      <c r="BK425" s="112" t="s">
        <v>1281</v>
      </c>
      <c r="BL425" s="112" t="s">
        <v>1281</v>
      </c>
      <c r="BM425" s="112" t="s">
        <v>1281</v>
      </c>
      <c r="BN425" s="112" t="s">
        <v>1281</v>
      </c>
      <c r="BO425" s="112" t="s">
        <v>1281</v>
      </c>
      <c r="BP425" s="112" t="s">
        <v>1281</v>
      </c>
      <c r="BQ425" s="112" t="s">
        <v>1281</v>
      </c>
      <c r="BR425" s="112" t="s">
        <v>1281</v>
      </c>
      <c r="BS425" s="112" t="s">
        <v>1281</v>
      </c>
      <c r="BT425" s="112" t="s">
        <v>1281</v>
      </c>
      <c r="BU425" s="112" t="s">
        <v>1281</v>
      </c>
      <c r="BV425" s="111">
        <f>E425</f>
        <v>136</v>
      </c>
      <c r="BW425" s="113">
        <f>I425</f>
        <v>170</v>
      </c>
      <c r="BX425" s="114">
        <f>M425</f>
        <v>174</v>
      </c>
      <c r="BY425" s="113" t="str">
        <f>Q425</f>
        <v>-</v>
      </c>
      <c r="BZ425" s="114">
        <f>U425</f>
        <v>224</v>
      </c>
      <c r="CA425" s="113" t="str">
        <f>Y425</f>
        <v>-</v>
      </c>
      <c r="CB425" s="114">
        <f>AC425</f>
        <v>262</v>
      </c>
      <c r="CC425" s="113">
        <f>AG425</f>
        <v>296</v>
      </c>
      <c r="CD425" s="114">
        <f>AK425</f>
        <v>303</v>
      </c>
      <c r="CE425" s="113">
        <f>AO425</f>
        <v>344</v>
      </c>
      <c r="CF425" s="114">
        <f>AS425</f>
        <v>380</v>
      </c>
      <c r="CG425" s="113">
        <f>AW425</f>
        <v>406</v>
      </c>
      <c r="CH425" s="111">
        <f>G425</f>
        <v>169</v>
      </c>
      <c r="CI425" s="113">
        <f>K425</f>
        <v>173</v>
      </c>
      <c r="CJ425" s="114">
        <f>O425</f>
        <v>202</v>
      </c>
      <c r="CK425" s="114" t="str">
        <f>S425</f>
        <v>-</v>
      </c>
      <c r="CL425" s="114">
        <f>W425</f>
        <v>257</v>
      </c>
      <c r="CM425" s="114" t="str">
        <f>AA425</f>
        <v>-</v>
      </c>
      <c r="CN425" s="114">
        <f>AE425</f>
        <v>292</v>
      </c>
      <c r="CO425" s="114">
        <f>AI425</f>
        <v>298</v>
      </c>
      <c r="CP425" s="114">
        <f>AM425</f>
        <v>338</v>
      </c>
      <c r="CQ425" s="114">
        <f>AQ425</f>
        <v>367</v>
      </c>
      <c r="CR425" s="114">
        <f>AU425</f>
        <v>405</v>
      </c>
      <c r="CS425" s="114">
        <f>AY425</f>
        <v>422</v>
      </c>
      <c r="CT425" s="109">
        <f>M425-K425</f>
        <v>1</v>
      </c>
    </row>
    <row r="426" spans="1:1029" s="12" customFormat="1" x14ac:dyDescent="0.2">
      <c r="A426" s="9" t="str">
        <f>CONCATENATE(B426,"_",C426)</f>
        <v>glp1r_human_6LN2</v>
      </c>
      <c r="B426" s="9" t="s">
        <v>405</v>
      </c>
      <c r="C426" s="9" t="s">
        <v>1662</v>
      </c>
      <c r="D426" s="9" t="str">
        <f>IFERROR(MID(VLOOKUP($B426,Seqs!$A:$B,2,0),E426,1),"")</f>
        <v>S</v>
      </c>
      <c r="E426" s="9">
        <v>135</v>
      </c>
      <c r="F426" s="9" t="str">
        <f>IFERROR(MID(VLOOKUP($B426,Seqs!$A:$B,2,0),G426,1),"")</f>
        <v>F</v>
      </c>
      <c r="G426" s="9">
        <v>169</v>
      </c>
      <c r="H426" s="9" t="str">
        <f>IFERROR(MID(VLOOKUP($B426,Seqs!$A:$B,2,0),I426,1),"")</f>
        <v>R</v>
      </c>
      <c r="I426" s="109">
        <v>170</v>
      </c>
      <c r="J426" s="9" t="str">
        <f>IFERROR(MID(VLOOKUP($B426,Seqs!$A:$B,2,0),K426,1),"")</f>
        <v>H</v>
      </c>
      <c r="K426" s="109">
        <v>173</v>
      </c>
      <c r="L426" s="9" t="str">
        <f>IFERROR(MID(VLOOKUP($B426,Seqs!$A:$B,2,0),M426,1),"")</f>
        <v>C</v>
      </c>
      <c r="M426" s="109">
        <v>174</v>
      </c>
      <c r="N426" s="9" t="str">
        <f>IFERROR(MID(VLOOKUP($B426,Seqs!$A:$B,2,0),O426,1),"")</f>
        <v>T</v>
      </c>
      <c r="O426" s="9">
        <v>207</v>
      </c>
      <c r="P426" s="9" t="str">
        <f>IFERROR(MID(VLOOKUP($B426,Seqs!$A:$B,2,0),Q426,1),"")</f>
        <v/>
      </c>
      <c r="Q426" s="9" t="s">
        <v>23</v>
      </c>
      <c r="R426" s="9" t="str">
        <f>IFERROR(MID(VLOOKUP($B426,Seqs!$A:$B,2,0),S426,1),"")</f>
        <v/>
      </c>
      <c r="S426" s="9" t="s">
        <v>23</v>
      </c>
      <c r="T426" s="9" t="str">
        <f>IFERROR(MID(VLOOKUP($B426,Seqs!$A:$B,2,0),U426,1),"")</f>
        <v>L</v>
      </c>
      <c r="U426" s="9">
        <v>224</v>
      </c>
      <c r="V426" s="9" t="str">
        <f>IFERROR(MID(VLOOKUP($B426,Seqs!$A:$B,2,0),W426,1),"")</f>
        <v>F</v>
      </c>
      <c r="W426" s="9">
        <v>257</v>
      </c>
      <c r="X426" s="9" t="str">
        <f>IFERROR(MID(VLOOKUP($B426,Seqs!$A:$B,2,0),Y426,1),"")</f>
        <v/>
      </c>
      <c r="Y426" s="9" t="s">
        <v>23</v>
      </c>
      <c r="Z426" s="9" t="str">
        <f>IFERROR(MID(VLOOKUP($B426,Seqs!$A:$B,2,0),AA426,1),"")</f>
        <v/>
      </c>
      <c r="AA426" s="9" t="s">
        <v>23</v>
      </c>
      <c r="AB426" s="9" t="str">
        <f>IFERROR(MID(VLOOKUP($B426,Seqs!$A:$B,2,0),AC426,1),"")</f>
        <v>Q</v>
      </c>
      <c r="AC426" s="9">
        <v>263</v>
      </c>
      <c r="AD426" s="9" t="str">
        <f>IFERROR(MID(VLOOKUP($B426,Seqs!$A:$B,2,0),AE426,1),"")</f>
        <v>Y</v>
      </c>
      <c r="AE426" s="9">
        <v>291</v>
      </c>
      <c r="AF426" s="9" t="str">
        <f>IFERROR(MID(VLOOKUP($B426,Seqs!$A:$B,2,0),AG426,1),"")</f>
        <v>C</v>
      </c>
      <c r="AG426" s="9">
        <v>296</v>
      </c>
      <c r="AH426" s="9" t="str">
        <f>IFERROR(MID(VLOOKUP($B426,Seqs!$A:$B,2,0),AI426,1),"")</f>
        <v>T</v>
      </c>
      <c r="AI426" s="9">
        <v>298</v>
      </c>
      <c r="AJ426" s="9" t="str">
        <f>IFERROR(MID(VLOOKUP($B426,Seqs!$A:$B,2,0),AK426,1),"")</f>
        <v>W</v>
      </c>
      <c r="AK426" s="9">
        <v>306</v>
      </c>
      <c r="AL426" s="9" t="str">
        <f>IFERROR(MID(VLOOKUP($B426,Seqs!$A:$B,2,0),AM426,1),"")</f>
        <v>N</v>
      </c>
      <c r="AM426" s="9">
        <v>338</v>
      </c>
      <c r="AN426" s="9" t="str">
        <f>IFERROR(MID(VLOOKUP($B426,Seqs!$A:$B,2,0),AO426,1),"")</f>
        <v>D</v>
      </c>
      <c r="AO426" s="9">
        <v>344</v>
      </c>
      <c r="AP426" s="9" t="str">
        <f>IFERROR(MID(VLOOKUP($B426,Seqs!$A:$B,2,0),AQ426,1),"")</f>
        <v>F</v>
      </c>
      <c r="AQ426" s="9">
        <v>367</v>
      </c>
      <c r="AR426" s="9" t="str">
        <f>IFERROR(MID(VLOOKUP($B426,Seqs!$A:$B,2,0),AS426,1),"")</f>
        <v>R</v>
      </c>
      <c r="AS426" s="9">
        <v>376</v>
      </c>
      <c r="AT426" s="9" t="str">
        <f>IFERROR(MID(VLOOKUP($B426,Seqs!$A:$B,2,0),AU426,1),"")</f>
        <v>C</v>
      </c>
      <c r="AU426" s="9">
        <v>403</v>
      </c>
      <c r="AV426" s="9" t="str">
        <f>IFERROR(MID(VLOOKUP($B426,Seqs!$A:$B,2,0),AW426,1),"")</f>
        <v>N</v>
      </c>
      <c r="AW426" s="9">
        <v>406</v>
      </c>
      <c r="AX426" s="9" t="str">
        <f>IFERROR(MID(VLOOKUP($B426,Seqs!$A:$B,2,0),AY426,1),"")</f>
        <v>R</v>
      </c>
      <c r="AY426" s="9">
        <v>421</v>
      </c>
      <c r="AZ426" s="110" t="str">
        <f>VLOOKUP(B426,Classification!A:D,2,0)</f>
        <v>B1</v>
      </c>
      <c r="BA426" s="98" t="str">
        <f>VLOOKUP(B426,Classification!A:D,4,0)</f>
        <v>Glucagonreceptorfamily</v>
      </c>
      <c r="BB426" s="36" t="b">
        <f t="shared" ref="BB426" si="1203">AND(E426&lt;G426,OR(G426&lt;I426,I426="-"),OR(I426&lt;K426,I426="-"),OR(K426&lt;M426,K426="-"),M426&lt;O426,OR(O426&lt;Q426,Q426="-"),OR(Q426&lt;S426,Q426="-"),OR(S426&lt;U426,S426="-"),U426&lt;W426,OR(W426&lt;Y426,Y426="-"),OR(Y426&lt;AA426,Y426="-"),OR(AA426&lt;AC426,AA426="-"),AC426&lt;AE426,OR(AE426&lt;AG426,AG426="-"),OR(AG426&lt;AI426,AG426="-"),OR(AI426&lt;AK426,AI426="-"),AK426&lt;AM426,AM426&lt;AO426,AO426&lt;AQ426,AQ426&lt;AS426,AS426&lt;AU426,OR(AU426&lt;AW426,AW426="-"),OR(AW426&lt;AY426,AW426="-"))</f>
        <v>1</v>
      </c>
      <c r="BC426" s="109">
        <f t="shared" ref="BC426" si="1204">_xlfn.AGGREGATE(9,6,CH426:CS426)-_xlfn.AGGREGATE(9,6,BV426:CG426)+12</f>
        <v>242</v>
      </c>
      <c r="BD426" s="11" t="s">
        <v>23</v>
      </c>
      <c r="BE426" s="9" t="s">
        <v>1368</v>
      </c>
      <c r="BF426" s="119">
        <v>3.2</v>
      </c>
      <c r="BG426" s="51" t="s">
        <v>1</v>
      </c>
      <c r="BH426" s="51" t="s">
        <v>1</v>
      </c>
      <c r="BJ426" s="111" t="s">
        <v>1281</v>
      </c>
      <c r="BK426" s="112" t="s">
        <v>1281</v>
      </c>
      <c r="BL426" s="112" t="s">
        <v>1281</v>
      </c>
      <c r="BM426" s="112" t="s">
        <v>1281</v>
      </c>
      <c r="BN426" s="112" t="s">
        <v>1281</v>
      </c>
      <c r="BO426" s="112" t="s">
        <v>1281</v>
      </c>
      <c r="BP426" s="112" t="s">
        <v>1281</v>
      </c>
      <c r="BQ426" s="112" t="s">
        <v>1281</v>
      </c>
      <c r="BR426" s="112" t="s">
        <v>1281</v>
      </c>
      <c r="BS426" s="112" t="s">
        <v>1281</v>
      </c>
      <c r="BT426" s="112" t="s">
        <v>1281</v>
      </c>
      <c r="BU426" s="112" t="s">
        <v>1281</v>
      </c>
      <c r="BV426" s="111">
        <f>E426</f>
        <v>135</v>
      </c>
      <c r="BW426" s="113">
        <f>I426</f>
        <v>170</v>
      </c>
      <c r="BX426" s="114">
        <f>M426</f>
        <v>174</v>
      </c>
      <c r="BY426" s="113" t="str">
        <f>Q426</f>
        <v>-</v>
      </c>
      <c r="BZ426" s="114">
        <f>U426</f>
        <v>224</v>
      </c>
      <c r="CA426" s="113" t="str">
        <f>Y426</f>
        <v>-</v>
      </c>
      <c r="CB426" s="114">
        <f>AC426</f>
        <v>263</v>
      </c>
      <c r="CC426" s="113">
        <f>AG426</f>
        <v>296</v>
      </c>
      <c r="CD426" s="114">
        <f>AK426</f>
        <v>306</v>
      </c>
      <c r="CE426" s="113">
        <f>AO426</f>
        <v>344</v>
      </c>
      <c r="CF426" s="114">
        <f>AS426</f>
        <v>376</v>
      </c>
      <c r="CG426" s="113">
        <f>AW426</f>
        <v>406</v>
      </c>
      <c r="CH426" s="111">
        <f>G426</f>
        <v>169</v>
      </c>
      <c r="CI426" s="113">
        <f>K426</f>
        <v>173</v>
      </c>
      <c r="CJ426" s="114">
        <f>O426</f>
        <v>207</v>
      </c>
      <c r="CK426" s="114" t="str">
        <f>S426</f>
        <v>-</v>
      </c>
      <c r="CL426" s="114">
        <f>W426</f>
        <v>257</v>
      </c>
      <c r="CM426" s="114" t="str">
        <f>AA426</f>
        <v>-</v>
      </c>
      <c r="CN426" s="114">
        <f>AE426</f>
        <v>291</v>
      </c>
      <c r="CO426" s="114">
        <f>AI426</f>
        <v>298</v>
      </c>
      <c r="CP426" s="114">
        <f>AM426</f>
        <v>338</v>
      </c>
      <c r="CQ426" s="114">
        <f>AQ426</f>
        <v>367</v>
      </c>
      <c r="CR426" s="114">
        <f>AU426</f>
        <v>403</v>
      </c>
      <c r="CS426" s="114">
        <f>AY426</f>
        <v>421</v>
      </c>
      <c r="CT426" s="109">
        <f>M426-K426</f>
        <v>1</v>
      </c>
    </row>
    <row r="427" spans="1:1029" x14ac:dyDescent="0.2">
      <c r="A427" s="3" t="str">
        <f>CONCATENATE(B427,"_",C427)</f>
        <v>g1sgd4_rabit__wt</v>
      </c>
      <c r="B427" s="3" t="s">
        <v>1414</v>
      </c>
      <c r="C427" s="3" t="s">
        <v>100</v>
      </c>
      <c r="D427" s="3" t="str">
        <f>IFERROR(MID(VLOOKUP($B427,Seqs!$A:$B,2,0),E427,1),"")</f>
        <v>P</v>
      </c>
      <c r="E427" s="3">
        <v>137</v>
      </c>
      <c r="F427" s="3" t="str">
        <f>IFERROR(MID(VLOOKUP($B427,Seqs!$A:$B,2,0),G427,1),"")</f>
        <v>F</v>
      </c>
      <c r="G427" s="3">
        <v>169</v>
      </c>
      <c r="H427" s="3" t="str">
        <f>IFERROR(MID(VLOOKUP($B427,Seqs!$A:$B,2,0),I427,1),"")</f>
        <v>R</v>
      </c>
      <c r="I427" s="23">
        <v>170</v>
      </c>
      <c r="J427" s="3" t="str">
        <f>IFERROR(MID(VLOOKUP($B427,Seqs!$A:$B,2,0),K427,1),"")</f>
        <v>H</v>
      </c>
      <c r="K427" s="23">
        <v>173</v>
      </c>
      <c r="L427" s="3" t="str">
        <f>IFERROR(MID(VLOOKUP($B427,Seqs!$A:$B,2,0),M427,1),"")</f>
        <v>C</v>
      </c>
      <c r="M427" s="23">
        <v>174</v>
      </c>
      <c r="N427" s="3" t="str">
        <f>IFERROR(MID(VLOOKUP($B427,Seqs!$A:$B,2,0),O427,1),"")</f>
        <v>Q</v>
      </c>
      <c r="O427" s="3">
        <v>211</v>
      </c>
      <c r="P427" s="3" t="str">
        <f>IFERROR(MID(VLOOKUP($B427,Seqs!$A:$B,2,0),Q427,1),"")</f>
        <v/>
      </c>
      <c r="Q427" s="3" t="s">
        <v>23</v>
      </c>
      <c r="R427" s="3" t="str">
        <f>IFERROR(MID(VLOOKUP($B427,Seqs!$A:$B,2,0),S427,1),"")</f>
        <v/>
      </c>
      <c r="S427" s="3" t="s">
        <v>23</v>
      </c>
      <c r="T427" s="3" t="str">
        <f>IFERROR(MID(VLOOKUP($B427,Seqs!$A:$B,2,0),U427,1),"")</f>
        <v>L</v>
      </c>
      <c r="U427" s="3">
        <v>224</v>
      </c>
      <c r="V427" s="3" t="str">
        <f>IFERROR(MID(VLOOKUP($B427,Seqs!$A:$B,2,0),W427,1),"")</f>
        <v>F</v>
      </c>
      <c r="W427" s="3">
        <v>257</v>
      </c>
      <c r="X427" s="3" t="str">
        <f>IFERROR(MID(VLOOKUP($B427,Seqs!$A:$B,2,0),Y427,1),"")</f>
        <v/>
      </c>
      <c r="Y427" s="3" t="s">
        <v>23</v>
      </c>
      <c r="Z427" s="3" t="str">
        <f>IFERROR(MID(VLOOKUP($B427,Seqs!$A:$B,2,0),AA427,1),"")</f>
        <v/>
      </c>
      <c r="AA427" s="3" t="s">
        <v>23</v>
      </c>
      <c r="AB427" s="3" t="str">
        <f>IFERROR(MID(VLOOKUP($B427,Seqs!$A:$B,2,0),AC427,1),"")</f>
        <v>S</v>
      </c>
      <c r="AC427" s="3">
        <v>261</v>
      </c>
      <c r="AD427" s="3" t="str">
        <f>IFERROR(MID(VLOOKUP($B427,Seqs!$A:$B,2,0),AE427,1),"")</f>
        <v>E</v>
      </c>
      <c r="AE427" s="3">
        <v>292</v>
      </c>
      <c r="AF427" s="3" t="str">
        <f>IFERROR(MID(VLOOKUP($B427,Seqs!$A:$B,2,0),AG427,1),"")</f>
        <v>C</v>
      </c>
      <c r="AG427" s="3">
        <v>296</v>
      </c>
      <c r="AH427" s="3" t="str">
        <f>IFERROR(MID(VLOOKUP($B427,Seqs!$A:$B,2,0),AI427,1),"")</f>
        <v>T</v>
      </c>
      <c r="AI427" s="3">
        <v>298</v>
      </c>
      <c r="AJ427" s="3" t="str">
        <f>IFERROR(MID(VLOOKUP($B427,Seqs!$A:$B,2,0),AK427,1),"")</f>
        <v>N</v>
      </c>
      <c r="AK427" s="105">
        <v>302</v>
      </c>
      <c r="AL427" s="3" t="str">
        <f>IFERROR(MID(VLOOKUP($B427,Seqs!$A:$B,2,0),AM427,1),"")</f>
        <v>A</v>
      </c>
      <c r="AM427" s="3">
        <v>337</v>
      </c>
      <c r="AN427" s="3" t="str">
        <f>IFERROR(MID(VLOOKUP($B427,Seqs!$A:$B,2,0),AO427,1),"")</f>
        <v>K</v>
      </c>
      <c r="AO427" s="3">
        <v>346</v>
      </c>
      <c r="AP427" s="3" t="str">
        <f>IFERROR(MID(VLOOKUP($B427,Seqs!$A:$B,2,0),AQ427,1),"")</f>
        <v>F</v>
      </c>
      <c r="AQ427" s="3">
        <v>369</v>
      </c>
      <c r="AR427" s="3" t="str">
        <f>IFERROR(MID(VLOOKUP($B427,Seqs!$A:$B,2,0),AS427,1),"")</f>
        <v>L</v>
      </c>
      <c r="AS427" s="3">
        <v>379</v>
      </c>
      <c r="AT427" s="3" t="str">
        <f>IFERROR(MID(VLOOKUP($B427,Seqs!$A:$B,2,0),AU427,1),"")</f>
        <v>V</v>
      </c>
      <c r="AU427" s="3">
        <v>405</v>
      </c>
      <c r="AV427" s="3" t="str">
        <f>IFERROR(MID(VLOOKUP($B427,Seqs!$A:$B,2,0),AW427,1),"")</f>
        <v>N</v>
      </c>
      <c r="AW427" s="3">
        <v>406</v>
      </c>
      <c r="AX427" s="3" t="str">
        <f>IFERROR(MID(VLOOKUP($B427,Seqs!$A:$B,2,0),AY427,1),"")</f>
        <v>S</v>
      </c>
      <c r="AY427" s="3">
        <v>431</v>
      </c>
      <c r="AZ427" s="77" t="str">
        <f>VLOOKUP(B427,Classification!A:D,2,0)</f>
        <v>B1</v>
      </c>
      <c r="BA427" s="94" t="str">
        <f>VLOOKUP(B427,Classification!A:D,4,0)</f>
        <v>Glucagonreceptorfamily</v>
      </c>
      <c r="BB427" s="27" t="b">
        <f t="shared" si="1191"/>
        <v>1</v>
      </c>
      <c r="BC427" s="23">
        <f t="shared" si="1192"/>
        <v>259</v>
      </c>
      <c r="BD427" s="4" t="s">
        <v>23</v>
      </c>
      <c r="BE427" s="3" t="s">
        <v>23</v>
      </c>
      <c r="BF427" s="118" t="s">
        <v>23</v>
      </c>
      <c r="BI427" s="1"/>
      <c r="BJ427" s="70" t="s">
        <v>1281</v>
      </c>
      <c r="BK427" s="57" t="s">
        <v>1281</v>
      </c>
      <c r="BL427" s="57" t="s">
        <v>1281</v>
      </c>
      <c r="BM427" s="57" t="s">
        <v>1281</v>
      </c>
      <c r="BN427" s="57" t="s">
        <v>1281</v>
      </c>
      <c r="BO427" s="57" t="s">
        <v>1281</v>
      </c>
      <c r="BP427" s="57" t="s">
        <v>1281</v>
      </c>
      <c r="BQ427" s="57" t="s">
        <v>1281</v>
      </c>
      <c r="BR427" s="57" t="s">
        <v>1281</v>
      </c>
      <c r="BS427" s="57" t="s">
        <v>1281</v>
      </c>
      <c r="BT427" s="57" t="s">
        <v>1281</v>
      </c>
      <c r="BU427" s="57" t="s">
        <v>1281</v>
      </c>
      <c r="BV427" s="70">
        <f>E427</f>
        <v>137</v>
      </c>
      <c r="BW427" s="71">
        <f>I427</f>
        <v>170</v>
      </c>
      <c r="BX427" s="72">
        <f>M427</f>
        <v>174</v>
      </c>
      <c r="BY427" s="71" t="str">
        <f>Q427</f>
        <v>-</v>
      </c>
      <c r="BZ427" s="72">
        <f>U427</f>
        <v>224</v>
      </c>
      <c r="CA427" s="71" t="str">
        <f>Y427</f>
        <v>-</v>
      </c>
      <c r="CB427" s="72">
        <f>AC427</f>
        <v>261</v>
      </c>
      <c r="CC427" s="71">
        <f>AG427</f>
        <v>296</v>
      </c>
      <c r="CD427" s="72">
        <f>AK427</f>
        <v>302</v>
      </c>
      <c r="CE427" s="71">
        <f>AO427</f>
        <v>346</v>
      </c>
      <c r="CF427" s="72">
        <f>AS427</f>
        <v>379</v>
      </c>
      <c r="CG427" s="71">
        <f>AW427</f>
        <v>406</v>
      </c>
      <c r="CH427" s="70">
        <f>G427</f>
        <v>169</v>
      </c>
      <c r="CI427" s="71">
        <f>K427</f>
        <v>173</v>
      </c>
      <c r="CJ427" s="72">
        <f>O427</f>
        <v>211</v>
      </c>
      <c r="CK427" s="72" t="str">
        <f>S427</f>
        <v>-</v>
      </c>
      <c r="CL427" s="72">
        <f>W427</f>
        <v>257</v>
      </c>
      <c r="CM427" s="72" t="str">
        <f>AA427</f>
        <v>-</v>
      </c>
      <c r="CN427" s="72">
        <f>AE427</f>
        <v>292</v>
      </c>
      <c r="CO427" s="72">
        <f>AI427</f>
        <v>298</v>
      </c>
      <c r="CP427" s="72">
        <f>AM427</f>
        <v>337</v>
      </c>
      <c r="CQ427" s="72">
        <f>AQ427</f>
        <v>369</v>
      </c>
      <c r="CR427" s="72">
        <f>AU427</f>
        <v>405</v>
      </c>
      <c r="CS427" s="72">
        <f>AY427</f>
        <v>431</v>
      </c>
      <c r="CT427" s="23">
        <f>M427-K427</f>
        <v>1</v>
      </c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/>
      <c r="NF427" s="1"/>
      <c r="NG427" s="1"/>
      <c r="NH427" s="1"/>
      <c r="NI427" s="1"/>
      <c r="NJ427" s="1"/>
      <c r="NK427" s="1"/>
      <c r="NL427" s="1"/>
      <c r="NM427" s="1"/>
      <c r="NN427" s="1"/>
      <c r="NO427" s="1"/>
      <c r="NP427" s="1"/>
      <c r="NQ427" s="1"/>
      <c r="NR427" s="1"/>
      <c r="NS427" s="1"/>
      <c r="NT427" s="1"/>
      <c r="NU427" s="1"/>
      <c r="NV427" s="1"/>
      <c r="NW427" s="1"/>
      <c r="NX427" s="1"/>
      <c r="NY427" s="1"/>
      <c r="NZ427" s="1"/>
      <c r="OA427" s="1"/>
      <c r="OB427" s="1"/>
      <c r="OC427" s="1"/>
      <c r="OD427" s="1"/>
      <c r="OE427" s="1"/>
      <c r="OF427" s="1"/>
      <c r="OG427" s="1"/>
      <c r="OH427" s="1"/>
      <c r="OI427" s="1"/>
      <c r="OJ427" s="1"/>
      <c r="OK427" s="1"/>
      <c r="OL427" s="1"/>
      <c r="OM427" s="1"/>
      <c r="ON427" s="1"/>
      <c r="OO427" s="1"/>
      <c r="OP427" s="1"/>
      <c r="OQ427" s="1"/>
      <c r="OR427" s="1"/>
      <c r="OS427" s="1"/>
      <c r="OT427" s="1"/>
      <c r="OU427" s="1"/>
      <c r="OV427" s="1"/>
      <c r="OW427" s="1"/>
      <c r="OX427" s="1"/>
      <c r="OY427" s="1"/>
      <c r="OZ427" s="1"/>
      <c r="PA427" s="1"/>
      <c r="PB427" s="1"/>
      <c r="PC427" s="1"/>
      <c r="PD427" s="1"/>
      <c r="PE427" s="1"/>
      <c r="PF427" s="1"/>
      <c r="PG427" s="1"/>
      <c r="PH427" s="1"/>
      <c r="PI427" s="1"/>
      <c r="PJ427" s="1"/>
      <c r="PK427" s="1"/>
      <c r="PL427" s="1"/>
      <c r="PM427" s="1"/>
      <c r="PN427" s="1"/>
      <c r="PO427" s="1"/>
      <c r="PP427" s="1"/>
      <c r="PQ427" s="1"/>
      <c r="PR427" s="1"/>
      <c r="PS427" s="1"/>
      <c r="PT427" s="1"/>
      <c r="PU427" s="1"/>
      <c r="PV427" s="1"/>
      <c r="PW427" s="1"/>
      <c r="PX427" s="1"/>
      <c r="PY427" s="1"/>
      <c r="PZ427" s="1"/>
      <c r="QA427" s="1"/>
      <c r="QB427" s="1"/>
      <c r="QC427" s="1"/>
      <c r="QD427" s="1"/>
      <c r="QE427" s="1"/>
      <c r="QF427" s="1"/>
      <c r="QG427" s="1"/>
      <c r="QH427" s="1"/>
      <c r="QI427" s="1"/>
      <c r="QJ427" s="1"/>
      <c r="QK427" s="1"/>
      <c r="QL427" s="1"/>
      <c r="QM427" s="1"/>
      <c r="QN427" s="1"/>
      <c r="QO427" s="1"/>
      <c r="QP427" s="1"/>
      <c r="QQ427" s="1"/>
      <c r="QR427" s="1"/>
      <c r="QS427" s="1"/>
      <c r="QT427" s="1"/>
      <c r="QU427" s="1"/>
      <c r="QV427" s="1"/>
      <c r="QW427" s="1"/>
      <c r="QX427" s="1"/>
      <c r="QY427" s="1"/>
      <c r="QZ427" s="1"/>
      <c r="RA427" s="1"/>
      <c r="RB427" s="1"/>
      <c r="RC427" s="1"/>
      <c r="RD427" s="1"/>
      <c r="RE427" s="1"/>
      <c r="RF427" s="1"/>
      <c r="RG427" s="1"/>
      <c r="RH427" s="1"/>
      <c r="RI427" s="1"/>
      <c r="RJ427" s="1"/>
      <c r="RK427" s="1"/>
      <c r="RL427" s="1"/>
      <c r="RM427" s="1"/>
      <c r="RN427" s="1"/>
      <c r="RO427" s="1"/>
      <c r="RP427" s="1"/>
      <c r="RQ427" s="1"/>
      <c r="RR427" s="1"/>
      <c r="RS427" s="1"/>
      <c r="RT427" s="1"/>
      <c r="RU427" s="1"/>
      <c r="RV427" s="1"/>
      <c r="RW427" s="1"/>
      <c r="RX427" s="1"/>
      <c r="RY427" s="1"/>
      <c r="RZ427" s="1"/>
      <c r="SA427" s="1"/>
      <c r="SB427" s="1"/>
      <c r="SC427" s="1"/>
      <c r="SD427" s="1"/>
      <c r="SE427" s="1"/>
      <c r="SF427" s="1"/>
      <c r="SG427" s="1"/>
      <c r="SH427" s="1"/>
      <c r="SI427" s="1"/>
      <c r="SJ427" s="1"/>
      <c r="SK427" s="1"/>
      <c r="SL427" s="1"/>
      <c r="SM427" s="1"/>
      <c r="SN427" s="1"/>
      <c r="SO427" s="1"/>
      <c r="SP427" s="1"/>
      <c r="SQ427" s="1"/>
      <c r="SR427" s="1"/>
      <c r="SS427" s="1"/>
      <c r="ST427" s="1"/>
      <c r="SU427" s="1"/>
      <c r="SV427" s="1"/>
      <c r="SW427" s="1"/>
      <c r="SX427" s="1"/>
      <c r="SY427" s="1"/>
      <c r="SZ427" s="1"/>
      <c r="TA427" s="1"/>
      <c r="TB427" s="1"/>
      <c r="TC427" s="1"/>
      <c r="TD427" s="1"/>
      <c r="TE427" s="1"/>
      <c r="TF427" s="1"/>
      <c r="TG427" s="1"/>
      <c r="TH427" s="1"/>
      <c r="TI427" s="1"/>
      <c r="TJ427" s="1"/>
      <c r="TK427" s="1"/>
      <c r="TL427" s="1"/>
      <c r="TM427" s="1"/>
      <c r="TN427" s="1"/>
      <c r="TO427" s="1"/>
      <c r="TP427" s="1"/>
      <c r="TQ427" s="1"/>
      <c r="TR427" s="1"/>
      <c r="TS427" s="1"/>
      <c r="TT427" s="1"/>
      <c r="TU427" s="1"/>
      <c r="TV427" s="1"/>
      <c r="TW427" s="1"/>
      <c r="TX427" s="1"/>
      <c r="TY427" s="1"/>
      <c r="TZ427" s="1"/>
      <c r="UA427" s="1"/>
      <c r="UB427" s="1"/>
      <c r="UC427" s="1"/>
      <c r="UD427" s="1"/>
      <c r="UE427" s="1"/>
      <c r="UF427" s="1"/>
      <c r="UG427" s="1"/>
      <c r="UH427" s="1"/>
      <c r="UI427" s="1"/>
      <c r="UJ427" s="1"/>
      <c r="UK427" s="1"/>
      <c r="UL427" s="1"/>
      <c r="UM427" s="1"/>
      <c r="UN427" s="1"/>
      <c r="UO427" s="1"/>
      <c r="UP427" s="1"/>
      <c r="UQ427" s="1"/>
      <c r="UR427" s="1"/>
      <c r="US427" s="1"/>
      <c r="UT427" s="1"/>
      <c r="UU427" s="1"/>
      <c r="UV427" s="1"/>
      <c r="UW427" s="1"/>
      <c r="UX427" s="1"/>
      <c r="UY427" s="1"/>
      <c r="UZ427" s="1"/>
      <c r="VA427" s="1"/>
      <c r="VB427" s="1"/>
      <c r="VC427" s="1"/>
      <c r="VD427" s="1"/>
      <c r="VE427" s="1"/>
      <c r="VF427" s="1"/>
      <c r="VG427" s="1"/>
      <c r="VH427" s="1"/>
      <c r="VI427" s="1"/>
      <c r="VJ427" s="1"/>
      <c r="VK427" s="1"/>
      <c r="VL427" s="1"/>
      <c r="VM427" s="1"/>
      <c r="VN427" s="1"/>
      <c r="VO427" s="1"/>
      <c r="VP427" s="1"/>
      <c r="VQ427" s="1"/>
      <c r="VR427" s="1"/>
      <c r="VS427" s="1"/>
      <c r="VT427" s="1"/>
      <c r="VU427" s="1"/>
      <c r="VV427" s="1"/>
      <c r="VW427" s="1"/>
      <c r="VX427" s="1"/>
      <c r="VY427" s="1"/>
      <c r="VZ427" s="1"/>
      <c r="WA427" s="1"/>
      <c r="WB427" s="1"/>
      <c r="WC427" s="1"/>
      <c r="WD427" s="1"/>
      <c r="WE427" s="1"/>
      <c r="WF427" s="1"/>
      <c r="WG427" s="1"/>
      <c r="WH427" s="1"/>
      <c r="WI427" s="1"/>
      <c r="WJ427" s="1"/>
      <c r="WK427" s="1"/>
      <c r="WL427" s="1"/>
      <c r="WM427" s="1"/>
      <c r="WN427" s="1"/>
      <c r="WO427" s="1"/>
      <c r="WP427" s="1"/>
      <c r="WQ427" s="1"/>
      <c r="WR427" s="1"/>
      <c r="WS427" s="1"/>
      <c r="WT427" s="1"/>
      <c r="WU427" s="1"/>
      <c r="WV427" s="1"/>
      <c r="WW427" s="1"/>
      <c r="WX427" s="1"/>
      <c r="WY427" s="1"/>
      <c r="WZ427" s="1"/>
      <c r="XA427" s="1"/>
      <c r="XB427" s="1"/>
      <c r="XC427" s="1"/>
      <c r="XD427" s="1"/>
      <c r="XE427" s="1"/>
      <c r="XF427" s="1"/>
      <c r="XG427" s="1"/>
      <c r="XH427" s="1"/>
      <c r="XI427" s="1"/>
      <c r="XJ427" s="1"/>
      <c r="XK427" s="1"/>
      <c r="XL427" s="1"/>
      <c r="XM427" s="1"/>
      <c r="XN427" s="1"/>
      <c r="XO427" s="1"/>
      <c r="XP427" s="1"/>
      <c r="XQ427" s="1"/>
      <c r="XR427" s="1"/>
      <c r="XS427" s="1"/>
      <c r="XT427" s="1"/>
      <c r="XU427" s="1"/>
      <c r="XV427" s="1"/>
      <c r="XW427" s="1"/>
      <c r="XX427" s="1"/>
      <c r="XY427" s="1"/>
      <c r="XZ427" s="1"/>
      <c r="YA427" s="1"/>
      <c r="YB427" s="1"/>
      <c r="YC427" s="1"/>
      <c r="YD427" s="1"/>
      <c r="YE427" s="1"/>
      <c r="YF427" s="1"/>
      <c r="YG427" s="1"/>
      <c r="YH427" s="1"/>
      <c r="YI427" s="1"/>
      <c r="YJ427" s="1"/>
      <c r="YK427" s="1"/>
      <c r="YL427" s="1"/>
      <c r="YM427" s="1"/>
      <c r="YN427" s="1"/>
      <c r="YO427" s="1"/>
      <c r="YP427" s="1"/>
      <c r="YQ427" s="1"/>
      <c r="YR427" s="1"/>
      <c r="YS427" s="1"/>
      <c r="YT427" s="1"/>
      <c r="YU427" s="1"/>
      <c r="YV427" s="1"/>
      <c r="YW427" s="1"/>
      <c r="YX427" s="1"/>
      <c r="YY427" s="1"/>
      <c r="YZ427" s="1"/>
      <c r="ZA427" s="1"/>
      <c r="ZB427" s="1"/>
      <c r="ZC427" s="1"/>
      <c r="ZD427" s="1"/>
      <c r="ZE427" s="1"/>
      <c r="ZF427" s="1"/>
      <c r="ZG427" s="1"/>
      <c r="ZH427" s="1"/>
      <c r="ZI427" s="1"/>
      <c r="ZJ427" s="1"/>
      <c r="ZK427" s="1"/>
      <c r="ZL427" s="1"/>
      <c r="ZM427" s="1"/>
      <c r="ZN427" s="1"/>
      <c r="ZO427" s="1"/>
      <c r="ZP427" s="1"/>
      <c r="ZQ427" s="1"/>
      <c r="ZR427" s="1"/>
      <c r="ZS427" s="1"/>
      <c r="ZT427" s="1"/>
      <c r="ZU427" s="1"/>
      <c r="ZV427" s="1"/>
      <c r="ZW427" s="1"/>
      <c r="ZX427" s="1"/>
      <c r="ZY427" s="1"/>
      <c r="ZZ427" s="1"/>
      <c r="AAA427" s="1"/>
      <c r="AAB427" s="1"/>
      <c r="AAC427" s="1"/>
      <c r="AAD427" s="1"/>
      <c r="AAE427" s="1"/>
      <c r="AAF427" s="1"/>
      <c r="AAG427" s="1"/>
      <c r="AAH427" s="1"/>
      <c r="AAI427" s="1"/>
      <c r="AAJ427" s="1"/>
      <c r="AAK427" s="1"/>
      <c r="AAL427" s="1"/>
      <c r="AAM427" s="1"/>
      <c r="AAN427" s="1"/>
      <c r="AAO427" s="1"/>
      <c r="AAP427" s="1"/>
      <c r="AAQ427" s="1"/>
      <c r="AAR427" s="1"/>
      <c r="AAS427" s="1"/>
      <c r="AAT427" s="1"/>
      <c r="AAU427" s="1"/>
      <c r="AAV427" s="1"/>
      <c r="AAW427" s="1"/>
      <c r="AAX427" s="1"/>
      <c r="AAY427" s="1"/>
      <c r="AAZ427" s="1"/>
      <c r="ABA427" s="1"/>
      <c r="ABB427" s="1"/>
      <c r="ABC427" s="1"/>
      <c r="ABD427" s="1"/>
      <c r="ABE427" s="1"/>
      <c r="ABF427" s="1"/>
      <c r="ABG427" s="1"/>
      <c r="ABH427" s="1"/>
      <c r="ABI427" s="1"/>
      <c r="ABJ427" s="1"/>
      <c r="ABK427" s="1"/>
      <c r="ABL427" s="1"/>
      <c r="ABM427" s="1"/>
      <c r="ABN427" s="1"/>
      <c r="ABO427" s="1"/>
      <c r="ABP427" s="1"/>
      <c r="ABQ427" s="1"/>
      <c r="ABR427" s="1"/>
      <c r="ABS427" s="1"/>
      <c r="ABT427" s="1"/>
      <c r="ABU427" s="1"/>
      <c r="ABV427" s="1"/>
      <c r="ABW427" s="1"/>
      <c r="ABX427" s="1"/>
      <c r="ABY427" s="1"/>
      <c r="ABZ427" s="1"/>
      <c r="ACA427" s="1"/>
      <c r="ACB427" s="1"/>
      <c r="ACC427" s="1"/>
      <c r="ACD427" s="1"/>
      <c r="ACE427" s="1"/>
      <c r="ACF427" s="1"/>
      <c r="ACG427" s="1"/>
      <c r="ACH427" s="1"/>
      <c r="ACI427" s="1"/>
      <c r="ACJ427" s="1"/>
      <c r="ACK427" s="1"/>
      <c r="ACL427" s="1"/>
      <c r="ACM427" s="1"/>
      <c r="ACN427" s="1"/>
      <c r="ACO427" s="1"/>
      <c r="ACP427" s="1"/>
      <c r="ACQ427" s="1"/>
      <c r="ACR427" s="1"/>
      <c r="ACS427" s="1"/>
      <c r="ACT427" s="1"/>
      <c r="ACU427" s="1"/>
      <c r="ACV427" s="1"/>
      <c r="ACW427" s="1"/>
      <c r="ACX427" s="1"/>
      <c r="ACY427" s="1"/>
      <c r="ACZ427" s="1"/>
      <c r="ADA427" s="1"/>
      <c r="ADB427" s="1"/>
      <c r="ADC427" s="1"/>
      <c r="ADD427" s="1"/>
      <c r="ADE427" s="1"/>
      <c r="ADF427" s="1"/>
      <c r="ADG427" s="1"/>
      <c r="ADH427" s="1"/>
      <c r="ADI427" s="1"/>
      <c r="ADJ427" s="1"/>
      <c r="ADK427" s="1"/>
      <c r="ADL427" s="1"/>
      <c r="ADM427" s="1"/>
      <c r="ADN427" s="1"/>
      <c r="ADO427" s="1"/>
      <c r="ADP427" s="1"/>
      <c r="ADQ427" s="1"/>
      <c r="ADR427" s="1"/>
      <c r="ADS427" s="1"/>
      <c r="ADT427" s="1"/>
      <c r="ADU427" s="1"/>
      <c r="ADV427" s="1"/>
      <c r="ADW427" s="1"/>
      <c r="ADX427" s="1"/>
      <c r="ADY427" s="1"/>
      <c r="ADZ427" s="1"/>
      <c r="AEA427" s="1"/>
      <c r="AEB427" s="1"/>
      <c r="AEC427" s="1"/>
      <c r="AED427" s="1"/>
      <c r="AEE427" s="1"/>
      <c r="AEF427" s="1"/>
      <c r="AEG427" s="1"/>
      <c r="AEH427" s="1"/>
      <c r="AEI427" s="1"/>
      <c r="AEJ427" s="1"/>
      <c r="AEK427" s="1"/>
      <c r="AEL427" s="1"/>
      <c r="AEM427" s="1"/>
      <c r="AEN427" s="1"/>
      <c r="AEO427" s="1"/>
      <c r="AEP427" s="1"/>
      <c r="AEQ427" s="1"/>
      <c r="AER427" s="1"/>
      <c r="AES427" s="1"/>
      <c r="AET427" s="1"/>
      <c r="AEU427" s="1"/>
      <c r="AEV427" s="1"/>
      <c r="AEW427" s="1"/>
      <c r="AEX427" s="1"/>
      <c r="AEY427" s="1"/>
      <c r="AEZ427" s="1"/>
      <c r="AFA427" s="1"/>
      <c r="AFB427" s="1"/>
      <c r="AFC427" s="1"/>
      <c r="AFD427" s="1"/>
      <c r="AFE427" s="1"/>
      <c r="AFF427" s="1"/>
      <c r="AFG427" s="1"/>
      <c r="AFH427" s="1"/>
      <c r="AFI427" s="1"/>
      <c r="AFJ427" s="1"/>
      <c r="AFK427" s="1"/>
      <c r="AFL427" s="1"/>
      <c r="AFM427" s="1"/>
      <c r="AFN427" s="1"/>
      <c r="AFO427" s="1"/>
      <c r="AFP427" s="1"/>
      <c r="AFQ427" s="1"/>
      <c r="AFR427" s="1"/>
      <c r="AFS427" s="1"/>
      <c r="AFT427" s="1"/>
      <c r="AFU427" s="1"/>
      <c r="AFV427" s="1"/>
      <c r="AFW427" s="1"/>
      <c r="AFX427" s="1"/>
      <c r="AFY427" s="1"/>
      <c r="AFZ427" s="1"/>
      <c r="AGA427" s="1"/>
      <c r="AGB427" s="1"/>
      <c r="AGC427" s="1"/>
      <c r="AGD427" s="1"/>
      <c r="AGE427" s="1"/>
      <c r="AGF427" s="1"/>
      <c r="AGG427" s="1"/>
      <c r="AGH427" s="1"/>
      <c r="AGI427" s="1"/>
      <c r="AGJ427" s="1"/>
      <c r="AGK427" s="1"/>
      <c r="AGL427" s="1"/>
      <c r="AGM427" s="1"/>
      <c r="AGN427" s="1"/>
      <c r="AGO427" s="1"/>
      <c r="AGP427" s="1"/>
      <c r="AGQ427" s="1"/>
      <c r="AGR427" s="1"/>
      <c r="AGS427" s="1"/>
      <c r="AGT427" s="1"/>
      <c r="AGU427" s="1"/>
      <c r="AGV427" s="1"/>
      <c r="AGW427" s="1"/>
      <c r="AGX427" s="1"/>
      <c r="AGY427" s="1"/>
      <c r="AGZ427" s="1"/>
      <c r="AHA427" s="1"/>
      <c r="AHB427" s="1"/>
      <c r="AHC427" s="1"/>
      <c r="AHD427" s="1"/>
      <c r="AHE427" s="1"/>
      <c r="AHF427" s="1"/>
      <c r="AHG427" s="1"/>
      <c r="AHH427" s="1"/>
      <c r="AHI427" s="1"/>
      <c r="AHJ427" s="1"/>
      <c r="AHK427" s="1"/>
      <c r="AHL427" s="1"/>
      <c r="AHM427" s="1"/>
      <c r="AHN427" s="1"/>
      <c r="AHO427" s="1"/>
      <c r="AHP427" s="1"/>
      <c r="AHQ427" s="1"/>
      <c r="AHR427" s="1"/>
      <c r="AHS427" s="1"/>
      <c r="AHT427" s="1"/>
      <c r="AHU427" s="1"/>
      <c r="AHV427" s="1"/>
      <c r="AHW427" s="1"/>
      <c r="AHX427" s="1"/>
      <c r="AHY427" s="1"/>
      <c r="AHZ427" s="1"/>
      <c r="AIA427" s="1"/>
      <c r="AIB427" s="1"/>
      <c r="AIC427" s="1"/>
      <c r="AID427" s="1"/>
      <c r="AIE427" s="1"/>
      <c r="AIF427" s="1"/>
      <c r="AIG427" s="1"/>
      <c r="AIH427" s="1"/>
      <c r="AII427" s="1"/>
      <c r="AIJ427" s="1"/>
      <c r="AIK427" s="1"/>
      <c r="AIL427" s="1"/>
      <c r="AIM427" s="1"/>
      <c r="AIN427" s="1"/>
      <c r="AIO427" s="1"/>
      <c r="AIP427" s="1"/>
      <c r="AIQ427" s="1"/>
      <c r="AIR427" s="1"/>
      <c r="AIS427" s="1"/>
      <c r="AIT427" s="1"/>
      <c r="AIU427" s="1"/>
      <c r="AIV427" s="1"/>
      <c r="AIW427" s="1"/>
      <c r="AIX427" s="1"/>
      <c r="AIY427" s="1"/>
      <c r="AIZ427" s="1"/>
      <c r="AJA427" s="1"/>
      <c r="AJB427" s="1"/>
      <c r="AJC427" s="1"/>
      <c r="AJD427" s="1"/>
      <c r="AJE427" s="1"/>
      <c r="AJF427" s="1"/>
      <c r="AJG427" s="1"/>
      <c r="AJH427" s="1"/>
      <c r="AJI427" s="1"/>
      <c r="AJJ427" s="1"/>
      <c r="AJK427" s="1"/>
      <c r="AJL427" s="1"/>
      <c r="AJM427" s="1"/>
      <c r="AJN427" s="1"/>
      <c r="AJO427" s="1"/>
      <c r="AJP427" s="1"/>
      <c r="AJQ427" s="1"/>
      <c r="AJR427" s="1"/>
      <c r="AJS427" s="1"/>
      <c r="AJT427" s="1"/>
      <c r="AJU427" s="1"/>
      <c r="AJV427" s="1"/>
      <c r="AJW427" s="1"/>
      <c r="AJX427" s="1"/>
      <c r="AJY427" s="1"/>
      <c r="AJZ427" s="1"/>
      <c r="AKA427" s="1"/>
      <c r="AKB427" s="1"/>
      <c r="AKC427" s="1"/>
      <c r="AKD427" s="1"/>
      <c r="AKE427" s="1"/>
      <c r="AKF427" s="1"/>
      <c r="AKG427" s="1"/>
      <c r="AKH427" s="1"/>
      <c r="AKI427" s="1"/>
      <c r="AKJ427" s="1"/>
      <c r="AKK427" s="1"/>
      <c r="AKL427" s="1"/>
      <c r="AKM427" s="1"/>
      <c r="AKN427" s="1"/>
      <c r="AKO427" s="1"/>
      <c r="AKP427" s="1"/>
      <c r="AKQ427" s="1"/>
      <c r="AKR427" s="1"/>
      <c r="AKS427" s="1"/>
      <c r="AKT427" s="1"/>
      <c r="AKU427" s="1"/>
      <c r="AKV427" s="1"/>
      <c r="AKW427" s="1"/>
      <c r="AKX427" s="1"/>
      <c r="AKY427" s="1"/>
      <c r="AKZ427" s="1"/>
      <c r="ALA427" s="1"/>
      <c r="ALB427" s="1"/>
      <c r="ALC427" s="1"/>
      <c r="ALD427" s="1"/>
      <c r="ALE427" s="1"/>
      <c r="ALF427" s="1"/>
      <c r="ALG427" s="1"/>
      <c r="ALH427" s="1"/>
      <c r="ALI427" s="1"/>
      <c r="ALJ427" s="1"/>
      <c r="ALK427" s="1"/>
      <c r="ALL427" s="1"/>
      <c r="ALM427" s="1"/>
      <c r="ALN427" s="1"/>
      <c r="ALO427" s="1"/>
      <c r="ALP427" s="1"/>
      <c r="ALQ427" s="1"/>
      <c r="ALR427" s="1"/>
      <c r="ALS427" s="1"/>
      <c r="ALT427" s="1"/>
      <c r="ALU427" s="1"/>
      <c r="ALV427" s="1"/>
      <c r="ALW427" s="1"/>
      <c r="ALX427" s="1"/>
      <c r="ALY427" s="1"/>
      <c r="ALZ427" s="1"/>
      <c r="AMA427" s="1"/>
      <c r="AMB427" s="1"/>
      <c r="AMC427" s="1"/>
      <c r="AMD427" s="1"/>
      <c r="AME427" s="1"/>
      <c r="AMF427" s="1"/>
      <c r="AMG427" s="1"/>
      <c r="AMH427" s="1"/>
      <c r="AMI427" s="1"/>
      <c r="AMJ427" s="1"/>
      <c r="AMK427" s="1"/>
      <c r="AML427" s="1"/>
      <c r="AMM427" s="1"/>
      <c r="AMN427" s="1"/>
      <c r="AMO427" s="1"/>
    </row>
    <row r="428" spans="1:1029" x14ac:dyDescent="0.2">
      <c r="A428" s="3" t="str">
        <f>CONCATENATE(B428,"_",C428)</f>
        <v>g1sgd4_rabit_5VAI</v>
      </c>
      <c r="B428" s="3" t="s">
        <v>1414</v>
      </c>
      <c r="C428" s="3" t="s">
        <v>1415</v>
      </c>
      <c r="D428" s="3" t="str">
        <f>IFERROR(MID(VLOOKUP($B428,Seqs!$A:$B,2,0),E428,1),"")</f>
        <v>P</v>
      </c>
      <c r="E428" s="3">
        <v>137</v>
      </c>
      <c r="F428" s="3" t="str">
        <f>IFERROR(MID(VLOOKUP($B428,Seqs!$A:$B,2,0),G428,1),"")</f>
        <v>G</v>
      </c>
      <c r="G428" s="3">
        <v>168</v>
      </c>
      <c r="H428" s="3" t="str">
        <f>IFERROR(MID(VLOOKUP($B428,Seqs!$A:$B,2,0),I428,1),"")</f>
        <v>R</v>
      </c>
      <c r="I428" s="23">
        <v>170</v>
      </c>
      <c r="J428" s="3" t="str">
        <f>IFERROR(MID(VLOOKUP($B428,Seqs!$A:$B,2,0),K428,1),"")</f>
        <v>H</v>
      </c>
      <c r="K428" s="23">
        <v>173</v>
      </c>
      <c r="L428" s="3" t="str">
        <f>IFERROR(MID(VLOOKUP($B428,Seqs!$A:$B,2,0),M428,1),"")</f>
        <v>C</v>
      </c>
      <c r="M428" s="23">
        <v>174</v>
      </c>
      <c r="N428" s="3" t="str">
        <f>IFERROR(MID(VLOOKUP($B428,Seqs!$A:$B,2,0),O428,1),"")</f>
        <v>Q</v>
      </c>
      <c r="O428" s="3">
        <v>211</v>
      </c>
      <c r="P428" s="3" t="str">
        <f>IFERROR(MID(VLOOKUP($B428,Seqs!$A:$B,2,0),Q428,1),"")</f>
        <v/>
      </c>
      <c r="Q428" s="3" t="s">
        <v>23</v>
      </c>
      <c r="R428" s="3" t="str">
        <f>IFERROR(MID(VLOOKUP($B428,Seqs!$A:$B,2,0),S428,1),"")</f>
        <v/>
      </c>
      <c r="S428" s="3" t="s">
        <v>23</v>
      </c>
      <c r="T428" s="3" t="str">
        <f>IFERROR(MID(VLOOKUP($B428,Seqs!$A:$B,2,0),U428,1),"")</f>
        <v>L</v>
      </c>
      <c r="U428" s="3">
        <v>224</v>
      </c>
      <c r="V428" s="3" t="str">
        <f>IFERROR(MID(VLOOKUP($B428,Seqs!$A:$B,2,0),W428,1),"")</f>
        <v>F</v>
      </c>
      <c r="W428" s="3">
        <v>257</v>
      </c>
      <c r="X428" s="3" t="str">
        <f>IFERROR(MID(VLOOKUP($B428,Seqs!$A:$B,2,0),Y428,1),"")</f>
        <v/>
      </c>
      <c r="Y428" s="3" t="s">
        <v>23</v>
      </c>
      <c r="Z428" s="3" t="str">
        <f>IFERROR(MID(VLOOKUP($B428,Seqs!$A:$B,2,0),AA428,1),"")</f>
        <v/>
      </c>
      <c r="AA428" s="3" t="s">
        <v>23</v>
      </c>
      <c r="AB428" s="3" t="str">
        <f>IFERROR(MID(VLOOKUP($B428,Seqs!$A:$B,2,0),AC428,1),"")</f>
        <v>S</v>
      </c>
      <c r="AC428" s="3">
        <v>261</v>
      </c>
      <c r="AD428" s="3" t="str">
        <f>IFERROR(MID(VLOOKUP($B428,Seqs!$A:$B,2,0),AE428,1),"")</f>
        <v>E</v>
      </c>
      <c r="AE428" s="3">
        <v>292</v>
      </c>
      <c r="AF428" s="3" t="str">
        <f>IFERROR(MID(VLOOKUP($B428,Seqs!$A:$B,2,0),AG428,1),"")</f>
        <v>C</v>
      </c>
      <c r="AG428" s="3">
        <v>296</v>
      </c>
      <c r="AH428" s="3" t="str">
        <f>IFERROR(MID(VLOOKUP($B428,Seqs!$A:$B,2,0),AI428,1),"")</f>
        <v>T</v>
      </c>
      <c r="AI428" s="3">
        <v>298</v>
      </c>
      <c r="AJ428" s="3" t="str">
        <f>IFERROR(MID(VLOOKUP($B428,Seqs!$A:$B,2,0),AK428,1),"")</f>
        <v>Y</v>
      </c>
      <c r="AK428" s="3">
        <v>305</v>
      </c>
      <c r="AL428" s="3" t="str">
        <f>IFERROR(MID(VLOOKUP($B428,Seqs!$A:$B,2,0),AM428,1),"")</f>
        <v>A</v>
      </c>
      <c r="AM428" s="3">
        <v>337</v>
      </c>
      <c r="AN428" s="3" t="str">
        <f>IFERROR(MID(VLOOKUP($B428,Seqs!$A:$B,2,0),AO428,1),"")</f>
        <v>K</v>
      </c>
      <c r="AO428" s="3">
        <v>346</v>
      </c>
      <c r="AP428" s="3" t="str">
        <f>IFERROR(MID(VLOOKUP($B428,Seqs!$A:$B,2,0),AQ428,1),"")</f>
        <v>F</v>
      </c>
      <c r="AQ428" s="3">
        <v>369</v>
      </c>
      <c r="AR428" s="3" t="str">
        <f>IFERROR(MID(VLOOKUP($B428,Seqs!$A:$B,2,0),AS428,1),"")</f>
        <v>L</v>
      </c>
      <c r="AS428" s="3">
        <v>379</v>
      </c>
      <c r="AT428" s="3" t="str">
        <f>IFERROR(MID(VLOOKUP($B428,Seqs!$A:$B,2,0),AU428,1),"")</f>
        <v>V</v>
      </c>
      <c r="AU428" s="3">
        <v>405</v>
      </c>
      <c r="AV428" s="3" t="str">
        <f>IFERROR(MID(VLOOKUP($B428,Seqs!$A:$B,2,0),AW428,1),"")</f>
        <v>N</v>
      </c>
      <c r="AW428" s="3">
        <v>406</v>
      </c>
      <c r="AX428" s="3" t="str">
        <f>IFERROR(MID(VLOOKUP($B428,Seqs!$A:$B,2,0),AY428,1),"")</f>
        <v>R</v>
      </c>
      <c r="AY428" s="3">
        <v>421</v>
      </c>
      <c r="AZ428" s="77" t="str">
        <f>VLOOKUP(B428,Classification!A:D,2,0)</f>
        <v>B1</v>
      </c>
      <c r="BA428" s="94" t="str">
        <f>VLOOKUP(B428,Classification!A:D,4,0)</f>
        <v>Glucagonreceptorfamily</v>
      </c>
      <c r="BB428" s="27" t="b">
        <f t="shared" si="1191"/>
        <v>1</v>
      </c>
      <c r="BC428" s="23">
        <f t="shared" si="1192"/>
        <v>245</v>
      </c>
      <c r="BD428" s="4" t="s">
        <v>23</v>
      </c>
      <c r="BE428" s="3" t="s">
        <v>1285</v>
      </c>
      <c r="BF428" s="118">
        <v>4.0999999999999996</v>
      </c>
      <c r="BG428" s="49" t="s">
        <v>1416</v>
      </c>
      <c r="BH428" s="49" t="s">
        <v>1416</v>
      </c>
      <c r="BI428" s="1"/>
      <c r="BJ428" s="70" t="s">
        <v>1281</v>
      </c>
      <c r="BK428" s="57" t="s">
        <v>1281</v>
      </c>
      <c r="BL428" s="57" t="s">
        <v>1281</v>
      </c>
      <c r="BM428" s="57" t="s">
        <v>1281</v>
      </c>
      <c r="BN428" s="57" t="s">
        <v>1281</v>
      </c>
      <c r="BO428" s="57" t="s">
        <v>1281</v>
      </c>
      <c r="BP428" s="57" t="s">
        <v>1281</v>
      </c>
      <c r="BQ428" s="57" t="s">
        <v>1281</v>
      </c>
      <c r="BR428" s="57" t="s">
        <v>1281</v>
      </c>
      <c r="BS428" s="57" t="s">
        <v>1281</v>
      </c>
      <c r="BT428" s="57" t="s">
        <v>1281</v>
      </c>
      <c r="BU428" s="57" t="s">
        <v>1281</v>
      </c>
      <c r="BV428" s="70">
        <f>E428</f>
        <v>137</v>
      </c>
      <c r="BW428" s="71">
        <f>I428</f>
        <v>170</v>
      </c>
      <c r="BX428" s="72">
        <f>M428</f>
        <v>174</v>
      </c>
      <c r="BY428" s="71" t="str">
        <f>Q428</f>
        <v>-</v>
      </c>
      <c r="BZ428" s="72">
        <f>U428</f>
        <v>224</v>
      </c>
      <c r="CA428" s="71" t="str">
        <f>Y428</f>
        <v>-</v>
      </c>
      <c r="CB428" s="72">
        <f>AC428</f>
        <v>261</v>
      </c>
      <c r="CC428" s="71">
        <f>AG428</f>
        <v>296</v>
      </c>
      <c r="CD428" s="72">
        <f>AK428</f>
        <v>305</v>
      </c>
      <c r="CE428" s="71">
        <f>AO428</f>
        <v>346</v>
      </c>
      <c r="CF428" s="72">
        <f>AS428</f>
        <v>379</v>
      </c>
      <c r="CG428" s="71">
        <f>AW428</f>
        <v>406</v>
      </c>
      <c r="CH428" s="70">
        <f>G428</f>
        <v>168</v>
      </c>
      <c r="CI428" s="71">
        <f>K428</f>
        <v>173</v>
      </c>
      <c r="CJ428" s="72">
        <f>O428</f>
        <v>211</v>
      </c>
      <c r="CK428" s="72" t="str">
        <f>S428</f>
        <v>-</v>
      </c>
      <c r="CL428" s="72">
        <f>W428</f>
        <v>257</v>
      </c>
      <c r="CM428" s="72" t="str">
        <f>AA428</f>
        <v>-</v>
      </c>
      <c r="CN428" s="72">
        <f>AE428</f>
        <v>292</v>
      </c>
      <c r="CO428" s="72">
        <f>AI428</f>
        <v>298</v>
      </c>
      <c r="CP428" s="72">
        <f>AM428</f>
        <v>337</v>
      </c>
      <c r="CQ428" s="72">
        <f>AQ428</f>
        <v>369</v>
      </c>
      <c r="CR428" s="72">
        <f>AU428</f>
        <v>405</v>
      </c>
      <c r="CS428" s="72">
        <f>AY428</f>
        <v>421</v>
      </c>
      <c r="CT428" s="23">
        <f>M428-K428</f>
        <v>1</v>
      </c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B428" s="1"/>
      <c r="NC428" s="1"/>
      <c r="ND428" s="1"/>
      <c r="NE428" s="1"/>
      <c r="NF428" s="1"/>
      <c r="NG428" s="1"/>
      <c r="NH428" s="1"/>
      <c r="NI428" s="1"/>
      <c r="NJ428" s="1"/>
      <c r="NK428" s="1"/>
      <c r="NL428" s="1"/>
      <c r="NM428" s="1"/>
      <c r="NN428" s="1"/>
      <c r="NO428" s="1"/>
      <c r="NP428" s="1"/>
      <c r="NQ428" s="1"/>
      <c r="NR428" s="1"/>
      <c r="NS428" s="1"/>
      <c r="NT428" s="1"/>
      <c r="NU428" s="1"/>
      <c r="NV428" s="1"/>
      <c r="NW428" s="1"/>
      <c r="NX428" s="1"/>
      <c r="NY428" s="1"/>
      <c r="NZ428" s="1"/>
      <c r="OA428" s="1"/>
      <c r="OB428" s="1"/>
      <c r="OC428" s="1"/>
      <c r="OD428" s="1"/>
      <c r="OE428" s="1"/>
      <c r="OF428" s="1"/>
      <c r="OG428" s="1"/>
      <c r="OH428" s="1"/>
      <c r="OI428" s="1"/>
      <c r="OJ428" s="1"/>
      <c r="OK428" s="1"/>
      <c r="OL428" s="1"/>
      <c r="OM428" s="1"/>
      <c r="ON428" s="1"/>
      <c r="OO428" s="1"/>
      <c r="OP428" s="1"/>
      <c r="OQ428" s="1"/>
      <c r="OR428" s="1"/>
      <c r="OS428" s="1"/>
      <c r="OT428" s="1"/>
      <c r="OU428" s="1"/>
      <c r="OV428" s="1"/>
      <c r="OW428" s="1"/>
      <c r="OX428" s="1"/>
      <c r="OY428" s="1"/>
      <c r="OZ428" s="1"/>
      <c r="PA428" s="1"/>
      <c r="PB428" s="1"/>
      <c r="PC428" s="1"/>
      <c r="PD428" s="1"/>
      <c r="PE428" s="1"/>
      <c r="PF428" s="1"/>
      <c r="PG428" s="1"/>
      <c r="PH428" s="1"/>
      <c r="PI428" s="1"/>
      <c r="PJ428" s="1"/>
      <c r="PK428" s="1"/>
      <c r="PL428" s="1"/>
      <c r="PM428" s="1"/>
      <c r="PN428" s="1"/>
      <c r="PO428" s="1"/>
      <c r="PP428" s="1"/>
      <c r="PQ428" s="1"/>
      <c r="PR428" s="1"/>
      <c r="PS428" s="1"/>
      <c r="PT428" s="1"/>
      <c r="PU428" s="1"/>
      <c r="PV428" s="1"/>
      <c r="PW428" s="1"/>
      <c r="PX428" s="1"/>
      <c r="PY428" s="1"/>
      <c r="PZ428" s="1"/>
      <c r="QA428" s="1"/>
      <c r="QB428" s="1"/>
      <c r="QC428" s="1"/>
      <c r="QD428" s="1"/>
      <c r="QE428" s="1"/>
      <c r="QF428" s="1"/>
      <c r="QG428" s="1"/>
      <c r="QH428" s="1"/>
      <c r="QI428" s="1"/>
      <c r="QJ428" s="1"/>
      <c r="QK428" s="1"/>
      <c r="QL428" s="1"/>
      <c r="QM428" s="1"/>
      <c r="QN428" s="1"/>
      <c r="QO428" s="1"/>
      <c r="QP428" s="1"/>
      <c r="QQ428" s="1"/>
      <c r="QR428" s="1"/>
      <c r="QS428" s="1"/>
      <c r="QT428" s="1"/>
      <c r="QU428" s="1"/>
      <c r="QV428" s="1"/>
      <c r="QW428" s="1"/>
      <c r="QX428" s="1"/>
      <c r="QY428" s="1"/>
      <c r="QZ428" s="1"/>
      <c r="RA428" s="1"/>
      <c r="RB428" s="1"/>
      <c r="RC428" s="1"/>
      <c r="RD428" s="1"/>
      <c r="RE428" s="1"/>
      <c r="RF428" s="1"/>
      <c r="RG428" s="1"/>
      <c r="RH428" s="1"/>
      <c r="RI428" s="1"/>
      <c r="RJ428" s="1"/>
      <c r="RK428" s="1"/>
      <c r="RL428" s="1"/>
      <c r="RM428" s="1"/>
      <c r="RN428" s="1"/>
      <c r="RO428" s="1"/>
      <c r="RP428" s="1"/>
      <c r="RQ428" s="1"/>
      <c r="RR428" s="1"/>
      <c r="RS428" s="1"/>
      <c r="RT428" s="1"/>
      <c r="RU428" s="1"/>
      <c r="RV428" s="1"/>
      <c r="RW428" s="1"/>
      <c r="RX428" s="1"/>
      <c r="RY428" s="1"/>
      <c r="RZ428" s="1"/>
      <c r="SA428" s="1"/>
      <c r="SB428" s="1"/>
      <c r="SC428" s="1"/>
      <c r="SD428" s="1"/>
      <c r="SE428" s="1"/>
      <c r="SF428" s="1"/>
      <c r="SG428" s="1"/>
      <c r="SH428" s="1"/>
      <c r="SI428" s="1"/>
      <c r="SJ428" s="1"/>
      <c r="SK428" s="1"/>
      <c r="SL428" s="1"/>
      <c r="SM428" s="1"/>
      <c r="SN428" s="1"/>
      <c r="SO428" s="1"/>
      <c r="SP428" s="1"/>
      <c r="SQ428" s="1"/>
      <c r="SR428" s="1"/>
      <c r="SS428" s="1"/>
      <c r="ST428" s="1"/>
      <c r="SU428" s="1"/>
      <c r="SV428" s="1"/>
      <c r="SW428" s="1"/>
      <c r="SX428" s="1"/>
      <c r="SY428" s="1"/>
      <c r="SZ428" s="1"/>
      <c r="TA428" s="1"/>
      <c r="TB428" s="1"/>
      <c r="TC428" s="1"/>
      <c r="TD428" s="1"/>
      <c r="TE428" s="1"/>
      <c r="TF428" s="1"/>
      <c r="TG428" s="1"/>
      <c r="TH428" s="1"/>
      <c r="TI428" s="1"/>
      <c r="TJ428" s="1"/>
      <c r="TK428" s="1"/>
      <c r="TL428" s="1"/>
      <c r="TM428" s="1"/>
      <c r="TN428" s="1"/>
      <c r="TO428" s="1"/>
      <c r="TP428" s="1"/>
      <c r="TQ428" s="1"/>
      <c r="TR428" s="1"/>
      <c r="TS428" s="1"/>
      <c r="TT428" s="1"/>
      <c r="TU428" s="1"/>
      <c r="TV428" s="1"/>
      <c r="TW428" s="1"/>
      <c r="TX428" s="1"/>
      <c r="TY428" s="1"/>
      <c r="TZ428" s="1"/>
      <c r="UA428" s="1"/>
      <c r="UB428" s="1"/>
      <c r="UC428" s="1"/>
      <c r="UD428" s="1"/>
      <c r="UE428" s="1"/>
      <c r="UF428" s="1"/>
      <c r="UG428" s="1"/>
      <c r="UH428" s="1"/>
      <c r="UI428" s="1"/>
      <c r="UJ428" s="1"/>
      <c r="UK428" s="1"/>
      <c r="UL428" s="1"/>
      <c r="UM428" s="1"/>
      <c r="UN428" s="1"/>
      <c r="UO428" s="1"/>
      <c r="UP428" s="1"/>
      <c r="UQ428" s="1"/>
      <c r="UR428" s="1"/>
      <c r="US428" s="1"/>
      <c r="UT428" s="1"/>
      <c r="UU428" s="1"/>
      <c r="UV428" s="1"/>
      <c r="UW428" s="1"/>
      <c r="UX428" s="1"/>
      <c r="UY428" s="1"/>
      <c r="UZ428" s="1"/>
      <c r="VA428" s="1"/>
      <c r="VB428" s="1"/>
      <c r="VC428" s="1"/>
      <c r="VD428" s="1"/>
      <c r="VE428" s="1"/>
      <c r="VF428" s="1"/>
      <c r="VG428" s="1"/>
      <c r="VH428" s="1"/>
      <c r="VI428" s="1"/>
      <c r="VJ428" s="1"/>
      <c r="VK428" s="1"/>
      <c r="VL428" s="1"/>
      <c r="VM428" s="1"/>
      <c r="VN428" s="1"/>
      <c r="VO428" s="1"/>
      <c r="VP428" s="1"/>
      <c r="VQ428" s="1"/>
      <c r="VR428" s="1"/>
      <c r="VS428" s="1"/>
      <c r="VT428" s="1"/>
      <c r="VU428" s="1"/>
      <c r="VV428" s="1"/>
      <c r="VW428" s="1"/>
      <c r="VX428" s="1"/>
      <c r="VY428" s="1"/>
      <c r="VZ428" s="1"/>
      <c r="WA428" s="1"/>
      <c r="WB428" s="1"/>
      <c r="WC428" s="1"/>
      <c r="WD428" s="1"/>
      <c r="WE428" s="1"/>
      <c r="WF428" s="1"/>
      <c r="WG428" s="1"/>
      <c r="WH428" s="1"/>
      <c r="WI428" s="1"/>
      <c r="WJ428" s="1"/>
      <c r="WK428" s="1"/>
      <c r="WL428" s="1"/>
      <c r="WM428" s="1"/>
      <c r="WN428" s="1"/>
      <c r="WO428" s="1"/>
      <c r="WP428" s="1"/>
      <c r="WQ428" s="1"/>
      <c r="WR428" s="1"/>
      <c r="WS428" s="1"/>
      <c r="WT428" s="1"/>
      <c r="WU428" s="1"/>
      <c r="WV428" s="1"/>
      <c r="WW428" s="1"/>
      <c r="WX428" s="1"/>
      <c r="WY428" s="1"/>
      <c r="WZ428" s="1"/>
      <c r="XA428" s="1"/>
      <c r="XB428" s="1"/>
      <c r="XC428" s="1"/>
      <c r="XD428" s="1"/>
      <c r="XE428" s="1"/>
      <c r="XF428" s="1"/>
      <c r="XG428" s="1"/>
      <c r="XH428" s="1"/>
      <c r="XI428" s="1"/>
      <c r="XJ428" s="1"/>
      <c r="XK428" s="1"/>
      <c r="XL428" s="1"/>
      <c r="XM428" s="1"/>
      <c r="XN428" s="1"/>
      <c r="XO428" s="1"/>
      <c r="XP428" s="1"/>
      <c r="XQ428" s="1"/>
      <c r="XR428" s="1"/>
      <c r="XS428" s="1"/>
      <c r="XT428" s="1"/>
      <c r="XU428" s="1"/>
      <c r="XV428" s="1"/>
      <c r="XW428" s="1"/>
      <c r="XX428" s="1"/>
      <c r="XY428" s="1"/>
      <c r="XZ428" s="1"/>
      <c r="YA428" s="1"/>
      <c r="YB428" s="1"/>
      <c r="YC428" s="1"/>
      <c r="YD428" s="1"/>
      <c r="YE428" s="1"/>
      <c r="YF428" s="1"/>
      <c r="YG428" s="1"/>
      <c r="YH428" s="1"/>
      <c r="YI428" s="1"/>
      <c r="YJ428" s="1"/>
      <c r="YK428" s="1"/>
      <c r="YL428" s="1"/>
      <c r="YM428" s="1"/>
      <c r="YN428" s="1"/>
      <c r="YO428" s="1"/>
      <c r="YP428" s="1"/>
      <c r="YQ428" s="1"/>
      <c r="YR428" s="1"/>
      <c r="YS428" s="1"/>
      <c r="YT428" s="1"/>
      <c r="YU428" s="1"/>
      <c r="YV428" s="1"/>
      <c r="YW428" s="1"/>
      <c r="YX428" s="1"/>
      <c r="YY428" s="1"/>
      <c r="YZ428" s="1"/>
      <c r="ZA428" s="1"/>
      <c r="ZB428" s="1"/>
      <c r="ZC428" s="1"/>
      <c r="ZD428" s="1"/>
      <c r="ZE428" s="1"/>
      <c r="ZF428" s="1"/>
      <c r="ZG428" s="1"/>
      <c r="ZH428" s="1"/>
      <c r="ZI428" s="1"/>
      <c r="ZJ428" s="1"/>
      <c r="ZK428" s="1"/>
      <c r="ZL428" s="1"/>
      <c r="ZM428" s="1"/>
      <c r="ZN428" s="1"/>
      <c r="ZO428" s="1"/>
      <c r="ZP428" s="1"/>
      <c r="ZQ428" s="1"/>
      <c r="ZR428" s="1"/>
      <c r="ZS428" s="1"/>
      <c r="ZT428" s="1"/>
      <c r="ZU428" s="1"/>
      <c r="ZV428" s="1"/>
      <c r="ZW428" s="1"/>
      <c r="ZX428" s="1"/>
      <c r="ZY428" s="1"/>
      <c r="ZZ428" s="1"/>
      <c r="AAA428" s="1"/>
      <c r="AAB428" s="1"/>
      <c r="AAC428" s="1"/>
      <c r="AAD428" s="1"/>
      <c r="AAE428" s="1"/>
      <c r="AAF428" s="1"/>
      <c r="AAG428" s="1"/>
      <c r="AAH428" s="1"/>
      <c r="AAI428" s="1"/>
      <c r="AAJ428" s="1"/>
      <c r="AAK428" s="1"/>
      <c r="AAL428" s="1"/>
      <c r="AAM428" s="1"/>
      <c r="AAN428" s="1"/>
      <c r="AAO428" s="1"/>
      <c r="AAP428" s="1"/>
      <c r="AAQ428" s="1"/>
      <c r="AAR428" s="1"/>
      <c r="AAS428" s="1"/>
      <c r="AAT428" s="1"/>
      <c r="AAU428" s="1"/>
      <c r="AAV428" s="1"/>
      <c r="AAW428" s="1"/>
      <c r="AAX428" s="1"/>
      <c r="AAY428" s="1"/>
      <c r="AAZ428" s="1"/>
      <c r="ABA428" s="1"/>
      <c r="ABB428" s="1"/>
      <c r="ABC428" s="1"/>
      <c r="ABD428" s="1"/>
      <c r="ABE428" s="1"/>
      <c r="ABF428" s="1"/>
      <c r="ABG428" s="1"/>
      <c r="ABH428" s="1"/>
      <c r="ABI428" s="1"/>
      <c r="ABJ428" s="1"/>
      <c r="ABK428" s="1"/>
      <c r="ABL428" s="1"/>
      <c r="ABM428" s="1"/>
      <c r="ABN428" s="1"/>
      <c r="ABO428" s="1"/>
      <c r="ABP428" s="1"/>
      <c r="ABQ428" s="1"/>
      <c r="ABR428" s="1"/>
      <c r="ABS428" s="1"/>
      <c r="ABT428" s="1"/>
      <c r="ABU428" s="1"/>
      <c r="ABV428" s="1"/>
      <c r="ABW428" s="1"/>
      <c r="ABX428" s="1"/>
      <c r="ABY428" s="1"/>
      <c r="ABZ428" s="1"/>
      <c r="ACA428" s="1"/>
      <c r="ACB428" s="1"/>
      <c r="ACC428" s="1"/>
      <c r="ACD428" s="1"/>
      <c r="ACE428" s="1"/>
      <c r="ACF428" s="1"/>
      <c r="ACG428" s="1"/>
      <c r="ACH428" s="1"/>
      <c r="ACI428" s="1"/>
      <c r="ACJ428" s="1"/>
      <c r="ACK428" s="1"/>
      <c r="ACL428" s="1"/>
      <c r="ACM428" s="1"/>
      <c r="ACN428" s="1"/>
      <c r="ACO428" s="1"/>
      <c r="ACP428" s="1"/>
      <c r="ACQ428" s="1"/>
      <c r="ACR428" s="1"/>
      <c r="ACS428" s="1"/>
      <c r="ACT428" s="1"/>
      <c r="ACU428" s="1"/>
      <c r="ACV428" s="1"/>
      <c r="ACW428" s="1"/>
      <c r="ACX428" s="1"/>
      <c r="ACY428" s="1"/>
      <c r="ACZ428" s="1"/>
      <c r="ADA428" s="1"/>
      <c r="ADB428" s="1"/>
      <c r="ADC428" s="1"/>
      <c r="ADD428" s="1"/>
      <c r="ADE428" s="1"/>
      <c r="ADF428" s="1"/>
      <c r="ADG428" s="1"/>
      <c r="ADH428" s="1"/>
      <c r="ADI428" s="1"/>
      <c r="ADJ428" s="1"/>
      <c r="ADK428" s="1"/>
      <c r="ADL428" s="1"/>
      <c r="ADM428" s="1"/>
      <c r="ADN428" s="1"/>
      <c r="ADO428" s="1"/>
      <c r="ADP428" s="1"/>
      <c r="ADQ428" s="1"/>
      <c r="ADR428" s="1"/>
      <c r="ADS428" s="1"/>
      <c r="ADT428" s="1"/>
      <c r="ADU428" s="1"/>
      <c r="ADV428" s="1"/>
      <c r="ADW428" s="1"/>
      <c r="ADX428" s="1"/>
      <c r="ADY428" s="1"/>
      <c r="ADZ428" s="1"/>
      <c r="AEA428" s="1"/>
      <c r="AEB428" s="1"/>
      <c r="AEC428" s="1"/>
      <c r="AED428" s="1"/>
      <c r="AEE428" s="1"/>
      <c r="AEF428" s="1"/>
      <c r="AEG428" s="1"/>
      <c r="AEH428" s="1"/>
      <c r="AEI428" s="1"/>
      <c r="AEJ428" s="1"/>
      <c r="AEK428" s="1"/>
      <c r="AEL428" s="1"/>
      <c r="AEM428" s="1"/>
      <c r="AEN428" s="1"/>
      <c r="AEO428" s="1"/>
      <c r="AEP428" s="1"/>
      <c r="AEQ428" s="1"/>
      <c r="AER428" s="1"/>
      <c r="AES428" s="1"/>
      <c r="AET428" s="1"/>
      <c r="AEU428" s="1"/>
      <c r="AEV428" s="1"/>
      <c r="AEW428" s="1"/>
      <c r="AEX428" s="1"/>
      <c r="AEY428" s="1"/>
      <c r="AEZ428" s="1"/>
      <c r="AFA428" s="1"/>
      <c r="AFB428" s="1"/>
      <c r="AFC428" s="1"/>
      <c r="AFD428" s="1"/>
      <c r="AFE428" s="1"/>
      <c r="AFF428" s="1"/>
      <c r="AFG428" s="1"/>
      <c r="AFH428" s="1"/>
      <c r="AFI428" s="1"/>
      <c r="AFJ428" s="1"/>
      <c r="AFK428" s="1"/>
      <c r="AFL428" s="1"/>
      <c r="AFM428" s="1"/>
      <c r="AFN428" s="1"/>
      <c r="AFO428" s="1"/>
      <c r="AFP428" s="1"/>
      <c r="AFQ428" s="1"/>
      <c r="AFR428" s="1"/>
      <c r="AFS428" s="1"/>
      <c r="AFT428" s="1"/>
      <c r="AFU428" s="1"/>
      <c r="AFV428" s="1"/>
      <c r="AFW428" s="1"/>
      <c r="AFX428" s="1"/>
      <c r="AFY428" s="1"/>
      <c r="AFZ428" s="1"/>
      <c r="AGA428" s="1"/>
      <c r="AGB428" s="1"/>
      <c r="AGC428" s="1"/>
      <c r="AGD428" s="1"/>
      <c r="AGE428" s="1"/>
      <c r="AGF428" s="1"/>
      <c r="AGG428" s="1"/>
      <c r="AGH428" s="1"/>
      <c r="AGI428" s="1"/>
      <c r="AGJ428" s="1"/>
      <c r="AGK428" s="1"/>
      <c r="AGL428" s="1"/>
      <c r="AGM428" s="1"/>
      <c r="AGN428" s="1"/>
      <c r="AGO428" s="1"/>
      <c r="AGP428" s="1"/>
      <c r="AGQ428" s="1"/>
      <c r="AGR428" s="1"/>
      <c r="AGS428" s="1"/>
      <c r="AGT428" s="1"/>
      <c r="AGU428" s="1"/>
      <c r="AGV428" s="1"/>
      <c r="AGW428" s="1"/>
      <c r="AGX428" s="1"/>
      <c r="AGY428" s="1"/>
      <c r="AGZ428" s="1"/>
      <c r="AHA428" s="1"/>
      <c r="AHB428" s="1"/>
      <c r="AHC428" s="1"/>
      <c r="AHD428" s="1"/>
      <c r="AHE428" s="1"/>
      <c r="AHF428" s="1"/>
      <c r="AHG428" s="1"/>
      <c r="AHH428" s="1"/>
      <c r="AHI428" s="1"/>
      <c r="AHJ428" s="1"/>
      <c r="AHK428" s="1"/>
      <c r="AHL428" s="1"/>
      <c r="AHM428" s="1"/>
      <c r="AHN428" s="1"/>
      <c r="AHO428" s="1"/>
      <c r="AHP428" s="1"/>
      <c r="AHQ428" s="1"/>
      <c r="AHR428" s="1"/>
      <c r="AHS428" s="1"/>
      <c r="AHT428" s="1"/>
      <c r="AHU428" s="1"/>
      <c r="AHV428" s="1"/>
      <c r="AHW428" s="1"/>
      <c r="AHX428" s="1"/>
      <c r="AHY428" s="1"/>
      <c r="AHZ428" s="1"/>
      <c r="AIA428" s="1"/>
      <c r="AIB428" s="1"/>
      <c r="AIC428" s="1"/>
      <c r="AID428" s="1"/>
      <c r="AIE428" s="1"/>
      <c r="AIF428" s="1"/>
      <c r="AIG428" s="1"/>
      <c r="AIH428" s="1"/>
      <c r="AII428" s="1"/>
      <c r="AIJ428" s="1"/>
      <c r="AIK428" s="1"/>
      <c r="AIL428" s="1"/>
      <c r="AIM428" s="1"/>
      <c r="AIN428" s="1"/>
      <c r="AIO428" s="1"/>
      <c r="AIP428" s="1"/>
      <c r="AIQ428" s="1"/>
      <c r="AIR428" s="1"/>
      <c r="AIS428" s="1"/>
      <c r="AIT428" s="1"/>
      <c r="AIU428" s="1"/>
      <c r="AIV428" s="1"/>
      <c r="AIW428" s="1"/>
      <c r="AIX428" s="1"/>
      <c r="AIY428" s="1"/>
      <c r="AIZ428" s="1"/>
      <c r="AJA428" s="1"/>
      <c r="AJB428" s="1"/>
      <c r="AJC428" s="1"/>
      <c r="AJD428" s="1"/>
      <c r="AJE428" s="1"/>
      <c r="AJF428" s="1"/>
      <c r="AJG428" s="1"/>
      <c r="AJH428" s="1"/>
      <c r="AJI428" s="1"/>
      <c r="AJJ428" s="1"/>
      <c r="AJK428" s="1"/>
      <c r="AJL428" s="1"/>
      <c r="AJM428" s="1"/>
      <c r="AJN428" s="1"/>
      <c r="AJO428" s="1"/>
      <c r="AJP428" s="1"/>
      <c r="AJQ428" s="1"/>
      <c r="AJR428" s="1"/>
      <c r="AJS428" s="1"/>
      <c r="AJT428" s="1"/>
      <c r="AJU428" s="1"/>
      <c r="AJV428" s="1"/>
      <c r="AJW428" s="1"/>
      <c r="AJX428" s="1"/>
      <c r="AJY428" s="1"/>
      <c r="AJZ428" s="1"/>
      <c r="AKA428" s="1"/>
      <c r="AKB428" s="1"/>
      <c r="AKC428" s="1"/>
      <c r="AKD428" s="1"/>
      <c r="AKE428" s="1"/>
      <c r="AKF428" s="1"/>
      <c r="AKG428" s="1"/>
      <c r="AKH428" s="1"/>
      <c r="AKI428" s="1"/>
      <c r="AKJ428" s="1"/>
      <c r="AKK428" s="1"/>
      <c r="AKL428" s="1"/>
      <c r="AKM428" s="1"/>
      <c r="AKN428" s="1"/>
      <c r="AKO428" s="1"/>
      <c r="AKP428" s="1"/>
      <c r="AKQ428" s="1"/>
      <c r="AKR428" s="1"/>
      <c r="AKS428" s="1"/>
      <c r="AKT428" s="1"/>
      <c r="AKU428" s="1"/>
      <c r="AKV428" s="1"/>
      <c r="AKW428" s="1"/>
      <c r="AKX428" s="1"/>
      <c r="AKY428" s="1"/>
      <c r="AKZ428" s="1"/>
      <c r="ALA428" s="1"/>
      <c r="ALB428" s="1"/>
      <c r="ALC428" s="1"/>
      <c r="ALD428" s="1"/>
      <c r="ALE428" s="1"/>
      <c r="ALF428" s="1"/>
      <c r="ALG428" s="1"/>
      <c r="ALH428" s="1"/>
      <c r="ALI428" s="1"/>
      <c r="ALJ428" s="1"/>
      <c r="ALK428" s="1"/>
      <c r="ALL428" s="1"/>
      <c r="ALM428" s="1"/>
      <c r="ALN428" s="1"/>
      <c r="ALO428" s="1"/>
      <c r="ALP428" s="1"/>
      <c r="ALQ428" s="1"/>
      <c r="ALR428" s="1"/>
      <c r="ALS428" s="1"/>
      <c r="ALT428" s="1"/>
      <c r="ALU428" s="1"/>
      <c r="ALV428" s="1"/>
      <c r="ALW428" s="1"/>
      <c r="ALX428" s="1"/>
      <c r="ALY428" s="1"/>
      <c r="ALZ428" s="1"/>
      <c r="AMA428" s="1"/>
      <c r="AMB428" s="1"/>
      <c r="AMC428" s="1"/>
      <c r="AMD428" s="1"/>
      <c r="AME428" s="1"/>
      <c r="AMF428" s="1"/>
      <c r="AMG428" s="1"/>
      <c r="AMH428" s="1"/>
      <c r="AMI428" s="1"/>
      <c r="AMJ428" s="1"/>
      <c r="AMK428" s="1"/>
      <c r="AML428" s="1"/>
      <c r="AMM428" s="1"/>
      <c r="AMN428" s="1"/>
      <c r="AMO428" s="1"/>
    </row>
    <row r="429" spans="1:1029" s="12" customFormat="1" x14ac:dyDescent="0.2">
      <c r="A429" s="9" t="str">
        <f>CONCATENATE(B429,"_",C429)</f>
        <v>pacr_human__wt</v>
      </c>
      <c r="B429" s="9" t="s">
        <v>407</v>
      </c>
      <c r="C429" s="9" t="s">
        <v>100</v>
      </c>
      <c r="D429" s="9" t="str">
        <f>IFERROR(MID(VLOOKUP($B429,Seqs!$A:$B,2,0),E429,1),"")</f>
        <v>Y</v>
      </c>
      <c r="E429" s="9">
        <v>139</v>
      </c>
      <c r="F429" s="9" t="str">
        <f>IFERROR(MID(VLOOKUP($B429,Seqs!$A:$B,2,0),G429,1),"")</f>
        <v>F</v>
      </c>
      <c r="G429" s="9">
        <v>178</v>
      </c>
      <c r="H429" s="9" t="str">
        <f>IFERROR(MID(VLOOKUP($B429,Seqs!$A:$B,2,0),I429,1),"")</f>
        <v>R</v>
      </c>
      <c r="I429" s="109">
        <v>179</v>
      </c>
      <c r="J429" s="9" t="str">
        <f>IFERROR(MID(VLOOKUP($B429,Seqs!$A:$B,2,0),K429,1),"")</f>
        <v>H</v>
      </c>
      <c r="K429" s="109">
        <v>182</v>
      </c>
      <c r="L429" s="9" t="str">
        <f>IFERROR(MID(VLOOKUP($B429,Seqs!$A:$B,2,0),M429,1),"")</f>
        <v>C</v>
      </c>
      <c r="M429" s="109">
        <v>183</v>
      </c>
      <c r="N429" s="9" t="str">
        <f>IFERROR(MID(VLOOKUP($B429,Seqs!$A:$B,2,0),O429,1),"")</f>
        <v>L</v>
      </c>
      <c r="O429" s="9">
        <v>210</v>
      </c>
      <c r="P429" s="9" t="str">
        <f>IFERROR(MID(VLOOKUP($B429,Seqs!$A:$B,2,0),Q429,1),"")</f>
        <v/>
      </c>
      <c r="Q429" s="9" t="s">
        <v>23</v>
      </c>
      <c r="R429" s="9" t="str">
        <f>IFERROR(MID(VLOOKUP($B429,Seqs!$A:$B,2,0),S429,1),"")</f>
        <v/>
      </c>
      <c r="S429" s="9" t="s">
        <v>23</v>
      </c>
      <c r="T429" s="9" t="str">
        <f>IFERROR(MID(VLOOKUP($B429,Seqs!$A:$B,2,0),U429,1),"")</f>
        <v>T</v>
      </c>
      <c r="U429" s="9">
        <v>223</v>
      </c>
      <c r="V429" s="9" t="str">
        <f>IFERROR(MID(VLOOKUP($B429,Seqs!$A:$B,2,0),W429,1),"")</f>
        <v>E</v>
      </c>
      <c r="W429" s="9">
        <v>257</v>
      </c>
      <c r="X429" s="9" t="str">
        <f>IFERROR(MID(VLOOKUP($B429,Seqs!$A:$B,2,0),Y429,1),"")</f>
        <v/>
      </c>
      <c r="Y429" s="9" t="s">
        <v>23</v>
      </c>
      <c r="Z429" s="9" t="str">
        <f>IFERROR(MID(VLOOKUP($B429,Seqs!$A:$B,2,0),AA429,1),"")</f>
        <v/>
      </c>
      <c r="AA429" s="9" t="s">
        <v>23</v>
      </c>
      <c r="AB429" s="9" t="str">
        <f>IFERROR(MID(VLOOKUP($B429,Seqs!$A:$B,2,0),AC429,1),"")</f>
        <v>R</v>
      </c>
      <c r="AC429" s="9">
        <v>264</v>
      </c>
      <c r="AD429" s="9" t="str">
        <f>IFERROR(MID(VLOOKUP($B429,Seqs!$A:$B,2,0),AE429,1),"")</f>
        <v>D</v>
      </c>
      <c r="AE429" s="9">
        <v>292</v>
      </c>
      <c r="AF429" s="9" t="str">
        <f>IFERROR(MID(VLOOKUP($B429,Seqs!$A:$B,2,0),AG429,1),"")</f>
        <v>C</v>
      </c>
      <c r="AG429" s="9">
        <v>296</v>
      </c>
      <c r="AH429" s="9" t="str">
        <f>IFERROR(MID(VLOOKUP($B429,Seqs!$A:$B,2,0),AI429,1),"")</f>
        <v>D</v>
      </c>
      <c r="AI429" s="9">
        <v>298</v>
      </c>
      <c r="AJ429" s="9" t="str">
        <f>IFERROR(MID(VLOOKUP($B429,Seqs!$A:$B,2,0),AK429,1),"")</f>
        <v>S</v>
      </c>
      <c r="AK429" s="9">
        <v>302</v>
      </c>
      <c r="AL429" s="9" t="str">
        <f>IFERROR(MID(VLOOKUP($B429,Seqs!$A:$B,2,0),AM429,1),"")</f>
        <v>L</v>
      </c>
      <c r="AM429" s="9">
        <v>335</v>
      </c>
      <c r="AN429" s="9" t="str">
        <f>IFERROR(MID(VLOOKUP($B429,Seqs!$A:$B,2,0),AO429,1),"")</f>
        <v>N</v>
      </c>
      <c r="AO429" s="9">
        <v>343</v>
      </c>
      <c r="AP429" s="9" t="str">
        <f>IFERROR(MID(VLOOKUP($B429,Seqs!$A:$B,2,0),AQ429,1),"")</f>
        <v>S</v>
      </c>
      <c r="AQ429" s="9">
        <v>372</v>
      </c>
      <c r="AR429" s="9" t="str">
        <f>IFERROR(MID(VLOOKUP($B429,Seqs!$A:$B,2,0),AS429,1),"")</f>
        <v>K</v>
      </c>
      <c r="AS429" s="9">
        <v>378</v>
      </c>
      <c r="AT429" s="9" t="str">
        <f>IFERROR(MID(VLOOKUP($B429,Seqs!$A:$B,2,0),AU429,1),"")</f>
        <v>L</v>
      </c>
      <c r="AU429" s="9">
        <v>403</v>
      </c>
      <c r="AV429" s="9" t="str">
        <f>IFERROR(MID(VLOOKUP($B429,Seqs!$A:$B,2,0),AW429,1),"")</f>
        <v>N</v>
      </c>
      <c r="AW429" s="9">
        <v>404</v>
      </c>
      <c r="AX429" s="9" t="str">
        <f>IFERROR(MID(VLOOKUP($B429,Seqs!$A:$B,2,0),AY429,1),"")</f>
        <v>K</v>
      </c>
      <c r="AY429" s="9">
        <v>429</v>
      </c>
      <c r="AZ429" s="110" t="str">
        <f>VLOOKUP(B429,Classification!A:D,2,0)</f>
        <v>B1</v>
      </c>
      <c r="BA429" s="98" t="str">
        <f>VLOOKUP(B429,Classification!A:D,4,0)</f>
        <v>VIPandPACAP</v>
      </c>
      <c r="BB429" s="36" t="b">
        <f t="shared" ref="BB429:BB430" si="1205">AND(E429&lt;G429,OR(G429&lt;I429,I429="-"),OR(I429&lt;K429,I429="-"),OR(K429&lt;M429,K429="-"),M429&lt;O429,OR(O429&lt;Q429,Q429="-"),OR(Q429&lt;S429,Q429="-"),OR(S429&lt;U429,S429="-"),U429&lt;W429,OR(W429&lt;Y429,Y429="-"),OR(Y429&lt;AA429,Y429="-"),OR(AA429&lt;AC429,AA429="-"),AC429&lt;AE429,OR(AE429&lt;AG429,AG429="-"),OR(AG429&lt;AI429,AG429="-"),OR(AI429&lt;AK429,AI429="-"),AK429&lt;AM429,AM429&lt;AO429,AO429&lt;AQ429,AQ429&lt;AS429,AS429&lt;AU429,OR(AU429&lt;AW429,AW429="-"),OR(AW429&lt;AY429,AW429="-"))</f>
        <v>1</v>
      </c>
      <c r="BC429" s="109">
        <f t="shared" ref="BC429:BC430" si="1206">_xlfn.AGGREGATE(9,6,CH429:CS429)-_xlfn.AGGREGATE(9,6,BV429:CG429)+12</f>
        <v>257</v>
      </c>
      <c r="BD429" s="11" t="s">
        <v>23</v>
      </c>
      <c r="BE429" s="9" t="s">
        <v>23</v>
      </c>
      <c r="BF429" s="119" t="s">
        <v>23</v>
      </c>
      <c r="BG429" s="51" t="s">
        <v>23</v>
      </c>
      <c r="BH429" s="51" t="s">
        <v>23</v>
      </c>
      <c r="BJ429" s="111" t="s">
        <v>1281</v>
      </c>
      <c r="BK429" s="112" t="s">
        <v>1281</v>
      </c>
      <c r="BL429" s="112" t="s">
        <v>1281</v>
      </c>
      <c r="BM429" s="112" t="s">
        <v>1281</v>
      </c>
      <c r="BN429" s="112" t="s">
        <v>1281</v>
      </c>
      <c r="BO429" s="112" t="s">
        <v>1281</v>
      </c>
      <c r="BP429" s="112" t="s">
        <v>1281</v>
      </c>
      <c r="BQ429" s="112" t="s">
        <v>1281</v>
      </c>
      <c r="BR429" s="112" t="s">
        <v>1281</v>
      </c>
      <c r="BS429" s="112" t="s">
        <v>1281</v>
      </c>
      <c r="BT429" s="112" t="s">
        <v>1281</v>
      </c>
      <c r="BU429" s="112" t="s">
        <v>1281</v>
      </c>
      <c r="BV429" s="111">
        <f>E429</f>
        <v>139</v>
      </c>
      <c r="BW429" s="113">
        <f>I429</f>
        <v>179</v>
      </c>
      <c r="BX429" s="114">
        <f>M429</f>
        <v>183</v>
      </c>
      <c r="BY429" s="113" t="str">
        <f>Q429</f>
        <v>-</v>
      </c>
      <c r="BZ429" s="114">
        <f>U429</f>
        <v>223</v>
      </c>
      <c r="CA429" s="113" t="str">
        <f>Y429</f>
        <v>-</v>
      </c>
      <c r="CB429" s="114">
        <f>AC429</f>
        <v>264</v>
      </c>
      <c r="CC429" s="113">
        <f>AG429</f>
        <v>296</v>
      </c>
      <c r="CD429" s="114">
        <f>AK429</f>
        <v>302</v>
      </c>
      <c r="CE429" s="113">
        <f>AO429</f>
        <v>343</v>
      </c>
      <c r="CF429" s="114">
        <f>AS429</f>
        <v>378</v>
      </c>
      <c r="CG429" s="113">
        <f>AW429</f>
        <v>404</v>
      </c>
      <c r="CH429" s="111">
        <f>G429</f>
        <v>178</v>
      </c>
      <c r="CI429" s="113">
        <f>K429</f>
        <v>182</v>
      </c>
      <c r="CJ429" s="114">
        <f>O429</f>
        <v>210</v>
      </c>
      <c r="CK429" s="114" t="str">
        <f>S429</f>
        <v>-</v>
      </c>
      <c r="CL429" s="114">
        <f>W429</f>
        <v>257</v>
      </c>
      <c r="CM429" s="114" t="str">
        <f>AA429</f>
        <v>-</v>
      </c>
      <c r="CN429" s="114">
        <f>AE429</f>
        <v>292</v>
      </c>
      <c r="CO429" s="114">
        <f>AI429</f>
        <v>298</v>
      </c>
      <c r="CP429" s="114">
        <f>AM429</f>
        <v>335</v>
      </c>
      <c r="CQ429" s="114">
        <f>AQ429</f>
        <v>372</v>
      </c>
      <c r="CR429" s="114">
        <f>AU429</f>
        <v>403</v>
      </c>
      <c r="CS429" s="114">
        <f>AY429</f>
        <v>429</v>
      </c>
      <c r="CT429" s="109">
        <f>M429-K429</f>
        <v>1</v>
      </c>
    </row>
    <row r="430" spans="1:1029" s="12" customFormat="1" x14ac:dyDescent="0.2">
      <c r="A430" s="9" t="str">
        <f>CONCATENATE(B430,"_",C430)</f>
        <v>pacr_human_6P9Y</v>
      </c>
      <c r="B430" s="9" t="s">
        <v>407</v>
      </c>
      <c r="C430" s="9" t="s">
        <v>1639</v>
      </c>
      <c r="D430" s="9" t="str">
        <f>IFERROR(MID(VLOOKUP($B430,Seqs!$A:$B,2,0),E430,1),"")</f>
        <v>Y</v>
      </c>
      <c r="E430" s="9">
        <v>149</v>
      </c>
      <c r="F430" s="9" t="str">
        <f>IFERROR(MID(VLOOKUP($B430,Seqs!$A:$B,2,0),G430,1),"")</f>
        <v>F</v>
      </c>
      <c r="G430" s="9">
        <v>178</v>
      </c>
      <c r="H430" s="9" t="str">
        <f>IFERROR(MID(VLOOKUP($B430,Seqs!$A:$B,2,0),I430,1),"")</f>
        <v/>
      </c>
      <c r="I430" s="109" t="s">
        <v>23</v>
      </c>
      <c r="J430" s="9" t="str">
        <f>IFERROR(MID(VLOOKUP($B430,Seqs!$A:$B,2,0),K430,1),"")</f>
        <v/>
      </c>
      <c r="K430" s="109" t="s">
        <v>23</v>
      </c>
      <c r="L430" s="9" t="str">
        <f>IFERROR(MID(VLOOKUP($B430,Seqs!$A:$B,2,0),M430,1),"")</f>
        <v>C</v>
      </c>
      <c r="M430" s="109">
        <v>183</v>
      </c>
      <c r="N430" s="9" t="str">
        <f>IFERROR(MID(VLOOKUP($B430,Seqs!$A:$B,2,0),O430,1),"")</f>
        <v>Y</v>
      </c>
      <c r="O430" s="9">
        <v>211</v>
      </c>
      <c r="P430" s="9" t="str">
        <f>IFERROR(MID(VLOOKUP($B430,Seqs!$A:$B,2,0),Q430,1),"")</f>
        <v/>
      </c>
      <c r="Q430" s="9" t="s">
        <v>23</v>
      </c>
      <c r="R430" s="9" t="str">
        <f>IFERROR(MID(VLOOKUP($B430,Seqs!$A:$B,2,0),S430,1),"")</f>
        <v/>
      </c>
      <c r="S430" s="9" t="s">
        <v>23</v>
      </c>
      <c r="T430" s="9" t="str">
        <f>IFERROR(MID(VLOOKUP($B430,Seqs!$A:$B,2,0),U430,1),"")</f>
        <v>T</v>
      </c>
      <c r="U430" s="9">
        <v>223</v>
      </c>
      <c r="V430" s="9" t="str">
        <f>IFERROR(MID(VLOOKUP($B430,Seqs!$A:$B,2,0),W430,1),"")</f>
        <v>V</v>
      </c>
      <c r="W430" s="9">
        <v>256</v>
      </c>
      <c r="X430" s="9" t="str">
        <f>IFERROR(MID(VLOOKUP($B430,Seqs!$A:$B,2,0),Y430,1),"")</f>
        <v/>
      </c>
      <c r="Y430" s="9" t="s">
        <v>23</v>
      </c>
      <c r="Z430" s="9" t="str">
        <f>IFERROR(MID(VLOOKUP($B430,Seqs!$A:$B,2,0),AA430,1),"")</f>
        <v/>
      </c>
      <c r="AA430" s="9" t="s">
        <v>23</v>
      </c>
      <c r="AB430" s="9" t="str">
        <f>IFERROR(MID(VLOOKUP($B430,Seqs!$A:$B,2,0),AC430,1),"")</f>
        <v>R</v>
      </c>
      <c r="AC430" s="9">
        <v>264</v>
      </c>
      <c r="AD430" s="9" t="str">
        <f>IFERROR(MID(VLOOKUP($B430,Seqs!$A:$B,2,0),AE430,1),"")</f>
        <v>F</v>
      </c>
      <c r="AE430" s="9">
        <v>291</v>
      </c>
      <c r="AF430" s="9" t="str">
        <f>IFERROR(MID(VLOOKUP($B430,Seqs!$A:$B,2,0),AG430,1),"")</f>
        <v>C</v>
      </c>
      <c r="AG430" s="9">
        <v>296</v>
      </c>
      <c r="AH430" s="9" t="str">
        <f>IFERROR(MID(VLOOKUP($B430,Seqs!$A:$B,2,0),AI430,1),"")</f>
        <v>D</v>
      </c>
      <c r="AI430" s="9">
        <v>298</v>
      </c>
      <c r="AJ430" s="9" t="str">
        <f>IFERROR(MID(VLOOKUP($B430,Seqs!$A:$B,2,0),AK430,1),"")</f>
        <v>S</v>
      </c>
      <c r="AK430" s="9">
        <v>302</v>
      </c>
      <c r="AL430" s="9" t="str">
        <f>IFERROR(MID(VLOOKUP($B430,Seqs!$A:$B,2,0),AM430,1),"")</f>
        <v>S</v>
      </c>
      <c r="AM430" s="9">
        <v>337</v>
      </c>
      <c r="AN430" s="9" t="str">
        <f>IFERROR(MID(VLOOKUP($B430,Seqs!$A:$B,2,0),AO430,1),"")</f>
        <v>S</v>
      </c>
      <c r="AO430" s="9">
        <v>346</v>
      </c>
      <c r="AP430" s="9" t="str">
        <f>IFERROR(MID(VLOOKUP($B430,Seqs!$A:$B,2,0),AQ430,1),"")</f>
        <v>A</v>
      </c>
      <c r="AQ430" s="9">
        <v>370</v>
      </c>
      <c r="AR430" s="9" t="str">
        <f>IFERROR(MID(VLOOKUP($B430,Seqs!$A:$B,2,0),AS430,1),"")</f>
        <v>K</v>
      </c>
      <c r="AS430" s="9">
        <v>378</v>
      </c>
      <c r="AT430" s="9" t="str">
        <f>IFERROR(MID(VLOOKUP($B430,Seqs!$A:$B,2,0),AU430,1),"")</f>
        <v>L</v>
      </c>
      <c r="AU430" s="9">
        <v>403</v>
      </c>
      <c r="AV430" s="9" t="str">
        <f>IFERROR(MID(VLOOKUP($B430,Seqs!$A:$B,2,0),AW430,1),"")</f>
        <v>N</v>
      </c>
      <c r="AW430" s="9">
        <v>404</v>
      </c>
      <c r="AX430" s="9" t="str">
        <f>IFERROR(MID(VLOOKUP($B430,Seqs!$A:$B,2,0),AY430,1),"")</f>
        <v>W</v>
      </c>
      <c r="AY430" s="9">
        <v>418</v>
      </c>
      <c r="AZ430" s="110" t="str">
        <f>VLOOKUP(B430,Classification!A:D,2,0)</f>
        <v>B1</v>
      </c>
      <c r="BA430" s="98" t="str">
        <f>VLOOKUP(B430,Classification!A:D,4,0)</f>
        <v>VIPandPACAP</v>
      </c>
      <c r="BB430" s="36" t="b">
        <f t="shared" si="1205"/>
        <v>1</v>
      </c>
      <c r="BC430" s="109">
        <f t="shared" si="1206"/>
        <v>229</v>
      </c>
      <c r="BD430" s="11" t="s">
        <v>1369</v>
      </c>
      <c r="BE430" s="9" t="s">
        <v>1285</v>
      </c>
      <c r="BF430" s="119">
        <v>3.01</v>
      </c>
      <c r="BG430" s="51" t="s">
        <v>1416</v>
      </c>
      <c r="BH430" s="51" t="s">
        <v>1416</v>
      </c>
      <c r="BJ430" s="111" t="s">
        <v>1281</v>
      </c>
      <c r="BK430" s="112" t="s">
        <v>1281</v>
      </c>
      <c r="BL430" s="112" t="s">
        <v>1281</v>
      </c>
      <c r="BM430" s="112" t="s">
        <v>1281</v>
      </c>
      <c r="BN430" s="112" t="s">
        <v>1281</v>
      </c>
      <c r="BO430" s="112" t="s">
        <v>1281</v>
      </c>
      <c r="BP430" s="112" t="s">
        <v>1281</v>
      </c>
      <c r="BQ430" s="112" t="s">
        <v>1281</v>
      </c>
      <c r="BR430" s="112" t="s">
        <v>1281</v>
      </c>
      <c r="BS430" s="112" t="s">
        <v>1281</v>
      </c>
      <c r="BT430" s="112" t="s">
        <v>1281</v>
      </c>
      <c r="BU430" s="112" t="s">
        <v>1281</v>
      </c>
      <c r="BV430" s="111">
        <f>E430</f>
        <v>149</v>
      </c>
      <c r="BW430" s="113" t="str">
        <f>I430</f>
        <v>-</v>
      </c>
      <c r="BX430" s="114">
        <f>M430</f>
        <v>183</v>
      </c>
      <c r="BY430" s="113" t="str">
        <f>Q430</f>
        <v>-</v>
      </c>
      <c r="BZ430" s="114">
        <f>U430</f>
        <v>223</v>
      </c>
      <c r="CA430" s="113" t="str">
        <f>Y430</f>
        <v>-</v>
      </c>
      <c r="CB430" s="114">
        <f>AC430</f>
        <v>264</v>
      </c>
      <c r="CC430" s="113">
        <f>AG430</f>
        <v>296</v>
      </c>
      <c r="CD430" s="114">
        <f>AK430</f>
        <v>302</v>
      </c>
      <c r="CE430" s="113">
        <f>AO430</f>
        <v>346</v>
      </c>
      <c r="CF430" s="114">
        <f>AS430</f>
        <v>378</v>
      </c>
      <c r="CG430" s="113">
        <f>AW430</f>
        <v>404</v>
      </c>
      <c r="CH430" s="111">
        <f>G430</f>
        <v>178</v>
      </c>
      <c r="CI430" s="113" t="str">
        <f>K430</f>
        <v>-</v>
      </c>
      <c r="CJ430" s="114">
        <f>O430</f>
        <v>211</v>
      </c>
      <c r="CK430" s="114" t="str">
        <f>S430</f>
        <v>-</v>
      </c>
      <c r="CL430" s="114">
        <f>W430</f>
        <v>256</v>
      </c>
      <c r="CM430" s="114" t="str">
        <f>AA430</f>
        <v>-</v>
      </c>
      <c r="CN430" s="114">
        <f>AE430</f>
        <v>291</v>
      </c>
      <c r="CO430" s="114">
        <f>AI430</f>
        <v>298</v>
      </c>
      <c r="CP430" s="114">
        <f>AM430</f>
        <v>337</v>
      </c>
      <c r="CQ430" s="114">
        <f>AQ430</f>
        <v>370</v>
      </c>
      <c r="CR430" s="114">
        <f>AU430</f>
        <v>403</v>
      </c>
      <c r="CS430" s="114">
        <f>AY430</f>
        <v>418</v>
      </c>
      <c r="CT430" s="109" t="e">
        <f>M430-K430</f>
        <v>#VALUE!</v>
      </c>
    </row>
    <row r="431" spans="1:1029" s="12" customFormat="1" x14ac:dyDescent="0.2">
      <c r="A431" s="9" t="str">
        <f>CONCATENATE(B431,"_",C431)</f>
        <v>pacr_human_6LPB</v>
      </c>
      <c r="B431" s="9" t="s">
        <v>407</v>
      </c>
      <c r="C431" s="9" t="s">
        <v>1671</v>
      </c>
      <c r="D431" s="9" t="str">
        <f>IFERROR(MID(VLOOKUP($B431,Seqs!$A:$B,2,0),E431,1),"")</f>
        <v>Q</v>
      </c>
      <c r="E431" s="9">
        <v>146</v>
      </c>
      <c r="F431" s="9" t="str">
        <f>IFERROR(MID(VLOOKUP($B431,Seqs!$A:$B,2,0),G431,1),"")</f>
        <v>C</v>
      </c>
      <c r="G431" s="9">
        <v>176</v>
      </c>
      <c r="H431" s="9" t="str">
        <f>IFERROR(MID(VLOOKUP($B431,Seqs!$A:$B,2,0),I431,1),"")</f>
        <v/>
      </c>
      <c r="I431" s="109" t="s">
        <v>23</v>
      </c>
      <c r="J431" s="9" t="str">
        <f>IFERROR(MID(VLOOKUP($B431,Seqs!$A:$B,2,0),K431,1),"")</f>
        <v/>
      </c>
      <c r="K431" s="109" t="s">
        <v>23</v>
      </c>
      <c r="L431" s="9" t="str">
        <f>IFERROR(MID(VLOOKUP($B431,Seqs!$A:$B,2,0),M431,1),"")</f>
        <v>T</v>
      </c>
      <c r="M431" s="109">
        <v>184</v>
      </c>
      <c r="N431" s="9" t="str">
        <f>IFERROR(MID(VLOOKUP($B431,Seqs!$A:$B,2,0),O431,1),"")</f>
        <v>Y</v>
      </c>
      <c r="O431" s="9">
        <v>211</v>
      </c>
      <c r="P431" s="9" t="str">
        <f>IFERROR(MID(VLOOKUP($B431,Seqs!$A:$B,2,0),Q431,1),"")</f>
        <v/>
      </c>
      <c r="Q431" s="9" t="s">
        <v>23</v>
      </c>
      <c r="R431" s="9" t="str">
        <f>IFERROR(MID(VLOOKUP($B431,Seqs!$A:$B,2,0),S431,1),"")</f>
        <v/>
      </c>
      <c r="S431" s="9" t="s">
        <v>23</v>
      </c>
      <c r="T431" s="9" t="str">
        <f>IFERROR(MID(VLOOKUP($B431,Seqs!$A:$B,2,0),U431,1),"")</f>
        <v>T</v>
      </c>
      <c r="U431" s="9">
        <v>223</v>
      </c>
      <c r="V431" s="9" t="str">
        <f>IFERROR(MID(VLOOKUP($B431,Seqs!$A:$B,2,0),W431,1),"")</f>
        <v>E</v>
      </c>
      <c r="W431" s="9">
        <v>257</v>
      </c>
      <c r="X431" s="9" t="str">
        <f>IFERROR(MID(VLOOKUP($B431,Seqs!$A:$B,2,0),Y431,1),"")</f>
        <v/>
      </c>
      <c r="Y431" s="9" t="s">
        <v>23</v>
      </c>
      <c r="Z431" s="9" t="str">
        <f>IFERROR(MID(VLOOKUP($B431,Seqs!$A:$B,2,0),AA431,1),"")</f>
        <v/>
      </c>
      <c r="AA431" s="9" t="s">
        <v>23</v>
      </c>
      <c r="AB431" s="9" t="str">
        <f>IFERROR(MID(VLOOKUP($B431,Seqs!$A:$B,2,0),AC431,1),"")</f>
        <v>E</v>
      </c>
      <c r="AC431" s="9">
        <v>262</v>
      </c>
      <c r="AD431" s="9" t="str">
        <f>IFERROR(MID(VLOOKUP($B431,Seqs!$A:$B,2,0),AE431,1),"")</f>
        <v>Y</v>
      </c>
      <c r="AE431" s="9">
        <v>290</v>
      </c>
      <c r="AF431" s="9" t="str">
        <f>IFERROR(MID(VLOOKUP($B431,Seqs!$A:$B,2,0),AG431,1),"")</f>
        <v>C</v>
      </c>
      <c r="AG431" s="9">
        <v>296</v>
      </c>
      <c r="AH431" s="9" t="str">
        <f>IFERROR(MID(VLOOKUP($B431,Seqs!$A:$B,2,0),AI431,1),"")</f>
        <v>D</v>
      </c>
      <c r="AI431" s="9">
        <v>298</v>
      </c>
      <c r="AJ431" s="9" t="str">
        <f>IFERROR(MID(VLOOKUP($B431,Seqs!$A:$B,2,0),AK431,1),"")</f>
        <v>S</v>
      </c>
      <c r="AK431" s="9">
        <v>302</v>
      </c>
      <c r="AL431" s="9" t="str">
        <f>IFERROR(MID(VLOOKUP($B431,Seqs!$A:$B,2,0),AM431,1),"")</f>
        <v>Q</v>
      </c>
      <c r="AM431" s="9">
        <v>336</v>
      </c>
      <c r="AN431" s="9" t="str">
        <f>IFERROR(MID(VLOOKUP($B431,Seqs!$A:$B,2,0),AO431,1),"")</f>
        <v>I</v>
      </c>
      <c r="AO431" s="9">
        <v>347</v>
      </c>
      <c r="AP431" s="9" t="str">
        <f>IFERROR(MID(VLOOKUP($B431,Seqs!$A:$B,2,0),AQ431,1),"")</f>
        <v>V</v>
      </c>
      <c r="AQ431" s="9">
        <v>368</v>
      </c>
      <c r="AR431" s="9" t="str">
        <f>IFERROR(MID(VLOOKUP($B431,Seqs!$A:$B,2,0),AS431,1),"")</f>
        <v>S</v>
      </c>
      <c r="AS431" s="9">
        <v>377</v>
      </c>
      <c r="AT431" s="9" t="str">
        <f>IFERROR(MID(VLOOKUP($B431,Seqs!$A:$B,2,0),AU431,1),"")</f>
        <v>F</v>
      </c>
      <c r="AU431" s="9">
        <v>402</v>
      </c>
      <c r="AV431" s="9" t="str">
        <f>IFERROR(MID(VLOOKUP($B431,Seqs!$A:$B,2,0),AW431,1),"")</f>
        <v>G</v>
      </c>
      <c r="AW431" s="9">
        <v>405</v>
      </c>
      <c r="AX431" s="9" t="str">
        <f>IFERROR(MID(VLOOKUP($B431,Seqs!$A:$B,2,0),AY431,1),"")</f>
        <v>K</v>
      </c>
      <c r="AY431" s="9">
        <v>414</v>
      </c>
      <c r="AZ431" s="110" t="str">
        <f>VLOOKUP(B431,Classification!A:D,2,0)</f>
        <v>B1</v>
      </c>
      <c r="BA431" s="98" t="str">
        <f>VLOOKUP(B431,Classification!A:D,4,0)</f>
        <v>VIPandPACAP</v>
      </c>
      <c r="BB431" s="36" t="b">
        <f t="shared" ref="BB431" si="1207">AND(E431&lt;G431,OR(G431&lt;I431,I431="-"),OR(I431&lt;K431,I431="-"),OR(K431&lt;M431,K431="-"),M431&lt;O431,OR(O431&lt;Q431,Q431="-"),OR(Q431&lt;S431,Q431="-"),OR(S431&lt;U431,S431="-"),U431&lt;W431,OR(W431&lt;Y431,Y431="-"),OR(Y431&lt;AA431,Y431="-"),OR(AA431&lt;AC431,AA431="-"),AC431&lt;AE431,OR(AE431&lt;AG431,AG431="-"),OR(AG431&lt;AI431,AG431="-"),OR(AI431&lt;AK431,AI431="-"),AK431&lt;AM431,AM431&lt;AO431,AO431&lt;AQ431,AQ431&lt;AS431,AS431&lt;AU431,OR(AU431&lt;AW431,AW431="-"),OR(AW431&lt;AY431,AW431="-"))</f>
        <v>1</v>
      </c>
      <c r="BC431" s="109">
        <f t="shared" ref="BC431" si="1208">_xlfn.AGGREGATE(9,6,CH431:CS431)-_xlfn.AGGREGATE(9,6,BV431:CG431)+12</f>
        <v>222</v>
      </c>
      <c r="BD431" s="11" t="s">
        <v>23</v>
      </c>
      <c r="BE431" s="9" t="s">
        <v>1285</v>
      </c>
      <c r="BF431" s="119">
        <v>3.9</v>
      </c>
      <c r="BG431" s="51" t="s">
        <v>1416</v>
      </c>
      <c r="BH431" s="51" t="s">
        <v>1416</v>
      </c>
      <c r="BJ431" s="111" t="s">
        <v>1281</v>
      </c>
      <c r="BK431" s="112" t="s">
        <v>1281</v>
      </c>
      <c r="BL431" s="112" t="s">
        <v>1281</v>
      </c>
      <c r="BM431" s="112" t="s">
        <v>1281</v>
      </c>
      <c r="BN431" s="112" t="s">
        <v>1281</v>
      </c>
      <c r="BO431" s="112" t="s">
        <v>1281</v>
      </c>
      <c r="BP431" s="112" t="s">
        <v>1281</v>
      </c>
      <c r="BQ431" s="112" t="s">
        <v>1281</v>
      </c>
      <c r="BR431" s="112" t="s">
        <v>1281</v>
      </c>
      <c r="BS431" s="112" t="s">
        <v>1281</v>
      </c>
      <c r="BT431" s="112" t="s">
        <v>1281</v>
      </c>
      <c r="BU431" s="112" t="s">
        <v>1281</v>
      </c>
      <c r="BV431" s="111">
        <f>E431</f>
        <v>146</v>
      </c>
      <c r="BW431" s="113" t="str">
        <f>I431</f>
        <v>-</v>
      </c>
      <c r="BX431" s="114">
        <f>M431</f>
        <v>184</v>
      </c>
      <c r="BY431" s="113" t="str">
        <f>Q431</f>
        <v>-</v>
      </c>
      <c r="BZ431" s="114">
        <f>U431</f>
        <v>223</v>
      </c>
      <c r="CA431" s="113" t="str">
        <f>Y431</f>
        <v>-</v>
      </c>
      <c r="CB431" s="114">
        <f>AC431</f>
        <v>262</v>
      </c>
      <c r="CC431" s="113">
        <f>AG431</f>
        <v>296</v>
      </c>
      <c r="CD431" s="114">
        <f>AK431</f>
        <v>302</v>
      </c>
      <c r="CE431" s="113">
        <f>AO431</f>
        <v>347</v>
      </c>
      <c r="CF431" s="114">
        <f>AS431</f>
        <v>377</v>
      </c>
      <c r="CG431" s="113">
        <f>AW431</f>
        <v>405</v>
      </c>
      <c r="CH431" s="111">
        <f>G431</f>
        <v>176</v>
      </c>
      <c r="CI431" s="113" t="str">
        <f>K431</f>
        <v>-</v>
      </c>
      <c r="CJ431" s="114">
        <f>O431</f>
        <v>211</v>
      </c>
      <c r="CK431" s="114" t="str">
        <f>S431</f>
        <v>-</v>
      </c>
      <c r="CL431" s="114">
        <f>W431</f>
        <v>257</v>
      </c>
      <c r="CM431" s="114" t="str">
        <f>AA431</f>
        <v>-</v>
      </c>
      <c r="CN431" s="114">
        <f>AE431</f>
        <v>290</v>
      </c>
      <c r="CO431" s="114">
        <f>AI431</f>
        <v>298</v>
      </c>
      <c r="CP431" s="114">
        <f>AM431</f>
        <v>336</v>
      </c>
      <c r="CQ431" s="114">
        <f>AQ431</f>
        <v>368</v>
      </c>
      <c r="CR431" s="114">
        <f>AU431</f>
        <v>402</v>
      </c>
      <c r="CS431" s="114">
        <f>AY431</f>
        <v>414</v>
      </c>
      <c r="CT431" s="109" t="e">
        <f>M431-K431</f>
        <v>#VALUE!</v>
      </c>
    </row>
    <row r="432" spans="1:1029" x14ac:dyDescent="0.2">
      <c r="A432" s="3" t="str">
        <f>CONCATENATE(B432,"_",C432)</f>
        <v>pth1r_human__wt</v>
      </c>
      <c r="B432" s="3" t="s">
        <v>408</v>
      </c>
      <c r="C432" s="3" t="s">
        <v>100</v>
      </c>
      <c r="D432" s="3" t="str">
        <f>IFERROR(MID(VLOOKUP($B432,Seqs!$A:$B,2,0),E432,1),"")</f>
        <v>F</v>
      </c>
      <c r="E432" s="105">
        <v>173</v>
      </c>
      <c r="F432" s="3" t="str">
        <f>IFERROR(MID(VLOOKUP($B432,Seqs!$A:$B,2,0),G432,1),"")</f>
        <v>F</v>
      </c>
      <c r="G432" s="3">
        <v>212</v>
      </c>
      <c r="H432" s="3" t="str">
        <f>IFERROR(MID(VLOOKUP($B432,Seqs!$A:$B,2,0),I432,1),"")</f>
        <v>R</v>
      </c>
      <c r="I432" s="23">
        <v>213</v>
      </c>
      <c r="J432" s="3" t="str">
        <f>IFERROR(MID(VLOOKUP($B432,Seqs!$A:$B,2,0),K432,1),"")</f>
        <v>H</v>
      </c>
      <c r="K432" s="23">
        <v>216</v>
      </c>
      <c r="L432" s="3" t="str">
        <f>IFERROR(MID(VLOOKUP($B432,Seqs!$A:$B,2,0),M432,1),"")</f>
        <v>C</v>
      </c>
      <c r="M432" s="23">
        <v>217</v>
      </c>
      <c r="N432" s="3" t="str">
        <f>IFERROR(MID(VLOOKUP($B432,Seqs!$A:$B,2,0),O432,1),"")</f>
        <v>T</v>
      </c>
      <c r="O432" s="3">
        <v>249</v>
      </c>
      <c r="P432" s="3" t="str">
        <f>IFERROR(MID(VLOOKUP($B432,Seqs!$A:$B,2,0),Q432,1),"")</f>
        <v/>
      </c>
      <c r="Q432" s="3" t="s">
        <v>23</v>
      </c>
      <c r="R432" s="3" t="str">
        <f>IFERROR(MID(VLOOKUP($B432,Seqs!$A:$B,2,0),S432,1),"")</f>
        <v/>
      </c>
      <c r="S432" s="3" t="s">
        <v>23</v>
      </c>
      <c r="T432" s="3" t="str">
        <f>IFERROR(MID(VLOOKUP($B432,Seqs!$A:$B,2,0),U432,1),"")</f>
        <v>G</v>
      </c>
      <c r="U432" s="3">
        <v>277</v>
      </c>
      <c r="V432" s="3" t="str">
        <f>IFERROR(MID(VLOOKUP($B432,Seqs!$A:$B,2,0),W432,1),"")</f>
        <v>M</v>
      </c>
      <c r="W432" s="3">
        <v>312</v>
      </c>
      <c r="X432" s="3" t="str">
        <f>IFERROR(MID(VLOOKUP($B432,Seqs!$A:$B,2,0),Y432,1),"")</f>
        <v/>
      </c>
      <c r="Y432" s="3" t="s">
        <v>23</v>
      </c>
      <c r="Z432" s="3" t="str">
        <f>IFERROR(MID(VLOOKUP($B432,Seqs!$A:$B,2,0),AA432,1),"")</f>
        <v/>
      </c>
      <c r="AA432" s="3" t="s">
        <v>23</v>
      </c>
      <c r="AB432" s="3" t="str">
        <f>IFERROR(MID(VLOOKUP($B432,Seqs!$A:$B,2,0),AC432,1),"")</f>
        <v>S</v>
      </c>
      <c r="AC432" s="3">
        <v>316</v>
      </c>
      <c r="AD432" s="3" t="str">
        <f>IFERROR(MID(VLOOKUP($B432,Seqs!$A:$B,2,0),AE432,1),"")</f>
        <v>A</v>
      </c>
      <c r="AE432" s="3">
        <v>347</v>
      </c>
      <c r="AF432" s="3" t="str">
        <f>IFERROR(MID(VLOOKUP($B432,Seqs!$A:$B,2,0),AG432,1),"")</f>
        <v>C</v>
      </c>
      <c r="AG432" s="3">
        <v>351</v>
      </c>
      <c r="AH432" s="3" t="str">
        <f>IFERROR(MID(VLOOKUP($B432,Seqs!$A:$B,2,0),AI432,1),"")</f>
        <v>D</v>
      </c>
      <c r="AI432" s="3">
        <v>353</v>
      </c>
      <c r="AJ432" s="3" t="str">
        <f>IFERROR(MID(VLOOKUP($B432,Seqs!$A:$B,2,0),AK432,1),"")</f>
        <v>G</v>
      </c>
      <c r="AK432" s="105">
        <v>357</v>
      </c>
      <c r="AL432" s="3" t="str">
        <f>IFERROR(MID(VLOOKUP($B432,Seqs!$A:$B,2,0),AM432,1),"")</f>
        <v>L</v>
      </c>
      <c r="AM432" s="3">
        <v>389</v>
      </c>
      <c r="AN432" s="3" t="str">
        <f>IFERROR(MID(VLOOKUP($B432,Seqs!$A:$B,2,0),AO432,1),"")</f>
        <v>D</v>
      </c>
      <c r="AO432" s="3">
        <v>398</v>
      </c>
      <c r="AP432" s="3" t="str">
        <f>IFERROR(MID(VLOOKUP($B432,Seqs!$A:$B,2,0),AQ432,1),"")</f>
        <v>T</v>
      </c>
      <c r="AQ432" s="3">
        <v>427</v>
      </c>
      <c r="AR432" s="3" t="str">
        <f>IFERROR(MID(VLOOKUP($B432,Seqs!$A:$B,2,0),AS432,1),"")</f>
        <v>G</v>
      </c>
      <c r="AS432" s="3">
        <v>434</v>
      </c>
      <c r="AT432" s="3" t="str">
        <f>IFERROR(MID(VLOOKUP($B432,Seqs!$A:$B,2,0),AU432,1),"")</f>
        <v>C</v>
      </c>
      <c r="AU432" s="3">
        <v>462</v>
      </c>
      <c r="AV432" s="3" t="str">
        <f>IFERROR(MID(VLOOKUP($B432,Seqs!$A:$B,2,0),AW432,1),"")</f>
        <v>N</v>
      </c>
      <c r="AW432" s="3">
        <v>463</v>
      </c>
      <c r="AX432" s="3" t="str">
        <f>IFERROR(MID(VLOOKUP($B432,Seqs!$A:$B,2,0),AY432,1),"")</f>
        <v>R</v>
      </c>
      <c r="AY432" s="3">
        <v>488</v>
      </c>
      <c r="AZ432" s="77" t="str">
        <f>VLOOKUP(B432,Classification!A:D,2,0)</f>
        <v>B1</v>
      </c>
      <c r="BA432" s="94" t="str">
        <f>VLOOKUP(B432,Classification!A:D,4,0)</f>
        <v>Parathyroidhormone</v>
      </c>
      <c r="BB432" s="27" t="b">
        <f t="shared" ref="BB432" si="1209">AND(E432&lt;G432,OR(G432&lt;I432,I432="-"),OR(I432&lt;K432,I432="-"),OR(K432&lt;M432,K432="-"),M432&lt;O432,OR(O432&lt;Q432,Q432="-"),OR(Q432&lt;S432,Q432="-"),OR(S432&lt;U432,S432="-"),U432&lt;W432,OR(W432&lt;Y432,Y432="-"),OR(Y432&lt;AA432,Y432="-"),OR(AA432&lt;AC432,AA432="-"),AC432&lt;AE432,OR(AE432&lt;AG432,AG432="-"),OR(AG432&lt;AI432,AG432="-"),OR(AI432&lt;AK432,AI432="-"),AK432&lt;AM432,AM432&lt;AO432,AO432&lt;AQ432,AQ432&lt;AS432,AS432&lt;AU432,OR(AU432&lt;AW432,AW432="-"),OR(AW432&lt;AY432,AW432="-"))</f>
        <v>1</v>
      </c>
      <c r="BC432" s="23">
        <f t="shared" ref="BC432" si="1210">_xlfn.AGGREGATE(9,6,CH432:CS432)-_xlfn.AGGREGATE(9,6,BV432:CG432)+12</f>
        <v>268</v>
      </c>
      <c r="BD432" s="4" t="s">
        <v>23</v>
      </c>
      <c r="BE432" s="3" t="s">
        <v>23</v>
      </c>
      <c r="BF432" s="118" t="s">
        <v>23</v>
      </c>
      <c r="BG432" s="49" t="s">
        <v>23</v>
      </c>
      <c r="BH432" s="49" t="s">
        <v>23</v>
      </c>
      <c r="BI432" s="1"/>
      <c r="BJ432" s="70" t="s">
        <v>1281</v>
      </c>
      <c r="BK432" s="57" t="s">
        <v>1281</v>
      </c>
      <c r="BL432" s="57" t="s">
        <v>1281</v>
      </c>
      <c r="BM432" s="57" t="s">
        <v>1281</v>
      </c>
      <c r="BN432" s="57" t="s">
        <v>1281</v>
      </c>
      <c r="BO432" s="57" t="s">
        <v>1281</v>
      </c>
      <c r="BP432" s="57" t="s">
        <v>1281</v>
      </c>
      <c r="BQ432" s="57" t="s">
        <v>1281</v>
      </c>
      <c r="BR432" s="57" t="s">
        <v>1281</v>
      </c>
      <c r="BS432" s="57" t="s">
        <v>1281</v>
      </c>
      <c r="BT432" s="57" t="s">
        <v>1281</v>
      </c>
      <c r="BU432" s="57" t="s">
        <v>1281</v>
      </c>
      <c r="BV432" s="70">
        <f>E432</f>
        <v>173</v>
      </c>
      <c r="BW432" s="71">
        <f>I432</f>
        <v>213</v>
      </c>
      <c r="BX432" s="72">
        <f>M432</f>
        <v>217</v>
      </c>
      <c r="BY432" s="71" t="str">
        <f>Q432</f>
        <v>-</v>
      </c>
      <c r="BZ432" s="72">
        <f>U432</f>
        <v>277</v>
      </c>
      <c r="CA432" s="71" t="str">
        <f>Y432</f>
        <v>-</v>
      </c>
      <c r="CB432" s="72">
        <f>AC432</f>
        <v>316</v>
      </c>
      <c r="CC432" s="71">
        <f>AG432</f>
        <v>351</v>
      </c>
      <c r="CD432" s="72">
        <f>AK432</f>
        <v>357</v>
      </c>
      <c r="CE432" s="71">
        <f>AO432</f>
        <v>398</v>
      </c>
      <c r="CF432" s="72">
        <f>AS432</f>
        <v>434</v>
      </c>
      <c r="CG432" s="71">
        <f>AW432</f>
        <v>463</v>
      </c>
      <c r="CH432" s="70">
        <f>G432</f>
        <v>212</v>
      </c>
      <c r="CI432" s="71">
        <f>K432</f>
        <v>216</v>
      </c>
      <c r="CJ432" s="72">
        <f>O432</f>
        <v>249</v>
      </c>
      <c r="CK432" s="72" t="str">
        <f>S432</f>
        <v>-</v>
      </c>
      <c r="CL432" s="72">
        <f>W432</f>
        <v>312</v>
      </c>
      <c r="CM432" s="72" t="str">
        <f>AA432</f>
        <v>-</v>
      </c>
      <c r="CN432" s="72">
        <f>AE432</f>
        <v>347</v>
      </c>
      <c r="CO432" s="72">
        <f>AI432</f>
        <v>353</v>
      </c>
      <c r="CP432" s="72">
        <f>AM432</f>
        <v>389</v>
      </c>
      <c r="CQ432" s="72">
        <f>AQ432</f>
        <v>427</v>
      </c>
      <c r="CR432" s="72">
        <f>AU432</f>
        <v>462</v>
      </c>
      <c r="CS432" s="72">
        <f>AY432</f>
        <v>488</v>
      </c>
      <c r="CT432" s="23">
        <f>M432-K432</f>
        <v>1</v>
      </c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  <c r="UW432" s="1"/>
      <c r="UX432" s="1"/>
      <c r="UY432" s="1"/>
      <c r="UZ432" s="1"/>
      <c r="VA432" s="1"/>
      <c r="VB432" s="1"/>
      <c r="VC432" s="1"/>
      <c r="VD432" s="1"/>
      <c r="VE432" s="1"/>
      <c r="VF432" s="1"/>
      <c r="VG432" s="1"/>
      <c r="VH432" s="1"/>
      <c r="VI432" s="1"/>
      <c r="VJ432" s="1"/>
      <c r="VK432" s="1"/>
      <c r="VL432" s="1"/>
      <c r="VM432" s="1"/>
      <c r="VN432" s="1"/>
      <c r="VO432" s="1"/>
      <c r="VP432" s="1"/>
      <c r="VQ432" s="1"/>
      <c r="VR432" s="1"/>
      <c r="VS432" s="1"/>
      <c r="VT432" s="1"/>
      <c r="VU432" s="1"/>
      <c r="VV432" s="1"/>
      <c r="VW432" s="1"/>
      <c r="VX432" s="1"/>
      <c r="VY432" s="1"/>
      <c r="VZ432" s="1"/>
      <c r="WA432" s="1"/>
      <c r="WB432" s="1"/>
      <c r="WC432" s="1"/>
      <c r="WD432" s="1"/>
      <c r="WE432" s="1"/>
      <c r="WF432" s="1"/>
      <c r="WG432" s="1"/>
      <c r="WH432" s="1"/>
      <c r="WI432" s="1"/>
      <c r="WJ432" s="1"/>
      <c r="WK432" s="1"/>
      <c r="WL432" s="1"/>
      <c r="WM432" s="1"/>
      <c r="WN432" s="1"/>
      <c r="WO432" s="1"/>
      <c r="WP432" s="1"/>
      <c r="WQ432" s="1"/>
      <c r="WR432" s="1"/>
      <c r="WS432" s="1"/>
      <c r="WT432" s="1"/>
      <c r="WU432" s="1"/>
      <c r="WV432" s="1"/>
      <c r="WW432" s="1"/>
      <c r="WX432" s="1"/>
      <c r="WY432" s="1"/>
      <c r="WZ432" s="1"/>
      <c r="XA432" s="1"/>
      <c r="XB432" s="1"/>
      <c r="XC432" s="1"/>
      <c r="XD432" s="1"/>
      <c r="XE432" s="1"/>
      <c r="XF432" s="1"/>
      <c r="XG432" s="1"/>
      <c r="XH432" s="1"/>
      <c r="XI432" s="1"/>
      <c r="XJ432" s="1"/>
      <c r="XK432" s="1"/>
      <c r="XL432" s="1"/>
      <c r="XM432" s="1"/>
      <c r="XN432" s="1"/>
      <c r="XO432" s="1"/>
      <c r="XP432" s="1"/>
      <c r="XQ432" s="1"/>
      <c r="XR432" s="1"/>
      <c r="XS432" s="1"/>
      <c r="XT432" s="1"/>
      <c r="XU432" s="1"/>
      <c r="XV432" s="1"/>
      <c r="XW432" s="1"/>
      <c r="XX432" s="1"/>
      <c r="XY432" s="1"/>
      <c r="XZ432" s="1"/>
      <c r="YA432" s="1"/>
      <c r="YB432" s="1"/>
      <c r="YC432" s="1"/>
      <c r="YD432" s="1"/>
      <c r="YE432" s="1"/>
      <c r="YF432" s="1"/>
      <c r="YG432" s="1"/>
      <c r="YH432" s="1"/>
      <c r="YI432" s="1"/>
      <c r="YJ432" s="1"/>
      <c r="YK432" s="1"/>
      <c r="YL432" s="1"/>
      <c r="YM432" s="1"/>
      <c r="YN432" s="1"/>
      <c r="YO432" s="1"/>
      <c r="YP432" s="1"/>
      <c r="YQ432" s="1"/>
      <c r="YR432" s="1"/>
      <c r="YS432" s="1"/>
      <c r="YT432" s="1"/>
      <c r="YU432" s="1"/>
      <c r="YV432" s="1"/>
      <c r="YW432" s="1"/>
      <c r="YX432" s="1"/>
      <c r="YY432" s="1"/>
      <c r="YZ432" s="1"/>
      <c r="ZA432" s="1"/>
      <c r="ZB432" s="1"/>
      <c r="ZC432" s="1"/>
      <c r="ZD432" s="1"/>
      <c r="ZE432" s="1"/>
      <c r="ZF432" s="1"/>
      <c r="ZG432" s="1"/>
      <c r="ZH432" s="1"/>
      <c r="ZI432" s="1"/>
      <c r="ZJ432" s="1"/>
      <c r="ZK432" s="1"/>
      <c r="ZL432" s="1"/>
      <c r="ZM432" s="1"/>
      <c r="ZN432" s="1"/>
      <c r="ZO432" s="1"/>
      <c r="ZP432" s="1"/>
      <c r="ZQ432" s="1"/>
      <c r="ZR432" s="1"/>
      <c r="ZS432" s="1"/>
      <c r="ZT432" s="1"/>
      <c r="ZU432" s="1"/>
      <c r="ZV432" s="1"/>
      <c r="ZW432" s="1"/>
      <c r="ZX432" s="1"/>
      <c r="ZY432" s="1"/>
      <c r="ZZ432" s="1"/>
      <c r="AAA432" s="1"/>
      <c r="AAB432" s="1"/>
      <c r="AAC432" s="1"/>
      <c r="AAD432" s="1"/>
      <c r="AAE432" s="1"/>
      <c r="AAF432" s="1"/>
      <c r="AAG432" s="1"/>
      <c r="AAH432" s="1"/>
      <c r="AAI432" s="1"/>
      <c r="AAJ432" s="1"/>
      <c r="AAK432" s="1"/>
      <c r="AAL432" s="1"/>
      <c r="AAM432" s="1"/>
      <c r="AAN432" s="1"/>
      <c r="AAO432" s="1"/>
      <c r="AAP432" s="1"/>
      <c r="AAQ432" s="1"/>
      <c r="AAR432" s="1"/>
      <c r="AAS432" s="1"/>
      <c r="AAT432" s="1"/>
      <c r="AAU432" s="1"/>
      <c r="AAV432" s="1"/>
      <c r="AAW432" s="1"/>
      <c r="AAX432" s="1"/>
      <c r="AAY432" s="1"/>
      <c r="AAZ432" s="1"/>
      <c r="ABA432" s="1"/>
      <c r="ABB432" s="1"/>
      <c r="ABC432" s="1"/>
      <c r="ABD432" s="1"/>
      <c r="ABE432" s="1"/>
      <c r="ABF432" s="1"/>
      <c r="ABG432" s="1"/>
      <c r="ABH432" s="1"/>
      <c r="ABI432" s="1"/>
      <c r="ABJ432" s="1"/>
      <c r="ABK432" s="1"/>
      <c r="ABL432" s="1"/>
      <c r="ABM432" s="1"/>
      <c r="ABN432" s="1"/>
      <c r="ABO432" s="1"/>
      <c r="ABP432" s="1"/>
      <c r="ABQ432" s="1"/>
      <c r="ABR432" s="1"/>
      <c r="ABS432" s="1"/>
      <c r="ABT432" s="1"/>
      <c r="ABU432" s="1"/>
      <c r="ABV432" s="1"/>
      <c r="ABW432" s="1"/>
      <c r="ABX432" s="1"/>
      <c r="ABY432" s="1"/>
      <c r="ABZ432" s="1"/>
      <c r="ACA432" s="1"/>
      <c r="ACB432" s="1"/>
      <c r="ACC432" s="1"/>
      <c r="ACD432" s="1"/>
      <c r="ACE432" s="1"/>
      <c r="ACF432" s="1"/>
      <c r="ACG432" s="1"/>
      <c r="ACH432" s="1"/>
      <c r="ACI432" s="1"/>
      <c r="ACJ432" s="1"/>
      <c r="ACK432" s="1"/>
      <c r="ACL432" s="1"/>
      <c r="ACM432" s="1"/>
      <c r="ACN432" s="1"/>
      <c r="ACO432" s="1"/>
      <c r="ACP432" s="1"/>
      <c r="ACQ432" s="1"/>
      <c r="ACR432" s="1"/>
      <c r="ACS432" s="1"/>
      <c r="ACT432" s="1"/>
      <c r="ACU432" s="1"/>
      <c r="ACV432" s="1"/>
      <c r="ACW432" s="1"/>
      <c r="ACX432" s="1"/>
      <c r="ACY432" s="1"/>
      <c r="ACZ432" s="1"/>
      <c r="ADA432" s="1"/>
      <c r="ADB432" s="1"/>
      <c r="ADC432" s="1"/>
      <c r="ADD432" s="1"/>
      <c r="ADE432" s="1"/>
      <c r="ADF432" s="1"/>
      <c r="ADG432" s="1"/>
      <c r="ADH432" s="1"/>
      <c r="ADI432" s="1"/>
      <c r="ADJ432" s="1"/>
      <c r="ADK432" s="1"/>
      <c r="ADL432" s="1"/>
      <c r="ADM432" s="1"/>
      <c r="ADN432" s="1"/>
      <c r="ADO432" s="1"/>
      <c r="ADP432" s="1"/>
      <c r="ADQ432" s="1"/>
      <c r="ADR432" s="1"/>
      <c r="ADS432" s="1"/>
      <c r="ADT432" s="1"/>
      <c r="ADU432" s="1"/>
      <c r="ADV432" s="1"/>
      <c r="ADW432" s="1"/>
      <c r="ADX432" s="1"/>
      <c r="ADY432" s="1"/>
      <c r="ADZ432" s="1"/>
      <c r="AEA432" s="1"/>
      <c r="AEB432" s="1"/>
      <c r="AEC432" s="1"/>
      <c r="AED432" s="1"/>
      <c r="AEE432" s="1"/>
      <c r="AEF432" s="1"/>
      <c r="AEG432" s="1"/>
      <c r="AEH432" s="1"/>
      <c r="AEI432" s="1"/>
      <c r="AEJ432" s="1"/>
      <c r="AEK432" s="1"/>
      <c r="AEL432" s="1"/>
      <c r="AEM432" s="1"/>
      <c r="AEN432" s="1"/>
      <c r="AEO432" s="1"/>
      <c r="AEP432" s="1"/>
      <c r="AEQ432" s="1"/>
      <c r="AER432" s="1"/>
      <c r="AES432" s="1"/>
      <c r="AET432" s="1"/>
      <c r="AEU432" s="1"/>
      <c r="AEV432" s="1"/>
      <c r="AEW432" s="1"/>
      <c r="AEX432" s="1"/>
      <c r="AEY432" s="1"/>
      <c r="AEZ432" s="1"/>
      <c r="AFA432" s="1"/>
      <c r="AFB432" s="1"/>
      <c r="AFC432" s="1"/>
      <c r="AFD432" s="1"/>
      <c r="AFE432" s="1"/>
      <c r="AFF432" s="1"/>
      <c r="AFG432" s="1"/>
      <c r="AFH432" s="1"/>
      <c r="AFI432" s="1"/>
      <c r="AFJ432" s="1"/>
      <c r="AFK432" s="1"/>
      <c r="AFL432" s="1"/>
      <c r="AFM432" s="1"/>
      <c r="AFN432" s="1"/>
      <c r="AFO432" s="1"/>
      <c r="AFP432" s="1"/>
      <c r="AFQ432" s="1"/>
      <c r="AFR432" s="1"/>
      <c r="AFS432" s="1"/>
      <c r="AFT432" s="1"/>
      <c r="AFU432" s="1"/>
      <c r="AFV432" s="1"/>
      <c r="AFW432" s="1"/>
      <c r="AFX432" s="1"/>
      <c r="AFY432" s="1"/>
      <c r="AFZ432" s="1"/>
      <c r="AGA432" s="1"/>
      <c r="AGB432" s="1"/>
      <c r="AGC432" s="1"/>
      <c r="AGD432" s="1"/>
      <c r="AGE432" s="1"/>
      <c r="AGF432" s="1"/>
      <c r="AGG432" s="1"/>
      <c r="AGH432" s="1"/>
      <c r="AGI432" s="1"/>
      <c r="AGJ432" s="1"/>
      <c r="AGK432" s="1"/>
      <c r="AGL432" s="1"/>
      <c r="AGM432" s="1"/>
      <c r="AGN432" s="1"/>
      <c r="AGO432" s="1"/>
      <c r="AGP432" s="1"/>
      <c r="AGQ432" s="1"/>
      <c r="AGR432" s="1"/>
      <c r="AGS432" s="1"/>
      <c r="AGT432" s="1"/>
      <c r="AGU432" s="1"/>
      <c r="AGV432" s="1"/>
      <c r="AGW432" s="1"/>
      <c r="AGX432" s="1"/>
      <c r="AGY432" s="1"/>
      <c r="AGZ432" s="1"/>
      <c r="AHA432" s="1"/>
      <c r="AHB432" s="1"/>
      <c r="AHC432" s="1"/>
      <c r="AHD432" s="1"/>
      <c r="AHE432" s="1"/>
      <c r="AHF432" s="1"/>
      <c r="AHG432" s="1"/>
      <c r="AHH432" s="1"/>
      <c r="AHI432" s="1"/>
      <c r="AHJ432" s="1"/>
      <c r="AHK432" s="1"/>
      <c r="AHL432" s="1"/>
      <c r="AHM432" s="1"/>
      <c r="AHN432" s="1"/>
      <c r="AHO432" s="1"/>
      <c r="AHP432" s="1"/>
      <c r="AHQ432" s="1"/>
      <c r="AHR432" s="1"/>
      <c r="AHS432" s="1"/>
      <c r="AHT432" s="1"/>
      <c r="AHU432" s="1"/>
      <c r="AHV432" s="1"/>
      <c r="AHW432" s="1"/>
      <c r="AHX432" s="1"/>
      <c r="AHY432" s="1"/>
      <c r="AHZ432" s="1"/>
      <c r="AIA432" s="1"/>
      <c r="AIB432" s="1"/>
      <c r="AIC432" s="1"/>
      <c r="AID432" s="1"/>
      <c r="AIE432" s="1"/>
      <c r="AIF432" s="1"/>
      <c r="AIG432" s="1"/>
      <c r="AIH432" s="1"/>
      <c r="AII432" s="1"/>
      <c r="AIJ432" s="1"/>
      <c r="AIK432" s="1"/>
      <c r="AIL432" s="1"/>
      <c r="AIM432" s="1"/>
      <c r="AIN432" s="1"/>
      <c r="AIO432" s="1"/>
      <c r="AIP432" s="1"/>
      <c r="AIQ432" s="1"/>
      <c r="AIR432" s="1"/>
      <c r="AIS432" s="1"/>
      <c r="AIT432" s="1"/>
      <c r="AIU432" s="1"/>
      <c r="AIV432" s="1"/>
      <c r="AIW432" s="1"/>
      <c r="AIX432" s="1"/>
      <c r="AIY432" s="1"/>
      <c r="AIZ432" s="1"/>
      <c r="AJA432" s="1"/>
      <c r="AJB432" s="1"/>
      <c r="AJC432" s="1"/>
      <c r="AJD432" s="1"/>
      <c r="AJE432" s="1"/>
      <c r="AJF432" s="1"/>
      <c r="AJG432" s="1"/>
      <c r="AJH432" s="1"/>
      <c r="AJI432" s="1"/>
      <c r="AJJ432" s="1"/>
      <c r="AJK432" s="1"/>
      <c r="AJL432" s="1"/>
      <c r="AJM432" s="1"/>
      <c r="AJN432" s="1"/>
      <c r="AJO432" s="1"/>
      <c r="AJP432" s="1"/>
      <c r="AJQ432" s="1"/>
      <c r="AJR432" s="1"/>
      <c r="AJS432" s="1"/>
      <c r="AJT432" s="1"/>
      <c r="AJU432" s="1"/>
      <c r="AJV432" s="1"/>
      <c r="AJW432" s="1"/>
      <c r="AJX432" s="1"/>
      <c r="AJY432" s="1"/>
      <c r="AJZ432" s="1"/>
      <c r="AKA432" s="1"/>
      <c r="AKB432" s="1"/>
      <c r="AKC432" s="1"/>
      <c r="AKD432" s="1"/>
      <c r="AKE432" s="1"/>
      <c r="AKF432" s="1"/>
      <c r="AKG432" s="1"/>
      <c r="AKH432" s="1"/>
      <c r="AKI432" s="1"/>
      <c r="AKJ432" s="1"/>
      <c r="AKK432" s="1"/>
      <c r="AKL432" s="1"/>
      <c r="AKM432" s="1"/>
      <c r="AKN432" s="1"/>
      <c r="AKO432" s="1"/>
      <c r="AKP432" s="1"/>
      <c r="AKQ432" s="1"/>
      <c r="AKR432" s="1"/>
      <c r="AKS432" s="1"/>
      <c r="AKT432" s="1"/>
      <c r="AKU432" s="1"/>
      <c r="AKV432" s="1"/>
      <c r="AKW432" s="1"/>
      <c r="AKX432" s="1"/>
      <c r="AKY432" s="1"/>
      <c r="AKZ432" s="1"/>
      <c r="ALA432" s="1"/>
      <c r="ALB432" s="1"/>
      <c r="ALC432" s="1"/>
      <c r="ALD432" s="1"/>
      <c r="ALE432" s="1"/>
      <c r="ALF432" s="1"/>
      <c r="ALG432" s="1"/>
      <c r="ALH432" s="1"/>
      <c r="ALI432" s="1"/>
      <c r="ALJ432" s="1"/>
      <c r="ALK432" s="1"/>
      <c r="ALL432" s="1"/>
      <c r="ALM432" s="1"/>
      <c r="ALN432" s="1"/>
      <c r="ALO432" s="1"/>
      <c r="ALP432" s="1"/>
      <c r="ALQ432" s="1"/>
      <c r="ALR432" s="1"/>
      <c r="ALS432" s="1"/>
      <c r="ALT432" s="1"/>
      <c r="ALU432" s="1"/>
      <c r="ALV432" s="1"/>
      <c r="ALW432" s="1"/>
      <c r="ALX432" s="1"/>
      <c r="ALY432" s="1"/>
      <c r="ALZ432" s="1"/>
      <c r="AMA432" s="1"/>
      <c r="AMB432" s="1"/>
      <c r="AMC432" s="1"/>
      <c r="AMD432" s="1"/>
      <c r="AME432" s="1"/>
      <c r="AMF432" s="1"/>
      <c r="AMG432" s="1"/>
      <c r="AMH432" s="1"/>
      <c r="AMI432" s="1"/>
      <c r="AMJ432" s="1"/>
      <c r="AMK432" s="1"/>
      <c r="AML432" s="1"/>
      <c r="AMM432" s="1"/>
      <c r="AMN432" s="1"/>
      <c r="AMO432" s="1"/>
    </row>
    <row r="433" spans="1:1030" x14ac:dyDescent="0.2">
      <c r="A433" s="3" t="str">
        <f>CONCATENATE(B433,"_",C433)</f>
        <v>pth1r_human_6FJ3</v>
      </c>
      <c r="B433" s="3" t="s">
        <v>408</v>
      </c>
      <c r="C433" s="3" t="s">
        <v>1521</v>
      </c>
      <c r="D433" s="3" t="str">
        <f>IFERROR(MID(VLOOKUP($B433,Seqs!$A:$B,2,0),E433,1),"")</f>
        <v>R</v>
      </c>
      <c r="E433" s="3">
        <v>179</v>
      </c>
      <c r="F433" s="3" t="str">
        <f>IFERROR(MID(VLOOKUP($B433,Seqs!$A:$B,2,0),G433,1),"")</f>
        <v>F</v>
      </c>
      <c r="G433" s="3">
        <v>212</v>
      </c>
      <c r="H433" s="3" t="str">
        <f>IFERROR(MID(VLOOKUP($B433,Seqs!$A:$B,2,0),I433,1),"")</f>
        <v>R</v>
      </c>
      <c r="I433" s="23">
        <v>213</v>
      </c>
      <c r="J433" s="3" t="str">
        <f>IFERROR(MID(VLOOKUP($B433,Seqs!$A:$B,2,0),K433,1),"")</f>
        <v>H</v>
      </c>
      <c r="K433" s="23">
        <v>216</v>
      </c>
      <c r="L433" s="3" t="str">
        <f>IFERROR(MID(VLOOKUP($B433,Seqs!$A:$B,2,0),M433,1),"")</f>
        <v>C</v>
      </c>
      <c r="M433" s="23">
        <v>217</v>
      </c>
      <c r="N433" s="3" t="str">
        <f>IFERROR(MID(VLOOKUP($B433,Seqs!$A:$B,2,0),O433,1),"")</f>
        <v>Y</v>
      </c>
      <c r="O433" s="3">
        <v>245</v>
      </c>
      <c r="P433" s="3" t="str">
        <f>IFERROR(MID(VLOOKUP($B433,Seqs!$A:$B,2,0),Q433,1),"")</f>
        <v/>
      </c>
      <c r="Q433" s="3" t="s">
        <v>23</v>
      </c>
      <c r="R433" s="3" t="str">
        <f>IFERROR(MID(VLOOKUP($B433,Seqs!$A:$B,2,0),S433,1),"")</f>
        <v/>
      </c>
      <c r="S433" s="3" t="s">
        <v>23</v>
      </c>
      <c r="T433" s="3" t="str">
        <f>IFERROR(MID(VLOOKUP($B433,Seqs!$A:$B,2,0),U433,1),"")</f>
        <v>Y</v>
      </c>
      <c r="U433" s="3">
        <v>278</v>
      </c>
      <c r="V433" s="3" t="str">
        <f>IFERROR(MID(VLOOKUP($B433,Seqs!$A:$B,2,0),W433,1),"")</f>
        <v>M</v>
      </c>
      <c r="W433" s="3">
        <v>312</v>
      </c>
      <c r="X433" s="3" t="str">
        <f>IFERROR(MID(VLOOKUP($B433,Seqs!$A:$B,2,0),Y433,1),"")</f>
        <v/>
      </c>
      <c r="Y433" s="3" t="s">
        <v>23</v>
      </c>
      <c r="Z433" s="3" t="str">
        <f>IFERROR(MID(VLOOKUP($B433,Seqs!$A:$B,2,0),AA433,1),"")</f>
        <v/>
      </c>
      <c r="AA433" s="3" t="s">
        <v>23</v>
      </c>
      <c r="AB433" s="3" t="str">
        <f>IFERROR(MID(VLOOKUP($B433,Seqs!$A:$B,2,0),AC433,1),"")</f>
        <v>S</v>
      </c>
      <c r="AC433" s="3">
        <v>316</v>
      </c>
      <c r="AD433" s="3" t="str">
        <f>IFERROR(MID(VLOOKUP($B433,Seqs!$A:$B,2,0),AE433,1),"")</f>
        <v>A</v>
      </c>
      <c r="AE433" s="3">
        <v>347</v>
      </c>
      <c r="AF433" s="3" t="str">
        <f>IFERROR(MID(VLOOKUP($B433,Seqs!$A:$B,2,0),AG433,1),"")</f>
        <v>C</v>
      </c>
      <c r="AG433" s="3">
        <v>351</v>
      </c>
      <c r="AH433" s="3" t="str">
        <f>IFERROR(MID(VLOOKUP($B433,Seqs!$A:$B,2,0),AI433,1),"")</f>
        <v>D</v>
      </c>
      <c r="AI433" s="3">
        <v>353</v>
      </c>
      <c r="AJ433" s="3" t="str">
        <f>IFERROR(MID(VLOOKUP($B433,Seqs!$A:$B,2,0),AK433,1),"")</f>
        <v>G</v>
      </c>
      <c r="AK433" s="3">
        <v>357</v>
      </c>
      <c r="AL433" s="3" t="str">
        <f>IFERROR(MID(VLOOKUP($B433,Seqs!$A:$B,2,0),AM433,1),"")</f>
        <v>R</v>
      </c>
      <c r="AM433" s="3">
        <v>383</v>
      </c>
      <c r="AN433" s="3" t="str">
        <f>IFERROR(MID(VLOOKUP($B433,Seqs!$A:$B,2,0),AO433,1),"")</f>
        <v>D</v>
      </c>
      <c r="AO433" s="3">
        <v>398</v>
      </c>
      <c r="AP433" s="3" t="str">
        <f>IFERROR(MID(VLOOKUP($B433,Seqs!$A:$B,2,0),AQ433,1),"")</f>
        <v>T</v>
      </c>
      <c r="AQ433" s="3">
        <v>427</v>
      </c>
      <c r="AR433" s="3" t="str">
        <f>IFERROR(MID(VLOOKUP($B433,Seqs!$A:$B,2,0),AS433,1),"")</f>
        <v>G</v>
      </c>
      <c r="AS433" s="3">
        <v>434</v>
      </c>
      <c r="AT433" s="3" t="str">
        <f>IFERROR(MID(VLOOKUP($B433,Seqs!$A:$B,2,0),AU433,1),"")</f>
        <v>C</v>
      </c>
      <c r="AU433" s="3">
        <v>462</v>
      </c>
      <c r="AV433" s="3" t="str">
        <f>IFERROR(MID(VLOOKUP($B433,Seqs!$A:$B,2,0),AW433,1),"")</f>
        <v>N</v>
      </c>
      <c r="AW433" s="3">
        <v>463</v>
      </c>
      <c r="AX433" s="3" t="str">
        <f>IFERROR(MID(VLOOKUP($B433,Seqs!$A:$B,2,0),AY433,1),"")</f>
        <v>W</v>
      </c>
      <c r="AY433" s="3">
        <v>477</v>
      </c>
      <c r="AZ433" s="77" t="str">
        <f>VLOOKUP(B433,Classification!A:D,2,0)</f>
        <v>B1</v>
      </c>
      <c r="BA433" s="94" t="str">
        <f>VLOOKUP(B433,Classification!A:D,4,0)</f>
        <v>Parathyroidhormone</v>
      </c>
      <c r="BB433" s="27" t="b">
        <f t="shared" ref="BB433" si="1211">AND(E433&lt;G433,OR(G433&lt;I433,I433="-"),OR(I433&lt;K433,I433="-"),OR(K433&lt;M433,K433="-"),M433&lt;O433,OR(O433&lt;Q433,Q433="-"),OR(Q433&lt;S433,Q433="-"),OR(S433&lt;U433,S433="-"),U433&lt;W433,OR(W433&lt;Y433,Y433="-"),OR(Y433&lt;AA433,Y433="-"),OR(AA433&lt;AC433,AA433="-"),AC433&lt;AE433,OR(AE433&lt;AG433,AG433="-"),OR(AG433&lt;AI433,AG433="-"),OR(AI433&lt;AK433,AI433="-"),AK433&lt;AM433,AM433&lt;AO433,AO433&lt;AQ433,AQ433&lt;AS433,AS433&lt;AU433,OR(AU433&lt;AW433,AW433="-"),OR(AW433&lt;AY433,AW433="-"))</f>
        <v>1</v>
      </c>
      <c r="BC433" s="23">
        <f t="shared" ref="BC433" si="1212">_xlfn.AGGREGATE(9,6,CH433:CS433)-_xlfn.AGGREGATE(9,6,BV433:CG433)+12</f>
        <v>240</v>
      </c>
      <c r="BD433" s="4" t="s">
        <v>1370</v>
      </c>
      <c r="BE433" s="3" t="s">
        <v>1368</v>
      </c>
      <c r="BF433" s="118">
        <v>2.5</v>
      </c>
      <c r="BG433" s="49" t="s">
        <v>1</v>
      </c>
      <c r="BH433" s="49" t="s">
        <v>1</v>
      </c>
      <c r="BI433" s="1"/>
      <c r="BJ433" s="70" t="s">
        <v>1281</v>
      </c>
      <c r="BK433" s="57" t="s">
        <v>1281</v>
      </c>
      <c r="BL433" s="57" t="s">
        <v>1281</v>
      </c>
      <c r="BM433" s="57" t="s">
        <v>1281</v>
      </c>
      <c r="BN433" s="57" t="s">
        <v>1281</v>
      </c>
      <c r="BO433" s="57" t="s">
        <v>1281</v>
      </c>
      <c r="BP433" s="57" t="s">
        <v>1281</v>
      </c>
      <c r="BQ433" s="57" t="s">
        <v>1281</v>
      </c>
      <c r="BR433" s="57" t="s">
        <v>1281</v>
      </c>
      <c r="BS433" s="57" t="s">
        <v>1281</v>
      </c>
      <c r="BT433" s="57" t="s">
        <v>1281</v>
      </c>
      <c r="BU433" s="57" t="s">
        <v>1281</v>
      </c>
      <c r="BV433" s="70">
        <f>E433</f>
        <v>179</v>
      </c>
      <c r="BW433" s="71">
        <f>I433</f>
        <v>213</v>
      </c>
      <c r="BX433" s="72">
        <f>M433</f>
        <v>217</v>
      </c>
      <c r="BY433" s="71" t="str">
        <f>Q433</f>
        <v>-</v>
      </c>
      <c r="BZ433" s="72">
        <f>U433</f>
        <v>278</v>
      </c>
      <c r="CA433" s="71" t="str">
        <f>Y433</f>
        <v>-</v>
      </c>
      <c r="CB433" s="72">
        <f>AC433</f>
        <v>316</v>
      </c>
      <c r="CC433" s="71">
        <f>AG433</f>
        <v>351</v>
      </c>
      <c r="CD433" s="72">
        <f>AK433</f>
        <v>357</v>
      </c>
      <c r="CE433" s="71">
        <f>AO433</f>
        <v>398</v>
      </c>
      <c r="CF433" s="72">
        <f>AS433</f>
        <v>434</v>
      </c>
      <c r="CG433" s="71">
        <f>AW433</f>
        <v>463</v>
      </c>
      <c r="CH433" s="70">
        <f>G433</f>
        <v>212</v>
      </c>
      <c r="CI433" s="71">
        <f>K433</f>
        <v>216</v>
      </c>
      <c r="CJ433" s="72">
        <f>O433</f>
        <v>245</v>
      </c>
      <c r="CK433" s="72" t="str">
        <f>S433</f>
        <v>-</v>
      </c>
      <c r="CL433" s="72">
        <f>W433</f>
        <v>312</v>
      </c>
      <c r="CM433" s="72" t="str">
        <f>AA433</f>
        <v>-</v>
      </c>
      <c r="CN433" s="72">
        <f>AE433</f>
        <v>347</v>
      </c>
      <c r="CO433" s="72">
        <f>AI433</f>
        <v>353</v>
      </c>
      <c r="CP433" s="72">
        <f>AM433</f>
        <v>383</v>
      </c>
      <c r="CQ433" s="72">
        <f>AQ433</f>
        <v>427</v>
      </c>
      <c r="CR433" s="72">
        <f>AU433</f>
        <v>462</v>
      </c>
      <c r="CS433" s="72">
        <f>AY433</f>
        <v>477</v>
      </c>
      <c r="CT433" s="23">
        <f>M433-K433</f>
        <v>1</v>
      </c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  <c r="UX433" s="1"/>
      <c r="UY433" s="1"/>
      <c r="UZ433" s="1"/>
      <c r="VA433" s="1"/>
      <c r="VB433" s="1"/>
      <c r="VC433" s="1"/>
      <c r="VD433" s="1"/>
      <c r="VE433" s="1"/>
      <c r="VF433" s="1"/>
      <c r="VG433" s="1"/>
      <c r="VH433" s="1"/>
      <c r="VI433" s="1"/>
      <c r="VJ433" s="1"/>
      <c r="VK433" s="1"/>
      <c r="VL433" s="1"/>
      <c r="VM433" s="1"/>
      <c r="VN433" s="1"/>
      <c r="VO433" s="1"/>
      <c r="VP433" s="1"/>
      <c r="VQ433" s="1"/>
      <c r="VR433" s="1"/>
      <c r="VS433" s="1"/>
      <c r="VT433" s="1"/>
      <c r="VU433" s="1"/>
      <c r="VV433" s="1"/>
      <c r="VW433" s="1"/>
      <c r="VX433" s="1"/>
      <c r="VY433" s="1"/>
      <c r="VZ433" s="1"/>
      <c r="WA433" s="1"/>
      <c r="WB433" s="1"/>
      <c r="WC433" s="1"/>
      <c r="WD433" s="1"/>
      <c r="WE433" s="1"/>
      <c r="WF433" s="1"/>
      <c r="WG433" s="1"/>
      <c r="WH433" s="1"/>
      <c r="WI433" s="1"/>
      <c r="WJ433" s="1"/>
      <c r="WK433" s="1"/>
      <c r="WL433" s="1"/>
      <c r="WM433" s="1"/>
      <c r="WN433" s="1"/>
      <c r="WO433" s="1"/>
      <c r="WP433" s="1"/>
      <c r="WQ433" s="1"/>
      <c r="WR433" s="1"/>
      <c r="WS433" s="1"/>
      <c r="WT433" s="1"/>
      <c r="WU433" s="1"/>
      <c r="WV433" s="1"/>
      <c r="WW433" s="1"/>
      <c r="WX433" s="1"/>
      <c r="WY433" s="1"/>
      <c r="WZ433" s="1"/>
      <c r="XA433" s="1"/>
      <c r="XB433" s="1"/>
      <c r="XC433" s="1"/>
      <c r="XD433" s="1"/>
      <c r="XE433" s="1"/>
      <c r="XF433" s="1"/>
      <c r="XG433" s="1"/>
      <c r="XH433" s="1"/>
      <c r="XI433" s="1"/>
      <c r="XJ433" s="1"/>
      <c r="XK433" s="1"/>
      <c r="XL433" s="1"/>
      <c r="XM433" s="1"/>
      <c r="XN433" s="1"/>
      <c r="XO433" s="1"/>
      <c r="XP433" s="1"/>
      <c r="XQ433" s="1"/>
      <c r="XR433" s="1"/>
      <c r="XS433" s="1"/>
      <c r="XT433" s="1"/>
      <c r="XU433" s="1"/>
      <c r="XV433" s="1"/>
      <c r="XW433" s="1"/>
      <c r="XX433" s="1"/>
      <c r="XY433" s="1"/>
      <c r="XZ433" s="1"/>
      <c r="YA433" s="1"/>
      <c r="YB433" s="1"/>
      <c r="YC433" s="1"/>
      <c r="YD433" s="1"/>
      <c r="YE433" s="1"/>
      <c r="YF433" s="1"/>
      <c r="YG433" s="1"/>
      <c r="YH433" s="1"/>
      <c r="YI433" s="1"/>
      <c r="YJ433" s="1"/>
      <c r="YK433" s="1"/>
      <c r="YL433" s="1"/>
      <c r="YM433" s="1"/>
      <c r="YN433" s="1"/>
      <c r="YO433" s="1"/>
      <c r="YP433" s="1"/>
      <c r="YQ433" s="1"/>
      <c r="YR433" s="1"/>
      <c r="YS433" s="1"/>
      <c r="YT433" s="1"/>
      <c r="YU433" s="1"/>
      <c r="YV433" s="1"/>
      <c r="YW433" s="1"/>
      <c r="YX433" s="1"/>
      <c r="YY433" s="1"/>
      <c r="YZ433" s="1"/>
      <c r="ZA433" s="1"/>
      <c r="ZB433" s="1"/>
      <c r="ZC433" s="1"/>
      <c r="ZD433" s="1"/>
      <c r="ZE433" s="1"/>
      <c r="ZF433" s="1"/>
      <c r="ZG433" s="1"/>
      <c r="ZH433" s="1"/>
      <c r="ZI433" s="1"/>
      <c r="ZJ433" s="1"/>
      <c r="ZK433" s="1"/>
      <c r="ZL433" s="1"/>
      <c r="ZM433" s="1"/>
      <c r="ZN433" s="1"/>
      <c r="ZO433" s="1"/>
      <c r="ZP433" s="1"/>
      <c r="ZQ433" s="1"/>
      <c r="ZR433" s="1"/>
      <c r="ZS433" s="1"/>
      <c r="ZT433" s="1"/>
      <c r="ZU433" s="1"/>
      <c r="ZV433" s="1"/>
      <c r="ZW433" s="1"/>
      <c r="ZX433" s="1"/>
      <c r="ZY433" s="1"/>
      <c r="ZZ433" s="1"/>
      <c r="AAA433" s="1"/>
      <c r="AAB433" s="1"/>
      <c r="AAC433" s="1"/>
      <c r="AAD433" s="1"/>
      <c r="AAE433" s="1"/>
      <c r="AAF433" s="1"/>
      <c r="AAG433" s="1"/>
      <c r="AAH433" s="1"/>
      <c r="AAI433" s="1"/>
      <c r="AAJ433" s="1"/>
      <c r="AAK433" s="1"/>
      <c r="AAL433" s="1"/>
      <c r="AAM433" s="1"/>
      <c r="AAN433" s="1"/>
      <c r="AAO433" s="1"/>
      <c r="AAP433" s="1"/>
      <c r="AAQ433" s="1"/>
      <c r="AAR433" s="1"/>
      <c r="AAS433" s="1"/>
      <c r="AAT433" s="1"/>
      <c r="AAU433" s="1"/>
      <c r="AAV433" s="1"/>
      <c r="AAW433" s="1"/>
      <c r="AAX433" s="1"/>
      <c r="AAY433" s="1"/>
      <c r="AAZ433" s="1"/>
      <c r="ABA433" s="1"/>
      <c r="ABB433" s="1"/>
      <c r="ABC433" s="1"/>
      <c r="ABD433" s="1"/>
      <c r="ABE433" s="1"/>
      <c r="ABF433" s="1"/>
      <c r="ABG433" s="1"/>
      <c r="ABH433" s="1"/>
      <c r="ABI433" s="1"/>
      <c r="ABJ433" s="1"/>
      <c r="ABK433" s="1"/>
      <c r="ABL433" s="1"/>
      <c r="ABM433" s="1"/>
      <c r="ABN433" s="1"/>
      <c r="ABO433" s="1"/>
      <c r="ABP433" s="1"/>
      <c r="ABQ433" s="1"/>
      <c r="ABR433" s="1"/>
      <c r="ABS433" s="1"/>
      <c r="ABT433" s="1"/>
      <c r="ABU433" s="1"/>
      <c r="ABV433" s="1"/>
      <c r="ABW433" s="1"/>
      <c r="ABX433" s="1"/>
      <c r="ABY433" s="1"/>
      <c r="ABZ433" s="1"/>
      <c r="ACA433" s="1"/>
      <c r="ACB433" s="1"/>
      <c r="ACC433" s="1"/>
      <c r="ACD433" s="1"/>
      <c r="ACE433" s="1"/>
      <c r="ACF433" s="1"/>
      <c r="ACG433" s="1"/>
      <c r="ACH433" s="1"/>
      <c r="ACI433" s="1"/>
      <c r="ACJ433" s="1"/>
      <c r="ACK433" s="1"/>
      <c r="ACL433" s="1"/>
      <c r="ACM433" s="1"/>
      <c r="ACN433" s="1"/>
      <c r="ACO433" s="1"/>
      <c r="ACP433" s="1"/>
      <c r="ACQ433" s="1"/>
      <c r="ACR433" s="1"/>
      <c r="ACS433" s="1"/>
      <c r="ACT433" s="1"/>
      <c r="ACU433" s="1"/>
      <c r="ACV433" s="1"/>
      <c r="ACW433" s="1"/>
      <c r="ACX433" s="1"/>
      <c r="ACY433" s="1"/>
      <c r="ACZ433" s="1"/>
      <c r="ADA433" s="1"/>
      <c r="ADB433" s="1"/>
      <c r="ADC433" s="1"/>
      <c r="ADD433" s="1"/>
      <c r="ADE433" s="1"/>
      <c r="ADF433" s="1"/>
      <c r="ADG433" s="1"/>
      <c r="ADH433" s="1"/>
      <c r="ADI433" s="1"/>
      <c r="ADJ433" s="1"/>
      <c r="ADK433" s="1"/>
      <c r="ADL433" s="1"/>
      <c r="ADM433" s="1"/>
      <c r="ADN433" s="1"/>
      <c r="ADO433" s="1"/>
      <c r="ADP433" s="1"/>
      <c r="ADQ433" s="1"/>
      <c r="ADR433" s="1"/>
      <c r="ADS433" s="1"/>
      <c r="ADT433" s="1"/>
      <c r="ADU433" s="1"/>
      <c r="ADV433" s="1"/>
      <c r="ADW433" s="1"/>
      <c r="ADX433" s="1"/>
      <c r="ADY433" s="1"/>
      <c r="ADZ433" s="1"/>
      <c r="AEA433" s="1"/>
      <c r="AEB433" s="1"/>
      <c r="AEC433" s="1"/>
      <c r="AED433" s="1"/>
      <c r="AEE433" s="1"/>
      <c r="AEF433" s="1"/>
      <c r="AEG433" s="1"/>
      <c r="AEH433" s="1"/>
      <c r="AEI433" s="1"/>
      <c r="AEJ433" s="1"/>
      <c r="AEK433" s="1"/>
      <c r="AEL433" s="1"/>
      <c r="AEM433" s="1"/>
      <c r="AEN433" s="1"/>
      <c r="AEO433" s="1"/>
      <c r="AEP433" s="1"/>
      <c r="AEQ433" s="1"/>
      <c r="AER433" s="1"/>
      <c r="AES433" s="1"/>
      <c r="AET433" s="1"/>
      <c r="AEU433" s="1"/>
      <c r="AEV433" s="1"/>
      <c r="AEW433" s="1"/>
      <c r="AEX433" s="1"/>
      <c r="AEY433" s="1"/>
      <c r="AEZ433" s="1"/>
      <c r="AFA433" s="1"/>
      <c r="AFB433" s="1"/>
      <c r="AFC433" s="1"/>
      <c r="AFD433" s="1"/>
      <c r="AFE433" s="1"/>
      <c r="AFF433" s="1"/>
      <c r="AFG433" s="1"/>
      <c r="AFH433" s="1"/>
      <c r="AFI433" s="1"/>
      <c r="AFJ433" s="1"/>
      <c r="AFK433" s="1"/>
      <c r="AFL433" s="1"/>
      <c r="AFM433" s="1"/>
      <c r="AFN433" s="1"/>
      <c r="AFO433" s="1"/>
      <c r="AFP433" s="1"/>
      <c r="AFQ433" s="1"/>
      <c r="AFR433" s="1"/>
      <c r="AFS433" s="1"/>
      <c r="AFT433" s="1"/>
      <c r="AFU433" s="1"/>
      <c r="AFV433" s="1"/>
      <c r="AFW433" s="1"/>
      <c r="AFX433" s="1"/>
      <c r="AFY433" s="1"/>
      <c r="AFZ433" s="1"/>
      <c r="AGA433" s="1"/>
      <c r="AGB433" s="1"/>
      <c r="AGC433" s="1"/>
      <c r="AGD433" s="1"/>
      <c r="AGE433" s="1"/>
      <c r="AGF433" s="1"/>
      <c r="AGG433" s="1"/>
      <c r="AGH433" s="1"/>
      <c r="AGI433" s="1"/>
      <c r="AGJ433" s="1"/>
      <c r="AGK433" s="1"/>
      <c r="AGL433" s="1"/>
      <c r="AGM433" s="1"/>
      <c r="AGN433" s="1"/>
      <c r="AGO433" s="1"/>
      <c r="AGP433" s="1"/>
      <c r="AGQ433" s="1"/>
      <c r="AGR433" s="1"/>
      <c r="AGS433" s="1"/>
      <c r="AGT433" s="1"/>
      <c r="AGU433" s="1"/>
      <c r="AGV433" s="1"/>
      <c r="AGW433" s="1"/>
      <c r="AGX433" s="1"/>
      <c r="AGY433" s="1"/>
      <c r="AGZ433" s="1"/>
      <c r="AHA433" s="1"/>
      <c r="AHB433" s="1"/>
      <c r="AHC433" s="1"/>
      <c r="AHD433" s="1"/>
      <c r="AHE433" s="1"/>
      <c r="AHF433" s="1"/>
      <c r="AHG433" s="1"/>
      <c r="AHH433" s="1"/>
      <c r="AHI433" s="1"/>
      <c r="AHJ433" s="1"/>
      <c r="AHK433" s="1"/>
      <c r="AHL433" s="1"/>
      <c r="AHM433" s="1"/>
      <c r="AHN433" s="1"/>
      <c r="AHO433" s="1"/>
      <c r="AHP433" s="1"/>
      <c r="AHQ433" s="1"/>
      <c r="AHR433" s="1"/>
      <c r="AHS433" s="1"/>
      <c r="AHT433" s="1"/>
      <c r="AHU433" s="1"/>
      <c r="AHV433" s="1"/>
      <c r="AHW433" s="1"/>
      <c r="AHX433" s="1"/>
      <c r="AHY433" s="1"/>
      <c r="AHZ433" s="1"/>
      <c r="AIA433" s="1"/>
      <c r="AIB433" s="1"/>
      <c r="AIC433" s="1"/>
      <c r="AID433" s="1"/>
      <c r="AIE433" s="1"/>
      <c r="AIF433" s="1"/>
      <c r="AIG433" s="1"/>
      <c r="AIH433" s="1"/>
      <c r="AII433" s="1"/>
      <c r="AIJ433" s="1"/>
      <c r="AIK433" s="1"/>
      <c r="AIL433" s="1"/>
      <c r="AIM433" s="1"/>
      <c r="AIN433" s="1"/>
      <c r="AIO433" s="1"/>
      <c r="AIP433" s="1"/>
      <c r="AIQ433" s="1"/>
      <c r="AIR433" s="1"/>
      <c r="AIS433" s="1"/>
      <c r="AIT433" s="1"/>
      <c r="AIU433" s="1"/>
      <c r="AIV433" s="1"/>
      <c r="AIW433" s="1"/>
      <c r="AIX433" s="1"/>
      <c r="AIY433" s="1"/>
      <c r="AIZ433" s="1"/>
      <c r="AJA433" s="1"/>
      <c r="AJB433" s="1"/>
      <c r="AJC433" s="1"/>
      <c r="AJD433" s="1"/>
      <c r="AJE433" s="1"/>
      <c r="AJF433" s="1"/>
      <c r="AJG433" s="1"/>
      <c r="AJH433" s="1"/>
      <c r="AJI433" s="1"/>
      <c r="AJJ433" s="1"/>
      <c r="AJK433" s="1"/>
      <c r="AJL433" s="1"/>
      <c r="AJM433" s="1"/>
      <c r="AJN433" s="1"/>
      <c r="AJO433" s="1"/>
      <c r="AJP433" s="1"/>
      <c r="AJQ433" s="1"/>
      <c r="AJR433" s="1"/>
      <c r="AJS433" s="1"/>
      <c r="AJT433" s="1"/>
      <c r="AJU433" s="1"/>
      <c r="AJV433" s="1"/>
      <c r="AJW433" s="1"/>
      <c r="AJX433" s="1"/>
      <c r="AJY433" s="1"/>
      <c r="AJZ433" s="1"/>
      <c r="AKA433" s="1"/>
      <c r="AKB433" s="1"/>
      <c r="AKC433" s="1"/>
      <c r="AKD433" s="1"/>
      <c r="AKE433" s="1"/>
      <c r="AKF433" s="1"/>
      <c r="AKG433" s="1"/>
      <c r="AKH433" s="1"/>
      <c r="AKI433" s="1"/>
      <c r="AKJ433" s="1"/>
      <c r="AKK433" s="1"/>
      <c r="AKL433" s="1"/>
      <c r="AKM433" s="1"/>
      <c r="AKN433" s="1"/>
      <c r="AKO433" s="1"/>
      <c r="AKP433" s="1"/>
      <c r="AKQ433" s="1"/>
      <c r="AKR433" s="1"/>
      <c r="AKS433" s="1"/>
      <c r="AKT433" s="1"/>
      <c r="AKU433" s="1"/>
      <c r="AKV433" s="1"/>
      <c r="AKW433" s="1"/>
      <c r="AKX433" s="1"/>
      <c r="AKY433" s="1"/>
      <c r="AKZ433" s="1"/>
      <c r="ALA433" s="1"/>
      <c r="ALB433" s="1"/>
      <c r="ALC433" s="1"/>
      <c r="ALD433" s="1"/>
      <c r="ALE433" s="1"/>
      <c r="ALF433" s="1"/>
      <c r="ALG433" s="1"/>
      <c r="ALH433" s="1"/>
      <c r="ALI433" s="1"/>
      <c r="ALJ433" s="1"/>
      <c r="ALK433" s="1"/>
      <c r="ALL433" s="1"/>
      <c r="ALM433" s="1"/>
      <c r="ALN433" s="1"/>
      <c r="ALO433" s="1"/>
      <c r="ALP433" s="1"/>
      <c r="ALQ433" s="1"/>
      <c r="ALR433" s="1"/>
      <c r="ALS433" s="1"/>
      <c r="ALT433" s="1"/>
      <c r="ALU433" s="1"/>
      <c r="ALV433" s="1"/>
      <c r="ALW433" s="1"/>
      <c r="ALX433" s="1"/>
      <c r="ALY433" s="1"/>
      <c r="ALZ433" s="1"/>
      <c r="AMA433" s="1"/>
      <c r="AMB433" s="1"/>
      <c r="AMC433" s="1"/>
      <c r="AMD433" s="1"/>
      <c r="AME433" s="1"/>
      <c r="AMF433" s="1"/>
      <c r="AMG433" s="1"/>
      <c r="AMH433" s="1"/>
      <c r="AMI433" s="1"/>
      <c r="AMJ433" s="1"/>
      <c r="AMK433" s="1"/>
      <c r="AML433" s="1"/>
      <c r="AMM433" s="1"/>
      <c r="AMN433" s="1"/>
      <c r="AMO433" s="1"/>
    </row>
    <row r="434" spans="1:1030" s="12" customFormat="1" x14ac:dyDescent="0.2">
      <c r="A434" s="9" t="str">
        <f>CONCATENATE(B434,"_",C434)</f>
        <v>pth1r_human_6NBF</v>
      </c>
      <c r="B434" s="9" t="s">
        <v>408</v>
      </c>
      <c r="C434" s="9" t="s">
        <v>1567</v>
      </c>
      <c r="D434" s="9" t="str">
        <f>IFERROR(MID(VLOOKUP($B434,Seqs!$A:$B,2,0),E434,1),"")</f>
        <v>T</v>
      </c>
      <c r="E434" s="9">
        <v>178</v>
      </c>
      <c r="F434" s="9" t="str">
        <f>IFERROR(MID(VLOOKUP($B434,Seqs!$A:$B,2,0),G434,1),"")</f>
        <v>F</v>
      </c>
      <c r="G434" s="9">
        <v>212</v>
      </c>
      <c r="H434" s="9" t="str">
        <f>IFERROR(MID(VLOOKUP($B434,Seqs!$A:$B,2,0),I434,1),"")</f>
        <v>R</v>
      </c>
      <c r="I434" s="109">
        <v>213</v>
      </c>
      <c r="J434" s="9" t="str">
        <f>IFERROR(MID(VLOOKUP($B434,Seqs!$A:$B,2,0),K434,1),"")</f>
        <v>H</v>
      </c>
      <c r="K434" s="109">
        <v>216</v>
      </c>
      <c r="L434" s="9" t="str">
        <f>IFERROR(MID(VLOOKUP($B434,Seqs!$A:$B,2,0),M434,1),"")</f>
        <v>C</v>
      </c>
      <c r="M434" s="109">
        <v>217</v>
      </c>
      <c r="N434" s="9" t="str">
        <f>IFERROR(MID(VLOOKUP($B434,Seqs!$A:$B,2,0),O434,1),"")</f>
        <v>S</v>
      </c>
      <c r="O434" s="9">
        <v>246</v>
      </c>
      <c r="P434" s="9" t="str">
        <f>IFERROR(MID(VLOOKUP($B434,Seqs!$A:$B,2,0),Q434,1),"")</f>
        <v/>
      </c>
      <c r="Q434" s="9" t="s">
        <v>23</v>
      </c>
      <c r="R434" s="9" t="str">
        <f>IFERROR(MID(VLOOKUP($B434,Seqs!$A:$B,2,0),S434,1),"")</f>
        <v/>
      </c>
      <c r="S434" s="9" t="s">
        <v>23</v>
      </c>
      <c r="T434" s="9" t="str">
        <f>IFERROR(MID(VLOOKUP($B434,Seqs!$A:$B,2,0),U434,1),"")</f>
        <v>Y</v>
      </c>
      <c r="U434" s="9">
        <v>278</v>
      </c>
      <c r="V434" s="9" t="str">
        <f>IFERROR(MID(VLOOKUP($B434,Seqs!$A:$B,2,0),W434,1),"")</f>
        <v>M</v>
      </c>
      <c r="W434" s="9">
        <v>312</v>
      </c>
      <c r="X434" s="9" t="str">
        <f>IFERROR(MID(VLOOKUP($B434,Seqs!$A:$B,2,0),Y434,1),"")</f>
        <v/>
      </c>
      <c r="Y434" s="9" t="s">
        <v>23</v>
      </c>
      <c r="Z434" s="9" t="str">
        <f>IFERROR(MID(VLOOKUP($B434,Seqs!$A:$B,2,0),AA434,1),"")</f>
        <v/>
      </c>
      <c r="AA434" s="9" t="s">
        <v>23</v>
      </c>
      <c r="AB434" s="9" t="str">
        <f>IFERROR(MID(VLOOKUP($B434,Seqs!$A:$B,2,0),AC434,1),"")</f>
        <v>S</v>
      </c>
      <c r="AC434" s="9">
        <v>316</v>
      </c>
      <c r="AD434" s="9" t="str">
        <f>IFERROR(MID(VLOOKUP($B434,Seqs!$A:$B,2,0),AE434,1),"")</f>
        <v>L</v>
      </c>
      <c r="AE434" s="9">
        <v>346</v>
      </c>
      <c r="AF434" s="9" t="str">
        <f>IFERROR(MID(VLOOKUP($B434,Seqs!$A:$B,2,0),AG434,1),"")</f>
        <v>C</v>
      </c>
      <c r="AG434" s="9">
        <v>351</v>
      </c>
      <c r="AH434" s="9" t="str">
        <f>IFERROR(MID(VLOOKUP($B434,Seqs!$A:$B,2,0),AI434,1),"")</f>
        <v>D</v>
      </c>
      <c r="AI434" s="9">
        <v>353</v>
      </c>
      <c r="AJ434" s="9" t="str">
        <f>IFERROR(MID(VLOOKUP($B434,Seqs!$A:$B,2,0),AK434,1),"")</f>
        <v>G</v>
      </c>
      <c r="AK434" s="9">
        <v>357</v>
      </c>
      <c r="AL434" s="9" t="str">
        <f>IFERROR(MID(VLOOKUP($B434,Seqs!$A:$B,2,0),AM434,1),"")</f>
        <v>N</v>
      </c>
      <c r="AM434" s="9">
        <v>393</v>
      </c>
      <c r="AN434" s="9" t="str">
        <f>IFERROR(MID(VLOOKUP($B434,Seqs!$A:$B,2,0),AO434,1),"")</f>
        <v>T</v>
      </c>
      <c r="AO434" s="9">
        <v>399</v>
      </c>
      <c r="AP434" s="9" t="str">
        <f>IFERROR(MID(VLOOKUP($B434,Seqs!$A:$B,2,0),AQ434,1),"")</f>
        <v>F</v>
      </c>
      <c r="AQ434" s="9">
        <v>424</v>
      </c>
      <c r="AR434" s="9" t="str">
        <f>IFERROR(MID(VLOOKUP($B434,Seqs!$A:$B,2,0),AS434,1),"")</f>
        <v>G</v>
      </c>
      <c r="AS434" s="9">
        <v>434</v>
      </c>
      <c r="AT434" s="9" t="str">
        <f>IFERROR(MID(VLOOKUP($B434,Seqs!$A:$B,2,0),AU434,1),"")</f>
        <v>C</v>
      </c>
      <c r="AU434" s="9">
        <v>462</v>
      </c>
      <c r="AV434" s="9" t="str">
        <f>IFERROR(MID(VLOOKUP($B434,Seqs!$A:$B,2,0),AW434,1),"")</f>
        <v>N</v>
      </c>
      <c r="AW434" s="9">
        <v>463</v>
      </c>
      <c r="AX434" s="9" t="str">
        <f>IFERROR(MID(VLOOKUP($B434,Seqs!$A:$B,2,0),AY434,1),"")</f>
        <v>L</v>
      </c>
      <c r="AY434" s="9">
        <v>481</v>
      </c>
      <c r="AZ434" s="110" t="str">
        <f>VLOOKUP(B434,Classification!A:D,2,0)</f>
        <v>B1</v>
      </c>
      <c r="BA434" s="98" t="str">
        <f>VLOOKUP(B434,Classification!A:D,4,0)</f>
        <v>Parathyroidhormone</v>
      </c>
      <c r="BB434" s="36" t="b">
        <f t="shared" ref="BB434" si="1213">AND(E434&lt;G434,OR(G434&lt;I434,I434="-"),OR(I434&lt;K434,I434="-"),OR(K434&lt;M434,K434="-"),M434&lt;O434,OR(O434&lt;Q434,Q434="-"),OR(Q434&lt;S434,Q434="-"),OR(S434&lt;U434,S434="-"),U434&lt;W434,OR(W434&lt;Y434,Y434="-"),OR(Y434&lt;AA434,Y434="-"),OR(AA434&lt;AC434,AA434="-"),AC434&lt;AE434,OR(AE434&lt;AG434,AG434="-"),OR(AG434&lt;AI434,AG434="-"),OR(AI434&lt;AK434,AI434="-"),AK434&lt;AM434,AM434&lt;AO434,AO434&lt;AQ434,AQ434&lt;AS434,AS434&lt;AU434,OR(AU434&lt;AW434,AW434="-"),OR(AW434&lt;AY434,AW434="-"))</f>
        <v>1</v>
      </c>
      <c r="BC434" s="109">
        <f t="shared" ref="BC434" si="1214">_xlfn.AGGREGATE(9,6,CH434:CS434)-_xlfn.AGGREGATE(9,6,BV434:CG434)+12</f>
        <v>251</v>
      </c>
      <c r="BD434" s="11" t="s">
        <v>23</v>
      </c>
      <c r="BE434" s="9" t="s">
        <v>1285</v>
      </c>
      <c r="BF434" s="119">
        <v>3</v>
      </c>
      <c r="BG434" s="51" t="s">
        <v>1416</v>
      </c>
      <c r="BH434" s="51" t="s">
        <v>1416</v>
      </c>
      <c r="BJ434" s="111" t="s">
        <v>1281</v>
      </c>
      <c r="BK434" s="112" t="s">
        <v>1281</v>
      </c>
      <c r="BL434" s="112" t="s">
        <v>1281</v>
      </c>
      <c r="BM434" s="112" t="s">
        <v>1281</v>
      </c>
      <c r="BN434" s="112" t="s">
        <v>1281</v>
      </c>
      <c r="BO434" s="112" t="s">
        <v>1281</v>
      </c>
      <c r="BP434" s="112" t="s">
        <v>1281</v>
      </c>
      <c r="BQ434" s="112" t="s">
        <v>1281</v>
      </c>
      <c r="BR434" s="112" t="s">
        <v>1281</v>
      </c>
      <c r="BS434" s="112" t="s">
        <v>1281</v>
      </c>
      <c r="BT434" s="112" t="s">
        <v>1281</v>
      </c>
      <c r="BU434" s="112" t="s">
        <v>1281</v>
      </c>
      <c r="BV434" s="111">
        <f>E434</f>
        <v>178</v>
      </c>
      <c r="BW434" s="113">
        <f>I434</f>
        <v>213</v>
      </c>
      <c r="BX434" s="114">
        <f>M434</f>
        <v>217</v>
      </c>
      <c r="BY434" s="113" t="str">
        <f>Q434</f>
        <v>-</v>
      </c>
      <c r="BZ434" s="114">
        <f>U434</f>
        <v>278</v>
      </c>
      <c r="CA434" s="113" t="str">
        <f>Y434</f>
        <v>-</v>
      </c>
      <c r="CB434" s="114">
        <f>AC434</f>
        <v>316</v>
      </c>
      <c r="CC434" s="113">
        <f>AG434</f>
        <v>351</v>
      </c>
      <c r="CD434" s="114">
        <f>AK434</f>
        <v>357</v>
      </c>
      <c r="CE434" s="113">
        <f>AO434</f>
        <v>399</v>
      </c>
      <c r="CF434" s="114">
        <f>AS434</f>
        <v>434</v>
      </c>
      <c r="CG434" s="113">
        <f>AW434</f>
        <v>463</v>
      </c>
      <c r="CH434" s="111">
        <f>G434</f>
        <v>212</v>
      </c>
      <c r="CI434" s="113">
        <f>K434</f>
        <v>216</v>
      </c>
      <c r="CJ434" s="114">
        <f>O434</f>
        <v>246</v>
      </c>
      <c r="CK434" s="114" t="str">
        <f>S434</f>
        <v>-</v>
      </c>
      <c r="CL434" s="114">
        <f>W434</f>
        <v>312</v>
      </c>
      <c r="CM434" s="114" t="str">
        <f>AA434</f>
        <v>-</v>
      </c>
      <c r="CN434" s="114">
        <f>AE434</f>
        <v>346</v>
      </c>
      <c r="CO434" s="114">
        <f>AI434</f>
        <v>353</v>
      </c>
      <c r="CP434" s="114">
        <f>AM434</f>
        <v>393</v>
      </c>
      <c r="CQ434" s="114">
        <f>AQ434</f>
        <v>424</v>
      </c>
      <c r="CR434" s="114">
        <f>AU434</f>
        <v>462</v>
      </c>
      <c r="CS434" s="114">
        <f>AY434</f>
        <v>481</v>
      </c>
      <c r="CT434" s="109">
        <f>M434-K434</f>
        <v>1</v>
      </c>
    </row>
    <row r="435" spans="1:1030" s="12" customFormat="1" x14ac:dyDescent="0.2">
      <c r="A435" s="9" t="str">
        <f>CONCATENATE(B435,"_",C435)</f>
        <v>pth1r_human_6NBH</v>
      </c>
      <c r="B435" s="9" t="s">
        <v>408</v>
      </c>
      <c r="C435" s="9" t="s">
        <v>1568</v>
      </c>
      <c r="D435" s="9" t="str">
        <f>IFERROR(MID(VLOOKUP($B435,Seqs!$A:$B,2,0),E435,1),"")</f>
        <v>T</v>
      </c>
      <c r="E435" s="9">
        <v>178</v>
      </c>
      <c r="F435" s="9" t="str">
        <f>IFERROR(MID(VLOOKUP($B435,Seqs!$A:$B,2,0),G435,1),"")</f>
        <v>F</v>
      </c>
      <c r="G435" s="9">
        <v>212</v>
      </c>
      <c r="H435" s="9" t="str">
        <f>IFERROR(MID(VLOOKUP($B435,Seqs!$A:$B,2,0),I435,1),"")</f>
        <v>R</v>
      </c>
      <c r="I435" s="109">
        <v>213</v>
      </c>
      <c r="J435" s="9" t="str">
        <f>IFERROR(MID(VLOOKUP($B435,Seqs!$A:$B,2,0),K435,1),"")</f>
        <v>H</v>
      </c>
      <c r="K435" s="109">
        <v>216</v>
      </c>
      <c r="L435" s="9" t="str">
        <f>IFERROR(MID(VLOOKUP($B435,Seqs!$A:$B,2,0),M435,1),"")</f>
        <v>C</v>
      </c>
      <c r="M435" s="109">
        <v>217</v>
      </c>
      <c r="N435" s="9" t="str">
        <f>IFERROR(MID(VLOOKUP($B435,Seqs!$A:$B,2,0),O435,1),"")</f>
        <v>L</v>
      </c>
      <c r="O435" s="9">
        <v>250</v>
      </c>
      <c r="P435" s="9" t="str">
        <f>IFERROR(MID(VLOOKUP($B435,Seqs!$A:$B,2,0),Q435,1),"")</f>
        <v/>
      </c>
      <c r="Q435" s="9" t="s">
        <v>23</v>
      </c>
      <c r="R435" s="9" t="str">
        <f>IFERROR(MID(VLOOKUP($B435,Seqs!$A:$B,2,0),S435,1),"")</f>
        <v/>
      </c>
      <c r="S435" s="9" t="s">
        <v>23</v>
      </c>
      <c r="T435" s="9" t="str">
        <f>IFERROR(MID(VLOOKUP($B435,Seqs!$A:$B,2,0),U435,1),"")</f>
        <v>Y</v>
      </c>
      <c r="U435" s="9">
        <v>278</v>
      </c>
      <c r="V435" s="9" t="str">
        <f>IFERROR(MID(VLOOKUP($B435,Seqs!$A:$B,2,0),W435,1),"")</f>
        <v>M</v>
      </c>
      <c r="W435" s="9">
        <v>312</v>
      </c>
      <c r="X435" s="9" t="str">
        <f>IFERROR(MID(VLOOKUP($B435,Seqs!$A:$B,2,0),Y435,1),"")</f>
        <v/>
      </c>
      <c r="Y435" s="9" t="s">
        <v>23</v>
      </c>
      <c r="Z435" s="9" t="str">
        <f>IFERROR(MID(VLOOKUP($B435,Seqs!$A:$B,2,0),AA435,1),"")</f>
        <v/>
      </c>
      <c r="AA435" s="9" t="s">
        <v>23</v>
      </c>
      <c r="AB435" s="9" t="str">
        <f>IFERROR(MID(VLOOKUP($B435,Seqs!$A:$B,2,0),AC435,1),"")</f>
        <v>S</v>
      </c>
      <c r="AC435" s="9">
        <v>316</v>
      </c>
      <c r="AD435" s="9" t="str">
        <f>IFERROR(MID(VLOOKUP($B435,Seqs!$A:$B,2,0),AE435,1),"")</f>
        <v>A</v>
      </c>
      <c r="AE435" s="9">
        <v>347</v>
      </c>
      <c r="AF435" s="9" t="str">
        <f>IFERROR(MID(VLOOKUP($B435,Seqs!$A:$B,2,0),AG435,1),"")</f>
        <v>C</v>
      </c>
      <c r="AG435" s="9">
        <v>351</v>
      </c>
      <c r="AH435" s="9" t="str">
        <f>IFERROR(MID(VLOOKUP($B435,Seqs!$A:$B,2,0),AI435,1),"")</f>
        <v>D</v>
      </c>
      <c r="AI435" s="9">
        <v>353</v>
      </c>
      <c r="AJ435" s="9" t="str">
        <f>IFERROR(MID(VLOOKUP($B435,Seqs!$A:$B,2,0),AK435,1),"")</f>
        <v>G</v>
      </c>
      <c r="AK435" s="9">
        <v>357</v>
      </c>
      <c r="AL435" s="9" t="str">
        <f>IFERROR(MID(VLOOKUP($B435,Seqs!$A:$B,2,0),AM435,1),"")</f>
        <v>T</v>
      </c>
      <c r="AM435" s="9">
        <v>392</v>
      </c>
      <c r="AN435" s="9" t="str">
        <f>IFERROR(MID(VLOOKUP($B435,Seqs!$A:$B,2,0),AO435,1),"")</f>
        <v>T</v>
      </c>
      <c r="AO435" s="9">
        <v>399</v>
      </c>
      <c r="AP435" s="9" t="str">
        <f>IFERROR(MID(VLOOKUP($B435,Seqs!$A:$B,2,0),AQ435,1),"")</f>
        <v>F</v>
      </c>
      <c r="AQ435" s="9">
        <v>424</v>
      </c>
      <c r="AR435" s="9" t="str">
        <f>IFERROR(MID(VLOOKUP($B435,Seqs!$A:$B,2,0),AS435,1),"")</f>
        <v>G</v>
      </c>
      <c r="AS435" s="9">
        <v>434</v>
      </c>
      <c r="AT435" s="9" t="str">
        <f>IFERROR(MID(VLOOKUP($B435,Seqs!$A:$B,2,0),AU435,1),"")</f>
        <v>C</v>
      </c>
      <c r="AU435" s="9">
        <v>462</v>
      </c>
      <c r="AV435" s="9" t="str">
        <f>IFERROR(MID(VLOOKUP($B435,Seqs!$A:$B,2,0),AW435,1),"")</f>
        <v>N</v>
      </c>
      <c r="AW435" s="9">
        <v>463</v>
      </c>
      <c r="AX435" s="9" t="str">
        <f>IFERROR(MID(VLOOKUP($B435,Seqs!$A:$B,2,0),AY435,1),"")</f>
        <v>D</v>
      </c>
      <c r="AY435" s="9">
        <v>482</v>
      </c>
      <c r="AZ435" s="110" t="str">
        <f>VLOOKUP(B435,Classification!A:D,2,0)</f>
        <v>B1</v>
      </c>
      <c r="BA435" s="98" t="str">
        <f>VLOOKUP(B435,Classification!A:D,4,0)</f>
        <v>Parathyroidhormone</v>
      </c>
      <c r="BB435" s="36" t="b">
        <f t="shared" ref="BB435" si="1215">AND(E435&lt;G435,OR(G435&lt;I435,I435="-"),OR(I435&lt;K435,I435="-"),OR(K435&lt;M435,K435="-"),M435&lt;O435,OR(O435&lt;Q435,Q435="-"),OR(Q435&lt;S435,Q435="-"),OR(S435&lt;U435,S435="-"),U435&lt;W435,OR(W435&lt;Y435,Y435="-"),OR(Y435&lt;AA435,Y435="-"),OR(AA435&lt;AC435,AA435="-"),AC435&lt;AE435,OR(AE435&lt;AG435,AG435="-"),OR(AG435&lt;AI435,AG435="-"),OR(AI435&lt;AK435,AI435="-"),AK435&lt;AM435,AM435&lt;AO435,AO435&lt;AQ435,AQ435&lt;AS435,AS435&lt;AU435,OR(AU435&lt;AW435,AW435="-"),OR(AW435&lt;AY435,AW435="-"))</f>
        <v>1</v>
      </c>
      <c r="BC435" s="109">
        <f t="shared" ref="BC435" si="1216">_xlfn.AGGREGATE(9,6,CH435:CS435)-_xlfn.AGGREGATE(9,6,BV435:CG435)+12</f>
        <v>256</v>
      </c>
      <c r="BD435" s="11" t="s">
        <v>23</v>
      </c>
      <c r="BE435" s="9" t="s">
        <v>1285</v>
      </c>
      <c r="BF435" s="119">
        <v>3.5</v>
      </c>
      <c r="BG435" s="51" t="s">
        <v>1416</v>
      </c>
      <c r="BH435" s="51" t="s">
        <v>1416</v>
      </c>
      <c r="BJ435" s="111" t="s">
        <v>1281</v>
      </c>
      <c r="BK435" s="112" t="s">
        <v>1281</v>
      </c>
      <c r="BL435" s="112" t="s">
        <v>1281</v>
      </c>
      <c r="BM435" s="112" t="s">
        <v>1281</v>
      </c>
      <c r="BN435" s="112" t="s">
        <v>1281</v>
      </c>
      <c r="BO435" s="112" t="s">
        <v>1281</v>
      </c>
      <c r="BP435" s="112" t="s">
        <v>1281</v>
      </c>
      <c r="BQ435" s="112" t="s">
        <v>1281</v>
      </c>
      <c r="BR435" s="112" t="s">
        <v>1281</v>
      </c>
      <c r="BS435" s="112" t="s">
        <v>1281</v>
      </c>
      <c r="BT435" s="112" t="s">
        <v>1281</v>
      </c>
      <c r="BU435" s="112" t="s">
        <v>1281</v>
      </c>
      <c r="BV435" s="111">
        <f>E435</f>
        <v>178</v>
      </c>
      <c r="BW435" s="113">
        <f>I435</f>
        <v>213</v>
      </c>
      <c r="BX435" s="114">
        <f>M435</f>
        <v>217</v>
      </c>
      <c r="BY435" s="113" t="str">
        <f>Q435</f>
        <v>-</v>
      </c>
      <c r="BZ435" s="114">
        <f>U435</f>
        <v>278</v>
      </c>
      <c r="CA435" s="113" t="str">
        <f>Y435</f>
        <v>-</v>
      </c>
      <c r="CB435" s="114">
        <f>AC435</f>
        <v>316</v>
      </c>
      <c r="CC435" s="113">
        <f>AG435</f>
        <v>351</v>
      </c>
      <c r="CD435" s="114">
        <f>AK435</f>
        <v>357</v>
      </c>
      <c r="CE435" s="113">
        <f>AO435</f>
        <v>399</v>
      </c>
      <c r="CF435" s="114">
        <f>AS435</f>
        <v>434</v>
      </c>
      <c r="CG435" s="113">
        <f>AW435</f>
        <v>463</v>
      </c>
      <c r="CH435" s="111">
        <f>G435</f>
        <v>212</v>
      </c>
      <c r="CI435" s="113">
        <f>K435</f>
        <v>216</v>
      </c>
      <c r="CJ435" s="114">
        <f>O435</f>
        <v>250</v>
      </c>
      <c r="CK435" s="114" t="str">
        <f>S435</f>
        <v>-</v>
      </c>
      <c r="CL435" s="114">
        <f>W435</f>
        <v>312</v>
      </c>
      <c r="CM435" s="114" t="str">
        <f>AA435</f>
        <v>-</v>
      </c>
      <c r="CN435" s="114">
        <f>AE435</f>
        <v>347</v>
      </c>
      <c r="CO435" s="114">
        <f>AI435</f>
        <v>353</v>
      </c>
      <c r="CP435" s="114">
        <f>AM435</f>
        <v>392</v>
      </c>
      <c r="CQ435" s="114">
        <f>AQ435</f>
        <v>424</v>
      </c>
      <c r="CR435" s="114">
        <f>AU435</f>
        <v>462</v>
      </c>
      <c r="CS435" s="114">
        <f>AY435</f>
        <v>482</v>
      </c>
      <c r="CT435" s="109">
        <f>M435-K435</f>
        <v>1</v>
      </c>
    </row>
    <row r="436" spans="1:1030" s="12" customFormat="1" x14ac:dyDescent="0.2">
      <c r="A436" s="9" t="str">
        <f>CONCATENATE(B436,"_",C436)</f>
        <v>pth1r_human_6NBI</v>
      </c>
      <c r="B436" s="9" t="s">
        <v>408</v>
      </c>
      <c r="C436" s="9" t="s">
        <v>1569</v>
      </c>
      <c r="D436" s="9" t="str">
        <f>IFERROR(MID(VLOOKUP($B436,Seqs!$A:$B,2,0),E436,1),"")</f>
        <v>F</v>
      </c>
      <c r="E436" s="9">
        <v>173</v>
      </c>
      <c r="F436" s="9" t="str">
        <f>IFERROR(MID(VLOOKUP($B436,Seqs!$A:$B,2,0),G436,1),"")</f>
        <v>F</v>
      </c>
      <c r="G436" s="9">
        <v>212</v>
      </c>
      <c r="H436" s="9" t="str">
        <f>IFERROR(MID(VLOOKUP($B436,Seqs!$A:$B,2,0),I436,1),"")</f>
        <v>R</v>
      </c>
      <c r="I436" s="109">
        <v>213</v>
      </c>
      <c r="J436" s="9" t="str">
        <f>IFERROR(MID(VLOOKUP($B436,Seqs!$A:$B,2,0),K436,1),"")</f>
        <v>H</v>
      </c>
      <c r="K436" s="109">
        <v>216</v>
      </c>
      <c r="L436" s="9" t="str">
        <f>IFERROR(MID(VLOOKUP($B436,Seqs!$A:$B,2,0),M436,1),"")</f>
        <v>C</v>
      </c>
      <c r="M436" s="109">
        <v>217</v>
      </c>
      <c r="N436" s="9" t="str">
        <f>IFERROR(MID(VLOOKUP($B436,Seqs!$A:$B,2,0),O436,1),"")</f>
        <v>L</v>
      </c>
      <c r="O436" s="9">
        <v>250</v>
      </c>
      <c r="P436" s="9" t="str">
        <f>IFERROR(MID(VLOOKUP($B436,Seqs!$A:$B,2,0),Q436,1),"")</f>
        <v/>
      </c>
      <c r="Q436" s="9" t="s">
        <v>23</v>
      </c>
      <c r="R436" s="9" t="str">
        <f>IFERROR(MID(VLOOKUP($B436,Seqs!$A:$B,2,0),S436,1),"")</f>
        <v/>
      </c>
      <c r="S436" s="9" t="s">
        <v>23</v>
      </c>
      <c r="T436" s="9" t="str">
        <f>IFERROR(MID(VLOOKUP($B436,Seqs!$A:$B,2,0),U436,1),"")</f>
        <v>T</v>
      </c>
      <c r="U436" s="9">
        <v>273</v>
      </c>
      <c r="V436" s="9" t="str">
        <f>IFERROR(MID(VLOOKUP($B436,Seqs!$A:$B,2,0),W436,1),"")</f>
        <v>F</v>
      </c>
      <c r="W436" s="9">
        <v>311</v>
      </c>
      <c r="X436" s="9" t="str">
        <f>IFERROR(MID(VLOOKUP($B436,Seqs!$A:$B,2,0),Y436,1),"")</f>
        <v/>
      </c>
      <c r="Y436" s="9" t="s">
        <v>23</v>
      </c>
      <c r="Z436" s="9" t="str">
        <f>IFERROR(MID(VLOOKUP($B436,Seqs!$A:$B,2,0),AA436,1),"")</f>
        <v/>
      </c>
      <c r="AA436" s="9" t="s">
        <v>23</v>
      </c>
      <c r="AB436" s="9" t="str">
        <f>IFERROR(MID(VLOOKUP($B436,Seqs!$A:$B,2,0),AC436,1),"")</f>
        <v>S</v>
      </c>
      <c r="AC436" s="9">
        <v>316</v>
      </c>
      <c r="AD436" s="9" t="str">
        <f>IFERROR(MID(VLOOKUP($B436,Seqs!$A:$B,2,0),AE436,1),"")</f>
        <v>A</v>
      </c>
      <c r="AE436" s="9">
        <v>347</v>
      </c>
      <c r="AF436" s="9" t="str">
        <f>IFERROR(MID(VLOOKUP($B436,Seqs!$A:$B,2,0),AG436,1),"")</f>
        <v>C</v>
      </c>
      <c r="AG436" s="9">
        <v>351</v>
      </c>
      <c r="AH436" s="9" t="str">
        <f>IFERROR(MID(VLOOKUP($B436,Seqs!$A:$B,2,0),AI436,1),"")</f>
        <v>D</v>
      </c>
      <c r="AI436" s="9">
        <v>353</v>
      </c>
      <c r="AJ436" s="9" t="str">
        <f>IFERROR(MID(VLOOKUP($B436,Seqs!$A:$B,2,0),AK436,1),"")</f>
        <v>G</v>
      </c>
      <c r="AK436" s="9">
        <v>357</v>
      </c>
      <c r="AL436" s="9" t="str">
        <f>IFERROR(MID(VLOOKUP($B436,Seqs!$A:$B,2,0),AM436,1),"")</f>
        <v>A</v>
      </c>
      <c r="AM436" s="9">
        <v>394</v>
      </c>
      <c r="AN436" s="9" t="str">
        <f>IFERROR(MID(VLOOKUP($B436,Seqs!$A:$B,2,0),AO436,1),"")</f>
        <v>T</v>
      </c>
      <c r="AO436" s="9">
        <v>399</v>
      </c>
      <c r="AP436" s="9" t="str">
        <f>IFERROR(MID(VLOOKUP($B436,Seqs!$A:$B,2,0),AQ436,1),"")</f>
        <v>F</v>
      </c>
      <c r="AQ436" s="9">
        <v>424</v>
      </c>
      <c r="AR436" s="9" t="str">
        <f>IFERROR(MID(VLOOKUP($B436,Seqs!$A:$B,2,0),AS436,1),"")</f>
        <v>G</v>
      </c>
      <c r="AS436" s="9">
        <v>434</v>
      </c>
      <c r="AT436" s="9" t="str">
        <f>IFERROR(MID(VLOOKUP($B436,Seqs!$A:$B,2,0),AU436,1),"")</f>
        <v>C</v>
      </c>
      <c r="AU436" s="9">
        <v>462</v>
      </c>
      <c r="AV436" s="9" t="str">
        <f>IFERROR(MID(VLOOKUP($B436,Seqs!$A:$B,2,0),AW436,1),"")</f>
        <v>N</v>
      </c>
      <c r="AW436" s="9">
        <v>463</v>
      </c>
      <c r="AX436" s="9" t="str">
        <f>IFERROR(MID(VLOOKUP($B436,Seqs!$A:$B,2,0),AY436,1),"")</f>
        <v>D</v>
      </c>
      <c r="AY436" s="9">
        <v>482</v>
      </c>
      <c r="AZ436" s="110" t="str">
        <f>VLOOKUP(B436,Classification!A:D,2,0)</f>
        <v>B1</v>
      </c>
      <c r="BA436" s="98" t="str">
        <f>VLOOKUP(B436,Classification!A:D,4,0)</f>
        <v>Parathyroidhormone</v>
      </c>
      <c r="BB436" s="36" t="b">
        <f t="shared" ref="BB436" si="1217">AND(E436&lt;G436,OR(G436&lt;I436,I436="-"),OR(I436&lt;K436,I436="-"),OR(K436&lt;M436,K436="-"),M436&lt;O436,OR(O436&lt;Q436,Q436="-"),OR(Q436&lt;S436,Q436="-"),OR(S436&lt;U436,S436="-"),U436&lt;W436,OR(W436&lt;Y436,Y436="-"),OR(Y436&lt;AA436,Y436="-"),OR(AA436&lt;AC436,AA436="-"),AC436&lt;AE436,OR(AE436&lt;AG436,AG436="-"),OR(AG436&lt;AI436,AG436="-"),OR(AI436&lt;AK436,AI436="-"),AK436&lt;AM436,AM436&lt;AO436,AO436&lt;AQ436,AQ436&lt;AS436,AS436&lt;AU436,OR(AU436&lt;AW436,AW436="-"),OR(AW436&lt;AY436,AW436="-"))</f>
        <v>1</v>
      </c>
      <c r="BC436" s="109">
        <f t="shared" ref="BC436" si="1218">_xlfn.AGGREGATE(9,6,CH436:CS436)-_xlfn.AGGREGATE(9,6,BV436:CG436)+12</f>
        <v>267</v>
      </c>
      <c r="BD436" s="11" t="s">
        <v>1369</v>
      </c>
      <c r="BE436" s="9" t="s">
        <v>1285</v>
      </c>
      <c r="BF436" s="119">
        <v>4</v>
      </c>
      <c r="BG436" s="51" t="s">
        <v>1416</v>
      </c>
      <c r="BH436" s="51" t="s">
        <v>1416</v>
      </c>
      <c r="BJ436" s="111" t="s">
        <v>1281</v>
      </c>
      <c r="BK436" s="112" t="s">
        <v>1281</v>
      </c>
      <c r="BL436" s="112" t="s">
        <v>1281</v>
      </c>
      <c r="BM436" s="112" t="s">
        <v>1281</v>
      </c>
      <c r="BN436" s="112" t="s">
        <v>1281</v>
      </c>
      <c r="BO436" s="112" t="s">
        <v>1281</v>
      </c>
      <c r="BP436" s="112" t="s">
        <v>1281</v>
      </c>
      <c r="BQ436" s="112" t="s">
        <v>1281</v>
      </c>
      <c r="BR436" s="112" t="s">
        <v>1281</v>
      </c>
      <c r="BS436" s="112" t="s">
        <v>1281</v>
      </c>
      <c r="BT436" s="112" t="s">
        <v>1281</v>
      </c>
      <c r="BU436" s="112" t="s">
        <v>1281</v>
      </c>
      <c r="BV436" s="111">
        <f>E436</f>
        <v>173</v>
      </c>
      <c r="BW436" s="113">
        <f>I436</f>
        <v>213</v>
      </c>
      <c r="BX436" s="114">
        <f>M436</f>
        <v>217</v>
      </c>
      <c r="BY436" s="113" t="str">
        <f>Q436</f>
        <v>-</v>
      </c>
      <c r="BZ436" s="114">
        <f>U436</f>
        <v>273</v>
      </c>
      <c r="CA436" s="113" t="str">
        <f>Y436</f>
        <v>-</v>
      </c>
      <c r="CB436" s="114">
        <f>AC436</f>
        <v>316</v>
      </c>
      <c r="CC436" s="113">
        <f>AG436</f>
        <v>351</v>
      </c>
      <c r="CD436" s="114">
        <f>AK436</f>
        <v>357</v>
      </c>
      <c r="CE436" s="113">
        <f>AO436</f>
        <v>399</v>
      </c>
      <c r="CF436" s="114">
        <f>AS436</f>
        <v>434</v>
      </c>
      <c r="CG436" s="113">
        <f>AW436</f>
        <v>463</v>
      </c>
      <c r="CH436" s="111">
        <f>G436</f>
        <v>212</v>
      </c>
      <c r="CI436" s="113">
        <f>K436</f>
        <v>216</v>
      </c>
      <c r="CJ436" s="114">
        <f>O436</f>
        <v>250</v>
      </c>
      <c r="CK436" s="114" t="str">
        <f>S436</f>
        <v>-</v>
      </c>
      <c r="CL436" s="114">
        <f>W436</f>
        <v>311</v>
      </c>
      <c r="CM436" s="114" t="str">
        <f>AA436</f>
        <v>-</v>
      </c>
      <c r="CN436" s="114">
        <f>AE436</f>
        <v>347</v>
      </c>
      <c r="CO436" s="114">
        <f>AI436</f>
        <v>353</v>
      </c>
      <c r="CP436" s="114">
        <f>AM436</f>
        <v>394</v>
      </c>
      <c r="CQ436" s="114">
        <f>AQ436</f>
        <v>424</v>
      </c>
      <c r="CR436" s="114">
        <f>AU436</f>
        <v>462</v>
      </c>
      <c r="CS436" s="114">
        <f>AY436</f>
        <v>482</v>
      </c>
      <c r="CT436" s="109">
        <f>M436-K436</f>
        <v>1</v>
      </c>
    </row>
    <row r="437" spans="1:1030" x14ac:dyDescent="0.2">
      <c r="A437" s="3" t="str">
        <f>CONCATENATE(B437,"_",C437)</f>
        <v>grm1_human__wt</v>
      </c>
      <c r="B437" s="3" t="s">
        <v>40</v>
      </c>
      <c r="C437" s="3" t="s">
        <v>100</v>
      </c>
      <c r="D437" s="3" t="str">
        <f>IFERROR(MID(VLOOKUP($B437,Seqs!$A:$B,2,0),E437,1),"")</f>
        <v>I</v>
      </c>
      <c r="E437" s="3">
        <v>591</v>
      </c>
      <c r="F437" s="3" t="str">
        <f>IFERROR(MID(VLOOKUP($B437,Seqs!$A:$B,2,0),G437,1),"")</f>
        <v>Y</v>
      </c>
      <c r="G437" s="3">
        <v>617</v>
      </c>
      <c r="H437" s="3" t="str">
        <f>IFERROR(MID(VLOOKUP($B437,Seqs!$A:$B,2,0),I437,1),"")</f>
        <v>T</v>
      </c>
      <c r="I437" s="23">
        <v>620</v>
      </c>
      <c r="J437" s="3" t="str">
        <f>IFERROR(MID(VLOOKUP($B437,Seqs!$A:$B,2,0),K437,1),"")</f>
        <v>S</v>
      </c>
      <c r="K437" s="23">
        <v>626</v>
      </c>
      <c r="L437" s="3" t="str">
        <f>IFERROR(MID(VLOOKUP($B437,Seqs!$A:$B,2,0),M437,1),"")</f>
        <v>S</v>
      </c>
      <c r="M437" s="3">
        <v>627</v>
      </c>
      <c r="N437" s="3" t="str">
        <f>IFERROR(MID(VLOOKUP($B437,Seqs!$A:$B,2,0),O437,1),"")</f>
        <v>I</v>
      </c>
      <c r="O437" s="3">
        <v>649</v>
      </c>
      <c r="P437" s="3" t="str">
        <f>IFERROR(MID(VLOOKUP($B437,Seqs!$A:$B,2,0),Q437,1),"")</f>
        <v/>
      </c>
      <c r="Q437" s="3" t="s">
        <v>23</v>
      </c>
      <c r="R437" s="3" t="str">
        <f>IFERROR(MID(VLOOKUP($B437,Seqs!$A:$B,2,0),S437,1),"")</f>
        <v/>
      </c>
      <c r="S437" s="3" t="s">
        <v>23</v>
      </c>
      <c r="T437" s="3" t="str">
        <f>IFERROR(MID(VLOOKUP($B437,Seqs!$A:$B,2,0),U437,1),"")</f>
        <v>T</v>
      </c>
      <c r="U437" s="3">
        <v>654</v>
      </c>
      <c r="V437" s="3" t="str">
        <f>IFERROR(MID(VLOOKUP($B437,Seqs!$A:$B,2,0),W437,1),"")</f>
        <v>L</v>
      </c>
      <c r="W437" s="3">
        <v>686</v>
      </c>
      <c r="X437" s="3" t="str">
        <f>IFERROR(MID(VLOOKUP($B437,Seqs!$A:$B,2,0),Y437,1),"")</f>
        <v/>
      </c>
      <c r="Y437" s="3" t="s">
        <v>23</v>
      </c>
      <c r="Z437" s="3" t="str">
        <f>IFERROR(MID(VLOOKUP($B437,Seqs!$A:$B,2,0),AA437,1),"")</f>
        <v/>
      </c>
      <c r="AA437" s="3" t="s">
        <v>23</v>
      </c>
      <c r="AB437" s="3" t="str">
        <f>IFERROR(MID(VLOOKUP($B437,Seqs!$A:$B,2,0),AC437,1),"")</f>
        <v>S</v>
      </c>
      <c r="AC437" s="3">
        <v>702</v>
      </c>
      <c r="AD437" s="3" t="str">
        <f>IFERROR(MID(VLOOKUP($B437,Seqs!$A:$B,2,0),AE437,1),"")</f>
        <v>E</v>
      </c>
      <c r="AE437" s="3">
        <v>728</v>
      </c>
      <c r="AF437" s="3" t="str">
        <f>IFERROR(MID(VLOOKUP($B437,Seqs!$A:$B,2,0),AG437,1),"")</f>
        <v>C</v>
      </c>
      <c r="AG437" s="3">
        <v>746</v>
      </c>
      <c r="AH437" s="3" t="str">
        <f>IFERROR(MID(VLOOKUP($B437,Seqs!$A:$B,2,0),AI437,1),"")</f>
        <v>T</v>
      </c>
      <c r="AI437" s="3">
        <v>748</v>
      </c>
      <c r="AJ437" s="3" t="str">
        <f>IFERROR(MID(VLOOKUP($B437,Seqs!$A:$B,2,0),AK437,1),"")</f>
        <v>S</v>
      </c>
      <c r="AK437" s="3">
        <v>749</v>
      </c>
      <c r="AL437" s="3" t="str">
        <f>IFERROR(MID(VLOOKUP($B437,Seqs!$A:$B,2,0),AM437,1),"")</f>
        <v>T</v>
      </c>
      <c r="AM437" s="3">
        <v>774</v>
      </c>
      <c r="AN437" s="3" t="str">
        <f>IFERROR(MID(VLOOKUP($B437,Seqs!$A:$B,2,0),AO437,1),"")</f>
        <v>E</v>
      </c>
      <c r="AO437" s="3">
        <v>783</v>
      </c>
      <c r="AP437" s="3" t="str">
        <f>IFERROR(MID(VLOOKUP($B437,Seqs!$A:$B,2,0),AQ437,1),"")</f>
        <v>G</v>
      </c>
      <c r="AQ437" s="3">
        <v>807</v>
      </c>
      <c r="AR437" s="3" t="str">
        <f>IFERROR(MID(VLOOKUP($B437,Seqs!$A:$B,2,0),AS437,1),"")</f>
        <v>Y</v>
      </c>
      <c r="AS437" s="3">
        <v>810</v>
      </c>
      <c r="AT437" s="3" t="str">
        <f>IFERROR(MID(VLOOKUP($B437,Seqs!$A:$B,2,0),AU437,1),"")</f>
        <v>K</v>
      </c>
      <c r="AU437" s="3">
        <v>841</v>
      </c>
      <c r="AV437" s="3" t="str">
        <f>IFERROR(MID(VLOOKUP($B437,Seqs!$A:$B,2,0),AW437,1),"")</f>
        <v>P</v>
      </c>
      <c r="AW437" s="3">
        <v>842</v>
      </c>
      <c r="AX437" s="3" t="str">
        <f>IFERROR(MID(VLOOKUP($B437,Seqs!$A:$B,2,0),AY437,1),"")</f>
        <v>S</v>
      </c>
      <c r="AY437" s="3">
        <v>853</v>
      </c>
      <c r="AZ437" s="77" t="str">
        <f>VLOOKUP(B437,Classification!A:D,2,0)</f>
        <v>C</v>
      </c>
      <c r="BA437" s="94" t="str">
        <f>VLOOKUP(B437,Classification!A:D,4,0)</f>
        <v>Metabotropicglutamate</v>
      </c>
      <c r="BB437" s="27" t="b">
        <f t="shared" si="1190"/>
        <v>1</v>
      </c>
      <c r="BC437" s="23">
        <f t="shared" si="1187"/>
        <v>217</v>
      </c>
      <c r="BD437" s="56" t="s">
        <v>23</v>
      </c>
      <c r="BE437" s="3" t="s">
        <v>23</v>
      </c>
      <c r="BF437" s="118" t="s">
        <v>23</v>
      </c>
      <c r="BG437" s="49" t="s">
        <v>1366</v>
      </c>
      <c r="BH437" s="49" t="s">
        <v>1371</v>
      </c>
      <c r="BI437" s="3" t="s">
        <v>1157</v>
      </c>
      <c r="BJ437" s="70" t="s">
        <v>1281</v>
      </c>
      <c r="BK437" s="57" t="s">
        <v>1281</v>
      </c>
      <c r="BL437" s="57" t="s">
        <v>1281</v>
      </c>
      <c r="BM437" s="57" t="s">
        <v>1281</v>
      </c>
      <c r="BN437" s="57" t="s">
        <v>1281</v>
      </c>
      <c r="BO437" s="57" t="s">
        <v>1281</v>
      </c>
      <c r="BP437" s="57" t="s">
        <v>1281</v>
      </c>
      <c r="BQ437" s="57" t="s">
        <v>1281</v>
      </c>
      <c r="BR437" s="57" t="s">
        <v>1281</v>
      </c>
      <c r="BS437" s="57" t="s">
        <v>1281</v>
      </c>
      <c r="BT437" s="57" t="s">
        <v>1281</v>
      </c>
      <c r="BU437" s="57" t="s">
        <v>1281</v>
      </c>
      <c r="BV437" s="70">
        <f>E437</f>
        <v>591</v>
      </c>
      <c r="BW437" s="71">
        <f>I437</f>
        <v>620</v>
      </c>
      <c r="BX437" s="72">
        <f>M437</f>
        <v>627</v>
      </c>
      <c r="BY437" s="71" t="str">
        <f>Q437</f>
        <v>-</v>
      </c>
      <c r="BZ437" s="72">
        <f>U437</f>
        <v>654</v>
      </c>
      <c r="CA437" s="71" t="str">
        <f>Y437</f>
        <v>-</v>
      </c>
      <c r="CB437" s="72">
        <f>AC437</f>
        <v>702</v>
      </c>
      <c r="CC437" s="71">
        <f>AG437</f>
        <v>746</v>
      </c>
      <c r="CD437" s="72">
        <f>AK437</f>
        <v>749</v>
      </c>
      <c r="CE437" s="71">
        <f>AO437</f>
        <v>783</v>
      </c>
      <c r="CF437" s="72">
        <f>AS437</f>
        <v>810</v>
      </c>
      <c r="CG437" s="71">
        <f>AW437</f>
        <v>842</v>
      </c>
      <c r="CH437" s="70">
        <f>G437</f>
        <v>617</v>
      </c>
      <c r="CI437" s="71">
        <f>K437</f>
        <v>626</v>
      </c>
      <c r="CJ437" s="72">
        <f>O437</f>
        <v>649</v>
      </c>
      <c r="CK437" s="72" t="str">
        <f>S437</f>
        <v>-</v>
      </c>
      <c r="CL437" s="72">
        <f>W437</f>
        <v>686</v>
      </c>
      <c r="CM437" s="72" t="str">
        <f>AA437</f>
        <v>-</v>
      </c>
      <c r="CN437" s="72">
        <f>AE437</f>
        <v>728</v>
      </c>
      <c r="CO437" s="72">
        <f>AI437</f>
        <v>748</v>
      </c>
      <c r="CP437" s="72">
        <f>AM437</f>
        <v>774</v>
      </c>
      <c r="CQ437" s="72">
        <f>AQ437</f>
        <v>807</v>
      </c>
      <c r="CR437" s="72">
        <f>AU437</f>
        <v>841</v>
      </c>
      <c r="CS437" s="72">
        <f>AY437</f>
        <v>853</v>
      </c>
      <c r="CT437" s="23">
        <f>M437-K437</f>
        <v>1</v>
      </c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  <c r="RA437" s="1"/>
      <c r="RB437" s="1"/>
      <c r="RC437" s="1"/>
      <c r="RD437" s="1"/>
      <c r="RE437" s="1"/>
      <c r="RF437" s="1"/>
      <c r="RG437" s="1"/>
      <c r="RH437" s="1"/>
      <c r="RI437" s="1"/>
      <c r="RJ437" s="1"/>
      <c r="RK437" s="1"/>
      <c r="RL437" s="1"/>
      <c r="RM437" s="1"/>
      <c r="RN437" s="1"/>
      <c r="RO437" s="1"/>
      <c r="RP437" s="1"/>
      <c r="RQ437" s="1"/>
      <c r="RR437" s="1"/>
      <c r="RS437" s="1"/>
      <c r="RT437" s="1"/>
      <c r="RU437" s="1"/>
      <c r="RV437" s="1"/>
      <c r="RW437" s="1"/>
      <c r="RX437" s="1"/>
      <c r="RY437" s="1"/>
      <c r="RZ437" s="1"/>
      <c r="SA437" s="1"/>
      <c r="SB437" s="1"/>
      <c r="SC437" s="1"/>
      <c r="SD437" s="1"/>
      <c r="SE437" s="1"/>
      <c r="SF437" s="1"/>
      <c r="SG437" s="1"/>
      <c r="SH437" s="1"/>
      <c r="SI437" s="1"/>
      <c r="SJ437" s="1"/>
      <c r="SK437" s="1"/>
      <c r="SL437" s="1"/>
      <c r="SM437" s="1"/>
      <c r="SN437" s="1"/>
      <c r="SO437" s="1"/>
      <c r="SP437" s="1"/>
      <c r="SQ437" s="1"/>
      <c r="SR437" s="1"/>
      <c r="SS437" s="1"/>
      <c r="ST437" s="1"/>
      <c r="SU437" s="1"/>
      <c r="SV437" s="1"/>
      <c r="SW437" s="1"/>
      <c r="SX437" s="1"/>
      <c r="SY437" s="1"/>
      <c r="SZ437" s="1"/>
      <c r="TA437" s="1"/>
      <c r="TB437" s="1"/>
      <c r="TC437" s="1"/>
      <c r="TD437" s="1"/>
      <c r="TE437" s="1"/>
      <c r="TF437" s="1"/>
      <c r="TG437" s="1"/>
      <c r="TH437" s="1"/>
      <c r="TI437" s="1"/>
      <c r="TJ437" s="1"/>
      <c r="TK437" s="1"/>
      <c r="TL437" s="1"/>
      <c r="TM437" s="1"/>
      <c r="TN437" s="1"/>
      <c r="TO437" s="1"/>
      <c r="TP437" s="1"/>
      <c r="TQ437" s="1"/>
      <c r="TR437" s="1"/>
      <c r="TS437" s="1"/>
      <c r="TT437" s="1"/>
      <c r="TU437" s="1"/>
      <c r="TV437" s="1"/>
      <c r="TW437" s="1"/>
      <c r="TX437" s="1"/>
      <c r="TY437" s="1"/>
      <c r="TZ437" s="1"/>
      <c r="UA437" s="1"/>
      <c r="UB437" s="1"/>
      <c r="UC437" s="1"/>
      <c r="UD437" s="1"/>
      <c r="UE437" s="1"/>
      <c r="UF437" s="1"/>
      <c r="UG437" s="1"/>
      <c r="UH437" s="1"/>
      <c r="UI437" s="1"/>
      <c r="UJ437" s="1"/>
      <c r="UK437" s="1"/>
      <c r="UL437" s="1"/>
      <c r="UM437" s="1"/>
      <c r="UN437" s="1"/>
      <c r="UO437" s="1"/>
      <c r="UP437" s="1"/>
      <c r="UQ437" s="1"/>
      <c r="UR437" s="1"/>
      <c r="US437" s="1"/>
      <c r="UT437" s="1"/>
      <c r="UU437" s="1"/>
      <c r="UV437" s="1"/>
      <c r="UW437" s="1"/>
      <c r="UX437" s="1"/>
      <c r="UY437" s="1"/>
      <c r="UZ437" s="1"/>
      <c r="VA437" s="1"/>
      <c r="VB437" s="1"/>
      <c r="VC437" s="1"/>
      <c r="VD437" s="1"/>
      <c r="VE437" s="1"/>
      <c r="VF437" s="1"/>
      <c r="VG437" s="1"/>
      <c r="VH437" s="1"/>
      <c r="VI437" s="1"/>
      <c r="VJ437" s="1"/>
      <c r="VK437" s="1"/>
      <c r="VL437" s="1"/>
      <c r="VM437" s="1"/>
      <c r="VN437" s="1"/>
      <c r="VO437" s="1"/>
      <c r="VP437" s="1"/>
      <c r="VQ437" s="1"/>
      <c r="VR437" s="1"/>
      <c r="VS437" s="1"/>
      <c r="VT437" s="1"/>
      <c r="VU437" s="1"/>
      <c r="VV437" s="1"/>
      <c r="VW437" s="1"/>
      <c r="VX437" s="1"/>
      <c r="VY437" s="1"/>
      <c r="VZ437" s="1"/>
      <c r="WA437" s="1"/>
      <c r="WB437" s="1"/>
      <c r="WC437" s="1"/>
      <c r="WD437" s="1"/>
      <c r="WE437" s="1"/>
      <c r="WF437" s="1"/>
      <c r="WG437" s="1"/>
      <c r="WH437" s="1"/>
      <c r="WI437" s="1"/>
      <c r="WJ437" s="1"/>
      <c r="WK437" s="1"/>
      <c r="WL437" s="1"/>
      <c r="WM437" s="1"/>
      <c r="WN437" s="1"/>
      <c r="WO437" s="1"/>
      <c r="WP437" s="1"/>
      <c r="WQ437" s="1"/>
      <c r="WR437" s="1"/>
      <c r="WS437" s="1"/>
      <c r="WT437" s="1"/>
      <c r="WU437" s="1"/>
      <c r="WV437" s="1"/>
      <c r="WW437" s="1"/>
      <c r="WX437" s="1"/>
      <c r="WY437" s="1"/>
      <c r="WZ437" s="1"/>
      <c r="XA437" s="1"/>
      <c r="XB437" s="1"/>
      <c r="XC437" s="1"/>
      <c r="XD437" s="1"/>
      <c r="XE437" s="1"/>
      <c r="XF437" s="1"/>
      <c r="XG437" s="1"/>
      <c r="XH437" s="1"/>
      <c r="XI437" s="1"/>
      <c r="XJ437" s="1"/>
      <c r="XK437" s="1"/>
      <c r="XL437" s="1"/>
      <c r="XM437" s="1"/>
      <c r="XN437" s="1"/>
      <c r="XO437" s="1"/>
      <c r="XP437" s="1"/>
      <c r="XQ437" s="1"/>
      <c r="XR437" s="1"/>
      <c r="XS437" s="1"/>
      <c r="XT437" s="1"/>
      <c r="XU437" s="1"/>
      <c r="XV437" s="1"/>
      <c r="XW437" s="1"/>
      <c r="XX437" s="1"/>
      <c r="XY437" s="1"/>
      <c r="XZ437" s="1"/>
      <c r="YA437" s="1"/>
      <c r="YB437" s="1"/>
      <c r="YC437" s="1"/>
      <c r="YD437" s="1"/>
      <c r="YE437" s="1"/>
      <c r="YF437" s="1"/>
      <c r="YG437" s="1"/>
      <c r="YH437" s="1"/>
      <c r="YI437" s="1"/>
      <c r="YJ437" s="1"/>
      <c r="YK437" s="1"/>
      <c r="YL437" s="1"/>
      <c r="YM437" s="1"/>
      <c r="YN437" s="1"/>
      <c r="YO437" s="1"/>
      <c r="YP437" s="1"/>
      <c r="YQ437" s="1"/>
      <c r="YR437" s="1"/>
      <c r="YS437" s="1"/>
      <c r="YT437" s="1"/>
      <c r="YU437" s="1"/>
      <c r="YV437" s="1"/>
      <c r="YW437" s="1"/>
      <c r="YX437" s="1"/>
      <c r="YY437" s="1"/>
      <c r="YZ437" s="1"/>
      <c r="ZA437" s="1"/>
      <c r="ZB437" s="1"/>
      <c r="ZC437" s="1"/>
      <c r="ZD437" s="1"/>
      <c r="ZE437" s="1"/>
      <c r="ZF437" s="1"/>
      <c r="ZG437" s="1"/>
      <c r="ZH437" s="1"/>
      <c r="ZI437" s="1"/>
      <c r="ZJ437" s="1"/>
      <c r="ZK437" s="1"/>
      <c r="ZL437" s="1"/>
      <c r="ZM437" s="1"/>
      <c r="ZN437" s="1"/>
      <c r="ZO437" s="1"/>
      <c r="ZP437" s="1"/>
      <c r="ZQ437" s="1"/>
      <c r="ZR437" s="1"/>
      <c r="ZS437" s="1"/>
      <c r="ZT437" s="1"/>
      <c r="ZU437" s="1"/>
      <c r="ZV437" s="1"/>
      <c r="ZW437" s="1"/>
      <c r="ZX437" s="1"/>
      <c r="ZY437" s="1"/>
      <c r="ZZ437" s="1"/>
      <c r="AAA437" s="1"/>
      <c r="AAB437" s="1"/>
      <c r="AAC437" s="1"/>
      <c r="AAD437" s="1"/>
      <c r="AAE437" s="1"/>
      <c r="AAF437" s="1"/>
      <c r="AAG437" s="1"/>
      <c r="AAH437" s="1"/>
      <c r="AAI437" s="1"/>
      <c r="AAJ437" s="1"/>
      <c r="AAK437" s="1"/>
      <c r="AAL437" s="1"/>
      <c r="AAM437" s="1"/>
      <c r="AAN437" s="1"/>
      <c r="AAO437" s="1"/>
      <c r="AAP437" s="1"/>
      <c r="AAQ437" s="1"/>
      <c r="AAR437" s="1"/>
      <c r="AAS437" s="1"/>
      <c r="AAT437" s="1"/>
      <c r="AAU437" s="1"/>
      <c r="AAV437" s="1"/>
      <c r="AAW437" s="1"/>
      <c r="AAX437" s="1"/>
      <c r="AAY437" s="1"/>
      <c r="AAZ437" s="1"/>
      <c r="ABA437" s="1"/>
      <c r="ABB437" s="1"/>
      <c r="ABC437" s="1"/>
      <c r="ABD437" s="1"/>
      <c r="ABE437" s="1"/>
      <c r="ABF437" s="1"/>
      <c r="ABG437" s="1"/>
      <c r="ABH437" s="1"/>
      <c r="ABI437" s="1"/>
      <c r="ABJ437" s="1"/>
      <c r="ABK437" s="1"/>
      <c r="ABL437" s="1"/>
      <c r="ABM437" s="1"/>
      <c r="ABN437" s="1"/>
      <c r="ABO437" s="1"/>
      <c r="ABP437" s="1"/>
      <c r="ABQ437" s="1"/>
      <c r="ABR437" s="1"/>
      <c r="ABS437" s="1"/>
      <c r="ABT437" s="1"/>
      <c r="ABU437" s="1"/>
      <c r="ABV437" s="1"/>
      <c r="ABW437" s="1"/>
      <c r="ABX437" s="1"/>
      <c r="ABY437" s="1"/>
      <c r="ABZ437" s="1"/>
      <c r="ACA437" s="1"/>
      <c r="ACB437" s="1"/>
      <c r="ACC437" s="1"/>
      <c r="ACD437" s="1"/>
      <c r="ACE437" s="1"/>
      <c r="ACF437" s="1"/>
      <c r="ACG437" s="1"/>
      <c r="ACH437" s="1"/>
      <c r="ACI437" s="1"/>
      <c r="ACJ437" s="1"/>
      <c r="ACK437" s="1"/>
      <c r="ACL437" s="1"/>
      <c r="ACM437" s="1"/>
      <c r="ACN437" s="1"/>
      <c r="ACO437" s="1"/>
      <c r="ACP437" s="1"/>
      <c r="ACQ437" s="1"/>
      <c r="ACR437" s="1"/>
      <c r="ACS437" s="1"/>
      <c r="ACT437" s="1"/>
      <c r="ACU437" s="1"/>
      <c r="ACV437" s="1"/>
      <c r="ACW437" s="1"/>
      <c r="ACX437" s="1"/>
      <c r="ACY437" s="1"/>
      <c r="ACZ437" s="1"/>
      <c r="ADA437" s="1"/>
      <c r="ADB437" s="1"/>
      <c r="ADC437" s="1"/>
      <c r="ADD437" s="1"/>
      <c r="ADE437" s="1"/>
      <c r="ADF437" s="1"/>
      <c r="ADG437" s="1"/>
      <c r="ADH437" s="1"/>
      <c r="ADI437" s="1"/>
      <c r="ADJ437" s="1"/>
      <c r="ADK437" s="1"/>
      <c r="ADL437" s="1"/>
      <c r="ADM437" s="1"/>
      <c r="ADN437" s="1"/>
      <c r="ADO437" s="1"/>
      <c r="ADP437" s="1"/>
      <c r="ADQ437" s="1"/>
      <c r="ADR437" s="1"/>
      <c r="ADS437" s="1"/>
      <c r="ADT437" s="1"/>
      <c r="ADU437" s="1"/>
      <c r="ADV437" s="1"/>
      <c r="ADW437" s="1"/>
      <c r="ADX437" s="1"/>
      <c r="ADY437" s="1"/>
      <c r="ADZ437" s="1"/>
      <c r="AEA437" s="1"/>
      <c r="AEB437" s="1"/>
      <c r="AEC437" s="1"/>
      <c r="AED437" s="1"/>
      <c r="AEE437" s="1"/>
      <c r="AEF437" s="1"/>
      <c r="AEG437" s="1"/>
      <c r="AEH437" s="1"/>
      <c r="AEI437" s="1"/>
      <c r="AEJ437" s="1"/>
      <c r="AEK437" s="1"/>
      <c r="AEL437" s="1"/>
      <c r="AEM437" s="1"/>
      <c r="AEN437" s="1"/>
      <c r="AEO437" s="1"/>
      <c r="AEP437" s="1"/>
      <c r="AEQ437" s="1"/>
      <c r="AER437" s="1"/>
      <c r="AES437" s="1"/>
      <c r="AET437" s="1"/>
      <c r="AEU437" s="1"/>
      <c r="AEV437" s="1"/>
      <c r="AEW437" s="1"/>
      <c r="AEX437" s="1"/>
      <c r="AEY437" s="1"/>
      <c r="AEZ437" s="1"/>
      <c r="AFA437" s="1"/>
      <c r="AFB437" s="1"/>
      <c r="AFC437" s="1"/>
      <c r="AFD437" s="1"/>
      <c r="AFE437" s="1"/>
      <c r="AFF437" s="1"/>
      <c r="AFG437" s="1"/>
      <c r="AFH437" s="1"/>
      <c r="AFI437" s="1"/>
      <c r="AFJ437" s="1"/>
      <c r="AFK437" s="1"/>
      <c r="AFL437" s="1"/>
      <c r="AFM437" s="1"/>
      <c r="AFN437" s="1"/>
      <c r="AFO437" s="1"/>
      <c r="AFP437" s="1"/>
      <c r="AFQ437" s="1"/>
      <c r="AFR437" s="1"/>
      <c r="AFS437" s="1"/>
      <c r="AFT437" s="1"/>
      <c r="AFU437" s="1"/>
      <c r="AFV437" s="1"/>
      <c r="AFW437" s="1"/>
      <c r="AFX437" s="1"/>
      <c r="AFY437" s="1"/>
      <c r="AFZ437" s="1"/>
      <c r="AGA437" s="1"/>
      <c r="AGB437" s="1"/>
      <c r="AGC437" s="1"/>
      <c r="AGD437" s="1"/>
      <c r="AGE437" s="1"/>
      <c r="AGF437" s="1"/>
      <c r="AGG437" s="1"/>
      <c r="AGH437" s="1"/>
      <c r="AGI437" s="1"/>
      <c r="AGJ437" s="1"/>
      <c r="AGK437" s="1"/>
      <c r="AGL437" s="1"/>
      <c r="AGM437" s="1"/>
      <c r="AGN437" s="1"/>
      <c r="AGO437" s="1"/>
      <c r="AGP437" s="1"/>
      <c r="AGQ437" s="1"/>
      <c r="AGR437" s="1"/>
      <c r="AGS437" s="1"/>
      <c r="AGT437" s="1"/>
      <c r="AGU437" s="1"/>
      <c r="AGV437" s="1"/>
      <c r="AGW437" s="1"/>
      <c r="AGX437" s="1"/>
      <c r="AGY437" s="1"/>
      <c r="AGZ437" s="1"/>
      <c r="AHA437" s="1"/>
      <c r="AHB437" s="1"/>
      <c r="AHC437" s="1"/>
      <c r="AHD437" s="1"/>
      <c r="AHE437" s="1"/>
      <c r="AHF437" s="1"/>
      <c r="AHG437" s="1"/>
      <c r="AHH437" s="1"/>
      <c r="AHI437" s="1"/>
      <c r="AHJ437" s="1"/>
      <c r="AHK437" s="1"/>
      <c r="AHL437" s="1"/>
      <c r="AHM437" s="1"/>
      <c r="AHN437" s="1"/>
      <c r="AHO437" s="1"/>
      <c r="AHP437" s="1"/>
      <c r="AHQ437" s="1"/>
      <c r="AHR437" s="1"/>
      <c r="AHS437" s="1"/>
      <c r="AHT437" s="1"/>
      <c r="AHU437" s="1"/>
      <c r="AHV437" s="1"/>
      <c r="AHW437" s="1"/>
      <c r="AHX437" s="1"/>
      <c r="AHY437" s="1"/>
      <c r="AHZ437" s="1"/>
      <c r="AIA437" s="1"/>
      <c r="AIB437" s="1"/>
      <c r="AIC437" s="1"/>
      <c r="AID437" s="1"/>
      <c r="AIE437" s="1"/>
      <c r="AIF437" s="1"/>
      <c r="AIG437" s="1"/>
      <c r="AIH437" s="1"/>
      <c r="AII437" s="1"/>
      <c r="AIJ437" s="1"/>
      <c r="AIK437" s="1"/>
      <c r="AIL437" s="1"/>
      <c r="AIM437" s="1"/>
      <c r="AIN437" s="1"/>
      <c r="AIO437" s="1"/>
      <c r="AIP437" s="1"/>
      <c r="AIQ437" s="1"/>
      <c r="AIR437" s="1"/>
      <c r="AIS437" s="1"/>
      <c r="AIT437" s="1"/>
      <c r="AIU437" s="1"/>
      <c r="AIV437" s="1"/>
      <c r="AIW437" s="1"/>
      <c r="AIX437" s="1"/>
      <c r="AIY437" s="1"/>
      <c r="AIZ437" s="1"/>
      <c r="AJA437" s="1"/>
      <c r="AJB437" s="1"/>
      <c r="AJC437" s="1"/>
      <c r="AJD437" s="1"/>
      <c r="AJE437" s="1"/>
      <c r="AJF437" s="1"/>
      <c r="AJG437" s="1"/>
      <c r="AJH437" s="1"/>
      <c r="AJI437" s="1"/>
      <c r="AJJ437" s="1"/>
      <c r="AJK437" s="1"/>
      <c r="AJL437" s="1"/>
      <c r="AJM437" s="1"/>
      <c r="AJN437" s="1"/>
      <c r="AJO437" s="1"/>
      <c r="AJP437" s="1"/>
      <c r="AJQ437" s="1"/>
      <c r="AJR437" s="1"/>
      <c r="AJS437" s="1"/>
      <c r="AJT437" s="1"/>
      <c r="AJU437" s="1"/>
      <c r="AJV437" s="1"/>
      <c r="AJW437" s="1"/>
      <c r="AJX437" s="1"/>
      <c r="AJY437" s="1"/>
      <c r="AJZ437" s="1"/>
      <c r="AKA437" s="1"/>
      <c r="AKB437" s="1"/>
      <c r="AKC437" s="1"/>
      <c r="AKD437" s="1"/>
      <c r="AKE437" s="1"/>
      <c r="AKF437" s="1"/>
      <c r="AKG437" s="1"/>
      <c r="AKH437" s="1"/>
      <c r="AKI437" s="1"/>
      <c r="AKJ437" s="1"/>
      <c r="AKK437" s="1"/>
      <c r="AKL437" s="1"/>
      <c r="AKM437" s="1"/>
      <c r="AKN437" s="1"/>
      <c r="AKO437" s="1"/>
      <c r="AKP437" s="1"/>
      <c r="AKQ437" s="1"/>
      <c r="AKR437" s="1"/>
      <c r="AKS437" s="1"/>
      <c r="AKT437" s="1"/>
      <c r="AKU437" s="1"/>
      <c r="AKV437" s="1"/>
      <c r="AKW437" s="1"/>
      <c r="AKX437" s="1"/>
      <c r="AKY437" s="1"/>
      <c r="AKZ437" s="1"/>
      <c r="ALA437" s="1"/>
      <c r="ALB437" s="1"/>
      <c r="ALC437" s="1"/>
      <c r="ALD437" s="1"/>
      <c r="ALE437" s="1"/>
      <c r="ALF437" s="1"/>
      <c r="ALG437" s="1"/>
      <c r="ALH437" s="1"/>
      <c r="ALI437" s="1"/>
      <c r="ALJ437" s="1"/>
      <c r="ALK437" s="1"/>
      <c r="ALL437" s="1"/>
      <c r="ALM437" s="1"/>
      <c r="ALN437" s="1"/>
      <c r="ALO437" s="1"/>
      <c r="ALP437" s="1"/>
      <c r="ALQ437" s="1"/>
      <c r="ALR437" s="1"/>
      <c r="ALS437" s="1"/>
      <c r="ALT437" s="1"/>
      <c r="ALU437" s="1"/>
      <c r="ALV437" s="1"/>
      <c r="ALW437" s="1"/>
      <c r="ALX437" s="1"/>
      <c r="ALY437" s="1"/>
      <c r="ALZ437" s="1"/>
      <c r="AMA437" s="1"/>
      <c r="AMB437" s="1"/>
      <c r="AMC437" s="1"/>
      <c r="AMD437" s="1"/>
      <c r="AME437" s="1"/>
      <c r="AMF437" s="1"/>
      <c r="AMG437" s="1"/>
      <c r="AMH437" s="1"/>
      <c r="AMI437" s="1"/>
      <c r="AMJ437" s="1"/>
      <c r="AMK437" s="1"/>
      <c r="AML437" s="1"/>
      <c r="AMM437" s="1"/>
      <c r="AMN437" s="1"/>
      <c r="AMO437" s="1"/>
    </row>
    <row r="438" spans="1:1030" x14ac:dyDescent="0.2">
      <c r="A438" s="3" t="str">
        <f>CONCATENATE(B438,"_",C438)</f>
        <v>grm1_human_4OR2</v>
      </c>
      <c r="B438" s="3" t="s">
        <v>40</v>
      </c>
      <c r="C438" s="3" t="s">
        <v>96</v>
      </c>
      <c r="D438" s="3" t="str">
        <f>IFERROR(MID(VLOOKUP($B438,Seqs!$A:$B,2,0),E438,1),"")</f>
        <v>I</v>
      </c>
      <c r="E438" s="3">
        <v>591</v>
      </c>
      <c r="F438" s="3" t="str">
        <f>IFERROR(MID(VLOOKUP($B438,Seqs!$A:$B,2,0),G438,1),"")</f>
        <v>Y</v>
      </c>
      <c r="G438" s="3">
        <v>617</v>
      </c>
      <c r="H438" s="3" t="str">
        <f>IFERROR(MID(VLOOKUP($B438,Seqs!$A:$B,2,0),I438,1),"")</f>
        <v>T</v>
      </c>
      <c r="I438" s="23">
        <v>620</v>
      </c>
      <c r="J438" s="3" t="str">
        <f>IFERROR(MID(VLOOKUP($B438,Seqs!$A:$B,2,0),K438,1),"")</f>
        <v>S</v>
      </c>
      <c r="K438" s="23">
        <v>626</v>
      </c>
      <c r="L438" s="3" t="str">
        <f>IFERROR(MID(VLOOKUP($B438,Seqs!$A:$B,2,0),M438,1),"")</f>
        <v>S</v>
      </c>
      <c r="M438" s="3">
        <v>627</v>
      </c>
      <c r="N438" s="3" t="str">
        <f>IFERROR(MID(VLOOKUP($B438,Seqs!$A:$B,2,0),O438,1),"")</f>
        <v>I</v>
      </c>
      <c r="O438" s="3">
        <v>649</v>
      </c>
      <c r="P438" s="3" t="str">
        <f>IFERROR(MID(VLOOKUP($B438,Seqs!$A:$B,2,0),Q438,1),"")</f>
        <v/>
      </c>
      <c r="Q438" s="3" t="s">
        <v>23</v>
      </c>
      <c r="R438" s="3" t="str">
        <f>IFERROR(MID(VLOOKUP($B438,Seqs!$A:$B,2,0),S438,1),"")</f>
        <v/>
      </c>
      <c r="S438" s="3" t="s">
        <v>23</v>
      </c>
      <c r="T438" s="3" t="str">
        <f>IFERROR(MID(VLOOKUP($B438,Seqs!$A:$B,2,0),U438,1),"")</f>
        <v>T</v>
      </c>
      <c r="U438" s="3">
        <v>654</v>
      </c>
      <c r="V438" s="3" t="str">
        <f>IFERROR(MID(VLOOKUP($B438,Seqs!$A:$B,2,0),W438,1),"")</f>
        <v>L</v>
      </c>
      <c r="W438" s="3">
        <v>686</v>
      </c>
      <c r="X438" s="3" t="str">
        <f>IFERROR(MID(VLOOKUP($B438,Seqs!$A:$B,2,0),Y438,1),"")</f>
        <v/>
      </c>
      <c r="Y438" s="3" t="s">
        <v>23</v>
      </c>
      <c r="Z438" s="3" t="str">
        <f>IFERROR(MID(VLOOKUP($B438,Seqs!$A:$B,2,0),AA438,1),"")</f>
        <v/>
      </c>
      <c r="AA438" s="3" t="s">
        <v>23</v>
      </c>
      <c r="AB438" s="3" t="str">
        <f>IFERROR(MID(VLOOKUP($B438,Seqs!$A:$B,2,0),AC438,1),"")</f>
        <v>S</v>
      </c>
      <c r="AC438" s="9">
        <v>702</v>
      </c>
      <c r="AD438" s="3" t="str">
        <f>IFERROR(MID(VLOOKUP($B438,Seqs!$A:$B,2,0),AE438,1),"")</f>
        <v>E</v>
      </c>
      <c r="AE438" s="3">
        <v>728</v>
      </c>
      <c r="AF438" s="3" t="str">
        <f>IFERROR(MID(VLOOKUP($B438,Seqs!$A:$B,2,0),AG438,1),"")</f>
        <v>C</v>
      </c>
      <c r="AG438" s="3">
        <v>746</v>
      </c>
      <c r="AH438" s="3" t="str">
        <f>IFERROR(MID(VLOOKUP($B438,Seqs!$A:$B,2,0),AI438,1),"")</f>
        <v>T</v>
      </c>
      <c r="AI438" s="3">
        <v>748</v>
      </c>
      <c r="AJ438" s="3" t="str">
        <f>IFERROR(MID(VLOOKUP($B438,Seqs!$A:$B,2,0),AK438,1),"")</f>
        <v>S</v>
      </c>
      <c r="AK438" s="105">
        <v>749</v>
      </c>
      <c r="AL438" s="3" t="str">
        <f>IFERROR(MID(VLOOKUP($B438,Seqs!$A:$B,2,0),AM438,1),"")</f>
        <v>T</v>
      </c>
      <c r="AM438" s="3">
        <v>774</v>
      </c>
      <c r="AN438" s="3" t="str">
        <f>IFERROR(MID(VLOOKUP($B438,Seqs!$A:$B,2,0),AO438,1),"")</f>
        <v>E</v>
      </c>
      <c r="AO438" s="3">
        <v>783</v>
      </c>
      <c r="AP438" s="3" t="str">
        <f>IFERROR(MID(VLOOKUP($B438,Seqs!$A:$B,2,0),AQ438,1),"")</f>
        <v>G</v>
      </c>
      <c r="AQ438" s="3">
        <v>807</v>
      </c>
      <c r="AR438" s="3" t="str">
        <f>IFERROR(MID(VLOOKUP($B438,Seqs!$A:$B,2,0),AS438,1),"")</f>
        <v>Y</v>
      </c>
      <c r="AS438" s="105">
        <v>810</v>
      </c>
      <c r="AT438" s="3" t="str">
        <f>IFERROR(MID(VLOOKUP($B438,Seqs!$A:$B,2,0),AU438,1),"")</f>
        <v>K</v>
      </c>
      <c r="AU438" s="3">
        <v>841</v>
      </c>
      <c r="AV438" s="3" t="str">
        <f>IFERROR(MID(VLOOKUP($B438,Seqs!$A:$B,2,0),AW438,1),"")</f>
        <v/>
      </c>
      <c r="AW438" s="3" t="s">
        <v>23</v>
      </c>
      <c r="AX438" s="3" t="str">
        <f>IFERROR(MID(VLOOKUP($B438,Seqs!$A:$B,2,0),AY438,1),"")</f>
        <v/>
      </c>
      <c r="AY438" s="3" t="s">
        <v>23</v>
      </c>
      <c r="AZ438" s="77" t="str">
        <f>VLOOKUP(B438,Classification!A:D,2,0)</f>
        <v>C</v>
      </c>
      <c r="BA438" s="94" t="str">
        <f>VLOOKUP(B438,Classification!A:D,4,0)</f>
        <v>Metabotropicglutamate</v>
      </c>
      <c r="BB438" s="27" t="b">
        <f t="shared" si="1190"/>
        <v>1</v>
      </c>
      <c r="BC438" s="23">
        <f t="shared" si="1187"/>
        <v>206</v>
      </c>
      <c r="BD438" s="2" t="s">
        <v>1370</v>
      </c>
      <c r="BE438" s="3" t="s">
        <v>1368</v>
      </c>
      <c r="BF438" s="118">
        <v>2.8</v>
      </c>
      <c r="BG438" s="49" t="s">
        <v>1371</v>
      </c>
      <c r="BH438" s="49" t="s">
        <v>1371</v>
      </c>
      <c r="BJ438" s="70" t="s">
        <v>1281</v>
      </c>
      <c r="BK438" s="57" t="s">
        <v>1281</v>
      </c>
      <c r="BL438" s="57" t="s">
        <v>1281</v>
      </c>
      <c r="BM438" s="57" t="s">
        <v>1281</v>
      </c>
      <c r="BN438" s="57" t="s">
        <v>1281</v>
      </c>
      <c r="BO438" s="57" t="s">
        <v>1281</v>
      </c>
      <c r="BP438" s="57" t="s">
        <v>1281</v>
      </c>
      <c r="BQ438" s="57" t="s">
        <v>1281</v>
      </c>
      <c r="BR438" s="57" t="s">
        <v>1281</v>
      </c>
      <c r="BS438" s="57" t="s">
        <v>1281</v>
      </c>
      <c r="BT438" s="57" t="s">
        <v>1281</v>
      </c>
      <c r="BU438" s="57" t="s">
        <v>1281</v>
      </c>
      <c r="BV438" s="70">
        <f>E438</f>
        <v>591</v>
      </c>
      <c r="BW438" s="71">
        <f>I438</f>
        <v>620</v>
      </c>
      <c r="BX438" s="72">
        <f>M438</f>
        <v>627</v>
      </c>
      <c r="BY438" s="71" t="str">
        <f>Q438</f>
        <v>-</v>
      </c>
      <c r="BZ438" s="72">
        <f>U438</f>
        <v>654</v>
      </c>
      <c r="CA438" s="71" t="str">
        <f>Y438</f>
        <v>-</v>
      </c>
      <c r="CB438" s="72">
        <f>AC438</f>
        <v>702</v>
      </c>
      <c r="CC438" s="71">
        <f>AG438</f>
        <v>746</v>
      </c>
      <c r="CD438" s="72">
        <f>AK438</f>
        <v>749</v>
      </c>
      <c r="CE438" s="71">
        <f>AO438</f>
        <v>783</v>
      </c>
      <c r="CF438" s="72">
        <f>AS438</f>
        <v>810</v>
      </c>
      <c r="CG438" s="71" t="str">
        <f>AW438</f>
        <v>-</v>
      </c>
      <c r="CH438" s="70">
        <f>G438</f>
        <v>617</v>
      </c>
      <c r="CI438" s="71">
        <f>K438</f>
        <v>626</v>
      </c>
      <c r="CJ438" s="72">
        <f>O438</f>
        <v>649</v>
      </c>
      <c r="CK438" s="72" t="str">
        <f>S438</f>
        <v>-</v>
      </c>
      <c r="CL438" s="72">
        <f>W438</f>
        <v>686</v>
      </c>
      <c r="CM438" s="72" t="str">
        <f>AA438</f>
        <v>-</v>
      </c>
      <c r="CN438" s="72">
        <f>AE438</f>
        <v>728</v>
      </c>
      <c r="CO438" s="72">
        <f>AI438</f>
        <v>748</v>
      </c>
      <c r="CP438" s="72">
        <f>AM438</f>
        <v>774</v>
      </c>
      <c r="CQ438" s="72">
        <f>AQ438</f>
        <v>807</v>
      </c>
      <c r="CR438" s="72">
        <f>AU438</f>
        <v>841</v>
      </c>
      <c r="CS438" s="72" t="str">
        <f>AY438</f>
        <v>-</v>
      </c>
      <c r="CT438" s="23">
        <f>M438-K438</f>
        <v>1</v>
      </c>
    </row>
    <row r="439" spans="1:1030" x14ac:dyDescent="0.2">
      <c r="A439" s="3" t="str">
        <f>CONCATENATE(B439,"_",C439)</f>
        <v>grm5_human__wt</v>
      </c>
      <c r="B439" s="3" t="s">
        <v>41</v>
      </c>
      <c r="C439" s="3" t="s">
        <v>100</v>
      </c>
      <c r="D439" s="3" t="str">
        <f>IFERROR(MID(VLOOKUP($B439,Seqs!$A:$B,2,0),E439,1),"")</f>
        <v>P</v>
      </c>
      <c r="E439" s="3">
        <v>578</v>
      </c>
      <c r="F439" s="3" t="str">
        <f>IFERROR(MID(VLOOKUP($B439,Seqs!$A:$B,2,0),G439,1),"")</f>
        <v>Y</v>
      </c>
      <c r="G439" s="3">
        <v>604</v>
      </c>
      <c r="H439" s="3" t="str">
        <f>IFERROR(MID(VLOOKUP($B439,Seqs!$A:$B,2,0),I439,1),"")</f>
        <v>T</v>
      </c>
      <c r="I439" s="23">
        <v>607</v>
      </c>
      <c r="J439" s="3" t="str">
        <f>IFERROR(MID(VLOOKUP($B439,Seqs!$A:$B,2,0),K439,1),"")</f>
        <v>S</v>
      </c>
      <c r="K439" s="23">
        <v>613</v>
      </c>
      <c r="L439" s="3" t="str">
        <f>IFERROR(MID(VLOOKUP($B439,Seqs!$A:$B,2,0),M439,1),"")</f>
        <v>S</v>
      </c>
      <c r="M439" s="3">
        <v>614</v>
      </c>
      <c r="N439" s="3" t="str">
        <f>IFERROR(MID(VLOOKUP($B439,Seqs!$A:$B,2,0),O439,1),"")</f>
        <v>I</v>
      </c>
      <c r="O439" s="3">
        <v>636</v>
      </c>
      <c r="P439" s="3" t="str">
        <f>IFERROR(MID(VLOOKUP($B439,Seqs!$A:$B,2,0),Q439,1),"")</f>
        <v/>
      </c>
      <c r="Q439" s="3" t="s">
        <v>23</v>
      </c>
      <c r="R439" s="3" t="str">
        <f>IFERROR(MID(VLOOKUP($B439,Seqs!$A:$B,2,0),S439,1),"")</f>
        <v/>
      </c>
      <c r="S439" s="3" t="s">
        <v>23</v>
      </c>
      <c r="T439" s="3" t="str">
        <f>IFERROR(MID(VLOOKUP($B439,Seqs!$A:$B,2,0),U439,1),"")</f>
        <v>K</v>
      </c>
      <c r="U439" s="105">
        <v>640</v>
      </c>
      <c r="V439" s="3" t="str">
        <f>IFERROR(MID(VLOOKUP($B439,Seqs!$A:$B,2,0),W439,1),"")</f>
        <v>L</v>
      </c>
      <c r="W439" s="3">
        <v>673</v>
      </c>
      <c r="X439" s="3" t="str">
        <f>IFERROR(MID(VLOOKUP($B439,Seqs!$A:$B,2,0),Y439,1),"")</f>
        <v/>
      </c>
      <c r="Y439" s="3" t="s">
        <v>23</v>
      </c>
      <c r="Z439" s="3" t="str">
        <f>IFERROR(MID(VLOOKUP($B439,Seqs!$A:$B,2,0),AA439,1),"")</f>
        <v/>
      </c>
      <c r="AA439" s="3" t="s">
        <v>23</v>
      </c>
      <c r="AB439" s="3" t="str">
        <f>IFERROR(MID(VLOOKUP($B439,Seqs!$A:$B,2,0),AC439,1),"")</f>
        <v>S</v>
      </c>
      <c r="AC439" s="9">
        <v>689</v>
      </c>
      <c r="AD439" s="3" t="str">
        <f>IFERROR(MID(VLOOKUP($B439,Seqs!$A:$B,2,0),AE439,1),"")</f>
        <v>E</v>
      </c>
      <c r="AE439" s="3">
        <v>715</v>
      </c>
      <c r="AF439" s="3" t="str">
        <f>IFERROR(MID(VLOOKUP($B439,Seqs!$A:$B,2,0),AG439,1),"")</f>
        <v>C</v>
      </c>
      <c r="AG439" s="3">
        <v>733</v>
      </c>
      <c r="AH439" s="3" t="str">
        <f>IFERROR(MID(VLOOKUP($B439,Seqs!$A:$B,2,0),AI439,1),"")</f>
        <v>T</v>
      </c>
      <c r="AI439" s="3">
        <v>735</v>
      </c>
      <c r="AJ439" s="3" t="str">
        <f>IFERROR(MID(VLOOKUP($B439,Seqs!$A:$B,2,0),AK439,1),"")</f>
        <v>T</v>
      </c>
      <c r="AK439" s="105">
        <v>736</v>
      </c>
      <c r="AL439" s="3" t="str">
        <f>IFERROR(MID(VLOOKUP($B439,Seqs!$A:$B,2,0),AM439,1),"")</f>
        <v>T</v>
      </c>
      <c r="AM439" s="3">
        <v>761</v>
      </c>
      <c r="AN439" s="3" t="str">
        <f>IFERROR(MID(VLOOKUP($B439,Seqs!$A:$B,2,0),AO439,1),"")</f>
        <v>E</v>
      </c>
      <c r="AO439" s="3">
        <v>770</v>
      </c>
      <c r="AP439" s="3" t="str">
        <f>IFERROR(MID(VLOOKUP($B439,Seqs!$A:$B,2,0),AQ439,1),"")</f>
        <v>G</v>
      </c>
      <c r="AQ439" s="3">
        <v>794</v>
      </c>
      <c r="AR439" s="3" t="str">
        <f>IFERROR(MID(VLOOKUP($B439,Seqs!$A:$B,2,0),AS439,1),"")</f>
        <v>Y</v>
      </c>
      <c r="AS439" s="105">
        <v>797</v>
      </c>
      <c r="AT439" s="3" t="str">
        <f>IFERROR(MID(VLOOKUP($B439,Seqs!$A:$B,2,0),AU439,1),"")</f>
        <v>K</v>
      </c>
      <c r="AU439" s="3">
        <v>828</v>
      </c>
      <c r="AV439" s="3" t="str">
        <f>IFERROR(MID(VLOOKUP($B439,Seqs!$A:$B,2,0),AW439,1),"")</f>
        <v>P</v>
      </c>
      <c r="AW439" s="3">
        <v>829</v>
      </c>
      <c r="AX439" s="3" t="str">
        <f>IFERROR(MID(VLOOKUP($B439,Seqs!$A:$B,2,0),AY439,1),"")</f>
        <v>S</v>
      </c>
      <c r="AY439" s="3">
        <v>840</v>
      </c>
      <c r="AZ439" s="77" t="str">
        <f>VLOOKUP(B439,Classification!A:D,2,0)</f>
        <v>C</v>
      </c>
      <c r="BA439" s="94" t="str">
        <f>VLOOKUP(B439,Classification!A:D,4,0)</f>
        <v>Metabotropicglutamate</v>
      </c>
      <c r="BB439" s="27" t="b">
        <f t="shared" si="1190"/>
        <v>1</v>
      </c>
      <c r="BC439" s="23">
        <f t="shared" si="1187"/>
        <v>218</v>
      </c>
      <c r="BD439" s="56" t="s">
        <v>23</v>
      </c>
      <c r="BE439" s="3" t="s">
        <v>23</v>
      </c>
      <c r="BF439" s="118" t="s">
        <v>23</v>
      </c>
      <c r="BG439" s="49" t="s">
        <v>1366</v>
      </c>
      <c r="BH439" s="49" t="s">
        <v>1371</v>
      </c>
      <c r="BJ439" s="70" t="s">
        <v>1281</v>
      </c>
      <c r="BK439" s="57" t="s">
        <v>1281</v>
      </c>
      <c r="BL439" s="57" t="s">
        <v>1281</v>
      </c>
      <c r="BM439" s="57" t="s">
        <v>1281</v>
      </c>
      <c r="BN439" s="57" t="s">
        <v>1281</v>
      </c>
      <c r="BO439" s="57" t="s">
        <v>1281</v>
      </c>
      <c r="BP439" s="57" t="s">
        <v>1281</v>
      </c>
      <c r="BQ439" s="57" t="s">
        <v>1281</v>
      </c>
      <c r="BR439" s="57" t="s">
        <v>1281</v>
      </c>
      <c r="BS439" s="57" t="s">
        <v>1281</v>
      </c>
      <c r="BT439" s="57" t="s">
        <v>1281</v>
      </c>
      <c r="BU439" s="57" t="s">
        <v>1281</v>
      </c>
      <c r="BV439" s="70">
        <f>E439</f>
        <v>578</v>
      </c>
      <c r="BW439" s="71">
        <f>I439</f>
        <v>607</v>
      </c>
      <c r="BX439" s="72">
        <f>M439</f>
        <v>614</v>
      </c>
      <c r="BY439" s="71" t="str">
        <f>Q439</f>
        <v>-</v>
      </c>
      <c r="BZ439" s="72">
        <f>U439</f>
        <v>640</v>
      </c>
      <c r="CA439" s="71" t="str">
        <f>Y439</f>
        <v>-</v>
      </c>
      <c r="CB439" s="72">
        <f>AC439</f>
        <v>689</v>
      </c>
      <c r="CC439" s="71">
        <f>AG439</f>
        <v>733</v>
      </c>
      <c r="CD439" s="72">
        <f>AK439</f>
        <v>736</v>
      </c>
      <c r="CE439" s="71">
        <f>AO439</f>
        <v>770</v>
      </c>
      <c r="CF439" s="72">
        <f>AS439</f>
        <v>797</v>
      </c>
      <c r="CG439" s="71">
        <f>AW439</f>
        <v>829</v>
      </c>
      <c r="CH439" s="70">
        <f>G439</f>
        <v>604</v>
      </c>
      <c r="CI439" s="71">
        <f>K439</f>
        <v>613</v>
      </c>
      <c r="CJ439" s="72">
        <f>O439</f>
        <v>636</v>
      </c>
      <c r="CK439" s="72" t="str">
        <f>S439</f>
        <v>-</v>
      </c>
      <c r="CL439" s="72">
        <f>W439</f>
        <v>673</v>
      </c>
      <c r="CM439" s="72" t="str">
        <f>AA439</f>
        <v>-</v>
      </c>
      <c r="CN439" s="72">
        <f>AE439</f>
        <v>715</v>
      </c>
      <c r="CO439" s="72">
        <f>AI439</f>
        <v>735</v>
      </c>
      <c r="CP439" s="72">
        <f>AM439</f>
        <v>761</v>
      </c>
      <c r="CQ439" s="72">
        <f>AQ439</f>
        <v>794</v>
      </c>
      <c r="CR439" s="72">
        <f>AU439</f>
        <v>828</v>
      </c>
      <c r="CS439" s="72">
        <f>AY439</f>
        <v>840</v>
      </c>
      <c r="CT439" s="23">
        <f>M439-K439</f>
        <v>1</v>
      </c>
    </row>
    <row r="440" spans="1:1030" x14ac:dyDescent="0.2">
      <c r="A440" s="3" t="str">
        <f>CONCATENATE(B440,"_",C440)</f>
        <v>grm5_human_4OO9</v>
      </c>
      <c r="B440" s="3" t="s">
        <v>41</v>
      </c>
      <c r="C440" s="3" t="s">
        <v>57</v>
      </c>
      <c r="D440" s="3" t="str">
        <f>IFERROR(MID(VLOOKUP($B440,Seqs!$A:$B,2,0),E440,1),"")</f>
        <v>P</v>
      </c>
      <c r="E440" s="3">
        <v>578</v>
      </c>
      <c r="F440" s="3" t="str">
        <f>IFERROR(MID(VLOOKUP($B440,Seqs!$A:$B,2,0),G440,1),"")</f>
        <v>Y</v>
      </c>
      <c r="G440" s="3">
        <v>604</v>
      </c>
      <c r="H440" s="3" t="str">
        <f>IFERROR(MID(VLOOKUP($B440,Seqs!$A:$B,2,0),I440,1),"")</f>
        <v>T</v>
      </c>
      <c r="I440" s="23">
        <v>607</v>
      </c>
      <c r="J440" s="3" t="str">
        <f>IFERROR(MID(VLOOKUP($B440,Seqs!$A:$B,2,0),K440,1),"")</f>
        <v>S</v>
      </c>
      <c r="K440" s="23">
        <v>613</v>
      </c>
      <c r="L440" s="3" t="str">
        <f>IFERROR(MID(VLOOKUP($B440,Seqs!$A:$B,2,0),M440,1),"")</f>
        <v>S</v>
      </c>
      <c r="M440" s="3">
        <v>614</v>
      </c>
      <c r="N440" s="3" t="str">
        <f>IFERROR(MID(VLOOKUP($B440,Seqs!$A:$B,2,0),O440,1),"")</f>
        <v>I</v>
      </c>
      <c r="O440" s="3">
        <v>636</v>
      </c>
      <c r="P440" s="3" t="str">
        <f>IFERROR(MID(VLOOKUP($B440,Seqs!$A:$B,2,0),Q440,1),"")</f>
        <v/>
      </c>
      <c r="Q440" s="3" t="s">
        <v>23</v>
      </c>
      <c r="R440" s="3" t="str">
        <f>IFERROR(MID(VLOOKUP($B440,Seqs!$A:$B,2,0),S440,1),"")</f>
        <v/>
      </c>
      <c r="S440" s="3" t="s">
        <v>23</v>
      </c>
      <c r="T440" s="3" t="str">
        <f>IFERROR(MID(VLOOKUP($B440,Seqs!$A:$B,2,0),U440,1),"")</f>
        <v>Q</v>
      </c>
      <c r="U440" s="3">
        <v>641</v>
      </c>
      <c r="V440" s="3" t="str">
        <f>IFERROR(MID(VLOOKUP($B440,Seqs!$A:$B,2,0),W440,1),"")</f>
        <v>K</v>
      </c>
      <c r="W440" s="3">
        <v>678</v>
      </c>
      <c r="X440" s="3" t="str">
        <f>IFERROR(MID(VLOOKUP($B440,Seqs!$A:$B,2,0),Y440,1),"")</f>
        <v/>
      </c>
      <c r="Y440" s="3" t="s">
        <v>23</v>
      </c>
      <c r="Z440" s="3" t="str">
        <f>IFERROR(MID(VLOOKUP($B440,Seqs!$A:$B,2,0),AA440,1),"")</f>
        <v/>
      </c>
      <c r="AA440" s="3" t="s">
        <v>23</v>
      </c>
      <c r="AB440" s="3" t="str">
        <f>IFERROR(MID(VLOOKUP($B440,Seqs!$A:$B,2,0),AC440,1),"")</f>
        <v>S</v>
      </c>
      <c r="AC440" s="9">
        <v>689</v>
      </c>
      <c r="AD440" s="3" t="str">
        <f>IFERROR(MID(VLOOKUP($B440,Seqs!$A:$B,2,0),AE440,1),"")</f>
        <v>E</v>
      </c>
      <c r="AE440" s="3">
        <v>715</v>
      </c>
      <c r="AF440" s="3" t="str">
        <f>IFERROR(MID(VLOOKUP($B440,Seqs!$A:$B,2,0),AG440,1),"")</f>
        <v>C</v>
      </c>
      <c r="AG440" s="3">
        <v>733</v>
      </c>
      <c r="AH440" s="3" t="str">
        <f>IFERROR(MID(VLOOKUP($B440,Seqs!$A:$B,2,0),AI440,1),"")</f>
        <v>T</v>
      </c>
      <c r="AI440" s="3">
        <v>735</v>
      </c>
      <c r="AJ440" s="3" t="str">
        <f>IFERROR(MID(VLOOKUP($B440,Seqs!$A:$B,2,0),AK440,1),"")</f>
        <v>N</v>
      </c>
      <c r="AK440" s="3">
        <v>737</v>
      </c>
      <c r="AL440" s="3" t="str">
        <f>IFERROR(MID(VLOOKUP($B440,Seqs!$A:$B,2,0),AM440,1),"")</f>
        <v>T</v>
      </c>
      <c r="AM440" s="3">
        <v>761</v>
      </c>
      <c r="AN440" s="3" t="str">
        <f>IFERROR(MID(VLOOKUP($B440,Seqs!$A:$B,2,0),AO440,1),"")</f>
        <v>E</v>
      </c>
      <c r="AO440" s="3">
        <v>770</v>
      </c>
      <c r="AP440" s="3" t="str">
        <f>IFERROR(MID(VLOOKUP($B440,Seqs!$A:$B,2,0),AQ440,1),"")</f>
        <v>G</v>
      </c>
      <c r="AQ440" s="3">
        <v>794</v>
      </c>
      <c r="AR440" s="3" t="str">
        <f>IFERROR(MID(VLOOKUP($B440,Seqs!$A:$B,2,0),AS440,1),"")</f>
        <v>Y</v>
      </c>
      <c r="AS440" s="105">
        <v>797</v>
      </c>
      <c r="AT440" s="3" t="str">
        <f>IFERROR(MID(VLOOKUP($B440,Seqs!$A:$B,2,0),AU440,1),"")</f>
        <v>K</v>
      </c>
      <c r="AU440" s="3">
        <v>828</v>
      </c>
      <c r="AV440" s="3" t="str">
        <f>IFERROR(MID(VLOOKUP($B440,Seqs!$A:$B,2,0),AW440,1),"")</f>
        <v>P</v>
      </c>
      <c r="AW440" s="3">
        <v>829</v>
      </c>
      <c r="AX440" s="3" t="str">
        <f>IFERROR(MID(VLOOKUP($B440,Seqs!$A:$B,2,0),AY440,1),"")</f>
        <v>N</v>
      </c>
      <c r="AY440" s="3">
        <v>832</v>
      </c>
      <c r="AZ440" s="77" t="str">
        <f>VLOOKUP(B440,Classification!A:D,2,0)</f>
        <v>C</v>
      </c>
      <c r="BA440" s="94" t="str">
        <f>VLOOKUP(B440,Classification!A:D,4,0)</f>
        <v>Metabotropicglutamate</v>
      </c>
      <c r="BB440" s="27" t="b">
        <f t="shared" si="1190"/>
        <v>1</v>
      </c>
      <c r="BC440" s="23">
        <f t="shared" si="1187"/>
        <v>213</v>
      </c>
      <c r="BD440" s="106" t="s">
        <v>1370</v>
      </c>
      <c r="BE440" s="3" t="s">
        <v>1368</v>
      </c>
      <c r="BF440" s="118">
        <v>2.6</v>
      </c>
      <c r="BG440" s="49" t="s">
        <v>1371</v>
      </c>
      <c r="BH440" s="49" t="s">
        <v>1371</v>
      </c>
      <c r="BJ440" s="70" t="s">
        <v>1281</v>
      </c>
      <c r="BK440" s="57" t="s">
        <v>1281</v>
      </c>
      <c r="BL440" s="57" t="s">
        <v>1281</v>
      </c>
      <c r="BM440" s="57" t="s">
        <v>1281</v>
      </c>
      <c r="BN440" s="57" t="s">
        <v>1281</v>
      </c>
      <c r="BO440" s="57" t="s">
        <v>1281</v>
      </c>
      <c r="BP440" s="57" t="s">
        <v>1281</v>
      </c>
      <c r="BQ440" s="57" t="s">
        <v>1281</v>
      </c>
      <c r="BR440" s="57" t="s">
        <v>1281</v>
      </c>
      <c r="BS440" s="57" t="s">
        <v>1281</v>
      </c>
      <c r="BT440" s="57" t="s">
        <v>1281</v>
      </c>
      <c r="BU440" s="57" t="s">
        <v>1281</v>
      </c>
      <c r="BV440" s="70">
        <f>E440</f>
        <v>578</v>
      </c>
      <c r="BW440" s="71">
        <f>I440</f>
        <v>607</v>
      </c>
      <c r="BX440" s="72">
        <f>M440</f>
        <v>614</v>
      </c>
      <c r="BY440" s="71" t="str">
        <f>Q440</f>
        <v>-</v>
      </c>
      <c r="BZ440" s="72">
        <f>U440</f>
        <v>641</v>
      </c>
      <c r="CA440" s="71" t="str">
        <f>Y440</f>
        <v>-</v>
      </c>
      <c r="CB440" s="72">
        <f>AC440</f>
        <v>689</v>
      </c>
      <c r="CC440" s="71">
        <f>AG440</f>
        <v>733</v>
      </c>
      <c r="CD440" s="72">
        <f>AK440</f>
        <v>737</v>
      </c>
      <c r="CE440" s="71">
        <f>AO440</f>
        <v>770</v>
      </c>
      <c r="CF440" s="72">
        <f>AS440</f>
        <v>797</v>
      </c>
      <c r="CG440" s="71">
        <f>AW440</f>
        <v>829</v>
      </c>
      <c r="CH440" s="70">
        <f>G440</f>
        <v>604</v>
      </c>
      <c r="CI440" s="71">
        <f>K440</f>
        <v>613</v>
      </c>
      <c r="CJ440" s="72">
        <f>O440</f>
        <v>636</v>
      </c>
      <c r="CK440" s="72" t="str">
        <f>S440</f>
        <v>-</v>
      </c>
      <c r="CL440" s="72">
        <f>W440</f>
        <v>678</v>
      </c>
      <c r="CM440" s="72" t="str">
        <f>AA440</f>
        <v>-</v>
      </c>
      <c r="CN440" s="72">
        <f>AE440</f>
        <v>715</v>
      </c>
      <c r="CO440" s="72">
        <f>AI440</f>
        <v>735</v>
      </c>
      <c r="CP440" s="72">
        <f>AM440</f>
        <v>761</v>
      </c>
      <c r="CQ440" s="72">
        <f>AQ440</f>
        <v>794</v>
      </c>
      <c r="CR440" s="72">
        <f>AU440</f>
        <v>828</v>
      </c>
      <c r="CS440" s="72">
        <f>AY440</f>
        <v>832</v>
      </c>
      <c r="CT440" s="23">
        <f>M440-K440</f>
        <v>1</v>
      </c>
    </row>
    <row r="441" spans="1:1030" x14ac:dyDescent="0.2">
      <c r="A441" s="3" t="str">
        <f>CONCATENATE(B441,"_",C441)</f>
        <v>grm5_human_5CGC</v>
      </c>
      <c r="B441" s="3" t="s">
        <v>41</v>
      </c>
      <c r="C441" s="3" t="s">
        <v>58</v>
      </c>
      <c r="D441" s="3" t="str">
        <f>IFERROR(MID(VLOOKUP($B441,Seqs!$A:$B,2,0),E441,1),"")</f>
        <v>P</v>
      </c>
      <c r="E441" s="3">
        <v>578</v>
      </c>
      <c r="F441" s="3" t="str">
        <f>IFERROR(MID(VLOOKUP($B441,Seqs!$A:$B,2,0),G441,1),"")</f>
        <v>Y</v>
      </c>
      <c r="G441" s="3">
        <v>604</v>
      </c>
      <c r="H441" s="3" t="str">
        <f>IFERROR(MID(VLOOKUP($B441,Seqs!$A:$B,2,0),I441,1),"")</f>
        <v>T</v>
      </c>
      <c r="I441" s="23">
        <v>607</v>
      </c>
      <c r="J441" s="3" t="str">
        <f>IFERROR(MID(VLOOKUP($B441,Seqs!$A:$B,2,0),K441,1),"")</f>
        <v>S</v>
      </c>
      <c r="K441" s="23">
        <v>613</v>
      </c>
      <c r="L441" s="3" t="str">
        <f>IFERROR(MID(VLOOKUP($B441,Seqs!$A:$B,2,0),M441,1),"")</f>
        <v>S</v>
      </c>
      <c r="M441" s="3">
        <v>614</v>
      </c>
      <c r="N441" s="3" t="str">
        <f>IFERROR(MID(VLOOKUP($B441,Seqs!$A:$B,2,0),O441,1),"")</f>
        <v>I</v>
      </c>
      <c r="O441" s="3">
        <v>636</v>
      </c>
      <c r="P441" s="3" t="str">
        <f>IFERROR(MID(VLOOKUP($B441,Seqs!$A:$B,2,0),Q441,1),"")</f>
        <v/>
      </c>
      <c r="Q441" s="3" t="s">
        <v>23</v>
      </c>
      <c r="R441" s="3" t="str">
        <f>IFERROR(MID(VLOOKUP($B441,Seqs!$A:$B,2,0),S441,1),"")</f>
        <v/>
      </c>
      <c r="S441" s="3" t="s">
        <v>23</v>
      </c>
      <c r="T441" s="3" t="str">
        <f>IFERROR(MID(VLOOKUP($B441,Seqs!$A:$B,2,0),U441,1),"")</f>
        <v>K</v>
      </c>
      <c r="U441" s="105">
        <v>640</v>
      </c>
      <c r="V441" s="3" t="str">
        <f>IFERROR(MID(VLOOKUP($B441,Seqs!$A:$B,2,0),W441,1),"")</f>
        <v>K</v>
      </c>
      <c r="W441" s="3">
        <v>678</v>
      </c>
      <c r="X441" s="3" t="str">
        <f>IFERROR(MID(VLOOKUP($B441,Seqs!$A:$B,2,0),Y441,1),"")</f>
        <v/>
      </c>
      <c r="Y441" s="3" t="s">
        <v>23</v>
      </c>
      <c r="Z441" s="3" t="str">
        <f>IFERROR(MID(VLOOKUP($B441,Seqs!$A:$B,2,0),AA441,1),"")</f>
        <v/>
      </c>
      <c r="AA441" s="3" t="s">
        <v>23</v>
      </c>
      <c r="AB441" s="3" t="str">
        <f>IFERROR(MID(VLOOKUP($B441,Seqs!$A:$B,2,0),AC441,1),"")</f>
        <v>S</v>
      </c>
      <c r="AC441" s="9">
        <v>689</v>
      </c>
      <c r="AD441" s="3" t="str">
        <f>IFERROR(MID(VLOOKUP($B441,Seqs!$A:$B,2,0),AE441,1),"")</f>
        <v>E</v>
      </c>
      <c r="AE441" s="3">
        <v>715</v>
      </c>
      <c r="AF441" s="3" t="str">
        <f>IFERROR(MID(VLOOKUP($B441,Seqs!$A:$B,2,0),AG441,1),"")</f>
        <v>C</v>
      </c>
      <c r="AG441" s="3">
        <v>733</v>
      </c>
      <c r="AH441" s="3" t="str">
        <f>IFERROR(MID(VLOOKUP($B441,Seqs!$A:$B,2,0),AI441,1),"")</f>
        <v>T</v>
      </c>
      <c r="AI441" s="3">
        <v>735</v>
      </c>
      <c r="AJ441" s="3" t="str">
        <f>IFERROR(MID(VLOOKUP($B441,Seqs!$A:$B,2,0),AK441,1),"")</f>
        <v>N</v>
      </c>
      <c r="AK441" s="3">
        <v>737</v>
      </c>
      <c r="AL441" s="3" t="str">
        <f>IFERROR(MID(VLOOKUP($B441,Seqs!$A:$B,2,0),AM441,1),"")</f>
        <v>T</v>
      </c>
      <c r="AM441" s="3">
        <v>761</v>
      </c>
      <c r="AN441" s="3" t="str">
        <f>IFERROR(MID(VLOOKUP($B441,Seqs!$A:$B,2,0),AO441,1),"")</f>
        <v>E</v>
      </c>
      <c r="AO441" s="3">
        <v>770</v>
      </c>
      <c r="AP441" s="3" t="str">
        <f>IFERROR(MID(VLOOKUP($B441,Seqs!$A:$B,2,0),AQ441,1),"")</f>
        <v>G</v>
      </c>
      <c r="AQ441" s="3">
        <v>794</v>
      </c>
      <c r="AR441" s="3" t="str">
        <f>IFERROR(MID(VLOOKUP($B441,Seqs!$A:$B,2,0),AS441,1),"")</f>
        <v>Y</v>
      </c>
      <c r="AS441" s="105">
        <v>797</v>
      </c>
      <c r="AT441" s="3" t="str">
        <f>IFERROR(MID(VLOOKUP($B441,Seqs!$A:$B,2,0),AU441,1),"")</f>
        <v>K</v>
      </c>
      <c r="AU441" s="3">
        <v>828</v>
      </c>
      <c r="AV441" s="3" t="str">
        <f>IFERROR(MID(VLOOKUP($B441,Seqs!$A:$B,2,0),AW441,1),"")</f>
        <v>P</v>
      </c>
      <c r="AW441" s="3">
        <v>829</v>
      </c>
      <c r="AX441" s="3" t="str">
        <f>IFERROR(MID(VLOOKUP($B441,Seqs!$A:$B,2,0),AY441,1),"")</f>
        <v>N</v>
      </c>
      <c r="AY441" s="3">
        <v>832</v>
      </c>
      <c r="AZ441" s="77" t="str">
        <f>VLOOKUP(B441,Classification!A:D,2,0)</f>
        <v>C</v>
      </c>
      <c r="BA441" s="94" t="str">
        <f>VLOOKUP(B441,Classification!A:D,4,0)</f>
        <v>Metabotropicglutamate</v>
      </c>
      <c r="BB441" s="27" t="b">
        <f t="shared" si="1190"/>
        <v>1</v>
      </c>
      <c r="BC441" s="23">
        <f t="shared" si="1187"/>
        <v>214</v>
      </c>
      <c r="BD441" s="4" t="s">
        <v>23</v>
      </c>
      <c r="BE441" s="3" t="s">
        <v>1368</v>
      </c>
      <c r="BF441" s="118">
        <v>3.1</v>
      </c>
      <c r="BG441" s="49" t="s">
        <v>1371</v>
      </c>
      <c r="BH441" s="49" t="s">
        <v>1371</v>
      </c>
      <c r="BJ441" s="70" t="s">
        <v>1281</v>
      </c>
      <c r="BK441" s="57" t="s">
        <v>1281</v>
      </c>
      <c r="BL441" s="57" t="s">
        <v>1281</v>
      </c>
      <c r="BM441" s="57" t="s">
        <v>1281</v>
      </c>
      <c r="BN441" s="57" t="s">
        <v>1281</v>
      </c>
      <c r="BO441" s="57" t="s">
        <v>1281</v>
      </c>
      <c r="BP441" s="57" t="s">
        <v>1281</v>
      </c>
      <c r="BQ441" s="57" t="s">
        <v>1281</v>
      </c>
      <c r="BR441" s="57" t="s">
        <v>1281</v>
      </c>
      <c r="BS441" s="57" t="s">
        <v>1281</v>
      </c>
      <c r="BT441" s="57" t="s">
        <v>1281</v>
      </c>
      <c r="BU441" s="57" t="s">
        <v>1281</v>
      </c>
      <c r="BV441" s="70">
        <f>E441</f>
        <v>578</v>
      </c>
      <c r="BW441" s="71">
        <f>I441</f>
        <v>607</v>
      </c>
      <c r="BX441" s="72">
        <f>M441</f>
        <v>614</v>
      </c>
      <c r="BY441" s="71" t="str">
        <f>Q441</f>
        <v>-</v>
      </c>
      <c r="BZ441" s="72">
        <f>U441</f>
        <v>640</v>
      </c>
      <c r="CA441" s="71" t="str">
        <f>Y441</f>
        <v>-</v>
      </c>
      <c r="CB441" s="72">
        <f>AC441</f>
        <v>689</v>
      </c>
      <c r="CC441" s="71">
        <f>AG441</f>
        <v>733</v>
      </c>
      <c r="CD441" s="72">
        <f>AK441</f>
        <v>737</v>
      </c>
      <c r="CE441" s="71">
        <f>AO441</f>
        <v>770</v>
      </c>
      <c r="CF441" s="72">
        <f>AS441</f>
        <v>797</v>
      </c>
      <c r="CG441" s="71">
        <f>AW441</f>
        <v>829</v>
      </c>
      <c r="CH441" s="70">
        <f>G441</f>
        <v>604</v>
      </c>
      <c r="CI441" s="71">
        <f>K441</f>
        <v>613</v>
      </c>
      <c r="CJ441" s="72">
        <f>O441</f>
        <v>636</v>
      </c>
      <c r="CK441" s="72" t="str">
        <f>S441</f>
        <v>-</v>
      </c>
      <c r="CL441" s="72">
        <f>W441</f>
        <v>678</v>
      </c>
      <c r="CM441" s="72" t="str">
        <f>AA441</f>
        <v>-</v>
      </c>
      <c r="CN441" s="72">
        <f>AE441</f>
        <v>715</v>
      </c>
      <c r="CO441" s="72">
        <f>AI441</f>
        <v>735</v>
      </c>
      <c r="CP441" s="72">
        <f>AM441</f>
        <v>761</v>
      </c>
      <c r="CQ441" s="72">
        <f>AQ441</f>
        <v>794</v>
      </c>
      <c r="CR441" s="72">
        <f>AU441</f>
        <v>828</v>
      </c>
      <c r="CS441" s="72">
        <f>AY441</f>
        <v>832</v>
      </c>
      <c r="CT441" s="23">
        <f>M441-K441</f>
        <v>1</v>
      </c>
    </row>
    <row r="442" spans="1:1030" x14ac:dyDescent="0.2">
      <c r="A442" s="3" t="str">
        <f>CONCATENATE(B442,"_",C442)</f>
        <v>grm5_human_5CGD</v>
      </c>
      <c r="B442" s="3" t="s">
        <v>41</v>
      </c>
      <c r="C442" s="3" t="s">
        <v>59</v>
      </c>
      <c r="D442" s="3" t="str">
        <f>IFERROR(MID(VLOOKUP($B442,Seqs!$A:$B,2,0),E442,1),"")</f>
        <v>P</v>
      </c>
      <c r="E442" s="3">
        <v>578</v>
      </c>
      <c r="F442" s="3" t="str">
        <f>IFERROR(MID(VLOOKUP($B442,Seqs!$A:$B,2,0),G442,1),"")</f>
        <v>Y</v>
      </c>
      <c r="G442" s="3">
        <v>604</v>
      </c>
      <c r="H442" s="3" t="str">
        <f>IFERROR(MID(VLOOKUP($B442,Seqs!$A:$B,2,0),I442,1),"")</f>
        <v>T</v>
      </c>
      <c r="I442" s="23">
        <v>607</v>
      </c>
      <c r="J442" s="3" t="str">
        <f>IFERROR(MID(VLOOKUP($B442,Seqs!$A:$B,2,0),K442,1),"")</f>
        <v>S</v>
      </c>
      <c r="K442" s="23">
        <v>613</v>
      </c>
      <c r="L442" s="3" t="str">
        <f>IFERROR(MID(VLOOKUP($B442,Seqs!$A:$B,2,0),M442,1),"")</f>
        <v>S</v>
      </c>
      <c r="M442" s="3">
        <v>614</v>
      </c>
      <c r="N442" s="3" t="str">
        <f>IFERROR(MID(VLOOKUP($B442,Seqs!$A:$B,2,0),O442,1),"")</f>
        <v>I</v>
      </c>
      <c r="O442" s="3">
        <v>636</v>
      </c>
      <c r="P442" s="3" t="str">
        <f>IFERROR(MID(VLOOKUP($B442,Seqs!$A:$B,2,0),Q442,1),"")</f>
        <v/>
      </c>
      <c r="Q442" s="3" t="s">
        <v>23</v>
      </c>
      <c r="R442" s="3" t="str">
        <f>IFERROR(MID(VLOOKUP($B442,Seqs!$A:$B,2,0),S442,1),"")</f>
        <v/>
      </c>
      <c r="S442" s="3" t="s">
        <v>23</v>
      </c>
      <c r="T442" s="3" t="str">
        <f>IFERROR(MID(VLOOKUP($B442,Seqs!$A:$B,2,0),U442,1),"")</f>
        <v>Q</v>
      </c>
      <c r="U442" s="3">
        <v>641</v>
      </c>
      <c r="V442" s="3" t="str">
        <f>IFERROR(MID(VLOOKUP($B442,Seqs!$A:$B,2,0),W442,1),"")</f>
        <v>K</v>
      </c>
      <c r="W442" s="3">
        <v>678</v>
      </c>
      <c r="X442" s="3" t="str">
        <f>IFERROR(MID(VLOOKUP($B442,Seqs!$A:$B,2,0),Y442,1),"")</f>
        <v/>
      </c>
      <c r="Y442" s="3" t="s">
        <v>23</v>
      </c>
      <c r="Z442" s="3" t="str">
        <f>IFERROR(MID(VLOOKUP($B442,Seqs!$A:$B,2,0),AA442,1),"")</f>
        <v/>
      </c>
      <c r="AA442" s="3" t="s">
        <v>23</v>
      </c>
      <c r="AB442" s="3" t="str">
        <f>IFERROR(MID(VLOOKUP($B442,Seqs!$A:$B,2,0),AC442,1),"")</f>
        <v>S</v>
      </c>
      <c r="AC442" s="9">
        <v>689</v>
      </c>
      <c r="AD442" s="3" t="str">
        <f>IFERROR(MID(VLOOKUP($B442,Seqs!$A:$B,2,0),AE442,1),"")</f>
        <v>E</v>
      </c>
      <c r="AE442" s="3">
        <v>715</v>
      </c>
      <c r="AF442" s="3" t="str">
        <f>IFERROR(MID(VLOOKUP($B442,Seqs!$A:$B,2,0),AG442,1),"")</f>
        <v>C</v>
      </c>
      <c r="AG442" s="3">
        <v>733</v>
      </c>
      <c r="AH442" s="3" t="str">
        <f>IFERROR(MID(VLOOKUP($B442,Seqs!$A:$B,2,0),AI442,1),"")</f>
        <v>T</v>
      </c>
      <c r="AI442" s="3">
        <v>735</v>
      </c>
      <c r="AJ442" s="3" t="str">
        <f>IFERROR(MID(VLOOKUP($B442,Seqs!$A:$B,2,0),AK442,1),"")</f>
        <v>N</v>
      </c>
      <c r="AK442" s="3">
        <v>737</v>
      </c>
      <c r="AL442" s="3" t="str">
        <f>IFERROR(MID(VLOOKUP($B442,Seqs!$A:$B,2,0),AM442,1),"")</f>
        <v>T</v>
      </c>
      <c r="AM442" s="3">
        <v>761</v>
      </c>
      <c r="AN442" s="3" t="str">
        <f>IFERROR(MID(VLOOKUP($B442,Seqs!$A:$B,2,0),AO442,1),"")</f>
        <v>E</v>
      </c>
      <c r="AO442" s="3">
        <v>770</v>
      </c>
      <c r="AP442" s="3" t="str">
        <f>IFERROR(MID(VLOOKUP($B442,Seqs!$A:$B,2,0),AQ442,1),"")</f>
        <v>G</v>
      </c>
      <c r="AQ442" s="3">
        <v>794</v>
      </c>
      <c r="AR442" s="3" t="str">
        <f>IFERROR(MID(VLOOKUP($B442,Seqs!$A:$B,2,0),AS442,1),"")</f>
        <v>Y</v>
      </c>
      <c r="AS442" s="105">
        <v>797</v>
      </c>
      <c r="AT442" s="3" t="str">
        <f>IFERROR(MID(VLOOKUP($B442,Seqs!$A:$B,2,0),AU442,1),"")</f>
        <v>K</v>
      </c>
      <c r="AU442" s="3">
        <v>828</v>
      </c>
      <c r="AV442" s="3" t="str">
        <f>IFERROR(MID(VLOOKUP($B442,Seqs!$A:$B,2,0),AW442,1),"")</f>
        <v>P</v>
      </c>
      <c r="AW442" s="3">
        <v>829</v>
      </c>
      <c r="AX442" s="3" t="str">
        <f>IFERROR(MID(VLOOKUP($B442,Seqs!$A:$B,2,0),AY442,1),"")</f>
        <v>R</v>
      </c>
      <c r="AY442" s="3">
        <v>831</v>
      </c>
      <c r="AZ442" s="77" t="str">
        <f>VLOOKUP(B442,Classification!A:D,2,0)</f>
        <v>C</v>
      </c>
      <c r="BA442" s="94" t="str">
        <f>VLOOKUP(B442,Classification!A:D,4,0)</f>
        <v>Metabotropicglutamate</v>
      </c>
      <c r="BB442" s="27" t="b">
        <f t="shared" si="1190"/>
        <v>1</v>
      </c>
      <c r="BC442" s="23">
        <f t="shared" si="1187"/>
        <v>212</v>
      </c>
      <c r="BD442" s="4" t="s">
        <v>23</v>
      </c>
      <c r="BE442" s="3" t="s">
        <v>1368</v>
      </c>
      <c r="BF442" s="118">
        <v>2.6</v>
      </c>
      <c r="BG442" s="49" t="s">
        <v>1371</v>
      </c>
      <c r="BH442" s="49" t="s">
        <v>1371</v>
      </c>
      <c r="BJ442" s="70" t="s">
        <v>1281</v>
      </c>
      <c r="BK442" s="57" t="s">
        <v>1281</v>
      </c>
      <c r="BL442" s="57" t="s">
        <v>1281</v>
      </c>
      <c r="BM442" s="57" t="s">
        <v>1281</v>
      </c>
      <c r="BN442" s="57" t="s">
        <v>1281</v>
      </c>
      <c r="BO442" s="57" t="s">
        <v>1281</v>
      </c>
      <c r="BP442" s="57" t="s">
        <v>1281</v>
      </c>
      <c r="BQ442" s="57" t="s">
        <v>1281</v>
      </c>
      <c r="BR442" s="57" t="s">
        <v>1281</v>
      </c>
      <c r="BS442" s="57" t="s">
        <v>1281</v>
      </c>
      <c r="BT442" s="57" t="s">
        <v>1281</v>
      </c>
      <c r="BU442" s="57" t="s">
        <v>1281</v>
      </c>
      <c r="BV442" s="70">
        <f>E442</f>
        <v>578</v>
      </c>
      <c r="BW442" s="71">
        <f>I442</f>
        <v>607</v>
      </c>
      <c r="BX442" s="72">
        <f>M442</f>
        <v>614</v>
      </c>
      <c r="BY442" s="71" t="str">
        <f>Q442</f>
        <v>-</v>
      </c>
      <c r="BZ442" s="72">
        <f>U442</f>
        <v>641</v>
      </c>
      <c r="CA442" s="71" t="str">
        <f>Y442</f>
        <v>-</v>
      </c>
      <c r="CB442" s="72">
        <f>AC442</f>
        <v>689</v>
      </c>
      <c r="CC442" s="71">
        <f>AG442</f>
        <v>733</v>
      </c>
      <c r="CD442" s="72">
        <f>AK442</f>
        <v>737</v>
      </c>
      <c r="CE442" s="71">
        <f>AO442</f>
        <v>770</v>
      </c>
      <c r="CF442" s="72">
        <f>AS442</f>
        <v>797</v>
      </c>
      <c r="CG442" s="71">
        <f>AW442</f>
        <v>829</v>
      </c>
      <c r="CH442" s="70">
        <f>G442</f>
        <v>604</v>
      </c>
      <c r="CI442" s="71">
        <f>K442</f>
        <v>613</v>
      </c>
      <c r="CJ442" s="72">
        <f>O442</f>
        <v>636</v>
      </c>
      <c r="CK442" s="72" t="str">
        <f>S442</f>
        <v>-</v>
      </c>
      <c r="CL442" s="72">
        <f>W442</f>
        <v>678</v>
      </c>
      <c r="CM442" s="72" t="str">
        <f>AA442</f>
        <v>-</v>
      </c>
      <c r="CN442" s="72">
        <f>AE442</f>
        <v>715</v>
      </c>
      <c r="CO442" s="72">
        <f>AI442</f>
        <v>735</v>
      </c>
      <c r="CP442" s="72">
        <f>AM442</f>
        <v>761</v>
      </c>
      <c r="CQ442" s="72">
        <f>AQ442</f>
        <v>794</v>
      </c>
      <c r="CR442" s="72">
        <f>AU442</f>
        <v>828</v>
      </c>
      <c r="CS442" s="72">
        <f>AY442</f>
        <v>831</v>
      </c>
      <c r="CT442" s="23">
        <f>M442-K442</f>
        <v>1</v>
      </c>
      <c r="AMP442" s="3"/>
    </row>
    <row r="443" spans="1:1030" x14ac:dyDescent="0.2">
      <c r="A443" s="3" t="str">
        <f>CONCATENATE(B443,"_",C443)</f>
        <v>grm5_human_6FFH</v>
      </c>
      <c r="B443" s="3" t="s">
        <v>41</v>
      </c>
      <c r="C443" s="3" t="s">
        <v>1468</v>
      </c>
      <c r="D443" s="3" t="str">
        <f>IFERROR(MID(VLOOKUP($B443,Seqs!$A:$B,2,0),E443,1),"")</f>
        <v>P</v>
      </c>
      <c r="E443" s="3">
        <v>578</v>
      </c>
      <c r="F443" s="3" t="str">
        <f>IFERROR(MID(VLOOKUP($B443,Seqs!$A:$B,2,0),G443,1),"")</f>
        <v>Y</v>
      </c>
      <c r="G443" s="3">
        <v>604</v>
      </c>
      <c r="H443" s="3" t="str">
        <f>IFERROR(MID(VLOOKUP($B443,Seqs!$A:$B,2,0),I443,1),"")</f>
        <v>T</v>
      </c>
      <c r="I443" s="23">
        <v>607</v>
      </c>
      <c r="J443" s="3" t="str">
        <f>IFERROR(MID(VLOOKUP($B443,Seqs!$A:$B,2,0),K443,1),"")</f>
        <v>S</v>
      </c>
      <c r="K443" s="23">
        <v>613</v>
      </c>
      <c r="L443" s="3" t="str">
        <f>IFERROR(MID(VLOOKUP($B443,Seqs!$A:$B,2,0),M443,1),"")</f>
        <v>S</v>
      </c>
      <c r="M443" s="3">
        <v>614</v>
      </c>
      <c r="N443" s="3" t="str">
        <f>IFERROR(MID(VLOOKUP($B443,Seqs!$A:$B,2,0),O443,1),"")</f>
        <v>I</v>
      </c>
      <c r="O443" s="3">
        <v>636</v>
      </c>
      <c r="P443" s="3" t="str">
        <f>IFERROR(MID(VLOOKUP($B443,Seqs!$A:$B,2,0),Q443,1),"")</f>
        <v/>
      </c>
      <c r="Q443" s="3" t="s">
        <v>23</v>
      </c>
      <c r="R443" s="3" t="str">
        <f>IFERROR(MID(VLOOKUP($B443,Seqs!$A:$B,2,0),S443,1),"")</f>
        <v/>
      </c>
      <c r="S443" s="3" t="s">
        <v>23</v>
      </c>
      <c r="T443" s="3" t="str">
        <f>IFERROR(MID(VLOOKUP($B443,Seqs!$A:$B,2,0),U443,1),"")</f>
        <v>K</v>
      </c>
      <c r="U443" s="3">
        <v>640</v>
      </c>
      <c r="V443" s="3" t="str">
        <f>IFERROR(MID(VLOOKUP($B443,Seqs!$A:$B,2,0),W443,1),"")</f>
        <v>K</v>
      </c>
      <c r="W443" s="3">
        <v>678</v>
      </c>
      <c r="X443" s="3" t="str">
        <f>IFERROR(MID(VLOOKUP($B443,Seqs!$A:$B,2,0),Y443,1),"")</f>
        <v/>
      </c>
      <c r="Y443" s="3" t="s">
        <v>23</v>
      </c>
      <c r="Z443" s="3" t="str">
        <f>IFERROR(MID(VLOOKUP($B443,Seqs!$A:$B,2,0),AA443,1),"")</f>
        <v/>
      </c>
      <c r="AA443" s="3" t="s">
        <v>23</v>
      </c>
      <c r="AB443" s="3" t="str">
        <f>IFERROR(MID(VLOOKUP($B443,Seqs!$A:$B,2,0),AC443,1),"")</f>
        <v/>
      </c>
      <c r="AC443" s="3">
        <v>1689</v>
      </c>
      <c r="AD443" s="3" t="str">
        <f>IFERROR(MID(VLOOKUP($B443,Seqs!$A:$B,2,0),AE443,1),"")</f>
        <v/>
      </c>
      <c r="AE443" s="3">
        <v>1715</v>
      </c>
      <c r="AF443" s="3" t="str">
        <f>IFERROR(MID(VLOOKUP($B443,Seqs!$A:$B,2,0),AG443,1),"")</f>
        <v/>
      </c>
      <c r="AG443" s="3">
        <v>1733</v>
      </c>
      <c r="AH443" s="3" t="str">
        <f>IFERROR(MID(VLOOKUP($B443,Seqs!$A:$B,2,0),AI443,1),"")</f>
        <v/>
      </c>
      <c r="AI443" s="3">
        <v>1735</v>
      </c>
      <c r="AJ443" s="3" t="str">
        <f>IFERROR(MID(VLOOKUP($B443,Seqs!$A:$B,2,0),AK443,1),"")</f>
        <v/>
      </c>
      <c r="AK443" s="3">
        <v>1736</v>
      </c>
      <c r="AL443" s="3" t="str">
        <f>IFERROR(MID(VLOOKUP($B443,Seqs!$A:$B,2,0),AM443,1),"")</f>
        <v/>
      </c>
      <c r="AM443" s="3">
        <v>1761</v>
      </c>
      <c r="AN443" s="3" t="str">
        <f>IFERROR(MID(VLOOKUP($B443,Seqs!$A:$B,2,0),AO443,1),"")</f>
        <v/>
      </c>
      <c r="AO443" s="3">
        <v>1770</v>
      </c>
      <c r="AP443" s="3" t="str">
        <f>IFERROR(MID(VLOOKUP($B443,Seqs!$A:$B,2,0),AQ443,1),"")</f>
        <v/>
      </c>
      <c r="AQ443" s="3">
        <v>1794</v>
      </c>
      <c r="AR443" s="3" t="str">
        <f>IFERROR(MID(VLOOKUP($B443,Seqs!$A:$B,2,0),AS443,1),"")</f>
        <v/>
      </c>
      <c r="AS443" s="3">
        <v>1797</v>
      </c>
      <c r="AT443" s="3" t="str">
        <f>IFERROR(MID(VLOOKUP($B443,Seqs!$A:$B,2,0),AU443,1),"")</f>
        <v/>
      </c>
      <c r="AU443" s="3">
        <v>1828</v>
      </c>
      <c r="AV443" s="3" t="str">
        <f>IFERROR(MID(VLOOKUP($B443,Seqs!$A:$B,2,0),AW443,1),"")</f>
        <v/>
      </c>
      <c r="AW443" s="3">
        <v>1829</v>
      </c>
      <c r="AX443" s="3" t="str">
        <f>IFERROR(MID(VLOOKUP($B443,Seqs!$A:$B,2,0),AY443,1),"")</f>
        <v/>
      </c>
      <c r="AY443" s="3">
        <v>1832</v>
      </c>
      <c r="AZ443" s="77" t="str">
        <f>VLOOKUP(B443,Classification!A:D,2,0)</f>
        <v>C</v>
      </c>
      <c r="BA443" s="94" t="str">
        <f>VLOOKUP(B443,Classification!A:D,4,0)</f>
        <v>Metabotropicglutamate</v>
      </c>
      <c r="BB443" s="27" t="b">
        <f>AND(E443&lt;G443,OR(G443&lt;I443,I443="-"),OR(I443&lt;K443,I443="-"),OR(K443&lt;M443,K443="-"),M443&lt;O443,OR(O443&lt;Q443,Q443="-"),OR(Q443&lt;S443,Q443="-"),OR(S443&lt;U443,S443="-"),U443&lt;W443,OR(W443&lt;Y443,Y443="-"),OR(Y443&lt;AA443,Y443="-"),OR(AA443&lt;AC443,AA443="-"),AC443&lt;AE443,OR(AE443&lt;AG443,AG443="-"),OR(AG443&lt;AI443,AG443="-"),OR(AI443&lt;AK443,AI443="-"),AK443&lt;AM443,AM443&lt;AO443,AO443&lt;AQ443,AQ443&lt;AS443,AS443&lt;AU443,OR(AU443&lt;AW443,AW443="-"),OR(AW443&lt;AY443,AW443="-"))</f>
        <v>1</v>
      </c>
      <c r="BC443" s="23">
        <f>_xlfn.AGGREGATE(9,6,CH443:CS443)-_xlfn.AGGREGATE(9,6,BV443:CG443)+12</f>
        <v>215</v>
      </c>
      <c r="BD443" s="4" t="s">
        <v>23</v>
      </c>
      <c r="BE443" s="3" t="s">
        <v>1368</v>
      </c>
      <c r="BF443" s="118">
        <v>2.65</v>
      </c>
      <c r="BG443" s="49" t="s">
        <v>1</v>
      </c>
      <c r="BH443" s="49" t="s">
        <v>1</v>
      </c>
      <c r="BJ443" s="70" t="s">
        <v>1281</v>
      </c>
      <c r="BK443" s="57" t="s">
        <v>1281</v>
      </c>
      <c r="BL443" s="57" t="s">
        <v>1281</v>
      </c>
      <c r="BM443" s="57" t="s">
        <v>1281</v>
      </c>
      <c r="BN443" s="57" t="s">
        <v>1281</v>
      </c>
      <c r="BO443" s="57" t="s">
        <v>1281</v>
      </c>
      <c r="BP443" s="57" t="s">
        <v>1281</v>
      </c>
      <c r="BQ443" s="57" t="s">
        <v>1281</v>
      </c>
      <c r="BR443" s="57" t="s">
        <v>1281</v>
      </c>
      <c r="BS443" s="57" t="s">
        <v>1281</v>
      </c>
      <c r="BT443" s="57" t="s">
        <v>1281</v>
      </c>
      <c r="BU443" s="57" t="s">
        <v>1281</v>
      </c>
      <c r="BV443" s="70">
        <f>E443</f>
        <v>578</v>
      </c>
      <c r="BW443" s="71">
        <f>I443</f>
        <v>607</v>
      </c>
      <c r="BX443" s="72">
        <f>M443</f>
        <v>614</v>
      </c>
      <c r="BY443" s="71" t="str">
        <f>Q443</f>
        <v>-</v>
      </c>
      <c r="BZ443" s="72">
        <f>U443</f>
        <v>640</v>
      </c>
      <c r="CA443" s="71" t="str">
        <f>Y443</f>
        <v>-</v>
      </c>
      <c r="CB443" s="72">
        <f>AC443</f>
        <v>1689</v>
      </c>
      <c r="CC443" s="71">
        <f>AG443</f>
        <v>1733</v>
      </c>
      <c r="CD443" s="72">
        <f>AK443</f>
        <v>1736</v>
      </c>
      <c r="CE443" s="71">
        <f>AO443</f>
        <v>1770</v>
      </c>
      <c r="CF443" s="72">
        <f>AS443</f>
        <v>1797</v>
      </c>
      <c r="CG443" s="71">
        <f>AW443</f>
        <v>1829</v>
      </c>
      <c r="CH443" s="70">
        <f>G443</f>
        <v>604</v>
      </c>
      <c r="CI443" s="71">
        <f>K443</f>
        <v>613</v>
      </c>
      <c r="CJ443" s="72">
        <f>O443</f>
        <v>636</v>
      </c>
      <c r="CK443" s="72" t="str">
        <f>S443</f>
        <v>-</v>
      </c>
      <c r="CL443" s="72">
        <f>W443</f>
        <v>678</v>
      </c>
      <c r="CM443" s="72" t="str">
        <f>AA443</f>
        <v>-</v>
      </c>
      <c r="CN443" s="72">
        <f>AE443</f>
        <v>1715</v>
      </c>
      <c r="CO443" s="72">
        <f>AI443</f>
        <v>1735</v>
      </c>
      <c r="CP443" s="72">
        <f>AM443</f>
        <v>1761</v>
      </c>
      <c r="CQ443" s="72">
        <f>AQ443</f>
        <v>1794</v>
      </c>
      <c r="CR443" s="72">
        <f>AU443</f>
        <v>1828</v>
      </c>
      <c r="CS443" s="72">
        <f>AY443</f>
        <v>1832</v>
      </c>
      <c r="CT443" s="23">
        <f>M443-K443</f>
        <v>1</v>
      </c>
      <c r="AMP443" s="3"/>
    </row>
    <row r="444" spans="1:1030" x14ac:dyDescent="0.2">
      <c r="A444" s="3" t="str">
        <f>CONCATENATE(B444,"_",C444)</f>
        <v>grm5_human_6FFI</v>
      </c>
      <c r="B444" s="3" t="s">
        <v>41</v>
      </c>
      <c r="C444" s="3" t="s">
        <v>1469</v>
      </c>
      <c r="D444" s="3" t="str">
        <f>IFERROR(MID(VLOOKUP($B444,Seqs!$A:$B,2,0),E444,1),"")</f>
        <v>P</v>
      </c>
      <c r="E444" s="3">
        <v>578</v>
      </c>
      <c r="F444" s="3" t="str">
        <f>IFERROR(MID(VLOOKUP($B444,Seqs!$A:$B,2,0),G444,1),"")</f>
        <v>Y</v>
      </c>
      <c r="G444" s="3">
        <v>604</v>
      </c>
      <c r="H444" s="3" t="str">
        <f>IFERROR(MID(VLOOKUP($B444,Seqs!$A:$B,2,0),I444,1),"")</f>
        <v>T</v>
      </c>
      <c r="I444" s="23">
        <v>607</v>
      </c>
      <c r="J444" s="3" t="str">
        <f>IFERROR(MID(VLOOKUP($B444,Seqs!$A:$B,2,0),K444,1),"")</f>
        <v>S</v>
      </c>
      <c r="K444" s="23">
        <v>613</v>
      </c>
      <c r="L444" s="3" t="str">
        <f>IFERROR(MID(VLOOKUP($B444,Seqs!$A:$B,2,0),M444,1),"")</f>
        <v>S</v>
      </c>
      <c r="M444" s="3">
        <v>614</v>
      </c>
      <c r="N444" s="3" t="str">
        <f>IFERROR(MID(VLOOKUP($B444,Seqs!$A:$B,2,0),O444,1),"")</f>
        <v>I</v>
      </c>
      <c r="O444" s="3">
        <v>636</v>
      </c>
      <c r="P444" s="3" t="str">
        <f>IFERROR(MID(VLOOKUP($B444,Seqs!$A:$B,2,0),Q444,1),"")</f>
        <v/>
      </c>
      <c r="Q444" s="3" t="s">
        <v>23</v>
      </c>
      <c r="R444" s="3" t="str">
        <f>IFERROR(MID(VLOOKUP($B444,Seqs!$A:$B,2,0),S444,1),"")</f>
        <v/>
      </c>
      <c r="S444" s="3" t="s">
        <v>23</v>
      </c>
      <c r="T444" s="3" t="str">
        <f>IFERROR(MID(VLOOKUP($B444,Seqs!$A:$B,2,0),U444,1),"")</f>
        <v>K</v>
      </c>
      <c r="U444" s="3">
        <v>640</v>
      </c>
      <c r="V444" s="3" t="str">
        <f>IFERROR(MID(VLOOKUP($B444,Seqs!$A:$B,2,0),W444,1),"")</f>
        <v>K</v>
      </c>
      <c r="W444" s="3">
        <v>678</v>
      </c>
      <c r="X444" s="3" t="str">
        <f>IFERROR(MID(VLOOKUP($B444,Seqs!$A:$B,2,0),Y444,1),"")</f>
        <v/>
      </c>
      <c r="Y444" s="3" t="s">
        <v>23</v>
      </c>
      <c r="Z444" s="3" t="str">
        <f>IFERROR(MID(VLOOKUP($B444,Seqs!$A:$B,2,0),AA444,1),"")</f>
        <v/>
      </c>
      <c r="AA444" s="3" t="s">
        <v>23</v>
      </c>
      <c r="AB444" s="3" t="str">
        <f>IFERROR(MID(VLOOKUP($B444,Seqs!$A:$B,2,0),AC444,1),"")</f>
        <v>D</v>
      </c>
      <c r="AC444" s="3">
        <v>849</v>
      </c>
      <c r="AD444" s="3" t="str">
        <f>IFERROR(MID(VLOOKUP($B444,Seqs!$A:$B,2,0),AE444,1),"")</f>
        <v>T</v>
      </c>
      <c r="AE444" s="3">
        <v>875</v>
      </c>
      <c r="AF444" s="3" t="str">
        <f>IFERROR(MID(VLOOKUP($B444,Seqs!$A:$B,2,0),AG444,1),"")</f>
        <v>F</v>
      </c>
      <c r="AG444" s="3">
        <v>893</v>
      </c>
      <c r="AH444" s="3" t="str">
        <f>IFERROR(MID(VLOOKUP($B444,Seqs!$A:$B,2,0),AI444,1),"")</f>
        <v>P</v>
      </c>
      <c r="AI444" s="3">
        <v>895</v>
      </c>
      <c r="AJ444" s="3" t="str">
        <f>IFERROR(MID(VLOOKUP($B444,Seqs!$A:$B,2,0),AK444,1),"")</f>
        <v>K</v>
      </c>
      <c r="AK444" s="3">
        <v>896</v>
      </c>
      <c r="AL444" s="3" t="str">
        <f>IFERROR(MID(VLOOKUP($B444,Seqs!$A:$B,2,0),AM444,1),"")</f>
        <v>E</v>
      </c>
      <c r="AM444" s="3">
        <v>921</v>
      </c>
      <c r="AN444" s="3" t="str">
        <f>IFERROR(MID(VLOOKUP($B444,Seqs!$A:$B,2,0),AO444,1),"")</f>
        <v>L</v>
      </c>
      <c r="AO444" s="3">
        <v>929</v>
      </c>
      <c r="AP444" s="3" t="str">
        <f>IFERROR(MID(VLOOKUP($B444,Seqs!$A:$B,2,0),AQ444,1),"")</f>
        <v>S</v>
      </c>
      <c r="AQ444" s="3">
        <v>955</v>
      </c>
      <c r="AR444" s="3" t="str">
        <f>IFERROR(MID(VLOOKUP($B444,Seqs!$A:$B,2,0),AS444,1),"")</f>
        <v>E</v>
      </c>
      <c r="AS444" s="3">
        <v>957</v>
      </c>
      <c r="AT444" s="3" t="str">
        <f>IFERROR(MID(VLOOKUP($B444,Seqs!$A:$B,2,0),AU444,1),"")</f>
        <v>G</v>
      </c>
      <c r="AU444" s="3">
        <v>988</v>
      </c>
      <c r="AV444" s="3" t="str">
        <f>IFERROR(MID(VLOOKUP($B444,Seqs!$A:$B,2,0),AW444,1),"")</f>
        <v>G</v>
      </c>
      <c r="AW444" s="3">
        <v>989</v>
      </c>
      <c r="AX444" s="3" t="str">
        <f>IFERROR(MID(VLOOKUP($B444,Seqs!$A:$B,2,0),AY444,1),"")</f>
        <v>S</v>
      </c>
      <c r="AY444" s="3">
        <v>992</v>
      </c>
      <c r="AZ444" s="77" t="str">
        <f>VLOOKUP(B444,Classification!A:D,2,0)</f>
        <v>C</v>
      </c>
      <c r="BA444" s="94" t="str">
        <f>VLOOKUP(B444,Classification!A:D,4,0)</f>
        <v>Metabotropicglutamate</v>
      </c>
      <c r="BB444" s="27" t="b">
        <f>AND(E444&lt;G444,OR(G444&lt;I444,I444="-"),OR(I444&lt;K444,I444="-"),OR(K444&lt;M444,K444="-"),M444&lt;O444,OR(O444&lt;Q444,Q444="-"),OR(Q444&lt;S444,Q444="-"),OR(S444&lt;U444,S444="-"),U444&lt;W444,OR(W444&lt;Y444,Y444="-"),OR(Y444&lt;AA444,Y444="-"),OR(AA444&lt;AC444,AA444="-"),AC444&lt;AE444,OR(AE444&lt;AG444,AG444="-"),OR(AG444&lt;AI444,AG444="-"),OR(AI444&lt;AK444,AI444="-"),AK444&lt;AM444,AM444&lt;AO444,AO444&lt;AQ444,AQ444&lt;AS444,AS444&lt;AU444,OR(AU444&lt;AW444,AW444="-"),OR(AW444&lt;AY444,AW444="-"))</f>
        <v>1</v>
      </c>
      <c r="BC444" s="23">
        <f>_xlfn.AGGREGATE(9,6,CH444:CS444)-_xlfn.AGGREGATE(9,6,BV444:CG444)+12</f>
        <v>217</v>
      </c>
      <c r="BD444" s="4" t="s">
        <v>23</v>
      </c>
      <c r="BE444" s="3" t="s">
        <v>1368</v>
      </c>
      <c r="BF444" s="118">
        <v>2.2000000000000002</v>
      </c>
      <c r="BG444" s="49" t="s">
        <v>1</v>
      </c>
      <c r="BH444" s="49" t="s">
        <v>1</v>
      </c>
      <c r="BJ444" s="70" t="s">
        <v>1281</v>
      </c>
      <c r="BK444" s="57" t="s">
        <v>1281</v>
      </c>
      <c r="BL444" s="57" t="s">
        <v>1281</v>
      </c>
      <c r="BM444" s="57" t="s">
        <v>1281</v>
      </c>
      <c r="BN444" s="57" t="s">
        <v>1281</v>
      </c>
      <c r="BO444" s="57" t="s">
        <v>1281</v>
      </c>
      <c r="BP444" s="57" t="s">
        <v>1281</v>
      </c>
      <c r="BQ444" s="57" t="s">
        <v>1281</v>
      </c>
      <c r="BR444" s="57" t="s">
        <v>1281</v>
      </c>
      <c r="BS444" s="57" t="s">
        <v>1281</v>
      </c>
      <c r="BT444" s="57" t="s">
        <v>1281</v>
      </c>
      <c r="BU444" s="57" t="s">
        <v>1281</v>
      </c>
      <c r="BV444" s="70">
        <f>E444</f>
        <v>578</v>
      </c>
      <c r="BW444" s="71">
        <f>I444</f>
        <v>607</v>
      </c>
      <c r="BX444" s="72">
        <f>M444</f>
        <v>614</v>
      </c>
      <c r="BY444" s="71" t="str">
        <f>Q444</f>
        <v>-</v>
      </c>
      <c r="BZ444" s="72">
        <f>U444</f>
        <v>640</v>
      </c>
      <c r="CA444" s="71" t="str">
        <f>Y444</f>
        <v>-</v>
      </c>
      <c r="CB444" s="72">
        <f>AC444</f>
        <v>849</v>
      </c>
      <c r="CC444" s="71">
        <f>AG444</f>
        <v>893</v>
      </c>
      <c r="CD444" s="72">
        <f>AK444</f>
        <v>896</v>
      </c>
      <c r="CE444" s="71">
        <f>AO444</f>
        <v>929</v>
      </c>
      <c r="CF444" s="72">
        <f>AS444</f>
        <v>957</v>
      </c>
      <c r="CG444" s="71">
        <f>AW444</f>
        <v>989</v>
      </c>
      <c r="CH444" s="70">
        <f>G444</f>
        <v>604</v>
      </c>
      <c r="CI444" s="71">
        <f>K444</f>
        <v>613</v>
      </c>
      <c r="CJ444" s="72">
        <f>O444</f>
        <v>636</v>
      </c>
      <c r="CK444" s="72" t="str">
        <f>S444</f>
        <v>-</v>
      </c>
      <c r="CL444" s="72">
        <f>W444</f>
        <v>678</v>
      </c>
      <c r="CM444" s="72" t="str">
        <f>AA444</f>
        <v>-</v>
      </c>
      <c r="CN444" s="72">
        <f>AE444</f>
        <v>875</v>
      </c>
      <c r="CO444" s="72">
        <f>AI444</f>
        <v>895</v>
      </c>
      <c r="CP444" s="72">
        <f>AM444</f>
        <v>921</v>
      </c>
      <c r="CQ444" s="72">
        <f>AQ444</f>
        <v>955</v>
      </c>
      <c r="CR444" s="72">
        <f>AU444</f>
        <v>988</v>
      </c>
      <c r="CS444" s="72">
        <f>AY444</f>
        <v>992</v>
      </c>
      <c r="CT444" s="23">
        <f>M444-K444</f>
        <v>1</v>
      </c>
      <c r="AMP444" s="3"/>
    </row>
    <row r="445" spans="1:1030" s="12" customFormat="1" x14ac:dyDescent="0.2">
      <c r="A445" s="9" t="str">
        <f>CONCATENATE(B445,"_",C445)</f>
        <v>grm5_human_6N51</v>
      </c>
      <c r="B445" s="9" t="s">
        <v>41</v>
      </c>
      <c r="C445" s="9" t="s">
        <v>1546</v>
      </c>
      <c r="D445" s="9" t="str">
        <f>IFERROR(MID(VLOOKUP($B445,Seqs!$A:$B,2,0),E445,1),"")</f>
        <v>D</v>
      </c>
      <c r="E445" s="9">
        <v>577</v>
      </c>
      <c r="F445" s="9" t="str">
        <f>IFERROR(MID(VLOOKUP($B445,Seqs!$A:$B,2,0),G445,1),"")</f>
        <v>I</v>
      </c>
      <c r="G445" s="9">
        <v>602</v>
      </c>
      <c r="H445" s="9" t="str">
        <f>IFERROR(MID(VLOOKUP($B445,Seqs!$A:$B,2,0),I445,1),"")</f>
        <v>T</v>
      </c>
      <c r="I445" s="109">
        <v>607</v>
      </c>
      <c r="J445" s="9" t="str">
        <f>IFERROR(MID(VLOOKUP($B445,Seqs!$A:$B,2,0),K445,1),"")</f>
        <v>S</v>
      </c>
      <c r="K445" s="109">
        <v>613</v>
      </c>
      <c r="L445" s="9" t="str">
        <f>IFERROR(MID(VLOOKUP($B445,Seqs!$A:$B,2,0),M445,1),"")</f>
        <v>S</v>
      </c>
      <c r="M445" s="9">
        <v>614</v>
      </c>
      <c r="N445" s="9" t="str">
        <f>IFERROR(MID(VLOOKUP($B445,Seqs!$A:$B,2,0),O445,1),"")</f>
        <v>C</v>
      </c>
      <c r="O445" s="9">
        <v>634</v>
      </c>
      <c r="P445" s="9" t="str">
        <f>IFERROR(MID(VLOOKUP($B445,Seqs!$A:$B,2,0),Q445,1),"")</f>
        <v/>
      </c>
      <c r="Q445" s="9" t="s">
        <v>23</v>
      </c>
      <c r="R445" s="9" t="str">
        <f>IFERROR(MID(VLOOKUP($B445,Seqs!$A:$B,2,0),S445,1),"")</f>
        <v/>
      </c>
      <c r="S445" s="9" t="s">
        <v>23</v>
      </c>
      <c r="T445" s="9" t="str">
        <f>IFERROR(MID(VLOOKUP($B445,Seqs!$A:$B,2,0),U445,1),"")</f>
        <v>K</v>
      </c>
      <c r="U445" s="9">
        <v>640</v>
      </c>
      <c r="V445" s="9" t="str">
        <f>IFERROR(MID(VLOOKUP($B445,Seqs!$A:$B,2,0),W445,1),"")</f>
        <v>A</v>
      </c>
      <c r="W445" s="9">
        <v>674</v>
      </c>
      <c r="X445" s="9" t="str">
        <f>IFERROR(MID(VLOOKUP($B445,Seqs!$A:$B,2,0),Y445,1),"")</f>
        <v/>
      </c>
      <c r="Y445" s="9" t="s">
        <v>23</v>
      </c>
      <c r="Z445" s="9" t="str">
        <f>IFERROR(MID(VLOOKUP($B445,Seqs!$A:$B,2,0),AA445,1),"")</f>
        <v/>
      </c>
      <c r="AA445" s="9" t="s">
        <v>23</v>
      </c>
      <c r="AB445" s="9" t="str">
        <f>IFERROR(MID(VLOOKUP($B445,Seqs!$A:$B,2,0),AC445,1),"")</f>
        <v>S</v>
      </c>
      <c r="AC445" s="9">
        <v>689</v>
      </c>
      <c r="AD445" s="9" t="str">
        <f>IFERROR(MID(VLOOKUP($B445,Seqs!$A:$B,2,0),AE445,1),"")</f>
        <v>E</v>
      </c>
      <c r="AE445" s="9">
        <v>715</v>
      </c>
      <c r="AF445" s="9" t="str">
        <f>IFERROR(MID(VLOOKUP($B445,Seqs!$A:$B,2,0),AG445,1),"")</f>
        <v>C</v>
      </c>
      <c r="AG445" s="9">
        <v>733</v>
      </c>
      <c r="AH445" s="9" t="str">
        <f>IFERROR(MID(VLOOKUP($B445,Seqs!$A:$B,2,0),AI445,1),"")</f>
        <v>T</v>
      </c>
      <c r="AI445" s="9">
        <v>735</v>
      </c>
      <c r="AJ445" s="9" t="str">
        <f>IFERROR(MID(VLOOKUP($B445,Seqs!$A:$B,2,0),AK445,1),"")</f>
        <v>N</v>
      </c>
      <c r="AK445" s="9">
        <v>737</v>
      </c>
      <c r="AL445" s="9" t="str">
        <f>IFERROR(MID(VLOOKUP($B445,Seqs!$A:$B,2,0),AM445,1),"")</f>
        <v>A</v>
      </c>
      <c r="AM445" s="9">
        <v>758</v>
      </c>
      <c r="AN445" s="9" t="str">
        <f>IFERROR(MID(VLOOKUP($B445,Seqs!$A:$B,2,0),AO445,1),"")</f>
        <v>N</v>
      </c>
      <c r="AO445" s="9">
        <v>769</v>
      </c>
      <c r="AP445" s="9" t="str">
        <f>IFERROR(MID(VLOOKUP($B445,Seqs!$A:$B,2,0),AQ445,1),"")</f>
        <v>G</v>
      </c>
      <c r="AQ445" s="9">
        <v>794</v>
      </c>
      <c r="AR445" s="9" t="str">
        <f>IFERROR(MID(VLOOKUP($B445,Seqs!$A:$B,2,0),AS445,1),"")</f>
        <v>I</v>
      </c>
      <c r="AS445" s="9">
        <v>799</v>
      </c>
      <c r="AT445" s="9" t="str">
        <f>IFERROR(MID(VLOOKUP($B445,Seqs!$A:$B,2,0),AU445,1),"")</f>
        <v>L</v>
      </c>
      <c r="AU445" s="9">
        <v>826</v>
      </c>
      <c r="AV445" s="9" t="str">
        <f>IFERROR(MID(VLOOKUP($B445,Seqs!$A:$B,2,0),AW445,1),"")</f>
        <v/>
      </c>
      <c r="AW445" s="9" t="s">
        <v>23</v>
      </c>
      <c r="AX445" s="9" t="str">
        <f>IFERROR(MID(VLOOKUP($B445,Seqs!$A:$B,2,0),AY445,1),"")</f>
        <v/>
      </c>
      <c r="AY445" s="9" t="s">
        <v>23</v>
      </c>
      <c r="AZ445" s="110" t="str">
        <f>VLOOKUP(B445,Classification!A:D,2,0)</f>
        <v>C</v>
      </c>
      <c r="BA445" s="98" t="str">
        <f>VLOOKUP(B445,Classification!A:D,4,0)</f>
        <v>Metabotropicglutamate</v>
      </c>
      <c r="BB445" s="36" t="b">
        <f>AND(E445&lt;G445,OR(G445&lt;I445,I445="-"),OR(I445&lt;K445,I445="-"),OR(K445&lt;M445,K445="-"),M445&lt;O445,OR(O445&lt;Q445,Q445="-"),OR(Q445&lt;S445,Q445="-"),OR(S445&lt;U445,S445="-"),U445&lt;W445,OR(W445&lt;Y445,Y445="-"),OR(Y445&lt;AA445,Y445="-"),OR(AA445&lt;AC445,AA445="-"),AC445&lt;AE445,OR(AE445&lt;AG445,AG445="-"),OR(AG445&lt;AI445,AG445="-"),OR(AI445&lt;AK445,AI445="-"),AK445&lt;AM445,AM445&lt;AO445,AO445&lt;AQ445,AQ445&lt;AS445,AS445&lt;AU445,OR(AU445&lt;AW445,AW445="-"),OR(AW445&lt;AY445,AW445="-"))</f>
        <v>1</v>
      </c>
      <c r="BC445" s="109">
        <f>_xlfn.AGGREGATE(9,6,CH445:CS445)-_xlfn.AGGREGATE(9,6,BV445:CG445)+12</f>
        <v>198</v>
      </c>
      <c r="BD445" s="11" t="s">
        <v>23</v>
      </c>
      <c r="BE445" s="9" t="s">
        <v>1368</v>
      </c>
      <c r="BF445" s="119">
        <v>4</v>
      </c>
      <c r="BG445" s="51" t="s">
        <v>1275</v>
      </c>
      <c r="BH445" s="51" t="s">
        <v>1275</v>
      </c>
      <c r="BI445" s="9"/>
      <c r="BJ445" s="111" t="s">
        <v>1281</v>
      </c>
      <c r="BK445" s="112" t="s">
        <v>1281</v>
      </c>
      <c r="BL445" s="112" t="s">
        <v>1281</v>
      </c>
      <c r="BM445" s="112" t="s">
        <v>1281</v>
      </c>
      <c r="BN445" s="112" t="s">
        <v>1281</v>
      </c>
      <c r="BO445" s="112" t="s">
        <v>1281</v>
      </c>
      <c r="BP445" s="112" t="s">
        <v>1281</v>
      </c>
      <c r="BQ445" s="112" t="s">
        <v>1281</v>
      </c>
      <c r="BR445" s="112" t="s">
        <v>1281</v>
      </c>
      <c r="BS445" s="112" t="s">
        <v>1281</v>
      </c>
      <c r="BT445" s="112" t="s">
        <v>1281</v>
      </c>
      <c r="BU445" s="112" t="s">
        <v>1281</v>
      </c>
      <c r="BV445" s="111">
        <f>E445</f>
        <v>577</v>
      </c>
      <c r="BW445" s="113">
        <f>I445</f>
        <v>607</v>
      </c>
      <c r="BX445" s="114">
        <f>M445</f>
        <v>614</v>
      </c>
      <c r="BY445" s="113" t="str">
        <f>Q445</f>
        <v>-</v>
      </c>
      <c r="BZ445" s="114">
        <f>U445</f>
        <v>640</v>
      </c>
      <c r="CA445" s="113" t="str">
        <f>Y445</f>
        <v>-</v>
      </c>
      <c r="CB445" s="114">
        <f>AC445</f>
        <v>689</v>
      </c>
      <c r="CC445" s="113">
        <f>AG445</f>
        <v>733</v>
      </c>
      <c r="CD445" s="114">
        <f>AK445</f>
        <v>737</v>
      </c>
      <c r="CE445" s="113">
        <f>AO445</f>
        <v>769</v>
      </c>
      <c r="CF445" s="114">
        <f>AS445</f>
        <v>799</v>
      </c>
      <c r="CG445" s="113" t="str">
        <f>AW445</f>
        <v>-</v>
      </c>
      <c r="CH445" s="111">
        <f>G445</f>
        <v>602</v>
      </c>
      <c r="CI445" s="113">
        <f>K445</f>
        <v>613</v>
      </c>
      <c r="CJ445" s="114">
        <f>O445</f>
        <v>634</v>
      </c>
      <c r="CK445" s="114" t="str">
        <f>S445</f>
        <v>-</v>
      </c>
      <c r="CL445" s="114">
        <f>W445</f>
        <v>674</v>
      </c>
      <c r="CM445" s="114" t="str">
        <f>AA445</f>
        <v>-</v>
      </c>
      <c r="CN445" s="114">
        <f>AE445</f>
        <v>715</v>
      </c>
      <c r="CO445" s="114">
        <f>AI445</f>
        <v>735</v>
      </c>
      <c r="CP445" s="114">
        <f>AM445</f>
        <v>758</v>
      </c>
      <c r="CQ445" s="114">
        <f>AQ445</f>
        <v>794</v>
      </c>
      <c r="CR445" s="114">
        <f>AU445</f>
        <v>826</v>
      </c>
      <c r="CS445" s="114" t="str">
        <f>AY445</f>
        <v>-</v>
      </c>
      <c r="CT445" s="109">
        <f>M445-K445</f>
        <v>1</v>
      </c>
      <c r="CU445" s="9"/>
      <c r="CV445" s="9"/>
      <c r="CW445" s="9"/>
      <c r="CX445" s="9"/>
      <c r="CY445" s="9"/>
      <c r="CZ445" s="9"/>
      <c r="DA445" s="9"/>
      <c r="DB445" s="9"/>
      <c r="DC445" s="9"/>
      <c r="DD445" s="9"/>
      <c r="DE445" s="9"/>
      <c r="DF445" s="9"/>
      <c r="DG445" s="9"/>
      <c r="DH445" s="9"/>
      <c r="DI445" s="9"/>
      <c r="DJ445" s="9"/>
      <c r="DK445" s="9"/>
      <c r="DL445" s="9"/>
      <c r="DM445" s="9"/>
      <c r="DN445" s="9"/>
      <c r="DO445" s="9"/>
      <c r="DP445" s="9"/>
      <c r="DQ445" s="9"/>
      <c r="DR445" s="9"/>
      <c r="DS445" s="9"/>
      <c r="DT445" s="9"/>
      <c r="DU445" s="9"/>
      <c r="DV445" s="9"/>
      <c r="DW445" s="9"/>
      <c r="DX445" s="9"/>
      <c r="DY445" s="9"/>
      <c r="DZ445" s="9"/>
      <c r="EA445" s="9"/>
      <c r="EB445" s="9"/>
      <c r="EC445" s="9"/>
      <c r="ED445" s="9"/>
      <c r="EE445" s="9"/>
      <c r="EF445" s="9"/>
      <c r="EG445" s="9"/>
      <c r="EH445" s="9"/>
      <c r="EI445" s="9"/>
      <c r="EJ445" s="9"/>
      <c r="EK445" s="9"/>
      <c r="EL445" s="9"/>
      <c r="EM445" s="9"/>
      <c r="EN445" s="9"/>
      <c r="EO445" s="9"/>
      <c r="EP445" s="9"/>
      <c r="EQ445" s="9"/>
      <c r="ER445" s="9"/>
      <c r="ES445" s="9"/>
      <c r="ET445" s="9"/>
      <c r="EU445" s="9"/>
      <c r="EV445" s="9"/>
      <c r="EW445" s="9"/>
      <c r="EX445" s="9"/>
      <c r="EY445" s="9"/>
      <c r="EZ445" s="9"/>
      <c r="FA445" s="9"/>
      <c r="FB445" s="9"/>
      <c r="FC445" s="9"/>
      <c r="FD445" s="9"/>
      <c r="FE445" s="9"/>
      <c r="FF445" s="9"/>
      <c r="FG445" s="9"/>
      <c r="FH445" s="9"/>
      <c r="FI445" s="9"/>
      <c r="FJ445" s="9"/>
      <c r="FK445" s="9"/>
      <c r="FL445" s="9"/>
      <c r="FM445" s="9"/>
      <c r="FN445" s="9"/>
      <c r="FO445" s="9"/>
      <c r="FP445" s="9"/>
      <c r="FQ445" s="9"/>
      <c r="FR445" s="9"/>
      <c r="FS445" s="9"/>
      <c r="FT445" s="9"/>
      <c r="FU445" s="9"/>
      <c r="FV445" s="9"/>
      <c r="FW445" s="9"/>
      <c r="FX445" s="9"/>
      <c r="FY445" s="9"/>
      <c r="FZ445" s="9"/>
      <c r="GA445" s="9"/>
      <c r="GB445" s="9"/>
      <c r="GC445" s="9"/>
      <c r="GD445" s="9"/>
      <c r="GE445" s="9"/>
      <c r="GF445" s="9"/>
      <c r="GG445" s="9"/>
      <c r="GH445" s="9"/>
      <c r="GI445" s="9"/>
      <c r="GJ445" s="9"/>
      <c r="GK445" s="9"/>
      <c r="GL445" s="9"/>
      <c r="GM445" s="9"/>
      <c r="GN445" s="9"/>
      <c r="GO445" s="9"/>
      <c r="GP445" s="9"/>
      <c r="GQ445" s="9"/>
      <c r="GR445" s="9"/>
      <c r="GS445" s="9"/>
      <c r="GT445" s="9"/>
      <c r="GU445" s="9"/>
      <c r="GV445" s="9"/>
      <c r="GW445" s="9"/>
      <c r="GX445" s="9"/>
      <c r="GY445" s="9"/>
      <c r="GZ445" s="9"/>
      <c r="HA445" s="9"/>
      <c r="HB445" s="9"/>
      <c r="HC445" s="9"/>
      <c r="HD445" s="9"/>
      <c r="HE445" s="9"/>
      <c r="HF445" s="9"/>
      <c r="HG445" s="9"/>
      <c r="HH445" s="9"/>
      <c r="HI445" s="9"/>
      <c r="HJ445" s="9"/>
      <c r="HK445" s="9"/>
      <c r="HL445" s="9"/>
      <c r="HM445" s="9"/>
      <c r="HN445" s="9"/>
      <c r="HO445" s="9"/>
      <c r="HP445" s="9"/>
      <c r="HQ445" s="9"/>
      <c r="HR445" s="9"/>
      <c r="HS445" s="9"/>
      <c r="HT445" s="9"/>
      <c r="HU445" s="9"/>
      <c r="HV445" s="9"/>
      <c r="HW445" s="9"/>
      <c r="HX445" s="9"/>
      <c r="HY445" s="9"/>
      <c r="HZ445" s="9"/>
      <c r="IA445" s="9"/>
      <c r="IB445" s="9"/>
      <c r="IC445" s="9"/>
      <c r="ID445" s="9"/>
      <c r="IE445" s="9"/>
      <c r="IF445" s="9"/>
      <c r="IG445" s="9"/>
      <c r="IH445" s="9"/>
      <c r="II445" s="9"/>
      <c r="IJ445" s="9"/>
      <c r="IK445" s="9"/>
      <c r="IL445" s="9"/>
      <c r="IM445" s="9"/>
      <c r="IN445" s="9"/>
      <c r="IO445" s="9"/>
      <c r="IP445" s="9"/>
      <c r="IQ445" s="9"/>
      <c r="IR445" s="9"/>
      <c r="IS445" s="9"/>
      <c r="IT445" s="9"/>
      <c r="IU445" s="9"/>
      <c r="IV445" s="9"/>
      <c r="IW445" s="9"/>
      <c r="IX445" s="9"/>
      <c r="IY445" s="9"/>
      <c r="IZ445" s="9"/>
      <c r="JA445" s="9"/>
      <c r="JB445" s="9"/>
      <c r="JC445" s="9"/>
      <c r="JD445" s="9"/>
      <c r="JE445" s="9"/>
      <c r="JF445" s="9"/>
      <c r="JG445" s="9"/>
      <c r="JH445" s="9"/>
      <c r="JI445" s="9"/>
      <c r="JJ445" s="9"/>
      <c r="JK445" s="9"/>
      <c r="JL445" s="9"/>
      <c r="JM445" s="9"/>
      <c r="JN445" s="9"/>
      <c r="JO445" s="9"/>
      <c r="JP445" s="9"/>
      <c r="JQ445" s="9"/>
      <c r="JR445" s="9"/>
      <c r="JS445" s="9"/>
      <c r="JT445" s="9"/>
      <c r="JU445" s="9"/>
      <c r="JV445" s="9"/>
      <c r="JW445" s="9"/>
      <c r="JX445" s="9"/>
      <c r="JY445" s="9"/>
      <c r="JZ445" s="9"/>
      <c r="KA445" s="9"/>
      <c r="KB445" s="9"/>
      <c r="KC445" s="9"/>
      <c r="KD445" s="9"/>
      <c r="KE445" s="9"/>
      <c r="KF445" s="9"/>
      <c r="KG445" s="9"/>
      <c r="KH445" s="9"/>
      <c r="KI445" s="9"/>
      <c r="KJ445" s="9"/>
      <c r="KK445" s="9"/>
      <c r="KL445" s="9"/>
      <c r="KM445" s="9"/>
      <c r="KN445" s="9"/>
      <c r="KO445" s="9"/>
      <c r="KP445" s="9"/>
      <c r="KQ445" s="9"/>
      <c r="KR445" s="9"/>
      <c r="KS445" s="9"/>
      <c r="KT445" s="9"/>
      <c r="KU445" s="9"/>
      <c r="KV445" s="9"/>
      <c r="KW445" s="9"/>
      <c r="KX445" s="9"/>
      <c r="KY445" s="9"/>
      <c r="KZ445" s="9"/>
      <c r="LA445" s="9"/>
      <c r="LB445" s="9"/>
      <c r="LC445" s="9"/>
      <c r="LD445" s="9"/>
      <c r="LE445" s="9"/>
      <c r="LF445" s="9"/>
      <c r="LG445" s="9"/>
      <c r="LH445" s="9"/>
      <c r="LI445" s="9"/>
      <c r="LJ445" s="9"/>
      <c r="LK445" s="9"/>
      <c r="LL445" s="9"/>
      <c r="LM445" s="9"/>
      <c r="LN445" s="9"/>
      <c r="LO445" s="9"/>
      <c r="LP445" s="9"/>
      <c r="LQ445" s="9"/>
      <c r="LR445" s="9"/>
      <c r="LS445" s="9"/>
      <c r="LT445" s="9"/>
      <c r="LU445" s="9"/>
      <c r="LV445" s="9"/>
      <c r="LW445" s="9"/>
      <c r="LX445" s="9"/>
      <c r="LY445" s="9"/>
      <c r="LZ445" s="9"/>
      <c r="MA445" s="9"/>
      <c r="MB445" s="9"/>
      <c r="MC445" s="9"/>
      <c r="MD445" s="9"/>
      <c r="ME445" s="9"/>
      <c r="MF445" s="9"/>
      <c r="MG445" s="9"/>
      <c r="MH445" s="9"/>
      <c r="MI445" s="9"/>
      <c r="MJ445" s="9"/>
      <c r="MK445" s="9"/>
      <c r="ML445" s="9"/>
      <c r="MM445" s="9"/>
      <c r="MN445" s="9"/>
      <c r="MO445" s="9"/>
      <c r="MP445" s="9"/>
      <c r="MQ445" s="9"/>
      <c r="MR445" s="9"/>
      <c r="MS445" s="9"/>
      <c r="MT445" s="9"/>
      <c r="MU445" s="9"/>
      <c r="MV445" s="9"/>
      <c r="MW445" s="9"/>
      <c r="MX445" s="9"/>
      <c r="MY445" s="9"/>
      <c r="MZ445" s="9"/>
      <c r="NA445" s="9"/>
      <c r="NB445" s="9"/>
      <c r="NC445" s="9"/>
      <c r="ND445" s="9"/>
      <c r="NE445" s="9"/>
      <c r="NF445" s="9"/>
      <c r="NG445" s="9"/>
      <c r="NH445" s="9"/>
      <c r="NI445" s="9"/>
      <c r="NJ445" s="9"/>
      <c r="NK445" s="9"/>
      <c r="NL445" s="9"/>
      <c r="NM445" s="9"/>
      <c r="NN445" s="9"/>
      <c r="NO445" s="9"/>
      <c r="NP445" s="9"/>
      <c r="NQ445" s="9"/>
      <c r="NR445" s="9"/>
      <c r="NS445" s="9"/>
      <c r="NT445" s="9"/>
      <c r="NU445" s="9"/>
      <c r="NV445" s="9"/>
      <c r="NW445" s="9"/>
      <c r="NX445" s="9"/>
      <c r="NY445" s="9"/>
      <c r="NZ445" s="9"/>
      <c r="OA445" s="9"/>
      <c r="OB445" s="9"/>
      <c r="OC445" s="9"/>
      <c r="OD445" s="9"/>
      <c r="OE445" s="9"/>
      <c r="OF445" s="9"/>
      <c r="OG445" s="9"/>
      <c r="OH445" s="9"/>
      <c r="OI445" s="9"/>
      <c r="OJ445" s="9"/>
      <c r="OK445" s="9"/>
      <c r="OL445" s="9"/>
      <c r="OM445" s="9"/>
      <c r="ON445" s="9"/>
      <c r="OO445" s="9"/>
      <c r="OP445" s="9"/>
      <c r="OQ445" s="9"/>
      <c r="OR445" s="9"/>
      <c r="OS445" s="9"/>
      <c r="OT445" s="9"/>
      <c r="OU445" s="9"/>
      <c r="OV445" s="9"/>
      <c r="OW445" s="9"/>
      <c r="OX445" s="9"/>
      <c r="OY445" s="9"/>
      <c r="OZ445" s="9"/>
      <c r="PA445" s="9"/>
      <c r="PB445" s="9"/>
      <c r="PC445" s="9"/>
      <c r="PD445" s="9"/>
      <c r="PE445" s="9"/>
      <c r="PF445" s="9"/>
      <c r="PG445" s="9"/>
      <c r="PH445" s="9"/>
      <c r="PI445" s="9"/>
      <c r="PJ445" s="9"/>
      <c r="PK445" s="9"/>
      <c r="PL445" s="9"/>
      <c r="PM445" s="9"/>
      <c r="PN445" s="9"/>
      <c r="PO445" s="9"/>
      <c r="PP445" s="9"/>
      <c r="PQ445" s="9"/>
      <c r="PR445" s="9"/>
      <c r="PS445" s="9"/>
      <c r="PT445" s="9"/>
      <c r="PU445" s="9"/>
      <c r="PV445" s="9"/>
      <c r="PW445" s="9"/>
      <c r="PX445" s="9"/>
      <c r="PY445" s="9"/>
      <c r="PZ445" s="9"/>
      <c r="QA445" s="9"/>
      <c r="QB445" s="9"/>
      <c r="QC445" s="9"/>
      <c r="QD445" s="9"/>
      <c r="QE445" s="9"/>
      <c r="QF445" s="9"/>
      <c r="QG445" s="9"/>
      <c r="QH445" s="9"/>
      <c r="QI445" s="9"/>
      <c r="QJ445" s="9"/>
      <c r="QK445" s="9"/>
      <c r="QL445" s="9"/>
      <c r="QM445" s="9"/>
      <c r="QN445" s="9"/>
      <c r="QO445" s="9"/>
      <c r="QP445" s="9"/>
      <c r="QQ445" s="9"/>
      <c r="QR445" s="9"/>
      <c r="QS445" s="9"/>
      <c r="QT445" s="9"/>
      <c r="QU445" s="9"/>
      <c r="QV445" s="9"/>
      <c r="QW445" s="9"/>
      <c r="QX445" s="9"/>
      <c r="QY445" s="9"/>
      <c r="QZ445" s="9"/>
      <c r="RA445" s="9"/>
      <c r="RB445" s="9"/>
      <c r="RC445" s="9"/>
      <c r="RD445" s="9"/>
      <c r="RE445" s="9"/>
      <c r="RF445" s="9"/>
      <c r="RG445" s="9"/>
      <c r="RH445" s="9"/>
      <c r="RI445" s="9"/>
      <c r="RJ445" s="9"/>
      <c r="RK445" s="9"/>
      <c r="RL445" s="9"/>
      <c r="RM445" s="9"/>
      <c r="RN445" s="9"/>
      <c r="RO445" s="9"/>
      <c r="RP445" s="9"/>
      <c r="RQ445" s="9"/>
      <c r="RR445" s="9"/>
      <c r="RS445" s="9"/>
      <c r="RT445" s="9"/>
      <c r="RU445" s="9"/>
      <c r="RV445" s="9"/>
      <c r="RW445" s="9"/>
      <c r="RX445" s="9"/>
      <c r="RY445" s="9"/>
      <c r="RZ445" s="9"/>
      <c r="SA445" s="9"/>
      <c r="SB445" s="9"/>
      <c r="SC445" s="9"/>
      <c r="SD445" s="9"/>
      <c r="SE445" s="9"/>
      <c r="SF445" s="9"/>
      <c r="SG445" s="9"/>
      <c r="SH445" s="9"/>
      <c r="SI445" s="9"/>
      <c r="SJ445" s="9"/>
      <c r="SK445" s="9"/>
      <c r="SL445" s="9"/>
      <c r="SM445" s="9"/>
      <c r="SN445" s="9"/>
      <c r="SO445" s="9"/>
      <c r="SP445" s="9"/>
      <c r="SQ445" s="9"/>
      <c r="SR445" s="9"/>
      <c r="SS445" s="9"/>
      <c r="ST445" s="9"/>
      <c r="SU445" s="9"/>
      <c r="SV445" s="9"/>
      <c r="SW445" s="9"/>
      <c r="SX445" s="9"/>
      <c r="SY445" s="9"/>
      <c r="SZ445" s="9"/>
      <c r="TA445" s="9"/>
      <c r="TB445" s="9"/>
      <c r="TC445" s="9"/>
      <c r="TD445" s="9"/>
      <c r="TE445" s="9"/>
      <c r="TF445" s="9"/>
      <c r="TG445" s="9"/>
      <c r="TH445" s="9"/>
      <c r="TI445" s="9"/>
      <c r="TJ445" s="9"/>
      <c r="TK445" s="9"/>
      <c r="TL445" s="9"/>
      <c r="TM445" s="9"/>
      <c r="TN445" s="9"/>
      <c r="TO445" s="9"/>
      <c r="TP445" s="9"/>
      <c r="TQ445" s="9"/>
      <c r="TR445" s="9"/>
      <c r="TS445" s="9"/>
      <c r="TT445" s="9"/>
      <c r="TU445" s="9"/>
      <c r="TV445" s="9"/>
      <c r="TW445" s="9"/>
      <c r="TX445" s="9"/>
      <c r="TY445" s="9"/>
      <c r="TZ445" s="9"/>
      <c r="UA445" s="9"/>
      <c r="UB445" s="9"/>
      <c r="UC445" s="9"/>
      <c r="UD445" s="9"/>
      <c r="UE445" s="9"/>
      <c r="UF445" s="9"/>
      <c r="UG445" s="9"/>
      <c r="UH445" s="9"/>
      <c r="UI445" s="9"/>
      <c r="UJ445" s="9"/>
      <c r="UK445" s="9"/>
      <c r="UL445" s="9"/>
      <c r="UM445" s="9"/>
      <c r="UN445" s="9"/>
      <c r="UO445" s="9"/>
      <c r="UP445" s="9"/>
      <c r="UQ445" s="9"/>
      <c r="UR445" s="9"/>
      <c r="US445" s="9"/>
      <c r="UT445" s="9"/>
      <c r="UU445" s="9"/>
      <c r="UV445" s="9"/>
      <c r="UW445" s="9"/>
      <c r="UX445" s="9"/>
      <c r="UY445" s="9"/>
      <c r="UZ445" s="9"/>
      <c r="VA445" s="9"/>
      <c r="VB445" s="9"/>
      <c r="VC445" s="9"/>
      <c r="VD445" s="9"/>
      <c r="VE445" s="9"/>
      <c r="VF445" s="9"/>
      <c r="VG445" s="9"/>
      <c r="VH445" s="9"/>
      <c r="VI445" s="9"/>
      <c r="VJ445" s="9"/>
      <c r="VK445" s="9"/>
      <c r="VL445" s="9"/>
      <c r="VM445" s="9"/>
      <c r="VN445" s="9"/>
      <c r="VO445" s="9"/>
      <c r="VP445" s="9"/>
      <c r="VQ445" s="9"/>
      <c r="VR445" s="9"/>
      <c r="VS445" s="9"/>
      <c r="VT445" s="9"/>
      <c r="VU445" s="9"/>
      <c r="VV445" s="9"/>
      <c r="VW445" s="9"/>
      <c r="VX445" s="9"/>
      <c r="VY445" s="9"/>
      <c r="VZ445" s="9"/>
      <c r="WA445" s="9"/>
      <c r="WB445" s="9"/>
      <c r="WC445" s="9"/>
      <c r="WD445" s="9"/>
      <c r="WE445" s="9"/>
      <c r="WF445" s="9"/>
      <c r="WG445" s="9"/>
      <c r="WH445" s="9"/>
      <c r="WI445" s="9"/>
      <c r="WJ445" s="9"/>
      <c r="WK445" s="9"/>
      <c r="WL445" s="9"/>
      <c r="WM445" s="9"/>
      <c r="WN445" s="9"/>
      <c r="WO445" s="9"/>
      <c r="WP445" s="9"/>
      <c r="WQ445" s="9"/>
      <c r="WR445" s="9"/>
      <c r="WS445" s="9"/>
      <c r="WT445" s="9"/>
      <c r="WU445" s="9"/>
      <c r="WV445" s="9"/>
      <c r="WW445" s="9"/>
      <c r="WX445" s="9"/>
      <c r="WY445" s="9"/>
      <c r="WZ445" s="9"/>
      <c r="XA445" s="9"/>
      <c r="XB445" s="9"/>
      <c r="XC445" s="9"/>
      <c r="XD445" s="9"/>
      <c r="XE445" s="9"/>
      <c r="XF445" s="9"/>
      <c r="XG445" s="9"/>
      <c r="XH445" s="9"/>
      <c r="XI445" s="9"/>
      <c r="XJ445" s="9"/>
      <c r="XK445" s="9"/>
      <c r="XL445" s="9"/>
      <c r="XM445" s="9"/>
      <c r="XN445" s="9"/>
      <c r="XO445" s="9"/>
      <c r="XP445" s="9"/>
      <c r="XQ445" s="9"/>
      <c r="XR445" s="9"/>
      <c r="XS445" s="9"/>
      <c r="XT445" s="9"/>
      <c r="XU445" s="9"/>
      <c r="XV445" s="9"/>
      <c r="XW445" s="9"/>
      <c r="XX445" s="9"/>
      <c r="XY445" s="9"/>
      <c r="XZ445" s="9"/>
      <c r="YA445" s="9"/>
      <c r="YB445" s="9"/>
      <c r="YC445" s="9"/>
      <c r="YD445" s="9"/>
      <c r="YE445" s="9"/>
      <c r="YF445" s="9"/>
      <c r="YG445" s="9"/>
      <c r="YH445" s="9"/>
      <c r="YI445" s="9"/>
      <c r="YJ445" s="9"/>
      <c r="YK445" s="9"/>
      <c r="YL445" s="9"/>
      <c r="YM445" s="9"/>
      <c r="YN445" s="9"/>
      <c r="YO445" s="9"/>
      <c r="YP445" s="9"/>
      <c r="YQ445" s="9"/>
      <c r="YR445" s="9"/>
      <c r="YS445" s="9"/>
      <c r="YT445" s="9"/>
      <c r="YU445" s="9"/>
      <c r="YV445" s="9"/>
      <c r="YW445" s="9"/>
      <c r="YX445" s="9"/>
      <c r="YY445" s="9"/>
      <c r="YZ445" s="9"/>
      <c r="ZA445" s="9"/>
      <c r="ZB445" s="9"/>
      <c r="ZC445" s="9"/>
      <c r="ZD445" s="9"/>
      <c r="ZE445" s="9"/>
      <c r="ZF445" s="9"/>
      <c r="ZG445" s="9"/>
      <c r="ZH445" s="9"/>
      <c r="ZI445" s="9"/>
      <c r="ZJ445" s="9"/>
      <c r="ZK445" s="9"/>
      <c r="ZL445" s="9"/>
      <c r="ZM445" s="9"/>
      <c r="ZN445" s="9"/>
      <c r="ZO445" s="9"/>
      <c r="ZP445" s="9"/>
      <c r="ZQ445" s="9"/>
      <c r="ZR445" s="9"/>
      <c r="ZS445" s="9"/>
      <c r="ZT445" s="9"/>
      <c r="ZU445" s="9"/>
      <c r="ZV445" s="9"/>
      <c r="ZW445" s="9"/>
      <c r="ZX445" s="9"/>
      <c r="ZY445" s="9"/>
      <c r="ZZ445" s="9"/>
      <c r="AAA445" s="9"/>
      <c r="AAB445" s="9"/>
      <c r="AAC445" s="9"/>
      <c r="AAD445" s="9"/>
      <c r="AAE445" s="9"/>
      <c r="AAF445" s="9"/>
      <c r="AAG445" s="9"/>
      <c r="AAH445" s="9"/>
      <c r="AAI445" s="9"/>
      <c r="AAJ445" s="9"/>
      <c r="AAK445" s="9"/>
      <c r="AAL445" s="9"/>
      <c r="AAM445" s="9"/>
      <c r="AAN445" s="9"/>
      <c r="AAO445" s="9"/>
      <c r="AAP445" s="9"/>
      <c r="AAQ445" s="9"/>
      <c r="AAR445" s="9"/>
      <c r="AAS445" s="9"/>
      <c r="AAT445" s="9"/>
      <c r="AAU445" s="9"/>
      <c r="AAV445" s="9"/>
      <c r="AAW445" s="9"/>
      <c r="AAX445" s="9"/>
      <c r="AAY445" s="9"/>
      <c r="AAZ445" s="9"/>
      <c r="ABA445" s="9"/>
      <c r="ABB445" s="9"/>
      <c r="ABC445" s="9"/>
      <c r="ABD445" s="9"/>
      <c r="ABE445" s="9"/>
      <c r="ABF445" s="9"/>
      <c r="ABG445" s="9"/>
      <c r="ABH445" s="9"/>
      <c r="ABI445" s="9"/>
      <c r="ABJ445" s="9"/>
      <c r="ABK445" s="9"/>
      <c r="ABL445" s="9"/>
      <c r="ABM445" s="9"/>
      <c r="ABN445" s="9"/>
      <c r="ABO445" s="9"/>
      <c r="ABP445" s="9"/>
      <c r="ABQ445" s="9"/>
      <c r="ABR445" s="9"/>
      <c r="ABS445" s="9"/>
      <c r="ABT445" s="9"/>
      <c r="ABU445" s="9"/>
      <c r="ABV445" s="9"/>
      <c r="ABW445" s="9"/>
      <c r="ABX445" s="9"/>
      <c r="ABY445" s="9"/>
      <c r="ABZ445" s="9"/>
      <c r="ACA445" s="9"/>
      <c r="ACB445" s="9"/>
      <c r="ACC445" s="9"/>
      <c r="ACD445" s="9"/>
      <c r="ACE445" s="9"/>
      <c r="ACF445" s="9"/>
      <c r="ACG445" s="9"/>
      <c r="ACH445" s="9"/>
      <c r="ACI445" s="9"/>
      <c r="ACJ445" s="9"/>
      <c r="ACK445" s="9"/>
      <c r="ACL445" s="9"/>
      <c r="ACM445" s="9"/>
      <c r="ACN445" s="9"/>
      <c r="ACO445" s="9"/>
      <c r="ACP445" s="9"/>
      <c r="ACQ445" s="9"/>
      <c r="ACR445" s="9"/>
      <c r="ACS445" s="9"/>
      <c r="ACT445" s="9"/>
      <c r="ACU445" s="9"/>
      <c r="ACV445" s="9"/>
      <c r="ACW445" s="9"/>
      <c r="ACX445" s="9"/>
      <c r="ACY445" s="9"/>
      <c r="ACZ445" s="9"/>
      <c r="ADA445" s="9"/>
      <c r="ADB445" s="9"/>
      <c r="ADC445" s="9"/>
      <c r="ADD445" s="9"/>
      <c r="ADE445" s="9"/>
      <c r="ADF445" s="9"/>
      <c r="ADG445" s="9"/>
      <c r="ADH445" s="9"/>
      <c r="ADI445" s="9"/>
      <c r="ADJ445" s="9"/>
      <c r="ADK445" s="9"/>
      <c r="ADL445" s="9"/>
      <c r="ADM445" s="9"/>
      <c r="ADN445" s="9"/>
      <c r="ADO445" s="9"/>
      <c r="ADP445" s="9"/>
      <c r="ADQ445" s="9"/>
      <c r="ADR445" s="9"/>
      <c r="ADS445" s="9"/>
      <c r="ADT445" s="9"/>
      <c r="ADU445" s="9"/>
      <c r="ADV445" s="9"/>
      <c r="ADW445" s="9"/>
      <c r="ADX445" s="9"/>
      <c r="ADY445" s="9"/>
      <c r="ADZ445" s="9"/>
      <c r="AEA445" s="9"/>
      <c r="AEB445" s="9"/>
      <c r="AEC445" s="9"/>
      <c r="AED445" s="9"/>
      <c r="AEE445" s="9"/>
      <c r="AEF445" s="9"/>
      <c r="AEG445" s="9"/>
      <c r="AEH445" s="9"/>
      <c r="AEI445" s="9"/>
      <c r="AEJ445" s="9"/>
      <c r="AEK445" s="9"/>
      <c r="AEL445" s="9"/>
      <c r="AEM445" s="9"/>
      <c r="AEN445" s="9"/>
      <c r="AEO445" s="9"/>
      <c r="AEP445" s="9"/>
      <c r="AEQ445" s="9"/>
      <c r="AER445" s="9"/>
      <c r="AES445" s="9"/>
      <c r="AET445" s="9"/>
      <c r="AEU445" s="9"/>
      <c r="AEV445" s="9"/>
      <c r="AEW445" s="9"/>
      <c r="AEX445" s="9"/>
      <c r="AEY445" s="9"/>
      <c r="AEZ445" s="9"/>
      <c r="AFA445" s="9"/>
      <c r="AFB445" s="9"/>
      <c r="AFC445" s="9"/>
      <c r="AFD445" s="9"/>
      <c r="AFE445" s="9"/>
      <c r="AFF445" s="9"/>
      <c r="AFG445" s="9"/>
      <c r="AFH445" s="9"/>
      <c r="AFI445" s="9"/>
      <c r="AFJ445" s="9"/>
      <c r="AFK445" s="9"/>
      <c r="AFL445" s="9"/>
      <c r="AFM445" s="9"/>
      <c r="AFN445" s="9"/>
      <c r="AFO445" s="9"/>
      <c r="AFP445" s="9"/>
      <c r="AFQ445" s="9"/>
      <c r="AFR445" s="9"/>
      <c r="AFS445" s="9"/>
      <c r="AFT445" s="9"/>
      <c r="AFU445" s="9"/>
      <c r="AFV445" s="9"/>
      <c r="AFW445" s="9"/>
      <c r="AFX445" s="9"/>
      <c r="AFY445" s="9"/>
      <c r="AFZ445" s="9"/>
      <c r="AGA445" s="9"/>
      <c r="AGB445" s="9"/>
      <c r="AGC445" s="9"/>
      <c r="AGD445" s="9"/>
      <c r="AGE445" s="9"/>
      <c r="AGF445" s="9"/>
      <c r="AGG445" s="9"/>
      <c r="AGH445" s="9"/>
      <c r="AGI445" s="9"/>
      <c r="AGJ445" s="9"/>
      <c r="AGK445" s="9"/>
      <c r="AGL445" s="9"/>
      <c r="AGM445" s="9"/>
      <c r="AGN445" s="9"/>
      <c r="AGO445" s="9"/>
      <c r="AGP445" s="9"/>
      <c r="AGQ445" s="9"/>
      <c r="AGR445" s="9"/>
      <c r="AGS445" s="9"/>
      <c r="AGT445" s="9"/>
      <c r="AGU445" s="9"/>
      <c r="AGV445" s="9"/>
      <c r="AGW445" s="9"/>
      <c r="AGX445" s="9"/>
      <c r="AGY445" s="9"/>
      <c r="AGZ445" s="9"/>
      <c r="AHA445" s="9"/>
      <c r="AHB445" s="9"/>
      <c r="AHC445" s="9"/>
      <c r="AHD445" s="9"/>
      <c r="AHE445" s="9"/>
      <c r="AHF445" s="9"/>
      <c r="AHG445" s="9"/>
      <c r="AHH445" s="9"/>
      <c r="AHI445" s="9"/>
      <c r="AHJ445" s="9"/>
      <c r="AHK445" s="9"/>
      <c r="AHL445" s="9"/>
      <c r="AHM445" s="9"/>
      <c r="AHN445" s="9"/>
      <c r="AHO445" s="9"/>
      <c r="AHP445" s="9"/>
      <c r="AHQ445" s="9"/>
      <c r="AHR445" s="9"/>
      <c r="AHS445" s="9"/>
      <c r="AHT445" s="9"/>
      <c r="AHU445" s="9"/>
      <c r="AHV445" s="9"/>
      <c r="AHW445" s="9"/>
      <c r="AHX445" s="9"/>
      <c r="AHY445" s="9"/>
      <c r="AHZ445" s="9"/>
      <c r="AIA445" s="9"/>
      <c r="AIB445" s="9"/>
      <c r="AIC445" s="9"/>
      <c r="AID445" s="9"/>
      <c r="AIE445" s="9"/>
      <c r="AIF445" s="9"/>
      <c r="AIG445" s="9"/>
      <c r="AIH445" s="9"/>
      <c r="AII445" s="9"/>
      <c r="AIJ445" s="9"/>
      <c r="AIK445" s="9"/>
      <c r="AIL445" s="9"/>
      <c r="AIM445" s="9"/>
      <c r="AIN445" s="9"/>
      <c r="AIO445" s="9"/>
      <c r="AIP445" s="9"/>
      <c r="AIQ445" s="9"/>
      <c r="AIR445" s="9"/>
      <c r="AIS445" s="9"/>
      <c r="AIT445" s="9"/>
      <c r="AIU445" s="9"/>
      <c r="AIV445" s="9"/>
      <c r="AIW445" s="9"/>
      <c r="AIX445" s="9"/>
      <c r="AIY445" s="9"/>
      <c r="AIZ445" s="9"/>
      <c r="AJA445" s="9"/>
      <c r="AJB445" s="9"/>
      <c r="AJC445" s="9"/>
      <c r="AJD445" s="9"/>
      <c r="AJE445" s="9"/>
      <c r="AJF445" s="9"/>
      <c r="AJG445" s="9"/>
      <c r="AJH445" s="9"/>
      <c r="AJI445" s="9"/>
      <c r="AJJ445" s="9"/>
      <c r="AJK445" s="9"/>
      <c r="AJL445" s="9"/>
      <c r="AJM445" s="9"/>
      <c r="AJN445" s="9"/>
      <c r="AJO445" s="9"/>
      <c r="AJP445" s="9"/>
      <c r="AJQ445" s="9"/>
      <c r="AJR445" s="9"/>
      <c r="AJS445" s="9"/>
      <c r="AJT445" s="9"/>
      <c r="AJU445" s="9"/>
      <c r="AJV445" s="9"/>
      <c r="AJW445" s="9"/>
      <c r="AJX445" s="9"/>
      <c r="AJY445" s="9"/>
      <c r="AJZ445" s="9"/>
      <c r="AKA445" s="9"/>
      <c r="AKB445" s="9"/>
      <c r="AKC445" s="9"/>
      <c r="AKD445" s="9"/>
      <c r="AKE445" s="9"/>
      <c r="AKF445" s="9"/>
      <c r="AKG445" s="9"/>
      <c r="AKH445" s="9"/>
      <c r="AKI445" s="9"/>
      <c r="AKJ445" s="9"/>
      <c r="AKK445" s="9"/>
      <c r="AKL445" s="9"/>
      <c r="AKM445" s="9"/>
      <c r="AKN445" s="9"/>
      <c r="AKO445" s="9"/>
      <c r="AKP445" s="9"/>
      <c r="AKQ445" s="9"/>
      <c r="AKR445" s="9"/>
      <c r="AKS445" s="9"/>
      <c r="AKT445" s="9"/>
      <c r="AKU445" s="9"/>
      <c r="AKV445" s="9"/>
      <c r="AKW445" s="9"/>
      <c r="AKX445" s="9"/>
      <c r="AKY445" s="9"/>
      <c r="AKZ445" s="9"/>
      <c r="ALA445" s="9"/>
      <c r="ALB445" s="9"/>
      <c r="ALC445" s="9"/>
      <c r="ALD445" s="9"/>
      <c r="ALE445" s="9"/>
      <c r="ALF445" s="9"/>
      <c r="ALG445" s="9"/>
      <c r="ALH445" s="9"/>
      <c r="ALI445" s="9"/>
      <c r="ALJ445" s="9"/>
      <c r="ALK445" s="9"/>
      <c r="ALL445" s="9"/>
      <c r="ALM445" s="9"/>
      <c r="ALN445" s="9"/>
      <c r="ALO445" s="9"/>
      <c r="ALP445" s="9"/>
      <c r="ALQ445" s="9"/>
      <c r="ALR445" s="9"/>
      <c r="ALS445" s="9"/>
      <c r="ALT445" s="9"/>
      <c r="ALU445" s="9"/>
      <c r="ALV445" s="9"/>
      <c r="ALW445" s="9"/>
      <c r="ALX445" s="9"/>
      <c r="ALY445" s="9"/>
      <c r="ALZ445" s="9"/>
      <c r="AMA445" s="9"/>
      <c r="AMB445" s="9"/>
      <c r="AMC445" s="9"/>
      <c r="AMD445" s="9"/>
      <c r="AME445" s="9"/>
      <c r="AMF445" s="9"/>
      <c r="AMG445" s="9"/>
      <c r="AMH445" s="9"/>
      <c r="AMI445" s="9"/>
      <c r="AMJ445" s="9"/>
      <c r="AMK445" s="9"/>
      <c r="AML445" s="9"/>
      <c r="AMM445" s="9"/>
      <c r="AMN445" s="9"/>
      <c r="AMO445" s="9"/>
      <c r="AMP445" s="9"/>
    </row>
    <row r="446" spans="1:1030" s="12" customFormat="1" x14ac:dyDescent="0.2">
      <c r="A446" s="9" t="str">
        <f>CONCATENATE(B446,"_",C446)</f>
        <v>grm5_human_6N52</v>
      </c>
      <c r="B446" s="9" t="s">
        <v>41</v>
      </c>
      <c r="C446" s="9" t="s">
        <v>1547</v>
      </c>
      <c r="D446" s="9" t="str">
        <f>IFERROR(MID(VLOOKUP($B446,Seqs!$A:$B,2,0),E446,1),"")</f>
        <v>P</v>
      </c>
      <c r="E446" s="9">
        <v>580</v>
      </c>
      <c r="F446" s="9" t="str">
        <f>IFERROR(MID(VLOOKUP($B446,Seqs!$A:$B,2,0),G446,1),"")</f>
        <v>T</v>
      </c>
      <c r="G446" s="9">
        <v>598</v>
      </c>
      <c r="H446" s="9" t="str">
        <f>IFERROR(MID(VLOOKUP($B446,Seqs!$A:$B,2,0),I446,1),"")</f>
        <v>T</v>
      </c>
      <c r="I446" s="109">
        <v>607</v>
      </c>
      <c r="J446" s="9" t="str">
        <f>IFERROR(MID(VLOOKUP($B446,Seqs!$A:$B,2,0),K446,1),"")</f>
        <v>S</v>
      </c>
      <c r="K446" s="109">
        <v>613</v>
      </c>
      <c r="L446" s="9" t="str">
        <f>IFERROR(MID(VLOOKUP($B446,Seqs!$A:$B,2,0),M446,1),"")</f>
        <v>S</v>
      </c>
      <c r="M446" s="9">
        <v>614</v>
      </c>
      <c r="N446" s="9" t="str">
        <f>IFERROR(MID(VLOOKUP($B446,Seqs!$A:$B,2,0),O446,1),"")</f>
        <v>I</v>
      </c>
      <c r="O446" s="9">
        <v>636</v>
      </c>
      <c r="P446" s="9" t="str">
        <f>IFERROR(MID(VLOOKUP($B446,Seqs!$A:$B,2,0),Q446,1),"")</f>
        <v/>
      </c>
      <c r="Q446" s="9" t="s">
        <v>23</v>
      </c>
      <c r="R446" s="9" t="str">
        <f>IFERROR(MID(VLOOKUP($B446,Seqs!$A:$B,2,0),S446,1),"")</f>
        <v/>
      </c>
      <c r="S446" s="9" t="s">
        <v>23</v>
      </c>
      <c r="T446" s="9" t="str">
        <f>IFERROR(MID(VLOOKUP($B446,Seqs!$A:$B,2,0),U446,1),"")</f>
        <v>K</v>
      </c>
      <c r="U446" s="9">
        <v>640</v>
      </c>
      <c r="V446" s="9" t="str">
        <f>IFERROR(MID(VLOOKUP($B446,Seqs!$A:$B,2,0),W446,1),"")</f>
        <v>I</v>
      </c>
      <c r="W446" s="9">
        <v>669</v>
      </c>
      <c r="X446" s="9" t="str">
        <f>IFERROR(MID(VLOOKUP($B446,Seqs!$A:$B,2,0),Y446,1),"")</f>
        <v/>
      </c>
      <c r="Y446" s="9" t="s">
        <v>23</v>
      </c>
      <c r="Z446" s="9" t="str">
        <f>IFERROR(MID(VLOOKUP($B446,Seqs!$A:$B,2,0),AA446,1),"")</f>
        <v/>
      </c>
      <c r="AA446" s="9" t="s">
        <v>23</v>
      </c>
      <c r="AB446" s="9" t="str">
        <f>IFERROR(MID(VLOOKUP($B446,Seqs!$A:$B,2,0),AC446,1),"")</f>
        <v>A</v>
      </c>
      <c r="AC446" s="9">
        <v>692</v>
      </c>
      <c r="AD446" s="9" t="str">
        <f>IFERROR(MID(VLOOKUP($B446,Seqs!$A:$B,2,0),AE446,1),"")</f>
        <v>E</v>
      </c>
      <c r="AE446" s="9">
        <v>715</v>
      </c>
      <c r="AF446" s="9" t="str">
        <f>IFERROR(MID(VLOOKUP($B446,Seqs!$A:$B,2,0),AG446,1),"")</f>
        <v>C</v>
      </c>
      <c r="AG446" s="9">
        <v>733</v>
      </c>
      <c r="AH446" s="9" t="str">
        <f>IFERROR(MID(VLOOKUP($B446,Seqs!$A:$B,2,0),AI446,1),"")</f>
        <v>T</v>
      </c>
      <c r="AI446" s="9">
        <v>735</v>
      </c>
      <c r="AJ446" s="9" t="str">
        <f>IFERROR(MID(VLOOKUP($B446,Seqs!$A:$B,2,0),AK446,1),"")</f>
        <v>T</v>
      </c>
      <c r="AK446" s="9">
        <v>736</v>
      </c>
      <c r="AL446" s="9" t="str">
        <f>IFERROR(MID(VLOOKUP($B446,Seqs!$A:$B,2,0),AM446,1),"")</f>
        <v>T</v>
      </c>
      <c r="AM446" s="9">
        <v>761</v>
      </c>
      <c r="AN446" s="9" t="str">
        <f>IFERROR(MID(VLOOKUP($B446,Seqs!$A:$B,2,0),AO446,1),"")</f>
        <v>E</v>
      </c>
      <c r="AO446" s="9">
        <v>770</v>
      </c>
      <c r="AP446" s="9" t="str">
        <f>IFERROR(MID(VLOOKUP($B446,Seqs!$A:$B,2,0),AQ446,1),"")</f>
        <v>F</v>
      </c>
      <c r="AQ446" s="9">
        <v>793</v>
      </c>
      <c r="AR446" s="9" t="str">
        <f>IFERROR(MID(VLOOKUP($B446,Seqs!$A:$B,2,0),AS446,1),"")</f>
        <v>I</v>
      </c>
      <c r="AS446" s="9">
        <v>799</v>
      </c>
      <c r="AT446" s="9" t="str">
        <f>IFERROR(MID(VLOOKUP($B446,Seqs!$A:$B,2,0),AU446,1),"")</f>
        <v>K</v>
      </c>
      <c r="AU446" s="9">
        <v>828</v>
      </c>
      <c r="AV446" s="9" t="str">
        <f>IFERROR(MID(VLOOKUP($B446,Seqs!$A:$B,2,0),AW446,1),"")</f>
        <v>P</v>
      </c>
      <c r="AW446" s="9">
        <v>829</v>
      </c>
      <c r="AX446" s="9" t="str">
        <f>IFERROR(MID(VLOOKUP($B446,Seqs!$A:$B,2,0),AY446,1),"")</f>
        <v>N</v>
      </c>
      <c r="AY446" s="9">
        <v>832</v>
      </c>
      <c r="AZ446" s="110" t="str">
        <f>VLOOKUP(B446,Classification!A:D,2,0)</f>
        <v>C</v>
      </c>
      <c r="BA446" s="98" t="str">
        <f>VLOOKUP(B446,Classification!A:D,4,0)</f>
        <v>Metabotropicglutamate</v>
      </c>
      <c r="BB446" s="36" t="b">
        <f>AND(E446&lt;G446,OR(G446&lt;I446,I446="-"),OR(I446&lt;K446,I446="-"),OR(K446&lt;M446,K446="-"),M446&lt;O446,OR(O446&lt;Q446,Q446="-"),OR(Q446&lt;S446,Q446="-"),OR(S446&lt;U446,S446="-"),U446&lt;W446,OR(W446&lt;Y446,Y446="-"),OR(Y446&lt;AA446,Y446="-"),OR(AA446&lt;AC446,AA446="-"),AC446&lt;AE446,OR(AE446&lt;AG446,AG446="-"),OR(AG446&lt;AI446,AG446="-"),OR(AI446&lt;AK446,AI446="-"),AK446&lt;AM446,AM446&lt;AO446,AO446&lt;AQ446,AQ446&lt;AS446,AS446&lt;AU446,OR(AU446&lt;AW446,AW446="-"),OR(AW446&lt;AY446,AW446="-"))</f>
        <v>1</v>
      </c>
      <c r="BC446" s="109">
        <f>_xlfn.AGGREGATE(9,6,CH446:CS446)-_xlfn.AGGREGATE(9,6,BV446:CG446)+12</f>
        <v>192</v>
      </c>
      <c r="BD446" s="11" t="s">
        <v>23</v>
      </c>
      <c r="BE446" s="9" t="s">
        <v>1368</v>
      </c>
      <c r="BF446" s="119">
        <v>4</v>
      </c>
      <c r="BG446" s="51" t="s">
        <v>1</v>
      </c>
      <c r="BH446" s="51" t="s">
        <v>1</v>
      </c>
      <c r="BI446" s="9"/>
      <c r="BJ446" s="111" t="s">
        <v>1281</v>
      </c>
      <c r="BK446" s="112" t="s">
        <v>1281</v>
      </c>
      <c r="BL446" s="112" t="s">
        <v>1281</v>
      </c>
      <c r="BM446" s="112" t="s">
        <v>1281</v>
      </c>
      <c r="BN446" s="112" t="s">
        <v>1281</v>
      </c>
      <c r="BO446" s="112" t="s">
        <v>1281</v>
      </c>
      <c r="BP446" s="112" t="s">
        <v>1281</v>
      </c>
      <c r="BQ446" s="112" t="s">
        <v>1281</v>
      </c>
      <c r="BR446" s="112" t="s">
        <v>1281</v>
      </c>
      <c r="BS446" s="112" t="s">
        <v>1281</v>
      </c>
      <c r="BT446" s="112" t="s">
        <v>1281</v>
      </c>
      <c r="BU446" s="112" t="s">
        <v>1281</v>
      </c>
      <c r="BV446" s="111">
        <f>E446</f>
        <v>580</v>
      </c>
      <c r="BW446" s="113">
        <f>I446</f>
        <v>607</v>
      </c>
      <c r="BX446" s="114">
        <f>M446</f>
        <v>614</v>
      </c>
      <c r="BY446" s="113" t="str">
        <f>Q446</f>
        <v>-</v>
      </c>
      <c r="BZ446" s="114">
        <f>U446</f>
        <v>640</v>
      </c>
      <c r="CA446" s="113" t="str">
        <f>Y446</f>
        <v>-</v>
      </c>
      <c r="CB446" s="114">
        <f>AC446</f>
        <v>692</v>
      </c>
      <c r="CC446" s="113">
        <f>AG446</f>
        <v>733</v>
      </c>
      <c r="CD446" s="114">
        <f>AK446</f>
        <v>736</v>
      </c>
      <c r="CE446" s="113">
        <f>AO446</f>
        <v>770</v>
      </c>
      <c r="CF446" s="114">
        <f>AS446</f>
        <v>799</v>
      </c>
      <c r="CG446" s="113">
        <f>AW446</f>
        <v>829</v>
      </c>
      <c r="CH446" s="111">
        <f>G446</f>
        <v>598</v>
      </c>
      <c r="CI446" s="113">
        <f>K446</f>
        <v>613</v>
      </c>
      <c r="CJ446" s="114">
        <f>O446</f>
        <v>636</v>
      </c>
      <c r="CK446" s="114" t="str">
        <f>S446</f>
        <v>-</v>
      </c>
      <c r="CL446" s="114">
        <f>W446</f>
        <v>669</v>
      </c>
      <c r="CM446" s="114" t="str">
        <f>AA446</f>
        <v>-</v>
      </c>
      <c r="CN446" s="114">
        <f>AE446</f>
        <v>715</v>
      </c>
      <c r="CO446" s="114">
        <f>AI446</f>
        <v>735</v>
      </c>
      <c r="CP446" s="114">
        <f>AM446</f>
        <v>761</v>
      </c>
      <c r="CQ446" s="114">
        <f>AQ446</f>
        <v>793</v>
      </c>
      <c r="CR446" s="114">
        <f>AU446</f>
        <v>828</v>
      </c>
      <c r="CS446" s="114">
        <f>AY446</f>
        <v>832</v>
      </c>
      <c r="CT446" s="109">
        <f>M446-K446</f>
        <v>1</v>
      </c>
      <c r="CU446" s="9"/>
      <c r="CV446" s="9"/>
      <c r="CW446" s="9"/>
      <c r="CX446" s="9"/>
      <c r="CY446" s="9"/>
      <c r="CZ446" s="9"/>
      <c r="DA446" s="9"/>
      <c r="DB446" s="9"/>
      <c r="DC446" s="9"/>
      <c r="DD446" s="9"/>
      <c r="DE446" s="9"/>
      <c r="DF446" s="9"/>
      <c r="DG446" s="9"/>
      <c r="DH446" s="9"/>
      <c r="DI446" s="9"/>
      <c r="DJ446" s="9"/>
      <c r="DK446" s="9"/>
      <c r="DL446" s="9"/>
      <c r="DM446" s="9"/>
      <c r="DN446" s="9"/>
      <c r="DO446" s="9"/>
      <c r="DP446" s="9"/>
      <c r="DQ446" s="9"/>
      <c r="DR446" s="9"/>
      <c r="DS446" s="9"/>
      <c r="DT446" s="9"/>
      <c r="DU446" s="9"/>
      <c r="DV446" s="9"/>
      <c r="DW446" s="9"/>
      <c r="DX446" s="9"/>
      <c r="DY446" s="9"/>
      <c r="DZ446" s="9"/>
      <c r="EA446" s="9"/>
      <c r="EB446" s="9"/>
      <c r="EC446" s="9"/>
      <c r="ED446" s="9"/>
      <c r="EE446" s="9"/>
      <c r="EF446" s="9"/>
      <c r="EG446" s="9"/>
      <c r="EH446" s="9"/>
      <c r="EI446" s="9"/>
      <c r="EJ446" s="9"/>
      <c r="EK446" s="9"/>
      <c r="EL446" s="9"/>
      <c r="EM446" s="9"/>
      <c r="EN446" s="9"/>
      <c r="EO446" s="9"/>
      <c r="EP446" s="9"/>
      <c r="EQ446" s="9"/>
      <c r="ER446" s="9"/>
      <c r="ES446" s="9"/>
      <c r="ET446" s="9"/>
      <c r="EU446" s="9"/>
      <c r="EV446" s="9"/>
      <c r="EW446" s="9"/>
      <c r="EX446" s="9"/>
      <c r="EY446" s="9"/>
      <c r="EZ446" s="9"/>
      <c r="FA446" s="9"/>
      <c r="FB446" s="9"/>
      <c r="FC446" s="9"/>
      <c r="FD446" s="9"/>
      <c r="FE446" s="9"/>
      <c r="FF446" s="9"/>
      <c r="FG446" s="9"/>
      <c r="FH446" s="9"/>
      <c r="FI446" s="9"/>
      <c r="FJ446" s="9"/>
      <c r="FK446" s="9"/>
      <c r="FL446" s="9"/>
      <c r="FM446" s="9"/>
      <c r="FN446" s="9"/>
      <c r="FO446" s="9"/>
      <c r="FP446" s="9"/>
      <c r="FQ446" s="9"/>
      <c r="FR446" s="9"/>
      <c r="FS446" s="9"/>
      <c r="FT446" s="9"/>
      <c r="FU446" s="9"/>
      <c r="FV446" s="9"/>
      <c r="FW446" s="9"/>
      <c r="FX446" s="9"/>
      <c r="FY446" s="9"/>
      <c r="FZ446" s="9"/>
      <c r="GA446" s="9"/>
      <c r="GB446" s="9"/>
      <c r="GC446" s="9"/>
      <c r="GD446" s="9"/>
      <c r="GE446" s="9"/>
      <c r="GF446" s="9"/>
      <c r="GG446" s="9"/>
      <c r="GH446" s="9"/>
      <c r="GI446" s="9"/>
      <c r="GJ446" s="9"/>
      <c r="GK446" s="9"/>
      <c r="GL446" s="9"/>
      <c r="GM446" s="9"/>
      <c r="GN446" s="9"/>
      <c r="GO446" s="9"/>
      <c r="GP446" s="9"/>
      <c r="GQ446" s="9"/>
      <c r="GR446" s="9"/>
      <c r="GS446" s="9"/>
      <c r="GT446" s="9"/>
      <c r="GU446" s="9"/>
      <c r="GV446" s="9"/>
      <c r="GW446" s="9"/>
      <c r="GX446" s="9"/>
      <c r="GY446" s="9"/>
      <c r="GZ446" s="9"/>
      <c r="HA446" s="9"/>
      <c r="HB446" s="9"/>
      <c r="HC446" s="9"/>
      <c r="HD446" s="9"/>
      <c r="HE446" s="9"/>
      <c r="HF446" s="9"/>
      <c r="HG446" s="9"/>
      <c r="HH446" s="9"/>
      <c r="HI446" s="9"/>
      <c r="HJ446" s="9"/>
      <c r="HK446" s="9"/>
      <c r="HL446" s="9"/>
      <c r="HM446" s="9"/>
      <c r="HN446" s="9"/>
      <c r="HO446" s="9"/>
      <c r="HP446" s="9"/>
      <c r="HQ446" s="9"/>
      <c r="HR446" s="9"/>
      <c r="HS446" s="9"/>
      <c r="HT446" s="9"/>
      <c r="HU446" s="9"/>
      <c r="HV446" s="9"/>
      <c r="HW446" s="9"/>
      <c r="HX446" s="9"/>
      <c r="HY446" s="9"/>
      <c r="HZ446" s="9"/>
      <c r="IA446" s="9"/>
      <c r="IB446" s="9"/>
      <c r="IC446" s="9"/>
      <c r="ID446" s="9"/>
      <c r="IE446" s="9"/>
      <c r="IF446" s="9"/>
      <c r="IG446" s="9"/>
      <c r="IH446" s="9"/>
      <c r="II446" s="9"/>
      <c r="IJ446" s="9"/>
      <c r="IK446" s="9"/>
      <c r="IL446" s="9"/>
      <c r="IM446" s="9"/>
      <c r="IN446" s="9"/>
      <c r="IO446" s="9"/>
      <c r="IP446" s="9"/>
      <c r="IQ446" s="9"/>
      <c r="IR446" s="9"/>
      <c r="IS446" s="9"/>
      <c r="IT446" s="9"/>
      <c r="IU446" s="9"/>
      <c r="IV446" s="9"/>
      <c r="IW446" s="9"/>
      <c r="IX446" s="9"/>
      <c r="IY446" s="9"/>
      <c r="IZ446" s="9"/>
      <c r="JA446" s="9"/>
      <c r="JB446" s="9"/>
      <c r="JC446" s="9"/>
      <c r="JD446" s="9"/>
      <c r="JE446" s="9"/>
      <c r="JF446" s="9"/>
      <c r="JG446" s="9"/>
      <c r="JH446" s="9"/>
      <c r="JI446" s="9"/>
      <c r="JJ446" s="9"/>
      <c r="JK446" s="9"/>
      <c r="JL446" s="9"/>
      <c r="JM446" s="9"/>
      <c r="JN446" s="9"/>
      <c r="JO446" s="9"/>
      <c r="JP446" s="9"/>
      <c r="JQ446" s="9"/>
      <c r="JR446" s="9"/>
      <c r="JS446" s="9"/>
      <c r="JT446" s="9"/>
      <c r="JU446" s="9"/>
      <c r="JV446" s="9"/>
      <c r="JW446" s="9"/>
      <c r="JX446" s="9"/>
      <c r="JY446" s="9"/>
      <c r="JZ446" s="9"/>
      <c r="KA446" s="9"/>
      <c r="KB446" s="9"/>
      <c r="KC446" s="9"/>
      <c r="KD446" s="9"/>
      <c r="KE446" s="9"/>
      <c r="KF446" s="9"/>
      <c r="KG446" s="9"/>
      <c r="KH446" s="9"/>
      <c r="KI446" s="9"/>
      <c r="KJ446" s="9"/>
      <c r="KK446" s="9"/>
      <c r="KL446" s="9"/>
      <c r="KM446" s="9"/>
      <c r="KN446" s="9"/>
      <c r="KO446" s="9"/>
      <c r="KP446" s="9"/>
      <c r="KQ446" s="9"/>
      <c r="KR446" s="9"/>
      <c r="KS446" s="9"/>
      <c r="KT446" s="9"/>
      <c r="KU446" s="9"/>
      <c r="KV446" s="9"/>
      <c r="KW446" s="9"/>
      <c r="KX446" s="9"/>
      <c r="KY446" s="9"/>
      <c r="KZ446" s="9"/>
      <c r="LA446" s="9"/>
      <c r="LB446" s="9"/>
      <c r="LC446" s="9"/>
      <c r="LD446" s="9"/>
      <c r="LE446" s="9"/>
      <c r="LF446" s="9"/>
      <c r="LG446" s="9"/>
      <c r="LH446" s="9"/>
      <c r="LI446" s="9"/>
      <c r="LJ446" s="9"/>
      <c r="LK446" s="9"/>
      <c r="LL446" s="9"/>
      <c r="LM446" s="9"/>
      <c r="LN446" s="9"/>
      <c r="LO446" s="9"/>
      <c r="LP446" s="9"/>
      <c r="LQ446" s="9"/>
      <c r="LR446" s="9"/>
      <c r="LS446" s="9"/>
      <c r="LT446" s="9"/>
      <c r="LU446" s="9"/>
      <c r="LV446" s="9"/>
      <c r="LW446" s="9"/>
      <c r="LX446" s="9"/>
      <c r="LY446" s="9"/>
      <c r="LZ446" s="9"/>
      <c r="MA446" s="9"/>
      <c r="MB446" s="9"/>
      <c r="MC446" s="9"/>
      <c r="MD446" s="9"/>
      <c r="ME446" s="9"/>
      <c r="MF446" s="9"/>
      <c r="MG446" s="9"/>
      <c r="MH446" s="9"/>
      <c r="MI446" s="9"/>
      <c r="MJ446" s="9"/>
      <c r="MK446" s="9"/>
      <c r="ML446" s="9"/>
      <c r="MM446" s="9"/>
      <c r="MN446" s="9"/>
      <c r="MO446" s="9"/>
      <c r="MP446" s="9"/>
      <c r="MQ446" s="9"/>
      <c r="MR446" s="9"/>
      <c r="MS446" s="9"/>
      <c r="MT446" s="9"/>
      <c r="MU446" s="9"/>
      <c r="MV446" s="9"/>
      <c r="MW446" s="9"/>
      <c r="MX446" s="9"/>
      <c r="MY446" s="9"/>
      <c r="MZ446" s="9"/>
      <c r="NA446" s="9"/>
      <c r="NB446" s="9"/>
      <c r="NC446" s="9"/>
      <c r="ND446" s="9"/>
      <c r="NE446" s="9"/>
      <c r="NF446" s="9"/>
      <c r="NG446" s="9"/>
      <c r="NH446" s="9"/>
      <c r="NI446" s="9"/>
      <c r="NJ446" s="9"/>
      <c r="NK446" s="9"/>
      <c r="NL446" s="9"/>
      <c r="NM446" s="9"/>
      <c r="NN446" s="9"/>
      <c r="NO446" s="9"/>
      <c r="NP446" s="9"/>
      <c r="NQ446" s="9"/>
      <c r="NR446" s="9"/>
      <c r="NS446" s="9"/>
      <c r="NT446" s="9"/>
      <c r="NU446" s="9"/>
      <c r="NV446" s="9"/>
      <c r="NW446" s="9"/>
      <c r="NX446" s="9"/>
      <c r="NY446" s="9"/>
      <c r="NZ446" s="9"/>
      <c r="OA446" s="9"/>
      <c r="OB446" s="9"/>
      <c r="OC446" s="9"/>
      <c r="OD446" s="9"/>
      <c r="OE446" s="9"/>
      <c r="OF446" s="9"/>
      <c r="OG446" s="9"/>
      <c r="OH446" s="9"/>
      <c r="OI446" s="9"/>
      <c r="OJ446" s="9"/>
      <c r="OK446" s="9"/>
      <c r="OL446" s="9"/>
      <c r="OM446" s="9"/>
      <c r="ON446" s="9"/>
      <c r="OO446" s="9"/>
      <c r="OP446" s="9"/>
      <c r="OQ446" s="9"/>
      <c r="OR446" s="9"/>
      <c r="OS446" s="9"/>
      <c r="OT446" s="9"/>
      <c r="OU446" s="9"/>
      <c r="OV446" s="9"/>
      <c r="OW446" s="9"/>
      <c r="OX446" s="9"/>
      <c r="OY446" s="9"/>
      <c r="OZ446" s="9"/>
      <c r="PA446" s="9"/>
      <c r="PB446" s="9"/>
      <c r="PC446" s="9"/>
      <c r="PD446" s="9"/>
      <c r="PE446" s="9"/>
      <c r="PF446" s="9"/>
      <c r="PG446" s="9"/>
      <c r="PH446" s="9"/>
      <c r="PI446" s="9"/>
      <c r="PJ446" s="9"/>
      <c r="PK446" s="9"/>
      <c r="PL446" s="9"/>
      <c r="PM446" s="9"/>
      <c r="PN446" s="9"/>
      <c r="PO446" s="9"/>
      <c r="PP446" s="9"/>
      <c r="PQ446" s="9"/>
      <c r="PR446" s="9"/>
      <c r="PS446" s="9"/>
      <c r="PT446" s="9"/>
      <c r="PU446" s="9"/>
      <c r="PV446" s="9"/>
      <c r="PW446" s="9"/>
      <c r="PX446" s="9"/>
      <c r="PY446" s="9"/>
      <c r="PZ446" s="9"/>
      <c r="QA446" s="9"/>
      <c r="QB446" s="9"/>
      <c r="QC446" s="9"/>
      <c r="QD446" s="9"/>
      <c r="QE446" s="9"/>
      <c r="QF446" s="9"/>
      <c r="QG446" s="9"/>
      <c r="QH446" s="9"/>
      <c r="QI446" s="9"/>
      <c r="QJ446" s="9"/>
      <c r="QK446" s="9"/>
      <c r="QL446" s="9"/>
      <c r="QM446" s="9"/>
      <c r="QN446" s="9"/>
      <c r="QO446" s="9"/>
      <c r="QP446" s="9"/>
      <c r="QQ446" s="9"/>
      <c r="QR446" s="9"/>
      <c r="QS446" s="9"/>
      <c r="QT446" s="9"/>
      <c r="QU446" s="9"/>
      <c r="QV446" s="9"/>
      <c r="QW446" s="9"/>
      <c r="QX446" s="9"/>
      <c r="QY446" s="9"/>
      <c r="QZ446" s="9"/>
      <c r="RA446" s="9"/>
      <c r="RB446" s="9"/>
      <c r="RC446" s="9"/>
      <c r="RD446" s="9"/>
      <c r="RE446" s="9"/>
      <c r="RF446" s="9"/>
      <c r="RG446" s="9"/>
      <c r="RH446" s="9"/>
      <c r="RI446" s="9"/>
      <c r="RJ446" s="9"/>
      <c r="RK446" s="9"/>
      <c r="RL446" s="9"/>
      <c r="RM446" s="9"/>
      <c r="RN446" s="9"/>
      <c r="RO446" s="9"/>
      <c r="RP446" s="9"/>
      <c r="RQ446" s="9"/>
      <c r="RR446" s="9"/>
      <c r="RS446" s="9"/>
      <c r="RT446" s="9"/>
      <c r="RU446" s="9"/>
      <c r="RV446" s="9"/>
      <c r="RW446" s="9"/>
      <c r="RX446" s="9"/>
      <c r="RY446" s="9"/>
      <c r="RZ446" s="9"/>
      <c r="SA446" s="9"/>
      <c r="SB446" s="9"/>
      <c r="SC446" s="9"/>
      <c r="SD446" s="9"/>
      <c r="SE446" s="9"/>
      <c r="SF446" s="9"/>
      <c r="SG446" s="9"/>
      <c r="SH446" s="9"/>
      <c r="SI446" s="9"/>
      <c r="SJ446" s="9"/>
      <c r="SK446" s="9"/>
      <c r="SL446" s="9"/>
      <c r="SM446" s="9"/>
      <c r="SN446" s="9"/>
      <c r="SO446" s="9"/>
      <c r="SP446" s="9"/>
      <c r="SQ446" s="9"/>
      <c r="SR446" s="9"/>
      <c r="SS446" s="9"/>
      <c r="ST446" s="9"/>
      <c r="SU446" s="9"/>
      <c r="SV446" s="9"/>
      <c r="SW446" s="9"/>
      <c r="SX446" s="9"/>
      <c r="SY446" s="9"/>
      <c r="SZ446" s="9"/>
      <c r="TA446" s="9"/>
      <c r="TB446" s="9"/>
      <c r="TC446" s="9"/>
      <c r="TD446" s="9"/>
      <c r="TE446" s="9"/>
      <c r="TF446" s="9"/>
      <c r="TG446" s="9"/>
      <c r="TH446" s="9"/>
      <c r="TI446" s="9"/>
      <c r="TJ446" s="9"/>
      <c r="TK446" s="9"/>
      <c r="TL446" s="9"/>
      <c r="TM446" s="9"/>
      <c r="TN446" s="9"/>
      <c r="TO446" s="9"/>
      <c r="TP446" s="9"/>
      <c r="TQ446" s="9"/>
      <c r="TR446" s="9"/>
      <c r="TS446" s="9"/>
      <c r="TT446" s="9"/>
      <c r="TU446" s="9"/>
      <c r="TV446" s="9"/>
      <c r="TW446" s="9"/>
      <c r="TX446" s="9"/>
      <c r="TY446" s="9"/>
      <c r="TZ446" s="9"/>
      <c r="UA446" s="9"/>
      <c r="UB446" s="9"/>
      <c r="UC446" s="9"/>
      <c r="UD446" s="9"/>
      <c r="UE446" s="9"/>
      <c r="UF446" s="9"/>
      <c r="UG446" s="9"/>
      <c r="UH446" s="9"/>
      <c r="UI446" s="9"/>
      <c r="UJ446" s="9"/>
      <c r="UK446" s="9"/>
      <c r="UL446" s="9"/>
      <c r="UM446" s="9"/>
      <c r="UN446" s="9"/>
      <c r="UO446" s="9"/>
      <c r="UP446" s="9"/>
      <c r="UQ446" s="9"/>
      <c r="UR446" s="9"/>
      <c r="US446" s="9"/>
      <c r="UT446" s="9"/>
      <c r="UU446" s="9"/>
      <c r="UV446" s="9"/>
      <c r="UW446" s="9"/>
      <c r="UX446" s="9"/>
      <c r="UY446" s="9"/>
      <c r="UZ446" s="9"/>
      <c r="VA446" s="9"/>
      <c r="VB446" s="9"/>
      <c r="VC446" s="9"/>
      <c r="VD446" s="9"/>
      <c r="VE446" s="9"/>
      <c r="VF446" s="9"/>
      <c r="VG446" s="9"/>
      <c r="VH446" s="9"/>
      <c r="VI446" s="9"/>
      <c r="VJ446" s="9"/>
      <c r="VK446" s="9"/>
      <c r="VL446" s="9"/>
      <c r="VM446" s="9"/>
      <c r="VN446" s="9"/>
      <c r="VO446" s="9"/>
      <c r="VP446" s="9"/>
      <c r="VQ446" s="9"/>
      <c r="VR446" s="9"/>
      <c r="VS446" s="9"/>
      <c r="VT446" s="9"/>
      <c r="VU446" s="9"/>
      <c r="VV446" s="9"/>
      <c r="VW446" s="9"/>
      <c r="VX446" s="9"/>
      <c r="VY446" s="9"/>
      <c r="VZ446" s="9"/>
      <c r="WA446" s="9"/>
      <c r="WB446" s="9"/>
      <c r="WC446" s="9"/>
      <c r="WD446" s="9"/>
      <c r="WE446" s="9"/>
      <c r="WF446" s="9"/>
      <c r="WG446" s="9"/>
      <c r="WH446" s="9"/>
      <c r="WI446" s="9"/>
      <c r="WJ446" s="9"/>
      <c r="WK446" s="9"/>
      <c r="WL446" s="9"/>
      <c r="WM446" s="9"/>
      <c r="WN446" s="9"/>
      <c r="WO446" s="9"/>
      <c r="WP446" s="9"/>
      <c r="WQ446" s="9"/>
      <c r="WR446" s="9"/>
      <c r="WS446" s="9"/>
      <c r="WT446" s="9"/>
      <c r="WU446" s="9"/>
      <c r="WV446" s="9"/>
      <c r="WW446" s="9"/>
      <c r="WX446" s="9"/>
      <c r="WY446" s="9"/>
      <c r="WZ446" s="9"/>
      <c r="XA446" s="9"/>
      <c r="XB446" s="9"/>
      <c r="XC446" s="9"/>
      <c r="XD446" s="9"/>
      <c r="XE446" s="9"/>
      <c r="XF446" s="9"/>
      <c r="XG446" s="9"/>
      <c r="XH446" s="9"/>
      <c r="XI446" s="9"/>
      <c r="XJ446" s="9"/>
      <c r="XK446" s="9"/>
      <c r="XL446" s="9"/>
      <c r="XM446" s="9"/>
      <c r="XN446" s="9"/>
      <c r="XO446" s="9"/>
      <c r="XP446" s="9"/>
      <c r="XQ446" s="9"/>
      <c r="XR446" s="9"/>
      <c r="XS446" s="9"/>
      <c r="XT446" s="9"/>
      <c r="XU446" s="9"/>
      <c r="XV446" s="9"/>
      <c r="XW446" s="9"/>
      <c r="XX446" s="9"/>
      <c r="XY446" s="9"/>
      <c r="XZ446" s="9"/>
      <c r="YA446" s="9"/>
      <c r="YB446" s="9"/>
      <c r="YC446" s="9"/>
      <c r="YD446" s="9"/>
      <c r="YE446" s="9"/>
      <c r="YF446" s="9"/>
      <c r="YG446" s="9"/>
      <c r="YH446" s="9"/>
      <c r="YI446" s="9"/>
      <c r="YJ446" s="9"/>
      <c r="YK446" s="9"/>
      <c r="YL446" s="9"/>
      <c r="YM446" s="9"/>
      <c r="YN446" s="9"/>
      <c r="YO446" s="9"/>
      <c r="YP446" s="9"/>
      <c r="YQ446" s="9"/>
      <c r="YR446" s="9"/>
      <c r="YS446" s="9"/>
      <c r="YT446" s="9"/>
      <c r="YU446" s="9"/>
      <c r="YV446" s="9"/>
      <c r="YW446" s="9"/>
      <c r="YX446" s="9"/>
      <c r="YY446" s="9"/>
      <c r="YZ446" s="9"/>
      <c r="ZA446" s="9"/>
      <c r="ZB446" s="9"/>
      <c r="ZC446" s="9"/>
      <c r="ZD446" s="9"/>
      <c r="ZE446" s="9"/>
      <c r="ZF446" s="9"/>
      <c r="ZG446" s="9"/>
      <c r="ZH446" s="9"/>
      <c r="ZI446" s="9"/>
      <c r="ZJ446" s="9"/>
      <c r="ZK446" s="9"/>
      <c r="ZL446" s="9"/>
      <c r="ZM446" s="9"/>
      <c r="ZN446" s="9"/>
      <c r="ZO446" s="9"/>
      <c r="ZP446" s="9"/>
      <c r="ZQ446" s="9"/>
      <c r="ZR446" s="9"/>
      <c r="ZS446" s="9"/>
      <c r="ZT446" s="9"/>
      <c r="ZU446" s="9"/>
      <c r="ZV446" s="9"/>
      <c r="ZW446" s="9"/>
      <c r="ZX446" s="9"/>
      <c r="ZY446" s="9"/>
      <c r="ZZ446" s="9"/>
      <c r="AAA446" s="9"/>
      <c r="AAB446" s="9"/>
      <c r="AAC446" s="9"/>
      <c r="AAD446" s="9"/>
      <c r="AAE446" s="9"/>
      <c r="AAF446" s="9"/>
      <c r="AAG446" s="9"/>
      <c r="AAH446" s="9"/>
      <c r="AAI446" s="9"/>
      <c r="AAJ446" s="9"/>
      <c r="AAK446" s="9"/>
      <c r="AAL446" s="9"/>
      <c r="AAM446" s="9"/>
      <c r="AAN446" s="9"/>
      <c r="AAO446" s="9"/>
      <c r="AAP446" s="9"/>
      <c r="AAQ446" s="9"/>
      <c r="AAR446" s="9"/>
      <c r="AAS446" s="9"/>
      <c r="AAT446" s="9"/>
      <c r="AAU446" s="9"/>
      <c r="AAV446" s="9"/>
      <c r="AAW446" s="9"/>
      <c r="AAX446" s="9"/>
      <c r="AAY446" s="9"/>
      <c r="AAZ446" s="9"/>
      <c r="ABA446" s="9"/>
      <c r="ABB446" s="9"/>
      <c r="ABC446" s="9"/>
      <c r="ABD446" s="9"/>
      <c r="ABE446" s="9"/>
      <c r="ABF446" s="9"/>
      <c r="ABG446" s="9"/>
      <c r="ABH446" s="9"/>
      <c r="ABI446" s="9"/>
      <c r="ABJ446" s="9"/>
      <c r="ABK446" s="9"/>
      <c r="ABL446" s="9"/>
      <c r="ABM446" s="9"/>
      <c r="ABN446" s="9"/>
      <c r="ABO446" s="9"/>
      <c r="ABP446" s="9"/>
      <c r="ABQ446" s="9"/>
      <c r="ABR446" s="9"/>
      <c r="ABS446" s="9"/>
      <c r="ABT446" s="9"/>
      <c r="ABU446" s="9"/>
      <c r="ABV446" s="9"/>
      <c r="ABW446" s="9"/>
      <c r="ABX446" s="9"/>
      <c r="ABY446" s="9"/>
      <c r="ABZ446" s="9"/>
      <c r="ACA446" s="9"/>
      <c r="ACB446" s="9"/>
      <c r="ACC446" s="9"/>
      <c r="ACD446" s="9"/>
      <c r="ACE446" s="9"/>
      <c r="ACF446" s="9"/>
      <c r="ACG446" s="9"/>
      <c r="ACH446" s="9"/>
      <c r="ACI446" s="9"/>
      <c r="ACJ446" s="9"/>
      <c r="ACK446" s="9"/>
      <c r="ACL446" s="9"/>
      <c r="ACM446" s="9"/>
      <c r="ACN446" s="9"/>
      <c r="ACO446" s="9"/>
      <c r="ACP446" s="9"/>
      <c r="ACQ446" s="9"/>
      <c r="ACR446" s="9"/>
      <c r="ACS446" s="9"/>
      <c r="ACT446" s="9"/>
      <c r="ACU446" s="9"/>
      <c r="ACV446" s="9"/>
      <c r="ACW446" s="9"/>
      <c r="ACX446" s="9"/>
      <c r="ACY446" s="9"/>
      <c r="ACZ446" s="9"/>
      <c r="ADA446" s="9"/>
      <c r="ADB446" s="9"/>
      <c r="ADC446" s="9"/>
      <c r="ADD446" s="9"/>
      <c r="ADE446" s="9"/>
      <c r="ADF446" s="9"/>
      <c r="ADG446" s="9"/>
      <c r="ADH446" s="9"/>
      <c r="ADI446" s="9"/>
      <c r="ADJ446" s="9"/>
      <c r="ADK446" s="9"/>
      <c r="ADL446" s="9"/>
      <c r="ADM446" s="9"/>
      <c r="ADN446" s="9"/>
      <c r="ADO446" s="9"/>
      <c r="ADP446" s="9"/>
      <c r="ADQ446" s="9"/>
      <c r="ADR446" s="9"/>
      <c r="ADS446" s="9"/>
      <c r="ADT446" s="9"/>
      <c r="ADU446" s="9"/>
      <c r="ADV446" s="9"/>
      <c r="ADW446" s="9"/>
      <c r="ADX446" s="9"/>
      <c r="ADY446" s="9"/>
      <c r="ADZ446" s="9"/>
      <c r="AEA446" s="9"/>
      <c r="AEB446" s="9"/>
      <c r="AEC446" s="9"/>
      <c r="AED446" s="9"/>
      <c r="AEE446" s="9"/>
      <c r="AEF446" s="9"/>
      <c r="AEG446" s="9"/>
      <c r="AEH446" s="9"/>
      <c r="AEI446" s="9"/>
      <c r="AEJ446" s="9"/>
      <c r="AEK446" s="9"/>
      <c r="AEL446" s="9"/>
      <c r="AEM446" s="9"/>
      <c r="AEN446" s="9"/>
      <c r="AEO446" s="9"/>
      <c r="AEP446" s="9"/>
      <c r="AEQ446" s="9"/>
      <c r="AER446" s="9"/>
      <c r="AES446" s="9"/>
      <c r="AET446" s="9"/>
      <c r="AEU446" s="9"/>
      <c r="AEV446" s="9"/>
      <c r="AEW446" s="9"/>
      <c r="AEX446" s="9"/>
      <c r="AEY446" s="9"/>
      <c r="AEZ446" s="9"/>
      <c r="AFA446" s="9"/>
      <c r="AFB446" s="9"/>
      <c r="AFC446" s="9"/>
      <c r="AFD446" s="9"/>
      <c r="AFE446" s="9"/>
      <c r="AFF446" s="9"/>
      <c r="AFG446" s="9"/>
      <c r="AFH446" s="9"/>
      <c r="AFI446" s="9"/>
      <c r="AFJ446" s="9"/>
      <c r="AFK446" s="9"/>
      <c r="AFL446" s="9"/>
      <c r="AFM446" s="9"/>
      <c r="AFN446" s="9"/>
      <c r="AFO446" s="9"/>
      <c r="AFP446" s="9"/>
      <c r="AFQ446" s="9"/>
      <c r="AFR446" s="9"/>
      <c r="AFS446" s="9"/>
      <c r="AFT446" s="9"/>
      <c r="AFU446" s="9"/>
      <c r="AFV446" s="9"/>
      <c r="AFW446" s="9"/>
      <c r="AFX446" s="9"/>
      <c r="AFY446" s="9"/>
      <c r="AFZ446" s="9"/>
      <c r="AGA446" s="9"/>
      <c r="AGB446" s="9"/>
      <c r="AGC446" s="9"/>
      <c r="AGD446" s="9"/>
      <c r="AGE446" s="9"/>
      <c r="AGF446" s="9"/>
      <c r="AGG446" s="9"/>
      <c r="AGH446" s="9"/>
      <c r="AGI446" s="9"/>
      <c r="AGJ446" s="9"/>
      <c r="AGK446" s="9"/>
      <c r="AGL446" s="9"/>
      <c r="AGM446" s="9"/>
      <c r="AGN446" s="9"/>
      <c r="AGO446" s="9"/>
      <c r="AGP446" s="9"/>
      <c r="AGQ446" s="9"/>
      <c r="AGR446" s="9"/>
      <c r="AGS446" s="9"/>
      <c r="AGT446" s="9"/>
      <c r="AGU446" s="9"/>
      <c r="AGV446" s="9"/>
      <c r="AGW446" s="9"/>
      <c r="AGX446" s="9"/>
      <c r="AGY446" s="9"/>
      <c r="AGZ446" s="9"/>
      <c r="AHA446" s="9"/>
      <c r="AHB446" s="9"/>
      <c r="AHC446" s="9"/>
      <c r="AHD446" s="9"/>
      <c r="AHE446" s="9"/>
      <c r="AHF446" s="9"/>
      <c r="AHG446" s="9"/>
      <c r="AHH446" s="9"/>
      <c r="AHI446" s="9"/>
      <c r="AHJ446" s="9"/>
      <c r="AHK446" s="9"/>
      <c r="AHL446" s="9"/>
      <c r="AHM446" s="9"/>
      <c r="AHN446" s="9"/>
      <c r="AHO446" s="9"/>
      <c r="AHP446" s="9"/>
      <c r="AHQ446" s="9"/>
      <c r="AHR446" s="9"/>
      <c r="AHS446" s="9"/>
      <c r="AHT446" s="9"/>
      <c r="AHU446" s="9"/>
      <c r="AHV446" s="9"/>
      <c r="AHW446" s="9"/>
      <c r="AHX446" s="9"/>
      <c r="AHY446" s="9"/>
      <c r="AHZ446" s="9"/>
      <c r="AIA446" s="9"/>
      <c r="AIB446" s="9"/>
      <c r="AIC446" s="9"/>
      <c r="AID446" s="9"/>
      <c r="AIE446" s="9"/>
      <c r="AIF446" s="9"/>
      <c r="AIG446" s="9"/>
      <c r="AIH446" s="9"/>
      <c r="AII446" s="9"/>
      <c r="AIJ446" s="9"/>
      <c r="AIK446" s="9"/>
      <c r="AIL446" s="9"/>
      <c r="AIM446" s="9"/>
      <c r="AIN446" s="9"/>
      <c r="AIO446" s="9"/>
      <c r="AIP446" s="9"/>
      <c r="AIQ446" s="9"/>
      <c r="AIR446" s="9"/>
      <c r="AIS446" s="9"/>
      <c r="AIT446" s="9"/>
      <c r="AIU446" s="9"/>
      <c r="AIV446" s="9"/>
      <c r="AIW446" s="9"/>
      <c r="AIX446" s="9"/>
      <c r="AIY446" s="9"/>
      <c r="AIZ446" s="9"/>
      <c r="AJA446" s="9"/>
      <c r="AJB446" s="9"/>
      <c r="AJC446" s="9"/>
      <c r="AJD446" s="9"/>
      <c r="AJE446" s="9"/>
      <c r="AJF446" s="9"/>
      <c r="AJG446" s="9"/>
      <c r="AJH446" s="9"/>
      <c r="AJI446" s="9"/>
      <c r="AJJ446" s="9"/>
      <c r="AJK446" s="9"/>
      <c r="AJL446" s="9"/>
      <c r="AJM446" s="9"/>
      <c r="AJN446" s="9"/>
      <c r="AJO446" s="9"/>
      <c r="AJP446" s="9"/>
      <c r="AJQ446" s="9"/>
      <c r="AJR446" s="9"/>
      <c r="AJS446" s="9"/>
      <c r="AJT446" s="9"/>
      <c r="AJU446" s="9"/>
      <c r="AJV446" s="9"/>
      <c r="AJW446" s="9"/>
      <c r="AJX446" s="9"/>
      <c r="AJY446" s="9"/>
      <c r="AJZ446" s="9"/>
      <c r="AKA446" s="9"/>
      <c r="AKB446" s="9"/>
      <c r="AKC446" s="9"/>
      <c r="AKD446" s="9"/>
      <c r="AKE446" s="9"/>
      <c r="AKF446" s="9"/>
      <c r="AKG446" s="9"/>
      <c r="AKH446" s="9"/>
      <c r="AKI446" s="9"/>
      <c r="AKJ446" s="9"/>
      <c r="AKK446" s="9"/>
      <c r="AKL446" s="9"/>
      <c r="AKM446" s="9"/>
      <c r="AKN446" s="9"/>
      <c r="AKO446" s="9"/>
      <c r="AKP446" s="9"/>
      <c r="AKQ446" s="9"/>
      <c r="AKR446" s="9"/>
      <c r="AKS446" s="9"/>
      <c r="AKT446" s="9"/>
      <c r="AKU446" s="9"/>
      <c r="AKV446" s="9"/>
      <c r="AKW446" s="9"/>
      <c r="AKX446" s="9"/>
      <c r="AKY446" s="9"/>
      <c r="AKZ446" s="9"/>
      <c r="ALA446" s="9"/>
      <c r="ALB446" s="9"/>
      <c r="ALC446" s="9"/>
      <c r="ALD446" s="9"/>
      <c r="ALE446" s="9"/>
      <c r="ALF446" s="9"/>
      <c r="ALG446" s="9"/>
      <c r="ALH446" s="9"/>
      <c r="ALI446" s="9"/>
      <c r="ALJ446" s="9"/>
      <c r="ALK446" s="9"/>
      <c r="ALL446" s="9"/>
      <c r="ALM446" s="9"/>
      <c r="ALN446" s="9"/>
      <c r="ALO446" s="9"/>
      <c r="ALP446" s="9"/>
      <c r="ALQ446" s="9"/>
      <c r="ALR446" s="9"/>
      <c r="ALS446" s="9"/>
      <c r="ALT446" s="9"/>
      <c r="ALU446" s="9"/>
      <c r="ALV446" s="9"/>
      <c r="ALW446" s="9"/>
      <c r="ALX446" s="9"/>
      <c r="ALY446" s="9"/>
      <c r="ALZ446" s="9"/>
      <c r="AMA446" s="9"/>
      <c r="AMB446" s="9"/>
      <c r="AMC446" s="9"/>
      <c r="AMD446" s="9"/>
      <c r="AME446" s="9"/>
      <c r="AMF446" s="9"/>
      <c r="AMG446" s="9"/>
      <c r="AMH446" s="9"/>
      <c r="AMI446" s="9"/>
      <c r="AMJ446" s="9"/>
      <c r="AMK446" s="9"/>
      <c r="AML446" s="9"/>
      <c r="AMM446" s="9"/>
      <c r="AMN446" s="9"/>
      <c r="AMO446" s="9"/>
      <c r="AMP446" s="9"/>
    </row>
    <row r="447" spans="1:1030" s="12" customFormat="1" x14ac:dyDescent="0.2">
      <c r="A447" s="9" t="str">
        <f>CONCATENATE(B447,"_",C447)</f>
        <v>fzd4_human__wt</v>
      </c>
      <c r="B447" s="9" t="s">
        <v>444</v>
      </c>
      <c r="C447" s="9" t="s">
        <v>100</v>
      </c>
      <c r="D447" s="9" t="str">
        <f>IFERROR(MID(VLOOKUP($B447,Seqs!$A:$B,2,0),E447,1),"")</f>
        <v>S</v>
      </c>
      <c r="E447" s="9">
        <v>212</v>
      </c>
      <c r="F447" s="9" t="str">
        <f>IFERROR(MID(VLOOKUP($B447,Seqs!$A:$B,2,0),G447,1),"")</f>
        <v>D</v>
      </c>
      <c r="G447" s="9">
        <v>244</v>
      </c>
      <c r="H447" s="9" t="str">
        <f>IFERROR(MID(VLOOKUP($B447,Seqs!$A:$B,2,0),I447,1),"")</f>
        <v>S</v>
      </c>
      <c r="I447" s="109">
        <v>245</v>
      </c>
      <c r="J447" s="9" t="str">
        <f>IFERROR(MID(VLOOKUP($B447,Seqs!$A:$B,2,0),K447,1),"")</f>
        <v>S</v>
      </c>
      <c r="K447" s="109">
        <v>249</v>
      </c>
      <c r="L447" s="9" t="str">
        <f>IFERROR(MID(VLOOKUP($B447,Seqs!$A:$B,2,0),M447,1),"")</f>
        <v>Y</v>
      </c>
      <c r="M447" s="9">
        <v>250</v>
      </c>
      <c r="N447" s="9" t="str">
        <f>IFERROR(MID(VLOOKUP($B447,Seqs!$A:$B,2,0),O447,1),"")</f>
        <v>G</v>
      </c>
      <c r="O447" s="9">
        <v>276</v>
      </c>
      <c r="P447" s="9" t="str">
        <f>IFERROR(MID(VLOOKUP($B447,Seqs!$A:$B,2,0),Q447,1),"")</f>
        <v/>
      </c>
      <c r="Q447" s="9" t="s">
        <v>23</v>
      </c>
      <c r="R447" s="9" t="str">
        <f>IFERROR(MID(VLOOKUP($B447,Seqs!$A:$B,2,0),S447,1),"")</f>
        <v/>
      </c>
      <c r="S447" s="9" t="s">
        <v>23</v>
      </c>
      <c r="T447" s="9" t="str">
        <f>IFERROR(MID(VLOOKUP($B447,Seqs!$A:$B,2,0),U447,1),"")</f>
        <v>N</v>
      </c>
      <c r="U447" s="9">
        <v>299</v>
      </c>
      <c r="V447" s="9" t="str">
        <f>IFERROR(MID(VLOOKUP($B447,Seqs!$A:$B,2,0),W447,1),"")</f>
        <v>G</v>
      </c>
      <c r="W447" s="9">
        <v>332</v>
      </c>
      <c r="X447" s="9" t="str">
        <f>IFERROR(MID(VLOOKUP($B447,Seqs!$A:$B,2,0),Y447,1),"")</f>
        <v/>
      </c>
      <c r="Y447" s="9" t="s">
        <v>23</v>
      </c>
      <c r="Z447" s="9" t="str">
        <f>IFERROR(MID(VLOOKUP($B447,Seqs!$A:$B,2,0),AA447,1),"")</f>
        <v/>
      </c>
      <c r="AA447" s="9" t="s">
        <v>23</v>
      </c>
      <c r="AB447" s="9" t="str">
        <f>IFERROR(MID(VLOOKUP($B447,Seqs!$A:$B,2,0),AC447,1),"")</f>
        <v>H</v>
      </c>
      <c r="AC447" s="9">
        <v>343</v>
      </c>
      <c r="AD447" s="9" t="str">
        <f>IFERROR(MID(VLOOKUP($B447,Seqs!$A:$B,2,0),AE447,1),"")</f>
        <v>R</v>
      </c>
      <c r="AE447" s="9">
        <v>366</v>
      </c>
      <c r="AF447" s="9" t="str">
        <f>IFERROR(MID(VLOOKUP($B447,Seqs!$A:$B,2,0),AG447,1),"")</f>
        <v>C</v>
      </c>
      <c r="AG447" s="9">
        <v>377</v>
      </c>
      <c r="AH447" s="9" t="str">
        <f>IFERROR(MID(VLOOKUP($B447,Seqs!$A:$B,2,0),AI447,1),"")</f>
        <v>V</v>
      </c>
      <c r="AI447" s="9">
        <v>379</v>
      </c>
      <c r="AJ447" s="9" t="str">
        <f>IFERROR(MID(VLOOKUP($B447,Seqs!$A:$B,2,0),AK447,1),"")</f>
        <v>N</v>
      </c>
      <c r="AK447" s="9">
        <v>383</v>
      </c>
      <c r="AL447" s="9" t="str">
        <f>IFERROR(MID(VLOOKUP($B447,Seqs!$A:$B,2,0),AM447,1),"")</f>
        <v>L</v>
      </c>
      <c r="AM447" s="9">
        <v>420</v>
      </c>
      <c r="AN447" s="9" t="str">
        <f>IFERROR(MID(VLOOKUP($B447,Seqs!$A:$B,2,0),AO447,1),"")</f>
        <v>E</v>
      </c>
      <c r="AO447" s="9">
        <v>431</v>
      </c>
      <c r="AP447" s="9" t="str">
        <f>IFERROR(MID(VLOOKUP($B447,Seqs!$A:$B,2,0),AQ447,1),"")</f>
        <v>N</v>
      </c>
      <c r="AQ447" s="9">
        <v>461</v>
      </c>
      <c r="AR447" s="9" t="str">
        <f>IFERROR(MID(VLOOKUP($B447,Seqs!$A:$B,2,0),AS447,1),"")</f>
        <v>N</v>
      </c>
      <c r="AS447" s="9">
        <v>473</v>
      </c>
      <c r="AT447" s="9" t="str">
        <f>IFERROR(MID(VLOOKUP($B447,Seqs!$A:$B,2,0),AU447,1),"")</f>
        <v>W</v>
      </c>
      <c r="AU447" s="9">
        <v>496</v>
      </c>
      <c r="AV447" s="9" t="str">
        <f>IFERROR(MID(VLOOKUP($B447,Seqs!$A:$B,2,0),AW447,1),"")</f>
        <v>S</v>
      </c>
      <c r="AW447" s="9">
        <v>497</v>
      </c>
      <c r="AX447" s="9" t="str">
        <f>IFERROR(MID(VLOOKUP($B447,Seqs!$A:$B,2,0),AY447,1),"")</f>
        <v>V</v>
      </c>
      <c r="AY447" s="9">
        <v>512</v>
      </c>
      <c r="AZ447" s="110" t="str">
        <f>VLOOKUP(B447,Classification!A:D,2,0)</f>
        <v>F</v>
      </c>
      <c r="BA447" s="98" t="str">
        <f>VLOOKUP(B447,Classification!A:D,4,0)</f>
        <v>Frizzled</v>
      </c>
      <c r="BB447" s="36" t="b">
        <f t="shared" ref="BB447:BB448" si="1219">AND(E447&lt;G447,OR(G447&lt;I447,I447="-"),OR(I447&lt;K447,I447="-"),OR(K447&lt;M447,K447="-"),M447&lt;O447,OR(O447&lt;Q447,Q447="-"),OR(Q447&lt;S447,Q447="-"),OR(S447&lt;U447,S447="-"),U447&lt;W447,OR(W447&lt;Y447,Y447="-"),OR(Y447&lt;AA447,Y447="-"),OR(AA447&lt;AC447,AA447="-"),AC447&lt;AE447,OR(AE447&lt;AG447,AG447="-"),OR(AG447&lt;AI447,AG447="-"),OR(AI447&lt;AK447,AI447="-"),AK447&lt;AM447,AM447&lt;AO447,AO447&lt;AQ447,AQ447&lt;AS447,AS447&lt;AU447,OR(AU447&lt;AW447,AW447="-"),OR(AW447&lt;AY447,AW447="-"))</f>
        <v>1</v>
      </c>
      <c r="BC447" s="109">
        <f t="shared" ref="BC447:BC448" si="1220">_xlfn.AGGREGATE(9,6,CH447:CS447)-_xlfn.AGGREGATE(9,6,BV447:CG447)+12</f>
        <v>237</v>
      </c>
      <c r="BD447" s="11" t="s">
        <v>23</v>
      </c>
      <c r="BE447" s="9" t="s">
        <v>23</v>
      </c>
      <c r="BF447" s="119" t="s">
        <v>23</v>
      </c>
      <c r="BG447" s="51" t="s">
        <v>23</v>
      </c>
      <c r="BH447" s="51" t="s">
        <v>23</v>
      </c>
      <c r="BI447" s="9"/>
      <c r="BJ447" s="111" t="s">
        <v>1281</v>
      </c>
      <c r="BK447" s="112" t="s">
        <v>1281</v>
      </c>
      <c r="BL447" s="112" t="s">
        <v>1281</v>
      </c>
      <c r="BM447" s="112" t="s">
        <v>1281</v>
      </c>
      <c r="BN447" s="112" t="s">
        <v>1281</v>
      </c>
      <c r="BO447" s="112" t="s">
        <v>1281</v>
      </c>
      <c r="BP447" s="112" t="s">
        <v>1281</v>
      </c>
      <c r="BQ447" s="112" t="s">
        <v>1281</v>
      </c>
      <c r="BR447" s="112" t="s">
        <v>1281</v>
      </c>
      <c r="BS447" s="112" t="s">
        <v>1281</v>
      </c>
      <c r="BT447" s="112" t="s">
        <v>1281</v>
      </c>
      <c r="BU447" s="112" t="s">
        <v>1281</v>
      </c>
      <c r="BV447" s="111">
        <f>E447</f>
        <v>212</v>
      </c>
      <c r="BW447" s="113">
        <f>I447</f>
        <v>245</v>
      </c>
      <c r="BX447" s="114">
        <f>M447</f>
        <v>250</v>
      </c>
      <c r="BY447" s="113" t="str">
        <f>Q447</f>
        <v>-</v>
      </c>
      <c r="BZ447" s="114">
        <f>U447</f>
        <v>299</v>
      </c>
      <c r="CA447" s="113" t="str">
        <f>Y447</f>
        <v>-</v>
      </c>
      <c r="CB447" s="114">
        <f>AC447</f>
        <v>343</v>
      </c>
      <c r="CC447" s="113">
        <f>AG447</f>
        <v>377</v>
      </c>
      <c r="CD447" s="114">
        <f>AK447</f>
        <v>383</v>
      </c>
      <c r="CE447" s="113">
        <f>AO447</f>
        <v>431</v>
      </c>
      <c r="CF447" s="114">
        <f>AS447</f>
        <v>473</v>
      </c>
      <c r="CG447" s="113">
        <f>AW447</f>
        <v>497</v>
      </c>
      <c r="CH447" s="111">
        <f>G447</f>
        <v>244</v>
      </c>
      <c r="CI447" s="113">
        <f>K447</f>
        <v>249</v>
      </c>
      <c r="CJ447" s="114">
        <f>O447</f>
        <v>276</v>
      </c>
      <c r="CK447" s="114" t="str">
        <f>S447</f>
        <v>-</v>
      </c>
      <c r="CL447" s="114">
        <f>W447</f>
        <v>332</v>
      </c>
      <c r="CM447" s="114" t="str">
        <f>AA447</f>
        <v>-</v>
      </c>
      <c r="CN447" s="114">
        <f>AE447</f>
        <v>366</v>
      </c>
      <c r="CO447" s="114">
        <f>AI447</f>
        <v>379</v>
      </c>
      <c r="CP447" s="114">
        <f>AM447</f>
        <v>420</v>
      </c>
      <c r="CQ447" s="114">
        <f>AQ447</f>
        <v>461</v>
      </c>
      <c r="CR447" s="114">
        <f>AU447</f>
        <v>496</v>
      </c>
      <c r="CS447" s="114">
        <f>AY447</f>
        <v>512</v>
      </c>
      <c r="CT447" s="109">
        <f>M447-K447</f>
        <v>1</v>
      </c>
      <c r="CU447" s="9"/>
      <c r="CV447" s="9"/>
      <c r="CW447" s="9"/>
      <c r="CX447" s="9"/>
      <c r="CY447" s="9"/>
      <c r="CZ447" s="9"/>
      <c r="DA447" s="9"/>
      <c r="DB447" s="9"/>
      <c r="DC447" s="9"/>
      <c r="DD447" s="9"/>
      <c r="DE447" s="9"/>
      <c r="DF447" s="9"/>
      <c r="DG447" s="9"/>
      <c r="DH447" s="9"/>
      <c r="DI447" s="9"/>
      <c r="DJ447" s="9"/>
      <c r="DK447" s="9"/>
      <c r="DL447" s="9"/>
      <c r="DM447" s="9"/>
      <c r="DN447" s="9"/>
      <c r="DO447" s="9"/>
      <c r="DP447" s="9"/>
      <c r="DQ447" s="9"/>
      <c r="DR447" s="9"/>
      <c r="DS447" s="9"/>
      <c r="DT447" s="9"/>
      <c r="DU447" s="9"/>
      <c r="DV447" s="9"/>
      <c r="DW447" s="9"/>
      <c r="DX447" s="9"/>
      <c r="DY447" s="9"/>
      <c r="DZ447" s="9"/>
      <c r="EA447" s="9"/>
      <c r="EB447" s="9"/>
      <c r="EC447" s="9"/>
      <c r="ED447" s="9"/>
      <c r="EE447" s="9"/>
      <c r="EF447" s="9"/>
      <c r="EG447" s="9"/>
      <c r="EH447" s="9"/>
      <c r="EI447" s="9"/>
      <c r="EJ447" s="9"/>
      <c r="EK447" s="9"/>
      <c r="EL447" s="9"/>
      <c r="EM447" s="9"/>
      <c r="EN447" s="9"/>
      <c r="EO447" s="9"/>
      <c r="EP447" s="9"/>
      <c r="EQ447" s="9"/>
      <c r="ER447" s="9"/>
      <c r="ES447" s="9"/>
      <c r="ET447" s="9"/>
      <c r="EU447" s="9"/>
      <c r="EV447" s="9"/>
      <c r="EW447" s="9"/>
      <c r="EX447" s="9"/>
      <c r="EY447" s="9"/>
      <c r="EZ447" s="9"/>
      <c r="FA447" s="9"/>
      <c r="FB447" s="9"/>
      <c r="FC447" s="9"/>
      <c r="FD447" s="9"/>
      <c r="FE447" s="9"/>
      <c r="FF447" s="9"/>
      <c r="FG447" s="9"/>
      <c r="FH447" s="9"/>
      <c r="FI447" s="9"/>
      <c r="FJ447" s="9"/>
      <c r="FK447" s="9"/>
      <c r="FL447" s="9"/>
      <c r="FM447" s="9"/>
      <c r="FN447" s="9"/>
      <c r="FO447" s="9"/>
      <c r="FP447" s="9"/>
      <c r="FQ447" s="9"/>
      <c r="FR447" s="9"/>
      <c r="FS447" s="9"/>
      <c r="FT447" s="9"/>
      <c r="FU447" s="9"/>
      <c r="FV447" s="9"/>
      <c r="FW447" s="9"/>
      <c r="FX447" s="9"/>
      <c r="FY447" s="9"/>
      <c r="FZ447" s="9"/>
      <c r="GA447" s="9"/>
      <c r="GB447" s="9"/>
      <c r="GC447" s="9"/>
      <c r="GD447" s="9"/>
      <c r="GE447" s="9"/>
      <c r="GF447" s="9"/>
      <c r="GG447" s="9"/>
      <c r="GH447" s="9"/>
      <c r="GI447" s="9"/>
      <c r="GJ447" s="9"/>
      <c r="GK447" s="9"/>
      <c r="GL447" s="9"/>
      <c r="GM447" s="9"/>
      <c r="GN447" s="9"/>
      <c r="GO447" s="9"/>
      <c r="GP447" s="9"/>
      <c r="GQ447" s="9"/>
      <c r="GR447" s="9"/>
      <c r="GS447" s="9"/>
      <c r="GT447" s="9"/>
      <c r="GU447" s="9"/>
      <c r="GV447" s="9"/>
      <c r="GW447" s="9"/>
      <c r="GX447" s="9"/>
      <c r="GY447" s="9"/>
      <c r="GZ447" s="9"/>
      <c r="HA447" s="9"/>
      <c r="HB447" s="9"/>
      <c r="HC447" s="9"/>
      <c r="HD447" s="9"/>
      <c r="HE447" s="9"/>
      <c r="HF447" s="9"/>
      <c r="HG447" s="9"/>
      <c r="HH447" s="9"/>
      <c r="HI447" s="9"/>
      <c r="HJ447" s="9"/>
      <c r="HK447" s="9"/>
      <c r="HL447" s="9"/>
      <c r="HM447" s="9"/>
      <c r="HN447" s="9"/>
      <c r="HO447" s="9"/>
      <c r="HP447" s="9"/>
      <c r="HQ447" s="9"/>
      <c r="HR447" s="9"/>
      <c r="HS447" s="9"/>
      <c r="HT447" s="9"/>
      <c r="HU447" s="9"/>
      <c r="HV447" s="9"/>
      <c r="HW447" s="9"/>
      <c r="HX447" s="9"/>
      <c r="HY447" s="9"/>
      <c r="HZ447" s="9"/>
      <c r="IA447" s="9"/>
      <c r="IB447" s="9"/>
      <c r="IC447" s="9"/>
      <c r="ID447" s="9"/>
      <c r="IE447" s="9"/>
      <c r="IF447" s="9"/>
      <c r="IG447" s="9"/>
      <c r="IH447" s="9"/>
      <c r="II447" s="9"/>
      <c r="IJ447" s="9"/>
      <c r="IK447" s="9"/>
      <c r="IL447" s="9"/>
      <c r="IM447" s="9"/>
      <c r="IN447" s="9"/>
      <c r="IO447" s="9"/>
      <c r="IP447" s="9"/>
      <c r="IQ447" s="9"/>
      <c r="IR447" s="9"/>
      <c r="IS447" s="9"/>
      <c r="IT447" s="9"/>
      <c r="IU447" s="9"/>
      <c r="IV447" s="9"/>
      <c r="IW447" s="9"/>
      <c r="IX447" s="9"/>
      <c r="IY447" s="9"/>
      <c r="IZ447" s="9"/>
      <c r="JA447" s="9"/>
      <c r="JB447" s="9"/>
      <c r="JC447" s="9"/>
      <c r="JD447" s="9"/>
      <c r="JE447" s="9"/>
      <c r="JF447" s="9"/>
      <c r="JG447" s="9"/>
      <c r="JH447" s="9"/>
      <c r="JI447" s="9"/>
      <c r="JJ447" s="9"/>
      <c r="JK447" s="9"/>
      <c r="JL447" s="9"/>
      <c r="JM447" s="9"/>
      <c r="JN447" s="9"/>
      <c r="JO447" s="9"/>
      <c r="JP447" s="9"/>
      <c r="JQ447" s="9"/>
      <c r="JR447" s="9"/>
      <c r="JS447" s="9"/>
      <c r="JT447" s="9"/>
      <c r="JU447" s="9"/>
      <c r="JV447" s="9"/>
      <c r="JW447" s="9"/>
      <c r="JX447" s="9"/>
      <c r="JY447" s="9"/>
      <c r="JZ447" s="9"/>
      <c r="KA447" s="9"/>
      <c r="KB447" s="9"/>
      <c r="KC447" s="9"/>
      <c r="KD447" s="9"/>
      <c r="KE447" s="9"/>
      <c r="KF447" s="9"/>
      <c r="KG447" s="9"/>
      <c r="KH447" s="9"/>
      <c r="KI447" s="9"/>
      <c r="KJ447" s="9"/>
      <c r="KK447" s="9"/>
      <c r="KL447" s="9"/>
      <c r="KM447" s="9"/>
      <c r="KN447" s="9"/>
      <c r="KO447" s="9"/>
      <c r="KP447" s="9"/>
      <c r="KQ447" s="9"/>
      <c r="KR447" s="9"/>
      <c r="KS447" s="9"/>
      <c r="KT447" s="9"/>
      <c r="KU447" s="9"/>
      <c r="KV447" s="9"/>
      <c r="KW447" s="9"/>
      <c r="KX447" s="9"/>
      <c r="KY447" s="9"/>
      <c r="KZ447" s="9"/>
      <c r="LA447" s="9"/>
      <c r="LB447" s="9"/>
      <c r="LC447" s="9"/>
      <c r="LD447" s="9"/>
      <c r="LE447" s="9"/>
      <c r="LF447" s="9"/>
      <c r="LG447" s="9"/>
      <c r="LH447" s="9"/>
      <c r="LI447" s="9"/>
      <c r="LJ447" s="9"/>
      <c r="LK447" s="9"/>
      <c r="LL447" s="9"/>
      <c r="LM447" s="9"/>
      <c r="LN447" s="9"/>
      <c r="LO447" s="9"/>
      <c r="LP447" s="9"/>
      <c r="LQ447" s="9"/>
      <c r="LR447" s="9"/>
      <c r="LS447" s="9"/>
      <c r="LT447" s="9"/>
      <c r="LU447" s="9"/>
      <c r="LV447" s="9"/>
      <c r="LW447" s="9"/>
      <c r="LX447" s="9"/>
      <c r="LY447" s="9"/>
      <c r="LZ447" s="9"/>
      <c r="MA447" s="9"/>
      <c r="MB447" s="9"/>
      <c r="MC447" s="9"/>
      <c r="MD447" s="9"/>
      <c r="ME447" s="9"/>
      <c r="MF447" s="9"/>
      <c r="MG447" s="9"/>
      <c r="MH447" s="9"/>
      <c r="MI447" s="9"/>
      <c r="MJ447" s="9"/>
      <c r="MK447" s="9"/>
      <c r="ML447" s="9"/>
      <c r="MM447" s="9"/>
      <c r="MN447" s="9"/>
      <c r="MO447" s="9"/>
      <c r="MP447" s="9"/>
      <c r="MQ447" s="9"/>
      <c r="MR447" s="9"/>
      <c r="MS447" s="9"/>
      <c r="MT447" s="9"/>
      <c r="MU447" s="9"/>
      <c r="MV447" s="9"/>
      <c r="MW447" s="9"/>
      <c r="MX447" s="9"/>
      <c r="MY447" s="9"/>
      <c r="MZ447" s="9"/>
      <c r="NA447" s="9"/>
      <c r="NB447" s="9"/>
      <c r="NC447" s="9"/>
      <c r="ND447" s="9"/>
      <c r="NE447" s="9"/>
      <c r="NF447" s="9"/>
      <c r="NG447" s="9"/>
      <c r="NH447" s="9"/>
      <c r="NI447" s="9"/>
      <c r="NJ447" s="9"/>
      <c r="NK447" s="9"/>
      <c r="NL447" s="9"/>
      <c r="NM447" s="9"/>
      <c r="NN447" s="9"/>
      <c r="NO447" s="9"/>
      <c r="NP447" s="9"/>
      <c r="NQ447" s="9"/>
      <c r="NR447" s="9"/>
      <c r="NS447" s="9"/>
      <c r="NT447" s="9"/>
      <c r="NU447" s="9"/>
      <c r="NV447" s="9"/>
      <c r="NW447" s="9"/>
      <c r="NX447" s="9"/>
      <c r="NY447" s="9"/>
      <c r="NZ447" s="9"/>
      <c r="OA447" s="9"/>
      <c r="OB447" s="9"/>
      <c r="OC447" s="9"/>
      <c r="OD447" s="9"/>
      <c r="OE447" s="9"/>
      <c r="OF447" s="9"/>
      <c r="OG447" s="9"/>
      <c r="OH447" s="9"/>
      <c r="OI447" s="9"/>
      <c r="OJ447" s="9"/>
      <c r="OK447" s="9"/>
      <c r="OL447" s="9"/>
      <c r="OM447" s="9"/>
      <c r="ON447" s="9"/>
      <c r="OO447" s="9"/>
      <c r="OP447" s="9"/>
      <c r="OQ447" s="9"/>
      <c r="OR447" s="9"/>
      <c r="OS447" s="9"/>
      <c r="OT447" s="9"/>
      <c r="OU447" s="9"/>
      <c r="OV447" s="9"/>
      <c r="OW447" s="9"/>
      <c r="OX447" s="9"/>
      <c r="OY447" s="9"/>
      <c r="OZ447" s="9"/>
      <c r="PA447" s="9"/>
      <c r="PB447" s="9"/>
      <c r="PC447" s="9"/>
      <c r="PD447" s="9"/>
      <c r="PE447" s="9"/>
      <c r="PF447" s="9"/>
      <c r="PG447" s="9"/>
      <c r="PH447" s="9"/>
      <c r="PI447" s="9"/>
      <c r="PJ447" s="9"/>
      <c r="PK447" s="9"/>
      <c r="PL447" s="9"/>
      <c r="PM447" s="9"/>
      <c r="PN447" s="9"/>
      <c r="PO447" s="9"/>
      <c r="PP447" s="9"/>
      <c r="PQ447" s="9"/>
      <c r="PR447" s="9"/>
      <c r="PS447" s="9"/>
      <c r="PT447" s="9"/>
      <c r="PU447" s="9"/>
      <c r="PV447" s="9"/>
      <c r="PW447" s="9"/>
      <c r="PX447" s="9"/>
      <c r="PY447" s="9"/>
      <c r="PZ447" s="9"/>
      <c r="QA447" s="9"/>
      <c r="QB447" s="9"/>
      <c r="QC447" s="9"/>
      <c r="QD447" s="9"/>
      <c r="QE447" s="9"/>
      <c r="QF447" s="9"/>
      <c r="QG447" s="9"/>
      <c r="QH447" s="9"/>
      <c r="QI447" s="9"/>
      <c r="QJ447" s="9"/>
      <c r="QK447" s="9"/>
      <c r="QL447" s="9"/>
      <c r="QM447" s="9"/>
      <c r="QN447" s="9"/>
      <c r="QO447" s="9"/>
      <c r="QP447" s="9"/>
      <c r="QQ447" s="9"/>
      <c r="QR447" s="9"/>
      <c r="QS447" s="9"/>
      <c r="QT447" s="9"/>
      <c r="QU447" s="9"/>
      <c r="QV447" s="9"/>
      <c r="QW447" s="9"/>
      <c r="QX447" s="9"/>
      <c r="QY447" s="9"/>
      <c r="QZ447" s="9"/>
      <c r="RA447" s="9"/>
      <c r="RB447" s="9"/>
      <c r="RC447" s="9"/>
      <c r="RD447" s="9"/>
      <c r="RE447" s="9"/>
      <c r="RF447" s="9"/>
      <c r="RG447" s="9"/>
      <c r="RH447" s="9"/>
      <c r="RI447" s="9"/>
      <c r="RJ447" s="9"/>
      <c r="RK447" s="9"/>
      <c r="RL447" s="9"/>
      <c r="RM447" s="9"/>
      <c r="RN447" s="9"/>
      <c r="RO447" s="9"/>
      <c r="RP447" s="9"/>
      <c r="RQ447" s="9"/>
      <c r="RR447" s="9"/>
      <c r="RS447" s="9"/>
      <c r="RT447" s="9"/>
      <c r="RU447" s="9"/>
      <c r="RV447" s="9"/>
      <c r="RW447" s="9"/>
      <c r="RX447" s="9"/>
      <c r="RY447" s="9"/>
      <c r="RZ447" s="9"/>
      <c r="SA447" s="9"/>
      <c r="SB447" s="9"/>
      <c r="SC447" s="9"/>
      <c r="SD447" s="9"/>
      <c r="SE447" s="9"/>
      <c r="SF447" s="9"/>
      <c r="SG447" s="9"/>
      <c r="SH447" s="9"/>
      <c r="SI447" s="9"/>
      <c r="SJ447" s="9"/>
      <c r="SK447" s="9"/>
      <c r="SL447" s="9"/>
      <c r="SM447" s="9"/>
      <c r="SN447" s="9"/>
      <c r="SO447" s="9"/>
      <c r="SP447" s="9"/>
      <c r="SQ447" s="9"/>
      <c r="SR447" s="9"/>
      <c r="SS447" s="9"/>
      <c r="ST447" s="9"/>
      <c r="SU447" s="9"/>
      <c r="SV447" s="9"/>
      <c r="SW447" s="9"/>
      <c r="SX447" s="9"/>
      <c r="SY447" s="9"/>
      <c r="SZ447" s="9"/>
      <c r="TA447" s="9"/>
      <c r="TB447" s="9"/>
      <c r="TC447" s="9"/>
      <c r="TD447" s="9"/>
      <c r="TE447" s="9"/>
      <c r="TF447" s="9"/>
      <c r="TG447" s="9"/>
      <c r="TH447" s="9"/>
      <c r="TI447" s="9"/>
      <c r="TJ447" s="9"/>
      <c r="TK447" s="9"/>
      <c r="TL447" s="9"/>
      <c r="TM447" s="9"/>
      <c r="TN447" s="9"/>
      <c r="TO447" s="9"/>
      <c r="TP447" s="9"/>
      <c r="TQ447" s="9"/>
      <c r="TR447" s="9"/>
      <c r="TS447" s="9"/>
      <c r="TT447" s="9"/>
      <c r="TU447" s="9"/>
      <c r="TV447" s="9"/>
      <c r="TW447" s="9"/>
      <c r="TX447" s="9"/>
      <c r="TY447" s="9"/>
      <c r="TZ447" s="9"/>
      <c r="UA447" s="9"/>
      <c r="UB447" s="9"/>
      <c r="UC447" s="9"/>
      <c r="UD447" s="9"/>
      <c r="UE447" s="9"/>
      <c r="UF447" s="9"/>
      <c r="UG447" s="9"/>
      <c r="UH447" s="9"/>
      <c r="UI447" s="9"/>
      <c r="UJ447" s="9"/>
      <c r="UK447" s="9"/>
      <c r="UL447" s="9"/>
      <c r="UM447" s="9"/>
      <c r="UN447" s="9"/>
      <c r="UO447" s="9"/>
      <c r="UP447" s="9"/>
      <c r="UQ447" s="9"/>
      <c r="UR447" s="9"/>
      <c r="US447" s="9"/>
      <c r="UT447" s="9"/>
      <c r="UU447" s="9"/>
      <c r="UV447" s="9"/>
      <c r="UW447" s="9"/>
      <c r="UX447" s="9"/>
      <c r="UY447" s="9"/>
      <c r="UZ447" s="9"/>
      <c r="VA447" s="9"/>
      <c r="VB447" s="9"/>
      <c r="VC447" s="9"/>
      <c r="VD447" s="9"/>
      <c r="VE447" s="9"/>
      <c r="VF447" s="9"/>
      <c r="VG447" s="9"/>
      <c r="VH447" s="9"/>
      <c r="VI447" s="9"/>
      <c r="VJ447" s="9"/>
      <c r="VK447" s="9"/>
      <c r="VL447" s="9"/>
      <c r="VM447" s="9"/>
      <c r="VN447" s="9"/>
      <c r="VO447" s="9"/>
      <c r="VP447" s="9"/>
      <c r="VQ447" s="9"/>
      <c r="VR447" s="9"/>
      <c r="VS447" s="9"/>
      <c r="VT447" s="9"/>
      <c r="VU447" s="9"/>
      <c r="VV447" s="9"/>
      <c r="VW447" s="9"/>
      <c r="VX447" s="9"/>
      <c r="VY447" s="9"/>
      <c r="VZ447" s="9"/>
      <c r="WA447" s="9"/>
      <c r="WB447" s="9"/>
      <c r="WC447" s="9"/>
      <c r="WD447" s="9"/>
      <c r="WE447" s="9"/>
      <c r="WF447" s="9"/>
      <c r="WG447" s="9"/>
      <c r="WH447" s="9"/>
      <c r="WI447" s="9"/>
      <c r="WJ447" s="9"/>
      <c r="WK447" s="9"/>
      <c r="WL447" s="9"/>
      <c r="WM447" s="9"/>
      <c r="WN447" s="9"/>
      <c r="WO447" s="9"/>
      <c r="WP447" s="9"/>
      <c r="WQ447" s="9"/>
      <c r="WR447" s="9"/>
      <c r="WS447" s="9"/>
      <c r="WT447" s="9"/>
      <c r="WU447" s="9"/>
      <c r="WV447" s="9"/>
      <c r="WW447" s="9"/>
      <c r="WX447" s="9"/>
      <c r="WY447" s="9"/>
      <c r="WZ447" s="9"/>
      <c r="XA447" s="9"/>
      <c r="XB447" s="9"/>
      <c r="XC447" s="9"/>
      <c r="XD447" s="9"/>
      <c r="XE447" s="9"/>
      <c r="XF447" s="9"/>
      <c r="XG447" s="9"/>
      <c r="XH447" s="9"/>
      <c r="XI447" s="9"/>
      <c r="XJ447" s="9"/>
      <c r="XK447" s="9"/>
      <c r="XL447" s="9"/>
      <c r="XM447" s="9"/>
      <c r="XN447" s="9"/>
      <c r="XO447" s="9"/>
      <c r="XP447" s="9"/>
      <c r="XQ447" s="9"/>
      <c r="XR447" s="9"/>
      <c r="XS447" s="9"/>
      <c r="XT447" s="9"/>
      <c r="XU447" s="9"/>
      <c r="XV447" s="9"/>
      <c r="XW447" s="9"/>
      <c r="XX447" s="9"/>
      <c r="XY447" s="9"/>
      <c r="XZ447" s="9"/>
      <c r="YA447" s="9"/>
      <c r="YB447" s="9"/>
      <c r="YC447" s="9"/>
      <c r="YD447" s="9"/>
      <c r="YE447" s="9"/>
      <c r="YF447" s="9"/>
      <c r="YG447" s="9"/>
      <c r="YH447" s="9"/>
      <c r="YI447" s="9"/>
      <c r="YJ447" s="9"/>
      <c r="YK447" s="9"/>
      <c r="YL447" s="9"/>
      <c r="YM447" s="9"/>
      <c r="YN447" s="9"/>
      <c r="YO447" s="9"/>
      <c r="YP447" s="9"/>
      <c r="YQ447" s="9"/>
      <c r="YR447" s="9"/>
      <c r="YS447" s="9"/>
      <c r="YT447" s="9"/>
      <c r="YU447" s="9"/>
      <c r="YV447" s="9"/>
      <c r="YW447" s="9"/>
      <c r="YX447" s="9"/>
      <c r="YY447" s="9"/>
      <c r="YZ447" s="9"/>
      <c r="ZA447" s="9"/>
      <c r="ZB447" s="9"/>
      <c r="ZC447" s="9"/>
      <c r="ZD447" s="9"/>
      <c r="ZE447" s="9"/>
      <c r="ZF447" s="9"/>
      <c r="ZG447" s="9"/>
      <c r="ZH447" s="9"/>
      <c r="ZI447" s="9"/>
      <c r="ZJ447" s="9"/>
      <c r="ZK447" s="9"/>
      <c r="ZL447" s="9"/>
      <c r="ZM447" s="9"/>
      <c r="ZN447" s="9"/>
      <c r="ZO447" s="9"/>
      <c r="ZP447" s="9"/>
      <c r="ZQ447" s="9"/>
      <c r="ZR447" s="9"/>
      <c r="ZS447" s="9"/>
      <c r="ZT447" s="9"/>
      <c r="ZU447" s="9"/>
      <c r="ZV447" s="9"/>
      <c r="ZW447" s="9"/>
      <c r="ZX447" s="9"/>
      <c r="ZY447" s="9"/>
      <c r="ZZ447" s="9"/>
      <c r="AAA447" s="9"/>
      <c r="AAB447" s="9"/>
      <c r="AAC447" s="9"/>
      <c r="AAD447" s="9"/>
      <c r="AAE447" s="9"/>
      <c r="AAF447" s="9"/>
      <c r="AAG447" s="9"/>
      <c r="AAH447" s="9"/>
      <c r="AAI447" s="9"/>
      <c r="AAJ447" s="9"/>
      <c r="AAK447" s="9"/>
      <c r="AAL447" s="9"/>
      <c r="AAM447" s="9"/>
      <c r="AAN447" s="9"/>
      <c r="AAO447" s="9"/>
      <c r="AAP447" s="9"/>
      <c r="AAQ447" s="9"/>
      <c r="AAR447" s="9"/>
      <c r="AAS447" s="9"/>
      <c r="AAT447" s="9"/>
      <c r="AAU447" s="9"/>
      <c r="AAV447" s="9"/>
      <c r="AAW447" s="9"/>
      <c r="AAX447" s="9"/>
      <c r="AAY447" s="9"/>
      <c r="AAZ447" s="9"/>
      <c r="ABA447" s="9"/>
      <c r="ABB447" s="9"/>
      <c r="ABC447" s="9"/>
      <c r="ABD447" s="9"/>
      <c r="ABE447" s="9"/>
      <c r="ABF447" s="9"/>
      <c r="ABG447" s="9"/>
      <c r="ABH447" s="9"/>
      <c r="ABI447" s="9"/>
      <c r="ABJ447" s="9"/>
      <c r="ABK447" s="9"/>
      <c r="ABL447" s="9"/>
      <c r="ABM447" s="9"/>
      <c r="ABN447" s="9"/>
      <c r="ABO447" s="9"/>
      <c r="ABP447" s="9"/>
      <c r="ABQ447" s="9"/>
      <c r="ABR447" s="9"/>
      <c r="ABS447" s="9"/>
      <c r="ABT447" s="9"/>
      <c r="ABU447" s="9"/>
      <c r="ABV447" s="9"/>
      <c r="ABW447" s="9"/>
      <c r="ABX447" s="9"/>
      <c r="ABY447" s="9"/>
      <c r="ABZ447" s="9"/>
      <c r="ACA447" s="9"/>
      <c r="ACB447" s="9"/>
      <c r="ACC447" s="9"/>
      <c r="ACD447" s="9"/>
      <c r="ACE447" s="9"/>
      <c r="ACF447" s="9"/>
      <c r="ACG447" s="9"/>
      <c r="ACH447" s="9"/>
      <c r="ACI447" s="9"/>
      <c r="ACJ447" s="9"/>
      <c r="ACK447" s="9"/>
      <c r="ACL447" s="9"/>
      <c r="ACM447" s="9"/>
      <c r="ACN447" s="9"/>
      <c r="ACO447" s="9"/>
      <c r="ACP447" s="9"/>
      <c r="ACQ447" s="9"/>
      <c r="ACR447" s="9"/>
      <c r="ACS447" s="9"/>
      <c r="ACT447" s="9"/>
      <c r="ACU447" s="9"/>
      <c r="ACV447" s="9"/>
      <c r="ACW447" s="9"/>
      <c r="ACX447" s="9"/>
      <c r="ACY447" s="9"/>
      <c r="ACZ447" s="9"/>
      <c r="ADA447" s="9"/>
      <c r="ADB447" s="9"/>
      <c r="ADC447" s="9"/>
      <c r="ADD447" s="9"/>
      <c r="ADE447" s="9"/>
      <c r="ADF447" s="9"/>
      <c r="ADG447" s="9"/>
      <c r="ADH447" s="9"/>
      <c r="ADI447" s="9"/>
      <c r="ADJ447" s="9"/>
      <c r="ADK447" s="9"/>
      <c r="ADL447" s="9"/>
      <c r="ADM447" s="9"/>
      <c r="ADN447" s="9"/>
      <c r="ADO447" s="9"/>
      <c r="ADP447" s="9"/>
      <c r="ADQ447" s="9"/>
      <c r="ADR447" s="9"/>
      <c r="ADS447" s="9"/>
      <c r="ADT447" s="9"/>
      <c r="ADU447" s="9"/>
      <c r="ADV447" s="9"/>
      <c r="ADW447" s="9"/>
      <c r="ADX447" s="9"/>
      <c r="ADY447" s="9"/>
      <c r="ADZ447" s="9"/>
      <c r="AEA447" s="9"/>
      <c r="AEB447" s="9"/>
      <c r="AEC447" s="9"/>
      <c r="AED447" s="9"/>
      <c r="AEE447" s="9"/>
      <c r="AEF447" s="9"/>
      <c r="AEG447" s="9"/>
      <c r="AEH447" s="9"/>
      <c r="AEI447" s="9"/>
      <c r="AEJ447" s="9"/>
      <c r="AEK447" s="9"/>
      <c r="AEL447" s="9"/>
      <c r="AEM447" s="9"/>
      <c r="AEN447" s="9"/>
      <c r="AEO447" s="9"/>
      <c r="AEP447" s="9"/>
      <c r="AEQ447" s="9"/>
      <c r="AER447" s="9"/>
      <c r="AES447" s="9"/>
      <c r="AET447" s="9"/>
      <c r="AEU447" s="9"/>
      <c r="AEV447" s="9"/>
      <c r="AEW447" s="9"/>
      <c r="AEX447" s="9"/>
      <c r="AEY447" s="9"/>
      <c r="AEZ447" s="9"/>
      <c r="AFA447" s="9"/>
      <c r="AFB447" s="9"/>
      <c r="AFC447" s="9"/>
      <c r="AFD447" s="9"/>
      <c r="AFE447" s="9"/>
      <c r="AFF447" s="9"/>
      <c r="AFG447" s="9"/>
      <c r="AFH447" s="9"/>
      <c r="AFI447" s="9"/>
      <c r="AFJ447" s="9"/>
      <c r="AFK447" s="9"/>
      <c r="AFL447" s="9"/>
      <c r="AFM447" s="9"/>
      <c r="AFN447" s="9"/>
      <c r="AFO447" s="9"/>
      <c r="AFP447" s="9"/>
      <c r="AFQ447" s="9"/>
      <c r="AFR447" s="9"/>
      <c r="AFS447" s="9"/>
      <c r="AFT447" s="9"/>
      <c r="AFU447" s="9"/>
      <c r="AFV447" s="9"/>
      <c r="AFW447" s="9"/>
      <c r="AFX447" s="9"/>
      <c r="AFY447" s="9"/>
      <c r="AFZ447" s="9"/>
      <c r="AGA447" s="9"/>
      <c r="AGB447" s="9"/>
      <c r="AGC447" s="9"/>
      <c r="AGD447" s="9"/>
      <c r="AGE447" s="9"/>
      <c r="AGF447" s="9"/>
      <c r="AGG447" s="9"/>
      <c r="AGH447" s="9"/>
      <c r="AGI447" s="9"/>
      <c r="AGJ447" s="9"/>
      <c r="AGK447" s="9"/>
      <c r="AGL447" s="9"/>
      <c r="AGM447" s="9"/>
      <c r="AGN447" s="9"/>
      <c r="AGO447" s="9"/>
      <c r="AGP447" s="9"/>
      <c r="AGQ447" s="9"/>
      <c r="AGR447" s="9"/>
      <c r="AGS447" s="9"/>
      <c r="AGT447" s="9"/>
      <c r="AGU447" s="9"/>
      <c r="AGV447" s="9"/>
      <c r="AGW447" s="9"/>
      <c r="AGX447" s="9"/>
      <c r="AGY447" s="9"/>
      <c r="AGZ447" s="9"/>
      <c r="AHA447" s="9"/>
      <c r="AHB447" s="9"/>
      <c r="AHC447" s="9"/>
      <c r="AHD447" s="9"/>
      <c r="AHE447" s="9"/>
      <c r="AHF447" s="9"/>
      <c r="AHG447" s="9"/>
      <c r="AHH447" s="9"/>
      <c r="AHI447" s="9"/>
      <c r="AHJ447" s="9"/>
      <c r="AHK447" s="9"/>
      <c r="AHL447" s="9"/>
      <c r="AHM447" s="9"/>
      <c r="AHN447" s="9"/>
      <c r="AHO447" s="9"/>
      <c r="AHP447" s="9"/>
      <c r="AHQ447" s="9"/>
      <c r="AHR447" s="9"/>
      <c r="AHS447" s="9"/>
      <c r="AHT447" s="9"/>
      <c r="AHU447" s="9"/>
      <c r="AHV447" s="9"/>
      <c r="AHW447" s="9"/>
      <c r="AHX447" s="9"/>
      <c r="AHY447" s="9"/>
      <c r="AHZ447" s="9"/>
      <c r="AIA447" s="9"/>
      <c r="AIB447" s="9"/>
      <c r="AIC447" s="9"/>
      <c r="AID447" s="9"/>
      <c r="AIE447" s="9"/>
      <c r="AIF447" s="9"/>
      <c r="AIG447" s="9"/>
      <c r="AIH447" s="9"/>
      <c r="AII447" s="9"/>
      <c r="AIJ447" s="9"/>
      <c r="AIK447" s="9"/>
      <c r="AIL447" s="9"/>
      <c r="AIM447" s="9"/>
      <c r="AIN447" s="9"/>
      <c r="AIO447" s="9"/>
      <c r="AIP447" s="9"/>
      <c r="AIQ447" s="9"/>
      <c r="AIR447" s="9"/>
      <c r="AIS447" s="9"/>
      <c r="AIT447" s="9"/>
      <c r="AIU447" s="9"/>
      <c r="AIV447" s="9"/>
      <c r="AIW447" s="9"/>
      <c r="AIX447" s="9"/>
      <c r="AIY447" s="9"/>
      <c r="AIZ447" s="9"/>
      <c r="AJA447" s="9"/>
      <c r="AJB447" s="9"/>
      <c r="AJC447" s="9"/>
      <c r="AJD447" s="9"/>
      <c r="AJE447" s="9"/>
      <c r="AJF447" s="9"/>
      <c r="AJG447" s="9"/>
      <c r="AJH447" s="9"/>
      <c r="AJI447" s="9"/>
      <c r="AJJ447" s="9"/>
      <c r="AJK447" s="9"/>
      <c r="AJL447" s="9"/>
      <c r="AJM447" s="9"/>
      <c r="AJN447" s="9"/>
      <c r="AJO447" s="9"/>
      <c r="AJP447" s="9"/>
      <c r="AJQ447" s="9"/>
      <c r="AJR447" s="9"/>
      <c r="AJS447" s="9"/>
      <c r="AJT447" s="9"/>
      <c r="AJU447" s="9"/>
      <c r="AJV447" s="9"/>
      <c r="AJW447" s="9"/>
      <c r="AJX447" s="9"/>
      <c r="AJY447" s="9"/>
      <c r="AJZ447" s="9"/>
      <c r="AKA447" s="9"/>
      <c r="AKB447" s="9"/>
      <c r="AKC447" s="9"/>
      <c r="AKD447" s="9"/>
      <c r="AKE447" s="9"/>
      <c r="AKF447" s="9"/>
      <c r="AKG447" s="9"/>
      <c r="AKH447" s="9"/>
      <c r="AKI447" s="9"/>
      <c r="AKJ447" s="9"/>
      <c r="AKK447" s="9"/>
      <c r="AKL447" s="9"/>
      <c r="AKM447" s="9"/>
      <c r="AKN447" s="9"/>
      <c r="AKO447" s="9"/>
      <c r="AKP447" s="9"/>
      <c r="AKQ447" s="9"/>
      <c r="AKR447" s="9"/>
      <c r="AKS447" s="9"/>
      <c r="AKT447" s="9"/>
      <c r="AKU447" s="9"/>
      <c r="AKV447" s="9"/>
      <c r="AKW447" s="9"/>
      <c r="AKX447" s="9"/>
      <c r="AKY447" s="9"/>
      <c r="AKZ447" s="9"/>
      <c r="ALA447" s="9"/>
      <c r="ALB447" s="9"/>
      <c r="ALC447" s="9"/>
      <c r="ALD447" s="9"/>
      <c r="ALE447" s="9"/>
      <c r="ALF447" s="9"/>
      <c r="ALG447" s="9"/>
      <c r="ALH447" s="9"/>
      <c r="ALI447" s="9"/>
      <c r="ALJ447" s="9"/>
      <c r="ALK447" s="9"/>
      <c r="ALL447" s="9"/>
      <c r="ALM447" s="9"/>
      <c r="ALN447" s="9"/>
      <c r="ALO447" s="9"/>
      <c r="ALP447" s="9"/>
      <c r="ALQ447" s="9"/>
      <c r="ALR447" s="9"/>
      <c r="ALS447" s="9"/>
      <c r="ALT447" s="9"/>
      <c r="ALU447" s="9"/>
      <c r="ALV447" s="9"/>
      <c r="ALW447" s="9"/>
      <c r="ALX447" s="9"/>
      <c r="ALY447" s="9"/>
      <c r="ALZ447" s="9"/>
      <c r="AMA447" s="9"/>
      <c r="AMB447" s="9"/>
      <c r="AMC447" s="9"/>
      <c r="AMD447" s="9"/>
      <c r="AME447" s="9"/>
      <c r="AMF447" s="9"/>
      <c r="AMG447" s="9"/>
      <c r="AMH447" s="9"/>
      <c r="AMI447" s="9"/>
      <c r="AMJ447" s="9"/>
      <c r="AMK447" s="9"/>
      <c r="AML447" s="9"/>
      <c r="AMM447" s="9"/>
      <c r="AMN447" s="9"/>
      <c r="AMO447" s="9"/>
      <c r="AMP447" s="9"/>
    </row>
    <row r="448" spans="1:1030" s="12" customFormat="1" x14ac:dyDescent="0.2">
      <c r="A448" s="9" t="str">
        <f>CONCATENATE(B448,"_",C448)</f>
        <v>fzd4_human_6BD4</v>
      </c>
      <c r="B448" s="9" t="s">
        <v>444</v>
      </c>
      <c r="C448" s="9" t="s">
        <v>1548</v>
      </c>
      <c r="D448" s="9" t="str">
        <f>IFERROR(MID(VLOOKUP($B448,Seqs!$A:$B,2,0),E448,1),"")</f>
        <v>S</v>
      </c>
      <c r="E448" s="9">
        <v>212</v>
      </c>
      <c r="F448" s="9" t="str">
        <f>IFERROR(MID(VLOOKUP($B448,Seqs!$A:$B,2,0),G448,1),"")</f>
        <v>D</v>
      </c>
      <c r="G448" s="9">
        <v>244</v>
      </c>
      <c r="H448" s="9" t="str">
        <f>IFERROR(MID(VLOOKUP($B448,Seqs!$A:$B,2,0),I448,1),"")</f>
        <v>S</v>
      </c>
      <c r="I448" s="109">
        <v>245</v>
      </c>
      <c r="J448" s="9" t="str">
        <f>IFERROR(MID(VLOOKUP($B448,Seqs!$A:$B,2,0),K448,1),"")</f>
        <v>S</v>
      </c>
      <c r="K448" s="109">
        <v>249</v>
      </c>
      <c r="L448" s="9" t="str">
        <f>IFERROR(MID(VLOOKUP($B448,Seqs!$A:$B,2,0),M448,1),"")</f>
        <v>Y</v>
      </c>
      <c r="M448" s="9">
        <v>250</v>
      </c>
      <c r="N448" s="9" t="str">
        <f>IFERROR(MID(VLOOKUP($B448,Seqs!$A:$B,2,0),O448,1),"")</f>
        <v>G</v>
      </c>
      <c r="O448" s="9">
        <v>276</v>
      </c>
      <c r="P448" s="9" t="str">
        <f>IFERROR(MID(VLOOKUP($B448,Seqs!$A:$B,2,0),Q448,1),"")</f>
        <v/>
      </c>
      <c r="Q448" s="9" t="s">
        <v>23</v>
      </c>
      <c r="R448" s="9" t="str">
        <f>IFERROR(MID(VLOOKUP($B448,Seqs!$A:$B,2,0),S448,1),"")</f>
        <v/>
      </c>
      <c r="S448" s="9" t="s">
        <v>23</v>
      </c>
      <c r="T448" s="9" t="str">
        <f>IFERROR(MID(VLOOKUP($B448,Seqs!$A:$B,2,0),U448,1),"")</f>
        <v>N</v>
      </c>
      <c r="U448" s="9">
        <v>299</v>
      </c>
      <c r="V448" s="9" t="str">
        <f>IFERROR(MID(VLOOKUP($B448,Seqs!$A:$B,2,0),W448,1),"")</f>
        <v>G</v>
      </c>
      <c r="W448" s="9">
        <v>332</v>
      </c>
      <c r="X448" s="9" t="str">
        <f>IFERROR(MID(VLOOKUP($B448,Seqs!$A:$B,2,0),Y448,1),"")</f>
        <v/>
      </c>
      <c r="Y448" s="9" t="s">
        <v>23</v>
      </c>
      <c r="Z448" s="9" t="str">
        <f>IFERROR(MID(VLOOKUP($B448,Seqs!$A:$B,2,0),AA448,1),"")</f>
        <v/>
      </c>
      <c r="AA448" s="9" t="s">
        <v>23</v>
      </c>
      <c r="AB448" s="9" t="str">
        <f>IFERROR(MID(VLOOKUP($B448,Seqs!$A:$B,2,0),AC448,1),"")</f>
        <v>H</v>
      </c>
      <c r="AC448" s="9">
        <v>343</v>
      </c>
      <c r="AD448" s="9" t="str">
        <f>IFERROR(MID(VLOOKUP($B448,Seqs!$A:$B,2,0),AE448,1),"")</f>
        <v>R</v>
      </c>
      <c r="AE448" s="9">
        <v>366</v>
      </c>
      <c r="AF448" s="9" t="str">
        <f>IFERROR(MID(VLOOKUP($B448,Seqs!$A:$B,2,0),AG448,1),"")</f>
        <v>C</v>
      </c>
      <c r="AG448" s="9">
        <v>377</v>
      </c>
      <c r="AH448" s="9" t="str">
        <f>IFERROR(MID(VLOOKUP($B448,Seqs!$A:$B,2,0),AI448,1),"")</f>
        <v>V</v>
      </c>
      <c r="AI448" s="9">
        <v>379</v>
      </c>
      <c r="AJ448" s="9" t="str">
        <f>IFERROR(MID(VLOOKUP($B448,Seqs!$A:$B,2,0),AK448,1),"")</f>
        <v>N</v>
      </c>
      <c r="AK448" s="9">
        <v>383</v>
      </c>
      <c r="AL448" s="9" t="str">
        <f>IFERROR(MID(VLOOKUP($B448,Seqs!$A:$B,2,0),AM448,1),"")</f>
        <v>S</v>
      </c>
      <c r="AM448" s="9">
        <v>418</v>
      </c>
      <c r="AN448" s="9" t="str">
        <f>IFERROR(MID(VLOOKUP($B448,Seqs!$A:$B,2,0),AO448,1),"")</f>
        <v>E</v>
      </c>
      <c r="AO448" s="9">
        <v>431</v>
      </c>
      <c r="AP448" s="9" t="str">
        <f>IFERROR(MID(VLOOKUP($B448,Seqs!$A:$B,2,0),AQ448,1),"")</f>
        <v>N</v>
      </c>
      <c r="AQ448" s="9">
        <v>461</v>
      </c>
      <c r="AR448" s="9" t="str">
        <f>IFERROR(MID(VLOOKUP($B448,Seqs!$A:$B,2,0),AS448,1),"")</f>
        <v>N</v>
      </c>
      <c r="AS448" s="9">
        <v>473</v>
      </c>
      <c r="AT448" s="9" t="str">
        <f>IFERROR(MID(VLOOKUP($B448,Seqs!$A:$B,2,0),AU448,1),"")</f>
        <v>W</v>
      </c>
      <c r="AU448" s="9">
        <v>496</v>
      </c>
      <c r="AV448" s="9" t="str">
        <f>IFERROR(MID(VLOOKUP($B448,Seqs!$A:$B,2,0),AW448,1),"")</f>
        <v>S</v>
      </c>
      <c r="AW448" s="9">
        <v>497</v>
      </c>
      <c r="AX448" s="9" t="str">
        <f>IFERROR(MID(VLOOKUP($B448,Seqs!$A:$B,2,0),AY448,1),"")</f>
        <v>V</v>
      </c>
      <c r="AY448" s="9">
        <v>512</v>
      </c>
      <c r="AZ448" s="110" t="str">
        <f>VLOOKUP(B448,Classification!A:D,2,0)</f>
        <v>F</v>
      </c>
      <c r="BA448" s="98" t="str">
        <f>VLOOKUP(B448,Classification!A:D,4,0)</f>
        <v>Frizzled</v>
      </c>
      <c r="BB448" s="36" t="b">
        <f t="shared" si="1219"/>
        <v>1</v>
      </c>
      <c r="BC448" s="109">
        <f t="shared" si="1220"/>
        <v>235</v>
      </c>
      <c r="BD448" s="11" t="s">
        <v>1370</v>
      </c>
      <c r="BE448" s="9" t="s">
        <v>1368</v>
      </c>
      <c r="BF448" s="119">
        <v>2.4</v>
      </c>
      <c r="BG448" s="51" t="s">
        <v>1</v>
      </c>
      <c r="BH448" s="51" t="s">
        <v>1</v>
      </c>
      <c r="BI448" s="9"/>
      <c r="BJ448" s="111" t="s">
        <v>1281</v>
      </c>
      <c r="BK448" s="112" t="s">
        <v>1281</v>
      </c>
      <c r="BL448" s="112" t="s">
        <v>1281</v>
      </c>
      <c r="BM448" s="112" t="s">
        <v>1281</v>
      </c>
      <c r="BN448" s="112" t="s">
        <v>1281</v>
      </c>
      <c r="BO448" s="112" t="s">
        <v>1281</v>
      </c>
      <c r="BP448" s="112" t="s">
        <v>1281</v>
      </c>
      <c r="BQ448" s="112" t="s">
        <v>1281</v>
      </c>
      <c r="BR448" s="112" t="s">
        <v>1281</v>
      </c>
      <c r="BS448" s="112" t="s">
        <v>1281</v>
      </c>
      <c r="BT448" s="112" t="s">
        <v>1281</v>
      </c>
      <c r="BU448" s="112" t="s">
        <v>1281</v>
      </c>
      <c r="BV448" s="111">
        <f>E448</f>
        <v>212</v>
      </c>
      <c r="BW448" s="113">
        <f>I448</f>
        <v>245</v>
      </c>
      <c r="BX448" s="114">
        <f>M448</f>
        <v>250</v>
      </c>
      <c r="BY448" s="113" t="str">
        <f>Q448</f>
        <v>-</v>
      </c>
      <c r="BZ448" s="114">
        <f>U448</f>
        <v>299</v>
      </c>
      <c r="CA448" s="113" t="str">
        <f>Y448</f>
        <v>-</v>
      </c>
      <c r="CB448" s="114">
        <f>AC448</f>
        <v>343</v>
      </c>
      <c r="CC448" s="113">
        <f>AG448</f>
        <v>377</v>
      </c>
      <c r="CD448" s="114">
        <f>AK448</f>
        <v>383</v>
      </c>
      <c r="CE448" s="113">
        <f>AO448</f>
        <v>431</v>
      </c>
      <c r="CF448" s="114">
        <f>AS448</f>
        <v>473</v>
      </c>
      <c r="CG448" s="113">
        <f>AW448</f>
        <v>497</v>
      </c>
      <c r="CH448" s="111">
        <f>G448</f>
        <v>244</v>
      </c>
      <c r="CI448" s="113">
        <f>K448</f>
        <v>249</v>
      </c>
      <c r="CJ448" s="114">
        <f>O448</f>
        <v>276</v>
      </c>
      <c r="CK448" s="114" t="str">
        <f>S448</f>
        <v>-</v>
      </c>
      <c r="CL448" s="114">
        <f>W448</f>
        <v>332</v>
      </c>
      <c r="CM448" s="114" t="str">
        <f>AA448</f>
        <v>-</v>
      </c>
      <c r="CN448" s="114">
        <f>AE448</f>
        <v>366</v>
      </c>
      <c r="CO448" s="114">
        <f>AI448</f>
        <v>379</v>
      </c>
      <c r="CP448" s="114">
        <f>AM448</f>
        <v>418</v>
      </c>
      <c r="CQ448" s="114">
        <f>AQ448</f>
        <v>461</v>
      </c>
      <c r="CR448" s="114">
        <f>AU448</f>
        <v>496</v>
      </c>
      <c r="CS448" s="114">
        <f>AY448</f>
        <v>512</v>
      </c>
      <c r="CT448" s="109">
        <f>M448-K448</f>
        <v>1</v>
      </c>
      <c r="CU448" s="9"/>
      <c r="CV448" s="9"/>
      <c r="CW448" s="9"/>
      <c r="CX448" s="9"/>
      <c r="CY448" s="9"/>
      <c r="CZ448" s="9"/>
      <c r="DA448" s="9"/>
      <c r="DB448" s="9"/>
      <c r="DC448" s="9"/>
      <c r="DD448" s="9"/>
      <c r="DE448" s="9"/>
      <c r="DF448" s="9"/>
      <c r="DG448" s="9"/>
      <c r="DH448" s="9"/>
      <c r="DI448" s="9"/>
      <c r="DJ448" s="9"/>
      <c r="DK448" s="9"/>
      <c r="DL448" s="9"/>
      <c r="DM448" s="9"/>
      <c r="DN448" s="9"/>
      <c r="DO448" s="9"/>
      <c r="DP448" s="9"/>
      <c r="DQ448" s="9"/>
      <c r="DR448" s="9"/>
      <c r="DS448" s="9"/>
      <c r="DT448" s="9"/>
      <c r="DU448" s="9"/>
      <c r="DV448" s="9"/>
      <c r="DW448" s="9"/>
      <c r="DX448" s="9"/>
      <c r="DY448" s="9"/>
      <c r="DZ448" s="9"/>
      <c r="EA448" s="9"/>
      <c r="EB448" s="9"/>
      <c r="EC448" s="9"/>
      <c r="ED448" s="9"/>
      <c r="EE448" s="9"/>
      <c r="EF448" s="9"/>
      <c r="EG448" s="9"/>
      <c r="EH448" s="9"/>
      <c r="EI448" s="9"/>
      <c r="EJ448" s="9"/>
      <c r="EK448" s="9"/>
      <c r="EL448" s="9"/>
      <c r="EM448" s="9"/>
      <c r="EN448" s="9"/>
      <c r="EO448" s="9"/>
      <c r="EP448" s="9"/>
      <c r="EQ448" s="9"/>
      <c r="ER448" s="9"/>
      <c r="ES448" s="9"/>
      <c r="ET448" s="9"/>
      <c r="EU448" s="9"/>
      <c r="EV448" s="9"/>
      <c r="EW448" s="9"/>
      <c r="EX448" s="9"/>
      <c r="EY448" s="9"/>
      <c r="EZ448" s="9"/>
      <c r="FA448" s="9"/>
      <c r="FB448" s="9"/>
      <c r="FC448" s="9"/>
      <c r="FD448" s="9"/>
      <c r="FE448" s="9"/>
      <c r="FF448" s="9"/>
      <c r="FG448" s="9"/>
      <c r="FH448" s="9"/>
      <c r="FI448" s="9"/>
      <c r="FJ448" s="9"/>
      <c r="FK448" s="9"/>
      <c r="FL448" s="9"/>
      <c r="FM448" s="9"/>
      <c r="FN448" s="9"/>
      <c r="FO448" s="9"/>
      <c r="FP448" s="9"/>
      <c r="FQ448" s="9"/>
      <c r="FR448" s="9"/>
      <c r="FS448" s="9"/>
      <c r="FT448" s="9"/>
      <c r="FU448" s="9"/>
      <c r="FV448" s="9"/>
      <c r="FW448" s="9"/>
      <c r="FX448" s="9"/>
      <c r="FY448" s="9"/>
      <c r="FZ448" s="9"/>
      <c r="GA448" s="9"/>
      <c r="GB448" s="9"/>
      <c r="GC448" s="9"/>
      <c r="GD448" s="9"/>
      <c r="GE448" s="9"/>
      <c r="GF448" s="9"/>
      <c r="GG448" s="9"/>
      <c r="GH448" s="9"/>
      <c r="GI448" s="9"/>
      <c r="GJ448" s="9"/>
      <c r="GK448" s="9"/>
      <c r="GL448" s="9"/>
      <c r="GM448" s="9"/>
      <c r="GN448" s="9"/>
      <c r="GO448" s="9"/>
      <c r="GP448" s="9"/>
      <c r="GQ448" s="9"/>
      <c r="GR448" s="9"/>
      <c r="GS448" s="9"/>
      <c r="GT448" s="9"/>
      <c r="GU448" s="9"/>
      <c r="GV448" s="9"/>
      <c r="GW448" s="9"/>
      <c r="GX448" s="9"/>
      <c r="GY448" s="9"/>
      <c r="GZ448" s="9"/>
      <c r="HA448" s="9"/>
      <c r="HB448" s="9"/>
      <c r="HC448" s="9"/>
      <c r="HD448" s="9"/>
      <c r="HE448" s="9"/>
      <c r="HF448" s="9"/>
      <c r="HG448" s="9"/>
      <c r="HH448" s="9"/>
      <c r="HI448" s="9"/>
      <c r="HJ448" s="9"/>
      <c r="HK448" s="9"/>
      <c r="HL448" s="9"/>
      <c r="HM448" s="9"/>
      <c r="HN448" s="9"/>
      <c r="HO448" s="9"/>
      <c r="HP448" s="9"/>
      <c r="HQ448" s="9"/>
      <c r="HR448" s="9"/>
      <c r="HS448" s="9"/>
      <c r="HT448" s="9"/>
      <c r="HU448" s="9"/>
      <c r="HV448" s="9"/>
      <c r="HW448" s="9"/>
      <c r="HX448" s="9"/>
      <c r="HY448" s="9"/>
      <c r="HZ448" s="9"/>
      <c r="IA448" s="9"/>
      <c r="IB448" s="9"/>
      <c r="IC448" s="9"/>
      <c r="ID448" s="9"/>
      <c r="IE448" s="9"/>
      <c r="IF448" s="9"/>
      <c r="IG448" s="9"/>
      <c r="IH448" s="9"/>
      <c r="II448" s="9"/>
      <c r="IJ448" s="9"/>
      <c r="IK448" s="9"/>
      <c r="IL448" s="9"/>
      <c r="IM448" s="9"/>
      <c r="IN448" s="9"/>
      <c r="IO448" s="9"/>
      <c r="IP448" s="9"/>
      <c r="IQ448" s="9"/>
      <c r="IR448" s="9"/>
      <c r="IS448" s="9"/>
      <c r="IT448" s="9"/>
      <c r="IU448" s="9"/>
      <c r="IV448" s="9"/>
      <c r="IW448" s="9"/>
      <c r="IX448" s="9"/>
      <c r="IY448" s="9"/>
      <c r="IZ448" s="9"/>
      <c r="JA448" s="9"/>
      <c r="JB448" s="9"/>
      <c r="JC448" s="9"/>
      <c r="JD448" s="9"/>
      <c r="JE448" s="9"/>
      <c r="JF448" s="9"/>
      <c r="JG448" s="9"/>
      <c r="JH448" s="9"/>
      <c r="JI448" s="9"/>
      <c r="JJ448" s="9"/>
      <c r="JK448" s="9"/>
      <c r="JL448" s="9"/>
      <c r="JM448" s="9"/>
      <c r="JN448" s="9"/>
      <c r="JO448" s="9"/>
      <c r="JP448" s="9"/>
      <c r="JQ448" s="9"/>
      <c r="JR448" s="9"/>
      <c r="JS448" s="9"/>
      <c r="JT448" s="9"/>
      <c r="JU448" s="9"/>
      <c r="JV448" s="9"/>
      <c r="JW448" s="9"/>
      <c r="JX448" s="9"/>
      <c r="JY448" s="9"/>
      <c r="JZ448" s="9"/>
      <c r="KA448" s="9"/>
      <c r="KB448" s="9"/>
      <c r="KC448" s="9"/>
      <c r="KD448" s="9"/>
      <c r="KE448" s="9"/>
      <c r="KF448" s="9"/>
      <c r="KG448" s="9"/>
      <c r="KH448" s="9"/>
      <c r="KI448" s="9"/>
      <c r="KJ448" s="9"/>
      <c r="KK448" s="9"/>
      <c r="KL448" s="9"/>
      <c r="KM448" s="9"/>
      <c r="KN448" s="9"/>
      <c r="KO448" s="9"/>
      <c r="KP448" s="9"/>
      <c r="KQ448" s="9"/>
      <c r="KR448" s="9"/>
      <c r="KS448" s="9"/>
      <c r="KT448" s="9"/>
      <c r="KU448" s="9"/>
      <c r="KV448" s="9"/>
      <c r="KW448" s="9"/>
      <c r="KX448" s="9"/>
      <c r="KY448" s="9"/>
      <c r="KZ448" s="9"/>
      <c r="LA448" s="9"/>
      <c r="LB448" s="9"/>
      <c r="LC448" s="9"/>
      <c r="LD448" s="9"/>
      <c r="LE448" s="9"/>
      <c r="LF448" s="9"/>
      <c r="LG448" s="9"/>
      <c r="LH448" s="9"/>
      <c r="LI448" s="9"/>
      <c r="LJ448" s="9"/>
      <c r="LK448" s="9"/>
      <c r="LL448" s="9"/>
      <c r="LM448" s="9"/>
      <c r="LN448" s="9"/>
      <c r="LO448" s="9"/>
      <c r="LP448" s="9"/>
      <c r="LQ448" s="9"/>
      <c r="LR448" s="9"/>
      <c r="LS448" s="9"/>
      <c r="LT448" s="9"/>
      <c r="LU448" s="9"/>
      <c r="LV448" s="9"/>
      <c r="LW448" s="9"/>
      <c r="LX448" s="9"/>
      <c r="LY448" s="9"/>
      <c r="LZ448" s="9"/>
      <c r="MA448" s="9"/>
      <c r="MB448" s="9"/>
      <c r="MC448" s="9"/>
      <c r="MD448" s="9"/>
      <c r="ME448" s="9"/>
      <c r="MF448" s="9"/>
      <c r="MG448" s="9"/>
      <c r="MH448" s="9"/>
      <c r="MI448" s="9"/>
      <c r="MJ448" s="9"/>
      <c r="MK448" s="9"/>
      <c r="ML448" s="9"/>
      <c r="MM448" s="9"/>
      <c r="MN448" s="9"/>
      <c r="MO448" s="9"/>
      <c r="MP448" s="9"/>
      <c r="MQ448" s="9"/>
      <c r="MR448" s="9"/>
      <c r="MS448" s="9"/>
      <c r="MT448" s="9"/>
      <c r="MU448" s="9"/>
      <c r="MV448" s="9"/>
      <c r="MW448" s="9"/>
      <c r="MX448" s="9"/>
      <c r="MY448" s="9"/>
      <c r="MZ448" s="9"/>
      <c r="NA448" s="9"/>
      <c r="NB448" s="9"/>
      <c r="NC448" s="9"/>
      <c r="ND448" s="9"/>
      <c r="NE448" s="9"/>
      <c r="NF448" s="9"/>
      <c r="NG448" s="9"/>
      <c r="NH448" s="9"/>
      <c r="NI448" s="9"/>
      <c r="NJ448" s="9"/>
      <c r="NK448" s="9"/>
      <c r="NL448" s="9"/>
      <c r="NM448" s="9"/>
      <c r="NN448" s="9"/>
      <c r="NO448" s="9"/>
      <c r="NP448" s="9"/>
      <c r="NQ448" s="9"/>
      <c r="NR448" s="9"/>
      <c r="NS448" s="9"/>
      <c r="NT448" s="9"/>
      <c r="NU448" s="9"/>
      <c r="NV448" s="9"/>
      <c r="NW448" s="9"/>
      <c r="NX448" s="9"/>
      <c r="NY448" s="9"/>
      <c r="NZ448" s="9"/>
      <c r="OA448" s="9"/>
      <c r="OB448" s="9"/>
      <c r="OC448" s="9"/>
      <c r="OD448" s="9"/>
      <c r="OE448" s="9"/>
      <c r="OF448" s="9"/>
      <c r="OG448" s="9"/>
      <c r="OH448" s="9"/>
      <c r="OI448" s="9"/>
      <c r="OJ448" s="9"/>
      <c r="OK448" s="9"/>
      <c r="OL448" s="9"/>
      <c r="OM448" s="9"/>
      <c r="ON448" s="9"/>
      <c r="OO448" s="9"/>
      <c r="OP448" s="9"/>
      <c r="OQ448" s="9"/>
      <c r="OR448" s="9"/>
      <c r="OS448" s="9"/>
      <c r="OT448" s="9"/>
      <c r="OU448" s="9"/>
      <c r="OV448" s="9"/>
      <c r="OW448" s="9"/>
      <c r="OX448" s="9"/>
      <c r="OY448" s="9"/>
      <c r="OZ448" s="9"/>
      <c r="PA448" s="9"/>
      <c r="PB448" s="9"/>
      <c r="PC448" s="9"/>
      <c r="PD448" s="9"/>
      <c r="PE448" s="9"/>
      <c r="PF448" s="9"/>
      <c r="PG448" s="9"/>
      <c r="PH448" s="9"/>
      <c r="PI448" s="9"/>
      <c r="PJ448" s="9"/>
      <c r="PK448" s="9"/>
      <c r="PL448" s="9"/>
      <c r="PM448" s="9"/>
      <c r="PN448" s="9"/>
      <c r="PO448" s="9"/>
      <c r="PP448" s="9"/>
      <c r="PQ448" s="9"/>
      <c r="PR448" s="9"/>
      <c r="PS448" s="9"/>
      <c r="PT448" s="9"/>
      <c r="PU448" s="9"/>
      <c r="PV448" s="9"/>
      <c r="PW448" s="9"/>
      <c r="PX448" s="9"/>
      <c r="PY448" s="9"/>
      <c r="PZ448" s="9"/>
      <c r="QA448" s="9"/>
      <c r="QB448" s="9"/>
      <c r="QC448" s="9"/>
      <c r="QD448" s="9"/>
      <c r="QE448" s="9"/>
      <c r="QF448" s="9"/>
      <c r="QG448" s="9"/>
      <c r="QH448" s="9"/>
      <c r="QI448" s="9"/>
      <c r="QJ448" s="9"/>
      <c r="QK448" s="9"/>
      <c r="QL448" s="9"/>
      <c r="QM448" s="9"/>
      <c r="QN448" s="9"/>
      <c r="QO448" s="9"/>
      <c r="QP448" s="9"/>
      <c r="QQ448" s="9"/>
      <c r="QR448" s="9"/>
      <c r="QS448" s="9"/>
      <c r="QT448" s="9"/>
      <c r="QU448" s="9"/>
      <c r="QV448" s="9"/>
      <c r="QW448" s="9"/>
      <c r="QX448" s="9"/>
      <c r="QY448" s="9"/>
      <c r="QZ448" s="9"/>
      <c r="RA448" s="9"/>
      <c r="RB448" s="9"/>
      <c r="RC448" s="9"/>
      <c r="RD448" s="9"/>
      <c r="RE448" s="9"/>
      <c r="RF448" s="9"/>
      <c r="RG448" s="9"/>
      <c r="RH448" s="9"/>
      <c r="RI448" s="9"/>
      <c r="RJ448" s="9"/>
      <c r="RK448" s="9"/>
      <c r="RL448" s="9"/>
      <c r="RM448" s="9"/>
      <c r="RN448" s="9"/>
      <c r="RO448" s="9"/>
      <c r="RP448" s="9"/>
      <c r="RQ448" s="9"/>
      <c r="RR448" s="9"/>
      <c r="RS448" s="9"/>
      <c r="RT448" s="9"/>
      <c r="RU448" s="9"/>
      <c r="RV448" s="9"/>
      <c r="RW448" s="9"/>
      <c r="RX448" s="9"/>
      <c r="RY448" s="9"/>
      <c r="RZ448" s="9"/>
      <c r="SA448" s="9"/>
      <c r="SB448" s="9"/>
      <c r="SC448" s="9"/>
      <c r="SD448" s="9"/>
      <c r="SE448" s="9"/>
      <c r="SF448" s="9"/>
      <c r="SG448" s="9"/>
      <c r="SH448" s="9"/>
      <c r="SI448" s="9"/>
      <c r="SJ448" s="9"/>
      <c r="SK448" s="9"/>
      <c r="SL448" s="9"/>
      <c r="SM448" s="9"/>
      <c r="SN448" s="9"/>
      <c r="SO448" s="9"/>
      <c r="SP448" s="9"/>
      <c r="SQ448" s="9"/>
      <c r="SR448" s="9"/>
      <c r="SS448" s="9"/>
      <c r="ST448" s="9"/>
      <c r="SU448" s="9"/>
      <c r="SV448" s="9"/>
      <c r="SW448" s="9"/>
      <c r="SX448" s="9"/>
      <c r="SY448" s="9"/>
      <c r="SZ448" s="9"/>
      <c r="TA448" s="9"/>
      <c r="TB448" s="9"/>
      <c r="TC448" s="9"/>
      <c r="TD448" s="9"/>
      <c r="TE448" s="9"/>
      <c r="TF448" s="9"/>
      <c r="TG448" s="9"/>
      <c r="TH448" s="9"/>
      <c r="TI448" s="9"/>
      <c r="TJ448" s="9"/>
      <c r="TK448" s="9"/>
      <c r="TL448" s="9"/>
      <c r="TM448" s="9"/>
      <c r="TN448" s="9"/>
      <c r="TO448" s="9"/>
      <c r="TP448" s="9"/>
      <c r="TQ448" s="9"/>
      <c r="TR448" s="9"/>
      <c r="TS448" s="9"/>
      <c r="TT448" s="9"/>
      <c r="TU448" s="9"/>
      <c r="TV448" s="9"/>
      <c r="TW448" s="9"/>
      <c r="TX448" s="9"/>
      <c r="TY448" s="9"/>
      <c r="TZ448" s="9"/>
      <c r="UA448" s="9"/>
      <c r="UB448" s="9"/>
      <c r="UC448" s="9"/>
      <c r="UD448" s="9"/>
      <c r="UE448" s="9"/>
      <c r="UF448" s="9"/>
      <c r="UG448" s="9"/>
      <c r="UH448" s="9"/>
      <c r="UI448" s="9"/>
      <c r="UJ448" s="9"/>
      <c r="UK448" s="9"/>
      <c r="UL448" s="9"/>
      <c r="UM448" s="9"/>
      <c r="UN448" s="9"/>
      <c r="UO448" s="9"/>
      <c r="UP448" s="9"/>
      <c r="UQ448" s="9"/>
      <c r="UR448" s="9"/>
      <c r="US448" s="9"/>
      <c r="UT448" s="9"/>
      <c r="UU448" s="9"/>
      <c r="UV448" s="9"/>
      <c r="UW448" s="9"/>
      <c r="UX448" s="9"/>
      <c r="UY448" s="9"/>
      <c r="UZ448" s="9"/>
      <c r="VA448" s="9"/>
      <c r="VB448" s="9"/>
      <c r="VC448" s="9"/>
      <c r="VD448" s="9"/>
      <c r="VE448" s="9"/>
      <c r="VF448" s="9"/>
      <c r="VG448" s="9"/>
      <c r="VH448" s="9"/>
      <c r="VI448" s="9"/>
      <c r="VJ448" s="9"/>
      <c r="VK448" s="9"/>
      <c r="VL448" s="9"/>
      <c r="VM448" s="9"/>
      <c r="VN448" s="9"/>
      <c r="VO448" s="9"/>
      <c r="VP448" s="9"/>
      <c r="VQ448" s="9"/>
      <c r="VR448" s="9"/>
      <c r="VS448" s="9"/>
      <c r="VT448" s="9"/>
      <c r="VU448" s="9"/>
      <c r="VV448" s="9"/>
      <c r="VW448" s="9"/>
      <c r="VX448" s="9"/>
      <c r="VY448" s="9"/>
      <c r="VZ448" s="9"/>
      <c r="WA448" s="9"/>
      <c r="WB448" s="9"/>
      <c r="WC448" s="9"/>
      <c r="WD448" s="9"/>
      <c r="WE448" s="9"/>
      <c r="WF448" s="9"/>
      <c r="WG448" s="9"/>
      <c r="WH448" s="9"/>
      <c r="WI448" s="9"/>
      <c r="WJ448" s="9"/>
      <c r="WK448" s="9"/>
      <c r="WL448" s="9"/>
      <c r="WM448" s="9"/>
      <c r="WN448" s="9"/>
      <c r="WO448" s="9"/>
      <c r="WP448" s="9"/>
      <c r="WQ448" s="9"/>
      <c r="WR448" s="9"/>
      <c r="WS448" s="9"/>
      <c r="WT448" s="9"/>
      <c r="WU448" s="9"/>
      <c r="WV448" s="9"/>
      <c r="WW448" s="9"/>
      <c r="WX448" s="9"/>
      <c r="WY448" s="9"/>
      <c r="WZ448" s="9"/>
      <c r="XA448" s="9"/>
      <c r="XB448" s="9"/>
      <c r="XC448" s="9"/>
      <c r="XD448" s="9"/>
      <c r="XE448" s="9"/>
      <c r="XF448" s="9"/>
      <c r="XG448" s="9"/>
      <c r="XH448" s="9"/>
      <c r="XI448" s="9"/>
      <c r="XJ448" s="9"/>
      <c r="XK448" s="9"/>
      <c r="XL448" s="9"/>
      <c r="XM448" s="9"/>
      <c r="XN448" s="9"/>
      <c r="XO448" s="9"/>
      <c r="XP448" s="9"/>
      <c r="XQ448" s="9"/>
      <c r="XR448" s="9"/>
      <c r="XS448" s="9"/>
      <c r="XT448" s="9"/>
      <c r="XU448" s="9"/>
      <c r="XV448" s="9"/>
      <c r="XW448" s="9"/>
      <c r="XX448" s="9"/>
      <c r="XY448" s="9"/>
      <c r="XZ448" s="9"/>
      <c r="YA448" s="9"/>
      <c r="YB448" s="9"/>
      <c r="YC448" s="9"/>
      <c r="YD448" s="9"/>
      <c r="YE448" s="9"/>
      <c r="YF448" s="9"/>
      <c r="YG448" s="9"/>
      <c r="YH448" s="9"/>
      <c r="YI448" s="9"/>
      <c r="YJ448" s="9"/>
      <c r="YK448" s="9"/>
      <c r="YL448" s="9"/>
      <c r="YM448" s="9"/>
      <c r="YN448" s="9"/>
      <c r="YO448" s="9"/>
      <c r="YP448" s="9"/>
      <c r="YQ448" s="9"/>
      <c r="YR448" s="9"/>
      <c r="YS448" s="9"/>
      <c r="YT448" s="9"/>
      <c r="YU448" s="9"/>
      <c r="YV448" s="9"/>
      <c r="YW448" s="9"/>
      <c r="YX448" s="9"/>
      <c r="YY448" s="9"/>
      <c r="YZ448" s="9"/>
      <c r="ZA448" s="9"/>
      <c r="ZB448" s="9"/>
      <c r="ZC448" s="9"/>
      <c r="ZD448" s="9"/>
      <c r="ZE448" s="9"/>
      <c r="ZF448" s="9"/>
      <c r="ZG448" s="9"/>
      <c r="ZH448" s="9"/>
      <c r="ZI448" s="9"/>
      <c r="ZJ448" s="9"/>
      <c r="ZK448" s="9"/>
      <c r="ZL448" s="9"/>
      <c r="ZM448" s="9"/>
      <c r="ZN448" s="9"/>
      <c r="ZO448" s="9"/>
      <c r="ZP448" s="9"/>
      <c r="ZQ448" s="9"/>
      <c r="ZR448" s="9"/>
      <c r="ZS448" s="9"/>
      <c r="ZT448" s="9"/>
      <c r="ZU448" s="9"/>
      <c r="ZV448" s="9"/>
      <c r="ZW448" s="9"/>
      <c r="ZX448" s="9"/>
      <c r="ZY448" s="9"/>
      <c r="ZZ448" s="9"/>
      <c r="AAA448" s="9"/>
      <c r="AAB448" s="9"/>
      <c r="AAC448" s="9"/>
      <c r="AAD448" s="9"/>
      <c r="AAE448" s="9"/>
      <c r="AAF448" s="9"/>
      <c r="AAG448" s="9"/>
      <c r="AAH448" s="9"/>
      <c r="AAI448" s="9"/>
      <c r="AAJ448" s="9"/>
      <c r="AAK448" s="9"/>
      <c r="AAL448" s="9"/>
      <c r="AAM448" s="9"/>
      <c r="AAN448" s="9"/>
      <c r="AAO448" s="9"/>
      <c r="AAP448" s="9"/>
      <c r="AAQ448" s="9"/>
      <c r="AAR448" s="9"/>
      <c r="AAS448" s="9"/>
      <c r="AAT448" s="9"/>
      <c r="AAU448" s="9"/>
      <c r="AAV448" s="9"/>
      <c r="AAW448" s="9"/>
      <c r="AAX448" s="9"/>
      <c r="AAY448" s="9"/>
      <c r="AAZ448" s="9"/>
      <c r="ABA448" s="9"/>
      <c r="ABB448" s="9"/>
      <c r="ABC448" s="9"/>
      <c r="ABD448" s="9"/>
      <c r="ABE448" s="9"/>
      <c r="ABF448" s="9"/>
      <c r="ABG448" s="9"/>
      <c r="ABH448" s="9"/>
      <c r="ABI448" s="9"/>
      <c r="ABJ448" s="9"/>
      <c r="ABK448" s="9"/>
      <c r="ABL448" s="9"/>
      <c r="ABM448" s="9"/>
      <c r="ABN448" s="9"/>
      <c r="ABO448" s="9"/>
      <c r="ABP448" s="9"/>
      <c r="ABQ448" s="9"/>
      <c r="ABR448" s="9"/>
      <c r="ABS448" s="9"/>
      <c r="ABT448" s="9"/>
      <c r="ABU448" s="9"/>
      <c r="ABV448" s="9"/>
      <c r="ABW448" s="9"/>
      <c r="ABX448" s="9"/>
      <c r="ABY448" s="9"/>
      <c r="ABZ448" s="9"/>
      <c r="ACA448" s="9"/>
      <c r="ACB448" s="9"/>
      <c r="ACC448" s="9"/>
      <c r="ACD448" s="9"/>
      <c r="ACE448" s="9"/>
      <c r="ACF448" s="9"/>
      <c r="ACG448" s="9"/>
      <c r="ACH448" s="9"/>
      <c r="ACI448" s="9"/>
      <c r="ACJ448" s="9"/>
      <c r="ACK448" s="9"/>
      <c r="ACL448" s="9"/>
      <c r="ACM448" s="9"/>
      <c r="ACN448" s="9"/>
      <c r="ACO448" s="9"/>
      <c r="ACP448" s="9"/>
      <c r="ACQ448" s="9"/>
      <c r="ACR448" s="9"/>
      <c r="ACS448" s="9"/>
      <c r="ACT448" s="9"/>
      <c r="ACU448" s="9"/>
      <c r="ACV448" s="9"/>
      <c r="ACW448" s="9"/>
      <c r="ACX448" s="9"/>
      <c r="ACY448" s="9"/>
      <c r="ACZ448" s="9"/>
      <c r="ADA448" s="9"/>
      <c r="ADB448" s="9"/>
      <c r="ADC448" s="9"/>
      <c r="ADD448" s="9"/>
      <c r="ADE448" s="9"/>
      <c r="ADF448" s="9"/>
      <c r="ADG448" s="9"/>
      <c r="ADH448" s="9"/>
      <c r="ADI448" s="9"/>
      <c r="ADJ448" s="9"/>
      <c r="ADK448" s="9"/>
      <c r="ADL448" s="9"/>
      <c r="ADM448" s="9"/>
      <c r="ADN448" s="9"/>
      <c r="ADO448" s="9"/>
      <c r="ADP448" s="9"/>
      <c r="ADQ448" s="9"/>
      <c r="ADR448" s="9"/>
      <c r="ADS448" s="9"/>
      <c r="ADT448" s="9"/>
      <c r="ADU448" s="9"/>
      <c r="ADV448" s="9"/>
      <c r="ADW448" s="9"/>
      <c r="ADX448" s="9"/>
      <c r="ADY448" s="9"/>
      <c r="ADZ448" s="9"/>
      <c r="AEA448" s="9"/>
      <c r="AEB448" s="9"/>
      <c r="AEC448" s="9"/>
      <c r="AED448" s="9"/>
      <c r="AEE448" s="9"/>
      <c r="AEF448" s="9"/>
      <c r="AEG448" s="9"/>
      <c r="AEH448" s="9"/>
      <c r="AEI448" s="9"/>
      <c r="AEJ448" s="9"/>
      <c r="AEK448" s="9"/>
      <c r="AEL448" s="9"/>
      <c r="AEM448" s="9"/>
      <c r="AEN448" s="9"/>
      <c r="AEO448" s="9"/>
      <c r="AEP448" s="9"/>
      <c r="AEQ448" s="9"/>
      <c r="AER448" s="9"/>
      <c r="AES448" s="9"/>
      <c r="AET448" s="9"/>
      <c r="AEU448" s="9"/>
      <c r="AEV448" s="9"/>
      <c r="AEW448" s="9"/>
      <c r="AEX448" s="9"/>
      <c r="AEY448" s="9"/>
      <c r="AEZ448" s="9"/>
      <c r="AFA448" s="9"/>
      <c r="AFB448" s="9"/>
      <c r="AFC448" s="9"/>
      <c r="AFD448" s="9"/>
      <c r="AFE448" s="9"/>
      <c r="AFF448" s="9"/>
      <c r="AFG448" s="9"/>
      <c r="AFH448" s="9"/>
      <c r="AFI448" s="9"/>
      <c r="AFJ448" s="9"/>
      <c r="AFK448" s="9"/>
      <c r="AFL448" s="9"/>
      <c r="AFM448" s="9"/>
      <c r="AFN448" s="9"/>
      <c r="AFO448" s="9"/>
      <c r="AFP448" s="9"/>
      <c r="AFQ448" s="9"/>
      <c r="AFR448" s="9"/>
      <c r="AFS448" s="9"/>
      <c r="AFT448" s="9"/>
      <c r="AFU448" s="9"/>
      <c r="AFV448" s="9"/>
      <c r="AFW448" s="9"/>
      <c r="AFX448" s="9"/>
      <c r="AFY448" s="9"/>
      <c r="AFZ448" s="9"/>
      <c r="AGA448" s="9"/>
      <c r="AGB448" s="9"/>
      <c r="AGC448" s="9"/>
      <c r="AGD448" s="9"/>
      <c r="AGE448" s="9"/>
      <c r="AGF448" s="9"/>
      <c r="AGG448" s="9"/>
      <c r="AGH448" s="9"/>
      <c r="AGI448" s="9"/>
      <c r="AGJ448" s="9"/>
      <c r="AGK448" s="9"/>
      <c r="AGL448" s="9"/>
      <c r="AGM448" s="9"/>
      <c r="AGN448" s="9"/>
      <c r="AGO448" s="9"/>
      <c r="AGP448" s="9"/>
      <c r="AGQ448" s="9"/>
      <c r="AGR448" s="9"/>
      <c r="AGS448" s="9"/>
      <c r="AGT448" s="9"/>
      <c r="AGU448" s="9"/>
      <c r="AGV448" s="9"/>
      <c r="AGW448" s="9"/>
      <c r="AGX448" s="9"/>
      <c r="AGY448" s="9"/>
      <c r="AGZ448" s="9"/>
      <c r="AHA448" s="9"/>
      <c r="AHB448" s="9"/>
      <c r="AHC448" s="9"/>
      <c r="AHD448" s="9"/>
      <c r="AHE448" s="9"/>
      <c r="AHF448" s="9"/>
      <c r="AHG448" s="9"/>
      <c r="AHH448" s="9"/>
      <c r="AHI448" s="9"/>
      <c r="AHJ448" s="9"/>
      <c r="AHK448" s="9"/>
      <c r="AHL448" s="9"/>
      <c r="AHM448" s="9"/>
      <c r="AHN448" s="9"/>
      <c r="AHO448" s="9"/>
      <c r="AHP448" s="9"/>
      <c r="AHQ448" s="9"/>
      <c r="AHR448" s="9"/>
      <c r="AHS448" s="9"/>
      <c r="AHT448" s="9"/>
      <c r="AHU448" s="9"/>
      <c r="AHV448" s="9"/>
      <c r="AHW448" s="9"/>
      <c r="AHX448" s="9"/>
      <c r="AHY448" s="9"/>
      <c r="AHZ448" s="9"/>
      <c r="AIA448" s="9"/>
      <c r="AIB448" s="9"/>
      <c r="AIC448" s="9"/>
      <c r="AID448" s="9"/>
      <c r="AIE448" s="9"/>
      <c r="AIF448" s="9"/>
      <c r="AIG448" s="9"/>
      <c r="AIH448" s="9"/>
      <c r="AII448" s="9"/>
      <c r="AIJ448" s="9"/>
      <c r="AIK448" s="9"/>
      <c r="AIL448" s="9"/>
      <c r="AIM448" s="9"/>
      <c r="AIN448" s="9"/>
      <c r="AIO448" s="9"/>
      <c r="AIP448" s="9"/>
      <c r="AIQ448" s="9"/>
      <c r="AIR448" s="9"/>
      <c r="AIS448" s="9"/>
      <c r="AIT448" s="9"/>
      <c r="AIU448" s="9"/>
      <c r="AIV448" s="9"/>
      <c r="AIW448" s="9"/>
      <c r="AIX448" s="9"/>
      <c r="AIY448" s="9"/>
      <c r="AIZ448" s="9"/>
      <c r="AJA448" s="9"/>
      <c r="AJB448" s="9"/>
      <c r="AJC448" s="9"/>
      <c r="AJD448" s="9"/>
      <c r="AJE448" s="9"/>
      <c r="AJF448" s="9"/>
      <c r="AJG448" s="9"/>
      <c r="AJH448" s="9"/>
      <c r="AJI448" s="9"/>
      <c r="AJJ448" s="9"/>
      <c r="AJK448" s="9"/>
      <c r="AJL448" s="9"/>
      <c r="AJM448" s="9"/>
      <c r="AJN448" s="9"/>
      <c r="AJO448" s="9"/>
      <c r="AJP448" s="9"/>
      <c r="AJQ448" s="9"/>
      <c r="AJR448" s="9"/>
      <c r="AJS448" s="9"/>
      <c r="AJT448" s="9"/>
      <c r="AJU448" s="9"/>
      <c r="AJV448" s="9"/>
      <c r="AJW448" s="9"/>
      <c r="AJX448" s="9"/>
      <c r="AJY448" s="9"/>
      <c r="AJZ448" s="9"/>
      <c r="AKA448" s="9"/>
      <c r="AKB448" s="9"/>
      <c r="AKC448" s="9"/>
      <c r="AKD448" s="9"/>
      <c r="AKE448" s="9"/>
      <c r="AKF448" s="9"/>
      <c r="AKG448" s="9"/>
      <c r="AKH448" s="9"/>
      <c r="AKI448" s="9"/>
      <c r="AKJ448" s="9"/>
      <c r="AKK448" s="9"/>
      <c r="AKL448" s="9"/>
      <c r="AKM448" s="9"/>
      <c r="AKN448" s="9"/>
      <c r="AKO448" s="9"/>
      <c r="AKP448" s="9"/>
      <c r="AKQ448" s="9"/>
      <c r="AKR448" s="9"/>
      <c r="AKS448" s="9"/>
      <c r="AKT448" s="9"/>
      <c r="AKU448" s="9"/>
      <c r="AKV448" s="9"/>
      <c r="AKW448" s="9"/>
      <c r="AKX448" s="9"/>
      <c r="AKY448" s="9"/>
      <c r="AKZ448" s="9"/>
      <c r="ALA448" s="9"/>
      <c r="ALB448" s="9"/>
      <c r="ALC448" s="9"/>
      <c r="ALD448" s="9"/>
      <c r="ALE448" s="9"/>
      <c r="ALF448" s="9"/>
      <c r="ALG448" s="9"/>
      <c r="ALH448" s="9"/>
      <c r="ALI448" s="9"/>
      <c r="ALJ448" s="9"/>
      <c r="ALK448" s="9"/>
      <c r="ALL448" s="9"/>
      <c r="ALM448" s="9"/>
      <c r="ALN448" s="9"/>
      <c r="ALO448" s="9"/>
      <c r="ALP448" s="9"/>
      <c r="ALQ448" s="9"/>
      <c r="ALR448" s="9"/>
      <c r="ALS448" s="9"/>
      <c r="ALT448" s="9"/>
      <c r="ALU448" s="9"/>
      <c r="ALV448" s="9"/>
      <c r="ALW448" s="9"/>
      <c r="ALX448" s="9"/>
      <c r="ALY448" s="9"/>
      <c r="ALZ448" s="9"/>
      <c r="AMA448" s="9"/>
      <c r="AMB448" s="9"/>
      <c r="AMC448" s="9"/>
      <c r="AMD448" s="9"/>
      <c r="AME448" s="9"/>
      <c r="AMF448" s="9"/>
      <c r="AMG448" s="9"/>
      <c r="AMH448" s="9"/>
      <c r="AMI448" s="9"/>
      <c r="AMJ448" s="9"/>
      <c r="AMK448" s="9"/>
      <c r="AML448" s="9"/>
      <c r="AMM448" s="9"/>
      <c r="AMN448" s="9"/>
      <c r="AMO448" s="9"/>
      <c r="AMP448" s="9"/>
    </row>
    <row r="449" spans="1:1030" x14ac:dyDescent="0.2">
      <c r="A449" s="3" t="str">
        <f>CONCATENATE(B449,"_",C449)</f>
        <v>smo_human__wt</v>
      </c>
      <c r="B449" s="3" t="s">
        <v>33</v>
      </c>
      <c r="C449" s="3" t="s">
        <v>100</v>
      </c>
      <c r="D449" s="3" t="str">
        <f>IFERROR(MID(VLOOKUP($B449,Seqs!$A:$B,2,0),E449,1),"")</f>
        <v>T</v>
      </c>
      <c r="E449" s="105">
        <v>223</v>
      </c>
      <c r="F449" s="3" t="str">
        <f>IFERROR(MID(VLOOKUP($B449,Seqs!$A:$B,2,0),G449,1),"")</f>
        <v>D</v>
      </c>
      <c r="G449" s="3">
        <v>255</v>
      </c>
      <c r="H449" s="3" t="str">
        <f>IFERROR(MID(VLOOKUP($B449,Seqs!$A:$B,2,0),I449,1),"")</f>
        <v>W</v>
      </c>
      <c r="I449" s="23">
        <v>256</v>
      </c>
      <c r="J449" s="3" t="str">
        <f>IFERROR(MID(VLOOKUP($B449,Seqs!$A:$B,2,0),K449,1),"")</f>
        <v>N</v>
      </c>
      <c r="K449" s="23">
        <v>260</v>
      </c>
      <c r="L449" s="3" t="str">
        <f>IFERROR(MID(VLOOKUP($B449,Seqs!$A:$B,2,0),M449,1),"")</f>
        <v>R</v>
      </c>
      <c r="M449" s="3">
        <v>261</v>
      </c>
      <c r="N449" s="3" t="str">
        <f>IFERROR(MID(VLOOKUP($B449,Seqs!$A:$B,2,0),O449,1),"")</f>
        <v>F</v>
      </c>
      <c r="O449" s="3">
        <v>285</v>
      </c>
      <c r="P449" s="3" t="str">
        <f>IFERROR(MID(VLOOKUP($B449,Seqs!$A:$B,2,0),Q449,1),"")</f>
        <v/>
      </c>
      <c r="Q449" s="3" t="s">
        <v>23</v>
      </c>
      <c r="R449" s="3" t="str">
        <f>IFERROR(MID(VLOOKUP($B449,Seqs!$A:$B,2,0),S449,1),"")</f>
        <v/>
      </c>
      <c r="S449" s="3" t="s">
        <v>23</v>
      </c>
      <c r="T449" s="3" t="str">
        <f>IFERROR(MID(VLOOKUP($B449,Seqs!$A:$B,2,0),U449,1),"")</f>
        <v>L</v>
      </c>
      <c r="U449" s="3">
        <v>312</v>
      </c>
      <c r="V449" s="3" t="str">
        <f>IFERROR(MID(VLOOKUP($B449,Seqs!$A:$B,2,0),W449,1),"")</f>
        <v>A</v>
      </c>
      <c r="W449" s="105">
        <v>345</v>
      </c>
      <c r="X449" s="3" t="str">
        <f>IFERROR(MID(VLOOKUP($B449,Seqs!$A:$B,2,0),Y449,1),"")</f>
        <v/>
      </c>
      <c r="Y449" s="3" t="s">
        <v>23</v>
      </c>
      <c r="Z449" s="3" t="str">
        <f>IFERROR(MID(VLOOKUP($B449,Seqs!$A:$B,2,0),AA449,1),"")</f>
        <v/>
      </c>
      <c r="AA449" s="3" t="s">
        <v>23</v>
      </c>
      <c r="AB449" s="3" t="str">
        <f>IFERROR(MID(VLOOKUP($B449,Seqs!$A:$B,2,0),AC449,1),"")</f>
        <v>K</v>
      </c>
      <c r="AC449" s="9">
        <v>356</v>
      </c>
      <c r="AD449" s="3" t="str">
        <f>IFERROR(MID(VLOOKUP($B449,Seqs!$A:$B,2,0),AE449,1),"")</f>
        <v>A</v>
      </c>
      <c r="AE449" s="105">
        <v>379</v>
      </c>
      <c r="AF449" s="3" t="str">
        <f>IFERROR(MID(VLOOKUP($B449,Seqs!$A:$B,2,0),AG449,1),"")</f>
        <v>C</v>
      </c>
      <c r="AG449" s="3">
        <v>390</v>
      </c>
      <c r="AH449" s="3" t="str">
        <f>IFERROR(MID(VLOOKUP($B449,Seqs!$A:$B,2,0),AI449,1),"")</f>
        <v>V</v>
      </c>
      <c r="AI449" s="3">
        <v>392</v>
      </c>
      <c r="AJ449" s="3" t="str">
        <f>IFERROR(MID(VLOOKUP($B449,Seqs!$A:$B,2,0),AK449,1),"")</f>
        <v>N</v>
      </c>
      <c r="AK449" s="105">
        <v>396</v>
      </c>
      <c r="AL449" s="3" t="str">
        <f>IFERROR(MID(VLOOKUP($B449,Seqs!$A:$B,2,0),AM449,1),"")</f>
        <v>H</v>
      </c>
      <c r="AM449" s="3">
        <v>433</v>
      </c>
      <c r="AN449" s="3" t="str">
        <f>IFERROR(MID(VLOOKUP($B449,Seqs!$A:$B,2,0),AO449,1),"")</f>
        <v>S</v>
      </c>
      <c r="AO449" s="105">
        <v>438</v>
      </c>
      <c r="AP449" s="3" t="str">
        <f>IFERROR(MID(VLOOKUP($B449,Seqs!$A:$B,2,0),AQ449,1),"")</f>
        <v>I</v>
      </c>
      <c r="AQ449" s="3">
        <v>496</v>
      </c>
      <c r="AR449" s="3" t="str">
        <f>IFERROR(MID(VLOOKUP($B449,Seqs!$A:$B,2,0),AS449,1),"")</f>
        <v>S</v>
      </c>
      <c r="AS449" s="105">
        <v>514</v>
      </c>
      <c r="AT449" s="3" t="str">
        <f>IFERROR(MID(VLOOKUP($B449,Seqs!$A:$B,2,0),AU449,1),"")</f>
        <v>W</v>
      </c>
      <c r="AU449" s="3">
        <v>537</v>
      </c>
      <c r="AV449" s="3" t="str">
        <f>IFERROR(MID(VLOOKUP($B449,Seqs!$A:$B,2,0),AW449,1),"")</f>
        <v>T</v>
      </c>
      <c r="AW449" s="3">
        <v>538</v>
      </c>
      <c r="AX449" s="3" t="str">
        <f>IFERROR(MID(VLOOKUP($B449,Seqs!$A:$B,2,0),AY449,1),"")</f>
        <v>T</v>
      </c>
      <c r="AY449" s="3">
        <v>553</v>
      </c>
      <c r="AZ449" s="77" t="str">
        <f>VLOOKUP(B449,Classification!A:D,2,0)</f>
        <v>F</v>
      </c>
      <c r="BA449" s="94" t="str">
        <f>VLOOKUP(B449,Classification!A:D,4,0)</f>
        <v>Frizzled</v>
      </c>
      <c r="BB449" s="27" t="b">
        <f t="shared" si="1190"/>
        <v>1</v>
      </c>
      <c r="BC449" s="23">
        <f t="shared" si="1187"/>
        <v>263</v>
      </c>
      <c r="BD449" s="56" t="s">
        <v>23</v>
      </c>
      <c r="BE449" s="3" t="s">
        <v>23</v>
      </c>
      <c r="BF449" s="118" t="s">
        <v>23</v>
      </c>
      <c r="BG449" s="49" t="s">
        <v>1366</v>
      </c>
      <c r="BH449" s="49" t="s">
        <v>1371</v>
      </c>
      <c r="BJ449" s="70" t="s">
        <v>1281</v>
      </c>
      <c r="BK449" s="57" t="s">
        <v>1281</v>
      </c>
      <c r="BL449" s="57" t="s">
        <v>1281</v>
      </c>
      <c r="BM449" s="57" t="s">
        <v>1281</v>
      </c>
      <c r="BN449" s="57" t="s">
        <v>1281</v>
      </c>
      <c r="BO449" s="57" t="s">
        <v>1281</v>
      </c>
      <c r="BP449" s="57" t="s">
        <v>1281</v>
      </c>
      <c r="BQ449" s="57" t="s">
        <v>1281</v>
      </c>
      <c r="BR449" s="57" t="s">
        <v>1281</v>
      </c>
      <c r="BS449" s="57" t="s">
        <v>1281</v>
      </c>
      <c r="BT449" s="57" t="s">
        <v>1281</v>
      </c>
      <c r="BU449" s="57" t="s">
        <v>1281</v>
      </c>
      <c r="BV449" s="70">
        <f>E449</f>
        <v>223</v>
      </c>
      <c r="BW449" s="71">
        <f>I449</f>
        <v>256</v>
      </c>
      <c r="BX449" s="72">
        <f>M449</f>
        <v>261</v>
      </c>
      <c r="BY449" s="71" t="str">
        <f>Q449</f>
        <v>-</v>
      </c>
      <c r="BZ449" s="72">
        <f>U449</f>
        <v>312</v>
      </c>
      <c r="CA449" s="71" t="str">
        <f>Y449</f>
        <v>-</v>
      </c>
      <c r="CB449" s="72">
        <f>AC449</f>
        <v>356</v>
      </c>
      <c r="CC449" s="71">
        <f>AG449</f>
        <v>390</v>
      </c>
      <c r="CD449" s="72">
        <f>AK449</f>
        <v>396</v>
      </c>
      <c r="CE449" s="71">
        <f>AO449</f>
        <v>438</v>
      </c>
      <c r="CF449" s="72">
        <f>AS449</f>
        <v>514</v>
      </c>
      <c r="CG449" s="71">
        <f>AW449</f>
        <v>538</v>
      </c>
      <c r="CH449" s="70">
        <f>G449</f>
        <v>255</v>
      </c>
      <c r="CI449" s="71">
        <f>K449</f>
        <v>260</v>
      </c>
      <c r="CJ449" s="72">
        <f>O449</f>
        <v>285</v>
      </c>
      <c r="CK449" s="72" t="str">
        <f>S449</f>
        <v>-</v>
      </c>
      <c r="CL449" s="72">
        <f>W449</f>
        <v>345</v>
      </c>
      <c r="CM449" s="72" t="str">
        <f>AA449</f>
        <v>-</v>
      </c>
      <c r="CN449" s="72">
        <f>AE449</f>
        <v>379</v>
      </c>
      <c r="CO449" s="72">
        <f>AI449</f>
        <v>392</v>
      </c>
      <c r="CP449" s="72">
        <f>AM449</f>
        <v>433</v>
      </c>
      <c r="CQ449" s="72">
        <f>AQ449</f>
        <v>496</v>
      </c>
      <c r="CR449" s="72">
        <f>AU449</f>
        <v>537</v>
      </c>
      <c r="CS449" s="72">
        <f>AY449</f>
        <v>553</v>
      </c>
      <c r="CT449" s="23">
        <f>M449-K449</f>
        <v>1</v>
      </c>
    </row>
    <row r="450" spans="1:1030" x14ac:dyDescent="0.2">
      <c r="A450" s="3" t="str">
        <f>CONCATENATE(B450,"_",C450)</f>
        <v>smo_human_4JKV</v>
      </c>
      <c r="B450" s="3" t="s">
        <v>33</v>
      </c>
      <c r="C450" s="3" t="s">
        <v>86</v>
      </c>
      <c r="D450" s="3" t="str">
        <f>IFERROR(MID(VLOOKUP($B450,Seqs!$A:$B,2,0),E450,1),"")</f>
        <v>T</v>
      </c>
      <c r="E450" s="105">
        <v>223</v>
      </c>
      <c r="F450" s="3" t="str">
        <f>IFERROR(MID(VLOOKUP($B450,Seqs!$A:$B,2,0),G450,1),"")</f>
        <v>D</v>
      </c>
      <c r="G450" s="3">
        <v>255</v>
      </c>
      <c r="H450" s="3" t="str">
        <f>IFERROR(MID(VLOOKUP($B450,Seqs!$A:$B,2,0),I450,1),"")</f>
        <v>W</v>
      </c>
      <c r="I450" s="23">
        <v>256</v>
      </c>
      <c r="J450" s="3" t="str">
        <f>IFERROR(MID(VLOOKUP($B450,Seqs!$A:$B,2,0),K450,1),"")</f>
        <v>N</v>
      </c>
      <c r="K450" s="23">
        <v>260</v>
      </c>
      <c r="L450" s="3" t="str">
        <f>IFERROR(MID(VLOOKUP($B450,Seqs!$A:$B,2,0),M450,1),"")</f>
        <v>R</v>
      </c>
      <c r="M450" s="3">
        <v>261</v>
      </c>
      <c r="N450" s="3" t="str">
        <f>IFERROR(MID(VLOOKUP($B450,Seqs!$A:$B,2,0),O450,1),"")</f>
        <v>F</v>
      </c>
      <c r="O450" s="3">
        <v>285</v>
      </c>
      <c r="P450" s="3" t="str">
        <f>IFERROR(MID(VLOOKUP($B450,Seqs!$A:$B,2,0),Q450,1),"")</f>
        <v/>
      </c>
      <c r="Q450" s="3" t="s">
        <v>23</v>
      </c>
      <c r="R450" s="3" t="str">
        <f>IFERROR(MID(VLOOKUP($B450,Seqs!$A:$B,2,0),S450,1),"")</f>
        <v/>
      </c>
      <c r="S450" s="3" t="s">
        <v>23</v>
      </c>
      <c r="T450" s="3" t="str">
        <f>IFERROR(MID(VLOOKUP($B450,Seqs!$A:$B,2,0),U450,1),"")</f>
        <v>L</v>
      </c>
      <c r="U450" s="3">
        <v>312</v>
      </c>
      <c r="V450" s="3" t="str">
        <f>IFERROR(MID(VLOOKUP($B450,Seqs!$A:$B,2,0),W450,1),"")</f>
        <v>T</v>
      </c>
      <c r="W450" s="3">
        <v>348</v>
      </c>
      <c r="X450" s="3" t="str">
        <f>IFERROR(MID(VLOOKUP($B450,Seqs!$A:$B,2,0),Y450,1),"")</f>
        <v/>
      </c>
      <c r="Y450" s="3" t="s">
        <v>23</v>
      </c>
      <c r="Z450" s="3" t="str">
        <f>IFERROR(MID(VLOOKUP($B450,Seqs!$A:$B,2,0),AA450,1),"")</f>
        <v/>
      </c>
      <c r="AA450" s="3" t="s">
        <v>23</v>
      </c>
      <c r="AB450" s="3" t="str">
        <f>IFERROR(MID(VLOOKUP($B450,Seqs!$A:$B,2,0),AC450,1),"")</f>
        <v>F</v>
      </c>
      <c r="AC450" s="9">
        <v>360</v>
      </c>
      <c r="AD450" s="3" t="str">
        <f>IFERROR(MID(VLOOKUP($B450,Seqs!$A:$B,2,0),AE450,1),"")</f>
        <v>A</v>
      </c>
      <c r="AE450" s="3">
        <v>379</v>
      </c>
      <c r="AF450" s="3" t="str">
        <f>IFERROR(MID(VLOOKUP($B450,Seqs!$A:$B,2,0),AG450,1),"")</f>
        <v>C</v>
      </c>
      <c r="AG450" s="3">
        <v>390</v>
      </c>
      <c r="AH450" s="3" t="str">
        <f>IFERROR(MID(VLOOKUP($B450,Seqs!$A:$B,2,0),AI450,1),"")</f>
        <v>V</v>
      </c>
      <c r="AI450" s="3">
        <v>392</v>
      </c>
      <c r="AJ450" s="3" t="str">
        <f>IFERROR(MID(VLOOKUP($B450,Seqs!$A:$B,2,0),AK450,1),"")</f>
        <v>N</v>
      </c>
      <c r="AK450" s="105">
        <v>396</v>
      </c>
      <c r="AL450" s="3" t="str">
        <f>IFERROR(MID(VLOOKUP($B450,Seqs!$A:$B,2,0),AM450,1),"")</f>
        <v>H</v>
      </c>
      <c r="AM450" s="3">
        <v>433</v>
      </c>
      <c r="AN450" s="3" t="str">
        <f>IFERROR(MID(VLOOKUP($B450,Seqs!$A:$B,2,0),AO450,1),"")</f>
        <v>A</v>
      </c>
      <c r="AO450" s="3">
        <v>442</v>
      </c>
      <c r="AP450" s="3" t="str">
        <f>IFERROR(MID(VLOOKUP($B450,Seqs!$A:$B,2,0),AQ450,1),"")</f>
        <v>N</v>
      </c>
      <c r="AQ450" s="3">
        <v>493</v>
      </c>
      <c r="AR450" s="3" t="str">
        <f>IFERROR(MID(VLOOKUP($B450,Seqs!$A:$B,2,0),AS450,1),"")</f>
        <v>S</v>
      </c>
      <c r="AS450" s="105">
        <v>514</v>
      </c>
      <c r="AT450" s="3" t="str">
        <f>IFERROR(MID(VLOOKUP($B450,Seqs!$A:$B,2,0),AU450,1),"")</f>
        <v>W</v>
      </c>
      <c r="AU450" s="3">
        <v>537</v>
      </c>
      <c r="AV450" s="3" t="str">
        <f>IFERROR(MID(VLOOKUP($B450,Seqs!$A:$B,2,0),AW450,1),"")</f>
        <v>T</v>
      </c>
      <c r="AW450" s="3">
        <v>538</v>
      </c>
      <c r="AX450" s="3" t="str">
        <f>IFERROR(MID(VLOOKUP($B450,Seqs!$A:$B,2,0),AY450,1),"")</f>
        <v>C</v>
      </c>
      <c r="AY450" s="3">
        <v>550</v>
      </c>
      <c r="AZ450" s="77" t="str">
        <f>VLOOKUP(B450,Classification!A:D,2,0)</f>
        <v>F</v>
      </c>
      <c r="BA450" s="94" t="str">
        <f>VLOOKUP(B450,Classification!A:D,4,0)</f>
        <v>Frizzled</v>
      </c>
      <c r="BB450" s="27" t="b">
        <f t="shared" si="1190"/>
        <v>1</v>
      </c>
      <c r="BC450" s="23">
        <f t="shared" si="1187"/>
        <v>252</v>
      </c>
      <c r="BD450" s="4" t="s">
        <v>23</v>
      </c>
      <c r="BE450" s="3" t="s">
        <v>1368</v>
      </c>
      <c r="BF450" s="118">
        <v>2.4500000000000002</v>
      </c>
      <c r="BG450" s="49" t="s">
        <v>1371</v>
      </c>
      <c r="BH450" s="49" t="s">
        <v>1371</v>
      </c>
      <c r="BJ450" s="70" t="s">
        <v>1281</v>
      </c>
      <c r="BK450" s="57" t="s">
        <v>1281</v>
      </c>
      <c r="BL450" s="57" t="s">
        <v>1281</v>
      </c>
      <c r="BM450" s="57" t="s">
        <v>1281</v>
      </c>
      <c r="BN450" s="57" t="s">
        <v>1281</v>
      </c>
      <c r="BO450" s="57" t="s">
        <v>1281</v>
      </c>
      <c r="BP450" s="57" t="s">
        <v>1281</v>
      </c>
      <c r="BQ450" s="57" t="s">
        <v>1281</v>
      </c>
      <c r="BR450" s="57" t="s">
        <v>1281</v>
      </c>
      <c r="BS450" s="57" t="s">
        <v>1281</v>
      </c>
      <c r="BT450" s="57" t="s">
        <v>1281</v>
      </c>
      <c r="BU450" s="57" t="s">
        <v>1281</v>
      </c>
      <c r="BV450" s="70">
        <f>E450</f>
        <v>223</v>
      </c>
      <c r="BW450" s="71">
        <f>I450</f>
        <v>256</v>
      </c>
      <c r="BX450" s="72">
        <f>M450</f>
        <v>261</v>
      </c>
      <c r="BY450" s="71" t="str">
        <f>Q450</f>
        <v>-</v>
      </c>
      <c r="BZ450" s="72">
        <f>U450</f>
        <v>312</v>
      </c>
      <c r="CA450" s="71" t="str">
        <f>Y450</f>
        <v>-</v>
      </c>
      <c r="CB450" s="72">
        <f>AC450</f>
        <v>360</v>
      </c>
      <c r="CC450" s="71">
        <f>AG450</f>
        <v>390</v>
      </c>
      <c r="CD450" s="72">
        <f>AK450</f>
        <v>396</v>
      </c>
      <c r="CE450" s="71">
        <f>AO450</f>
        <v>442</v>
      </c>
      <c r="CF450" s="72">
        <f>AS450</f>
        <v>514</v>
      </c>
      <c r="CG450" s="71">
        <f>AW450</f>
        <v>538</v>
      </c>
      <c r="CH450" s="70">
        <f>G450</f>
        <v>255</v>
      </c>
      <c r="CI450" s="71">
        <f>K450</f>
        <v>260</v>
      </c>
      <c r="CJ450" s="72">
        <f>O450</f>
        <v>285</v>
      </c>
      <c r="CK450" s="72" t="str">
        <f>S450</f>
        <v>-</v>
      </c>
      <c r="CL450" s="72">
        <f>W450</f>
        <v>348</v>
      </c>
      <c r="CM450" s="72" t="str">
        <f>AA450</f>
        <v>-</v>
      </c>
      <c r="CN450" s="72">
        <f>AE450</f>
        <v>379</v>
      </c>
      <c r="CO450" s="72">
        <f>AI450</f>
        <v>392</v>
      </c>
      <c r="CP450" s="72">
        <f>AM450</f>
        <v>433</v>
      </c>
      <c r="CQ450" s="72">
        <f>AQ450</f>
        <v>493</v>
      </c>
      <c r="CR450" s="72">
        <f>AU450</f>
        <v>537</v>
      </c>
      <c r="CS450" s="72">
        <f>AY450</f>
        <v>550</v>
      </c>
      <c r="CT450" s="23">
        <f>M450-K450</f>
        <v>1</v>
      </c>
    </row>
    <row r="451" spans="1:1030" x14ac:dyDescent="0.2">
      <c r="A451" s="3" t="str">
        <f>CONCATENATE(B451,"_",C451)</f>
        <v>smo_human_4N4W</v>
      </c>
      <c r="B451" s="3" t="s">
        <v>33</v>
      </c>
      <c r="C451" s="3" t="s">
        <v>1041</v>
      </c>
      <c r="D451" s="3" t="str">
        <f>IFERROR(MID(VLOOKUP($B451,Seqs!$A:$B,2,0),E451,1),"")</f>
        <v>T</v>
      </c>
      <c r="E451" s="105">
        <v>223</v>
      </c>
      <c r="F451" s="3" t="str">
        <f>IFERROR(MID(VLOOKUP($B451,Seqs!$A:$B,2,0),G451,1),"")</f>
        <v>D</v>
      </c>
      <c r="G451" s="3">
        <v>255</v>
      </c>
      <c r="H451" s="3" t="str">
        <f>IFERROR(MID(VLOOKUP($B451,Seqs!$A:$B,2,0),I451,1),"")</f>
        <v>W</v>
      </c>
      <c r="I451" s="23">
        <v>256</v>
      </c>
      <c r="J451" s="3" t="str">
        <f>IFERROR(MID(VLOOKUP($B451,Seqs!$A:$B,2,0),K451,1),"")</f>
        <v>N</v>
      </c>
      <c r="K451" s="23">
        <v>260</v>
      </c>
      <c r="L451" s="3" t="str">
        <f>IFERROR(MID(VLOOKUP($B451,Seqs!$A:$B,2,0),M451,1),"")</f>
        <v>R</v>
      </c>
      <c r="M451" s="3">
        <v>261</v>
      </c>
      <c r="N451" s="3" t="str">
        <f>IFERROR(MID(VLOOKUP($B451,Seqs!$A:$B,2,0),O451,1),"")</f>
        <v>F</v>
      </c>
      <c r="O451" s="3">
        <v>285</v>
      </c>
      <c r="P451" s="3" t="str">
        <f>IFERROR(MID(VLOOKUP($B451,Seqs!$A:$B,2,0),Q451,1),"")</f>
        <v/>
      </c>
      <c r="Q451" s="3" t="s">
        <v>23</v>
      </c>
      <c r="R451" s="3" t="str">
        <f>IFERROR(MID(VLOOKUP($B451,Seqs!$A:$B,2,0),S451,1),"")</f>
        <v/>
      </c>
      <c r="S451" s="3" t="s">
        <v>23</v>
      </c>
      <c r="T451" s="3" t="str">
        <f>IFERROR(MID(VLOOKUP($B451,Seqs!$A:$B,2,0),U451,1),"")</f>
        <v>L</v>
      </c>
      <c r="U451" s="3">
        <v>312</v>
      </c>
      <c r="V451" s="3" t="str">
        <f>IFERROR(MID(VLOOKUP($B451,Seqs!$A:$B,2,0),W451,1),"")</f>
        <v>A</v>
      </c>
      <c r="W451" s="3">
        <v>345</v>
      </c>
      <c r="X451" s="3" t="str">
        <f>IFERROR(MID(VLOOKUP($B451,Seqs!$A:$B,2,0),Y451,1),"")</f>
        <v/>
      </c>
      <c r="Y451" s="3" t="s">
        <v>23</v>
      </c>
      <c r="Z451" s="3" t="str">
        <f>IFERROR(MID(VLOOKUP($B451,Seqs!$A:$B,2,0),AA451,1),"")</f>
        <v/>
      </c>
      <c r="AA451" s="3" t="s">
        <v>23</v>
      </c>
      <c r="AB451" s="3" t="str">
        <f>IFERROR(MID(VLOOKUP($B451,Seqs!$A:$B,2,0),AC451,1),"")</f>
        <v>K</v>
      </c>
      <c r="AC451" s="9">
        <v>356</v>
      </c>
      <c r="AD451" s="3" t="str">
        <f>IFERROR(MID(VLOOKUP($B451,Seqs!$A:$B,2,0),AE451,1),"")</f>
        <v>V</v>
      </c>
      <c r="AE451" s="3">
        <v>378</v>
      </c>
      <c r="AF451" s="3" t="str">
        <f>IFERROR(MID(VLOOKUP($B451,Seqs!$A:$B,2,0),AG451,1),"")</f>
        <v>C</v>
      </c>
      <c r="AG451" s="3">
        <v>390</v>
      </c>
      <c r="AH451" s="3" t="str">
        <f>IFERROR(MID(VLOOKUP($B451,Seqs!$A:$B,2,0),AI451,1),"")</f>
        <v>V</v>
      </c>
      <c r="AI451" s="3">
        <v>392</v>
      </c>
      <c r="AJ451" s="3" t="str">
        <f>IFERROR(MID(VLOOKUP($B451,Seqs!$A:$B,2,0),AK451,1),"")</f>
        <v>N</v>
      </c>
      <c r="AK451" s="105">
        <v>396</v>
      </c>
      <c r="AL451" s="3" t="str">
        <f>IFERROR(MID(VLOOKUP($B451,Seqs!$A:$B,2,0),AM451,1),"")</f>
        <v>H</v>
      </c>
      <c r="AM451" s="3">
        <v>433</v>
      </c>
      <c r="AN451" s="3" t="str">
        <f>IFERROR(MID(VLOOKUP($B451,Seqs!$A:$B,2,0),AO451,1),"")</f>
        <v>S</v>
      </c>
      <c r="AO451" s="3">
        <v>443</v>
      </c>
      <c r="AP451" s="3" t="str">
        <f>IFERROR(MID(VLOOKUP($B451,Seqs!$A:$B,2,0),AQ451,1),"")</f>
        <v>Q</v>
      </c>
      <c r="AQ451" s="3">
        <v>491</v>
      </c>
      <c r="AR451" s="3" t="str">
        <f>IFERROR(MID(VLOOKUP($B451,Seqs!$A:$B,2,0),AS451,1),"")</f>
        <v>S</v>
      </c>
      <c r="AS451" s="105">
        <v>514</v>
      </c>
      <c r="AT451" s="3" t="str">
        <f>IFERROR(MID(VLOOKUP($B451,Seqs!$A:$B,2,0),AU451,1),"")</f>
        <v>W</v>
      </c>
      <c r="AU451" s="3">
        <v>537</v>
      </c>
      <c r="AV451" s="3" t="str">
        <f>IFERROR(MID(VLOOKUP($B451,Seqs!$A:$B,2,0),AW451,1),"")</f>
        <v>T</v>
      </c>
      <c r="AW451" s="3">
        <v>538</v>
      </c>
      <c r="AX451" s="3" t="str">
        <f>IFERROR(MID(VLOOKUP($B451,Seqs!$A:$B,2,0),AY451,1),"")</f>
        <v>L</v>
      </c>
      <c r="AY451" s="3">
        <v>552</v>
      </c>
      <c r="AZ451" s="77" t="str">
        <f>VLOOKUP(B451,Classification!A:D,2,0)</f>
        <v>F</v>
      </c>
      <c r="BA451" s="94" t="str">
        <f>VLOOKUP(B451,Classification!A:D,4,0)</f>
        <v>Frizzled</v>
      </c>
      <c r="BB451" s="27" t="b">
        <f t="shared" si="1190"/>
        <v>1</v>
      </c>
      <c r="BC451" s="23">
        <f t="shared" si="1187"/>
        <v>251</v>
      </c>
      <c r="BD451" s="2" t="s">
        <v>23</v>
      </c>
      <c r="BE451" s="3" t="s">
        <v>1368</v>
      </c>
      <c r="BF451" s="118">
        <v>2.8</v>
      </c>
      <c r="BG451" s="49" t="s">
        <v>1371</v>
      </c>
      <c r="BH451" s="49" t="s">
        <v>1371</v>
      </c>
      <c r="BJ451" s="70" t="s">
        <v>1281</v>
      </c>
      <c r="BK451" s="57" t="s">
        <v>1281</v>
      </c>
      <c r="BL451" s="57" t="s">
        <v>1281</v>
      </c>
      <c r="BM451" s="57" t="s">
        <v>1281</v>
      </c>
      <c r="BN451" s="57" t="s">
        <v>1281</v>
      </c>
      <c r="BO451" s="57" t="s">
        <v>1281</v>
      </c>
      <c r="BP451" s="57" t="s">
        <v>1281</v>
      </c>
      <c r="BQ451" s="57" t="s">
        <v>1281</v>
      </c>
      <c r="BR451" s="57" t="s">
        <v>1281</v>
      </c>
      <c r="BS451" s="57" t="s">
        <v>1281</v>
      </c>
      <c r="BT451" s="57" t="s">
        <v>1281</v>
      </c>
      <c r="BU451" s="57" t="s">
        <v>1281</v>
      </c>
      <c r="BV451" s="70">
        <f>E451</f>
        <v>223</v>
      </c>
      <c r="BW451" s="71">
        <f>I451</f>
        <v>256</v>
      </c>
      <c r="BX451" s="72">
        <f>M451</f>
        <v>261</v>
      </c>
      <c r="BY451" s="71" t="str">
        <f>Q451</f>
        <v>-</v>
      </c>
      <c r="BZ451" s="72">
        <f>U451</f>
        <v>312</v>
      </c>
      <c r="CA451" s="71" t="str">
        <f>Y451</f>
        <v>-</v>
      </c>
      <c r="CB451" s="72">
        <f>AC451</f>
        <v>356</v>
      </c>
      <c r="CC451" s="71">
        <f>AG451</f>
        <v>390</v>
      </c>
      <c r="CD451" s="72">
        <f>AK451</f>
        <v>396</v>
      </c>
      <c r="CE451" s="71">
        <f>AO451</f>
        <v>443</v>
      </c>
      <c r="CF451" s="72">
        <f>AS451</f>
        <v>514</v>
      </c>
      <c r="CG451" s="71">
        <f>AW451</f>
        <v>538</v>
      </c>
      <c r="CH451" s="70">
        <f>G451</f>
        <v>255</v>
      </c>
      <c r="CI451" s="71">
        <f>K451</f>
        <v>260</v>
      </c>
      <c r="CJ451" s="72">
        <f>O451</f>
        <v>285</v>
      </c>
      <c r="CK451" s="72" t="str">
        <f>S451</f>
        <v>-</v>
      </c>
      <c r="CL451" s="72">
        <f>W451</f>
        <v>345</v>
      </c>
      <c r="CM451" s="72" t="str">
        <f>AA451</f>
        <v>-</v>
      </c>
      <c r="CN451" s="72">
        <f>AE451</f>
        <v>378</v>
      </c>
      <c r="CO451" s="72">
        <f>AI451</f>
        <v>392</v>
      </c>
      <c r="CP451" s="72">
        <f>AM451</f>
        <v>433</v>
      </c>
      <c r="CQ451" s="72">
        <f>AQ451</f>
        <v>491</v>
      </c>
      <c r="CR451" s="72">
        <f>AU451</f>
        <v>537</v>
      </c>
      <c r="CS451" s="72">
        <f>AY451</f>
        <v>552</v>
      </c>
      <c r="CT451" s="23">
        <f>M451-K451</f>
        <v>1</v>
      </c>
    </row>
    <row r="452" spans="1:1030" x14ac:dyDescent="0.2">
      <c r="A452" s="3" t="str">
        <f>CONCATENATE(B452,"_",C452)</f>
        <v>smo_human_4O9R</v>
      </c>
      <c r="B452" s="3" t="s">
        <v>33</v>
      </c>
      <c r="C452" s="3" t="s">
        <v>1043</v>
      </c>
      <c r="D452" s="3" t="str">
        <f>IFERROR(MID(VLOOKUP($B452,Seqs!$A:$B,2,0),E452,1),"")</f>
        <v>T</v>
      </c>
      <c r="E452" s="105">
        <v>223</v>
      </c>
      <c r="F452" s="3" t="str">
        <f>IFERROR(MID(VLOOKUP($B452,Seqs!$A:$B,2,0),G452,1),"")</f>
        <v>D</v>
      </c>
      <c r="G452" s="3">
        <v>255</v>
      </c>
      <c r="H452" s="3" t="str">
        <f>IFERROR(MID(VLOOKUP($B452,Seqs!$A:$B,2,0),I452,1),"")</f>
        <v>W</v>
      </c>
      <c r="I452" s="23">
        <v>256</v>
      </c>
      <c r="J452" s="3" t="str">
        <f>IFERROR(MID(VLOOKUP($B452,Seqs!$A:$B,2,0),K452,1),"")</f>
        <v>N</v>
      </c>
      <c r="K452" s="23">
        <v>260</v>
      </c>
      <c r="L452" s="3" t="str">
        <f>IFERROR(MID(VLOOKUP($B452,Seqs!$A:$B,2,0),M452,1),"")</f>
        <v>R</v>
      </c>
      <c r="M452" s="3">
        <v>261</v>
      </c>
      <c r="N452" s="3" t="str">
        <f>IFERROR(MID(VLOOKUP($B452,Seqs!$A:$B,2,0),O452,1),"")</f>
        <v>F</v>
      </c>
      <c r="O452" s="3">
        <v>285</v>
      </c>
      <c r="P452" s="3" t="str">
        <f>IFERROR(MID(VLOOKUP($B452,Seqs!$A:$B,2,0),Q452,1),"")</f>
        <v/>
      </c>
      <c r="Q452" s="3" t="s">
        <v>23</v>
      </c>
      <c r="R452" s="3" t="str">
        <f>IFERROR(MID(VLOOKUP($B452,Seqs!$A:$B,2,0),S452,1),"")</f>
        <v/>
      </c>
      <c r="S452" s="3" t="s">
        <v>23</v>
      </c>
      <c r="T452" s="3" t="str">
        <f>IFERROR(MID(VLOOKUP($B452,Seqs!$A:$B,2,0),U452,1),"")</f>
        <v>L</v>
      </c>
      <c r="U452" s="3">
        <v>312</v>
      </c>
      <c r="V452" s="3" t="str">
        <f>IFERROR(MID(VLOOKUP($B452,Seqs!$A:$B,2,0),W452,1),"")</f>
        <v>F</v>
      </c>
      <c r="W452" s="3">
        <v>343</v>
      </c>
      <c r="X452" s="3" t="str">
        <f>IFERROR(MID(VLOOKUP($B452,Seqs!$A:$B,2,0),Y452,1),"")</f>
        <v/>
      </c>
      <c r="Y452" s="3" t="s">
        <v>23</v>
      </c>
      <c r="Z452" s="3" t="str">
        <f>IFERROR(MID(VLOOKUP($B452,Seqs!$A:$B,2,0),AA452,1),"")</f>
        <v/>
      </c>
      <c r="AA452" s="3" t="s">
        <v>23</v>
      </c>
      <c r="AB452" s="3" t="str">
        <f>IFERROR(MID(VLOOKUP($B452,Seqs!$A:$B,2,0),AC452,1),"")</f>
        <v>F</v>
      </c>
      <c r="AC452" s="9">
        <v>360</v>
      </c>
      <c r="AD452" s="3" t="str">
        <f>IFERROR(MID(VLOOKUP($B452,Seqs!$A:$B,2,0),AE452,1),"")</f>
        <v>V</v>
      </c>
      <c r="AE452" s="3">
        <v>378</v>
      </c>
      <c r="AF452" s="3" t="str">
        <f>IFERROR(MID(VLOOKUP($B452,Seqs!$A:$B,2,0),AG452,1),"")</f>
        <v>C</v>
      </c>
      <c r="AG452" s="3">
        <v>390</v>
      </c>
      <c r="AH452" s="3" t="str">
        <f>IFERROR(MID(VLOOKUP($B452,Seqs!$A:$B,2,0),AI452,1),"")</f>
        <v>V</v>
      </c>
      <c r="AI452" s="3">
        <v>392</v>
      </c>
      <c r="AJ452" s="3" t="str">
        <f>IFERROR(MID(VLOOKUP($B452,Seqs!$A:$B,2,0),AK452,1),"")</f>
        <v>N</v>
      </c>
      <c r="AK452" s="105">
        <v>396</v>
      </c>
      <c r="AL452" s="3" t="str">
        <f>IFERROR(MID(VLOOKUP($B452,Seqs!$A:$B,2,0),AM452,1),"")</f>
        <v>H</v>
      </c>
      <c r="AM452" s="3">
        <v>433</v>
      </c>
      <c r="AN452" s="3" t="str">
        <f>IFERROR(MID(VLOOKUP($B452,Seqs!$A:$B,2,0),AO452,1),"")</f>
        <v>E</v>
      </c>
      <c r="AO452" s="3">
        <v>447</v>
      </c>
      <c r="AP452" s="3" t="str">
        <f>IFERROR(MID(VLOOKUP($B452,Seqs!$A:$B,2,0),AQ452,1),"")</f>
        <v>N</v>
      </c>
      <c r="AQ452" s="3">
        <v>493</v>
      </c>
      <c r="AR452" s="3" t="str">
        <f>IFERROR(MID(VLOOKUP($B452,Seqs!$A:$B,2,0),AS452,1),"")</f>
        <v>S</v>
      </c>
      <c r="AS452" s="105">
        <v>514</v>
      </c>
      <c r="AT452" s="3" t="str">
        <f>IFERROR(MID(VLOOKUP($B452,Seqs!$A:$B,2,0),AU452,1),"")</f>
        <v>W</v>
      </c>
      <c r="AU452" s="3">
        <v>537</v>
      </c>
      <c r="AV452" s="3" t="str">
        <f>IFERROR(MID(VLOOKUP($B452,Seqs!$A:$B,2,0),AW452,1),"")</f>
        <v>T</v>
      </c>
      <c r="AW452" s="3">
        <v>538</v>
      </c>
      <c r="AX452" s="3" t="str">
        <f>IFERROR(MID(VLOOKUP($B452,Seqs!$A:$B,2,0),AY452,1),"")</f>
        <v>W</v>
      </c>
      <c r="AY452" s="3">
        <v>549</v>
      </c>
      <c r="AZ452" s="78" t="str">
        <f>VLOOKUP(B452,Classification!A:D,2,0)</f>
        <v>F</v>
      </c>
      <c r="BA452" s="94" t="str">
        <f>VLOOKUP(B452,Classification!A:D,4,0)</f>
        <v>Frizzled</v>
      </c>
      <c r="BB452" s="92" t="b">
        <f t="shared" si="1190"/>
        <v>1</v>
      </c>
      <c r="BC452" s="23">
        <f t="shared" si="1187"/>
        <v>240</v>
      </c>
      <c r="BD452" s="74" t="s">
        <v>23</v>
      </c>
      <c r="BE452" s="3" t="s">
        <v>1368</v>
      </c>
      <c r="BF452" s="118">
        <v>3.2</v>
      </c>
      <c r="BG452" s="49" t="s">
        <v>1371</v>
      </c>
      <c r="BH452" s="49" t="s">
        <v>1371</v>
      </c>
      <c r="BJ452" s="75" t="s">
        <v>1281</v>
      </c>
      <c r="BK452" s="57" t="s">
        <v>1281</v>
      </c>
      <c r="BL452" s="57" t="s">
        <v>1281</v>
      </c>
      <c r="BM452" s="57" t="s">
        <v>1281</v>
      </c>
      <c r="BN452" s="57" t="s">
        <v>1281</v>
      </c>
      <c r="BO452" s="57" t="s">
        <v>1281</v>
      </c>
      <c r="BP452" s="57" t="s">
        <v>1281</v>
      </c>
      <c r="BQ452" s="57" t="s">
        <v>1281</v>
      </c>
      <c r="BR452" s="57" t="s">
        <v>1281</v>
      </c>
      <c r="BS452" s="57" t="s">
        <v>1281</v>
      </c>
      <c r="BT452" s="57" t="s">
        <v>1281</v>
      </c>
      <c r="BU452" s="57" t="s">
        <v>1281</v>
      </c>
      <c r="BV452" s="75">
        <f>E452</f>
        <v>223</v>
      </c>
      <c r="BW452" s="71">
        <f>I452</f>
        <v>256</v>
      </c>
      <c r="BX452" s="72">
        <f>M452</f>
        <v>261</v>
      </c>
      <c r="BY452" s="71" t="str">
        <f>Q452</f>
        <v>-</v>
      </c>
      <c r="BZ452" s="72">
        <f>U452</f>
        <v>312</v>
      </c>
      <c r="CA452" s="71" t="str">
        <f>Y452</f>
        <v>-</v>
      </c>
      <c r="CB452" s="72">
        <f>AC452</f>
        <v>360</v>
      </c>
      <c r="CC452" s="71">
        <f>AG452</f>
        <v>390</v>
      </c>
      <c r="CD452" s="72">
        <f>AK452</f>
        <v>396</v>
      </c>
      <c r="CE452" s="71">
        <f>AO452</f>
        <v>447</v>
      </c>
      <c r="CF452" s="72">
        <f>AS452</f>
        <v>514</v>
      </c>
      <c r="CG452" s="71">
        <f>AW452</f>
        <v>538</v>
      </c>
      <c r="CH452" s="75">
        <f>G452</f>
        <v>255</v>
      </c>
      <c r="CI452" s="71">
        <f>K452</f>
        <v>260</v>
      </c>
      <c r="CJ452" s="72">
        <f>O452</f>
        <v>285</v>
      </c>
      <c r="CK452" s="72" t="str">
        <f>S452</f>
        <v>-</v>
      </c>
      <c r="CL452" s="72">
        <f>W452</f>
        <v>343</v>
      </c>
      <c r="CM452" s="72" t="str">
        <f>AA452</f>
        <v>-</v>
      </c>
      <c r="CN452" s="72">
        <f>AE452</f>
        <v>378</v>
      </c>
      <c r="CO452" s="72">
        <f>AI452</f>
        <v>392</v>
      </c>
      <c r="CP452" s="72">
        <f>AM452</f>
        <v>433</v>
      </c>
      <c r="CQ452" s="72">
        <f>AQ452</f>
        <v>493</v>
      </c>
      <c r="CR452" s="72">
        <f>AU452</f>
        <v>537</v>
      </c>
      <c r="CS452" s="72">
        <f>AY452</f>
        <v>549</v>
      </c>
      <c r="CT452" s="23">
        <f>M452-K452</f>
        <v>1</v>
      </c>
    </row>
    <row r="453" spans="1:1030" s="6" customFormat="1" x14ac:dyDescent="0.2">
      <c r="A453" s="3" t="str">
        <f>CONCATENATE(B453,"_",C453)</f>
        <v>smo_human_4QIM</v>
      </c>
      <c r="B453" s="3" t="s">
        <v>33</v>
      </c>
      <c r="C453" s="3" t="s">
        <v>1045</v>
      </c>
      <c r="D453" s="3" t="str">
        <f>IFERROR(MID(VLOOKUP($B453,Seqs!$A:$B,2,0),E453,1),"")</f>
        <v>T</v>
      </c>
      <c r="E453" s="105">
        <v>223</v>
      </c>
      <c r="F453" s="3" t="str">
        <f>IFERROR(MID(VLOOKUP($B453,Seqs!$A:$B,2,0),G453,1),"")</f>
        <v>D</v>
      </c>
      <c r="G453" s="3">
        <v>255</v>
      </c>
      <c r="H453" s="3" t="str">
        <f>IFERROR(MID(VLOOKUP($B453,Seqs!$A:$B,2,0),I453,1),"")</f>
        <v>W</v>
      </c>
      <c r="I453" s="23">
        <v>256</v>
      </c>
      <c r="J453" s="3" t="str">
        <f>IFERROR(MID(VLOOKUP($B453,Seqs!$A:$B,2,0),K453,1),"")</f>
        <v>N</v>
      </c>
      <c r="K453" s="23">
        <v>260</v>
      </c>
      <c r="L453" s="3" t="str">
        <f>IFERROR(MID(VLOOKUP($B453,Seqs!$A:$B,2,0),M453,1),"")</f>
        <v>R</v>
      </c>
      <c r="M453" s="3">
        <v>261</v>
      </c>
      <c r="N453" s="3" t="str">
        <f>IFERROR(MID(VLOOKUP($B453,Seqs!$A:$B,2,0),O453,1),"")</f>
        <v>F</v>
      </c>
      <c r="O453" s="3">
        <v>285</v>
      </c>
      <c r="P453" s="3" t="str">
        <f>IFERROR(MID(VLOOKUP($B453,Seqs!$A:$B,2,0),Q453,1),"")</f>
        <v/>
      </c>
      <c r="Q453" s="3" t="s">
        <v>23</v>
      </c>
      <c r="R453" s="3" t="str">
        <f>IFERROR(MID(VLOOKUP($B453,Seqs!$A:$B,2,0),S453,1),"")</f>
        <v/>
      </c>
      <c r="S453" s="3" t="s">
        <v>23</v>
      </c>
      <c r="T453" s="3" t="str">
        <f>IFERROR(MID(VLOOKUP($B453,Seqs!$A:$B,2,0),U453,1),"")</f>
        <v>L</v>
      </c>
      <c r="U453" s="3">
        <v>312</v>
      </c>
      <c r="V453" s="3" t="str">
        <f>IFERROR(MID(VLOOKUP($B453,Seqs!$A:$B,2,0),W453,1),"")</f>
        <v>A</v>
      </c>
      <c r="W453" s="3">
        <v>345</v>
      </c>
      <c r="X453" s="3" t="str">
        <f>IFERROR(MID(VLOOKUP($B453,Seqs!$A:$B,2,0),Y453,1),"")</f>
        <v/>
      </c>
      <c r="Y453" s="3" t="s">
        <v>23</v>
      </c>
      <c r="Z453" s="3" t="str">
        <f>IFERROR(MID(VLOOKUP($B453,Seqs!$A:$B,2,0),AA453,1),"")</f>
        <v/>
      </c>
      <c r="AA453" s="3" t="s">
        <v>23</v>
      </c>
      <c r="AB453" s="3" t="str">
        <f>IFERROR(MID(VLOOKUP($B453,Seqs!$A:$B,2,0),AC453,1),"")</f>
        <v>K</v>
      </c>
      <c r="AC453" s="9">
        <v>356</v>
      </c>
      <c r="AD453" s="3" t="str">
        <f>IFERROR(MID(VLOOKUP($B453,Seqs!$A:$B,2,0),AE453,1),"")</f>
        <v>V</v>
      </c>
      <c r="AE453" s="3">
        <v>378</v>
      </c>
      <c r="AF453" s="3" t="str">
        <f>IFERROR(MID(VLOOKUP($B453,Seqs!$A:$B,2,0),AG453,1),"")</f>
        <v>C</v>
      </c>
      <c r="AG453" s="3">
        <v>390</v>
      </c>
      <c r="AH453" s="3" t="str">
        <f>IFERROR(MID(VLOOKUP($B453,Seqs!$A:$B,2,0),AI453,1),"")</f>
        <v>V</v>
      </c>
      <c r="AI453" s="3">
        <v>392</v>
      </c>
      <c r="AJ453" s="3" t="str">
        <f>IFERROR(MID(VLOOKUP($B453,Seqs!$A:$B,2,0),AK453,1),"")</f>
        <v>N</v>
      </c>
      <c r="AK453" s="105">
        <v>396</v>
      </c>
      <c r="AL453" s="3" t="str">
        <f>IFERROR(MID(VLOOKUP($B453,Seqs!$A:$B,2,0),AM453,1),"")</f>
        <v>H</v>
      </c>
      <c r="AM453" s="3">
        <v>433</v>
      </c>
      <c r="AN453" s="3" t="str">
        <f>IFERROR(MID(VLOOKUP($B453,Seqs!$A:$B,2,0),AO453,1),"")</f>
        <v>E</v>
      </c>
      <c r="AO453" s="3">
        <v>447</v>
      </c>
      <c r="AP453" s="3" t="str">
        <f>IFERROR(MID(VLOOKUP($B453,Seqs!$A:$B,2,0),AQ453,1),"")</f>
        <v>N</v>
      </c>
      <c r="AQ453" s="3">
        <v>493</v>
      </c>
      <c r="AR453" s="3" t="str">
        <f>IFERROR(MID(VLOOKUP($B453,Seqs!$A:$B,2,0),AS453,1),"")</f>
        <v>S</v>
      </c>
      <c r="AS453" s="105">
        <v>514</v>
      </c>
      <c r="AT453" s="3" t="str">
        <f>IFERROR(MID(VLOOKUP($B453,Seqs!$A:$B,2,0),AU453,1),"")</f>
        <v>W</v>
      </c>
      <c r="AU453" s="3">
        <v>537</v>
      </c>
      <c r="AV453" s="3" t="str">
        <f>IFERROR(MID(VLOOKUP($B453,Seqs!$A:$B,2,0),AW453,1),"")</f>
        <v>T</v>
      </c>
      <c r="AW453" s="3">
        <v>538</v>
      </c>
      <c r="AX453" s="3" t="str">
        <f>IFERROR(MID(VLOOKUP($B453,Seqs!$A:$B,2,0),AY453,1),"")</f>
        <v>T</v>
      </c>
      <c r="AY453" s="3">
        <v>553</v>
      </c>
      <c r="AZ453" s="78" t="str">
        <f>VLOOKUP(B453,Classification!A:D,2,0)</f>
        <v>F</v>
      </c>
      <c r="BA453" s="94" t="str">
        <f>VLOOKUP(B453,Classification!A:D,4,0)</f>
        <v>Frizzled</v>
      </c>
      <c r="BB453" s="92" t="b">
        <f t="shared" si="1190"/>
        <v>1</v>
      </c>
      <c r="BC453" s="23">
        <f t="shared" si="1187"/>
        <v>250</v>
      </c>
      <c r="BD453" s="74" t="s">
        <v>23</v>
      </c>
      <c r="BE453" s="3" t="s">
        <v>1368</v>
      </c>
      <c r="BF453" s="118">
        <v>2.61</v>
      </c>
      <c r="BG453" s="49" t="s">
        <v>1371</v>
      </c>
      <c r="BH453" s="49" t="s">
        <v>1371</v>
      </c>
      <c r="BI453" s="3"/>
      <c r="BJ453" s="75" t="s">
        <v>1281</v>
      </c>
      <c r="BK453" s="57" t="s">
        <v>1281</v>
      </c>
      <c r="BL453" s="57" t="s">
        <v>1281</v>
      </c>
      <c r="BM453" s="57" t="s">
        <v>1281</v>
      </c>
      <c r="BN453" s="57" t="s">
        <v>1281</v>
      </c>
      <c r="BO453" s="57" t="s">
        <v>1281</v>
      </c>
      <c r="BP453" s="57" t="s">
        <v>1281</v>
      </c>
      <c r="BQ453" s="57" t="s">
        <v>1281</v>
      </c>
      <c r="BR453" s="57" t="s">
        <v>1281</v>
      </c>
      <c r="BS453" s="57" t="s">
        <v>1281</v>
      </c>
      <c r="BT453" s="57" t="s">
        <v>1281</v>
      </c>
      <c r="BU453" s="57" t="s">
        <v>1281</v>
      </c>
      <c r="BV453" s="75">
        <f>E453</f>
        <v>223</v>
      </c>
      <c r="BW453" s="71">
        <f>I453</f>
        <v>256</v>
      </c>
      <c r="BX453" s="72">
        <f>M453</f>
        <v>261</v>
      </c>
      <c r="BY453" s="71" t="str">
        <f>Q453</f>
        <v>-</v>
      </c>
      <c r="BZ453" s="72">
        <f>U453</f>
        <v>312</v>
      </c>
      <c r="CA453" s="71" t="str">
        <f>Y453</f>
        <v>-</v>
      </c>
      <c r="CB453" s="72">
        <f>AC453</f>
        <v>356</v>
      </c>
      <c r="CC453" s="71">
        <f>AG453</f>
        <v>390</v>
      </c>
      <c r="CD453" s="72">
        <f>AK453</f>
        <v>396</v>
      </c>
      <c r="CE453" s="71">
        <f>AO453</f>
        <v>447</v>
      </c>
      <c r="CF453" s="72">
        <f>AS453</f>
        <v>514</v>
      </c>
      <c r="CG453" s="71">
        <f>AW453</f>
        <v>538</v>
      </c>
      <c r="CH453" s="75">
        <f>G453</f>
        <v>255</v>
      </c>
      <c r="CI453" s="71">
        <f>K453</f>
        <v>260</v>
      </c>
      <c r="CJ453" s="72">
        <f>O453</f>
        <v>285</v>
      </c>
      <c r="CK453" s="72" t="str">
        <f>S453</f>
        <v>-</v>
      </c>
      <c r="CL453" s="72">
        <f>W453</f>
        <v>345</v>
      </c>
      <c r="CM453" s="72" t="str">
        <f>AA453</f>
        <v>-</v>
      </c>
      <c r="CN453" s="72">
        <f>AE453</f>
        <v>378</v>
      </c>
      <c r="CO453" s="72">
        <f>AI453</f>
        <v>392</v>
      </c>
      <c r="CP453" s="72">
        <f>AM453</f>
        <v>433</v>
      </c>
      <c r="CQ453" s="72">
        <f>AQ453</f>
        <v>493</v>
      </c>
      <c r="CR453" s="72">
        <f>AU453</f>
        <v>537</v>
      </c>
      <c r="CS453" s="72">
        <f>AY453</f>
        <v>553</v>
      </c>
      <c r="CT453" s="23">
        <f>M453-K453</f>
        <v>1</v>
      </c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3"/>
      <c r="IN453" s="3"/>
      <c r="IO453" s="3"/>
      <c r="IP453" s="3"/>
      <c r="IQ453" s="3"/>
      <c r="IR453" s="3"/>
      <c r="IS453" s="3"/>
      <c r="IT453" s="3"/>
      <c r="IU453" s="3"/>
      <c r="IV453" s="3"/>
      <c r="IW453" s="3"/>
      <c r="IX453" s="3"/>
      <c r="IY453" s="3"/>
      <c r="IZ453" s="3"/>
      <c r="JA453" s="3"/>
      <c r="JB453" s="3"/>
      <c r="JC453" s="3"/>
      <c r="JD453" s="3"/>
      <c r="JE453" s="3"/>
      <c r="JF453" s="3"/>
      <c r="JG453" s="3"/>
      <c r="JH453" s="3"/>
      <c r="JI453" s="3"/>
      <c r="JJ453" s="3"/>
      <c r="JK453" s="3"/>
      <c r="JL453" s="3"/>
      <c r="JM453" s="3"/>
      <c r="JN453" s="3"/>
      <c r="JO453" s="3"/>
      <c r="JP453" s="3"/>
      <c r="JQ453" s="3"/>
      <c r="JR453" s="3"/>
      <c r="JS453" s="3"/>
      <c r="JT453" s="3"/>
      <c r="JU453" s="3"/>
      <c r="JV453" s="3"/>
      <c r="JW453" s="3"/>
      <c r="JX453" s="3"/>
      <c r="JY453" s="3"/>
      <c r="JZ453" s="3"/>
      <c r="KA453" s="3"/>
      <c r="KB453" s="3"/>
      <c r="KC453" s="3"/>
      <c r="KD453" s="3"/>
      <c r="KE453" s="3"/>
      <c r="KF453" s="3"/>
      <c r="KG453" s="3"/>
      <c r="KH453" s="3"/>
      <c r="KI453" s="3"/>
      <c r="KJ453" s="3"/>
      <c r="KK453" s="3"/>
      <c r="KL453" s="3"/>
      <c r="KM453" s="3"/>
      <c r="KN453" s="3"/>
      <c r="KO453" s="3"/>
      <c r="KP453" s="3"/>
      <c r="KQ453" s="3"/>
      <c r="KR453" s="3"/>
      <c r="KS453" s="3"/>
      <c r="KT453" s="3"/>
      <c r="KU453" s="3"/>
      <c r="KV453" s="3"/>
      <c r="KW453" s="3"/>
      <c r="KX453" s="3"/>
      <c r="KY453" s="3"/>
      <c r="KZ453" s="3"/>
      <c r="LA453" s="3"/>
      <c r="LB453" s="3"/>
      <c r="LC453" s="3"/>
      <c r="LD453" s="3"/>
      <c r="LE453" s="3"/>
      <c r="LF453" s="3"/>
      <c r="LG453" s="3"/>
      <c r="LH453" s="3"/>
      <c r="LI453" s="3"/>
      <c r="LJ453" s="3"/>
      <c r="LK453" s="3"/>
      <c r="LL453" s="3"/>
      <c r="LM453" s="3"/>
      <c r="LN453" s="3"/>
      <c r="LO453" s="3"/>
      <c r="LP453" s="3"/>
      <c r="LQ453" s="3"/>
      <c r="LR453" s="3"/>
      <c r="LS453" s="3"/>
      <c r="LT453" s="3"/>
      <c r="LU453" s="3"/>
      <c r="LV453" s="3"/>
      <c r="LW453" s="3"/>
      <c r="LX453" s="3"/>
      <c r="LY453" s="3"/>
      <c r="LZ453" s="3"/>
      <c r="MA453" s="3"/>
      <c r="MB453" s="3"/>
      <c r="MC453" s="3"/>
      <c r="MD453" s="3"/>
      <c r="ME453" s="3"/>
      <c r="MF453" s="3"/>
      <c r="MG453" s="3"/>
      <c r="MH453" s="3"/>
      <c r="MI453" s="3"/>
      <c r="MJ453" s="3"/>
      <c r="MK453" s="3"/>
      <c r="ML453" s="3"/>
      <c r="MM453" s="3"/>
      <c r="MN453" s="3"/>
      <c r="MO453" s="3"/>
      <c r="MP453" s="3"/>
      <c r="MQ453" s="3"/>
      <c r="MR453" s="3"/>
      <c r="MS453" s="3"/>
      <c r="MT453" s="3"/>
      <c r="MU453" s="3"/>
      <c r="MV453" s="3"/>
      <c r="MW453" s="3"/>
      <c r="MX453" s="3"/>
      <c r="MY453" s="3"/>
      <c r="MZ453" s="3"/>
      <c r="NA453" s="3"/>
      <c r="NB453" s="3"/>
      <c r="NC453" s="3"/>
      <c r="ND453" s="3"/>
      <c r="NE453" s="3"/>
      <c r="NF453" s="3"/>
      <c r="NG453" s="3"/>
      <c r="NH453" s="3"/>
      <c r="NI453" s="3"/>
      <c r="NJ453" s="3"/>
      <c r="NK453" s="3"/>
      <c r="NL453" s="3"/>
      <c r="NM453" s="3"/>
      <c r="NN453" s="3"/>
      <c r="NO453" s="3"/>
      <c r="NP453" s="3"/>
      <c r="NQ453" s="3"/>
      <c r="NR453" s="3"/>
      <c r="NS453" s="3"/>
      <c r="NT453" s="3"/>
      <c r="NU453" s="3"/>
      <c r="NV453" s="3"/>
      <c r="NW453" s="3"/>
      <c r="NX453" s="3"/>
      <c r="NY453" s="3"/>
      <c r="NZ453" s="3"/>
      <c r="OA453" s="3"/>
      <c r="OB453" s="3"/>
      <c r="OC453" s="3"/>
      <c r="OD453" s="3"/>
      <c r="OE453" s="3"/>
      <c r="OF453" s="3"/>
      <c r="OG453" s="3"/>
      <c r="OH453" s="3"/>
      <c r="OI453" s="3"/>
      <c r="OJ453" s="3"/>
      <c r="OK453" s="3"/>
      <c r="OL453" s="3"/>
      <c r="OM453" s="3"/>
      <c r="ON453" s="3"/>
      <c r="OO453" s="3"/>
      <c r="OP453" s="3"/>
      <c r="OQ453" s="3"/>
      <c r="OR453" s="3"/>
      <c r="OS453" s="3"/>
      <c r="OT453" s="3"/>
      <c r="OU453" s="3"/>
      <c r="OV453" s="3"/>
      <c r="OW453" s="3"/>
      <c r="OX453" s="3"/>
      <c r="OY453" s="3"/>
      <c r="OZ453" s="3"/>
      <c r="PA453" s="3"/>
      <c r="PB453" s="3"/>
      <c r="PC453" s="3"/>
      <c r="PD453" s="3"/>
      <c r="PE453" s="3"/>
      <c r="PF453" s="3"/>
      <c r="PG453" s="3"/>
      <c r="PH453" s="3"/>
      <c r="PI453" s="3"/>
      <c r="PJ453" s="3"/>
      <c r="PK453" s="3"/>
      <c r="PL453" s="3"/>
      <c r="PM453" s="3"/>
      <c r="PN453" s="3"/>
      <c r="PO453" s="3"/>
      <c r="PP453" s="3"/>
      <c r="PQ453" s="3"/>
      <c r="PR453" s="3"/>
      <c r="PS453" s="3"/>
      <c r="PT453" s="3"/>
      <c r="PU453" s="3"/>
      <c r="PV453" s="3"/>
      <c r="PW453" s="3"/>
      <c r="PX453" s="3"/>
      <c r="PY453" s="3"/>
      <c r="PZ453" s="3"/>
      <c r="QA453" s="3"/>
      <c r="QB453" s="3"/>
      <c r="QC453" s="3"/>
      <c r="QD453" s="3"/>
      <c r="QE453" s="3"/>
      <c r="QF453" s="3"/>
      <c r="QG453" s="3"/>
      <c r="QH453" s="3"/>
      <c r="QI453" s="3"/>
      <c r="QJ453" s="3"/>
      <c r="QK453" s="3"/>
      <c r="QL453" s="3"/>
      <c r="QM453" s="3"/>
      <c r="QN453" s="3"/>
      <c r="QO453" s="3"/>
      <c r="QP453" s="3"/>
      <c r="QQ453" s="3"/>
      <c r="QR453" s="3"/>
      <c r="QS453" s="3"/>
      <c r="QT453" s="3"/>
      <c r="QU453" s="3"/>
      <c r="QV453" s="3"/>
      <c r="QW453" s="3"/>
      <c r="QX453" s="3"/>
      <c r="QY453" s="3"/>
      <c r="QZ453" s="3"/>
      <c r="RA453" s="3"/>
      <c r="RB453" s="3"/>
      <c r="RC453" s="3"/>
      <c r="RD453" s="3"/>
      <c r="RE453" s="3"/>
      <c r="RF453" s="3"/>
      <c r="RG453" s="3"/>
      <c r="RH453" s="3"/>
      <c r="RI453" s="3"/>
      <c r="RJ453" s="3"/>
      <c r="RK453" s="3"/>
      <c r="RL453" s="3"/>
      <c r="RM453" s="3"/>
      <c r="RN453" s="3"/>
      <c r="RO453" s="3"/>
      <c r="RP453" s="3"/>
      <c r="RQ453" s="3"/>
      <c r="RR453" s="3"/>
      <c r="RS453" s="3"/>
      <c r="RT453" s="3"/>
      <c r="RU453" s="3"/>
      <c r="RV453" s="3"/>
      <c r="RW453" s="3"/>
      <c r="RX453" s="3"/>
      <c r="RY453" s="3"/>
      <c r="RZ453" s="3"/>
      <c r="SA453" s="3"/>
      <c r="SB453" s="3"/>
      <c r="SC453" s="3"/>
      <c r="SD453" s="3"/>
      <c r="SE453" s="3"/>
      <c r="SF453" s="3"/>
      <c r="SG453" s="3"/>
      <c r="SH453" s="3"/>
      <c r="SI453" s="3"/>
      <c r="SJ453" s="3"/>
      <c r="SK453" s="3"/>
      <c r="SL453" s="3"/>
      <c r="SM453" s="3"/>
      <c r="SN453" s="3"/>
      <c r="SO453" s="3"/>
      <c r="SP453" s="3"/>
      <c r="SQ453" s="3"/>
      <c r="SR453" s="3"/>
      <c r="SS453" s="3"/>
      <c r="ST453" s="3"/>
      <c r="SU453" s="3"/>
      <c r="SV453" s="3"/>
      <c r="SW453" s="3"/>
      <c r="SX453" s="3"/>
      <c r="SY453" s="3"/>
      <c r="SZ453" s="3"/>
      <c r="TA453" s="3"/>
      <c r="TB453" s="3"/>
      <c r="TC453" s="3"/>
      <c r="TD453" s="3"/>
      <c r="TE453" s="3"/>
      <c r="TF453" s="3"/>
      <c r="TG453" s="3"/>
      <c r="TH453" s="3"/>
      <c r="TI453" s="3"/>
      <c r="TJ453" s="3"/>
      <c r="TK453" s="3"/>
      <c r="TL453" s="3"/>
      <c r="TM453" s="3"/>
      <c r="TN453" s="3"/>
      <c r="TO453" s="3"/>
      <c r="TP453" s="3"/>
      <c r="TQ453" s="3"/>
      <c r="TR453" s="3"/>
      <c r="TS453" s="3"/>
      <c r="TT453" s="3"/>
      <c r="TU453" s="3"/>
      <c r="TV453" s="3"/>
      <c r="TW453" s="3"/>
      <c r="TX453" s="3"/>
      <c r="TY453" s="3"/>
      <c r="TZ453" s="3"/>
      <c r="UA453" s="3"/>
      <c r="UB453" s="3"/>
      <c r="UC453" s="3"/>
      <c r="UD453" s="3"/>
      <c r="UE453" s="3"/>
      <c r="UF453" s="3"/>
      <c r="UG453" s="3"/>
      <c r="UH453" s="3"/>
      <c r="UI453" s="3"/>
      <c r="UJ453" s="3"/>
      <c r="UK453" s="3"/>
      <c r="UL453" s="3"/>
      <c r="UM453" s="3"/>
      <c r="UN453" s="3"/>
      <c r="UO453" s="3"/>
      <c r="UP453" s="3"/>
      <c r="UQ453" s="3"/>
      <c r="UR453" s="3"/>
      <c r="US453" s="3"/>
      <c r="UT453" s="3"/>
      <c r="UU453" s="3"/>
      <c r="UV453" s="3"/>
      <c r="UW453" s="3"/>
      <c r="UX453" s="3"/>
      <c r="UY453" s="3"/>
      <c r="UZ453" s="3"/>
      <c r="VA453" s="3"/>
      <c r="VB453" s="3"/>
      <c r="VC453" s="3"/>
      <c r="VD453" s="3"/>
      <c r="VE453" s="3"/>
      <c r="VF453" s="3"/>
      <c r="VG453" s="3"/>
      <c r="VH453" s="3"/>
      <c r="VI453" s="3"/>
      <c r="VJ453" s="3"/>
      <c r="VK453" s="3"/>
      <c r="VL453" s="3"/>
      <c r="VM453" s="3"/>
      <c r="VN453" s="3"/>
      <c r="VO453" s="3"/>
      <c r="VP453" s="3"/>
      <c r="VQ453" s="3"/>
      <c r="VR453" s="3"/>
      <c r="VS453" s="3"/>
      <c r="VT453" s="3"/>
      <c r="VU453" s="3"/>
      <c r="VV453" s="3"/>
      <c r="VW453" s="3"/>
      <c r="VX453" s="3"/>
      <c r="VY453" s="3"/>
      <c r="VZ453" s="3"/>
      <c r="WA453" s="3"/>
      <c r="WB453" s="3"/>
      <c r="WC453" s="3"/>
      <c r="WD453" s="3"/>
      <c r="WE453" s="3"/>
      <c r="WF453" s="3"/>
      <c r="WG453" s="3"/>
      <c r="WH453" s="3"/>
      <c r="WI453" s="3"/>
      <c r="WJ453" s="3"/>
      <c r="WK453" s="3"/>
      <c r="WL453" s="3"/>
      <c r="WM453" s="3"/>
      <c r="WN453" s="3"/>
      <c r="WO453" s="3"/>
      <c r="WP453" s="3"/>
      <c r="WQ453" s="3"/>
      <c r="WR453" s="3"/>
      <c r="WS453" s="3"/>
      <c r="WT453" s="3"/>
      <c r="WU453" s="3"/>
      <c r="WV453" s="3"/>
      <c r="WW453" s="3"/>
      <c r="WX453" s="3"/>
      <c r="WY453" s="3"/>
      <c r="WZ453" s="3"/>
      <c r="XA453" s="3"/>
      <c r="XB453" s="3"/>
      <c r="XC453" s="3"/>
      <c r="XD453" s="3"/>
      <c r="XE453" s="3"/>
      <c r="XF453" s="3"/>
      <c r="XG453" s="3"/>
      <c r="XH453" s="3"/>
      <c r="XI453" s="3"/>
      <c r="XJ453" s="3"/>
      <c r="XK453" s="3"/>
      <c r="XL453" s="3"/>
      <c r="XM453" s="3"/>
      <c r="XN453" s="3"/>
      <c r="XO453" s="3"/>
      <c r="XP453" s="3"/>
      <c r="XQ453" s="3"/>
      <c r="XR453" s="3"/>
      <c r="XS453" s="3"/>
      <c r="XT453" s="3"/>
      <c r="XU453" s="3"/>
      <c r="XV453" s="3"/>
      <c r="XW453" s="3"/>
      <c r="XX453" s="3"/>
      <c r="XY453" s="3"/>
      <c r="XZ453" s="3"/>
      <c r="YA453" s="3"/>
      <c r="YB453" s="3"/>
      <c r="YC453" s="3"/>
      <c r="YD453" s="3"/>
      <c r="YE453" s="3"/>
      <c r="YF453" s="3"/>
      <c r="YG453" s="3"/>
      <c r="YH453" s="3"/>
      <c r="YI453" s="3"/>
      <c r="YJ453" s="3"/>
      <c r="YK453" s="3"/>
      <c r="YL453" s="3"/>
      <c r="YM453" s="3"/>
      <c r="YN453" s="3"/>
      <c r="YO453" s="3"/>
      <c r="YP453" s="3"/>
      <c r="YQ453" s="3"/>
      <c r="YR453" s="3"/>
      <c r="YS453" s="3"/>
      <c r="YT453" s="3"/>
      <c r="YU453" s="3"/>
      <c r="YV453" s="3"/>
      <c r="YW453" s="3"/>
      <c r="YX453" s="3"/>
      <c r="YY453" s="3"/>
      <c r="YZ453" s="3"/>
      <c r="ZA453" s="3"/>
      <c r="ZB453" s="3"/>
      <c r="ZC453" s="3"/>
      <c r="ZD453" s="3"/>
      <c r="ZE453" s="3"/>
      <c r="ZF453" s="3"/>
      <c r="ZG453" s="3"/>
      <c r="ZH453" s="3"/>
      <c r="ZI453" s="3"/>
      <c r="ZJ453" s="3"/>
      <c r="ZK453" s="3"/>
      <c r="ZL453" s="3"/>
      <c r="ZM453" s="3"/>
      <c r="ZN453" s="3"/>
      <c r="ZO453" s="3"/>
      <c r="ZP453" s="3"/>
      <c r="ZQ453" s="3"/>
      <c r="ZR453" s="3"/>
      <c r="ZS453" s="3"/>
      <c r="ZT453" s="3"/>
      <c r="ZU453" s="3"/>
      <c r="ZV453" s="3"/>
      <c r="ZW453" s="3"/>
      <c r="ZX453" s="3"/>
      <c r="ZY453" s="3"/>
      <c r="ZZ453" s="3"/>
      <c r="AAA453" s="3"/>
      <c r="AAB453" s="3"/>
      <c r="AAC453" s="3"/>
      <c r="AAD453" s="3"/>
      <c r="AAE453" s="3"/>
      <c r="AAF453" s="3"/>
      <c r="AAG453" s="3"/>
      <c r="AAH453" s="3"/>
      <c r="AAI453" s="3"/>
      <c r="AAJ453" s="3"/>
      <c r="AAK453" s="3"/>
      <c r="AAL453" s="3"/>
      <c r="AAM453" s="3"/>
      <c r="AAN453" s="3"/>
      <c r="AAO453" s="3"/>
      <c r="AAP453" s="3"/>
      <c r="AAQ453" s="3"/>
      <c r="AAR453" s="3"/>
      <c r="AAS453" s="3"/>
      <c r="AAT453" s="3"/>
      <c r="AAU453" s="3"/>
      <c r="AAV453" s="3"/>
      <c r="AAW453" s="3"/>
      <c r="AAX453" s="3"/>
      <c r="AAY453" s="3"/>
      <c r="AAZ453" s="3"/>
      <c r="ABA453" s="3"/>
      <c r="ABB453" s="3"/>
      <c r="ABC453" s="3"/>
      <c r="ABD453" s="3"/>
      <c r="ABE453" s="3"/>
      <c r="ABF453" s="3"/>
      <c r="ABG453" s="3"/>
      <c r="ABH453" s="3"/>
      <c r="ABI453" s="3"/>
      <c r="ABJ453" s="3"/>
      <c r="ABK453" s="3"/>
      <c r="ABL453" s="3"/>
      <c r="ABM453" s="3"/>
      <c r="ABN453" s="3"/>
      <c r="ABO453" s="3"/>
      <c r="ABP453" s="3"/>
      <c r="ABQ453" s="3"/>
      <c r="ABR453" s="3"/>
      <c r="ABS453" s="3"/>
      <c r="ABT453" s="3"/>
      <c r="ABU453" s="3"/>
      <c r="ABV453" s="3"/>
      <c r="ABW453" s="3"/>
      <c r="ABX453" s="3"/>
      <c r="ABY453" s="3"/>
      <c r="ABZ453" s="3"/>
      <c r="ACA453" s="3"/>
      <c r="ACB453" s="3"/>
      <c r="ACC453" s="3"/>
      <c r="ACD453" s="3"/>
      <c r="ACE453" s="3"/>
      <c r="ACF453" s="3"/>
      <c r="ACG453" s="3"/>
      <c r="ACH453" s="3"/>
      <c r="ACI453" s="3"/>
      <c r="ACJ453" s="3"/>
      <c r="ACK453" s="3"/>
      <c r="ACL453" s="3"/>
      <c r="ACM453" s="3"/>
      <c r="ACN453" s="3"/>
      <c r="ACO453" s="3"/>
      <c r="ACP453" s="3"/>
      <c r="ACQ453" s="3"/>
      <c r="ACR453" s="3"/>
      <c r="ACS453" s="3"/>
      <c r="ACT453" s="3"/>
      <c r="ACU453" s="3"/>
      <c r="ACV453" s="3"/>
      <c r="ACW453" s="3"/>
      <c r="ACX453" s="3"/>
      <c r="ACY453" s="3"/>
      <c r="ACZ453" s="3"/>
      <c r="ADA453" s="3"/>
      <c r="ADB453" s="3"/>
      <c r="ADC453" s="3"/>
      <c r="ADD453" s="3"/>
      <c r="ADE453" s="3"/>
      <c r="ADF453" s="3"/>
      <c r="ADG453" s="3"/>
      <c r="ADH453" s="3"/>
      <c r="ADI453" s="3"/>
      <c r="ADJ453" s="3"/>
      <c r="ADK453" s="3"/>
      <c r="ADL453" s="3"/>
      <c r="ADM453" s="3"/>
      <c r="ADN453" s="3"/>
      <c r="ADO453" s="3"/>
      <c r="ADP453" s="3"/>
      <c r="ADQ453" s="3"/>
      <c r="ADR453" s="3"/>
      <c r="ADS453" s="3"/>
      <c r="ADT453" s="3"/>
      <c r="ADU453" s="3"/>
      <c r="ADV453" s="3"/>
      <c r="ADW453" s="3"/>
      <c r="ADX453" s="3"/>
      <c r="ADY453" s="3"/>
      <c r="ADZ453" s="3"/>
      <c r="AEA453" s="3"/>
      <c r="AEB453" s="3"/>
      <c r="AEC453" s="3"/>
      <c r="AED453" s="3"/>
      <c r="AEE453" s="3"/>
      <c r="AEF453" s="3"/>
      <c r="AEG453" s="3"/>
      <c r="AEH453" s="3"/>
      <c r="AEI453" s="3"/>
      <c r="AEJ453" s="3"/>
      <c r="AEK453" s="3"/>
      <c r="AEL453" s="3"/>
      <c r="AEM453" s="3"/>
      <c r="AEN453" s="3"/>
      <c r="AEO453" s="3"/>
      <c r="AEP453" s="3"/>
      <c r="AEQ453" s="3"/>
      <c r="AER453" s="3"/>
      <c r="AES453" s="3"/>
      <c r="AET453" s="3"/>
      <c r="AEU453" s="3"/>
      <c r="AEV453" s="3"/>
      <c r="AEW453" s="3"/>
      <c r="AEX453" s="3"/>
      <c r="AEY453" s="3"/>
      <c r="AEZ453" s="3"/>
      <c r="AFA453" s="3"/>
      <c r="AFB453" s="3"/>
      <c r="AFC453" s="3"/>
      <c r="AFD453" s="3"/>
      <c r="AFE453" s="3"/>
      <c r="AFF453" s="3"/>
      <c r="AFG453" s="3"/>
      <c r="AFH453" s="3"/>
      <c r="AFI453" s="3"/>
      <c r="AFJ453" s="3"/>
      <c r="AFK453" s="3"/>
      <c r="AFL453" s="3"/>
      <c r="AFM453" s="3"/>
      <c r="AFN453" s="3"/>
      <c r="AFO453" s="3"/>
      <c r="AFP453" s="3"/>
      <c r="AFQ453" s="3"/>
      <c r="AFR453" s="3"/>
      <c r="AFS453" s="3"/>
      <c r="AFT453" s="3"/>
      <c r="AFU453" s="3"/>
      <c r="AFV453" s="3"/>
      <c r="AFW453" s="3"/>
      <c r="AFX453" s="3"/>
      <c r="AFY453" s="3"/>
      <c r="AFZ453" s="3"/>
      <c r="AGA453" s="3"/>
      <c r="AGB453" s="3"/>
      <c r="AGC453" s="3"/>
      <c r="AGD453" s="3"/>
      <c r="AGE453" s="3"/>
      <c r="AGF453" s="3"/>
      <c r="AGG453" s="3"/>
      <c r="AGH453" s="3"/>
      <c r="AGI453" s="3"/>
      <c r="AGJ453" s="3"/>
      <c r="AGK453" s="3"/>
      <c r="AGL453" s="3"/>
      <c r="AGM453" s="3"/>
      <c r="AGN453" s="3"/>
      <c r="AGO453" s="3"/>
      <c r="AGP453" s="3"/>
      <c r="AGQ453" s="3"/>
      <c r="AGR453" s="3"/>
      <c r="AGS453" s="3"/>
      <c r="AGT453" s="3"/>
      <c r="AGU453" s="3"/>
      <c r="AGV453" s="3"/>
      <c r="AGW453" s="3"/>
      <c r="AGX453" s="3"/>
      <c r="AGY453" s="3"/>
      <c r="AGZ453" s="3"/>
      <c r="AHA453" s="3"/>
      <c r="AHB453" s="3"/>
      <c r="AHC453" s="3"/>
      <c r="AHD453" s="3"/>
      <c r="AHE453" s="3"/>
      <c r="AHF453" s="3"/>
      <c r="AHG453" s="3"/>
      <c r="AHH453" s="3"/>
      <c r="AHI453" s="3"/>
      <c r="AHJ453" s="3"/>
      <c r="AHK453" s="3"/>
      <c r="AHL453" s="3"/>
      <c r="AHM453" s="3"/>
      <c r="AHN453" s="3"/>
      <c r="AHO453" s="3"/>
      <c r="AHP453" s="3"/>
      <c r="AHQ453" s="3"/>
      <c r="AHR453" s="3"/>
      <c r="AHS453" s="3"/>
      <c r="AHT453" s="3"/>
      <c r="AHU453" s="3"/>
      <c r="AHV453" s="3"/>
      <c r="AHW453" s="3"/>
      <c r="AHX453" s="3"/>
      <c r="AHY453" s="3"/>
      <c r="AHZ453" s="3"/>
      <c r="AIA453" s="3"/>
      <c r="AIB453" s="3"/>
      <c r="AIC453" s="3"/>
      <c r="AID453" s="3"/>
      <c r="AIE453" s="3"/>
      <c r="AIF453" s="3"/>
      <c r="AIG453" s="3"/>
      <c r="AIH453" s="3"/>
      <c r="AII453" s="3"/>
      <c r="AIJ453" s="3"/>
      <c r="AIK453" s="3"/>
      <c r="AIL453" s="3"/>
      <c r="AIM453" s="3"/>
      <c r="AIN453" s="3"/>
      <c r="AIO453" s="3"/>
      <c r="AIP453" s="3"/>
      <c r="AIQ453" s="3"/>
      <c r="AIR453" s="3"/>
      <c r="AIS453" s="3"/>
      <c r="AIT453" s="3"/>
      <c r="AIU453" s="3"/>
      <c r="AIV453" s="3"/>
      <c r="AIW453" s="3"/>
      <c r="AIX453" s="3"/>
      <c r="AIY453" s="3"/>
      <c r="AIZ453" s="3"/>
      <c r="AJA453" s="3"/>
      <c r="AJB453" s="3"/>
      <c r="AJC453" s="3"/>
      <c r="AJD453" s="3"/>
      <c r="AJE453" s="3"/>
      <c r="AJF453" s="3"/>
      <c r="AJG453" s="3"/>
      <c r="AJH453" s="3"/>
      <c r="AJI453" s="3"/>
      <c r="AJJ453" s="3"/>
      <c r="AJK453" s="3"/>
      <c r="AJL453" s="3"/>
      <c r="AJM453" s="3"/>
      <c r="AJN453" s="3"/>
      <c r="AJO453" s="3"/>
      <c r="AJP453" s="3"/>
      <c r="AJQ453" s="3"/>
      <c r="AJR453" s="3"/>
      <c r="AJS453" s="3"/>
      <c r="AJT453" s="3"/>
      <c r="AJU453" s="3"/>
      <c r="AJV453" s="3"/>
      <c r="AJW453" s="3"/>
      <c r="AJX453" s="3"/>
      <c r="AJY453" s="3"/>
      <c r="AJZ453" s="3"/>
      <c r="AKA453" s="3"/>
      <c r="AKB453" s="3"/>
      <c r="AKC453" s="3"/>
      <c r="AKD453" s="3"/>
      <c r="AKE453" s="3"/>
      <c r="AKF453" s="3"/>
      <c r="AKG453" s="3"/>
      <c r="AKH453" s="3"/>
      <c r="AKI453" s="3"/>
      <c r="AKJ453" s="3"/>
      <c r="AKK453" s="3"/>
      <c r="AKL453" s="3"/>
      <c r="AKM453" s="3"/>
      <c r="AKN453" s="3"/>
      <c r="AKO453" s="3"/>
      <c r="AKP453" s="3"/>
      <c r="AKQ453" s="3"/>
      <c r="AKR453" s="3"/>
      <c r="AKS453" s="3"/>
      <c r="AKT453" s="3"/>
      <c r="AKU453" s="3"/>
      <c r="AKV453" s="3"/>
      <c r="AKW453" s="3"/>
      <c r="AKX453" s="3"/>
      <c r="AKY453" s="3"/>
      <c r="AKZ453" s="3"/>
      <c r="ALA453" s="3"/>
      <c r="ALB453" s="3"/>
      <c r="ALC453" s="3"/>
      <c r="ALD453" s="3"/>
      <c r="ALE453" s="3"/>
      <c r="ALF453" s="3"/>
      <c r="ALG453" s="3"/>
      <c r="ALH453" s="3"/>
      <c r="ALI453" s="3"/>
      <c r="ALJ453" s="3"/>
      <c r="ALK453" s="3"/>
      <c r="ALL453" s="3"/>
      <c r="ALM453" s="3"/>
      <c r="ALN453" s="3"/>
      <c r="ALO453" s="3"/>
      <c r="ALP453" s="3"/>
      <c r="ALQ453" s="3"/>
      <c r="ALR453" s="3"/>
      <c r="ALS453" s="3"/>
      <c r="ALT453" s="3"/>
      <c r="ALU453" s="3"/>
      <c r="ALV453" s="3"/>
      <c r="ALW453" s="3"/>
      <c r="ALX453" s="3"/>
      <c r="ALY453" s="3"/>
      <c r="ALZ453" s="3"/>
      <c r="AMA453" s="3"/>
      <c r="AMB453" s="3"/>
      <c r="AMC453" s="3"/>
      <c r="AMD453" s="3"/>
      <c r="AME453" s="3"/>
      <c r="AMF453" s="3"/>
      <c r="AMG453" s="3"/>
      <c r="AMH453" s="3"/>
      <c r="AMI453" s="3"/>
      <c r="AMJ453" s="3"/>
      <c r="AMK453" s="3"/>
      <c r="AML453" s="3"/>
      <c r="AMM453" s="3"/>
      <c r="AMN453" s="3"/>
      <c r="AMO453" s="3"/>
      <c r="AMP453" s="1"/>
    </row>
    <row r="454" spans="1:1030" s="6" customFormat="1" x14ac:dyDescent="0.2">
      <c r="A454" s="3" t="str">
        <f>CONCATENATE(B454,"_",C454)</f>
        <v>smo_human_4QIN</v>
      </c>
      <c r="B454" s="3" t="s">
        <v>33</v>
      </c>
      <c r="C454" s="3" t="s">
        <v>56</v>
      </c>
      <c r="D454" s="3" t="str">
        <f>IFERROR(MID(VLOOKUP($B454,Seqs!$A:$B,2,0),E454,1),"")</f>
        <v>T</v>
      </c>
      <c r="E454" s="105">
        <v>223</v>
      </c>
      <c r="F454" s="3" t="str">
        <f>IFERROR(MID(VLOOKUP($B454,Seqs!$A:$B,2,0),G454,1),"")</f>
        <v>D</v>
      </c>
      <c r="G454" s="3">
        <v>255</v>
      </c>
      <c r="H454" s="3" t="str">
        <f>IFERROR(MID(VLOOKUP($B454,Seqs!$A:$B,2,0),I454,1),"")</f>
        <v>W</v>
      </c>
      <c r="I454" s="23">
        <v>256</v>
      </c>
      <c r="J454" s="3" t="str">
        <f>IFERROR(MID(VLOOKUP($B454,Seqs!$A:$B,2,0),K454,1),"")</f>
        <v>N</v>
      </c>
      <c r="K454" s="23">
        <v>260</v>
      </c>
      <c r="L454" s="3" t="str">
        <f>IFERROR(MID(VLOOKUP($B454,Seqs!$A:$B,2,0),M454,1),"")</f>
        <v>R</v>
      </c>
      <c r="M454" s="3">
        <v>261</v>
      </c>
      <c r="N454" s="3" t="str">
        <f>IFERROR(MID(VLOOKUP($B454,Seqs!$A:$B,2,0),O454,1),"")</f>
        <v>F</v>
      </c>
      <c r="O454" s="3">
        <v>285</v>
      </c>
      <c r="P454" s="3" t="str">
        <f>IFERROR(MID(VLOOKUP($B454,Seqs!$A:$B,2,0),Q454,1),"")</f>
        <v/>
      </c>
      <c r="Q454" s="3" t="s">
        <v>23</v>
      </c>
      <c r="R454" s="3" t="str">
        <f>IFERROR(MID(VLOOKUP($B454,Seqs!$A:$B,2,0),S454,1),"")</f>
        <v/>
      </c>
      <c r="S454" s="3" t="s">
        <v>23</v>
      </c>
      <c r="T454" s="3" t="str">
        <f>IFERROR(MID(VLOOKUP($B454,Seqs!$A:$B,2,0),U454,1),"")</f>
        <v>L</v>
      </c>
      <c r="U454" s="3">
        <v>312</v>
      </c>
      <c r="V454" s="3" t="str">
        <f>IFERROR(MID(VLOOKUP($B454,Seqs!$A:$B,2,0),W454,1),"")</f>
        <v>A</v>
      </c>
      <c r="W454" s="3">
        <v>345</v>
      </c>
      <c r="X454" s="3" t="str">
        <f>IFERROR(MID(VLOOKUP($B454,Seqs!$A:$B,2,0),Y454,1),"")</f>
        <v/>
      </c>
      <c r="Y454" s="3" t="s">
        <v>23</v>
      </c>
      <c r="Z454" s="3" t="str">
        <f>IFERROR(MID(VLOOKUP($B454,Seqs!$A:$B,2,0),AA454,1),"")</f>
        <v/>
      </c>
      <c r="AA454" s="3" t="s">
        <v>23</v>
      </c>
      <c r="AB454" s="3" t="str">
        <f>IFERROR(MID(VLOOKUP($B454,Seqs!$A:$B,2,0),AC454,1),"")</f>
        <v>K</v>
      </c>
      <c r="AC454" s="9">
        <v>356</v>
      </c>
      <c r="AD454" s="3" t="str">
        <f>IFERROR(MID(VLOOKUP($B454,Seqs!$A:$B,2,0),AE454,1),"")</f>
        <v>A</v>
      </c>
      <c r="AE454" s="3">
        <v>379</v>
      </c>
      <c r="AF454" s="3" t="str">
        <f>IFERROR(MID(VLOOKUP($B454,Seqs!$A:$B,2,0),AG454,1),"")</f>
        <v>C</v>
      </c>
      <c r="AG454" s="3">
        <v>390</v>
      </c>
      <c r="AH454" s="3" t="str">
        <f>IFERROR(MID(VLOOKUP($B454,Seqs!$A:$B,2,0),AI454,1),"")</f>
        <v>V</v>
      </c>
      <c r="AI454" s="3">
        <v>392</v>
      </c>
      <c r="AJ454" s="3" t="str">
        <f>IFERROR(MID(VLOOKUP($B454,Seqs!$A:$B,2,0),AK454,1),"")</f>
        <v>N</v>
      </c>
      <c r="AK454" s="105">
        <v>396</v>
      </c>
      <c r="AL454" s="3" t="str">
        <f>IFERROR(MID(VLOOKUP($B454,Seqs!$A:$B,2,0),AM454,1),"")</f>
        <v>H</v>
      </c>
      <c r="AM454" s="3">
        <v>433</v>
      </c>
      <c r="AN454" s="3" t="str">
        <f>IFERROR(MID(VLOOKUP($B454,Seqs!$A:$B,2,0),AO454,1),"")</f>
        <v>E</v>
      </c>
      <c r="AO454" s="3">
        <v>447</v>
      </c>
      <c r="AP454" s="3" t="str">
        <f>IFERROR(MID(VLOOKUP($B454,Seqs!$A:$B,2,0),AQ454,1),"")</f>
        <v>A</v>
      </c>
      <c r="AQ454" s="3">
        <v>492</v>
      </c>
      <c r="AR454" s="3" t="str">
        <f>IFERROR(MID(VLOOKUP($B454,Seqs!$A:$B,2,0),AS454,1),"")</f>
        <v>S</v>
      </c>
      <c r="AS454" s="105">
        <v>514</v>
      </c>
      <c r="AT454" s="3" t="str">
        <f>IFERROR(MID(VLOOKUP($B454,Seqs!$A:$B,2,0),AU454,1),"")</f>
        <v>W</v>
      </c>
      <c r="AU454" s="3">
        <v>537</v>
      </c>
      <c r="AV454" s="3" t="str">
        <f>IFERROR(MID(VLOOKUP($B454,Seqs!$A:$B,2,0),AW454,1),"")</f>
        <v>T</v>
      </c>
      <c r="AW454" s="3">
        <v>538</v>
      </c>
      <c r="AX454" s="3" t="str">
        <f>IFERROR(MID(VLOOKUP($B454,Seqs!$A:$B,2,0),AY454,1),"")</f>
        <v>R</v>
      </c>
      <c r="AY454" s="3">
        <v>551</v>
      </c>
      <c r="AZ454" s="78" t="str">
        <f>VLOOKUP(B454,Classification!A:D,2,0)</f>
        <v>F</v>
      </c>
      <c r="BA454" s="94" t="str">
        <f>VLOOKUP(B454,Classification!A:D,4,0)</f>
        <v>Frizzled</v>
      </c>
      <c r="BB454" s="92" t="b">
        <f t="shared" si="1190"/>
        <v>1</v>
      </c>
      <c r="BC454" s="23">
        <f t="shared" si="1187"/>
        <v>248</v>
      </c>
      <c r="BD454" s="74" t="s">
        <v>23</v>
      </c>
      <c r="BE454" s="3" t="s">
        <v>1368</v>
      </c>
      <c r="BF454" s="118">
        <v>2.6</v>
      </c>
      <c r="BG454" s="49" t="s">
        <v>1371</v>
      </c>
      <c r="BH454" s="49" t="s">
        <v>1371</v>
      </c>
      <c r="BI454" s="3"/>
      <c r="BJ454" s="75" t="s">
        <v>1281</v>
      </c>
      <c r="BK454" s="57" t="s">
        <v>1281</v>
      </c>
      <c r="BL454" s="57" t="s">
        <v>1281</v>
      </c>
      <c r="BM454" s="57" t="s">
        <v>1281</v>
      </c>
      <c r="BN454" s="57" t="s">
        <v>1281</v>
      </c>
      <c r="BO454" s="57" t="s">
        <v>1281</v>
      </c>
      <c r="BP454" s="57" t="s">
        <v>1281</v>
      </c>
      <c r="BQ454" s="57" t="s">
        <v>1281</v>
      </c>
      <c r="BR454" s="57" t="s">
        <v>1281</v>
      </c>
      <c r="BS454" s="57" t="s">
        <v>1281</v>
      </c>
      <c r="BT454" s="57" t="s">
        <v>1281</v>
      </c>
      <c r="BU454" s="57" t="s">
        <v>1281</v>
      </c>
      <c r="BV454" s="75">
        <f>E454</f>
        <v>223</v>
      </c>
      <c r="BW454" s="71">
        <f>I454</f>
        <v>256</v>
      </c>
      <c r="BX454" s="72">
        <f>M454</f>
        <v>261</v>
      </c>
      <c r="BY454" s="71" t="str">
        <f>Q454</f>
        <v>-</v>
      </c>
      <c r="BZ454" s="72">
        <f>U454</f>
        <v>312</v>
      </c>
      <c r="CA454" s="71" t="str">
        <f>Y454</f>
        <v>-</v>
      </c>
      <c r="CB454" s="72">
        <f>AC454</f>
        <v>356</v>
      </c>
      <c r="CC454" s="71">
        <f>AG454</f>
        <v>390</v>
      </c>
      <c r="CD454" s="72">
        <f>AK454</f>
        <v>396</v>
      </c>
      <c r="CE454" s="71">
        <f>AO454</f>
        <v>447</v>
      </c>
      <c r="CF454" s="72">
        <f>AS454</f>
        <v>514</v>
      </c>
      <c r="CG454" s="71">
        <f>AW454</f>
        <v>538</v>
      </c>
      <c r="CH454" s="75">
        <f>G454</f>
        <v>255</v>
      </c>
      <c r="CI454" s="71">
        <f>K454</f>
        <v>260</v>
      </c>
      <c r="CJ454" s="72">
        <f>O454</f>
        <v>285</v>
      </c>
      <c r="CK454" s="72" t="str">
        <f>S454</f>
        <v>-</v>
      </c>
      <c r="CL454" s="72">
        <f>W454</f>
        <v>345</v>
      </c>
      <c r="CM454" s="72" t="str">
        <f>AA454</f>
        <v>-</v>
      </c>
      <c r="CN454" s="72">
        <f>AE454</f>
        <v>379</v>
      </c>
      <c r="CO454" s="72">
        <f>AI454</f>
        <v>392</v>
      </c>
      <c r="CP454" s="72">
        <f>AM454</f>
        <v>433</v>
      </c>
      <c r="CQ454" s="72">
        <f>AQ454</f>
        <v>492</v>
      </c>
      <c r="CR454" s="72">
        <f>AU454</f>
        <v>537</v>
      </c>
      <c r="CS454" s="72">
        <f>AY454</f>
        <v>551</v>
      </c>
      <c r="CT454" s="23">
        <f>M454-K454</f>
        <v>1</v>
      </c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3"/>
      <c r="IN454" s="3"/>
      <c r="IO454" s="3"/>
      <c r="IP454" s="3"/>
      <c r="IQ454" s="3"/>
      <c r="IR454" s="3"/>
      <c r="IS454" s="3"/>
      <c r="IT454" s="3"/>
      <c r="IU454" s="3"/>
      <c r="IV454" s="3"/>
      <c r="IW454" s="3"/>
      <c r="IX454" s="3"/>
      <c r="IY454" s="3"/>
      <c r="IZ454" s="3"/>
      <c r="JA454" s="3"/>
      <c r="JB454" s="3"/>
      <c r="JC454" s="3"/>
      <c r="JD454" s="3"/>
      <c r="JE454" s="3"/>
      <c r="JF454" s="3"/>
      <c r="JG454" s="3"/>
      <c r="JH454" s="3"/>
      <c r="JI454" s="3"/>
      <c r="JJ454" s="3"/>
      <c r="JK454" s="3"/>
      <c r="JL454" s="3"/>
      <c r="JM454" s="3"/>
      <c r="JN454" s="3"/>
      <c r="JO454" s="3"/>
      <c r="JP454" s="3"/>
      <c r="JQ454" s="3"/>
      <c r="JR454" s="3"/>
      <c r="JS454" s="3"/>
      <c r="JT454" s="3"/>
      <c r="JU454" s="3"/>
      <c r="JV454" s="3"/>
      <c r="JW454" s="3"/>
      <c r="JX454" s="3"/>
      <c r="JY454" s="3"/>
      <c r="JZ454" s="3"/>
      <c r="KA454" s="3"/>
      <c r="KB454" s="3"/>
      <c r="KC454" s="3"/>
      <c r="KD454" s="3"/>
      <c r="KE454" s="3"/>
      <c r="KF454" s="3"/>
      <c r="KG454" s="3"/>
      <c r="KH454" s="3"/>
      <c r="KI454" s="3"/>
      <c r="KJ454" s="3"/>
      <c r="KK454" s="3"/>
      <c r="KL454" s="3"/>
      <c r="KM454" s="3"/>
      <c r="KN454" s="3"/>
      <c r="KO454" s="3"/>
      <c r="KP454" s="3"/>
      <c r="KQ454" s="3"/>
      <c r="KR454" s="3"/>
      <c r="KS454" s="3"/>
      <c r="KT454" s="3"/>
      <c r="KU454" s="3"/>
      <c r="KV454" s="3"/>
      <c r="KW454" s="3"/>
      <c r="KX454" s="3"/>
      <c r="KY454" s="3"/>
      <c r="KZ454" s="3"/>
      <c r="LA454" s="3"/>
      <c r="LB454" s="3"/>
      <c r="LC454" s="3"/>
      <c r="LD454" s="3"/>
      <c r="LE454" s="3"/>
      <c r="LF454" s="3"/>
      <c r="LG454" s="3"/>
      <c r="LH454" s="3"/>
      <c r="LI454" s="3"/>
      <c r="LJ454" s="3"/>
      <c r="LK454" s="3"/>
      <c r="LL454" s="3"/>
      <c r="LM454" s="3"/>
      <c r="LN454" s="3"/>
      <c r="LO454" s="3"/>
      <c r="LP454" s="3"/>
      <c r="LQ454" s="3"/>
      <c r="LR454" s="3"/>
      <c r="LS454" s="3"/>
      <c r="LT454" s="3"/>
      <c r="LU454" s="3"/>
      <c r="LV454" s="3"/>
      <c r="LW454" s="3"/>
      <c r="LX454" s="3"/>
      <c r="LY454" s="3"/>
      <c r="LZ454" s="3"/>
      <c r="MA454" s="3"/>
      <c r="MB454" s="3"/>
      <c r="MC454" s="3"/>
      <c r="MD454" s="3"/>
      <c r="ME454" s="3"/>
      <c r="MF454" s="3"/>
      <c r="MG454" s="3"/>
      <c r="MH454" s="3"/>
      <c r="MI454" s="3"/>
      <c r="MJ454" s="3"/>
      <c r="MK454" s="3"/>
      <c r="ML454" s="3"/>
      <c r="MM454" s="3"/>
      <c r="MN454" s="3"/>
      <c r="MO454" s="3"/>
      <c r="MP454" s="3"/>
      <c r="MQ454" s="3"/>
      <c r="MR454" s="3"/>
      <c r="MS454" s="3"/>
      <c r="MT454" s="3"/>
      <c r="MU454" s="3"/>
      <c r="MV454" s="3"/>
      <c r="MW454" s="3"/>
      <c r="MX454" s="3"/>
      <c r="MY454" s="3"/>
      <c r="MZ454" s="3"/>
      <c r="NA454" s="3"/>
      <c r="NB454" s="3"/>
      <c r="NC454" s="3"/>
      <c r="ND454" s="3"/>
      <c r="NE454" s="3"/>
      <c r="NF454" s="3"/>
      <c r="NG454" s="3"/>
      <c r="NH454" s="3"/>
      <c r="NI454" s="3"/>
      <c r="NJ454" s="3"/>
      <c r="NK454" s="3"/>
      <c r="NL454" s="3"/>
      <c r="NM454" s="3"/>
      <c r="NN454" s="3"/>
      <c r="NO454" s="3"/>
      <c r="NP454" s="3"/>
      <c r="NQ454" s="3"/>
      <c r="NR454" s="3"/>
      <c r="NS454" s="3"/>
      <c r="NT454" s="3"/>
      <c r="NU454" s="3"/>
      <c r="NV454" s="3"/>
      <c r="NW454" s="3"/>
      <c r="NX454" s="3"/>
      <c r="NY454" s="3"/>
      <c r="NZ454" s="3"/>
      <c r="OA454" s="3"/>
      <c r="OB454" s="3"/>
      <c r="OC454" s="3"/>
      <c r="OD454" s="3"/>
      <c r="OE454" s="3"/>
      <c r="OF454" s="3"/>
      <c r="OG454" s="3"/>
      <c r="OH454" s="3"/>
      <c r="OI454" s="3"/>
      <c r="OJ454" s="3"/>
      <c r="OK454" s="3"/>
      <c r="OL454" s="3"/>
      <c r="OM454" s="3"/>
      <c r="ON454" s="3"/>
      <c r="OO454" s="3"/>
      <c r="OP454" s="3"/>
      <c r="OQ454" s="3"/>
      <c r="OR454" s="3"/>
      <c r="OS454" s="3"/>
      <c r="OT454" s="3"/>
      <c r="OU454" s="3"/>
      <c r="OV454" s="3"/>
      <c r="OW454" s="3"/>
      <c r="OX454" s="3"/>
      <c r="OY454" s="3"/>
      <c r="OZ454" s="3"/>
      <c r="PA454" s="3"/>
      <c r="PB454" s="3"/>
      <c r="PC454" s="3"/>
      <c r="PD454" s="3"/>
      <c r="PE454" s="3"/>
      <c r="PF454" s="3"/>
      <c r="PG454" s="3"/>
      <c r="PH454" s="3"/>
      <c r="PI454" s="3"/>
      <c r="PJ454" s="3"/>
      <c r="PK454" s="3"/>
      <c r="PL454" s="3"/>
      <c r="PM454" s="3"/>
      <c r="PN454" s="3"/>
      <c r="PO454" s="3"/>
      <c r="PP454" s="3"/>
      <c r="PQ454" s="3"/>
      <c r="PR454" s="3"/>
      <c r="PS454" s="3"/>
      <c r="PT454" s="3"/>
      <c r="PU454" s="3"/>
      <c r="PV454" s="3"/>
      <c r="PW454" s="3"/>
      <c r="PX454" s="3"/>
      <c r="PY454" s="3"/>
      <c r="PZ454" s="3"/>
      <c r="QA454" s="3"/>
      <c r="QB454" s="3"/>
      <c r="QC454" s="3"/>
      <c r="QD454" s="3"/>
      <c r="QE454" s="3"/>
      <c r="QF454" s="3"/>
      <c r="QG454" s="3"/>
      <c r="QH454" s="3"/>
      <c r="QI454" s="3"/>
      <c r="QJ454" s="3"/>
      <c r="QK454" s="3"/>
      <c r="QL454" s="3"/>
      <c r="QM454" s="3"/>
      <c r="QN454" s="3"/>
      <c r="QO454" s="3"/>
      <c r="QP454" s="3"/>
      <c r="QQ454" s="3"/>
      <c r="QR454" s="3"/>
      <c r="QS454" s="3"/>
      <c r="QT454" s="3"/>
      <c r="QU454" s="3"/>
      <c r="QV454" s="3"/>
      <c r="QW454" s="3"/>
      <c r="QX454" s="3"/>
      <c r="QY454" s="3"/>
      <c r="QZ454" s="3"/>
      <c r="RA454" s="3"/>
      <c r="RB454" s="3"/>
      <c r="RC454" s="3"/>
      <c r="RD454" s="3"/>
      <c r="RE454" s="3"/>
      <c r="RF454" s="3"/>
      <c r="RG454" s="3"/>
      <c r="RH454" s="3"/>
      <c r="RI454" s="3"/>
      <c r="RJ454" s="3"/>
      <c r="RK454" s="3"/>
      <c r="RL454" s="3"/>
      <c r="RM454" s="3"/>
      <c r="RN454" s="3"/>
      <c r="RO454" s="3"/>
      <c r="RP454" s="3"/>
      <c r="RQ454" s="3"/>
      <c r="RR454" s="3"/>
      <c r="RS454" s="3"/>
      <c r="RT454" s="3"/>
      <c r="RU454" s="3"/>
      <c r="RV454" s="3"/>
      <c r="RW454" s="3"/>
      <c r="RX454" s="3"/>
      <c r="RY454" s="3"/>
      <c r="RZ454" s="3"/>
      <c r="SA454" s="3"/>
      <c r="SB454" s="3"/>
      <c r="SC454" s="3"/>
      <c r="SD454" s="3"/>
      <c r="SE454" s="3"/>
      <c r="SF454" s="3"/>
      <c r="SG454" s="3"/>
      <c r="SH454" s="3"/>
      <c r="SI454" s="3"/>
      <c r="SJ454" s="3"/>
      <c r="SK454" s="3"/>
      <c r="SL454" s="3"/>
      <c r="SM454" s="3"/>
      <c r="SN454" s="3"/>
      <c r="SO454" s="3"/>
      <c r="SP454" s="3"/>
      <c r="SQ454" s="3"/>
      <c r="SR454" s="3"/>
      <c r="SS454" s="3"/>
      <c r="ST454" s="3"/>
      <c r="SU454" s="3"/>
      <c r="SV454" s="3"/>
      <c r="SW454" s="3"/>
      <c r="SX454" s="3"/>
      <c r="SY454" s="3"/>
      <c r="SZ454" s="3"/>
      <c r="TA454" s="3"/>
      <c r="TB454" s="3"/>
      <c r="TC454" s="3"/>
      <c r="TD454" s="3"/>
      <c r="TE454" s="3"/>
      <c r="TF454" s="3"/>
      <c r="TG454" s="3"/>
      <c r="TH454" s="3"/>
      <c r="TI454" s="3"/>
      <c r="TJ454" s="3"/>
      <c r="TK454" s="3"/>
      <c r="TL454" s="3"/>
      <c r="TM454" s="3"/>
      <c r="TN454" s="3"/>
      <c r="TO454" s="3"/>
      <c r="TP454" s="3"/>
      <c r="TQ454" s="3"/>
      <c r="TR454" s="3"/>
      <c r="TS454" s="3"/>
      <c r="TT454" s="3"/>
      <c r="TU454" s="3"/>
      <c r="TV454" s="3"/>
      <c r="TW454" s="3"/>
      <c r="TX454" s="3"/>
      <c r="TY454" s="3"/>
      <c r="TZ454" s="3"/>
      <c r="UA454" s="3"/>
      <c r="UB454" s="3"/>
      <c r="UC454" s="3"/>
      <c r="UD454" s="3"/>
      <c r="UE454" s="3"/>
      <c r="UF454" s="3"/>
      <c r="UG454" s="3"/>
      <c r="UH454" s="3"/>
      <c r="UI454" s="3"/>
      <c r="UJ454" s="3"/>
      <c r="UK454" s="3"/>
      <c r="UL454" s="3"/>
      <c r="UM454" s="3"/>
      <c r="UN454" s="3"/>
      <c r="UO454" s="3"/>
      <c r="UP454" s="3"/>
      <c r="UQ454" s="3"/>
      <c r="UR454" s="3"/>
      <c r="US454" s="3"/>
      <c r="UT454" s="3"/>
      <c r="UU454" s="3"/>
      <c r="UV454" s="3"/>
      <c r="UW454" s="3"/>
      <c r="UX454" s="3"/>
      <c r="UY454" s="3"/>
      <c r="UZ454" s="3"/>
      <c r="VA454" s="3"/>
      <c r="VB454" s="3"/>
      <c r="VC454" s="3"/>
      <c r="VD454" s="3"/>
      <c r="VE454" s="3"/>
      <c r="VF454" s="3"/>
      <c r="VG454" s="3"/>
      <c r="VH454" s="3"/>
      <c r="VI454" s="3"/>
      <c r="VJ454" s="3"/>
      <c r="VK454" s="3"/>
      <c r="VL454" s="3"/>
      <c r="VM454" s="3"/>
      <c r="VN454" s="3"/>
      <c r="VO454" s="3"/>
      <c r="VP454" s="3"/>
      <c r="VQ454" s="3"/>
      <c r="VR454" s="3"/>
      <c r="VS454" s="3"/>
      <c r="VT454" s="3"/>
      <c r="VU454" s="3"/>
      <c r="VV454" s="3"/>
      <c r="VW454" s="3"/>
      <c r="VX454" s="3"/>
      <c r="VY454" s="3"/>
      <c r="VZ454" s="3"/>
      <c r="WA454" s="3"/>
      <c r="WB454" s="3"/>
      <c r="WC454" s="3"/>
      <c r="WD454" s="3"/>
      <c r="WE454" s="3"/>
      <c r="WF454" s="3"/>
      <c r="WG454" s="3"/>
      <c r="WH454" s="3"/>
      <c r="WI454" s="3"/>
      <c r="WJ454" s="3"/>
      <c r="WK454" s="3"/>
      <c r="WL454" s="3"/>
      <c r="WM454" s="3"/>
      <c r="WN454" s="3"/>
      <c r="WO454" s="3"/>
      <c r="WP454" s="3"/>
      <c r="WQ454" s="3"/>
      <c r="WR454" s="3"/>
      <c r="WS454" s="3"/>
      <c r="WT454" s="3"/>
      <c r="WU454" s="3"/>
      <c r="WV454" s="3"/>
      <c r="WW454" s="3"/>
      <c r="WX454" s="3"/>
      <c r="WY454" s="3"/>
      <c r="WZ454" s="3"/>
      <c r="XA454" s="3"/>
      <c r="XB454" s="3"/>
      <c r="XC454" s="3"/>
      <c r="XD454" s="3"/>
      <c r="XE454" s="3"/>
      <c r="XF454" s="3"/>
      <c r="XG454" s="3"/>
      <c r="XH454" s="3"/>
      <c r="XI454" s="3"/>
      <c r="XJ454" s="3"/>
      <c r="XK454" s="3"/>
      <c r="XL454" s="3"/>
      <c r="XM454" s="3"/>
      <c r="XN454" s="3"/>
      <c r="XO454" s="3"/>
      <c r="XP454" s="3"/>
      <c r="XQ454" s="3"/>
      <c r="XR454" s="3"/>
      <c r="XS454" s="3"/>
      <c r="XT454" s="3"/>
      <c r="XU454" s="3"/>
      <c r="XV454" s="3"/>
      <c r="XW454" s="3"/>
      <c r="XX454" s="3"/>
      <c r="XY454" s="3"/>
      <c r="XZ454" s="3"/>
      <c r="YA454" s="3"/>
      <c r="YB454" s="3"/>
      <c r="YC454" s="3"/>
      <c r="YD454" s="3"/>
      <c r="YE454" s="3"/>
      <c r="YF454" s="3"/>
      <c r="YG454" s="3"/>
      <c r="YH454" s="3"/>
      <c r="YI454" s="3"/>
      <c r="YJ454" s="3"/>
      <c r="YK454" s="3"/>
      <c r="YL454" s="3"/>
      <c r="YM454" s="3"/>
      <c r="YN454" s="3"/>
      <c r="YO454" s="3"/>
      <c r="YP454" s="3"/>
      <c r="YQ454" s="3"/>
      <c r="YR454" s="3"/>
      <c r="YS454" s="3"/>
      <c r="YT454" s="3"/>
      <c r="YU454" s="3"/>
      <c r="YV454" s="3"/>
      <c r="YW454" s="3"/>
      <c r="YX454" s="3"/>
      <c r="YY454" s="3"/>
      <c r="YZ454" s="3"/>
      <c r="ZA454" s="3"/>
      <c r="ZB454" s="3"/>
      <c r="ZC454" s="3"/>
      <c r="ZD454" s="3"/>
      <c r="ZE454" s="3"/>
      <c r="ZF454" s="3"/>
      <c r="ZG454" s="3"/>
      <c r="ZH454" s="3"/>
      <c r="ZI454" s="3"/>
      <c r="ZJ454" s="3"/>
      <c r="ZK454" s="3"/>
      <c r="ZL454" s="3"/>
      <c r="ZM454" s="3"/>
      <c r="ZN454" s="3"/>
      <c r="ZO454" s="3"/>
      <c r="ZP454" s="3"/>
      <c r="ZQ454" s="3"/>
      <c r="ZR454" s="3"/>
      <c r="ZS454" s="3"/>
      <c r="ZT454" s="3"/>
      <c r="ZU454" s="3"/>
      <c r="ZV454" s="3"/>
      <c r="ZW454" s="3"/>
      <c r="ZX454" s="3"/>
      <c r="ZY454" s="3"/>
      <c r="ZZ454" s="3"/>
      <c r="AAA454" s="3"/>
      <c r="AAB454" s="3"/>
      <c r="AAC454" s="3"/>
      <c r="AAD454" s="3"/>
      <c r="AAE454" s="3"/>
      <c r="AAF454" s="3"/>
      <c r="AAG454" s="3"/>
      <c r="AAH454" s="3"/>
      <c r="AAI454" s="3"/>
      <c r="AAJ454" s="3"/>
      <c r="AAK454" s="3"/>
      <c r="AAL454" s="3"/>
      <c r="AAM454" s="3"/>
      <c r="AAN454" s="3"/>
      <c r="AAO454" s="3"/>
      <c r="AAP454" s="3"/>
      <c r="AAQ454" s="3"/>
      <c r="AAR454" s="3"/>
      <c r="AAS454" s="3"/>
      <c r="AAT454" s="3"/>
      <c r="AAU454" s="3"/>
      <c r="AAV454" s="3"/>
      <c r="AAW454" s="3"/>
      <c r="AAX454" s="3"/>
      <c r="AAY454" s="3"/>
      <c r="AAZ454" s="3"/>
      <c r="ABA454" s="3"/>
      <c r="ABB454" s="3"/>
      <c r="ABC454" s="3"/>
      <c r="ABD454" s="3"/>
      <c r="ABE454" s="3"/>
      <c r="ABF454" s="3"/>
      <c r="ABG454" s="3"/>
      <c r="ABH454" s="3"/>
      <c r="ABI454" s="3"/>
      <c r="ABJ454" s="3"/>
      <c r="ABK454" s="3"/>
      <c r="ABL454" s="3"/>
      <c r="ABM454" s="3"/>
      <c r="ABN454" s="3"/>
      <c r="ABO454" s="3"/>
      <c r="ABP454" s="3"/>
      <c r="ABQ454" s="3"/>
      <c r="ABR454" s="3"/>
      <c r="ABS454" s="3"/>
      <c r="ABT454" s="3"/>
      <c r="ABU454" s="3"/>
      <c r="ABV454" s="3"/>
      <c r="ABW454" s="3"/>
      <c r="ABX454" s="3"/>
      <c r="ABY454" s="3"/>
      <c r="ABZ454" s="3"/>
      <c r="ACA454" s="3"/>
      <c r="ACB454" s="3"/>
      <c r="ACC454" s="3"/>
      <c r="ACD454" s="3"/>
      <c r="ACE454" s="3"/>
      <c r="ACF454" s="3"/>
      <c r="ACG454" s="3"/>
      <c r="ACH454" s="3"/>
      <c r="ACI454" s="3"/>
      <c r="ACJ454" s="3"/>
      <c r="ACK454" s="3"/>
      <c r="ACL454" s="3"/>
      <c r="ACM454" s="3"/>
      <c r="ACN454" s="3"/>
      <c r="ACO454" s="3"/>
      <c r="ACP454" s="3"/>
      <c r="ACQ454" s="3"/>
      <c r="ACR454" s="3"/>
      <c r="ACS454" s="3"/>
      <c r="ACT454" s="3"/>
      <c r="ACU454" s="3"/>
      <c r="ACV454" s="3"/>
      <c r="ACW454" s="3"/>
      <c r="ACX454" s="3"/>
      <c r="ACY454" s="3"/>
      <c r="ACZ454" s="3"/>
      <c r="ADA454" s="3"/>
      <c r="ADB454" s="3"/>
      <c r="ADC454" s="3"/>
      <c r="ADD454" s="3"/>
      <c r="ADE454" s="3"/>
      <c r="ADF454" s="3"/>
      <c r="ADG454" s="3"/>
      <c r="ADH454" s="3"/>
      <c r="ADI454" s="3"/>
      <c r="ADJ454" s="3"/>
      <c r="ADK454" s="3"/>
      <c r="ADL454" s="3"/>
      <c r="ADM454" s="3"/>
      <c r="ADN454" s="3"/>
      <c r="ADO454" s="3"/>
      <c r="ADP454" s="3"/>
      <c r="ADQ454" s="3"/>
      <c r="ADR454" s="3"/>
      <c r="ADS454" s="3"/>
      <c r="ADT454" s="3"/>
      <c r="ADU454" s="3"/>
      <c r="ADV454" s="3"/>
      <c r="ADW454" s="3"/>
      <c r="ADX454" s="3"/>
      <c r="ADY454" s="3"/>
      <c r="ADZ454" s="3"/>
      <c r="AEA454" s="3"/>
      <c r="AEB454" s="3"/>
      <c r="AEC454" s="3"/>
      <c r="AED454" s="3"/>
      <c r="AEE454" s="3"/>
      <c r="AEF454" s="3"/>
      <c r="AEG454" s="3"/>
      <c r="AEH454" s="3"/>
      <c r="AEI454" s="3"/>
      <c r="AEJ454" s="3"/>
      <c r="AEK454" s="3"/>
      <c r="AEL454" s="3"/>
      <c r="AEM454" s="3"/>
      <c r="AEN454" s="3"/>
      <c r="AEO454" s="3"/>
      <c r="AEP454" s="3"/>
      <c r="AEQ454" s="3"/>
      <c r="AER454" s="3"/>
      <c r="AES454" s="3"/>
      <c r="AET454" s="3"/>
      <c r="AEU454" s="3"/>
      <c r="AEV454" s="3"/>
      <c r="AEW454" s="3"/>
      <c r="AEX454" s="3"/>
      <c r="AEY454" s="3"/>
      <c r="AEZ454" s="3"/>
      <c r="AFA454" s="3"/>
      <c r="AFB454" s="3"/>
      <c r="AFC454" s="3"/>
      <c r="AFD454" s="3"/>
      <c r="AFE454" s="3"/>
      <c r="AFF454" s="3"/>
      <c r="AFG454" s="3"/>
      <c r="AFH454" s="3"/>
      <c r="AFI454" s="3"/>
      <c r="AFJ454" s="3"/>
      <c r="AFK454" s="3"/>
      <c r="AFL454" s="3"/>
      <c r="AFM454" s="3"/>
      <c r="AFN454" s="3"/>
      <c r="AFO454" s="3"/>
      <c r="AFP454" s="3"/>
      <c r="AFQ454" s="3"/>
      <c r="AFR454" s="3"/>
      <c r="AFS454" s="3"/>
      <c r="AFT454" s="3"/>
      <c r="AFU454" s="3"/>
      <c r="AFV454" s="3"/>
      <c r="AFW454" s="3"/>
      <c r="AFX454" s="3"/>
      <c r="AFY454" s="3"/>
      <c r="AFZ454" s="3"/>
      <c r="AGA454" s="3"/>
      <c r="AGB454" s="3"/>
      <c r="AGC454" s="3"/>
      <c r="AGD454" s="3"/>
      <c r="AGE454" s="3"/>
      <c r="AGF454" s="3"/>
      <c r="AGG454" s="3"/>
      <c r="AGH454" s="3"/>
      <c r="AGI454" s="3"/>
      <c r="AGJ454" s="3"/>
      <c r="AGK454" s="3"/>
      <c r="AGL454" s="3"/>
      <c r="AGM454" s="3"/>
      <c r="AGN454" s="3"/>
      <c r="AGO454" s="3"/>
      <c r="AGP454" s="3"/>
      <c r="AGQ454" s="3"/>
      <c r="AGR454" s="3"/>
      <c r="AGS454" s="3"/>
      <c r="AGT454" s="3"/>
      <c r="AGU454" s="3"/>
      <c r="AGV454" s="3"/>
      <c r="AGW454" s="3"/>
      <c r="AGX454" s="3"/>
      <c r="AGY454" s="3"/>
      <c r="AGZ454" s="3"/>
      <c r="AHA454" s="3"/>
      <c r="AHB454" s="3"/>
      <c r="AHC454" s="3"/>
      <c r="AHD454" s="3"/>
      <c r="AHE454" s="3"/>
      <c r="AHF454" s="3"/>
      <c r="AHG454" s="3"/>
      <c r="AHH454" s="3"/>
      <c r="AHI454" s="3"/>
      <c r="AHJ454" s="3"/>
      <c r="AHK454" s="3"/>
      <c r="AHL454" s="3"/>
      <c r="AHM454" s="3"/>
      <c r="AHN454" s="3"/>
      <c r="AHO454" s="3"/>
      <c r="AHP454" s="3"/>
      <c r="AHQ454" s="3"/>
      <c r="AHR454" s="3"/>
      <c r="AHS454" s="3"/>
      <c r="AHT454" s="3"/>
      <c r="AHU454" s="3"/>
      <c r="AHV454" s="3"/>
      <c r="AHW454" s="3"/>
      <c r="AHX454" s="3"/>
      <c r="AHY454" s="3"/>
      <c r="AHZ454" s="3"/>
      <c r="AIA454" s="3"/>
      <c r="AIB454" s="3"/>
      <c r="AIC454" s="3"/>
      <c r="AID454" s="3"/>
      <c r="AIE454" s="3"/>
      <c r="AIF454" s="3"/>
      <c r="AIG454" s="3"/>
      <c r="AIH454" s="3"/>
      <c r="AII454" s="3"/>
      <c r="AIJ454" s="3"/>
      <c r="AIK454" s="3"/>
      <c r="AIL454" s="3"/>
      <c r="AIM454" s="3"/>
      <c r="AIN454" s="3"/>
      <c r="AIO454" s="3"/>
      <c r="AIP454" s="3"/>
      <c r="AIQ454" s="3"/>
      <c r="AIR454" s="3"/>
      <c r="AIS454" s="3"/>
      <c r="AIT454" s="3"/>
      <c r="AIU454" s="3"/>
      <c r="AIV454" s="3"/>
      <c r="AIW454" s="3"/>
      <c r="AIX454" s="3"/>
      <c r="AIY454" s="3"/>
      <c r="AIZ454" s="3"/>
      <c r="AJA454" s="3"/>
      <c r="AJB454" s="3"/>
      <c r="AJC454" s="3"/>
      <c r="AJD454" s="3"/>
      <c r="AJE454" s="3"/>
      <c r="AJF454" s="3"/>
      <c r="AJG454" s="3"/>
      <c r="AJH454" s="3"/>
      <c r="AJI454" s="3"/>
      <c r="AJJ454" s="3"/>
      <c r="AJK454" s="3"/>
      <c r="AJL454" s="3"/>
      <c r="AJM454" s="3"/>
      <c r="AJN454" s="3"/>
      <c r="AJO454" s="3"/>
      <c r="AJP454" s="3"/>
      <c r="AJQ454" s="3"/>
      <c r="AJR454" s="3"/>
      <c r="AJS454" s="3"/>
      <c r="AJT454" s="3"/>
      <c r="AJU454" s="3"/>
      <c r="AJV454" s="3"/>
      <c r="AJW454" s="3"/>
      <c r="AJX454" s="3"/>
      <c r="AJY454" s="3"/>
      <c r="AJZ454" s="3"/>
      <c r="AKA454" s="3"/>
      <c r="AKB454" s="3"/>
      <c r="AKC454" s="3"/>
      <c r="AKD454" s="3"/>
      <c r="AKE454" s="3"/>
      <c r="AKF454" s="3"/>
      <c r="AKG454" s="3"/>
      <c r="AKH454" s="3"/>
      <c r="AKI454" s="3"/>
      <c r="AKJ454" s="3"/>
      <c r="AKK454" s="3"/>
      <c r="AKL454" s="3"/>
      <c r="AKM454" s="3"/>
      <c r="AKN454" s="3"/>
      <c r="AKO454" s="3"/>
      <c r="AKP454" s="3"/>
      <c r="AKQ454" s="3"/>
      <c r="AKR454" s="3"/>
      <c r="AKS454" s="3"/>
      <c r="AKT454" s="3"/>
      <c r="AKU454" s="3"/>
      <c r="AKV454" s="3"/>
      <c r="AKW454" s="3"/>
      <c r="AKX454" s="3"/>
      <c r="AKY454" s="3"/>
      <c r="AKZ454" s="3"/>
      <c r="ALA454" s="3"/>
      <c r="ALB454" s="3"/>
      <c r="ALC454" s="3"/>
      <c r="ALD454" s="3"/>
      <c r="ALE454" s="3"/>
      <c r="ALF454" s="3"/>
      <c r="ALG454" s="3"/>
      <c r="ALH454" s="3"/>
      <c r="ALI454" s="3"/>
      <c r="ALJ454" s="3"/>
      <c r="ALK454" s="3"/>
      <c r="ALL454" s="3"/>
      <c r="ALM454" s="3"/>
      <c r="ALN454" s="3"/>
      <c r="ALO454" s="3"/>
      <c r="ALP454" s="3"/>
      <c r="ALQ454" s="3"/>
      <c r="ALR454" s="3"/>
      <c r="ALS454" s="3"/>
      <c r="ALT454" s="3"/>
      <c r="ALU454" s="3"/>
      <c r="ALV454" s="3"/>
      <c r="ALW454" s="3"/>
      <c r="ALX454" s="3"/>
      <c r="ALY454" s="3"/>
      <c r="ALZ454" s="3"/>
      <c r="AMA454" s="3"/>
      <c r="AMB454" s="3"/>
      <c r="AMC454" s="3"/>
      <c r="AMD454" s="3"/>
      <c r="AME454" s="3"/>
      <c r="AMF454" s="3"/>
      <c r="AMG454" s="3"/>
      <c r="AMH454" s="3"/>
      <c r="AMI454" s="3"/>
      <c r="AMJ454" s="3"/>
      <c r="AMK454" s="3"/>
      <c r="AML454" s="3"/>
      <c r="AMM454" s="3"/>
      <c r="AMN454" s="3"/>
      <c r="AMO454" s="3"/>
      <c r="AMP454" s="1"/>
    </row>
    <row r="455" spans="1:1030" s="6" customFormat="1" x14ac:dyDescent="0.2">
      <c r="A455" s="3" t="str">
        <f>CONCATENATE(B455,"_",C455)</f>
        <v>smo_human_5L7D</v>
      </c>
      <c r="B455" s="3" t="s">
        <v>33</v>
      </c>
      <c r="C455" s="3" t="s">
        <v>1346</v>
      </c>
      <c r="D455" s="3" t="str">
        <f>IFERROR(MID(VLOOKUP($B455,Seqs!$A:$B,2,0),E455,1),"")</f>
        <v>T</v>
      </c>
      <c r="E455" s="105">
        <v>223</v>
      </c>
      <c r="F455" s="3" t="str">
        <f>IFERROR(MID(VLOOKUP($B455,Seqs!$A:$B,2,0),G455,1),"")</f>
        <v>D</v>
      </c>
      <c r="G455" s="3">
        <v>255</v>
      </c>
      <c r="H455" s="3" t="str">
        <f>IFERROR(MID(VLOOKUP($B455,Seqs!$A:$B,2,0),I455,1),"")</f>
        <v>W</v>
      </c>
      <c r="I455" s="23">
        <v>256</v>
      </c>
      <c r="J455" s="3" t="str">
        <f>IFERROR(MID(VLOOKUP($B455,Seqs!$A:$B,2,0),K455,1),"")</f>
        <v>N</v>
      </c>
      <c r="K455" s="23">
        <v>260</v>
      </c>
      <c r="L455" s="3" t="str">
        <f>IFERROR(MID(VLOOKUP($B455,Seqs!$A:$B,2,0),M455,1),"")</f>
        <v>R</v>
      </c>
      <c r="M455" s="3">
        <v>261</v>
      </c>
      <c r="N455" s="3" t="str">
        <f>IFERROR(MID(VLOOKUP($B455,Seqs!$A:$B,2,0),O455,1),"")</f>
        <v>F</v>
      </c>
      <c r="O455" s="3">
        <v>285</v>
      </c>
      <c r="P455" s="3" t="str">
        <f>IFERROR(MID(VLOOKUP($B455,Seqs!$A:$B,2,0),Q455,1),"")</f>
        <v/>
      </c>
      <c r="Q455" s="3" t="s">
        <v>23</v>
      </c>
      <c r="R455" s="3" t="str">
        <f>IFERROR(MID(VLOOKUP($B455,Seqs!$A:$B,2,0),S455,1),"")</f>
        <v/>
      </c>
      <c r="S455" s="3" t="s">
        <v>23</v>
      </c>
      <c r="T455" s="3" t="str">
        <f>IFERROR(MID(VLOOKUP($B455,Seqs!$A:$B,2,0),U455,1),"")</f>
        <v>L</v>
      </c>
      <c r="U455" s="3">
        <v>312</v>
      </c>
      <c r="V455" s="3" t="str">
        <f>IFERROR(MID(VLOOKUP($B455,Seqs!$A:$B,2,0),W455,1),"")</f>
        <v>L</v>
      </c>
      <c r="W455" s="3">
        <v>346</v>
      </c>
      <c r="X455" s="3" t="str">
        <f>IFERROR(MID(VLOOKUP($B455,Seqs!$A:$B,2,0),Y455,1),"")</f>
        <v/>
      </c>
      <c r="Y455" s="3" t="s">
        <v>23</v>
      </c>
      <c r="Z455" s="3" t="str">
        <f>IFERROR(MID(VLOOKUP($B455,Seqs!$A:$B,2,0),AA455,1),"")</f>
        <v/>
      </c>
      <c r="AA455" s="3" t="s">
        <v>23</v>
      </c>
      <c r="AB455" s="3" t="str">
        <f>IFERROR(MID(VLOOKUP($B455,Seqs!$A:$B,2,0),AC455,1),"")</f>
        <v>K</v>
      </c>
      <c r="AC455" s="9">
        <v>356</v>
      </c>
      <c r="AD455" s="3" t="str">
        <f>IFERROR(MID(VLOOKUP($B455,Seqs!$A:$B,2,0),AE455,1),"")</f>
        <v>V</v>
      </c>
      <c r="AE455" s="3">
        <v>378</v>
      </c>
      <c r="AF455" s="3" t="str">
        <f>IFERROR(MID(VLOOKUP($B455,Seqs!$A:$B,2,0),AG455,1),"")</f>
        <v>C</v>
      </c>
      <c r="AG455" s="3">
        <v>390</v>
      </c>
      <c r="AH455" s="3" t="str">
        <f>IFERROR(MID(VLOOKUP($B455,Seqs!$A:$B,2,0),AI455,1),"")</f>
        <v>V</v>
      </c>
      <c r="AI455" s="3">
        <v>392</v>
      </c>
      <c r="AJ455" s="3" t="str">
        <f>IFERROR(MID(VLOOKUP($B455,Seqs!$A:$B,2,0),AK455,1),"")</f>
        <v>N</v>
      </c>
      <c r="AK455" s="105">
        <v>396</v>
      </c>
      <c r="AL455" s="3" t="str">
        <f>IFERROR(MID(VLOOKUP($B455,Seqs!$A:$B,2,0),AM455,1),"")</f>
        <v>S</v>
      </c>
      <c r="AM455" s="3">
        <v>428</v>
      </c>
      <c r="AN455" s="3" t="str">
        <f>IFERROR(MID(VLOOKUP($B455,Seqs!$A:$B,2,0),AO455,1),"")</f>
        <v>E</v>
      </c>
      <c r="AO455" s="3">
        <v>447</v>
      </c>
      <c r="AP455" s="3" t="str">
        <f>IFERROR(MID(VLOOKUP($B455,Seqs!$A:$B,2,0),AQ455,1),"")</f>
        <v>I</v>
      </c>
      <c r="AQ455" s="3">
        <v>496</v>
      </c>
      <c r="AR455" s="3" t="str">
        <f>IFERROR(MID(VLOOKUP($B455,Seqs!$A:$B,2,0),AS455,1),"")</f>
        <v>S</v>
      </c>
      <c r="AS455" s="105">
        <v>514</v>
      </c>
      <c r="AT455" s="3" t="str">
        <f>IFERROR(MID(VLOOKUP($B455,Seqs!$A:$B,2,0),AU455,1),"")</f>
        <v>W</v>
      </c>
      <c r="AU455" s="3">
        <v>537</v>
      </c>
      <c r="AV455" s="3" t="str">
        <f>IFERROR(MID(VLOOKUP($B455,Seqs!$A:$B,2,0),AW455,1),"")</f>
        <v>T</v>
      </c>
      <c r="AW455" s="3">
        <v>538</v>
      </c>
      <c r="AX455" s="3" t="str">
        <f>IFERROR(MID(VLOOKUP($B455,Seqs!$A:$B,2,0),AY455,1),"")</f>
        <v>T</v>
      </c>
      <c r="AY455" s="3">
        <v>553</v>
      </c>
      <c r="AZ455" s="78" t="str">
        <f>VLOOKUP(B455,Classification!A:D,2,0)</f>
        <v>F</v>
      </c>
      <c r="BA455" s="94" t="str">
        <f>VLOOKUP(B455,Classification!A:D,4,0)</f>
        <v>Frizzled</v>
      </c>
      <c r="BB455" s="92" t="b">
        <f t="shared" si="1190"/>
        <v>1</v>
      </c>
      <c r="BC455" s="23">
        <f t="shared" si="1187"/>
        <v>249</v>
      </c>
      <c r="BD455" s="74" t="s">
        <v>1370</v>
      </c>
      <c r="BE455" s="3" t="s">
        <v>1368</v>
      </c>
      <c r="BF455" s="118">
        <v>3.2</v>
      </c>
      <c r="BG455" s="49" t="s">
        <v>1275</v>
      </c>
      <c r="BH455" s="49" t="s">
        <v>1371</v>
      </c>
      <c r="BI455" s="3"/>
      <c r="BJ455" s="75" t="s">
        <v>1281</v>
      </c>
      <c r="BK455" s="57" t="s">
        <v>1281</v>
      </c>
      <c r="BL455" s="57" t="s">
        <v>1281</v>
      </c>
      <c r="BM455" s="57" t="s">
        <v>1281</v>
      </c>
      <c r="BN455" s="57" t="s">
        <v>1281</v>
      </c>
      <c r="BO455" s="57" t="s">
        <v>1281</v>
      </c>
      <c r="BP455" s="57" t="s">
        <v>1281</v>
      </c>
      <c r="BQ455" s="57" t="s">
        <v>1281</v>
      </c>
      <c r="BR455" s="57" t="s">
        <v>1281</v>
      </c>
      <c r="BS455" s="57" t="s">
        <v>1281</v>
      </c>
      <c r="BT455" s="57" t="s">
        <v>1281</v>
      </c>
      <c r="BU455" s="57" t="s">
        <v>1281</v>
      </c>
      <c r="BV455" s="75">
        <f>E455</f>
        <v>223</v>
      </c>
      <c r="BW455" s="71">
        <f>I455</f>
        <v>256</v>
      </c>
      <c r="BX455" s="72">
        <f>M455</f>
        <v>261</v>
      </c>
      <c r="BY455" s="71" t="str">
        <f>Q455</f>
        <v>-</v>
      </c>
      <c r="BZ455" s="72">
        <f>U455</f>
        <v>312</v>
      </c>
      <c r="CA455" s="71" t="str">
        <f>Y455</f>
        <v>-</v>
      </c>
      <c r="CB455" s="72">
        <f>AC455</f>
        <v>356</v>
      </c>
      <c r="CC455" s="71">
        <f>AG455</f>
        <v>390</v>
      </c>
      <c r="CD455" s="72">
        <f>AK455</f>
        <v>396</v>
      </c>
      <c r="CE455" s="71">
        <f>AO455</f>
        <v>447</v>
      </c>
      <c r="CF455" s="72">
        <f>AS455</f>
        <v>514</v>
      </c>
      <c r="CG455" s="71">
        <f>AW455</f>
        <v>538</v>
      </c>
      <c r="CH455" s="75">
        <f>G455</f>
        <v>255</v>
      </c>
      <c r="CI455" s="71">
        <f>K455</f>
        <v>260</v>
      </c>
      <c r="CJ455" s="72">
        <f>O455</f>
        <v>285</v>
      </c>
      <c r="CK455" s="72" t="str">
        <f>S455</f>
        <v>-</v>
      </c>
      <c r="CL455" s="72">
        <f>W455</f>
        <v>346</v>
      </c>
      <c r="CM455" s="72" t="str">
        <f>AA455</f>
        <v>-</v>
      </c>
      <c r="CN455" s="72">
        <f>AE455</f>
        <v>378</v>
      </c>
      <c r="CO455" s="72">
        <f>AI455</f>
        <v>392</v>
      </c>
      <c r="CP455" s="72">
        <f>AM455</f>
        <v>428</v>
      </c>
      <c r="CQ455" s="72">
        <f>AQ455</f>
        <v>496</v>
      </c>
      <c r="CR455" s="72">
        <f>AU455</f>
        <v>537</v>
      </c>
      <c r="CS455" s="72">
        <f>AY455</f>
        <v>553</v>
      </c>
      <c r="CT455" s="23">
        <f>M455-K455</f>
        <v>1</v>
      </c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3"/>
      <c r="IN455" s="3"/>
      <c r="IO455" s="3"/>
      <c r="IP455" s="3"/>
      <c r="IQ455" s="3"/>
      <c r="IR455" s="3"/>
      <c r="IS455" s="3"/>
      <c r="IT455" s="3"/>
      <c r="IU455" s="3"/>
      <c r="IV455" s="3"/>
      <c r="IW455" s="3"/>
      <c r="IX455" s="3"/>
      <c r="IY455" s="3"/>
      <c r="IZ455" s="3"/>
      <c r="JA455" s="3"/>
      <c r="JB455" s="3"/>
      <c r="JC455" s="3"/>
      <c r="JD455" s="3"/>
      <c r="JE455" s="3"/>
      <c r="JF455" s="3"/>
      <c r="JG455" s="3"/>
      <c r="JH455" s="3"/>
      <c r="JI455" s="3"/>
      <c r="JJ455" s="3"/>
      <c r="JK455" s="3"/>
      <c r="JL455" s="3"/>
      <c r="JM455" s="3"/>
      <c r="JN455" s="3"/>
      <c r="JO455" s="3"/>
      <c r="JP455" s="3"/>
      <c r="JQ455" s="3"/>
      <c r="JR455" s="3"/>
      <c r="JS455" s="3"/>
      <c r="JT455" s="3"/>
      <c r="JU455" s="3"/>
      <c r="JV455" s="3"/>
      <c r="JW455" s="3"/>
      <c r="JX455" s="3"/>
      <c r="JY455" s="3"/>
      <c r="JZ455" s="3"/>
      <c r="KA455" s="3"/>
      <c r="KB455" s="3"/>
      <c r="KC455" s="3"/>
      <c r="KD455" s="3"/>
      <c r="KE455" s="3"/>
      <c r="KF455" s="3"/>
      <c r="KG455" s="3"/>
      <c r="KH455" s="3"/>
      <c r="KI455" s="3"/>
      <c r="KJ455" s="3"/>
      <c r="KK455" s="3"/>
      <c r="KL455" s="3"/>
      <c r="KM455" s="3"/>
      <c r="KN455" s="3"/>
      <c r="KO455" s="3"/>
      <c r="KP455" s="3"/>
      <c r="KQ455" s="3"/>
      <c r="KR455" s="3"/>
      <c r="KS455" s="3"/>
      <c r="KT455" s="3"/>
      <c r="KU455" s="3"/>
      <c r="KV455" s="3"/>
      <c r="KW455" s="3"/>
      <c r="KX455" s="3"/>
      <c r="KY455" s="3"/>
      <c r="KZ455" s="3"/>
      <c r="LA455" s="3"/>
      <c r="LB455" s="3"/>
      <c r="LC455" s="3"/>
      <c r="LD455" s="3"/>
      <c r="LE455" s="3"/>
      <c r="LF455" s="3"/>
      <c r="LG455" s="3"/>
      <c r="LH455" s="3"/>
      <c r="LI455" s="3"/>
      <c r="LJ455" s="3"/>
      <c r="LK455" s="3"/>
      <c r="LL455" s="3"/>
      <c r="LM455" s="3"/>
      <c r="LN455" s="3"/>
      <c r="LO455" s="3"/>
      <c r="LP455" s="3"/>
      <c r="LQ455" s="3"/>
      <c r="LR455" s="3"/>
      <c r="LS455" s="3"/>
      <c r="LT455" s="3"/>
      <c r="LU455" s="3"/>
      <c r="LV455" s="3"/>
      <c r="LW455" s="3"/>
      <c r="LX455" s="3"/>
      <c r="LY455" s="3"/>
      <c r="LZ455" s="3"/>
      <c r="MA455" s="3"/>
      <c r="MB455" s="3"/>
      <c r="MC455" s="3"/>
      <c r="MD455" s="3"/>
      <c r="ME455" s="3"/>
      <c r="MF455" s="3"/>
      <c r="MG455" s="3"/>
      <c r="MH455" s="3"/>
      <c r="MI455" s="3"/>
      <c r="MJ455" s="3"/>
      <c r="MK455" s="3"/>
      <c r="ML455" s="3"/>
      <c r="MM455" s="3"/>
      <c r="MN455" s="3"/>
      <c r="MO455" s="3"/>
      <c r="MP455" s="3"/>
      <c r="MQ455" s="3"/>
      <c r="MR455" s="3"/>
      <c r="MS455" s="3"/>
      <c r="MT455" s="3"/>
      <c r="MU455" s="3"/>
      <c r="MV455" s="3"/>
      <c r="MW455" s="3"/>
      <c r="MX455" s="3"/>
      <c r="MY455" s="3"/>
      <c r="MZ455" s="3"/>
      <c r="NA455" s="3"/>
      <c r="NB455" s="3"/>
      <c r="NC455" s="3"/>
      <c r="ND455" s="3"/>
      <c r="NE455" s="3"/>
      <c r="NF455" s="3"/>
      <c r="NG455" s="3"/>
      <c r="NH455" s="3"/>
      <c r="NI455" s="3"/>
      <c r="NJ455" s="3"/>
      <c r="NK455" s="3"/>
      <c r="NL455" s="3"/>
      <c r="NM455" s="3"/>
      <c r="NN455" s="3"/>
      <c r="NO455" s="3"/>
      <c r="NP455" s="3"/>
      <c r="NQ455" s="3"/>
      <c r="NR455" s="3"/>
      <c r="NS455" s="3"/>
      <c r="NT455" s="3"/>
      <c r="NU455" s="3"/>
      <c r="NV455" s="3"/>
      <c r="NW455" s="3"/>
      <c r="NX455" s="3"/>
      <c r="NY455" s="3"/>
      <c r="NZ455" s="3"/>
      <c r="OA455" s="3"/>
      <c r="OB455" s="3"/>
      <c r="OC455" s="3"/>
      <c r="OD455" s="3"/>
      <c r="OE455" s="3"/>
      <c r="OF455" s="3"/>
      <c r="OG455" s="3"/>
      <c r="OH455" s="3"/>
      <c r="OI455" s="3"/>
      <c r="OJ455" s="3"/>
      <c r="OK455" s="3"/>
      <c r="OL455" s="3"/>
      <c r="OM455" s="3"/>
      <c r="ON455" s="3"/>
      <c r="OO455" s="3"/>
      <c r="OP455" s="3"/>
      <c r="OQ455" s="3"/>
      <c r="OR455" s="3"/>
      <c r="OS455" s="3"/>
      <c r="OT455" s="3"/>
      <c r="OU455" s="3"/>
      <c r="OV455" s="3"/>
      <c r="OW455" s="3"/>
      <c r="OX455" s="3"/>
      <c r="OY455" s="3"/>
      <c r="OZ455" s="3"/>
      <c r="PA455" s="3"/>
      <c r="PB455" s="3"/>
      <c r="PC455" s="3"/>
      <c r="PD455" s="3"/>
      <c r="PE455" s="3"/>
      <c r="PF455" s="3"/>
      <c r="PG455" s="3"/>
      <c r="PH455" s="3"/>
      <c r="PI455" s="3"/>
      <c r="PJ455" s="3"/>
      <c r="PK455" s="3"/>
      <c r="PL455" s="3"/>
      <c r="PM455" s="3"/>
      <c r="PN455" s="3"/>
      <c r="PO455" s="3"/>
      <c r="PP455" s="3"/>
      <c r="PQ455" s="3"/>
      <c r="PR455" s="3"/>
      <c r="PS455" s="3"/>
      <c r="PT455" s="3"/>
      <c r="PU455" s="3"/>
      <c r="PV455" s="3"/>
      <c r="PW455" s="3"/>
      <c r="PX455" s="3"/>
      <c r="PY455" s="3"/>
      <c r="PZ455" s="3"/>
      <c r="QA455" s="3"/>
      <c r="QB455" s="3"/>
      <c r="QC455" s="3"/>
      <c r="QD455" s="3"/>
      <c r="QE455" s="3"/>
      <c r="QF455" s="3"/>
      <c r="QG455" s="3"/>
      <c r="QH455" s="3"/>
      <c r="QI455" s="3"/>
      <c r="QJ455" s="3"/>
      <c r="QK455" s="3"/>
      <c r="QL455" s="3"/>
      <c r="QM455" s="3"/>
      <c r="QN455" s="3"/>
      <c r="QO455" s="3"/>
      <c r="QP455" s="3"/>
      <c r="QQ455" s="3"/>
      <c r="QR455" s="3"/>
      <c r="QS455" s="3"/>
      <c r="QT455" s="3"/>
      <c r="QU455" s="3"/>
      <c r="QV455" s="3"/>
      <c r="QW455" s="3"/>
      <c r="QX455" s="3"/>
      <c r="QY455" s="3"/>
      <c r="QZ455" s="3"/>
      <c r="RA455" s="3"/>
      <c r="RB455" s="3"/>
      <c r="RC455" s="3"/>
      <c r="RD455" s="3"/>
      <c r="RE455" s="3"/>
      <c r="RF455" s="3"/>
      <c r="RG455" s="3"/>
      <c r="RH455" s="3"/>
      <c r="RI455" s="3"/>
      <c r="RJ455" s="3"/>
      <c r="RK455" s="3"/>
      <c r="RL455" s="3"/>
      <c r="RM455" s="3"/>
      <c r="RN455" s="3"/>
      <c r="RO455" s="3"/>
      <c r="RP455" s="3"/>
      <c r="RQ455" s="3"/>
      <c r="RR455" s="3"/>
      <c r="RS455" s="3"/>
      <c r="RT455" s="3"/>
      <c r="RU455" s="3"/>
      <c r="RV455" s="3"/>
      <c r="RW455" s="3"/>
      <c r="RX455" s="3"/>
      <c r="RY455" s="3"/>
      <c r="RZ455" s="3"/>
      <c r="SA455" s="3"/>
      <c r="SB455" s="3"/>
      <c r="SC455" s="3"/>
      <c r="SD455" s="3"/>
      <c r="SE455" s="3"/>
      <c r="SF455" s="3"/>
      <c r="SG455" s="3"/>
      <c r="SH455" s="3"/>
      <c r="SI455" s="3"/>
      <c r="SJ455" s="3"/>
      <c r="SK455" s="3"/>
      <c r="SL455" s="3"/>
      <c r="SM455" s="3"/>
      <c r="SN455" s="3"/>
      <c r="SO455" s="3"/>
      <c r="SP455" s="3"/>
      <c r="SQ455" s="3"/>
      <c r="SR455" s="3"/>
      <c r="SS455" s="3"/>
      <c r="ST455" s="3"/>
      <c r="SU455" s="3"/>
      <c r="SV455" s="3"/>
      <c r="SW455" s="3"/>
      <c r="SX455" s="3"/>
      <c r="SY455" s="3"/>
      <c r="SZ455" s="3"/>
      <c r="TA455" s="3"/>
      <c r="TB455" s="3"/>
      <c r="TC455" s="3"/>
      <c r="TD455" s="3"/>
      <c r="TE455" s="3"/>
      <c r="TF455" s="3"/>
      <c r="TG455" s="3"/>
      <c r="TH455" s="3"/>
      <c r="TI455" s="3"/>
      <c r="TJ455" s="3"/>
      <c r="TK455" s="3"/>
      <c r="TL455" s="3"/>
      <c r="TM455" s="3"/>
      <c r="TN455" s="3"/>
      <c r="TO455" s="3"/>
      <c r="TP455" s="3"/>
      <c r="TQ455" s="3"/>
      <c r="TR455" s="3"/>
      <c r="TS455" s="3"/>
      <c r="TT455" s="3"/>
      <c r="TU455" s="3"/>
      <c r="TV455" s="3"/>
      <c r="TW455" s="3"/>
      <c r="TX455" s="3"/>
      <c r="TY455" s="3"/>
      <c r="TZ455" s="3"/>
      <c r="UA455" s="3"/>
      <c r="UB455" s="3"/>
      <c r="UC455" s="3"/>
      <c r="UD455" s="3"/>
      <c r="UE455" s="3"/>
      <c r="UF455" s="3"/>
      <c r="UG455" s="3"/>
      <c r="UH455" s="3"/>
      <c r="UI455" s="3"/>
      <c r="UJ455" s="3"/>
      <c r="UK455" s="3"/>
      <c r="UL455" s="3"/>
      <c r="UM455" s="3"/>
      <c r="UN455" s="3"/>
      <c r="UO455" s="3"/>
      <c r="UP455" s="3"/>
      <c r="UQ455" s="3"/>
      <c r="UR455" s="3"/>
      <c r="US455" s="3"/>
      <c r="UT455" s="3"/>
      <c r="UU455" s="3"/>
      <c r="UV455" s="3"/>
      <c r="UW455" s="3"/>
      <c r="UX455" s="3"/>
      <c r="UY455" s="3"/>
      <c r="UZ455" s="3"/>
      <c r="VA455" s="3"/>
      <c r="VB455" s="3"/>
      <c r="VC455" s="3"/>
      <c r="VD455" s="3"/>
      <c r="VE455" s="3"/>
      <c r="VF455" s="3"/>
      <c r="VG455" s="3"/>
      <c r="VH455" s="3"/>
      <c r="VI455" s="3"/>
      <c r="VJ455" s="3"/>
      <c r="VK455" s="3"/>
      <c r="VL455" s="3"/>
      <c r="VM455" s="3"/>
      <c r="VN455" s="3"/>
      <c r="VO455" s="3"/>
      <c r="VP455" s="3"/>
      <c r="VQ455" s="3"/>
      <c r="VR455" s="3"/>
      <c r="VS455" s="3"/>
      <c r="VT455" s="3"/>
      <c r="VU455" s="3"/>
      <c r="VV455" s="3"/>
      <c r="VW455" s="3"/>
      <c r="VX455" s="3"/>
      <c r="VY455" s="3"/>
      <c r="VZ455" s="3"/>
      <c r="WA455" s="3"/>
      <c r="WB455" s="3"/>
      <c r="WC455" s="3"/>
      <c r="WD455" s="3"/>
      <c r="WE455" s="3"/>
      <c r="WF455" s="3"/>
      <c r="WG455" s="3"/>
      <c r="WH455" s="3"/>
      <c r="WI455" s="3"/>
      <c r="WJ455" s="3"/>
      <c r="WK455" s="3"/>
      <c r="WL455" s="3"/>
      <c r="WM455" s="3"/>
      <c r="WN455" s="3"/>
      <c r="WO455" s="3"/>
      <c r="WP455" s="3"/>
      <c r="WQ455" s="3"/>
      <c r="WR455" s="3"/>
      <c r="WS455" s="3"/>
      <c r="WT455" s="3"/>
      <c r="WU455" s="3"/>
      <c r="WV455" s="3"/>
      <c r="WW455" s="3"/>
      <c r="WX455" s="3"/>
      <c r="WY455" s="3"/>
      <c r="WZ455" s="3"/>
      <c r="XA455" s="3"/>
      <c r="XB455" s="3"/>
      <c r="XC455" s="3"/>
      <c r="XD455" s="3"/>
      <c r="XE455" s="3"/>
      <c r="XF455" s="3"/>
      <c r="XG455" s="3"/>
      <c r="XH455" s="3"/>
      <c r="XI455" s="3"/>
      <c r="XJ455" s="3"/>
      <c r="XK455" s="3"/>
      <c r="XL455" s="3"/>
      <c r="XM455" s="3"/>
      <c r="XN455" s="3"/>
      <c r="XO455" s="3"/>
      <c r="XP455" s="3"/>
      <c r="XQ455" s="3"/>
      <c r="XR455" s="3"/>
      <c r="XS455" s="3"/>
      <c r="XT455" s="3"/>
      <c r="XU455" s="3"/>
      <c r="XV455" s="3"/>
      <c r="XW455" s="3"/>
      <c r="XX455" s="3"/>
      <c r="XY455" s="3"/>
      <c r="XZ455" s="3"/>
      <c r="YA455" s="3"/>
      <c r="YB455" s="3"/>
      <c r="YC455" s="3"/>
      <c r="YD455" s="3"/>
      <c r="YE455" s="3"/>
      <c r="YF455" s="3"/>
      <c r="YG455" s="3"/>
      <c r="YH455" s="3"/>
      <c r="YI455" s="3"/>
      <c r="YJ455" s="3"/>
      <c r="YK455" s="3"/>
      <c r="YL455" s="3"/>
      <c r="YM455" s="3"/>
      <c r="YN455" s="3"/>
      <c r="YO455" s="3"/>
      <c r="YP455" s="3"/>
      <c r="YQ455" s="3"/>
      <c r="YR455" s="3"/>
      <c r="YS455" s="3"/>
      <c r="YT455" s="3"/>
      <c r="YU455" s="3"/>
      <c r="YV455" s="3"/>
      <c r="YW455" s="3"/>
      <c r="YX455" s="3"/>
      <c r="YY455" s="3"/>
      <c r="YZ455" s="3"/>
      <c r="ZA455" s="3"/>
      <c r="ZB455" s="3"/>
      <c r="ZC455" s="3"/>
      <c r="ZD455" s="3"/>
      <c r="ZE455" s="3"/>
      <c r="ZF455" s="3"/>
      <c r="ZG455" s="3"/>
      <c r="ZH455" s="3"/>
      <c r="ZI455" s="3"/>
      <c r="ZJ455" s="3"/>
      <c r="ZK455" s="3"/>
      <c r="ZL455" s="3"/>
      <c r="ZM455" s="3"/>
      <c r="ZN455" s="3"/>
      <c r="ZO455" s="3"/>
      <c r="ZP455" s="3"/>
      <c r="ZQ455" s="3"/>
      <c r="ZR455" s="3"/>
      <c r="ZS455" s="3"/>
      <c r="ZT455" s="3"/>
      <c r="ZU455" s="3"/>
      <c r="ZV455" s="3"/>
      <c r="ZW455" s="3"/>
      <c r="ZX455" s="3"/>
      <c r="ZY455" s="3"/>
      <c r="ZZ455" s="3"/>
      <c r="AAA455" s="3"/>
      <c r="AAB455" s="3"/>
      <c r="AAC455" s="3"/>
      <c r="AAD455" s="3"/>
      <c r="AAE455" s="3"/>
      <c r="AAF455" s="3"/>
      <c r="AAG455" s="3"/>
      <c r="AAH455" s="3"/>
      <c r="AAI455" s="3"/>
      <c r="AAJ455" s="3"/>
      <c r="AAK455" s="3"/>
      <c r="AAL455" s="3"/>
      <c r="AAM455" s="3"/>
      <c r="AAN455" s="3"/>
      <c r="AAO455" s="3"/>
      <c r="AAP455" s="3"/>
      <c r="AAQ455" s="3"/>
      <c r="AAR455" s="3"/>
      <c r="AAS455" s="3"/>
      <c r="AAT455" s="3"/>
      <c r="AAU455" s="3"/>
      <c r="AAV455" s="3"/>
      <c r="AAW455" s="3"/>
      <c r="AAX455" s="3"/>
      <c r="AAY455" s="3"/>
      <c r="AAZ455" s="3"/>
      <c r="ABA455" s="3"/>
      <c r="ABB455" s="3"/>
      <c r="ABC455" s="3"/>
      <c r="ABD455" s="3"/>
      <c r="ABE455" s="3"/>
      <c r="ABF455" s="3"/>
      <c r="ABG455" s="3"/>
      <c r="ABH455" s="3"/>
      <c r="ABI455" s="3"/>
      <c r="ABJ455" s="3"/>
      <c r="ABK455" s="3"/>
      <c r="ABL455" s="3"/>
      <c r="ABM455" s="3"/>
      <c r="ABN455" s="3"/>
      <c r="ABO455" s="3"/>
      <c r="ABP455" s="3"/>
      <c r="ABQ455" s="3"/>
      <c r="ABR455" s="3"/>
      <c r="ABS455" s="3"/>
      <c r="ABT455" s="3"/>
      <c r="ABU455" s="3"/>
      <c r="ABV455" s="3"/>
      <c r="ABW455" s="3"/>
      <c r="ABX455" s="3"/>
      <c r="ABY455" s="3"/>
      <c r="ABZ455" s="3"/>
      <c r="ACA455" s="3"/>
      <c r="ACB455" s="3"/>
      <c r="ACC455" s="3"/>
      <c r="ACD455" s="3"/>
      <c r="ACE455" s="3"/>
      <c r="ACF455" s="3"/>
      <c r="ACG455" s="3"/>
      <c r="ACH455" s="3"/>
      <c r="ACI455" s="3"/>
      <c r="ACJ455" s="3"/>
      <c r="ACK455" s="3"/>
      <c r="ACL455" s="3"/>
      <c r="ACM455" s="3"/>
      <c r="ACN455" s="3"/>
      <c r="ACO455" s="3"/>
      <c r="ACP455" s="3"/>
      <c r="ACQ455" s="3"/>
      <c r="ACR455" s="3"/>
      <c r="ACS455" s="3"/>
      <c r="ACT455" s="3"/>
      <c r="ACU455" s="3"/>
      <c r="ACV455" s="3"/>
      <c r="ACW455" s="3"/>
      <c r="ACX455" s="3"/>
      <c r="ACY455" s="3"/>
      <c r="ACZ455" s="3"/>
      <c r="ADA455" s="3"/>
      <c r="ADB455" s="3"/>
      <c r="ADC455" s="3"/>
      <c r="ADD455" s="3"/>
      <c r="ADE455" s="3"/>
      <c r="ADF455" s="3"/>
      <c r="ADG455" s="3"/>
      <c r="ADH455" s="3"/>
      <c r="ADI455" s="3"/>
      <c r="ADJ455" s="3"/>
      <c r="ADK455" s="3"/>
      <c r="ADL455" s="3"/>
      <c r="ADM455" s="3"/>
      <c r="ADN455" s="3"/>
      <c r="ADO455" s="3"/>
      <c r="ADP455" s="3"/>
      <c r="ADQ455" s="3"/>
      <c r="ADR455" s="3"/>
      <c r="ADS455" s="3"/>
      <c r="ADT455" s="3"/>
      <c r="ADU455" s="3"/>
      <c r="ADV455" s="3"/>
      <c r="ADW455" s="3"/>
      <c r="ADX455" s="3"/>
      <c r="ADY455" s="3"/>
      <c r="ADZ455" s="3"/>
      <c r="AEA455" s="3"/>
      <c r="AEB455" s="3"/>
      <c r="AEC455" s="3"/>
      <c r="AED455" s="3"/>
      <c r="AEE455" s="3"/>
      <c r="AEF455" s="3"/>
      <c r="AEG455" s="3"/>
      <c r="AEH455" s="3"/>
      <c r="AEI455" s="3"/>
      <c r="AEJ455" s="3"/>
      <c r="AEK455" s="3"/>
      <c r="AEL455" s="3"/>
      <c r="AEM455" s="3"/>
      <c r="AEN455" s="3"/>
      <c r="AEO455" s="3"/>
      <c r="AEP455" s="3"/>
      <c r="AEQ455" s="3"/>
      <c r="AER455" s="3"/>
      <c r="AES455" s="3"/>
      <c r="AET455" s="3"/>
      <c r="AEU455" s="3"/>
      <c r="AEV455" s="3"/>
      <c r="AEW455" s="3"/>
      <c r="AEX455" s="3"/>
      <c r="AEY455" s="3"/>
      <c r="AEZ455" s="3"/>
      <c r="AFA455" s="3"/>
      <c r="AFB455" s="3"/>
      <c r="AFC455" s="3"/>
      <c r="AFD455" s="3"/>
      <c r="AFE455" s="3"/>
      <c r="AFF455" s="3"/>
      <c r="AFG455" s="3"/>
      <c r="AFH455" s="3"/>
      <c r="AFI455" s="3"/>
      <c r="AFJ455" s="3"/>
      <c r="AFK455" s="3"/>
      <c r="AFL455" s="3"/>
      <c r="AFM455" s="3"/>
      <c r="AFN455" s="3"/>
      <c r="AFO455" s="3"/>
      <c r="AFP455" s="3"/>
      <c r="AFQ455" s="3"/>
      <c r="AFR455" s="3"/>
      <c r="AFS455" s="3"/>
      <c r="AFT455" s="3"/>
      <c r="AFU455" s="3"/>
      <c r="AFV455" s="3"/>
      <c r="AFW455" s="3"/>
      <c r="AFX455" s="3"/>
      <c r="AFY455" s="3"/>
      <c r="AFZ455" s="3"/>
      <c r="AGA455" s="3"/>
      <c r="AGB455" s="3"/>
      <c r="AGC455" s="3"/>
      <c r="AGD455" s="3"/>
      <c r="AGE455" s="3"/>
      <c r="AGF455" s="3"/>
      <c r="AGG455" s="3"/>
      <c r="AGH455" s="3"/>
      <c r="AGI455" s="3"/>
      <c r="AGJ455" s="3"/>
      <c r="AGK455" s="3"/>
      <c r="AGL455" s="3"/>
      <c r="AGM455" s="3"/>
      <c r="AGN455" s="3"/>
      <c r="AGO455" s="3"/>
      <c r="AGP455" s="3"/>
      <c r="AGQ455" s="3"/>
      <c r="AGR455" s="3"/>
      <c r="AGS455" s="3"/>
      <c r="AGT455" s="3"/>
      <c r="AGU455" s="3"/>
      <c r="AGV455" s="3"/>
      <c r="AGW455" s="3"/>
      <c r="AGX455" s="3"/>
      <c r="AGY455" s="3"/>
      <c r="AGZ455" s="3"/>
      <c r="AHA455" s="3"/>
      <c r="AHB455" s="3"/>
      <c r="AHC455" s="3"/>
      <c r="AHD455" s="3"/>
      <c r="AHE455" s="3"/>
      <c r="AHF455" s="3"/>
      <c r="AHG455" s="3"/>
      <c r="AHH455" s="3"/>
      <c r="AHI455" s="3"/>
      <c r="AHJ455" s="3"/>
      <c r="AHK455" s="3"/>
      <c r="AHL455" s="3"/>
      <c r="AHM455" s="3"/>
      <c r="AHN455" s="3"/>
      <c r="AHO455" s="3"/>
      <c r="AHP455" s="3"/>
      <c r="AHQ455" s="3"/>
      <c r="AHR455" s="3"/>
      <c r="AHS455" s="3"/>
      <c r="AHT455" s="3"/>
      <c r="AHU455" s="3"/>
      <c r="AHV455" s="3"/>
      <c r="AHW455" s="3"/>
      <c r="AHX455" s="3"/>
      <c r="AHY455" s="3"/>
      <c r="AHZ455" s="3"/>
      <c r="AIA455" s="3"/>
      <c r="AIB455" s="3"/>
      <c r="AIC455" s="3"/>
      <c r="AID455" s="3"/>
      <c r="AIE455" s="3"/>
      <c r="AIF455" s="3"/>
      <c r="AIG455" s="3"/>
      <c r="AIH455" s="3"/>
      <c r="AII455" s="3"/>
      <c r="AIJ455" s="3"/>
      <c r="AIK455" s="3"/>
      <c r="AIL455" s="3"/>
      <c r="AIM455" s="3"/>
      <c r="AIN455" s="3"/>
      <c r="AIO455" s="3"/>
      <c r="AIP455" s="3"/>
      <c r="AIQ455" s="3"/>
      <c r="AIR455" s="3"/>
      <c r="AIS455" s="3"/>
      <c r="AIT455" s="3"/>
      <c r="AIU455" s="3"/>
      <c r="AIV455" s="3"/>
      <c r="AIW455" s="3"/>
      <c r="AIX455" s="3"/>
      <c r="AIY455" s="3"/>
      <c r="AIZ455" s="3"/>
      <c r="AJA455" s="3"/>
      <c r="AJB455" s="3"/>
      <c r="AJC455" s="3"/>
      <c r="AJD455" s="3"/>
      <c r="AJE455" s="3"/>
      <c r="AJF455" s="3"/>
      <c r="AJG455" s="3"/>
      <c r="AJH455" s="3"/>
      <c r="AJI455" s="3"/>
      <c r="AJJ455" s="3"/>
      <c r="AJK455" s="3"/>
      <c r="AJL455" s="3"/>
      <c r="AJM455" s="3"/>
      <c r="AJN455" s="3"/>
      <c r="AJO455" s="3"/>
      <c r="AJP455" s="3"/>
      <c r="AJQ455" s="3"/>
      <c r="AJR455" s="3"/>
      <c r="AJS455" s="3"/>
      <c r="AJT455" s="3"/>
      <c r="AJU455" s="3"/>
      <c r="AJV455" s="3"/>
      <c r="AJW455" s="3"/>
      <c r="AJX455" s="3"/>
      <c r="AJY455" s="3"/>
      <c r="AJZ455" s="3"/>
      <c r="AKA455" s="3"/>
      <c r="AKB455" s="3"/>
      <c r="AKC455" s="3"/>
      <c r="AKD455" s="3"/>
      <c r="AKE455" s="3"/>
      <c r="AKF455" s="3"/>
      <c r="AKG455" s="3"/>
      <c r="AKH455" s="3"/>
      <c r="AKI455" s="3"/>
      <c r="AKJ455" s="3"/>
      <c r="AKK455" s="3"/>
      <c r="AKL455" s="3"/>
      <c r="AKM455" s="3"/>
      <c r="AKN455" s="3"/>
      <c r="AKO455" s="3"/>
      <c r="AKP455" s="3"/>
      <c r="AKQ455" s="3"/>
      <c r="AKR455" s="3"/>
      <c r="AKS455" s="3"/>
      <c r="AKT455" s="3"/>
      <c r="AKU455" s="3"/>
      <c r="AKV455" s="3"/>
      <c r="AKW455" s="3"/>
      <c r="AKX455" s="3"/>
      <c r="AKY455" s="3"/>
      <c r="AKZ455" s="3"/>
      <c r="ALA455" s="3"/>
      <c r="ALB455" s="3"/>
      <c r="ALC455" s="3"/>
      <c r="ALD455" s="3"/>
      <c r="ALE455" s="3"/>
      <c r="ALF455" s="3"/>
      <c r="ALG455" s="3"/>
      <c r="ALH455" s="3"/>
      <c r="ALI455" s="3"/>
      <c r="ALJ455" s="3"/>
      <c r="ALK455" s="3"/>
      <c r="ALL455" s="3"/>
      <c r="ALM455" s="3"/>
      <c r="ALN455" s="3"/>
      <c r="ALO455" s="3"/>
      <c r="ALP455" s="3"/>
      <c r="ALQ455" s="3"/>
      <c r="ALR455" s="3"/>
      <c r="ALS455" s="3"/>
      <c r="ALT455" s="3"/>
      <c r="ALU455" s="3"/>
      <c r="ALV455" s="3"/>
      <c r="ALW455" s="3"/>
      <c r="ALX455" s="3"/>
      <c r="ALY455" s="3"/>
      <c r="ALZ455" s="3"/>
      <c r="AMA455" s="3"/>
      <c r="AMB455" s="3"/>
      <c r="AMC455" s="3"/>
      <c r="AMD455" s="3"/>
      <c r="AME455" s="3"/>
      <c r="AMF455" s="3"/>
      <c r="AMG455" s="3"/>
      <c r="AMH455" s="3"/>
      <c r="AMI455" s="3"/>
      <c r="AMJ455" s="3"/>
      <c r="AMK455" s="3"/>
      <c r="AML455" s="3"/>
      <c r="AMM455" s="3"/>
      <c r="AMN455" s="3"/>
      <c r="AMO455" s="3"/>
      <c r="AMP455" s="1"/>
    </row>
    <row r="456" spans="1:1030" s="6" customFormat="1" x14ac:dyDescent="0.2">
      <c r="A456" s="3" t="str">
        <f>CONCATENATE(B456,"_",C456)</f>
        <v>smo_human_5L7I</v>
      </c>
      <c r="B456" s="3" t="s">
        <v>33</v>
      </c>
      <c r="C456" s="3" t="s">
        <v>1347</v>
      </c>
      <c r="D456" s="3" t="str">
        <f>IFERROR(MID(VLOOKUP($B456,Seqs!$A:$B,2,0),E456,1),"")</f>
        <v>T</v>
      </c>
      <c r="E456" s="105">
        <v>223</v>
      </c>
      <c r="F456" s="3" t="str">
        <f>IFERROR(MID(VLOOKUP($B456,Seqs!$A:$B,2,0),G456,1),"")</f>
        <v>D</v>
      </c>
      <c r="G456" s="3">
        <v>255</v>
      </c>
      <c r="H456" s="3" t="str">
        <f>IFERROR(MID(VLOOKUP($B456,Seqs!$A:$B,2,0),I456,1),"")</f>
        <v>W</v>
      </c>
      <c r="I456" s="23">
        <v>256</v>
      </c>
      <c r="J456" s="3" t="str">
        <f>IFERROR(MID(VLOOKUP($B456,Seqs!$A:$B,2,0),K456,1),"")</f>
        <v>N</v>
      </c>
      <c r="K456" s="23">
        <v>260</v>
      </c>
      <c r="L456" s="3" t="str">
        <f>IFERROR(MID(VLOOKUP($B456,Seqs!$A:$B,2,0),M456,1),"")</f>
        <v>R</v>
      </c>
      <c r="M456" s="3">
        <v>261</v>
      </c>
      <c r="N456" s="3" t="str">
        <f>IFERROR(MID(VLOOKUP($B456,Seqs!$A:$B,2,0),O456,1),"")</f>
        <v>F</v>
      </c>
      <c r="O456" s="3">
        <v>285</v>
      </c>
      <c r="P456" s="3" t="str">
        <f>IFERROR(MID(VLOOKUP($B456,Seqs!$A:$B,2,0),Q456,1),"")</f>
        <v/>
      </c>
      <c r="Q456" s="3" t="s">
        <v>23</v>
      </c>
      <c r="R456" s="3" t="str">
        <f>IFERROR(MID(VLOOKUP($B456,Seqs!$A:$B,2,0),S456,1),"")</f>
        <v/>
      </c>
      <c r="S456" s="3" t="s">
        <v>23</v>
      </c>
      <c r="T456" s="3" t="str">
        <f>IFERROR(MID(VLOOKUP($B456,Seqs!$A:$B,2,0),U456,1),"")</f>
        <v>L</v>
      </c>
      <c r="U456" s="3">
        <v>312</v>
      </c>
      <c r="V456" s="3" t="str">
        <f>IFERROR(MID(VLOOKUP($B456,Seqs!$A:$B,2,0),W456,1),"")</f>
        <v>L</v>
      </c>
      <c r="W456" s="3">
        <v>346</v>
      </c>
      <c r="X456" s="3" t="str">
        <f>IFERROR(MID(VLOOKUP($B456,Seqs!$A:$B,2,0),Y456,1),"")</f>
        <v/>
      </c>
      <c r="Y456" s="3" t="s">
        <v>23</v>
      </c>
      <c r="Z456" s="3" t="str">
        <f>IFERROR(MID(VLOOKUP($B456,Seqs!$A:$B,2,0),AA456,1),"")</f>
        <v/>
      </c>
      <c r="AA456" s="3" t="s">
        <v>23</v>
      </c>
      <c r="AB456" s="3" t="str">
        <f>IFERROR(MID(VLOOKUP($B456,Seqs!$A:$B,2,0),AC456,1),"")</f>
        <v>K</v>
      </c>
      <c r="AC456" s="9">
        <v>356</v>
      </c>
      <c r="AD456" s="3" t="str">
        <f>IFERROR(MID(VLOOKUP($B456,Seqs!$A:$B,2,0),AE456,1),"")</f>
        <v>V</v>
      </c>
      <c r="AE456" s="3">
        <v>378</v>
      </c>
      <c r="AF456" s="3" t="str">
        <f>IFERROR(MID(VLOOKUP($B456,Seqs!$A:$B,2,0),AG456,1),"")</f>
        <v>C</v>
      </c>
      <c r="AG456" s="3">
        <v>390</v>
      </c>
      <c r="AH456" s="3" t="str">
        <f>IFERROR(MID(VLOOKUP($B456,Seqs!$A:$B,2,0),AI456,1),"")</f>
        <v>V</v>
      </c>
      <c r="AI456" s="3">
        <v>392</v>
      </c>
      <c r="AJ456" s="3" t="str">
        <f>IFERROR(MID(VLOOKUP($B456,Seqs!$A:$B,2,0),AK456,1),"")</f>
        <v>N</v>
      </c>
      <c r="AK456" s="105">
        <v>396</v>
      </c>
      <c r="AL456" s="3" t="str">
        <f>IFERROR(MID(VLOOKUP($B456,Seqs!$A:$B,2,0),AM456,1),"")</f>
        <v>S</v>
      </c>
      <c r="AM456" s="3">
        <v>428</v>
      </c>
      <c r="AN456" s="3" t="str">
        <f>IFERROR(MID(VLOOKUP($B456,Seqs!$A:$B,2,0),AO456,1),"")</f>
        <v>E</v>
      </c>
      <c r="AO456" s="3">
        <v>447</v>
      </c>
      <c r="AP456" s="3" t="str">
        <f>IFERROR(MID(VLOOKUP($B456,Seqs!$A:$B,2,0),AQ456,1),"")</f>
        <v>N</v>
      </c>
      <c r="AQ456" s="3">
        <v>493</v>
      </c>
      <c r="AR456" s="3" t="str">
        <f>IFERROR(MID(VLOOKUP($B456,Seqs!$A:$B,2,0),AS456,1),"")</f>
        <v>S</v>
      </c>
      <c r="AS456" s="105">
        <v>514</v>
      </c>
      <c r="AT456" s="3" t="str">
        <f>IFERROR(MID(VLOOKUP($B456,Seqs!$A:$B,2,0),AU456,1),"")</f>
        <v>W</v>
      </c>
      <c r="AU456" s="3">
        <v>537</v>
      </c>
      <c r="AV456" s="3" t="str">
        <f>IFERROR(MID(VLOOKUP($B456,Seqs!$A:$B,2,0),AW456,1),"")</f>
        <v>T</v>
      </c>
      <c r="AW456" s="3">
        <v>538</v>
      </c>
      <c r="AX456" s="3" t="str">
        <f>IFERROR(MID(VLOOKUP($B456,Seqs!$A:$B,2,0),AY456,1),"")</f>
        <v>R</v>
      </c>
      <c r="AY456" s="3">
        <v>551</v>
      </c>
      <c r="AZ456" s="78" t="str">
        <f>VLOOKUP(B456,Classification!A:D,2,0)</f>
        <v>F</v>
      </c>
      <c r="BA456" s="94" t="str">
        <f>VLOOKUP(B456,Classification!A:D,4,0)</f>
        <v>Frizzled</v>
      </c>
      <c r="BB456" s="92" t="b">
        <f t="shared" si="1190"/>
        <v>1</v>
      </c>
      <c r="BC456" s="23">
        <f t="shared" si="1187"/>
        <v>244</v>
      </c>
      <c r="BD456" s="74" t="s">
        <v>23</v>
      </c>
      <c r="BE456" s="3" t="s">
        <v>1368</v>
      </c>
      <c r="BF456" s="118">
        <v>3.3</v>
      </c>
      <c r="BG456" s="49" t="s">
        <v>1275</v>
      </c>
      <c r="BH456" s="49" t="s">
        <v>1371</v>
      </c>
      <c r="BI456" s="3" t="s">
        <v>1355</v>
      </c>
      <c r="BJ456" s="75" t="s">
        <v>1281</v>
      </c>
      <c r="BK456" s="57" t="s">
        <v>1281</v>
      </c>
      <c r="BL456" s="57" t="s">
        <v>1281</v>
      </c>
      <c r="BM456" s="57" t="s">
        <v>1281</v>
      </c>
      <c r="BN456" s="57" t="s">
        <v>1281</v>
      </c>
      <c r="BO456" s="57" t="s">
        <v>1281</v>
      </c>
      <c r="BP456" s="57" t="s">
        <v>1281</v>
      </c>
      <c r="BQ456" s="57" t="s">
        <v>1281</v>
      </c>
      <c r="BR456" s="57" t="s">
        <v>1281</v>
      </c>
      <c r="BS456" s="57" t="s">
        <v>1281</v>
      </c>
      <c r="BT456" s="57" t="s">
        <v>1281</v>
      </c>
      <c r="BU456" s="57" t="s">
        <v>1281</v>
      </c>
      <c r="BV456" s="75">
        <f>E456</f>
        <v>223</v>
      </c>
      <c r="BW456" s="71">
        <f>I456</f>
        <v>256</v>
      </c>
      <c r="BX456" s="72">
        <f>M456</f>
        <v>261</v>
      </c>
      <c r="BY456" s="71" t="str">
        <f>Q456</f>
        <v>-</v>
      </c>
      <c r="BZ456" s="72">
        <f>U456</f>
        <v>312</v>
      </c>
      <c r="CA456" s="71" t="str">
        <f>Y456</f>
        <v>-</v>
      </c>
      <c r="CB456" s="72">
        <f>AC456</f>
        <v>356</v>
      </c>
      <c r="CC456" s="71">
        <f>AG456</f>
        <v>390</v>
      </c>
      <c r="CD456" s="72">
        <f>AK456</f>
        <v>396</v>
      </c>
      <c r="CE456" s="71">
        <f>AO456</f>
        <v>447</v>
      </c>
      <c r="CF456" s="72">
        <f>AS456</f>
        <v>514</v>
      </c>
      <c r="CG456" s="71">
        <f>AW456</f>
        <v>538</v>
      </c>
      <c r="CH456" s="75">
        <f>G456</f>
        <v>255</v>
      </c>
      <c r="CI456" s="71">
        <f>K456</f>
        <v>260</v>
      </c>
      <c r="CJ456" s="72">
        <f>O456</f>
        <v>285</v>
      </c>
      <c r="CK456" s="72" t="str">
        <f>S456</f>
        <v>-</v>
      </c>
      <c r="CL456" s="72">
        <f>W456</f>
        <v>346</v>
      </c>
      <c r="CM456" s="72" t="str">
        <f>AA456</f>
        <v>-</v>
      </c>
      <c r="CN456" s="72">
        <f>AE456</f>
        <v>378</v>
      </c>
      <c r="CO456" s="72">
        <f>AI456</f>
        <v>392</v>
      </c>
      <c r="CP456" s="72">
        <f>AM456</f>
        <v>428</v>
      </c>
      <c r="CQ456" s="72">
        <f>AQ456</f>
        <v>493</v>
      </c>
      <c r="CR456" s="72">
        <f>AU456</f>
        <v>537</v>
      </c>
      <c r="CS456" s="72">
        <f>AY456</f>
        <v>551</v>
      </c>
      <c r="CT456" s="23">
        <f>M456-K456</f>
        <v>1</v>
      </c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3"/>
      <c r="IJ456" s="3"/>
      <c r="IK456" s="3"/>
      <c r="IL456" s="3"/>
      <c r="IM456" s="3"/>
      <c r="IN456" s="3"/>
      <c r="IO456" s="3"/>
      <c r="IP456" s="3"/>
      <c r="IQ456" s="3"/>
      <c r="IR456" s="3"/>
      <c r="IS456" s="3"/>
      <c r="IT456" s="3"/>
      <c r="IU456" s="3"/>
      <c r="IV456" s="3"/>
      <c r="IW456" s="3"/>
      <c r="IX456" s="3"/>
      <c r="IY456" s="3"/>
      <c r="IZ456" s="3"/>
      <c r="JA456" s="3"/>
      <c r="JB456" s="3"/>
      <c r="JC456" s="3"/>
      <c r="JD456" s="3"/>
      <c r="JE456" s="3"/>
      <c r="JF456" s="3"/>
      <c r="JG456" s="3"/>
      <c r="JH456" s="3"/>
      <c r="JI456" s="3"/>
      <c r="JJ456" s="3"/>
      <c r="JK456" s="3"/>
      <c r="JL456" s="3"/>
      <c r="JM456" s="3"/>
      <c r="JN456" s="3"/>
      <c r="JO456" s="3"/>
      <c r="JP456" s="3"/>
      <c r="JQ456" s="3"/>
      <c r="JR456" s="3"/>
      <c r="JS456" s="3"/>
      <c r="JT456" s="3"/>
      <c r="JU456" s="3"/>
      <c r="JV456" s="3"/>
      <c r="JW456" s="3"/>
      <c r="JX456" s="3"/>
      <c r="JY456" s="3"/>
      <c r="JZ456" s="3"/>
      <c r="KA456" s="3"/>
      <c r="KB456" s="3"/>
      <c r="KC456" s="3"/>
      <c r="KD456" s="3"/>
      <c r="KE456" s="3"/>
      <c r="KF456" s="3"/>
      <c r="KG456" s="3"/>
      <c r="KH456" s="3"/>
      <c r="KI456" s="3"/>
      <c r="KJ456" s="3"/>
      <c r="KK456" s="3"/>
      <c r="KL456" s="3"/>
      <c r="KM456" s="3"/>
      <c r="KN456" s="3"/>
      <c r="KO456" s="3"/>
      <c r="KP456" s="3"/>
      <c r="KQ456" s="3"/>
      <c r="KR456" s="3"/>
      <c r="KS456" s="3"/>
      <c r="KT456" s="3"/>
      <c r="KU456" s="3"/>
      <c r="KV456" s="3"/>
      <c r="KW456" s="3"/>
      <c r="KX456" s="3"/>
      <c r="KY456" s="3"/>
      <c r="KZ456" s="3"/>
      <c r="LA456" s="3"/>
      <c r="LB456" s="3"/>
      <c r="LC456" s="3"/>
      <c r="LD456" s="3"/>
      <c r="LE456" s="3"/>
      <c r="LF456" s="3"/>
      <c r="LG456" s="3"/>
      <c r="LH456" s="3"/>
      <c r="LI456" s="3"/>
      <c r="LJ456" s="3"/>
      <c r="LK456" s="3"/>
      <c r="LL456" s="3"/>
      <c r="LM456" s="3"/>
      <c r="LN456" s="3"/>
      <c r="LO456" s="3"/>
      <c r="LP456" s="3"/>
      <c r="LQ456" s="3"/>
      <c r="LR456" s="3"/>
      <c r="LS456" s="3"/>
      <c r="LT456" s="3"/>
      <c r="LU456" s="3"/>
      <c r="LV456" s="3"/>
      <c r="LW456" s="3"/>
      <c r="LX456" s="3"/>
      <c r="LY456" s="3"/>
      <c r="LZ456" s="3"/>
      <c r="MA456" s="3"/>
      <c r="MB456" s="3"/>
      <c r="MC456" s="3"/>
      <c r="MD456" s="3"/>
      <c r="ME456" s="3"/>
      <c r="MF456" s="3"/>
      <c r="MG456" s="3"/>
      <c r="MH456" s="3"/>
      <c r="MI456" s="3"/>
      <c r="MJ456" s="3"/>
      <c r="MK456" s="3"/>
      <c r="ML456" s="3"/>
      <c r="MM456" s="3"/>
      <c r="MN456" s="3"/>
      <c r="MO456" s="3"/>
      <c r="MP456" s="3"/>
      <c r="MQ456" s="3"/>
      <c r="MR456" s="3"/>
      <c r="MS456" s="3"/>
      <c r="MT456" s="3"/>
      <c r="MU456" s="3"/>
      <c r="MV456" s="3"/>
      <c r="MW456" s="3"/>
      <c r="MX456" s="3"/>
      <c r="MY456" s="3"/>
      <c r="MZ456" s="3"/>
      <c r="NA456" s="3"/>
      <c r="NB456" s="3"/>
      <c r="NC456" s="3"/>
      <c r="ND456" s="3"/>
      <c r="NE456" s="3"/>
      <c r="NF456" s="3"/>
      <c r="NG456" s="3"/>
      <c r="NH456" s="3"/>
      <c r="NI456" s="3"/>
      <c r="NJ456" s="3"/>
      <c r="NK456" s="3"/>
      <c r="NL456" s="3"/>
      <c r="NM456" s="3"/>
      <c r="NN456" s="3"/>
      <c r="NO456" s="3"/>
      <c r="NP456" s="3"/>
      <c r="NQ456" s="3"/>
      <c r="NR456" s="3"/>
      <c r="NS456" s="3"/>
      <c r="NT456" s="3"/>
      <c r="NU456" s="3"/>
      <c r="NV456" s="3"/>
      <c r="NW456" s="3"/>
      <c r="NX456" s="3"/>
      <c r="NY456" s="3"/>
      <c r="NZ456" s="3"/>
      <c r="OA456" s="3"/>
      <c r="OB456" s="3"/>
      <c r="OC456" s="3"/>
      <c r="OD456" s="3"/>
      <c r="OE456" s="3"/>
      <c r="OF456" s="3"/>
      <c r="OG456" s="3"/>
      <c r="OH456" s="3"/>
      <c r="OI456" s="3"/>
      <c r="OJ456" s="3"/>
      <c r="OK456" s="3"/>
      <c r="OL456" s="3"/>
      <c r="OM456" s="3"/>
      <c r="ON456" s="3"/>
      <c r="OO456" s="3"/>
      <c r="OP456" s="3"/>
      <c r="OQ456" s="3"/>
      <c r="OR456" s="3"/>
      <c r="OS456" s="3"/>
      <c r="OT456" s="3"/>
      <c r="OU456" s="3"/>
      <c r="OV456" s="3"/>
      <c r="OW456" s="3"/>
      <c r="OX456" s="3"/>
      <c r="OY456" s="3"/>
      <c r="OZ456" s="3"/>
      <c r="PA456" s="3"/>
      <c r="PB456" s="3"/>
      <c r="PC456" s="3"/>
      <c r="PD456" s="3"/>
      <c r="PE456" s="3"/>
      <c r="PF456" s="3"/>
      <c r="PG456" s="3"/>
      <c r="PH456" s="3"/>
      <c r="PI456" s="3"/>
      <c r="PJ456" s="3"/>
      <c r="PK456" s="3"/>
      <c r="PL456" s="3"/>
      <c r="PM456" s="3"/>
      <c r="PN456" s="3"/>
      <c r="PO456" s="3"/>
      <c r="PP456" s="3"/>
      <c r="PQ456" s="3"/>
      <c r="PR456" s="3"/>
      <c r="PS456" s="3"/>
      <c r="PT456" s="3"/>
      <c r="PU456" s="3"/>
      <c r="PV456" s="3"/>
      <c r="PW456" s="3"/>
      <c r="PX456" s="3"/>
      <c r="PY456" s="3"/>
      <c r="PZ456" s="3"/>
      <c r="QA456" s="3"/>
      <c r="QB456" s="3"/>
      <c r="QC456" s="3"/>
      <c r="QD456" s="3"/>
      <c r="QE456" s="3"/>
      <c r="QF456" s="3"/>
      <c r="QG456" s="3"/>
      <c r="QH456" s="3"/>
      <c r="QI456" s="3"/>
      <c r="QJ456" s="3"/>
      <c r="QK456" s="3"/>
      <c r="QL456" s="3"/>
      <c r="QM456" s="3"/>
      <c r="QN456" s="3"/>
      <c r="QO456" s="3"/>
      <c r="QP456" s="3"/>
      <c r="QQ456" s="3"/>
      <c r="QR456" s="3"/>
      <c r="QS456" s="3"/>
      <c r="QT456" s="3"/>
      <c r="QU456" s="3"/>
      <c r="QV456" s="3"/>
      <c r="QW456" s="3"/>
      <c r="QX456" s="3"/>
      <c r="QY456" s="3"/>
      <c r="QZ456" s="3"/>
      <c r="RA456" s="3"/>
      <c r="RB456" s="3"/>
      <c r="RC456" s="3"/>
      <c r="RD456" s="3"/>
      <c r="RE456" s="3"/>
      <c r="RF456" s="3"/>
      <c r="RG456" s="3"/>
      <c r="RH456" s="3"/>
      <c r="RI456" s="3"/>
      <c r="RJ456" s="3"/>
      <c r="RK456" s="3"/>
      <c r="RL456" s="3"/>
      <c r="RM456" s="3"/>
      <c r="RN456" s="3"/>
      <c r="RO456" s="3"/>
      <c r="RP456" s="3"/>
      <c r="RQ456" s="3"/>
      <c r="RR456" s="3"/>
      <c r="RS456" s="3"/>
      <c r="RT456" s="3"/>
      <c r="RU456" s="3"/>
      <c r="RV456" s="3"/>
      <c r="RW456" s="3"/>
      <c r="RX456" s="3"/>
      <c r="RY456" s="3"/>
      <c r="RZ456" s="3"/>
      <c r="SA456" s="3"/>
      <c r="SB456" s="3"/>
      <c r="SC456" s="3"/>
      <c r="SD456" s="3"/>
      <c r="SE456" s="3"/>
      <c r="SF456" s="3"/>
      <c r="SG456" s="3"/>
      <c r="SH456" s="3"/>
      <c r="SI456" s="3"/>
      <c r="SJ456" s="3"/>
      <c r="SK456" s="3"/>
      <c r="SL456" s="3"/>
      <c r="SM456" s="3"/>
      <c r="SN456" s="3"/>
      <c r="SO456" s="3"/>
      <c r="SP456" s="3"/>
      <c r="SQ456" s="3"/>
      <c r="SR456" s="3"/>
      <c r="SS456" s="3"/>
      <c r="ST456" s="3"/>
      <c r="SU456" s="3"/>
      <c r="SV456" s="3"/>
      <c r="SW456" s="3"/>
      <c r="SX456" s="3"/>
      <c r="SY456" s="3"/>
      <c r="SZ456" s="3"/>
      <c r="TA456" s="3"/>
      <c r="TB456" s="3"/>
      <c r="TC456" s="3"/>
      <c r="TD456" s="3"/>
      <c r="TE456" s="3"/>
      <c r="TF456" s="3"/>
      <c r="TG456" s="3"/>
      <c r="TH456" s="3"/>
      <c r="TI456" s="3"/>
      <c r="TJ456" s="3"/>
      <c r="TK456" s="3"/>
      <c r="TL456" s="3"/>
      <c r="TM456" s="3"/>
      <c r="TN456" s="3"/>
      <c r="TO456" s="3"/>
      <c r="TP456" s="3"/>
      <c r="TQ456" s="3"/>
      <c r="TR456" s="3"/>
      <c r="TS456" s="3"/>
      <c r="TT456" s="3"/>
      <c r="TU456" s="3"/>
      <c r="TV456" s="3"/>
      <c r="TW456" s="3"/>
      <c r="TX456" s="3"/>
      <c r="TY456" s="3"/>
      <c r="TZ456" s="3"/>
      <c r="UA456" s="3"/>
      <c r="UB456" s="3"/>
      <c r="UC456" s="3"/>
      <c r="UD456" s="3"/>
      <c r="UE456" s="3"/>
      <c r="UF456" s="3"/>
      <c r="UG456" s="3"/>
      <c r="UH456" s="3"/>
      <c r="UI456" s="3"/>
      <c r="UJ456" s="3"/>
      <c r="UK456" s="3"/>
      <c r="UL456" s="3"/>
      <c r="UM456" s="3"/>
      <c r="UN456" s="3"/>
      <c r="UO456" s="3"/>
      <c r="UP456" s="3"/>
      <c r="UQ456" s="3"/>
      <c r="UR456" s="3"/>
      <c r="US456" s="3"/>
      <c r="UT456" s="3"/>
      <c r="UU456" s="3"/>
      <c r="UV456" s="3"/>
      <c r="UW456" s="3"/>
      <c r="UX456" s="3"/>
      <c r="UY456" s="3"/>
      <c r="UZ456" s="3"/>
      <c r="VA456" s="3"/>
      <c r="VB456" s="3"/>
      <c r="VC456" s="3"/>
      <c r="VD456" s="3"/>
      <c r="VE456" s="3"/>
      <c r="VF456" s="3"/>
      <c r="VG456" s="3"/>
      <c r="VH456" s="3"/>
      <c r="VI456" s="3"/>
      <c r="VJ456" s="3"/>
      <c r="VK456" s="3"/>
      <c r="VL456" s="3"/>
      <c r="VM456" s="3"/>
      <c r="VN456" s="3"/>
      <c r="VO456" s="3"/>
      <c r="VP456" s="3"/>
      <c r="VQ456" s="3"/>
      <c r="VR456" s="3"/>
      <c r="VS456" s="3"/>
      <c r="VT456" s="3"/>
      <c r="VU456" s="3"/>
      <c r="VV456" s="3"/>
      <c r="VW456" s="3"/>
      <c r="VX456" s="3"/>
      <c r="VY456" s="3"/>
      <c r="VZ456" s="3"/>
      <c r="WA456" s="3"/>
      <c r="WB456" s="3"/>
      <c r="WC456" s="3"/>
      <c r="WD456" s="3"/>
      <c r="WE456" s="3"/>
      <c r="WF456" s="3"/>
      <c r="WG456" s="3"/>
      <c r="WH456" s="3"/>
      <c r="WI456" s="3"/>
      <c r="WJ456" s="3"/>
      <c r="WK456" s="3"/>
      <c r="WL456" s="3"/>
      <c r="WM456" s="3"/>
      <c r="WN456" s="3"/>
      <c r="WO456" s="3"/>
      <c r="WP456" s="3"/>
      <c r="WQ456" s="3"/>
      <c r="WR456" s="3"/>
      <c r="WS456" s="3"/>
      <c r="WT456" s="3"/>
      <c r="WU456" s="3"/>
      <c r="WV456" s="3"/>
      <c r="WW456" s="3"/>
      <c r="WX456" s="3"/>
      <c r="WY456" s="3"/>
      <c r="WZ456" s="3"/>
      <c r="XA456" s="3"/>
      <c r="XB456" s="3"/>
      <c r="XC456" s="3"/>
      <c r="XD456" s="3"/>
      <c r="XE456" s="3"/>
      <c r="XF456" s="3"/>
      <c r="XG456" s="3"/>
      <c r="XH456" s="3"/>
      <c r="XI456" s="3"/>
      <c r="XJ456" s="3"/>
      <c r="XK456" s="3"/>
      <c r="XL456" s="3"/>
      <c r="XM456" s="3"/>
      <c r="XN456" s="3"/>
      <c r="XO456" s="3"/>
      <c r="XP456" s="3"/>
      <c r="XQ456" s="3"/>
      <c r="XR456" s="3"/>
      <c r="XS456" s="3"/>
      <c r="XT456" s="3"/>
      <c r="XU456" s="3"/>
      <c r="XV456" s="3"/>
      <c r="XW456" s="3"/>
      <c r="XX456" s="3"/>
      <c r="XY456" s="3"/>
      <c r="XZ456" s="3"/>
      <c r="YA456" s="3"/>
      <c r="YB456" s="3"/>
      <c r="YC456" s="3"/>
      <c r="YD456" s="3"/>
      <c r="YE456" s="3"/>
      <c r="YF456" s="3"/>
      <c r="YG456" s="3"/>
      <c r="YH456" s="3"/>
      <c r="YI456" s="3"/>
      <c r="YJ456" s="3"/>
      <c r="YK456" s="3"/>
      <c r="YL456" s="3"/>
      <c r="YM456" s="3"/>
      <c r="YN456" s="3"/>
      <c r="YO456" s="3"/>
      <c r="YP456" s="3"/>
      <c r="YQ456" s="3"/>
      <c r="YR456" s="3"/>
      <c r="YS456" s="3"/>
      <c r="YT456" s="3"/>
      <c r="YU456" s="3"/>
      <c r="YV456" s="3"/>
      <c r="YW456" s="3"/>
      <c r="YX456" s="3"/>
      <c r="YY456" s="3"/>
      <c r="YZ456" s="3"/>
      <c r="ZA456" s="3"/>
      <c r="ZB456" s="3"/>
      <c r="ZC456" s="3"/>
      <c r="ZD456" s="3"/>
      <c r="ZE456" s="3"/>
      <c r="ZF456" s="3"/>
      <c r="ZG456" s="3"/>
      <c r="ZH456" s="3"/>
      <c r="ZI456" s="3"/>
      <c r="ZJ456" s="3"/>
      <c r="ZK456" s="3"/>
      <c r="ZL456" s="3"/>
      <c r="ZM456" s="3"/>
      <c r="ZN456" s="3"/>
      <c r="ZO456" s="3"/>
      <c r="ZP456" s="3"/>
      <c r="ZQ456" s="3"/>
      <c r="ZR456" s="3"/>
      <c r="ZS456" s="3"/>
      <c r="ZT456" s="3"/>
      <c r="ZU456" s="3"/>
      <c r="ZV456" s="3"/>
      <c r="ZW456" s="3"/>
      <c r="ZX456" s="3"/>
      <c r="ZY456" s="3"/>
      <c r="ZZ456" s="3"/>
      <c r="AAA456" s="3"/>
      <c r="AAB456" s="3"/>
      <c r="AAC456" s="3"/>
      <c r="AAD456" s="3"/>
      <c r="AAE456" s="3"/>
      <c r="AAF456" s="3"/>
      <c r="AAG456" s="3"/>
      <c r="AAH456" s="3"/>
      <c r="AAI456" s="3"/>
      <c r="AAJ456" s="3"/>
      <c r="AAK456" s="3"/>
      <c r="AAL456" s="3"/>
      <c r="AAM456" s="3"/>
      <c r="AAN456" s="3"/>
      <c r="AAO456" s="3"/>
      <c r="AAP456" s="3"/>
      <c r="AAQ456" s="3"/>
      <c r="AAR456" s="3"/>
      <c r="AAS456" s="3"/>
      <c r="AAT456" s="3"/>
      <c r="AAU456" s="3"/>
      <c r="AAV456" s="3"/>
      <c r="AAW456" s="3"/>
      <c r="AAX456" s="3"/>
      <c r="AAY456" s="3"/>
      <c r="AAZ456" s="3"/>
      <c r="ABA456" s="3"/>
      <c r="ABB456" s="3"/>
      <c r="ABC456" s="3"/>
      <c r="ABD456" s="3"/>
      <c r="ABE456" s="3"/>
      <c r="ABF456" s="3"/>
      <c r="ABG456" s="3"/>
      <c r="ABH456" s="3"/>
      <c r="ABI456" s="3"/>
      <c r="ABJ456" s="3"/>
      <c r="ABK456" s="3"/>
      <c r="ABL456" s="3"/>
      <c r="ABM456" s="3"/>
      <c r="ABN456" s="3"/>
      <c r="ABO456" s="3"/>
      <c r="ABP456" s="3"/>
      <c r="ABQ456" s="3"/>
      <c r="ABR456" s="3"/>
      <c r="ABS456" s="3"/>
      <c r="ABT456" s="3"/>
      <c r="ABU456" s="3"/>
      <c r="ABV456" s="3"/>
      <c r="ABW456" s="3"/>
      <c r="ABX456" s="3"/>
      <c r="ABY456" s="3"/>
      <c r="ABZ456" s="3"/>
      <c r="ACA456" s="3"/>
      <c r="ACB456" s="3"/>
      <c r="ACC456" s="3"/>
      <c r="ACD456" s="3"/>
      <c r="ACE456" s="3"/>
      <c r="ACF456" s="3"/>
      <c r="ACG456" s="3"/>
      <c r="ACH456" s="3"/>
      <c r="ACI456" s="3"/>
      <c r="ACJ456" s="3"/>
      <c r="ACK456" s="3"/>
      <c r="ACL456" s="3"/>
      <c r="ACM456" s="3"/>
      <c r="ACN456" s="3"/>
      <c r="ACO456" s="3"/>
      <c r="ACP456" s="3"/>
      <c r="ACQ456" s="3"/>
      <c r="ACR456" s="3"/>
      <c r="ACS456" s="3"/>
      <c r="ACT456" s="3"/>
      <c r="ACU456" s="3"/>
      <c r="ACV456" s="3"/>
      <c r="ACW456" s="3"/>
      <c r="ACX456" s="3"/>
      <c r="ACY456" s="3"/>
      <c r="ACZ456" s="3"/>
      <c r="ADA456" s="3"/>
      <c r="ADB456" s="3"/>
      <c r="ADC456" s="3"/>
      <c r="ADD456" s="3"/>
      <c r="ADE456" s="3"/>
      <c r="ADF456" s="3"/>
      <c r="ADG456" s="3"/>
      <c r="ADH456" s="3"/>
      <c r="ADI456" s="3"/>
      <c r="ADJ456" s="3"/>
      <c r="ADK456" s="3"/>
      <c r="ADL456" s="3"/>
      <c r="ADM456" s="3"/>
      <c r="ADN456" s="3"/>
      <c r="ADO456" s="3"/>
      <c r="ADP456" s="3"/>
      <c r="ADQ456" s="3"/>
      <c r="ADR456" s="3"/>
      <c r="ADS456" s="3"/>
      <c r="ADT456" s="3"/>
      <c r="ADU456" s="3"/>
      <c r="ADV456" s="3"/>
      <c r="ADW456" s="3"/>
      <c r="ADX456" s="3"/>
      <c r="ADY456" s="3"/>
      <c r="ADZ456" s="3"/>
      <c r="AEA456" s="3"/>
      <c r="AEB456" s="3"/>
      <c r="AEC456" s="3"/>
      <c r="AED456" s="3"/>
      <c r="AEE456" s="3"/>
      <c r="AEF456" s="3"/>
      <c r="AEG456" s="3"/>
      <c r="AEH456" s="3"/>
      <c r="AEI456" s="3"/>
      <c r="AEJ456" s="3"/>
      <c r="AEK456" s="3"/>
      <c r="AEL456" s="3"/>
      <c r="AEM456" s="3"/>
      <c r="AEN456" s="3"/>
      <c r="AEO456" s="3"/>
      <c r="AEP456" s="3"/>
      <c r="AEQ456" s="3"/>
      <c r="AER456" s="3"/>
      <c r="AES456" s="3"/>
      <c r="AET456" s="3"/>
      <c r="AEU456" s="3"/>
      <c r="AEV456" s="3"/>
      <c r="AEW456" s="3"/>
      <c r="AEX456" s="3"/>
      <c r="AEY456" s="3"/>
      <c r="AEZ456" s="3"/>
      <c r="AFA456" s="3"/>
      <c r="AFB456" s="3"/>
      <c r="AFC456" s="3"/>
      <c r="AFD456" s="3"/>
      <c r="AFE456" s="3"/>
      <c r="AFF456" s="3"/>
      <c r="AFG456" s="3"/>
      <c r="AFH456" s="3"/>
      <c r="AFI456" s="3"/>
      <c r="AFJ456" s="3"/>
      <c r="AFK456" s="3"/>
      <c r="AFL456" s="3"/>
      <c r="AFM456" s="3"/>
      <c r="AFN456" s="3"/>
      <c r="AFO456" s="3"/>
      <c r="AFP456" s="3"/>
      <c r="AFQ456" s="3"/>
      <c r="AFR456" s="3"/>
      <c r="AFS456" s="3"/>
      <c r="AFT456" s="3"/>
      <c r="AFU456" s="3"/>
      <c r="AFV456" s="3"/>
      <c r="AFW456" s="3"/>
      <c r="AFX456" s="3"/>
      <c r="AFY456" s="3"/>
      <c r="AFZ456" s="3"/>
      <c r="AGA456" s="3"/>
      <c r="AGB456" s="3"/>
      <c r="AGC456" s="3"/>
      <c r="AGD456" s="3"/>
      <c r="AGE456" s="3"/>
      <c r="AGF456" s="3"/>
      <c r="AGG456" s="3"/>
      <c r="AGH456" s="3"/>
      <c r="AGI456" s="3"/>
      <c r="AGJ456" s="3"/>
      <c r="AGK456" s="3"/>
      <c r="AGL456" s="3"/>
      <c r="AGM456" s="3"/>
      <c r="AGN456" s="3"/>
      <c r="AGO456" s="3"/>
      <c r="AGP456" s="3"/>
      <c r="AGQ456" s="3"/>
      <c r="AGR456" s="3"/>
      <c r="AGS456" s="3"/>
      <c r="AGT456" s="3"/>
      <c r="AGU456" s="3"/>
      <c r="AGV456" s="3"/>
      <c r="AGW456" s="3"/>
      <c r="AGX456" s="3"/>
      <c r="AGY456" s="3"/>
      <c r="AGZ456" s="3"/>
      <c r="AHA456" s="3"/>
      <c r="AHB456" s="3"/>
      <c r="AHC456" s="3"/>
      <c r="AHD456" s="3"/>
      <c r="AHE456" s="3"/>
      <c r="AHF456" s="3"/>
      <c r="AHG456" s="3"/>
      <c r="AHH456" s="3"/>
      <c r="AHI456" s="3"/>
      <c r="AHJ456" s="3"/>
      <c r="AHK456" s="3"/>
      <c r="AHL456" s="3"/>
      <c r="AHM456" s="3"/>
      <c r="AHN456" s="3"/>
      <c r="AHO456" s="3"/>
      <c r="AHP456" s="3"/>
      <c r="AHQ456" s="3"/>
      <c r="AHR456" s="3"/>
      <c r="AHS456" s="3"/>
      <c r="AHT456" s="3"/>
      <c r="AHU456" s="3"/>
      <c r="AHV456" s="3"/>
      <c r="AHW456" s="3"/>
      <c r="AHX456" s="3"/>
      <c r="AHY456" s="3"/>
      <c r="AHZ456" s="3"/>
      <c r="AIA456" s="3"/>
      <c r="AIB456" s="3"/>
      <c r="AIC456" s="3"/>
      <c r="AID456" s="3"/>
      <c r="AIE456" s="3"/>
      <c r="AIF456" s="3"/>
      <c r="AIG456" s="3"/>
      <c r="AIH456" s="3"/>
      <c r="AII456" s="3"/>
      <c r="AIJ456" s="3"/>
      <c r="AIK456" s="3"/>
      <c r="AIL456" s="3"/>
      <c r="AIM456" s="3"/>
      <c r="AIN456" s="3"/>
      <c r="AIO456" s="3"/>
      <c r="AIP456" s="3"/>
      <c r="AIQ456" s="3"/>
      <c r="AIR456" s="3"/>
      <c r="AIS456" s="3"/>
      <c r="AIT456" s="3"/>
      <c r="AIU456" s="3"/>
      <c r="AIV456" s="3"/>
      <c r="AIW456" s="3"/>
      <c r="AIX456" s="3"/>
      <c r="AIY456" s="3"/>
      <c r="AIZ456" s="3"/>
      <c r="AJA456" s="3"/>
      <c r="AJB456" s="3"/>
      <c r="AJC456" s="3"/>
      <c r="AJD456" s="3"/>
      <c r="AJE456" s="3"/>
      <c r="AJF456" s="3"/>
      <c r="AJG456" s="3"/>
      <c r="AJH456" s="3"/>
      <c r="AJI456" s="3"/>
      <c r="AJJ456" s="3"/>
      <c r="AJK456" s="3"/>
      <c r="AJL456" s="3"/>
      <c r="AJM456" s="3"/>
      <c r="AJN456" s="3"/>
      <c r="AJO456" s="3"/>
      <c r="AJP456" s="3"/>
      <c r="AJQ456" s="3"/>
      <c r="AJR456" s="3"/>
      <c r="AJS456" s="3"/>
      <c r="AJT456" s="3"/>
      <c r="AJU456" s="3"/>
      <c r="AJV456" s="3"/>
      <c r="AJW456" s="3"/>
      <c r="AJX456" s="3"/>
      <c r="AJY456" s="3"/>
      <c r="AJZ456" s="3"/>
      <c r="AKA456" s="3"/>
      <c r="AKB456" s="3"/>
      <c r="AKC456" s="3"/>
      <c r="AKD456" s="3"/>
      <c r="AKE456" s="3"/>
      <c r="AKF456" s="3"/>
      <c r="AKG456" s="3"/>
      <c r="AKH456" s="3"/>
      <c r="AKI456" s="3"/>
      <c r="AKJ456" s="3"/>
      <c r="AKK456" s="3"/>
      <c r="AKL456" s="3"/>
      <c r="AKM456" s="3"/>
      <c r="AKN456" s="3"/>
      <c r="AKO456" s="3"/>
      <c r="AKP456" s="3"/>
      <c r="AKQ456" s="3"/>
      <c r="AKR456" s="3"/>
      <c r="AKS456" s="3"/>
      <c r="AKT456" s="3"/>
      <c r="AKU456" s="3"/>
      <c r="AKV456" s="3"/>
      <c r="AKW456" s="3"/>
      <c r="AKX456" s="3"/>
      <c r="AKY456" s="3"/>
      <c r="AKZ456" s="3"/>
      <c r="ALA456" s="3"/>
      <c r="ALB456" s="3"/>
      <c r="ALC456" s="3"/>
      <c r="ALD456" s="3"/>
      <c r="ALE456" s="3"/>
      <c r="ALF456" s="3"/>
      <c r="ALG456" s="3"/>
      <c r="ALH456" s="3"/>
      <c r="ALI456" s="3"/>
      <c r="ALJ456" s="3"/>
      <c r="ALK456" s="3"/>
      <c r="ALL456" s="3"/>
      <c r="ALM456" s="3"/>
      <c r="ALN456" s="3"/>
      <c r="ALO456" s="3"/>
      <c r="ALP456" s="3"/>
      <c r="ALQ456" s="3"/>
      <c r="ALR456" s="3"/>
      <c r="ALS456" s="3"/>
      <c r="ALT456" s="3"/>
      <c r="ALU456" s="3"/>
      <c r="ALV456" s="3"/>
      <c r="ALW456" s="3"/>
      <c r="ALX456" s="3"/>
      <c r="ALY456" s="3"/>
      <c r="ALZ456" s="3"/>
      <c r="AMA456" s="3"/>
      <c r="AMB456" s="3"/>
      <c r="AMC456" s="3"/>
      <c r="AMD456" s="3"/>
      <c r="AME456" s="3"/>
      <c r="AMF456" s="3"/>
      <c r="AMG456" s="3"/>
      <c r="AMH456" s="3"/>
      <c r="AMI456" s="3"/>
      <c r="AMJ456" s="3"/>
      <c r="AMK456" s="3"/>
      <c r="AML456" s="3"/>
      <c r="AMM456" s="3"/>
      <c r="AMN456" s="3"/>
      <c r="AMO456" s="3"/>
      <c r="AMP456" s="1"/>
    </row>
    <row r="457" spans="1:1030" x14ac:dyDescent="0.2">
      <c r="A457" s="3" t="str">
        <f>CONCATENATE(B457,"_",C457)</f>
        <v>smo_human_5V56</v>
      </c>
      <c r="B457" s="3" t="s">
        <v>33</v>
      </c>
      <c r="C457" s="3" t="s">
        <v>1471</v>
      </c>
      <c r="D457" s="3" t="str">
        <f>IFERROR(MID(VLOOKUP($B457,Seqs!$A:$B,2,0),E457,1),"")</f>
        <v>T</v>
      </c>
      <c r="E457" s="3">
        <v>223</v>
      </c>
      <c r="F457" s="3" t="str">
        <f>IFERROR(MID(VLOOKUP($B457,Seqs!$A:$B,2,0),G457,1),"")</f>
        <v>D</v>
      </c>
      <c r="G457" s="3">
        <v>255</v>
      </c>
      <c r="H457" s="3" t="str">
        <f>IFERROR(MID(VLOOKUP($B457,Seqs!$A:$B,2,0),I457,1),"")</f>
        <v>W</v>
      </c>
      <c r="I457" s="23">
        <v>256</v>
      </c>
      <c r="J457" s="3" t="str">
        <f>IFERROR(MID(VLOOKUP($B457,Seqs!$A:$B,2,0),K457,1),"")</f>
        <v>N</v>
      </c>
      <c r="K457" s="23">
        <v>260</v>
      </c>
      <c r="L457" s="3" t="str">
        <f>IFERROR(MID(VLOOKUP($B457,Seqs!$A:$B,2,0),M457,1),"")</f>
        <v>R</v>
      </c>
      <c r="M457" s="3">
        <v>261</v>
      </c>
      <c r="N457" s="3" t="str">
        <f>IFERROR(MID(VLOOKUP($B457,Seqs!$A:$B,2,0),O457,1),"")</f>
        <v>F</v>
      </c>
      <c r="O457" s="3">
        <v>285</v>
      </c>
      <c r="P457" s="3" t="str">
        <f>IFERROR(MID(VLOOKUP($B457,Seqs!$A:$B,2,0),Q457,1),"")</f>
        <v/>
      </c>
      <c r="Q457" s="3" t="s">
        <v>23</v>
      </c>
      <c r="R457" s="3" t="str">
        <f>IFERROR(MID(VLOOKUP($B457,Seqs!$A:$B,2,0),S457,1),"")</f>
        <v/>
      </c>
      <c r="S457" s="3" t="s">
        <v>23</v>
      </c>
      <c r="T457" s="3" t="str">
        <f>IFERROR(MID(VLOOKUP($B457,Seqs!$A:$B,2,0),U457,1),"")</f>
        <v>L</v>
      </c>
      <c r="U457" s="3">
        <v>312</v>
      </c>
      <c r="V457" s="3" t="str">
        <f>IFERROR(MID(VLOOKUP($B457,Seqs!$A:$B,2,0),W457,1),"")</f>
        <v>S</v>
      </c>
      <c r="W457" s="3">
        <v>342</v>
      </c>
      <c r="X457" s="3" t="str">
        <f>IFERROR(MID(VLOOKUP($B457,Seqs!$A:$B,2,0),Y457,1),"")</f>
        <v/>
      </c>
      <c r="Y457" s="3" t="s">
        <v>23</v>
      </c>
      <c r="Z457" s="3" t="str">
        <f>IFERROR(MID(VLOOKUP($B457,Seqs!$A:$B,2,0),AA457,1),"")</f>
        <v/>
      </c>
      <c r="AA457" s="3" t="s">
        <v>23</v>
      </c>
      <c r="AB457" s="3" t="str">
        <f>IFERROR(MID(VLOOKUP($B457,Seqs!$A:$B,2,0),AC457,1),"")</f>
        <v>K</v>
      </c>
      <c r="AC457" s="3">
        <v>356</v>
      </c>
      <c r="AD457" s="3" t="str">
        <f>IFERROR(MID(VLOOKUP($B457,Seqs!$A:$B,2,0),AE457,1),"")</f>
        <v>V</v>
      </c>
      <c r="AE457" s="3">
        <v>378</v>
      </c>
      <c r="AF457" s="3" t="str">
        <f>IFERROR(MID(VLOOKUP($B457,Seqs!$A:$B,2,0),AG457,1),"")</f>
        <v>C</v>
      </c>
      <c r="AG457" s="3">
        <v>390</v>
      </c>
      <c r="AH457" s="3" t="str">
        <f>IFERROR(MID(VLOOKUP($B457,Seqs!$A:$B,2,0),AI457,1),"")</f>
        <v>V</v>
      </c>
      <c r="AI457" s="3">
        <v>392</v>
      </c>
      <c r="AJ457" s="3" t="str">
        <f>IFERROR(MID(VLOOKUP($B457,Seqs!$A:$B,2,0),AK457,1),"")</f>
        <v>N</v>
      </c>
      <c r="AK457" s="3">
        <v>396</v>
      </c>
      <c r="AL457" s="3" t="str">
        <f>IFERROR(MID(VLOOKUP($B457,Seqs!$A:$B,2,0),AM457,1),"")</f>
        <v>I</v>
      </c>
      <c r="AM457" s="3">
        <v>429</v>
      </c>
      <c r="AN457" s="3" t="str">
        <f>IFERROR(MID(VLOOKUP($B457,Seqs!$A:$B,2,0),AO457,1),"")</f>
        <v>N</v>
      </c>
      <c r="AO457" s="3">
        <v>446</v>
      </c>
      <c r="AP457" s="3" t="str">
        <f>IFERROR(MID(VLOOKUP($B457,Seqs!$A:$B,2,0),AQ457,1),"")</f>
        <v>N</v>
      </c>
      <c r="AQ457" s="3">
        <v>493</v>
      </c>
      <c r="AR457" s="3" t="str">
        <f>IFERROR(MID(VLOOKUP($B457,Seqs!$A:$B,2,0),AS457,1),"")</f>
        <v>S</v>
      </c>
      <c r="AS457" s="3">
        <v>514</v>
      </c>
      <c r="AT457" s="3" t="str">
        <f>IFERROR(MID(VLOOKUP($B457,Seqs!$A:$B,2,0),AU457,1),"")</f>
        <v>W</v>
      </c>
      <c r="AU457" s="3">
        <v>537</v>
      </c>
      <c r="AV457" s="3" t="str">
        <f>IFERROR(MID(VLOOKUP($B457,Seqs!$A:$B,2,0),AW457,1),"")</f>
        <v>T</v>
      </c>
      <c r="AW457" s="3">
        <v>538</v>
      </c>
      <c r="AX457" s="3" t="str">
        <f>IFERROR(MID(VLOOKUP($B457,Seqs!$A:$B,2,0),AY457,1),"")</f>
        <v>T</v>
      </c>
      <c r="AY457" s="3">
        <v>553</v>
      </c>
      <c r="AZ457" s="78" t="str">
        <f>VLOOKUP(B457,Classification!A:D,2,0)</f>
        <v>F</v>
      </c>
      <c r="BA457" s="94" t="str">
        <f>VLOOKUP(B457,Classification!A:D,4,0)</f>
        <v>Frizzled</v>
      </c>
      <c r="BB457" s="92" t="b">
        <f t="shared" ref="BB457:BB464" si="1221">AND(E457&lt;G457,OR(G457&lt;I457,I457="-"),OR(I457&lt;K457,I457="-"),OR(K457&lt;M457,K457="-"),M457&lt;O457,OR(O457&lt;Q457,Q457="-"),OR(Q457&lt;S457,Q457="-"),OR(S457&lt;U457,S457="-"),U457&lt;W457,OR(W457&lt;Y457,Y457="-"),OR(Y457&lt;AA457,Y457="-"),OR(AA457&lt;AC457,AA457="-"),AC457&lt;AE457,OR(AE457&lt;AG457,AG457="-"),OR(AG457&lt;AI457,AG457="-"),OR(AI457&lt;AK457,AI457="-"),AK457&lt;AM457,AM457&lt;AO457,AO457&lt;AQ457,AQ457&lt;AS457,AS457&lt;AU457,OR(AU457&lt;AW457,AW457="-"),OR(AW457&lt;AY457,AW457="-"))</f>
        <v>1</v>
      </c>
      <c r="BC457" s="23">
        <f t="shared" ref="BC457:BC464" si="1222">_xlfn.AGGREGATE(9,6,CH457:CS457)-_xlfn.AGGREGATE(9,6,BV457:CG457)+12</f>
        <v>244</v>
      </c>
      <c r="BD457" s="74" t="s">
        <v>23</v>
      </c>
      <c r="BE457" s="3" t="s">
        <v>1368</v>
      </c>
      <c r="BF457" s="118">
        <v>2.9</v>
      </c>
      <c r="BG457" s="49" t="s">
        <v>1275</v>
      </c>
      <c r="BH457" s="49" t="s">
        <v>1275</v>
      </c>
      <c r="BJ457" s="75" t="s">
        <v>1281</v>
      </c>
      <c r="BK457" s="57" t="s">
        <v>1281</v>
      </c>
      <c r="BL457" s="57" t="s">
        <v>1281</v>
      </c>
      <c r="BM457" s="57" t="s">
        <v>1281</v>
      </c>
      <c r="BN457" s="57" t="s">
        <v>1281</v>
      </c>
      <c r="BO457" s="57" t="s">
        <v>1281</v>
      </c>
      <c r="BP457" s="57" t="s">
        <v>1281</v>
      </c>
      <c r="BQ457" s="57" t="s">
        <v>1281</v>
      </c>
      <c r="BR457" s="57" t="s">
        <v>1281</v>
      </c>
      <c r="BS457" s="57" t="s">
        <v>1281</v>
      </c>
      <c r="BT457" s="57" t="s">
        <v>1281</v>
      </c>
      <c r="BU457" s="57" t="s">
        <v>1281</v>
      </c>
      <c r="BV457" s="75">
        <f>E457</f>
        <v>223</v>
      </c>
      <c r="BW457" s="71">
        <f>I457</f>
        <v>256</v>
      </c>
      <c r="BX457" s="72">
        <f>M457</f>
        <v>261</v>
      </c>
      <c r="BY457" s="71" t="str">
        <f>Q457</f>
        <v>-</v>
      </c>
      <c r="BZ457" s="72">
        <f>U457</f>
        <v>312</v>
      </c>
      <c r="CA457" s="71" t="str">
        <f>Y457</f>
        <v>-</v>
      </c>
      <c r="CB457" s="72">
        <f>AC457</f>
        <v>356</v>
      </c>
      <c r="CC457" s="71">
        <f>AG457</f>
        <v>390</v>
      </c>
      <c r="CD457" s="72">
        <f>AK457</f>
        <v>396</v>
      </c>
      <c r="CE457" s="71">
        <f>AO457</f>
        <v>446</v>
      </c>
      <c r="CF457" s="72">
        <f>AS457</f>
        <v>514</v>
      </c>
      <c r="CG457" s="71">
        <f>AW457</f>
        <v>538</v>
      </c>
      <c r="CH457" s="75">
        <f>G457</f>
        <v>255</v>
      </c>
      <c r="CI457" s="71">
        <f>K457</f>
        <v>260</v>
      </c>
      <c r="CJ457" s="72">
        <f>O457</f>
        <v>285</v>
      </c>
      <c r="CK457" s="72" t="str">
        <f>S457</f>
        <v>-</v>
      </c>
      <c r="CL457" s="72">
        <f>W457</f>
        <v>342</v>
      </c>
      <c r="CM457" s="72" t="str">
        <f>AA457</f>
        <v>-</v>
      </c>
      <c r="CN457" s="72">
        <f>AE457</f>
        <v>378</v>
      </c>
      <c r="CO457" s="72">
        <f>AI457</f>
        <v>392</v>
      </c>
      <c r="CP457" s="72">
        <f>AM457</f>
        <v>429</v>
      </c>
      <c r="CQ457" s="72">
        <f>AQ457</f>
        <v>493</v>
      </c>
      <c r="CR457" s="72">
        <f>AU457</f>
        <v>537</v>
      </c>
      <c r="CS457" s="72">
        <f>AY457</f>
        <v>553</v>
      </c>
      <c r="CT457" s="23">
        <f>M457-K457</f>
        <v>1</v>
      </c>
    </row>
    <row r="458" spans="1:1030" x14ac:dyDescent="0.2">
      <c r="A458" s="3" t="str">
        <f>CONCATENATE(B458,"_",C458)</f>
        <v>smo_human_5V57</v>
      </c>
      <c r="B458" s="3" t="s">
        <v>33</v>
      </c>
      <c r="C458" s="3" t="s">
        <v>1472</v>
      </c>
      <c r="D458" s="3" t="str">
        <f>IFERROR(MID(VLOOKUP($B458,Seqs!$A:$B,2,0),E458,1),"")</f>
        <v>T</v>
      </c>
      <c r="E458" s="3">
        <v>223</v>
      </c>
      <c r="F458" s="3" t="str">
        <f>IFERROR(MID(VLOOKUP($B458,Seqs!$A:$B,2,0),G458,1),"")</f>
        <v>D</v>
      </c>
      <c r="G458" s="3">
        <v>255</v>
      </c>
      <c r="H458" s="3" t="str">
        <f>IFERROR(MID(VLOOKUP($B458,Seqs!$A:$B,2,0),I458,1),"")</f>
        <v>W</v>
      </c>
      <c r="I458" s="23">
        <v>256</v>
      </c>
      <c r="J458" s="3" t="str">
        <f>IFERROR(MID(VLOOKUP($B458,Seqs!$A:$B,2,0),K458,1),"")</f>
        <v>N</v>
      </c>
      <c r="K458" s="23">
        <v>260</v>
      </c>
      <c r="L458" s="3" t="str">
        <f>IFERROR(MID(VLOOKUP($B458,Seqs!$A:$B,2,0),M458,1),"")</f>
        <v>R</v>
      </c>
      <c r="M458" s="3">
        <v>261</v>
      </c>
      <c r="N458" s="3" t="str">
        <f>IFERROR(MID(VLOOKUP($B458,Seqs!$A:$B,2,0),O458,1),"")</f>
        <v>F</v>
      </c>
      <c r="O458" s="3">
        <v>285</v>
      </c>
      <c r="P458" s="3" t="str">
        <f>IFERROR(MID(VLOOKUP($B458,Seqs!$A:$B,2,0),Q458,1),"")</f>
        <v/>
      </c>
      <c r="Q458" s="3" t="s">
        <v>23</v>
      </c>
      <c r="R458" s="3" t="str">
        <f>IFERROR(MID(VLOOKUP($B458,Seqs!$A:$B,2,0),S458,1),"")</f>
        <v/>
      </c>
      <c r="S458" s="3" t="s">
        <v>23</v>
      </c>
      <c r="T458" s="3" t="str">
        <f>IFERROR(MID(VLOOKUP($B458,Seqs!$A:$B,2,0),U458,1),"")</f>
        <v>L</v>
      </c>
      <c r="U458" s="3">
        <v>312</v>
      </c>
      <c r="V458" s="3" t="str">
        <f>IFERROR(MID(VLOOKUP($B458,Seqs!$A:$B,2,0),W458,1),"")</f>
        <v>S</v>
      </c>
      <c r="W458" s="3">
        <v>342</v>
      </c>
      <c r="X458" s="3" t="str">
        <f>IFERROR(MID(VLOOKUP($B458,Seqs!$A:$B,2,0),Y458,1),"")</f>
        <v/>
      </c>
      <c r="Y458" s="3" t="s">
        <v>23</v>
      </c>
      <c r="Z458" s="3" t="str">
        <f>IFERROR(MID(VLOOKUP($B458,Seqs!$A:$B,2,0),AA458,1),"")</f>
        <v/>
      </c>
      <c r="AA458" s="3" t="s">
        <v>23</v>
      </c>
      <c r="AB458" s="3" t="str">
        <f>IFERROR(MID(VLOOKUP($B458,Seqs!$A:$B,2,0),AC458,1),"")</f>
        <v>T</v>
      </c>
      <c r="AC458" s="3">
        <v>357</v>
      </c>
      <c r="AD458" s="3" t="str">
        <f>IFERROR(MID(VLOOKUP($B458,Seqs!$A:$B,2,0),AE458,1),"")</f>
        <v>V</v>
      </c>
      <c r="AE458" s="3">
        <v>378</v>
      </c>
      <c r="AF458" s="3" t="str">
        <f>IFERROR(MID(VLOOKUP($B458,Seqs!$A:$B,2,0),AG458,1),"")</f>
        <v>C</v>
      </c>
      <c r="AG458" s="3">
        <v>390</v>
      </c>
      <c r="AH458" s="3" t="str">
        <f>IFERROR(MID(VLOOKUP($B458,Seqs!$A:$B,2,0),AI458,1),"")</f>
        <v>V</v>
      </c>
      <c r="AI458" s="3">
        <v>392</v>
      </c>
      <c r="AJ458" s="3" t="str">
        <f>IFERROR(MID(VLOOKUP($B458,Seqs!$A:$B,2,0),AK458,1),"")</f>
        <v>N</v>
      </c>
      <c r="AK458" s="3">
        <v>396</v>
      </c>
      <c r="AL458" s="3" t="str">
        <f>IFERROR(MID(VLOOKUP($B458,Seqs!$A:$B,2,0),AM458,1),"")</f>
        <v>N</v>
      </c>
      <c r="AM458" s="3">
        <v>432</v>
      </c>
      <c r="AN458" s="3" t="str">
        <f>IFERROR(MID(VLOOKUP($B458,Seqs!$A:$B,2,0),AO458,1),"")</f>
        <v>E</v>
      </c>
      <c r="AO458" s="3">
        <v>447</v>
      </c>
      <c r="AP458" s="3" t="str">
        <f>IFERROR(MID(VLOOKUP($B458,Seqs!$A:$B,2,0),AQ458,1),"")</f>
        <v>N</v>
      </c>
      <c r="AQ458" s="3">
        <v>493</v>
      </c>
      <c r="AR458" s="3" t="str">
        <f>IFERROR(MID(VLOOKUP($B458,Seqs!$A:$B,2,0),AS458,1),"")</f>
        <v>S</v>
      </c>
      <c r="AS458" s="3">
        <v>514</v>
      </c>
      <c r="AT458" s="3" t="str">
        <f>IFERROR(MID(VLOOKUP($B458,Seqs!$A:$B,2,0),AU458,1),"")</f>
        <v>W</v>
      </c>
      <c r="AU458" s="3">
        <v>537</v>
      </c>
      <c r="AV458" s="3" t="str">
        <f>IFERROR(MID(VLOOKUP($B458,Seqs!$A:$B,2,0),AW458,1),"")</f>
        <v>T</v>
      </c>
      <c r="AW458" s="3">
        <v>538</v>
      </c>
      <c r="AX458" s="3" t="str">
        <f>IFERROR(MID(VLOOKUP($B458,Seqs!$A:$B,2,0),AY458,1),"")</f>
        <v>G</v>
      </c>
      <c r="AY458" s="3">
        <v>554</v>
      </c>
      <c r="AZ458" s="78" t="str">
        <f>VLOOKUP(B458,Classification!A:D,2,0)</f>
        <v>F</v>
      </c>
      <c r="BA458" s="94" t="str">
        <f>VLOOKUP(B458,Classification!A:D,4,0)</f>
        <v>Frizzled</v>
      </c>
      <c r="BB458" s="92" t="b">
        <f t="shared" si="1221"/>
        <v>1</v>
      </c>
      <c r="BC458" s="23">
        <f t="shared" si="1222"/>
        <v>246</v>
      </c>
      <c r="BD458" s="74" t="s">
        <v>23</v>
      </c>
      <c r="BE458" s="3" t="s">
        <v>1368</v>
      </c>
      <c r="BF458" s="118">
        <v>3</v>
      </c>
      <c r="BG458" s="49" t="s">
        <v>1</v>
      </c>
      <c r="BH458" s="49" t="s">
        <v>1</v>
      </c>
      <c r="BJ458" s="75" t="s">
        <v>1281</v>
      </c>
      <c r="BK458" s="57" t="s">
        <v>1281</v>
      </c>
      <c r="BL458" s="57" t="s">
        <v>1281</v>
      </c>
      <c r="BM458" s="57" t="s">
        <v>1281</v>
      </c>
      <c r="BN458" s="57" t="s">
        <v>1281</v>
      </c>
      <c r="BO458" s="57" t="s">
        <v>1281</v>
      </c>
      <c r="BP458" s="57" t="s">
        <v>1281</v>
      </c>
      <c r="BQ458" s="57" t="s">
        <v>1281</v>
      </c>
      <c r="BR458" s="57" t="s">
        <v>1281</v>
      </c>
      <c r="BS458" s="57" t="s">
        <v>1281</v>
      </c>
      <c r="BT458" s="57" t="s">
        <v>1281</v>
      </c>
      <c r="BU458" s="57" t="s">
        <v>1281</v>
      </c>
      <c r="BV458" s="75">
        <f>E458</f>
        <v>223</v>
      </c>
      <c r="BW458" s="71">
        <f>I458</f>
        <v>256</v>
      </c>
      <c r="BX458" s="72">
        <f>M458</f>
        <v>261</v>
      </c>
      <c r="BY458" s="71" t="str">
        <f>Q458</f>
        <v>-</v>
      </c>
      <c r="BZ458" s="72">
        <f>U458</f>
        <v>312</v>
      </c>
      <c r="CA458" s="71" t="str">
        <f>Y458</f>
        <v>-</v>
      </c>
      <c r="CB458" s="72">
        <f>AC458</f>
        <v>357</v>
      </c>
      <c r="CC458" s="71">
        <f>AG458</f>
        <v>390</v>
      </c>
      <c r="CD458" s="72">
        <f>AK458</f>
        <v>396</v>
      </c>
      <c r="CE458" s="71">
        <f>AO458</f>
        <v>447</v>
      </c>
      <c r="CF458" s="72">
        <f>AS458</f>
        <v>514</v>
      </c>
      <c r="CG458" s="71">
        <f>AW458</f>
        <v>538</v>
      </c>
      <c r="CH458" s="75">
        <f>G458</f>
        <v>255</v>
      </c>
      <c r="CI458" s="71">
        <f>K458</f>
        <v>260</v>
      </c>
      <c r="CJ458" s="72">
        <f>O458</f>
        <v>285</v>
      </c>
      <c r="CK458" s="72" t="str">
        <f>S458</f>
        <v>-</v>
      </c>
      <c r="CL458" s="72">
        <f>W458</f>
        <v>342</v>
      </c>
      <c r="CM458" s="72" t="str">
        <f>AA458</f>
        <v>-</v>
      </c>
      <c r="CN458" s="72">
        <f>AE458</f>
        <v>378</v>
      </c>
      <c r="CO458" s="72">
        <f>AI458</f>
        <v>392</v>
      </c>
      <c r="CP458" s="72">
        <f>AM458</f>
        <v>432</v>
      </c>
      <c r="CQ458" s="72">
        <f>AQ458</f>
        <v>493</v>
      </c>
      <c r="CR458" s="72">
        <f>AU458</f>
        <v>537</v>
      </c>
      <c r="CS458" s="72">
        <f>AY458</f>
        <v>554</v>
      </c>
      <c r="CT458" s="23">
        <f>M458-K458</f>
        <v>1</v>
      </c>
    </row>
    <row r="459" spans="1:1030" x14ac:dyDescent="0.2">
      <c r="A459" s="3" t="str">
        <f>CONCATENATE(B459,"_",C459)</f>
        <v>smo_human_6OT0</v>
      </c>
      <c r="B459" s="3" t="s">
        <v>33</v>
      </c>
      <c r="C459" s="3" t="s">
        <v>1574</v>
      </c>
      <c r="D459" s="3" t="str">
        <f>IFERROR(MID(VLOOKUP($B459,Seqs!$A:$B,2,0),E459,1),"")</f>
        <v>T</v>
      </c>
      <c r="E459" s="3">
        <v>223</v>
      </c>
      <c r="F459" s="3" t="str">
        <f>IFERROR(MID(VLOOKUP($B459,Seqs!$A:$B,2,0),G459,1),"")</f>
        <v>D</v>
      </c>
      <c r="G459" s="3">
        <v>255</v>
      </c>
      <c r="H459" s="3" t="str">
        <f>IFERROR(MID(VLOOKUP($B459,Seqs!$A:$B,2,0),I459,1),"")</f>
        <v>W</v>
      </c>
      <c r="I459" s="23">
        <v>256</v>
      </c>
      <c r="J459" s="3" t="str">
        <f>IFERROR(MID(VLOOKUP($B459,Seqs!$A:$B,2,0),K459,1),"")</f>
        <v>N</v>
      </c>
      <c r="K459" s="23">
        <v>260</v>
      </c>
      <c r="L459" s="3" t="str">
        <f>IFERROR(MID(VLOOKUP($B459,Seqs!$A:$B,2,0),M459,1),"")</f>
        <v>P</v>
      </c>
      <c r="M459" s="3">
        <v>263</v>
      </c>
      <c r="N459" s="3" t="str">
        <f>IFERROR(MID(VLOOKUP($B459,Seqs!$A:$B,2,0),O459,1),"")</f>
        <v>A</v>
      </c>
      <c r="O459" s="3">
        <v>283</v>
      </c>
      <c r="P459" s="3" t="str">
        <f>IFERROR(MID(VLOOKUP($B459,Seqs!$A:$B,2,0),Q459,1),"")</f>
        <v/>
      </c>
      <c r="Q459" s="3" t="s">
        <v>23</v>
      </c>
      <c r="R459" s="3" t="str">
        <f>IFERROR(MID(VLOOKUP($B459,Seqs!$A:$B,2,0),S459,1),"")</f>
        <v/>
      </c>
      <c r="S459" s="3" t="s">
        <v>23</v>
      </c>
      <c r="T459" s="3" t="str">
        <f>IFERROR(MID(VLOOKUP($B459,Seqs!$A:$B,2,0),U459,1),"")</f>
        <v>C</v>
      </c>
      <c r="U459" s="3">
        <v>314</v>
      </c>
      <c r="V459" s="3" t="str">
        <f>IFERROR(MID(VLOOKUP($B459,Seqs!$A:$B,2,0),W459,1),"")</f>
        <v>A</v>
      </c>
      <c r="W459" s="3">
        <v>345</v>
      </c>
      <c r="X459" s="3" t="str">
        <f>IFERROR(MID(VLOOKUP($B459,Seqs!$A:$B,2,0),Y459,1),"")</f>
        <v/>
      </c>
      <c r="Y459" s="3" t="s">
        <v>23</v>
      </c>
      <c r="Z459" s="3" t="str">
        <f>IFERROR(MID(VLOOKUP($B459,Seqs!$A:$B,2,0),AA459,1),"")</f>
        <v/>
      </c>
      <c r="AA459" s="3" t="s">
        <v>23</v>
      </c>
      <c r="AB459" s="3" t="str">
        <f>IFERROR(MID(VLOOKUP($B459,Seqs!$A:$B,2,0),AC459,1),"")</f>
        <v>K</v>
      </c>
      <c r="AC459" s="3">
        <v>356</v>
      </c>
      <c r="AD459" s="3" t="str">
        <f>IFERROR(MID(VLOOKUP($B459,Seqs!$A:$B,2,0),AE459,1),"")</f>
        <v>L</v>
      </c>
      <c r="AE459" s="3">
        <v>376</v>
      </c>
      <c r="AF459" s="3" t="str">
        <f>IFERROR(MID(VLOOKUP($B459,Seqs!$A:$B,2,0),AG459,1),"")</f>
        <v>C</v>
      </c>
      <c r="AG459" s="3">
        <v>390</v>
      </c>
      <c r="AH459" s="3" t="str">
        <f>IFERROR(MID(VLOOKUP($B459,Seqs!$A:$B,2,0),AI459,1),"")</f>
        <v>V</v>
      </c>
      <c r="AI459" s="3">
        <v>392</v>
      </c>
      <c r="AJ459" s="3" t="str">
        <f>IFERROR(MID(VLOOKUP($B459,Seqs!$A:$B,2,0),AK459,1),"")</f>
        <v>A</v>
      </c>
      <c r="AK459" s="3">
        <v>406</v>
      </c>
      <c r="AL459" s="3" t="str">
        <f>IFERROR(MID(VLOOKUP($B459,Seqs!$A:$B,2,0),AM459,1),"")</f>
        <v>S</v>
      </c>
      <c r="AM459" s="3">
        <v>428</v>
      </c>
      <c r="AN459" s="3" t="str">
        <f>IFERROR(MID(VLOOKUP($B459,Seqs!$A:$B,2,0),AO459,1),"")</f>
        <v>S</v>
      </c>
      <c r="AO459" s="3">
        <v>438</v>
      </c>
      <c r="AP459" s="3" t="str">
        <f>IFERROR(MID(VLOOKUP($B459,Seqs!$A:$B,2,0),AQ459,1),"")</f>
        <v>V</v>
      </c>
      <c r="AQ459" s="3">
        <v>494</v>
      </c>
      <c r="AR459" s="3" t="str">
        <f>IFERROR(MID(VLOOKUP($B459,Seqs!$A:$B,2,0),AS459,1),"")</f>
        <v>L</v>
      </c>
      <c r="AS459" s="3">
        <v>516</v>
      </c>
      <c r="AT459" s="3" t="str">
        <f>IFERROR(MID(VLOOKUP($B459,Seqs!$A:$B,2,0),AU459,1),"")</f>
        <v>W</v>
      </c>
      <c r="AU459" s="3">
        <v>537</v>
      </c>
      <c r="AV459" s="3" t="str">
        <f>IFERROR(MID(VLOOKUP($B459,Seqs!$A:$B,2,0),AW459,1),"")</f>
        <v>A</v>
      </c>
      <c r="AW459" s="3">
        <v>540</v>
      </c>
      <c r="AX459" s="3" t="str">
        <f>IFERROR(MID(VLOOKUP($B459,Seqs!$A:$B,2,0),AY459,1),"")</f>
        <v>L</v>
      </c>
      <c r="AY459" s="3">
        <v>552</v>
      </c>
      <c r="AZ459" s="78" t="str">
        <f>VLOOKUP(B459,Classification!A:D,2,0)</f>
        <v>F</v>
      </c>
      <c r="BA459" s="94" t="str">
        <f>VLOOKUP(B459,Classification!A:D,4,0)</f>
        <v>Frizzled</v>
      </c>
      <c r="BB459" s="92" t="b">
        <f t="shared" si="1221"/>
        <v>1</v>
      </c>
      <c r="BC459" s="23">
        <f t="shared" si="1222"/>
        <v>232</v>
      </c>
      <c r="BD459" s="74" t="s">
        <v>1369</v>
      </c>
      <c r="BE459" s="3" t="s">
        <v>1285</v>
      </c>
      <c r="BF459" s="118">
        <v>3.84</v>
      </c>
      <c r="BG459" s="49" t="s">
        <v>1416</v>
      </c>
      <c r="BH459" s="49" t="s">
        <v>1416</v>
      </c>
      <c r="BJ459" s="75" t="s">
        <v>1281</v>
      </c>
      <c r="BK459" s="57" t="s">
        <v>1281</v>
      </c>
      <c r="BL459" s="57" t="s">
        <v>1281</v>
      </c>
      <c r="BM459" s="57" t="s">
        <v>1281</v>
      </c>
      <c r="BN459" s="57" t="s">
        <v>1281</v>
      </c>
      <c r="BO459" s="57" t="s">
        <v>1281</v>
      </c>
      <c r="BP459" s="57" t="s">
        <v>1281</v>
      </c>
      <c r="BQ459" s="57" t="s">
        <v>1281</v>
      </c>
      <c r="BR459" s="57" t="s">
        <v>1281</v>
      </c>
      <c r="BS459" s="57" t="s">
        <v>1281</v>
      </c>
      <c r="BT459" s="57" t="s">
        <v>1281</v>
      </c>
      <c r="BU459" s="57" t="s">
        <v>1281</v>
      </c>
      <c r="BV459" s="75">
        <f>E459</f>
        <v>223</v>
      </c>
      <c r="BW459" s="71">
        <f>I459</f>
        <v>256</v>
      </c>
      <c r="BX459" s="72">
        <f>M459</f>
        <v>263</v>
      </c>
      <c r="BY459" s="71" t="str">
        <f>Q459</f>
        <v>-</v>
      </c>
      <c r="BZ459" s="72">
        <f>U459</f>
        <v>314</v>
      </c>
      <c r="CA459" s="71" t="str">
        <f>Y459</f>
        <v>-</v>
      </c>
      <c r="CB459" s="72">
        <f>AC459</f>
        <v>356</v>
      </c>
      <c r="CC459" s="71">
        <f>AG459</f>
        <v>390</v>
      </c>
      <c r="CD459" s="72">
        <f>AK459</f>
        <v>406</v>
      </c>
      <c r="CE459" s="71">
        <f>AO459</f>
        <v>438</v>
      </c>
      <c r="CF459" s="72">
        <f>AS459</f>
        <v>516</v>
      </c>
      <c r="CG459" s="71">
        <f>AW459</f>
        <v>540</v>
      </c>
      <c r="CH459" s="75">
        <f>G459</f>
        <v>255</v>
      </c>
      <c r="CI459" s="71">
        <f>K459</f>
        <v>260</v>
      </c>
      <c r="CJ459" s="72">
        <f>O459</f>
        <v>283</v>
      </c>
      <c r="CK459" s="72" t="str">
        <f>S459</f>
        <v>-</v>
      </c>
      <c r="CL459" s="72">
        <f>W459</f>
        <v>345</v>
      </c>
      <c r="CM459" s="72" t="str">
        <f>AA459</f>
        <v>-</v>
      </c>
      <c r="CN459" s="72">
        <f>AE459</f>
        <v>376</v>
      </c>
      <c r="CO459" s="72">
        <f>AI459</f>
        <v>392</v>
      </c>
      <c r="CP459" s="72">
        <f>AM459</f>
        <v>428</v>
      </c>
      <c r="CQ459" s="72">
        <f>AQ459</f>
        <v>494</v>
      </c>
      <c r="CR459" s="72">
        <f>AU459</f>
        <v>537</v>
      </c>
      <c r="CS459" s="72">
        <f>AY459</f>
        <v>552</v>
      </c>
      <c r="CT459" s="23">
        <f>M459-K459</f>
        <v>3</v>
      </c>
    </row>
    <row r="460" spans="1:1030" s="12" customFormat="1" x14ac:dyDescent="0.2">
      <c r="A460" s="9" t="str">
        <f>CONCATENATE(B460,"_",C460)</f>
        <v>smo_mouse__wt</v>
      </c>
      <c r="B460" s="9" t="s">
        <v>1588</v>
      </c>
      <c r="C460" s="9" t="s">
        <v>100</v>
      </c>
      <c r="D460" s="9" t="str">
        <f>IFERROR(MID(VLOOKUP($B460,Seqs!$A:$B,2,0),E460,1),"")</f>
        <v>T</v>
      </c>
      <c r="E460" s="9">
        <v>227</v>
      </c>
      <c r="F460" s="9" t="str">
        <f>IFERROR(MID(VLOOKUP($B460,Seqs!$A:$B,2,0),G460,1),"")</f>
        <v>D</v>
      </c>
      <c r="G460" s="9">
        <v>259</v>
      </c>
      <c r="H460" s="9" t="str">
        <f>IFERROR(MID(VLOOKUP($B460,Seqs!$A:$B,2,0),I460,1),"")</f>
        <v>W</v>
      </c>
      <c r="I460" s="109">
        <v>260</v>
      </c>
      <c r="J460" s="9" t="str">
        <f>IFERROR(MID(VLOOKUP($B460,Seqs!$A:$B,2,0),K460,1),"")</f>
        <v>N</v>
      </c>
      <c r="K460" s="109">
        <v>264</v>
      </c>
      <c r="L460" s="9" t="str">
        <f>IFERROR(MID(VLOOKUP($B460,Seqs!$A:$B,2,0),M460,1),"")</f>
        <v>R</v>
      </c>
      <c r="M460" s="9">
        <v>265</v>
      </c>
      <c r="N460" s="9" t="str">
        <f>IFERROR(MID(VLOOKUP($B460,Seqs!$A:$B,2,0),O460,1),"")</f>
        <v>F</v>
      </c>
      <c r="O460" s="9">
        <v>289</v>
      </c>
      <c r="P460" s="9" t="str">
        <f>IFERROR(MID(VLOOKUP($B460,Seqs!$A:$B,2,0),Q460,1),"")</f>
        <v/>
      </c>
      <c r="Q460" s="9" t="s">
        <v>23</v>
      </c>
      <c r="R460" s="9" t="str">
        <f>IFERROR(MID(VLOOKUP($B460,Seqs!$A:$B,2,0),S460,1),"")</f>
        <v/>
      </c>
      <c r="S460" s="9" t="s">
        <v>23</v>
      </c>
      <c r="T460" s="9" t="str">
        <f>IFERROR(MID(VLOOKUP($B460,Seqs!$A:$B,2,0),U460,1),"")</f>
        <v>L</v>
      </c>
      <c r="U460" s="9">
        <v>316</v>
      </c>
      <c r="V460" s="9" t="str">
        <f>IFERROR(MID(VLOOKUP($B460,Seqs!$A:$B,2,0),W460,1),"")</f>
        <v>A</v>
      </c>
      <c r="W460" s="9">
        <v>349</v>
      </c>
      <c r="X460" s="9" t="str">
        <f>IFERROR(MID(VLOOKUP($B460,Seqs!$A:$B,2,0),Y460,1),"")</f>
        <v/>
      </c>
      <c r="Y460" s="9" t="s">
        <v>23</v>
      </c>
      <c r="Z460" s="9" t="str">
        <f>IFERROR(MID(VLOOKUP($B460,Seqs!$A:$B,2,0),AA460,1),"")</f>
        <v/>
      </c>
      <c r="AA460" s="9" t="s">
        <v>23</v>
      </c>
      <c r="AB460" s="9" t="str">
        <f>IFERROR(MID(VLOOKUP($B460,Seqs!$A:$B,2,0),AC460,1),"")</f>
        <v>K</v>
      </c>
      <c r="AC460" s="9">
        <v>360</v>
      </c>
      <c r="AD460" s="9" t="str">
        <f>IFERROR(MID(VLOOKUP($B460,Seqs!$A:$B,2,0),AE460,1),"")</f>
        <v>A</v>
      </c>
      <c r="AE460" s="9">
        <v>383</v>
      </c>
      <c r="AF460" s="9" t="str">
        <f>IFERROR(MID(VLOOKUP($B460,Seqs!$A:$B,2,0),AG460,1),"")</f>
        <v>C</v>
      </c>
      <c r="AG460" s="9">
        <v>394</v>
      </c>
      <c r="AH460" s="9" t="str">
        <f>IFERROR(MID(VLOOKUP($B460,Seqs!$A:$B,2,0),AI460,1),"")</f>
        <v>V</v>
      </c>
      <c r="AI460" s="9">
        <v>396</v>
      </c>
      <c r="AJ460" s="9" t="str">
        <f>IFERROR(MID(VLOOKUP($B460,Seqs!$A:$B,2,0),AK460,1),"")</f>
        <v>N</v>
      </c>
      <c r="AK460" s="9">
        <v>400</v>
      </c>
      <c r="AL460" s="9" t="str">
        <f>IFERROR(MID(VLOOKUP($B460,Seqs!$A:$B,2,0),AM460,1),"")</f>
        <v>H</v>
      </c>
      <c r="AM460" s="9">
        <v>437</v>
      </c>
      <c r="AN460" s="9" t="str">
        <f>IFERROR(MID(VLOOKUP($B460,Seqs!$A:$B,2,0),AO460,1),"")</f>
        <v>S</v>
      </c>
      <c r="AO460" s="9">
        <v>442</v>
      </c>
      <c r="AP460" s="9" t="str">
        <f>IFERROR(MID(VLOOKUP($B460,Seqs!$A:$B,2,0),AQ460,1),"")</f>
        <v>I</v>
      </c>
      <c r="AQ460" s="9">
        <v>500</v>
      </c>
      <c r="AR460" s="9" t="str">
        <f>IFERROR(MID(VLOOKUP($B460,Seqs!$A:$B,2,0),AS460,1),"")</f>
        <v>S</v>
      </c>
      <c r="AS460" s="9">
        <v>518</v>
      </c>
      <c r="AT460" s="9" t="str">
        <f>IFERROR(MID(VLOOKUP($B460,Seqs!$A:$B,2,0),AU460,1),"")</f>
        <v>W</v>
      </c>
      <c r="AU460" s="9">
        <v>541</v>
      </c>
      <c r="AV460" s="9" t="str">
        <f>IFERROR(MID(VLOOKUP($B460,Seqs!$A:$B,2,0),AW460,1),"")</f>
        <v>T</v>
      </c>
      <c r="AW460" s="9">
        <v>542</v>
      </c>
      <c r="AX460" s="9" t="str">
        <f>IFERROR(MID(VLOOKUP($B460,Seqs!$A:$B,2,0),AY460,1),"")</f>
        <v>T</v>
      </c>
      <c r="AY460" s="9">
        <v>557</v>
      </c>
      <c r="AZ460" s="134" t="str">
        <f>VLOOKUP(B460,Classification!A:D,2,0)</f>
        <v>F</v>
      </c>
      <c r="BA460" s="98" t="str">
        <f>VLOOKUP(B460,Classification!A:D,4,0)</f>
        <v>Frizzled</v>
      </c>
      <c r="BB460" s="135" t="b">
        <f t="shared" ref="BB460:BB461" si="1223">AND(E460&lt;G460,OR(G460&lt;I460,I460="-"),OR(I460&lt;K460,I460="-"),OR(K460&lt;M460,K460="-"),M460&lt;O460,OR(O460&lt;Q460,Q460="-"),OR(Q460&lt;S460,Q460="-"),OR(S460&lt;U460,S460="-"),U460&lt;W460,OR(W460&lt;Y460,Y460="-"),OR(Y460&lt;AA460,Y460="-"),OR(AA460&lt;AC460,AA460="-"),AC460&lt;AE460,OR(AE460&lt;AG460,AG460="-"),OR(AG460&lt;AI460,AG460="-"),OR(AI460&lt;AK460,AI460="-"),AK460&lt;AM460,AM460&lt;AO460,AO460&lt;AQ460,AQ460&lt;AS460,AS460&lt;AU460,OR(AU460&lt;AW460,AW460="-"),OR(AW460&lt;AY460,AW460="-"))</f>
        <v>1</v>
      </c>
      <c r="BC460" s="109">
        <f t="shared" ref="BC460:BC461" si="1224">_xlfn.AGGREGATE(9,6,CH460:CS460)-_xlfn.AGGREGATE(9,6,BV460:CG460)+12</f>
        <v>263</v>
      </c>
      <c r="BD460" s="123" t="s">
        <v>23</v>
      </c>
      <c r="BE460" s="9" t="s">
        <v>1285</v>
      </c>
      <c r="BF460" s="119">
        <v>4.84</v>
      </c>
      <c r="BG460" s="51" t="s">
        <v>1416</v>
      </c>
      <c r="BH460" s="51" t="s">
        <v>1416</v>
      </c>
      <c r="BI460" s="9"/>
      <c r="BJ460" s="136" t="s">
        <v>1281</v>
      </c>
      <c r="BK460" s="112" t="s">
        <v>1281</v>
      </c>
      <c r="BL460" s="112" t="s">
        <v>1281</v>
      </c>
      <c r="BM460" s="112" t="s">
        <v>1281</v>
      </c>
      <c r="BN460" s="112" t="s">
        <v>1281</v>
      </c>
      <c r="BO460" s="112" t="s">
        <v>1281</v>
      </c>
      <c r="BP460" s="112" t="s">
        <v>1281</v>
      </c>
      <c r="BQ460" s="112" t="s">
        <v>1281</v>
      </c>
      <c r="BR460" s="112" t="s">
        <v>1281</v>
      </c>
      <c r="BS460" s="112" t="s">
        <v>1281</v>
      </c>
      <c r="BT460" s="112" t="s">
        <v>1281</v>
      </c>
      <c r="BU460" s="112" t="s">
        <v>1281</v>
      </c>
      <c r="BV460" s="136">
        <f t="shared" ref="BV460:BV461" si="1225">E460</f>
        <v>227</v>
      </c>
      <c r="BW460" s="113">
        <f t="shared" ref="BW460:BW461" si="1226">I460</f>
        <v>260</v>
      </c>
      <c r="BX460" s="114">
        <f t="shared" ref="BX460:BX461" si="1227">M460</f>
        <v>265</v>
      </c>
      <c r="BY460" s="113" t="str">
        <f t="shared" ref="BY460:BY461" si="1228">Q460</f>
        <v>-</v>
      </c>
      <c r="BZ460" s="114">
        <f t="shared" ref="BZ460:BZ461" si="1229">U460</f>
        <v>316</v>
      </c>
      <c r="CA460" s="113" t="str">
        <f t="shared" ref="CA460:CA461" si="1230">Y460</f>
        <v>-</v>
      </c>
      <c r="CB460" s="114">
        <f t="shared" ref="CB460:CB461" si="1231">AC460</f>
        <v>360</v>
      </c>
      <c r="CC460" s="113">
        <f t="shared" ref="CC460:CC461" si="1232">AG460</f>
        <v>394</v>
      </c>
      <c r="CD460" s="114">
        <f t="shared" ref="CD460:CD461" si="1233">AK460</f>
        <v>400</v>
      </c>
      <c r="CE460" s="113">
        <f t="shared" ref="CE460:CE461" si="1234">AO460</f>
        <v>442</v>
      </c>
      <c r="CF460" s="114">
        <f t="shared" ref="CF460:CF461" si="1235">AS460</f>
        <v>518</v>
      </c>
      <c r="CG460" s="113">
        <f t="shared" ref="CG460:CG461" si="1236">AW460</f>
        <v>542</v>
      </c>
      <c r="CH460" s="136">
        <f t="shared" ref="CH460:CH461" si="1237">G460</f>
        <v>259</v>
      </c>
      <c r="CI460" s="113">
        <f t="shared" ref="CI460:CI461" si="1238">K460</f>
        <v>264</v>
      </c>
      <c r="CJ460" s="114">
        <f t="shared" ref="CJ460:CJ461" si="1239">O460</f>
        <v>289</v>
      </c>
      <c r="CK460" s="114" t="str">
        <f t="shared" ref="CK460:CK461" si="1240">S460</f>
        <v>-</v>
      </c>
      <c r="CL460" s="114">
        <f t="shared" ref="CL460:CL461" si="1241">W460</f>
        <v>349</v>
      </c>
      <c r="CM460" s="114" t="str">
        <f t="shared" ref="CM460:CM461" si="1242">AA460</f>
        <v>-</v>
      </c>
      <c r="CN460" s="114">
        <f t="shared" ref="CN460:CN461" si="1243">AE460</f>
        <v>383</v>
      </c>
      <c r="CO460" s="114">
        <f t="shared" ref="CO460:CO461" si="1244">AI460</f>
        <v>396</v>
      </c>
      <c r="CP460" s="114">
        <f t="shared" ref="CP460:CP461" si="1245">AM460</f>
        <v>437</v>
      </c>
      <c r="CQ460" s="114">
        <f t="shared" ref="CQ460:CQ461" si="1246">AQ460</f>
        <v>500</v>
      </c>
      <c r="CR460" s="114">
        <f t="shared" ref="CR460:CR461" si="1247">AU460</f>
        <v>541</v>
      </c>
      <c r="CS460" s="114">
        <f t="shared" ref="CS460:CS461" si="1248">AY460</f>
        <v>557</v>
      </c>
      <c r="CT460" s="109">
        <f t="shared" ref="CT460:CT461" si="1249">M460-K460</f>
        <v>1</v>
      </c>
      <c r="CU460" s="9"/>
      <c r="CV460" s="9"/>
      <c r="CW460" s="9"/>
      <c r="CX460" s="9"/>
      <c r="CY460" s="9"/>
      <c r="CZ460" s="9"/>
      <c r="DA460" s="9"/>
      <c r="DB460" s="9"/>
      <c r="DC460" s="9"/>
      <c r="DD460" s="9"/>
      <c r="DE460" s="9"/>
      <c r="DF460" s="9"/>
      <c r="DG460" s="9"/>
      <c r="DH460" s="9"/>
      <c r="DI460" s="9"/>
      <c r="DJ460" s="9"/>
      <c r="DK460" s="9"/>
      <c r="DL460" s="9"/>
      <c r="DM460" s="9"/>
      <c r="DN460" s="9"/>
      <c r="DO460" s="9"/>
      <c r="DP460" s="9"/>
      <c r="DQ460" s="9"/>
      <c r="DR460" s="9"/>
      <c r="DS460" s="9"/>
      <c r="DT460" s="9"/>
      <c r="DU460" s="9"/>
      <c r="DV460" s="9"/>
      <c r="DW460" s="9"/>
      <c r="DX460" s="9"/>
      <c r="DY460" s="9"/>
      <c r="DZ460" s="9"/>
      <c r="EA460" s="9"/>
      <c r="EB460" s="9"/>
      <c r="EC460" s="9"/>
      <c r="ED460" s="9"/>
      <c r="EE460" s="9"/>
      <c r="EF460" s="9"/>
      <c r="EG460" s="9"/>
      <c r="EH460" s="9"/>
      <c r="EI460" s="9"/>
      <c r="EJ460" s="9"/>
      <c r="EK460" s="9"/>
      <c r="EL460" s="9"/>
      <c r="EM460" s="9"/>
      <c r="EN460" s="9"/>
      <c r="EO460" s="9"/>
      <c r="EP460" s="9"/>
      <c r="EQ460" s="9"/>
      <c r="ER460" s="9"/>
      <c r="ES460" s="9"/>
      <c r="ET460" s="9"/>
      <c r="EU460" s="9"/>
      <c r="EV460" s="9"/>
      <c r="EW460" s="9"/>
      <c r="EX460" s="9"/>
      <c r="EY460" s="9"/>
      <c r="EZ460" s="9"/>
      <c r="FA460" s="9"/>
      <c r="FB460" s="9"/>
      <c r="FC460" s="9"/>
      <c r="FD460" s="9"/>
      <c r="FE460" s="9"/>
      <c r="FF460" s="9"/>
      <c r="FG460" s="9"/>
      <c r="FH460" s="9"/>
      <c r="FI460" s="9"/>
      <c r="FJ460" s="9"/>
      <c r="FK460" s="9"/>
      <c r="FL460" s="9"/>
      <c r="FM460" s="9"/>
      <c r="FN460" s="9"/>
      <c r="FO460" s="9"/>
      <c r="FP460" s="9"/>
      <c r="FQ460" s="9"/>
      <c r="FR460" s="9"/>
      <c r="FS460" s="9"/>
      <c r="FT460" s="9"/>
      <c r="FU460" s="9"/>
      <c r="FV460" s="9"/>
      <c r="FW460" s="9"/>
      <c r="FX460" s="9"/>
      <c r="FY460" s="9"/>
      <c r="FZ460" s="9"/>
      <c r="GA460" s="9"/>
      <c r="GB460" s="9"/>
      <c r="GC460" s="9"/>
      <c r="GD460" s="9"/>
      <c r="GE460" s="9"/>
      <c r="GF460" s="9"/>
      <c r="GG460" s="9"/>
      <c r="GH460" s="9"/>
      <c r="GI460" s="9"/>
      <c r="GJ460" s="9"/>
      <c r="GK460" s="9"/>
      <c r="GL460" s="9"/>
      <c r="GM460" s="9"/>
      <c r="GN460" s="9"/>
      <c r="GO460" s="9"/>
      <c r="GP460" s="9"/>
      <c r="GQ460" s="9"/>
      <c r="GR460" s="9"/>
      <c r="GS460" s="9"/>
      <c r="GT460" s="9"/>
      <c r="GU460" s="9"/>
      <c r="GV460" s="9"/>
      <c r="GW460" s="9"/>
      <c r="GX460" s="9"/>
      <c r="GY460" s="9"/>
      <c r="GZ460" s="9"/>
      <c r="HA460" s="9"/>
      <c r="HB460" s="9"/>
      <c r="HC460" s="9"/>
      <c r="HD460" s="9"/>
      <c r="HE460" s="9"/>
      <c r="HF460" s="9"/>
      <c r="HG460" s="9"/>
      <c r="HH460" s="9"/>
      <c r="HI460" s="9"/>
      <c r="HJ460" s="9"/>
      <c r="HK460" s="9"/>
      <c r="HL460" s="9"/>
      <c r="HM460" s="9"/>
      <c r="HN460" s="9"/>
      <c r="HO460" s="9"/>
      <c r="HP460" s="9"/>
      <c r="HQ460" s="9"/>
      <c r="HR460" s="9"/>
      <c r="HS460" s="9"/>
      <c r="HT460" s="9"/>
      <c r="HU460" s="9"/>
      <c r="HV460" s="9"/>
      <c r="HW460" s="9"/>
      <c r="HX460" s="9"/>
      <c r="HY460" s="9"/>
      <c r="HZ460" s="9"/>
      <c r="IA460" s="9"/>
      <c r="IB460" s="9"/>
      <c r="IC460" s="9"/>
      <c r="ID460" s="9"/>
      <c r="IE460" s="9"/>
      <c r="IF460" s="9"/>
      <c r="IG460" s="9"/>
      <c r="IH460" s="9"/>
      <c r="II460" s="9"/>
      <c r="IJ460" s="9"/>
      <c r="IK460" s="9"/>
      <c r="IL460" s="9"/>
      <c r="IM460" s="9"/>
      <c r="IN460" s="9"/>
      <c r="IO460" s="9"/>
      <c r="IP460" s="9"/>
      <c r="IQ460" s="9"/>
      <c r="IR460" s="9"/>
      <c r="IS460" s="9"/>
      <c r="IT460" s="9"/>
      <c r="IU460" s="9"/>
      <c r="IV460" s="9"/>
      <c r="IW460" s="9"/>
      <c r="IX460" s="9"/>
      <c r="IY460" s="9"/>
      <c r="IZ460" s="9"/>
      <c r="JA460" s="9"/>
      <c r="JB460" s="9"/>
      <c r="JC460" s="9"/>
      <c r="JD460" s="9"/>
      <c r="JE460" s="9"/>
      <c r="JF460" s="9"/>
      <c r="JG460" s="9"/>
      <c r="JH460" s="9"/>
      <c r="JI460" s="9"/>
      <c r="JJ460" s="9"/>
      <c r="JK460" s="9"/>
      <c r="JL460" s="9"/>
      <c r="JM460" s="9"/>
      <c r="JN460" s="9"/>
      <c r="JO460" s="9"/>
      <c r="JP460" s="9"/>
      <c r="JQ460" s="9"/>
      <c r="JR460" s="9"/>
      <c r="JS460" s="9"/>
      <c r="JT460" s="9"/>
      <c r="JU460" s="9"/>
      <c r="JV460" s="9"/>
      <c r="JW460" s="9"/>
      <c r="JX460" s="9"/>
      <c r="JY460" s="9"/>
      <c r="JZ460" s="9"/>
      <c r="KA460" s="9"/>
      <c r="KB460" s="9"/>
      <c r="KC460" s="9"/>
      <c r="KD460" s="9"/>
      <c r="KE460" s="9"/>
      <c r="KF460" s="9"/>
      <c r="KG460" s="9"/>
      <c r="KH460" s="9"/>
      <c r="KI460" s="9"/>
      <c r="KJ460" s="9"/>
      <c r="KK460" s="9"/>
      <c r="KL460" s="9"/>
      <c r="KM460" s="9"/>
      <c r="KN460" s="9"/>
      <c r="KO460" s="9"/>
      <c r="KP460" s="9"/>
      <c r="KQ460" s="9"/>
      <c r="KR460" s="9"/>
      <c r="KS460" s="9"/>
      <c r="KT460" s="9"/>
      <c r="KU460" s="9"/>
      <c r="KV460" s="9"/>
      <c r="KW460" s="9"/>
      <c r="KX460" s="9"/>
      <c r="KY460" s="9"/>
      <c r="KZ460" s="9"/>
      <c r="LA460" s="9"/>
      <c r="LB460" s="9"/>
      <c r="LC460" s="9"/>
      <c r="LD460" s="9"/>
      <c r="LE460" s="9"/>
      <c r="LF460" s="9"/>
      <c r="LG460" s="9"/>
      <c r="LH460" s="9"/>
      <c r="LI460" s="9"/>
      <c r="LJ460" s="9"/>
      <c r="LK460" s="9"/>
      <c r="LL460" s="9"/>
      <c r="LM460" s="9"/>
      <c r="LN460" s="9"/>
      <c r="LO460" s="9"/>
      <c r="LP460" s="9"/>
      <c r="LQ460" s="9"/>
      <c r="LR460" s="9"/>
      <c r="LS460" s="9"/>
      <c r="LT460" s="9"/>
      <c r="LU460" s="9"/>
      <c r="LV460" s="9"/>
      <c r="LW460" s="9"/>
      <c r="LX460" s="9"/>
      <c r="LY460" s="9"/>
      <c r="LZ460" s="9"/>
      <c r="MA460" s="9"/>
      <c r="MB460" s="9"/>
      <c r="MC460" s="9"/>
      <c r="MD460" s="9"/>
      <c r="ME460" s="9"/>
      <c r="MF460" s="9"/>
      <c r="MG460" s="9"/>
      <c r="MH460" s="9"/>
      <c r="MI460" s="9"/>
      <c r="MJ460" s="9"/>
      <c r="MK460" s="9"/>
      <c r="ML460" s="9"/>
      <c r="MM460" s="9"/>
      <c r="MN460" s="9"/>
      <c r="MO460" s="9"/>
      <c r="MP460" s="9"/>
      <c r="MQ460" s="9"/>
      <c r="MR460" s="9"/>
      <c r="MS460" s="9"/>
      <c r="MT460" s="9"/>
      <c r="MU460" s="9"/>
      <c r="MV460" s="9"/>
      <c r="MW460" s="9"/>
      <c r="MX460" s="9"/>
      <c r="MY460" s="9"/>
      <c r="MZ460" s="9"/>
      <c r="NA460" s="9"/>
      <c r="NB460" s="9"/>
      <c r="NC460" s="9"/>
      <c r="ND460" s="9"/>
      <c r="NE460" s="9"/>
      <c r="NF460" s="9"/>
      <c r="NG460" s="9"/>
      <c r="NH460" s="9"/>
      <c r="NI460" s="9"/>
      <c r="NJ460" s="9"/>
      <c r="NK460" s="9"/>
      <c r="NL460" s="9"/>
      <c r="NM460" s="9"/>
      <c r="NN460" s="9"/>
      <c r="NO460" s="9"/>
      <c r="NP460" s="9"/>
      <c r="NQ460" s="9"/>
      <c r="NR460" s="9"/>
      <c r="NS460" s="9"/>
      <c r="NT460" s="9"/>
      <c r="NU460" s="9"/>
      <c r="NV460" s="9"/>
      <c r="NW460" s="9"/>
      <c r="NX460" s="9"/>
      <c r="NY460" s="9"/>
      <c r="NZ460" s="9"/>
      <c r="OA460" s="9"/>
      <c r="OB460" s="9"/>
      <c r="OC460" s="9"/>
      <c r="OD460" s="9"/>
      <c r="OE460" s="9"/>
      <c r="OF460" s="9"/>
      <c r="OG460" s="9"/>
      <c r="OH460" s="9"/>
      <c r="OI460" s="9"/>
      <c r="OJ460" s="9"/>
      <c r="OK460" s="9"/>
      <c r="OL460" s="9"/>
      <c r="OM460" s="9"/>
      <c r="ON460" s="9"/>
      <c r="OO460" s="9"/>
      <c r="OP460" s="9"/>
      <c r="OQ460" s="9"/>
      <c r="OR460" s="9"/>
      <c r="OS460" s="9"/>
      <c r="OT460" s="9"/>
      <c r="OU460" s="9"/>
      <c r="OV460" s="9"/>
      <c r="OW460" s="9"/>
      <c r="OX460" s="9"/>
      <c r="OY460" s="9"/>
      <c r="OZ460" s="9"/>
      <c r="PA460" s="9"/>
      <c r="PB460" s="9"/>
      <c r="PC460" s="9"/>
      <c r="PD460" s="9"/>
      <c r="PE460" s="9"/>
      <c r="PF460" s="9"/>
      <c r="PG460" s="9"/>
      <c r="PH460" s="9"/>
      <c r="PI460" s="9"/>
      <c r="PJ460" s="9"/>
      <c r="PK460" s="9"/>
      <c r="PL460" s="9"/>
      <c r="PM460" s="9"/>
      <c r="PN460" s="9"/>
      <c r="PO460" s="9"/>
      <c r="PP460" s="9"/>
      <c r="PQ460" s="9"/>
      <c r="PR460" s="9"/>
      <c r="PS460" s="9"/>
      <c r="PT460" s="9"/>
      <c r="PU460" s="9"/>
      <c r="PV460" s="9"/>
      <c r="PW460" s="9"/>
      <c r="PX460" s="9"/>
      <c r="PY460" s="9"/>
      <c r="PZ460" s="9"/>
      <c r="QA460" s="9"/>
      <c r="QB460" s="9"/>
      <c r="QC460" s="9"/>
      <c r="QD460" s="9"/>
      <c r="QE460" s="9"/>
      <c r="QF460" s="9"/>
      <c r="QG460" s="9"/>
      <c r="QH460" s="9"/>
      <c r="QI460" s="9"/>
      <c r="QJ460" s="9"/>
      <c r="QK460" s="9"/>
      <c r="QL460" s="9"/>
      <c r="QM460" s="9"/>
      <c r="QN460" s="9"/>
      <c r="QO460" s="9"/>
      <c r="QP460" s="9"/>
      <c r="QQ460" s="9"/>
      <c r="QR460" s="9"/>
      <c r="QS460" s="9"/>
      <c r="QT460" s="9"/>
      <c r="QU460" s="9"/>
      <c r="QV460" s="9"/>
      <c r="QW460" s="9"/>
      <c r="QX460" s="9"/>
      <c r="QY460" s="9"/>
      <c r="QZ460" s="9"/>
      <c r="RA460" s="9"/>
      <c r="RB460" s="9"/>
      <c r="RC460" s="9"/>
      <c r="RD460" s="9"/>
      <c r="RE460" s="9"/>
      <c r="RF460" s="9"/>
      <c r="RG460" s="9"/>
      <c r="RH460" s="9"/>
      <c r="RI460" s="9"/>
      <c r="RJ460" s="9"/>
      <c r="RK460" s="9"/>
      <c r="RL460" s="9"/>
      <c r="RM460" s="9"/>
      <c r="RN460" s="9"/>
      <c r="RO460" s="9"/>
      <c r="RP460" s="9"/>
      <c r="RQ460" s="9"/>
      <c r="RR460" s="9"/>
      <c r="RS460" s="9"/>
      <c r="RT460" s="9"/>
      <c r="RU460" s="9"/>
      <c r="RV460" s="9"/>
      <c r="RW460" s="9"/>
      <c r="RX460" s="9"/>
      <c r="RY460" s="9"/>
      <c r="RZ460" s="9"/>
      <c r="SA460" s="9"/>
      <c r="SB460" s="9"/>
      <c r="SC460" s="9"/>
      <c r="SD460" s="9"/>
      <c r="SE460" s="9"/>
      <c r="SF460" s="9"/>
      <c r="SG460" s="9"/>
      <c r="SH460" s="9"/>
      <c r="SI460" s="9"/>
      <c r="SJ460" s="9"/>
      <c r="SK460" s="9"/>
      <c r="SL460" s="9"/>
      <c r="SM460" s="9"/>
      <c r="SN460" s="9"/>
      <c r="SO460" s="9"/>
      <c r="SP460" s="9"/>
      <c r="SQ460" s="9"/>
      <c r="SR460" s="9"/>
      <c r="SS460" s="9"/>
      <c r="ST460" s="9"/>
      <c r="SU460" s="9"/>
      <c r="SV460" s="9"/>
      <c r="SW460" s="9"/>
      <c r="SX460" s="9"/>
      <c r="SY460" s="9"/>
      <c r="SZ460" s="9"/>
      <c r="TA460" s="9"/>
      <c r="TB460" s="9"/>
      <c r="TC460" s="9"/>
      <c r="TD460" s="9"/>
      <c r="TE460" s="9"/>
      <c r="TF460" s="9"/>
      <c r="TG460" s="9"/>
      <c r="TH460" s="9"/>
      <c r="TI460" s="9"/>
      <c r="TJ460" s="9"/>
      <c r="TK460" s="9"/>
      <c r="TL460" s="9"/>
      <c r="TM460" s="9"/>
      <c r="TN460" s="9"/>
      <c r="TO460" s="9"/>
      <c r="TP460" s="9"/>
      <c r="TQ460" s="9"/>
      <c r="TR460" s="9"/>
      <c r="TS460" s="9"/>
      <c r="TT460" s="9"/>
      <c r="TU460" s="9"/>
      <c r="TV460" s="9"/>
      <c r="TW460" s="9"/>
      <c r="TX460" s="9"/>
      <c r="TY460" s="9"/>
      <c r="TZ460" s="9"/>
      <c r="UA460" s="9"/>
      <c r="UB460" s="9"/>
      <c r="UC460" s="9"/>
      <c r="UD460" s="9"/>
      <c r="UE460" s="9"/>
      <c r="UF460" s="9"/>
      <c r="UG460" s="9"/>
      <c r="UH460" s="9"/>
      <c r="UI460" s="9"/>
      <c r="UJ460" s="9"/>
      <c r="UK460" s="9"/>
      <c r="UL460" s="9"/>
      <c r="UM460" s="9"/>
      <c r="UN460" s="9"/>
      <c r="UO460" s="9"/>
      <c r="UP460" s="9"/>
      <c r="UQ460" s="9"/>
      <c r="UR460" s="9"/>
      <c r="US460" s="9"/>
      <c r="UT460" s="9"/>
      <c r="UU460" s="9"/>
      <c r="UV460" s="9"/>
      <c r="UW460" s="9"/>
      <c r="UX460" s="9"/>
      <c r="UY460" s="9"/>
      <c r="UZ460" s="9"/>
      <c r="VA460" s="9"/>
      <c r="VB460" s="9"/>
      <c r="VC460" s="9"/>
      <c r="VD460" s="9"/>
      <c r="VE460" s="9"/>
      <c r="VF460" s="9"/>
      <c r="VG460" s="9"/>
      <c r="VH460" s="9"/>
      <c r="VI460" s="9"/>
      <c r="VJ460" s="9"/>
      <c r="VK460" s="9"/>
      <c r="VL460" s="9"/>
      <c r="VM460" s="9"/>
      <c r="VN460" s="9"/>
      <c r="VO460" s="9"/>
      <c r="VP460" s="9"/>
      <c r="VQ460" s="9"/>
      <c r="VR460" s="9"/>
      <c r="VS460" s="9"/>
      <c r="VT460" s="9"/>
      <c r="VU460" s="9"/>
      <c r="VV460" s="9"/>
      <c r="VW460" s="9"/>
      <c r="VX460" s="9"/>
      <c r="VY460" s="9"/>
      <c r="VZ460" s="9"/>
      <c r="WA460" s="9"/>
      <c r="WB460" s="9"/>
      <c r="WC460" s="9"/>
      <c r="WD460" s="9"/>
      <c r="WE460" s="9"/>
      <c r="WF460" s="9"/>
      <c r="WG460" s="9"/>
      <c r="WH460" s="9"/>
      <c r="WI460" s="9"/>
      <c r="WJ460" s="9"/>
      <c r="WK460" s="9"/>
      <c r="WL460" s="9"/>
      <c r="WM460" s="9"/>
      <c r="WN460" s="9"/>
      <c r="WO460" s="9"/>
      <c r="WP460" s="9"/>
      <c r="WQ460" s="9"/>
      <c r="WR460" s="9"/>
      <c r="WS460" s="9"/>
      <c r="WT460" s="9"/>
      <c r="WU460" s="9"/>
      <c r="WV460" s="9"/>
      <c r="WW460" s="9"/>
      <c r="WX460" s="9"/>
      <c r="WY460" s="9"/>
      <c r="WZ460" s="9"/>
      <c r="XA460" s="9"/>
      <c r="XB460" s="9"/>
      <c r="XC460" s="9"/>
      <c r="XD460" s="9"/>
      <c r="XE460" s="9"/>
      <c r="XF460" s="9"/>
      <c r="XG460" s="9"/>
      <c r="XH460" s="9"/>
      <c r="XI460" s="9"/>
      <c r="XJ460" s="9"/>
      <c r="XK460" s="9"/>
      <c r="XL460" s="9"/>
      <c r="XM460" s="9"/>
      <c r="XN460" s="9"/>
      <c r="XO460" s="9"/>
      <c r="XP460" s="9"/>
      <c r="XQ460" s="9"/>
      <c r="XR460" s="9"/>
      <c r="XS460" s="9"/>
      <c r="XT460" s="9"/>
      <c r="XU460" s="9"/>
      <c r="XV460" s="9"/>
      <c r="XW460" s="9"/>
      <c r="XX460" s="9"/>
      <c r="XY460" s="9"/>
      <c r="XZ460" s="9"/>
      <c r="YA460" s="9"/>
      <c r="YB460" s="9"/>
      <c r="YC460" s="9"/>
      <c r="YD460" s="9"/>
      <c r="YE460" s="9"/>
      <c r="YF460" s="9"/>
      <c r="YG460" s="9"/>
      <c r="YH460" s="9"/>
      <c r="YI460" s="9"/>
      <c r="YJ460" s="9"/>
      <c r="YK460" s="9"/>
      <c r="YL460" s="9"/>
      <c r="YM460" s="9"/>
      <c r="YN460" s="9"/>
      <c r="YO460" s="9"/>
      <c r="YP460" s="9"/>
      <c r="YQ460" s="9"/>
      <c r="YR460" s="9"/>
      <c r="YS460" s="9"/>
      <c r="YT460" s="9"/>
      <c r="YU460" s="9"/>
      <c r="YV460" s="9"/>
      <c r="YW460" s="9"/>
      <c r="YX460" s="9"/>
      <c r="YY460" s="9"/>
      <c r="YZ460" s="9"/>
      <c r="ZA460" s="9"/>
      <c r="ZB460" s="9"/>
      <c r="ZC460" s="9"/>
      <c r="ZD460" s="9"/>
      <c r="ZE460" s="9"/>
      <c r="ZF460" s="9"/>
      <c r="ZG460" s="9"/>
      <c r="ZH460" s="9"/>
      <c r="ZI460" s="9"/>
      <c r="ZJ460" s="9"/>
      <c r="ZK460" s="9"/>
      <c r="ZL460" s="9"/>
      <c r="ZM460" s="9"/>
      <c r="ZN460" s="9"/>
      <c r="ZO460" s="9"/>
      <c r="ZP460" s="9"/>
      <c r="ZQ460" s="9"/>
      <c r="ZR460" s="9"/>
      <c r="ZS460" s="9"/>
      <c r="ZT460" s="9"/>
      <c r="ZU460" s="9"/>
      <c r="ZV460" s="9"/>
      <c r="ZW460" s="9"/>
      <c r="ZX460" s="9"/>
      <c r="ZY460" s="9"/>
      <c r="ZZ460" s="9"/>
      <c r="AAA460" s="9"/>
      <c r="AAB460" s="9"/>
      <c r="AAC460" s="9"/>
      <c r="AAD460" s="9"/>
      <c r="AAE460" s="9"/>
      <c r="AAF460" s="9"/>
      <c r="AAG460" s="9"/>
      <c r="AAH460" s="9"/>
      <c r="AAI460" s="9"/>
      <c r="AAJ460" s="9"/>
      <c r="AAK460" s="9"/>
      <c r="AAL460" s="9"/>
      <c r="AAM460" s="9"/>
      <c r="AAN460" s="9"/>
      <c r="AAO460" s="9"/>
      <c r="AAP460" s="9"/>
      <c r="AAQ460" s="9"/>
      <c r="AAR460" s="9"/>
      <c r="AAS460" s="9"/>
      <c r="AAT460" s="9"/>
      <c r="AAU460" s="9"/>
      <c r="AAV460" s="9"/>
      <c r="AAW460" s="9"/>
      <c r="AAX460" s="9"/>
      <c r="AAY460" s="9"/>
      <c r="AAZ460" s="9"/>
      <c r="ABA460" s="9"/>
      <c r="ABB460" s="9"/>
      <c r="ABC460" s="9"/>
      <c r="ABD460" s="9"/>
      <c r="ABE460" s="9"/>
      <c r="ABF460" s="9"/>
      <c r="ABG460" s="9"/>
      <c r="ABH460" s="9"/>
      <c r="ABI460" s="9"/>
      <c r="ABJ460" s="9"/>
      <c r="ABK460" s="9"/>
      <c r="ABL460" s="9"/>
      <c r="ABM460" s="9"/>
      <c r="ABN460" s="9"/>
      <c r="ABO460" s="9"/>
      <c r="ABP460" s="9"/>
      <c r="ABQ460" s="9"/>
      <c r="ABR460" s="9"/>
      <c r="ABS460" s="9"/>
      <c r="ABT460" s="9"/>
      <c r="ABU460" s="9"/>
      <c r="ABV460" s="9"/>
      <c r="ABW460" s="9"/>
      <c r="ABX460" s="9"/>
      <c r="ABY460" s="9"/>
      <c r="ABZ460" s="9"/>
      <c r="ACA460" s="9"/>
      <c r="ACB460" s="9"/>
      <c r="ACC460" s="9"/>
      <c r="ACD460" s="9"/>
      <c r="ACE460" s="9"/>
      <c r="ACF460" s="9"/>
      <c r="ACG460" s="9"/>
      <c r="ACH460" s="9"/>
      <c r="ACI460" s="9"/>
      <c r="ACJ460" s="9"/>
      <c r="ACK460" s="9"/>
      <c r="ACL460" s="9"/>
      <c r="ACM460" s="9"/>
      <c r="ACN460" s="9"/>
      <c r="ACO460" s="9"/>
      <c r="ACP460" s="9"/>
      <c r="ACQ460" s="9"/>
      <c r="ACR460" s="9"/>
      <c r="ACS460" s="9"/>
      <c r="ACT460" s="9"/>
      <c r="ACU460" s="9"/>
      <c r="ACV460" s="9"/>
      <c r="ACW460" s="9"/>
      <c r="ACX460" s="9"/>
      <c r="ACY460" s="9"/>
      <c r="ACZ460" s="9"/>
      <c r="ADA460" s="9"/>
      <c r="ADB460" s="9"/>
      <c r="ADC460" s="9"/>
      <c r="ADD460" s="9"/>
      <c r="ADE460" s="9"/>
      <c r="ADF460" s="9"/>
      <c r="ADG460" s="9"/>
      <c r="ADH460" s="9"/>
      <c r="ADI460" s="9"/>
      <c r="ADJ460" s="9"/>
      <c r="ADK460" s="9"/>
      <c r="ADL460" s="9"/>
      <c r="ADM460" s="9"/>
      <c r="ADN460" s="9"/>
      <c r="ADO460" s="9"/>
      <c r="ADP460" s="9"/>
      <c r="ADQ460" s="9"/>
      <c r="ADR460" s="9"/>
      <c r="ADS460" s="9"/>
      <c r="ADT460" s="9"/>
      <c r="ADU460" s="9"/>
      <c r="ADV460" s="9"/>
      <c r="ADW460" s="9"/>
      <c r="ADX460" s="9"/>
      <c r="ADY460" s="9"/>
      <c r="ADZ460" s="9"/>
      <c r="AEA460" s="9"/>
      <c r="AEB460" s="9"/>
      <c r="AEC460" s="9"/>
      <c r="AED460" s="9"/>
      <c r="AEE460" s="9"/>
      <c r="AEF460" s="9"/>
      <c r="AEG460" s="9"/>
      <c r="AEH460" s="9"/>
      <c r="AEI460" s="9"/>
      <c r="AEJ460" s="9"/>
      <c r="AEK460" s="9"/>
      <c r="AEL460" s="9"/>
      <c r="AEM460" s="9"/>
      <c r="AEN460" s="9"/>
      <c r="AEO460" s="9"/>
      <c r="AEP460" s="9"/>
      <c r="AEQ460" s="9"/>
      <c r="AER460" s="9"/>
      <c r="AES460" s="9"/>
      <c r="AET460" s="9"/>
      <c r="AEU460" s="9"/>
      <c r="AEV460" s="9"/>
      <c r="AEW460" s="9"/>
      <c r="AEX460" s="9"/>
      <c r="AEY460" s="9"/>
      <c r="AEZ460" s="9"/>
      <c r="AFA460" s="9"/>
      <c r="AFB460" s="9"/>
      <c r="AFC460" s="9"/>
      <c r="AFD460" s="9"/>
      <c r="AFE460" s="9"/>
      <c r="AFF460" s="9"/>
      <c r="AFG460" s="9"/>
      <c r="AFH460" s="9"/>
      <c r="AFI460" s="9"/>
      <c r="AFJ460" s="9"/>
      <c r="AFK460" s="9"/>
      <c r="AFL460" s="9"/>
      <c r="AFM460" s="9"/>
      <c r="AFN460" s="9"/>
      <c r="AFO460" s="9"/>
      <c r="AFP460" s="9"/>
      <c r="AFQ460" s="9"/>
      <c r="AFR460" s="9"/>
      <c r="AFS460" s="9"/>
      <c r="AFT460" s="9"/>
      <c r="AFU460" s="9"/>
      <c r="AFV460" s="9"/>
      <c r="AFW460" s="9"/>
      <c r="AFX460" s="9"/>
      <c r="AFY460" s="9"/>
      <c r="AFZ460" s="9"/>
      <c r="AGA460" s="9"/>
      <c r="AGB460" s="9"/>
      <c r="AGC460" s="9"/>
      <c r="AGD460" s="9"/>
      <c r="AGE460" s="9"/>
      <c r="AGF460" s="9"/>
      <c r="AGG460" s="9"/>
      <c r="AGH460" s="9"/>
      <c r="AGI460" s="9"/>
      <c r="AGJ460" s="9"/>
      <c r="AGK460" s="9"/>
      <c r="AGL460" s="9"/>
      <c r="AGM460" s="9"/>
      <c r="AGN460" s="9"/>
      <c r="AGO460" s="9"/>
      <c r="AGP460" s="9"/>
      <c r="AGQ460" s="9"/>
      <c r="AGR460" s="9"/>
      <c r="AGS460" s="9"/>
      <c r="AGT460" s="9"/>
      <c r="AGU460" s="9"/>
      <c r="AGV460" s="9"/>
      <c r="AGW460" s="9"/>
      <c r="AGX460" s="9"/>
      <c r="AGY460" s="9"/>
      <c r="AGZ460" s="9"/>
      <c r="AHA460" s="9"/>
      <c r="AHB460" s="9"/>
      <c r="AHC460" s="9"/>
      <c r="AHD460" s="9"/>
      <c r="AHE460" s="9"/>
      <c r="AHF460" s="9"/>
      <c r="AHG460" s="9"/>
      <c r="AHH460" s="9"/>
      <c r="AHI460" s="9"/>
      <c r="AHJ460" s="9"/>
      <c r="AHK460" s="9"/>
      <c r="AHL460" s="9"/>
      <c r="AHM460" s="9"/>
      <c r="AHN460" s="9"/>
      <c r="AHO460" s="9"/>
      <c r="AHP460" s="9"/>
      <c r="AHQ460" s="9"/>
      <c r="AHR460" s="9"/>
      <c r="AHS460" s="9"/>
      <c r="AHT460" s="9"/>
      <c r="AHU460" s="9"/>
      <c r="AHV460" s="9"/>
      <c r="AHW460" s="9"/>
      <c r="AHX460" s="9"/>
      <c r="AHY460" s="9"/>
      <c r="AHZ460" s="9"/>
      <c r="AIA460" s="9"/>
      <c r="AIB460" s="9"/>
      <c r="AIC460" s="9"/>
      <c r="AID460" s="9"/>
      <c r="AIE460" s="9"/>
      <c r="AIF460" s="9"/>
      <c r="AIG460" s="9"/>
      <c r="AIH460" s="9"/>
      <c r="AII460" s="9"/>
      <c r="AIJ460" s="9"/>
      <c r="AIK460" s="9"/>
      <c r="AIL460" s="9"/>
      <c r="AIM460" s="9"/>
      <c r="AIN460" s="9"/>
      <c r="AIO460" s="9"/>
      <c r="AIP460" s="9"/>
      <c r="AIQ460" s="9"/>
      <c r="AIR460" s="9"/>
      <c r="AIS460" s="9"/>
      <c r="AIT460" s="9"/>
      <c r="AIU460" s="9"/>
      <c r="AIV460" s="9"/>
      <c r="AIW460" s="9"/>
      <c r="AIX460" s="9"/>
      <c r="AIY460" s="9"/>
      <c r="AIZ460" s="9"/>
      <c r="AJA460" s="9"/>
      <c r="AJB460" s="9"/>
      <c r="AJC460" s="9"/>
      <c r="AJD460" s="9"/>
      <c r="AJE460" s="9"/>
      <c r="AJF460" s="9"/>
      <c r="AJG460" s="9"/>
      <c r="AJH460" s="9"/>
      <c r="AJI460" s="9"/>
      <c r="AJJ460" s="9"/>
      <c r="AJK460" s="9"/>
      <c r="AJL460" s="9"/>
      <c r="AJM460" s="9"/>
      <c r="AJN460" s="9"/>
      <c r="AJO460" s="9"/>
      <c r="AJP460" s="9"/>
      <c r="AJQ460" s="9"/>
      <c r="AJR460" s="9"/>
      <c r="AJS460" s="9"/>
      <c r="AJT460" s="9"/>
      <c r="AJU460" s="9"/>
      <c r="AJV460" s="9"/>
      <c r="AJW460" s="9"/>
      <c r="AJX460" s="9"/>
      <c r="AJY460" s="9"/>
      <c r="AJZ460" s="9"/>
      <c r="AKA460" s="9"/>
      <c r="AKB460" s="9"/>
      <c r="AKC460" s="9"/>
      <c r="AKD460" s="9"/>
      <c r="AKE460" s="9"/>
      <c r="AKF460" s="9"/>
      <c r="AKG460" s="9"/>
      <c r="AKH460" s="9"/>
      <c r="AKI460" s="9"/>
      <c r="AKJ460" s="9"/>
      <c r="AKK460" s="9"/>
      <c r="AKL460" s="9"/>
      <c r="AKM460" s="9"/>
      <c r="AKN460" s="9"/>
      <c r="AKO460" s="9"/>
      <c r="AKP460" s="9"/>
      <c r="AKQ460" s="9"/>
      <c r="AKR460" s="9"/>
      <c r="AKS460" s="9"/>
      <c r="AKT460" s="9"/>
      <c r="AKU460" s="9"/>
      <c r="AKV460" s="9"/>
      <c r="AKW460" s="9"/>
      <c r="AKX460" s="9"/>
      <c r="AKY460" s="9"/>
      <c r="AKZ460" s="9"/>
      <c r="ALA460" s="9"/>
      <c r="ALB460" s="9"/>
      <c r="ALC460" s="9"/>
      <c r="ALD460" s="9"/>
      <c r="ALE460" s="9"/>
      <c r="ALF460" s="9"/>
      <c r="ALG460" s="9"/>
      <c r="ALH460" s="9"/>
      <c r="ALI460" s="9"/>
      <c r="ALJ460" s="9"/>
      <c r="ALK460" s="9"/>
      <c r="ALL460" s="9"/>
      <c r="ALM460" s="9"/>
      <c r="ALN460" s="9"/>
      <c r="ALO460" s="9"/>
      <c r="ALP460" s="9"/>
      <c r="ALQ460" s="9"/>
      <c r="ALR460" s="9"/>
      <c r="ALS460" s="9"/>
      <c r="ALT460" s="9"/>
      <c r="ALU460" s="9"/>
      <c r="ALV460" s="9"/>
      <c r="ALW460" s="9"/>
      <c r="ALX460" s="9"/>
      <c r="ALY460" s="9"/>
      <c r="ALZ460" s="9"/>
      <c r="AMA460" s="9"/>
      <c r="AMB460" s="9"/>
      <c r="AMC460" s="9"/>
      <c r="AMD460" s="9"/>
      <c r="AME460" s="9"/>
      <c r="AMF460" s="9"/>
      <c r="AMG460" s="9"/>
      <c r="AMH460" s="9"/>
      <c r="AMI460" s="9"/>
      <c r="AMJ460" s="9"/>
      <c r="AMK460" s="9"/>
      <c r="AML460" s="9"/>
      <c r="AMM460" s="9"/>
      <c r="AMN460" s="9"/>
      <c r="AMO460" s="9"/>
    </row>
    <row r="461" spans="1:1030" s="12" customFormat="1" x14ac:dyDescent="0.2">
      <c r="A461" s="9" t="str">
        <f>CONCATENATE(B461,"_",C461)</f>
        <v>smo_mouse_6O3C</v>
      </c>
      <c r="B461" s="9" t="s">
        <v>1588</v>
      </c>
      <c r="C461" s="9" t="s">
        <v>1589</v>
      </c>
      <c r="D461" s="9" t="str">
        <f>IFERROR(MID(VLOOKUP($B461,Seqs!$A:$B,2,0),E461,1),"")</f>
        <v>T</v>
      </c>
      <c r="E461" s="9">
        <v>227</v>
      </c>
      <c r="F461" s="9" t="str">
        <f>IFERROR(MID(VLOOKUP($B461,Seqs!$A:$B,2,0),G461,1),"")</f>
        <v>D</v>
      </c>
      <c r="G461" s="9">
        <v>259</v>
      </c>
      <c r="H461" s="9" t="str">
        <f>IFERROR(MID(VLOOKUP($B461,Seqs!$A:$B,2,0),I461,1),"")</f>
        <v>W</v>
      </c>
      <c r="I461" s="109">
        <v>260</v>
      </c>
      <c r="J461" s="9" t="str">
        <f>IFERROR(MID(VLOOKUP($B461,Seqs!$A:$B,2,0),K461,1),"")</f>
        <v>N</v>
      </c>
      <c r="K461" s="109">
        <v>264</v>
      </c>
      <c r="L461" s="9" t="str">
        <f>IFERROR(MID(VLOOKUP($B461,Seqs!$A:$B,2,0),M461,1),"")</f>
        <v>R</v>
      </c>
      <c r="M461" s="9">
        <v>265</v>
      </c>
      <c r="N461" s="9" t="str">
        <f>IFERROR(MID(VLOOKUP($B461,Seqs!$A:$B,2,0),O461,1),"")</f>
        <v>F</v>
      </c>
      <c r="O461" s="9">
        <v>289</v>
      </c>
      <c r="P461" s="9" t="str">
        <f>IFERROR(MID(VLOOKUP($B461,Seqs!$A:$B,2,0),Q461,1),"")</f>
        <v/>
      </c>
      <c r="Q461" s="9" t="s">
        <v>23</v>
      </c>
      <c r="R461" s="9" t="str">
        <f>IFERROR(MID(VLOOKUP($B461,Seqs!$A:$B,2,0),S461,1),"")</f>
        <v/>
      </c>
      <c r="S461" s="9" t="s">
        <v>23</v>
      </c>
      <c r="T461" s="9" t="str">
        <f>IFERROR(MID(VLOOKUP($B461,Seqs!$A:$B,2,0),U461,1),"")</f>
        <v>L</v>
      </c>
      <c r="U461" s="9">
        <v>316</v>
      </c>
      <c r="V461" s="9" t="str">
        <f>IFERROR(MID(VLOOKUP($B461,Seqs!$A:$B,2,0),W461,1),"")</f>
        <v>A</v>
      </c>
      <c r="W461" s="9">
        <v>349</v>
      </c>
      <c r="X461" s="9" t="str">
        <f>IFERROR(MID(VLOOKUP($B461,Seqs!$A:$B,2,0),Y461,1),"")</f>
        <v/>
      </c>
      <c r="Y461" s="9" t="s">
        <v>23</v>
      </c>
      <c r="Z461" s="9" t="str">
        <f>IFERROR(MID(VLOOKUP($B461,Seqs!$A:$B,2,0),AA461,1),"")</f>
        <v/>
      </c>
      <c r="AA461" s="9" t="s">
        <v>23</v>
      </c>
      <c r="AB461" s="9" t="str">
        <f>IFERROR(MID(VLOOKUP($B461,Seqs!$A:$B,2,0),AC461,1),"")</f>
        <v>K</v>
      </c>
      <c r="AC461" s="9">
        <v>360</v>
      </c>
      <c r="AD461" s="9" t="str">
        <f>IFERROR(MID(VLOOKUP($B461,Seqs!$A:$B,2,0),AE461,1),"")</f>
        <v>A</v>
      </c>
      <c r="AE461" s="9">
        <v>383</v>
      </c>
      <c r="AF461" s="9" t="str">
        <f>IFERROR(MID(VLOOKUP($B461,Seqs!$A:$B,2,0),AG461,1),"")</f>
        <v>C</v>
      </c>
      <c r="AG461" s="9">
        <v>394</v>
      </c>
      <c r="AH461" s="9" t="str">
        <f>IFERROR(MID(VLOOKUP($B461,Seqs!$A:$B,2,0),AI461,1),"")</f>
        <v>V</v>
      </c>
      <c r="AI461" s="9">
        <v>396</v>
      </c>
      <c r="AJ461" s="9" t="str">
        <f>IFERROR(MID(VLOOKUP($B461,Seqs!$A:$B,2,0),AK461,1),"")</f>
        <v>N</v>
      </c>
      <c r="AK461" s="9">
        <v>400</v>
      </c>
      <c r="AL461" s="9" t="str">
        <f>IFERROR(MID(VLOOKUP($B461,Seqs!$A:$B,2,0),AM461,1),"")</f>
        <v>H</v>
      </c>
      <c r="AM461" s="9">
        <v>437</v>
      </c>
      <c r="AN461" s="9" t="str">
        <f>IFERROR(MID(VLOOKUP($B461,Seqs!$A:$B,2,0),AO461,1),"")</f>
        <v>S</v>
      </c>
      <c r="AO461" s="9">
        <v>442</v>
      </c>
      <c r="AP461" s="9" t="str">
        <f>IFERROR(MID(VLOOKUP($B461,Seqs!$A:$B,2,0),AQ461,1),"")</f>
        <v>T</v>
      </c>
      <c r="AQ461" s="9">
        <v>499</v>
      </c>
      <c r="AR461" s="9" t="str">
        <f>IFERROR(MID(VLOOKUP($B461,Seqs!$A:$B,2,0),AS461,1),"")</f>
        <v>S</v>
      </c>
      <c r="AS461" s="9">
        <v>518</v>
      </c>
      <c r="AT461" s="9" t="str">
        <f>IFERROR(MID(VLOOKUP($B461,Seqs!$A:$B,2,0),AU461,1),"")</f>
        <v>W</v>
      </c>
      <c r="AU461" s="9">
        <v>541</v>
      </c>
      <c r="AV461" s="9" t="str">
        <f>IFERROR(MID(VLOOKUP($B461,Seqs!$A:$B,2,0),AW461,1),"")</f>
        <v>T</v>
      </c>
      <c r="AW461" s="9">
        <v>542</v>
      </c>
      <c r="AX461" s="9" t="str">
        <f>IFERROR(MID(VLOOKUP($B461,Seqs!$A:$B,2,0),AY461,1),"")</f>
        <v>R</v>
      </c>
      <c r="AY461" s="9">
        <v>555</v>
      </c>
      <c r="AZ461" s="134" t="str">
        <f>VLOOKUP(B461,Classification!A:D,2,0)</f>
        <v>F</v>
      </c>
      <c r="BA461" s="98" t="str">
        <f>VLOOKUP(B461,Classification!A:D,4,0)</f>
        <v>Frizzled</v>
      </c>
      <c r="BB461" s="135" t="b">
        <f t="shared" si="1223"/>
        <v>1</v>
      </c>
      <c r="BC461" s="109">
        <f t="shared" si="1224"/>
        <v>260</v>
      </c>
      <c r="BD461" s="123" t="s">
        <v>23</v>
      </c>
      <c r="BE461" s="9" t="s">
        <v>1285</v>
      </c>
      <c r="BF461" s="119">
        <v>5.84</v>
      </c>
      <c r="BG461" s="51" t="s">
        <v>1416</v>
      </c>
      <c r="BH461" s="51" t="s">
        <v>1416</v>
      </c>
      <c r="BI461" s="9"/>
      <c r="BJ461" s="136" t="s">
        <v>1281</v>
      </c>
      <c r="BK461" s="112" t="s">
        <v>1281</v>
      </c>
      <c r="BL461" s="112" t="s">
        <v>1281</v>
      </c>
      <c r="BM461" s="112" t="s">
        <v>1281</v>
      </c>
      <c r="BN461" s="112" t="s">
        <v>1281</v>
      </c>
      <c r="BO461" s="112" t="s">
        <v>1281</v>
      </c>
      <c r="BP461" s="112" t="s">
        <v>1281</v>
      </c>
      <c r="BQ461" s="112" t="s">
        <v>1281</v>
      </c>
      <c r="BR461" s="112" t="s">
        <v>1281</v>
      </c>
      <c r="BS461" s="112" t="s">
        <v>1281</v>
      </c>
      <c r="BT461" s="112" t="s">
        <v>1281</v>
      </c>
      <c r="BU461" s="112" t="s">
        <v>1281</v>
      </c>
      <c r="BV461" s="136">
        <f t="shared" si="1225"/>
        <v>227</v>
      </c>
      <c r="BW461" s="113">
        <f t="shared" si="1226"/>
        <v>260</v>
      </c>
      <c r="BX461" s="114">
        <f t="shared" si="1227"/>
        <v>265</v>
      </c>
      <c r="BY461" s="113" t="str">
        <f t="shared" si="1228"/>
        <v>-</v>
      </c>
      <c r="BZ461" s="114">
        <f t="shared" si="1229"/>
        <v>316</v>
      </c>
      <c r="CA461" s="113" t="str">
        <f t="shared" si="1230"/>
        <v>-</v>
      </c>
      <c r="CB461" s="114">
        <f t="shared" si="1231"/>
        <v>360</v>
      </c>
      <c r="CC461" s="113">
        <f t="shared" si="1232"/>
        <v>394</v>
      </c>
      <c r="CD461" s="114">
        <f t="shared" si="1233"/>
        <v>400</v>
      </c>
      <c r="CE461" s="113">
        <f t="shared" si="1234"/>
        <v>442</v>
      </c>
      <c r="CF461" s="114">
        <f t="shared" si="1235"/>
        <v>518</v>
      </c>
      <c r="CG461" s="113">
        <f t="shared" si="1236"/>
        <v>542</v>
      </c>
      <c r="CH461" s="136">
        <f t="shared" si="1237"/>
        <v>259</v>
      </c>
      <c r="CI461" s="113">
        <f t="shared" si="1238"/>
        <v>264</v>
      </c>
      <c r="CJ461" s="114">
        <f t="shared" si="1239"/>
        <v>289</v>
      </c>
      <c r="CK461" s="114" t="str">
        <f t="shared" si="1240"/>
        <v>-</v>
      </c>
      <c r="CL461" s="114">
        <f t="shared" si="1241"/>
        <v>349</v>
      </c>
      <c r="CM461" s="114" t="str">
        <f t="shared" si="1242"/>
        <v>-</v>
      </c>
      <c r="CN461" s="114">
        <f t="shared" si="1243"/>
        <v>383</v>
      </c>
      <c r="CO461" s="114">
        <f t="shared" si="1244"/>
        <v>396</v>
      </c>
      <c r="CP461" s="114">
        <f t="shared" si="1245"/>
        <v>437</v>
      </c>
      <c r="CQ461" s="114">
        <f t="shared" si="1246"/>
        <v>499</v>
      </c>
      <c r="CR461" s="114">
        <f t="shared" si="1247"/>
        <v>541</v>
      </c>
      <c r="CS461" s="114">
        <f t="shared" si="1248"/>
        <v>555</v>
      </c>
      <c r="CT461" s="109">
        <f t="shared" si="1249"/>
        <v>1</v>
      </c>
      <c r="CU461" s="9"/>
      <c r="CV461" s="9"/>
      <c r="CW461" s="9"/>
      <c r="CX461" s="9"/>
      <c r="CY461" s="9"/>
      <c r="CZ461" s="9"/>
      <c r="DA461" s="9"/>
      <c r="DB461" s="9"/>
      <c r="DC461" s="9"/>
      <c r="DD461" s="9"/>
      <c r="DE461" s="9"/>
      <c r="DF461" s="9"/>
      <c r="DG461" s="9"/>
      <c r="DH461" s="9"/>
      <c r="DI461" s="9"/>
      <c r="DJ461" s="9"/>
      <c r="DK461" s="9"/>
      <c r="DL461" s="9"/>
      <c r="DM461" s="9"/>
      <c r="DN461" s="9"/>
      <c r="DO461" s="9"/>
      <c r="DP461" s="9"/>
      <c r="DQ461" s="9"/>
      <c r="DR461" s="9"/>
      <c r="DS461" s="9"/>
      <c r="DT461" s="9"/>
      <c r="DU461" s="9"/>
      <c r="DV461" s="9"/>
      <c r="DW461" s="9"/>
      <c r="DX461" s="9"/>
      <c r="DY461" s="9"/>
      <c r="DZ461" s="9"/>
      <c r="EA461" s="9"/>
      <c r="EB461" s="9"/>
      <c r="EC461" s="9"/>
      <c r="ED461" s="9"/>
      <c r="EE461" s="9"/>
      <c r="EF461" s="9"/>
      <c r="EG461" s="9"/>
      <c r="EH461" s="9"/>
      <c r="EI461" s="9"/>
      <c r="EJ461" s="9"/>
      <c r="EK461" s="9"/>
      <c r="EL461" s="9"/>
      <c r="EM461" s="9"/>
      <c r="EN461" s="9"/>
      <c r="EO461" s="9"/>
      <c r="EP461" s="9"/>
      <c r="EQ461" s="9"/>
      <c r="ER461" s="9"/>
      <c r="ES461" s="9"/>
      <c r="ET461" s="9"/>
      <c r="EU461" s="9"/>
      <c r="EV461" s="9"/>
      <c r="EW461" s="9"/>
      <c r="EX461" s="9"/>
      <c r="EY461" s="9"/>
      <c r="EZ461" s="9"/>
      <c r="FA461" s="9"/>
      <c r="FB461" s="9"/>
      <c r="FC461" s="9"/>
      <c r="FD461" s="9"/>
      <c r="FE461" s="9"/>
      <c r="FF461" s="9"/>
      <c r="FG461" s="9"/>
      <c r="FH461" s="9"/>
      <c r="FI461" s="9"/>
      <c r="FJ461" s="9"/>
      <c r="FK461" s="9"/>
      <c r="FL461" s="9"/>
      <c r="FM461" s="9"/>
      <c r="FN461" s="9"/>
      <c r="FO461" s="9"/>
      <c r="FP461" s="9"/>
      <c r="FQ461" s="9"/>
      <c r="FR461" s="9"/>
      <c r="FS461" s="9"/>
      <c r="FT461" s="9"/>
      <c r="FU461" s="9"/>
      <c r="FV461" s="9"/>
      <c r="FW461" s="9"/>
      <c r="FX461" s="9"/>
      <c r="FY461" s="9"/>
      <c r="FZ461" s="9"/>
      <c r="GA461" s="9"/>
      <c r="GB461" s="9"/>
      <c r="GC461" s="9"/>
      <c r="GD461" s="9"/>
      <c r="GE461" s="9"/>
      <c r="GF461" s="9"/>
      <c r="GG461" s="9"/>
      <c r="GH461" s="9"/>
      <c r="GI461" s="9"/>
      <c r="GJ461" s="9"/>
      <c r="GK461" s="9"/>
      <c r="GL461" s="9"/>
      <c r="GM461" s="9"/>
      <c r="GN461" s="9"/>
      <c r="GO461" s="9"/>
      <c r="GP461" s="9"/>
      <c r="GQ461" s="9"/>
      <c r="GR461" s="9"/>
      <c r="GS461" s="9"/>
      <c r="GT461" s="9"/>
      <c r="GU461" s="9"/>
      <c r="GV461" s="9"/>
      <c r="GW461" s="9"/>
      <c r="GX461" s="9"/>
      <c r="GY461" s="9"/>
      <c r="GZ461" s="9"/>
      <c r="HA461" s="9"/>
      <c r="HB461" s="9"/>
      <c r="HC461" s="9"/>
      <c r="HD461" s="9"/>
      <c r="HE461" s="9"/>
      <c r="HF461" s="9"/>
      <c r="HG461" s="9"/>
      <c r="HH461" s="9"/>
      <c r="HI461" s="9"/>
      <c r="HJ461" s="9"/>
      <c r="HK461" s="9"/>
      <c r="HL461" s="9"/>
      <c r="HM461" s="9"/>
      <c r="HN461" s="9"/>
      <c r="HO461" s="9"/>
      <c r="HP461" s="9"/>
      <c r="HQ461" s="9"/>
      <c r="HR461" s="9"/>
      <c r="HS461" s="9"/>
      <c r="HT461" s="9"/>
      <c r="HU461" s="9"/>
      <c r="HV461" s="9"/>
      <c r="HW461" s="9"/>
      <c r="HX461" s="9"/>
      <c r="HY461" s="9"/>
      <c r="HZ461" s="9"/>
      <c r="IA461" s="9"/>
      <c r="IB461" s="9"/>
      <c r="IC461" s="9"/>
      <c r="ID461" s="9"/>
      <c r="IE461" s="9"/>
      <c r="IF461" s="9"/>
      <c r="IG461" s="9"/>
      <c r="IH461" s="9"/>
      <c r="II461" s="9"/>
      <c r="IJ461" s="9"/>
      <c r="IK461" s="9"/>
      <c r="IL461" s="9"/>
      <c r="IM461" s="9"/>
      <c r="IN461" s="9"/>
      <c r="IO461" s="9"/>
      <c r="IP461" s="9"/>
      <c r="IQ461" s="9"/>
      <c r="IR461" s="9"/>
      <c r="IS461" s="9"/>
      <c r="IT461" s="9"/>
      <c r="IU461" s="9"/>
      <c r="IV461" s="9"/>
      <c r="IW461" s="9"/>
      <c r="IX461" s="9"/>
      <c r="IY461" s="9"/>
      <c r="IZ461" s="9"/>
      <c r="JA461" s="9"/>
      <c r="JB461" s="9"/>
      <c r="JC461" s="9"/>
      <c r="JD461" s="9"/>
      <c r="JE461" s="9"/>
      <c r="JF461" s="9"/>
      <c r="JG461" s="9"/>
      <c r="JH461" s="9"/>
      <c r="JI461" s="9"/>
      <c r="JJ461" s="9"/>
      <c r="JK461" s="9"/>
      <c r="JL461" s="9"/>
      <c r="JM461" s="9"/>
      <c r="JN461" s="9"/>
      <c r="JO461" s="9"/>
      <c r="JP461" s="9"/>
      <c r="JQ461" s="9"/>
      <c r="JR461" s="9"/>
      <c r="JS461" s="9"/>
      <c r="JT461" s="9"/>
      <c r="JU461" s="9"/>
      <c r="JV461" s="9"/>
      <c r="JW461" s="9"/>
      <c r="JX461" s="9"/>
      <c r="JY461" s="9"/>
      <c r="JZ461" s="9"/>
      <c r="KA461" s="9"/>
      <c r="KB461" s="9"/>
      <c r="KC461" s="9"/>
      <c r="KD461" s="9"/>
      <c r="KE461" s="9"/>
      <c r="KF461" s="9"/>
      <c r="KG461" s="9"/>
      <c r="KH461" s="9"/>
      <c r="KI461" s="9"/>
      <c r="KJ461" s="9"/>
      <c r="KK461" s="9"/>
      <c r="KL461" s="9"/>
      <c r="KM461" s="9"/>
      <c r="KN461" s="9"/>
      <c r="KO461" s="9"/>
      <c r="KP461" s="9"/>
      <c r="KQ461" s="9"/>
      <c r="KR461" s="9"/>
      <c r="KS461" s="9"/>
      <c r="KT461" s="9"/>
      <c r="KU461" s="9"/>
      <c r="KV461" s="9"/>
      <c r="KW461" s="9"/>
      <c r="KX461" s="9"/>
      <c r="KY461" s="9"/>
      <c r="KZ461" s="9"/>
      <c r="LA461" s="9"/>
      <c r="LB461" s="9"/>
      <c r="LC461" s="9"/>
      <c r="LD461" s="9"/>
      <c r="LE461" s="9"/>
      <c r="LF461" s="9"/>
      <c r="LG461" s="9"/>
      <c r="LH461" s="9"/>
      <c r="LI461" s="9"/>
      <c r="LJ461" s="9"/>
      <c r="LK461" s="9"/>
      <c r="LL461" s="9"/>
      <c r="LM461" s="9"/>
      <c r="LN461" s="9"/>
      <c r="LO461" s="9"/>
      <c r="LP461" s="9"/>
      <c r="LQ461" s="9"/>
      <c r="LR461" s="9"/>
      <c r="LS461" s="9"/>
      <c r="LT461" s="9"/>
      <c r="LU461" s="9"/>
      <c r="LV461" s="9"/>
      <c r="LW461" s="9"/>
      <c r="LX461" s="9"/>
      <c r="LY461" s="9"/>
      <c r="LZ461" s="9"/>
      <c r="MA461" s="9"/>
      <c r="MB461" s="9"/>
      <c r="MC461" s="9"/>
      <c r="MD461" s="9"/>
      <c r="ME461" s="9"/>
      <c r="MF461" s="9"/>
      <c r="MG461" s="9"/>
      <c r="MH461" s="9"/>
      <c r="MI461" s="9"/>
      <c r="MJ461" s="9"/>
      <c r="MK461" s="9"/>
      <c r="ML461" s="9"/>
      <c r="MM461" s="9"/>
      <c r="MN461" s="9"/>
      <c r="MO461" s="9"/>
      <c r="MP461" s="9"/>
      <c r="MQ461" s="9"/>
      <c r="MR461" s="9"/>
      <c r="MS461" s="9"/>
      <c r="MT461" s="9"/>
      <c r="MU461" s="9"/>
      <c r="MV461" s="9"/>
      <c r="MW461" s="9"/>
      <c r="MX461" s="9"/>
      <c r="MY461" s="9"/>
      <c r="MZ461" s="9"/>
      <c r="NA461" s="9"/>
      <c r="NB461" s="9"/>
      <c r="NC461" s="9"/>
      <c r="ND461" s="9"/>
      <c r="NE461" s="9"/>
      <c r="NF461" s="9"/>
      <c r="NG461" s="9"/>
      <c r="NH461" s="9"/>
      <c r="NI461" s="9"/>
      <c r="NJ461" s="9"/>
      <c r="NK461" s="9"/>
      <c r="NL461" s="9"/>
      <c r="NM461" s="9"/>
      <c r="NN461" s="9"/>
      <c r="NO461" s="9"/>
      <c r="NP461" s="9"/>
      <c r="NQ461" s="9"/>
      <c r="NR461" s="9"/>
      <c r="NS461" s="9"/>
      <c r="NT461" s="9"/>
      <c r="NU461" s="9"/>
      <c r="NV461" s="9"/>
      <c r="NW461" s="9"/>
      <c r="NX461" s="9"/>
      <c r="NY461" s="9"/>
      <c r="NZ461" s="9"/>
      <c r="OA461" s="9"/>
      <c r="OB461" s="9"/>
      <c r="OC461" s="9"/>
      <c r="OD461" s="9"/>
      <c r="OE461" s="9"/>
      <c r="OF461" s="9"/>
      <c r="OG461" s="9"/>
      <c r="OH461" s="9"/>
      <c r="OI461" s="9"/>
      <c r="OJ461" s="9"/>
      <c r="OK461" s="9"/>
      <c r="OL461" s="9"/>
      <c r="OM461" s="9"/>
      <c r="ON461" s="9"/>
      <c r="OO461" s="9"/>
      <c r="OP461" s="9"/>
      <c r="OQ461" s="9"/>
      <c r="OR461" s="9"/>
      <c r="OS461" s="9"/>
      <c r="OT461" s="9"/>
      <c r="OU461" s="9"/>
      <c r="OV461" s="9"/>
      <c r="OW461" s="9"/>
      <c r="OX461" s="9"/>
      <c r="OY461" s="9"/>
      <c r="OZ461" s="9"/>
      <c r="PA461" s="9"/>
      <c r="PB461" s="9"/>
      <c r="PC461" s="9"/>
      <c r="PD461" s="9"/>
      <c r="PE461" s="9"/>
      <c r="PF461" s="9"/>
      <c r="PG461" s="9"/>
      <c r="PH461" s="9"/>
      <c r="PI461" s="9"/>
      <c r="PJ461" s="9"/>
      <c r="PK461" s="9"/>
      <c r="PL461" s="9"/>
      <c r="PM461" s="9"/>
      <c r="PN461" s="9"/>
      <c r="PO461" s="9"/>
      <c r="PP461" s="9"/>
      <c r="PQ461" s="9"/>
      <c r="PR461" s="9"/>
      <c r="PS461" s="9"/>
      <c r="PT461" s="9"/>
      <c r="PU461" s="9"/>
      <c r="PV461" s="9"/>
      <c r="PW461" s="9"/>
      <c r="PX461" s="9"/>
      <c r="PY461" s="9"/>
      <c r="PZ461" s="9"/>
      <c r="QA461" s="9"/>
      <c r="QB461" s="9"/>
      <c r="QC461" s="9"/>
      <c r="QD461" s="9"/>
      <c r="QE461" s="9"/>
      <c r="QF461" s="9"/>
      <c r="QG461" s="9"/>
      <c r="QH461" s="9"/>
      <c r="QI461" s="9"/>
      <c r="QJ461" s="9"/>
      <c r="QK461" s="9"/>
      <c r="QL461" s="9"/>
      <c r="QM461" s="9"/>
      <c r="QN461" s="9"/>
      <c r="QO461" s="9"/>
      <c r="QP461" s="9"/>
      <c r="QQ461" s="9"/>
      <c r="QR461" s="9"/>
      <c r="QS461" s="9"/>
      <c r="QT461" s="9"/>
      <c r="QU461" s="9"/>
      <c r="QV461" s="9"/>
      <c r="QW461" s="9"/>
      <c r="QX461" s="9"/>
      <c r="QY461" s="9"/>
      <c r="QZ461" s="9"/>
      <c r="RA461" s="9"/>
      <c r="RB461" s="9"/>
      <c r="RC461" s="9"/>
      <c r="RD461" s="9"/>
      <c r="RE461" s="9"/>
      <c r="RF461" s="9"/>
      <c r="RG461" s="9"/>
      <c r="RH461" s="9"/>
      <c r="RI461" s="9"/>
      <c r="RJ461" s="9"/>
      <c r="RK461" s="9"/>
      <c r="RL461" s="9"/>
      <c r="RM461" s="9"/>
      <c r="RN461" s="9"/>
      <c r="RO461" s="9"/>
      <c r="RP461" s="9"/>
      <c r="RQ461" s="9"/>
      <c r="RR461" s="9"/>
      <c r="RS461" s="9"/>
      <c r="RT461" s="9"/>
      <c r="RU461" s="9"/>
      <c r="RV461" s="9"/>
      <c r="RW461" s="9"/>
      <c r="RX461" s="9"/>
      <c r="RY461" s="9"/>
      <c r="RZ461" s="9"/>
      <c r="SA461" s="9"/>
      <c r="SB461" s="9"/>
      <c r="SC461" s="9"/>
      <c r="SD461" s="9"/>
      <c r="SE461" s="9"/>
      <c r="SF461" s="9"/>
      <c r="SG461" s="9"/>
      <c r="SH461" s="9"/>
      <c r="SI461" s="9"/>
      <c r="SJ461" s="9"/>
      <c r="SK461" s="9"/>
      <c r="SL461" s="9"/>
      <c r="SM461" s="9"/>
      <c r="SN461" s="9"/>
      <c r="SO461" s="9"/>
      <c r="SP461" s="9"/>
      <c r="SQ461" s="9"/>
      <c r="SR461" s="9"/>
      <c r="SS461" s="9"/>
      <c r="ST461" s="9"/>
      <c r="SU461" s="9"/>
      <c r="SV461" s="9"/>
      <c r="SW461" s="9"/>
      <c r="SX461" s="9"/>
      <c r="SY461" s="9"/>
      <c r="SZ461" s="9"/>
      <c r="TA461" s="9"/>
      <c r="TB461" s="9"/>
      <c r="TC461" s="9"/>
      <c r="TD461" s="9"/>
      <c r="TE461" s="9"/>
      <c r="TF461" s="9"/>
      <c r="TG461" s="9"/>
      <c r="TH461" s="9"/>
      <c r="TI461" s="9"/>
      <c r="TJ461" s="9"/>
      <c r="TK461" s="9"/>
      <c r="TL461" s="9"/>
      <c r="TM461" s="9"/>
      <c r="TN461" s="9"/>
      <c r="TO461" s="9"/>
      <c r="TP461" s="9"/>
      <c r="TQ461" s="9"/>
      <c r="TR461" s="9"/>
      <c r="TS461" s="9"/>
      <c r="TT461" s="9"/>
      <c r="TU461" s="9"/>
      <c r="TV461" s="9"/>
      <c r="TW461" s="9"/>
      <c r="TX461" s="9"/>
      <c r="TY461" s="9"/>
      <c r="TZ461" s="9"/>
      <c r="UA461" s="9"/>
      <c r="UB461" s="9"/>
      <c r="UC461" s="9"/>
      <c r="UD461" s="9"/>
      <c r="UE461" s="9"/>
      <c r="UF461" s="9"/>
      <c r="UG461" s="9"/>
      <c r="UH461" s="9"/>
      <c r="UI461" s="9"/>
      <c r="UJ461" s="9"/>
      <c r="UK461" s="9"/>
      <c r="UL461" s="9"/>
      <c r="UM461" s="9"/>
      <c r="UN461" s="9"/>
      <c r="UO461" s="9"/>
      <c r="UP461" s="9"/>
      <c r="UQ461" s="9"/>
      <c r="UR461" s="9"/>
      <c r="US461" s="9"/>
      <c r="UT461" s="9"/>
      <c r="UU461" s="9"/>
      <c r="UV461" s="9"/>
      <c r="UW461" s="9"/>
      <c r="UX461" s="9"/>
      <c r="UY461" s="9"/>
      <c r="UZ461" s="9"/>
      <c r="VA461" s="9"/>
      <c r="VB461" s="9"/>
      <c r="VC461" s="9"/>
      <c r="VD461" s="9"/>
      <c r="VE461" s="9"/>
      <c r="VF461" s="9"/>
      <c r="VG461" s="9"/>
      <c r="VH461" s="9"/>
      <c r="VI461" s="9"/>
      <c r="VJ461" s="9"/>
      <c r="VK461" s="9"/>
      <c r="VL461" s="9"/>
      <c r="VM461" s="9"/>
      <c r="VN461" s="9"/>
      <c r="VO461" s="9"/>
      <c r="VP461" s="9"/>
      <c r="VQ461" s="9"/>
      <c r="VR461" s="9"/>
      <c r="VS461" s="9"/>
      <c r="VT461" s="9"/>
      <c r="VU461" s="9"/>
      <c r="VV461" s="9"/>
      <c r="VW461" s="9"/>
      <c r="VX461" s="9"/>
      <c r="VY461" s="9"/>
      <c r="VZ461" s="9"/>
      <c r="WA461" s="9"/>
      <c r="WB461" s="9"/>
      <c r="WC461" s="9"/>
      <c r="WD461" s="9"/>
      <c r="WE461" s="9"/>
      <c r="WF461" s="9"/>
      <c r="WG461" s="9"/>
      <c r="WH461" s="9"/>
      <c r="WI461" s="9"/>
      <c r="WJ461" s="9"/>
      <c r="WK461" s="9"/>
      <c r="WL461" s="9"/>
      <c r="WM461" s="9"/>
      <c r="WN461" s="9"/>
      <c r="WO461" s="9"/>
      <c r="WP461" s="9"/>
      <c r="WQ461" s="9"/>
      <c r="WR461" s="9"/>
      <c r="WS461" s="9"/>
      <c r="WT461" s="9"/>
      <c r="WU461" s="9"/>
      <c r="WV461" s="9"/>
      <c r="WW461" s="9"/>
      <c r="WX461" s="9"/>
      <c r="WY461" s="9"/>
      <c r="WZ461" s="9"/>
      <c r="XA461" s="9"/>
      <c r="XB461" s="9"/>
      <c r="XC461" s="9"/>
      <c r="XD461" s="9"/>
      <c r="XE461" s="9"/>
      <c r="XF461" s="9"/>
      <c r="XG461" s="9"/>
      <c r="XH461" s="9"/>
      <c r="XI461" s="9"/>
      <c r="XJ461" s="9"/>
      <c r="XK461" s="9"/>
      <c r="XL461" s="9"/>
      <c r="XM461" s="9"/>
      <c r="XN461" s="9"/>
      <c r="XO461" s="9"/>
      <c r="XP461" s="9"/>
      <c r="XQ461" s="9"/>
      <c r="XR461" s="9"/>
      <c r="XS461" s="9"/>
      <c r="XT461" s="9"/>
      <c r="XU461" s="9"/>
      <c r="XV461" s="9"/>
      <c r="XW461" s="9"/>
      <c r="XX461" s="9"/>
      <c r="XY461" s="9"/>
      <c r="XZ461" s="9"/>
      <c r="YA461" s="9"/>
      <c r="YB461" s="9"/>
      <c r="YC461" s="9"/>
      <c r="YD461" s="9"/>
      <c r="YE461" s="9"/>
      <c r="YF461" s="9"/>
      <c r="YG461" s="9"/>
      <c r="YH461" s="9"/>
      <c r="YI461" s="9"/>
      <c r="YJ461" s="9"/>
      <c r="YK461" s="9"/>
      <c r="YL461" s="9"/>
      <c r="YM461" s="9"/>
      <c r="YN461" s="9"/>
      <c r="YO461" s="9"/>
      <c r="YP461" s="9"/>
      <c r="YQ461" s="9"/>
      <c r="YR461" s="9"/>
      <c r="YS461" s="9"/>
      <c r="YT461" s="9"/>
      <c r="YU461" s="9"/>
      <c r="YV461" s="9"/>
      <c r="YW461" s="9"/>
      <c r="YX461" s="9"/>
      <c r="YY461" s="9"/>
      <c r="YZ461" s="9"/>
      <c r="ZA461" s="9"/>
      <c r="ZB461" s="9"/>
      <c r="ZC461" s="9"/>
      <c r="ZD461" s="9"/>
      <c r="ZE461" s="9"/>
      <c r="ZF461" s="9"/>
      <c r="ZG461" s="9"/>
      <c r="ZH461" s="9"/>
      <c r="ZI461" s="9"/>
      <c r="ZJ461" s="9"/>
      <c r="ZK461" s="9"/>
      <c r="ZL461" s="9"/>
      <c r="ZM461" s="9"/>
      <c r="ZN461" s="9"/>
      <c r="ZO461" s="9"/>
      <c r="ZP461" s="9"/>
      <c r="ZQ461" s="9"/>
      <c r="ZR461" s="9"/>
      <c r="ZS461" s="9"/>
      <c r="ZT461" s="9"/>
      <c r="ZU461" s="9"/>
      <c r="ZV461" s="9"/>
      <c r="ZW461" s="9"/>
      <c r="ZX461" s="9"/>
      <c r="ZY461" s="9"/>
      <c r="ZZ461" s="9"/>
      <c r="AAA461" s="9"/>
      <c r="AAB461" s="9"/>
      <c r="AAC461" s="9"/>
      <c r="AAD461" s="9"/>
      <c r="AAE461" s="9"/>
      <c r="AAF461" s="9"/>
      <c r="AAG461" s="9"/>
      <c r="AAH461" s="9"/>
      <c r="AAI461" s="9"/>
      <c r="AAJ461" s="9"/>
      <c r="AAK461" s="9"/>
      <c r="AAL461" s="9"/>
      <c r="AAM461" s="9"/>
      <c r="AAN461" s="9"/>
      <c r="AAO461" s="9"/>
      <c r="AAP461" s="9"/>
      <c r="AAQ461" s="9"/>
      <c r="AAR461" s="9"/>
      <c r="AAS461" s="9"/>
      <c r="AAT461" s="9"/>
      <c r="AAU461" s="9"/>
      <c r="AAV461" s="9"/>
      <c r="AAW461" s="9"/>
      <c r="AAX461" s="9"/>
      <c r="AAY461" s="9"/>
      <c r="AAZ461" s="9"/>
      <c r="ABA461" s="9"/>
      <c r="ABB461" s="9"/>
      <c r="ABC461" s="9"/>
      <c r="ABD461" s="9"/>
      <c r="ABE461" s="9"/>
      <c r="ABF461" s="9"/>
      <c r="ABG461" s="9"/>
      <c r="ABH461" s="9"/>
      <c r="ABI461" s="9"/>
      <c r="ABJ461" s="9"/>
      <c r="ABK461" s="9"/>
      <c r="ABL461" s="9"/>
      <c r="ABM461" s="9"/>
      <c r="ABN461" s="9"/>
      <c r="ABO461" s="9"/>
      <c r="ABP461" s="9"/>
      <c r="ABQ461" s="9"/>
      <c r="ABR461" s="9"/>
      <c r="ABS461" s="9"/>
      <c r="ABT461" s="9"/>
      <c r="ABU461" s="9"/>
      <c r="ABV461" s="9"/>
      <c r="ABW461" s="9"/>
      <c r="ABX461" s="9"/>
      <c r="ABY461" s="9"/>
      <c r="ABZ461" s="9"/>
      <c r="ACA461" s="9"/>
      <c r="ACB461" s="9"/>
      <c r="ACC461" s="9"/>
      <c r="ACD461" s="9"/>
      <c r="ACE461" s="9"/>
      <c r="ACF461" s="9"/>
      <c r="ACG461" s="9"/>
      <c r="ACH461" s="9"/>
      <c r="ACI461" s="9"/>
      <c r="ACJ461" s="9"/>
      <c r="ACK461" s="9"/>
      <c r="ACL461" s="9"/>
      <c r="ACM461" s="9"/>
      <c r="ACN461" s="9"/>
      <c r="ACO461" s="9"/>
      <c r="ACP461" s="9"/>
      <c r="ACQ461" s="9"/>
      <c r="ACR461" s="9"/>
      <c r="ACS461" s="9"/>
      <c r="ACT461" s="9"/>
      <c r="ACU461" s="9"/>
      <c r="ACV461" s="9"/>
      <c r="ACW461" s="9"/>
      <c r="ACX461" s="9"/>
      <c r="ACY461" s="9"/>
      <c r="ACZ461" s="9"/>
      <c r="ADA461" s="9"/>
      <c r="ADB461" s="9"/>
      <c r="ADC461" s="9"/>
      <c r="ADD461" s="9"/>
      <c r="ADE461" s="9"/>
      <c r="ADF461" s="9"/>
      <c r="ADG461" s="9"/>
      <c r="ADH461" s="9"/>
      <c r="ADI461" s="9"/>
      <c r="ADJ461" s="9"/>
      <c r="ADK461" s="9"/>
      <c r="ADL461" s="9"/>
      <c r="ADM461" s="9"/>
      <c r="ADN461" s="9"/>
      <c r="ADO461" s="9"/>
      <c r="ADP461" s="9"/>
      <c r="ADQ461" s="9"/>
      <c r="ADR461" s="9"/>
      <c r="ADS461" s="9"/>
      <c r="ADT461" s="9"/>
      <c r="ADU461" s="9"/>
      <c r="ADV461" s="9"/>
      <c r="ADW461" s="9"/>
      <c r="ADX461" s="9"/>
      <c r="ADY461" s="9"/>
      <c r="ADZ461" s="9"/>
      <c r="AEA461" s="9"/>
      <c r="AEB461" s="9"/>
      <c r="AEC461" s="9"/>
      <c r="AED461" s="9"/>
      <c r="AEE461" s="9"/>
      <c r="AEF461" s="9"/>
      <c r="AEG461" s="9"/>
      <c r="AEH461" s="9"/>
      <c r="AEI461" s="9"/>
      <c r="AEJ461" s="9"/>
      <c r="AEK461" s="9"/>
      <c r="AEL461" s="9"/>
      <c r="AEM461" s="9"/>
      <c r="AEN461" s="9"/>
      <c r="AEO461" s="9"/>
      <c r="AEP461" s="9"/>
      <c r="AEQ461" s="9"/>
      <c r="AER461" s="9"/>
      <c r="AES461" s="9"/>
      <c r="AET461" s="9"/>
      <c r="AEU461" s="9"/>
      <c r="AEV461" s="9"/>
      <c r="AEW461" s="9"/>
      <c r="AEX461" s="9"/>
      <c r="AEY461" s="9"/>
      <c r="AEZ461" s="9"/>
      <c r="AFA461" s="9"/>
      <c r="AFB461" s="9"/>
      <c r="AFC461" s="9"/>
      <c r="AFD461" s="9"/>
      <c r="AFE461" s="9"/>
      <c r="AFF461" s="9"/>
      <c r="AFG461" s="9"/>
      <c r="AFH461" s="9"/>
      <c r="AFI461" s="9"/>
      <c r="AFJ461" s="9"/>
      <c r="AFK461" s="9"/>
      <c r="AFL461" s="9"/>
      <c r="AFM461" s="9"/>
      <c r="AFN461" s="9"/>
      <c r="AFO461" s="9"/>
      <c r="AFP461" s="9"/>
      <c r="AFQ461" s="9"/>
      <c r="AFR461" s="9"/>
      <c r="AFS461" s="9"/>
      <c r="AFT461" s="9"/>
      <c r="AFU461" s="9"/>
      <c r="AFV461" s="9"/>
      <c r="AFW461" s="9"/>
      <c r="AFX461" s="9"/>
      <c r="AFY461" s="9"/>
      <c r="AFZ461" s="9"/>
      <c r="AGA461" s="9"/>
      <c r="AGB461" s="9"/>
      <c r="AGC461" s="9"/>
      <c r="AGD461" s="9"/>
      <c r="AGE461" s="9"/>
      <c r="AGF461" s="9"/>
      <c r="AGG461" s="9"/>
      <c r="AGH461" s="9"/>
      <c r="AGI461" s="9"/>
      <c r="AGJ461" s="9"/>
      <c r="AGK461" s="9"/>
      <c r="AGL461" s="9"/>
      <c r="AGM461" s="9"/>
      <c r="AGN461" s="9"/>
      <c r="AGO461" s="9"/>
      <c r="AGP461" s="9"/>
      <c r="AGQ461" s="9"/>
      <c r="AGR461" s="9"/>
      <c r="AGS461" s="9"/>
      <c r="AGT461" s="9"/>
      <c r="AGU461" s="9"/>
      <c r="AGV461" s="9"/>
      <c r="AGW461" s="9"/>
      <c r="AGX461" s="9"/>
      <c r="AGY461" s="9"/>
      <c r="AGZ461" s="9"/>
      <c r="AHA461" s="9"/>
      <c r="AHB461" s="9"/>
      <c r="AHC461" s="9"/>
      <c r="AHD461" s="9"/>
      <c r="AHE461" s="9"/>
      <c r="AHF461" s="9"/>
      <c r="AHG461" s="9"/>
      <c r="AHH461" s="9"/>
      <c r="AHI461" s="9"/>
      <c r="AHJ461" s="9"/>
      <c r="AHK461" s="9"/>
      <c r="AHL461" s="9"/>
      <c r="AHM461" s="9"/>
      <c r="AHN461" s="9"/>
      <c r="AHO461" s="9"/>
      <c r="AHP461" s="9"/>
      <c r="AHQ461" s="9"/>
      <c r="AHR461" s="9"/>
      <c r="AHS461" s="9"/>
      <c r="AHT461" s="9"/>
      <c r="AHU461" s="9"/>
      <c r="AHV461" s="9"/>
      <c r="AHW461" s="9"/>
      <c r="AHX461" s="9"/>
      <c r="AHY461" s="9"/>
      <c r="AHZ461" s="9"/>
      <c r="AIA461" s="9"/>
      <c r="AIB461" s="9"/>
      <c r="AIC461" s="9"/>
      <c r="AID461" s="9"/>
      <c r="AIE461" s="9"/>
      <c r="AIF461" s="9"/>
      <c r="AIG461" s="9"/>
      <c r="AIH461" s="9"/>
      <c r="AII461" s="9"/>
      <c r="AIJ461" s="9"/>
      <c r="AIK461" s="9"/>
      <c r="AIL461" s="9"/>
      <c r="AIM461" s="9"/>
      <c r="AIN461" s="9"/>
      <c r="AIO461" s="9"/>
      <c r="AIP461" s="9"/>
      <c r="AIQ461" s="9"/>
      <c r="AIR461" s="9"/>
      <c r="AIS461" s="9"/>
      <c r="AIT461" s="9"/>
      <c r="AIU461" s="9"/>
      <c r="AIV461" s="9"/>
      <c r="AIW461" s="9"/>
      <c r="AIX461" s="9"/>
      <c r="AIY461" s="9"/>
      <c r="AIZ461" s="9"/>
      <c r="AJA461" s="9"/>
      <c r="AJB461" s="9"/>
      <c r="AJC461" s="9"/>
      <c r="AJD461" s="9"/>
      <c r="AJE461" s="9"/>
      <c r="AJF461" s="9"/>
      <c r="AJG461" s="9"/>
      <c r="AJH461" s="9"/>
      <c r="AJI461" s="9"/>
      <c r="AJJ461" s="9"/>
      <c r="AJK461" s="9"/>
      <c r="AJL461" s="9"/>
      <c r="AJM461" s="9"/>
      <c r="AJN461" s="9"/>
      <c r="AJO461" s="9"/>
      <c r="AJP461" s="9"/>
      <c r="AJQ461" s="9"/>
      <c r="AJR461" s="9"/>
      <c r="AJS461" s="9"/>
      <c r="AJT461" s="9"/>
      <c r="AJU461" s="9"/>
      <c r="AJV461" s="9"/>
      <c r="AJW461" s="9"/>
      <c r="AJX461" s="9"/>
      <c r="AJY461" s="9"/>
      <c r="AJZ461" s="9"/>
      <c r="AKA461" s="9"/>
      <c r="AKB461" s="9"/>
      <c r="AKC461" s="9"/>
      <c r="AKD461" s="9"/>
      <c r="AKE461" s="9"/>
      <c r="AKF461" s="9"/>
      <c r="AKG461" s="9"/>
      <c r="AKH461" s="9"/>
      <c r="AKI461" s="9"/>
      <c r="AKJ461" s="9"/>
      <c r="AKK461" s="9"/>
      <c r="AKL461" s="9"/>
      <c r="AKM461" s="9"/>
      <c r="AKN461" s="9"/>
      <c r="AKO461" s="9"/>
      <c r="AKP461" s="9"/>
      <c r="AKQ461" s="9"/>
      <c r="AKR461" s="9"/>
      <c r="AKS461" s="9"/>
      <c r="AKT461" s="9"/>
      <c r="AKU461" s="9"/>
      <c r="AKV461" s="9"/>
      <c r="AKW461" s="9"/>
      <c r="AKX461" s="9"/>
      <c r="AKY461" s="9"/>
      <c r="AKZ461" s="9"/>
      <c r="ALA461" s="9"/>
      <c r="ALB461" s="9"/>
      <c r="ALC461" s="9"/>
      <c r="ALD461" s="9"/>
      <c r="ALE461" s="9"/>
      <c r="ALF461" s="9"/>
      <c r="ALG461" s="9"/>
      <c r="ALH461" s="9"/>
      <c r="ALI461" s="9"/>
      <c r="ALJ461" s="9"/>
      <c r="ALK461" s="9"/>
      <c r="ALL461" s="9"/>
      <c r="ALM461" s="9"/>
      <c r="ALN461" s="9"/>
      <c r="ALO461" s="9"/>
      <c r="ALP461" s="9"/>
      <c r="ALQ461" s="9"/>
      <c r="ALR461" s="9"/>
      <c r="ALS461" s="9"/>
      <c r="ALT461" s="9"/>
      <c r="ALU461" s="9"/>
      <c r="ALV461" s="9"/>
      <c r="ALW461" s="9"/>
      <c r="ALX461" s="9"/>
      <c r="ALY461" s="9"/>
      <c r="ALZ461" s="9"/>
      <c r="AMA461" s="9"/>
      <c r="AMB461" s="9"/>
      <c r="AMC461" s="9"/>
      <c r="AMD461" s="9"/>
      <c r="AME461" s="9"/>
      <c r="AMF461" s="9"/>
      <c r="AMG461" s="9"/>
      <c r="AMH461" s="9"/>
      <c r="AMI461" s="9"/>
      <c r="AMJ461" s="9"/>
      <c r="AMK461" s="9"/>
      <c r="AML461" s="9"/>
      <c r="AMM461" s="9"/>
      <c r="AMN461" s="9"/>
      <c r="AMO461" s="9"/>
    </row>
    <row r="462" spans="1:1030" x14ac:dyDescent="0.2">
      <c r="A462" s="3" t="str">
        <f>CONCATENATE(B462,"_",C462)</f>
        <v>q98sw5_xenla__wt</v>
      </c>
      <c r="B462" s="3" t="s">
        <v>1489</v>
      </c>
      <c r="C462" s="3" t="s">
        <v>100</v>
      </c>
      <c r="D462" s="3" t="str">
        <f>IFERROR(MID(VLOOKUP($B462,Seqs!$A:$B,2,0),E462,1),"")</f>
        <v>T</v>
      </c>
      <c r="E462" s="3">
        <v>196</v>
      </c>
      <c r="F462" s="3" t="str">
        <f>IFERROR(MID(VLOOKUP($B462,Seqs!$A:$B,2,0),G462,1),"")</f>
        <v>D</v>
      </c>
      <c r="G462" s="3">
        <v>228</v>
      </c>
      <c r="H462" s="3" t="str">
        <f>IFERROR(MID(VLOOKUP($B462,Seqs!$A:$B,2,0),I462,1),"")</f>
        <v>W</v>
      </c>
      <c r="I462" s="23">
        <v>229</v>
      </c>
      <c r="J462" s="3" t="str">
        <f>IFERROR(MID(VLOOKUP($B462,Seqs!$A:$B,2,0),K462,1),"")</f>
        <v>N</v>
      </c>
      <c r="K462" s="23">
        <v>233</v>
      </c>
      <c r="L462" s="3" t="str">
        <f>IFERROR(MID(VLOOKUP($B462,Seqs!$A:$B,2,0),M462,1),"")</f>
        <v>R</v>
      </c>
      <c r="M462" s="3">
        <v>234</v>
      </c>
      <c r="N462" s="3" t="str">
        <f>IFERROR(MID(VLOOKUP($B462,Seqs!$A:$B,2,0),O462,1),"")</f>
        <v>A</v>
      </c>
      <c r="O462" s="3">
        <v>256</v>
      </c>
      <c r="P462" s="3" t="str">
        <f>IFERROR(MID(VLOOKUP($B462,Seqs!$A:$B,2,0),Q462,1),"")</f>
        <v/>
      </c>
      <c r="Q462" s="3" t="s">
        <v>23</v>
      </c>
      <c r="R462" s="3" t="str">
        <f>IFERROR(MID(VLOOKUP($B462,Seqs!$A:$B,2,0),S462,1),"")</f>
        <v/>
      </c>
      <c r="S462" s="3" t="s">
        <v>23</v>
      </c>
      <c r="T462" s="3" t="str">
        <f>IFERROR(MID(VLOOKUP($B462,Seqs!$A:$B,2,0),U462,1),"")</f>
        <v>L</v>
      </c>
      <c r="U462" s="3">
        <v>285</v>
      </c>
      <c r="V462" s="3" t="str">
        <f>IFERROR(MID(VLOOKUP($B462,Seqs!$A:$B,2,0),W462,1),"")</f>
        <v>T</v>
      </c>
      <c r="W462" s="3">
        <v>321</v>
      </c>
      <c r="X462" s="3" t="str">
        <f>IFERROR(MID(VLOOKUP($B462,Seqs!$A:$B,2,0),Y462,1),"")</f>
        <v/>
      </c>
      <c r="Y462" s="3" t="s">
        <v>23</v>
      </c>
      <c r="Z462" s="3" t="str">
        <f>IFERROR(MID(VLOOKUP($B462,Seqs!$A:$B,2,0),AA462,1),"")</f>
        <v/>
      </c>
      <c r="AA462" s="3" t="s">
        <v>23</v>
      </c>
      <c r="AB462" s="3" t="str">
        <f>IFERROR(MID(VLOOKUP($B462,Seqs!$A:$B,2,0),AC462,1),"")</f>
        <v>L</v>
      </c>
      <c r="AC462" s="3">
        <v>326</v>
      </c>
      <c r="AD462" s="3" t="str">
        <f>IFERROR(MID(VLOOKUP($B462,Seqs!$A:$B,2,0),AE462,1),"")</f>
        <v>V</v>
      </c>
      <c r="AE462" s="3">
        <v>351</v>
      </c>
      <c r="AF462" s="3" t="str">
        <f>IFERROR(MID(VLOOKUP($B462,Seqs!$A:$B,2,0),AG462,1),"")</f>
        <v>C</v>
      </c>
      <c r="AG462" s="3">
        <v>363</v>
      </c>
      <c r="AH462" s="3" t="str">
        <f>IFERROR(MID(VLOOKUP($B462,Seqs!$A:$B,2,0),AI462,1),"")</f>
        <v>V</v>
      </c>
      <c r="AI462" s="3">
        <v>365</v>
      </c>
      <c r="AJ462" s="3" t="str">
        <f>IFERROR(MID(VLOOKUP($B462,Seqs!$A:$B,2,0),AK462,1),"")</f>
        <v>N</v>
      </c>
      <c r="AK462" s="3">
        <v>369</v>
      </c>
      <c r="AL462" s="3" t="str">
        <f>IFERROR(MID(VLOOKUP($B462,Seqs!$A:$B,2,0),AM462,1),"")</f>
        <v>H</v>
      </c>
      <c r="AM462" s="3">
        <v>406</v>
      </c>
      <c r="AN462" s="3" t="str">
        <f>IFERROR(MID(VLOOKUP($B462,Seqs!$A:$B,2,0),AO462,1),"")</f>
        <v>A</v>
      </c>
      <c r="AO462" s="3">
        <v>415</v>
      </c>
      <c r="AP462" s="3" t="str">
        <f>IFERROR(MID(VLOOKUP($B462,Seqs!$A:$B,2,0),AQ462,1),"")</f>
        <v>Q</v>
      </c>
      <c r="AQ462" s="3">
        <v>472</v>
      </c>
      <c r="AR462" s="3" t="str">
        <f>IFERROR(MID(VLOOKUP($B462,Seqs!$A:$B,2,0),AS462,1),"")</f>
        <v>S</v>
      </c>
      <c r="AS462" s="3">
        <v>487</v>
      </c>
      <c r="AT462" s="3" t="str">
        <f>IFERROR(MID(VLOOKUP($B462,Seqs!$A:$B,2,0),AU462,1),"")</f>
        <v>W</v>
      </c>
      <c r="AU462" s="3">
        <v>510</v>
      </c>
      <c r="AV462" s="3" t="str">
        <f>IFERROR(MID(VLOOKUP($B462,Seqs!$A:$B,2,0),AW462,1),"")</f>
        <v>T</v>
      </c>
      <c r="AW462" s="3">
        <v>511</v>
      </c>
      <c r="AX462" s="3" t="str">
        <f>IFERROR(MID(VLOOKUP($B462,Seqs!$A:$B,2,0),AY462,1),"")</f>
        <v>L</v>
      </c>
      <c r="AY462" s="3">
        <v>526</v>
      </c>
      <c r="AZ462" s="78" t="str">
        <f>VLOOKUP(B462,Classification!A:D,2,0)</f>
        <v>F</v>
      </c>
      <c r="BA462" s="94" t="str">
        <f>VLOOKUP(B462,Classification!A:D,4,0)</f>
        <v>Frizzled</v>
      </c>
      <c r="BB462" s="92" t="b">
        <f t="shared" si="1221"/>
        <v>1</v>
      </c>
      <c r="BC462" s="23">
        <f t="shared" si="1222"/>
        <v>265</v>
      </c>
      <c r="BD462" s="74" t="s">
        <v>23</v>
      </c>
      <c r="BE462" s="3" t="s">
        <v>1368</v>
      </c>
      <c r="BF462" s="118" t="s">
        <v>23</v>
      </c>
      <c r="BG462" s="49" t="s">
        <v>1</v>
      </c>
      <c r="BH462" s="49" t="s">
        <v>1</v>
      </c>
      <c r="BJ462" s="75" t="s">
        <v>1281</v>
      </c>
      <c r="BK462" s="57" t="s">
        <v>1281</v>
      </c>
      <c r="BL462" s="57" t="s">
        <v>1281</v>
      </c>
      <c r="BM462" s="57" t="s">
        <v>1281</v>
      </c>
      <c r="BN462" s="57" t="s">
        <v>1281</v>
      </c>
      <c r="BO462" s="57" t="s">
        <v>1281</v>
      </c>
      <c r="BP462" s="57" t="s">
        <v>1281</v>
      </c>
      <c r="BQ462" s="57" t="s">
        <v>1281</v>
      </c>
      <c r="BR462" s="57" t="s">
        <v>1281</v>
      </c>
      <c r="BS462" s="57" t="s">
        <v>1281</v>
      </c>
      <c r="BT462" s="57" t="s">
        <v>1281</v>
      </c>
      <c r="BU462" s="57" t="s">
        <v>1281</v>
      </c>
      <c r="BV462" s="75">
        <f>E462</f>
        <v>196</v>
      </c>
      <c r="BW462" s="71">
        <f>I462</f>
        <v>229</v>
      </c>
      <c r="BX462" s="72">
        <f>M462</f>
        <v>234</v>
      </c>
      <c r="BY462" s="71" t="str">
        <f>Q462</f>
        <v>-</v>
      </c>
      <c r="BZ462" s="72">
        <f>U462</f>
        <v>285</v>
      </c>
      <c r="CA462" s="71" t="str">
        <f>Y462</f>
        <v>-</v>
      </c>
      <c r="CB462" s="72">
        <f>AC462</f>
        <v>326</v>
      </c>
      <c r="CC462" s="71">
        <f>AG462</f>
        <v>363</v>
      </c>
      <c r="CD462" s="72">
        <f>AK462</f>
        <v>369</v>
      </c>
      <c r="CE462" s="71">
        <f>AO462</f>
        <v>415</v>
      </c>
      <c r="CF462" s="72">
        <f>AS462</f>
        <v>487</v>
      </c>
      <c r="CG462" s="71">
        <f>AW462</f>
        <v>511</v>
      </c>
      <c r="CH462" s="75">
        <f>G462</f>
        <v>228</v>
      </c>
      <c r="CI462" s="71">
        <f>K462</f>
        <v>233</v>
      </c>
      <c r="CJ462" s="72">
        <f>O462</f>
        <v>256</v>
      </c>
      <c r="CK462" s="72" t="str">
        <f>S462</f>
        <v>-</v>
      </c>
      <c r="CL462" s="72">
        <f>W462</f>
        <v>321</v>
      </c>
      <c r="CM462" s="72" t="str">
        <f>AA462</f>
        <v>-</v>
      </c>
      <c r="CN462" s="72">
        <f>AE462</f>
        <v>351</v>
      </c>
      <c r="CO462" s="72">
        <f>AI462</f>
        <v>365</v>
      </c>
      <c r="CP462" s="72">
        <f>AM462</f>
        <v>406</v>
      </c>
      <c r="CQ462" s="72">
        <f>AQ462</f>
        <v>472</v>
      </c>
      <c r="CR462" s="72">
        <f>AU462</f>
        <v>510</v>
      </c>
      <c r="CS462" s="72">
        <f>AY462</f>
        <v>526</v>
      </c>
      <c r="CT462" s="23">
        <f>M462-K462</f>
        <v>1</v>
      </c>
    </row>
    <row r="463" spans="1:1030" x14ac:dyDescent="0.2">
      <c r="A463" s="3" t="str">
        <f>CONCATENATE(B463,"_",C463)</f>
        <v>q98sw5_xenla_6D32</v>
      </c>
      <c r="B463" s="3" t="s">
        <v>1489</v>
      </c>
      <c r="C463" s="3" t="s">
        <v>1488</v>
      </c>
      <c r="D463" s="3" t="str">
        <f>IFERROR(MID(VLOOKUP($B463,Seqs!$A:$B,2,0),E463,1),"")</f>
        <v>T</v>
      </c>
      <c r="E463" s="3">
        <v>196</v>
      </c>
      <c r="F463" s="3" t="str">
        <f>IFERROR(MID(VLOOKUP($B463,Seqs!$A:$B,2,0),G463,1),"")</f>
        <v>D</v>
      </c>
      <c r="G463" s="3">
        <v>228</v>
      </c>
      <c r="H463" s="3" t="str">
        <f>IFERROR(MID(VLOOKUP($B463,Seqs!$A:$B,2,0),I463,1),"")</f>
        <v>W</v>
      </c>
      <c r="I463" s="23">
        <v>229</v>
      </c>
      <c r="J463" s="3" t="str">
        <f>IFERROR(MID(VLOOKUP($B463,Seqs!$A:$B,2,0),K463,1),"")</f>
        <v>N</v>
      </c>
      <c r="K463" s="23">
        <v>233</v>
      </c>
      <c r="L463" s="3" t="str">
        <f>IFERROR(MID(VLOOKUP($B463,Seqs!$A:$B,2,0),M463,1),"")</f>
        <v>R</v>
      </c>
      <c r="M463" s="3">
        <v>234</v>
      </c>
      <c r="N463" s="3" t="str">
        <f>IFERROR(MID(VLOOKUP($B463,Seqs!$A:$B,2,0),O463,1),"")</f>
        <v>A</v>
      </c>
      <c r="O463" s="3">
        <v>256</v>
      </c>
      <c r="P463" s="3" t="str">
        <f>IFERROR(MID(VLOOKUP($B463,Seqs!$A:$B,2,0),Q463,1),"")</f>
        <v/>
      </c>
      <c r="Q463" s="3" t="s">
        <v>23</v>
      </c>
      <c r="R463" s="3" t="str">
        <f>IFERROR(MID(VLOOKUP($B463,Seqs!$A:$B,2,0),S463,1),"")</f>
        <v/>
      </c>
      <c r="S463" s="3" t="s">
        <v>23</v>
      </c>
      <c r="T463" s="3" t="str">
        <f>IFERROR(MID(VLOOKUP($B463,Seqs!$A:$B,2,0),U463,1),"")</f>
        <v>L</v>
      </c>
      <c r="U463" s="3">
        <v>285</v>
      </c>
      <c r="V463" s="3" t="str">
        <f>IFERROR(MID(VLOOKUP($B463,Seqs!$A:$B,2,0),W463,1),"")</f>
        <v>K</v>
      </c>
      <c r="W463" s="3">
        <v>317</v>
      </c>
      <c r="X463" s="3" t="str">
        <f>IFERROR(MID(VLOOKUP($B463,Seqs!$A:$B,2,0),Y463,1),"")</f>
        <v/>
      </c>
      <c r="Y463" s="3" t="s">
        <v>23</v>
      </c>
      <c r="Z463" s="3" t="str">
        <f>IFERROR(MID(VLOOKUP($B463,Seqs!$A:$B,2,0),AA463,1),"")</f>
        <v/>
      </c>
      <c r="AA463" s="3" t="s">
        <v>23</v>
      </c>
      <c r="AB463" s="3" t="str">
        <f>IFERROR(MID(VLOOKUP($B463,Seqs!$A:$B,2,0),AC463,1),"")</f>
        <v>K</v>
      </c>
      <c r="AC463" s="3">
        <v>329</v>
      </c>
      <c r="AD463" s="3" t="str">
        <f>IFERROR(MID(VLOOKUP($B463,Seqs!$A:$B,2,0),AE463,1),"")</f>
        <v>V</v>
      </c>
      <c r="AE463" s="3">
        <v>351</v>
      </c>
      <c r="AF463" s="3" t="str">
        <f>IFERROR(MID(VLOOKUP($B463,Seqs!$A:$B,2,0),AG463,1),"")</f>
        <v>C</v>
      </c>
      <c r="AG463" s="3">
        <v>363</v>
      </c>
      <c r="AH463" s="3" t="str">
        <f>IFERROR(MID(VLOOKUP($B463,Seqs!$A:$B,2,0),AI463,1),"")</f>
        <v>V</v>
      </c>
      <c r="AI463" s="3">
        <v>365</v>
      </c>
      <c r="AJ463" s="3" t="str">
        <f>IFERROR(MID(VLOOKUP($B463,Seqs!$A:$B,2,0),AK463,1),"")</f>
        <v>N</v>
      </c>
      <c r="AK463" s="3">
        <v>369</v>
      </c>
      <c r="AL463" s="3" t="str">
        <f>IFERROR(MID(VLOOKUP($B463,Seqs!$A:$B,2,0),AM463,1),"")</f>
        <v>S</v>
      </c>
      <c r="AM463" s="3">
        <v>401</v>
      </c>
      <c r="AN463" s="3" t="str">
        <f>IFERROR(MID(VLOOKUP($B463,Seqs!$A:$B,2,0),AO463,1),"")</f>
        <v>S</v>
      </c>
      <c r="AO463" s="3">
        <v>416</v>
      </c>
      <c r="AP463" s="3" t="str">
        <f>IFERROR(MID(VLOOKUP($B463,Seqs!$A:$B,2,0),AQ463,1),"")</f>
        <v>Q</v>
      </c>
      <c r="AQ463" s="3">
        <v>472</v>
      </c>
      <c r="AR463" s="3" t="str">
        <f>IFERROR(MID(VLOOKUP($B463,Seqs!$A:$B,2,0),AS463,1),"")</f>
        <v>S</v>
      </c>
      <c r="AS463" s="3">
        <v>487</v>
      </c>
      <c r="AT463" s="3" t="str">
        <f>IFERROR(MID(VLOOKUP($B463,Seqs!$A:$B,2,0),AU463,1),"")</f>
        <v>W</v>
      </c>
      <c r="AU463" s="3">
        <v>510</v>
      </c>
      <c r="AV463" s="3" t="str">
        <f>IFERROR(MID(VLOOKUP($B463,Seqs!$A:$B,2,0),AW463,1),"")</f>
        <v>T</v>
      </c>
      <c r="AW463" s="3">
        <v>511</v>
      </c>
      <c r="AX463" s="3" t="str">
        <f>IFERROR(MID(VLOOKUP($B463,Seqs!$A:$B,2,0),AY463,1),"")</f>
        <v>R</v>
      </c>
      <c r="AY463" s="3">
        <v>520</v>
      </c>
      <c r="AZ463" s="78" t="str">
        <f>VLOOKUP(B463,Classification!A:D,2,0)</f>
        <v>F</v>
      </c>
      <c r="BA463" s="94" t="str">
        <f>VLOOKUP(B463,Classification!A:D,4,0)</f>
        <v>Frizzled</v>
      </c>
      <c r="BB463" s="92" t="b">
        <f t="shared" si="1221"/>
        <v>1</v>
      </c>
      <c r="BC463" s="23">
        <f t="shared" si="1222"/>
        <v>246</v>
      </c>
      <c r="BD463" s="74" t="s">
        <v>23</v>
      </c>
      <c r="BE463" s="3" t="s">
        <v>1368</v>
      </c>
      <c r="BF463" s="118">
        <v>3.7509999999999999</v>
      </c>
      <c r="BG463" s="49" t="s">
        <v>1</v>
      </c>
      <c r="BH463" s="49" t="s">
        <v>1</v>
      </c>
      <c r="BJ463" s="75" t="s">
        <v>1281</v>
      </c>
      <c r="BK463" s="57" t="s">
        <v>1281</v>
      </c>
      <c r="BL463" s="57" t="s">
        <v>1281</v>
      </c>
      <c r="BM463" s="57" t="s">
        <v>1281</v>
      </c>
      <c r="BN463" s="57" t="s">
        <v>1281</v>
      </c>
      <c r="BO463" s="57" t="s">
        <v>1281</v>
      </c>
      <c r="BP463" s="57" t="s">
        <v>1281</v>
      </c>
      <c r="BQ463" s="57" t="s">
        <v>1281</v>
      </c>
      <c r="BR463" s="57" t="s">
        <v>1281</v>
      </c>
      <c r="BS463" s="57" t="s">
        <v>1281</v>
      </c>
      <c r="BT463" s="57" t="s">
        <v>1281</v>
      </c>
      <c r="BU463" s="57" t="s">
        <v>1281</v>
      </c>
      <c r="BV463" s="75">
        <f>E463</f>
        <v>196</v>
      </c>
      <c r="BW463" s="71">
        <f>I463</f>
        <v>229</v>
      </c>
      <c r="BX463" s="72">
        <f>M463</f>
        <v>234</v>
      </c>
      <c r="BY463" s="71" t="str">
        <f>Q463</f>
        <v>-</v>
      </c>
      <c r="BZ463" s="72">
        <f>U463</f>
        <v>285</v>
      </c>
      <c r="CA463" s="71" t="str">
        <f>Y463</f>
        <v>-</v>
      </c>
      <c r="CB463" s="72">
        <f>AC463</f>
        <v>329</v>
      </c>
      <c r="CC463" s="71">
        <f>AG463</f>
        <v>363</v>
      </c>
      <c r="CD463" s="72">
        <f>AK463</f>
        <v>369</v>
      </c>
      <c r="CE463" s="71">
        <f>AO463</f>
        <v>416</v>
      </c>
      <c r="CF463" s="72">
        <f>AS463</f>
        <v>487</v>
      </c>
      <c r="CG463" s="71">
        <f>AW463</f>
        <v>511</v>
      </c>
      <c r="CH463" s="75">
        <f>G463</f>
        <v>228</v>
      </c>
      <c r="CI463" s="71">
        <f>K463</f>
        <v>233</v>
      </c>
      <c r="CJ463" s="72">
        <f>O463</f>
        <v>256</v>
      </c>
      <c r="CK463" s="72" t="str">
        <f>S463</f>
        <v>-</v>
      </c>
      <c r="CL463" s="72">
        <f>W463</f>
        <v>317</v>
      </c>
      <c r="CM463" s="72" t="str">
        <f>AA463</f>
        <v>-</v>
      </c>
      <c r="CN463" s="72">
        <f>AE463</f>
        <v>351</v>
      </c>
      <c r="CO463" s="72">
        <f>AI463</f>
        <v>365</v>
      </c>
      <c r="CP463" s="72">
        <f>AM463</f>
        <v>401</v>
      </c>
      <c r="CQ463" s="72">
        <f>AQ463</f>
        <v>472</v>
      </c>
      <c r="CR463" s="72">
        <f>AU463</f>
        <v>510</v>
      </c>
      <c r="CS463" s="72">
        <f>AY463</f>
        <v>520</v>
      </c>
      <c r="CT463" s="23">
        <f>M463-K463</f>
        <v>1</v>
      </c>
    </row>
    <row r="464" spans="1:1030" x14ac:dyDescent="0.2">
      <c r="A464" s="3" t="str">
        <f>CONCATENATE(B464,"_",C464)</f>
        <v>q98sw5_xenla_6D35</v>
      </c>
      <c r="B464" s="3" t="s">
        <v>1489</v>
      </c>
      <c r="C464" s="3" t="s">
        <v>1491</v>
      </c>
      <c r="D464" s="3" t="str">
        <f>IFERROR(MID(VLOOKUP($B464,Seqs!$A:$B,2,0),E464,1),"")</f>
        <v>T</v>
      </c>
      <c r="E464" s="3">
        <v>196</v>
      </c>
      <c r="F464" s="3" t="str">
        <f>IFERROR(MID(VLOOKUP($B464,Seqs!$A:$B,2,0),G464,1),"")</f>
        <v>D</v>
      </c>
      <c r="G464" s="3">
        <v>228</v>
      </c>
      <c r="H464" s="3" t="str">
        <f>IFERROR(MID(VLOOKUP($B464,Seqs!$A:$B,2,0),I464,1),"")</f>
        <v>W</v>
      </c>
      <c r="I464" s="23">
        <v>229</v>
      </c>
      <c r="J464" s="3" t="str">
        <f>IFERROR(MID(VLOOKUP($B464,Seqs!$A:$B,2,0),K464,1),"")</f>
        <v>N</v>
      </c>
      <c r="K464" s="23">
        <v>233</v>
      </c>
      <c r="L464" s="3" t="str">
        <f>IFERROR(MID(VLOOKUP($B464,Seqs!$A:$B,2,0),M464,1),"")</f>
        <v>R</v>
      </c>
      <c r="M464" s="3">
        <v>234</v>
      </c>
      <c r="N464" s="3" t="str">
        <f>IFERROR(MID(VLOOKUP($B464,Seqs!$A:$B,2,0),O464,1),"")</f>
        <v>A</v>
      </c>
      <c r="O464" s="3">
        <v>256</v>
      </c>
      <c r="P464" s="3" t="str">
        <f>IFERROR(MID(VLOOKUP($B464,Seqs!$A:$B,2,0),Q464,1),"")</f>
        <v/>
      </c>
      <c r="Q464" s="3" t="s">
        <v>23</v>
      </c>
      <c r="R464" s="3" t="str">
        <f>IFERROR(MID(VLOOKUP($B464,Seqs!$A:$B,2,0),S464,1),"")</f>
        <v/>
      </c>
      <c r="S464" s="3" t="s">
        <v>23</v>
      </c>
      <c r="T464" s="3" t="str">
        <f>IFERROR(MID(VLOOKUP($B464,Seqs!$A:$B,2,0),U464,1),"")</f>
        <v>L</v>
      </c>
      <c r="U464" s="3">
        <v>285</v>
      </c>
      <c r="V464" s="3" t="str">
        <f>IFERROR(MID(VLOOKUP($B464,Seqs!$A:$B,2,0),W464,1),"")</f>
        <v>K</v>
      </c>
      <c r="W464" s="3">
        <v>317</v>
      </c>
      <c r="X464" s="3" t="str">
        <f>IFERROR(MID(VLOOKUP($B464,Seqs!$A:$B,2,0),Y464,1),"")</f>
        <v/>
      </c>
      <c r="Y464" s="3" t="s">
        <v>23</v>
      </c>
      <c r="Z464" s="3" t="str">
        <f>IFERROR(MID(VLOOKUP($B464,Seqs!$A:$B,2,0),AA464,1),"")</f>
        <v/>
      </c>
      <c r="AA464" s="3" t="s">
        <v>23</v>
      </c>
      <c r="AB464" s="3" t="str">
        <f>IFERROR(MID(VLOOKUP($B464,Seqs!$A:$B,2,0),AC464,1),"")</f>
        <v>K</v>
      </c>
      <c r="AC464" s="3">
        <v>329</v>
      </c>
      <c r="AD464" s="3" t="str">
        <f>IFERROR(MID(VLOOKUP($B464,Seqs!$A:$B,2,0),AE464,1),"")</f>
        <v>V</v>
      </c>
      <c r="AE464" s="3">
        <v>351</v>
      </c>
      <c r="AF464" s="3" t="str">
        <f>IFERROR(MID(VLOOKUP($B464,Seqs!$A:$B,2,0),AG464,1),"")</f>
        <v>C</v>
      </c>
      <c r="AG464" s="3">
        <v>363</v>
      </c>
      <c r="AH464" s="3" t="str">
        <f>IFERROR(MID(VLOOKUP($B464,Seqs!$A:$B,2,0),AI464,1),"")</f>
        <v>V</v>
      </c>
      <c r="AI464" s="3">
        <v>365</v>
      </c>
      <c r="AJ464" s="3" t="str">
        <f>IFERROR(MID(VLOOKUP($B464,Seqs!$A:$B,2,0),AK464,1),"")</f>
        <v>N</v>
      </c>
      <c r="AK464" s="3">
        <v>369</v>
      </c>
      <c r="AL464" s="3" t="str">
        <f>IFERROR(MID(VLOOKUP($B464,Seqs!$A:$B,2,0),AM464,1),"")</f>
        <v>S</v>
      </c>
      <c r="AM464" s="3">
        <v>401</v>
      </c>
      <c r="AN464" s="3" t="str">
        <f>IFERROR(MID(VLOOKUP($B464,Seqs!$A:$B,2,0),AO464,1),"")</f>
        <v>S</v>
      </c>
      <c r="AO464" s="3">
        <v>416</v>
      </c>
      <c r="AP464" s="3" t="str">
        <f>IFERROR(MID(VLOOKUP($B464,Seqs!$A:$B,2,0),AQ464,1),"")</f>
        <v>Q</v>
      </c>
      <c r="AQ464" s="3">
        <v>472</v>
      </c>
      <c r="AR464" s="3" t="str">
        <f>IFERROR(MID(VLOOKUP($B464,Seqs!$A:$B,2,0),AS464,1),"")</f>
        <v>S</v>
      </c>
      <c r="AS464" s="3">
        <v>487</v>
      </c>
      <c r="AT464" s="3" t="str">
        <f>IFERROR(MID(VLOOKUP($B464,Seqs!$A:$B,2,0),AU464,1),"")</f>
        <v>W</v>
      </c>
      <c r="AU464" s="3">
        <v>510</v>
      </c>
      <c r="AV464" s="3" t="str">
        <f>IFERROR(MID(VLOOKUP($B464,Seqs!$A:$B,2,0),AW464,1),"")</f>
        <v>T</v>
      </c>
      <c r="AW464" s="3">
        <v>511</v>
      </c>
      <c r="AX464" s="3" t="str">
        <f>IFERROR(MID(VLOOKUP($B464,Seqs!$A:$B,2,0),AY464,1),"")</f>
        <v>R</v>
      </c>
      <c r="AY464" s="3">
        <v>520</v>
      </c>
      <c r="AZ464" s="78" t="str">
        <f>VLOOKUP(B464,Classification!A:D,2,0)</f>
        <v>F</v>
      </c>
      <c r="BA464" s="94" t="str">
        <f>VLOOKUP(B464,Classification!A:D,4,0)</f>
        <v>Frizzled</v>
      </c>
      <c r="BB464" s="92" t="b">
        <f t="shared" si="1221"/>
        <v>1</v>
      </c>
      <c r="BC464" s="23">
        <f t="shared" si="1222"/>
        <v>246</v>
      </c>
      <c r="BD464" s="74" t="s">
        <v>23</v>
      </c>
      <c r="BE464" s="3" t="s">
        <v>1368</v>
      </c>
      <c r="BF464" s="118">
        <v>3.9</v>
      </c>
      <c r="BG464" s="49" t="s">
        <v>1</v>
      </c>
      <c r="BH464" s="49" t="s">
        <v>1</v>
      </c>
      <c r="BJ464" s="75" t="s">
        <v>1281</v>
      </c>
      <c r="BK464" s="57" t="s">
        <v>1281</v>
      </c>
      <c r="BL464" s="57" t="s">
        <v>1281</v>
      </c>
      <c r="BM464" s="57" t="s">
        <v>1281</v>
      </c>
      <c r="BN464" s="57" t="s">
        <v>1281</v>
      </c>
      <c r="BO464" s="57" t="s">
        <v>1281</v>
      </c>
      <c r="BP464" s="57" t="s">
        <v>1281</v>
      </c>
      <c r="BQ464" s="57" t="s">
        <v>1281</v>
      </c>
      <c r="BR464" s="57" t="s">
        <v>1281</v>
      </c>
      <c r="BS464" s="57" t="s">
        <v>1281</v>
      </c>
      <c r="BT464" s="57" t="s">
        <v>1281</v>
      </c>
      <c r="BU464" s="57" t="s">
        <v>1281</v>
      </c>
      <c r="BV464" s="75">
        <f>E464</f>
        <v>196</v>
      </c>
      <c r="BW464" s="71">
        <f>I464</f>
        <v>229</v>
      </c>
      <c r="BX464" s="72">
        <f>M464</f>
        <v>234</v>
      </c>
      <c r="BY464" s="71" t="str">
        <f>Q464</f>
        <v>-</v>
      </c>
      <c r="BZ464" s="72">
        <f>U464</f>
        <v>285</v>
      </c>
      <c r="CA464" s="71" t="str">
        <f>Y464</f>
        <v>-</v>
      </c>
      <c r="CB464" s="72">
        <f>AC464</f>
        <v>329</v>
      </c>
      <c r="CC464" s="71">
        <f>AG464</f>
        <v>363</v>
      </c>
      <c r="CD464" s="72">
        <f>AK464</f>
        <v>369</v>
      </c>
      <c r="CE464" s="71">
        <f>AO464</f>
        <v>416</v>
      </c>
      <c r="CF464" s="72">
        <f>AS464</f>
        <v>487</v>
      </c>
      <c r="CG464" s="71">
        <f>AW464</f>
        <v>511</v>
      </c>
      <c r="CH464" s="75">
        <f>G464</f>
        <v>228</v>
      </c>
      <c r="CI464" s="71">
        <f>K464</f>
        <v>233</v>
      </c>
      <c r="CJ464" s="72">
        <f>O464</f>
        <v>256</v>
      </c>
      <c r="CK464" s="72" t="str">
        <f>S464</f>
        <v>-</v>
      </c>
      <c r="CL464" s="72">
        <f>W464</f>
        <v>317</v>
      </c>
      <c r="CM464" s="72" t="str">
        <f>AA464</f>
        <v>-</v>
      </c>
      <c r="CN464" s="72">
        <f>AE464</f>
        <v>351</v>
      </c>
      <c r="CO464" s="72">
        <f>AI464</f>
        <v>365</v>
      </c>
      <c r="CP464" s="72">
        <f>AM464</f>
        <v>401</v>
      </c>
      <c r="CQ464" s="72">
        <f>AQ464</f>
        <v>472</v>
      </c>
      <c r="CR464" s="72">
        <f>AU464</f>
        <v>510</v>
      </c>
      <c r="CS464" s="72">
        <f>AY464</f>
        <v>520</v>
      </c>
      <c r="CT464" s="23">
        <f>M464-K464</f>
        <v>1</v>
      </c>
    </row>
    <row r="538" spans="52:86" x14ac:dyDescent="0.2">
      <c r="AZ538" s="77"/>
      <c r="BA538" s="28"/>
      <c r="BB538" s="16"/>
      <c r="BD538" s="2"/>
      <c r="BJ538" s="70"/>
      <c r="BV538" s="70"/>
      <c r="CH538" s="70"/>
    </row>
  </sheetData>
  <sortState xmlns:xlrd2="http://schemas.microsoft.com/office/spreadsheetml/2017/richdata2" ref="A2:AMN255">
    <sortCondition ref="AZ2:AZ255"/>
    <sortCondition ref="B2:B255"/>
    <sortCondition ref="C2:C255"/>
  </sortState>
  <customSheetViews>
    <customSheetView guid="{3E3401AF-8459-8641-BD70-AD04F80E86ED}" scale="110">
      <pane xSplit="3" ySplit="1" topLeftCell="D75" activePane="bottomRight" state="frozenSplit"/>
      <selection pane="bottomRight" activeCell="C96" sqref="C96"/>
      <pageMargins left="0.7" right="0.7" top="0.75" bottom="0.75" header="0.3" footer="0.3"/>
      <pageSetup orientation="portrait" horizontalDpi="300" verticalDpi="300" r:id="rId1"/>
    </customSheetView>
  </customSheetViews>
  <conditionalFormatting sqref="BB148 BB74 BB29:BB33 BB36:BB40">
    <cfRule type="cellIs" dxfId="70" priority="10" operator="equal">
      <formula>0</formula>
    </cfRule>
  </conditionalFormatting>
  <conditionalFormatting sqref="BB355:BB356">
    <cfRule type="cellIs" dxfId="69" priority="11" operator="equal">
      <formula>0</formula>
    </cfRule>
  </conditionalFormatting>
  <conditionalFormatting sqref="BB12">
    <cfRule type="cellIs" dxfId="68" priority="12" operator="equal">
      <formula>0</formula>
    </cfRule>
  </conditionalFormatting>
  <conditionalFormatting sqref="BB380">
    <cfRule type="cellIs" dxfId="67" priority="13" operator="equal">
      <formula>0</formula>
    </cfRule>
  </conditionalFormatting>
  <conditionalFormatting sqref="E380 AW380 AU380 AS380 AQ380 AO380 AM380 AK380 AI380 AG380 AE380 AC380 AA380 Y380 W380 U380 S380 Q380 O380 M380 K380 I380 G380">
    <cfRule type="cellIs" dxfId="66" priority="14" operator="equal">
      <formula>"G"</formula>
    </cfRule>
    <cfRule type="cellIs" dxfId="65" priority="15" operator="equal">
      <formula>"P"</formula>
    </cfRule>
  </conditionalFormatting>
  <conditionalFormatting sqref="BB28">
    <cfRule type="cellIs" dxfId="64" priority="16" operator="equal">
      <formula>0</formula>
    </cfRule>
  </conditionalFormatting>
  <conditionalFormatting sqref="BB11">
    <cfRule type="cellIs" dxfId="63" priority="20" operator="equal">
      <formula>0</formula>
    </cfRule>
  </conditionalFormatting>
  <conditionalFormatting sqref="E11 AW11 AU11 AS11 AQ11 AO11 AM11 AK11 AI11 AG11 AE11 AC11 AA11 Y11 W11 U11 S11 Q11 O11 M11 K11 I11 G11">
    <cfRule type="cellIs" dxfId="62" priority="22" operator="equal">
      <formula>"G"</formula>
    </cfRule>
    <cfRule type="cellIs" dxfId="61" priority="23" operator="equal">
      <formula>"P"</formula>
    </cfRule>
  </conditionalFormatting>
  <conditionalFormatting sqref="BB1:BB33 BB36:BB1048576">
    <cfRule type="cellIs" dxfId="60" priority="8" operator="equal">
      <formula>FALSE</formula>
    </cfRule>
  </conditionalFormatting>
  <conditionalFormatting sqref="BG36:BG47 BG27:BG33 BH27:BH47 BG1:BH26 BG48:BH1048576">
    <cfRule type="cellIs" dxfId="59" priority="7" operator="equal">
      <formula>"?"</formula>
    </cfRule>
  </conditionalFormatting>
  <conditionalFormatting sqref="BB34:BB35">
    <cfRule type="cellIs" dxfId="58" priority="6" operator="equal">
      <formula>FALSE</formula>
    </cfRule>
  </conditionalFormatting>
  <conditionalFormatting sqref="BG34:BG35">
    <cfRule type="cellIs" dxfId="57" priority="5" operator="equal">
      <formula>"?"</formula>
    </cfRule>
  </conditionalFormatting>
  <conditionalFormatting sqref="BE2:BE1048576">
    <cfRule type="notContainsText" dxfId="56" priority="2" operator="notContains" text="In">
      <formula>ISERROR(SEARCH("In",BE2))</formula>
    </cfRule>
    <cfRule type="containsText" dxfId="55" priority="3" operator="containsText" text="Inter">
      <formula>NOT(ISERROR(SEARCH("Inter",BE2)))</formula>
    </cfRule>
    <cfRule type="containsText" dxfId="54" priority="4" operator="containsText" text="Inact">
      <formula>NOT(ISERROR(SEARCH("Inact",BE2)))</formula>
    </cfRule>
  </conditionalFormatting>
  <pageMargins left="0.7" right="0.7" top="0.75" bottom="0.75" header="0.3" footer="0.3"/>
  <pageSetup orientation="portrait" horizontalDpi="300" verticalDpi="300" r:id="rId2"/>
  <ignoredErrors>
    <ignoredError sqref="C258" numberStoredAsText="1"/>
  </ignoredError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37300FEC-62E5-C949-9D60-F28988328986}">
            <xm:f>NOT(ISERROR(SEARCH("-",BE2)))</xm:f>
            <xm:f>"-"</xm:f>
            <x14:dxf>
              <font>
                <color theme="1"/>
              </font>
              <fill>
                <patternFill patternType="none">
                  <bgColor auto="1"/>
                </patternFill>
              </fill>
            </x14:dxf>
          </x14:cfRule>
          <xm:sqref>BE2:BE538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L173"/>
  <sheetViews>
    <sheetView workbookViewId="0">
      <pane ySplit="1" topLeftCell="A38" activePane="bottomLeft" state="frozenSplit"/>
      <selection pane="bottomLeft" activeCell="C82" sqref="C82"/>
    </sheetView>
  </sheetViews>
  <sheetFormatPr baseColWidth="10" defaultColWidth="10.83203125" defaultRowHeight="16" x14ac:dyDescent="0.2"/>
  <cols>
    <col min="1" max="1" width="16.83203125" style="2" bestFit="1" customWidth="1"/>
    <col min="2" max="2" width="13.33203125" style="2" bestFit="1" customWidth="1"/>
    <col min="3" max="18" width="4.1640625" style="4" bestFit="1" customWidth="1"/>
    <col min="19" max="19" width="4.6640625" style="4" bestFit="1" customWidth="1"/>
    <col min="20" max="20" width="4.1640625" style="4" bestFit="1" customWidth="1"/>
    <col min="21" max="26" width="4.6640625" style="4" bestFit="1" customWidth="1"/>
    <col min="27" max="27" width="2.6640625" style="50" bestFit="1" customWidth="1"/>
    <col min="28" max="28" width="5" style="97" customWidth="1"/>
    <col min="29" max="30" width="5.6640625" style="50" bestFit="1" customWidth="1"/>
    <col min="31" max="33" width="6" style="50" customWidth="1"/>
    <col min="34" max="35" width="4.6640625" style="50" customWidth="1"/>
    <col min="36" max="36" width="9.83203125" style="50" customWidth="1"/>
    <col min="37" max="38" width="5.5" style="50" customWidth="1"/>
    <col min="39" max="39" width="5.33203125" style="4" customWidth="1"/>
    <col min="40" max="40" width="6" style="39" bestFit="1" customWidth="1"/>
    <col min="41" max="41" width="5" style="4" bestFit="1" customWidth="1"/>
    <col min="42" max="43" width="3.6640625" style="4" customWidth="1"/>
    <col min="44" max="45" width="3.1640625" style="4" customWidth="1"/>
    <col min="46" max="47" width="4.1640625" style="4" customWidth="1"/>
    <col min="48" max="48" width="6" style="4" customWidth="1"/>
    <col min="49" max="49" width="4.33203125" style="4" customWidth="1"/>
    <col min="50" max="51" width="3.6640625" style="4" customWidth="1"/>
    <col min="52" max="53" width="3.1640625" style="4" customWidth="1"/>
    <col min="54" max="55" width="4.1640625" style="4" customWidth="1"/>
    <col min="56" max="63" width="3.1640625" style="4" customWidth="1"/>
    <col min="64" max="64" width="3.33203125" style="4" customWidth="1"/>
    <col min="65" max="16384" width="10.83203125" style="4"/>
  </cols>
  <sheetData>
    <row r="1" spans="1:64" x14ac:dyDescent="0.2">
      <c r="A1" s="30" t="s">
        <v>1070</v>
      </c>
      <c r="B1" s="30" t="s">
        <v>31</v>
      </c>
      <c r="C1" s="30" t="s">
        <v>1054</v>
      </c>
      <c r="D1" s="30" t="s">
        <v>1055</v>
      </c>
      <c r="E1" s="30" t="s">
        <v>1071</v>
      </c>
      <c r="F1" s="30" t="s">
        <v>1072</v>
      </c>
      <c r="G1" s="30" t="s">
        <v>1056</v>
      </c>
      <c r="H1" s="30" t="s">
        <v>1057</v>
      </c>
      <c r="I1" s="30" t="s">
        <v>1073</v>
      </c>
      <c r="J1" s="30" t="s">
        <v>1074</v>
      </c>
      <c r="K1" s="30" t="s">
        <v>1058</v>
      </c>
      <c r="L1" s="30" t="s">
        <v>1059</v>
      </c>
      <c r="M1" s="30" t="s">
        <v>1086</v>
      </c>
      <c r="N1" s="30" t="s">
        <v>1087</v>
      </c>
      <c r="O1" s="30" t="s">
        <v>1060</v>
      </c>
      <c r="P1" s="30" t="s">
        <v>1061</v>
      </c>
      <c r="Q1" s="30" t="s">
        <v>1089</v>
      </c>
      <c r="R1" s="30" t="s">
        <v>1090</v>
      </c>
      <c r="S1" s="30" t="s">
        <v>1062</v>
      </c>
      <c r="T1" s="30" t="s">
        <v>1063</v>
      </c>
      <c r="U1" s="30" t="s">
        <v>1064</v>
      </c>
      <c r="V1" s="30" t="s">
        <v>1065</v>
      </c>
      <c r="W1" s="30" t="s">
        <v>1066</v>
      </c>
      <c r="X1" s="30" t="s">
        <v>1067</v>
      </c>
      <c r="Y1" s="30" t="s">
        <v>1068</v>
      </c>
      <c r="Z1" s="30" t="s">
        <v>1069</v>
      </c>
      <c r="AA1" s="30" t="s">
        <v>99</v>
      </c>
      <c r="AB1" s="95" t="s">
        <v>1374</v>
      </c>
      <c r="AC1" s="30" t="s">
        <v>1283</v>
      </c>
      <c r="AD1" s="30" t="s">
        <v>1282</v>
      </c>
      <c r="AE1" s="30" t="s">
        <v>1276</v>
      </c>
      <c r="AF1" s="30" t="s">
        <v>1224</v>
      </c>
      <c r="AG1" s="30" t="s">
        <v>1277</v>
      </c>
      <c r="AH1" s="30" t="s">
        <v>1235</v>
      </c>
      <c r="AI1" s="30" t="s">
        <v>1279</v>
      </c>
      <c r="AJ1" s="30" t="s">
        <v>1269</v>
      </c>
      <c r="AK1" s="30" t="s">
        <v>1278</v>
      </c>
      <c r="AL1" s="30" t="s">
        <v>1284</v>
      </c>
      <c r="AM1" s="30" t="s">
        <v>1233</v>
      </c>
      <c r="AN1" s="38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</row>
    <row r="2" spans="1:64" s="49" customFormat="1" x14ac:dyDescent="0.2">
      <c r="A2" s="2" t="s">
        <v>1361</v>
      </c>
      <c r="B2" s="2" t="s">
        <v>177</v>
      </c>
      <c r="C2" s="2">
        <f>IFERROR(50+VLOOKUP($A2,'SegEnds_Xtal_Prot#'!$A:$AY,5,FALSE)-VLOOKUP($B2,'SegEnds_NonXtal_Prot#'!$A:$AL,4,FALSE),"-")</f>
        <v>27</v>
      </c>
      <c r="D2" s="2">
        <f>IFERROR(50+VLOOKUP($A2,'SegEnds_Xtal_Prot#'!$A:$AY,7,FALSE)-VLOOKUP($B2,'SegEnds_NonXtal_Prot#'!$A:$AL,4,FALSE),"-")</f>
        <v>60</v>
      </c>
      <c r="E2" s="2">
        <f>IFERROR(50+VLOOKUP($A2,'SegEnds_Xtal_Prot#'!$A:$AY,9,FALSE)-VLOOKUP($B2,'SegEnds_NonXtal_Prot#'!$A:$AL,7,FALSE),"-")</f>
        <v>48</v>
      </c>
      <c r="F2" s="2">
        <f>IFERROR(50+VLOOKUP($A2,'SegEnds_Xtal_Prot#'!$A:$AY,11,FALSE)-VLOOKUP($B2,'SegEnds_NonXtal_Prot#'!$A:$AL,7,FALSE),"-")</f>
        <v>51</v>
      </c>
      <c r="G2" s="2">
        <f>IFERROR(50+VLOOKUP($A2,'SegEnds_Xtal_Prot#'!$A:$AY,13,FALSE)-VLOOKUP($B2,'SegEnds_NonXtal_Prot#'!$A:$AL,10,FALSE),"-")</f>
        <v>37</v>
      </c>
      <c r="H2" s="2">
        <f>IFERROR(50+VLOOKUP($A2,'SegEnds_Xtal_Prot#'!$A:$AY,15,FALSE)-VLOOKUP($B2,'SegEnds_NonXtal_Prot#'!$A:$AL,10,FALSE),"-")</f>
        <v>66</v>
      </c>
      <c r="I2" s="2">
        <f>IFERROR(50+VLOOKUP($A2,'SegEnds_Xtal_Prot#'!$A:$AY,17,FALSE)-VLOOKUP($B2,'SegEnds_NonXtal_Prot#'!$A:$AL,13,FALSE),"-")</f>
        <v>49</v>
      </c>
      <c r="J2" s="2">
        <f>IFERROR(50+VLOOKUP($A2,'SegEnds_Xtal_Prot#'!$A:$AY,19,FALSE)-VLOOKUP($B2,'SegEnds_NonXtal_Prot#'!$A:$AL,13,FALSE),"-")</f>
        <v>52</v>
      </c>
      <c r="K2" s="2">
        <f>IFERROR(50+VLOOKUP($A2,'SegEnds_Xtal_Prot#'!$A:$AY,21,FALSE)-VLOOKUP($B2,'SegEnds_NonXtal_Prot#'!$A:$AL,16,FALSE),"-")</f>
        <v>21</v>
      </c>
      <c r="L2" s="2">
        <f>IFERROR(50+VLOOKUP($A2,'SegEnds_Xtal_Prot#'!$A:$AY,23,FALSE)-VLOOKUP($B2,'SegEnds_NonXtal_Prot#'!$A:$AL,16,FALSE),"-")</f>
        <v>56</v>
      </c>
      <c r="M2" s="2">
        <f>IFERROR(50+VLOOKUP($A2,'SegEnds_Xtal_Prot#'!$A:$AY,25,FALSE)-VLOOKUP($B2,'SegEnds_NonXtal_Prot#'!$A:$AL,19,FALSE),"-")</f>
        <v>50</v>
      </c>
      <c r="N2" s="2">
        <f>IFERROR(50+VLOOKUP($A2,'SegEnds_Xtal_Prot#'!$A:$AY,27,FALSE)-VLOOKUP($B2,'SegEnds_NonXtal_Prot#'!$A:$AL,19,FALSE),"-")</f>
        <v>56</v>
      </c>
      <c r="O2" s="2">
        <f>IFERROR(50+VLOOKUP($A2,'SegEnds_Xtal_Prot#'!$A:$AY,29,FALSE)-VLOOKUP($B2,'SegEnds_NonXtal_Prot#'!$A:$AL,22,FALSE),"-")</f>
        <v>35</v>
      </c>
      <c r="P2" s="2">
        <f>IFERROR(50+VLOOKUP($A2,'SegEnds_Xtal_Prot#'!$A:$AY,31,FALSE)-VLOOKUP($B2,'SegEnds_NonXtal_Prot#'!$A:$AL,22,FALSE),"-")</f>
        <v>64</v>
      </c>
      <c r="Q2" s="2">
        <f>IFERROR(50+VLOOKUP($A2,'SegEnds_Xtal_Prot#'!$A:$AY,33,FALSE)-VLOOKUP($B2,'SegEnds_NonXtal_Prot#'!$A:$AL,25,FALSE),"-")</f>
        <v>50</v>
      </c>
      <c r="R2" s="2">
        <f>IFERROR(50+VLOOKUP($A2,'SegEnds_Xtal_Prot#'!$A:$AY,35,FALSE)-VLOOKUP($B2,'SegEnds_NonXtal_Prot#'!$A:$AL,25,FALSE),"-")</f>
        <v>52</v>
      </c>
      <c r="S2" s="2">
        <f>IFERROR(50+VLOOKUP($A2,'SegEnds_Xtal_Prot#'!$A:$AY,37,FALSE)-VLOOKUP($B2,'SegEnds_NonXtal_Prot#'!$A:$AL,28,FALSE),"-")</f>
        <v>33</v>
      </c>
      <c r="T2" s="2">
        <f>IFERROR(50+VLOOKUP($A2,'SegEnds_Xtal_Prot#'!$A:$AY,39,FALSE)-VLOOKUP($B2,'SegEnds_NonXtal_Prot#'!$A:$AL,28,FALSE),"-")</f>
        <v>68</v>
      </c>
      <c r="U2" s="2">
        <f>IFERROR(50+VLOOKUP($A2,'SegEnds_Xtal_Prot#'!$A:$AY,41,FALSE)-VLOOKUP($B2,'SegEnds_NonXtal_Prot#'!$A:$AL,31,FALSE),"-")</f>
        <v>28</v>
      </c>
      <c r="V2" s="2">
        <f>IFERROR(50+VLOOKUP($A2,'SegEnds_Xtal_Prot#'!$A:$AY,43,FALSE)-VLOOKUP($B2,'SegEnds_NonXtal_Prot#'!$A:$AL,31,FALSE),"-")</f>
        <v>65</v>
      </c>
      <c r="W2" s="2">
        <f>IFERROR(50+VLOOKUP($A2,'SegEnds_Xtal_Prot#'!$A:$AY,45,FALSE)-VLOOKUP($B2,'SegEnds_NonXtal_Prot#'!$A:$AL,34,FALSE),"-")</f>
        <v>24</v>
      </c>
      <c r="X2" s="2">
        <f>IFERROR(50+VLOOKUP($A2,'SegEnds_Xtal_Prot#'!$A:$AY,47,FALSE)-VLOOKUP($B2,'SegEnds_NonXtal_Prot#'!$A:$AL,34,FALSE),"-")</f>
        <v>56</v>
      </c>
      <c r="Y2" s="2">
        <f>IFERROR(50+VLOOKUP($A2,'SegEnds_Xtal_Prot#'!$A:$AY,49,FALSE)-VLOOKUP($B2,'SegEnds_NonXtal_Prot#'!$A:$AL,37,FALSE),"-")</f>
        <v>47</v>
      </c>
      <c r="Z2" s="2">
        <f>IFERROR(50+VLOOKUP($A2,'SegEnds_Xtal_Prot#'!$A:$AY,51,FALSE)-VLOOKUP($B2,'SegEnds_NonXtal_Prot#'!$A:$AL,37,FALSE),"-")</f>
        <v>67</v>
      </c>
      <c r="AA2" s="49" t="str">
        <f>VLOOKUP(B2,Classification!A:D,2,FALSE)</f>
        <v>A</v>
      </c>
      <c r="AB2" s="94" t="str">
        <f>VLOOKUP(B2,Classification!A:D,4,0)</f>
        <v>Chemokine</v>
      </c>
      <c r="AC2" s="49">
        <f>VLOOKUP(B2,'SegEnds_NonXtal_Prot#'!A:AL,6,FALSE)-VLOOKUP(B2,'SegEnds_NonXtal_Prot#'!A:AL,5,FALSE)</f>
        <v>1</v>
      </c>
      <c r="AD2" s="49">
        <f>VLOOKUP(B2,'SegEnds_NonXtal_Prot#'!A:AL,9,FALSE)-VLOOKUP(B2,'SegEnds_NonXtal_Prot#'!A:AL,8,FALSE)</f>
        <v>1</v>
      </c>
      <c r="AE2" s="49">
        <f>VLOOKUP(B2,'SegEnds_NonXtal_Prot#'!A:AL,13,FALSE)-VLOOKUP(B2,'SegEnds_NonXtal_Prot#'!A:AL,10,FALSE)</f>
        <v>18</v>
      </c>
      <c r="AF2" s="49">
        <f>VLOOKUP(B2,'SegEnds_NonXtal_Prot#'!A:AL,12,FALSE)-VLOOKUP(B2,'SegEnds_NonXtal_Prot#'!A:AL,11,FALSE)</f>
        <v>1</v>
      </c>
      <c r="AG2" s="49">
        <f>VLOOKUP(B2,'SegEnds_NonXtal_Prot#'!A:AL,13,FALSE)-VLOOKUP(B2,'SegEnds_NonXtal_Prot#'!A:AL,11,FALSE)</f>
        <v>2</v>
      </c>
      <c r="AH2" s="49">
        <f>VLOOKUP(B2,'SegEnds_NonXtal_Prot#'!A:AL,16,FALSE)-VLOOKUP(B2,'SegEnds_NonXtal_Prot#'!A:AL,10,FALSE)</f>
        <v>50</v>
      </c>
      <c r="AI2" s="49">
        <f>VLOOKUP(B2,'SegEnds_NonXtal_Prot#'!A:AL,16,FALSE)-VLOOKUP(B2,'SegEnds_NonXtal_Prot#'!A:AL,11,FALSE)</f>
        <v>34</v>
      </c>
      <c r="AJ2" s="49">
        <f>VLOOKUP(B2,'SegEnds_NonXtal_Prot#'!A:AL,22,FALSE)-VLOOKUP(B2,'SegEnds_NonXtal_Prot#'!A:AL,19,FALSE)</f>
        <v>22</v>
      </c>
      <c r="AK2" s="49">
        <f>VLOOKUP(B2,'SegEnds_NonXtal_Prot#'!A:AL,15,FALSE)-VLOOKUP(B2,'SegEnds_NonXtal_Prot#'!A:AL,14,FALSE)</f>
        <v>1</v>
      </c>
      <c r="AL2" s="49">
        <f>VLOOKUP(B2,'SegEnds_NonXtal_Prot#'!A:AL,18,FALSE)-VLOOKUP(B2,'SegEnds_NonXtal_Prot#'!A:AL,17,FALSE)</f>
        <v>1</v>
      </c>
      <c r="AM2" s="2">
        <f>VLOOKUP(B2,'SegEnds_NonXtal_Prot#'!A:AL,34,FALSE)-VLOOKUP(B2,'SegEnds_NonXtal_Prot#'!A:AL,31,FALSE)</f>
        <v>45</v>
      </c>
      <c r="AN2" s="37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</row>
    <row r="3" spans="1:64" s="2" customFormat="1" x14ac:dyDescent="0.2">
      <c r="A3" s="2" t="s">
        <v>1373</v>
      </c>
      <c r="B3" s="2" t="s">
        <v>170</v>
      </c>
      <c r="C3" s="2">
        <f>IFERROR(50+VLOOKUP($A3,'SegEnds_Xtal_Prot#'!$A:$AY,5,FALSE)-VLOOKUP($B3,'SegEnds_NonXtal_Prot#'!$A:$AL,4,FALSE),"-")</f>
        <v>27</v>
      </c>
      <c r="D3" s="2">
        <f>IFERROR(50+VLOOKUP($A3,'SegEnds_Xtal_Prot#'!$A:$AY,7,FALSE)-VLOOKUP($B3,'SegEnds_NonXtal_Prot#'!$A:$AL,4,FALSE),"-")</f>
        <v>60</v>
      </c>
      <c r="E3" s="2">
        <f>IFERROR(50+VLOOKUP($A3,'SegEnds_Xtal_Prot#'!$A:$AY,9,FALSE)-VLOOKUP($B3,'SegEnds_NonXtal_Prot#'!$A:$AL,7,FALSE),"-")</f>
        <v>48</v>
      </c>
      <c r="F3" s="2">
        <f>IFERROR(50+VLOOKUP($A3,'SegEnds_Xtal_Prot#'!$A:$AY,11,FALSE)-VLOOKUP($B3,'SegEnds_NonXtal_Prot#'!$A:$AL,7,FALSE),"-")</f>
        <v>51</v>
      </c>
      <c r="G3" s="2">
        <f>IFERROR(50+VLOOKUP($A3,'SegEnds_Xtal_Prot#'!$A:$AY,13,FALSE)-VLOOKUP($B3,'SegEnds_NonXtal_Prot#'!$A:$AL,10,FALSE),"-")</f>
        <v>37</v>
      </c>
      <c r="H3" s="2">
        <f>IFERROR(50+VLOOKUP($A3,'SegEnds_Xtal_Prot#'!$A:$AY,15,FALSE)-VLOOKUP($B3,'SegEnds_NonXtal_Prot#'!$A:$AL,10,FALSE),"-")</f>
        <v>66</v>
      </c>
      <c r="I3" s="2">
        <f>IFERROR(50+VLOOKUP($A3,'SegEnds_Xtal_Prot#'!$A:$AY,17,FALSE)-VLOOKUP($B3,'SegEnds_NonXtal_Prot#'!$A:$AL,13,FALSE),"-")</f>
        <v>49</v>
      </c>
      <c r="J3" s="2">
        <f>IFERROR(50+VLOOKUP($A3,'SegEnds_Xtal_Prot#'!$A:$AY,19,FALSE)-VLOOKUP($B3,'SegEnds_NonXtal_Prot#'!$A:$AL,13,FALSE),"-")</f>
        <v>52</v>
      </c>
      <c r="K3" s="2">
        <f>IFERROR(50+VLOOKUP($A3,'SegEnds_Xtal_Prot#'!$A:$AY,21,FALSE)-VLOOKUP($B3,'SegEnds_NonXtal_Prot#'!$A:$AL,16,FALSE),"-")</f>
        <v>21</v>
      </c>
      <c r="L3" s="2">
        <f>IFERROR(50+VLOOKUP($A3,'SegEnds_Xtal_Prot#'!$A:$AY,23,FALSE)-VLOOKUP($B3,'SegEnds_NonXtal_Prot#'!$A:$AL,16,FALSE),"-")</f>
        <v>56</v>
      </c>
      <c r="M3" s="2">
        <f>IFERROR(50+VLOOKUP($A3,'SegEnds_Xtal_Prot#'!$A:$AY,25,FALSE)-VLOOKUP($B3,'SegEnds_NonXtal_Prot#'!$A:$AL,19,FALSE),"-")</f>
        <v>50</v>
      </c>
      <c r="N3" s="2">
        <f>IFERROR(50+VLOOKUP($A3,'SegEnds_Xtal_Prot#'!$A:$AY,27,FALSE)-VLOOKUP($B3,'SegEnds_NonXtal_Prot#'!$A:$AL,19,FALSE),"-")</f>
        <v>57</v>
      </c>
      <c r="O3" s="2">
        <f>IFERROR(50+VLOOKUP($A3,'SegEnds_Xtal_Prot#'!$A:$AY,29,FALSE)-VLOOKUP($B3,'SegEnds_NonXtal_Prot#'!$A:$AL,22,FALSE),"-")</f>
        <v>38</v>
      </c>
      <c r="P3" s="2">
        <f>IFERROR(50+VLOOKUP($A3,'SegEnds_Xtal_Prot#'!$A:$AY,31,FALSE)-VLOOKUP($B3,'SegEnds_NonXtal_Prot#'!$A:$AL,22,FALSE),"-")</f>
        <v>64</v>
      </c>
      <c r="Q3" s="2">
        <f>IFERROR(50+VLOOKUP($A3,'SegEnds_Xtal_Prot#'!$A:$AY,33,FALSE)-VLOOKUP($B3,'SegEnds_NonXtal_Prot#'!$A:$AL,25,FALSE),"-")</f>
        <v>50</v>
      </c>
      <c r="R3" s="2">
        <f>IFERROR(50+VLOOKUP($A3,'SegEnds_Xtal_Prot#'!$A:$AY,35,FALSE)-VLOOKUP($B3,'SegEnds_NonXtal_Prot#'!$A:$AL,25,FALSE),"-")</f>
        <v>52</v>
      </c>
      <c r="S3" s="2">
        <f>IFERROR(50+VLOOKUP($A3,'SegEnds_Xtal_Prot#'!$A:$AY,37,FALSE)-VLOOKUP($B3,'SegEnds_NonXtal_Prot#'!$A:$AL,28,FALSE),"-")</f>
        <v>31</v>
      </c>
      <c r="T3" s="2">
        <f>IFERROR(50+VLOOKUP($A3,'SegEnds_Xtal_Prot#'!$A:$AY,39,FALSE)-VLOOKUP($B3,'SegEnds_NonXtal_Prot#'!$A:$AL,28,FALSE),"-")</f>
        <v>68</v>
      </c>
      <c r="U3" s="2">
        <f>IFERROR(50+VLOOKUP($A3,'SegEnds_Xtal_Prot#'!$A:$AY,41,FALSE)-VLOOKUP($B3,'SegEnds_NonXtal_Prot#'!$A:$AL,31,FALSE),"-")</f>
        <v>28</v>
      </c>
      <c r="V3" s="2">
        <f>IFERROR(50+VLOOKUP($A3,'SegEnds_Xtal_Prot#'!$A:$AY,43,FALSE)-VLOOKUP($B3,'SegEnds_NonXtal_Prot#'!$A:$AL,31,FALSE),"-")</f>
        <v>65</v>
      </c>
      <c r="W3" s="2">
        <f>IFERROR(50+VLOOKUP($A3,'SegEnds_Xtal_Prot#'!$A:$AY,45,FALSE)-VLOOKUP($B3,'SegEnds_NonXtal_Prot#'!$A:$AL,34,FALSE),"-")</f>
        <v>26</v>
      </c>
      <c r="X3" s="2">
        <f>IFERROR(50+VLOOKUP($A3,'SegEnds_Xtal_Prot#'!$A:$AY,47,FALSE)-VLOOKUP($B3,'SegEnds_NonXtal_Prot#'!$A:$AL,34,FALSE),"-")</f>
        <v>56</v>
      </c>
      <c r="Y3" s="2">
        <f>IFERROR(50+VLOOKUP($A3,'SegEnds_Xtal_Prot#'!$A:$AY,49,FALSE)-VLOOKUP($B3,'SegEnds_NonXtal_Prot#'!$A:$AL,37,FALSE),"-")</f>
        <v>47</v>
      </c>
      <c r="Z3" s="2">
        <f>IFERROR(50+VLOOKUP($A3,'SegEnds_Xtal_Prot#'!$A:$AY,51,FALSE)-VLOOKUP($B3,'SegEnds_NonXtal_Prot#'!$A:$AL,37,FALSE),"-")</f>
        <v>58</v>
      </c>
      <c r="AA3" s="49" t="str">
        <f>VLOOKUP(B3,Classification!A:D,2,FALSE)</f>
        <v>A</v>
      </c>
      <c r="AB3" s="94" t="str">
        <f>VLOOKUP(B3,Classification!A:D,4,0)</f>
        <v>Chemokine</v>
      </c>
      <c r="AC3" s="49">
        <f>VLOOKUP(B3,'SegEnds_NonXtal_Prot#'!A:AL,6,FALSE)-VLOOKUP(B3,'SegEnds_NonXtal_Prot#'!A:AL,5,FALSE)</f>
        <v>1</v>
      </c>
      <c r="AD3" s="49">
        <f>VLOOKUP(B3,'SegEnds_NonXtal_Prot#'!A:AL,9,FALSE)-VLOOKUP(B3,'SegEnds_NonXtal_Prot#'!A:AL,8,FALSE)</f>
        <v>1</v>
      </c>
      <c r="AE3" s="49">
        <f>VLOOKUP(B3,'SegEnds_NonXtal_Prot#'!A:AL,13,FALSE)-VLOOKUP(B3,'SegEnds_NonXtal_Prot#'!A:AL,10,FALSE)</f>
        <v>18</v>
      </c>
      <c r="AF3" s="49">
        <f>VLOOKUP(B3,'SegEnds_NonXtal_Prot#'!A:AL,12,FALSE)-VLOOKUP(B3,'SegEnds_NonXtal_Prot#'!A:AL,11,FALSE)</f>
        <v>1</v>
      </c>
      <c r="AG3" s="49">
        <f>VLOOKUP(B3,'SegEnds_NonXtal_Prot#'!A:AL,13,FALSE)-VLOOKUP(B3,'SegEnds_NonXtal_Prot#'!A:AL,11,FALSE)</f>
        <v>2</v>
      </c>
      <c r="AH3" s="49">
        <f>VLOOKUP(B3,'SegEnds_NonXtal_Prot#'!A:AL,16,FALSE)-VLOOKUP(B3,'SegEnds_NonXtal_Prot#'!A:AL,10,FALSE)</f>
        <v>50</v>
      </c>
      <c r="AI3" s="49">
        <f>VLOOKUP(B3,'SegEnds_NonXtal_Prot#'!A:AL,16,FALSE)-VLOOKUP(B3,'SegEnds_NonXtal_Prot#'!A:AL,11,FALSE)</f>
        <v>34</v>
      </c>
      <c r="AJ3" s="49">
        <f>VLOOKUP(B3,'SegEnds_NonXtal_Prot#'!A:AL,22,FALSE)-VLOOKUP(B3,'SegEnds_NonXtal_Prot#'!A:AL,19,FALSE)</f>
        <v>20</v>
      </c>
      <c r="AK3" s="49">
        <f>VLOOKUP(B3,'SegEnds_NonXtal_Prot#'!A:AL,15,FALSE)-VLOOKUP(B3,'SegEnds_NonXtal_Prot#'!A:AL,14,FALSE)</f>
        <v>1</v>
      </c>
      <c r="AL3" s="49">
        <f>VLOOKUP(B3,'SegEnds_NonXtal_Prot#'!A:AL,18,FALSE)-VLOOKUP(B3,'SegEnds_NonXtal_Prot#'!A:AL,17,FALSE)</f>
        <v>1</v>
      </c>
      <c r="AM3" s="2">
        <f>VLOOKUP(B3,'SegEnds_NonXtal_Prot#'!A:AL,34,FALSE)-VLOOKUP(B3,'SegEnds_NonXtal_Prot#'!A:AL,31,FALSE)</f>
        <v>44</v>
      </c>
      <c r="AN3" s="37"/>
    </row>
    <row r="4" spans="1:64" s="2" customFormat="1" x14ac:dyDescent="0.2">
      <c r="A4" s="2" t="s">
        <v>1458</v>
      </c>
      <c r="B4" s="2" t="s">
        <v>191</v>
      </c>
      <c r="C4" s="2">
        <f>IFERROR(50+VLOOKUP($A4,'SegEnds_Xtal_Prot#'!$A:$AY,5,FALSE)-VLOOKUP($B4,'SegEnds_NonXtal_Prot#'!$A:$AL,4,FALSE),"-")</f>
        <v>29</v>
      </c>
      <c r="D4" s="2">
        <f>IFERROR(50+VLOOKUP($A4,'SegEnds_Xtal_Prot#'!$A:$AY,7,FALSE)-VLOOKUP($B4,'SegEnds_NonXtal_Prot#'!$A:$AL,4,FALSE),"-")</f>
        <v>60</v>
      </c>
      <c r="E4" s="2">
        <f>IFERROR(50+VLOOKUP($A4,'SegEnds_Xtal_Prot#'!$A:$AY,9,FALSE)-VLOOKUP($B4,'SegEnds_NonXtal_Prot#'!$A:$AL,7,FALSE),"-")</f>
        <v>48</v>
      </c>
      <c r="F4" s="2">
        <f>IFERROR(50+VLOOKUP($A4,'SegEnds_Xtal_Prot#'!$A:$AY,11,FALSE)-VLOOKUP($B4,'SegEnds_NonXtal_Prot#'!$A:$AL,7,FALSE),"-")</f>
        <v>51</v>
      </c>
      <c r="G4" s="2">
        <f>IFERROR(50+VLOOKUP($A4,'SegEnds_Xtal_Prot#'!$A:$AY,13,FALSE)-VLOOKUP($B4,'SegEnds_NonXtal_Prot#'!$A:$AL,10,FALSE),"-")</f>
        <v>37</v>
      </c>
      <c r="H4" s="2">
        <f>IFERROR(50+VLOOKUP($A4,'SegEnds_Xtal_Prot#'!$A:$AY,15,FALSE)-VLOOKUP($B4,'SegEnds_NonXtal_Prot#'!$A:$AL,10,FALSE),"-")</f>
        <v>68</v>
      </c>
      <c r="I4" s="2">
        <f>IFERROR(50+VLOOKUP($A4,'SegEnds_Xtal_Prot#'!$A:$AY,17,FALSE)-VLOOKUP($B4,'SegEnds_NonXtal_Prot#'!$A:$AL,13,FALSE),"-")</f>
        <v>49</v>
      </c>
      <c r="J4" s="2">
        <f>IFERROR(50+VLOOKUP($A4,'SegEnds_Xtal_Prot#'!$A:$AY,19,FALSE)-VLOOKUP($B4,'SegEnds_NonXtal_Prot#'!$A:$AL,13,FALSE),"-")</f>
        <v>52</v>
      </c>
      <c r="K4" s="2">
        <f>IFERROR(50+VLOOKUP($A4,'SegEnds_Xtal_Prot#'!$A:$AY,21,FALSE)-VLOOKUP($B4,'SegEnds_NonXtal_Prot#'!$A:$AL,16,FALSE),"-")</f>
        <v>21</v>
      </c>
      <c r="L4" s="2">
        <f>IFERROR(50+VLOOKUP($A4,'SegEnds_Xtal_Prot#'!$A:$AY,23,FALSE)-VLOOKUP($B4,'SegEnds_NonXtal_Prot#'!$A:$AL,16,FALSE),"-")</f>
        <v>56</v>
      </c>
      <c r="M4" s="2">
        <f>IFERROR(50+VLOOKUP($A4,'SegEnds_Xtal_Prot#'!$A:$AY,25,FALSE)-VLOOKUP($B4,'SegEnds_NonXtal_Prot#'!$A:$AL,19,FALSE),"-")</f>
        <v>50</v>
      </c>
      <c r="N4" s="2">
        <f>IFERROR(50+VLOOKUP($A4,'SegEnds_Xtal_Prot#'!$A:$AY,27,FALSE)-VLOOKUP($B4,'SegEnds_NonXtal_Prot#'!$A:$AL,19,FALSE),"-")</f>
        <v>58</v>
      </c>
      <c r="O4" s="2">
        <f>IFERROR(50+VLOOKUP($A4,'SegEnds_Xtal_Prot#'!$A:$AY,29,FALSE)-VLOOKUP($B4,'SegEnds_NonXtal_Prot#'!$A:$AL,22,FALSE),"-")</f>
        <v>38</v>
      </c>
      <c r="P4" s="2">
        <f>IFERROR(50+VLOOKUP($A4,'SegEnds_Xtal_Prot#'!$A:$AY,31,FALSE)-VLOOKUP($B4,'SegEnds_NonXtal_Prot#'!$A:$AL,22,FALSE),"-")</f>
        <v>62</v>
      </c>
      <c r="Q4" s="2">
        <f>IFERROR(50+VLOOKUP($A4,'SegEnds_Xtal_Prot#'!$A:$AY,33,FALSE)-VLOOKUP($B4,'SegEnds_NonXtal_Prot#'!$A:$AL,25,FALSE),"-")</f>
        <v>50</v>
      </c>
      <c r="R4" s="2">
        <f>IFERROR(50+VLOOKUP($A4,'SegEnds_Xtal_Prot#'!$A:$AY,35,FALSE)-VLOOKUP($B4,'SegEnds_NonXtal_Prot#'!$A:$AL,25,FALSE),"-")</f>
        <v>52</v>
      </c>
      <c r="S4" s="2">
        <f>IFERROR(50+VLOOKUP($A4,'SegEnds_Xtal_Prot#'!$A:$AY,37,FALSE)-VLOOKUP($B4,'SegEnds_NonXtal_Prot#'!$A:$AL,28,FALSE),"-")</f>
        <v>35</v>
      </c>
      <c r="T4" s="2">
        <f>IFERROR(50+VLOOKUP($A4,'SegEnds_Xtal_Prot#'!$A:$AY,39,FALSE)-VLOOKUP($B4,'SegEnds_NonXtal_Prot#'!$A:$AL,28,FALSE),"-")</f>
        <v>75</v>
      </c>
      <c r="U4" s="2">
        <f>IFERROR(50+VLOOKUP($A4,'SegEnds_Xtal_Prot#'!$A:$AY,41,FALSE)-VLOOKUP($B4,'SegEnds_NonXtal_Prot#'!$A:$AL,31,FALSE),"-")</f>
        <v>24</v>
      </c>
      <c r="V4" s="2">
        <f>IFERROR(50+VLOOKUP($A4,'SegEnds_Xtal_Prot#'!$A:$AY,43,FALSE)-VLOOKUP($B4,'SegEnds_NonXtal_Prot#'!$A:$AL,31,FALSE),"-")</f>
        <v>61</v>
      </c>
      <c r="W4" s="2">
        <f>IFERROR(50+VLOOKUP($A4,'SegEnds_Xtal_Prot#'!$A:$AY,45,FALSE)-VLOOKUP($B4,'SegEnds_NonXtal_Prot#'!$A:$AL,34,FALSE),"-")</f>
        <v>31</v>
      </c>
      <c r="X4" s="2">
        <f>IFERROR(50+VLOOKUP($A4,'SegEnds_Xtal_Prot#'!$A:$AY,47,FALSE)-VLOOKUP($B4,'SegEnds_NonXtal_Prot#'!$A:$AL,34,FALSE),"-")</f>
        <v>56</v>
      </c>
      <c r="Y4" s="2">
        <f>IFERROR(50+VLOOKUP($A4,'SegEnds_Xtal_Prot#'!$A:$AY,49,FALSE)-VLOOKUP($B4,'SegEnds_NonXtal_Prot#'!$A:$AL,37,FALSE),"-")</f>
        <v>47</v>
      </c>
      <c r="Z4" s="2">
        <f>IFERROR(50+VLOOKUP($A4,'SegEnds_Xtal_Prot#'!$A:$AY,51,FALSE)-VLOOKUP($B4,'SegEnds_NonXtal_Prot#'!$A:$AL,37,FALSE),"-")</f>
        <v>59</v>
      </c>
      <c r="AA4" s="49" t="str">
        <f>VLOOKUP(B4,Classification!A:D,2,FALSE)</f>
        <v>A</v>
      </c>
      <c r="AB4" s="94" t="str">
        <f>VLOOKUP(B4,Classification!A:D,4,0)</f>
        <v>Dopamine</v>
      </c>
      <c r="AC4" s="49">
        <f>VLOOKUP(B4,'SegEnds_NonXtal_Prot#'!A:AL,6,FALSE)-VLOOKUP(B4,'SegEnds_NonXtal_Prot#'!A:AL,5,FALSE)</f>
        <v>1</v>
      </c>
      <c r="AD4" s="49">
        <f>VLOOKUP(B4,'SegEnds_NonXtal_Prot#'!A:AL,9,FALSE)-VLOOKUP(B4,'SegEnds_NonXtal_Prot#'!A:AL,8,FALSE)</f>
        <v>1</v>
      </c>
      <c r="AE4" s="49">
        <f>VLOOKUP(B4,'SegEnds_NonXtal_Prot#'!A:AL,13,FALSE)-VLOOKUP(B4,'SegEnds_NonXtal_Prot#'!A:AL,10,FALSE)</f>
        <v>20</v>
      </c>
      <c r="AF4" s="49">
        <f>VLOOKUP(B4,'SegEnds_NonXtal_Prot#'!A:AL,12,FALSE)-VLOOKUP(B4,'SegEnds_NonXtal_Prot#'!A:AL,11,FALSE)</f>
        <v>1</v>
      </c>
      <c r="AG4" s="49">
        <f>VLOOKUP(B4,'SegEnds_NonXtal_Prot#'!A:AL,13,FALSE)-VLOOKUP(B4,'SegEnds_NonXtal_Prot#'!A:AL,11,FALSE)</f>
        <v>2</v>
      </c>
      <c r="AH4" s="49">
        <f>VLOOKUP(B4,'SegEnds_NonXtal_Prot#'!A:AL,16,FALSE)-VLOOKUP(B4,'SegEnds_NonXtal_Prot#'!A:AL,10,FALSE)</f>
        <v>52</v>
      </c>
      <c r="AI4" s="49">
        <f>VLOOKUP(B4,'SegEnds_NonXtal_Prot#'!A:AL,16,FALSE)-VLOOKUP(B4,'SegEnds_NonXtal_Prot#'!A:AL,11,FALSE)</f>
        <v>34</v>
      </c>
      <c r="AJ4" s="49">
        <f>VLOOKUP(B4,'SegEnds_NonXtal_Prot#'!A:AL,22,FALSE)-VLOOKUP(B4,'SegEnds_NonXtal_Prot#'!A:AL,19,FALSE)</f>
        <v>21</v>
      </c>
      <c r="AK4" s="49">
        <f>VLOOKUP(B4,'SegEnds_NonXtal_Prot#'!A:AL,15,FALSE)-VLOOKUP(B4,'SegEnds_NonXtal_Prot#'!A:AL,14,FALSE)</f>
        <v>1</v>
      </c>
      <c r="AL4" s="49">
        <f>VLOOKUP(B4,'SegEnds_NonXtal_Prot#'!A:AL,18,FALSE)-VLOOKUP(B4,'SegEnds_NonXtal_Prot#'!A:AL,17,FALSE)</f>
        <v>1</v>
      </c>
      <c r="AM4" s="2">
        <f>VLOOKUP(B4,'SegEnds_NonXtal_Prot#'!A:AL,34,FALSE)-VLOOKUP(B4,'SegEnds_NonXtal_Prot#'!A:AL,31,FALSE)</f>
        <v>35</v>
      </c>
      <c r="AN4" s="37"/>
    </row>
    <row r="5" spans="1:64" s="2" customFormat="1" x14ac:dyDescent="0.2">
      <c r="A5" s="2" t="s">
        <v>1249</v>
      </c>
      <c r="B5" s="2" t="s">
        <v>192</v>
      </c>
      <c r="C5" s="2">
        <f>IFERROR(50+VLOOKUP($A5,'SegEnds_Xtal_Prot#'!$A:$AY,5,FALSE)-VLOOKUP($B5,'SegEnds_NonXtal_Prot#'!$A:$AL,4,FALSE),"-")</f>
        <v>29</v>
      </c>
      <c r="D5" s="2">
        <f>IFERROR(50+VLOOKUP($A5,'SegEnds_Xtal_Prot#'!$A:$AY,7,FALSE)-VLOOKUP($B5,'SegEnds_NonXtal_Prot#'!$A:$AL,4,FALSE),"-")</f>
        <v>60</v>
      </c>
      <c r="E5" s="2">
        <f>IFERROR(50+VLOOKUP($A5,'SegEnds_Xtal_Prot#'!$A:$AY,9,FALSE)-VLOOKUP($B5,'SegEnds_NonXtal_Prot#'!$A:$AL,7,FALSE),"-")</f>
        <v>48</v>
      </c>
      <c r="F5" s="2">
        <f>IFERROR(50+VLOOKUP($A5,'SegEnds_Xtal_Prot#'!$A:$AY,11,FALSE)-VLOOKUP($B5,'SegEnds_NonXtal_Prot#'!$A:$AL,7,FALSE),"-")</f>
        <v>51</v>
      </c>
      <c r="G5" s="2">
        <f>IFERROR(50+VLOOKUP($A5,'SegEnds_Xtal_Prot#'!$A:$AY,13,FALSE)-VLOOKUP($B5,'SegEnds_NonXtal_Prot#'!$A:$AL,10,FALSE),"-")</f>
        <v>37</v>
      </c>
      <c r="H5" s="2">
        <f>IFERROR(50+VLOOKUP($A5,'SegEnds_Xtal_Prot#'!$A:$AY,15,FALSE)-VLOOKUP($B5,'SegEnds_NonXtal_Prot#'!$A:$AL,10,FALSE),"-")</f>
        <v>67</v>
      </c>
      <c r="I5" s="2">
        <f>IFERROR(50+VLOOKUP($A5,'SegEnds_Xtal_Prot#'!$A:$AY,17,FALSE)-VLOOKUP($B5,'SegEnds_NonXtal_Prot#'!$A:$AL,13,FALSE),"-")</f>
        <v>49</v>
      </c>
      <c r="J5" s="2">
        <f>IFERROR(50+VLOOKUP($A5,'SegEnds_Xtal_Prot#'!$A:$AY,19,FALSE)-VLOOKUP($B5,'SegEnds_NonXtal_Prot#'!$A:$AL,13,FALSE),"-")</f>
        <v>52</v>
      </c>
      <c r="K5" s="2">
        <f>IFERROR(50+VLOOKUP($A5,'SegEnds_Xtal_Prot#'!$A:$AY,21,FALSE)-VLOOKUP($B5,'SegEnds_NonXtal_Prot#'!$A:$AL,16,FALSE),"-")</f>
        <v>21</v>
      </c>
      <c r="L5" s="2">
        <f>IFERROR(50+VLOOKUP($A5,'SegEnds_Xtal_Prot#'!$A:$AY,23,FALSE)-VLOOKUP($B5,'SegEnds_NonXtal_Prot#'!$A:$AL,16,FALSE),"-")</f>
        <v>56</v>
      </c>
      <c r="M5" s="2">
        <f>IFERROR(50+VLOOKUP($A5,'SegEnds_Xtal_Prot#'!$A:$AY,25,FALSE)-VLOOKUP($B5,'SegEnds_NonXtal_Prot#'!$A:$AL,19,FALSE),"-")</f>
        <v>50</v>
      </c>
      <c r="N5" s="2">
        <f>IFERROR(50+VLOOKUP($A5,'SegEnds_Xtal_Prot#'!$A:$AY,27,FALSE)-VLOOKUP($B5,'SegEnds_NonXtal_Prot#'!$A:$AL,19,FALSE),"-")</f>
        <v>58</v>
      </c>
      <c r="O5" s="2">
        <f>IFERROR(50+VLOOKUP($A5,'SegEnds_Xtal_Prot#'!$A:$AY,29,FALSE)-VLOOKUP($B5,'SegEnds_NonXtal_Prot#'!$A:$AL,22,FALSE),"-")</f>
        <v>38</v>
      </c>
      <c r="P5" s="2">
        <f>IFERROR(50+VLOOKUP($A5,'SegEnds_Xtal_Prot#'!$A:$AY,31,FALSE)-VLOOKUP($B5,'SegEnds_NonXtal_Prot#'!$A:$AL,22,FALSE),"-")</f>
        <v>63</v>
      </c>
      <c r="Q5" s="2">
        <f>IFERROR(50+VLOOKUP($A5,'SegEnds_Xtal_Prot#'!$A:$AY,33,FALSE)-VLOOKUP($B5,'SegEnds_NonXtal_Prot#'!$A:$AL,25,FALSE),"-")</f>
        <v>50</v>
      </c>
      <c r="R5" s="2">
        <f>IFERROR(50+VLOOKUP($A5,'SegEnds_Xtal_Prot#'!$A:$AY,35,FALSE)-VLOOKUP($B5,'SegEnds_NonXtal_Prot#'!$A:$AL,25,FALSE),"-")</f>
        <v>52</v>
      </c>
      <c r="S5" s="2">
        <f>IFERROR(50+VLOOKUP($A5,'SegEnds_Xtal_Prot#'!$A:$AY,37,FALSE)-VLOOKUP($B5,'SegEnds_NonXtal_Prot#'!$A:$AL,28,FALSE),"-")</f>
        <v>35</v>
      </c>
      <c r="T5" s="2">
        <f>IFERROR(50+VLOOKUP($A5,'SegEnds_Xtal_Prot#'!$A:$AY,39,FALSE)-VLOOKUP($B5,'SegEnds_NonXtal_Prot#'!$A:$AL,28,FALSE),"-")</f>
        <v>76</v>
      </c>
      <c r="U5" s="2">
        <f>IFERROR(50+VLOOKUP($A5,'SegEnds_Xtal_Prot#'!$A:$AY,41,FALSE)-VLOOKUP($B5,'SegEnds_NonXtal_Prot#'!$A:$AL,31,FALSE),"-")</f>
        <v>24</v>
      </c>
      <c r="V5" s="2">
        <f>IFERROR(50+VLOOKUP($A5,'SegEnds_Xtal_Prot#'!$A:$AY,43,FALSE)-VLOOKUP($B5,'SegEnds_NonXtal_Prot#'!$A:$AL,31,FALSE),"-")</f>
        <v>60</v>
      </c>
      <c r="W5" s="2">
        <f>IFERROR(50+VLOOKUP($A5,'SegEnds_Xtal_Prot#'!$A:$AY,45,FALSE)-VLOOKUP($B5,'SegEnds_NonXtal_Prot#'!$A:$AL,34,FALSE),"-")</f>
        <v>31</v>
      </c>
      <c r="X5" s="2">
        <f>IFERROR(50+VLOOKUP($A5,'SegEnds_Xtal_Prot#'!$A:$AY,47,FALSE)-VLOOKUP($B5,'SegEnds_NonXtal_Prot#'!$A:$AL,34,FALSE),"-")</f>
        <v>56</v>
      </c>
      <c r="Y5" s="2">
        <f>IFERROR(50+VLOOKUP($A5,'SegEnds_Xtal_Prot#'!$A:$AY,49,FALSE)-VLOOKUP($B5,'SegEnds_NonXtal_Prot#'!$A:$AL,37,FALSE),"-")</f>
        <v>47</v>
      </c>
      <c r="Z5" s="2">
        <f>IFERROR(50+VLOOKUP($A5,'SegEnds_Xtal_Prot#'!$A:$AY,51,FALSE)-VLOOKUP($B5,'SegEnds_NonXtal_Prot#'!$A:$AL,37,FALSE),"-")</f>
        <v>59</v>
      </c>
      <c r="AA5" s="49" t="str">
        <f>VLOOKUP(B5,Classification!A:D,2,FALSE)</f>
        <v>A</v>
      </c>
      <c r="AB5" s="94" t="str">
        <f>VLOOKUP(B5,Classification!A:D,4,0)</f>
        <v>Dopamine</v>
      </c>
      <c r="AC5" s="49">
        <f>VLOOKUP(B5,'SegEnds_NonXtal_Prot#'!A:AL,6,FALSE)-VLOOKUP(B5,'SegEnds_NonXtal_Prot#'!A:AL,5,FALSE)</f>
        <v>1</v>
      </c>
      <c r="AD5" s="49">
        <f>VLOOKUP(B5,'SegEnds_NonXtal_Prot#'!A:AL,9,FALSE)-VLOOKUP(B5,'SegEnds_NonXtal_Prot#'!A:AL,8,FALSE)</f>
        <v>1</v>
      </c>
      <c r="AE5" s="49">
        <f>VLOOKUP(B5,'SegEnds_NonXtal_Prot#'!A:AL,13,FALSE)-VLOOKUP(B5,'SegEnds_NonXtal_Prot#'!A:AL,10,FALSE)</f>
        <v>21</v>
      </c>
      <c r="AF5" s="49">
        <f>VLOOKUP(B5,'SegEnds_NonXtal_Prot#'!A:AL,12,FALSE)-VLOOKUP(B5,'SegEnds_NonXtal_Prot#'!A:AL,11,FALSE)</f>
        <v>3</v>
      </c>
      <c r="AG5" s="49">
        <f>VLOOKUP(B5,'SegEnds_NonXtal_Prot#'!A:AL,13,FALSE)-VLOOKUP(B5,'SegEnds_NonXtal_Prot#'!A:AL,11,FALSE)</f>
        <v>4</v>
      </c>
      <c r="AH5" s="49">
        <f>VLOOKUP(B5,'SegEnds_NonXtal_Prot#'!A:AL,16,FALSE)-VLOOKUP(B5,'SegEnds_NonXtal_Prot#'!A:AL,10,FALSE)</f>
        <v>53</v>
      </c>
      <c r="AI5" s="49">
        <f>VLOOKUP(B5,'SegEnds_NonXtal_Prot#'!A:AL,16,FALSE)-VLOOKUP(B5,'SegEnds_NonXtal_Prot#'!A:AL,11,FALSE)</f>
        <v>36</v>
      </c>
      <c r="AJ5" s="49">
        <f>VLOOKUP(B5,'SegEnds_NonXtal_Prot#'!A:AL,22,FALSE)-VLOOKUP(B5,'SegEnds_NonXtal_Prot#'!A:AL,19,FALSE)</f>
        <v>23</v>
      </c>
      <c r="AK5" s="49">
        <f>VLOOKUP(B5,'SegEnds_NonXtal_Prot#'!A:AL,15,FALSE)-VLOOKUP(B5,'SegEnds_NonXtal_Prot#'!A:AL,14,FALSE)</f>
        <v>1</v>
      </c>
      <c r="AL5" s="49">
        <f>VLOOKUP(B5,'SegEnds_NonXtal_Prot#'!A:AL,18,FALSE)-VLOOKUP(B5,'SegEnds_NonXtal_Prot#'!A:AL,17,FALSE)</f>
        <v>1</v>
      </c>
      <c r="AM5" s="2">
        <f>VLOOKUP(B5,'SegEnds_NonXtal_Prot#'!A:AL,34,FALSE)-VLOOKUP(B5,'SegEnds_NonXtal_Prot#'!A:AL,31,FALSE)</f>
        <v>36</v>
      </c>
      <c r="AN5" s="37"/>
    </row>
    <row r="6" spans="1:64" s="2" customFormat="1" x14ac:dyDescent="0.2">
      <c r="A6" s="2" t="s">
        <v>1439</v>
      </c>
      <c r="B6" s="2" t="s">
        <v>193</v>
      </c>
      <c r="C6" s="2">
        <f>IFERROR(50+VLOOKUP($A6,'SegEnds_Xtal_Prot#'!$A:$AY,5,FALSE)-VLOOKUP($B6,'SegEnds_NonXtal_Prot#'!$A:$AL,4,FALSE),"-")</f>
        <v>29</v>
      </c>
      <c r="D6" s="2">
        <f>IFERROR(50+VLOOKUP($A6,'SegEnds_Xtal_Prot#'!$A:$AY,7,FALSE)-VLOOKUP($B6,'SegEnds_NonXtal_Prot#'!$A:$AL,4,FALSE),"-")</f>
        <v>60</v>
      </c>
      <c r="E6" s="2">
        <f>IFERROR(50+VLOOKUP($A6,'SegEnds_Xtal_Prot#'!$A:$AY,9,FALSE)-VLOOKUP($B6,'SegEnds_NonXtal_Prot#'!$A:$AL,7,FALSE),"-")</f>
        <v>48</v>
      </c>
      <c r="F6" s="2">
        <f>IFERROR(50+VLOOKUP($A6,'SegEnds_Xtal_Prot#'!$A:$AY,11,FALSE)-VLOOKUP($B6,'SegEnds_NonXtal_Prot#'!$A:$AL,7,FALSE),"-")</f>
        <v>51</v>
      </c>
      <c r="G6" s="2">
        <f>IFERROR(50+VLOOKUP($A6,'SegEnds_Xtal_Prot#'!$A:$AY,13,FALSE)-VLOOKUP($B6,'SegEnds_NonXtal_Prot#'!$A:$AL,10,FALSE),"-")</f>
        <v>37</v>
      </c>
      <c r="H6" s="2">
        <f>IFERROR(50+VLOOKUP($A6,'SegEnds_Xtal_Prot#'!$A:$AY,15,FALSE)-VLOOKUP($B6,'SegEnds_NonXtal_Prot#'!$A:$AL,10,FALSE),"-")</f>
        <v>67</v>
      </c>
      <c r="I6" s="2">
        <f>IFERROR(50+VLOOKUP($A6,'SegEnds_Xtal_Prot#'!$A:$AY,17,FALSE)-VLOOKUP($B6,'SegEnds_NonXtal_Prot#'!$A:$AL,13,FALSE),"-")</f>
        <v>49</v>
      </c>
      <c r="J6" s="2">
        <f>IFERROR(50+VLOOKUP($A6,'SegEnds_Xtal_Prot#'!$A:$AY,19,FALSE)-VLOOKUP($B6,'SegEnds_NonXtal_Prot#'!$A:$AL,13,FALSE),"-")</f>
        <v>52</v>
      </c>
      <c r="K6" s="2">
        <f>IFERROR(50+VLOOKUP($A6,'SegEnds_Xtal_Prot#'!$A:$AY,21,FALSE)-VLOOKUP($B6,'SegEnds_NonXtal_Prot#'!$A:$AL,16,FALSE),"-")</f>
        <v>21</v>
      </c>
      <c r="L6" s="2">
        <f>IFERROR(50+VLOOKUP($A6,'SegEnds_Xtal_Prot#'!$A:$AY,23,FALSE)-VLOOKUP($B6,'SegEnds_NonXtal_Prot#'!$A:$AL,16,FALSE),"-")</f>
        <v>56</v>
      </c>
      <c r="M6" s="2">
        <f>IFERROR(50+VLOOKUP($A6,'SegEnds_Xtal_Prot#'!$A:$AY,25,FALSE)-VLOOKUP($B6,'SegEnds_NonXtal_Prot#'!$A:$AL,19,FALSE),"-")</f>
        <v>50</v>
      </c>
      <c r="N6" s="2">
        <f>IFERROR(50+VLOOKUP($A6,'SegEnds_Xtal_Prot#'!$A:$AY,27,FALSE)-VLOOKUP($B6,'SegEnds_NonXtal_Prot#'!$A:$AL,19,FALSE),"-")</f>
        <v>57</v>
      </c>
      <c r="O6" s="2">
        <f>IFERROR(50+VLOOKUP($A6,'SegEnds_Xtal_Prot#'!$A:$AY,29,FALSE)-VLOOKUP($B6,'SegEnds_NonXtal_Prot#'!$A:$AL,22,FALSE),"-")</f>
        <v>38</v>
      </c>
      <c r="P6" s="2">
        <f>IFERROR(50+VLOOKUP($A6,'SegEnds_Xtal_Prot#'!$A:$AY,31,FALSE)-VLOOKUP($B6,'SegEnds_NonXtal_Prot#'!$A:$AL,22,FALSE),"-")</f>
        <v>63</v>
      </c>
      <c r="Q6" s="2">
        <f>IFERROR(50+VLOOKUP($A6,'SegEnds_Xtal_Prot#'!$A:$AY,33,FALSE)-VLOOKUP($B6,'SegEnds_NonXtal_Prot#'!$A:$AL,25,FALSE),"-")</f>
        <v>50</v>
      </c>
      <c r="R6" s="2">
        <f>IFERROR(50+VLOOKUP($A6,'SegEnds_Xtal_Prot#'!$A:$AY,35,FALSE)-VLOOKUP($B6,'SegEnds_NonXtal_Prot#'!$A:$AL,25,FALSE),"-")</f>
        <v>52</v>
      </c>
      <c r="S6" s="2">
        <f>IFERROR(50+VLOOKUP($A6,'SegEnds_Xtal_Prot#'!$A:$AY,37,FALSE)-VLOOKUP($B6,'SegEnds_NonXtal_Prot#'!$A:$AL,28,FALSE),"-")</f>
        <v>35</v>
      </c>
      <c r="T6" s="2">
        <f>IFERROR(50+VLOOKUP($A6,'SegEnds_Xtal_Prot#'!$A:$AY,39,FALSE)-VLOOKUP($B6,'SegEnds_NonXtal_Prot#'!$A:$AL,28,FALSE),"-")</f>
        <v>75</v>
      </c>
      <c r="U6" s="2">
        <f>IFERROR(50+VLOOKUP($A6,'SegEnds_Xtal_Prot#'!$A:$AY,41,FALSE)-VLOOKUP($B6,'SegEnds_NonXtal_Prot#'!$A:$AL,31,FALSE),"-")</f>
        <v>24</v>
      </c>
      <c r="V6" s="2">
        <f>IFERROR(50+VLOOKUP($A6,'SegEnds_Xtal_Prot#'!$A:$AY,43,FALSE)-VLOOKUP($B6,'SegEnds_NonXtal_Prot#'!$A:$AL,31,FALSE),"-")</f>
        <v>61</v>
      </c>
      <c r="W6" s="2">
        <f>IFERROR(50+VLOOKUP($A6,'SegEnds_Xtal_Prot#'!$A:$AY,45,FALSE)-VLOOKUP($B6,'SegEnds_NonXtal_Prot#'!$A:$AL,34,FALSE),"-")</f>
        <v>31</v>
      </c>
      <c r="X6" s="2">
        <f>IFERROR(50+VLOOKUP($A6,'SegEnds_Xtal_Prot#'!$A:$AY,47,FALSE)-VLOOKUP($B6,'SegEnds_NonXtal_Prot#'!$A:$AL,34,FALSE),"-")</f>
        <v>56</v>
      </c>
      <c r="Y6" s="2">
        <f>IFERROR(50+VLOOKUP($A6,'SegEnds_Xtal_Prot#'!$A:$AY,49,FALSE)-VLOOKUP($B6,'SegEnds_NonXtal_Prot#'!$A:$AL,37,FALSE),"-")</f>
        <v>47</v>
      </c>
      <c r="Z6" s="2">
        <f>IFERROR(50+VLOOKUP($A6,'SegEnds_Xtal_Prot#'!$A:$AY,51,FALSE)-VLOOKUP($B6,'SegEnds_NonXtal_Prot#'!$A:$AL,37,FALSE),"-")</f>
        <v>59</v>
      </c>
      <c r="AA6" s="49" t="str">
        <f>VLOOKUP(B6,Classification!A:D,2,FALSE)</f>
        <v>A</v>
      </c>
      <c r="AB6" s="94" t="str">
        <f>VLOOKUP(B6,Classification!A:D,4,0)</f>
        <v>Dopamine</v>
      </c>
      <c r="AC6" s="49">
        <f>VLOOKUP(B6,'SegEnds_NonXtal_Prot#'!A:AL,6,FALSE)-VLOOKUP(B6,'SegEnds_NonXtal_Prot#'!A:AL,5,FALSE)</f>
        <v>1</v>
      </c>
      <c r="AD6" s="49">
        <f>VLOOKUP(B6,'SegEnds_NonXtal_Prot#'!A:AL,9,FALSE)-VLOOKUP(B6,'SegEnds_NonXtal_Prot#'!A:AL,8,FALSE)</f>
        <v>1</v>
      </c>
      <c r="AE6" s="49">
        <f>VLOOKUP(B6,'SegEnds_NonXtal_Prot#'!A:AL,13,FALSE)-VLOOKUP(B6,'SegEnds_NonXtal_Prot#'!A:AL,10,FALSE)</f>
        <v>21</v>
      </c>
      <c r="AF6" s="49">
        <f>VLOOKUP(B6,'SegEnds_NonXtal_Prot#'!A:AL,12,FALSE)-VLOOKUP(B6,'SegEnds_NonXtal_Prot#'!A:AL,11,FALSE)</f>
        <v>3</v>
      </c>
      <c r="AG6" s="49">
        <f>VLOOKUP(B6,'SegEnds_NonXtal_Prot#'!A:AL,13,FALSE)-VLOOKUP(B6,'SegEnds_NonXtal_Prot#'!A:AL,11,FALSE)</f>
        <v>4</v>
      </c>
      <c r="AH6" s="49">
        <f>VLOOKUP(B6,'SegEnds_NonXtal_Prot#'!A:AL,16,FALSE)-VLOOKUP(B6,'SegEnds_NonXtal_Prot#'!A:AL,10,FALSE)</f>
        <v>53</v>
      </c>
      <c r="AI6" s="49">
        <f>VLOOKUP(B6,'SegEnds_NonXtal_Prot#'!A:AL,16,FALSE)-VLOOKUP(B6,'SegEnds_NonXtal_Prot#'!A:AL,11,FALSE)</f>
        <v>36</v>
      </c>
      <c r="AJ6" s="49">
        <f>VLOOKUP(B6,'SegEnds_NonXtal_Prot#'!A:AL,22,FALSE)-VLOOKUP(B6,'SegEnds_NonXtal_Prot#'!A:AL,19,FALSE)</f>
        <v>20</v>
      </c>
      <c r="AK6" s="49">
        <f>VLOOKUP(B6,'SegEnds_NonXtal_Prot#'!A:AL,15,FALSE)-VLOOKUP(B6,'SegEnds_NonXtal_Prot#'!A:AL,14,FALSE)</f>
        <v>1</v>
      </c>
      <c r="AL6" s="49">
        <f>VLOOKUP(B6,'SegEnds_NonXtal_Prot#'!A:AL,18,FALSE)-VLOOKUP(B6,'SegEnds_NonXtal_Prot#'!A:AL,17,FALSE)</f>
        <v>1</v>
      </c>
      <c r="AM6" s="2">
        <f>VLOOKUP(B6,'SegEnds_NonXtal_Prot#'!A:AL,34,FALSE)-VLOOKUP(B6,'SegEnds_NonXtal_Prot#'!A:AL,31,FALSE)</f>
        <v>36</v>
      </c>
      <c r="AN6" s="37"/>
    </row>
    <row r="7" spans="1:64" s="2" customFormat="1" x14ac:dyDescent="0.2">
      <c r="A7" s="2" t="s">
        <v>1237</v>
      </c>
      <c r="B7" s="2" t="s">
        <v>34</v>
      </c>
      <c r="C7" s="2">
        <f>IFERROR(50+VLOOKUP($A7,'SegEnds_Xtal_Prot#'!$A:$AY,5,FALSE)-VLOOKUP($B7,'SegEnds_NonXtal_Prot#'!$A:$AL,4,FALSE),"-")</f>
        <v>28</v>
      </c>
      <c r="D7" s="2">
        <f>IFERROR(50+VLOOKUP($A7,'SegEnds_Xtal_Prot#'!$A:$AY,7,FALSE)-VLOOKUP($B7,'SegEnds_NonXtal_Prot#'!$A:$AL,4,FALSE),"-")</f>
        <v>60</v>
      </c>
      <c r="E7" s="2">
        <f>IFERROR(50+VLOOKUP($A7,'SegEnds_Xtal_Prot#'!$A:$AY,9,FALSE)-VLOOKUP($B7,'SegEnds_NonXtal_Prot#'!$A:$AL,7,FALSE),"-")</f>
        <v>48</v>
      </c>
      <c r="F7" s="2">
        <f>IFERROR(50+VLOOKUP($A7,'SegEnds_Xtal_Prot#'!$A:$AY,11,FALSE)-VLOOKUP($B7,'SegEnds_NonXtal_Prot#'!$A:$AL,7,FALSE),"-")</f>
        <v>51</v>
      </c>
      <c r="G7" s="2">
        <f>IFERROR(50+VLOOKUP($A7,'SegEnds_Xtal_Prot#'!$A:$AY,13,FALSE)-VLOOKUP($B7,'SegEnds_NonXtal_Prot#'!$A:$AL,10,FALSE),"-")</f>
        <v>37</v>
      </c>
      <c r="H7" s="2">
        <f>IFERROR(50+VLOOKUP($A7,'SegEnds_Xtal_Prot#'!$A:$AY,15,FALSE)-VLOOKUP($B7,'SegEnds_NonXtal_Prot#'!$A:$AL,10,FALSE),"-")</f>
        <v>68</v>
      </c>
      <c r="I7" s="2">
        <f>IFERROR(50+VLOOKUP($A7,'SegEnds_Xtal_Prot#'!$A:$AY,17,FALSE)-VLOOKUP($B7,'SegEnds_NonXtal_Prot#'!$A:$AL,13,FALSE),"-")</f>
        <v>49</v>
      </c>
      <c r="J7" s="2">
        <f>IFERROR(50+VLOOKUP($A7,'SegEnds_Xtal_Prot#'!$A:$AY,19,FALSE)-VLOOKUP($B7,'SegEnds_NonXtal_Prot#'!$A:$AL,13,FALSE),"-")</f>
        <v>52</v>
      </c>
      <c r="K7" s="2">
        <f>IFERROR(50+VLOOKUP($A7,'SegEnds_Xtal_Prot#'!$A:$AY,21,FALSE)-VLOOKUP($B7,'SegEnds_NonXtal_Prot#'!$A:$AL,16,FALSE),"-")</f>
        <v>21</v>
      </c>
      <c r="L7" s="2">
        <f>IFERROR(50+VLOOKUP($A7,'SegEnds_Xtal_Prot#'!$A:$AY,23,FALSE)-VLOOKUP($B7,'SegEnds_NonXtal_Prot#'!$A:$AL,16,FALSE),"-")</f>
        <v>56</v>
      </c>
      <c r="M7" s="2">
        <f>IFERROR(50+VLOOKUP($A7,'SegEnds_Xtal_Prot#'!$A:$AY,25,FALSE)-VLOOKUP($B7,'SegEnds_NonXtal_Prot#'!$A:$AL,19,FALSE),"-")</f>
        <v>50</v>
      </c>
      <c r="N7" s="2">
        <f>IFERROR(50+VLOOKUP($A7,'SegEnds_Xtal_Prot#'!$A:$AY,27,FALSE)-VLOOKUP($B7,'SegEnds_NonXtal_Prot#'!$A:$AL,19,FALSE),"-")</f>
        <v>57</v>
      </c>
      <c r="O7" s="2">
        <f>IFERROR(50+VLOOKUP($A7,'SegEnds_Xtal_Prot#'!$A:$AY,29,FALSE)-VLOOKUP($B7,'SegEnds_NonXtal_Prot#'!$A:$AL,22,FALSE),"-")</f>
        <v>38</v>
      </c>
      <c r="P7" s="2">
        <f>IFERROR(50+VLOOKUP($A7,'SegEnds_Xtal_Prot#'!$A:$AY,31,FALSE)-VLOOKUP($B7,'SegEnds_NonXtal_Prot#'!$A:$AL,22,FALSE),"-")</f>
        <v>63</v>
      </c>
      <c r="Q7" s="2">
        <f>IFERROR(50+VLOOKUP($A7,'SegEnds_Xtal_Prot#'!$A:$AY,33,FALSE)-VLOOKUP($B7,'SegEnds_NonXtal_Prot#'!$A:$AL,25,FALSE),"-")</f>
        <v>50</v>
      </c>
      <c r="R7" s="2">
        <f>IFERROR(50+VLOOKUP($A7,'SegEnds_Xtal_Prot#'!$A:$AY,35,FALSE)-VLOOKUP($B7,'SegEnds_NonXtal_Prot#'!$A:$AL,25,FALSE),"-")</f>
        <v>52</v>
      </c>
      <c r="S7" s="2">
        <f>IFERROR(50+VLOOKUP($A7,'SegEnds_Xtal_Prot#'!$A:$AY,37,FALSE)-VLOOKUP($B7,'SegEnds_NonXtal_Prot#'!$A:$AL,28,FALSE),"-")</f>
        <v>35</v>
      </c>
      <c r="T7" s="2">
        <f>IFERROR(50+VLOOKUP($A7,'SegEnds_Xtal_Prot#'!$A:$AY,39,FALSE)-VLOOKUP($B7,'SegEnds_NonXtal_Prot#'!$A:$AL,28,FALSE),"-")</f>
        <v>74</v>
      </c>
      <c r="U7" s="2">
        <f>IFERROR(50+VLOOKUP($A7,'SegEnds_Xtal_Prot#'!$A:$AY,41,FALSE)-VLOOKUP($B7,'SegEnds_NonXtal_Prot#'!$A:$AL,31,FALSE),"-")</f>
        <v>24</v>
      </c>
      <c r="V7" s="2">
        <f>IFERROR(50+VLOOKUP($A7,'SegEnds_Xtal_Prot#'!$A:$AY,43,FALSE)-VLOOKUP($B7,'SegEnds_NonXtal_Prot#'!$A:$AL,31,FALSE),"-")</f>
        <v>60</v>
      </c>
      <c r="W7" s="2">
        <f>IFERROR(50+VLOOKUP($A7,'SegEnds_Xtal_Prot#'!$A:$AY,45,FALSE)-VLOOKUP($B7,'SegEnds_NonXtal_Prot#'!$A:$AL,34,FALSE),"-")</f>
        <v>31</v>
      </c>
      <c r="X7" s="2">
        <f>IFERROR(50+VLOOKUP($A7,'SegEnds_Xtal_Prot#'!$A:$AY,47,FALSE)-VLOOKUP($B7,'SegEnds_NonXtal_Prot#'!$A:$AL,34,FALSE),"-")</f>
        <v>56</v>
      </c>
      <c r="Y7" s="2">
        <f>IFERROR(50+VLOOKUP($A7,'SegEnds_Xtal_Prot#'!$A:$AY,49,FALSE)-VLOOKUP($B7,'SegEnds_NonXtal_Prot#'!$A:$AL,37,FALSE),"-")</f>
        <v>47</v>
      </c>
      <c r="Z7" s="2">
        <f>IFERROR(50+VLOOKUP($A7,'SegEnds_Xtal_Prot#'!$A:$AY,51,FALSE)-VLOOKUP($B7,'SegEnds_NonXtal_Prot#'!$A:$AL,37,FALSE),"-")</f>
        <v>58</v>
      </c>
      <c r="AA7" s="49" t="str">
        <f>VLOOKUP(B7,Classification!A:D,2,FALSE)</f>
        <v>A</v>
      </c>
      <c r="AB7" s="94" t="str">
        <f>VLOOKUP(B7,Classification!A:D,4,0)</f>
        <v>5-Hydroxytryptamine</v>
      </c>
      <c r="AC7" s="49">
        <f>VLOOKUP(B7,'SegEnds_NonXtal_Prot#'!A:AL,6,FALSE)-VLOOKUP(B7,'SegEnds_NonXtal_Prot#'!A:AL,5,FALSE)</f>
        <v>1</v>
      </c>
      <c r="AD7" s="49">
        <f>VLOOKUP(B7,'SegEnds_NonXtal_Prot#'!A:AL,9,FALSE)-VLOOKUP(B7,'SegEnds_NonXtal_Prot#'!A:AL,8,FALSE)</f>
        <v>1</v>
      </c>
      <c r="AE7" s="49">
        <f>VLOOKUP(B7,'SegEnds_NonXtal_Prot#'!A:AL,13,FALSE)-VLOOKUP(B7,'SegEnds_NonXtal_Prot#'!A:AL,10,FALSE)</f>
        <v>20</v>
      </c>
      <c r="AF7" s="49">
        <f>VLOOKUP(B7,'SegEnds_NonXtal_Prot#'!A:AL,12,FALSE)-VLOOKUP(B7,'SegEnds_NonXtal_Prot#'!A:AL,11,FALSE)</f>
        <v>1</v>
      </c>
      <c r="AG7" s="49">
        <f>VLOOKUP(B7,'SegEnds_NonXtal_Prot#'!A:AL,13,FALSE)-VLOOKUP(B7,'SegEnds_NonXtal_Prot#'!A:AL,11,FALSE)</f>
        <v>2</v>
      </c>
      <c r="AH7" s="49">
        <f>VLOOKUP(B7,'SegEnds_NonXtal_Prot#'!A:AL,16,FALSE)-VLOOKUP(B7,'SegEnds_NonXtal_Prot#'!A:AL,10,FALSE)</f>
        <v>52</v>
      </c>
      <c r="AI7" s="49">
        <f>VLOOKUP(B7,'SegEnds_NonXtal_Prot#'!A:AL,16,FALSE)-VLOOKUP(B7,'SegEnds_NonXtal_Prot#'!A:AL,11,FALSE)</f>
        <v>34</v>
      </c>
      <c r="AJ7" s="49">
        <f>VLOOKUP(B7,'SegEnds_NonXtal_Prot#'!A:AL,22,FALSE)-VLOOKUP(B7,'SegEnds_NonXtal_Prot#'!A:AL,19,FALSE)</f>
        <v>20</v>
      </c>
      <c r="AK7" s="49">
        <f>VLOOKUP(B7,'SegEnds_NonXtal_Prot#'!A:AL,15,FALSE)-VLOOKUP(B7,'SegEnds_NonXtal_Prot#'!A:AL,14,FALSE)</f>
        <v>1</v>
      </c>
      <c r="AL7" s="49">
        <f>VLOOKUP(B7,'SegEnds_NonXtal_Prot#'!A:AL,18,FALSE)-VLOOKUP(B7,'SegEnds_NonXtal_Prot#'!A:AL,17,FALSE)</f>
        <v>1</v>
      </c>
      <c r="AM7" s="2">
        <f>VLOOKUP(B7,'SegEnds_NonXtal_Prot#'!A:AL,34,FALSE)-VLOOKUP(B7,'SegEnds_NonXtal_Prot#'!A:AL,31,FALSE)</f>
        <v>37</v>
      </c>
      <c r="AN7" s="37"/>
    </row>
    <row r="8" spans="1:64" s="2" customFormat="1" x14ac:dyDescent="0.2">
      <c r="A8" s="2" t="s">
        <v>1238</v>
      </c>
      <c r="B8" s="2" t="s">
        <v>35</v>
      </c>
      <c r="C8" s="2">
        <f>IFERROR(50+VLOOKUP($A8,'SegEnds_Xtal_Prot#'!$A:$AY,5,FALSE)-VLOOKUP($B8,'SegEnds_NonXtal_Prot#'!$A:$AL,4,FALSE),"-")</f>
        <v>31</v>
      </c>
      <c r="D8" s="2">
        <f>IFERROR(50+VLOOKUP($A8,'SegEnds_Xtal_Prot#'!$A:$AY,7,FALSE)-VLOOKUP($B8,'SegEnds_NonXtal_Prot#'!$A:$AL,4,FALSE),"-")</f>
        <v>60</v>
      </c>
      <c r="E8" s="2">
        <f>IFERROR(50+VLOOKUP($A8,'SegEnds_Xtal_Prot#'!$A:$AY,9,FALSE)-VLOOKUP($B8,'SegEnds_NonXtal_Prot#'!$A:$AL,7,FALSE),"-")</f>
        <v>48</v>
      </c>
      <c r="F8" s="2">
        <f>IFERROR(50+VLOOKUP($A8,'SegEnds_Xtal_Prot#'!$A:$AY,11,FALSE)-VLOOKUP($B8,'SegEnds_NonXtal_Prot#'!$A:$AL,7,FALSE),"-")</f>
        <v>51</v>
      </c>
      <c r="G8" s="2">
        <f>IFERROR(50+VLOOKUP($A8,'SegEnds_Xtal_Prot#'!$A:$AY,13,FALSE)-VLOOKUP($B8,'SegEnds_NonXtal_Prot#'!$A:$AL,10,FALSE),"-")</f>
        <v>37</v>
      </c>
      <c r="H8" s="2">
        <f>IFERROR(50+VLOOKUP($A8,'SegEnds_Xtal_Prot#'!$A:$AY,15,FALSE)-VLOOKUP($B8,'SegEnds_NonXtal_Prot#'!$A:$AL,10,FALSE),"-")</f>
        <v>67</v>
      </c>
      <c r="I8" s="2">
        <f>IFERROR(50+VLOOKUP($A8,'SegEnds_Xtal_Prot#'!$A:$AY,17,FALSE)-VLOOKUP($B8,'SegEnds_NonXtal_Prot#'!$A:$AL,13,FALSE),"-")</f>
        <v>49</v>
      </c>
      <c r="J8" s="2">
        <f>IFERROR(50+VLOOKUP($A8,'SegEnds_Xtal_Prot#'!$A:$AY,19,FALSE)-VLOOKUP($B8,'SegEnds_NonXtal_Prot#'!$A:$AL,13,FALSE),"-")</f>
        <v>52</v>
      </c>
      <c r="K8" s="2">
        <f>IFERROR(50+VLOOKUP($A8,'SegEnds_Xtal_Prot#'!$A:$AY,21,FALSE)-VLOOKUP($B8,'SegEnds_NonXtal_Prot#'!$A:$AL,16,FALSE),"-")</f>
        <v>21</v>
      </c>
      <c r="L8" s="2">
        <f>IFERROR(50+VLOOKUP($A8,'SegEnds_Xtal_Prot#'!$A:$AY,23,FALSE)-VLOOKUP($B8,'SegEnds_NonXtal_Prot#'!$A:$AL,16,FALSE),"-")</f>
        <v>56</v>
      </c>
      <c r="M8" s="2">
        <f>IFERROR(50+VLOOKUP($A8,'SegEnds_Xtal_Prot#'!$A:$AY,25,FALSE)-VLOOKUP($B8,'SegEnds_NonXtal_Prot#'!$A:$AL,19,FALSE),"-")</f>
        <v>50</v>
      </c>
      <c r="N8" s="2">
        <f>IFERROR(50+VLOOKUP($A8,'SegEnds_Xtal_Prot#'!$A:$AY,27,FALSE)-VLOOKUP($B8,'SegEnds_NonXtal_Prot#'!$A:$AL,19,FALSE),"-")</f>
        <v>57</v>
      </c>
      <c r="O8" s="2">
        <f>IFERROR(50+VLOOKUP($A8,'SegEnds_Xtal_Prot#'!$A:$AY,29,FALSE)-VLOOKUP($B8,'SegEnds_NonXtal_Prot#'!$A:$AL,22,FALSE),"-")</f>
        <v>38</v>
      </c>
      <c r="P8" s="2">
        <f>IFERROR(50+VLOOKUP($A8,'SegEnds_Xtal_Prot#'!$A:$AY,31,FALSE)-VLOOKUP($B8,'SegEnds_NonXtal_Prot#'!$A:$AL,22,FALSE),"-")</f>
        <v>64</v>
      </c>
      <c r="Q8" s="2">
        <f>IFERROR(50+VLOOKUP($A8,'SegEnds_Xtal_Prot#'!$A:$AY,33,FALSE)-VLOOKUP($B8,'SegEnds_NonXtal_Prot#'!$A:$AL,25,FALSE),"-")</f>
        <v>50</v>
      </c>
      <c r="R8" s="2">
        <f>IFERROR(50+VLOOKUP($A8,'SegEnds_Xtal_Prot#'!$A:$AY,35,FALSE)-VLOOKUP($B8,'SegEnds_NonXtal_Prot#'!$A:$AL,25,FALSE),"-")</f>
        <v>52</v>
      </c>
      <c r="S8" s="2">
        <f>IFERROR(50+VLOOKUP($A8,'SegEnds_Xtal_Prot#'!$A:$AY,37,FALSE)-VLOOKUP($B8,'SegEnds_NonXtal_Prot#'!$A:$AL,28,FALSE),"-")</f>
        <v>35</v>
      </c>
      <c r="T8" s="2">
        <f>IFERROR(50+VLOOKUP($A8,'SegEnds_Xtal_Prot#'!$A:$AY,39,FALSE)-VLOOKUP($B8,'SegEnds_NonXtal_Prot#'!$A:$AL,28,FALSE),"-")</f>
        <v>76</v>
      </c>
      <c r="U8" s="2">
        <f>IFERROR(50+VLOOKUP($A8,'SegEnds_Xtal_Prot#'!$A:$AY,41,FALSE)-VLOOKUP($B8,'SegEnds_NonXtal_Prot#'!$A:$AL,31,FALSE),"-")</f>
        <v>24</v>
      </c>
      <c r="V8" s="2">
        <f>IFERROR(50+VLOOKUP($A8,'SegEnds_Xtal_Prot#'!$A:$AY,43,FALSE)-VLOOKUP($B8,'SegEnds_NonXtal_Prot#'!$A:$AL,31,FALSE),"-")</f>
        <v>61</v>
      </c>
      <c r="W8" s="2">
        <f>IFERROR(50+VLOOKUP($A8,'SegEnds_Xtal_Prot#'!$A:$AY,45,FALSE)-VLOOKUP($B8,'SegEnds_NonXtal_Prot#'!$A:$AL,34,FALSE),"-")</f>
        <v>27</v>
      </c>
      <c r="X8" s="2">
        <f>IFERROR(50+VLOOKUP($A8,'SegEnds_Xtal_Prot#'!$A:$AY,47,FALSE)-VLOOKUP($B8,'SegEnds_NonXtal_Prot#'!$A:$AL,34,FALSE),"-")</f>
        <v>56</v>
      </c>
      <c r="Y8" s="2">
        <f>IFERROR(50+VLOOKUP($A8,'SegEnds_Xtal_Prot#'!$A:$AY,49,FALSE)-VLOOKUP($B8,'SegEnds_NonXtal_Prot#'!$A:$AL,37,FALSE),"-")</f>
        <v>47</v>
      </c>
      <c r="Z8" s="2">
        <f>IFERROR(50+VLOOKUP($A8,'SegEnds_Xtal_Prot#'!$A:$AY,51,FALSE)-VLOOKUP($B8,'SegEnds_NonXtal_Prot#'!$A:$AL,37,FALSE),"-")</f>
        <v>58</v>
      </c>
      <c r="AA8" s="49" t="str">
        <f>VLOOKUP(B8,Classification!A:D,2,FALSE)</f>
        <v>A</v>
      </c>
      <c r="AB8" s="94" t="str">
        <f>VLOOKUP(B8,Classification!A:D,4,0)</f>
        <v>5-Hydroxytryptamine</v>
      </c>
      <c r="AC8" s="49">
        <f>VLOOKUP(B8,'SegEnds_NonXtal_Prot#'!A:AL,6,FALSE)-VLOOKUP(B8,'SegEnds_NonXtal_Prot#'!A:AL,5,FALSE)</f>
        <v>1</v>
      </c>
      <c r="AD8" s="49">
        <f>VLOOKUP(B8,'SegEnds_NonXtal_Prot#'!A:AL,9,FALSE)-VLOOKUP(B8,'SegEnds_NonXtal_Prot#'!A:AL,8,FALSE)</f>
        <v>1</v>
      </c>
      <c r="AE8" s="49">
        <f>VLOOKUP(B8,'SegEnds_NonXtal_Prot#'!A:AL,13,FALSE)-VLOOKUP(B8,'SegEnds_NonXtal_Prot#'!A:AL,10,FALSE)</f>
        <v>21</v>
      </c>
      <c r="AF8" s="49">
        <f>VLOOKUP(B8,'SegEnds_NonXtal_Prot#'!A:AL,12,FALSE)-VLOOKUP(B8,'SegEnds_NonXtal_Prot#'!A:AL,11,FALSE)</f>
        <v>3</v>
      </c>
      <c r="AG8" s="49">
        <f>VLOOKUP(B8,'SegEnds_NonXtal_Prot#'!A:AL,13,FALSE)-VLOOKUP(B8,'SegEnds_NonXtal_Prot#'!A:AL,11,FALSE)</f>
        <v>4</v>
      </c>
      <c r="AH8" s="49">
        <f>VLOOKUP(B8,'SegEnds_NonXtal_Prot#'!A:AL,16,FALSE)-VLOOKUP(B8,'SegEnds_NonXtal_Prot#'!A:AL,10,FALSE)</f>
        <v>53</v>
      </c>
      <c r="AI8" s="49">
        <f>VLOOKUP(B8,'SegEnds_NonXtal_Prot#'!A:AL,16,FALSE)-VLOOKUP(B8,'SegEnds_NonXtal_Prot#'!A:AL,11,FALSE)</f>
        <v>36</v>
      </c>
      <c r="AJ8" s="49">
        <f>VLOOKUP(B8,'SegEnds_NonXtal_Prot#'!A:AL,22,FALSE)-VLOOKUP(B8,'SegEnds_NonXtal_Prot#'!A:AL,19,FALSE)</f>
        <v>20</v>
      </c>
      <c r="AK8" s="49">
        <f>VLOOKUP(B8,'SegEnds_NonXtal_Prot#'!A:AL,15,FALSE)-VLOOKUP(B8,'SegEnds_NonXtal_Prot#'!A:AL,14,FALSE)</f>
        <v>1</v>
      </c>
      <c r="AL8" s="49">
        <f>VLOOKUP(B8,'SegEnds_NonXtal_Prot#'!A:AL,18,FALSE)-VLOOKUP(B8,'SegEnds_NonXtal_Prot#'!A:AL,17,FALSE)</f>
        <v>1</v>
      </c>
      <c r="AM8" s="2">
        <f>VLOOKUP(B8,'SegEnds_NonXtal_Prot#'!A:AL,34,FALSE)-VLOOKUP(B8,'SegEnds_NonXtal_Prot#'!A:AL,31,FALSE)</f>
        <v>38</v>
      </c>
      <c r="AN8" s="37"/>
    </row>
    <row r="9" spans="1:64" s="2" customFormat="1" x14ac:dyDescent="0.2">
      <c r="A9" s="2" t="s">
        <v>1462</v>
      </c>
      <c r="B9" s="2" t="s">
        <v>133</v>
      </c>
      <c r="C9" s="2">
        <f>IFERROR(50+VLOOKUP($A9,'SegEnds_Xtal_Prot#'!$A:$AY,5,FALSE)-VLOOKUP($B9,'SegEnds_NonXtal_Prot#'!$A:$AL,4,FALSE),"-")</f>
        <v>33</v>
      </c>
      <c r="D9" s="2">
        <f>IFERROR(50+VLOOKUP($A9,'SegEnds_Xtal_Prot#'!$A:$AY,7,FALSE)-VLOOKUP($B9,'SegEnds_NonXtal_Prot#'!$A:$AL,4,FALSE),"-")</f>
        <v>60</v>
      </c>
      <c r="E9" s="2">
        <f>IFERROR(50+VLOOKUP($A9,'SegEnds_Xtal_Prot#'!$A:$AY,9,FALSE)-VLOOKUP($B9,'SegEnds_NonXtal_Prot#'!$A:$AL,7,FALSE),"-")</f>
        <v>48</v>
      </c>
      <c r="F9" s="2">
        <f>IFERROR(50+VLOOKUP($A9,'SegEnds_Xtal_Prot#'!$A:$AY,11,FALSE)-VLOOKUP($B9,'SegEnds_NonXtal_Prot#'!$A:$AL,7,FALSE),"-")</f>
        <v>51</v>
      </c>
      <c r="G9" s="2">
        <f>IFERROR(50+VLOOKUP($A9,'SegEnds_Xtal_Prot#'!$A:$AY,13,FALSE)-VLOOKUP($B9,'SegEnds_NonXtal_Prot#'!$A:$AL,10,FALSE),"-")</f>
        <v>37</v>
      </c>
      <c r="H9" s="2">
        <f>IFERROR(50+VLOOKUP($A9,'SegEnds_Xtal_Prot#'!$A:$AY,15,FALSE)-VLOOKUP($B9,'SegEnds_NonXtal_Prot#'!$A:$AL,10,FALSE),"-")</f>
        <v>68</v>
      </c>
      <c r="I9" s="2">
        <f>IFERROR(50+VLOOKUP($A9,'SegEnds_Xtal_Prot#'!$A:$AY,17,FALSE)-VLOOKUP($B9,'SegEnds_NonXtal_Prot#'!$A:$AL,13,FALSE),"-")</f>
        <v>49</v>
      </c>
      <c r="J9" s="2">
        <f>IFERROR(50+VLOOKUP($A9,'SegEnds_Xtal_Prot#'!$A:$AY,19,FALSE)-VLOOKUP($B9,'SegEnds_NonXtal_Prot#'!$A:$AL,13,FALSE),"-")</f>
        <v>52</v>
      </c>
      <c r="K9" s="2">
        <f>IFERROR(50+VLOOKUP($A9,'SegEnds_Xtal_Prot#'!$A:$AY,21,FALSE)-VLOOKUP($B9,'SegEnds_NonXtal_Prot#'!$A:$AL,16,FALSE),"-")</f>
        <v>21</v>
      </c>
      <c r="L9" s="2">
        <f>IFERROR(50+VLOOKUP($A9,'SegEnds_Xtal_Prot#'!$A:$AY,23,FALSE)-VLOOKUP($B9,'SegEnds_NonXtal_Prot#'!$A:$AL,16,FALSE),"-")</f>
        <v>56</v>
      </c>
      <c r="M9" s="2">
        <f>IFERROR(50+VLOOKUP($A9,'SegEnds_Xtal_Prot#'!$A:$AY,25,FALSE)-VLOOKUP($B9,'SegEnds_NonXtal_Prot#'!$A:$AL,19,FALSE),"-")</f>
        <v>50</v>
      </c>
      <c r="N9" s="2">
        <f>IFERROR(50+VLOOKUP($A9,'SegEnds_Xtal_Prot#'!$A:$AY,27,FALSE)-VLOOKUP($B9,'SegEnds_NonXtal_Prot#'!$A:$AL,19,FALSE),"-")</f>
        <v>57</v>
      </c>
      <c r="O9" s="2">
        <f>IFERROR(50+VLOOKUP($A9,'SegEnds_Xtal_Prot#'!$A:$AY,29,FALSE)-VLOOKUP($B9,'SegEnds_NonXtal_Prot#'!$A:$AL,22,FALSE),"-")</f>
        <v>38</v>
      </c>
      <c r="P9" s="2">
        <f>IFERROR(50+VLOOKUP($A9,'SegEnds_Xtal_Prot#'!$A:$AY,31,FALSE)-VLOOKUP($B9,'SegEnds_NonXtal_Prot#'!$A:$AL,22,FALSE),"-")</f>
        <v>67</v>
      </c>
      <c r="Q9" s="2">
        <f>IFERROR(50+VLOOKUP($A9,'SegEnds_Xtal_Prot#'!$A:$AY,33,FALSE)-VLOOKUP($B9,'SegEnds_NonXtal_Prot#'!$A:$AL,25,FALSE),"-")</f>
        <v>50</v>
      </c>
      <c r="R9" s="2">
        <f>IFERROR(50+VLOOKUP($A9,'SegEnds_Xtal_Prot#'!$A:$AY,35,FALSE)-VLOOKUP($B9,'SegEnds_NonXtal_Prot#'!$A:$AL,25,FALSE),"-")</f>
        <v>52</v>
      </c>
      <c r="S9" s="2">
        <f>IFERROR(50+VLOOKUP($A9,'SegEnds_Xtal_Prot#'!$A:$AY,37,FALSE)-VLOOKUP($B9,'SegEnds_NonXtal_Prot#'!$A:$AL,28,FALSE),"-")</f>
        <v>35</v>
      </c>
      <c r="T9" s="2">
        <f>IFERROR(50+VLOOKUP($A9,'SegEnds_Xtal_Prot#'!$A:$AY,39,FALSE)-VLOOKUP($B9,'SegEnds_NonXtal_Prot#'!$A:$AL,28,FALSE),"-")</f>
        <v>74</v>
      </c>
      <c r="U9" s="2">
        <f>IFERROR(50+VLOOKUP($A9,'SegEnds_Xtal_Prot#'!$A:$AY,41,FALSE)-VLOOKUP($B9,'SegEnds_NonXtal_Prot#'!$A:$AL,31,FALSE),"-")</f>
        <v>24</v>
      </c>
      <c r="V9" s="2">
        <f>IFERROR(50+VLOOKUP($A9,'SegEnds_Xtal_Prot#'!$A:$AY,43,FALSE)-VLOOKUP($B9,'SegEnds_NonXtal_Prot#'!$A:$AL,31,FALSE),"-")</f>
        <v>61</v>
      </c>
      <c r="W9" s="2">
        <f>IFERROR(50+VLOOKUP($A9,'SegEnds_Xtal_Prot#'!$A:$AY,45,FALSE)-VLOOKUP($B9,'SegEnds_NonXtal_Prot#'!$A:$AL,34,FALSE),"-")</f>
        <v>27</v>
      </c>
      <c r="X9" s="2">
        <f>IFERROR(50+VLOOKUP($A9,'SegEnds_Xtal_Prot#'!$A:$AY,47,FALSE)-VLOOKUP($B9,'SegEnds_NonXtal_Prot#'!$A:$AL,34,FALSE),"-")</f>
        <v>56</v>
      </c>
      <c r="Y9" s="2">
        <f>IFERROR(50+VLOOKUP($A9,'SegEnds_Xtal_Prot#'!$A:$AY,49,FALSE)-VLOOKUP($B9,'SegEnds_NonXtal_Prot#'!$A:$AL,37,FALSE),"-")</f>
        <v>47</v>
      </c>
      <c r="Z9" s="2">
        <f>IFERROR(50+VLOOKUP($A9,'SegEnds_Xtal_Prot#'!$A:$AY,51,FALSE)-VLOOKUP($B9,'SegEnds_NonXtal_Prot#'!$A:$AL,37,FALSE),"-")</f>
        <v>60</v>
      </c>
      <c r="AA9" s="49" t="str">
        <f>VLOOKUP(B9,Classification!A:D,2,FALSE)</f>
        <v>A</v>
      </c>
      <c r="AB9" s="94" t="str">
        <f>VLOOKUP(B9,Classification!A:D,4,0)</f>
        <v>5-Hydroxytryptamine</v>
      </c>
      <c r="AC9" s="49">
        <f>VLOOKUP(B9,'SegEnds_NonXtal_Prot#'!A:AL,6,FALSE)-VLOOKUP(B9,'SegEnds_NonXtal_Prot#'!A:AL,5,FALSE)</f>
        <v>1</v>
      </c>
      <c r="AD9" s="49">
        <f>VLOOKUP(B9,'SegEnds_NonXtal_Prot#'!A:AL,9,FALSE)-VLOOKUP(B9,'SegEnds_NonXtal_Prot#'!A:AL,8,FALSE)</f>
        <v>1</v>
      </c>
      <c r="AE9" s="49">
        <f>VLOOKUP(B9,'SegEnds_NonXtal_Prot#'!A:AL,13,FALSE)-VLOOKUP(B9,'SegEnds_NonXtal_Prot#'!A:AL,10,FALSE)</f>
        <v>21</v>
      </c>
      <c r="AF9" s="49">
        <f>VLOOKUP(B9,'SegEnds_NonXtal_Prot#'!A:AL,12,FALSE)-VLOOKUP(B9,'SegEnds_NonXtal_Prot#'!A:AL,11,FALSE)</f>
        <v>2</v>
      </c>
      <c r="AG9" s="49">
        <f>VLOOKUP(B9,'SegEnds_NonXtal_Prot#'!A:AL,13,FALSE)-VLOOKUP(B9,'SegEnds_NonXtal_Prot#'!A:AL,11,FALSE)</f>
        <v>3</v>
      </c>
      <c r="AH9" s="49">
        <f>VLOOKUP(B9,'SegEnds_NonXtal_Prot#'!A:AL,16,FALSE)-VLOOKUP(B9,'SegEnds_NonXtal_Prot#'!A:AL,10,FALSE)</f>
        <v>53</v>
      </c>
      <c r="AI9" s="49">
        <f>VLOOKUP(B9,'SegEnds_NonXtal_Prot#'!A:AL,16,FALSE)-VLOOKUP(B9,'SegEnds_NonXtal_Prot#'!A:AL,11,FALSE)</f>
        <v>35</v>
      </c>
      <c r="AJ9" s="49">
        <f>VLOOKUP(B9,'SegEnds_NonXtal_Prot#'!A:AL,22,FALSE)-VLOOKUP(B9,'SegEnds_NonXtal_Prot#'!A:AL,19,FALSE)</f>
        <v>20</v>
      </c>
      <c r="AK9" s="49">
        <f>VLOOKUP(B9,'SegEnds_NonXtal_Prot#'!A:AL,15,FALSE)-VLOOKUP(B9,'SegEnds_NonXtal_Prot#'!A:AL,14,FALSE)</f>
        <v>1</v>
      </c>
      <c r="AL9" s="49">
        <f>VLOOKUP(B9,'SegEnds_NonXtal_Prot#'!A:AL,18,FALSE)-VLOOKUP(B9,'SegEnds_NonXtal_Prot#'!A:AL,17,FALSE)</f>
        <v>1</v>
      </c>
      <c r="AM9" s="2">
        <f>VLOOKUP(B9,'SegEnds_NonXtal_Prot#'!A:AL,34,FALSE)-VLOOKUP(B9,'SegEnds_NonXtal_Prot#'!A:AL,31,FALSE)</f>
        <v>39</v>
      </c>
      <c r="AN9" s="37"/>
    </row>
    <row r="10" spans="1:64" x14ac:dyDescent="0.2">
      <c r="A10" s="2" t="s">
        <v>1243</v>
      </c>
      <c r="B10" s="2" t="s">
        <v>149</v>
      </c>
      <c r="C10" s="2">
        <f>IFERROR(50+VLOOKUP($A10,'SegEnds_Xtal_Prot#'!$A:$AY,5,FALSE)-VLOOKUP($B10,'SegEnds_NonXtal_Prot#'!$A:$AL,4,FALSE),"-")</f>
        <v>26</v>
      </c>
      <c r="D10" s="2">
        <f>IFERROR(50+VLOOKUP($A10,'SegEnds_Xtal_Prot#'!$A:$AY,7,FALSE)-VLOOKUP($B10,'SegEnds_NonXtal_Prot#'!$A:$AL,4,FALSE),"-")</f>
        <v>60</v>
      </c>
      <c r="E10" s="2">
        <f>IFERROR(50+VLOOKUP($A10,'SegEnds_Xtal_Prot#'!$A:$AY,9,FALSE)-VLOOKUP($B10,'SegEnds_NonXtal_Prot#'!$A:$AL,7,FALSE),"-")</f>
        <v>48</v>
      </c>
      <c r="F10" s="2">
        <f>IFERROR(50+VLOOKUP($A10,'SegEnds_Xtal_Prot#'!$A:$AY,11,FALSE)-VLOOKUP($B10,'SegEnds_NonXtal_Prot#'!$A:$AL,7,FALSE),"-")</f>
        <v>51</v>
      </c>
      <c r="G10" s="2">
        <f>IFERROR(50+VLOOKUP($A10,'SegEnds_Xtal_Prot#'!$A:$AY,13,FALSE)-VLOOKUP($B10,'SegEnds_NonXtal_Prot#'!$A:$AL,10,FALSE),"-")</f>
        <v>37</v>
      </c>
      <c r="H10" s="2">
        <f>IFERROR(50+VLOOKUP($A10,'SegEnds_Xtal_Prot#'!$A:$AY,15,FALSE)-VLOOKUP($B10,'SegEnds_NonXtal_Prot#'!$A:$AL,10,FALSE),"-")</f>
        <v>68</v>
      </c>
      <c r="I10" s="2">
        <f>IFERROR(50+VLOOKUP($A10,'SegEnds_Xtal_Prot#'!$A:$AY,17,FALSE)-VLOOKUP($B10,'SegEnds_NonXtal_Prot#'!$A:$AL,13,FALSE),"-")</f>
        <v>49</v>
      </c>
      <c r="J10" s="2">
        <f>IFERROR(50+VLOOKUP($A10,'SegEnds_Xtal_Prot#'!$A:$AY,19,FALSE)-VLOOKUP($B10,'SegEnds_NonXtal_Prot#'!$A:$AL,13,FALSE),"-")</f>
        <v>52</v>
      </c>
      <c r="K10" s="2">
        <f>IFERROR(50+VLOOKUP($A10,'SegEnds_Xtal_Prot#'!$A:$AY,21,FALSE)-VLOOKUP($B10,'SegEnds_NonXtal_Prot#'!$A:$AL,16,FALSE),"-")</f>
        <v>21</v>
      </c>
      <c r="L10" s="2">
        <f>IFERROR(50+VLOOKUP($A10,'SegEnds_Xtal_Prot#'!$A:$AY,23,FALSE)-VLOOKUP($B10,'SegEnds_NonXtal_Prot#'!$A:$AL,16,FALSE),"-")</f>
        <v>56</v>
      </c>
      <c r="M10" s="2">
        <f>IFERROR(50+VLOOKUP($A10,'SegEnds_Xtal_Prot#'!$A:$AY,25,FALSE)-VLOOKUP($B10,'SegEnds_NonXtal_Prot#'!$A:$AL,19,FALSE),"-")</f>
        <v>50</v>
      </c>
      <c r="N10" s="2">
        <f>IFERROR(50+VLOOKUP($A10,'SegEnds_Xtal_Prot#'!$A:$AY,27,FALSE)-VLOOKUP($B10,'SegEnds_NonXtal_Prot#'!$A:$AL,19,FALSE),"-")</f>
        <v>57</v>
      </c>
      <c r="O10" s="2">
        <f>IFERROR(50+VLOOKUP($A10,'SegEnds_Xtal_Prot#'!$A:$AY,29,FALSE)-VLOOKUP($B10,'SegEnds_NonXtal_Prot#'!$A:$AL,22,FALSE),"-")</f>
        <v>38</v>
      </c>
      <c r="P10" s="2">
        <f>IFERROR(50+VLOOKUP($A10,'SegEnds_Xtal_Prot#'!$A:$AY,31,FALSE)-VLOOKUP($B10,'SegEnds_NonXtal_Prot#'!$A:$AL,22,FALSE),"-")</f>
        <v>69</v>
      </c>
      <c r="Q10" s="2">
        <f>IFERROR(50+VLOOKUP($A10,'SegEnds_Xtal_Prot#'!$A:$AY,33,FALSE)-VLOOKUP($B10,'SegEnds_NonXtal_Prot#'!$A:$AL,25,FALSE),"-")</f>
        <v>50</v>
      </c>
      <c r="R10" s="2">
        <f>IFERROR(50+VLOOKUP($A10,'SegEnds_Xtal_Prot#'!$A:$AY,35,FALSE)-VLOOKUP($B10,'SegEnds_NonXtal_Prot#'!$A:$AL,25,FALSE),"-")</f>
        <v>52</v>
      </c>
      <c r="S10" s="2">
        <f>IFERROR(50+VLOOKUP($A10,'SegEnds_Xtal_Prot#'!$A:$AY,37,FALSE)-VLOOKUP($B10,'SegEnds_NonXtal_Prot#'!$A:$AL,28,FALSE),"-")</f>
        <v>35</v>
      </c>
      <c r="T10" s="2">
        <f>IFERROR(50+VLOOKUP($A10,'SegEnds_Xtal_Prot#'!$A:$AY,39,FALSE)-VLOOKUP($B10,'SegEnds_NonXtal_Prot#'!$A:$AL,28,FALSE),"-")</f>
        <v>75</v>
      </c>
      <c r="U10" s="2">
        <f>IFERROR(50+VLOOKUP($A10,'SegEnds_Xtal_Prot#'!$A:$AY,41,FALSE)-VLOOKUP($B10,'SegEnds_NonXtal_Prot#'!$A:$AL,31,FALSE),"-")</f>
        <v>24</v>
      </c>
      <c r="V10" s="2">
        <f>IFERROR(50+VLOOKUP($A10,'SegEnds_Xtal_Prot#'!$A:$AY,43,FALSE)-VLOOKUP($B10,'SegEnds_NonXtal_Prot#'!$A:$AL,31,FALSE),"-")</f>
        <v>61</v>
      </c>
      <c r="W10" s="2">
        <f>IFERROR(50+VLOOKUP($A10,'SegEnds_Xtal_Prot#'!$A:$AY,45,FALSE)-VLOOKUP($B10,'SegEnds_NonXtal_Prot#'!$A:$AL,34,FALSE),"-")</f>
        <v>31</v>
      </c>
      <c r="X10" s="2">
        <f>IFERROR(50+VLOOKUP($A10,'SegEnds_Xtal_Prot#'!$A:$AY,47,FALSE)-VLOOKUP($B10,'SegEnds_NonXtal_Prot#'!$A:$AL,34,FALSE),"-")</f>
        <v>56</v>
      </c>
      <c r="Y10" s="2">
        <f>IFERROR(50+VLOOKUP($A10,'SegEnds_Xtal_Prot#'!$A:$AY,49,FALSE)-VLOOKUP($B10,'SegEnds_NonXtal_Prot#'!$A:$AL,37,FALSE),"-")</f>
        <v>47</v>
      </c>
      <c r="Z10" s="2">
        <f>IFERROR(50+VLOOKUP($A10,'SegEnds_Xtal_Prot#'!$A:$AY,51,FALSE)-VLOOKUP($B10,'SegEnds_NonXtal_Prot#'!$A:$AL,37,FALSE),"-")</f>
        <v>61</v>
      </c>
      <c r="AA10" s="49" t="str">
        <f>VLOOKUP(B10,Classification!A:D,2,FALSE)</f>
        <v>A</v>
      </c>
      <c r="AB10" s="94" t="str">
        <f>VLOOKUP(B10,Classification!A:D,4,0)</f>
        <v>Acetylcholine(muscarinic)</v>
      </c>
      <c r="AC10" s="49">
        <f>VLOOKUP(B10,'SegEnds_NonXtal_Prot#'!A:AL,6,FALSE)-VLOOKUP(B10,'SegEnds_NonXtal_Prot#'!A:AL,5,FALSE)</f>
        <v>1</v>
      </c>
      <c r="AD10" s="49">
        <f>VLOOKUP(B10,'SegEnds_NonXtal_Prot#'!A:AL,9,FALSE)-VLOOKUP(B10,'SegEnds_NonXtal_Prot#'!A:AL,8,FALSE)</f>
        <v>1</v>
      </c>
      <c r="AE10" s="49">
        <f>VLOOKUP(B10,'SegEnds_NonXtal_Prot#'!A:AL,13,FALSE)-VLOOKUP(B10,'SegEnds_NonXtal_Prot#'!A:AL,10,FALSE)</f>
        <v>20</v>
      </c>
      <c r="AF10" s="49">
        <f>VLOOKUP(B10,'SegEnds_NonXtal_Prot#'!A:AL,12,FALSE)-VLOOKUP(B10,'SegEnds_NonXtal_Prot#'!A:AL,11,FALSE)</f>
        <v>1</v>
      </c>
      <c r="AG10" s="49">
        <f>VLOOKUP(B10,'SegEnds_NonXtal_Prot#'!A:AL,13,FALSE)-VLOOKUP(B10,'SegEnds_NonXtal_Prot#'!A:AL,11,FALSE)</f>
        <v>2</v>
      </c>
      <c r="AH10" s="49">
        <f>VLOOKUP(B10,'SegEnds_NonXtal_Prot#'!A:AL,16,FALSE)-VLOOKUP(B10,'SegEnds_NonXtal_Prot#'!A:AL,10,FALSE)</f>
        <v>52</v>
      </c>
      <c r="AI10" s="49">
        <f>VLOOKUP(B10,'SegEnds_NonXtal_Prot#'!A:AL,16,FALSE)-VLOOKUP(B10,'SegEnds_NonXtal_Prot#'!A:AL,11,FALSE)</f>
        <v>34</v>
      </c>
      <c r="AJ10" s="49">
        <f>VLOOKUP(B10,'SegEnds_NonXtal_Prot#'!A:AL,22,FALSE)-VLOOKUP(B10,'SegEnds_NonXtal_Prot#'!A:AL,19,FALSE)</f>
        <v>20</v>
      </c>
      <c r="AK10" s="49">
        <f>VLOOKUP(B10,'SegEnds_NonXtal_Prot#'!A:AL,15,FALSE)-VLOOKUP(B10,'SegEnds_NonXtal_Prot#'!A:AL,14,FALSE)</f>
        <v>1</v>
      </c>
      <c r="AL10" s="49">
        <f>VLOOKUP(B10,'SegEnds_NonXtal_Prot#'!A:AL,18,FALSE)-VLOOKUP(B10,'SegEnds_NonXtal_Prot#'!A:AL,17,FALSE)</f>
        <v>1</v>
      </c>
      <c r="AM10" s="2">
        <f>VLOOKUP(B10,'SegEnds_NonXtal_Prot#'!A:AL,34,FALSE)-VLOOKUP(B10,'SegEnds_NonXtal_Prot#'!A:AL,31,FALSE)</f>
        <v>35</v>
      </c>
      <c r="AN10" s="37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</row>
    <row r="11" spans="1:64" s="2" customFormat="1" x14ac:dyDescent="0.2">
      <c r="A11" s="2" t="s">
        <v>1240</v>
      </c>
      <c r="B11" s="2" t="s">
        <v>146</v>
      </c>
      <c r="C11" s="2">
        <f>IFERROR(50+VLOOKUP($A11,'SegEnds_Xtal_Prot#'!$A:$AY,5,FALSE)-VLOOKUP($B11,'SegEnds_NonXtal_Prot#'!$A:$AL,4,FALSE),"-")</f>
        <v>29</v>
      </c>
      <c r="D11" s="2">
        <f>IFERROR(50+VLOOKUP($A11,'SegEnds_Xtal_Prot#'!$A:$AY,7,FALSE)-VLOOKUP($B11,'SegEnds_NonXtal_Prot#'!$A:$AL,4,FALSE),"-")</f>
        <v>60</v>
      </c>
      <c r="E11" s="2">
        <f>IFERROR(50+VLOOKUP($A11,'SegEnds_Xtal_Prot#'!$A:$AY,9,FALSE)-VLOOKUP($B11,'SegEnds_NonXtal_Prot#'!$A:$AL,7,FALSE),"-")</f>
        <v>48</v>
      </c>
      <c r="F11" s="2">
        <f>IFERROR(50+VLOOKUP($A11,'SegEnds_Xtal_Prot#'!$A:$AY,11,FALSE)-VLOOKUP($B11,'SegEnds_NonXtal_Prot#'!$A:$AL,7,FALSE),"-")</f>
        <v>51</v>
      </c>
      <c r="G11" s="2">
        <f>IFERROR(50+VLOOKUP($A11,'SegEnds_Xtal_Prot#'!$A:$AY,13,FALSE)-VLOOKUP($B11,'SegEnds_NonXtal_Prot#'!$A:$AL,10,FALSE),"-")</f>
        <v>37</v>
      </c>
      <c r="H11" s="2">
        <f>IFERROR(50+VLOOKUP($A11,'SegEnds_Xtal_Prot#'!$A:$AY,15,FALSE)-VLOOKUP($B11,'SegEnds_NonXtal_Prot#'!$A:$AL,10,FALSE),"-")</f>
        <v>68</v>
      </c>
      <c r="I11" s="2">
        <f>IFERROR(50+VLOOKUP($A11,'SegEnds_Xtal_Prot#'!$A:$AY,17,FALSE)-VLOOKUP($B11,'SegEnds_NonXtal_Prot#'!$A:$AL,13,FALSE),"-")</f>
        <v>49</v>
      </c>
      <c r="J11" s="2">
        <f>IFERROR(50+VLOOKUP($A11,'SegEnds_Xtal_Prot#'!$A:$AY,19,FALSE)-VLOOKUP($B11,'SegEnds_NonXtal_Prot#'!$A:$AL,13,FALSE),"-")</f>
        <v>52</v>
      </c>
      <c r="K11" s="2">
        <f>IFERROR(50+VLOOKUP($A11,'SegEnds_Xtal_Prot#'!$A:$AY,21,FALSE)-VLOOKUP($B11,'SegEnds_NonXtal_Prot#'!$A:$AL,16,FALSE),"-")</f>
        <v>21</v>
      </c>
      <c r="L11" s="2">
        <f>IFERROR(50+VLOOKUP($A11,'SegEnds_Xtal_Prot#'!$A:$AY,23,FALSE)-VLOOKUP($B11,'SegEnds_NonXtal_Prot#'!$A:$AL,16,FALSE),"-")</f>
        <v>56</v>
      </c>
      <c r="M11" s="2">
        <f>IFERROR(50+VLOOKUP($A11,'SegEnds_Xtal_Prot#'!$A:$AY,25,FALSE)-VLOOKUP($B11,'SegEnds_NonXtal_Prot#'!$A:$AL,19,FALSE),"-")</f>
        <v>50</v>
      </c>
      <c r="N11" s="2">
        <f>IFERROR(50+VLOOKUP($A11,'SegEnds_Xtal_Prot#'!$A:$AY,27,FALSE)-VLOOKUP($B11,'SegEnds_NonXtal_Prot#'!$A:$AL,19,FALSE),"-")</f>
        <v>57</v>
      </c>
      <c r="O11" s="2">
        <f>IFERROR(50+VLOOKUP($A11,'SegEnds_Xtal_Prot#'!$A:$AY,29,FALSE)-VLOOKUP($B11,'SegEnds_NonXtal_Prot#'!$A:$AL,22,FALSE),"-")</f>
        <v>38</v>
      </c>
      <c r="P11" s="2">
        <f>IFERROR(50+VLOOKUP($A11,'SegEnds_Xtal_Prot#'!$A:$AY,31,FALSE)-VLOOKUP($B11,'SegEnds_NonXtal_Prot#'!$A:$AL,22,FALSE),"-")</f>
        <v>69</v>
      </c>
      <c r="Q11" s="2">
        <f>IFERROR(50+VLOOKUP($A11,'SegEnds_Xtal_Prot#'!$A:$AY,33,FALSE)-VLOOKUP($B11,'SegEnds_NonXtal_Prot#'!$A:$AL,25,FALSE),"-")</f>
        <v>50</v>
      </c>
      <c r="R11" s="2">
        <f>IFERROR(50+VLOOKUP($A11,'SegEnds_Xtal_Prot#'!$A:$AY,35,FALSE)-VLOOKUP($B11,'SegEnds_NonXtal_Prot#'!$A:$AL,25,FALSE),"-")</f>
        <v>52</v>
      </c>
      <c r="S11" s="2">
        <f>IFERROR(50+VLOOKUP($A11,'SegEnds_Xtal_Prot#'!$A:$AY,37,FALSE)-VLOOKUP($B11,'SegEnds_NonXtal_Prot#'!$A:$AL,28,FALSE),"-")</f>
        <v>35</v>
      </c>
      <c r="T11" s="2">
        <f>IFERROR(50+VLOOKUP($A11,'SegEnds_Xtal_Prot#'!$A:$AY,39,FALSE)-VLOOKUP($B11,'SegEnds_NonXtal_Prot#'!$A:$AL,28,FALSE),"-")</f>
        <v>75</v>
      </c>
      <c r="U11" s="2">
        <f>IFERROR(50+VLOOKUP($A11,'SegEnds_Xtal_Prot#'!$A:$AY,41,FALSE)-VLOOKUP($B11,'SegEnds_NonXtal_Prot#'!$A:$AL,31,FALSE),"-")</f>
        <v>24</v>
      </c>
      <c r="V11" s="2">
        <f>IFERROR(50+VLOOKUP($A11,'SegEnds_Xtal_Prot#'!$A:$AY,43,FALSE)-VLOOKUP($B11,'SegEnds_NonXtal_Prot#'!$A:$AL,31,FALSE),"-")</f>
        <v>61</v>
      </c>
      <c r="W11" s="2">
        <f>IFERROR(50+VLOOKUP($A11,'SegEnds_Xtal_Prot#'!$A:$AY,45,FALSE)-VLOOKUP($B11,'SegEnds_NonXtal_Prot#'!$A:$AL,34,FALSE),"-")</f>
        <v>31</v>
      </c>
      <c r="X11" s="2">
        <f>IFERROR(50+VLOOKUP($A11,'SegEnds_Xtal_Prot#'!$A:$AY,47,FALSE)-VLOOKUP($B11,'SegEnds_NonXtal_Prot#'!$A:$AL,34,FALSE),"-")</f>
        <v>56</v>
      </c>
      <c r="Y11" s="2">
        <f>IFERROR(50+VLOOKUP($A11,'SegEnds_Xtal_Prot#'!$A:$AY,49,FALSE)-VLOOKUP($B11,'SegEnds_NonXtal_Prot#'!$A:$AL,37,FALSE),"-")</f>
        <v>47</v>
      </c>
      <c r="Z11" s="2">
        <f>IFERROR(50+VLOOKUP($A11,'SegEnds_Xtal_Prot#'!$A:$AY,51,FALSE)-VLOOKUP($B11,'SegEnds_NonXtal_Prot#'!$A:$AL,37,FALSE),"-")</f>
        <v>59</v>
      </c>
      <c r="AA11" s="49" t="str">
        <f>VLOOKUP(B11,Classification!A:D,2,FALSE)</f>
        <v>A</v>
      </c>
      <c r="AB11" s="94" t="str">
        <f>VLOOKUP(B11,Classification!A:D,4,0)</f>
        <v>Acetylcholine(muscarinic)</v>
      </c>
      <c r="AC11" s="49">
        <f>VLOOKUP(B11,'SegEnds_NonXtal_Prot#'!A:AL,6,FALSE)-VLOOKUP(B11,'SegEnds_NonXtal_Prot#'!A:AL,5,FALSE)</f>
        <v>1</v>
      </c>
      <c r="AD11" s="49">
        <f>VLOOKUP(B11,'SegEnds_NonXtal_Prot#'!A:AL,9,FALSE)-VLOOKUP(B11,'SegEnds_NonXtal_Prot#'!A:AL,8,FALSE)</f>
        <v>1</v>
      </c>
      <c r="AE11" s="49">
        <f>VLOOKUP(B11,'SegEnds_NonXtal_Prot#'!A:AL,13,FALSE)-VLOOKUP(B11,'SegEnds_NonXtal_Prot#'!A:AL,10,FALSE)</f>
        <v>20</v>
      </c>
      <c r="AF11" s="49">
        <f>VLOOKUP(B11,'SegEnds_NonXtal_Prot#'!A:AL,12,FALSE)-VLOOKUP(B11,'SegEnds_NonXtal_Prot#'!A:AL,11,FALSE)</f>
        <v>1</v>
      </c>
      <c r="AG11" s="49">
        <f>VLOOKUP(B11,'SegEnds_NonXtal_Prot#'!A:AL,13,FALSE)-VLOOKUP(B11,'SegEnds_NonXtal_Prot#'!A:AL,11,FALSE)</f>
        <v>2</v>
      </c>
      <c r="AH11" s="49">
        <f>VLOOKUP(B11,'SegEnds_NonXtal_Prot#'!A:AL,16,FALSE)-VLOOKUP(B11,'SegEnds_NonXtal_Prot#'!A:AL,10,FALSE)</f>
        <v>52</v>
      </c>
      <c r="AI11" s="49">
        <f>VLOOKUP(B11,'SegEnds_NonXtal_Prot#'!A:AL,16,FALSE)-VLOOKUP(B11,'SegEnds_NonXtal_Prot#'!A:AL,11,FALSE)</f>
        <v>34</v>
      </c>
      <c r="AJ11" s="49">
        <f>VLOOKUP(B11,'SegEnds_NonXtal_Prot#'!A:AL,22,FALSE)-VLOOKUP(B11,'SegEnds_NonXtal_Prot#'!A:AL,19,FALSE)</f>
        <v>20</v>
      </c>
      <c r="AK11" s="49">
        <f>VLOOKUP(B11,'SegEnds_NonXtal_Prot#'!A:AL,15,FALSE)-VLOOKUP(B11,'SegEnds_NonXtal_Prot#'!A:AL,14,FALSE)</f>
        <v>1</v>
      </c>
      <c r="AL11" s="49">
        <f>VLOOKUP(B11,'SegEnds_NonXtal_Prot#'!A:AL,18,FALSE)-VLOOKUP(B11,'SegEnds_NonXtal_Prot#'!A:AL,17,FALSE)</f>
        <v>1</v>
      </c>
      <c r="AM11" s="2">
        <f>VLOOKUP(B11,'SegEnds_NonXtal_Prot#'!A:AL,34,FALSE)-VLOOKUP(B11,'SegEnds_NonXtal_Prot#'!A:AL,31,FALSE)</f>
        <v>35</v>
      </c>
      <c r="AN11" s="37"/>
    </row>
    <row r="12" spans="1:64" s="2" customFormat="1" x14ac:dyDescent="0.2">
      <c r="A12" s="2" t="s">
        <v>1242</v>
      </c>
      <c r="B12" s="2" t="s">
        <v>903</v>
      </c>
      <c r="C12" s="2">
        <f>IFERROR(50+VLOOKUP($A12,'SegEnds_Xtal_Prot#'!$A:$AY,5,FALSE)-VLOOKUP($B12,'SegEnds_NonXtal_Prot#'!$A:$AL,4,FALSE),"-")</f>
        <v>28</v>
      </c>
      <c r="D12" s="2">
        <f>IFERROR(50+VLOOKUP($A12,'SegEnds_Xtal_Prot#'!$A:$AY,7,FALSE)-VLOOKUP($B12,'SegEnds_NonXtal_Prot#'!$A:$AL,4,FALSE),"-")</f>
        <v>60</v>
      </c>
      <c r="E12" s="2">
        <f>IFERROR(50+VLOOKUP($A12,'SegEnds_Xtal_Prot#'!$A:$AY,9,FALSE)-VLOOKUP($B12,'SegEnds_NonXtal_Prot#'!$A:$AL,7,FALSE),"-")</f>
        <v>48</v>
      </c>
      <c r="F12" s="2">
        <f>IFERROR(50+VLOOKUP($A12,'SegEnds_Xtal_Prot#'!$A:$AY,11,FALSE)-VLOOKUP($B12,'SegEnds_NonXtal_Prot#'!$A:$AL,7,FALSE),"-")</f>
        <v>51</v>
      </c>
      <c r="G12" s="2">
        <f>IFERROR(50+VLOOKUP($A12,'SegEnds_Xtal_Prot#'!$A:$AY,13,FALSE)-VLOOKUP($B12,'SegEnds_NonXtal_Prot#'!$A:$AL,10,FALSE),"-")</f>
        <v>37</v>
      </c>
      <c r="H12" s="2">
        <f>IFERROR(50+VLOOKUP($A12,'SegEnds_Xtal_Prot#'!$A:$AY,15,FALSE)-VLOOKUP($B12,'SegEnds_NonXtal_Prot#'!$A:$AL,10,FALSE),"-")</f>
        <v>67</v>
      </c>
      <c r="I12" s="2">
        <f>IFERROR(50+VLOOKUP($A12,'SegEnds_Xtal_Prot#'!$A:$AY,17,FALSE)-VLOOKUP($B12,'SegEnds_NonXtal_Prot#'!$A:$AL,13,FALSE),"-")</f>
        <v>49</v>
      </c>
      <c r="J12" s="2">
        <f>IFERROR(50+VLOOKUP($A12,'SegEnds_Xtal_Prot#'!$A:$AY,19,FALSE)-VLOOKUP($B12,'SegEnds_NonXtal_Prot#'!$A:$AL,13,FALSE),"-")</f>
        <v>52</v>
      </c>
      <c r="K12" s="2">
        <f>IFERROR(50+VLOOKUP($A12,'SegEnds_Xtal_Prot#'!$A:$AY,21,FALSE)-VLOOKUP($B12,'SegEnds_NonXtal_Prot#'!$A:$AL,16,FALSE),"-")</f>
        <v>21</v>
      </c>
      <c r="L12" s="2">
        <f>IFERROR(50+VLOOKUP($A12,'SegEnds_Xtal_Prot#'!$A:$AY,23,FALSE)-VLOOKUP($B12,'SegEnds_NonXtal_Prot#'!$A:$AL,16,FALSE),"-")</f>
        <v>56</v>
      </c>
      <c r="M12" s="2">
        <f>IFERROR(50+VLOOKUP($A12,'SegEnds_Xtal_Prot#'!$A:$AY,25,FALSE)-VLOOKUP($B12,'SegEnds_NonXtal_Prot#'!$A:$AL,19,FALSE),"-")</f>
        <v>50</v>
      </c>
      <c r="N12" s="2">
        <f>IFERROR(50+VLOOKUP($A12,'SegEnds_Xtal_Prot#'!$A:$AY,27,FALSE)-VLOOKUP($B12,'SegEnds_NonXtal_Prot#'!$A:$AL,19,FALSE),"-")</f>
        <v>57</v>
      </c>
      <c r="O12" s="2">
        <f>IFERROR(50+VLOOKUP($A12,'SegEnds_Xtal_Prot#'!$A:$AY,29,FALSE)-VLOOKUP($B12,'SegEnds_NonXtal_Prot#'!$A:$AL,22,FALSE),"-")</f>
        <v>38</v>
      </c>
      <c r="P12" s="2">
        <f>IFERROR(50+VLOOKUP($A12,'SegEnds_Xtal_Prot#'!$A:$AY,31,FALSE)-VLOOKUP($B12,'SegEnds_NonXtal_Prot#'!$A:$AL,22,FALSE),"-")</f>
        <v>69</v>
      </c>
      <c r="Q12" s="2">
        <f>IFERROR(50+VLOOKUP($A12,'SegEnds_Xtal_Prot#'!$A:$AY,33,FALSE)-VLOOKUP($B12,'SegEnds_NonXtal_Prot#'!$A:$AL,25,FALSE),"-")</f>
        <v>50</v>
      </c>
      <c r="R12" s="2">
        <f>IFERROR(50+VLOOKUP($A12,'SegEnds_Xtal_Prot#'!$A:$AY,35,FALSE)-VLOOKUP($B12,'SegEnds_NonXtal_Prot#'!$A:$AL,25,FALSE),"-")</f>
        <v>52</v>
      </c>
      <c r="S12" s="2">
        <f>IFERROR(50+VLOOKUP($A12,'SegEnds_Xtal_Prot#'!$A:$AY,37,FALSE)-VLOOKUP($B12,'SegEnds_NonXtal_Prot#'!$A:$AL,28,FALSE),"-")</f>
        <v>35</v>
      </c>
      <c r="T12" s="2">
        <f>IFERROR(50+VLOOKUP($A12,'SegEnds_Xtal_Prot#'!$A:$AY,39,FALSE)-VLOOKUP($B12,'SegEnds_NonXtal_Prot#'!$A:$AL,28,FALSE),"-")</f>
        <v>75</v>
      </c>
      <c r="U12" s="2">
        <f>IFERROR(50+VLOOKUP($A12,'SegEnds_Xtal_Prot#'!$A:$AY,41,FALSE)-VLOOKUP($B12,'SegEnds_NonXtal_Prot#'!$A:$AL,31,FALSE),"-")</f>
        <v>24</v>
      </c>
      <c r="V12" s="2">
        <f>IFERROR(50+VLOOKUP($A12,'SegEnds_Xtal_Prot#'!$A:$AY,43,FALSE)-VLOOKUP($B12,'SegEnds_NonXtal_Prot#'!$A:$AL,31,FALSE),"-")</f>
        <v>61</v>
      </c>
      <c r="W12" s="2">
        <f>IFERROR(50+VLOOKUP($A12,'SegEnds_Xtal_Prot#'!$A:$AY,45,FALSE)-VLOOKUP($B12,'SegEnds_NonXtal_Prot#'!$A:$AL,34,FALSE),"-")</f>
        <v>31</v>
      </c>
      <c r="X12" s="2">
        <f>IFERROR(50+VLOOKUP($A12,'SegEnds_Xtal_Prot#'!$A:$AY,47,FALSE)-VLOOKUP($B12,'SegEnds_NonXtal_Prot#'!$A:$AL,34,FALSE),"-")</f>
        <v>56</v>
      </c>
      <c r="Y12" s="2">
        <f>IFERROR(50+VLOOKUP($A12,'SegEnds_Xtal_Prot#'!$A:$AY,49,FALSE)-VLOOKUP($B12,'SegEnds_NonXtal_Prot#'!$A:$AL,37,FALSE),"-")</f>
        <v>47</v>
      </c>
      <c r="Z12" s="2">
        <f>IFERROR(50+VLOOKUP($A12,'SegEnds_Xtal_Prot#'!$A:$AY,51,FALSE)-VLOOKUP($B12,'SegEnds_NonXtal_Prot#'!$A:$AL,37,FALSE),"-")</f>
        <v>60</v>
      </c>
      <c r="AA12" s="49" t="str">
        <f>VLOOKUP(B12,Classification!A:D,2,FALSE)</f>
        <v>A</v>
      </c>
      <c r="AB12" s="94" t="str">
        <f>VLOOKUP(B12,Classification!A:D,4,0)</f>
        <v>Acetylcholine(muscarinic)</v>
      </c>
      <c r="AC12" s="49">
        <f>VLOOKUP(B12,'SegEnds_NonXtal_Prot#'!A:AL,6,FALSE)-VLOOKUP(B12,'SegEnds_NonXtal_Prot#'!A:AL,5,FALSE)</f>
        <v>1</v>
      </c>
      <c r="AD12" s="49">
        <f>VLOOKUP(B12,'SegEnds_NonXtal_Prot#'!A:AL,9,FALSE)-VLOOKUP(B12,'SegEnds_NonXtal_Prot#'!A:AL,8,FALSE)</f>
        <v>1</v>
      </c>
      <c r="AE12" s="49">
        <f>VLOOKUP(B12,'SegEnds_NonXtal_Prot#'!A:AL,13,FALSE)-VLOOKUP(B12,'SegEnds_NonXtal_Prot#'!A:AL,10,FALSE)</f>
        <v>20</v>
      </c>
      <c r="AF12" s="49">
        <f>VLOOKUP(B12,'SegEnds_NonXtal_Prot#'!A:AL,12,FALSE)-VLOOKUP(B12,'SegEnds_NonXtal_Prot#'!A:AL,11,FALSE)</f>
        <v>2</v>
      </c>
      <c r="AG12" s="49">
        <f>VLOOKUP(B12,'SegEnds_NonXtal_Prot#'!A:AL,13,FALSE)-VLOOKUP(B12,'SegEnds_NonXtal_Prot#'!A:AL,11,FALSE)</f>
        <v>3</v>
      </c>
      <c r="AH12" s="49">
        <f>VLOOKUP(B12,'SegEnds_NonXtal_Prot#'!A:AL,16,FALSE)-VLOOKUP(B12,'SegEnds_NonXtal_Prot#'!A:AL,10,FALSE)</f>
        <v>52</v>
      </c>
      <c r="AI12" s="49">
        <f>VLOOKUP(B12,'SegEnds_NonXtal_Prot#'!A:AL,16,FALSE)-VLOOKUP(B12,'SegEnds_NonXtal_Prot#'!A:AL,11,FALSE)</f>
        <v>35</v>
      </c>
      <c r="AJ12" s="49">
        <f>VLOOKUP(B12,'SegEnds_NonXtal_Prot#'!A:AL,22,FALSE)-VLOOKUP(B12,'SegEnds_NonXtal_Prot#'!A:AL,19,FALSE)</f>
        <v>20</v>
      </c>
      <c r="AK12" s="49">
        <f>VLOOKUP(B12,'SegEnds_NonXtal_Prot#'!A:AL,15,FALSE)-VLOOKUP(B12,'SegEnds_NonXtal_Prot#'!A:AL,14,FALSE)</f>
        <v>1</v>
      </c>
      <c r="AL12" s="49">
        <f>VLOOKUP(B12,'SegEnds_NonXtal_Prot#'!A:AL,18,FALSE)-VLOOKUP(B12,'SegEnds_NonXtal_Prot#'!A:AL,17,FALSE)</f>
        <v>1</v>
      </c>
      <c r="AM12" s="2">
        <f>VLOOKUP(B12,'SegEnds_NonXtal_Prot#'!A:AL,34,FALSE)-VLOOKUP(B12,'SegEnds_NonXtal_Prot#'!A:AL,31,FALSE)</f>
        <v>35</v>
      </c>
      <c r="AN12" s="37"/>
    </row>
    <row r="13" spans="1:64" s="2" customFormat="1" x14ac:dyDescent="0.2">
      <c r="A13" s="2" t="s">
        <v>1241</v>
      </c>
      <c r="B13" s="2" t="s">
        <v>147</v>
      </c>
      <c r="C13" s="2">
        <f>IFERROR(50+VLOOKUP($A13,'SegEnds_Xtal_Prot#'!$A:$AY,5,FALSE)-VLOOKUP($B13,'SegEnds_NonXtal_Prot#'!$A:$AL,4,FALSE),"-")</f>
        <v>28</v>
      </c>
      <c r="D13" s="2">
        <f>IFERROR(50+VLOOKUP($A13,'SegEnds_Xtal_Prot#'!$A:$AY,7,FALSE)-VLOOKUP($B13,'SegEnds_NonXtal_Prot#'!$A:$AL,4,FALSE),"-")</f>
        <v>60</v>
      </c>
      <c r="E13" s="2">
        <f>IFERROR(50+VLOOKUP($A13,'SegEnds_Xtal_Prot#'!$A:$AY,9,FALSE)-VLOOKUP($B13,'SegEnds_NonXtal_Prot#'!$A:$AL,7,FALSE),"-")</f>
        <v>48</v>
      </c>
      <c r="F13" s="2">
        <f>IFERROR(50+VLOOKUP($A13,'SegEnds_Xtal_Prot#'!$A:$AY,11,FALSE)-VLOOKUP($B13,'SegEnds_NonXtal_Prot#'!$A:$AL,7,FALSE),"-")</f>
        <v>51</v>
      </c>
      <c r="G13" s="2">
        <f>IFERROR(50+VLOOKUP($A13,'SegEnds_Xtal_Prot#'!$A:$AY,13,FALSE)-VLOOKUP($B13,'SegEnds_NonXtal_Prot#'!$A:$AL,10,FALSE),"-")</f>
        <v>37</v>
      </c>
      <c r="H13" s="2">
        <f>IFERROR(50+VLOOKUP($A13,'SegEnds_Xtal_Prot#'!$A:$AY,15,FALSE)-VLOOKUP($B13,'SegEnds_NonXtal_Prot#'!$A:$AL,10,FALSE),"-")</f>
        <v>68</v>
      </c>
      <c r="I13" s="2">
        <f>IFERROR(50+VLOOKUP($A13,'SegEnds_Xtal_Prot#'!$A:$AY,17,FALSE)-VLOOKUP($B13,'SegEnds_NonXtal_Prot#'!$A:$AL,13,FALSE),"-")</f>
        <v>49</v>
      </c>
      <c r="J13" s="2">
        <f>IFERROR(50+VLOOKUP($A13,'SegEnds_Xtal_Prot#'!$A:$AY,19,FALSE)-VLOOKUP($B13,'SegEnds_NonXtal_Prot#'!$A:$AL,13,FALSE),"-")</f>
        <v>52</v>
      </c>
      <c r="K13" s="2">
        <f>IFERROR(50+VLOOKUP($A13,'SegEnds_Xtal_Prot#'!$A:$AY,21,FALSE)-VLOOKUP($B13,'SegEnds_NonXtal_Prot#'!$A:$AL,16,FALSE),"-")</f>
        <v>21</v>
      </c>
      <c r="L13" s="2">
        <f>IFERROR(50+VLOOKUP($A13,'SegEnds_Xtal_Prot#'!$A:$AY,23,FALSE)-VLOOKUP($B13,'SegEnds_NonXtal_Prot#'!$A:$AL,16,FALSE),"-")</f>
        <v>56</v>
      </c>
      <c r="M13" s="2">
        <f>IFERROR(50+VLOOKUP($A13,'SegEnds_Xtal_Prot#'!$A:$AY,25,FALSE)-VLOOKUP($B13,'SegEnds_NonXtal_Prot#'!$A:$AL,19,FALSE),"-")</f>
        <v>50</v>
      </c>
      <c r="N13" s="2">
        <f>IFERROR(50+VLOOKUP($A13,'SegEnds_Xtal_Prot#'!$A:$AY,27,FALSE)-VLOOKUP($B13,'SegEnds_NonXtal_Prot#'!$A:$AL,19,FALSE),"-")</f>
        <v>57</v>
      </c>
      <c r="O13" s="2">
        <f>IFERROR(50+VLOOKUP($A13,'SegEnds_Xtal_Prot#'!$A:$AY,29,FALSE)-VLOOKUP($B13,'SegEnds_NonXtal_Prot#'!$A:$AL,22,FALSE),"-")</f>
        <v>38</v>
      </c>
      <c r="P13" s="2">
        <f>IFERROR(50+VLOOKUP($A13,'SegEnds_Xtal_Prot#'!$A:$AY,31,FALSE)-VLOOKUP($B13,'SegEnds_NonXtal_Prot#'!$A:$AL,22,FALSE),"-")</f>
        <v>69</v>
      </c>
      <c r="Q13" s="2">
        <f>IFERROR(50+VLOOKUP($A13,'SegEnds_Xtal_Prot#'!$A:$AY,33,FALSE)-VLOOKUP($B13,'SegEnds_NonXtal_Prot#'!$A:$AL,25,FALSE),"-")</f>
        <v>50</v>
      </c>
      <c r="R13" s="2">
        <f>IFERROR(50+VLOOKUP($A13,'SegEnds_Xtal_Prot#'!$A:$AY,35,FALSE)-VLOOKUP($B13,'SegEnds_NonXtal_Prot#'!$A:$AL,25,FALSE),"-")</f>
        <v>52</v>
      </c>
      <c r="S13" s="2">
        <f>IFERROR(50+VLOOKUP($A13,'SegEnds_Xtal_Prot#'!$A:$AY,37,FALSE)-VLOOKUP($B13,'SegEnds_NonXtal_Prot#'!$A:$AL,28,FALSE),"-")</f>
        <v>35</v>
      </c>
      <c r="T13" s="2">
        <f>IFERROR(50+VLOOKUP($A13,'SegEnds_Xtal_Prot#'!$A:$AY,39,FALSE)-VLOOKUP($B13,'SegEnds_NonXtal_Prot#'!$A:$AL,28,FALSE),"-")</f>
        <v>75</v>
      </c>
      <c r="U13" s="2">
        <f>IFERROR(50+VLOOKUP($A13,'SegEnds_Xtal_Prot#'!$A:$AY,41,FALSE)-VLOOKUP($B13,'SegEnds_NonXtal_Prot#'!$A:$AL,31,FALSE),"-")</f>
        <v>24</v>
      </c>
      <c r="V13" s="2">
        <f>IFERROR(50+VLOOKUP($A13,'SegEnds_Xtal_Prot#'!$A:$AY,43,FALSE)-VLOOKUP($B13,'SegEnds_NonXtal_Prot#'!$A:$AL,31,FALSE),"-")</f>
        <v>61</v>
      </c>
      <c r="W13" s="2">
        <f>IFERROR(50+VLOOKUP($A13,'SegEnds_Xtal_Prot#'!$A:$AY,45,FALSE)-VLOOKUP($B13,'SegEnds_NonXtal_Prot#'!$A:$AL,34,FALSE),"-")</f>
        <v>31</v>
      </c>
      <c r="X13" s="2">
        <f>IFERROR(50+VLOOKUP($A13,'SegEnds_Xtal_Prot#'!$A:$AY,47,FALSE)-VLOOKUP($B13,'SegEnds_NonXtal_Prot#'!$A:$AL,34,FALSE),"-")</f>
        <v>56</v>
      </c>
      <c r="Y13" s="2">
        <f>IFERROR(50+VLOOKUP($A13,'SegEnds_Xtal_Prot#'!$A:$AY,49,FALSE)-VLOOKUP($B13,'SegEnds_NonXtal_Prot#'!$A:$AL,37,FALSE),"-")</f>
        <v>47</v>
      </c>
      <c r="Z13" s="2">
        <f>IFERROR(50+VLOOKUP($A13,'SegEnds_Xtal_Prot#'!$A:$AY,51,FALSE)-VLOOKUP($B13,'SegEnds_NonXtal_Prot#'!$A:$AL,37,FALSE),"-")</f>
        <v>59</v>
      </c>
      <c r="AA13" s="49" t="str">
        <f>VLOOKUP(B13,Classification!A:D,2,FALSE)</f>
        <v>A</v>
      </c>
      <c r="AB13" s="94" t="str">
        <f>VLOOKUP(B13,Classification!A:D,4,0)</f>
        <v>Acetylcholine(muscarinic)</v>
      </c>
      <c r="AC13" s="49">
        <f>VLOOKUP(B13,'SegEnds_NonXtal_Prot#'!A:AL,6,FALSE)-VLOOKUP(B13,'SegEnds_NonXtal_Prot#'!A:AL,5,FALSE)</f>
        <v>1</v>
      </c>
      <c r="AD13" s="49">
        <f>VLOOKUP(B13,'SegEnds_NonXtal_Prot#'!A:AL,9,FALSE)-VLOOKUP(B13,'SegEnds_NonXtal_Prot#'!A:AL,8,FALSE)</f>
        <v>1</v>
      </c>
      <c r="AE13" s="49">
        <f>VLOOKUP(B13,'SegEnds_NonXtal_Prot#'!A:AL,13,FALSE)-VLOOKUP(B13,'SegEnds_NonXtal_Prot#'!A:AL,10,FALSE)</f>
        <v>20</v>
      </c>
      <c r="AF13" s="49">
        <f>VLOOKUP(B13,'SegEnds_NonXtal_Prot#'!A:AL,12,FALSE)-VLOOKUP(B13,'SegEnds_NonXtal_Prot#'!A:AL,11,FALSE)</f>
        <v>1</v>
      </c>
      <c r="AG13" s="49">
        <f>VLOOKUP(B13,'SegEnds_NonXtal_Prot#'!A:AL,13,FALSE)-VLOOKUP(B13,'SegEnds_NonXtal_Prot#'!A:AL,11,FALSE)</f>
        <v>2</v>
      </c>
      <c r="AH13" s="49">
        <f>VLOOKUP(B13,'SegEnds_NonXtal_Prot#'!A:AL,16,FALSE)-VLOOKUP(B13,'SegEnds_NonXtal_Prot#'!A:AL,10,FALSE)</f>
        <v>52</v>
      </c>
      <c r="AI13" s="49">
        <f>VLOOKUP(B13,'SegEnds_NonXtal_Prot#'!A:AL,16,FALSE)-VLOOKUP(B13,'SegEnds_NonXtal_Prot#'!A:AL,11,FALSE)</f>
        <v>34</v>
      </c>
      <c r="AJ13" s="49">
        <f>VLOOKUP(B13,'SegEnds_NonXtal_Prot#'!A:AL,22,FALSE)-VLOOKUP(B13,'SegEnds_NonXtal_Prot#'!A:AL,19,FALSE)</f>
        <v>20</v>
      </c>
      <c r="AK13" s="49">
        <f>VLOOKUP(B13,'SegEnds_NonXtal_Prot#'!A:AL,15,FALSE)-VLOOKUP(B13,'SegEnds_NonXtal_Prot#'!A:AL,14,FALSE)</f>
        <v>1</v>
      </c>
      <c r="AL13" s="49">
        <f>VLOOKUP(B13,'SegEnds_NonXtal_Prot#'!A:AL,18,FALSE)-VLOOKUP(B13,'SegEnds_NonXtal_Prot#'!A:AL,17,FALSE)</f>
        <v>1</v>
      </c>
      <c r="AM13" s="2">
        <f>VLOOKUP(B13,'SegEnds_NonXtal_Prot#'!A:AL,34,FALSE)-VLOOKUP(B13,'SegEnds_NonXtal_Prot#'!A:AL,31,FALSE)</f>
        <v>35</v>
      </c>
      <c r="AN13" s="37"/>
    </row>
    <row r="14" spans="1:64" s="2" customFormat="1" x14ac:dyDescent="0.2">
      <c r="A14" s="2" t="s">
        <v>1384</v>
      </c>
      <c r="B14" s="2" t="s">
        <v>138</v>
      </c>
      <c r="C14" s="2">
        <f>IFERROR(50+VLOOKUP($A14,'SegEnds_Xtal_Prot#'!$A:$AY,5,FALSE)-VLOOKUP($B14,'SegEnds_NonXtal_Prot#'!$A:$AL,4,FALSE),"-")</f>
        <v>29</v>
      </c>
      <c r="D14" s="2">
        <f>IFERROR(50+VLOOKUP($A14,'SegEnds_Xtal_Prot#'!$A:$AY,7,FALSE)-VLOOKUP($B14,'SegEnds_NonXtal_Prot#'!$A:$AL,4,FALSE),"-")</f>
        <v>60</v>
      </c>
      <c r="E14" s="2">
        <f>IFERROR(50+VLOOKUP($A14,'SegEnds_Xtal_Prot#'!$A:$AY,9,FALSE)-VLOOKUP($B14,'SegEnds_NonXtal_Prot#'!$A:$AL,7,FALSE),"-")</f>
        <v>48</v>
      </c>
      <c r="F14" s="2">
        <f>IFERROR(50+VLOOKUP($A14,'SegEnds_Xtal_Prot#'!$A:$AY,11,FALSE)-VLOOKUP($B14,'SegEnds_NonXtal_Prot#'!$A:$AL,7,FALSE),"-")</f>
        <v>51</v>
      </c>
      <c r="G14" s="2">
        <f>IFERROR(50+VLOOKUP($A14,'SegEnds_Xtal_Prot#'!$A:$AY,13,FALSE)-VLOOKUP($B14,'SegEnds_NonXtal_Prot#'!$A:$AL,10,FALSE),"-")</f>
        <v>37</v>
      </c>
      <c r="H14" s="2">
        <f>IFERROR(50+VLOOKUP($A14,'SegEnds_Xtal_Prot#'!$A:$AY,15,FALSE)-VLOOKUP($B14,'SegEnds_NonXtal_Prot#'!$A:$AL,10,FALSE),"-")</f>
        <v>67</v>
      </c>
      <c r="I14" s="2">
        <f>IFERROR(50+VLOOKUP($A14,'SegEnds_Xtal_Prot#'!$A:$AY,17,FALSE)-VLOOKUP($B14,'SegEnds_NonXtal_Prot#'!$A:$AL,13,FALSE),"-")</f>
        <v>50</v>
      </c>
      <c r="J14" s="2">
        <f>IFERROR(50+VLOOKUP($A14,'SegEnds_Xtal_Prot#'!$A:$AY,19,FALSE)-VLOOKUP($B14,'SegEnds_NonXtal_Prot#'!$A:$AL,13,FALSE),"-")</f>
        <v>52</v>
      </c>
      <c r="K14" s="2">
        <f>IFERROR(50+VLOOKUP($A14,'SegEnds_Xtal_Prot#'!$A:$AY,21,FALSE)-VLOOKUP($B14,'SegEnds_NonXtal_Prot#'!$A:$AL,16,FALSE),"-")</f>
        <v>21</v>
      </c>
      <c r="L14" s="2">
        <f>IFERROR(50+VLOOKUP($A14,'SegEnds_Xtal_Prot#'!$A:$AY,23,FALSE)-VLOOKUP($B14,'SegEnds_NonXtal_Prot#'!$A:$AL,16,FALSE),"-")</f>
        <v>56</v>
      </c>
      <c r="M14" s="2">
        <f>IFERROR(50+VLOOKUP($A14,'SegEnds_Xtal_Prot#'!$A:$AY,25,FALSE)-VLOOKUP($B14,'SegEnds_NonXtal_Prot#'!$A:$AL,19,FALSE),"-")</f>
        <v>50</v>
      </c>
      <c r="N14" s="2">
        <f>IFERROR(50+VLOOKUP($A14,'SegEnds_Xtal_Prot#'!$A:$AY,27,FALSE)-VLOOKUP($B14,'SegEnds_NonXtal_Prot#'!$A:$AL,19,FALSE),"-")</f>
        <v>57</v>
      </c>
      <c r="O14" s="2">
        <f>IFERROR(50+VLOOKUP($A14,'SegEnds_Xtal_Prot#'!$A:$AY,29,FALSE)-VLOOKUP($B14,'SegEnds_NonXtal_Prot#'!$A:$AL,22,FALSE),"-")</f>
        <v>38</v>
      </c>
      <c r="P14" s="2">
        <f>IFERROR(50+VLOOKUP($A14,'SegEnds_Xtal_Prot#'!$A:$AY,31,FALSE)-VLOOKUP($B14,'SegEnds_NonXtal_Prot#'!$A:$AL,22,FALSE),"-")</f>
        <v>63</v>
      </c>
      <c r="Q14" s="2">
        <f>IFERROR(50+VLOOKUP($A14,'SegEnds_Xtal_Prot#'!$A:$AY,33,FALSE)-VLOOKUP($B14,'SegEnds_NonXtal_Prot#'!$A:$AL,25,FALSE),"-")</f>
        <v>50</v>
      </c>
      <c r="R14" s="2">
        <f>IFERROR(50+VLOOKUP($A14,'SegEnds_Xtal_Prot#'!$A:$AY,35,FALSE)-VLOOKUP($B14,'SegEnds_NonXtal_Prot#'!$A:$AL,25,FALSE),"-")</f>
        <v>52</v>
      </c>
      <c r="S14" s="2">
        <f>IFERROR(50+VLOOKUP($A14,'SegEnds_Xtal_Prot#'!$A:$AY,37,FALSE)-VLOOKUP($B14,'SegEnds_NonXtal_Prot#'!$A:$AL,28,FALSE),"-")</f>
        <v>34</v>
      </c>
      <c r="T14" s="2">
        <f>IFERROR(50+VLOOKUP($A14,'SegEnds_Xtal_Prot#'!$A:$AY,39,FALSE)-VLOOKUP($B14,'SegEnds_NonXtal_Prot#'!$A:$AL,28,FALSE),"-")</f>
        <v>73</v>
      </c>
      <c r="U14" s="2">
        <f>IFERROR(50+VLOOKUP($A14,'SegEnds_Xtal_Prot#'!$A:$AY,41,FALSE)-VLOOKUP($B14,'SegEnds_NonXtal_Prot#'!$A:$AL,31,FALSE),"-")</f>
        <v>22</v>
      </c>
      <c r="V14" s="2">
        <f>IFERROR(50+VLOOKUP($A14,'SegEnds_Xtal_Prot#'!$A:$AY,43,FALSE)-VLOOKUP($B14,'SegEnds_NonXtal_Prot#'!$A:$AL,31,FALSE),"-")</f>
        <v>61</v>
      </c>
      <c r="W14" s="2">
        <f>IFERROR(50+VLOOKUP($A14,'SegEnds_Xtal_Prot#'!$A:$AY,45,FALSE)-VLOOKUP($B14,'SegEnds_NonXtal_Prot#'!$A:$AL,34,FALSE),"-")</f>
        <v>31</v>
      </c>
      <c r="X14" s="2">
        <f>IFERROR(50+VLOOKUP($A14,'SegEnds_Xtal_Prot#'!$A:$AY,47,FALSE)-VLOOKUP($B14,'SegEnds_NonXtal_Prot#'!$A:$AL,34,FALSE),"-")</f>
        <v>56</v>
      </c>
      <c r="Y14" s="2">
        <f>IFERROR(50+VLOOKUP($A14,'SegEnds_Xtal_Prot#'!$A:$AY,49,FALSE)-VLOOKUP($B14,'SegEnds_NonXtal_Prot#'!$A:$AL,37,FALSE),"-")</f>
        <v>47</v>
      </c>
      <c r="Z14" s="2">
        <f>IFERROR(50+VLOOKUP($A14,'SegEnds_Xtal_Prot#'!$A:$AY,51,FALSE)-VLOOKUP($B14,'SegEnds_NonXtal_Prot#'!$A:$AL,37,FALSE),"-")</f>
        <v>69</v>
      </c>
      <c r="AA14" s="49" t="str">
        <f>VLOOKUP(B14,Classification!A:D,2,FALSE)</f>
        <v>A</v>
      </c>
      <c r="AB14" s="94" t="str">
        <f>VLOOKUP(B14,Classification!A:D,4,0)</f>
        <v>Adenosine</v>
      </c>
      <c r="AC14" s="49">
        <f>VLOOKUP(B14,'SegEnds_NonXtal_Prot#'!A:AL,6,FALSE)-VLOOKUP(B14,'SegEnds_NonXtal_Prot#'!A:AL,5,FALSE)</f>
        <v>1</v>
      </c>
      <c r="AD14" s="49">
        <f>VLOOKUP(B14,'SegEnds_NonXtal_Prot#'!A:AL,9,FALSE)-VLOOKUP(B14,'SegEnds_NonXtal_Prot#'!A:AL,8,FALSE)</f>
        <v>1</v>
      </c>
      <c r="AE14" s="49">
        <f>VLOOKUP(B14,'SegEnds_NonXtal_Prot#'!A:AL,13,FALSE)-VLOOKUP(B14,'SegEnds_NonXtal_Prot#'!A:AL,10,FALSE)</f>
        <v>18</v>
      </c>
      <c r="AF14" s="49">
        <f>VLOOKUP(B14,'SegEnds_NonXtal_Prot#'!A:AL,12,FALSE)-VLOOKUP(B14,'SegEnds_NonXtal_Prot#'!A:AL,11,FALSE)</f>
        <v>1</v>
      </c>
      <c r="AG14" s="49">
        <f>VLOOKUP(B14,'SegEnds_NonXtal_Prot#'!A:AL,13,FALSE)-VLOOKUP(B14,'SegEnds_NonXtal_Prot#'!A:AL,11,FALSE)</f>
        <v>1</v>
      </c>
      <c r="AH14" s="49">
        <f>VLOOKUP(B14,'SegEnds_NonXtal_Prot#'!A:AL,16,FALSE)-VLOOKUP(B14,'SegEnds_NonXtal_Prot#'!A:AL,10,FALSE)</f>
        <v>50</v>
      </c>
      <c r="AI14" s="49">
        <f>VLOOKUP(B14,'SegEnds_NonXtal_Prot#'!A:AL,16,FALSE)-VLOOKUP(B14,'SegEnds_NonXtal_Prot#'!A:AL,11,FALSE)</f>
        <v>33</v>
      </c>
      <c r="AJ14" s="49">
        <f>VLOOKUP(B14,'SegEnds_NonXtal_Prot#'!A:AL,22,FALSE)-VLOOKUP(B14,'SegEnds_NonXtal_Prot#'!A:AL,19,FALSE)</f>
        <v>20</v>
      </c>
      <c r="AK14" s="49">
        <f>VLOOKUP(B14,'SegEnds_NonXtal_Prot#'!A:AL,15,FALSE)-VLOOKUP(B14,'SegEnds_NonXtal_Prot#'!A:AL,14,FALSE)</f>
        <v>1</v>
      </c>
      <c r="AL14" s="49">
        <f>VLOOKUP(B14,'SegEnds_NonXtal_Prot#'!A:AL,18,FALSE)-VLOOKUP(B14,'SegEnds_NonXtal_Prot#'!A:AL,17,FALSE)</f>
        <v>1</v>
      </c>
      <c r="AM14" s="2">
        <f>VLOOKUP(B14,'SegEnds_NonXtal_Prot#'!A:AL,34,FALSE)-VLOOKUP(B14,'SegEnds_NonXtal_Prot#'!A:AL,31,FALSE)</f>
        <v>36</v>
      </c>
      <c r="AN14" s="37"/>
    </row>
    <row r="15" spans="1:64" s="2" customFormat="1" x14ac:dyDescent="0.2">
      <c r="A15" s="2" t="s">
        <v>1239</v>
      </c>
      <c r="B15" s="2" t="s">
        <v>139</v>
      </c>
      <c r="C15" s="2">
        <f>IFERROR(50+VLOOKUP($A15,'SegEnds_Xtal_Prot#'!$A:$AY,5,FALSE)-VLOOKUP($B15,'SegEnds_NonXtal_Prot#'!$A:$AL,4,FALSE),"-")</f>
        <v>27</v>
      </c>
      <c r="D15" s="2">
        <f>IFERROR(50+VLOOKUP($A15,'SegEnds_Xtal_Prot#'!$A:$AY,7,FALSE)-VLOOKUP($B15,'SegEnds_NonXtal_Prot#'!$A:$AL,4,FALSE),"-")</f>
        <v>60</v>
      </c>
      <c r="E15" s="2">
        <f>IFERROR(50+VLOOKUP($A15,'SegEnds_Xtal_Prot#'!$A:$AY,9,FALSE)-VLOOKUP($B15,'SegEnds_NonXtal_Prot#'!$A:$AL,7,FALSE),"-")</f>
        <v>48</v>
      </c>
      <c r="F15" s="2">
        <f>IFERROR(50+VLOOKUP($A15,'SegEnds_Xtal_Prot#'!$A:$AY,11,FALSE)-VLOOKUP($B15,'SegEnds_NonXtal_Prot#'!$A:$AL,7,FALSE),"-")</f>
        <v>51</v>
      </c>
      <c r="G15" s="2">
        <f>IFERROR(50+VLOOKUP($A15,'SegEnds_Xtal_Prot#'!$A:$AY,13,FALSE)-VLOOKUP($B15,'SegEnds_NonXtal_Prot#'!$A:$AL,10,FALSE),"-")</f>
        <v>37</v>
      </c>
      <c r="H15" s="2">
        <f>IFERROR(50+VLOOKUP($A15,'SegEnds_Xtal_Prot#'!$A:$AY,15,FALSE)-VLOOKUP($B15,'SegEnds_NonXtal_Prot#'!$A:$AL,10,FALSE),"-")</f>
        <v>67</v>
      </c>
      <c r="I15" s="2">
        <f>IFERROR(50+VLOOKUP($A15,'SegEnds_Xtal_Prot#'!$A:$AY,17,FALSE)-VLOOKUP($B15,'SegEnds_NonXtal_Prot#'!$A:$AL,13,FALSE),"-")</f>
        <v>50</v>
      </c>
      <c r="J15" s="2">
        <f>IFERROR(50+VLOOKUP($A15,'SegEnds_Xtal_Prot#'!$A:$AY,19,FALSE)-VLOOKUP($B15,'SegEnds_NonXtal_Prot#'!$A:$AL,13,FALSE),"-")</f>
        <v>52</v>
      </c>
      <c r="K15" s="2">
        <f>IFERROR(50+VLOOKUP($A15,'SegEnds_Xtal_Prot#'!$A:$AY,21,FALSE)-VLOOKUP($B15,'SegEnds_NonXtal_Prot#'!$A:$AL,16,FALSE),"-")</f>
        <v>21</v>
      </c>
      <c r="L15" s="2">
        <f>IFERROR(50+VLOOKUP($A15,'SegEnds_Xtal_Prot#'!$A:$AY,23,FALSE)-VLOOKUP($B15,'SegEnds_NonXtal_Prot#'!$A:$AL,16,FALSE),"-")</f>
        <v>56</v>
      </c>
      <c r="M15" s="2">
        <f>IFERROR(50+VLOOKUP($A15,'SegEnds_Xtal_Prot#'!$A:$AY,25,FALSE)-VLOOKUP($B15,'SegEnds_NonXtal_Prot#'!$A:$AL,19,FALSE),"-")</f>
        <v>50</v>
      </c>
      <c r="N15" s="2">
        <f>IFERROR(50+VLOOKUP($A15,'SegEnds_Xtal_Prot#'!$A:$AY,27,FALSE)-VLOOKUP($B15,'SegEnds_NonXtal_Prot#'!$A:$AL,19,FALSE),"-")</f>
        <v>57</v>
      </c>
      <c r="O15" s="2">
        <f>IFERROR(50+VLOOKUP($A15,'SegEnds_Xtal_Prot#'!$A:$AY,29,FALSE)-VLOOKUP($B15,'SegEnds_NonXtal_Prot#'!$A:$AL,22,FALSE),"-")</f>
        <v>38</v>
      </c>
      <c r="P15" s="2">
        <f>IFERROR(50+VLOOKUP($A15,'SegEnds_Xtal_Prot#'!$A:$AY,31,FALSE)-VLOOKUP($B15,'SegEnds_NonXtal_Prot#'!$A:$AL,22,FALSE),"-")</f>
        <v>63</v>
      </c>
      <c r="Q15" s="2">
        <f>IFERROR(50+VLOOKUP($A15,'SegEnds_Xtal_Prot#'!$A:$AY,33,FALSE)-VLOOKUP($B15,'SegEnds_NonXtal_Prot#'!$A:$AL,25,FALSE),"-")</f>
        <v>50</v>
      </c>
      <c r="R15" s="2">
        <f>IFERROR(50+VLOOKUP($A15,'SegEnds_Xtal_Prot#'!$A:$AY,35,FALSE)-VLOOKUP($B15,'SegEnds_NonXtal_Prot#'!$A:$AL,25,FALSE),"-")</f>
        <v>52</v>
      </c>
      <c r="S15" s="2">
        <f>IFERROR(50+VLOOKUP($A15,'SegEnds_Xtal_Prot#'!$A:$AY,37,FALSE)-VLOOKUP($B15,'SegEnds_NonXtal_Prot#'!$A:$AL,28,FALSE),"-")</f>
        <v>34</v>
      </c>
      <c r="T15" s="2">
        <f>IFERROR(50+VLOOKUP($A15,'SegEnds_Xtal_Prot#'!$A:$AY,39,FALSE)-VLOOKUP($B15,'SegEnds_NonXtal_Prot#'!$A:$AL,28,FALSE),"-")</f>
        <v>74</v>
      </c>
      <c r="U15" s="2">
        <f>IFERROR(50+VLOOKUP($A15,'SegEnds_Xtal_Prot#'!$A:$AY,41,FALSE)-VLOOKUP($B15,'SegEnds_NonXtal_Prot#'!$A:$AL,31,FALSE),"-")</f>
        <v>21</v>
      </c>
      <c r="V15" s="2">
        <f>IFERROR(50+VLOOKUP($A15,'SegEnds_Xtal_Prot#'!$A:$AY,43,FALSE)-VLOOKUP($B15,'SegEnds_NonXtal_Prot#'!$A:$AL,31,FALSE),"-")</f>
        <v>61</v>
      </c>
      <c r="W15" s="2">
        <f>IFERROR(50+VLOOKUP($A15,'SegEnds_Xtal_Prot#'!$A:$AY,45,FALSE)-VLOOKUP($B15,'SegEnds_NonXtal_Prot#'!$A:$AL,34,FALSE),"-")</f>
        <v>31</v>
      </c>
      <c r="X15" s="2">
        <f>IFERROR(50+VLOOKUP($A15,'SegEnds_Xtal_Prot#'!$A:$AY,47,FALSE)-VLOOKUP($B15,'SegEnds_NonXtal_Prot#'!$A:$AL,34,FALSE),"-")</f>
        <v>56</v>
      </c>
      <c r="Y15" s="2">
        <f>IFERROR(50+VLOOKUP($A15,'SegEnds_Xtal_Prot#'!$A:$AY,49,FALSE)-VLOOKUP($B15,'SegEnds_NonXtal_Prot#'!$A:$AL,37,FALSE),"-")</f>
        <v>47</v>
      </c>
      <c r="Z15" s="2">
        <f>IFERROR(50+VLOOKUP($A15,'SegEnds_Xtal_Prot#'!$A:$AY,51,FALSE)-VLOOKUP($B15,'SegEnds_NonXtal_Prot#'!$A:$AL,37,FALSE),"-")</f>
        <v>69</v>
      </c>
      <c r="AA15" s="49" t="str">
        <f>VLOOKUP(B15,Classification!A:D,2,FALSE)</f>
        <v>A</v>
      </c>
      <c r="AB15" s="94" t="str">
        <f>VLOOKUP(B15,Classification!A:D,4,0)</f>
        <v>Adenosine</v>
      </c>
      <c r="AC15" s="49">
        <f>VLOOKUP(B15,'SegEnds_NonXtal_Prot#'!A:AL,6,FALSE)-VLOOKUP(B15,'SegEnds_NonXtal_Prot#'!A:AL,5,FALSE)</f>
        <v>1</v>
      </c>
      <c r="AD15" s="49">
        <f>VLOOKUP(B15,'SegEnds_NonXtal_Prot#'!A:AL,9,FALSE)-VLOOKUP(B15,'SegEnds_NonXtal_Prot#'!A:AL,8,FALSE)</f>
        <v>1</v>
      </c>
      <c r="AE15" s="49">
        <f>VLOOKUP(B15,'SegEnds_NonXtal_Prot#'!A:AL,13,FALSE)-VLOOKUP(B15,'SegEnds_NonXtal_Prot#'!A:AL,10,FALSE)</f>
        <v>18</v>
      </c>
      <c r="AF15" s="49">
        <f>VLOOKUP(B15,'SegEnds_NonXtal_Prot#'!A:AL,12,FALSE)-VLOOKUP(B15,'SegEnds_NonXtal_Prot#'!A:AL,11,FALSE)</f>
        <v>1</v>
      </c>
      <c r="AG15" s="49">
        <f>VLOOKUP(B15,'SegEnds_NonXtal_Prot#'!A:AL,13,FALSE)-VLOOKUP(B15,'SegEnds_NonXtal_Prot#'!A:AL,11,FALSE)</f>
        <v>1</v>
      </c>
      <c r="AH15" s="49">
        <f>VLOOKUP(B15,'SegEnds_NonXtal_Prot#'!A:AL,16,FALSE)-VLOOKUP(B15,'SegEnds_NonXtal_Prot#'!A:AL,10,FALSE)</f>
        <v>50</v>
      </c>
      <c r="AI15" s="49">
        <f>VLOOKUP(B15,'SegEnds_NonXtal_Prot#'!A:AL,16,FALSE)-VLOOKUP(B15,'SegEnds_NonXtal_Prot#'!A:AL,11,FALSE)</f>
        <v>33</v>
      </c>
      <c r="AJ15" s="49">
        <f>VLOOKUP(B15,'SegEnds_NonXtal_Prot#'!A:AL,22,FALSE)-VLOOKUP(B15,'SegEnds_NonXtal_Prot#'!A:AL,19,FALSE)</f>
        <v>20</v>
      </c>
      <c r="AK15" s="49">
        <f>VLOOKUP(B15,'SegEnds_NonXtal_Prot#'!A:AL,15,FALSE)-VLOOKUP(B15,'SegEnds_NonXtal_Prot#'!A:AL,14,FALSE)</f>
        <v>1</v>
      </c>
      <c r="AL15" s="49">
        <f>VLOOKUP(B15,'SegEnds_NonXtal_Prot#'!A:AL,18,FALSE)-VLOOKUP(B15,'SegEnds_NonXtal_Prot#'!A:AL,17,FALSE)</f>
        <v>1</v>
      </c>
      <c r="AM15" s="2">
        <f>VLOOKUP(B15,'SegEnds_NonXtal_Prot#'!A:AL,34,FALSE)-VLOOKUP(B15,'SegEnds_NonXtal_Prot#'!A:AL,31,FALSE)</f>
        <v>37</v>
      </c>
      <c r="AN15" s="37"/>
      <c r="AO15" s="2" t="s">
        <v>1271</v>
      </c>
    </row>
    <row r="16" spans="1:64" s="2" customFormat="1" x14ac:dyDescent="0.2">
      <c r="A16" s="2" t="s">
        <v>1245</v>
      </c>
      <c r="B16" s="2" t="s">
        <v>126</v>
      </c>
      <c r="C16" s="2">
        <f>IFERROR(50+VLOOKUP($A16,'SegEnds_Xtal_Prot#'!$A:$AY,5,FALSE)-VLOOKUP($B16,'SegEnds_NonXtal_Prot#'!$A:$AL,4,FALSE),"-")</f>
        <v>25</v>
      </c>
      <c r="D16" s="2">
        <f>IFERROR(50+VLOOKUP($A16,'SegEnds_Xtal_Prot#'!$A:$AY,7,FALSE)-VLOOKUP($B16,'SegEnds_NonXtal_Prot#'!$A:$AL,4,FALSE),"-")</f>
        <v>60</v>
      </c>
      <c r="E16" s="2">
        <f>IFERROR(50+VLOOKUP($A16,'SegEnds_Xtal_Prot#'!$A:$AY,9,FALSE)-VLOOKUP($B16,'SegEnds_NonXtal_Prot#'!$A:$AL,7,FALSE),"-")</f>
        <v>48</v>
      </c>
      <c r="F16" s="2">
        <f>IFERROR(50+VLOOKUP($A16,'SegEnds_Xtal_Prot#'!$A:$AY,11,FALSE)-VLOOKUP($B16,'SegEnds_NonXtal_Prot#'!$A:$AL,7,FALSE),"-")</f>
        <v>51</v>
      </c>
      <c r="G16" s="2">
        <f>IFERROR(50+VLOOKUP($A16,'SegEnds_Xtal_Prot#'!$A:$AY,13,FALSE)-VLOOKUP($B16,'SegEnds_NonXtal_Prot#'!$A:$AL,10,FALSE),"-")</f>
        <v>37</v>
      </c>
      <c r="H16" s="2">
        <f>IFERROR(50+VLOOKUP($A16,'SegEnds_Xtal_Prot#'!$A:$AY,15,FALSE)-VLOOKUP($B16,'SegEnds_NonXtal_Prot#'!$A:$AL,10,FALSE),"-")</f>
        <v>67</v>
      </c>
      <c r="I16" s="2">
        <f>IFERROR(50+VLOOKUP($A16,'SegEnds_Xtal_Prot#'!$A:$AY,17,FALSE)-VLOOKUP($B16,'SegEnds_NonXtal_Prot#'!$A:$AL,13,FALSE),"-")</f>
        <v>49</v>
      </c>
      <c r="J16" s="2">
        <f>IFERROR(50+VLOOKUP($A16,'SegEnds_Xtal_Prot#'!$A:$AY,19,FALSE)-VLOOKUP($B16,'SegEnds_NonXtal_Prot#'!$A:$AL,13,FALSE),"-")</f>
        <v>52</v>
      </c>
      <c r="K16" s="2">
        <f>IFERROR(50+VLOOKUP($A16,'SegEnds_Xtal_Prot#'!$A:$AY,21,FALSE)-VLOOKUP($B16,'SegEnds_NonXtal_Prot#'!$A:$AL,16,FALSE),"-")</f>
        <v>21</v>
      </c>
      <c r="L16" s="2">
        <f>IFERROR(50+VLOOKUP($A16,'SegEnds_Xtal_Prot#'!$A:$AY,23,FALSE)-VLOOKUP($B16,'SegEnds_NonXtal_Prot#'!$A:$AL,16,FALSE),"-")</f>
        <v>56</v>
      </c>
      <c r="M16" s="2">
        <f>IFERROR(50+VLOOKUP($A16,'SegEnds_Xtal_Prot#'!$A:$AY,25,FALSE)-VLOOKUP($B16,'SegEnds_NonXtal_Prot#'!$A:$AL,19,FALSE),"-")</f>
        <v>50</v>
      </c>
      <c r="N16" s="2">
        <f>IFERROR(50+VLOOKUP($A16,'SegEnds_Xtal_Prot#'!$A:$AY,27,FALSE)-VLOOKUP($B16,'SegEnds_NonXtal_Prot#'!$A:$AL,19,FALSE),"-")</f>
        <v>57</v>
      </c>
      <c r="O16" s="2">
        <f>IFERROR(50+VLOOKUP($A16,'SegEnds_Xtal_Prot#'!$A:$AY,29,FALSE)-VLOOKUP($B16,'SegEnds_NonXtal_Prot#'!$A:$AL,22,FALSE),"-")</f>
        <v>38</v>
      </c>
      <c r="P16" s="2">
        <f>IFERROR(50+VLOOKUP($A16,'SegEnds_Xtal_Prot#'!$A:$AY,31,FALSE)-VLOOKUP($B16,'SegEnds_NonXtal_Prot#'!$A:$AL,22,FALSE),"-")</f>
        <v>64</v>
      </c>
      <c r="Q16" s="2">
        <f>IFERROR(50+VLOOKUP($A16,'SegEnds_Xtal_Prot#'!$A:$AY,33,FALSE)-VLOOKUP($B16,'SegEnds_NonXtal_Prot#'!$A:$AL,25,FALSE),"-")</f>
        <v>50</v>
      </c>
      <c r="R16" s="2">
        <f>IFERROR(50+VLOOKUP($A16,'SegEnds_Xtal_Prot#'!$A:$AY,35,FALSE)-VLOOKUP($B16,'SegEnds_NonXtal_Prot#'!$A:$AL,25,FALSE),"-")</f>
        <v>52</v>
      </c>
      <c r="S16" s="2">
        <f>IFERROR(50+VLOOKUP($A16,'SegEnds_Xtal_Prot#'!$A:$AY,37,FALSE)-VLOOKUP($B16,'SegEnds_NonXtal_Prot#'!$A:$AL,28,FALSE),"-")</f>
        <v>35</v>
      </c>
      <c r="T16" s="2">
        <f>IFERROR(50+VLOOKUP($A16,'SegEnds_Xtal_Prot#'!$A:$AY,39,FALSE)-VLOOKUP($B16,'SegEnds_NonXtal_Prot#'!$A:$AL,28,FALSE),"-")</f>
        <v>76</v>
      </c>
      <c r="U16" s="2">
        <f>IFERROR(50+VLOOKUP($A16,'SegEnds_Xtal_Prot#'!$A:$AY,41,FALSE)-VLOOKUP($B16,'SegEnds_NonXtal_Prot#'!$A:$AL,31,FALSE),"-")</f>
        <v>24</v>
      </c>
      <c r="V16" s="2">
        <f>IFERROR(50+VLOOKUP($A16,'SegEnds_Xtal_Prot#'!$A:$AY,43,FALSE)-VLOOKUP($B16,'SegEnds_NonXtal_Prot#'!$A:$AL,31,FALSE),"-")</f>
        <v>61</v>
      </c>
      <c r="W16" s="2">
        <f>IFERROR(50+VLOOKUP($A16,'SegEnds_Xtal_Prot#'!$A:$AY,45,FALSE)-VLOOKUP($B16,'SegEnds_NonXtal_Prot#'!$A:$AL,34,FALSE),"-")</f>
        <v>31</v>
      </c>
      <c r="X16" s="2">
        <f>IFERROR(50+VLOOKUP($A16,'SegEnds_Xtal_Prot#'!$A:$AY,47,FALSE)-VLOOKUP($B16,'SegEnds_NonXtal_Prot#'!$A:$AL,34,FALSE),"-")</f>
        <v>55</v>
      </c>
      <c r="Y16" s="2">
        <f>IFERROR(50+VLOOKUP($A16,'SegEnds_Xtal_Prot#'!$A:$AY,49,FALSE)-VLOOKUP($B16,'SegEnds_NonXtal_Prot#'!$A:$AL,37,FALSE),"-")</f>
        <v>47</v>
      </c>
      <c r="Z16" s="2">
        <f>IFERROR(50+VLOOKUP($A16,'SegEnds_Xtal_Prot#'!$A:$AY,51,FALSE)-VLOOKUP($B16,'SegEnds_NonXtal_Prot#'!$A:$AL,37,FALSE),"-")</f>
        <v>59</v>
      </c>
      <c r="AA16" s="49" t="str">
        <f>VLOOKUP(B16,Classification!A:D,2,FALSE)</f>
        <v>A</v>
      </c>
      <c r="AB16" s="94" t="str">
        <f>VLOOKUP(B16,Classification!A:D,4,0)</f>
        <v>Adrenoceptors</v>
      </c>
      <c r="AC16" s="49">
        <f>VLOOKUP(B16,'SegEnds_NonXtal_Prot#'!A:AL,6,FALSE)-VLOOKUP(B16,'SegEnds_NonXtal_Prot#'!A:AL,5,FALSE)</f>
        <v>1</v>
      </c>
      <c r="AD16" s="49">
        <f>VLOOKUP(B16,'SegEnds_NonXtal_Prot#'!A:AL,9,FALSE)-VLOOKUP(B16,'SegEnds_NonXtal_Prot#'!A:AL,8,FALSE)</f>
        <v>1</v>
      </c>
      <c r="AE16" s="49">
        <f>VLOOKUP(B16,'SegEnds_NonXtal_Prot#'!A:AL,13,FALSE)-VLOOKUP(B16,'SegEnds_NonXtal_Prot#'!A:AL,10,FALSE)</f>
        <v>20</v>
      </c>
      <c r="AF16" s="49">
        <f>VLOOKUP(B16,'SegEnds_NonXtal_Prot#'!A:AL,12,FALSE)-VLOOKUP(B16,'SegEnds_NonXtal_Prot#'!A:AL,11,FALSE)</f>
        <v>2</v>
      </c>
      <c r="AG16" s="49">
        <f>VLOOKUP(B16,'SegEnds_NonXtal_Prot#'!A:AL,13,FALSE)-VLOOKUP(B16,'SegEnds_NonXtal_Prot#'!A:AL,11,FALSE)</f>
        <v>3</v>
      </c>
      <c r="AH16" s="49">
        <f>VLOOKUP(B16,'SegEnds_NonXtal_Prot#'!A:AL,16,FALSE)-VLOOKUP(B16,'SegEnds_NonXtal_Prot#'!A:AL,10,FALSE)</f>
        <v>52</v>
      </c>
      <c r="AI16" s="49">
        <f>VLOOKUP(B16,'SegEnds_NonXtal_Prot#'!A:AL,16,FALSE)-VLOOKUP(B16,'SegEnds_NonXtal_Prot#'!A:AL,11,FALSE)</f>
        <v>35</v>
      </c>
      <c r="AJ16" s="49">
        <f>VLOOKUP(B16,'SegEnds_NonXtal_Prot#'!A:AL,22,FALSE)-VLOOKUP(B16,'SegEnds_NonXtal_Prot#'!A:AL,19,FALSE)</f>
        <v>20</v>
      </c>
      <c r="AK16" s="49">
        <f>VLOOKUP(B16,'SegEnds_NonXtal_Prot#'!A:AL,15,FALSE)-VLOOKUP(B16,'SegEnds_NonXtal_Prot#'!A:AL,14,FALSE)</f>
        <v>1</v>
      </c>
      <c r="AL16" s="49">
        <f>VLOOKUP(B16,'SegEnds_NonXtal_Prot#'!A:AL,18,FALSE)-VLOOKUP(B16,'SegEnds_NonXtal_Prot#'!A:AL,17,FALSE)</f>
        <v>1</v>
      </c>
      <c r="AM16" s="2">
        <f>VLOOKUP(B16,'SegEnds_NonXtal_Prot#'!A:AL,34,FALSE)-VLOOKUP(B16,'SegEnds_NonXtal_Prot#'!A:AL,31,FALSE)</f>
        <v>35</v>
      </c>
      <c r="AN16" s="37"/>
    </row>
    <row r="17" spans="1:64" s="2" customFormat="1" x14ac:dyDescent="0.2">
      <c r="A17" s="2" t="s">
        <v>1244</v>
      </c>
      <c r="B17" s="2" t="s">
        <v>905</v>
      </c>
      <c r="C17" s="2">
        <f>IFERROR(50+VLOOKUP($A17,'SegEnds_Xtal_Prot#'!$A:$AY,5,FALSE)-VLOOKUP($B17,'SegEnds_NonXtal_Prot#'!$A:$AL,4,FALSE),"-")</f>
        <v>24</v>
      </c>
      <c r="D17" s="2">
        <f>IFERROR(50+VLOOKUP($A17,'SegEnds_Xtal_Prot#'!$A:$AY,7,FALSE)-VLOOKUP($B17,'SegEnds_NonXtal_Prot#'!$A:$AL,4,FALSE),"-")</f>
        <v>60</v>
      </c>
      <c r="E17" s="2">
        <f>IFERROR(50+VLOOKUP($A17,'SegEnds_Xtal_Prot#'!$A:$AY,9,FALSE)-VLOOKUP($B17,'SegEnds_NonXtal_Prot#'!$A:$AL,7,FALSE),"-")</f>
        <v>48</v>
      </c>
      <c r="F17" s="2">
        <f>IFERROR(50+VLOOKUP($A17,'SegEnds_Xtal_Prot#'!$A:$AY,11,FALSE)-VLOOKUP($B17,'SegEnds_NonXtal_Prot#'!$A:$AL,7,FALSE),"-")</f>
        <v>51</v>
      </c>
      <c r="G17" s="2">
        <f>IFERROR(50+VLOOKUP($A17,'SegEnds_Xtal_Prot#'!$A:$AY,13,FALSE)-VLOOKUP($B17,'SegEnds_NonXtal_Prot#'!$A:$AL,10,FALSE),"-")</f>
        <v>37</v>
      </c>
      <c r="H17" s="2">
        <f>IFERROR(50+VLOOKUP($A17,'SegEnds_Xtal_Prot#'!$A:$AY,15,FALSE)-VLOOKUP($B17,'SegEnds_NonXtal_Prot#'!$A:$AL,10,FALSE),"-")</f>
        <v>67</v>
      </c>
      <c r="I17" s="2">
        <f>IFERROR(50+VLOOKUP($A17,'SegEnds_Xtal_Prot#'!$A:$AY,17,FALSE)-VLOOKUP($B17,'SegEnds_NonXtal_Prot#'!$A:$AL,13,FALSE),"-")</f>
        <v>49</v>
      </c>
      <c r="J17" s="2">
        <f>IFERROR(50+VLOOKUP($A17,'SegEnds_Xtal_Prot#'!$A:$AY,19,FALSE)-VLOOKUP($B17,'SegEnds_NonXtal_Prot#'!$A:$AL,13,FALSE),"-")</f>
        <v>52</v>
      </c>
      <c r="K17" s="2">
        <f>IFERROR(50+VLOOKUP($A17,'SegEnds_Xtal_Prot#'!$A:$AY,21,FALSE)-VLOOKUP($B17,'SegEnds_NonXtal_Prot#'!$A:$AL,16,FALSE),"-")</f>
        <v>21</v>
      </c>
      <c r="L17" s="2">
        <f>IFERROR(50+VLOOKUP($A17,'SegEnds_Xtal_Prot#'!$A:$AY,23,FALSE)-VLOOKUP($B17,'SegEnds_NonXtal_Prot#'!$A:$AL,16,FALSE),"-")</f>
        <v>56</v>
      </c>
      <c r="M17" s="2">
        <f>IFERROR(50+VLOOKUP($A17,'SegEnds_Xtal_Prot#'!$A:$AY,25,FALSE)-VLOOKUP($B17,'SegEnds_NonXtal_Prot#'!$A:$AL,19,FALSE),"-")</f>
        <v>50</v>
      </c>
      <c r="N17" s="2">
        <f>IFERROR(50+VLOOKUP($A17,'SegEnds_Xtal_Prot#'!$A:$AY,27,FALSE)-VLOOKUP($B17,'SegEnds_NonXtal_Prot#'!$A:$AL,19,FALSE),"-")</f>
        <v>57</v>
      </c>
      <c r="O17" s="2">
        <f>IFERROR(50+VLOOKUP($A17,'SegEnds_Xtal_Prot#'!$A:$AY,29,FALSE)-VLOOKUP($B17,'SegEnds_NonXtal_Prot#'!$A:$AL,22,FALSE),"-")</f>
        <v>38</v>
      </c>
      <c r="P17" s="2">
        <f>IFERROR(50+VLOOKUP($A17,'SegEnds_Xtal_Prot#'!$A:$AY,31,FALSE)-VLOOKUP($B17,'SegEnds_NonXtal_Prot#'!$A:$AL,22,FALSE),"-")</f>
        <v>64</v>
      </c>
      <c r="Q17" s="2">
        <f>IFERROR(50+VLOOKUP($A17,'SegEnds_Xtal_Prot#'!$A:$AY,33,FALSE)-VLOOKUP($B17,'SegEnds_NonXtal_Prot#'!$A:$AL,25,FALSE),"-")</f>
        <v>50</v>
      </c>
      <c r="R17" s="2">
        <f>IFERROR(50+VLOOKUP($A17,'SegEnds_Xtal_Prot#'!$A:$AY,35,FALSE)-VLOOKUP($B17,'SegEnds_NonXtal_Prot#'!$A:$AL,25,FALSE),"-")</f>
        <v>52</v>
      </c>
      <c r="S17" s="2">
        <f>IFERROR(50+VLOOKUP($A17,'SegEnds_Xtal_Prot#'!$A:$AY,37,FALSE)-VLOOKUP($B17,'SegEnds_NonXtal_Prot#'!$A:$AL,28,FALSE),"-")</f>
        <v>35</v>
      </c>
      <c r="T17" s="2">
        <f>IFERROR(50+VLOOKUP($A17,'SegEnds_Xtal_Prot#'!$A:$AY,39,FALSE)-VLOOKUP($B17,'SegEnds_NonXtal_Prot#'!$A:$AL,28,FALSE),"-")</f>
        <v>76</v>
      </c>
      <c r="U17" s="2">
        <f>IFERROR(50+VLOOKUP($A17,'SegEnds_Xtal_Prot#'!$A:$AY,41,FALSE)-VLOOKUP($B17,'SegEnds_NonXtal_Prot#'!$A:$AL,31,FALSE),"-")</f>
        <v>20</v>
      </c>
      <c r="V17" s="2">
        <f>IFERROR(50+VLOOKUP($A17,'SegEnds_Xtal_Prot#'!$A:$AY,43,FALSE)-VLOOKUP($B17,'SegEnds_NonXtal_Prot#'!$A:$AL,31,FALSE),"-")</f>
        <v>61</v>
      </c>
      <c r="W17" s="2">
        <f>IFERROR(50+VLOOKUP($A17,'SegEnds_Xtal_Prot#'!$A:$AY,45,FALSE)-VLOOKUP($B17,'SegEnds_NonXtal_Prot#'!$A:$AL,34,FALSE),"-")</f>
        <v>31</v>
      </c>
      <c r="X17" s="2">
        <f>IFERROR(50+VLOOKUP($A17,'SegEnds_Xtal_Prot#'!$A:$AY,47,FALSE)-VLOOKUP($B17,'SegEnds_NonXtal_Prot#'!$A:$AL,34,FALSE),"-")</f>
        <v>55</v>
      </c>
      <c r="Y17" s="2">
        <f>IFERROR(50+VLOOKUP($A17,'SegEnds_Xtal_Prot#'!$A:$AY,49,FALSE)-VLOOKUP($B17,'SegEnds_NonXtal_Prot#'!$A:$AL,37,FALSE),"-")</f>
        <v>47</v>
      </c>
      <c r="Z17" s="2">
        <f>IFERROR(50+VLOOKUP($A17,'SegEnds_Xtal_Prot#'!$A:$AY,51,FALSE)-VLOOKUP($B17,'SegEnds_NonXtal_Prot#'!$A:$AL,37,FALSE),"-")</f>
        <v>59</v>
      </c>
      <c r="AA17" s="49" t="str">
        <f>VLOOKUP(B17,Classification!A:D,2,FALSE)</f>
        <v>A</v>
      </c>
      <c r="AB17" s="94" t="str">
        <f>VLOOKUP(B17,Classification!A:D,4,0)</f>
        <v>Adrenoceptors</v>
      </c>
      <c r="AC17" s="49">
        <f>VLOOKUP(B17,'SegEnds_NonXtal_Prot#'!A:AL,6,FALSE)-VLOOKUP(B17,'SegEnds_NonXtal_Prot#'!A:AL,5,FALSE)</f>
        <v>1</v>
      </c>
      <c r="AD17" s="49">
        <f>VLOOKUP(B17,'SegEnds_NonXtal_Prot#'!A:AL,9,FALSE)-VLOOKUP(B17,'SegEnds_NonXtal_Prot#'!A:AL,8,FALSE)</f>
        <v>1</v>
      </c>
      <c r="AE17" s="49">
        <f>VLOOKUP(B17,'SegEnds_NonXtal_Prot#'!A:AL,13,FALSE)-VLOOKUP(B17,'SegEnds_NonXtal_Prot#'!A:AL,10,FALSE)</f>
        <v>20</v>
      </c>
      <c r="AF17" s="49">
        <f>VLOOKUP(B17,'SegEnds_NonXtal_Prot#'!A:AL,12,FALSE)-VLOOKUP(B17,'SegEnds_NonXtal_Prot#'!A:AL,11,FALSE)</f>
        <v>2</v>
      </c>
      <c r="AG17" s="49">
        <f>VLOOKUP(B17,'SegEnds_NonXtal_Prot#'!A:AL,13,FALSE)-VLOOKUP(B17,'SegEnds_NonXtal_Prot#'!A:AL,11,FALSE)</f>
        <v>3</v>
      </c>
      <c r="AH17" s="49">
        <f>VLOOKUP(B17,'SegEnds_NonXtal_Prot#'!A:AL,16,FALSE)-VLOOKUP(B17,'SegEnds_NonXtal_Prot#'!A:AL,10,FALSE)</f>
        <v>52</v>
      </c>
      <c r="AI17" s="49">
        <f>VLOOKUP(B17,'SegEnds_NonXtal_Prot#'!A:AL,16,FALSE)-VLOOKUP(B17,'SegEnds_NonXtal_Prot#'!A:AL,11,FALSE)</f>
        <v>35</v>
      </c>
      <c r="AJ17" s="49">
        <f>VLOOKUP(B17,'SegEnds_NonXtal_Prot#'!A:AL,22,FALSE)-VLOOKUP(B17,'SegEnds_NonXtal_Prot#'!A:AL,19,FALSE)</f>
        <v>20</v>
      </c>
      <c r="AK17" s="49">
        <f>VLOOKUP(B17,'SegEnds_NonXtal_Prot#'!A:AL,15,FALSE)-VLOOKUP(B17,'SegEnds_NonXtal_Prot#'!A:AL,14,FALSE)</f>
        <v>1</v>
      </c>
      <c r="AL17" s="49">
        <f>VLOOKUP(B17,'SegEnds_NonXtal_Prot#'!A:AL,18,FALSE)-VLOOKUP(B17,'SegEnds_NonXtal_Prot#'!A:AL,17,FALSE)</f>
        <v>1</v>
      </c>
      <c r="AM17" s="2">
        <f>VLOOKUP(B17,'SegEnds_NonXtal_Prot#'!A:AL,34,FALSE)-VLOOKUP(B17,'SegEnds_NonXtal_Prot#'!A:AL,31,FALSE)</f>
        <v>35</v>
      </c>
      <c r="AN17" s="37"/>
    </row>
    <row r="18" spans="1:64" s="2" customFormat="1" x14ac:dyDescent="0.2">
      <c r="A18" s="2" t="s">
        <v>1246</v>
      </c>
      <c r="B18" s="2" t="s">
        <v>158</v>
      </c>
      <c r="C18" s="2">
        <f>IFERROR(50+VLOOKUP($A18,'SegEnds_Xtal_Prot#'!$A:$AY,5,FALSE)-VLOOKUP($B18,'SegEnds_NonXtal_Prot#'!$A:$AL,4,FALSE),"-")</f>
        <v>28</v>
      </c>
      <c r="D18" s="2">
        <f>IFERROR(50+VLOOKUP($A18,'SegEnds_Xtal_Prot#'!$A:$AY,7,FALSE)-VLOOKUP($B18,'SegEnds_NonXtal_Prot#'!$A:$AL,4,FALSE),"-")</f>
        <v>60</v>
      </c>
      <c r="E18" s="2">
        <f>IFERROR(50+VLOOKUP($A18,'SegEnds_Xtal_Prot#'!$A:$AY,9,FALSE)-VLOOKUP($B18,'SegEnds_NonXtal_Prot#'!$A:$AL,7,FALSE),"-")</f>
        <v>48</v>
      </c>
      <c r="F18" s="2">
        <f>IFERROR(50+VLOOKUP($A18,'SegEnds_Xtal_Prot#'!$A:$AY,11,FALSE)-VLOOKUP($B18,'SegEnds_NonXtal_Prot#'!$A:$AL,7,FALSE),"-")</f>
        <v>51</v>
      </c>
      <c r="G18" s="2">
        <f>IFERROR(50+VLOOKUP($A18,'SegEnds_Xtal_Prot#'!$A:$AY,13,FALSE)-VLOOKUP($B18,'SegEnds_NonXtal_Prot#'!$A:$AL,10,FALSE),"-")</f>
        <v>37</v>
      </c>
      <c r="H18" s="2">
        <f>IFERROR(50+VLOOKUP($A18,'SegEnds_Xtal_Prot#'!$A:$AY,15,FALSE)-VLOOKUP($B18,'SegEnds_NonXtal_Prot#'!$A:$AL,10,FALSE),"-")</f>
        <v>67</v>
      </c>
      <c r="I18" s="2">
        <f>IFERROR(50+VLOOKUP($A18,'SegEnds_Xtal_Prot#'!$A:$AY,17,FALSE)-VLOOKUP($B18,'SegEnds_NonXtal_Prot#'!$A:$AL,13,FALSE),"-")</f>
        <v>49</v>
      </c>
      <c r="J18" s="2">
        <f>IFERROR(50+VLOOKUP($A18,'SegEnds_Xtal_Prot#'!$A:$AY,19,FALSE)-VLOOKUP($B18,'SegEnds_NonXtal_Prot#'!$A:$AL,13,FALSE),"-")</f>
        <v>52</v>
      </c>
      <c r="K18" s="2">
        <f>IFERROR(50+VLOOKUP($A18,'SegEnds_Xtal_Prot#'!$A:$AY,21,FALSE)-VLOOKUP($B18,'SegEnds_NonXtal_Prot#'!$A:$AL,16,FALSE),"-")</f>
        <v>21</v>
      </c>
      <c r="L18" s="2">
        <f>IFERROR(50+VLOOKUP($A18,'SegEnds_Xtal_Prot#'!$A:$AY,23,FALSE)-VLOOKUP($B18,'SegEnds_NonXtal_Prot#'!$A:$AL,16,FALSE),"-")</f>
        <v>56</v>
      </c>
      <c r="M18" s="2">
        <f>IFERROR(50+VLOOKUP($A18,'SegEnds_Xtal_Prot#'!$A:$AY,25,FALSE)-VLOOKUP($B18,'SegEnds_NonXtal_Prot#'!$A:$AL,19,FALSE),"-")</f>
        <v>50</v>
      </c>
      <c r="N18" s="2">
        <f>IFERROR(50+VLOOKUP($A18,'SegEnds_Xtal_Prot#'!$A:$AY,27,FALSE)-VLOOKUP($B18,'SegEnds_NonXtal_Prot#'!$A:$AL,19,FALSE),"-")</f>
        <v>57</v>
      </c>
      <c r="O18" s="2">
        <f>IFERROR(50+VLOOKUP($A18,'SegEnds_Xtal_Prot#'!$A:$AY,29,FALSE)-VLOOKUP($B18,'SegEnds_NonXtal_Prot#'!$A:$AL,22,FALSE),"-")</f>
        <v>38</v>
      </c>
      <c r="P18" s="2">
        <f>IFERROR(50+VLOOKUP($A18,'SegEnds_Xtal_Prot#'!$A:$AY,31,FALSE)-VLOOKUP($B18,'SegEnds_NonXtal_Prot#'!$A:$AL,22,FALSE),"-")</f>
        <v>64</v>
      </c>
      <c r="Q18" s="2">
        <f>IFERROR(50+VLOOKUP($A18,'SegEnds_Xtal_Prot#'!$A:$AY,33,FALSE)-VLOOKUP($B18,'SegEnds_NonXtal_Prot#'!$A:$AL,25,FALSE),"-")</f>
        <v>50</v>
      </c>
      <c r="R18" s="2">
        <f>IFERROR(50+VLOOKUP($A18,'SegEnds_Xtal_Prot#'!$A:$AY,35,FALSE)-VLOOKUP($B18,'SegEnds_NonXtal_Prot#'!$A:$AL,25,FALSE),"-")</f>
        <v>52</v>
      </c>
      <c r="S18" s="2">
        <f>IFERROR(50+VLOOKUP($A18,'SegEnds_Xtal_Prot#'!$A:$AY,37,FALSE)-VLOOKUP($B18,'SegEnds_NonXtal_Prot#'!$A:$AL,28,FALSE),"-")</f>
        <v>34</v>
      </c>
      <c r="T18" s="2">
        <f>IFERROR(50+VLOOKUP($A18,'SegEnds_Xtal_Prot#'!$A:$AY,39,FALSE)-VLOOKUP($B18,'SegEnds_NonXtal_Prot#'!$A:$AL,28,FALSE),"-")</f>
        <v>68</v>
      </c>
      <c r="U18" s="2">
        <f>IFERROR(50+VLOOKUP($A18,'SegEnds_Xtal_Prot#'!$A:$AY,41,FALSE)-VLOOKUP($B18,'SegEnds_NonXtal_Prot#'!$A:$AL,31,FALSE),"-")</f>
        <v>28</v>
      </c>
      <c r="V18" s="2">
        <f>IFERROR(50+VLOOKUP($A18,'SegEnds_Xtal_Prot#'!$A:$AY,43,FALSE)-VLOOKUP($B18,'SegEnds_NonXtal_Prot#'!$A:$AL,31,FALSE),"-")</f>
        <v>64</v>
      </c>
      <c r="W18" s="2">
        <f>IFERROR(50+VLOOKUP($A18,'SegEnds_Xtal_Prot#'!$A:$AY,45,FALSE)-VLOOKUP($B18,'SegEnds_NonXtal_Prot#'!$A:$AL,34,FALSE),"-")</f>
        <v>24</v>
      </c>
      <c r="X18" s="2">
        <f>IFERROR(50+VLOOKUP($A18,'SegEnds_Xtal_Prot#'!$A:$AY,47,FALSE)-VLOOKUP($B18,'SegEnds_NonXtal_Prot#'!$A:$AL,34,FALSE),"-")</f>
        <v>56</v>
      </c>
      <c r="Y18" s="2">
        <f>IFERROR(50+VLOOKUP($A18,'SegEnds_Xtal_Prot#'!$A:$AY,49,FALSE)-VLOOKUP($B18,'SegEnds_NonXtal_Prot#'!$A:$AL,37,FALSE),"-")</f>
        <v>47</v>
      </c>
      <c r="Z18" s="2">
        <f>IFERROR(50+VLOOKUP($A18,'SegEnds_Xtal_Prot#'!$A:$AY,51,FALSE)-VLOOKUP($B18,'SegEnds_NonXtal_Prot#'!$A:$AL,37,FALSE),"-")</f>
        <v>61</v>
      </c>
      <c r="AA18" s="49" t="str">
        <f>VLOOKUP(B18,Classification!A:D,2,FALSE)</f>
        <v>A</v>
      </c>
      <c r="AB18" s="94" t="str">
        <f>VLOOKUP(B18,Classification!A:D,4,0)</f>
        <v>Angiotensin</v>
      </c>
      <c r="AC18" s="49">
        <f>VLOOKUP(B18,'SegEnds_NonXtal_Prot#'!A:AL,6,FALSE)-VLOOKUP(B18,'SegEnds_NonXtal_Prot#'!A:AL,5,FALSE)</f>
        <v>1</v>
      </c>
      <c r="AD18" s="49">
        <f>VLOOKUP(B18,'SegEnds_NonXtal_Prot#'!A:AL,9,FALSE)-VLOOKUP(B18,'SegEnds_NonXtal_Prot#'!A:AL,8,FALSE)</f>
        <v>1</v>
      </c>
      <c r="AE18" s="49">
        <f>VLOOKUP(B18,'SegEnds_NonXtal_Prot#'!A:AL,13,FALSE)-VLOOKUP(B18,'SegEnds_NonXtal_Prot#'!A:AL,10,FALSE)</f>
        <v>20</v>
      </c>
      <c r="AF18" s="49">
        <f>VLOOKUP(B18,'SegEnds_NonXtal_Prot#'!A:AL,12,FALSE)-VLOOKUP(B18,'SegEnds_NonXtal_Prot#'!A:AL,11,FALSE)</f>
        <v>2</v>
      </c>
      <c r="AG18" s="49">
        <f>VLOOKUP(B18,'SegEnds_NonXtal_Prot#'!A:AL,13,FALSE)-VLOOKUP(B18,'SegEnds_NonXtal_Prot#'!A:AL,11,FALSE)</f>
        <v>3</v>
      </c>
      <c r="AH18" s="49">
        <f>VLOOKUP(B18,'SegEnds_NonXtal_Prot#'!A:AL,16,FALSE)-VLOOKUP(B18,'SegEnds_NonXtal_Prot#'!A:AL,10,FALSE)</f>
        <v>52</v>
      </c>
      <c r="AI18" s="49">
        <f>VLOOKUP(B18,'SegEnds_NonXtal_Prot#'!A:AL,16,FALSE)-VLOOKUP(B18,'SegEnds_NonXtal_Prot#'!A:AL,11,FALSE)</f>
        <v>35</v>
      </c>
      <c r="AJ18" s="49">
        <f>VLOOKUP(B18,'SegEnds_NonXtal_Prot#'!A:AL,22,FALSE)-VLOOKUP(B18,'SegEnds_NonXtal_Prot#'!A:AL,19,FALSE)</f>
        <v>20</v>
      </c>
      <c r="AK18" s="49">
        <f>VLOOKUP(B18,'SegEnds_NonXtal_Prot#'!A:AL,15,FALSE)-VLOOKUP(B18,'SegEnds_NonXtal_Prot#'!A:AL,14,FALSE)</f>
        <v>1</v>
      </c>
      <c r="AL18" s="49">
        <f>VLOOKUP(B18,'SegEnds_NonXtal_Prot#'!A:AL,18,FALSE)-VLOOKUP(B18,'SegEnds_NonXtal_Prot#'!A:AL,17,FALSE)</f>
        <v>1</v>
      </c>
      <c r="AM18" s="2">
        <f>VLOOKUP(B18,'SegEnds_NonXtal_Prot#'!A:AL,34,FALSE)-VLOOKUP(B18,'SegEnds_NonXtal_Prot#'!A:AL,31,FALSE)</f>
        <v>44</v>
      </c>
      <c r="AN18" s="37"/>
    </row>
    <row r="19" spans="1:64" s="2" customFormat="1" x14ac:dyDescent="0.2">
      <c r="A19" s="2" t="s">
        <v>1387</v>
      </c>
      <c r="B19" s="2" t="s">
        <v>159</v>
      </c>
      <c r="C19" s="2">
        <f>IFERROR(50+VLOOKUP($A19,'SegEnds_Xtal_Prot#'!$A:$AY,5,FALSE)-VLOOKUP($B19,'SegEnds_NonXtal_Prot#'!$A:$AL,4,FALSE),"-")</f>
        <v>33</v>
      </c>
      <c r="D19" s="2">
        <f>IFERROR(50+VLOOKUP($A19,'SegEnds_Xtal_Prot#'!$A:$AY,7,FALSE)-VLOOKUP($B19,'SegEnds_NonXtal_Prot#'!$A:$AL,4,FALSE),"-")</f>
        <v>60</v>
      </c>
      <c r="E19" s="2" t="str">
        <f>IFERROR(50+VLOOKUP($A19,'SegEnds_Xtal_Prot#'!$A:$AY,9,FALSE)-VLOOKUP($B19,'SegEnds_NonXtal_Prot#'!$A:$AL,7,FALSE),"-")</f>
        <v>-</v>
      </c>
      <c r="F19" s="2" t="str">
        <f>IFERROR(50+VLOOKUP($A19,'SegEnds_Xtal_Prot#'!$A:$AY,11,FALSE)-VLOOKUP($B19,'SegEnds_NonXtal_Prot#'!$A:$AL,7,FALSE),"-")</f>
        <v>-</v>
      </c>
      <c r="G19" s="2">
        <f>IFERROR(50+VLOOKUP($A19,'SegEnds_Xtal_Prot#'!$A:$AY,13,FALSE)-VLOOKUP($B19,'SegEnds_NonXtal_Prot#'!$A:$AL,10,FALSE),"-")</f>
        <v>38</v>
      </c>
      <c r="H19" s="2">
        <f>IFERROR(50+VLOOKUP($A19,'SegEnds_Xtal_Prot#'!$A:$AY,15,FALSE)-VLOOKUP($B19,'SegEnds_NonXtal_Prot#'!$A:$AL,10,FALSE),"-")</f>
        <v>66</v>
      </c>
      <c r="I19" s="2">
        <f>IFERROR(50+VLOOKUP($A19,'SegEnds_Xtal_Prot#'!$A:$AY,17,FALSE)-VLOOKUP($B19,'SegEnds_NonXtal_Prot#'!$A:$AL,13,FALSE),"-")</f>
        <v>47</v>
      </c>
      <c r="J19" s="2">
        <f>IFERROR(50+VLOOKUP($A19,'SegEnds_Xtal_Prot#'!$A:$AY,19,FALSE)-VLOOKUP($B19,'SegEnds_NonXtal_Prot#'!$A:$AL,13,FALSE),"-")</f>
        <v>52</v>
      </c>
      <c r="K19" s="2">
        <f>IFERROR(50+VLOOKUP($A19,'SegEnds_Xtal_Prot#'!$A:$AY,21,FALSE)-VLOOKUP($B19,'SegEnds_NonXtal_Prot#'!$A:$AL,16,FALSE),"-")</f>
        <v>21</v>
      </c>
      <c r="L19" s="2">
        <f>IFERROR(50+VLOOKUP($A19,'SegEnds_Xtal_Prot#'!$A:$AY,23,FALSE)-VLOOKUP($B19,'SegEnds_NonXtal_Prot#'!$A:$AL,16,FALSE),"-")</f>
        <v>56</v>
      </c>
      <c r="M19" s="2">
        <f>IFERROR(50+VLOOKUP($A19,'SegEnds_Xtal_Prot#'!$A:$AY,25,FALSE)-VLOOKUP($B19,'SegEnds_NonXtal_Prot#'!$A:$AL,19,FALSE),"-")</f>
        <v>50</v>
      </c>
      <c r="N19" s="2">
        <f>IFERROR(50+VLOOKUP($A19,'SegEnds_Xtal_Prot#'!$A:$AY,27,FALSE)-VLOOKUP($B19,'SegEnds_NonXtal_Prot#'!$A:$AL,19,FALSE),"-")</f>
        <v>56</v>
      </c>
      <c r="O19" s="2">
        <f>IFERROR(50+VLOOKUP($A19,'SegEnds_Xtal_Prot#'!$A:$AY,29,FALSE)-VLOOKUP($B19,'SegEnds_NonXtal_Prot#'!$A:$AL,22,FALSE),"-")</f>
        <v>38</v>
      </c>
      <c r="P19" s="2">
        <f>IFERROR(50+VLOOKUP($A19,'SegEnds_Xtal_Prot#'!$A:$AY,31,FALSE)-VLOOKUP($B19,'SegEnds_NonXtal_Prot#'!$A:$AL,22,FALSE),"-")</f>
        <v>64</v>
      </c>
      <c r="Q19" s="2">
        <f>IFERROR(50+VLOOKUP($A19,'SegEnds_Xtal_Prot#'!$A:$AY,33,FALSE)-VLOOKUP($B19,'SegEnds_NonXtal_Prot#'!$A:$AL,25,FALSE),"-")</f>
        <v>50</v>
      </c>
      <c r="R19" s="2">
        <f>IFERROR(50+VLOOKUP($A19,'SegEnds_Xtal_Prot#'!$A:$AY,35,FALSE)-VLOOKUP($B19,'SegEnds_NonXtal_Prot#'!$A:$AL,25,FALSE),"-")</f>
        <v>52</v>
      </c>
      <c r="S19" s="2">
        <f>IFERROR(50+VLOOKUP($A19,'SegEnds_Xtal_Prot#'!$A:$AY,37,FALSE)-VLOOKUP($B19,'SegEnds_NonXtal_Prot#'!$A:$AL,28,FALSE),"-")</f>
        <v>30</v>
      </c>
      <c r="T19" s="2">
        <f>IFERROR(50+VLOOKUP($A19,'SegEnds_Xtal_Prot#'!$A:$AY,39,FALSE)-VLOOKUP($B19,'SegEnds_NonXtal_Prot#'!$A:$AL,28,FALSE),"-")</f>
        <v>68</v>
      </c>
      <c r="U19" s="2">
        <f>IFERROR(50+VLOOKUP($A19,'SegEnds_Xtal_Prot#'!$A:$AY,41,FALSE)-VLOOKUP($B19,'SegEnds_NonXtal_Prot#'!$A:$AL,31,FALSE),"-")</f>
        <v>24</v>
      </c>
      <c r="V19" s="2">
        <f>IFERROR(50+VLOOKUP($A19,'SegEnds_Xtal_Prot#'!$A:$AY,43,FALSE)-VLOOKUP($B19,'SegEnds_NonXtal_Prot#'!$A:$AL,31,FALSE),"-")</f>
        <v>64</v>
      </c>
      <c r="W19" s="2">
        <f>IFERROR(50+VLOOKUP($A19,'SegEnds_Xtal_Prot#'!$A:$AY,45,FALSE)-VLOOKUP($B19,'SegEnds_NonXtal_Prot#'!$A:$AL,34,FALSE),"-")</f>
        <v>24</v>
      </c>
      <c r="X19" s="2">
        <f>IFERROR(50+VLOOKUP($A19,'SegEnds_Xtal_Prot#'!$A:$AY,47,FALSE)-VLOOKUP($B19,'SegEnds_NonXtal_Prot#'!$A:$AL,34,FALSE),"-")</f>
        <v>56</v>
      </c>
      <c r="Y19" s="2">
        <f>IFERROR(50+VLOOKUP($A19,'SegEnds_Xtal_Prot#'!$A:$AY,49,FALSE)-VLOOKUP($B19,'SegEnds_NonXtal_Prot#'!$A:$AL,37,FALSE),"-")</f>
        <v>47</v>
      </c>
      <c r="Z19" s="2">
        <f>IFERROR(50+VLOOKUP($A19,'SegEnds_Xtal_Prot#'!$A:$AY,51,FALSE)-VLOOKUP($B19,'SegEnds_NonXtal_Prot#'!$A:$AL,37,FALSE),"-")</f>
        <v>61</v>
      </c>
      <c r="AA19" s="49" t="str">
        <f>VLOOKUP(B19,Classification!A:D,2,FALSE)</f>
        <v>A</v>
      </c>
      <c r="AB19" s="94" t="str">
        <f>VLOOKUP(B19,Classification!A:D,4,0)</f>
        <v>Angiotensin</v>
      </c>
      <c r="AC19" s="49" t="e">
        <f>VLOOKUP(B19,'SegEnds_NonXtal_Prot#'!A:AL,6,FALSE)-VLOOKUP(B19,'SegEnds_NonXtal_Prot#'!A:AL,5,FALSE)</f>
        <v>#VALUE!</v>
      </c>
      <c r="AD19" s="49" t="e">
        <f>VLOOKUP(B19,'SegEnds_NonXtal_Prot#'!A:AL,9,FALSE)-VLOOKUP(B19,'SegEnds_NonXtal_Prot#'!A:AL,8,FALSE)</f>
        <v>#VALUE!</v>
      </c>
      <c r="AE19" s="49">
        <f>VLOOKUP(B19,'SegEnds_NonXtal_Prot#'!A:AL,13,FALSE)-VLOOKUP(B19,'SegEnds_NonXtal_Prot#'!A:AL,10,FALSE)</f>
        <v>20</v>
      </c>
      <c r="AF19" s="49">
        <f>VLOOKUP(B19,'SegEnds_NonXtal_Prot#'!A:AL,12,FALSE)-VLOOKUP(B19,'SegEnds_NonXtal_Prot#'!A:AL,11,FALSE)</f>
        <v>3</v>
      </c>
      <c r="AG19" s="49">
        <f>VLOOKUP(B19,'SegEnds_NonXtal_Prot#'!A:AL,13,FALSE)-VLOOKUP(B19,'SegEnds_NonXtal_Prot#'!A:AL,11,FALSE)</f>
        <v>4</v>
      </c>
      <c r="AH19" s="49">
        <f>VLOOKUP(B19,'SegEnds_NonXtal_Prot#'!A:AL,16,FALSE)-VLOOKUP(B19,'SegEnds_NonXtal_Prot#'!A:AL,10,FALSE)</f>
        <v>52</v>
      </c>
      <c r="AI19" s="49">
        <f>VLOOKUP(B19,'SegEnds_NonXtal_Prot#'!A:AL,16,FALSE)-VLOOKUP(B19,'SegEnds_NonXtal_Prot#'!A:AL,11,FALSE)</f>
        <v>36</v>
      </c>
      <c r="AJ19" s="49">
        <f>VLOOKUP(B19,'SegEnds_NonXtal_Prot#'!A:AL,22,FALSE)-VLOOKUP(B19,'SegEnds_NonXtal_Prot#'!A:AL,19,FALSE)</f>
        <v>19</v>
      </c>
      <c r="AK19" s="49">
        <f>VLOOKUP(B19,'SegEnds_NonXtal_Prot#'!A:AL,15,FALSE)-VLOOKUP(B19,'SegEnds_NonXtal_Prot#'!A:AL,14,FALSE)</f>
        <v>1</v>
      </c>
      <c r="AL19" s="49">
        <f>VLOOKUP(B19,'SegEnds_NonXtal_Prot#'!A:AL,18,FALSE)-VLOOKUP(B19,'SegEnds_NonXtal_Prot#'!A:AL,17,FALSE)</f>
        <v>1</v>
      </c>
      <c r="AM19" s="2">
        <f>VLOOKUP(B19,'SegEnds_NonXtal_Prot#'!A:AL,34,FALSE)-VLOOKUP(B19,'SegEnds_NonXtal_Prot#'!A:AL,31,FALSE)</f>
        <v>44</v>
      </c>
      <c r="AN19" s="37"/>
    </row>
    <row r="20" spans="1:64" s="2" customFormat="1" x14ac:dyDescent="0.2">
      <c r="A20" s="2" t="s">
        <v>1409</v>
      </c>
      <c r="B20" s="2" t="s">
        <v>160</v>
      </c>
      <c r="C20" s="2">
        <f>IFERROR(50+VLOOKUP($A20,'SegEnds_Xtal_Prot#'!$A:$AY,5,FALSE)-VLOOKUP($B20,'SegEnds_NonXtal_Prot#'!$A:$AL,4,FALSE),"-")</f>
        <v>33</v>
      </c>
      <c r="D20" s="2">
        <f>IFERROR(50+VLOOKUP($A20,'SegEnds_Xtal_Prot#'!$A:$AY,7,FALSE)-VLOOKUP($B20,'SegEnds_NonXtal_Prot#'!$A:$AL,4,FALSE),"-")</f>
        <v>60</v>
      </c>
      <c r="E20" s="2">
        <f>IFERROR(50+VLOOKUP($A20,'SegEnds_Xtal_Prot#'!$A:$AY,9,FALSE)-VLOOKUP($B20,'SegEnds_NonXtal_Prot#'!$A:$AL,7,FALSE),"-")</f>
        <v>48</v>
      </c>
      <c r="F20" s="2">
        <f>IFERROR(50+VLOOKUP($A20,'SegEnds_Xtal_Prot#'!$A:$AY,11,FALSE)-VLOOKUP($B20,'SegEnds_NonXtal_Prot#'!$A:$AL,7,FALSE),"-")</f>
        <v>52</v>
      </c>
      <c r="G20" s="2">
        <f>IFERROR(50+VLOOKUP($A20,'SegEnds_Xtal_Prot#'!$A:$AY,13,FALSE)-VLOOKUP($B20,'SegEnds_NonXtal_Prot#'!$A:$AL,10,FALSE),"-")</f>
        <v>37</v>
      </c>
      <c r="H20" s="2">
        <f>IFERROR(50+VLOOKUP($A20,'SegEnds_Xtal_Prot#'!$A:$AY,15,FALSE)-VLOOKUP($B20,'SegEnds_NonXtal_Prot#'!$A:$AL,10,FALSE),"-")</f>
        <v>67</v>
      </c>
      <c r="I20" s="2">
        <f>IFERROR(50+VLOOKUP($A20,'SegEnds_Xtal_Prot#'!$A:$AY,17,FALSE)-VLOOKUP($B20,'SegEnds_NonXtal_Prot#'!$A:$AL,13,FALSE),"-")</f>
        <v>49</v>
      </c>
      <c r="J20" s="2">
        <f>IFERROR(50+VLOOKUP($A20,'SegEnds_Xtal_Prot#'!$A:$AY,19,FALSE)-VLOOKUP($B20,'SegEnds_NonXtal_Prot#'!$A:$AL,13,FALSE),"-")</f>
        <v>52</v>
      </c>
      <c r="K20" s="2">
        <f>IFERROR(50+VLOOKUP($A20,'SegEnds_Xtal_Prot#'!$A:$AY,21,FALSE)-VLOOKUP($B20,'SegEnds_NonXtal_Prot#'!$A:$AL,16,FALSE),"-")</f>
        <v>21</v>
      </c>
      <c r="L20" s="2">
        <f>IFERROR(50+VLOOKUP($A20,'SegEnds_Xtal_Prot#'!$A:$AY,23,FALSE)-VLOOKUP($B20,'SegEnds_NonXtal_Prot#'!$A:$AL,16,FALSE),"-")</f>
        <v>56</v>
      </c>
      <c r="M20" s="2">
        <f>IFERROR(50+VLOOKUP($A20,'SegEnds_Xtal_Prot#'!$A:$AY,25,FALSE)-VLOOKUP($B20,'SegEnds_NonXtal_Prot#'!$A:$AL,19,FALSE),"-")</f>
        <v>50</v>
      </c>
      <c r="N20" s="2">
        <f>IFERROR(50+VLOOKUP($A20,'SegEnds_Xtal_Prot#'!$A:$AY,27,FALSE)-VLOOKUP($B20,'SegEnds_NonXtal_Prot#'!$A:$AL,19,FALSE),"-")</f>
        <v>57</v>
      </c>
      <c r="O20" s="2">
        <f>IFERROR(50+VLOOKUP($A20,'SegEnds_Xtal_Prot#'!$A:$AY,29,FALSE)-VLOOKUP($B20,'SegEnds_NonXtal_Prot#'!$A:$AL,22,FALSE),"-")</f>
        <v>38</v>
      </c>
      <c r="P20" s="2">
        <f>IFERROR(50+VLOOKUP($A20,'SegEnds_Xtal_Prot#'!$A:$AY,31,FALSE)-VLOOKUP($B20,'SegEnds_NonXtal_Prot#'!$A:$AL,22,FALSE),"-")</f>
        <v>64</v>
      </c>
      <c r="Q20" s="2">
        <f>IFERROR(50+VLOOKUP($A20,'SegEnds_Xtal_Prot#'!$A:$AY,33,FALSE)-VLOOKUP($B20,'SegEnds_NonXtal_Prot#'!$A:$AL,25,FALSE),"-")</f>
        <v>50</v>
      </c>
      <c r="R20" s="2">
        <f>IFERROR(50+VLOOKUP($A20,'SegEnds_Xtal_Prot#'!$A:$AY,35,FALSE)-VLOOKUP($B20,'SegEnds_NonXtal_Prot#'!$A:$AL,25,FALSE),"-")</f>
        <v>52</v>
      </c>
      <c r="S20" s="2">
        <f>IFERROR(50+VLOOKUP($A20,'SegEnds_Xtal_Prot#'!$A:$AY,37,FALSE)-VLOOKUP($B20,'SegEnds_NonXtal_Prot#'!$A:$AL,28,FALSE),"-")</f>
        <v>30</v>
      </c>
      <c r="T20" s="2">
        <f>IFERROR(50+VLOOKUP($A20,'SegEnds_Xtal_Prot#'!$A:$AY,39,FALSE)-VLOOKUP($B20,'SegEnds_NonXtal_Prot#'!$A:$AL,28,FALSE),"-")</f>
        <v>72</v>
      </c>
      <c r="U20" s="2">
        <f>IFERROR(50+VLOOKUP($A20,'SegEnds_Xtal_Prot#'!$A:$AY,41,FALSE)-VLOOKUP($B20,'SegEnds_NonXtal_Prot#'!$A:$AL,31,FALSE),"-")</f>
        <v>29</v>
      </c>
      <c r="V20" s="2">
        <f>IFERROR(50+VLOOKUP($A20,'SegEnds_Xtal_Prot#'!$A:$AY,43,FALSE)-VLOOKUP($B20,'SegEnds_NonXtal_Prot#'!$A:$AL,31,FALSE),"-")</f>
        <v>63</v>
      </c>
      <c r="W20" s="2">
        <f>IFERROR(50+VLOOKUP($A20,'SegEnds_Xtal_Prot#'!$A:$AY,45,FALSE)-VLOOKUP($B20,'SegEnds_NonXtal_Prot#'!$A:$AL,34,FALSE),"-")</f>
        <v>24</v>
      </c>
      <c r="X20" s="2">
        <f>IFERROR(50+VLOOKUP($A20,'SegEnds_Xtal_Prot#'!$A:$AY,47,FALSE)-VLOOKUP($B20,'SegEnds_NonXtal_Prot#'!$A:$AL,34,FALSE),"-")</f>
        <v>56</v>
      </c>
      <c r="Y20" s="2">
        <f>IFERROR(50+VLOOKUP($A20,'SegEnds_Xtal_Prot#'!$A:$AY,49,FALSE)-VLOOKUP($B20,'SegEnds_NonXtal_Prot#'!$A:$AL,37,FALSE),"-")</f>
        <v>47</v>
      </c>
      <c r="Z20" s="2">
        <f>IFERROR(50+VLOOKUP($A20,'SegEnds_Xtal_Prot#'!$A:$AY,51,FALSE)-VLOOKUP($B20,'SegEnds_NonXtal_Prot#'!$A:$AL,37,FALSE),"-")</f>
        <v>61</v>
      </c>
      <c r="AA20" s="49" t="str">
        <f>VLOOKUP(B20,Classification!A:D,2,FALSE)</f>
        <v>A</v>
      </c>
      <c r="AB20" s="94" t="str">
        <f>VLOOKUP(B20,Classification!A:D,4,0)</f>
        <v>Apelin</v>
      </c>
      <c r="AC20" s="49">
        <f>VLOOKUP(B20,'SegEnds_NonXtal_Prot#'!A:AL,6,FALSE)-VLOOKUP(B20,'SegEnds_NonXtal_Prot#'!A:AL,5,FALSE)</f>
        <v>1</v>
      </c>
      <c r="AD20" s="49">
        <f>VLOOKUP(B20,'SegEnds_NonXtal_Prot#'!A:AL,9,FALSE)-VLOOKUP(B20,'SegEnds_NonXtal_Prot#'!A:AL,8,FALSE)</f>
        <v>1</v>
      </c>
      <c r="AE20" s="49">
        <f>VLOOKUP(B20,'SegEnds_NonXtal_Prot#'!A:AL,13,FALSE)-VLOOKUP(B20,'SegEnds_NonXtal_Prot#'!A:AL,10,FALSE)</f>
        <v>20</v>
      </c>
      <c r="AF20" s="49">
        <f>VLOOKUP(B20,'SegEnds_NonXtal_Prot#'!A:AL,12,FALSE)-VLOOKUP(B20,'SegEnds_NonXtal_Prot#'!A:AL,11,FALSE)</f>
        <v>2</v>
      </c>
      <c r="AG20" s="49">
        <f>VLOOKUP(B20,'SegEnds_NonXtal_Prot#'!A:AL,13,FALSE)-VLOOKUP(B20,'SegEnds_NonXtal_Prot#'!A:AL,11,FALSE)</f>
        <v>3</v>
      </c>
      <c r="AH20" s="49">
        <f>VLOOKUP(B20,'SegEnds_NonXtal_Prot#'!A:AL,16,FALSE)-VLOOKUP(B20,'SegEnds_NonXtal_Prot#'!A:AL,10,FALSE)</f>
        <v>52</v>
      </c>
      <c r="AI20" s="49">
        <f>VLOOKUP(B20,'SegEnds_NonXtal_Prot#'!A:AL,16,FALSE)-VLOOKUP(B20,'SegEnds_NonXtal_Prot#'!A:AL,11,FALSE)</f>
        <v>35</v>
      </c>
      <c r="AJ20" s="49">
        <f>VLOOKUP(B20,'SegEnds_NonXtal_Prot#'!A:AL,22,FALSE)-VLOOKUP(B20,'SegEnds_NonXtal_Prot#'!A:AL,19,FALSE)</f>
        <v>20</v>
      </c>
      <c r="AK20" s="49">
        <f>VLOOKUP(B20,'SegEnds_NonXtal_Prot#'!A:AL,15,FALSE)-VLOOKUP(B20,'SegEnds_NonXtal_Prot#'!A:AL,14,FALSE)</f>
        <v>1</v>
      </c>
      <c r="AL20" s="49">
        <f>VLOOKUP(B20,'SegEnds_NonXtal_Prot#'!A:AL,18,FALSE)-VLOOKUP(B20,'SegEnds_NonXtal_Prot#'!A:AL,17,FALSE)</f>
        <v>1</v>
      </c>
      <c r="AM20" s="2">
        <f>VLOOKUP(B20,'SegEnds_NonXtal_Prot#'!A:AL,34,FALSE)-VLOOKUP(B20,'SegEnds_NonXtal_Prot#'!A:AL,31,FALSE)</f>
        <v>43</v>
      </c>
      <c r="AN20" s="37"/>
    </row>
    <row r="21" spans="1:64" s="2" customFormat="1" x14ac:dyDescent="0.2">
      <c r="A21" s="2" t="s">
        <v>1356</v>
      </c>
      <c r="B21" s="2" t="s">
        <v>182</v>
      </c>
      <c r="C21" s="2">
        <f>IFERROR(50+VLOOKUP($A21,'SegEnds_Xtal_Prot#'!$A:$AY,5,FALSE)-VLOOKUP($B21,'SegEnds_NonXtal_Prot#'!$A:$AL,4,FALSE),"-")</f>
        <v>28</v>
      </c>
      <c r="D21" s="2">
        <f>IFERROR(50+VLOOKUP($A21,'SegEnds_Xtal_Prot#'!$A:$AY,7,FALSE)-VLOOKUP($B21,'SegEnds_NonXtal_Prot#'!$A:$AL,4,FALSE),"-")</f>
        <v>60</v>
      </c>
      <c r="E21" s="2">
        <f>IFERROR(50+VLOOKUP($A21,'SegEnds_Xtal_Prot#'!$A:$AY,9,FALSE)-VLOOKUP($B21,'SegEnds_NonXtal_Prot#'!$A:$AL,7,FALSE),"-")</f>
        <v>48</v>
      </c>
      <c r="F21" s="2">
        <f>IFERROR(50+VLOOKUP($A21,'SegEnds_Xtal_Prot#'!$A:$AY,11,FALSE)-VLOOKUP($B21,'SegEnds_NonXtal_Prot#'!$A:$AL,7,FALSE),"-")</f>
        <v>51</v>
      </c>
      <c r="G21" s="2">
        <f>IFERROR(50+VLOOKUP($A21,'SegEnds_Xtal_Prot#'!$A:$AY,13,FALSE)-VLOOKUP($B21,'SegEnds_NonXtal_Prot#'!$A:$AL,10,FALSE),"-")</f>
        <v>37</v>
      </c>
      <c r="H21" s="2">
        <f>IFERROR(50+VLOOKUP($A21,'SegEnds_Xtal_Prot#'!$A:$AY,15,FALSE)-VLOOKUP($B21,'SegEnds_NonXtal_Prot#'!$A:$AL,10,FALSE),"-")</f>
        <v>66</v>
      </c>
      <c r="I21" s="2" t="str">
        <f>IFERROR(50+VLOOKUP($A21,'SegEnds_Xtal_Prot#'!$A:$AY,17,FALSE)-VLOOKUP($B21,'SegEnds_NonXtal_Prot#'!$A:$AL,13,FALSE),"-")</f>
        <v>-</v>
      </c>
      <c r="J21" s="2" t="str">
        <f>IFERROR(50+VLOOKUP($A21,'SegEnds_Xtal_Prot#'!$A:$AY,19,FALSE)-VLOOKUP($B21,'SegEnds_NonXtal_Prot#'!$A:$AL,13,FALSE),"-")</f>
        <v>-</v>
      </c>
      <c r="K21" s="2">
        <f>IFERROR(50+VLOOKUP($A21,'SegEnds_Xtal_Prot#'!$A:$AY,21,FALSE)-VLOOKUP($B21,'SegEnds_NonXtal_Prot#'!$A:$AL,16,FALSE),"-")</f>
        <v>21</v>
      </c>
      <c r="L21" s="2">
        <f>IFERROR(50+VLOOKUP($A21,'SegEnds_Xtal_Prot#'!$A:$AY,23,FALSE)-VLOOKUP($B21,'SegEnds_NonXtal_Prot#'!$A:$AL,16,FALSE),"-")</f>
        <v>56</v>
      </c>
      <c r="M21" s="2">
        <f>IFERROR(50+VLOOKUP($A21,'SegEnds_Xtal_Prot#'!$A:$AY,25,FALSE)-VLOOKUP($B21,'SegEnds_NonXtal_Prot#'!$A:$AL,19,FALSE),"-")</f>
        <v>50</v>
      </c>
      <c r="N21" s="2">
        <f>IFERROR(50+VLOOKUP($A21,'SegEnds_Xtal_Prot#'!$A:$AY,27,FALSE)-VLOOKUP($B21,'SegEnds_NonXtal_Prot#'!$A:$AL,19,FALSE),"-")</f>
        <v>57</v>
      </c>
      <c r="O21" s="2">
        <f>IFERROR(50+VLOOKUP($A21,'SegEnds_Xtal_Prot#'!$A:$AY,29,FALSE)-VLOOKUP($B21,'SegEnds_NonXtal_Prot#'!$A:$AL,22,FALSE),"-")</f>
        <v>38</v>
      </c>
      <c r="P21" s="2">
        <f>IFERROR(50+VLOOKUP($A21,'SegEnds_Xtal_Prot#'!$A:$AY,31,FALSE)-VLOOKUP($B21,'SegEnds_NonXtal_Prot#'!$A:$AL,22,FALSE),"-")</f>
        <v>63</v>
      </c>
      <c r="Q21" s="2" t="str">
        <f>IFERROR(50+VLOOKUP($A21,'SegEnds_Xtal_Prot#'!$A:$AY,33,FALSE)-VLOOKUP($B21,'SegEnds_NonXtal_Prot#'!$A:$AL,25,FALSE),"-")</f>
        <v>-</v>
      </c>
      <c r="R21" s="2" t="str">
        <f>IFERROR(50+VLOOKUP($A21,'SegEnds_Xtal_Prot#'!$A:$AY,35,FALSE)-VLOOKUP($B21,'SegEnds_NonXtal_Prot#'!$A:$AL,25,FALSE),"-")</f>
        <v>-</v>
      </c>
      <c r="S21" s="2">
        <f>IFERROR(50+VLOOKUP($A21,'SegEnds_Xtal_Prot#'!$A:$AY,37,FALSE)-VLOOKUP($B21,'SegEnds_NonXtal_Prot#'!$A:$AL,28,FALSE),"-")</f>
        <v>36</v>
      </c>
      <c r="T21" s="2">
        <f>IFERROR(50+VLOOKUP($A21,'SegEnds_Xtal_Prot#'!$A:$AY,39,FALSE)-VLOOKUP($B21,'SegEnds_NonXtal_Prot#'!$A:$AL,28,FALSE),"-")</f>
        <v>76</v>
      </c>
      <c r="U21" s="2">
        <f>IFERROR(50+VLOOKUP($A21,'SegEnds_Xtal_Prot#'!$A:$AY,41,FALSE)-VLOOKUP($B21,'SegEnds_NonXtal_Prot#'!$A:$AL,31,FALSE),"-")</f>
        <v>24</v>
      </c>
      <c r="V21" s="2">
        <f>IFERROR(50+VLOOKUP($A21,'SegEnds_Xtal_Prot#'!$A:$AY,43,FALSE)-VLOOKUP($B21,'SegEnds_NonXtal_Prot#'!$A:$AL,31,FALSE),"-")</f>
        <v>61</v>
      </c>
      <c r="W21" s="2">
        <f>IFERROR(50+VLOOKUP($A21,'SegEnds_Xtal_Prot#'!$A:$AY,45,FALSE)-VLOOKUP($B21,'SegEnds_NonXtal_Prot#'!$A:$AL,34,FALSE),"-")</f>
        <v>28</v>
      </c>
      <c r="X21" s="2">
        <f>IFERROR(50+VLOOKUP($A21,'SegEnds_Xtal_Prot#'!$A:$AY,47,FALSE)-VLOOKUP($B21,'SegEnds_NonXtal_Prot#'!$A:$AL,34,FALSE),"-")</f>
        <v>56</v>
      </c>
      <c r="Y21" s="2">
        <f>IFERROR(50+VLOOKUP($A21,'SegEnds_Xtal_Prot#'!$A:$AY,49,FALSE)-VLOOKUP($B21,'SegEnds_NonXtal_Prot#'!$A:$AL,37,FALSE),"-")</f>
        <v>47</v>
      </c>
      <c r="Z21" s="2">
        <f>IFERROR(50+VLOOKUP($A21,'SegEnds_Xtal_Prot#'!$A:$AY,51,FALSE)-VLOOKUP($B21,'SegEnds_NonXtal_Prot#'!$A:$AL,37,FALSE),"-")</f>
        <v>59</v>
      </c>
      <c r="AA21" s="49" t="str">
        <f>VLOOKUP(B21,Classification!A:D,2,FALSE)</f>
        <v>A</v>
      </c>
      <c r="AB21" s="94" t="str">
        <f>VLOOKUP(B21,Classification!A:D,4,0)</f>
        <v>Cannabinoid</v>
      </c>
      <c r="AC21" s="49">
        <f>VLOOKUP(B21,'SegEnds_NonXtal_Prot#'!A:AL,6,FALSE)-VLOOKUP(B21,'SegEnds_NonXtal_Prot#'!A:AL,5,FALSE)</f>
        <v>1</v>
      </c>
      <c r="AD21" s="49">
        <f>VLOOKUP(B21,'SegEnds_NonXtal_Prot#'!A:AL,9,FALSE)-VLOOKUP(B21,'SegEnds_NonXtal_Prot#'!A:AL,8,FALSE)</f>
        <v>2</v>
      </c>
      <c r="AE21" s="49" t="e">
        <f>VLOOKUP(B21,'SegEnds_NonXtal_Prot#'!A:AL,13,FALSE)-VLOOKUP(B21,'SegEnds_NonXtal_Prot#'!A:AL,10,FALSE)</f>
        <v>#VALUE!</v>
      </c>
      <c r="AF21" s="49" t="e">
        <f>VLOOKUP(B21,'SegEnds_NonXtal_Prot#'!A:AL,12,FALSE)-VLOOKUP(B21,'SegEnds_NonXtal_Prot#'!A:AL,11,FALSE)</f>
        <v>#VALUE!</v>
      </c>
      <c r="AG21" s="49" t="e">
        <f>VLOOKUP(B21,'SegEnds_NonXtal_Prot#'!A:AL,13,FALSE)-VLOOKUP(B21,'SegEnds_NonXtal_Prot#'!A:AL,11,FALSE)</f>
        <v>#VALUE!</v>
      </c>
      <c r="AH21" s="49">
        <f>VLOOKUP(B21,'SegEnds_NonXtal_Prot#'!A:AL,16,FALSE)-VLOOKUP(B21,'SegEnds_NonXtal_Prot#'!A:AL,10,FALSE)</f>
        <v>51</v>
      </c>
      <c r="AI21" s="49">
        <f>VLOOKUP(B21,'SegEnds_NonXtal_Prot#'!A:AL,16,FALSE)-VLOOKUP(B21,'SegEnds_NonXtal_Prot#'!A:AL,11,FALSE)</f>
        <v>35</v>
      </c>
      <c r="AJ21" s="49">
        <f>VLOOKUP(B21,'SegEnds_NonXtal_Prot#'!A:AL,22,FALSE)-VLOOKUP(B21,'SegEnds_NonXtal_Prot#'!A:AL,19,FALSE)</f>
        <v>20</v>
      </c>
      <c r="AK21" s="49" t="e">
        <f>VLOOKUP(B21,'SegEnds_NonXtal_Prot#'!A:AL,15,FALSE)-VLOOKUP(B21,'SegEnds_NonXtal_Prot#'!A:AL,14,FALSE)</f>
        <v>#VALUE!</v>
      </c>
      <c r="AL21" s="49">
        <f>VLOOKUP(B21,'SegEnds_NonXtal_Prot#'!A:AL,18,FALSE)-VLOOKUP(B21,'SegEnds_NonXtal_Prot#'!A:AL,17,FALSE)</f>
        <v>1</v>
      </c>
      <c r="AM21" s="2">
        <f>VLOOKUP(B21,'SegEnds_NonXtal_Prot#'!A:AL,34,FALSE)-VLOOKUP(B21,'SegEnds_NonXtal_Prot#'!A:AL,31,FALSE)</f>
        <v>36</v>
      </c>
      <c r="AN21" s="37"/>
      <c r="BL21" s="49"/>
    </row>
    <row r="22" spans="1:64" s="2" customFormat="1" x14ac:dyDescent="0.2">
      <c r="A22" s="2" t="s">
        <v>1248</v>
      </c>
      <c r="B22" s="2" t="s">
        <v>1165</v>
      </c>
      <c r="C22" s="2">
        <f>IFERROR(50+VLOOKUP($A22,'SegEnds_Xtal_Prot#'!$A:$AY,5,FALSE)-VLOOKUP($B22,'SegEnds_NonXtal_Prot#'!$A:$AL,4,FALSE),"-")</f>
        <v>24</v>
      </c>
      <c r="D22" s="2">
        <f>IFERROR(50+VLOOKUP($A22,'SegEnds_Xtal_Prot#'!$A:$AY,7,FALSE)-VLOOKUP($B22,'SegEnds_NonXtal_Prot#'!$A:$AL,4,FALSE),"-")</f>
        <v>60</v>
      </c>
      <c r="E22" s="2">
        <f>IFERROR(50+VLOOKUP($A22,'SegEnds_Xtal_Prot#'!$A:$AY,9,FALSE)-VLOOKUP($B22,'SegEnds_NonXtal_Prot#'!$A:$AL,7,FALSE),"-")</f>
        <v>48</v>
      </c>
      <c r="F22" s="2">
        <f>IFERROR(50+VLOOKUP($A22,'SegEnds_Xtal_Prot#'!$A:$AY,11,FALSE)-VLOOKUP($B22,'SegEnds_NonXtal_Prot#'!$A:$AL,7,FALSE),"-")</f>
        <v>51</v>
      </c>
      <c r="G22" s="2">
        <f>IFERROR(50+VLOOKUP($A22,'SegEnds_Xtal_Prot#'!$A:$AY,13,FALSE)-VLOOKUP($B22,'SegEnds_NonXtal_Prot#'!$A:$AL,10,FALSE),"-")</f>
        <v>37</v>
      </c>
      <c r="H22" s="2">
        <f>IFERROR(50+VLOOKUP($A22,'SegEnds_Xtal_Prot#'!$A:$AY,15,FALSE)-VLOOKUP($B22,'SegEnds_NonXtal_Prot#'!$A:$AL,10,FALSE),"-")</f>
        <v>66</v>
      </c>
      <c r="I22" s="2">
        <f>IFERROR(50+VLOOKUP($A22,'SegEnds_Xtal_Prot#'!$A:$AY,17,FALSE)-VLOOKUP($B22,'SegEnds_NonXtal_Prot#'!$A:$AL,13,FALSE),"-")</f>
        <v>49</v>
      </c>
      <c r="J22" s="2">
        <f>IFERROR(50+VLOOKUP($A22,'SegEnds_Xtal_Prot#'!$A:$AY,19,FALSE)-VLOOKUP($B22,'SegEnds_NonXtal_Prot#'!$A:$AL,13,FALSE),"-")</f>
        <v>52</v>
      </c>
      <c r="K22" s="2">
        <f>IFERROR(50+VLOOKUP($A22,'SegEnds_Xtal_Prot#'!$A:$AY,21,FALSE)-VLOOKUP($B22,'SegEnds_NonXtal_Prot#'!$A:$AL,16,FALSE),"-")</f>
        <v>21</v>
      </c>
      <c r="L22" s="2">
        <f>IFERROR(50+VLOOKUP($A22,'SegEnds_Xtal_Prot#'!$A:$AY,23,FALSE)-VLOOKUP($B22,'SegEnds_NonXtal_Prot#'!$A:$AL,16,FALSE),"-")</f>
        <v>56</v>
      </c>
      <c r="M22" s="2">
        <f>IFERROR(50+VLOOKUP($A22,'SegEnds_Xtal_Prot#'!$A:$AY,25,FALSE)-VLOOKUP($B22,'SegEnds_NonXtal_Prot#'!$A:$AL,19,FALSE),"-")</f>
        <v>50</v>
      </c>
      <c r="N22" s="2">
        <f>IFERROR(50+VLOOKUP($A22,'SegEnds_Xtal_Prot#'!$A:$AY,27,FALSE)-VLOOKUP($B22,'SegEnds_NonXtal_Prot#'!$A:$AL,19,FALSE),"-")</f>
        <v>57</v>
      </c>
      <c r="O22" s="2">
        <f>IFERROR(50+VLOOKUP($A22,'SegEnds_Xtal_Prot#'!$A:$AY,29,FALSE)-VLOOKUP($B22,'SegEnds_NonXtal_Prot#'!$A:$AL,22,FALSE),"-")</f>
        <v>38</v>
      </c>
      <c r="P22" s="2">
        <f>IFERROR(50+VLOOKUP($A22,'SegEnds_Xtal_Prot#'!$A:$AY,31,FALSE)-VLOOKUP($B22,'SegEnds_NonXtal_Prot#'!$A:$AL,22,FALSE),"-")</f>
        <v>64</v>
      </c>
      <c r="Q22" s="2">
        <f>IFERROR(50+VLOOKUP($A22,'SegEnds_Xtal_Prot#'!$A:$AY,33,FALSE)-VLOOKUP($B22,'SegEnds_NonXtal_Prot#'!$A:$AL,25,FALSE),"-")</f>
        <v>50</v>
      </c>
      <c r="R22" s="2">
        <f>IFERROR(50+VLOOKUP($A22,'SegEnds_Xtal_Prot#'!$A:$AY,35,FALSE)-VLOOKUP($B22,'SegEnds_NonXtal_Prot#'!$A:$AL,25,FALSE),"-")</f>
        <v>52</v>
      </c>
      <c r="S22" s="2">
        <f>IFERROR(50+VLOOKUP($A22,'SegEnds_Xtal_Prot#'!$A:$AY,37,FALSE)-VLOOKUP($B22,'SegEnds_NonXtal_Prot#'!$A:$AL,28,FALSE),"-")</f>
        <v>32</v>
      </c>
      <c r="T22" s="2">
        <f>IFERROR(50+VLOOKUP($A22,'SegEnds_Xtal_Prot#'!$A:$AY,39,FALSE)-VLOOKUP($B22,'SegEnds_NonXtal_Prot#'!$A:$AL,28,FALSE),"-")</f>
        <v>68</v>
      </c>
      <c r="U22" s="2">
        <f>IFERROR(50+VLOOKUP($A22,'SegEnds_Xtal_Prot#'!$A:$AY,41,FALSE)-VLOOKUP($B22,'SegEnds_NonXtal_Prot#'!$A:$AL,31,FALSE),"-")</f>
        <v>30</v>
      </c>
      <c r="V22" s="2">
        <f>IFERROR(50+VLOOKUP($A22,'SegEnds_Xtal_Prot#'!$A:$AY,43,FALSE)-VLOOKUP($B22,'SegEnds_NonXtal_Prot#'!$A:$AL,31,FALSE),"-")</f>
        <v>64</v>
      </c>
      <c r="W22" s="2">
        <f>IFERROR(50+VLOOKUP($A22,'SegEnds_Xtal_Prot#'!$A:$AY,45,FALSE)-VLOOKUP($B22,'SegEnds_NonXtal_Prot#'!$A:$AL,34,FALSE),"-")</f>
        <v>24</v>
      </c>
      <c r="X22" s="2">
        <f>IFERROR(50+VLOOKUP($A22,'SegEnds_Xtal_Prot#'!$A:$AY,47,FALSE)-VLOOKUP($B22,'SegEnds_NonXtal_Prot#'!$A:$AL,34,FALSE),"-")</f>
        <v>56</v>
      </c>
      <c r="Y22" s="2">
        <f>IFERROR(50+VLOOKUP($A22,'SegEnds_Xtal_Prot#'!$A:$AY,49,FALSE)-VLOOKUP($B22,'SegEnds_NonXtal_Prot#'!$A:$AL,37,FALSE),"-")</f>
        <v>47</v>
      </c>
      <c r="Z22" s="2">
        <f>IFERROR(50+VLOOKUP($A22,'SegEnds_Xtal_Prot#'!$A:$AY,51,FALSE)-VLOOKUP($B22,'SegEnds_NonXtal_Prot#'!$A:$AL,37,FALSE),"-")</f>
        <v>59</v>
      </c>
      <c r="AA22" s="49" t="str">
        <f>VLOOKUP(B22,Classification!A:D,2,FALSE)</f>
        <v>A</v>
      </c>
      <c r="AB22" s="94" t="str">
        <f>VLOOKUP(B22,Classification!A:D,4,0)</f>
        <v>Chemokine</v>
      </c>
      <c r="AC22" s="49">
        <f>VLOOKUP(B22,'SegEnds_NonXtal_Prot#'!A:AL,6,FALSE)-VLOOKUP(B22,'SegEnds_NonXtal_Prot#'!A:AL,5,FALSE)</f>
        <v>1</v>
      </c>
      <c r="AD22" s="49">
        <f>VLOOKUP(B22,'SegEnds_NonXtal_Prot#'!A:AL,9,FALSE)-VLOOKUP(B22,'SegEnds_NonXtal_Prot#'!A:AL,8,FALSE)</f>
        <v>1</v>
      </c>
      <c r="AE22" s="49">
        <f>VLOOKUP(B22,'SegEnds_NonXtal_Prot#'!A:AL,13,FALSE)-VLOOKUP(B22,'SegEnds_NonXtal_Prot#'!A:AL,10,FALSE)</f>
        <v>18</v>
      </c>
      <c r="AF22" s="49">
        <f>VLOOKUP(B22,'SegEnds_NonXtal_Prot#'!A:AL,12,FALSE)-VLOOKUP(B22,'SegEnds_NonXtal_Prot#'!A:AL,11,FALSE)</f>
        <v>1</v>
      </c>
      <c r="AG22" s="49">
        <f>VLOOKUP(B22,'SegEnds_NonXtal_Prot#'!A:AL,13,FALSE)-VLOOKUP(B22,'SegEnds_NonXtal_Prot#'!A:AL,11,FALSE)</f>
        <v>2</v>
      </c>
      <c r="AH22" s="49">
        <f>VLOOKUP(B22,'SegEnds_NonXtal_Prot#'!A:AL,16,FALSE)-VLOOKUP(B22,'SegEnds_NonXtal_Prot#'!A:AL,10,FALSE)</f>
        <v>50</v>
      </c>
      <c r="AI22" s="49">
        <f>VLOOKUP(B22,'SegEnds_NonXtal_Prot#'!A:AL,16,FALSE)-VLOOKUP(B22,'SegEnds_NonXtal_Prot#'!A:AL,11,FALSE)</f>
        <v>34</v>
      </c>
      <c r="AJ22" s="49">
        <f>VLOOKUP(B22,'SegEnds_NonXtal_Prot#'!A:AL,22,FALSE)-VLOOKUP(B22,'SegEnds_NonXtal_Prot#'!A:AL,19,FALSE)</f>
        <v>20</v>
      </c>
      <c r="AK22" s="49">
        <f>VLOOKUP(B22,'SegEnds_NonXtal_Prot#'!A:AL,15,FALSE)-VLOOKUP(B22,'SegEnds_NonXtal_Prot#'!A:AL,14,FALSE)</f>
        <v>1</v>
      </c>
      <c r="AL22" s="49">
        <f>VLOOKUP(B22,'SegEnds_NonXtal_Prot#'!A:AL,18,FALSE)-VLOOKUP(B22,'SegEnds_NonXtal_Prot#'!A:AL,17,FALSE)</f>
        <v>1</v>
      </c>
      <c r="AM22" s="2">
        <f>VLOOKUP(B22,'SegEnds_NonXtal_Prot#'!A:AL,34,FALSE)-VLOOKUP(B22,'SegEnds_NonXtal_Prot#'!A:AL,31,FALSE)</f>
        <v>45</v>
      </c>
      <c r="AN22" s="37"/>
    </row>
    <row r="23" spans="1:64" s="2" customFormat="1" x14ac:dyDescent="0.2">
      <c r="A23" s="2" t="s">
        <v>1268</v>
      </c>
      <c r="B23" s="2" t="s">
        <v>917</v>
      </c>
      <c r="C23" s="2">
        <f>IFERROR(50+VLOOKUP($A23,'SegEnds_Xtal_Prot#'!$A:$AY,5,FALSE)-VLOOKUP($B23,'SegEnds_NonXtal_Prot#'!$A:$AL,4,FALSE),"-")</f>
        <v>24</v>
      </c>
      <c r="D23" s="2">
        <f>IFERROR(50+VLOOKUP($A23,'SegEnds_Xtal_Prot#'!$A:$AY,7,FALSE)-VLOOKUP($B23,'SegEnds_NonXtal_Prot#'!$A:$AL,4,FALSE),"-")</f>
        <v>60</v>
      </c>
      <c r="E23" s="2">
        <f>IFERROR(50+VLOOKUP($A23,'SegEnds_Xtal_Prot#'!$A:$AY,9,FALSE)-VLOOKUP($B23,'SegEnds_NonXtal_Prot#'!$A:$AL,7,FALSE),"-")</f>
        <v>48</v>
      </c>
      <c r="F23" s="2">
        <f>IFERROR(50+VLOOKUP($A23,'SegEnds_Xtal_Prot#'!$A:$AY,11,FALSE)-VLOOKUP($B23,'SegEnds_NonXtal_Prot#'!$A:$AL,7,FALSE),"-")</f>
        <v>51</v>
      </c>
      <c r="G23" s="2">
        <f>IFERROR(50+VLOOKUP($A23,'SegEnds_Xtal_Prot#'!$A:$AY,13,FALSE)-VLOOKUP($B23,'SegEnds_NonXtal_Prot#'!$A:$AL,10,FALSE),"-")</f>
        <v>37</v>
      </c>
      <c r="H23" s="2">
        <f>IFERROR(50+VLOOKUP($A23,'SegEnds_Xtal_Prot#'!$A:$AY,15,FALSE)-VLOOKUP($B23,'SegEnds_NonXtal_Prot#'!$A:$AL,10,FALSE),"-")</f>
        <v>66</v>
      </c>
      <c r="I23" s="2" t="str">
        <f>IFERROR(50+VLOOKUP($A23,'SegEnds_Xtal_Prot#'!$A:$AY,17,FALSE)-VLOOKUP($B23,'SegEnds_NonXtal_Prot#'!$A:$AL,13,FALSE),"-")</f>
        <v>-</v>
      </c>
      <c r="J23" s="2" t="str">
        <f>IFERROR(50+VLOOKUP($A23,'SegEnds_Xtal_Prot#'!$A:$AY,19,FALSE)-VLOOKUP($B23,'SegEnds_NonXtal_Prot#'!$A:$AL,13,FALSE),"-")</f>
        <v>-</v>
      </c>
      <c r="K23" s="2">
        <f>IFERROR(50+VLOOKUP($A23,'SegEnds_Xtal_Prot#'!$A:$AY,21,FALSE)-VLOOKUP($B23,'SegEnds_NonXtal_Prot#'!$A:$AL,16,FALSE),"-")</f>
        <v>21</v>
      </c>
      <c r="L23" s="2">
        <f>IFERROR(50+VLOOKUP($A23,'SegEnds_Xtal_Prot#'!$A:$AY,23,FALSE)-VLOOKUP($B23,'SegEnds_NonXtal_Prot#'!$A:$AL,16,FALSE),"-")</f>
        <v>55</v>
      </c>
      <c r="M23" s="2" t="str">
        <f>IFERROR(50+VLOOKUP($A23,'SegEnds_Xtal_Prot#'!$A:$AY,25,FALSE)-VLOOKUP($B23,'SegEnds_NonXtal_Prot#'!$A:$AL,19,FALSE),"-")</f>
        <v>-</v>
      </c>
      <c r="N23" s="2" t="str">
        <f>IFERROR(50+VLOOKUP($A23,'SegEnds_Xtal_Prot#'!$A:$AY,27,FALSE)-VLOOKUP($B23,'SegEnds_NonXtal_Prot#'!$A:$AL,19,FALSE),"-")</f>
        <v>-</v>
      </c>
      <c r="O23" s="2">
        <f>IFERROR(50+VLOOKUP($A23,'SegEnds_Xtal_Prot#'!$A:$AY,29,FALSE)-VLOOKUP($B23,'SegEnds_NonXtal_Prot#'!$A:$AL,22,FALSE),"-")</f>
        <v>38</v>
      </c>
      <c r="P23" s="2">
        <f>IFERROR(50+VLOOKUP($A23,'SegEnds_Xtal_Prot#'!$A:$AY,31,FALSE)-VLOOKUP($B23,'SegEnds_NonXtal_Prot#'!$A:$AL,22,FALSE),"-")</f>
        <v>62</v>
      </c>
      <c r="Q23" s="2">
        <f>IFERROR(50+VLOOKUP($A23,'SegEnds_Xtal_Prot#'!$A:$AY,33,FALSE)-VLOOKUP($B23,'SegEnds_NonXtal_Prot#'!$A:$AL,25,FALSE),"-")</f>
        <v>50</v>
      </c>
      <c r="R23" s="2">
        <f>IFERROR(50+VLOOKUP($A23,'SegEnds_Xtal_Prot#'!$A:$AY,35,FALSE)-VLOOKUP($B23,'SegEnds_NonXtal_Prot#'!$A:$AL,25,FALSE),"-")</f>
        <v>52</v>
      </c>
      <c r="S23" s="2">
        <f>IFERROR(50+VLOOKUP($A23,'SegEnds_Xtal_Prot#'!$A:$AY,37,FALSE)-VLOOKUP($B23,'SegEnds_NonXtal_Prot#'!$A:$AL,28,FALSE),"-")</f>
        <v>33</v>
      </c>
      <c r="T23" s="2">
        <f>IFERROR(50+VLOOKUP($A23,'SegEnds_Xtal_Prot#'!$A:$AY,39,FALSE)-VLOOKUP($B23,'SegEnds_NonXtal_Prot#'!$A:$AL,28,FALSE),"-")</f>
        <v>68</v>
      </c>
      <c r="U23" s="2">
        <f>IFERROR(50+VLOOKUP($A23,'SegEnds_Xtal_Prot#'!$A:$AY,41,FALSE)-VLOOKUP($B23,'SegEnds_NonXtal_Prot#'!$A:$AL,31,FALSE),"-")</f>
        <v>29</v>
      </c>
      <c r="V23" s="2">
        <f>IFERROR(50+VLOOKUP($A23,'SegEnds_Xtal_Prot#'!$A:$AY,43,FALSE)-VLOOKUP($B23,'SegEnds_NonXtal_Prot#'!$A:$AL,31,FALSE),"-")</f>
        <v>64</v>
      </c>
      <c r="W23" s="2">
        <f>IFERROR(50+VLOOKUP($A23,'SegEnds_Xtal_Prot#'!$A:$AY,45,FALSE)-VLOOKUP($B23,'SegEnds_NonXtal_Prot#'!$A:$AL,34,FALSE),"-")</f>
        <v>24</v>
      </c>
      <c r="X23" s="2">
        <f>IFERROR(50+VLOOKUP($A23,'SegEnds_Xtal_Prot#'!$A:$AY,47,FALSE)-VLOOKUP($B23,'SegEnds_NonXtal_Prot#'!$A:$AL,34,FALSE),"-")</f>
        <v>56</v>
      </c>
      <c r="Y23" s="2">
        <f>IFERROR(50+VLOOKUP($A23,'SegEnds_Xtal_Prot#'!$A:$AY,49,FALSE)-VLOOKUP($B23,'SegEnds_NonXtal_Prot#'!$A:$AL,37,FALSE),"-")</f>
        <v>47</v>
      </c>
      <c r="Z23" s="2">
        <f>IFERROR(50+VLOOKUP($A23,'SegEnds_Xtal_Prot#'!$A:$AY,51,FALSE)-VLOOKUP($B23,'SegEnds_NonXtal_Prot#'!$A:$AL,37,FALSE),"-")</f>
        <v>62</v>
      </c>
      <c r="AA23" s="49" t="str">
        <f>VLOOKUP(B23,Classification!A:D,2,FALSE)</f>
        <v>A</v>
      </c>
      <c r="AB23" s="94" t="str">
        <f>VLOOKUP(B23,Classification!A:D,4,0)</f>
        <v>Chemokine</v>
      </c>
      <c r="AC23" s="49">
        <f>VLOOKUP(B23,'SegEnds_NonXtal_Prot#'!A:AL,6,FALSE)-VLOOKUP(B23,'SegEnds_NonXtal_Prot#'!A:AL,5,FALSE)</f>
        <v>1</v>
      </c>
      <c r="AD23" s="49">
        <f>VLOOKUP(B23,'SegEnds_NonXtal_Prot#'!A:AL,9,FALSE)-VLOOKUP(B23,'SegEnds_NonXtal_Prot#'!A:AL,8,FALSE)</f>
        <v>1</v>
      </c>
      <c r="AE23" s="49" t="e">
        <f>VLOOKUP(B23,'SegEnds_NonXtal_Prot#'!A:AL,13,FALSE)-VLOOKUP(B23,'SegEnds_NonXtal_Prot#'!A:AL,10,FALSE)</f>
        <v>#VALUE!</v>
      </c>
      <c r="AF23" s="49" t="e">
        <f>VLOOKUP(B23,'SegEnds_NonXtal_Prot#'!A:AL,12,FALSE)-VLOOKUP(B23,'SegEnds_NonXtal_Prot#'!A:AL,11,FALSE)</f>
        <v>#VALUE!</v>
      </c>
      <c r="AG23" s="49" t="e">
        <f>VLOOKUP(B23,'SegEnds_NonXtal_Prot#'!A:AL,13,FALSE)-VLOOKUP(B23,'SegEnds_NonXtal_Prot#'!A:AL,11,FALSE)</f>
        <v>#VALUE!</v>
      </c>
      <c r="AH23" s="49">
        <f>VLOOKUP(B23,'SegEnds_NonXtal_Prot#'!A:AL,16,FALSE)-VLOOKUP(B23,'SegEnds_NonXtal_Prot#'!A:AL,10,FALSE)</f>
        <v>50</v>
      </c>
      <c r="AI23" s="49">
        <f>VLOOKUP(B23,'SegEnds_NonXtal_Prot#'!A:AL,16,FALSE)-VLOOKUP(B23,'SegEnds_NonXtal_Prot#'!A:AL,11,FALSE)</f>
        <v>34</v>
      </c>
      <c r="AJ23" s="49" t="e">
        <f>VLOOKUP(B23,'SegEnds_NonXtal_Prot#'!A:AL,22,FALSE)-VLOOKUP(B23,'SegEnds_NonXtal_Prot#'!A:AL,19,FALSE)</f>
        <v>#VALUE!</v>
      </c>
      <c r="AK23" s="49" t="e">
        <f>VLOOKUP(B23,'SegEnds_NonXtal_Prot#'!A:AL,15,FALSE)-VLOOKUP(B23,'SegEnds_NonXtal_Prot#'!A:AL,14,FALSE)</f>
        <v>#VALUE!</v>
      </c>
      <c r="AL23" s="49" t="e">
        <f>VLOOKUP(B23,'SegEnds_NonXtal_Prot#'!A:AL,18,FALSE)-VLOOKUP(B23,'SegEnds_NonXtal_Prot#'!A:AL,17,FALSE)</f>
        <v>#VALUE!</v>
      </c>
      <c r="AM23" s="2">
        <f>VLOOKUP(B23,'SegEnds_NonXtal_Prot#'!A:AL,34,FALSE)-VLOOKUP(B23,'SegEnds_NonXtal_Prot#'!A:AL,31,FALSE)</f>
        <v>45</v>
      </c>
      <c r="AN23" s="37"/>
    </row>
    <row r="24" spans="1:64" s="2" customFormat="1" x14ac:dyDescent="0.2">
      <c r="A24" s="2" t="s">
        <v>1247</v>
      </c>
      <c r="B24" s="2" t="s">
        <v>173</v>
      </c>
      <c r="C24" s="2">
        <f>IFERROR(50+VLOOKUP($A24,'SegEnds_Xtal_Prot#'!$A:$AY,5,FALSE)-VLOOKUP($B24,'SegEnds_NonXtal_Prot#'!$A:$AL,4,FALSE),"-")</f>
        <v>24</v>
      </c>
      <c r="D24" s="2">
        <f>IFERROR(50+VLOOKUP($A24,'SegEnds_Xtal_Prot#'!$A:$AY,7,FALSE)-VLOOKUP($B24,'SegEnds_NonXtal_Prot#'!$A:$AL,4,FALSE),"-")</f>
        <v>60</v>
      </c>
      <c r="E24" s="2">
        <f>IFERROR(50+VLOOKUP($A24,'SegEnds_Xtal_Prot#'!$A:$AY,9,FALSE)-VLOOKUP($B24,'SegEnds_NonXtal_Prot#'!$A:$AL,7,FALSE),"-")</f>
        <v>48</v>
      </c>
      <c r="F24" s="2">
        <f>IFERROR(50+VLOOKUP($A24,'SegEnds_Xtal_Prot#'!$A:$AY,11,FALSE)-VLOOKUP($B24,'SegEnds_NonXtal_Prot#'!$A:$AL,7,FALSE),"-")</f>
        <v>51</v>
      </c>
      <c r="G24" s="2">
        <f>IFERROR(50+VLOOKUP($A24,'SegEnds_Xtal_Prot#'!$A:$AY,13,FALSE)-VLOOKUP($B24,'SegEnds_NonXtal_Prot#'!$A:$AL,10,FALSE),"-")</f>
        <v>37</v>
      </c>
      <c r="H24" s="2">
        <f>IFERROR(50+VLOOKUP($A24,'SegEnds_Xtal_Prot#'!$A:$AY,15,FALSE)-VLOOKUP($B24,'SegEnds_NonXtal_Prot#'!$A:$AL,10,FALSE),"-")</f>
        <v>66</v>
      </c>
      <c r="I24" s="2">
        <f>IFERROR(50+VLOOKUP($A24,'SegEnds_Xtal_Prot#'!$A:$AY,17,FALSE)-VLOOKUP($B24,'SegEnds_NonXtal_Prot#'!$A:$AL,13,FALSE),"-")</f>
        <v>49</v>
      </c>
      <c r="J24" s="2">
        <f>IFERROR(50+VLOOKUP($A24,'SegEnds_Xtal_Prot#'!$A:$AY,19,FALSE)-VLOOKUP($B24,'SegEnds_NonXtal_Prot#'!$A:$AL,13,FALSE),"-")</f>
        <v>52</v>
      </c>
      <c r="K24" s="2">
        <f>IFERROR(50+VLOOKUP($A24,'SegEnds_Xtal_Prot#'!$A:$AY,21,FALSE)-VLOOKUP($B24,'SegEnds_NonXtal_Prot#'!$A:$AL,16,FALSE),"-")</f>
        <v>21</v>
      </c>
      <c r="L24" s="2">
        <f>IFERROR(50+VLOOKUP($A24,'SegEnds_Xtal_Prot#'!$A:$AY,23,FALSE)-VLOOKUP($B24,'SegEnds_NonXtal_Prot#'!$A:$AL,16,FALSE),"-")</f>
        <v>56</v>
      </c>
      <c r="M24" s="2">
        <f>IFERROR(50+VLOOKUP($A24,'SegEnds_Xtal_Prot#'!$A:$AY,25,FALSE)-VLOOKUP($B24,'SegEnds_NonXtal_Prot#'!$A:$AL,19,FALSE),"-")</f>
        <v>50</v>
      </c>
      <c r="N24" s="2">
        <f>IFERROR(50+VLOOKUP($A24,'SegEnds_Xtal_Prot#'!$A:$AY,27,FALSE)-VLOOKUP($B24,'SegEnds_NonXtal_Prot#'!$A:$AL,19,FALSE),"-")</f>
        <v>57</v>
      </c>
      <c r="O24" s="2">
        <f>IFERROR(50+VLOOKUP($A24,'SegEnds_Xtal_Prot#'!$A:$AY,29,FALSE)-VLOOKUP($B24,'SegEnds_NonXtal_Prot#'!$A:$AL,22,FALSE),"-")</f>
        <v>38</v>
      </c>
      <c r="P24" s="2">
        <f>IFERROR(50+VLOOKUP($A24,'SegEnds_Xtal_Prot#'!$A:$AY,31,FALSE)-VLOOKUP($B24,'SegEnds_NonXtal_Prot#'!$A:$AL,22,FALSE),"-")</f>
        <v>64</v>
      </c>
      <c r="Q24" s="2">
        <f>IFERROR(50+VLOOKUP($A24,'SegEnds_Xtal_Prot#'!$A:$AY,33,FALSE)-VLOOKUP($B24,'SegEnds_NonXtal_Prot#'!$A:$AL,25,FALSE),"-")</f>
        <v>50</v>
      </c>
      <c r="R24" s="2">
        <f>IFERROR(50+VLOOKUP($A24,'SegEnds_Xtal_Prot#'!$A:$AY,35,FALSE)-VLOOKUP($B24,'SegEnds_NonXtal_Prot#'!$A:$AL,25,FALSE),"-")</f>
        <v>52</v>
      </c>
      <c r="S24" s="2">
        <f>IFERROR(50+VLOOKUP($A24,'SegEnds_Xtal_Prot#'!$A:$AY,37,FALSE)-VLOOKUP($B24,'SegEnds_NonXtal_Prot#'!$A:$AL,28,FALSE),"-")</f>
        <v>30</v>
      </c>
      <c r="T24" s="2">
        <f>IFERROR(50+VLOOKUP($A24,'SegEnds_Xtal_Prot#'!$A:$AY,39,FALSE)-VLOOKUP($B24,'SegEnds_NonXtal_Prot#'!$A:$AL,28,FALSE),"-")</f>
        <v>68</v>
      </c>
      <c r="U24" s="2">
        <f>IFERROR(50+VLOOKUP($A24,'SegEnds_Xtal_Prot#'!$A:$AY,41,FALSE)-VLOOKUP($B24,'SegEnds_NonXtal_Prot#'!$A:$AL,31,FALSE),"-")</f>
        <v>28</v>
      </c>
      <c r="V24" s="2">
        <f>IFERROR(50+VLOOKUP($A24,'SegEnds_Xtal_Prot#'!$A:$AY,43,FALSE)-VLOOKUP($B24,'SegEnds_NonXtal_Prot#'!$A:$AL,31,FALSE),"-")</f>
        <v>65</v>
      </c>
      <c r="W24" s="2">
        <f>IFERROR(50+VLOOKUP($A24,'SegEnds_Xtal_Prot#'!$A:$AY,45,FALSE)-VLOOKUP($B24,'SegEnds_NonXtal_Prot#'!$A:$AL,34,FALSE),"-")</f>
        <v>24</v>
      </c>
      <c r="X24" s="2">
        <f>IFERROR(50+VLOOKUP($A24,'SegEnds_Xtal_Prot#'!$A:$AY,47,FALSE)-VLOOKUP($B24,'SegEnds_NonXtal_Prot#'!$A:$AL,34,FALSE),"-")</f>
        <v>56</v>
      </c>
      <c r="Y24" s="2">
        <f>IFERROR(50+VLOOKUP($A24,'SegEnds_Xtal_Prot#'!$A:$AY,49,FALSE)-VLOOKUP($B24,'SegEnds_NonXtal_Prot#'!$A:$AL,37,FALSE),"-")</f>
        <v>47</v>
      </c>
      <c r="Z24" s="2">
        <f>IFERROR(50+VLOOKUP($A24,'SegEnds_Xtal_Prot#'!$A:$AY,51,FALSE)-VLOOKUP($B24,'SegEnds_NonXtal_Prot#'!$A:$AL,37,FALSE),"-")</f>
        <v>59</v>
      </c>
      <c r="AA24" s="49" t="str">
        <f>VLOOKUP(B24,Classification!A:D,2,FALSE)</f>
        <v>A</v>
      </c>
      <c r="AB24" s="94" t="str">
        <f>VLOOKUP(B24,Classification!A:D,4,0)</f>
        <v>Chemokine</v>
      </c>
      <c r="AC24" s="49">
        <f>VLOOKUP(B24,'SegEnds_NonXtal_Prot#'!A:AL,6,FALSE)-VLOOKUP(B24,'SegEnds_NonXtal_Prot#'!A:AL,5,FALSE)</f>
        <v>1</v>
      </c>
      <c r="AD24" s="49">
        <f>VLOOKUP(B24,'SegEnds_NonXtal_Prot#'!A:AL,9,FALSE)-VLOOKUP(B24,'SegEnds_NonXtal_Prot#'!A:AL,8,FALSE)</f>
        <v>1</v>
      </c>
      <c r="AE24" s="49">
        <f>VLOOKUP(B24,'SegEnds_NonXtal_Prot#'!A:AL,13,FALSE)-VLOOKUP(B24,'SegEnds_NonXtal_Prot#'!A:AL,10,FALSE)</f>
        <v>18</v>
      </c>
      <c r="AF24" s="49">
        <f>VLOOKUP(B24,'SegEnds_NonXtal_Prot#'!A:AL,12,FALSE)-VLOOKUP(B24,'SegEnds_NonXtal_Prot#'!A:AL,11,FALSE)</f>
        <v>1</v>
      </c>
      <c r="AG24" s="49">
        <f>VLOOKUP(B24,'SegEnds_NonXtal_Prot#'!A:AL,13,FALSE)-VLOOKUP(B24,'SegEnds_NonXtal_Prot#'!A:AL,11,FALSE)</f>
        <v>2</v>
      </c>
      <c r="AH24" s="49">
        <f>VLOOKUP(B24,'SegEnds_NonXtal_Prot#'!A:AL,16,FALSE)-VLOOKUP(B24,'SegEnds_NonXtal_Prot#'!A:AL,10,FALSE)</f>
        <v>50</v>
      </c>
      <c r="AI24" s="49">
        <f>VLOOKUP(B24,'SegEnds_NonXtal_Prot#'!A:AL,15,FALSE)-VLOOKUP(B24,'SegEnds_NonXtal_Prot#'!A:AL,11,FALSE)</f>
        <v>5</v>
      </c>
      <c r="AJ24" s="49">
        <f>VLOOKUP(B24,'SegEnds_NonXtal_Prot#'!A:AL,22,FALSE)-VLOOKUP(B24,'SegEnds_NonXtal_Prot#'!A:AL,19,FALSE)</f>
        <v>20</v>
      </c>
      <c r="AK24" s="49">
        <f>VLOOKUP(B24,'SegEnds_NonXtal_Prot#'!A:AL,15,FALSE)-VLOOKUP(B24,'SegEnds_NonXtal_Prot#'!A:AL,14,FALSE)</f>
        <v>1</v>
      </c>
      <c r="AL24" s="49">
        <f>VLOOKUP(B24,'SegEnds_NonXtal_Prot#'!A:AL,18,FALSE)-VLOOKUP(B24,'SegEnds_NonXtal_Prot#'!A:AL,17,FALSE)</f>
        <v>1</v>
      </c>
      <c r="AM24" s="2">
        <f>VLOOKUP(B24,'SegEnds_NonXtal_Prot#'!A:AL,34,FALSE)-VLOOKUP(B24,'SegEnds_NonXtal_Prot#'!A:AL,31,FALSE)</f>
        <v>44</v>
      </c>
      <c r="AN24" s="37"/>
    </row>
    <row r="25" spans="1:64" s="2" customFormat="1" x14ac:dyDescent="0.2">
      <c r="A25" s="2" t="s">
        <v>1323</v>
      </c>
      <c r="B25" s="2" t="s">
        <v>196</v>
      </c>
      <c r="C25" s="2">
        <f>IFERROR(50+VLOOKUP($A25,'SegEnds_Xtal_Prot#'!$A:$AY,5,FALSE)-VLOOKUP($B25,'SegEnds_NonXtal_Prot#'!$A:$AL,4,FALSE),"-")</f>
        <v>22</v>
      </c>
      <c r="D25" s="2">
        <f>IFERROR(50+VLOOKUP($A25,'SegEnds_Xtal_Prot#'!$A:$AY,7,FALSE)-VLOOKUP($B25,'SegEnds_NonXtal_Prot#'!$A:$AL,4,FALSE),"-")</f>
        <v>60</v>
      </c>
      <c r="E25" s="2">
        <f>IFERROR(50+VLOOKUP($A25,'SegEnds_Xtal_Prot#'!$A:$AY,9,FALSE)-VLOOKUP($B25,'SegEnds_NonXtal_Prot#'!$A:$AL,7,FALSE),"-")</f>
        <v>48</v>
      </c>
      <c r="F25" s="2">
        <f>IFERROR(50+VLOOKUP($A25,'SegEnds_Xtal_Prot#'!$A:$AY,11,FALSE)-VLOOKUP($B25,'SegEnds_NonXtal_Prot#'!$A:$AL,7,FALSE),"-")</f>
        <v>52</v>
      </c>
      <c r="G25" s="2">
        <f>IFERROR(50+VLOOKUP($A25,'SegEnds_Xtal_Prot#'!$A:$AY,13,FALSE)-VLOOKUP($B25,'SegEnds_NonXtal_Prot#'!$A:$AL,10,FALSE),"-")</f>
        <v>38</v>
      </c>
      <c r="H25" s="2">
        <f>IFERROR(50+VLOOKUP($A25,'SegEnds_Xtal_Prot#'!$A:$AY,15,FALSE)-VLOOKUP($B25,'SegEnds_NonXtal_Prot#'!$A:$AL,10,FALSE),"-")</f>
        <v>67</v>
      </c>
      <c r="I25" s="2">
        <f>IFERROR(50+VLOOKUP($A25,'SegEnds_Xtal_Prot#'!$A:$AY,17,FALSE)-VLOOKUP($B25,'SegEnds_NonXtal_Prot#'!$A:$AL,13,FALSE),"-")</f>
        <v>49</v>
      </c>
      <c r="J25" s="2">
        <f>IFERROR(50+VLOOKUP($A25,'SegEnds_Xtal_Prot#'!$A:$AY,19,FALSE)-VLOOKUP($B25,'SegEnds_NonXtal_Prot#'!$A:$AL,13,FALSE),"-")</f>
        <v>52</v>
      </c>
      <c r="K25" s="2">
        <f>IFERROR(50+VLOOKUP($A25,'SegEnds_Xtal_Prot#'!$A:$AY,21,FALSE)-VLOOKUP($B25,'SegEnds_NonXtal_Prot#'!$A:$AL,16,FALSE),"-")</f>
        <v>21</v>
      </c>
      <c r="L25" s="2">
        <f>IFERROR(50+VLOOKUP($A25,'SegEnds_Xtal_Prot#'!$A:$AY,23,FALSE)-VLOOKUP($B25,'SegEnds_NonXtal_Prot#'!$A:$AL,16,FALSE),"-")</f>
        <v>56</v>
      </c>
      <c r="M25" s="2">
        <f>IFERROR(50+VLOOKUP($A25,'SegEnds_Xtal_Prot#'!$A:$AY,25,FALSE)-VLOOKUP($B25,'SegEnds_NonXtal_Prot#'!$A:$AL,19,FALSE),"-")</f>
        <v>50</v>
      </c>
      <c r="N25" s="2">
        <f>IFERROR(50+VLOOKUP($A25,'SegEnds_Xtal_Prot#'!$A:$AY,27,FALSE)-VLOOKUP($B25,'SegEnds_NonXtal_Prot#'!$A:$AL,19,FALSE),"-")</f>
        <v>57</v>
      </c>
      <c r="O25" s="2">
        <f>IFERROR(50+VLOOKUP($A25,'SegEnds_Xtal_Prot#'!$A:$AY,29,FALSE)-VLOOKUP($B25,'SegEnds_NonXtal_Prot#'!$A:$AL,22,FALSE),"-")</f>
        <v>38</v>
      </c>
      <c r="P25" s="2">
        <f>IFERROR(50+VLOOKUP($A25,'SegEnds_Xtal_Prot#'!$A:$AY,31,FALSE)-VLOOKUP($B25,'SegEnds_NonXtal_Prot#'!$A:$AL,22,FALSE),"-")</f>
        <v>64</v>
      </c>
      <c r="Q25" s="2">
        <f>IFERROR(50+VLOOKUP($A25,'SegEnds_Xtal_Prot#'!$A:$AY,33,FALSE)-VLOOKUP($B25,'SegEnds_NonXtal_Prot#'!$A:$AL,25,FALSE),"-")</f>
        <v>50</v>
      </c>
      <c r="R25" s="2">
        <f>IFERROR(50+VLOOKUP($A25,'SegEnds_Xtal_Prot#'!$A:$AY,35,FALSE)-VLOOKUP($B25,'SegEnds_NonXtal_Prot#'!$A:$AL,25,FALSE),"-")</f>
        <v>52</v>
      </c>
      <c r="S25" s="2">
        <f>IFERROR(50+VLOOKUP($A25,'SegEnds_Xtal_Prot#'!$A:$AY,37,FALSE)-VLOOKUP($B25,'SegEnds_NonXtal_Prot#'!$A:$AL,28,FALSE),"-")</f>
        <v>28</v>
      </c>
      <c r="T25" s="2">
        <f>IFERROR(50+VLOOKUP($A25,'SegEnds_Xtal_Prot#'!$A:$AY,39,FALSE)-VLOOKUP($B25,'SegEnds_NonXtal_Prot#'!$A:$AL,28,FALSE),"-")</f>
        <v>72</v>
      </c>
      <c r="U25" s="2">
        <f>IFERROR(50+VLOOKUP($A25,'SegEnds_Xtal_Prot#'!$A:$AY,41,FALSE)-VLOOKUP($B25,'SegEnds_NonXtal_Prot#'!$A:$AL,31,FALSE),"-")</f>
        <v>24</v>
      </c>
      <c r="V25" s="2">
        <f>IFERROR(50+VLOOKUP($A25,'SegEnds_Xtal_Prot#'!$A:$AY,43,FALSE)-VLOOKUP($B25,'SegEnds_NonXtal_Prot#'!$A:$AL,31,FALSE),"-")</f>
        <v>62</v>
      </c>
      <c r="W25" s="2">
        <f>IFERROR(50+VLOOKUP($A25,'SegEnds_Xtal_Prot#'!$A:$AY,45,FALSE)-VLOOKUP($B25,'SegEnds_NonXtal_Prot#'!$A:$AL,34,FALSE),"-")</f>
        <v>24</v>
      </c>
      <c r="X25" s="2">
        <f>IFERROR(50+VLOOKUP($A25,'SegEnds_Xtal_Prot#'!$A:$AY,47,FALSE)-VLOOKUP($B25,'SegEnds_NonXtal_Prot#'!$A:$AL,34,FALSE),"-")</f>
        <v>56</v>
      </c>
      <c r="Y25" s="2">
        <f>IFERROR(50+VLOOKUP($A25,'SegEnds_Xtal_Prot#'!$A:$AY,49,FALSE)-VLOOKUP($B25,'SegEnds_NonXtal_Prot#'!$A:$AL,37,FALSE),"-")</f>
        <v>47</v>
      </c>
      <c r="Z25" s="2">
        <f>IFERROR(50+VLOOKUP($A25,'SegEnds_Xtal_Prot#'!$A:$AY,51,FALSE)-VLOOKUP($B25,'SegEnds_NonXtal_Prot#'!$A:$AL,37,FALSE),"-")</f>
        <v>60</v>
      </c>
      <c r="AA25" s="49" t="str">
        <f>VLOOKUP(B25,Classification!A:D,2,FALSE)</f>
        <v>A</v>
      </c>
      <c r="AB25" s="94" t="str">
        <f>VLOOKUP(B25,Classification!A:D,4,0)</f>
        <v>Endothelin</v>
      </c>
      <c r="AC25" s="49">
        <f>VLOOKUP(B25,'SegEnds_NonXtal_Prot#'!A:AL,6,FALSE)-VLOOKUP(B25,'SegEnds_NonXtal_Prot#'!A:AL,5,FALSE)</f>
        <v>1</v>
      </c>
      <c r="AD25" s="49">
        <f>VLOOKUP(B25,'SegEnds_NonXtal_Prot#'!A:AL,9,FALSE)-VLOOKUP(B25,'SegEnds_NonXtal_Prot#'!A:AL,8,FALSE)</f>
        <v>1</v>
      </c>
      <c r="AE25" s="49">
        <f>VLOOKUP(B25,'SegEnds_NonXtal_Prot#'!A:AL,13,FALSE)-VLOOKUP(B25,'SegEnds_NonXtal_Prot#'!A:AL,10,FALSE)</f>
        <v>20</v>
      </c>
      <c r="AF25" s="49">
        <f>VLOOKUP(B25,'SegEnds_NonXtal_Prot#'!A:AL,12,FALSE)-VLOOKUP(B25,'SegEnds_NonXtal_Prot#'!A:AL,11,FALSE)</f>
        <v>2</v>
      </c>
      <c r="AG25" s="49">
        <f>VLOOKUP(B25,'SegEnds_NonXtal_Prot#'!A:AL,13,FALSE)-VLOOKUP(B25,'SegEnds_NonXtal_Prot#'!A:AL,11,FALSE)</f>
        <v>3</v>
      </c>
      <c r="AH25" s="49">
        <f>VLOOKUP(B25,'SegEnds_NonXtal_Prot#'!A:AL,16,FALSE)-VLOOKUP(B25,'SegEnds_NonXtal_Prot#'!A:AL,10,FALSE)</f>
        <v>52</v>
      </c>
      <c r="AI25" s="49">
        <f>VLOOKUP(B25,'SegEnds_NonXtal_Prot#'!A:AL,16,FALSE)-VLOOKUP(B25,'SegEnds_NonXtal_Prot#'!A:AL,11,FALSE)</f>
        <v>35</v>
      </c>
      <c r="AJ25" s="49">
        <f>VLOOKUP(B25,'SegEnds_NonXtal_Prot#'!A:AL,22,FALSE)-VLOOKUP(B25,'SegEnds_NonXtal_Prot#'!A:AL,19,FALSE)</f>
        <v>20</v>
      </c>
      <c r="AK25" s="49">
        <f>VLOOKUP(B25,'SegEnds_NonXtal_Prot#'!A:AL,15,FALSE)-VLOOKUP(B25,'SegEnds_NonXtal_Prot#'!A:AL,14,FALSE)</f>
        <v>1</v>
      </c>
      <c r="AL25" s="49">
        <f>VLOOKUP(B25,'SegEnds_NonXtal_Prot#'!A:AL,18,FALSE)-VLOOKUP(B25,'SegEnds_NonXtal_Prot#'!A:AL,17,FALSE)</f>
        <v>1</v>
      </c>
      <c r="AM25" s="2">
        <f>VLOOKUP(B25,'SegEnds_NonXtal_Prot#'!A:AL,34,FALSE)-VLOOKUP(B25,'SegEnds_NonXtal_Prot#'!A:AL,31,FALSE)</f>
        <v>45</v>
      </c>
      <c r="AN25" s="37"/>
    </row>
    <row r="26" spans="1:64" s="2" customFormat="1" x14ac:dyDescent="0.2">
      <c r="A26" s="2" t="s">
        <v>1250</v>
      </c>
      <c r="B26" s="2" t="s">
        <v>1166</v>
      </c>
      <c r="C26" s="2">
        <f>IFERROR(50+VLOOKUP($A26,'SegEnds_Xtal_Prot#'!$A:$AY,5,FALSE)-VLOOKUP($B26,'SegEnds_NonXtal_Prot#'!$A:$AL,4,FALSE),"-")</f>
        <v>31</v>
      </c>
      <c r="D26" s="2">
        <f>IFERROR(50+VLOOKUP($A26,'SegEnds_Xtal_Prot#'!$A:$AY,7,FALSE)-VLOOKUP($B26,'SegEnds_NonXtal_Prot#'!$A:$AL,4,FALSE),"-")</f>
        <v>64</v>
      </c>
      <c r="E26" s="2" t="str">
        <f>IFERROR(50+VLOOKUP($A26,'SegEnds_Xtal_Prot#'!$A:$AY,9,FALSE)-VLOOKUP($B26,'SegEnds_NonXtal_Prot#'!$A:$AL,7,FALSE),"-")</f>
        <v>-</v>
      </c>
      <c r="F26" s="2" t="str">
        <f>IFERROR(50+VLOOKUP($A26,'SegEnds_Xtal_Prot#'!$A:$AY,11,FALSE)-VLOOKUP($B26,'SegEnds_NonXtal_Prot#'!$A:$AL,7,FALSE),"-")</f>
        <v>-</v>
      </c>
      <c r="G26" s="2">
        <f>IFERROR(50+VLOOKUP($A26,'SegEnds_Xtal_Prot#'!$A:$AY,13,FALSE)-VLOOKUP($B26,'SegEnds_NonXtal_Prot#'!$A:$AL,10,FALSE),"-")</f>
        <v>37</v>
      </c>
      <c r="H26" s="2">
        <f>IFERROR(50+VLOOKUP($A26,'SegEnds_Xtal_Prot#'!$A:$AY,15,FALSE)-VLOOKUP($B26,'SegEnds_NonXtal_Prot#'!$A:$AL,10,FALSE),"-")</f>
        <v>67</v>
      </c>
      <c r="I26" s="2">
        <f>IFERROR(50+VLOOKUP($A26,'SegEnds_Xtal_Prot#'!$A:$AY,17,FALSE)-VLOOKUP($B26,'SegEnds_NonXtal_Prot#'!$A:$AL,13,FALSE),"-")</f>
        <v>49</v>
      </c>
      <c r="J26" s="2">
        <f>IFERROR(50+VLOOKUP($A26,'SegEnds_Xtal_Prot#'!$A:$AY,19,FALSE)-VLOOKUP($B26,'SegEnds_NonXtal_Prot#'!$A:$AL,13,FALSE),"-")</f>
        <v>52</v>
      </c>
      <c r="K26" s="2">
        <f>IFERROR(50+VLOOKUP($A26,'SegEnds_Xtal_Prot#'!$A:$AY,21,FALSE)-VLOOKUP($B26,'SegEnds_NonXtal_Prot#'!$A:$AL,16,FALSE),"-")</f>
        <v>21</v>
      </c>
      <c r="L26" s="2">
        <f>IFERROR(50+VLOOKUP($A26,'SegEnds_Xtal_Prot#'!$A:$AY,23,FALSE)-VLOOKUP($B26,'SegEnds_NonXtal_Prot#'!$A:$AL,16,FALSE),"-")</f>
        <v>56</v>
      </c>
      <c r="M26" s="2">
        <f>IFERROR(50+VLOOKUP($A26,'SegEnds_Xtal_Prot#'!$A:$AY,25,FALSE)-VLOOKUP($B26,'SegEnds_NonXtal_Prot#'!$A:$AL,19,FALSE),"-")</f>
        <v>50</v>
      </c>
      <c r="N26" s="2">
        <f>IFERROR(50+VLOOKUP($A26,'SegEnds_Xtal_Prot#'!$A:$AY,27,FALSE)-VLOOKUP($B26,'SegEnds_NonXtal_Prot#'!$A:$AL,19,FALSE),"-")</f>
        <v>57</v>
      </c>
      <c r="O26" s="2">
        <f>IFERROR(50+VLOOKUP($A26,'SegEnds_Xtal_Prot#'!$A:$AY,29,FALSE)-VLOOKUP($B26,'SegEnds_NonXtal_Prot#'!$A:$AL,22,FALSE),"-")</f>
        <v>38</v>
      </c>
      <c r="P26" s="2">
        <f>IFERROR(50+VLOOKUP($A26,'SegEnds_Xtal_Prot#'!$A:$AY,31,FALSE)-VLOOKUP($B26,'SegEnds_NonXtal_Prot#'!$A:$AL,22,FALSE),"-")</f>
        <v>65</v>
      </c>
      <c r="Q26" s="2">
        <f>IFERROR(50+VLOOKUP($A26,'SegEnds_Xtal_Prot#'!$A:$AY,33,FALSE)-VLOOKUP($B26,'SegEnds_NonXtal_Prot#'!$A:$AL,25,FALSE),"-")</f>
        <v>50</v>
      </c>
      <c r="R26" s="2">
        <f>IFERROR(50+VLOOKUP($A26,'SegEnds_Xtal_Prot#'!$A:$AY,35,FALSE)-VLOOKUP($B26,'SegEnds_NonXtal_Prot#'!$A:$AL,25,FALSE),"-")</f>
        <v>52</v>
      </c>
      <c r="S26" s="2">
        <f>IFERROR(50+VLOOKUP($A26,'SegEnds_Xtal_Prot#'!$A:$AY,37,FALSE)-VLOOKUP($B26,'SegEnds_NonXtal_Prot#'!$A:$AL,28,FALSE),"-")</f>
        <v>31</v>
      </c>
      <c r="T26" s="2">
        <f>IFERROR(50+VLOOKUP($A26,'SegEnds_Xtal_Prot#'!$A:$AY,39,FALSE)-VLOOKUP($B26,'SegEnds_NonXtal_Prot#'!$A:$AL,28,FALSE),"-")</f>
        <v>67</v>
      </c>
      <c r="U26" s="2">
        <f>IFERROR(50+VLOOKUP($A26,'SegEnds_Xtal_Prot#'!$A:$AY,41,FALSE)-VLOOKUP($B26,'SegEnds_NonXtal_Prot#'!$A:$AL,31,FALSE),"-")</f>
        <v>28</v>
      </c>
      <c r="V26" s="2">
        <f>IFERROR(50+VLOOKUP($A26,'SegEnds_Xtal_Prot#'!$A:$AY,43,FALSE)-VLOOKUP($B26,'SegEnds_NonXtal_Prot#'!$A:$AL,31,FALSE),"-")</f>
        <v>61</v>
      </c>
      <c r="W26" s="2">
        <f>IFERROR(50+VLOOKUP($A26,'SegEnds_Xtal_Prot#'!$A:$AY,45,FALSE)-VLOOKUP($B26,'SegEnds_NonXtal_Prot#'!$A:$AL,34,FALSE),"-")</f>
        <v>32</v>
      </c>
      <c r="X26" s="2">
        <f>IFERROR(50+VLOOKUP($A26,'SegEnds_Xtal_Prot#'!$A:$AY,47,FALSE)-VLOOKUP($B26,'SegEnds_NonXtal_Prot#'!$A:$AL,34,FALSE),"-")</f>
        <v>56</v>
      </c>
      <c r="Y26" s="2">
        <f>IFERROR(50+VLOOKUP($A26,'SegEnds_Xtal_Prot#'!$A:$AY,49,FALSE)-VLOOKUP($B26,'SegEnds_NonXtal_Prot#'!$A:$AL,37,FALSE),"-")</f>
        <v>47</v>
      </c>
      <c r="Z26" s="2">
        <f>IFERROR(50+VLOOKUP($A26,'SegEnds_Xtal_Prot#'!$A:$AY,51,FALSE)-VLOOKUP($B26,'SegEnds_NonXtal_Prot#'!$A:$AL,37,FALSE),"-")</f>
        <v>61</v>
      </c>
      <c r="AA26" s="49" t="str">
        <f>VLOOKUP(B26,Classification!A:D,2,FALSE)</f>
        <v>A</v>
      </c>
      <c r="AB26" s="94" t="str">
        <f>VLOOKUP(B26,Classification!A:D,4,0)</f>
        <v>Freefattyacid</v>
      </c>
      <c r="AC26" s="49" t="e">
        <f>VLOOKUP(B26,'SegEnds_NonXtal_Prot#'!A:AL,6,FALSE)-VLOOKUP(B26,'SegEnds_NonXtal_Prot#'!A:AL,5,FALSE)</f>
        <v>#VALUE!</v>
      </c>
      <c r="AD26" s="49" t="e">
        <f>VLOOKUP(B26,'SegEnds_NonXtal_Prot#'!A:AL,9,FALSE)-VLOOKUP(B26,'SegEnds_NonXtal_Prot#'!A:AL,8,FALSE)</f>
        <v>#VALUE!</v>
      </c>
      <c r="AE26" s="49">
        <f>VLOOKUP(B26,'SegEnds_NonXtal_Prot#'!A:AL,13,FALSE)-VLOOKUP(B26,'SegEnds_NonXtal_Prot#'!A:AL,10,FALSE)</f>
        <v>20</v>
      </c>
      <c r="AF26" s="49">
        <f>VLOOKUP(B26,'SegEnds_NonXtal_Prot#'!A:AL,12,FALSE)-VLOOKUP(B26,'SegEnds_NonXtal_Prot#'!A:AL,11,FALSE)</f>
        <v>2</v>
      </c>
      <c r="AG26" s="49">
        <f>VLOOKUP(B26,'SegEnds_NonXtal_Prot#'!A:AL,13,FALSE)-VLOOKUP(B26,'SegEnds_NonXtal_Prot#'!A:AL,11,FALSE)</f>
        <v>3</v>
      </c>
      <c r="AH26" s="49">
        <f>VLOOKUP(B26,'SegEnds_NonXtal_Prot#'!A:AL,16,FALSE)-VLOOKUP(B26,'SegEnds_NonXtal_Prot#'!A:AL,10,FALSE)</f>
        <v>52</v>
      </c>
      <c r="AI26" s="49">
        <f>VLOOKUP(B26,'SegEnds_NonXtal_Prot#'!A:AL,16,FALSE)-VLOOKUP(B26,'SegEnds_NonXtal_Prot#'!A:AL,11,FALSE)</f>
        <v>35</v>
      </c>
      <c r="AJ26" s="49">
        <f>VLOOKUP(B26,'SegEnds_NonXtal_Prot#'!A:AL,22,FALSE)-VLOOKUP(B26,'SegEnds_NonXtal_Prot#'!A:AL,19,FALSE)</f>
        <v>20</v>
      </c>
      <c r="AK26" s="49">
        <f>VLOOKUP(B26,'SegEnds_NonXtal_Prot#'!A:AL,15,FALSE)-VLOOKUP(B26,'SegEnds_NonXtal_Prot#'!A:AL,14,FALSE)</f>
        <v>1</v>
      </c>
      <c r="AL26" s="49">
        <f>VLOOKUP(B26,'SegEnds_NonXtal_Prot#'!A:AL,18,FALSE)-VLOOKUP(B26,'SegEnds_NonXtal_Prot#'!A:AL,17,FALSE)</f>
        <v>1</v>
      </c>
      <c r="AM26" s="2">
        <f>VLOOKUP(B26,'SegEnds_NonXtal_Prot#'!A:AL,34,FALSE)-VLOOKUP(B26,'SegEnds_NonXtal_Prot#'!A:AL,31,FALSE)</f>
        <v>34</v>
      </c>
      <c r="AN26" s="37"/>
    </row>
    <row r="27" spans="1:64" s="2" customFormat="1" x14ac:dyDescent="0.2">
      <c r="A27" s="2" t="s">
        <v>1251</v>
      </c>
      <c r="B27" s="2" t="s">
        <v>277</v>
      </c>
      <c r="C27" s="2">
        <f>IFERROR(50+VLOOKUP($A27,'SegEnds_Xtal_Prot#'!$A:$AY,5,FALSE)-VLOOKUP($B27,'SegEnds_NonXtal_Prot#'!$A:$AL,4,FALSE),"-")</f>
        <v>34</v>
      </c>
      <c r="D27" s="2">
        <f>IFERROR(50+VLOOKUP($A27,'SegEnds_Xtal_Prot#'!$A:$AY,7,FALSE)-VLOOKUP($B27,'SegEnds_NonXtal_Prot#'!$A:$AL,4,FALSE),"-")</f>
        <v>60</v>
      </c>
      <c r="E27" s="2">
        <f>IFERROR(50+VLOOKUP($A27,'SegEnds_Xtal_Prot#'!$A:$AY,9,FALSE)-VLOOKUP($B27,'SegEnds_NonXtal_Prot#'!$A:$AL,7,FALSE),"-")</f>
        <v>48</v>
      </c>
      <c r="F27" s="2">
        <f>IFERROR(50+VLOOKUP($A27,'SegEnds_Xtal_Prot#'!$A:$AY,11,FALSE)-VLOOKUP($B27,'SegEnds_NonXtal_Prot#'!$A:$AL,7,FALSE),"-")</f>
        <v>51</v>
      </c>
      <c r="G27" s="2">
        <f>IFERROR(50+VLOOKUP($A27,'SegEnds_Xtal_Prot#'!$A:$AY,13,FALSE)-VLOOKUP($B27,'SegEnds_NonXtal_Prot#'!$A:$AL,10,FALSE),"-")</f>
        <v>37</v>
      </c>
      <c r="H27" s="2">
        <f>IFERROR(50+VLOOKUP($A27,'SegEnds_Xtal_Prot#'!$A:$AY,15,FALSE)-VLOOKUP($B27,'SegEnds_NonXtal_Prot#'!$A:$AL,10,FALSE),"-")</f>
        <v>67</v>
      </c>
      <c r="I27" s="2">
        <f>IFERROR(50+VLOOKUP($A27,'SegEnds_Xtal_Prot#'!$A:$AY,17,FALSE)-VLOOKUP($B27,'SegEnds_NonXtal_Prot#'!$A:$AL,13,FALSE),"-")</f>
        <v>49</v>
      </c>
      <c r="J27" s="2">
        <f>IFERROR(50+VLOOKUP($A27,'SegEnds_Xtal_Prot#'!$A:$AY,19,FALSE)-VLOOKUP($B27,'SegEnds_NonXtal_Prot#'!$A:$AL,13,FALSE),"-")</f>
        <v>52</v>
      </c>
      <c r="K27" s="2">
        <f>IFERROR(50+VLOOKUP($A27,'SegEnds_Xtal_Prot#'!$A:$AY,21,FALSE)-VLOOKUP($B27,'SegEnds_NonXtal_Prot#'!$A:$AL,16,FALSE),"-")</f>
        <v>21</v>
      </c>
      <c r="L27" s="2">
        <f>IFERROR(50+VLOOKUP($A27,'SegEnds_Xtal_Prot#'!$A:$AY,23,FALSE)-VLOOKUP($B27,'SegEnds_NonXtal_Prot#'!$A:$AL,16,FALSE),"-")</f>
        <v>56</v>
      </c>
      <c r="M27" s="2">
        <f>IFERROR(50+VLOOKUP($A27,'SegEnds_Xtal_Prot#'!$A:$AY,25,FALSE)-VLOOKUP($B27,'SegEnds_NonXtal_Prot#'!$A:$AL,19,FALSE),"-")</f>
        <v>50</v>
      </c>
      <c r="N27" s="2">
        <f>IFERROR(50+VLOOKUP($A27,'SegEnds_Xtal_Prot#'!$A:$AY,27,FALSE)-VLOOKUP($B27,'SegEnds_NonXtal_Prot#'!$A:$AL,19,FALSE),"-")</f>
        <v>57</v>
      </c>
      <c r="O27" s="2">
        <f>IFERROR(50+VLOOKUP($A27,'SegEnds_Xtal_Prot#'!$A:$AY,29,FALSE)-VLOOKUP($B27,'SegEnds_NonXtal_Prot#'!$A:$AL,22,FALSE),"-")</f>
        <v>38</v>
      </c>
      <c r="P27" s="2">
        <f>IFERROR(50+VLOOKUP($A27,'SegEnds_Xtal_Prot#'!$A:$AY,31,FALSE)-VLOOKUP($B27,'SegEnds_NonXtal_Prot#'!$A:$AL,22,FALSE),"-")</f>
        <v>62</v>
      </c>
      <c r="Q27" s="2">
        <f>IFERROR(50+VLOOKUP($A27,'SegEnds_Xtal_Prot#'!$A:$AY,33,FALSE)-VLOOKUP($B27,'SegEnds_NonXtal_Prot#'!$A:$AL,25,FALSE),"-")</f>
        <v>50</v>
      </c>
      <c r="R27" s="2">
        <f>IFERROR(50+VLOOKUP($A27,'SegEnds_Xtal_Prot#'!$A:$AY,35,FALSE)-VLOOKUP($B27,'SegEnds_NonXtal_Prot#'!$A:$AL,25,FALSE),"-")</f>
        <v>52</v>
      </c>
      <c r="S27" s="2">
        <f>IFERROR(50+VLOOKUP($A27,'SegEnds_Xtal_Prot#'!$A:$AY,37,FALSE)-VLOOKUP($B27,'SegEnds_NonXtal_Prot#'!$A:$AL,28,FALSE),"-")</f>
        <v>35</v>
      </c>
      <c r="T27" s="2">
        <f>IFERROR(50+VLOOKUP($A27,'SegEnds_Xtal_Prot#'!$A:$AY,39,FALSE)-VLOOKUP($B27,'SegEnds_NonXtal_Prot#'!$A:$AL,28,FALSE),"-")</f>
        <v>76</v>
      </c>
      <c r="U27" s="2">
        <f>IFERROR(50+VLOOKUP($A27,'SegEnds_Xtal_Prot#'!$A:$AY,41,FALSE)-VLOOKUP($B27,'SegEnds_NonXtal_Prot#'!$A:$AL,31,FALSE),"-")</f>
        <v>24</v>
      </c>
      <c r="V27" s="2">
        <f>IFERROR(50+VLOOKUP($A27,'SegEnds_Xtal_Prot#'!$A:$AY,43,FALSE)-VLOOKUP($B27,'SegEnds_NonXtal_Prot#'!$A:$AL,31,FALSE),"-")</f>
        <v>61</v>
      </c>
      <c r="W27" s="2">
        <f>IFERROR(50+VLOOKUP($A27,'SegEnds_Xtal_Prot#'!$A:$AY,45,FALSE)-VLOOKUP($B27,'SegEnds_NonXtal_Prot#'!$A:$AL,34,FALSE),"-")</f>
        <v>31</v>
      </c>
      <c r="X27" s="2">
        <f>IFERROR(50+VLOOKUP($A27,'SegEnds_Xtal_Prot#'!$A:$AY,47,FALSE)-VLOOKUP($B27,'SegEnds_NonXtal_Prot#'!$A:$AL,34,FALSE),"-")</f>
        <v>56</v>
      </c>
      <c r="Y27" s="2">
        <f>IFERROR(50+VLOOKUP($A27,'SegEnds_Xtal_Prot#'!$A:$AY,49,FALSE)-VLOOKUP($B27,'SegEnds_NonXtal_Prot#'!$A:$AL,37,FALSE),"-")</f>
        <v>47</v>
      </c>
      <c r="Z27" s="2">
        <f>IFERROR(50+VLOOKUP($A27,'SegEnds_Xtal_Prot#'!$A:$AY,51,FALSE)-VLOOKUP($B27,'SegEnds_NonXtal_Prot#'!$A:$AL,37,FALSE),"-")</f>
        <v>59</v>
      </c>
      <c r="AA27" s="49" t="str">
        <f>VLOOKUP(B27,Classification!A:D,2,FALSE)</f>
        <v>A</v>
      </c>
      <c r="AB27" s="94" t="str">
        <f>VLOOKUP(B27,Classification!A:D,4,0)</f>
        <v>Histamine</v>
      </c>
      <c r="AC27" s="49">
        <f>VLOOKUP(B27,'SegEnds_NonXtal_Prot#'!A:AL,6,FALSE)-VLOOKUP(B27,'SegEnds_NonXtal_Prot#'!A:AL,5,FALSE)</f>
        <v>1</v>
      </c>
      <c r="AD27" s="49">
        <f>VLOOKUP(B27,'SegEnds_NonXtal_Prot#'!A:AL,9,FALSE)-VLOOKUP(B27,'SegEnds_NonXtal_Prot#'!A:AL,8,FALSE)</f>
        <v>1</v>
      </c>
      <c r="AE27" s="49">
        <f>VLOOKUP(B27,'SegEnds_NonXtal_Prot#'!A:AL,13,FALSE)-VLOOKUP(B27,'SegEnds_NonXtal_Prot#'!A:AL,10,FALSE)</f>
        <v>20</v>
      </c>
      <c r="AF27" s="49">
        <f>VLOOKUP(B27,'SegEnds_NonXtal_Prot#'!A:AL,12,FALSE)-VLOOKUP(B27,'SegEnds_NonXtal_Prot#'!A:AL,11,FALSE)</f>
        <v>2</v>
      </c>
      <c r="AG27" s="49">
        <f>VLOOKUP(B27,'SegEnds_NonXtal_Prot#'!A:AL,13,FALSE)-VLOOKUP(B27,'SegEnds_NonXtal_Prot#'!A:AL,11,FALSE)</f>
        <v>3</v>
      </c>
      <c r="AH27" s="49">
        <f>VLOOKUP(B27,'SegEnds_NonXtal_Prot#'!A:AL,16,FALSE)-VLOOKUP(B27,'SegEnds_NonXtal_Prot#'!A:AL,10,FALSE)</f>
        <v>52</v>
      </c>
      <c r="AI27" s="49">
        <f>VLOOKUP(B27,'SegEnds_NonXtal_Prot#'!A:AL,16,FALSE)-VLOOKUP(B27,'SegEnds_NonXtal_Prot#'!A:AL,11,FALSE)</f>
        <v>35</v>
      </c>
      <c r="AJ27" s="49">
        <f>VLOOKUP(B27,'SegEnds_NonXtal_Prot#'!A:AL,22,FALSE)-VLOOKUP(B27,'SegEnds_NonXtal_Prot#'!A:AL,19,FALSE)</f>
        <v>20</v>
      </c>
      <c r="AK27" s="49">
        <f>VLOOKUP(B27,'SegEnds_NonXtal_Prot#'!A:AL,15,FALSE)-VLOOKUP(B27,'SegEnds_NonXtal_Prot#'!A:AL,14,FALSE)</f>
        <v>1</v>
      </c>
      <c r="AL27" s="49">
        <f>VLOOKUP(B27,'SegEnds_NonXtal_Prot#'!A:AL,18,FALSE)-VLOOKUP(B27,'SegEnds_NonXtal_Prot#'!A:AL,17,FALSE)</f>
        <v>1</v>
      </c>
      <c r="AM27" s="2">
        <f>VLOOKUP(B27,'SegEnds_NonXtal_Prot#'!A:AL,34,FALSE)-VLOOKUP(B27,'SegEnds_NonXtal_Prot#'!A:AL,31,FALSE)</f>
        <v>35</v>
      </c>
      <c r="AN27" s="37"/>
    </row>
    <row r="28" spans="1:64" s="2" customFormat="1" x14ac:dyDescent="0.2">
      <c r="A28" s="2" t="s">
        <v>1252</v>
      </c>
      <c r="B28" s="2" t="s">
        <v>103</v>
      </c>
      <c r="C28" s="2">
        <f>IFERROR(50+VLOOKUP($A28,'SegEnds_Xtal_Prot#'!$A:$AY,5,FALSE)-VLOOKUP($B28,'SegEnds_NonXtal_Prot#'!$A:$AL,4,FALSE),"-")</f>
        <v>30</v>
      </c>
      <c r="D28" s="2">
        <f>IFERROR(50+VLOOKUP($A28,'SegEnds_Xtal_Prot#'!$A:$AY,7,FALSE)-VLOOKUP($B28,'SegEnds_NonXtal_Prot#'!$A:$AL,4,FALSE),"-")</f>
        <v>60</v>
      </c>
      <c r="E28" s="2">
        <f>IFERROR(50+VLOOKUP($A28,'SegEnds_Xtal_Prot#'!$A:$AY,9,FALSE)-VLOOKUP($B28,'SegEnds_NonXtal_Prot#'!$A:$AL,7,FALSE),"-")</f>
        <v>48</v>
      </c>
      <c r="F28" s="2">
        <f>IFERROR(50+VLOOKUP($A28,'SegEnds_Xtal_Prot#'!$A:$AY,11,FALSE)-VLOOKUP($B28,'SegEnds_NonXtal_Prot#'!$A:$AL,7,FALSE),"-")</f>
        <v>51</v>
      </c>
      <c r="G28" s="2">
        <f>IFERROR(50+VLOOKUP($A28,'SegEnds_Xtal_Prot#'!$A:$AY,13,FALSE)-VLOOKUP($B28,'SegEnds_NonXtal_Prot#'!$A:$AL,10,FALSE),"-")</f>
        <v>37</v>
      </c>
      <c r="H28" s="2">
        <f>IFERROR(50+VLOOKUP($A28,'SegEnds_Xtal_Prot#'!$A:$AY,15,FALSE)-VLOOKUP($B28,'SegEnds_NonXtal_Prot#'!$A:$AL,10,FALSE),"-")</f>
        <v>63</v>
      </c>
      <c r="I28" s="2">
        <f>IFERROR(50+VLOOKUP($A28,'SegEnds_Xtal_Prot#'!$A:$AY,17,FALSE)-VLOOKUP($B28,'SegEnds_NonXtal_Prot#'!$A:$AL,13,FALSE),"-")</f>
        <v>47</v>
      </c>
      <c r="J28" s="2">
        <f>IFERROR(50+VLOOKUP($A28,'SegEnds_Xtal_Prot#'!$A:$AY,19,FALSE)-VLOOKUP($B28,'SegEnds_NonXtal_Prot#'!$A:$AL,13,FALSE),"-")</f>
        <v>53</v>
      </c>
      <c r="K28" s="2">
        <f>IFERROR(50+VLOOKUP($A28,'SegEnds_Xtal_Prot#'!$A:$AY,21,FALSE)-VLOOKUP($B28,'SegEnds_NonXtal_Prot#'!$A:$AL,16,FALSE),"-")</f>
        <v>21</v>
      </c>
      <c r="L28" s="2">
        <f>IFERROR(50+VLOOKUP($A28,'SegEnds_Xtal_Prot#'!$A:$AY,23,FALSE)-VLOOKUP($B28,'SegEnds_NonXtal_Prot#'!$A:$AL,16,FALSE),"-")</f>
        <v>56</v>
      </c>
      <c r="M28" s="2">
        <f>IFERROR(50+VLOOKUP($A28,'SegEnds_Xtal_Prot#'!$A:$AY,25,FALSE)-VLOOKUP($B28,'SegEnds_NonXtal_Prot#'!$A:$AL,19,FALSE),"-")</f>
        <v>50</v>
      </c>
      <c r="N28" s="2">
        <f>IFERROR(50+VLOOKUP($A28,'SegEnds_Xtal_Prot#'!$A:$AY,27,FALSE)-VLOOKUP($B28,'SegEnds_NonXtal_Prot#'!$A:$AL,19,FALSE),"-")</f>
        <v>56</v>
      </c>
      <c r="O28" s="2">
        <f>IFERROR(50+VLOOKUP($A28,'SegEnds_Xtal_Prot#'!$A:$AY,29,FALSE)-VLOOKUP($B28,'SegEnds_NonXtal_Prot#'!$A:$AL,22,FALSE),"-")</f>
        <v>38</v>
      </c>
      <c r="P28" s="2">
        <f>IFERROR(50+VLOOKUP($A28,'SegEnds_Xtal_Prot#'!$A:$AY,31,FALSE)-VLOOKUP($B28,'SegEnds_NonXtal_Prot#'!$A:$AL,22,FALSE),"-")</f>
        <v>63</v>
      </c>
      <c r="Q28" s="2" t="str">
        <f>IFERROR(50+VLOOKUP($A28,'SegEnds_Xtal_Prot#'!$A:$AY,33,FALSE)-VLOOKUP($B28,'SegEnds_NonXtal_Prot#'!$A:$AL,25,FALSE),"-")</f>
        <v>-</v>
      </c>
      <c r="R28" s="2" t="str">
        <f>IFERROR(50+VLOOKUP($A28,'SegEnds_Xtal_Prot#'!$A:$AY,35,FALSE)-VLOOKUP($B28,'SegEnds_NonXtal_Prot#'!$A:$AL,25,FALSE),"-")</f>
        <v>-</v>
      </c>
      <c r="S28" s="2">
        <f>IFERROR(50+VLOOKUP($A28,'SegEnds_Xtal_Prot#'!$A:$AY,37,FALSE)-VLOOKUP($B28,'SegEnds_NonXtal_Prot#'!$A:$AL,28,FALSE),"-")</f>
        <v>36</v>
      </c>
      <c r="T28" s="2">
        <f>IFERROR(50+VLOOKUP($A28,'SegEnds_Xtal_Prot#'!$A:$AY,39,FALSE)-VLOOKUP($B28,'SegEnds_NonXtal_Prot#'!$A:$AL,28,FALSE),"-")</f>
        <v>73</v>
      </c>
      <c r="U28" s="2">
        <f>IFERROR(50+VLOOKUP($A28,'SegEnds_Xtal_Prot#'!$A:$AY,41,FALSE)-VLOOKUP($B28,'SegEnds_NonXtal_Prot#'!$A:$AL,31,FALSE),"-")</f>
        <v>22</v>
      </c>
      <c r="V28" s="2">
        <f>IFERROR(50+VLOOKUP($A28,'SegEnds_Xtal_Prot#'!$A:$AY,43,FALSE)-VLOOKUP($B28,'SegEnds_NonXtal_Prot#'!$A:$AL,31,FALSE),"-")</f>
        <v>61</v>
      </c>
      <c r="W28" s="2">
        <f>IFERROR(50+VLOOKUP($A28,'SegEnds_Xtal_Prot#'!$A:$AY,45,FALSE)-VLOOKUP($B28,'SegEnds_NonXtal_Prot#'!$A:$AL,34,FALSE),"-")</f>
        <v>30</v>
      </c>
      <c r="X28" s="2">
        <f>IFERROR(50+VLOOKUP($A28,'SegEnds_Xtal_Prot#'!$A:$AY,47,FALSE)-VLOOKUP($B28,'SegEnds_NonXtal_Prot#'!$A:$AL,34,FALSE),"-")</f>
        <v>56</v>
      </c>
      <c r="Y28" s="2">
        <f>IFERROR(50+VLOOKUP($A28,'SegEnds_Xtal_Prot#'!$A:$AY,49,FALSE)-VLOOKUP($B28,'SegEnds_NonXtal_Prot#'!$A:$AL,37,FALSE),"-")</f>
        <v>47</v>
      </c>
      <c r="Z28" s="2">
        <f>IFERROR(50+VLOOKUP($A28,'SegEnds_Xtal_Prot#'!$A:$AY,51,FALSE)-VLOOKUP($B28,'SegEnds_NonXtal_Prot#'!$A:$AL,37,FALSE),"-")</f>
        <v>59</v>
      </c>
      <c r="AA28" s="49" t="str">
        <f>VLOOKUP(B28,Classification!A:D,2,FALSE)</f>
        <v>A</v>
      </c>
      <c r="AB28" s="94" t="str">
        <f>VLOOKUP(B28,Classification!A:D,4,0)</f>
        <v>Lysophospholipid(LPA)</v>
      </c>
      <c r="AC28" s="49">
        <f>VLOOKUP(B28,'SegEnds_NonXtal_Prot#'!A:AL,6,FALSE)-VLOOKUP(B28,'SegEnds_NonXtal_Prot#'!A:AL,5,FALSE)</f>
        <v>1</v>
      </c>
      <c r="AD28" s="49">
        <f>VLOOKUP(B28,'SegEnds_NonXtal_Prot#'!A:AL,9,FALSE)-VLOOKUP(B28,'SegEnds_NonXtal_Prot#'!A:AL,8,FALSE)</f>
        <v>1</v>
      </c>
      <c r="AE28" s="49">
        <f>VLOOKUP(B28,'SegEnds_NonXtal_Prot#'!A:AL,13,FALSE)-VLOOKUP(B28,'SegEnds_NonXtal_Prot#'!A:AL,10,FALSE)</f>
        <v>18</v>
      </c>
      <c r="AF28" s="49">
        <f>VLOOKUP(B28,'SegEnds_NonXtal_Prot#'!A:AL,12,FALSE)-VLOOKUP(B28,'SegEnds_NonXtal_Prot#'!A:AL,11,FALSE)</f>
        <v>2</v>
      </c>
      <c r="AG28" s="49">
        <f>VLOOKUP(B28,'SegEnds_NonXtal_Prot#'!A:AL,13,FALSE)-VLOOKUP(B28,'SegEnds_NonXtal_Prot#'!A:AL,11,FALSE)</f>
        <v>5</v>
      </c>
      <c r="AH28" s="49">
        <f>VLOOKUP(B28,'SegEnds_NonXtal_Prot#'!A:AL,16,FALSE)-VLOOKUP(B28,'SegEnds_NonXtal_Prot#'!A:AL,10,FALSE)</f>
        <v>51</v>
      </c>
      <c r="AI28" s="49">
        <f>VLOOKUP(B28,'SegEnds_NonXtal_Prot#'!A:AL,16,FALSE)-VLOOKUP(B28,'SegEnds_NonXtal_Prot#'!A:AL,11,FALSE)</f>
        <v>38</v>
      </c>
      <c r="AJ28" s="49">
        <f>VLOOKUP(B28,'SegEnds_NonXtal_Prot#'!A:AL,22,FALSE)-VLOOKUP(B28,'SegEnds_NonXtal_Prot#'!A:AL,19,FALSE)</f>
        <v>19</v>
      </c>
      <c r="AK28" s="49">
        <f>VLOOKUP(B28,'SegEnds_NonXtal_Prot#'!A:AL,15,FALSE)-VLOOKUP(B28,'SegEnds_NonXtal_Prot#'!A:AL,14,FALSE)</f>
        <v>1</v>
      </c>
      <c r="AL28" s="49">
        <f>VLOOKUP(B28,'SegEnds_NonXtal_Prot#'!A:AL,18,FALSE)-VLOOKUP(B28,'SegEnds_NonXtal_Prot#'!A:AL,17,FALSE)</f>
        <v>1</v>
      </c>
      <c r="AM28" s="2">
        <f>VLOOKUP(B28,'SegEnds_NonXtal_Prot#'!A:AL,34,FALSE)-VLOOKUP(B28,'SegEnds_NonXtal_Prot#'!A:AL,31,FALSE)</f>
        <v>35</v>
      </c>
      <c r="AN28" s="37"/>
    </row>
    <row r="29" spans="1:64" s="2" customFormat="1" x14ac:dyDescent="0.2">
      <c r="A29" s="2" t="s">
        <v>1267</v>
      </c>
      <c r="B29" s="2" t="s">
        <v>104</v>
      </c>
      <c r="C29" s="2">
        <f>IFERROR(50+VLOOKUP($A29,'SegEnds_Xtal_Prot#'!$A:$AY,5,FALSE)-VLOOKUP($B29,'SegEnds_NonXtal_Prot#'!$A:$AL,4,FALSE),"-")</f>
        <v>29</v>
      </c>
      <c r="D29" s="2">
        <f>IFERROR(50+VLOOKUP($A29,'SegEnds_Xtal_Prot#'!$A:$AY,7,FALSE)-VLOOKUP($B29,'SegEnds_NonXtal_Prot#'!$A:$AL,4,FALSE),"-")</f>
        <v>60</v>
      </c>
      <c r="E29" s="2">
        <f>IFERROR(50+VLOOKUP($A29,'SegEnds_Xtal_Prot#'!$A:$AY,9,FALSE)-VLOOKUP($B29,'SegEnds_NonXtal_Prot#'!$A:$AL,7,FALSE),"-")</f>
        <v>48</v>
      </c>
      <c r="F29" s="2">
        <f>IFERROR(50+VLOOKUP($A29,'SegEnds_Xtal_Prot#'!$A:$AY,11,FALSE)-VLOOKUP($B29,'SegEnds_NonXtal_Prot#'!$A:$AL,7,FALSE),"-")</f>
        <v>51</v>
      </c>
      <c r="G29" s="2">
        <f>IFERROR(50+VLOOKUP($A29,'SegEnds_Xtal_Prot#'!$A:$AY,13,FALSE)-VLOOKUP($B29,'SegEnds_NonXtal_Prot#'!$A:$AL,10,FALSE),"-")</f>
        <v>37</v>
      </c>
      <c r="H29" s="2">
        <f>IFERROR(50+VLOOKUP($A29,'SegEnds_Xtal_Prot#'!$A:$AY,15,FALSE)-VLOOKUP($B29,'SegEnds_NonXtal_Prot#'!$A:$AL,10,FALSE),"-")</f>
        <v>63</v>
      </c>
      <c r="I29" s="2">
        <f>IFERROR(50+VLOOKUP($A29,'SegEnds_Xtal_Prot#'!$A:$AY,17,FALSE)-VLOOKUP($B29,'SegEnds_NonXtal_Prot#'!$A:$AL,13,FALSE),"-")</f>
        <v>47</v>
      </c>
      <c r="J29" s="2">
        <f>IFERROR(50+VLOOKUP($A29,'SegEnds_Xtal_Prot#'!$A:$AY,19,FALSE)-VLOOKUP($B29,'SegEnds_NonXtal_Prot#'!$A:$AL,13,FALSE),"-")</f>
        <v>53</v>
      </c>
      <c r="K29" s="2">
        <f>IFERROR(50+VLOOKUP($A29,'SegEnds_Xtal_Prot#'!$A:$AY,21,FALSE)-VLOOKUP($B29,'SegEnds_NonXtal_Prot#'!$A:$AL,16,FALSE),"-")</f>
        <v>21</v>
      </c>
      <c r="L29" s="2">
        <f>IFERROR(50+VLOOKUP($A29,'SegEnds_Xtal_Prot#'!$A:$AY,23,FALSE)-VLOOKUP($B29,'SegEnds_NonXtal_Prot#'!$A:$AL,16,FALSE),"-")</f>
        <v>56</v>
      </c>
      <c r="M29" s="2">
        <f>IFERROR(50+VLOOKUP($A29,'SegEnds_Xtal_Prot#'!$A:$AY,25,FALSE)-VLOOKUP($B29,'SegEnds_NonXtal_Prot#'!$A:$AL,19,FALSE),"-")</f>
        <v>50</v>
      </c>
      <c r="N29" s="2">
        <f>IFERROR(50+VLOOKUP($A29,'SegEnds_Xtal_Prot#'!$A:$AY,27,FALSE)-VLOOKUP($B29,'SegEnds_NonXtal_Prot#'!$A:$AL,19,FALSE),"-")</f>
        <v>56</v>
      </c>
      <c r="O29" s="2">
        <f>IFERROR(50+VLOOKUP($A29,'SegEnds_Xtal_Prot#'!$A:$AY,29,FALSE)-VLOOKUP($B29,'SegEnds_NonXtal_Prot#'!$A:$AL,22,FALSE),"-")</f>
        <v>38</v>
      </c>
      <c r="P29" s="2">
        <f>IFERROR(50+VLOOKUP($A29,'SegEnds_Xtal_Prot#'!$A:$AY,31,FALSE)-VLOOKUP($B29,'SegEnds_NonXtal_Prot#'!$A:$AL,22,FALSE),"-")</f>
        <v>63</v>
      </c>
      <c r="Q29" s="2" t="str">
        <f>IFERROR(50+VLOOKUP($A29,'SegEnds_Xtal_Prot#'!$A:$AY,33,FALSE)-VLOOKUP($B29,'SegEnds_NonXtal_Prot#'!$A:$AL,25,FALSE),"-")</f>
        <v>-</v>
      </c>
      <c r="R29" s="2" t="str">
        <f>IFERROR(50+VLOOKUP($A29,'SegEnds_Xtal_Prot#'!$A:$AY,35,FALSE)-VLOOKUP($B29,'SegEnds_NonXtal_Prot#'!$A:$AL,25,FALSE),"-")</f>
        <v>-</v>
      </c>
      <c r="S29" s="2">
        <f>IFERROR(50+VLOOKUP($A29,'SegEnds_Xtal_Prot#'!$A:$AY,37,FALSE)-VLOOKUP($B29,'SegEnds_NonXtal_Prot#'!$A:$AL,28,FALSE),"-")</f>
        <v>36</v>
      </c>
      <c r="T29" s="2">
        <f>IFERROR(50+VLOOKUP($A29,'SegEnds_Xtal_Prot#'!$A:$AY,39,FALSE)-VLOOKUP($B29,'SegEnds_NonXtal_Prot#'!$A:$AL,28,FALSE),"-")</f>
        <v>73</v>
      </c>
      <c r="U29" s="2">
        <f>IFERROR(50+VLOOKUP($A29,'SegEnds_Xtal_Prot#'!$A:$AY,41,FALSE)-VLOOKUP($B29,'SegEnds_NonXtal_Prot#'!$A:$AL,31,FALSE),"-")</f>
        <v>24</v>
      </c>
      <c r="V29" s="2">
        <f>IFERROR(50+VLOOKUP($A29,'SegEnds_Xtal_Prot#'!$A:$AY,43,FALSE)-VLOOKUP($B29,'SegEnds_NonXtal_Prot#'!$A:$AL,31,FALSE),"-")</f>
        <v>61</v>
      </c>
      <c r="W29" s="2">
        <f>IFERROR(50+VLOOKUP($A29,'SegEnds_Xtal_Prot#'!$A:$AY,45,FALSE)-VLOOKUP($B29,'SegEnds_NonXtal_Prot#'!$A:$AL,34,FALSE),"-")</f>
        <v>30</v>
      </c>
      <c r="X29" s="2">
        <f>IFERROR(50+VLOOKUP($A29,'SegEnds_Xtal_Prot#'!$A:$AY,47,FALSE)-VLOOKUP($B29,'SegEnds_NonXtal_Prot#'!$A:$AL,34,FALSE),"-")</f>
        <v>56</v>
      </c>
      <c r="Y29" s="2">
        <f>IFERROR(50+VLOOKUP($A29,'SegEnds_Xtal_Prot#'!$A:$AY,49,FALSE)-VLOOKUP($B29,'SegEnds_NonXtal_Prot#'!$A:$AL,37,FALSE),"-")</f>
        <v>47</v>
      </c>
      <c r="Z29" s="2">
        <f>IFERROR(50+VLOOKUP($A29,'SegEnds_Xtal_Prot#'!$A:$AY,51,FALSE)-VLOOKUP($B29,'SegEnds_NonXtal_Prot#'!$A:$AL,37,FALSE),"-")</f>
        <v>59</v>
      </c>
      <c r="AA29" s="49" t="str">
        <f>VLOOKUP(B29,Classification!A:D,2,FALSE)</f>
        <v>A</v>
      </c>
      <c r="AB29" s="94" t="str">
        <f>VLOOKUP(B29,Classification!A:D,4,0)</f>
        <v>Lysophospholipid(S1P)</v>
      </c>
      <c r="AC29" s="49">
        <f>VLOOKUP(B29,'SegEnds_NonXtal_Prot#'!A:AL,6,FALSE)-VLOOKUP(B29,'SegEnds_NonXtal_Prot#'!A:AL,5,FALSE)</f>
        <v>1</v>
      </c>
      <c r="AD29" s="49">
        <f>VLOOKUP(B29,'SegEnds_NonXtal_Prot#'!A:AL,9,FALSE)-VLOOKUP(B29,'SegEnds_NonXtal_Prot#'!A:AL,8,FALSE)</f>
        <v>1</v>
      </c>
      <c r="AE29" s="49">
        <f>VLOOKUP(B29,'SegEnds_NonXtal_Prot#'!A:AL,13,FALSE)-VLOOKUP(B29,'SegEnds_NonXtal_Prot#'!A:AL,10,FALSE)</f>
        <v>18</v>
      </c>
      <c r="AF29" s="49">
        <f>VLOOKUP(B29,'SegEnds_NonXtal_Prot#'!A:AL,12,FALSE)-VLOOKUP(B29,'SegEnds_NonXtal_Prot#'!A:AL,11,FALSE)</f>
        <v>2</v>
      </c>
      <c r="AG29" s="49">
        <f>VLOOKUP(B29,'SegEnds_NonXtal_Prot#'!A:AL,13,FALSE)-VLOOKUP(B29,'SegEnds_NonXtal_Prot#'!A:AL,11,FALSE)</f>
        <v>5</v>
      </c>
      <c r="AH29" s="49">
        <f>VLOOKUP(B29,'SegEnds_NonXtal_Prot#'!A:AL,16,FALSE)-VLOOKUP(B29,'SegEnds_NonXtal_Prot#'!A:AL,10,FALSE)</f>
        <v>51</v>
      </c>
      <c r="AI29" s="49">
        <f>VLOOKUP(B29,'SegEnds_NonXtal_Prot#'!A:AL,16,FALSE)-VLOOKUP(B29,'SegEnds_NonXtal_Prot#'!A:AL,11,FALSE)</f>
        <v>38</v>
      </c>
      <c r="AJ29" s="49">
        <f>VLOOKUP(B29,'SegEnds_NonXtal_Prot#'!A:AL,22,FALSE)-VLOOKUP(B29,'SegEnds_NonXtal_Prot#'!A:AL,19,FALSE)</f>
        <v>19</v>
      </c>
      <c r="AK29" s="49">
        <f>VLOOKUP(B29,'SegEnds_NonXtal_Prot#'!A:AL,15,FALSE)-VLOOKUP(B29,'SegEnds_NonXtal_Prot#'!A:AL,14,FALSE)</f>
        <v>1</v>
      </c>
      <c r="AL29" s="49">
        <f>VLOOKUP(B29,'SegEnds_NonXtal_Prot#'!A:AL,18,FALSE)-VLOOKUP(B29,'SegEnds_NonXtal_Prot#'!A:AL,17,FALSE)</f>
        <v>1</v>
      </c>
      <c r="AM29" s="2">
        <f>VLOOKUP(B29,'SegEnds_NonXtal_Prot#'!A:AL,34,FALSE)-VLOOKUP(B29,'SegEnds_NonXtal_Prot#'!A:AL,31,FALSE)</f>
        <v>37</v>
      </c>
      <c r="AN29" s="37"/>
    </row>
    <row r="30" spans="1:64" s="2" customFormat="1" x14ac:dyDescent="0.2">
      <c r="A30" s="2" t="s">
        <v>1253</v>
      </c>
      <c r="B30" s="2" t="s">
        <v>907</v>
      </c>
      <c r="C30" s="2">
        <f>IFERROR(50+VLOOKUP($A30,'SegEnds_Xtal_Prot#'!$A:$AY,5,FALSE)-VLOOKUP($B30,'SegEnds_NonXtal_Prot#'!$A:$AL,4,FALSE),"-")</f>
        <v>29</v>
      </c>
      <c r="D30" s="2">
        <f>IFERROR(50+VLOOKUP($A30,'SegEnds_Xtal_Prot#'!$A:$AY,7,FALSE)-VLOOKUP($B30,'SegEnds_NonXtal_Prot#'!$A:$AL,4,FALSE),"-")</f>
        <v>60</v>
      </c>
      <c r="E30" s="2" t="str">
        <f>IFERROR(50+VLOOKUP($A30,'SegEnds_Xtal_Prot#'!$A:$AY,9,FALSE)-VLOOKUP($B30,'SegEnds_NonXtal_Prot#'!$A:$AL,7,FALSE),"-")</f>
        <v>-</v>
      </c>
      <c r="F30" s="2" t="str">
        <f>IFERROR(50+VLOOKUP($A30,'SegEnds_Xtal_Prot#'!$A:$AY,11,FALSE)-VLOOKUP($B30,'SegEnds_NonXtal_Prot#'!$A:$AL,7,FALSE),"-")</f>
        <v>-</v>
      </c>
      <c r="G30" s="2">
        <f>IFERROR(50+VLOOKUP($A30,'SegEnds_Xtal_Prot#'!$A:$AY,13,FALSE)-VLOOKUP($B30,'SegEnds_NonXtal_Prot#'!$A:$AL,10,FALSE),"-")</f>
        <v>34</v>
      </c>
      <c r="H30" s="2">
        <f>IFERROR(50+VLOOKUP($A30,'SegEnds_Xtal_Prot#'!$A:$AY,15,FALSE)-VLOOKUP($B30,'SegEnds_NonXtal_Prot#'!$A:$AL,10,FALSE),"-")</f>
        <v>68</v>
      </c>
      <c r="I30" s="2">
        <f>IFERROR(50+VLOOKUP($A30,'SegEnds_Xtal_Prot#'!$A:$AY,17,FALSE)-VLOOKUP($B30,'SegEnds_NonXtal_Prot#'!$A:$AL,13,FALSE),"-")</f>
        <v>49</v>
      </c>
      <c r="J30" s="2">
        <f>IFERROR(50+VLOOKUP($A30,'SegEnds_Xtal_Prot#'!$A:$AY,19,FALSE)-VLOOKUP($B30,'SegEnds_NonXtal_Prot#'!$A:$AL,13,FALSE),"-")</f>
        <v>52</v>
      </c>
      <c r="K30" s="2">
        <f>IFERROR(50+VLOOKUP($A30,'SegEnds_Xtal_Prot#'!$A:$AY,21,FALSE)-VLOOKUP($B30,'SegEnds_NonXtal_Prot#'!$A:$AL,16,FALSE),"-")</f>
        <v>21</v>
      </c>
      <c r="L30" s="2">
        <f>IFERROR(50+VLOOKUP($A30,'SegEnds_Xtal_Prot#'!$A:$AY,23,FALSE)-VLOOKUP($B30,'SegEnds_NonXtal_Prot#'!$A:$AL,16,FALSE),"-")</f>
        <v>56</v>
      </c>
      <c r="M30" s="2">
        <f>IFERROR(50+VLOOKUP($A30,'SegEnds_Xtal_Prot#'!$A:$AY,25,FALSE)-VLOOKUP($B30,'SegEnds_NonXtal_Prot#'!$A:$AL,19,FALSE),"-")</f>
        <v>50</v>
      </c>
      <c r="N30" s="2">
        <f>IFERROR(50+VLOOKUP($A30,'SegEnds_Xtal_Prot#'!$A:$AY,27,FALSE)-VLOOKUP($B30,'SegEnds_NonXtal_Prot#'!$A:$AL,19,FALSE),"-")</f>
        <v>57</v>
      </c>
      <c r="O30" s="2">
        <f>IFERROR(50+VLOOKUP($A30,'SegEnds_Xtal_Prot#'!$A:$AY,29,FALSE)-VLOOKUP($B30,'SegEnds_NonXtal_Prot#'!$A:$AL,22,FALSE),"-")</f>
        <v>38</v>
      </c>
      <c r="P30" s="2">
        <f>IFERROR(50+VLOOKUP($A30,'SegEnds_Xtal_Prot#'!$A:$AY,31,FALSE)-VLOOKUP($B30,'SegEnds_NonXtal_Prot#'!$A:$AL,22,FALSE),"-")</f>
        <v>64</v>
      </c>
      <c r="Q30" s="2">
        <f>IFERROR(50+VLOOKUP($A30,'SegEnds_Xtal_Prot#'!$A:$AY,33,FALSE)-VLOOKUP($B30,'SegEnds_NonXtal_Prot#'!$A:$AL,25,FALSE),"-")</f>
        <v>50</v>
      </c>
      <c r="R30" s="2">
        <f>IFERROR(50+VLOOKUP($A30,'SegEnds_Xtal_Prot#'!$A:$AY,35,FALSE)-VLOOKUP($B30,'SegEnds_NonXtal_Prot#'!$A:$AL,25,FALSE),"-")</f>
        <v>52</v>
      </c>
      <c r="S30" s="2">
        <f>IFERROR(50+VLOOKUP($A30,'SegEnds_Xtal_Prot#'!$A:$AY,37,FALSE)-VLOOKUP($B30,'SegEnds_NonXtal_Prot#'!$A:$AL,28,FALSE),"-")</f>
        <v>32</v>
      </c>
      <c r="T30" s="2">
        <f>IFERROR(50+VLOOKUP($A30,'SegEnds_Xtal_Prot#'!$A:$AY,39,FALSE)-VLOOKUP($B30,'SegEnds_NonXtal_Prot#'!$A:$AL,28,FALSE),"-")</f>
        <v>76</v>
      </c>
      <c r="U30" s="2">
        <f>IFERROR(50+VLOOKUP($A30,'SegEnds_Xtal_Prot#'!$A:$AY,41,FALSE)-VLOOKUP($B30,'SegEnds_NonXtal_Prot#'!$A:$AL,31,FALSE),"-")</f>
        <v>24</v>
      </c>
      <c r="V30" s="2">
        <f>IFERROR(50+VLOOKUP($A30,'SegEnds_Xtal_Prot#'!$A:$AY,43,FALSE)-VLOOKUP($B30,'SegEnds_NonXtal_Prot#'!$A:$AL,31,FALSE),"-")</f>
        <v>61</v>
      </c>
      <c r="W30" s="2">
        <f>IFERROR(50+VLOOKUP($A30,'SegEnds_Xtal_Prot#'!$A:$AY,45,FALSE)-VLOOKUP($B30,'SegEnds_NonXtal_Prot#'!$A:$AL,34,FALSE),"-")</f>
        <v>24</v>
      </c>
      <c r="X30" s="2">
        <f>IFERROR(50+VLOOKUP($A30,'SegEnds_Xtal_Prot#'!$A:$AY,47,FALSE)-VLOOKUP($B30,'SegEnds_NonXtal_Prot#'!$A:$AL,34,FALSE),"-")</f>
        <v>56</v>
      </c>
      <c r="Y30" s="2">
        <f>IFERROR(50+VLOOKUP($A30,'SegEnds_Xtal_Prot#'!$A:$AY,49,FALSE)-VLOOKUP($B30,'SegEnds_NonXtal_Prot#'!$A:$AL,37,FALSE),"-")</f>
        <v>47</v>
      </c>
      <c r="Z30" s="2">
        <f>IFERROR(50+VLOOKUP($A30,'SegEnds_Xtal_Prot#'!$A:$AY,51,FALSE)-VLOOKUP($B30,'SegEnds_NonXtal_Prot#'!$A:$AL,37,FALSE),"-")</f>
        <v>62</v>
      </c>
      <c r="AA30" s="49" t="str">
        <f>VLOOKUP(B30,Classification!A:D,2,FALSE)</f>
        <v>A</v>
      </c>
      <c r="AB30" s="94" t="str">
        <f>VLOOKUP(B30,Classification!A:D,4,0)</f>
        <v>Neurotensin</v>
      </c>
      <c r="AC30" s="49" t="e">
        <f>VLOOKUP(B30,'SegEnds_NonXtal_Prot#'!A:AL,6,FALSE)-VLOOKUP(B30,'SegEnds_NonXtal_Prot#'!A:AL,5,FALSE)</f>
        <v>#VALUE!</v>
      </c>
      <c r="AD30" s="49" t="e">
        <f>VLOOKUP(B30,'SegEnds_NonXtal_Prot#'!A:AL,9,FALSE)-VLOOKUP(B30,'SegEnds_NonXtal_Prot#'!A:AL,8,FALSE)</f>
        <v>#VALUE!</v>
      </c>
      <c r="AE30" s="49">
        <f>VLOOKUP(B30,'SegEnds_NonXtal_Prot#'!A:AL,13,FALSE)-VLOOKUP(B30,'SegEnds_NonXtal_Prot#'!A:AL,10,FALSE)</f>
        <v>22</v>
      </c>
      <c r="AF30" s="49">
        <f>VLOOKUP(B30,'SegEnds_NonXtal_Prot#'!A:AL,12,FALSE)-VLOOKUP(B30,'SegEnds_NonXtal_Prot#'!A:AL,11,FALSE)</f>
        <v>3</v>
      </c>
      <c r="AG30" s="49">
        <f>VLOOKUP(B30,'SegEnds_NonXtal_Prot#'!A:AL,13,FALSE)-VLOOKUP(B30,'SegEnds_NonXtal_Prot#'!A:AL,11,FALSE)</f>
        <v>4</v>
      </c>
      <c r="AH30" s="49">
        <f>VLOOKUP(B30,'SegEnds_NonXtal_Prot#'!A:AL,16,FALSE)-VLOOKUP(B30,'SegEnds_NonXtal_Prot#'!A:AL,10,FALSE)</f>
        <v>54</v>
      </c>
      <c r="AI30" s="49">
        <f>VLOOKUP(B30,'SegEnds_NonXtal_Prot#'!A:AL,16,FALSE)-VLOOKUP(B30,'SegEnds_NonXtal_Prot#'!A:AL,11,FALSE)</f>
        <v>36</v>
      </c>
      <c r="AJ30" s="49">
        <f>VLOOKUP(B30,'SegEnds_NonXtal_Prot#'!A:AL,22,FALSE)-VLOOKUP(B30,'SegEnds_NonXtal_Prot#'!A:AL,19,FALSE)</f>
        <v>20</v>
      </c>
      <c r="AK30" s="49">
        <f>VLOOKUP(B30,'SegEnds_NonXtal_Prot#'!A:AL,15,FALSE)-VLOOKUP(B30,'SegEnds_NonXtal_Prot#'!A:AL,14,FALSE)</f>
        <v>1</v>
      </c>
      <c r="AL30" s="49">
        <f>VLOOKUP(B30,'SegEnds_NonXtal_Prot#'!A:AL,18,FALSE)-VLOOKUP(B30,'SegEnds_NonXtal_Prot#'!A:AL,17,FALSE)</f>
        <v>1</v>
      </c>
      <c r="AM30" s="2">
        <f>VLOOKUP(B30,'SegEnds_NonXtal_Prot#'!A:AL,34,FALSE)-VLOOKUP(B30,'SegEnds_NonXtal_Prot#'!A:AL,31,FALSE)</f>
        <v>43</v>
      </c>
      <c r="AN30" s="37"/>
    </row>
    <row r="31" spans="1:64" s="2" customFormat="1" x14ac:dyDescent="0.2">
      <c r="A31" s="2" t="s">
        <v>1255</v>
      </c>
      <c r="B31" s="2" t="s">
        <v>909</v>
      </c>
      <c r="C31" s="2">
        <f>IFERROR(50+VLOOKUP($A31,'SegEnds_Xtal_Prot#'!$A:$AY,5,FALSE)-VLOOKUP($B31,'SegEnds_NonXtal_Prot#'!$A:$AL,4,FALSE),"-")</f>
        <v>24</v>
      </c>
      <c r="D31" s="2">
        <f>IFERROR(50+VLOOKUP($A31,'SegEnds_Xtal_Prot#'!$A:$AY,7,FALSE)-VLOOKUP($B31,'SegEnds_NonXtal_Prot#'!$A:$AL,4,FALSE),"-")</f>
        <v>60</v>
      </c>
      <c r="E31" s="2">
        <f>IFERROR(50+VLOOKUP($A31,'SegEnds_Xtal_Prot#'!$A:$AY,9,FALSE)-VLOOKUP($B31,'SegEnds_NonXtal_Prot#'!$A:$AL,7,FALSE),"-")</f>
        <v>48</v>
      </c>
      <c r="F31" s="2">
        <f>IFERROR(50+VLOOKUP($A31,'SegEnds_Xtal_Prot#'!$A:$AY,11,FALSE)-VLOOKUP($B31,'SegEnds_NonXtal_Prot#'!$A:$AL,7,FALSE),"-")</f>
        <v>51</v>
      </c>
      <c r="G31" s="2">
        <f>IFERROR(50+VLOOKUP($A31,'SegEnds_Xtal_Prot#'!$A:$AY,13,FALSE)-VLOOKUP($B31,'SegEnds_NonXtal_Prot#'!$A:$AL,10,FALSE),"-")</f>
        <v>37</v>
      </c>
      <c r="H31" s="2">
        <f>IFERROR(50+VLOOKUP($A31,'SegEnds_Xtal_Prot#'!$A:$AY,15,FALSE)-VLOOKUP($B31,'SegEnds_NonXtal_Prot#'!$A:$AL,10,FALSE),"-")</f>
        <v>66</v>
      </c>
      <c r="I31" s="2">
        <f>IFERROR(50+VLOOKUP($A31,'SegEnds_Xtal_Prot#'!$A:$AY,17,FALSE)-VLOOKUP($B31,'SegEnds_NonXtal_Prot#'!$A:$AL,13,FALSE),"-")</f>
        <v>49</v>
      </c>
      <c r="J31" s="2">
        <f>IFERROR(50+VLOOKUP($A31,'SegEnds_Xtal_Prot#'!$A:$AY,19,FALSE)-VLOOKUP($B31,'SegEnds_NonXtal_Prot#'!$A:$AL,13,FALSE),"-")</f>
        <v>52</v>
      </c>
      <c r="K31" s="2">
        <f>IFERROR(50+VLOOKUP($A31,'SegEnds_Xtal_Prot#'!$A:$AY,21,FALSE)-VLOOKUP($B31,'SegEnds_NonXtal_Prot#'!$A:$AL,16,FALSE),"-")</f>
        <v>21</v>
      </c>
      <c r="L31" s="2">
        <f>IFERROR(50+VLOOKUP($A31,'SegEnds_Xtal_Prot#'!$A:$AY,23,FALSE)-VLOOKUP($B31,'SegEnds_NonXtal_Prot#'!$A:$AL,16,FALSE),"-")</f>
        <v>56</v>
      </c>
      <c r="M31" s="2">
        <f>IFERROR(50+VLOOKUP($A31,'SegEnds_Xtal_Prot#'!$A:$AY,25,FALSE)-VLOOKUP($B31,'SegEnds_NonXtal_Prot#'!$A:$AL,19,FALSE),"-")</f>
        <v>50</v>
      </c>
      <c r="N31" s="2">
        <f>IFERROR(50+VLOOKUP($A31,'SegEnds_Xtal_Prot#'!$A:$AY,27,FALSE)-VLOOKUP($B31,'SegEnds_NonXtal_Prot#'!$A:$AL,19,FALSE),"-")</f>
        <v>57</v>
      </c>
      <c r="O31" s="2">
        <f>IFERROR(50+VLOOKUP($A31,'SegEnds_Xtal_Prot#'!$A:$AY,29,FALSE)-VLOOKUP($B31,'SegEnds_NonXtal_Prot#'!$A:$AL,22,FALSE),"-")</f>
        <v>38</v>
      </c>
      <c r="P31" s="2">
        <f>IFERROR(50+VLOOKUP($A31,'SegEnds_Xtal_Prot#'!$A:$AY,31,FALSE)-VLOOKUP($B31,'SegEnds_NonXtal_Prot#'!$A:$AL,22,FALSE),"-")</f>
        <v>64</v>
      </c>
      <c r="Q31" s="2">
        <f>IFERROR(50+VLOOKUP($A31,'SegEnds_Xtal_Prot#'!$A:$AY,33,FALSE)-VLOOKUP($B31,'SegEnds_NonXtal_Prot#'!$A:$AL,25,FALSE),"-")</f>
        <v>50</v>
      </c>
      <c r="R31" s="2">
        <f>IFERROR(50+VLOOKUP($A31,'SegEnds_Xtal_Prot#'!$A:$AY,35,FALSE)-VLOOKUP($B31,'SegEnds_NonXtal_Prot#'!$A:$AL,25,FALSE),"-")</f>
        <v>52</v>
      </c>
      <c r="S31" s="2">
        <f>IFERROR(50+VLOOKUP($A31,'SegEnds_Xtal_Prot#'!$A:$AY,37,FALSE)-VLOOKUP($B31,'SegEnds_NonXtal_Prot#'!$A:$AL,28,FALSE),"-")</f>
        <v>31</v>
      </c>
      <c r="T31" s="2">
        <f>IFERROR(50+VLOOKUP($A31,'SegEnds_Xtal_Prot#'!$A:$AY,39,FALSE)-VLOOKUP($B31,'SegEnds_NonXtal_Prot#'!$A:$AL,28,FALSE),"-")</f>
        <v>68</v>
      </c>
      <c r="U31" s="2">
        <f>IFERROR(50+VLOOKUP($A31,'SegEnds_Xtal_Prot#'!$A:$AY,41,FALSE)-VLOOKUP($B31,'SegEnds_NonXtal_Prot#'!$A:$AL,31,FALSE),"-")</f>
        <v>23</v>
      </c>
      <c r="V31" s="2">
        <f>IFERROR(50+VLOOKUP($A31,'SegEnds_Xtal_Prot#'!$A:$AY,43,FALSE)-VLOOKUP($B31,'SegEnds_NonXtal_Prot#'!$A:$AL,31,FALSE),"-")</f>
        <v>61</v>
      </c>
      <c r="W31" s="2">
        <f>IFERROR(50+VLOOKUP($A31,'SegEnds_Xtal_Prot#'!$A:$AY,45,FALSE)-VLOOKUP($B31,'SegEnds_NonXtal_Prot#'!$A:$AL,34,FALSE),"-")</f>
        <v>28</v>
      </c>
      <c r="X31" s="2">
        <f>IFERROR(50+VLOOKUP($A31,'SegEnds_Xtal_Prot#'!$A:$AY,47,FALSE)-VLOOKUP($B31,'SegEnds_NonXtal_Prot#'!$A:$AL,34,FALSE),"-")</f>
        <v>56</v>
      </c>
      <c r="Y31" s="2">
        <f>IFERROR(50+VLOOKUP($A31,'SegEnds_Xtal_Prot#'!$A:$AY,49,FALSE)-VLOOKUP($B31,'SegEnds_NonXtal_Prot#'!$A:$AL,37,FALSE),"-")</f>
        <v>47</v>
      </c>
      <c r="Z31" s="2">
        <f>IFERROR(50+VLOOKUP($A31,'SegEnds_Xtal_Prot#'!$A:$AY,51,FALSE)-VLOOKUP($B31,'SegEnds_NonXtal_Prot#'!$A:$AL,37,FALSE),"-")</f>
        <v>60</v>
      </c>
      <c r="AA31" s="49" t="str">
        <f>VLOOKUP(B31,Classification!A:D,2,FALSE)</f>
        <v>A</v>
      </c>
      <c r="AB31" s="94" t="str">
        <f>VLOOKUP(B31,Classification!A:D,4,0)</f>
        <v>Opioid</v>
      </c>
      <c r="AC31" s="49">
        <f>VLOOKUP(B31,'SegEnds_NonXtal_Prot#'!A:AL,6,FALSE)-VLOOKUP(B31,'SegEnds_NonXtal_Prot#'!A:AL,5,FALSE)</f>
        <v>1</v>
      </c>
      <c r="AD31" s="49">
        <f>VLOOKUP(B31,'SegEnds_NonXtal_Prot#'!A:AL,9,FALSE)-VLOOKUP(B31,'SegEnds_NonXtal_Prot#'!A:AL,8,FALSE)</f>
        <v>1</v>
      </c>
      <c r="AE31" s="49">
        <f>VLOOKUP(B31,'SegEnds_NonXtal_Prot#'!A:AL,13,FALSE)-VLOOKUP(B31,'SegEnds_NonXtal_Prot#'!A:AL,10,FALSE)</f>
        <v>19</v>
      </c>
      <c r="AF31" s="49">
        <f>VLOOKUP(B31,'SegEnds_NonXtal_Prot#'!A:AL,12,FALSE)-VLOOKUP(B31,'SegEnds_NonXtal_Prot#'!A:AL,11,FALSE)</f>
        <v>2</v>
      </c>
      <c r="AG31" s="49">
        <f>VLOOKUP(B31,'SegEnds_NonXtal_Prot#'!A:AL,13,FALSE)-VLOOKUP(B31,'SegEnds_NonXtal_Prot#'!A:AL,11,FALSE)</f>
        <v>3</v>
      </c>
      <c r="AH31" s="49">
        <f>VLOOKUP(B31,'SegEnds_NonXtal_Prot#'!A:AL,16,FALSE)-VLOOKUP(B31,'SegEnds_NonXtal_Prot#'!A:AL,10,FALSE)</f>
        <v>51</v>
      </c>
      <c r="AI31" s="49">
        <f>VLOOKUP(B31,'SegEnds_NonXtal_Prot#'!A:AL,16,FALSE)-VLOOKUP(B31,'SegEnds_NonXtal_Prot#'!A:AL,11,FALSE)</f>
        <v>35</v>
      </c>
      <c r="AJ31" s="49">
        <f>VLOOKUP(B31,'SegEnds_NonXtal_Prot#'!A:AL,22,FALSE)-VLOOKUP(B31,'SegEnds_NonXtal_Prot#'!A:AL,19,FALSE)</f>
        <v>20</v>
      </c>
      <c r="AK31" s="49">
        <f>VLOOKUP(B31,'SegEnds_NonXtal_Prot#'!A:AL,15,FALSE)-VLOOKUP(B31,'SegEnds_NonXtal_Prot#'!A:AL,14,FALSE)</f>
        <v>1</v>
      </c>
      <c r="AL31" s="49">
        <f>VLOOKUP(B31,'SegEnds_NonXtal_Prot#'!A:AL,18,FALSE)-VLOOKUP(B31,'SegEnds_NonXtal_Prot#'!A:AL,17,FALSE)</f>
        <v>1</v>
      </c>
      <c r="AM31" s="2">
        <f>VLOOKUP(B31,'SegEnds_NonXtal_Prot#'!A:AL,34,FALSE)-VLOOKUP(B31,'SegEnds_NonXtal_Prot#'!A:AL,31,FALSE)</f>
        <v>39</v>
      </c>
      <c r="AN31" s="37"/>
    </row>
    <row r="32" spans="1:64" s="2" customFormat="1" x14ac:dyDescent="0.2">
      <c r="A32" s="2" t="s">
        <v>1256</v>
      </c>
      <c r="B32" s="2" t="s">
        <v>335</v>
      </c>
      <c r="C32" s="2">
        <f>IFERROR(50+VLOOKUP($A32,'SegEnds_Xtal_Prot#'!$A:$AY,5,FALSE)-VLOOKUP($B32,'SegEnds_NonXtal_Prot#'!$A:$AL,4,FALSE),"-")</f>
        <v>30</v>
      </c>
      <c r="D32" s="2">
        <f>IFERROR(50+VLOOKUP($A32,'SegEnds_Xtal_Prot#'!$A:$AY,7,FALSE)-VLOOKUP($B32,'SegEnds_NonXtal_Prot#'!$A:$AL,4,FALSE),"-")</f>
        <v>60</v>
      </c>
      <c r="E32" s="2">
        <f>IFERROR(50+VLOOKUP($A32,'SegEnds_Xtal_Prot#'!$A:$AY,9,FALSE)-VLOOKUP($B32,'SegEnds_NonXtal_Prot#'!$A:$AL,7,FALSE),"-")</f>
        <v>48</v>
      </c>
      <c r="F32" s="2">
        <f>IFERROR(50+VLOOKUP($A32,'SegEnds_Xtal_Prot#'!$A:$AY,11,FALSE)-VLOOKUP($B32,'SegEnds_NonXtal_Prot#'!$A:$AL,7,FALSE),"-")</f>
        <v>51</v>
      </c>
      <c r="G32" s="2">
        <f>IFERROR(50+VLOOKUP($A32,'SegEnds_Xtal_Prot#'!$A:$AY,13,FALSE)-VLOOKUP($B32,'SegEnds_NonXtal_Prot#'!$A:$AL,10,FALSE),"-")</f>
        <v>37</v>
      </c>
      <c r="H32" s="2">
        <f>IFERROR(50+VLOOKUP($A32,'SegEnds_Xtal_Prot#'!$A:$AY,15,FALSE)-VLOOKUP($B32,'SegEnds_NonXtal_Prot#'!$A:$AL,10,FALSE),"-")</f>
        <v>67</v>
      </c>
      <c r="I32" s="2">
        <f>IFERROR(50+VLOOKUP($A32,'SegEnds_Xtal_Prot#'!$A:$AY,17,FALSE)-VLOOKUP($B32,'SegEnds_NonXtal_Prot#'!$A:$AL,13,FALSE),"-")</f>
        <v>49</v>
      </c>
      <c r="J32" s="2">
        <f>IFERROR(50+VLOOKUP($A32,'SegEnds_Xtal_Prot#'!$A:$AY,19,FALSE)-VLOOKUP($B32,'SegEnds_NonXtal_Prot#'!$A:$AL,13,FALSE),"-")</f>
        <v>52</v>
      </c>
      <c r="K32" s="2">
        <f>IFERROR(50+VLOOKUP($A32,'SegEnds_Xtal_Prot#'!$A:$AY,21,FALSE)-VLOOKUP($B32,'SegEnds_NonXtal_Prot#'!$A:$AL,16,FALSE),"-")</f>
        <v>21</v>
      </c>
      <c r="L32" s="2">
        <f>IFERROR(50+VLOOKUP($A32,'SegEnds_Xtal_Prot#'!$A:$AY,23,FALSE)-VLOOKUP($B32,'SegEnds_NonXtal_Prot#'!$A:$AL,16,FALSE),"-")</f>
        <v>56</v>
      </c>
      <c r="M32" s="2">
        <f>IFERROR(50+VLOOKUP($A32,'SegEnds_Xtal_Prot#'!$A:$AY,25,FALSE)-VLOOKUP($B32,'SegEnds_NonXtal_Prot#'!$A:$AL,19,FALSE),"-")</f>
        <v>50</v>
      </c>
      <c r="N32" s="2">
        <f>IFERROR(50+VLOOKUP($A32,'SegEnds_Xtal_Prot#'!$A:$AY,27,FALSE)-VLOOKUP($B32,'SegEnds_NonXtal_Prot#'!$A:$AL,19,FALSE),"-")</f>
        <v>57</v>
      </c>
      <c r="O32" s="2">
        <f>IFERROR(50+VLOOKUP($A32,'SegEnds_Xtal_Prot#'!$A:$AY,29,FALSE)-VLOOKUP($B32,'SegEnds_NonXtal_Prot#'!$A:$AL,22,FALSE),"-")</f>
        <v>38</v>
      </c>
      <c r="P32" s="2">
        <f>IFERROR(50+VLOOKUP($A32,'SegEnds_Xtal_Prot#'!$A:$AY,31,FALSE)-VLOOKUP($B32,'SegEnds_NonXtal_Prot#'!$A:$AL,22,FALSE),"-")</f>
        <v>64</v>
      </c>
      <c r="Q32" s="2">
        <f>IFERROR(50+VLOOKUP($A32,'SegEnds_Xtal_Prot#'!$A:$AY,33,FALSE)-VLOOKUP($B32,'SegEnds_NonXtal_Prot#'!$A:$AL,25,FALSE),"-")</f>
        <v>50</v>
      </c>
      <c r="R32" s="2">
        <f>IFERROR(50+VLOOKUP($A32,'SegEnds_Xtal_Prot#'!$A:$AY,35,FALSE)-VLOOKUP($B32,'SegEnds_NonXtal_Prot#'!$A:$AL,25,FALSE),"-")</f>
        <v>52</v>
      </c>
      <c r="S32" s="2">
        <f>IFERROR(50+VLOOKUP($A32,'SegEnds_Xtal_Prot#'!$A:$AY,37,FALSE)-VLOOKUP($B32,'SegEnds_NonXtal_Prot#'!$A:$AL,28,FALSE),"-")</f>
        <v>30</v>
      </c>
      <c r="T32" s="2">
        <f>IFERROR(50+VLOOKUP($A32,'SegEnds_Xtal_Prot#'!$A:$AY,39,FALSE)-VLOOKUP($B32,'SegEnds_NonXtal_Prot#'!$A:$AL,28,FALSE),"-")</f>
        <v>68</v>
      </c>
      <c r="U32" s="2">
        <f>IFERROR(50+VLOOKUP($A32,'SegEnds_Xtal_Prot#'!$A:$AY,41,FALSE)-VLOOKUP($B32,'SegEnds_NonXtal_Prot#'!$A:$AL,31,FALSE),"-")</f>
        <v>23</v>
      </c>
      <c r="V32" s="2">
        <f>IFERROR(50+VLOOKUP($A32,'SegEnds_Xtal_Prot#'!$A:$AY,43,FALSE)-VLOOKUP($B32,'SegEnds_NonXtal_Prot#'!$A:$AL,31,FALSE),"-")</f>
        <v>61</v>
      </c>
      <c r="W32" s="2">
        <f>IFERROR(50+VLOOKUP($A32,'SegEnds_Xtal_Prot#'!$A:$AY,45,FALSE)-VLOOKUP($B32,'SegEnds_NonXtal_Prot#'!$A:$AL,34,FALSE),"-")</f>
        <v>28</v>
      </c>
      <c r="X32" s="2">
        <f>IFERROR(50+VLOOKUP($A32,'SegEnds_Xtal_Prot#'!$A:$AY,47,FALSE)-VLOOKUP($B32,'SegEnds_NonXtal_Prot#'!$A:$AL,34,FALSE),"-")</f>
        <v>56</v>
      </c>
      <c r="Y32" s="2">
        <f>IFERROR(50+VLOOKUP($A32,'SegEnds_Xtal_Prot#'!$A:$AY,49,FALSE)-VLOOKUP($B32,'SegEnds_NonXtal_Prot#'!$A:$AL,37,FALSE),"-")</f>
        <v>47</v>
      </c>
      <c r="Z32" s="2">
        <f>IFERROR(50+VLOOKUP($A32,'SegEnds_Xtal_Prot#'!$A:$AY,51,FALSE)-VLOOKUP($B32,'SegEnds_NonXtal_Prot#'!$A:$AL,37,FALSE),"-")</f>
        <v>59</v>
      </c>
      <c r="AA32" s="49" t="str">
        <f>VLOOKUP(B32,Classification!A:D,2,FALSE)</f>
        <v>A</v>
      </c>
      <c r="AB32" s="94" t="str">
        <f>VLOOKUP(B32,Classification!A:D,4,0)</f>
        <v>Opioid</v>
      </c>
      <c r="AC32" s="49">
        <f>VLOOKUP(B32,'SegEnds_NonXtal_Prot#'!A:AL,6,FALSE)-VLOOKUP(B32,'SegEnds_NonXtal_Prot#'!A:AL,5,FALSE)</f>
        <v>1</v>
      </c>
      <c r="AD32" s="49">
        <f>VLOOKUP(B32,'SegEnds_NonXtal_Prot#'!A:AL,9,FALSE)-VLOOKUP(B32,'SegEnds_NonXtal_Prot#'!A:AL,8,FALSE)</f>
        <v>1</v>
      </c>
      <c r="AE32" s="49">
        <f>VLOOKUP(B32,'SegEnds_NonXtal_Prot#'!A:AL,13,FALSE)-VLOOKUP(B32,'SegEnds_NonXtal_Prot#'!A:AL,10,FALSE)</f>
        <v>19</v>
      </c>
      <c r="AF32" s="49">
        <f>VLOOKUP(B32,'SegEnds_NonXtal_Prot#'!A:AL,12,FALSE)-VLOOKUP(B32,'SegEnds_NonXtal_Prot#'!A:AL,11,FALSE)</f>
        <v>2</v>
      </c>
      <c r="AG32" s="49">
        <f>VLOOKUP(B32,'SegEnds_NonXtal_Prot#'!A:AL,13,FALSE)-VLOOKUP(B32,'SegEnds_NonXtal_Prot#'!A:AL,11,FALSE)</f>
        <v>3</v>
      </c>
      <c r="AH32" s="49">
        <f>VLOOKUP(B32,'SegEnds_NonXtal_Prot#'!A:AL,16,FALSE)-VLOOKUP(B32,'SegEnds_NonXtal_Prot#'!A:AL,10,FALSE)</f>
        <v>51</v>
      </c>
      <c r="AI32" s="49">
        <f>VLOOKUP(B32,'SegEnds_NonXtal_Prot#'!A:AL,16,FALSE)-VLOOKUP(B32,'SegEnds_NonXtal_Prot#'!A:AL,11,FALSE)</f>
        <v>35</v>
      </c>
      <c r="AJ32" s="49">
        <f>VLOOKUP(B32,'SegEnds_NonXtal_Prot#'!A:AL,22,FALSE)-VLOOKUP(B32,'SegEnds_NonXtal_Prot#'!A:AL,19,FALSE)</f>
        <v>20</v>
      </c>
      <c r="AK32" s="49">
        <f>VLOOKUP(B32,'SegEnds_NonXtal_Prot#'!A:AL,15,FALSE)-VLOOKUP(B32,'SegEnds_NonXtal_Prot#'!A:AL,14,FALSE)</f>
        <v>1</v>
      </c>
      <c r="AL32" s="49">
        <f>VLOOKUP(B32,'SegEnds_NonXtal_Prot#'!A:AL,18,FALSE)-VLOOKUP(B32,'SegEnds_NonXtal_Prot#'!A:AL,17,FALSE)</f>
        <v>1</v>
      </c>
      <c r="AM32" s="2">
        <f>VLOOKUP(B32,'SegEnds_NonXtal_Prot#'!A:AL,34,FALSE)-VLOOKUP(B32,'SegEnds_NonXtal_Prot#'!A:AL,31,FALSE)</f>
        <v>38</v>
      </c>
      <c r="AN32" s="37"/>
    </row>
    <row r="33" spans="1:64" s="2" customFormat="1" x14ac:dyDescent="0.2">
      <c r="A33" s="2" t="s">
        <v>1258</v>
      </c>
      <c r="B33" s="2" t="s">
        <v>1167</v>
      </c>
      <c r="C33" s="2">
        <f>IFERROR(50+VLOOKUP($A33,'SegEnds_Xtal_Prot#'!$A:$AY,5,FALSE)-VLOOKUP($B33,'SegEnds_NonXtal_Prot#'!$A:$AL,4,FALSE),"-")</f>
        <v>29</v>
      </c>
      <c r="D33" s="2">
        <f>IFERROR(50+VLOOKUP($A33,'SegEnds_Xtal_Prot#'!$A:$AY,7,FALSE)-VLOOKUP($B33,'SegEnds_NonXtal_Prot#'!$A:$AL,4,FALSE),"-")</f>
        <v>60</v>
      </c>
      <c r="E33" s="2">
        <f>IFERROR(50+VLOOKUP($A33,'SegEnds_Xtal_Prot#'!$A:$AY,9,FALSE)-VLOOKUP($B33,'SegEnds_NonXtal_Prot#'!$A:$AL,7,FALSE),"-")</f>
        <v>48</v>
      </c>
      <c r="F33" s="2">
        <f>IFERROR(50+VLOOKUP($A33,'SegEnds_Xtal_Prot#'!$A:$AY,11,FALSE)-VLOOKUP($B33,'SegEnds_NonXtal_Prot#'!$A:$AL,7,FALSE),"-")</f>
        <v>51</v>
      </c>
      <c r="G33" s="2">
        <f>IFERROR(50+VLOOKUP($A33,'SegEnds_Xtal_Prot#'!$A:$AY,13,FALSE)-VLOOKUP($B33,'SegEnds_NonXtal_Prot#'!$A:$AL,10,FALSE),"-")</f>
        <v>37</v>
      </c>
      <c r="H33" s="2">
        <f>IFERROR(50+VLOOKUP($A33,'SegEnds_Xtal_Prot#'!$A:$AY,15,FALSE)-VLOOKUP($B33,'SegEnds_NonXtal_Prot#'!$A:$AL,10,FALSE),"-")</f>
        <v>66</v>
      </c>
      <c r="I33" s="2">
        <f>IFERROR(50+VLOOKUP($A33,'SegEnds_Xtal_Prot#'!$A:$AY,17,FALSE)-VLOOKUP($B33,'SegEnds_NonXtal_Prot#'!$A:$AL,13,FALSE),"-")</f>
        <v>49</v>
      </c>
      <c r="J33" s="2">
        <f>IFERROR(50+VLOOKUP($A33,'SegEnds_Xtal_Prot#'!$A:$AY,19,FALSE)-VLOOKUP($B33,'SegEnds_NonXtal_Prot#'!$A:$AL,13,FALSE),"-")</f>
        <v>52</v>
      </c>
      <c r="K33" s="2">
        <f>IFERROR(50+VLOOKUP($A33,'SegEnds_Xtal_Prot#'!$A:$AY,21,FALSE)-VLOOKUP($B33,'SegEnds_NonXtal_Prot#'!$A:$AL,16,FALSE),"-")</f>
        <v>21</v>
      </c>
      <c r="L33" s="2">
        <f>IFERROR(50+VLOOKUP($A33,'SegEnds_Xtal_Prot#'!$A:$AY,23,FALSE)-VLOOKUP($B33,'SegEnds_NonXtal_Prot#'!$A:$AL,16,FALSE),"-")</f>
        <v>56</v>
      </c>
      <c r="M33" s="2">
        <f>IFERROR(50+VLOOKUP($A33,'SegEnds_Xtal_Prot#'!$A:$AY,25,FALSE)-VLOOKUP($B33,'SegEnds_NonXtal_Prot#'!$A:$AL,19,FALSE),"-")</f>
        <v>50</v>
      </c>
      <c r="N33" s="2">
        <f>IFERROR(50+VLOOKUP($A33,'SegEnds_Xtal_Prot#'!$A:$AY,27,FALSE)-VLOOKUP($B33,'SegEnds_NonXtal_Prot#'!$A:$AL,19,FALSE),"-")</f>
        <v>57</v>
      </c>
      <c r="O33" s="2">
        <f>IFERROR(50+VLOOKUP($A33,'SegEnds_Xtal_Prot#'!$A:$AY,29,FALSE)-VLOOKUP($B33,'SegEnds_NonXtal_Prot#'!$A:$AL,22,FALSE),"-")</f>
        <v>38</v>
      </c>
      <c r="P33" s="2">
        <f>IFERROR(50+VLOOKUP($A33,'SegEnds_Xtal_Prot#'!$A:$AY,31,FALSE)-VLOOKUP($B33,'SegEnds_NonXtal_Prot#'!$A:$AL,22,FALSE),"-")</f>
        <v>64</v>
      </c>
      <c r="Q33" s="2">
        <f>IFERROR(50+VLOOKUP($A33,'SegEnds_Xtal_Prot#'!$A:$AY,33,FALSE)-VLOOKUP($B33,'SegEnds_NonXtal_Prot#'!$A:$AL,25,FALSE),"-")</f>
        <v>50</v>
      </c>
      <c r="R33" s="2">
        <f>IFERROR(50+VLOOKUP($A33,'SegEnds_Xtal_Prot#'!$A:$AY,35,FALSE)-VLOOKUP($B33,'SegEnds_NonXtal_Prot#'!$A:$AL,25,FALSE),"-")</f>
        <v>52</v>
      </c>
      <c r="S33" s="2">
        <f>IFERROR(50+VLOOKUP($A33,'SegEnds_Xtal_Prot#'!$A:$AY,37,FALSE)-VLOOKUP($B33,'SegEnds_NonXtal_Prot#'!$A:$AL,28,FALSE),"-")</f>
        <v>31</v>
      </c>
      <c r="T33" s="2">
        <f>IFERROR(50+VLOOKUP($A33,'SegEnds_Xtal_Prot#'!$A:$AY,39,FALSE)-VLOOKUP($B33,'SegEnds_NonXtal_Prot#'!$A:$AL,28,FALSE),"-")</f>
        <v>68</v>
      </c>
      <c r="U33" s="2">
        <f>IFERROR(50+VLOOKUP($A33,'SegEnds_Xtal_Prot#'!$A:$AY,41,FALSE)-VLOOKUP($B33,'SegEnds_NonXtal_Prot#'!$A:$AL,31,FALSE),"-")</f>
        <v>23</v>
      </c>
      <c r="V33" s="2">
        <f>IFERROR(50+VLOOKUP($A33,'SegEnds_Xtal_Prot#'!$A:$AY,43,FALSE)-VLOOKUP($B33,'SegEnds_NonXtal_Prot#'!$A:$AL,31,FALSE),"-")</f>
        <v>61</v>
      </c>
      <c r="W33" s="2">
        <f>IFERROR(50+VLOOKUP($A33,'SegEnds_Xtal_Prot#'!$A:$AY,45,FALSE)-VLOOKUP($B33,'SegEnds_NonXtal_Prot#'!$A:$AL,34,FALSE),"-")</f>
        <v>28</v>
      </c>
      <c r="X33" s="2">
        <f>IFERROR(50+VLOOKUP($A33,'SegEnds_Xtal_Prot#'!$A:$AY,47,FALSE)-VLOOKUP($B33,'SegEnds_NonXtal_Prot#'!$A:$AL,34,FALSE),"-")</f>
        <v>56</v>
      </c>
      <c r="Y33" s="2">
        <f>IFERROR(50+VLOOKUP($A33,'SegEnds_Xtal_Prot#'!$A:$AY,49,FALSE)-VLOOKUP($B33,'SegEnds_NonXtal_Prot#'!$A:$AL,37,FALSE),"-")</f>
        <v>47</v>
      </c>
      <c r="Z33" s="2">
        <f>IFERROR(50+VLOOKUP($A33,'SegEnds_Xtal_Prot#'!$A:$AY,51,FALSE)-VLOOKUP($B33,'SegEnds_NonXtal_Prot#'!$A:$AL,37,FALSE),"-")</f>
        <v>59</v>
      </c>
      <c r="AA33" s="49" t="str">
        <f>VLOOKUP(B33,Classification!A:D,2,FALSE)</f>
        <v>A</v>
      </c>
      <c r="AB33" s="94" t="str">
        <f>VLOOKUP(B33,Classification!A:D,4,0)</f>
        <v>Opioid</v>
      </c>
      <c r="AC33" s="49">
        <f>VLOOKUP(B33,'SegEnds_NonXtal_Prot#'!A:AL,6,FALSE)-VLOOKUP(B33,'SegEnds_NonXtal_Prot#'!A:AL,5,FALSE)</f>
        <v>1</v>
      </c>
      <c r="AD33" s="49">
        <f>VLOOKUP(B33,'SegEnds_NonXtal_Prot#'!A:AL,9,FALSE)-VLOOKUP(B33,'SegEnds_NonXtal_Prot#'!A:AL,8,FALSE)</f>
        <v>1</v>
      </c>
      <c r="AE33" s="49">
        <f>VLOOKUP(B33,'SegEnds_NonXtal_Prot#'!A:AL,13,FALSE)-VLOOKUP(B33,'SegEnds_NonXtal_Prot#'!A:AL,10,FALSE)</f>
        <v>19</v>
      </c>
      <c r="AF33" s="49">
        <f>VLOOKUP(B33,'SegEnds_NonXtal_Prot#'!A:AL,12,FALSE)-VLOOKUP(B33,'SegEnds_NonXtal_Prot#'!A:AL,11,FALSE)</f>
        <v>2</v>
      </c>
      <c r="AG33" s="49">
        <f>VLOOKUP(B33,'SegEnds_NonXtal_Prot#'!A:AL,13,FALSE)-VLOOKUP(B33,'SegEnds_NonXtal_Prot#'!A:AL,11,FALSE)</f>
        <v>3</v>
      </c>
      <c r="AH33" s="49">
        <f>VLOOKUP(B33,'SegEnds_NonXtal_Prot#'!A:AL,16,FALSE)-VLOOKUP(B33,'SegEnds_NonXtal_Prot#'!A:AL,10,FALSE)</f>
        <v>51</v>
      </c>
      <c r="AI33" s="49">
        <f>VLOOKUP(B33,'SegEnds_NonXtal_Prot#'!A:AL,16,FALSE)-VLOOKUP(B33,'SegEnds_NonXtal_Prot#'!A:AL,11,FALSE)</f>
        <v>35</v>
      </c>
      <c r="AJ33" s="49">
        <f>VLOOKUP(B33,'SegEnds_NonXtal_Prot#'!A:AL,22,FALSE)-VLOOKUP(B33,'SegEnds_NonXtal_Prot#'!A:AL,19,FALSE)</f>
        <v>20</v>
      </c>
      <c r="AK33" s="49">
        <f>VLOOKUP(B33,'SegEnds_NonXtal_Prot#'!A:AL,15,FALSE)-VLOOKUP(B33,'SegEnds_NonXtal_Prot#'!A:AL,14,FALSE)</f>
        <v>1</v>
      </c>
      <c r="AL33" s="49">
        <f>VLOOKUP(B33,'SegEnds_NonXtal_Prot#'!A:AL,18,FALSE)-VLOOKUP(B33,'SegEnds_NonXtal_Prot#'!A:AL,17,FALSE)</f>
        <v>1</v>
      </c>
      <c r="AM33" s="2">
        <f>VLOOKUP(B33,'SegEnds_NonXtal_Prot#'!A:AL,34,FALSE)-VLOOKUP(B33,'SegEnds_NonXtal_Prot#'!A:AL,31,FALSE)</f>
        <v>38</v>
      </c>
      <c r="AN33" s="37"/>
    </row>
    <row r="34" spans="1:64" s="2" customFormat="1" x14ac:dyDescent="0.2">
      <c r="A34" s="2" t="s">
        <v>1257</v>
      </c>
      <c r="B34" s="2" t="s">
        <v>911</v>
      </c>
      <c r="C34" s="2">
        <f>IFERROR(50+VLOOKUP($A34,'SegEnds_Xtal_Prot#'!$A:$AY,5,FALSE)-VLOOKUP($B34,'SegEnds_NonXtal_Prot#'!$A:$AL,4,FALSE),"-")</f>
        <v>29</v>
      </c>
      <c r="D34" s="2">
        <f>IFERROR(50+VLOOKUP($A34,'SegEnds_Xtal_Prot#'!$A:$AY,7,FALSE)-VLOOKUP($B34,'SegEnds_NonXtal_Prot#'!$A:$AL,4,FALSE),"-")</f>
        <v>60</v>
      </c>
      <c r="E34" s="2">
        <f>IFERROR(50+VLOOKUP($A34,'SegEnds_Xtal_Prot#'!$A:$AY,9,FALSE)-VLOOKUP($B34,'SegEnds_NonXtal_Prot#'!$A:$AL,7,FALSE),"-")</f>
        <v>48</v>
      </c>
      <c r="F34" s="2">
        <f>IFERROR(50+VLOOKUP($A34,'SegEnds_Xtal_Prot#'!$A:$AY,11,FALSE)-VLOOKUP($B34,'SegEnds_NonXtal_Prot#'!$A:$AL,7,FALSE),"-")</f>
        <v>51</v>
      </c>
      <c r="G34" s="2">
        <f>IFERROR(50+VLOOKUP($A34,'SegEnds_Xtal_Prot#'!$A:$AY,13,FALSE)-VLOOKUP($B34,'SegEnds_NonXtal_Prot#'!$A:$AL,10,FALSE),"-")</f>
        <v>37</v>
      </c>
      <c r="H34" s="2">
        <f>IFERROR(50+VLOOKUP($A34,'SegEnds_Xtal_Prot#'!$A:$AY,15,FALSE)-VLOOKUP($B34,'SegEnds_NonXtal_Prot#'!$A:$AL,10,FALSE),"-")</f>
        <v>66</v>
      </c>
      <c r="I34" s="2">
        <f>IFERROR(50+VLOOKUP($A34,'SegEnds_Xtal_Prot#'!$A:$AY,17,FALSE)-VLOOKUP($B34,'SegEnds_NonXtal_Prot#'!$A:$AL,13,FALSE),"-")</f>
        <v>49</v>
      </c>
      <c r="J34" s="2">
        <f>IFERROR(50+VLOOKUP($A34,'SegEnds_Xtal_Prot#'!$A:$AY,19,FALSE)-VLOOKUP($B34,'SegEnds_NonXtal_Prot#'!$A:$AL,13,FALSE),"-")</f>
        <v>52</v>
      </c>
      <c r="K34" s="2">
        <f>IFERROR(50+VLOOKUP($A34,'SegEnds_Xtal_Prot#'!$A:$AY,21,FALSE)-VLOOKUP($B34,'SegEnds_NonXtal_Prot#'!$A:$AL,16,FALSE),"-")</f>
        <v>21</v>
      </c>
      <c r="L34" s="2">
        <f>IFERROR(50+VLOOKUP($A34,'SegEnds_Xtal_Prot#'!$A:$AY,23,FALSE)-VLOOKUP($B34,'SegEnds_NonXtal_Prot#'!$A:$AL,16,FALSE),"-")</f>
        <v>56</v>
      </c>
      <c r="M34" s="2">
        <f>IFERROR(50+VLOOKUP($A34,'SegEnds_Xtal_Prot#'!$A:$AY,25,FALSE)-VLOOKUP($B34,'SegEnds_NonXtal_Prot#'!$A:$AL,19,FALSE),"-")</f>
        <v>50</v>
      </c>
      <c r="N34" s="2">
        <f>IFERROR(50+VLOOKUP($A34,'SegEnds_Xtal_Prot#'!$A:$AY,27,FALSE)-VLOOKUP($B34,'SegEnds_NonXtal_Prot#'!$A:$AL,19,FALSE),"-")</f>
        <v>57</v>
      </c>
      <c r="O34" s="2">
        <f>IFERROR(50+VLOOKUP($A34,'SegEnds_Xtal_Prot#'!$A:$AY,29,FALSE)-VLOOKUP($B34,'SegEnds_NonXtal_Prot#'!$A:$AL,22,FALSE),"-")</f>
        <v>38</v>
      </c>
      <c r="P34" s="2">
        <f>IFERROR(50+VLOOKUP($A34,'SegEnds_Xtal_Prot#'!$A:$AY,31,FALSE)-VLOOKUP($B34,'SegEnds_NonXtal_Prot#'!$A:$AL,22,FALSE),"-")</f>
        <v>64</v>
      </c>
      <c r="Q34" s="2">
        <f>IFERROR(50+VLOOKUP($A34,'SegEnds_Xtal_Prot#'!$A:$AY,33,FALSE)-VLOOKUP($B34,'SegEnds_NonXtal_Prot#'!$A:$AL,25,FALSE),"-")</f>
        <v>50</v>
      </c>
      <c r="R34" s="2">
        <f>IFERROR(50+VLOOKUP($A34,'SegEnds_Xtal_Prot#'!$A:$AY,35,FALSE)-VLOOKUP($B34,'SegEnds_NonXtal_Prot#'!$A:$AL,25,FALSE),"-")</f>
        <v>52</v>
      </c>
      <c r="S34" s="2">
        <f>IFERROR(50+VLOOKUP($A34,'SegEnds_Xtal_Prot#'!$A:$AY,37,FALSE)-VLOOKUP($B34,'SegEnds_NonXtal_Prot#'!$A:$AL,28,FALSE),"-")</f>
        <v>31</v>
      </c>
      <c r="T34" s="2">
        <f>IFERROR(50+VLOOKUP($A34,'SegEnds_Xtal_Prot#'!$A:$AY,39,FALSE)-VLOOKUP($B34,'SegEnds_NonXtal_Prot#'!$A:$AL,28,FALSE),"-")</f>
        <v>68</v>
      </c>
      <c r="U34" s="2">
        <f>IFERROR(50+VLOOKUP($A34,'SegEnds_Xtal_Prot#'!$A:$AY,41,FALSE)-VLOOKUP($B34,'SegEnds_NonXtal_Prot#'!$A:$AL,31,FALSE),"-")</f>
        <v>23</v>
      </c>
      <c r="V34" s="2">
        <f>IFERROR(50+VLOOKUP($A34,'SegEnds_Xtal_Prot#'!$A:$AY,43,FALSE)-VLOOKUP($B34,'SegEnds_NonXtal_Prot#'!$A:$AL,31,FALSE),"-")</f>
        <v>61</v>
      </c>
      <c r="W34" s="2">
        <f>IFERROR(50+VLOOKUP($A34,'SegEnds_Xtal_Prot#'!$A:$AY,45,FALSE)-VLOOKUP($B34,'SegEnds_NonXtal_Prot#'!$A:$AL,34,FALSE),"-")</f>
        <v>28</v>
      </c>
      <c r="X34" s="2">
        <f>IFERROR(50+VLOOKUP($A34,'SegEnds_Xtal_Prot#'!$A:$AY,47,FALSE)-VLOOKUP($B34,'SegEnds_NonXtal_Prot#'!$A:$AL,34,FALSE),"-")</f>
        <v>56</v>
      </c>
      <c r="Y34" s="2">
        <f>IFERROR(50+VLOOKUP($A34,'SegEnds_Xtal_Prot#'!$A:$AY,49,FALSE)-VLOOKUP($B34,'SegEnds_NonXtal_Prot#'!$A:$AL,37,FALSE),"-")</f>
        <v>47</v>
      </c>
      <c r="Z34" s="2">
        <f>IFERROR(50+VLOOKUP($A34,'SegEnds_Xtal_Prot#'!$A:$AY,51,FALSE)-VLOOKUP($B34,'SegEnds_NonXtal_Prot#'!$A:$AL,37,FALSE),"-")</f>
        <v>59</v>
      </c>
      <c r="AA34" s="49" t="str">
        <f>VLOOKUP(B34,Classification!A:D,2,FALSE)</f>
        <v>A</v>
      </c>
      <c r="AB34" s="94" t="str">
        <f>VLOOKUP(B34,Classification!A:D,4,0)</f>
        <v>Opioid</v>
      </c>
      <c r="AC34" s="49">
        <f>VLOOKUP(B34,'SegEnds_NonXtal_Prot#'!A:AL,6,FALSE)-VLOOKUP(B34,'SegEnds_NonXtal_Prot#'!A:AL,5,FALSE)</f>
        <v>1</v>
      </c>
      <c r="AD34" s="49">
        <f>VLOOKUP(B34,'SegEnds_NonXtal_Prot#'!A:AL,9,FALSE)-VLOOKUP(B34,'SegEnds_NonXtal_Prot#'!A:AL,8,FALSE)</f>
        <v>1</v>
      </c>
      <c r="AE34" s="49">
        <f>VLOOKUP(B34,'SegEnds_NonXtal_Prot#'!A:AL,13,FALSE)-VLOOKUP(B34,'SegEnds_NonXtal_Prot#'!A:AL,10,FALSE)</f>
        <v>19</v>
      </c>
      <c r="AF34" s="49">
        <f>VLOOKUP(B34,'SegEnds_NonXtal_Prot#'!A:AL,12,FALSE)-VLOOKUP(B34,'SegEnds_NonXtal_Prot#'!A:AL,11,FALSE)</f>
        <v>2</v>
      </c>
      <c r="AG34" s="49">
        <f>VLOOKUP(B34,'SegEnds_NonXtal_Prot#'!A:AL,13,FALSE)-VLOOKUP(B34,'SegEnds_NonXtal_Prot#'!A:AL,11,FALSE)</f>
        <v>3</v>
      </c>
      <c r="AH34" s="49">
        <f>VLOOKUP(B34,'SegEnds_NonXtal_Prot#'!A:AL,16,FALSE)-VLOOKUP(B34,'SegEnds_NonXtal_Prot#'!A:AL,10,FALSE)</f>
        <v>51</v>
      </c>
      <c r="AI34" s="49">
        <f>VLOOKUP(B34,'SegEnds_NonXtal_Prot#'!A:AL,16,FALSE)-VLOOKUP(B34,'SegEnds_NonXtal_Prot#'!A:AL,11,FALSE)</f>
        <v>35</v>
      </c>
      <c r="AJ34" s="49">
        <f>VLOOKUP(B34,'SegEnds_NonXtal_Prot#'!A:AL,22,FALSE)-VLOOKUP(B34,'SegEnds_NonXtal_Prot#'!A:AL,19,FALSE)</f>
        <v>20</v>
      </c>
      <c r="AK34" s="49">
        <f>VLOOKUP(B34,'SegEnds_NonXtal_Prot#'!A:AL,15,FALSE)-VLOOKUP(B34,'SegEnds_NonXtal_Prot#'!A:AL,14,FALSE)</f>
        <v>1</v>
      </c>
      <c r="AL34" s="49">
        <f>VLOOKUP(B34,'SegEnds_NonXtal_Prot#'!A:AL,18,FALSE)-VLOOKUP(B34,'SegEnds_NonXtal_Prot#'!A:AL,17,FALSE)</f>
        <v>1</v>
      </c>
      <c r="AM34" s="2">
        <f>VLOOKUP(B34,'SegEnds_NonXtal_Prot#'!A:AL,34,FALSE)-VLOOKUP(B34,'SegEnds_NonXtal_Prot#'!A:AL,31,FALSE)</f>
        <v>38</v>
      </c>
      <c r="AN34" s="37"/>
    </row>
    <row r="35" spans="1:64" s="2" customFormat="1" x14ac:dyDescent="0.2">
      <c r="A35" s="2" t="s">
        <v>1254</v>
      </c>
      <c r="B35" s="2" t="s">
        <v>334</v>
      </c>
      <c r="C35" s="2">
        <f>IFERROR(50+VLOOKUP($A35,'SegEnds_Xtal_Prot#'!$A:$AY,5,FALSE)-VLOOKUP($B35,'SegEnds_NonXtal_Prot#'!$A:$AL,4,FALSE),"-")</f>
        <v>22</v>
      </c>
      <c r="D35" s="2">
        <f>IFERROR(50+VLOOKUP($A35,'SegEnds_Xtal_Prot#'!$A:$AY,7,FALSE)-VLOOKUP($B35,'SegEnds_NonXtal_Prot#'!$A:$AL,4,FALSE),"-")</f>
        <v>60</v>
      </c>
      <c r="E35" s="2">
        <f>IFERROR(50+VLOOKUP($A35,'SegEnds_Xtal_Prot#'!$A:$AY,9,FALSE)-VLOOKUP($B35,'SegEnds_NonXtal_Prot#'!$A:$AL,7,FALSE),"-")</f>
        <v>48</v>
      </c>
      <c r="F35" s="2">
        <f>IFERROR(50+VLOOKUP($A35,'SegEnds_Xtal_Prot#'!$A:$AY,11,FALSE)-VLOOKUP($B35,'SegEnds_NonXtal_Prot#'!$A:$AL,7,FALSE),"-")</f>
        <v>51</v>
      </c>
      <c r="G35" s="2">
        <f>IFERROR(50+VLOOKUP($A35,'SegEnds_Xtal_Prot#'!$A:$AY,13,FALSE)-VLOOKUP($B35,'SegEnds_NonXtal_Prot#'!$A:$AL,10,FALSE),"-")</f>
        <v>37</v>
      </c>
      <c r="H35" s="2">
        <f>IFERROR(50+VLOOKUP($A35,'SegEnds_Xtal_Prot#'!$A:$AY,15,FALSE)-VLOOKUP($B35,'SegEnds_NonXtal_Prot#'!$A:$AL,10,FALSE),"-")</f>
        <v>66</v>
      </c>
      <c r="I35" s="2">
        <f>IFERROR(50+VLOOKUP($A35,'SegEnds_Xtal_Prot#'!$A:$AY,17,FALSE)-VLOOKUP($B35,'SegEnds_NonXtal_Prot#'!$A:$AL,13,FALSE),"-")</f>
        <v>49</v>
      </c>
      <c r="J35" s="2">
        <f>IFERROR(50+VLOOKUP($A35,'SegEnds_Xtal_Prot#'!$A:$AY,19,FALSE)-VLOOKUP($B35,'SegEnds_NonXtal_Prot#'!$A:$AL,13,FALSE),"-")</f>
        <v>52</v>
      </c>
      <c r="K35" s="2">
        <f>IFERROR(50+VLOOKUP($A35,'SegEnds_Xtal_Prot#'!$A:$AY,21,FALSE)-VLOOKUP($B35,'SegEnds_NonXtal_Prot#'!$A:$AL,16,FALSE),"-")</f>
        <v>21</v>
      </c>
      <c r="L35" s="2">
        <f>IFERROR(50+VLOOKUP($A35,'SegEnds_Xtal_Prot#'!$A:$AY,23,FALSE)-VLOOKUP($B35,'SegEnds_NonXtal_Prot#'!$A:$AL,16,FALSE),"-")</f>
        <v>56</v>
      </c>
      <c r="M35" s="2">
        <f>IFERROR(50+VLOOKUP($A35,'SegEnds_Xtal_Prot#'!$A:$AY,25,FALSE)-VLOOKUP($B35,'SegEnds_NonXtal_Prot#'!$A:$AL,19,FALSE),"-")</f>
        <v>50</v>
      </c>
      <c r="N35" s="2">
        <f>IFERROR(50+VLOOKUP($A35,'SegEnds_Xtal_Prot#'!$A:$AY,27,FALSE)-VLOOKUP($B35,'SegEnds_NonXtal_Prot#'!$A:$AL,19,FALSE),"-")</f>
        <v>57</v>
      </c>
      <c r="O35" s="2">
        <f>IFERROR(50+VLOOKUP($A35,'SegEnds_Xtal_Prot#'!$A:$AY,29,FALSE)-VLOOKUP($B35,'SegEnds_NonXtal_Prot#'!$A:$AL,22,FALSE),"-")</f>
        <v>38</v>
      </c>
      <c r="P35" s="2">
        <f>IFERROR(50+VLOOKUP($A35,'SegEnds_Xtal_Prot#'!$A:$AY,31,FALSE)-VLOOKUP($B35,'SegEnds_NonXtal_Prot#'!$A:$AL,22,FALSE),"-")</f>
        <v>64</v>
      </c>
      <c r="Q35" s="2">
        <f>IFERROR(50+VLOOKUP($A35,'SegEnds_Xtal_Prot#'!$A:$AY,33,FALSE)-VLOOKUP($B35,'SegEnds_NonXtal_Prot#'!$A:$AL,25,FALSE),"-")</f>
        <v>50</v>
      </c>
      <c r="R35" s="2">
        <f>IFERROR(50+VLOOKUP($A35,'SegEnds_Xtal_Prot#'!$A:$AY,35,FALSE)-VLOOKUP($B35,'SegEnds_NonXtal_Prot#'!$A:$AL,25,FALSE),"-")</f>
        <v>52</v>
      </c>
      <c r="S35" s="2">
        <f>IFERROR(50+VLOOKUP($A35,'SegEnds_Xtal_Prot#'!$A:$AY,37,FALSE)-VLOOKUP($B35,'SegEnds_NonXtal_Prot#'!$A:$AL,28,FALSE),"-")</f>
        <v>31</v>
      </c>
      <c r="T35" s="2">
        <f>IFERROR(50+VLOOKUP($A35,'SegEnds_Xtal_Prot#'!$A:$AY,39,FALSE)-VLOOKUP($B35,'SegEnds_NonXtal_Prot#'!$A:$AL,28,FALSE),"-")</f>
        <v>68</v>
      </c>
      <c r="U35" s="2">
        <f>IFERROR(50+VLOOKUP($A35,'SegEnds_Xtal_Prot#'!$A:$AY,41,FALSE)-VLOOKUP($B35,'SegEnds_NonXtal_Prot#'!$A:$AL,31,FALSE),"-")</f>
        <v>23</v>
      </c>
      <c r="V35" s="2">
        <f>IFERROR(50+VLOOKUP($A35,'SegEnds_Xtal_Prot#'!$A:$AY,43,FALSE)-VLOOKUP($B35,'SegEnds_NonXtal_Prot#'!$A:$AL,31,FALSE),"-")</f>
        <v>61</v>
      </c>
      <c r="W35" s="2">
        <f>IFERROR(50+VLOOKUP($A35,'SegEnds_Xtal_Prot#'!$A:$AY,45,FALSE)-VLOOKUP($B35,'SegEnds_NonXtal_Prot#'!$A:$AL,34,FALSE),"-")</f>
        <v>28</v>
      </c>
      <c r="X35" s="2">
        <f>IFERROR(50+VLOOKUP($A35,'SegEnds_Xtal_Prot#'!$A:$AY,47,FALSE)-VLOOKUP($B35,'SegEnds_NonXtal_Prot#'!$A:$AL,34,FALSE),"-")</f>
        <v>56</v>
      </c>
      <c r="Y35" s="2">
        <f>IFERROR(50+VLOOKUP($A35,'SegEnds_Xtal_Prot#'!$A:$AY,49,FALSE)-VLOOKUP($B35,'SegEnds_NonXtal_Prot#'!$A:$AL,37,FALSE),"-")</f>
        <v>47</v>
      </c>
      <c r="Z35" s="2">
        <f>IFERROR(50+VLOOKUP($A35,'SegEnds_Xtal_Prot#'!$A:$AY,51,FALSE)-VLOOKUP($B35,'SegEnds_NonXtal_Prot#'!$A:$AL,37,FALSE),"-")</f>
        <v>60</v>
      </c>
      <c r="AA35" s="49" t="str">
        <f>VLOOKUP(B35,Classification!A:D,2,FALSE)</f>
        <v>A</v>
      </c>
      <c r="AB35" s="94" t="str">
        <f>VLOOKUP(B35,Classification!A:D,4,0)</f>
        <v>Opioid</v>
      </c>
      <c r="AC35" s="49">
        <f>VLOOKUP(B35,'SegEnds_NonXtal_Prot#'!A:AL,6,FALSE)-VLOOKUP(B35,'SegEnds_NonXtal_Prot#'!A:AL,5,FALSE)</f>
        <v>1</v>
      </c>
      <c r="AD35" s="49">
        <f>VLOOKUP(B35,'SegEnds_NonXtal_Prot#'!A:AL,9,FALSE)-VLOOKUP(B35,'SegEnds_NonXtal_Prot#'!A:AL,8,FALSE)</f>
        <v>1</v>
      </c>
      <c r="AE35" s="49">
        <f>VLOOKUP(B35,'SegEnds_NonXtal_Prot#'!A:AL,13,FALSE)-VLOOKUP(B35,'SegEnds_NonXtal_Prot#'!A:AL,10,FALSE)</f>
        <v>19</v>
      </c>
      <c r="AF35" s="49">
        <f>VLOOKUP(B35,'SegEnds_NonXtal_Prot#'!A:AL,12,FALSE)-VLOOKUP(B35,'SegEnds_NonXtal_Prot#'!A:AL,11,FALSE)</f>
        <v>2</v>
      </c>
      <c r="AG35" s="49">
        <f>VLOOKUP(B35,'SegEnds_NonXtal_Prot#'!A:AL,13,FALSE)-VLOOKUP(B35,'SegEnds_NonXtal_Prot#'!A:AL,11,FALSE)</f>
        <v>3</v>
      </c>
      <c r="AH35" s="49">
        <f>VLOOKUP(B35,'SegEnds_NonXtal_Prot#'!A:AL,16,FALSE)-VLOOKUP(B35,'SegEnds_NonXtal_Prot#'!A:AL,10,FALSE)</f>
        <v>51</v>
      </c>
      <c r="AI35" s="49">
        <f>VLOOKUP(B35,'SegEnds_NonXtal_Prot#'!A:AL,16,FALSE)-VLOOKUP(B35,'SegEnds_NonXtal_Prot#'!A:AL,11,FALSE)</f>
        <v>35</v>
      </c>
      <c r="AJ35" s="49">
        <f>VLOOKUP(B35,'SegEnds_NonXtal_Prot#'!A:AL,22,FALSE)-VLOOKUP(B35,'SegEnds_NonXtal_Prot#'!A:AL,19,FALSE)</f>
        <v>20</v>
      </c>
      <c r="AK35" s="49">
        <f>VLOOKUP(B35,'SegEnds_NonXtal_Prot#'!A:AL,15,FALSE)-VLOOKUP(B35,'SegEnds_NonXtal_Prot#'!A:AL,14,FALSE)</f>
        <v>1</v>
      </c>
      <c r="AL35" s="49">
        <f>VLOOKUP(B35,'SegEnds_NonXtal_Prot#'!A:AL,18,FALSE)-VLOOKUP(B35,'SegEnds_NonXtal_Prot#'!A:AL,17,FALSE)</f>
        <v>1</v>
      </c>
      <c r="AM35" s="2">
        <f>VLOOKUP(B35,'SegEnds_NonXtal_Prot#'!A:AL,34,FALSE)-VLOOKUP(B35,'SegEnds_NonXtal_Prot#'!A:AL,31,FALSE)</f>
        <v>39</v>
      </c>
      <c r="AN35" s="37"/>
    </row>
    <row r="36" spans="1:64" s="2" customFormat="1" x14ac:dyDescent="0.2">
      <c r="A36" s="2" t="s">
        <v>1259</v>
      </c>
      <c r="B36" s="2" t="s">
        <v>913</v>
      </c>
      <c r="C36" s="2">
        <f>IFERROR(50+VLOOKUP($A36,'SegEnds_Xtal_Prot#'!$A:$AY,5,FALSE)-VLOOKUP($B36,'SegEnds_NonXtal_Prot#'!$A:$AL,4,FALSE),"-")</f>
        <v>28</v>
      </c>
      <c r="D36" s="2">
        <f>IFERROR(50+VLOOKUP($A36,'SegEnds_Xtal_Prot#'!$A:$AY,7,FALSE)-VLOOKUP($B36,'SegEnds_NonXtal_Prot#'!$A:$AL,4,FALSE),"-")</f>
        <v>60</v>
      </c>
      <c r="E36" s="2">
        <f>IFERROR(50+VLOOKUP($A36,'SegEnds_Xtal_Prot#'!$A:$AY,9,FALSE)-VLOOKUP($B36,'SegEnds_NonXtal_Prot#'!$A:$AL,7,FALSE),"-")</f>
        <v>48</v>
      </c>
      <c r="F36" s="2">
        <f>IFERROR(50+VLOOKUP($A36,'SegEnds_Xtal_Prot#'!$A:$AY,11,FALSE)-VLOOKUP($B36,'SegEnds_NonXtal_Prot#'!$A:$AL,7,FALSE),"-")</f>
        <v>51</v>
      </c>
      <c r="G36" s="2">
        <f>IFERROR(50+VLOOKUP($A36,'SegEnds_Xtal_Prot#'!$A:$AY,13,FALSE)-VLOOKUP($B36,'SegEnds_NonXtal_Prot#'!$A:$AL,10,FALSE),"-")</f>
        <v>37</v>
      </c>
      <c r="H36" s="2">
        <f>IFERROR(50+VLOOKUP($A36,'SegEnds_Xtal_Prot#'!$A:$AY,15,FALSE)-VLOOKUP($B36,'SegEnds_NonXtal_Prot#'!$A:$AL,10,FALSE),"-")</f>
        <v>67</v>
      </c>
      <c r="I36" s="2">
        <f>IFERROR(50+VLOOKUP($A36,'SegEnds_Xtal_Prot#'!$A:$AY,17,FALSE)-VLOOKUP($B36,'SegEnds_NonXtal_Prot#'!$A:$AL,13,FALSE),"-")</f>
        <v>49</v>
      </c>
      <c r="J36" s="2">
        <f>IFERROR(50+VLOOKUP($A36,'SegEnds_Xtal_Prot#'!$A:$AY,19,FALSE)-VLOOKUP($B36,'SegEnds_NonXtal_Prot#'!$A:$AL,13,FALSE),"-")</f>
        <v>52</v>
      </c>
      <c r="K36" s="2">
        <f>IFERROR(50+VLOOKUP($A36,'SegEnds_Xtal_Prot#'!$A:$AY,21,FALSE)-VLOOKUP($B36,'SegEnds_NonXtal_Prot#'!$A:$AL,16,FALSE),"-")</f>
        <v>21</v>
      </c>
      <c r="L36" s="2">
        <f>IFERROR(50+VLOOKUP($A36,'SegEnds_Xtal_Prot#'!$A:$AY,23,FALSE)-VLOOKUP($B36,'SegEnds_NonXtal_Prot#'!$A:$AL,16,FALSE),"-")</f>
        <v>56</v>
      </c>
      <c r="M36" s="2">
        <f>IFERROR(50+VLOOKUP($A36,'SegEnds_Xtal_Prot#'!$A:$AY,25,FALSE)-VLOOKUP($B36,'SegEnds_NonXtal_Prot#'!$A:$AL,19,FALSE),"-")</f>
        <v>50</v>
      </c>
      <c r="N36" s="2">
        <f>IFERROR(50+VLOOKUP($A36,'SegEnds_Xtal_Prot#'!$A:$AY,27,FALSE)-VLOOKUP($B36,'SegEnds_NonXtal_Prot#'!$A:$AL,19,FALSE),"-")</f>
        <v>56</v>
      </c>
      <c r="O36" s="2">
        <f>IFERROR(50+VLOOKUP($A36,'SegEnds_Xtal_Prot#'!$A:$AY,29,FALSE)-VLOOKUP($B36,'SegEnds_NonXtal_Prot#'!$A:$AL,22,FALSE),"-")</f>
        <v>38</v>
      </c>
      <c r="P36" s="2">
        <f>IFERROR(50+VLOOKUP($A36,'SegEnds_Xtal_Prot#'!$A:$AY,31,FALSE)-VLOOKUP($B36,'SegEnds_NonXtal_Prot#'!$A:$AL,22,FALSE),"-")</f>
        <v>62</v>
      </c>
      <c r="Q36" s="2">
        <f>IFERROR(50+VLOOKUP($A36,'SegEnds_Xtal_Prot#'!$A:$AY,33,FALSE)-VLOOKUP($B36,'SegEnds_NonXtal_Prot#'!$A:$AL,25,FALSE),"-")</f>
        <v>50</v>
      </c>
      <c r="R36" s="2">
        <f>IFERROR(50+VLOOKUP($A36,'SegEnds_Xtal_Prot#'!$A:$AY,35,FALSE)-VLOOKUP($B36,'SegEnds_NonXtal_Prot#'!$A:$AL,25,FALSE),"-")</f>
        <v>52</v>
      </c>
      <c r="S36" s="2">
        <f>IFERROR(50+VLOOKUP($A36,'SegEnds_Xtal_Prot#'!$A:$AY,37,FALSE)-VLOOKUP($B36,'SegEnds_NonXtal_Prot#'!$A:$AL,28,FALSE),"-")</f>
        <v>34</v>
      </c>
      <c r="T36" s="2">
        <f>IFERROR(50+VLOOKUP($A36,'SegEnds_Xtal_Prot#'!$A:$AY,39,FALSE)-VLOOKUP($B36,'SegEnds_NonXtal_Prot#'!$A:$AL,28,FALSE),"-")</f>
        <v>72</v>
      </c>
      <c r="U36" s="2">
        <f>IFERROR(50+VLOOKUP($A36,'SegEnds_Xtal_Prot#'!$A:$AY,41,FALSE)-VLOOKUP($B36,'SegEnds_NonXtal_Prot#'!$A:$AL,31,FALSE),"-")</f>
        <v>23</v>
      </c>
      <c r="V36" s="2">
        <f>IFERROR(50+VLOOKUP($A36,'SegEnds_Xtal_Prot#'!$A:$AY,43,FALSE)-VLOOKUP($B36,'SegEnds_NonXtal_Prot#'!$A:$AL,31,FALSE),"-")</f>
        <v>61</v>
      </c>
      <c r="W36" s="2">
        <f>IFERROR(50+VLOOKUP($A36,'SegEnds_Xtal_Prot#'!$A:$AY,45,FALSE)-VLOOKUP($B36,'SegEnds_NonXtal_Prot#'!$A:$AL,34,FALSE),"-")</f>
        <v>31</v>
      </c>
      <c r="X36" s="2">
        <f>IFERROR(50+VLOOKUP($A36,'SegEnds_Xtal_Prot#'!$A:$AY,47,FALSE)-VLOOKUP($B36,'SegEnds_NonXtal_Prot#'!$A:$AL,34,FALSE),"-")</f>
        <v>56</v>
      </c>
      <c r="Y36" s="2">
        <f>IFERROR(50+VLOOKUP($A36,'SegEnds_Xtal_Prot#'!$A:$AY,49,FALSE)-VLOOKUP($B36,'SegEnds_NonXtal_Prot#'!$A:$AL,37,FALSE),"-")</f>
        <v>47</v>
      </c>
      <c r="Z36" s="2">
        <f>IFERROR(50+VLOOKUP($A36,'SegEnds_Xtal_Prot#'!$A:$AY,51,FALSE)-VLOOKUP($B36,'SegEnds_NonXtal_Prot#'!$A:$AL,37,FALSE),"-")</f>
        <v>59</v>
      </c>
      <c r="AA36" s="49" t="str">
        <f>VLOOKUP(B36,Classification!A:D,2,FALSE)</f>
        <v>A</v>
      </c>
      <c r="AB36" s="94" t="str">
        <f>VLOOKUP(B36,Classification!A:D,4,0)</f>
        <v>Opsins</v>
      </c>
      <c r="AC36" s="49">
        <f>VLOOKUP(B36,'SegEnds_NonXtal_Prot#'!A:AL,6,FALSE)-VLOOKUP(B36,'SegEnds_NonXtal_Prot#'!A:AL,5,FALSE)</f>
        <v>1</v>
      </c>
      <c r="AD36" s="49">
        <f>VLOOKUP(B36,'SegEnds_NonXtal_Prot#'!A:AL,9,FALSE)-VLOOKUP(B36,'SegEnds_NonXtal_Prot#'!A:AL,8,FALSE)</f>
        <v>1</v>
      </c>
      <c r="AE36" s="49">
        <f>VLOOKUP(B36,'SegEnds_NonXtal_Prot#'!A:AL,13,FALSE)-VLOOKUP(B36,'SegEnds_NonXtal_Prot#'!A:AL,10,FALSE)</f>
        <v>20</v>
      </c>
      <c r="AF36" s="49">
        <f>VLOOKUP(B36,'SegEnds_NonXtal_Prot#'!A:AL,12,FALSE)-VLOOKUP(B36,'SegEnds_NonXtal_Prot#'!A:AL,11,FALSE)</f>
        <v>2</v>
      </c>
      <c r="AG36" s="49">
        <f>VLOOKUP(B36,'SegEnds_NonXtal_Prot#'!A:AL,13,FALSE)-VLOOKUP(B36,'SegEnds_NonXtal_Prot#'!A:AL,11,FALSE)</f>
        <v>3</v>
      </c>
      <c r="AH36" s="49">
        <f>VLOOKUP(B36,'SegEnds_NonXtal_Prot#'!A:AL,16,FALSE)-VLOOKUP(B36,'SegEnds_NonXtal_Prot#'!A:AL,10,FALSE)</f>
        <v>52</v>
      </c>
      <c r="AI36" s="49">
        <f>VLOOKUP(B36,'SegEnds_NonXtal_Prot#'!A:AL,16,FALSE)-VLOOKUP(B36,'SegEnds_NonXtal_Prot#'!A:AL,11,FALSE)</f>
        <v>35</v>
      </c>
      <c r="AJ36" s="49">
        <f>VLOOKUP(B36,'SegEnds_NonXtal_Prot#'!A:AL,22,FALSE)-VLOOKUP(B36,'SegEnds_NonXtal_Prot#'!A:AL,19,FALSE)</f>
        <v>19</v>
      </c>
      <c r="AK36" s="49">
        <f>VLOOKUP(B36,'SegEnds_NonXtal_Prot#'!A:AL,15,FALSE)-VLOOKUP(B36,'SegEnds_NonXtal_Prot#'!A:AL,14,FALSE)</f>
        <v>1</v>
      </c>
      <c r="AL36" s="49">
        <f>VLOOKUP(B36,'SegEnds_NonXtal_Prot#'!A:AL,18,FALSE)-VLOOKUP(B36,'SegEnds_NonXtal_Prot#'!A:AL,17,FALSE)</f>
        <v>1</v>
      </c>
      <c r="AM36" s="2">
        <f>VLOOKUP(B36,'SegEnds_NonXtal_Prot#'!A:AL,34,FALSE)-VLOOKUP(B36,'SegEnds_NonXtal_Prot#'!A:AL,31,FALSE)</f>
        <v>36</v>
      </c>
      <c r="AN36" s="37"/>
      <c r="AO36" s="2" t="s">
        <v>1272</v>
      </c>
      <c r="AP36" s="2" t="s">
        <v>1274</v>
      </c>
    </row>
    <row r="37" spans="1:64" s="2" customFormat="1" x14ac:dyDescent="0.2">
      <c r="A37" s="2" t="s">
        <v>1261</v>
      </c>
      <c r="B37" s="2" t="s">
        <v>915</v>
      </c>
      <c r="C37" s="2">
        <f>IFERROR(50+VLOOKUP($A37,'SegEnds_Xtal_Prot#'!$A:$AY,5,FALSE)-VLOOKUP($B37,'SegEnds_NonXtal_Prot#'!$A:$AL,4,FALSE),"-")</f>
        <v>29</v>
      </c>
      <c r="D37" s="2">
        <f>IFERROR(50+VLOOKUP($A37,'SegEnds_Xtal_Prot#'!$A:$AY,7,FALSE)-VLOOKUP($B37,'SegEnds_NonXtal_Prot#'!$A:$AL,4,FALSE),"-")</f>
        <v>60</v>
      </c>
      <c r="E37" s="2">
        <f>IFERROR(50+VLOOKUP($A37,'SegEnds_Xtal_Prot#'!$A:$AY,9,FALSE)-VLOOKUP($B37,'SegEnds_NonXtal_Prot#'!$A:$AL,7,FALSE),"-")</f>
        <v>48</v>
      </c>
      <c r="F37" s="2">
        <f>IFERROR(50+VLOOKUP($A37,'SegEnds_Xtal_Prot#'!$A:$AY,11,FALSE)-VLOOKUP($B37,'SegEnds_NonXtal_Prot#'!$A:$AL,7,FALSE),"-")</f>
        <v>51</v>
      </c>
      <c r="G37" s="2">
        <f>IFERROR(50+VLOOKUP($A37,'SegEnds_Xtal_Prot#'!$A:$AY,13,FALSE)-VLOOKUP($B37,'SegEnds_NonXtal_Prot#'!$A:$AL,10,FALSE),"-")</f>
        <v>37</v>
      </c>
      <c r="H37" s="2">
        <f>IFERROR(50+VLOOKUP($A37,'SegEnds_Xtal_Prot#'!$A:$AY,15,FALSE)-VLOOKUP($B37,'SegEnds_NonXtal_Prot#'!$A:$AL,10,FALSE),"-")</f>
        <v>69</v>
      </c>
      <c r="I37" s="2">
        <f>IFERROR(50+VLOOKUP($A37,'SegEnds_Xtal_Prot#'!$A:$AY,17,FALSE)-VLOOKUP($B37,'SegEnds_NonXtal_Prot#'!$A:$AL,13,FALSE),"-")</f>
        <v>49</v>
      </c>
      <c r="J37" s="2">
        <f>IFERROR(50+VLOOKUP($A37,'SegEnds_Xtal_Prot#'!$A:$AY,19,FALSE)-VLOOKUP($B37,'SegEnds_NonXtal_Prot#'!$A:$AL,13,FALSE),"-")</f>
        <v>52</v>
      </c>
      <c r="K37" s="2">
        <f>IFERROR(50+VLOOKUP($A37,'SegEnds_Xtal_Prot#'!$A:$AY,21,FALSE)-VLOOKUP($B37,'SegEnds_NonXtal_Prot#'!$A:$AL,16,FALSE),"-")</f>
        <v>21</v>
      </c>
      <c r="L37" s="2">
        <f>IFERROR(50+VLOOKUP($A37,'SegEnds_Xtal_Prot#'!$A:$AY,23,FALSE)-VLOOKUP($B37,'SegEnds_NonXtal_Prot#'!$A:$AL,16,FALSE),"-")</f>
        <v>56</v>
      </c>
      <c r="M37" s="2">
        <f>IFERROR(50+VLOOKUP($A37,'SegEnds_Xtal_Prot#'!$A:$AY,25,FALSE)-VLOOKUP($B37,'SegEnds_NonXtal_Prot#'!$A:$AL,19,FALSE),"-")</f>
        <v>50</v>
      </c>
      <c r="N37" s="2">
        <f>IFERROR(50+VLOOKUP($A37,'SegEnds_Xtal_Prot#'!$A:$AY,27,FALSE)-VLOOKUP($B37,'SegEnds_NonXtal_Prot#'!$A:$AL,19,FALSE),"-")</f>
        <v>57</v>
      </c>
      <c r="O37" s="2">
        <f>IFERROR(50+VLOOKUP($A37,'SegEnds_Xtal_Prot#'!$A:$AY,29,FALSE)-VLOOKUP($B37,'SegEnds_NonXtal_Prot#'!$A:$AL,22,FALSE),"-")</f>
        <v>38</v>
      </c>
      <c r="P37" s="2">
        <f>IFERROR(50+VLOOKUP($A37,'SegEnds_Xtal_Prot#'!$A:$AY,31,FALSE)-VLOOKUP($B37,'SegEnds_NonXtal_Prot#'!$A:$AL,22,FALSE),"-")</f>
        <v>62</v>
      </c>
      <c r="Q37" s="2">
        <f>IFERROR(50+VLOOKUP($A37,'SegEnds_Xtal_Prot#'!$A:$AY,33,FALSE)-VLOOKUP($B37,'SegEnds_NonXtal_Prot#'!$A:$AL,25,FALSE),"-")</f>
        <v>50</v>
      </c>
      <c r="R37" s="2">
        <f>IFERROR(50+VLOOKUP($A37,'SegEnds_Xtal_Prot#'!$A:$AY,35,FALSE)-VLOOKUP($B37,'SegEnds_NonXtal_Prot#'!$A:$AL,25,FALSE),"-")</f>
        <v>52</v>
      </c>
      <c r="S37" s="2">
        <f>IFERROR(50+VLOOKUP($A37,'SegEnds_Xtal_Prot#'!$A:$AY,37,FALSE)-VLOOKUP($B37,'SegEnds_NonXtal_Prot#'!$A:$AL,28,FALSE),"-")</f>
        <v>32</v>
      </c>
      <c r="T37" s="2">
        <f>IFERROR(50+VLOOKUP($A37,'SegEnds_Xtal_Prot#'!$A:$AY,39,FALSE)-VLOOKUP($B37,'SegEnds_NonXtal_Prot#'!$A:$AL,28,FALSE),"-")</f>
        <v>77</v>
      </c>
      <c r="U37" s="2">
        <f>IFERROR(50+VLOOKUP($A37,'SegEnds_Xtal_Prot#'!$A:$AY,41,FALSE)-VLOOKUP($B37,'SegEnds_NonXtal_Prot#'!$A:$AL,31,FALSE),"-")</f>
        <v>18</v>
      </c>
      <c r="V37" s="2">
        <f>IFERROR(50+VLOOKUP($A37,'SegEnds_Xtal_Prot#'!$A:$AY,43,FALSE)-VLOOKUP($B37,'SegEnds_NonXtal_Prot#'!$A:$AL,31,FALSE),"-")</f>
        <v>61</v>
      </c>
      <c r="W37" s="2">
        <f>IFERROR(50+VLOOKUP($A37,'SegEnds_Xtal_Prot#'!$A:$AY,45,FALSE)-VLOOKUP($B37,'SegEnds_NonXtal_Prot#'!$A:$AL,34,FALSE),"-")</f>
        <v>31</v>
      </c>
      <c r="X37" s="2">
        <f>IFERROR(50+VLOOKUP($A37,'SegEnds_Xtal_Prot#'!$A:$AY,47,FALSE)-VLOOKUP($B37,'SegEnds_NonXtal_Prot#'!$A:$AL,34,FALSE),"-")</f>
        <v>56</v>
      </c>
      <c r="Y37" s="2">
        <f>IFERROR(50+VLOOKUP($A37,'SegEnds_Xtal_Prot#'!$A:$AY,49,FALSE)-VLOOKUP($B37,'SegEnds_NonXtal_Prot#'!$A:$AL,37,FALSE),"-")</f>
        <v>47</v>
      </c>
      <c r="Z37" s="2">
        <f>IFERROR(50+VLOOKUP($A37,'SegEnds_Xtal_Prot#'!$A:$AY,51,FALSE)-VLOOKUP($B37,'SegEnds_NonXtal_Prot#'!$A:$AL,37,FALSE),"-")</f>
        <v>58</v>
      </c>
      <c r="AA37" s="49" t="str">
        <f>VLOOKUP(B37,Classification!A:D,2,FALSE)</f>
        <v>A</v>
      </c>
      <c r="AB37" s="94" t="str">
        <f>VLOOKUP(B37,Classification!A:D,4,0)</f>
        <v>Opsins</v>
      </c>
      <c r="AC37" s="49">
        <f>VLOOKUP(B37,'SegEnds_NonXtal_Prot#'!A:AL,6,FALSE)-VLOOKUP(B37,'SegEnds_NonXtal_Prot#'!A:AL,5,FALSE)</f>
        <v>1</v>
      </c>
      <c r="AD37" s="49">
        <f>VLOOKUP(B37,'SegEnds_NonXtal_Prot#'!A:AL,9,FALSE)-VLOOKUP(B37,'SegEnds_NonXtal_Prot#'!A:AL,8,FALSE)</f>
        <v>1</v>
      </c>
      <c r="AE37" s="49">
        <f>VLOOKUP(B37,'SegEnds_NonXtal_Prot#'!A:AL,13,FALSE)-VLOOKUP(B37,'SegEnds_NonXtal_Prot#'!A:AL,10,FALSE)</f>
        <v>21</v>
      </c>
      <c r="AF37" s="49">
        <f>VLOOKUP(B37,'SegEnds_NonXtal_Prot#'!A:AL,12,FALSE)-VLOOKUP(B37,'SegEnds_NonXtal_Prot#'!A:AL,11,FALSE)</f>
        <v>1</v>
      </c>
      <c r="AG37" s="49">
        <f>VLOOKUP(B37,'SegEnds_NonXtal_Prot#'!A:AL,13,FALSE)-VLOOKUP(B37,'SegEnds_NonXtal_Prot#'!A:AL,11,FALSE)</f>
        <v>2</v>
      </c>
      <c r="AH37" s="49">
        <f>VLOOKUP(B37,'SegEnds_NonXtal_Prot#'!A:AL,16,FALSE)-VLOOKUP(B37,'SegEnds_NonXtal_Prot#'!A:AL,10,FALSE)</f>
        <v>53</v>
      </c>
      <c r="AI37" s="49">
        <f>VLOOKUP(B37,'SegEnds_NonXtal_Prot#'!A:AL,16,FALSE)-VLOOKUP(B37,'SegEnds_NonXtal_Prot#'!A:AL,11,FALSE)</f>
        <v>34</v>
      </c>
      <c r="AJ37" s="49">
        <f>VLOOKUP(B37,'SegEnds_NonXtal_Prot#'!A:AL,22,FALSE)-VLOOKUP(B37,'SegEnds_NonXtal_Prot#'!A:AL,19,FALSE)</f>
        <v>20</v>
      </c>
      <c r="AK37" s="49">
        <f>VLOOKUP(B37,'SegEnds_NonXtal_Prot#'!A:AL,15,FALSE)-VLOOKUP(B37,'SegEnds_NonXtal_Prot#'!A:AL,14,FALSE)</f>
        <v>1</v>
      </c>
      <c r="AL37" s="49">
        <f>VLOOKUP(B37,'SegEnds_NonXtal_Prot#'!A:AL,18,FALSE)-VLOOKUP(B37,'SegEnds_NonXtal_Prot#'!A:AL,17,FALSE)</f>
        <v>1</v>
      </c>
      <c r="AM37" s="2">
        <f>VLOOKUP(B37,'SegEnds_NonXtal_Prot#'!A:AL,34,FALSE)-VLOOKUP(B37,'SegEnds_NonXtal_Prot#'!A:AL,31,FALSE)</f>
        <v>36</v>
      </c>
      <c r="AN37" s="37"/>
    </row>
    <row r="38" spans="1:64" s="2" customFormat="1" x14ac:dyDescent="0.2">
      <c r="A38" s="2" t="s">
        <v>1260</v>
      </c>
      <c r="B38" s="2" t="s">
        <v>338</v>
      </c>
      <c r="C38" s="2">
        <f>IFERROR(50+VLOOKUP($A38,'SegEnds_Xtal_Prot#'!$A:$AY,5,FALSE)-VLOOKUP($B38,'SegEnds_NonXtal_Prot#'!$A:$AL,4,FALSE),"-")</f>
        <v>29</v>
      </c>
      <c r="D38" s="2">
        <f>IFERROR(50+VLOOKUP($A38,'SegEnds_Xtal_Prot#'!$A:$AY,7,FALSE)-VLOOKUP($B38,'SegEnds_NonXtal_Prot#'!$A:$AL,4,FALSE),"-")</f>
        <v>60</v>
      </c>
      <c r="E38" s="2">
        <f>IFERROR(50+VLOOKUP($A38,'SegEnds_Xtal_Prot#'!$A:$AY,9,FALSE)-VLOOKUP($B38,'SegEnds_NonXtal_Prot#'!$A:$AL,7,FALSE),"-")</f>
        <v>48</v>
      </c>
      <c r="F38" s="2">
        <f>IFERROR(50+VLOOKUP($A38,'SegEnds_Xtal_Prot#'!$A:$AY,11,FALSE)-VLOOKUP($B38,'SegEnds_NonXtal_Prot#'!$A:$AL,7,FALSE),"-")</f>
        <v>51</v>
      </c>
      <c r="G38" s="2">
        <f>IFERROR(50+VLOOKUP($A38,'SegEnds_Xtal_Prot#'!$A:$AY,13,FALSE)-VLOOKUP($B38,'SegEnds_NonXtal_Prot#'!$A:$AL,10,FALSE),"-")</f>
        <v>37</v>
      </c>
      <c r="H38" s="2">
        <f>IFERROR(50+VLOOKUP($A38,'SegEnds_Xtal_Prot#'!$A:$AY,15,FALSE)-VLOOKUP($B38,'SegEnds_NonXtal_Prot#'!$A:$AL,10,FALSE),"-")</f>
        <v>67</v>
      </c>
      <c r="I38" s="2">
        <f>IFERROR(50+VLOOKUP($A38,'SegEnds_Xtal_Prot#'!$A:$AY,17,FALSE)-VLOOKUP($B38,'SegEnds_NonXtal_Prot#'!$A:$AL,13,FALSE),"-")</f>
        <v>49</v>
      </c>
      <c r="J38" s="2">
        <f>IFERROR(50+VLOOKUP($A38,'SegEnds_Xtal_Prot#'!$A:$AY,19,FALSE)-VLOOKUP($B38,'SegEnds_NonXtal_Prot#'!$A:$AL,13,FALSE),"-")</f>
        <v>52</v>
      </c>
      <c r="K38" s="2">
        <f>IFERROR(50+VLOOKUP($A38,'SegEnds_Xtal_Prot#'!$A:$AY,21,FALSE)-VLOOKUP($B38,'SegEnds_NonXtal_Prot#'!$A:$AL,16,FALSE),"-")</f>
        <v>21</v>
      </c>
      <c r="L38" s="2">
        <f>IFERROR(50+VLOOKUP($A38,'SegEnds_Xtal_Prot#'!$A:$AY,23,FALSE)-VLOOKUP($B38,'SegEnds_NonXtal_Prot#'!$A:$AL,16,FALSE),"-")</f>
        <v>56</v>
      </c>
      <c r="M38" s="2">
        <f>IFERROR(50+VLOOKUP($A38,'SegEnds_Xtal_Prot#'!$A:$AY,25,FALSE)-VLOOKUP($B38,'SegEnds_NonXtal_Prot#'!$A:$AL,19,FALSE),"-")</f>
        <v>50</v>
      </c>
      <c r="N38" s="2">
        <f>IFERROR(50+VLOOKUP($A38,'SegEnds_Xtal_Prot#'!$A:$AY,27,FALSE)-VLOOKUP($B38,'SegEnds_NonXtal_Prot#'!$A:$AL,19,FALSE),"-")</f>
        <v>56</v>
      </c>
      <c r="O38" s="2">
        <f>IFERROR(50+VLOOKUP($A38,'SegEnds_Xtal_Prot#'!$A:$AY,29,FALSE)-VLOOKUP($B38,'SegEnds_NonXtal_Prot#'!$A:$AL,22,FALSE),"-")</f>
        <v>38</v>
      </c>
      <c r="P38" s="2">
        <f>IFERROR(50+VLOOKUP($A38,'SegEnds_Xtal_Prot#'!$A:$AY,31,FALSE)-VLOOKUP($B38,'SegEnds_NonXtal_Prot#'!$A:$AL,22,FALSE),"-")</f>
        <v>62</v>
      </c>
      <c r="Q38" s="2">
        <f>IFERROR(50+VLOOKUP($A38,'SegEnds_Xtal_Prot#'!$A:$AY,33,FALSE)-VLOOKUP($B38,'SegEnds_NonXtal_Prot#'!$A:$AL,25,FALSE),"-")</f>
        <v>50</v>
      </c>
      <c r="R38" s="2">
        <f>IFERROR(50+VLOOKUP($A38,'SegEnds_Xtal_Prot#'!$A:$AY,35,FALSE)-VLOOKUP($B38,'SegEnds_NonXtal_Prot#'!$A:$AL,25,FALSE),"-")</f>
        <v>52</v>
      </c>
      <c r="S38" s="2">
        <f>IFERROR(50+VLOOKUP($A38,'SegEnds_Xtal_Prot#'!$A:$AY,37,FALSE)-VLOOKUP($B38,'SegEnds_NonXtal_Prot#'!$A:$AL,28,FALSE),"-")</f>
        <v>34</v>
      </c>
      <c r="T38" s="2">
        <f>IFERROR(50+VLOOKUP($A38,'SegEnds_Xtal_Prot#'!$A:$AY,39,FALSE)-VLOOKUP($B38,'SegEnds_NonXtal_Prot#'!$A:$AL,28,FALSE),"-")</f>
        <v>72</v>
      </c>
      <c r="U38" s="2">
        <f>IFERROR(50+VLOOKUP($A38,'SegEnds_Xtal_Prot#'!$A:$AY,41,FALSE)-VLOOKUP($B38,'SegEnds_NonXtal_Prot#'!$A:$AL,31,FALSE),"-")</f>
        <v>24</v>
      </c>
      <c r="V38" s="2">
        <f>IFERROR(50+VLOOKUP($A38,'SegEnds_Xtal_Prot#'!$A:$AY,43,FALSE)-VLOOKUP($B38,'SegEnds_NonXtal_Prot#'!$A:$AL,31,FALSE),"-")</f>
        <v>61</v>
      </c>
      <c r="W38" s="2">
        <f>IFERROR(50+VLOOKUP($A38,'SegEnds_Xtal_Prot#'!$A:$AY,45,FALSE)-VLOOKUP($B38,'SegEnds_NonXtal_Prot#'!$A:$AL,34,FALSE),"-")</f>
        <v>31</v>
      </c>
      <c r="X38" s="2">
        <f>IFERROR(50+VLOOKUP($A38,'SegEnds_Xtal_Prot#'!$A:$AY,47,FALSE)-VLOOKUP($B38,'SegEnds_NonXtal_Prot#'!$A:$AL,34,FALSE),"-")</f>
        <v>56</v>
      </c>
      <c r="Y38" s="2">
        <f>IFERROR(50+VLOOKUP($A38,'SegEnds_Xtal_Prot#'!$A:$AY,49,FALSE)-VLOOKUP($B38,'SegEnds_NonXtal_Prot#'!$A:$AL,37,FALSE),"-")</f>
        <v>47</v>
      </c>
      <c r="Z38" s="2">
        <f>IFERROR(50+VLOOKUP($A38,'SegEnds_Xtal_Prot#'!$A:$AY,51,FALSE)-VLOOKUP($B38,'SegEnds_NonXtal_Prot#'!$A:$AL,37,FALSE),"-")</f>
        <v>59</v>
      </c>
      <c r="AA38" s="49" t="str">
        <f>VLOOKUP(B38,Classification!A:D,2,FALSE)</f>
        <v>A</v>
      </c>
      <c r="AB38" s="94" t="str">
        <f>VLOOKUP(B38,Classification!A:D,4,0)</f>
        <v>Opsins</v>
      </c>
      <c r="AC38" s="49">
        <f>VLOOKUP(B38,'SegEnds_NonXtal_Prot#'!A:AL,6,FALSE)-VLOOKUP(B38,'SegEnds_NonXtal_Prot#'!A:AL,5,FALSE)</f>
        <v>1</v>
      </c>
      <c r="AD38" s="49">
        <f>VLOOKUP(B38,'SegEnds_NonXtal_Prot#'!A:AL,9,FALSE)-VLOOKUP(B38,'SegEnds_NonXtal_Prot#'!A:AL,8,FALSE)</f>
        <v>1</v>
      </c>
      <c r="AE38" s="49">
        <f>VLOOKUP(B38,'SegEnds_NonXtal_Prot#'!A:AL,13,FALSE)-VLOOKUP(B38,'SegEnds_NonXtal_Prot#'!A:AL,10,FALSE)</f>
        <v>20</v>
      </c>
      <c r="AF38" s="49">
        <f>VLOOKUP(B38,'SegEnds_NonXtal_Prot#'!A:AL,12,FALSE)-VLOOKUP(B38,'SegEnds_NonXtal_Prot#'!A:AL,11,FALSE)</f>
        <v>2</v>
      </c>
      <c r="AG38" s="49">
        <f>VLOOKUP(B38,'SegEnds_NonXtal_Prot#'!A:AL,13,FALSE)-VLOOKUP(B38,'SegEnds_NonXtal_Prot#'!A:AL,11,FALSE)</f>
        <v>3</v>
      </c>
      <c r="AH38" s="49">
        <f>VLOOKUP(B38,'SegEnds_NonXtal_Prot#'!A:AL,16,FALSE)-VLOOKUP(B38,'SegEnds_NonXtal_Prot#'!A:AL,10,FALSE)</f>
        <v>52</v>
      </c>
      <c r="AI38" s="49">
        <f>VLOOKUP(B38,'SegEnds_NonXtal_Prot#'!A:AL,16,FALSE)-VLOOKUP(B38,'SegEnds_NonXtal_Prot#'!A:AL,11,FALSE)</f>
        <v>35</v>
      </c>
      <c r="AJ38" s="49">
        <f>VLOOKUP(B38,'SegEnds_NonXtal_Prot#'!A:AL,22,FALSE)-VLOOKUP(B38,'SegEnds_NonXtal_Prot#'!A:AL,19,FALSE)</f>
        <v>19</v>
      </c>
      <c r="AK38" s="49">
        <f>VLOOKUP(B38,'SegEnds_NonXtal_Prot#'!A:AL,15,FALSE)-VLOOKUP(B38,'SegEnds_NonXtal_Prot#'!A:AL,14,FALSE)</f>
        <v>1</v>
      </c>
      <c r="AL38" s="49">
        <f>VLOOKUP(B38,'SegEnds_NonXtal_Prot#'!A:AL,18,FALSE)-VLOOKUP(B38,'SegEnds_NonXtal_Prot#'!A:AL,17,FALSE)</f>
        <v>1</v>
      </c>
      <c r="AM38" s="2">
        <f>VLOOKUP(B38,'SegEnds_NonXtal_Prot#'!A:AL,34,FALSE)-VLOOKUP(B38,'SegEnds_NonXtal_Prot#'!A:AL,31,FALSE)</f>
        <v>36</v>
      </c>
      <c r="AN38" s="37"/>
    </row>
    <row r="39" spans="1:64" s="2" customFormat="1" x14ac:dyDescent="0.2">
      <c r="A39" s="2" t="s">
        <v>1263</v>
      </c>
      <c r="B39" s="2" t="s">
        <v>1169</v>
      </c>
      <c r="C39" s="2">
        <f>IFERROR(50+VLOOKUP($A39,'SegEnds_Xtal_Prot#'!$A:$AY,5,FALSE)-VLOOKUP($B39,'SegEnds_NonXtal_Prot#'!$A:$AL,4,FALSE),"-")</f>
        <v>31</v>
      </c>
      <c r="D39" s="2">
        <f>IFERROR(50+VLOOKUP($A39,'SegEnds_Xtal_Prot#'!$A:$AY,7,FALSE)-VLOOKUP($B39,'SegEnds_NonXtal_Prot#'!$A:$AL,4,FALSE),"-")</f>
        <v>60</v>
      </c>
      <c r="E39" s="2">
        <f>IFERROR(50+VLOOKUP($A39,'SegEnds_Xtal_Prot#'!$A:$AY,9,FALSE)-VLOOKUP($B39,'SegEnds_NonXtal_Prot#'!$A:$AL,7,FALSE),"-")</f>
        <v>48</v>
      </c>
      <c r="F39" s="2">
        <f>IFERROR(50+VLOOKUP($A39,'SegEnds_Xtal_Prot#'!$A:$AY,11,FALSE)-VLOOKUP($B39,'SegEnds_NonXtal_Prot#'!$A:$AL,7,FALSE),"-")</f>
        <v>51</v>
      </c>
      <c r="G39" s="2">
        <f>IFERROR(50+VLOOKUP($A39,'SegEnds_Xtal_Prot#'!$A:$AY,13,FALSE)-VLOOKUP($B39,'SegEnds_NonXtal_Prot#'!$A:$AL,10,FALSE),"-")</f>
        <v>37</v>
      </c>
      <c r="H39" s="2">
        <f>IFERROR(50+VLOOKUP($A39,'SegEnds_Xtal_Prot#'!$A:$AY,15,FALSE)-VLOOKUP($B39,'SegEnds_NonXtal_Prot#'!$A:$AL,10,FALSE),"-")</f>
        <v>68</v>
      </c>
      <c r="I39" s="2">
        <f>IFERROR(50+VLOOKUP($A39,'SegEnds_Xtal_Prot#'!$A:$AY,17,FALSE)-VLOOKUP($B39,'SegEnds_NonXtal_Prot#'!$A:$AL,13,FALSE),"-")</f>
        <v>49</v>
      </c>
      <c r="J39" s="2">
        <f>IFERROR(50+VLOOKUP($A39,'SegEnds_Xtal_Prot#'!$A:$AY,19,FALSE)-VLOOKUP($B39,'SegEnds_NonXtal_Prot#'!$A:$AL,13,FALSE),"-")</f>
        <v>52</v>
      </c>
      <c r="K39" s="2">
        <f>IFERROR(50+VLOOKUP($A39,'SegEnds_Xtal_Prot#'!$A:$AY,21,FALSE)-VLOOKUP($B39,'SegEnds_NonXtal_Prot#'!$A:$AL,16,FALSE),"-")</f>
        <v>21</v>
      </c>
      <c r="L39" s="2">
        <f>IFERROR(50+VLOOKUP($A39,'SegEnds_Xtal_Prot#'!$A:$AY,23,FALSE)-VLOOKUP($B39,'SegEnds_NonXtal_Prot#'!$A:$AL,16,FALSE),"-")</f>
        <v>56</v>
      </c>
      <c r="M39" s="2">
        <f>IFERROR(50+VLOOKUP($A39,'SegEnds_Xtal_Prot#'!$A:$AY,25,FALSE)-VLOOKUP($B39,'SegEnds_NonXtal_Prot#'!$A:$AL,19,FALSE),"-")</f>
        <v>50</v>
      </c>
      <c r="N39" s="2">
        <f>IFERROR(50+VLOOKUP($A39,'SegEnds_Xtal_Prot#'!$A:$AY,27,FALSE)-VLOOKUP($B39,'SegEnds_NonXtal_Prot#'!$A:$AL,19,FALSE),"-")</f>
        <v>53</v>
      </c>
      <c r="O39" s="2">
        <f>IFERROR(50+VLOOKUP($A39,'SegEnds_Xtal_Prot#'!$A:$AY,29,FALSE)-VLOOKUP($B39,'SegEnds_NonXtal_Prot#'!$A:$AL,22,FALSE),"-")</f>
        <v>38</v>
      </c>
      <c r="P39" s="2">
        <f>IFERROR(50+VLOOKUP($A39,'SegEnds_Xtal_Prot#'!$A:$AY,31,FALSE)-VLOOKUP($B39,'SegEnds_NonXtal_Prot#'!$A:$AL,22,FALSE),"-")</f>
        <v>64</v>
      </c>
      <c r="Q39" s="2">
        <f>IFERROR(50+VLOOKUP($A39,'SegEnds_Xtal_Prot#'!$A:$AY,33,FALSE)-VLOOKUP($B39,'SegEnds_NonXtal_Prot#'!$A:$AL,25,FALSE),"-")</f>
        <v>50</v>
      </c>
      <c r="R39" s="2">
        <f>IFERROR(50+VLOOKUP($A39,'SegEnds_Xtal_Prot#'!$A:$AY,35,FALSE)-VLOOKUP($B39,'SegEnds_NonXtal_Prot#'!$A:$AL,25,FALSE),"-")</f>
        <v>52</v>
      </c>
      <c r="S39" s="2">
        <f>IFERROR(50+VLOOKUP($A39,'SegEnds_Xtal_Prot#'!$A:$AY,37,FALSE)-VLOOKUP($B39,'SegEnds_NonXtal_Prot#'!$A:$AL,28,FALSE),"-")</f>
        <v>33</v>
      </c>
      <c r="T39" s="2">
        <f>IFERROR(50+VLOOKUP($A39,'SegEnds_Xtal_Prot#'!$A:$AY,39,FALSE)-VLOOKUP($B39,'SegEnds_NonXtal_Prot#'!$A:$AL,28,FALSE),"-")</f>
        <v>71</v>
      </c>
      <c r="U39" s="2">
        <f>IFERROR(50+VLOOKUP($A39,'SegEnds_Xtal_Prot#'!$A:$AY,41,FALSE)-VLOOKUP($B39,'SegEnds_NonXtal_Prot#'!$A:$AL,31,FALSE),"-")</f>
        <v>20</v>
      </c>
      <c r="V39" s="2">
        <f>IFERROR(50+VLOOKUP($A39,'SegEnds_Xtal_Prot#'!$A:$AY,43,FALSE)-VLOOKUP($B39,'SegEnds_NonXtal_Prot#'!$A:$AL,31,FALSE),"-")</f>
        <v>61</v>
      </c>
      <c r="W39" s="2">
        <f>IFERROR(50+VLOOKUP($A39,'SegEnds_Xtal_Prot#'!$A:$AY,45,FALSE)-VLOOKUP($B39,'SegEnds_NonXtal_Prot#'!$A:$AL,34,FALSE),"-")</f>
        <v>27</v>
      </c>
      <c r="X39" s="2">
        <f>IFERROR(50+VLOOKUP($A39,'SegEnds_Xtal_Prot#'!$A:$AY,47,FALSE)-VLOOKUP($B39,'SegEnds_NonXtal_Prot#'!$A:$AL,34,FALSE),"-")</f>
        <v>56</v>
      </c>
      <c r="Y39" s="2">
        <f>IFERROR(50+VLOOKUP($A39,'SegEnds_Xtal_Prot#'!$A:$AY,49,FALSE)-VLOOKUP($B39,'SegEnds_NonXtal_Prot#'!$A:$AL,37,FALSE),"-")</f>
        <v>47</v>
      </c>
      <c r="Z39" s="2">
        <f>IFERROR(50+VLOOKUP($A39,'SegEnds_Xtal_Prot#'!$A:$AY,51,FALSE)-VLOOKUP($B39,'SegEnds_NonXtal_Prot#'!$A:$AL,37,FALSE),"-")</f>
        <v>63</v>
      </c>
      <c r="AA39" s="49" t="str">
        <f>VLOOKUP(B39,Classification!A:D,2,FALSE)</f>
        <v>A</v>
      </c>
      <c r="AB39" s="94" t="str">
        <f>VLOOKUP(B39,Classification!A:D,4,0)</f>
        <v>Orexin</v>
      </c>
      <c r="AC39" s="49">
        <f>VLOOKUP(B39,'SegEnds_NonXtal_Prot#'!A:AL,6,FALSE)-VLOOKUP(B39,'SegEnds_NonXtal_Prot#'!A:AL,5,FALSE)</f>
        <v>1</v>
      </c>
      <c r="AD39" s="49">
        <f>VLOOKUP(B39,'SegEnds_NonXtal_Prot#'!A:AL,9,FALSE)-VLOOKUP(B39,'SegEnds_NonXtal_Prot#'!A:AL,8,FALSE)</f>
        <v>1</v>
      </c>
      <c r="AE39" s="49">
        <f>VLOOKUP(B39,'SegEnds_NonXtal_Prot#'!A:AL,13,FALSE)-VLOOKUP(B39,'SegEnds_NonXtal_Prot#'!A:AL,10,FALSE)</f>
        <v>20</v>
      </c>
      <c r="AF39" s="49">
        <f>VLOOKUP(B39,'SegEnds_NonXtal_Prot#'!A:AL,12,FALSE)-VLOOKUP(B39,'SegEnds_NonXtal_Prot#'!A:AL,11,FALSE)</f>
        <v>1</v>
      </c>
      <c r="AG39" s="49">
        <f>VLOOKUP(B39,'SegEnds_NonXtal_Prot#'!A:AL,13,FALSE)-VLOOKUP(B39,'SegEnds_NonXtal_Prot#'!A:AL,11,FALSE)</f>
        <v>2</v>
      </c>
      <c r="AH39" s="49">
        <f>VLOOKUP(B39,'SegEnds_NonXtal_Prot#'!A:AL,16,FALSE)-VLOOKUP(B39,'SegEnds_NonXtal_Prot#'!A:AL,10,FALSE)</f>
        <v>52</v>
      </c>
      <c r="AI39" s="49">
        <f>VLOOKUP(B39,'SegEnds_NonXtal_Prot#'!A:AL,16,FALSE)-VLOOKUP(B39,'SegEnds_NonXtal_Prot#'!A:AL,11,FALSE)</f>
        <v>34</v>
      </c>
      <c r="AJ39" s="49">
        <f>VLOOKUP(B39,'SegEnds_NonXtal_Prot#'!A:AL,22,FALSE)-VLOOKUP(B39,'SegEnds_NonXtal_Prot#'!A:AL,19,FALSE)</f>
        <v>18</v>
      </c>
      <c r="AK39" s="49">
        <f>VLOOKUP(B39,'SegEnds_NonXtal_Prot#'!A:AL,15,FALSE)-VLOOKUP(B39,'SegEnds_NonXtal_Prot#'!A:AL,14,FALSE)</f>
        <v>1</v>
      </c>
      <c r="AL39" s="49">
        <f>VLOOKUP(B39,'SegEnds_NonXtal_Prot#'!A:AL,18,FALSE)-VLOOKUP(B39,'SegEnds_NonXtal_Prot#'!A:AL,17,FALSE)</f>
        <v>1</v>
      </c>
      <c r="AM39" s="2">
        <f>VLOOKUP(B39,'SegEnds_NonXtal_Prot#'!A:AL,34,FALSE)-VLOOKUP(B39,'SegEnds_NonXtal_Prot#'!A:AL,31,FALSE)</f>
        <v>42</v>
      </c>
      <c r="AN39" s="37"/>
    </row>
    <row r="40" spans="1:64" s="2" customFormat="1" x14ac:dyDescent="0.2">
      <c r="A40" s="2" t="s">
        <v>1262</v>
      </c>
      <c r="B40" s="2" t="s">
        <v>1168</v>
      </c>
      <c r="C40" s="2">
        <f>IFERROR(50+VLOOKUP($A40,'SegEnds_Xtal_Prot#'!$A:$AY,5,FALSE)-VLOOKUP($B40,'SegEnds_NonXtal_Prot#'!$A:$AL,4,FALSE),"-")</f>
        <v>32</v>
      </c>
      <c r="D40" s="2">
        <f>IFERROR(50+VLOOKUP($A40,'SegEnds_Xtal_Prot#'!$A:$AY,7,FALSE)-VLOOKUP($B40,'SegEnds_NonXtal_Prot#'!$A:$AL,4,FALSE),"-")</f>
        <v>60</v>
      </c>
      <c r="E40" s="2">
        <f>IFERROR(50+VLOOKUP($A40,'SegEnds_Xtal_Prot#'!$A:$AY,9,FALSE)-VLOOKUP($B40,'SegEnds_NonXtal_Prot#'!$A:$AL,7,FALSE),"-")</f>
        <v>48</v>
      </c>
      <c r="F40" s="2">
        <f>IFERROR(50+VLOOKUP($A40,'SegEnds_Xtal_Prot#'!$A:$AY,11,FALSE)-VLOOKUP($B40,'SegEnds_NonXtal_Prot#'!$A:$AL,7,FALSE),"-")</f>
        <v>51</v>
      </c>
      <c r="G40" s="2">
        <f>IFERROR(50+VLOOKUP($A40,'SegEnds_Xtal_Prot#'!$A:$AY,13,FALSE)-VLOOKUP($B40,'SegEnds_NonXtal_Prot#'!$A:$AL,10,FALSE),"-")</f>
        <v>37</v>
      </c>
      <c r="H40" s="2">
        <f>IFERROR(50+VLOOKUP($A40,'SegEnds_Xtal_Prot#'!$A:$AY,15,FALSE)-VLOOKUP($B40,'SegEnds_NonXtal_Prot#'!$A:$AL,10,FALSE),"-")</f>
        <v>68</v>
      </c>
      <c r="I40" s="2">
        <f>IFERROR(50+VLOOKUP($A40,'SegEnds_Xtal_Prot#'!$A:$AY,17,FALSE)-VLOOKUP($B40,'SegEnds_NonXtal_Prot#'!$A:$AL,13,FALSE),"-")</f>
        <v>49</v>
      </c>
      <c r="J40" s="2">
        <f>IFERROR(50+VLOOKUP($A40,'SegEnds_Xtal_Prot#'!$A:$AY,19,FALSE)-VLOOKUP($B40,'SegEnds_NonXtal_Prot#'!$A:$AL,13,FALSE),"-")</f>
        <v>52</v>
      </c>
      <c r="K40" s="2">
        <f>IFERROR(50+VLOOKUP($A40,'SegEnds_Xtal_Prot#'!$A:$AY,21,FALSE)-VLOOKUP($B40,'SegEnds_NonXtal_Prot#'!$A:$AL,16,FALSE),"-")</f>
        <v>21</v>
      </c>
      <c r="L40" s="2">
        <f>IFERROR(50+VLOOKUP($A40,'SegEnds_Xtal_Prot#'!$A:$AY,23,FALSE)-VLOOKUP($B40,'SegEnds_NonXtal_Prot#'!$A:$AL,16,FALSE),"-")</f>
        <v>56</v>
      </c>
      <c r="M40" s="2">
        <f>IFERROR(50+VLOOKUP($A40,'SegEnds_Xtal_Prot#'!$A:$AY,25,FALSE)-VLOOKUP($B40,'SegEnds_NonXtal_Prot#'!$A:$AL,19,FALSE),"-")</f>
        <v>50</v>
      </c>
      <c r="N40" s="2">
        <f>IFERROR(50+VLOOKUP($A40,'SegEnds_Xtal_Prot#'!$A:$AY,27,FALSE)-VLOOKUP($B40,'SegEnds_NonXtal_Prot#'!$A:$AL,19,FALSE),"-")</f>
        <v>53</v>
      </c>
      <c r="O40" s="2">
        <f>IFERROR(50+VLOOKUP($A40,'SegEnds_Xtal_Prot#'!$A:$AY,29,FALSE)-VLOOKUP($B40,'SegEnds_NonXtal_Prot#'!$A:$AL,22,FALSE),"-")</f>
        <v>38</v>
      </c>
      <c r="P40" s="2">
        <f>IFERROR(50+VLOOKUP($A40,'SegEnds_Xtal_Prot#'!$A:$AY,31,FALSE)-VLOOKUP($B40,'SegEnds_NonXtal_Prot#'!$A:$AL,22,FALSE),"-")</f>
        <v>64</v>
      </c>
      <c r="Q40" s="2">
        <f>IFERROR(50+VLOOKUP($A40,'SegEnds_Xtal_Prot#'!$A:$AY,33,FALSE)-VLOOKUP($B40,'SegEnds_NonXtal_Prot#'!$A:$AL,25,FALSE),"-")</f>
        <v>50</v>
      </c>
      <c r="R40" s="2">
        <f>IFERROR(50+VLOOKUP($A40,'SegEnds_Xtal_Prot#'!$A:$AY,35,FALSE)-VLOOKUP($B40,'SegEnds_NonXtal_Prot#'!$A:$AL,25,FALSE),"-")</f>
        <v>52</v>
      </c>
      <c r="S40" s="2">
        <f>IFERROR(50+VLOOKUP($A40,'SegEnds_Xtal_Prot#'!$A:$AY,37,FALSE)-VLOOKUP($B40,'SegEnds_NonXtal_Prot#'!$A:$AL,28,FALSE),"-")</f>
        <v>33</v>
      </c>
      <c r="T40" s="2">
        <f>IFERROR(50+VLOOKUP($A40,'SegEnds_Xtal_Prot#'!$A:$AY,39,FALSE)-VLOOKUP($B40,'SegEnds_NonXtal_Prot#'!$A:$AL,28,FALSE),"-")</f>
        <v>71</v>
      </c>
      <c r="U40" s="2">
        <f>IFERROR(50+VLOOKUP($A40,'SegEnds_Xtal_Prot#'!$A:$AY,41,FALSE)-VLOOKUP($B40,'SegEnds_NonXtal_Prot#'!$A:$AL,31,FALSE),"-")</f>
        <v>20</v>
      </c>
      <c r="V40" s="2">
        <f>IFERROR(50+VLOOKUP($A40,'SegEnds_Xtal_Prot#'!$A:$AY,43,FALSE)-VLOOKUP($B40,'SegEnds_NonXtal_Prot#'!$A:$AL,31,FALSE),"-")</f>
        <v>61</v>
      </c>
      <c r="W40" s="2">
        <f>IFERROR(50+VLOOKUP($A40,'SegEnds_Xtal_Prot#'!$A:$AY,45,FALSE)-VLOOKUP($B40,'SegEnds_NonXtal_Prot#'!$A:$AL,34,FALSE),"-")</f>
        <v>27</v>
      </c>
      <c r="X40" s="2">
        <f>IFERROR(50+VLOOKUP($A40,'SegEnds_Xtal_Prot#'!$A:$AY,47,FALSE)-VLOOKUP($B40,'SegEnds_NonXtal_Prot#'!$A:$AL,34,FALSE),"-")</f>
        <v>56</v>
      </c>
      <c r="Y40" s="2">
        <f>IFERROR(50+VLOOKUP($A40,'SegEnds_Xtal_Prot#'!$A:$AY,49,FALSE)-VLOOKUP($B40,'SegEnds_NonXtal_Prot#'!$A:$AL,37,FALSE),"-")</f>
        <v>47</v>
      </c>
      <c r="Z40" s="2">
        <f>IFERROR(50+VLOOKUP($A40,'SegEnds_Xtal_Prot#'!$A:$AY,51,FALSE)-VLOOKUP($B40,'SegEnds_NonXtal_Prot#'!$A:$AL,37,FALSE),"-")</f>
        <v>63</v>
      </c>
      <c r="AA40" s="49" t="str">
        <f>VLOOKUP(B40,Classification!A:D,2,FALSE)</f>
        <v>A</v>
      </c>
      <c r="AB40" s="94" t="str">
        <f>VLOOKUP(B40,Classification!A:D,4,0)</f>
        <v>Orexin</v>
      </c>
      <c r="AC40" s="49">
        <f>VLOOKUP(B40,'SegEnds_NonXtal_Prot#'!A:AL,6,FALSE)-VLOOKUP(B40,'SegEnds_NonXtal_Prot#'!A:AL,5,FALSE)</f>
        <v>1</v>
      </c>
      <c r="AD40" s="49">
        <f>VLOOKUP(B40,'SegEnds_NonXtal_Prot#'!A:AL,9,FALSE)-VLOOKUP(B40,'SegEnds_NonXtal_Prot#'!A:AL,8,FALSE)</f>
        <v>1</v>
      </c>
      <c r="AE40" s="49">
        <f>VLOOKUP(B40,'SegEnds_NonXtal_Prot#'!A:AL,13,FALSE)-VLOOKUP(B40,'SegEnds_NonXtal_Prot#'!A:AL,10,FALSE)</f>
        <v>20</v>
      </c>
      <c r="AF40" s="49">
        <f>VLOOKUP(B40,'SegEnds_NonXtal_Prot#'!A:AL,12,FALSE)-VLOOKUP(B40,'SegEnds_NonXtal_Prot#'!A:AL,11,FALSE)</f>
        <v>1</v>
      </c>
      <c r="AG40" s="49">
        <f>VLOOKUP(B40,'SegEnds_NonXtal_Prot#'!A:AL,13,FALSE)-VLOOKUP(B40,'SegEnds_NonXtal_Prot#'!A:AL,11,FALSE)</f>
        <v>2</v>
      </c>
      <c r="AH40" s="49">
        <f>VLOOKUP(B40,'SegEnds_NonXtal_Prot#'!A:AL,16,FALSE)-VLOOKUP(B40,'SegEnds_NonXtal_Prot#'!A:AL,10,FALSE)</f>
        <v>52</v>
      </c>
      <c r="AI40" s="49">
        <f>VLOOKUP(B40,'SegEnds_NonXtal_Prot#'!A:AL,16,FALSE)-VLOOKUP(B40,'SegEnds_NonXtal_Prot#'!A:AL,11,FALSE)</f>
        <v>34</v>
      </c>
      <c r="AJ40" s="49">
        <f>VLOOKUP(B40,'SegEnds_NonXtal_Prot#'!A:AL,22,FALSE)-VLOOKUP(B40,'SegEnds_NonXtal_Prot#'!A:AL,19,FALSE)</f>
        <v>18</v>
      </c>
      <c r="AK40" s="49">
        <f>VLOOKUP(B40,'SegEnds_NonXtal_Prot#'!A:AL,15,FALSE)-VLOOKUP(B40,'SegEnds_NonXtal_Prot#'!A:AL,14,FALSE)</f>
        <v>1</v>
      </c>
      <c r="AL40" s="49">
        <f>VLOOKUP(B40,'SegEnds_NonXtal_Prot#'!A:AL,18,FALSE)-VLOOKUP(B40,'SegEnds_NonXtal_Prot#'!A:AL,17,FALSE)</f>
        <v>1</v>
      </c>
      <c r="AM40" s="2">
        <f>VLOOKUP(B40,'SegEnds_NonXtal_Prot#'!A:AL,34,FALSE)-VLOOKUP(B40,'SegEnds_NonXtal_Prot#'!A:AL,31,FALSE)</f>
        <v>42</v>
      </c>
      <c r="AN40" s="37"/>
    </row>
    <row r="41" spans="1:64" s="2" customFormat="1" x14ac:dyDescent="0.2">
      <c r="A41" s="2" t="s">
        <v>1264</v>
      </c>
      <c r="B41" s="2" t="s">
        <v>344</v>
      </c>
      <c r="C41" s="2">
        <f>IFERROR(50+VLOOKUP($A41,'SegEnds_Xtal_Prot#'!$A:$AY,5,FALSE)-VLOOKUP($B41,'SegEnds_NonXtal_Prot#'!$A:$AL,4,FALSE),"-")</f>
        <v>30</v>
      </c>
      <c r="D41" s="2">
        <f>IFERROR(50+VLOOKUP($A41,'SegEnds_Xtal_Prot#'!$A:$AY,7,FALSE)-VLOOKUP($B41,'SegEnds_NonXtal_Prot#'!$A:$AL,4,FALSE),"-")</f>
        <v>60</v>
      </c>
      <c r="E41" s="2" t="str">
        <f>IFERROR(50+VLOOKUP($A41,'SegEnds_Xtal_Prot#'!$A:$AY,9,FALSE)-VLOOKUP($B41,'SegEnds_NonXtal_Prot#'!$A:$AL,7,FALSE),"-")</f>
        <v>-</v>
      </c>
      <c r="F41" s="2" t="str">
        <f>IFERROR(50+VLOOKUP($A41,'SegEnds_Xtal_Prot#'!$A:$AY,11,FALSE)-VLOOKUP($B41,'SegEnds_NonXtal_Prot#'!$A:$AL,7,FALSE),"-")</f>
        <v>-</v>
      </c>
      <c r="G41" s="2">
        <f>IFERROR(50+VLOOKUP($A41,'SegEnds_Xtal_Prot#'!$A:$AY,13,FALSE)-VLOOKUP($B41,'SegEnds_NonXtal_Prot#'!$A:$AL,10,FALSE),"-")</f>
        <v>37</v>
      </c>
      <c r="H41" s="2">
        <f>IFERROR(50+VLOOKUP($A41,'SegEnds_Xtal_Prot#'!$A:$AY,15,FALSE)-VLOOKUP($B41,'SegEnds_NonXtal_Prot#'!$A:$AL,10,FALSE),"-")</f>
        <v>66</v>
      </c>
      <c r="I41" s="2">
        <f>IFERROR(50+VLOOKUP($A41,'SegEnds_Xtal_Prot#'!$A:$AY,17,FALSE)-VLOOKUP($B41,'SegEnds_NonXtal_Prot#'!$A:$AL,13,FALSE),"-")</f>
        <v>49</v>
      </c>
      <c r="J41" s="2">
        <f>IFERROR(50+VLOOKUP($A41,'SegEnds_Xtal_Prot#'!$A:$AY,19,FALSE)-VLOOKUP($B41,'SegEnds_NonXtal_Prot#'!$A:$AL,13,FALSE),"-")</f>
        <v>52</v>
      </c>
      <c r="K41" s="2">
        <f>IFERROR(50+VLOOKUP($A41,'SegEnds_Xtal_Prot#'!$A:$AY,21,FALSE)-VLOOKUP($B41,'SegEnds_NonXtal_Prot#'!$A:$AL,16,FALSE),"-")</f>
        <v>21</v>
      </c>
      <c r="L41" s="2">
        <f>IFERROR(50+VLOOKUP($A41,'SegEnds_Xtal_Prot#'!$A:$AY,23,FALSE)-VLOOKUP($B41,'SegEnds_NonXtal_Prot#'!$A:$AL,16,FALSE),"-")</f>
        <v>56</v>
      </c>
      <c r="M41" s="2">
        <f>IFERROR(50+VLOOKUP($A41,'SegEnds_Xtal_Prot#'!$A:$AY,25,FALSE)-VLOOKUP($B41,'SegEnds_NonXtal_Prot#'!$A:$AL,19,FALSE),"-")</f>
        <v>50</v>
      </c>
      <c r="N41" s="2">
        <f>IFERROR(50+VLOOKUP($A41,'SegEnds_Xtal_Prot#'!$A:$AY,27,FALSE)-VLOOKUP($B41,'SegEnds_NonXtal_Prot#'!$A:$AL,19,FALSE),"-")</f>
        <v>57</v>
      </c>
      <c r="O41" s="2">
        <f>IFERROR(50+VLOOKUP($A41,'SegEnds_Xtal_Prot#'!$A:$AY,29,FALSE)-VLOOKUP($B41,'SegEnds_NonXtal_Prot#'!$A:$AL,22,FALSE),"-")</f>
        <v>38</v>
      </c>
      <c r="P41" s="2">
        <f>IFERROR(50+VLOOKUP($A41,'SegEnds_Xtal_Prot#'!$A:$AY,31,FALSE)-VLOOKUP($B41,'SegEnds_NonXtal_Prot#'!$A:$AL,22,FALSE),"-")</f>
        <v>64</v>
      </c>
      <c r="Q41" s="2">
        <f>IFERROR(50+VLOOKUP($A41,'SegEnds_Xtal_Prot#'!$A:$AY,33,FALSE)-VLOOKUP($B41,'SegEnds_NonXtal_Prot#'!$A:$AL,25,FALSE),"-")</f>
        <v>50</v>
      </c>
      <c r="R41" s="2">
        <f>IFERROR(50+VLOOKUP($A41,'SegEnds_Xtal_Prot#'!$A:$AY,35,FALSE)-VLOOKUP($B41,'SegEnds_NonXtal_Prot#'!$A:$AL,25,FALSE),"-")</f>
        <v>52</v>
      </c>
      <c r="S41" s="2">
        <f>IFERROR(50+VLOOKUP($A41,'SegEnds_Xtal_Prot#'!$A:$AY,37,FALSE)-VLOOKUP($B41,'SegEnds_NonXtal_Prot#'!$A:$AL,28,FALSE),"-")</f>
        <v>32</v>
      </c>
      <c r="T41" s="2">
        <f>IFERROR(50+VLOOKUP($A41,'SegEnds_Xtal_Prot#'!$A:$AY,39,FALSE)-VLOOKUP($B41,'SegEnds_NonXtal_Prot#'!$A:$AL,28,FALSE),"-")</f>
        <v>68</v>
      </c>
      <c r="U41" s="2">
        <f>IFERROR(50+VLOOKUP($A41,'SegEnds_Xtal_Prot#'!$A:$AY,41,FALSE)-VLOOKUP($B41,'SegEnds_NonXtal_Prot#'!$A:$AL,31,FALSE),"-")</f>
        <v>28</v>
      </c>
      <c r="V41" s="2">
        <f>IFERROR(50+VLOOKUP($A41,'SegEnds_Xtal_Prot#'!$A:$AY,43,FALSE)-VLOOKUP($B41,'SegEnds_NonXtal_Prot#'!$A:$AL,31,FALSE),"-")</f>
        <v>64</v>
      </c>
      <c r="W41" s="2">
        <f>IFERROR(50+VLOOKUP($A41,'SegEnds_Xtal_Prot#'!$A:$AY,45,FALSE)-VLOOKUP($B41,'SegEnds_NonXtal_Prot#'!$A:$AL,34,FALSE),"-")</f>
        <v>24</v>
      </c>
      <c r="X41" s="2">
        <f>IFERROR(50+VLOOKUP($A41,'SegEnds_Xtal_Prot#'!$A:$AY,47,FALSE)-VLOOKUP($B41,'SegEnds_NonXtal_Prot#'!$A:$AL,34,FALSE),"-")</f>
        <v>56</v>
      </c>
      <c r="Y41" s="2">
        <f>IFERROR(50+VLOOKUP($A41,'SegEnds_Xtal_Prot#'!$A:$AY,49,FALSE)-VLOOKUP($B41,'SegEnds_NonXtal_Prot#'!$A:$AL,37,FALSE),"-")</f>
        <v>47</v>
      </c>
      <c r="Z41" s="2">
        <f>IFERROR(50+VLOOKUP($A41,'SegEnds_Xtal_Prot#'!$A:$AY,51,FALSE)-VLOOKUP($B41,'SegEnds_NonXtal_Prot#'!$A:$AL,37,FALSE),"-")</f>
        <v>59</v>
      </c>
      <c r="AA41" s="49" t="str">
        <f>VLOOKUP(B41,Classification!A:D,2,FALSE)</f>
        <v>A</v>
      </c>
      <c r="AB41" s="94" t="str">
        <f>VLOOKUP(B41,Classification!A:D,4,0)</f>
        <v>P2Y</v>
      </c>
      <c r="AC41" s="49" t="e">
        <f>VLOOKUP(B41,'SegEnds_NonXtal_Prot#'!A:AL,6,FALSE)-VLOOKUP(B41,'SegEnds_NonXtal_Prot#'!A:AL,5,FALSE)</f>
        <v>#VALUE!</v>
      </c>
      <c r="AD41" s="49" t="e">
        <f>VLOOKUP(B41,'SegEnds_NonXtal_Prot#'!A:AL,9,FALSE)-VLOOKUP(B41,'SegEnds_NonXtal_Prot#'!A:AL,8,FALSE)</f>
        <v>#VALUE!</v>
      </c>
      <c r="AE41" s="49">
        <f>VLOOKUP(B41,'SegEnds_NonXtal_Prot#'!A:AL,13,FALSE)-VLOOKUP(B41,'SegEnds_NonXtal_Prot#'!A:AL,10,FALSE)</f>
        <v>20</v>
      </c>
      <c r="AF41" s="49">
        <f>VLOOKUP(B41,'SegEnds_NonXtal_Prot#'!A:AL,12,FALSE)-VLOOKUP(B41,'SegEnds_NonXtal_Prot#'!A:AL,11,FALSE)</f>
        <v>3</v>
      </c>
      <c r="AG41" s="49">
        <f>VLOOKUP(B41,'SegEnds_NonXtal_Prot#'!A:AL,13,FALSE)-VLOOKUP(B41,'SegEnds_NonXtal_Prot#'!A:AL,11,FALSE)</f>
        <v>4</v>
      </c>
      <c r="AH41" s="49">
        <f>VLOOKUP(B41,'SegEnds_NonXtal_Prot#'!A:AL,16,FALSE)-VLOOKUP(B41,'SegEnds_NonXtal_Prot#'!A:AL,10,FALSE)</f>
        <v>52</v>
      </c>
      <c r="AI41" s="49">
        <f>VLOOKUP(B41,'SegEnds_NonXtal_Prot#'!A:AL,16,FALSE)-VLOOKUP(B41,'SegEnds_NonXtal_Prot#'!A:AL,11,FALSE)</f>
        <v>36</v>
      </c>
      <c r="AJ41" s="49">
        <f>VLOOKUP(B41,'SegEnds_NonXtal_Prot#'!A:AL,22,FALSE)-VLOOKUP(B41,'SegEnds_NonXtal_Prot#'!A:AL,19,FALSE)</f>
        <v>20</v>
      </c>
      <c r="AK41" s="49">
        <f>VLOOKUP(B41,'SegEnds_NonXtal_Prot#'!A:AL,15,FALSE)-VLOOKUP(B41,'SegEnds_NonXtal_Prot#'!A:AL,14,FALSE)</f>
        <v>1</v>
      </c>
      <c r="AL41" s="49">
        <f>VLOOKUP(B41,'SegEnds_NonXtal_Prot#'!A:AL,18,FALSE)-VLOOKUP(B41,'SegEnds_NonXtal_Prot#'!A:AL,17,FALSE)</f>
        <v>1</v>
      </c>
      <c r="AM41" s="2">
        <f>VLOOKUP(B41,'SegEnds_NonXtal_Prot#'!A:AL,34,FALSE)-VLOOKUP(B41,'SegEnds_NonXtal_Prot#'!A:AL,31,FALSE)</f>
        <v>46</v>
      </c>
      <c r="AN41" s="37"/>
    </row>
    <row r="42" spans="1:64" s="2" customFormat="1" x14ac:dyDescent="0.2">
      <c r="A42" s="2" t="s">
        <v>1265</v>
      </c>
      <c r="B42" s="2" t="s">
        <v>351</v>
      </c>
      <c r="C42" s="2">
        <f>IFERROR(50+VLOOKUP($A42,'SegEnds_Xtal_Prot#'!$A:$AY,5,FALSE)-VLOOKUP($B42,'SegEnds_NonXtal_Prot#'!$A:$AL,4,FALSE),"-")</f>
        <v>28</v>
      </c>
      <c r="D42" s="2">
        <f>IFERROR(50+VLOOKUP($A42,'SegEnds_Xtal_Prot#'!$A:$AY,7,FALSE)-VLOOKUP($B42,'SegEnds_NonXtal_Prot#'!$A:$AL,4,FALSE),"-")</f>
        <v>60</v>
      </c>
      <c r="E42" s="2" t="str">
        <f>IFERROR(50+VLOOKUP($A42,'SegEnds_Xtal_Prot#'!$A:$AY,9,FALSE)-VLOOKUP($B42,'SegEnds_NonXtal_Prot#'!$A:$AL,7,FALSE),"-")</f>
        <v>-</v>
      </c>
      <c r="F42" s="2" t="str">
        <f>IFERROR(50+VLOOKUP($A42,'SegEnds_Xtal_Prot#'!$A:$AY,11,FALSE)-VLOOKUP($B42,'SegEnds_NonXtal_Prot#'!$A:$AL,7,FALSE),"-")</f>
        <v>-</v>
      </c>
      <c r="G42" s="2">
        <f>IFERROR(50+VLOOKUP($A42,'SegEnds_Xtal_Prot#'!$A:$AY,13,FALSE)-VLOOKUP($B42,'SegEnds_NonXtal_Prot#'!$A:$AL,10,FALSE),"-")</f>
        <v>37</v>
      </c>
      <c r="H42" s="2">
        <f>IFERROR(50+VLOOKUP($A42,'SegEnds_Xtal_Prot#'!$A:$AY,15,FALSE)-VLOOKUP($B42,'SegEnds_NonXtal_Prot#'!$A:$AL,10,FALSE),"-")</f>
        <v>66</v>
      </c>
      <c r="I42" s="2" t="str">
        <f>IFERROR(50+VLOOKUP($A42,'SegEnds_Xtal_Prot#'!$A:$AY,17,FALSE)-VLOOKUP($B42,'SegEnds_NonXtal_Prot#'!$A:$AL,13,FALSE),"-")</f>
        <v>-</v>
      </c>
      <c r="J42" s="2" t="str">
        <f>IFERROR(50+VLOOKUP($A42,'SegEnds_Xtal_Prot#'!$A:$AY,19,FALSE)-VLOOKUP($B42,'SegEnds_NonXtal_Prot#'!$A:$AL,13,FALSE),"-")</f>
        <v>-</v>
      </c>
      <c r="K42" s="2">
        <f>IFERROR(50+VLOOKUP($A42,'SegEnds_Xtal_Prot#'!$A:$AY,21,FALSE)-VLOOKUP($B42,'SegEnds_NonXtal_Prot#'!$A:$AL,16,FALSE),"-")</f>
        <v>18</v>
      </c>
      <c r="L42" s="2">
        <f>IFERROR(50+VLOOKUP($A42,'SegEnds_Xtal_Prot#'!$A:$AY,23,FALSE)-VLOOKUP($B42,'SegEnds_NonXtal_Prot#'!$A:$AL,16,FALSE),"-")</f>
        <v>56</v>
      </c>
      <c r="M42" s="2">
        <f>IFERROR(50+VLOOKUP($A42,'SegEnds_Xtal_Prot#'!$A:$AY,25,FALSE)-VLOOKUP($B42,'SegEnds_NonXtal_Prot#'!$A:$AL,19,FALSE),"-")</f>
        <v>50</v>
      </c>
      <c r="N42" s="2">
        <f>IFERROR(50+VLOOKUP($A42,'SegEnds_Xtal_Prot#'!$A:$AY,27,FALSE)-VLOOKUP($B42,'SegEnds_NonXtal_Prot#'!$A:$AL,19,FALSE),"-")</f>
        <v>57</v>
      </c>
      <c r="O42" s="2">
        <f>IFERROR(50+VLOOKUP($A42,'SegEnds_Xtal_Prot#'!$A:$AY,29,FALSE)-VLOOKUP($B42,'SegEnds_NonXtal_Prot#'!$A:$AL,22,FALSE),"-")</f>
        <v>38</v>
      </c>
      <c r="P42" s="2">
        <f>IFERROR(50+VLOOKUP($A42,'SegEnds_Xtal_Prot#'!$A:$AY,31,FALSE)-VLOOKUP($B42,'SegEnds_NonXtal_Prot#'!$A:$AL,22,FALSE),"-")</f>
        <v>64</v>
      </c>
      <c r="Q42" s="2">
        <f>IFERROR(50+VLOOKUP($A42,'SegEnds_Xtal_Prot#'!$A:$AY,33,FALSE)-VLOOKUP($B42,'SegEnds_NonXtal_Prot#'!$A:$AL,25,FALSE),"-")</f>
        <v>50</v>
      </c>
      <c r="R42" s="2">
        <f>IFERROR(50+VLOOKUP($A42,'SegEnds_Xtal_Prot#'!$A:$AY,35,FALSE)-VLOOKUP($B42,'SegEnds_NonXtal_Prot#'!$A:$AL,25,FALSE),"-")</f>
        <v>52</v>
      </c>
      <c r="S42" s="2">
        <f>IFERROR(50+VLOOKUP($A42,'SegEnds_Xtal_Prot#'!$A:$AY,37,FALSE)-VLOOKUP($B42,'SegEnds_NonXtal_Prot#'!$A:$AL,28,FALSE),"-")</f>
        <v>30</v>
      </c>
      <c r="T42" s="2">
        <f>IFERROR(50+VLOOKUP($A42,'SegEnds_Xtal_Prot#'!$A:$AY,39,FALSE)-VLOOKUP($B42,'SegEnds_NonXtal_Prot#'!$A:$AL,28,FALSE),"-")</f>
        <v>72</v>
      </c>
      <c r="U42" s="2">
        <f>IFERROR(50+VLOOKUP($A42,'SegEnds_Xtal_Prot#'!$A:$AY,41,FALSE)-VLOOKUP($B42,'SegEnds_NonXtal_Prot#'!$A:$AL,31,FALSE),"-")</f>
        <v>29</v>
      </c>
      <c r="V42" s="2">
        <f>IFERROR(50+VLOOKUP($A42,'SegEnds_Xtal_Prot#'!$A:$AY,43,FALSE)-VLOOKUP($B42,'SegEnds_NonXtal_Prot#'!$A:$AL,31,FALSE),"-")</f>
        <v>64</v>
      </c>
      <c r="W42" s="2">
        <f>IFERROR(50+VLOOKUP($A42,'SegEnds_Xtal_Prot#'!$A:$AY,45,FALSE)-VLOOKUP($B42,'SegEnds_NonXtal_Prot#'!$A:$AL,34,FALSE),"-")</f>
        <v>24</v>
      </c>
      <c r="X42" s="2">
        <f>IFERROR(50+VLOOKUP($A42,'SegEnds_Xtal_Prot#'!$A:$AY,47,FALSE)-VLOOKUP($B42,'SegEnds_NonXtal_Prot#'!$A:$AL,34,FALSE),"-")</f>
        <v>56</v>
      </c>
      <c r="Y42" s="2">
        <f>IFERROR(50+VLOOKUP($A42,'SegEnds_Xtal_Prot#'!$A:$AY,49,FALSE)-VLOOKUP($B42,'SegEnds_NonXtal_Prot#'!$A:$AL,37,FALSE),"-")</f>
        <v>47</v>
      </c>
      <c r="Z42" s="2">
        <f>IFERROR(50+VLOOKUP($A42,'SegEnds_Xtal_Prot#'!$A:$AY,51,FALSE)-VLOOKUP($B42,'SegEnds_NonXtal_Prot#'!$A:$AL,37,FALSE),"-")</f>
        <v>57</v>
      </c>
      <c r="AA42" s="49" t="str">
        <f>VLOOKUP(B42,Classification!A:D,2,FALSE)</f>
        <v>A</v>
      </c>
      <c r="AB42" s="94" t="str">
        <f>VLOOKUP(B42,Classification!A:D,4,0)</f>
        <v>P2Y</v>
      </c>
      <c r="AC42" s="49" t="e">
        <f>VLOOKUP(B42,'SegEnds_NonXtal_Prot#'!A:AL,6,FALSE)-VLOOKUP(B42,'SegEnds_NonXtal_Prot#'!A:AL,5,FALSE)</f>
        <v>#VALUE!</v>
      </c>
      <c r="AD42" s="49" t="e">
        <f>VLOOKUP(B42,'SegEnds_NonXtal_Prot#'!A:AL,9,FALSE)-VLOOKUP(B42,'SegEnds_NonXtal_Prot#'!A:AL,8,FALSE)</f>
        <v>#VALUE!</v>
      </c>
      <c r="AE42" s="49" t="e">
        <f>VLOOKUP(B42,'SegEnds_NonXtal_Prot#'!A:AL,13,FALSE)-VLOOKUP(B42,'SegEnds_NonXtal_Prot#'!A:AL,10,FALSE)</f>
        <v>#VALUE!</v>
      </c>
      <c r="AF42" s="49" t="e">
        <f>VLOOKUP(B42,'SegEnds_NonXtal_Prot#'!A:AL,12,FALSE)-VLOOKUP(B42,'SegEnds_NonXtal_Prot#'!A:AL,11,FALSE)</f>
        <v>#VALUE!</v>
      </c>
      <c r="AG42" s="49" t="e">
        <f>VLOOKUP(B42,'SegEnds_NonXtal_Prot#'!A:AL,13,FALSE)-VLOOKUP(B42,'SegEnds_NonXtal_Prot#'!A:AL,11,FALSE)</f>
        <v>#VALUE!</v>
      </c>
      <c r="AH42" s="49">
        <f>VLOOKUP(B42,'SegEnds_NonXtal_Prot#'!A:AL,16,FALSE)-VLOOKUP(B42,'SegEnds_NonXtal_Prot#'!A:AL,10,FALSE)</f>
        <v>52</v>
      </c>
      <c r="AI42" s="49">
        <f>VLOOKUP(B42,'SegEnds_NonXtal_Prot#'!A:AL,16,FALSE)-VLOOKUP(B42,'SegEnds_NonXtal_Prot#'!A:AL,11,FALSE)</f>
        <v>36</v>
      </c>
      <c r="AJ42" s="49">
        <f>VLOOKUP(B42,'SegEnds_NonXtal_Prot#'!A:AL,22,FALSE)-VLOOKUP(B42,'SegEnds_NonXtal_Prot#'!A:AL,19,FALSE)</f>
        <v>20</v>
      </c>
      <c r="AK42" s="49" t="e">
        <f>VLOOKUP(B42,'SegEnds_NonXtal_Prot#'!A:AL,15,FALSE)-VLOOKUP(B42,'SegEnds_NonXtal_Prot#'!A:AL,14,FALSE)</f>
        <v>#VALUE!</v>
      </c>
      <c r="AL42" s="49">
        <f>VLOOKUP(B42,'SegEnds_NonXtal_Prot#'!A:AL,18,FALSE)-VLOOKUP(B42,'SegEnds_NonXtal_Prot#'!A:AL,17,FALSE)</f>
        <v>1</v>
      </c>
      <c r="AM42" s="2">
        <f>VLOOKUP(B42,'SegEnds_NonXtal_Prot#'!A:AL,34,FALSE)-VLOOKUP(B42,'SegEnds_NonXtal_Prot#'!A:AL,31,FALSE)</f>
        <v>44</v>
      </c>
      <c r="AN42" s="37"/>
    </row>
    <row r="43" spans="1:64" s="2" customFormat="1" x14ac:dyDescent="0.2">
      <c r="A43" s="2" t="s">
        <v>1266</v>
      </c>
      <c r="B43" s="2" t="s">
        <v>354</v>
      </c>
      <c r="C43" s="2">
        <f>IFERROR(50+VLOOKUP($A43,'SegEnds_Xtal_Prot#'!$A:$AY,5,FALSE)-VLOOKUP($B43,'SegEnds_NonXtal_Prot#'!$A:$AL,4,FALSE),"-")</f>
        <v>29</v>
      </c>
      <c r="D43" s="2">
        <f>IFERROR(50+VLOOKUP($A43,'SegEnds_Xtal_Prot#'!$A:$AY,7,FALSE)-VLOOKUP($B43,'SegEnds_NonXtal_Prot#'!$A:$AL,4,FALSE),"-")</f>
        <v>60</v>
      </c>
      <c r="E43" s="2">
        <f>IFERROR(50+VLOOKUP($A43,'SegEnds_Xtal_Prot#'!$A:$AY,9,FALSE)-VLOOKUP($B43,'SegEnds_NonXtal_Prot#'!$A:$AL,7,FALSE),"-")</f>
        <v>48</v>
      </c>
      <c r="F43" s="2">
        <f>IFERROR(50+VLOOKUP($A43,'SegEnds_Xtal_Prot#'!$A:$AY,11,FALSE)-VLOOKUP($B43,'SegEnds_NonXtal_Prot#'!$A:$AL,7,FALSE),"-")</f>
        <v>51</v>
      </c>
      <c r="G43" s="2">
        <f>IFERROR(50+VLOOKUP($A43,'SegEnds_Xtal_Prot#'!$A:$AY,13,FALSE)-VLOOKUP($B43,'SegEnds_NonXtal_Prot#'!$A:$AL,10,FALSE),"-")</f>
        <v>37</v>
      </c>
      <c r="H43" s="2">
        <f>IFERROR(50+VLOOKUP($A43,'SegEnds_Xtal_Prot#'!$A:$AY,15,FALSE)-VLOOKUP($B43,'SegEnds_NonXtal_Prot#'!$A:$AL,10,FALSE),"-")</f>
        <v>66</v>
      </c>
      <c r="I43" s="2">
        <f>IFERROR(50+VLOOKUP($A43,'SegEnds_Xtal_Prot#'!$A:$AY,17,FALSE)-VLOOKUP($B43,'SegEnds_NonXtal_Prot#'!$A:$AL,13,FALSE),"-")</f>
        <v>49</v>
      </c>
      <c r="J43" s="2">
        <f>IFERROR(50+VLOOKUP($A43,'SegEnds_Xtal_Prot#'!$A:$AY,19,FALSE)-VLOOKUP($B43,'SegEnds_NonXtal_Prot#'!$A:$AL,13,FALSE),"-")</f>
        <v>52</v>
      </c>
      <c r="K43" s="2">
        <f>IFERROR(50+VLOOKUP($A43,'SegEnds_Xtal_Prot#'!$A:$AY,21,FALSE)-VLOOKUP($B43,'SegEnds_NonXtal_Prot#'!$A:$AL,16,FALSE),"-")</f>
        <v>21</v>
      </c>
      <c r="L43" s="2">
        <f>IFERROR(50+VLOOKUP($A43,'SegEnds_Xtal_Prot#'!$A:$AY,23,FALSE)-VLOOKUP($B43,'SegEnds_NonXtal_Prot#'!$A:$AL,16,FALSE),"-")</f>
        <v>56</v>
      </c>
      <c r="M43" s="2">
        <f>IFERROR(50+VLOOKUP($A43,'SegEnds_Xtal_Prot#'!$A:$AY,25,FALSE)-VLOOKUP($B43,'SegEnds_NonXtal_Prot#'!$A:$AL,19,FALSE),"-")</f>
        <v>50</v>
      </c>
      <c r="N43" s="2">
        <f>IFERROR(50+VLOOKUP($A43,'SegEnds_Xtal_Prot#'!$A:$AY,27,FALSE)-VLOOKUP($B43,'SegEnds_NonXtal_Prot#'!$A:$AL,19,FALSE),"-")</f>
        <v>57</v>
      </c>
      <c r="O43" s="2">
        <f>IFERROR(50+VLOOKUP($A43,'SegEnds_Xtal_Prot#'!$A:$AY,29,FALSE)-VLOOKUP($B43,'SegEnds_NonXtal_Prot#'!$A:$AL,22,FALSE),"-")</f>
        <v>38</v>
      </c>
      <c r="P43" s="2">
        <f>IFERROR(50+VLOOKUP($A43,'SegEnds_Xtal_Prot#'!$A:$AY,31,FALSE)-VLOOKUP($B43,'SegEnds_NonXtal_Prot#'!$A:$AL,22,FALSE),"-")</f>
        <v>63</v>
      </c>
      <c r="Q43" s="2">
        <f>IFERROR(50+VLOOKUP($A43,'SegEnds_Xtal_Prot#'!$A:$AY,33,FALSE)-VLOOKUP($B43,'SegEnds_NonXtal_Prot#'!$A:$AL,25,FALSE),"-")</f>
        <v>50</v>
      </c>
      <c r="R43" s="2">
        <f>IFERROR(50+VLOOKUP($A43,'SegEnds_Xtal_Prot#'!$A:$AY,35,FALSE)-VLOOKUP($B43,'SegEnds_NonXtal_Prot#'!$A:$AL,25,FALSE),"-")</f>
        <v>52</v>
      </c>
      <c r="S43" s="2">
        <f>IFERROR(50+VLOOKUP($A43,'SegEnds_Xtal_Prot#'!$A:$AY,37,FALSE)-VLOOKUP($B43,'SegEnds_NonXtal_Prot#'!$A:$AL,28,FALSE),"-")</f>
        <v>32</v>
      </c>
      <c r="T43" s="2">
        <f>IFERROR(50+VLOOKUP($A43,'SegEnds_Xtal_Prot#'!$A:$AY,39,FALSE)-VLOOKUP($B43,'SegEnds_NonXtal_Prot#'!$A:$AL,28,FALSE),"-")</f>
        <v>67</v>
      </c>
      <c r="U43" s="2">
        <f>IFERROR(50+VLOOKUP($A43,'SegEnds_Xtal_Prot#'!$A:$AY,41,FALSE)-VLOOKUP($B43,'SegEnds_NonXtal_Prot#'!$A:$AL,31,FALSE),"-")</f>
        <v>26</v>
      </c>
      <c r="V43" s="2">
        <f>IFERROR(50+VLOOKUP($A43,'SegEnds_Xtal_Prot#'!$A:$AY,43,FALSE)-VLOOKUP($B43,'SegEnds_NonXtal_Prot#'!$A:$AL,31,FALSE),"-")</f>
        <v>62</v>
      </c>
      <c r="W43" s="2">
        <f>IFERROR(50+VLOOKUP($A43,'SegEnds_Xtal_Prot#'!$A:$AY,45,FALSE)-VLOOKUP($B43,'SegEnds_NonXtal_Prot#'!$A:$AL,34,FALSE),"-")</f>
        <v>28</v>
      </c>
      <c r="X43" s="2">
        <f>IFERROR(50+VLOOKUP($A43,'SegEnds_Xtal_Prot#'!$A:$AY,47,FALSE)-VLOOKUP($B43,'SegEnds_NonXtal_Prot#'!$A:$AL,34,FALSE),"-")</f>
        <v>56</v>
      </c>
      <c r="Y43" s="2">
        <f>IFERROR(50+VLOOKUP($A43,'SegEnds_Xtal_Prot#'!$A:$AY,49,FALSE)-VLOOKUP($B43,'SegEnds_NonXtal_Prot#'!$A:$AL,37,FALSE),"-")</f>
        <v>47</v>
      </c>
      <c r="Z43" s="2">
        <f>IFERROR(50+VLOOKUP($A43,'SegEnds_Xtal_Prot#'!$A:$AY,51,FALSE)-VLOOKUP($B43,'SegEnds_NonXtal_Prot#'!$A:$AL,37,FALSE),"-")</f>
        <v>61</v>
      </c>
      <c r="AA43" s="49" t="str">
        <f>VLOOKUP(B43,Classification!A:D,2,FALSE)</f>
        <v>A</v>
      </c>
      <c r="AB43" s="94" t="str">
        <f>VLOOKUP(B43,Classification!A:D,4,0)</f>
        <v>Proteinase-activated</v>
      </c>
      <c r="AC43" s="49">
        <f>VLOOKUP(B43,'SegEnds_NonXtal_Prot#'!A:AL,6,FALSE)-VLOOKUP(B43,'SegEnds_NonXtal_Prot#'!A:AL,5,FALSE)</f>
        <v>1</v>
      </c>
      <c r="AD43" s="49">
        <f>VLOOKUP(B43,'SegEnds_NonXtal_Prot#'!A:AL,9,FALSE)-VLOOKUP(B43,'SegEnds_NonXtal_Prot#'!A:AL,8,FALSE)</f>
        <v>1</v>
      </c>
      <c r="AE43" s="49">
        <f>VLOOKUP(B43,'SegEnds_NonXtal_Prot#'!A:AL,13,FALSE)-VLOOKUP(B43,'SegEnds_NonXtal_Prot#'!A:AL,10,FALSE)</f>
        <v>20</v>
      </c>
      <c r="AF43" s="49">
        <f>VLOOKUP(B43,'SegEnds_NonXtal_Prot#'!A:AL,12,FALSE)-VLOOKUP(B43,'SegEnds_NonXtal_Prot#'!A:AL,11,FALSE)</f>
        <v>3</v>
      </c>
      <c r="AG43" s="49">
        <f>VLOOKUP(B43,'SegEnds_NonXtal_Prot#'!A:AL,13,FALSE)-VLOOKUP(B43,'SegEnds_NonXtal_Prot#'!A:AL,11,FALSE)</f>
        <v>4</v>
      </c>
      <c r="AH43" s="49">
        <f>VLOOKUP(B43,'SegEnds_NonXtal_Prot#'!A:AL,16,FALSE)-VLOOKUP(B43,'SegEnds_NonXtal_Prot#'!A:AL,10,FALSE)</f>
        <v>52</v>
      </c>
      <c r="AI43" s="49">
        <f>VLOOKUP(B43,'SegEnds_NonXtal_Prot#'!A:AL,16,FALSE)-VLOOKUP(B43,'SegEnds_NonXtal_Prot#'!A:AL,11,FALSE)</f>
        <v>36</v>
      </c>
      <c r="AJ43" s="49">
        <f>VLOOKUP(B43,'SegEnds_NonXtal_Prot#'!A:AL,22,FALSE)-VLOOKUP(B43,'SegEnds_NonXtal_Prot#'!A:AL,19,FALSE)</f>
        <v>20</v>
      </c>
      <c r="AK43" s="49">
        <f>VLOOKUP(B43,'SegEnds_NonXtal_Prot#'!A:AL,15,FALSE)-VLOOKUP(B43,'SegEnds_NonXtal_Prot#'!A:AL,14,FALSE)</f>
        <v>1</v>
      </c>
      <c r="AL43" s="49">
        <f>VLOOKUP(B43,'SegEnds_NonXtal_Prot#'!A:AL,18,FALSE)-VLOOKUP(B43,'SegEnds_NonXtal_Prot#'!A:AL,17,FALSE)</f>
        <v>1</v>
      </c>
      <c r="AM43" s="2">
        <f>VLOOKUP(B43,'SegEnds_NonXtal_Prot#'!A:AL,34,FALSE)-VLOOKUP(B43,'SegEnds_NonXtal_Prot#'!A:AL,31,FALSE)</f>
        <v>40</v>
      </c>
      <c r="AN43" s="37"/>
    </row>
    <row r="44" spans="1:64" s="2" customFormat="1" x14ac:dyDescent="0.2">
      <c r="A44" s="2" t="str">
        <f t="shared" ref="A44:A69" si="0">CONCATENATE(B44,"__wt",)</f>
        <v>par2_human__wt</v>
      </c>
      <c r="B44" s="2" t="s">
        <v>355</v>
      </c>
      <c r="C44" s="2">
        <f>IFERROR(50+VLOOKUP($A44,'SegEnds_Xtal_Prot#'!$A:$AY,5,FALSE)-VLOOKUP($B44,'SegEnds_NonXtal_Prot#'!$A:$AL,4,FALSE),"-")</f>
        <v>28</v>
      </c>
      <c r="D44" s="2">
        <f>IFERROR(50+VLOOKUP($A44,'SegEnds_Xtal_Prot#'!$A:$AY,7,FALSE)-VLOOKUP($B44,'SegEnds_NonXtal_Prot#'!$A:$AL,4,FALSE),"-")</f>
        <v>60</v>
      </c>
      <c r="E44" s="2" t="str">
        <f>IFERROR(50+VLOOKUP($A44,'SegEnds_Xtal_Prot#'!$A:$AY,9,FALSE)-VLOOKUP($B44,'SegEnds_NonXtal_Prot#'!$A:$AL,7,FALSE),"-")</f>
        <v>-</v>
      </c>
      <c r="F44" s="2" t="str">
        <f>IFERROR(50+VLOOKUP($A44,'SegEnds_Xtal_Prot#'!$A:$AY,11,FALSE)-VLOOKUP($B44,'SegEnds_NonXtal_Prot#'!$A:$AL,7,FALSE),"-")</f>
        <v>-</v>
      </c>
      <c r="G44" s="2">
        <f>IFERROR(50+VLOOKUP($A44,'SegEnds_Xtal_Prot#'!$A:$AY,13,FALSE)-VLOOKUP($B44,'SegEnds_NonXtal_Prot#'!$A:$AL,10,FALSE),"-")</f>
        <v>37</v>
      </c>
      <c r="H44" s="2">
        <f>IFERROR(50+VLOOKUP($A44,'SegEnds_Xtal_Prot#'!$A:$AY,15,FALSE)-VLOOKUP($B44,'SegEnds_NonXtal_Prot#'!$A:$AL,10,FALSE),"-")</f>
        <v>66</v>
      </c>
      <c r="I44" s="2">
        <f>IFERROR(50+VLOOKUP($A44,'SegEnds_Xtal_Prot#'!$A:$AY,17,FALSE)-VLOOKUP($B44,'SegEnds_NonXtal_Prot#'!$A:$AL,13,FALSE),"-")</f>
        <v>47</v>
      </c>
      <c r="J44" s="2">
        <f>IFERROR(50+VLOOKUP($A44,'SegEnds_Xtal_Prot#'!$A:$AY,19,FALSE)-VLOOKUP($B44,'SegEnds_NonXtal_Prot#'!$A:$AL,13,FALSE),"-")</f>
        <v>52</v>
      </c>
      <c r="K44" s="2">
        <f>IFERROR(50+VLOOKUP($A44,'SegEnds_Xtal_Prot#'!$A:$AY,21,FALSE)-VLOOKUP($B44,'SegEnds_NonXtal_Prot#'!$A:$AL,16,FALSE),"-")</f>
        <v>21</v>
      </c>
      <c r="L44" s="2">
        <f>IFERROR(50+VLOOKUP($A44,'SegEnds_Xtal_Prot#'!$A:$AY,23,FALSE)-VLOOKUP($B44,'SegEnds_NonXtal_Prot#'!$A:$AL,16,FALSE),"-")</f>
        <v>56</v>
      </c>
      <c r="M44" s="2">
        <f>IFERROR(50+VLOOKUP($A44,'SegEnds_Xtal_Prot#'!$A:$AY,25,FALSE)-VLOOKUP($B44,'SegEnds_NonXtal_Prot#'!$A:$AL,19,FALSE),"-")</f>
        <v>50</v>
      </c>
      <c r="N44" s="2">
        <f>IFERROR(50+VLOOKUP($A44,'SegEnds_Xtal_Prot#'!$A:$AY,27,FALSE)-VLOOKUP($B44,'SegEnds_NonXtal_Prot#'!$A:$AL,19,FALSE),"-")</f>
        <v>56</v>
      </c>
      <c r="O44" s="2">
        <f>IFERROR(50+VLOOKUP($A44,'SegEnds_Xtal_Prot#'!$A:$AY,29,FALSE)-VLOOKUP($B44,'SegEnds_NonXtal_Prot#'!$A:$AL,22,FALSE),"-")</f>
        <v>38</v>
      </c>
      <c r="P44" s="2">
        <f>IFERROR(50+VLOOKUP($A44,'SegEnds_Xtal_Prot#'!$A:$AY,31,FALSE)-VLOOKUP($B44,'SegEnds_NonXtal_Prot#'!$A:$AL,22,FALSE),"-")</f>
        <v>62</v>
      </c>
      <c r="Q44" s="2">
        <f>IFERROR(50+VLOOKUP($A44,'SegEnds_Xtal_Prot#'!$A:$AY,33,FALSE)-VLOOKUP($B44,'SegEnds_NonXtal_Prot#'!$A:$AL,25,FALSE),"-")</f>
        <v>50</v>
      </c>
      <c r="R44" s="2">
        <f>IFERROR(50+VLOOKUP($A44,'SegEnds_Xtal_Prot#'!$A:$AY,35,FALSE)-VLOOKUP($B44,'SegEnds_NonXtal_Prot#'!$A:$AL,25,FALSE),"-")</f>
        <v>52</v>
      </c>
      <c r="S44" s="2">
        <f>IFERROR(50+VLOOKUP($A44,'SegEnds_Xtal_Prot#'!$A:$AY,37,FALSE)-VLOOKUP($B44,'SegEnds_NonXtal_Prot#'!$A:$AL,28,FALSE),"-")</f>
        <v>31</v>
      </c>
      <c r="T44" s="2">
        <f>IFERROR(50+VLOOKUP($A44,'SegEnds_Xtal_Prot#'!$A:$AY,39,FALSE)-VLOOKUP($B44,'SegEnds_NonXtal_Prot#'!$A:$AL,28,FALSE),"-")</f>
        <v>68</v>
      </c>
      <c r="U44" s="2">
        <f>IFERROR(50+VLOOKUP($A44,'SegEnds_Xtal_Prot#'!$A:$AY,41,FALSE)-VLOOKUP($B44,'SegEnds_NonXtal_Prot#'!$A:$AL,31,FALSE),"-")</f>
        <v>26</v>
      </c>
      <c r="V44" s="2">
        <f>IFERROR(50+VLOOKUP($A44,'SegEnds_Xtal_Prot#'!$A:$AY,43,FALSE)-VLOOKUP($B44,'SegEnds_NonXtal_Prot#'!$A:$AL,31,FALSE),"-")</f>
        <v>65</v>
      </c>
      <c r="W44" s="2">
        <f>IFERROR(50+VLOOKUP($A44,'SegEnds_Xtal_Prot#'!$A:$AY,45,FALSE)-VLOOKUP($B44,'SegEnds_NonXtal_Prot#'!$A:$AL,34,FALSE),"-")</f>
        <v>31</v>
      </c>
      <c r="X44" s="2">
        <f>IFERROR(50+VLOOKUP($A44,'SegEnds_Xtal_Prot#'!$A:$AY,47,FALSE)-VLOOKUP($B44,'SegEnds_NonXtal_Prot#'!$A:$AL,34,FALSE),"-")</f>
        <v>56</v>
      </c>
      <c r="Y44" s="2">
        <f>IFERROR(50+VLOOKUP($A44,'SegEnds_Xtal_Prot#'!$A:$AY,49,FALSE)-VLOOKUP($B44,'SegEnds_NonXtal_Prot#'!$A:$AL,37,FALSE),"-")</f>
        <v>47</v>
      </c>
      <c r="Z44" s="2">
        <f>IFERROR(50+VLOOKUP($A44,'SegEnds_Xtal_Prot#'!$A:$AY,51,FALSE)-VLOOKUP($B44,'SegEnds_NonXtal_Prot#'!$A:$AL,37,FALSE),"-")</f>
        <v>61</v>
      </c>
      <c r="AA44" s="49" t="str">
        <f>VLOOKUP(B44,Classification!A:D,2,FALSE)</f>
        <v>A</v>
      </c>
      <c r="AB44" s="94" t="str">
        <f>VLOOKUP(B44,Classification!A:D,4,0)</f>
        <v>Proteinase-activated</v>
      </c>
      <c r="AC44" s="49" t="e">
        <f>VLOOKUP(B44,'SegEnds_NonXtal_Prot#'!A:AL,6,FALSE)-VLOOKUP(B44,'SegEnds_NonXtal_Prot#'!A:AL,5,FALSE)</f>
        <v>#VALUE!</v>
      </c>
      <c r="AD44" s="49" t="e">
        <f>VLOOKUP(B44,'SegEnds_NonXtal_Prot#'!A:AL,9,FALSE)-VLOOKUP(B44,'SegEnds_NonXtal_Prot#'!A:AL,8,FALSE)</f>
        <v>#VALUE!</v>
      </c>
      <c r="AE44" s="49">
        <f>VLOOKUP(B44,'SegEnds_NonXtal_Prot#'!A:AL,13,FALSE)-VLOOKUP(B44,'SegEnds_NonXtal_Prot#'!A:AL,10,FALSE)</f>
        <v>20</v>
      </c>
      <c r="AF44" s="49">
        <f>VLOOKUP(B44,'SegEnds_NonXtal_Prot#'!A:AL,12,FALSE)-VLOOKUP(B44,'SegEnds_NonXtal_Prot#'!A:AL,11,FALSE)</f>
        <v>3</v>
      </c>
      <c r="AG44" s="49">
        <f>VLOOKUP(B44,'SegEnds_NonXtal_Prot#'!A:AL,13,FALSE)-VLOOKUP(B44,'SegEnds_NonXtal_Prot#'!A:AL,11,FALSE)</f>
        <v>4</v>
      </c>
      <c r="AH44" s="49">
        <f>VLOOKUP(B44,'SegEnds_NonXtal_Prot#'!A:AL,16,FALSE)-VLOOKUP(B44,'SegEnds_NonXtal_Prot#'!A:AL,10,FALSE)</f>
        <v>52</v>
      </c>
      <c r="AI44" s="49">
        <f>VLOOKUP(B44,'SegEnds_NonXtal_Prot#'!A:AL,16,FALSE)-VLOOKUP(B44,'SegEnds_NonXtal_Prot#'!A:AL,11,FALSE)</f>
        <v>36</v>
      </c>
      <c r="AJ44" s="49">
        <f>VLOOKUP(B44,'SegEnds_NonXtal_Prot#'!A:AL,22,FALSE)-VLOOKUP(B44,'SegEnds_NonXtal_Prot#'!A:AL,19,FALSE)</f>
        <v>19</v>
      </c>
      <c r="AK44" s="49">
        <f>VLOOKUP(B44,'SegEnds_NonXtal_Prot#'!A:AL,15,FALSE)-VLOOKUP(B44,'SegEnds_NonXtal_Prot#'!A:AL,14,FALSE)</f>
        <v>1</v>
      </c>
      <c r="AL44" s="49">
        <f>VLOOKUP(B44,'SegEnds_NonXtal_Prot#'!A:AL,18,FALSE)-VLOOKUP(B44,'SegEnds_NonXtal_Prot#'!A:AL,17,FALSE)</f>
        <v>1</v>
      </c>
      <c r="AM44" s="2">
        <f>VLOOKUP(B44,'SegEnds_NonXtal_Prot#'!A:AL,34,FALSE)-VLOOKUP(B44,'SegEnds_NonXtal_Prot#'!A:AL,31,FALSE)</f>
        <v>39</v>
      </c>
      <c r="AN44" s="37"/>
    </row>
    <row r="45" spans="1:64" s="2" customFormat="1" x14ac:dyDescent="0.2">
      <c r="A45" s="2" t="str">
        <f t="shared" si="0"/>
        <v>calcr_human__wt</v>
      </c>
      <c r="B45" s="2" t="s">
        <v>400</v>
      </c>
      <c r="C45" s="2">
        <f>IFERROR(50+VLOOKUP($A45,'SegEnds_Xtal_Prot#'!$A:$AY,5,FALSE)-VLOOKUP($B45,'SegEnds_NonXtal_Prot#'!$A:$AL,4,FALSE),"-")</f>
        <v>19</v>
      </c>
      <c r="D45" s="2">
        <f>IFERROR(50+VLOOKUP($A45,'SegEnds_Xtal_Prot#'!$A:$AY,7,FALSE)-VLOOKUP($B45,'SegEnds_NonXtal_Prot#'!$A:$AL,4,FALSE),"-")</f>
        <v>60</v>
      </c>
      <c r="E45" s="2">
        <f>IFERROR(50+VLOOKUP($A45,'SegEnds_Xtal_Prot#'!$A:$AY,9,FALSE)-VLOOKUP($B45,'SegEnds_NonXtal_Prot#'!$A:$AL,7,FALSE),"-")</f>
        <v>48</v>
      </c>
      <c r="F45" s="2">
        <f>IFERROR(50+VLOOKUP($A45,'SegEnds_Xtal_Prot#'!$A:$AY,11,FALSE)-VLOOKUP($B45,'SegEnds_NonXtal_Prot#'!$A:$AL,7,FALSE),"-")</f>
        <v>51</v>
      </c>
      <c r="G45" s="2">
        <f>IFERROR(50+VLOOKUP($A45,'SegEnds_Xtal_Prot#'!$A:$AY,13,FALSE)-VLOOKUP($B45,'SegEnds_NonXtal_Prot#'!$A:$AL,10,FALSE),"-")</f>
        <v>37</v>
      </c>
      <c r="H45" s="2">
        <f>IFERROR(50+VLOOKUP($A45,'SegEnds_Xtal_Prot#'!$A:$AY,15,FALSE)-VLOOKUP($B45,'SegEnds_NonXtal_Prot#'!$A:$AL,10,FALSE),"-")</f>
        <v>64</v>
      </c>
      <c r="I45" s="2" t="str">
        <f>IFERROR(50+VLOOKUP($A45,'SegEnds_Xtal_Prot#'!$A:$AY,17,FALSE)-VLOOKUP($B45,'SegEnds_NonXtal_Prot#'!$A:$AL,13,FALSE),"-")</f>
        <v>-</v>
      </c>
      <c r="J45" s="2" t="str">
        <f>IFERROR(50+VLOOKUP($A45,'SegEnds_Xtal_Prot#'!$A:$AY,19,FALSE)-VLOOKUP($B45,'SegEnds_NonXtal_Prot#'!$A:$AL,13,FALSE),"-")</f>
        <v>-</v>
      </c>
      <c r="K45" s="2">
        <f>IFERROR(50+VLOOKUP($A45,'SegEnds_Xtal_Prot#'!$A:$AY,21,FALSE)-VLOOKUP($B45,'SegEnds_NonXtal_Prot#'!$A:$AL,16,FALSE),"-")</f>
        <v>23</v>
      </c>
      <c r="L45" s="2">
        <f>IFERROR(50+VLOOKUP($A45,'SegEnds_Xtal_Prot#'!$A:$AY,23,FALSE)-VLOOKUP($B45,'SegEnds_NonXtal_Prot#'!$A:$AL,16,FALSE),"-")</f>
        <v>56</v>
      </c>
      <c r="M45" s="2" t="str">
        <f>IFERROR(50+VLOOKUP($A45,'SegEnds_Xtal_Prot#'!$A:$AY,25,FALSE)-VLOOKUP($B45,'SegEnds_NonXtal_Prot#'!$A:$AL,19,FALSE),"-")</f>
        <v>-</v>
      </c>
      <c r="N45" s="2" t="str">
        <f>IFERROR(50+VLOOKUP($A45,'SegEnds_Xtal_Prot#'!$A:$AY,27,FALSE)-VLOOKUP($B45,'SegEnds_NonXtal_Prot#'!$A:$AL,19,FALSE),"-")</f>
        <v>-</v>
      </c>
      <c r="O45" s="2">
        <f>IFERROR(50+VLOOKUP($A45,'SegEnds_Xtal_Prot#'!$A:$AY,29,FALSE)-VLOOKUP($B45,'SegEnds_NonXtal_Prot#'!$A:$AL,22,FALSE),"-")</f>
        <v>41</v>
      </c>
      <c r="P45" s="2">
        <f>IFERROR(50+VLOOKUP($A45,'SegEnds_Xtal_Prot#'!$A:$AY,31,FALSE)-VLOOKUP($B45,'SegEnds_NonXtal_Prot#'!$A:$AL,22,FALSE),"-")</f>
        <v>68</v>
      </c>
      <c r="Q45" s="2">
        <f>IFERROR(50+VLOOKUP($A45,'SegEnds_Xtal_Prot#'!$A:$AY,33,FALSE)-VLOOKUP($B45,'SegEnds_NonXtal_Prot#'!$A:$AL,25,FALSE),"-")</f>
        <v>50</v>
      </c>
      <c r="R45" s="2">
        <f>IFERROR(50+VLOOKUP($A45,'SegEnds_Xtal_Prot#'!$A:$AY,35,FALSE)-VLOOKUP($B45,'SegEnds_NonXtal_Prot#'!$A:$AL,25,FALSE),"-")</f>
        <v>52</v>
      </c>
      <c r="S45" s="2">
        <f>IFERROR(50+VLOOKUP($A45,'SegEnds_Xtal_Prot#'!$A:$AY,37,FALSE)-VLOOKUP($B45,'SegEnds_NonXtal_Prot#'!$A:$AL,28,FALSE),"-")</f>
        <v>40</v>
      </c>
      <c r="T45" s="2">
        <f>IFERROR(50+VLOOKUP($A45,'SegEnds_Xtal_Prot#'!$A:$AY,39,FALSE)-VLOOKUP($B45,'SegEnds_NonXtal_Prot#'!$A:$AL,28,FALSE),"-")</f>
        <v>70</v>
      </c>
      <c r="U45" s="2">
        <f>IFERROR(50+VLOOKUP($A45,'SegEnds_Xtal_Prot#'!$A:$AY,41,FALSE)-VLOOKUP($B45,'SegEnds_NonXtal_Prot#'!$A:$AL,31,FALSE),"-")</f>
        <v>30</v>
      </c>
      <c r="V45" s="2">
        <f>IFERROR(50+VLOOKUP($A45,'SegEnds_Xtal_Prot#'!$A:$AY,43,FALSE)-VLOOKUP($B45,'SegEnds_NonXtal_Prot#'!$A:$AL,31,FALSE),"-")</f>
        <v>53</v>
      </c>
      <c r="W45" s="2">
        <f>IFERROR(50+VLOOKUP($A45,'SegEnds_Xtal_Prot#'!$A:$AY,45,FALSE)-VLOOKUP($B45,'SegEnds_NonXtal_Prot#'!$A:$AL,34,FALSE),"-")</f>
        <v>28</v>
      </c>
      <c r="X45" s="2">
        <f>IFERROR(50+VLOOKUP($A45,'SegEnds_Xtal_Prot#'!$A:$AY,47,FALSE)-VLOOKUP($B45,'SegEnds_NonXtal_Prot#'!$A:$AL,34,FALSE),"-")</f>
        <v>56</v>
      </c>
      <c r="Y45" s="2">
        <f>IFERROR(50+VLOOKUP($A45,'SegEnds_Xtal_Prot#'!$A:$AY,49,FALSE)-VLOOKUP($B45,'SegEnds_NonXtal_Prot#'!$A:$AL,37,FALSE),"-")</f>
        <v>47</v>
      </c>
      <c r="Z45" s="2">
        <f>IFERROR(50+VLOOKUP($A45,'SegEnds_Xtal_Prot#'!$A:$AY,51,FALSE)-VLOOKUP($B45,'SegEnds_NonXtal_Prot#'!$A:$AL,37,FALSE),"-")</f>
        <v>72</v>
      </c>
      <c r="AA45" s="49" t="str">
        <f>VLOOKUP(B45,Classification!A:D,2,FALSE)</f>
        <v>B1</v>
      </c>
      <c r="AB45" s="94" t="str">
        <f>VLOOKUP(B45,Classification!A:D,4,0)</f>
        <v>Calcitonin</v>
      </c>
      <c r="AC45" s="49">
        <f>VLOOKUP(B45,'SegEnds_NonXtal_Prot#'!A:AL,6,FALSE)-VLOOKUP(B45,'SegEnds_NonXtal_Prot#'!A:AL,5,FALSE)</f>
        <v>1</v>
      </c>
      <c r="AD45" s="49">
        <f>VLOOKUP(B45,'SegEnds_NonXtal_Prot#'!A:AL,9,FALSE)-VLOOKUP(B45,'SegEnds_NonXtal_Prot#'!A:AL,8,FALSE)</f>
        <v>1</v>
      </c>
      <c r="AE45" s="49" t="e">
        <f>VLOOKUP(B45,'SegEnds_NonXtal_Prot#'!A:AL,13,FALSE)-VLOOKUP(B45,'SegEnds_NonXtal_Prot#'!A:AL,10,FALSE)</f>
        <v>#VALUE!</v>
      </c>
      <c r="AF45" s="49" t="e">
        <f>VLOOKUP(B45,'SegEnds_NonXtal_Prot#'!A:AL,12,FALSE)-VLOOKUP(B45,'SegEnds_NonXtal_Prot#'!A:AL,11,FALSE)</f>
        <v>#VALUE!</v>
      </c>
      <c r="AG45" s="49" t="e">
        <f>VLOOKUP(B45,'SegEnds_NonXtal_Prot#'!A:AL,13,FALSE)-VLOOKUP(B45,'SegEnds_NonXtal_Prot#'!A:AL,11,FALSE)</f>
        <v>#VALUE!</v>
      </c>
      <c r="AH45" s="49">
        <f>VLOOKUP(B45,'SegEnds_NonXtal_Prot#'!A:AL,16,FALSE)-VLOOKUP(B45,'SegEnds_NonXtal_Prot#'!A:AL,10,FALSE)</f>
        <v>53</v>
      </c>
      <c r="AI45" s="49">
        <f>VLOOKUP(B45,'SegEnds_NonXtal_Prot#'!A:AL,16,FALSE)-VLOOKUP(B45,'SegEnds_NonXtal_Prot#'!A:AL,11,FALSE)</f>
        <v>39</v>
      </c>
      <c r="AJ45" s="49" t="e">
        <f>VLOOKUP(B45,'SegEnds_NonXtal_Prot#'!A:AL,22,FALSE)-VLOOKUP(B45,'SegEnds_NonXtal_Prot#'!A:AL,19,FALSE)</f>
        <v>#VALUE!</v>
      </c>
      <c r="AK45" s="49" t="e">
        <f>VLOOKUP(B45,'SegEnds_NonXtal_Prot#'!A:AL,15,FALSE)-VLOOKUP(B45,'SegEnds_NonXtal_Prot#'!A:AL,14,FALSE)</f>
        <v>#VALUE!</v>
      </c>
      <c r="AL45" s="49" t="e">
        <f>VLOOKUP(B45,'SegEnds_NonXtal_Prot#'!A:AL,18,FALSE)-VLOOKUP(B45,'SegEnds_NonXtal_Prot#'!A:AL,17,FALSE)</f>
        <v>#VALUE!</v>
      </c>
      <c r="AM45" s="2">
        <f>VLOOKUP(B45,'SegEnds_NonXtal_Prot#'!A:AL,34,FALSE)-VLOOKUP(B45,'SegEnds_NonXtal_Prot#'!A:AL,31,FALSE)</f>
        <v>30</v>
      </c>
      <c r="AN45" s="37"/>
    </row>
    <row r="46" spans="1:64" s="2" customFormat="1" x14ac:dyDescent="0.2">
      <c r="A46" s="2" t="str">
        <f t="shared" si="0"/>
        <v>crfr1_human__wt</v>
      </c>
      <c r="B46" s="2" t="s">
        <v>38</v>
      </c>
      <c r="C46" s="2">
        <f>IFERROR(50+VLOOKUP($A46,'SegEnds_Xtal_Prot#'!$A:$AY,5,FALSE)-VLOOKUP($B46,'SegEnds_NonXtal_Prot#'!$A:$AL,4,FALSE),"-")</f>
        <v>19</v>
      </c>
      <c r="D46" s="2">
        <f>IFERROR(50+VLOOKUP($A46,'SegEnds_Xtal_Prot#'!$A:$AY,7,FALSE)-VLOOKUP($B46,'SegEnds_NonXtal_Prot#'!$A:$AL,4,FALSE),"-")</f>
        <v>60</v>
      </c>
      <c r="E46" s="2">
        <f>IFERROR(50+VLOOKUP($A46,'SegEnds_Xtal_Prot#'!$A:$AY,9,FALSE)-VLOOKUP($B46,'SegEnds_NonXtal_Prot#'!$A:$AL,7,FALSE),"-")</f>
        <v>48</v>
      </c>
      <c r="F46" s="2">
        <f>IFERROR(50+VLOOKUP($A46,'SegEnds_Xtal_Prot#'!$A:$AY,11,FALSE)-VLOOKUP($B46,'SegEnds_NonXtal_Prot#'!$A:$AL,7,FALSE),"-")</f>
        <v>51</v>
      </c>
      <c r="G46" s="2">
        <f>IFERROR(50+VLOOKUP($A46,'SegEnds_Xtal_Prot#'!$A:$AY,13,FALSE)-VLOOKUP($B46,'SegEnds_NonXtal_Prot#'!$A:$AL,10,FALSE),"-")</f>
        <v>37</v>
      </c>
      <c r="H46" s="2">
        <f>IFERROR(50+VLOOKUP($A46,'SegEnds_Xtal_Prot#'!$A:$AY,15,FALSE)-VLOOKUP($B46,'SegEnds_NonXtal_Prot#'!$A:$AL,10,FALSE),"-")</f>
        <v>63</v>
      </c>
      <c r="I46" s="2" t="str">
        <f>IFERROR(50+VLOOKUP($A46,'SegEnds_Xtal_Prot#'!$A:$AY,17,FALSE)-VLOOKUP($B46,'SegEnds_NonXtal_Prot#'!$A:$AL,13,FALSE),"-")</f>
        <v>-</v>
      </c>
      <c r="J46" s="2" t="str">
        <f>IFERROR(50+VLOOKUP($A46,'SegEnds_Xtal_Prot#'!$A:$AY,19,FALSE)-VLOOKUP($B46,'SegEnds_NonXtal_Prot#'!$A:$AL,13,FALSE),"-")</f>
        <v>-</v>
      </c>
      <c r="K46" s="2">
        <f>IFERROR(50+VLOOKUP($A46,'SegEnds_Xtal_Prot#'!$A:$AY,21,FALSE)-VLOOKUP($B46,'SegEnds_NonXtal_Prot#'!$A:$AL,16,FALSE),"-")</f>
        <v>22</v>
      </c>
      <c r="L46" s="2">
        <f>IFERROR(50+VLOOKUP($A46,'SegEnds_Xtal_Prot#'!$A:$AY,23,FALSE)-VLOOKUP($B46,'SegEnds_NonXtal_Prot#'!$A:$AL,16,FALSE),"-")</f>
        <v>56</v>
      </c>
      <c r="M46" s="2" t="str">
        <f>IFERROR(50+VLOOKUP($A46,'SegEnds_Xtal_Prot#'!$A:$AY,25,FALSE)-VLOOKUP($B46,'SegEnds_NonXtal_Prot#'!$A:$AL,19,FALSE),"-")</f>
        <v>-</v>
      </c>
      <c r="N46" s="2" t="str">
        <f>IFERROR(50+VLOOKUP($A46,'SegEnds_Xtal_Prot#'!$A:$AY,27,FALSE)-VLOOKUP($B46,'SegEnds_NonXtal_Prot#'!$A:$AL,19,FALSE),"-")</f>
        <v>-</v>
      </c>
      <c r="O46" s="2">
        <f>IFERROR(50+VLOOKUP($A46,'SegEnds_Xtal_Prot#'!$A:$AY,29,FALSE)-VLOOKUP($B46,'SegEnds_NonXtal_Prot#'!$A:$AL,22,FALSE),"-")</f>
        <v>40</v>
      </c>
      <c r="P46" s="2">
        <f>IFERROR(50+VLOOKUP($A46,'SegEnds_Xtal_Prot#'!$A:$AY,31,FALSE)-VLOOKUP($B46,'SegEnds_NonXtal_Prot#'!$A:$AL,22,FALSE),"-")</f>
        <v>68</v>
      </c>
      <c r="Q46" s="2">
        <f>IFERROR(50+VLOOKUP($A46,'SegEnds_Xtal_Prot#'!$A:$AY,33,FALSE)-VLOOKUP($B46,'SegEnds_NonXtal_Prot#'!$A:$AL,25,FALSE),"-")</f>
        <v>50</v>
      </c>
      <c r="R46" s="2">
        <f>IFERROR(50+VLOOKUP($A46,'SegEnds_Xtal_Prot#'!$A:$AY,35,FALSE)-VLOOKUP($B46,'SegEnds_NonXtal_Prot#'!$A:$AL,25,FALSE),"-")</f>
        <v>52</v>
      </c>
      <c r="S46" s="2">
        <f>IFERROR(50+VLOOKUP($A46,'SegEnds_Xtal_Prot#'!$A:$AY,37,FALSE)-VLOOKUP($B46,'SegEnds_NonXtal_Prot#'!$A:$AL,28,FALSE),"-")</f>
        <v>39</v>
      </c>
      <c r="T46" s="2">
        <f>IFERROR(50+VLOOKUP($A46,'SegEnds_Xtal_Prot#'!$A:$AY,39,FALSE)-VLOOKUP($B46,'SegEnds_NonXtal_Prot#'!$A:$AL,28,FALSE),"-")</f>
        <v>69</v>
      </c>
      <c r="U46" s="2">
        <f>IFERROR(50+VLOOKUP($A46,'SegEnds_Xtal_Prot#'!$A:$AY,41,FALSE)-VLOOKUP($B46,'SegEnds_NonXtal_Prot#'!$A:$AL,31,FALSE),"-")</f>
        <v>25</v>
      </c>
      <c r="V46" s="2">
        <f>IFERROR(50+VLOOKUP($A46,'SegEnds_Xtal_Prot#'!$A:$AY,43,FALSE)-VLOOKUP($B46,'SegEnds_NonXtal_Prot#'!$A:$AL,31,FALSE),"-")</f>
        <v>53</v>
      </c>
      <c r="W46" s="2">
        <f>IFERROR(50+VLOOKUP($A46,'SegEnds_Xtal_Prot#'!$A:$AY,45,FALSE)-VLOOKUP($B46,'SegEnds_NonXtal_Prot#'!$A:$AL,34,FALSE),"-")</f>
        <v>28</v>
      </c>
      <c r="X46" s="2">
        <f>IFERROR(50+VLOOKUP($A46,'SegEnds_Xtal_Prot#'!$A:$AY,47,FALSE)-VLOOKUP($B46,'SegEnds_NonXtal_Prot#'!$A:$AL,34,FALSE),"-")</f>
        <v>56</v>
      </c>
      <c r="Y46" s="2">
        <f>IFERROR(50+VLOOKUP($A46,'SegEnds_Xtal_Prot#'!$A:$AY,49,FALSE)-VLOOKUP($B46,'SegEnds_NonXtal_Prot#'!$A:$AL,37,FALSE),"-")</f>
        <v>47</v>
      </c>
      <c r="Z46" s="2">
        <f>IFERROR(50+VLOOKUP($A46,'SegEnds_Xtal_Prot#'!$A:$AY,51,FALSE)-VLOOKUP($B46,'SegEnds_NonXtal_Prot#'!$A:$AL,37,FALSE),"-")</f>
        <v>72</v>
      </c>
      <c r="AA46" s="49" t="str">
        <f>VLOOKUP(B46,Classification!A:D,2,FALSE)</f>
        <v>B1</v>
      </c>
      <c r="AB46" s="94" t="str">
        <f>VLOOKUP(B46,Classification!A:D,4,0)</f>
        <v>Corticotropin-releasingfact</v>
      </c>
      <c r="AC46" s="49">
        <f>VLOOKUP(B46,'SegEnds_NonXtal_Prot#'!A:AL,6,FALSE)-VLOOKUP(B46,'SegEnds_NonXtal_Prot#'!A:AL,5,FALSE)</f>
        <v>1</v>
      </c>
      <c r="AD46" s="49">
        <f>VLOOKUP(B46,'SegEnds_NonXtal_Prot#'!A:AL,9,FALSE)-VLOOKUP(B46,'SegEnds_NonXtal_Prot#'!A:AL,8,FALSE)</f>
        <v>1</v>
      </c>
      <c r="AE46" s="49" t="e">
        <f>VLOOKUP(B46,'SegEnds_NonXtal_Prot#'!A:AL,13,FALSE)-VLOOKUP(B46,'SegEnds_NonXtal_Prot#'!A:AL,10,FALSE)</f>
        <v>#VALUE!</v>
      </c>
      <c r="AF46" s="49" t="e">
        <f>VLOOKUP(B46,'SegEnds_NonXtal_Prot#'!A:AL,12,FALSE)-VLOOKUP(B46,'SegEnds_NonXtal_Prot#'!A:AL,11,FALSE)</f>
        <v>#VALUE!</v>
      </c>
      <c r="AG46" s="49" t="e">
        <f>VLOOKUP(B46,'SegEnds_NonXtal_Prot#'!A:AL,13,FALSE)-VLOOKUP(B46,'SegEnds_NonXtal_Prot#'!A:AL,11,FALSE)</f>
        <v>#VALUE!</v>
      </c>
      <c r="AH46" s="49">
        <f>VLOOKUP(B46,'SegEnds_NonXtal_Prot#'!A:AL,16,FALSE)-VLOOKUP(B46,'SegEnds_NonXtal_Prot#'!A:AL,10,FALSE)</f>
        <v>51</v>
      </c>
      <c r="AI46" s="49">
        <f>VLOOKUP(B46,'SegEnds_NonXtal_Prot#'!A:AL,16,FALSE)-VLOOKUP(B46,'SegEnds_NonXtal_Prot#'!A:AL,11,FALSE)</f>
        <v>38</v>
      </c>
      <c r="AJ46" s="49" t="e">
        <f>VLOOKUP(B46,'SegEnds_NonXtal_Prot#'!A:AL,22,FALSE)-VLOOKUP(B46,'SegEnds_NonXtal_Prot#'!A:AL,19,FALSE)</f>
        <v>#VALUE!</v>
      </c>
      <c r="AK46" s="49" t="e">
        <f>VLOOKUP(B46,'SegEnds_NonXtal_Prot#'!A:AL,15,FALSE)-VLOOKUP(B46,'SegEnds_NonXtal_Prot#'!A:AL,14,FALSE)</f>
        <v>#VALUE!</v>
      </c>
      <c r="AL46" s="49" t="e">
        <f>VLOOKUP(B46,'SegEnds_NonXtal_Prot#'!A:AL,18,FALSE)-VLOOKUP(B46,'SegEnds_NonXtal_Prot#'!A:AL,17,FALSE)</f>
        <v>#VALUE!</v>
      </c>
      <c r="AM46" s="2">
        <f>VLOOKUP(B46,'SegEnds_NonXtal_Prot#'!A:AL,34,FALSE)-VLOOKUP(B46,'SegEnds_NonXtal_Prot#'!A:AL,31,FALSE)</f>
        <v>31</v>
      </c>
      <c r="AN46" s="39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</row>
    <row r="47" spans="1:64" s="2" customFormat="1" x14ac:dyDescent="0.2">
      <c r="A47" s="2" t="str">
        <f t="shared" si="0"/>
        <v>glr_human__wt</v>
      </c>
      <c r="B47" s="2" t="s">
        <v>32</v>
      </c>
      <c r="C47" s="2">
        <f>IFERROR(50+VLOOKUP($A47,'SegEnds_Xtal_Prot#'!$A:$AY,5,FALSE)-VLOOKUP($B47,'SegEnds_NonXtal_Prot#'!$A:$AL,4,FALSE),"-")</f>
        <v>25</v>
      </c>
      <c r="D47" s="2">
        <f>IFERROR(50+VLOOKUP($A47,'SegEnds_Xtal_Prot#'!$A:$AY,7,FALSE)-VLOOKUP($B47,'SegEnds_NonXtal_Prot#'!$A:$AL,4,FALSE),"-")</f>
        <v>60</v>
      </c>
      <c r="E47" s="2">
        <f>IFERROR(50+VLOOKUP($A47,'SegEnds_Xtal_Prot#'!$A:$AY,9,FALSE)-VLOOKUP($B47,'SegEnds_NonXtal_Prot#'!$A:$AL,7,FALSE),"-")</f>
        <v>48</v>
      </c>
      <c r="F47" s="2">
        <f>IFERROR(50+VLOOKUP($A47,'SegEnds_Xtal_Prot#'!$A:$AY,11,FALSE)-VLOOKUP($B47,'SegEnds_NonXtal_Prot#'!$A:$AL,7,FALSE),"-")</f>
        <v>51</v>
      </c>
      <c r="G47" s="2">
        <f>IFERROR(50+VLOOKUP($A47,'SegEnds_Xtal_Prot#'!$A:$AY,13,FALSE)-VLOOKUP($B47,'SegEnds_NonXtal_Prot#'!$A:$AL,10,FALSE),"-")</f>
        <v>37</v>
      </c>
      <c r="H47" s="2">
        <f>IFERROR(50+VLOOKUP($A47,'SegEnds_Xtal_Prot#'!$A:$AY,15,FALSE)-VLOOKUP($B47,'SegEnds_NonXtal_Prot#'!$A:$AL,10,FALSE),"-")</f>
        <v>69</v>
      </c>
      <c r="I47" s="2" t="str">
        <f>IFERROR(50+VLOOKUP($A47,'SegEnds_Xtal_Prot#'!$A:$AY,17,FALSE)-VLOOKUP($B47,'SegEnds_NonXtal_Prot#'!$A:$AL,13,FALSE),"-")</f>
        <v>-</v>
      </c>
      <c r="J47" s="2" t="str">
        <f>IFERROR(50+VLOOKUP($A47,'SegEnds_Xtal_Prot#'!$A:$AY,19,FALSE)-VLOOKUP($B47,'SegEnds_NonXtal_Prot#'!$A:$AL,13,FALSE),"-")</f>
        <v>-</v>
      </c>
      <c r="K47" s="2">
        <f>IFERROR(50+VLOOKUP($A47,'SegEnds_Xtal_Prot#'!$A:$AY,21,FALSE)-VLOOKUP($B47,'SegEnds_NonXtal_Prot#'!$A:$AL,16,FALSE),"-")</f>
        <v>21</v>
      </c>
      <c r="L47" s="2">
        <f>IFERROR(50+VLOOKUP($A47,'SegEnds_Xtal_Prot#'!$A:$AY,23,FALSE)-VLOOKUP($B47,'SegEnds_NonXtal_Prot#'!$A:$AL,16,FALSE),"-")</f>
        <v>56</v>
      </c>
      <c r="M47" s="2" t="str">
        <f>IFERROR(50+VLOOKUP($A47,'SegEnds_Xtal_Prot#'!$A:$AY,25,FALSE)-VLOOKUP($B47,'SegEnds_NonXtal_Prot#'!$A:$AL,19,FALSE),"-")</f>
        <v>-</v>
      </c>
      <c r="N47" s="2" t="str">
        <f>IFERROR(50+VLOOKUP($A47,'SegEnds_Xtal_Prot#'!$A:$AY,27,FALSE)-VLOOKUP($B47,'SegEnds_NonXtal_Prot#'!$A:$AL,19,FALSE),"-")</f>
        <v>-</v>
      </c>
      <c r="O47" s="2">
        <f>IFERROR(50+VLOOKUP($A47,'SegEnds_Xtal_Prot#'!$A:$AY,29,FALSE)-VLOOKUP($B47,'SegEnds_NonXtal_Prot#'!$A:$AL,22,FALSE),"-")</f>
        <v>40</v>
      </c>
      <c r="P47" s="2">
        <f>IFERROR(50+VLOOKUP($A47,'SegEnds_Xtal_Prot#'!$A:$AY,31,FALSE)-VLOOKUP($B47,'SegEnds_NonXtal_Prot#'!$A:$AL,22,FALSE),"-")</f>
        <v>68</v>
      </c>
      <c r="Q47" s="2">
        <f>IFERROR(50+VLOOKUP($A47,'SegEnds_Xtal_Prot#'!$A:$AY,33,FALSE)-VLOOKUP($B47,'SegEnds_NonXtal_Prot#'!$A:$AL,25,FALSE),"-")</f>
        <v>50</v>
      </c>
      <c r="R47" s="2">
        <f>IFERROR(50+VLOOKUP($A47,'SegEnds_Xtal_Prot#'!$A:$AY,35,FALSE)-VLOOKUP($B47,'SegEnds_NonXtal_Prot#'!$A:$AL,25,FALSE),"-")</f>
        <v>52</v>
      </c>
      <c r="S47" s="2">
        <f>IFERROR(50+VLOOKUP($A47,'SegEnds_Xtal_Prot#'!$A:$AY,37,FALSE)-VLOOKUP($B47,'SegEnds_NonXtal_Prot#'!$A:$AL,28,FALSE),"-")</f>
        <v>35</v>
      </c>
      <c r="T47" s="2">
        <f>IFERROR(50+VLOOKUP($A47,'SegEnds_Xtal_Prot#'!$A:$AY,39,FALSE)-VLOOKUP($B47,'SegEnds_NonXtal_Prot#'!$A:$AL,28,FALSE),"-")</f>
        <v>71</v>
      </c>
      <c r="U47" s="2">
        <f>IFERROR(50+VLOOKUP($A47,'SegEnds_Xtal_Prot#'!$A:$AY,41,FALSE)-VLOOKUP($B47,'SegEnds_NonXtal_Prot#'!$A:$AL,31,FALSE),"-")</f>
        <v>28</v>
      </c>
      <c r="V47" s="2">
        <f>IFERROR(50+VLOOKUP($A47,'SegEnds_Xtal_Prot#'!$A:$AY,43,FALSE)-VLOOKUP($B47,'SegEnds_NonXtal_Prot#'!$A:$AL,31,FALSE),"-")</f>
        <v>53</v>
      </c>
      <c r="W47" s="2">
        <f>IFERROR(50+VLOOKUP($A47,'SegEnds_Xtal_Prot#'!$A:$AY,45,FALSE)-VLOOKUP($B47,'SegEnds_NonXtal_Prot#'!$A:$AL,34,FALSE),"-")</f>
        <v>27</v>
      </c>
      <c r="X47" s="2">
        <f>IFERROR(50+VLOOKUP($A47,'SegEnds_Xtal_Prot#'!$A:$AY,47,FALSE)-VLOOKUP($B47,'SegEnds_NonXtal_Prot#'!$A:$AL,34,FALSE),"-")</f>
        <v>56</v>
      </c>
      <c r="Y47" s="2">
        <f>IFERROR(50+VLOOKUP($A47,'SegEnds_Xtal_Prot#'!$A:$AY,49,FALSE)-VLOOKUP($B47,'SegEnds_NonXtal_Prot#'!$A:$AL,37,FALSE),"-")</f>
        <v>47</v>
      </c>
      <c r="Z47" s="2">
        <f>IFERROR(50+VLOOKUP($A47,'SegEnds_Xtal_Prot#'!$A:$AY,51,FALSE)-VLOOKUP($B47,'SegEnds_NonXtal_Prot#'!$A:$AL,37,FALSE),"-")</f>
        <v>72</v>
      </c>
      <c r="AA47" s="49" t="str">
        <f>VLOOKUP(B47,Classification!A:D,2,FALSE)</f>
        <v>B1</v>
      </c>
      <c r="AB47" s="94" t="str">
        <f>VLOOKUP(B47,Classification!A:D,4,0)</f>
        <v>Glucagonreceptorfamily</v>
      </c>
      <c r="AC47" s="49">
        <f>VLOOKUP(B47,'SegEnds_NonXtal_Prot#'!A:AL,6,FALSE)-VLOOKUP(B47,'SegEnds_NonXtal_Prot#'!A:AL,5,FALSE)</f>
        <v>1</v>
      </c>
      <c r="AD47" s="49">
        <f>VLOOKUP(B47,'SegEnds_NonXtal_Prot#'!A:AL,9,FALSE)-VLOOKUP(B47,'SegEnds_NonXtal_Prot#'!A:AL,8,FALSE)</f>
        <v>1</v>
      </c>
      <c r="AE47" s="49" t="e">
        <f>VLOOKUP(B47,'SegEnds_NonXtal_Prot#'!A:AL,13,FALSE)-VLOOKUP(B47,'SegEnds_NonXtal_Prot#'!A:AL,10,FALSE)</f>
        <v>#VALUE!</v>
      </c>
      <c r="AF47" s="49" t="e">
        <f>VLOOKUP(B47,'SegEnds_NonXtal_Prot#'!A:AL,12,FALSE)-VLOOKUP(B47,'SegEnds_NonXtal_Prot#'!A:AL,11,FALSE)</f>
        <v>#VALUE!</v>
      </c>
      <c r="AG47" s="49" t="e">
        <f>VLOOKUP(B47,'SegEnds_NonXtal_Prot#'!A:AL,13,FALSE)-VLOOKUP(B47,'SegEnds_NonXtal_Prot#'!A:AL,11,FALSE)</f>
        <v>#VALUE!</v>
      </c>
      <c r="AH47" s="49">
        <f>VLOOKUP(B47,'SegEnds_NonXtal_Prot#'!A:AL,16,FALSE)-VLOOKUP(B47,'SegEnds_NonXtal_Prot#'!A:AL,10,FALSE)</f>
        <v>65</v>
      </c>
      <c r="AI47" s="49">
        <f>VLOOKUP(B47,'SegEnds_NonXtal_Prot#'!A:AL,16,FALSE)-VLOOKUP(B47,'SegEnds_NonXtal_Prot#'!A:AL,11,FALSE)</f>
        <v>46</v>
      </c>
      <c r="AJ47" s="49" t="e">
        <f>VLOOKUP(B47,'SegEnds_NonXtal_Prot#'!A:AL,22,FALSE)-VLOOKUP(B47,'SegEnds_NonXtal_Prot#'!A:AL,19,FALSE)</f>
        <v>#VALUE!</v>
      </c>
      <c r="AK47" s="49" t="e">
        <f>VLOOKUP(B47,'SegEnds_NonXtal_Prot#'!A:AL,15,FALSE)-VLOOKUP(B47,'SegEnds_NonXtal_Prot#'!A:AL,14,FALSE)</f>
        <v>#VALUE!</v>
      </c>
      <c r="AL47" s="49" t="e">
        <f>VLOOKUP(B47,'SegEnds_NonXtal_Prot#'!A:AL,18,FALSE)-VLOOKUP(B47,'SegEnds_NonXtal_Prot#'!A:AL,17,FALSE)</f>
        <v>#VALUE!</v>
      </c>
      <c r="AM47" s="2">
        <f>VLOOKUP(B47,'SegEnds_NonXtal_Prot#'!A:AL,34,FALSE)-VLOOKUP(B47,'SegEnds_NonXtal_Prot#'!A:AL,31,FALSE)</f>
        <v>33</v>
      </c>
      <c r="AN47" s="37"/>
    </row>
    <row r="48" spans="1:64" s="2" customFormat="1" x14ac:dyDescent="0.2">
      <c r="A48" s="2" t="str">
        <f t="shared" si="0"/>
        <v>glp1r_human__wt</v>
      </c>
      <c r="B48" s="2" t="s">
        <v>405</v>
      </c>
      <c r="C48" s="2">
        <f>IFERROR(50+VLOOKUP($A48,'SegEnds_Xtal_Prot#'!$A:$AY,5,FALSE)-VLOOKUP($B48,'SegEnds_NonXtal_Prot#'!$A:$AL,4,FALSE),"-")</f>
        <v>29</v>
      </c>
      <c r="D48" s="2">
        <f>IFERROR(50+VLOOKUP($A48,'SegEnds_Xtal_Prot#'!$A:$AY,7,FALSE)-VLOOKUP($B48,'SegEnds_NonXtal_Prot#'!$A:$AL,4,FALSE),"-")</f>
        <v>60</v>
      </c>
      <c r="E48" s="2">
        <f>IFERROR(50+VLOOKUP($A48,'SegEnds_Xtal_Prot#'!$A:$AY,9,FALSE)-VLOOKUP($B48,'SegEnds_NonXtal_Prot#'!$A:$AL,7,FALSE),"-")</f>
        <v>48</v>
      </c>
      <c r="F48" s="2">
        <f>IFERROR(50+VLOOKUP($A48,'SegEnds_Xtal_Prot#'!$A:$AY,11,FALSE)-VLOOKUP($B48,'SegEnds_NonXtal_Prot#'!$A:$AL,7,FALSE),"-")</f>
        <v>51</v>
      </c>
      <c r="G48" s="2">
        <f>IFERROR(50+VLOOKUP($A48,'SegEnds_Xtal_Prot#'!$A:$AY,13,FALSE)-VLOOKUP($B48,'SegEnds_NonXtal_Prot#'!$A:$AL,10,FALSE),"-")</f>
        <v>37</v>
      </c>
      <c r="H48" s="2">
        <f>IFERROR(50+VLOOKUP($A48,'SegEnds_Xtal_Prot#'!$A:$AY,15,FALSE)-VLOOKUP($B48,'SegEnds_NonXtal_Prot#'!$A:$AL,10,FALSE),"-")</f>
        <v>69</v>
      </c>
      <c r="I48" s="2" t="str">
        <f>IFERROR(50+VLOOKUP($A48,'SegEnds_Xtal_Prot#'!$A:$AY,17,FALSE)-VLOOKUP($B48,'SegEnds_NonXtal_Prot#'!$A:$AL,13,FALSE),"-")</f>
        <v>-</v>
      </c>
      <c r="J48" s="2" t="str">
        <f>IFERROR(50+VLOOKUP($A48,'SegEnds_Xtal_Prot#'!$A:$AY,19,FALSE)-VLOOKUP($B48,'SegEnds_NonXtal_Prot#'!$A:$AL,13,FALSE),"-")</f>
        <v>-</v>
      </c>
      <c r="K48" s="2">
        <f>IFERROR(50+VLOOKUP($A48,'SegEnds_Xtal_Prot#'!$A:$AY,21,FALSE)-VLOOKUP($B48,'SegEnds_NonXtal_Prot#'!$A:$AL,16,FALSE),"-")</f>
        <v>23</v>
      </c>
      <c r="L48" s="2">
        <f>IFERROR(50+VLOOKUP($A48,'SegEnds_Xtal_Prot#'!$A:$AY,23,FALSE)-VLOOKUP($B48,'SegEnds_NonXtal_Prot#'!$A:$AL,16,FALSE),"-")</f>
        <v>56</v>
      </c>
      <c r="M48" s="2" t="str">
        <f>IFERROR(50+VLOOKUP($A48,'SegEnds_Xtal_Prot#'!$A:$AY,25,FALSE)-VLOOKUP($B48,'SegEnds_NonXtal_Prot#'!$A:$AL,19,FALSE),"-")</f>
        <v>-</v>
      </c>
      <c r="N48" s="2" t="str">
        <f>IFERROR(50+VLOOKUP($A48,'SegEnds_Xtal_Prot#'!$A:$AY,27,FALSE)-VLOOKUP($B48,'SegEnds_NonXtal_Prot#'!$A:$AL,19,FALSE),"-")</f>
        <v>-</v>
      </c>
      <c r="O48" s="2">
        <f>IFERROR(50+VLOOKUP($A48,'SegEnds_Xtal_Prot#'!$A:$AY,29,FALSE)-VLOOKUP($B48,'SegEnds_NonXtal_Prot#'!$A:$AL,22,FALSE),"-")</f>
        <v>38</v>
      </c>
      <c r="P48" s="2">
        <f>IFERROR(50+VLOOKUP($A48,'SegEnds_Xtal_Prot#'!$A:$AY,31,FALSE)-VLOOKUP($B48,'SegEnds_NonXtal_Prot#'!$A:$AL,22,FALSE),"-")</f>
        <v>68</v>
      </c>
      <c r="Q48" s="2">
        <f>IFERROR(50+VLOOKUP($A48,'SegEnds_Xtal_Prot#'!$A:$AY,33,FALSE)-VLOOKUP($B48,'SegEnds_NonXtal_Prot#'!$A:$AL,25,FALSE),"-")</f>
        <v>50</v>
      </c>
      <c r="R48" s="2">
        <f>IFERROR(50+VLOOKUP($A48,'SegEnds_Xtal_Prot#'!$A:$AY,35,FALSE)-VLOOKUP($B48,'SegEnds_NonXtal_Prot#'!$A:$AL,25,FALSE),"-")</f>
        <v>52</v>
      </c>
      <c r="S48" s="2">
        <f>IFERROR(50+VLOOKUP($A48,'SegEnds_Xtal_Prot#'!$A:$AY,37,FALSE)-VLOOKUP($B48,'SegEnds_NonXtal_Prot#'!$A:$AL,28,FALSE),"-")</f>
        <v>36</v>
      </c>
      <c r="T48" s="2">
        <f>IFERROR(50+VLOOKUP($A48,'SegEnds_Xtal_Prot#'!$A:$AY,39,FALSE)-VLOOKUP($B48,'SegEnds_NonXtal_Prot#'!$A:$AL,28,FALSE),"-")</f>
        <v>71</v>
      </c>
      <c r="U48" s="2">
        <f>IFERROR(50+VLOOKUP($A48,'SegEnds_Xtal_Prot#'!$A:$AY,41,FALSE)-VLOOKUP($B48,'SegEnds_NonXtal_Prot#'!$A:$AL,31,FALSE),"-")</f>
        <v>28</v>
      </c>
      <c r="V48" s="2">
        <f>IFERROR(50+VLOOKUP($A48,'SegEnds_Xtal_Prot#'!$A:$AY,43,FALSE)-VLOOKUP($B48,'SegEnds_NonXtal_Prot#'!$A:$AL,31,FALSE),"-")</f>
        <v>53</v>
      </c>
      <c r="W48" s="2">
        <f>IFERROR(50+VLOOKUP($A48,'SegEnds_Xtal_Prot#'!$A:$AY,45,FALSE)-VLOOKUP($B48,'SegEnds_NonXtal_Prot#'!$A:$AL,34,FALSE),"-")</f>
        <v>28</v>
      </c>
      <c r="X48" s="2">
        <f>IFERROR(50+VLOOKUP($A48,'SegEnds_Xtal_Prot#'!$A:$AY,47,FALSE)-VLOOKUP($B48,'SegEnds_NonXtal_Prot#'!$A:$AL,34,FALSE),"-")</f>
        <v>56</v>
      </c>
      <c r="Y48" s="2">
        <f>IFERROR(50+VLOOKUP($A48,'SegEnds_Xtal_Prot#'!$A:$AY,49,FALSE)-VLOOKUP($B48,'SegEnds_NonXtal_Prot#'!$A:$AL,37,FALSE),"-")</f>
        <v>47</v>
      </c>
      <c r="Z48" s="2">
        <f>IFERROR(50+VLOOKUP($A48,'SegEnds_Xtal_Prot#'!$A:$AY,51,FALSE)-VLOOKUP($B48,'SegEnds_NonXtal_Prot#'!$A:$AL,37,FALSE),"-")</f>
        <v>72</v>
      </c>
      <c r="AA48" s="49" t="str">
        <f>VLOOKUP(B48,Classification!A:D,2,FALSE)</f>
        <v>B1</v>
      </c>
      <c r="AB48" s="94" t="str">
        <f>VLOOKUP(B48,Classification!A:D,4,0)</f>
        <v>Glucagonreceptorfamily</v>
      </c>
      <c r="AC48" s="49">
        <f>VLOOKUP(B48,'SegEnds_NonXtal_Prot#'!A:AL,6,FALSE)-VLOOKUP(B48,'SegEnds_NonXtal_Prot#'!A:AL,5,FALSE)</f>
        <v>1</v>
      </c>
      <c r="AD48" s="49">
        <f>VLOOKUP(B48,'SegEnds_NonXtal_Prot#'!A:AL,9,FALSE)-VLOOKUP(B48,'SegEnds_NonXtal_Prot#'!A:AL,8,FALSE)</f>
        <v>1</v>
      </c>
      <c r="AE48" s="49" t="e">
        <f>VLOOKUP(B48,'SegEnds_NonXtal_Prot#'!A:AL,13,FALSE)-VLOOKUP(B48,'SegEnds_NonXtal_Prot#'!A:AL,10,FALSE)</f>
        <v>#VALUE!</v>
      </c>
      <c r="AF48" s="49" t="e">
        <f>VLOOKUP(B48,'SegEnds_NonXtal_Prot#'!A:AL,12,FALSE)-VLOOKUP(B48,'SegEnds_NonXtal_Prot#'!A:AL,11,FALSE)</f>
        <v>#VALUE!</v>
      </c>
      <c r="AG48" s="49" t="e">
        <f>VLOOKUP(B48,'SegEnds_NonXtal_Prot#'!A:AL,13,FALSE)-VLOOKUP(B48,'SegEnds_NonXtal_Prot#'!A:AL,11,FALSE)</f>
        <v>#VALUE!</v>
      </c>
      <c r="AH48" s="49">
        <f>VLOOKUP(B48,'SegEnds_NonXtal_Prot#'!A:AL,16,FALSE)-VLOOKUP(B48,'SegEnds_NonXtal_Prot#'!A:AL,10,FALSE)</f>
        <v>64</v>
      </c>
      <c r="AI48" s="49">
        <f>VLOOKUP(B48,'SegEnds_NonXtal_Prot#'!A:AL,16,FALSE)-VLOOKUP(B48,'SegEnds_NonXtal_Prot#'!A:AL,11,FALSE)</f>
        <v>50</v>
      </c>
      <c r="AJ48" s="49" t="e">
        <f>VLOOKUP(B48,'SegEnds_NonXtal_Prot#'!A:AL,22,FALSE)-VLOOKUP(B48,'SegEnds_NonXtal_Prot#'!A:AL,19,FALSE)</f>
        <v>#VALUE!</v>
      </c>
      <c r="AK48" s="49" t="e">
        <f>VLOOKUP(B48,'SegEnds_NonXtal_Prot#'!A:AL,15,FALSE)-VLOOKUP(B48,'SegEnds_NonXtal_Prot#'!A:AL,14,FALSE)</f>
        <v>#VALUE!</v>
      </c>
      <c r="AL48" s="49" t="e">
        <f>VLOOKUP(B48,'SegEnds_NonXtal_Prot#'!A:AL,18,FALSE)-VLOOKUP(B48,'SegEnds_NonXtal_Prot#'!A:AL,17,FALSE)</f>
        <v>#VALUE!</v>
      </c>
      <c r="AM48" s="2">
        <f>VLOOKUP(B48,'SegEnds_NonXtal_Prot#'!A:AL,34,FALSE)-VLOOKUP(B48,'SegEnds_NonXtal_Prot#'!A:AL,31,FALSE)</f>
        <v>33</v>
      </c>
      <c r="AN48" s="37"/>
    </row>
    <row r="49" spans="1:40" s="2" customFormat="1" x14ac:dyDescent="0.2">
      <c r="A49" s="2" t="str">
        <f t="shared" si="0"/>
        <v>g1sgd4_rabit__wt</v>
      </c>
      <c r="B49" s="2" t="s">
        <v>1414</v>
      </c>
      <c r="C49" s="2">
        <f>IFERROR(50+VLOOKUP($A49,'SegEnds_Xtal_Prot#'!$A:$AY,5,FALSE)-VLOOKUP($B49,'SegEnds_NonXtal_Prot#'!$A:$AL,4,FALSE),"-")</f>
        <v>28</v>
      </c>
      <c r="D49" s="2">
        <f>IFERROR(50+VLOOKUP($A49,'SegEnds_Xtal_Prot#'!$A:$AY,7,FALSE)-VLOOKUP($B49,'SegEnds_NonXtal_Prot#'!$A:$AL,4,FALSE),"-")</f>
        <v>60</v>
      </c>
      <c r="E49" s="2">
        <f>IFERROR(50+VLOOKUP($A49,'SegEnds_Xtal_Prot#'!$A:$AY,9,FALSE)-VLOOKUP($B49,'SegEnds_NonXtal_Prot#'!$A:$AL,7,FALSE),"-")</f>
        <v>48</v>
      </c>
      <c r="F49" s="2">
        <f>IFERROR(50+VLOOKUP($A49,'SegEnds_Xtal_Prot#'!$A:$AY,11,FALSE)-VLOOKUP($B49,'SegEnds_NonXtal_Prot#'!$A:$AL,7,FALSE),"-")</f>
        <v>51</v>
      </c>
      <c r="G49" s="2">
        <f>IFERROR(50+VLOOKUP($A49,'SegEnds_Xtal_Prot#'!$A:$AY,13,FALSE)-VLOOKUP($B49,'SegEnds_NonXtal_Prot#'!$A:$AL,10,FALSE),"-")</f>
        <v>37</v>
      </c>
      <c r="H49" s="2">
        <f>IFERROR(50+VLOOKUP($A49,'SegEnds_Xtal_Prot#'!$A:$AY,15,FALSE)-VLOOKUP($B49,'SegEnds_NonXtal_Prot#'!$A:$AL,10,FALSE),"-")</f>
        <v>74</v>
      </c>
      <c r="I49" s="2" t="str">
        <f>IFERROR(50+VLOOKUP($A49,'SegEnds_Xtal_Prot#'!$A:$AY,17,FALSE)-VLOOKUP($B49,'SegEnds_NonXtal_Prot#'!$A:$AL,13,FALSE),"-")</f>
        <v>-</v>
      </c>
      <c r="J49" s="2" t="str">
        <f>IFERROR(50+VLOOKUP($A49,'SegEnds_Xtal_Prot#'!$A:$AY,19,FALSE)-VLOOKUP($B49,'SegEnds_NonXtal_Prot#'!$A:$AL,13,FALSE),"-")</f>
        <v>-</v>
      </c>
      <c r="K49" s="2">
        <f>IFERROR(50+VLOOKUP($A49,'SegEnds_Xtal_Prot#'!$A:$AY,21,FALSE)-VLOOKUP($B49,'SegEnds_NonXtal_Prot#'!$A:$AL,16,FALSE),"-")</f>
        <v>23</v>
      </c>
      <c r="L49" s="2">
        <f>IFERROR(50+VLOOKUP($A49,'SegEnds_Xtal_Prot#'!$A:$AY,23,FALSE)-VLOOKUP($B49,'SegEnds_NonXtal_Prot#'!$A:$AL,16,FALSE),"-")</f>
        <v>56</v>
      </c>
      <c r="M49" s="2" t="str">
        <f>IFERROR(50+VLOOKUP($A49,'SegEnds_Xtal_Prot#'!$A:$AY,25,FALSE)-VLOOKUP($B49,'SegEnds_NonXtal_Prot#'!$A:$AL,19,FALSE),"-")</f>
        <v>-</v>
      </c>
      <c r="N49" s="2" t="str">
        <f>IFERROR(50+VLOOKUP($A49,'SegEnds_Xtal_Prot#'!$A:$AY,27,FALSE)-VLOOKUP($B49,'SegEnds_NonXtal_Prot#'!$A:$AL,19,FALSE),"-")</f>
        <v>-</v>
      </c>
      <c r="O49" s="2">
        <f>IFERROR(50+VLOOKUP($A49,'SegEnds_Xtal_Prot#'!$A:$AY,29,FALSE)-VLOOKUP($B49,'SegEnds_NonXtal_Prot#'!$A:$AL,22,FALSE),"-")</f>
        <v>37</v>
      </c>
      <c r="P49" s="2">
        <f>IFERROR(50+VLOOKUP($A49,'SegEnds_Xtal_Prot#'!$A:$AY,31,FALSE)-VLOOKUP($B49,'SegEnds_NonXtal_Prot#'!$A:$AL,22,FALSE),"-")</f>
        <v>68</v>
      </c>
      <c r="Q49" s="2">
        <f>IFERROR(50+VLOOKUP($A49,'SegEnds_Xtal_Prot#'!$A:$AY,33,FALSE)-VLOOKUP($B49,'SegEnds_NonXtal_Prot#'!$A:$AL,25,FALSE),"-")</f>
        <v>50</v>
      </c>
      <c r="R49" s="2">
        <f>IFERROR(50+VLOOKUP($A49,'SegEnds_Xtal_Prot#'!$A:$AY,35,FALSE)-VLOOKUP($B49,'SegEnds_NonXtal_Prot#'!$A:$AL,25,FALSE),"-")</f>
        <v>52</v>
      </c>
      <c r="S49" s="2">
        <f>IFERROR(50+VLOOKUP($A49,'SegEnds_Xtal_Prot#'!$A:$AY,37,FALSE)-VLOOKUP($B49,'SegEnds_NonXtal_Prot#'!$A:$AL,28,FALSE),"-")</f>
        <v>36</v>
      </c>
      <c r="T49" s="2">
        <f>IFERROR(50+VLOOKUP($A49,'SegEnds_Xtal_Prot#'!$A:$AY,39,FALSE)-VLOOKUP($B49,'SegEnds_NonXtal_Prot#'!$A:$AL,28,FALSE),"-")</f>
        <v>71</v>
      </c>
      <c r="U49" s="2">
        <f>IFERROR(50+VLOOKUP($A49,'SegEnds_Xtal_Prot#'!$A:$AY,41,FALSE)-VLOOKUP($B49,'SegEnds_NonXtal_Prot#'!$A:$AL,31,FALSE),"-")</f>
        <v>30</v>
      </c>
      <c r="V49" s="2">
        <f>IFERROR(50+VLOOKUP($A49,'SegEnds_Xtal_Prot#'!$A:$AY,43,FALSE)-VLOOKUP($B49,'SegEnds_NonXtal_Prot#'!$A:$AL,31,FALSE),"-")</f>
        <v>53</v>
      </c>
      <c r="W49" s="2">
        <f>IFERROR(50+VLOOKUP($A49,'SegEnds_Xtal_Prot#'!$A:$AY,45,FALSE)-VLOOKUP($B49,'SegEnds_NonXtal_Prot#'!$A:$AL,34,FALSE),"-")</f>
        <v>30</v>
      </c>
      <c r="X49" s="2">
        <f>IFERROR(50+VLOOKUP($A49,'SegEnds_Xtal_Prot#'!$A:$AY,47,FALSE)-VLOOKUP($B49,'SegEnds_NonXtal_Prot#'!$A:$AL,34,FALSE),"-")</f>
        <v>56</v>
      </c>
      <c r="Y49" s="2">
        <f>IFERROR(50+VLOOKUP($A49,'SegEnds_Xtal_Prot#'!$A:$AY,49,FALSE)-VLOOKUP($B49,'SegEnds_NonXtal_Prot#'!$A:$AL,37,FALSE),"-")</f>
        <v>47</v>
      </c>
      <c r="Z49" s="2">
        <f>IFERROR(50+VLOOKUP($A49,'SegEnds_Xtal_Prot#'!$A:$AY,51,FALSE)-VLOOKUP($B49,'SegEnds_NonXtal_Prot#'!$A:$AL,37,FALSE),"-")</f>
        <v>72</v>
      </c>
      <c r="AA49" s="49" t="str">
        <f>VLOOKUP(B49,Classification!A:D,2,FALSE)</f>
        <v>B1</v>
      </c>
      <c r="AB49" s="94" t="str">
        <f>VLOOKUP(B49,Classification!A:D,4,0)</f>
        <v>Glucagonreceptorfamily</v>
      </c>
      <c r="AC49" s="49">
        <f>VLOOKUP(B49,'SegEnds_NonXtal_Prot#'!A:AL,6,FALSE)-VLOOKUP(B49,'SegEnds_NonXtal_Prot#'!A:AL,5,FALSE)</f>
        <v>1</v>
      </c>
      <c r="AD49" s="49">
        <f>VLOOKUP(B49,'SegEnds_NonXtal_Prot#'!A:AL,9,FALSE)-VLOOKUP(B49,'SegEnds_NonXtal_Prot#'!A:AL,8,FALSE)</f>
        <v>1</v>
      </c>
      <c r="AE49" s="49" t="e">
        <f>VLOOKUP(B49,'SegEnds_NonXtal_Prot#'!A:AL,13,FALSE)-VLOOKUP(B49,'SegEnds_NonXtal_Prot#'!A:AL,10,FALSE)</f>
        <v>#VALUE!</v>
      </c>
      <c r="AF49" s="49" t="e">
        <f>VLOOKUP(B49,'SegEnds_NonXtal_Prot#'!A:AL,12,FALSE)-VLOOKUP(B49,'SegEnds_NonXtal_Prot#'!A:AL,11,FALSE)</f>
        <v>#VALUE!</v>
      </c>
      <c r="AG49" s="49" t="e">
        <f>VLOOKUP(B49,'SegEnds_NonXtal_Prot#'!A:AL,13,FALSE)-VLOOKUP(B49,'SegEnds_NonXtal_Prot#'!A:AL,11,FALSE)</f>
        <v>#VALUE!</v>
      </c>
      <c r="AH49" s="49">
        <f>VLOOKUP(B49,'SegEnds_NonXtal_Prot#'!A:AL,16,FALSE)-VLOOKUP(B49,'SegEnds_NonXtal_Prot#'!A:AL,10,FALSE)</f>
        <v>64</v>
      </c>
      <c r="AI49" s="49">
        <f>VLOOKUP(B49,'SegEnds_NonXtal_Prot#'!A:AL,16,FALSE)-VLOOKUP(B49,'SegEnds_NonXtal_Prot#'!A:AL,11,FALSE)</f>
        <v>40</v>
      </c>
      <c r="AJ49" s="49" t="e">
        <f>VLOOKUP(B49,'SegEnds_NonXtal_Prot#'!A:AL,22,FALSE)-VLOOKUP(B49,'SegEnds_NonXtal_Prot#'!A:AL,19,FALSE)</f>
        <v>#VALUE!</v>
      </c>
      <c r="AK49" s="49" t="e">
        <f>VLOOKUP(B49,'SegEnds_NonXtal_Prot#'!A:AL,15,FALSE)-VLOOKUP(B49,'SegEnds_NonXtal_Prot#'!A:AL,14,FALSE)</f>
        <v>#VALUE!</v>
      </c>
      <c r="AL49" s="49" t="e">
        <f>VLOOKUP(B49,'SegEnds_NonXtal_Prot#'!A:AL,18,FALSE)-VLOOKUP(B49,'SegEnds_NonXtal_Prot#'!A:AL,17,FALSE)</f>
        <v>#VALUE!</v>
      </c>
      <c r="AM49" s="2">
        <f>VLOOKUP(B49,'SegEnds_NonXtal_Prot#'!A:AL,34,FALSE)-VLOOKUP(B49,'SegEnds_NonXtal_Prot#'!A:AL,31,FALSE)</f>
        <v>33</v>
      </c>
      <c r="AN49" s="37"/>
    </row>
    <row r="50" spans="1:40" s="2" customFormat="1" x14ac:dyDescent="0.2">
      <c r="A50" s="2" t="str">
        <f t="shared" si="0"/>
        <v>grm5_human__wt</v>
      </c>
      <c r="B50" s="2" t="s">
        <v>41</v>
      </c>
      <c r="C50" s="2">
        <f>IFERROR(50+VLOOKUP($A50,'SegEnds_Xtal_Prot#'!$A:$AY,5,FALSE)-VLOOKUP($B50,'SegEnds_NonXtal_Prot#'!$A:$AL,4,FALSE),"-")</f>
        <v>34</v>
      </c>
      <c r="D50" s="2">
        <f>IFERROR(50+VLOOKUP($A50,'SegEnds_Xtal_Prot#'!$A:$AY,7,FALSE)-VLOOKUP($B50,'SegEnds_NonXtal_Prot#'!$A:$AL,4,FALSE),"-")</f>
        <v>60</v>
      </c>
      <c r="E50" s="2">
        <f>IFERROR(50+VLOOKUP($A50,'SegEnds_Xtal_Prot#'!$A:$AY,9,FALSE)-VLOOKUP($B50,'SegEnds_NonXtal_Prot#'!$A:$AL,7,FALSE),"-")</f>
        <v>47</v>
      </c>
      <c r="F50" s="2">
        <f>IFERROR(50+VLOOKUP($A50,'SegEnds_Xtal_Prot#'!$A:$AY,11,FALSE)-VLOOKUP($B50,'SegEnds_NonXtal_Prot#'!$A:$AL,7,FALSE),"-")</f>
        <v>53</v>
      </c>
      <c r="G50" s="2">
        <f>IFERROR(50+VLOOKUP($A50,'SegEnds_Xtal_Prot#'!$A:$AY,13,FALSE)-VLOOKUP($B50,'SegEnds_NonXtal_Prot#'!$A:$AL,10,FALSE),"-")</f>
        <v>39</v>
      </c>
      <c r="H50" s="2">
        <f>IFERROR(50+VLOOKUP($A50,'SegEnds_Xtal_Prot#'!$A:$AY,15,FALSE)-VLOOKUP($B50,'SegEnds_NonXtal_Prot#'!$A:$AL,10,FALSE),"-")</f>
        <v>61</v>
      </c>
      <c r="I50" s="2" t="str">
        <f>IFERROR(50+VLOOKUP($A50,'SegEnds_Xtal_Prot#'!$A:$AY,17,FALSE)-VLOOKUP($B50,'SegEnds_NonXtal_Prot#'!$A:$AL,13,FALSE),"-")</f>
        <v>-</v>
      </c>
      <c r="J50" s="2" t="str">
        <f>IFERROR(50+VLOOKUP($A50,'SegEnds_Xtal_Prot#'!$A:$AY,19,FALSE)-VLOOKUP($B50,'SegEnds_NonXtal_Prot#'!$A:$AL,13,FALSE),"-")</f>
        <v>-</v>
      </c>
      <c r="K50" s="2">
        <f>IFERROR(50+VLOOKUP($A50,'SegEnds_Xtal_Prot#'!$A:$AY,21,FALSE)-VLOOKUP($B50,'SegEnds_NonXtal_Prot#'!$A:$AL,16,FALSE),"-")</f>
        <v>21</v>
      </c>
      <c r="L50" s="2">
        <f>IFERROR(50+VLOOKUP($A50,'SegEnds_Xtal_Prot#'!$A:$AY,23,FALSE)-VLOOKUP($B50,'SegEnds_NonXtal_Prot#'!$A:$AL,16,FALSE),"-")</f>
        <v>54</v>
      </c>
      <c r="M50" s="2" t="str">
        <f>IFERROR(50+VLOOKUP($A50,'SegEnds_Xtal_Prot#'!$A:$AY,25,FALSE)-VLOOKUP($B50,'SegEnds_NonXtal_Prot#'!$A:$AL,19,FALSE),"-")</f>
        <v>-</v>
      </c>
      <c r="N50" s="2" t="str">
        <f>IFERROR(50+VLOOKUP($A50,'SegEnds_Xtal_Prot#'!$A:$AY,27,FALSE)-VLOOKUP($B50,'SegEnds_NonXtal_Prot#'!$A:$AL,19,FALSE),"-")</f>
        <v>-</v>
      </c>
      <c r="O50" s="2">
        <f>IFERROR(50+VLOOKUP($A50,'SegEnds_Xtal_Prot#'!$A:$AY,29,FALSE)-VLOOKUP($B50,'SegEnds_NonXtal_Prot#'!$A:$AL,22,FALSE),"-")</f>
        <v>38</v>
      </c>
      <c r="P50" s="2">
        <f>IFERROR(50+VLOOKUP($A50,'SegEnds_Xtal_Prot#'!$A:$AY,31,FALSE)-VLOOKUP($B50,'SegEnds_NonXtal_Prot#'!$A:$AL,22,FALSE),"-")</f>
        <v>64</v>
      </c>
      <c r="Q50" s="2">
        <f>IFERROR(50+VLOOKUP($A50,'SegEnds_Xtal_Prot#'!$A:$AY,33,FALSE)-VLOOKUP($B50,'SegEnds_NonXtal_Prot#'!$A:$AL,25,FALSE),"-")</f>
        <v>50</v>
      </c>
      <c r="R50" s="2">
        <f>IFERROR(50+VLOOKUP($A50,'SegEnds_Xtal_Prot#'!$A:$AY,35,FALSE)-VLOOKUP($B50,'SegEnds_NonXtal_Prot#'!$A:$AL,25,FALSE),"-")</f>
        <v>52</v>
      </c>
      <c r="S50" s="2">
        <f>IFERROR(50+VLOOKUP($A50,'SegEnds_Xtal_Prot#'!$A:$AY,37,FALSE)-VLOOKUP($B50,'SegEnds_NonXtal_Prot#'!$A:$AL,28,FALSE),"-")</f>
        <v>36</v>
      </c>
      <c r="T50" s="2">
        <f>IFERROR(50+VLOOKUP($A50,'SegEnds_Xtal_Prot#'!$A:$AY,39,FALSE)-VLOOKUP($B50,'SegEnds_NonXtal_Prot#'!$A:$AL,28,FALSE),"-")</f>
        <v>61</v>
      </c>
      <c r="U50" s="2">
        <f>IFERROR(50+VLOOKUP($A50,'SegEnds_Xtal_Prot#'!$A:$AY,41,FALSE)-VLOOKUP($B50,'SegEnds_NonXtal_Prot#'!$A:$AL,31,FALSE),"-")</f>
        <v>33</v>
      </c>
      <c r="V50" s="2">
        <f>IFERROR(50+VLOOKUP($A50,'SegEnds_Xtal_Prot#'!$A:$AY,43,FALSE)-VLOOKUP($B50,'SegEnds_NonXtal_Prot#'!$A:$AL,31,FALSE),"-")</f>
        <v>57</v>
      </c>
      <c r="W50" s="2">
        <f>IFERROR(50+VLOOKUP($A50,'SegEnds_Xtal_Prot#'!$A:$AY,45,FALSE)-VLOOKUP($B50,'SegEnds_NonXtal_Prot#'!$A:$AL,34,FALSE),"-")</f>
        <v>33</v>
      </c>
      <c r="X50" s="2">
        <f>IFERROR(50+VLOOKUP($A50,'SegEnds_Xtal_Prot#'!$A:$AY,47,FALSE)-VLOOKUP($B50,'SegEnds_NonXtal_Prot#'!$A:$AL,34,FALSE),"-")</f>
        <v>64</v>
      </c>
      <c r="Y50" s="2">
        <f>IFERROR(50+VLOOKUP($A50,'SegEnds_Xtal_Prot#'!$A:$AY,49,FALSE)-VLOOKUP($B50,'SegEnds_NonXtal_Prot#'!$A:$AL,37,FALSE),"-")</f>
        <v>46</v>
      </c>
      <c r="Z50" s="2">
        <f>IFERROR(50+VLOOKUP($A50,'SegEnds_Xtal_Prot#'!$A:$AY,51,FALSE)-VLOOKUP($B50,'SegEnds_NonXtal_Prot#'!$A:$AL,37,FALSE),"-")</f>
        <v>57</v>
      </c>
      <c r="AA50" s="49" t="str">
        <f>VLOOKUP(B50,Classification!A:D,2,FALSE)</f>
        <v>C</v>
      </c>
      <c r="AB50" s="94" t="str">
        <f>VLOOKUP(B50,Classification!A:D,4,0)</f>
        <v>Metabotropicglutamate</v>
      </c>
      <c r="AC50" s="49">
        <f>VLOOKUP(B50,'SegEnds_NonXtal_Prot#'!A:AL,6,FALSE)-VLOOKUP(B50,'SegEnds_NonXtal_Prot#'!A:AL,5,FALSE)</f>
        <v>3</v>
      </c>
      <c r="AD50" s="49">
        <f>VLOOKUP(B50,'SegEnds_NonXtal_Prot#'!A:AL,9,FALSE)-VLOOKUP(B50,'SegEnds_NonXtal_Prot#'!A:AL,8,FALSE)</f>
        <v>1</v>
      </c>
      <c r="AE50" s="49" t="e">
        <f>VLOOKUP(B50,'SegEnds_NonXtal_Prot#'!A:AL,13,FALSE)-VLOOKUP(B50,'SegEnds_NonXtal_Prot#'!A:AL,10,FALSE)</f>
        <v>#VALUE!</v>
      </c>
      <c r="AF50" s="49" t="e">
        <f>VLOOKUP(B50,'SegEnds_NonXtal_Prot#'!A:AL,12,FALSE)-VLOOKUP(B50,'SegEnds_NonXtal_Prot#'!A:AL,11,FALSE)</f>
        <v>#VALUE!</v>
      </c>
      <c r="AG50" s="49" t="e">
        <f>VLOOKUP(B50,'SegEnds_NonXtal_Prot#'!A:AL,13,FALSE)-VLOOKUP(B50,'SegEnds_NonXtal_Prot#'!A:AL,11,FALSE)</f>
        <v>#VALUE!</v>
      </c>
      <c r="AH50" s="49">
        <f>VLOOKUP(B50,'SegEnds_NonXtal_Prot#'!A:AL,16,FALSE)-VLOOKUP(B50,'SegEnds_NonXtal_Prot#'!A:AL,10,FALSE)</f>
        <v>44</v>
      </c>
      <c r="AI50" s="49">
        <f>VLOOKUP(B50,'SegEnds_NonXtal_Prot#'!A:AL,16,FALSE)-VLOOKUP(B50,'SegEnds_NonXtal_Prot#'!A:AL,11,FALSE)</f>
        <v>33</v>
      </c>
      <c r="AJ50" s="49" t="e">
        <f>VLOOKUP(B50,'SegEnds_NonXtal_Prot#'!A:AL,22,FALSE)-VLOOKUP(B50,'SegEnds_NonXtal_Prot#'!A:AL,19,FALSE)</f>
        <v>#VALUE!</v>
      </c>
      <c r="AK50" s="49" t="e">
        <f>VLOOKUP(B50,'SegEnds_NonXtal_Prot#'!A:AL,15,FALSE)-VLOOKUP(B50,'SegEnds_NonXtal_Prot#'!A:AL,14,FALSE)</f>
        <v>#VALUE!</v>
      </c>
      <c r="AL50" s="49" t="e">
        <f>VLOOKUP(B50,'SegEnds_NonXtal_Prot#'!A:AL,18,FALSE)-VLOOKUP(B50,'SegEnds_NonXtal_Prot#'!A:AL,17,FALSE)</f>
        <v>#VALUE!</v>
      </c>
      <c r="AM50" s="2">
        <f>VLOOKUP(B50,'SegEnds_NonXtal_Prot#'!A:AL,34,FALSE)-VLOOKUP(B50,'SegEnds_NonXtal_Prot#'!A:AL,31,FALSE)</f>
        <v>27</v>
      </c>
      <c r="AN50" s="37"/>
    </row>
    <row r="51" spans="1:40" s="2" customFormat="1" x14ac:dyDescent="0.2">
      <c r="A51" s="2" t="str">
        <f t="shared" si="0"/>
        <v>grm1_human__wt</v>
      </c>
      <c r="B51" s="2" t="s">
        <v>40</v>
      </c>
      <c r="C51" s="2">
        <f>IFERROR(50+VLOOKUP($A51,'SegEnds_Xtal_Prot#'!$A:$AY,5,FALSE)-VLOOKUP($B51,'SegEnds_NonXtal_Prot#'!$A:$AL,4,FALSE),"-")</f>
        <v>34</v>
      </c>
      <c r="D51" s="2">
        <f>IFERROR(50+VLOOKUP($A51,'SegEnds_Xtal_Prot#'!$A:$AY,7,FALSE)-VLOOKUP($B51,'SegEnds_NonXtal_Prot#'!$A:$AL,4,FALSE),"-")</f>
        <v>60</v>
      </c>
      <c r="E51" s="2">
        <f>IFERROR(50+VLOOKUP($A51,'SegEnds_Xtal_Prot#'!$A:$AY,9,FALSE)-VLOOKUP($B51,'SegEnds_NonXtal_Prot#'!$A:$AL,7,FALSE),"-")</f>
        <v>47</v>
      </c>
      <c r="F51" s="2">
        <f>IFERROR(50+VLOOKUP($A51,'SegEnds_Xtal_Prot#'!$A:$AY,11,FALSE)-VLOOKUP($B51,'SegEnds_NonXtal_Prot#'!$A:$AL,7,FALSE),"-")</f>
        <v>53</v>
      </c>
      <c r="G51" s="2">
        <f>IFERROR(50+VLOOKUP($A51,'SegEnds_Xtal_Prot#'!$A:$AY,13,FALSE)-VLOOKUP($B51,'SegEnds_NonXtal_Prot#'!$A:$AL,10,FALSE),"-")</f>
        <v>39</v>
      </c>
      <c r="H51" s="2">
        <f>IFERROR(50+VLOOKUP($A51,'SegEnds_Xtal_Prot#'!$A:$AY,15,FALSE)-VLOOKUP($B51,'SegEnds_NonXtal_Prot#'!$A:$AL,10,FALSE),"-")</f>
        <v>61</v>
      </c>
      <c r="I51" s="2" t="str">
        <f>IFERROR(50+VLOOKUP($A51,'SegEnds_Xtal_Prot#'!$A:$AY,17,FALSE)-VLOOKUP($B51,'SegEnds_NonXtal_Prot#'!$A:$AL,13,FALSE),"-")</f>
        <v>-</v>
      </c>
      <c r="J51" s="2" t="str">
        <f>IFERROR(50+VLOOKUP($A51,'SegEnds_Xtal_Prot#'!$A:$AY,19,FALSE)-VLOOKUP($B51,'SegEnds_NonXtal_Prot#'!$A:$AL,13,FALSE),"-")</f>
        <v>-</v>
      </c>
      <c r="K51" s="2">
        <f>IFERROR(50+VLOOKUP($A51,'SegEnds_Xtal_Prot#'!$A:$AY,21,FALSE)-VLOOKUP($B51,'SegEnds_NonXtal_Prot#'!$A:$AL,16,FALSE),"-")</f>
        <v>22</v>
      </c>
      <c r="L51" s="2">
        <f>IFERROR(50+VLOOKUP($A51,'SegEnds_Xtal_Prot#'!$A:$AY,23,FALSE)-VLOOKUP($B51,'SegEnds_NonXtal_Prot#'!$A:$AL,16,FALSE),"-")</f>
        <v>54</v>
      </c>
      <c r="M51" s="2" t="str">
        <f>IFERROR(50+VLOOKUP($A51,'SegEnds_Xtal_Prot#'!$A:$AY,25,FALSE)-VLOOKUP($B51,'SegEnds_NonXtal_Prot#'!$A:$AL,19,FALSE),"-")</f>
        <v>-</v>
      </c>
      <c r="N51" s="2" t="str">
        <f>IFERROR(50+VLOOKUP($A51,'SegEnds_Xtal_Prot#'!$A:$AY,27,FALSE)-VLOOKUP($B51,'SegEnds_NonXtal_Prot#'!$A:$AL,19,FALSE),"-")</f>
        <v>-</v>
      </c>
      <c r="O51" s="2">
        <f>IFERROR(50+VLOOKUP($A51,'SegEnds_Xtal_Prot#'!$A:$AY,29,FALSE)-VLOOKUP($B51,'SegEnds_NonXtal_Prot#'!$A:$AL,22,FALSE),"-")</f>
        <v>38</v>
      </c>
      <c r="P51" s="2">
        <f>IFERROR(50+VLOOKUP($A51,'SegEnds_Xtal_Prot#'!$A:$AY,31,FALSE)-VLOOKUP($B51,'SegEnds_NonXtal_Prot#'!$A:$AL,22,FALSE),"-")</f>
        <v>64</v>
      </c>
      <c r="Q51" s="2">
        <f>IFERROR(50+VLOOKUP($A51,'SegEnds_Xtal_Prot#'!$A:$AY,33,FALSE)-VLOOKUP($B51,'SegEnds_NonXtal_Prot#'!$A:$AL,25,FALSE),"-")</f>
        <v>50</v>
      </c>
      <c r="R51" s="2">
        <f>IFERROR(50+VLOOKUP($A51,'SegEnds_Xtal_Prot#'!$A:$AY,35,FALSE)-VLOOKUP($B51,'SegEnds_NonXtal_Prot#'!$A:$AL,25,FALSE),"-")</f>
        <v>52</v>
      </c>
      <c r="S51" s="2">
        <f>IFERROR(50+VLOOKUP($A51,'SegEnds_Xtal_Prot#'!$A:$AY,37,FALSE)-VLOOKUP($B51,'SegEnds_NonXtal_Prot#'!$A:$AL,28,FALSE),"-")</f>
        <v>36</v>
      </c>
      <c r="T51" s="2">
        <f>IFERROR(50+VLOOKUP($A51,'SegEnds_Xtal_Prot#'!$A:$AY,39,FALSE)-VLOOKUP($B51,'SegEnds_NonXtal_Prot#'!$A:$AL,28,FALSE),"-")</f>
        <v>61</v>
      </c>
      <c r="U51" s="2">
        <f>IFERROR(50+VLOOKUP($A51,'SegEnds_Xtal_Prot#'!$A:$AY,41,FALSE)-VLOOKUP($B51,'SegEnds_NonXtal_Prot#'!$A:$AL,31,FALSE),"-")</f>
        <v>33</v>
      </c>
      <c r="V51" s="2">
        <f>IFERROR(50+VLOOKUP($A51,'SegEnds_Xtal_Prot#'!$A:$AY,43,FALSE)-VLOOKUP($B51,'SegEnds_NonXtal_Prot#'!$A:$AL,31,FALSE),"-")</f>
        <v>57</v>
      </c>
      <c r="W51" s="2">
        <f>IFERROR(50+VLOOKUP($A51,'SegEnds_Xtal_Prot#'!$A:$AY,45,FALSE)-VLOOKUP($B51,'SegEnds_NonXtal_Prot#'!$A:$AL,34,FALSE),"-")</f>
        <v>33</v>
      </c>
      <c r="X51" s="2">
        <f>IFERROR(50+VLOOKUP($A51,'SegEnds_Xtal_Prot#'!$A:$AY,47,FALSE)-VLOOKUP($B51,'SegEnds_NonXtal_Prot#'!$A:$AL,34,FALSE),"-")</f>
        <v>64</v>
      </c>
      <c r="Y51" s="2">
        <f>IFERROR(50+VLOOKUP($A51,'SegEnds_Xtal_Prot#'!$A:$AY,49,FALSE)-VLOOKUP($B51,'SegEnds_NonXtal_Prot#'!$A:$AL,37,FALSE),"-")</f>
        <v>46</v>
      </c>
      <c r="Z51" s="2">
        <f>IFERROR(50+VLOOKUP($A51,'SegEnds_Xtal_Prot#'!$A:$AY,51,FALSE)-VLOOKUP($B51,'SegEnds_NonXtal_Prot#'!$A:$AL,37,FALSE),"-")</f>
        <v>57</v>
      </c>
      <c r="AA51" s="49" t="str">
        <f>VLOOKUP(B51,Classification!A:D,2,FALSE)</f>
        <v>C</v>
      </c>
      <c r="AB51" s="94" t="str">
        <f>VLOOKUP(B51,Classification!A:D,4,0)</f>
        <v>Metabotropicglutamate</v>
      </c>
      <c r="AC51" s="49">
        <f>VLOOKUP(B51,'SegEnds_NonXtal_Prot#'!A:AL,6,FALSE)-VLOOKUP(B51,'SegEnds_NonXtal_Prot#'!A:AL,5,FALSE)</f>
        <v>3</v>
      </c>
      <c r="AD51" s="49">
        <f>VLOOKUP(B51,'SegEnds_NonXtal_Prot#'!A:AL,9,FALSE)-VLOOKUP(B51,'SegEnds_NonXtal_Prot#'!A:AL,8,FALSE)</f>
        <v>1</v>
      </c>
      <c r="AE51" s="49" t="e">
        <f>VLOOKUP(B51,'SegEnds_NonXtal_Prot#'!A:AL,13,FALSE)-VLOOKUP(B51,'SegEnds_NonXtal_Prot#'!A:AL,10,FALSE)</f>
        <v>#VALUE!</v>
      </c>
      <c r="AF51" s="49" t="e">
        <f>VLOOKUP(B51,'SegEnds_NonXtal_Prot#'!A:AL,12,FALSE)-VLOOKUP(B51,'SegEnds_NonXtal_Prot#'!A:AL,11,FALSE)</f>
        <v>#VALUE!</v>
      </c>
      <c r="AG51" s="49" t="e">
        <f>VLOOKUP(B51,'SegEnds_NonXtal_Prot#'!A:AL,13,FALSE)-VLOOKUP(B51,'SegEnds_NonXtal_Prot#'!A:AL,11,FALSE)</f>
        <v>#VALUE!</v>
      </c>
      <c r="AH51" s="49">
        <f>VLOOKUP(B51,'SegEnds_NonXtal_Prot#'!A:AL,16,FALSE)-VLOOKUP(B51,'SegEnds_NonXtal_Prot#'!A:AL,10,FALSE)</f>
        <v>44</v>
      </c>
      <c r="AI51" s="49">
        <f>VLOOKUP(B51,'SegEnds_NonXtal_Prot#'!A:AL,16,FALSE)-VLOOKUP(B51,'SegEnds_NonXtal_Prot#'!A:AL,11,FALSE)</f>
        <v>33</v>
      </c>
      <c r="AJ51" s="49" t="e">
        <f>VLOOKUP(B51,'SegEnds_NonXtal_Prot#'!A:AL,22,FALSE)-VLOOKUP(B51,'SegEnds_NonXtal_Prot#'!A:AL,19,FALSE)</f>
        <v>#VALUE!</v>
      </c>
      <c r="AK51" s="49" t="e">
        <f>VLOOKUP(B51,'SegEnds_NonXtal_Prot#'!A:AL,15,FALSE)-VLOOKUP(B51,'SegEnds_NonXtal_Prot#'!A:AL,14,FALSE)</f>
        <v>#VALUE!</v>
      </c>
      <c r="AL51" s="49" t="e">
        <f>VLOOKUP(B51,'SegEnds_NonXtal_Prot#'!A:AL,18,FALSE)-VLOOKUP(B51,'SegEnds_NonXtal_Prot#'!A:AL,17,FALSE)</f>
        <v>#VALUE!</v>
      </c>
      <c r="AM51" s="2">
        <f>VLOOKUP(B51,'SegEnds_NonXtal_Prot#'!A:AL,34,FALSE)-VLOOKUP(B51,'SegEnds_NonXtal_Prot#'!A:AL,31,FALSE)</f>
        <v>27</v>
      </c>
      <c r="AN51" s="37"/>
    </row>
    <row r="52" spans="1:40" x14ac:dyDescent="0.2">
      <c r="A52" s="2" t="str">
        <f t="shared" si="0"/>
        <v>smo_human__wt</v>
      </c>
      <c r="B52" s="2" t="s">
        <v>33</v>
      </c>
      <c r="C52" s="2">
        <f>IFERROR(50+VLOOKUP($A52,'SegEnds_Xtal_Prot#'!$A:$AY,5,FALSE)-VLOOKUP($B52,'SegEnds_NonXtal_Prot#'!$A:$AL,4,FALSE),"-")</f>
        <v>28</v>
      </c>
      <c r="D52" s="2">
        <f>IFERROR(50+VLOOKUP($A52,'SegEnds_Xtal_Prot#'!$A:$AY,7,FALSE)-VLOOKUP($B52,'SegEnds_NonXtal_Prot#'!$A:$AL,4,FALSE),"-")</f>
        <v>60</v>
      </c>
      <c r="E52" s="2">
        <f>IFERROR(50+VLOOKUP($A52,'SegEnds_Xtal_Prot#'!$A:$AY,9,FALSE)-VLOOKUP($B52,'SegEnds_NonXtal_Prot#'!$A:$AL,7,FALSE),"-")</f>
        <v>47</v>
      </c>
      <c r="F52" s="2">
        <f>IFERROR(50+VLOOKUP($A52,'SegEnds_Xtal_Prot#'!$A:$AY,11,FALSE)-VLOOKUP($B52,'SegEnds_NonXtal_Prot#'!$A:$AL,7,FALSE),"-")</f>
        <v>51</v>
      </c>
      <c r="G52" s="2">
        <f>IFERROR(50+VLOOKUP($A52,'SegEnds_Xtal_Prot#'!$A:$AY,13,FALSE)-VLOOKUP($B52,'SegEnds_NonXtal_Prot#'!$A:$AL,10,FALSE),"-")</f>
        <v>39</v>
      </c>
      <c r="H52" s="2">
        <f>IFERROR(50+VLOOKUP($A52,'SegEnds_Xtal_Prot#'!$A:$AY,15,FALSE)-VLOOKUP($B52,'SegEnds_NonXtal_Prot#'!$A:$AL,10,FALSE),"-")</f>
        <v>63</v>
      </c>
      <c r="I52" s="2" t="str">
        <f>IFERROR(50+VLOOKUP($A52,'SegEnds_Xtal_Prot#'!$A:$AY,17,FALSE)-VLOOKUP($B52,'SegEnds_NonXtal_Prot#'!$A:$AL,13,FALSE),"-")</f>
        <v>-</v>
      </c>
      <c r="J52" s="2" t="str">
        <f>IFERROR(50+VLOOKUP($A52,'SegEnds_Xtal_Prot#'!$A:$AY,19,FALSE)-VLOOKUP($B52,'SegEnds_NonXtal_Prot#'!$A:$AL,13,FALSE),"-")</f>
        <v>-</v>
      </c>
      <c r="K52" s="2">
        <f>IFERROR(50+VLOOKUP($A52,'SegEnds_Xtal_Prot#'!$A:$AY,21,FALSE)-VLOOKUP($B52,'SegEnds_NonXtal_Prot#'!$A:$AL,16,FALSE),"-")</f>
        <v>23</v>
      </c>
      <c r="L52" s="2">
        <f>IFERROR(50+VLOOKUP($A52,'SegEnds_Xtal_Prot#'!$A:$AY,23,FALSE)-VLOOKUP($B52,'SegEnds_NonXtal_Prot#'!$A:$AL,16,FALSE),"-")</f>
        <v>56</v>
      </c>
      <c r="M52" s="2" t="str">
        <f>IFERROR(50+VLOOKUP($A52,'SegEnds_Xtal_Prot#'!$A:$AY,25,FALSE)-VLOOKUP($B52,'SegEnds_NonXtal_Prot#'!$A:$AL,19,FALSE),"-")</f>
        <v>-</v>
      </c>
      <c r="N52" s="2" t="str">
        <f>IFERROR(50+VLOOKUP($A52,'SegEnds_Xtal_Prot#'!$A:$AY,27,FALSE)-VLOOKUP($B52,'SegEnds_NonXtal_Prot#'!$A:$AL,19,FALSE),"-")</f>
        <v>-</v>
      </c>
      <c r="O52" s="2">
        <f>IFERROR(50+VLOOKUP($A52,'SegEnds_Xtal_Prot#'!$A:$AY,29,FALSE)-VLOOKUP($B52,'SegEnds_NonXtal_Prot#'!$A:$AL,22,FALSE),"-")</f>
        <v>41</v>
      </c>
      <c r="P52" s="2">
        <f>IFERROR(50+VLOOKUP($A52,'SegEnds_Xtal_Prot#'!$A:$AY,31,FALSE)-VLOOKUP($B52,'SegEnds_NonXtal_Prot#'!$A:$AL,22,FALSE),"-")</f>
        <v>64</v>
      </c>
      <c r="Q52" s="2">
        <f>IFERROR(50+VLOOKUP($A52,'SegEnds_Xtal_Prot#'!$A:$AY,33,FALSE)-VLOOKUP($B52,'SegEnds_NonXtal_Prot#'!$A:$AL,25,FALSE),"-")</f>
        <v>50</v>
      </c>
      <c r="R52" s="2">
        <f>IFERROR(50+VLOOKUP($A52,'SegEnds_Xtal_Prot#'!$A:$AY,35,FALSE)-VLOOKUP($B52,'SegEnds_NonXtal_Prot#'!$A:$AL,25,FALSE),"-")</f>
        <v>52</v>
      </c>
      <c r="S52" s="2">
        <f>IFERROR(50+VLOOKUP($A52,'SegEnds_Xtal_Prot#'!$A:$AY,37,FALSE)-VLOOKUP($B52,'SegEnds_NonXtal_Prot#'!$A:$AL,28,FALSE),"-")</f>
        <v>35</v>
      </c>
      <c r="T52" s="2">
        <f>IFERROR(50+VLOOKUP($A52,'SegEnds_Xtal_Prot#'!$A:$AY,39,FALSE)-VLOOKUP($B52,'SegEnds_NonXtal_Prot#'!$A:$AL,28,FALSE),"-")</f>
        <v>72</v>
      </c>
      <c r="U52" s="2">
        <f>IFERROR(50+VLOOKUP($A52,'SegEnds_Xtal_Prot#'!$A:$AY,41,FALSE)-VLOOKUP($B52,'SegEnds_NonXtal_Prot#'!$A:$AL,31,FALSE),"-")</f>
        <v>20</v>
      </c>
      <c r="V52" s="2">
        <f>IFERROR(50+VLOOKUP($A52,'SegEnds_Xtal_Prot#'!$A:$AY,43,FALSE)-VLOOKUP($B52,'SegEnds_NonXtal_Prot#'!$A:$AL,31,FALSE),"-")</f>
        <v>78</v>
      </c>
      <c r="W52" s="2">
        <f>IFERROR(50+VLOOKUP($A52,'SegEnds_Xtal_Prot#'!$A:$AY,45,FALSE)-VLOOKUP($B52,'SegEnds_NonXtal_Prot#'!$A:$AL,34,FALSE),"-")</f>
        <v>34</v>
      </c>
      <c r="X52" s="2">
        <f>IFERROR(50+VLOOKUP($A52,'SegEnds_Xtal_Prot#'!$A:$AY,47,FALSE)-VLOOKUP($B52,'SegEnds_NonXtal_Prot#'!$A:$AL,34,FALSE),"-")</f>
        <v>57</v>
      </c>
      <c r="Y52" s="2">
        <f>IFERROR(50+VLOOKUP($A52,'SegEnds_Xtal_Prot#'!$A:$AY,49,FALSE)-VLOOKUP($B52,'SegEnds_NonXtal_Prot#'!$A:$AL,37,FALSE),"-")</f>
        <v>47</v>
      </c>
      <c r="Z52" s="2">
        <f>IFERROR(50+VLOOKUP($A52,'SegEnds_Xtal_Prot#'!$A:$AY,51,FALSE)-VLOOKUP($B52,'SegEnds_NonXtal_Prot#'!$A:$AL,37,FALSE),"-")</f>
        <v>62</v>
      </c>
      <c r="AA52" s="49" t="str">
        <f>VLOOKUP(B52,Classification!A:D,2,FALSE)</f>
        <v>F</v>
      </c>
      <c r="AB52" s="94" t="str">
        <f>VLOOKUP(B52,Classification!A:D,4,0)</f>
        <v>Frizzled</v>
      </c>
      <c r="AC52" s="49">
        <f>VLOOKUP(B52,'SegEnds_NonXtal_Prot#'!A:AL,6,FALSE)-VLOOKUP(B52,'SegEnds_NonXtal_Prot#'!A:AL,5,FALSE)</f>
        <v>1</v>
      </c>
      <c r="AD52" s="49">
        <f>VLOOKUP(B52,'SegEnds_NonXtal_Prot#'!A:AL,9,FALSE)-VLOOKUP(B52,'SegEnds_NonXtal_Prot#'!A:AL,8,FALSE)</f>
        <v>1</v>
      </c>
      <c r="AE52" s="49" t="e">
        <f>VLOOKUP(B52,'SegEnds_NonXtal_Prot#'!A:AL,13,FALSE)-VLOOKUP(B52,'SegEnds_NonXtal_Prot#'!A:AL,10,FALSE)</f>
        <v>#VALUE!</v>
      </c>
      <c r="AF52" s="49" t="e">
        <f>VLOOKUP(B52,'SegEnds_NonXtal_Prot#'!A:AL,12,FALSE)-VLOOKUP(B52,'SegEnds_NonXtal_Prot#'!A:AL,11,FALSE)</f>
        <v>#VALUE!</v>
      </c>
      <c r="AG52" s="49" t="e">
        <f>VLOOKUP(B52,'SegEnds_NonXtal_Prot#'!A:AL,13,FALSE)-VLOOKUP(B52,'SegEnds_NonXtal_Prot#'!A:AL,11,FALSE)</f>
        <v>#VALUE!</v>
      </c>
      <c r="AH52" s="49">
        <f>VLOOKUP(B52,'SegEnds_NonXtal_Prot#'!A:AL,16,FALSE)-VLOOKUP(B52,'SegEnds_NonXtal_Prot#'!A:AL,10,FALSE)</f>
        <v>67</v>
      </c>
      <c r="AI52" s="49">
        <f>VLOOKUP(B52,'SegEnds_NonXtal_Prot#'!A:AL,16,FALSE)-VLOOKUP(B52,'SegEnds_NonXtal_Prot#'!A:AL,11,FALSE)</f>
        <v>54</v>
      </c>
      <c r="AJ52" s="49" t="e">
        <f>VLOOKUP(B52,'SegEnds_NonXtal_Prot#'!A:AL,22,FALSE)-VLOOKUP(B52,'SegEnds_NonXtal_Prot#'!A:AL,19,FALSE)</f>
        <v>#VALUE!</v>
      </c>
      <c r="AK52" s="49" t="e">
        <f>VLOOKUP(B52,'SegEnds_NonXtal_Prot#'!A:AL,15,FALSE)-VLOOKUP(B52,'SegEnds_NonXtal_Prot#'!A:AL,14,FALSE)</f>
        <v>#VALUE!</v>
      </c>
      <c r="AL52" s="49" t="e">
        <f>VLOOKUP(B52,'SegEnds_NonXtal_Prot#'!A:AL,18,FALSE)-VLOOKUP(B52,'SegEnds_NonXtal_Prot#'!A:AL,17,FALSE)</f>
        <v>#VALUE!</v>
      </c>
      <c r="AM52" s="2">
        <f>VLOOKUP(B52,'SegEnds_NonXtal_Prot#'!A:AL,34,FALSE)-VLOOKUP(B52,'SegEnds_NonXtal_Prot#'!A:AL,31,FALSE)</f>
        <v>62</v>
      </c>
    </row>
    <row r="53" spans="1:40" x14ac:dyDescent="0.2">
      <c r="A53" s="2" t="str">
        <f t="shared" si="0"/>
        <v>q98sw5_xenla__wt</v>
      </c>
      <c r="B53" s="122" t="s">
        <v>1489</v>
      </c>
      <c r="C53" s="2">
        <f>IFERROR(50+VLOOKUP($A53,'SegEnds_Xtal_Prot#'!$A:$AY,5,FALSE)-VLOOKUP($B53,'SegEnds_NonXtal_Prot#'!$A:$AL,4,FALSE),"-")</f>
        <v>28</v>
      </c>
      <c r="D53" s="2">
        <f>IFERROR(50+VLOOKUP($A53,'SegEnds_Xtal_Prot#'!$A:$AY,7,FALSE)-VLOOKUP($B53,'SegEnds_NonXtal_Prot#'!$A:$AL,4,FALSE),"-")</f>
        <v>60</v>
      </c>
      <c r="E53" s="2">
        <f>IFERROR(50+VLOOKUP($A53,'SegEnds_Xtal_Prot#'!$A:$AY,9,FALSE)-VLOOKUP($B53,'SegEnds_NonXtal_Prot#'!$A:$AL,7,FALSE),"-")</f>
        <v>47</v>
      </c>
      <c r="F53" s="2">
        <f>IFERROR(50+VLOOKUP($A53,'SegEnds_Xtal_Prot#'!$A:$AY,11,FALSE)-VLOOKUP($B53,'SegEnds_NonXtal_Prot#'!$A:$AL,7,FALSE),"-")</f>
        <v>51</v>
      </c>
      <c r="G53" s="2">
        <f>IFERROR(50+VLOOKUP($A53,'SegEnds_Xtal_Prot#'!$A:$AY,13,FALSE)-VLOOKUP($B53,'SegEnds_NonXtal_Prot#'!$A:$AL,10,FALSE),"-")</f>
        <v>39</v>
      </c>
      <c r="H53" s="2">
        <f>IFERROR(50+VLOOKUP($A53,'SegEnds_Xtal_Prot#'!$A:$AY,15,FALSE)-VLOOKUP($B53,'SegEnds_NonXtal_Prot#'!$A:$AL,10,FALSE),"-")</f>
        <v>61</v>
      </c>
      <c r="I53" s="2" t="str">
        <f>IFERROR(50+VLOOKUP($A53,'SegEnds_Xtal_Prot#'!$A:$AY,17,FALSE)-VLOOKUP($B53,'SegEnds_NonXtal_Prot#'!$A:$AL,13,FALSE),"-")</f>
        <v>-</v>
      </c>
      <c r="J53" s="2" t="str">
        <f>IFERROR(50+VLOOKUP($A53,'SegEnds_Xtal_Prot#'!$A:$AY,19,FALSE)-VLOOKUP($B53,'SegEnds_NonXtal_Prot#'!$A:$AL,13,FALSE),"-")</f>
        <v>-</v>
      </c>
      <c r="K53" s="2">
        <f>IFERROR(50+VLOOKUP($A53,'SegEnds_Xtal_Prot#'!$A:$AY,21,FALSE)-VLOOKUP($B53,'SegEnds_NonXtal_Prot#'!$A:$AL,16,FALSE),"-")</f>
        <v>23</v>
      </c>
      <c r="L53" s="2">
        <f>IFERROR(50+VLOOKUP($A53,'SegEnds_Xtal_Prot#'!$A:$AY,23,FALSE)-VLOOKUP($B53,'SegEnds_NonXtal_Prot#'!$A:$AL,16,FALSE),"-")</f>
        <v>59</v>
      </c>
      <c r="M53" s="2" t="str">
        <f>IFERROR(50+VLOOKUP($A53,'SegEnds_Xtal_Prot#'!$A:$AY,25,FALSE)-VLOOKUP($B53,'SegEnds_NonXtal_Prot#'!$A:$AL,19,FALSE),"-")</f>
        <v>-</v>
      </c>
      <c r="N53" s="2" t="str">
        <f>IFERROR(50+VLOOKUP($A53,'SegEnds_Xtal_Prot#'!$A:$AY,27,FALSE)-VLOOKUP($B53,'SegEnds_NonXtal_Prot#'!$A:$AL,19,FALSE),"-")</f>
        <v>-</v>
      </c>
      <c r="O53" s="2">
        <f>IFERROR(50+VLOOKUP($A53,'SegEnds_Xtal_Prot#'!$A:$AY,29,FALSE)-VLOOKUP($B53,'SegEnds_NonXtal_Prot#'!$A:$AL,22,FALSE),"-")</f>
        <v>38</v>
      </c>
      <c r="P53" s="2">
        <f>IFERROR(50+VLOOKUP($A53,'SegEnds_Xtal_Prot#'!$A:$AY,31,FALSE)-VLOOKUP($B53,'SegEnds_NonXtal_Prot#'!$A:$AL,22,FALSE),"-")</f>
        <v>63</v>
      </c>
      <c r="Q53" s="2">
        <f>IFERROR(50+VLOOKUP($A53,'SegEnds_Xtal_Prot#'!$A:$AY,33,FALSE)-VLOOKUP($B53,'SegEnds_NonXtal_Prot#'!$A:$AL,25,FALSE),"-")</f>
        <v>50</v>
      </c>
      <c r="R53" s="2">
        <f>IFERROR(50+VLOOKUP($A53,'SegEnds_Xtal_Prot#'!$A:$AY,35,FALSE)-VLOOKUP($B53,'SegEnds_NonXtal_Prot#'!$A:$AL,25,FALSE),"-")</f>
        <v>52</v>
      </c>
      <c r="S53" s="2">
        <f>IFERROR(50+VLOOKUP($A53,'SegEnds_Xtal_Prot#'!$A:$AY,37,FALSE)-VLOOKUP($B53,'SegEnds_NonXtal_Prot#'!$A:$AL,28,FALSE),"-")</f>
        <v>35</v>
      </c>
      <c r="T53" s="2">
        <f>IFERROR(50+VLOOKUP($A53,'SegEnds_Xtal_Prot#'!$A:$AY,39,FALSE)-VLOOKUP($B53,'SegEnds_NonXtal_Prot#'!$A:$AL,28,FALSE),"-")</f>
        <v>72</v>
      </c>
      <c r="U53" s="2">
        <f>IFERROR(50+VLOOKUP($A53,'SegEnds_Xtal_Prot#'!$A:$AY,41,FALSE)-VLOOKUP($B53,'SegEnds_NonXtal_Prot#'!$A:$AL,31,FALSE),"-")</f>
        <v>24</v>
      </c>
      <c r="V53" s="2">
        <f>IFERROR(50+VLOOKUP($A53,'SegEnds_Xtal_Prot#'!$A:$AY,43,FALSE)-VLOOKUP($B53,'SegEnds_NonXtal_Prot#'!$A:$AL,31,FALSE),"-")</f>
        <v>81</v>
      </c>
      <c r="W53" s="2">
        <f>IFERROR(50+VLOOKUP($A53,'SegEnds_Xtal_Prot#'!$A:$AY,45,FALSE)-VLOOKUP($B53,'SegEnds_NonXtal_Prot#'!$A:$AL,34,FALSE),"-")</f>
        <v>34</v>
      </c>
      <c r="X53" s="2">
        <f>IFERROR(50+VLOOKUP($A53,'SegEnds_Xtal_Prot#'!$A:$AY,47,FALSE)-VLOOKUP($B53,'SegEnds_NonXtal_Prot#'!$A:$AL,34,FALSE),"-")</f>
        <v>57</v>
      </c>
      <c r="Y53" s="2">
        <f>IFERROR(50+VLOOKUP($A53,'SegEnds_Xtal_Prot#'!$A:$AY,49,FALSE)-VLOOKUP($B53,'SegEnds_NonXtal_Prot#'!$A:$AL,37,FALSE),"-")</f>
        <v>47</v>
      </c>
      <c r="Z53" s="2">
        <f>IFERROR(50+VLOOKUP($A53,'SegEnds_Xtal_Prot#'!$A:$AY,51,FALSE)-VLOOKUP($B53,'SegEnds_NonXtal_Prot#'!$A:$AL,37,FALSE),"-")</f>
        <v>62</v>
      </c>
      <c r="AA53" s="49" t="str">
        <f>VLOOKUP(B53,Classification!A:D,2,FALSE)</f>
        <v>F</v>
      </c>
      <c r="AB53" s="94" t="str">
        <f>VLOOKUP(B53,Classification!A:D,4,0)</f>
        <v>Frizzled</v>
      </c>
      <c r="AC53" s="49">
        <f>VLOOKUP(B53,'SegEnds_NonXtal_Prot#'!A:AL,6,FALSE)-VLOOKUP(B53,'SegEnds_NonXtal_Prot#'!A:AL,5,FALSE)</f>
        <v>1</v>
      </c>
      <c r="AD53" s="49">
        <f>VLOOKUP(B53,'SegEnds_NonXtal_Prot#'!A:AL,9,FALSE)-VLOOKUP(B53,'SegEnds_NonXtal_Prot#'!A:AL,8,FALSE)</f>
        <v>1</v>
      </c>
      <c r="AE53" s="49" t="e">
        <f>VLOOKUP(B53,'SegEnds_NonXtal_Prot#'!A:AL,13,FALSE)-VLOOKUP(B53,'SegEnds_NonXtal_Prot#'!A:AL,10,FALSE)</f>
        <v>#VALUE!</v>
      </c>
      <c r="AF53" s="49" t="e">
        <f>VLOOKUP(B53,'SegEnds_NonXtal_Prot#'!A:AL,12,FALSE)-VLOOKUP(B53,'SegEnds_NonXtal_Prot#'!A:AL,11,FALSE)</f>
        <v>#VALUE!</v>
      </c>
      <c r="AG53" s="49" t="e">
        <f>VLOOKUP(B53,'SegEnds_NonXtal_Prot#'!A:AL,13,FALSE)-VLOOKUP(B53,'SegEnds_NonXtal_Prot#'!A:AL,11,FALSE)</f>
        <v>#VALUE!</v>
      </c>
      <c r="AH53" s="49">
        <f>VLOOKUP(B53,'SegEnds_NonXtal_Prot#'!A:AL,16,FALSE)-VLOOKUP(B53,'SegEnds_NonXtal_Prot#'!A:AL,10,FALSE)</f>
        <v>67</v>
      </c>
      <c r="AI53" s="49">
        <f>VLOOKUP(B53,'SegEnds_NonXtal_Prot#'!A:AL,16,FALSE)-VLOOKUP(B53,'SegEnds_NonXtal_Prot#'!A:AL,11,FALSE)</f>
        <v>56</v>
      </c>
      <c r="AJ53" s="49" t="e">
        <f>VLOOKUP(B53,'SegEnds_NonXtal_Prot#'!A:AL,22,FALSE)-VLOOKUP(B53,'SegEnds_NonXtal_Prot#'!A:AL,19,FALSE)</f>
        <v>#VALUE!</v>
      </c>
      <c r="AK53" s="49" t="e">
        <f>VLOOKUP(B53,'SegEnds_NonXtal_Prot#'!A:AL,15,FALSE)-VLOOKUP(B53,'SegEnds_NonXtal_Prot#'!A:AL,14,FALSE)</f>
        <v>#VALUE!</v>
      </c>
      <c r="AL53" s="49" t="e">
        <f>VLOOKUP(B53,'SegEnds_NonXtal_Prot#'!A:AL,18,FALSE)-VLOOKUP(B53,'SegEnds_NonXtal_Prot#'!A:AL,17,FALSE)</f>
        <v>#VALUE!</v>
      </c>
      <c r="AM53" s="2">
        <f>VLOOKUP(B53,'SegEnds_NonXtal_Prot#'!A:AL,34,FALSE)-VLOOKUP(B53,'SegEnds_NonXtal_Prot#'!A:AL,31,FALSE)</f>
        <v>62</v>
      </c>
    </row>
    <row r="54" spans="1:40" x14ac:dyDescent="0.2">
      <c r="A54" s="2" t="str">
        <f t="shared" si="0"/>
        <v>q08bg4_danre__wt</v>
      </c>
      <c r="B54" s="2" t="s">
        <v>1434</v>
      </c>
      <c r="C54" s="2">
        <f>IFERROR(50+VLOOKUP($A54,'SegEnds_Xtal_Prot#'!$A:$AY,5,FALSE)-VLOOKUP($B54,'SegEnds_NonXtal_Prot#'!$A:$AL,4,FALSE),"-")</f>
        <v>31</v>
      </c>
      <c r="D54" s="2">
        <f>IFERROR(50+VLOOKUP($A54,'SegEnds_Xtal_Prot#'!$A:$AY,7,FALSE)-VLOOKUP($B54,'SegEnds_NonXtal_Prot#'!$A:$AL,4,FALSE),"-")</f>
        <v>60</v>
      </c>
      <c r="E54" s="2">
        <f>IFERROR(50+VLOOKUP($A54,'SegEnds_Xtal_Prot#'!$A:$AY,9,FALSE)-VLOOKUP($B54,'SegEnds_NonXtal_Prot#'!$A:$AL,7,FALSE),"-")</f>
        <v>48</v>
      </c>
      <c r="F54" s="2">
        <f>IFERROR(50+VLOOKUP($A54,'SegEnds_Xtal_Prot#'!$A:$AY,11,FALSE)-VLOOKUP($B54,'SegEnds_NonXtal_Prot#'!$A:$AL,7,FALSE),"-")</f>
        <v>51</v>
      </c>
      <c r="G54" s="2">
        <f>IFERROR(50+VLOOKUP($A54,'SegEnds_Xtal_Prot#'!$A:$AY,13,FALSE)-VLOOKUP($B54,'SegEnds_NonXtal_Prot#'!$A:$AL,10,FALSE),"-")</f>
        <v>37</v>
      </c>
      <c r="H54" s="2">
        <f>IFERROR(50+VLOOKUP($A54,'SegEnds_Xtal_Prot#'!$A:$AY,15,FALSE)-VLOOKUP($B54,'SegEnds_NonXtal_Prot#'!$A:$AL,10,FALSE),"-")</f>
        <v>66</v>
      </c>
      <c r="I54" s="2">
        <f>IFERROR(50+VLOOKUP($A54,'SegEnds_Xtal_Prot#'!$A:$AY,17,FALSE)-VLOOKUP($B54,'SegEnds_NonXtal_Prot#'!$A:$AL,13,FALSE),"-")</f>
        <v>49</v>
      </c>
      <c r="J54" s="2">
        <f>IFERROR(50+VLOOKUP($A54,'SegEnds_Xtal_Prot#'!$A:$AY,19,FALSE)-VLOOKUP($B54,'SegEnds_NonXtal_Prot#'!$A:$AL,13,FALSE),"-")</f>
        <v>52</v>
      </c>
      <c r="K54" s="2">
        <f>IFERROR(50+VLOOKUP($A54,'SegEnds_Xtal_Prot#'!$A:$AY,21,FALSE)-VLOOKUP($B54,'SegEnds_NonXtal_Prot#'!$A:$AL,16,FALSE),"-")</f>
        <v>21</v>
      </c>
      <c r="L54" s="2">
        <f>IFERROR(50+VLOOKUP($A54,'SegEnds_Xtal_Prot#'!$A:$AY,23,FALSE)-VLOOKUP($B54,'SegEnds_NonXtal_Prot#'!$A:$AL,16,FALSE),"-")</f>
        <v>56</v>
      </c>
      <c r="M54" s="2">
        <f>IFERROR(50+VLOOKUP($A54,'SegEnds_Xtal_Prot#'!$A:$AY,25,FALSE)-VLOOKUP($B54,'SegEnds_NonXtal_Prot#'!$A:$AL,19,FALSE),"-")</f>
        <v>50</v>
      </c>
      <c r="N54" s="2">
        <f>IFERROR(50+VLOOKUP($A54,'SegEnds_Xtal_Prot#'!$A:$AY,27,FALSE)-VLOOKUP($B54,'SegEnds_NonXtal_Prot#'!$A:$AL,19,FALSE),"-")</f>
        <v>57</v>
      </c>
      <c r="O54" s="2">
        <f>IFERROR(50+VLOOKUP($A54,'SegEnds_Xtal_Prot#'!$A:$AY,29,FALSE)-VLOOKUP($B54,'SegEnds_NonXtal_Prot#'!$A:$AL,22,FALSE),"-")</f>
        <v>38</v>
      </c>
      <c r="P54" s="2">
        <f>IFERROR(50+VLOOKUP($A54,'SegEnds_Xtal_Prot#'!$A:$AY,31,FALSE)-VLOOKUP($B54,'SegEnds_NonXtal_Prot#'!$A:$AL,22,FALSE),"-")</f>
        <v>65</v>
      </c>
      <c r="Q54" s="2">
        <f>IFERROR(50+VLOOKUP($A54,'SegEnds_Xtal_Prot#'!$A:$AY,33,FALSE)-VLOOKUP($B54,'SegEnds_NonXtal_Prot#'!$A:$AL,25,FALSE),"-")</f>
        <v>50</v>
      </c>
      <c r="R54" s="2">
        <f>IFERROR(50+VLOOKUP($A54,'SegEnds_Xtal_Prot#'!$A:$AY,35,FALSE)-VLOOKUP($B54,'SegEnds_NonXtal_Prot#'!$A:$AL,25,FALSE),"-")</f>
        <v>52</v>
      </c>
      <c r="S54" s="2">
        <f>IFERROR(50+VLOOKUP($A54,'SegEnds_Xtal_Prot#'!$A:$AY,37,FALSE)-VLOOKUP($B54,'SegEnds_NonXtal_Prot#'!$A:$AL,28,FALSE),"-")</f>
        <v>31</v>
      </c>
      <c r="T54" s="2">
        <f>IFERROR(50+VLOOKUP($A54,'SegEnds_Xtal_Prot#'!$A:$AY,39,FALSE)-VLOOKUP($B54,'SegEnds_NonXtal_Prot#'!$A:$AL,28,FALSE),"-")</f>
        <v>68</v>
      </c>
      <c r="U54" s="2">
        <f>IFERROR(50+VLOOKUP($A54,'SegEnds_Xtal_Prot#'!$A:$AY,41,FALSE)-VLOOKUP($B54,'SegEnds_NonXtal_Prot#'!$A:$AL,31,FALSE),"-")</f>
        <v>24</v>
      </c>
      <c r="V54" s="2">
        <f>IFERROR(50+VLOOKUP($A54,'SegEnds_Xtal_Prot#'!$A:$AY,43,FALSE)-VLOOKUP($B54,'SegEnds_NonXtal_Prot#'!$A:$AL,31,FALSE),"-")</f>
        <v>64</v>
      </c>
      <c r="W54" s="2">
        <f>IFERROR(50+VLOOKUP($A54,'SegEnds_Xtal_Prot#'!$A:$AY,45,FALSE)-VLOOKUP($B54,'SegEnds_NonXtal_Prot#'!$A:$AL,34,FALSE),"-")</f>
        <v>24</v>
      </c>
      <c r="X54" s="2">
        <f>IFERROR(50+VLOOKUP($A54,'SegEnds_Xtal_Prot#'!$A:$AY,47,FALSE)-VLOOKUP($B54,'SegEnds_NonXtal_Prot#'!$A:$AL,34,FALSE),"-")</f>
        <v>56</v>
      </c>
      <c r="Y54" s="2">
        <f>IFERROR(50+VLOOKUP($A54,'SegEnds_Xtal_Prot#'!$A:$AY,49,FALSE)-VLOOKUP($B54,'SegEnds_NonXtal_Prot#'!$A:$AL,37,FALSE),"-")</f>
        <v>47</v>
      </c>
      <c r="Z54" s="2">
        <f>IFERROR(50+VLOOKUP($A54,'SegEnds_Xtal_Prot#'!$A:$AY,51,FALSE)-VLOOKUP($B54,'SegEnds_NonXtal_Prot#'!$A:$AL,37,FALSE),"-")</f>
        <v>61</v>
      </c>
      <c r="AA54" s="49" t="str">
        <f>VLOOKUP(B54,Classification!A:D,2,FALSE)</f>
        <v>A</v>
      </c>
      <c r="AB54" s="94" t="str">
        <f>VLOOKUP(B54,Classification!A:D,4,0)</f>
        <v>Lysophospholipid(LPA)</v>
      </c>
      <c r="AC54" s="49">
        <f>VLOOKUP(B54,'SegEnds_NonXtal_Prot#'!A:AL,6,FALSE)-VLOOKUP(B54,'SegEnds_NonXtal_Prot#'!A:AL,5,FALSE)</f>
        <v>1</v>
      </c>
      <c r="AD54" s="49">
        <f>VLOOKUP(B54,'SegEnds_NonXtal_Prot#'!A:AL,9,FALSE)-VLOOKUP(B54,'SegEnds_NonXtal_Prot#'!A:AL,8,FALSE)</f>
        <v>1</v>
      </c>
      <c r="AE54" s="49">
        <f>VLOOKUP(B54,'SegEnds_NonXtal_Prot#'!A:AL,13,FALSE)-VLOOKUP(B54,'SegEnds_NonXtal_Prot#'!A:AL,10,FALSE)</f>
        <v>19</v>
      </c>
      <c r="AF54" s="49">
        <f>VLOOKUP(B54,'SegEnds_NonXtal_Prot#'!A:AL,12,FALSE)-VLOOKUP(B54,'SegEnds_NonXtal_Prot#'!A:AL,11,FALSE)</f>
        <v>2</v>
      </c>
      <c r="AG54" s="49">
        <f>VLOOKUP(B54,'SegEnds_NonXtal_Prot#'!A:AL,13,FALSE)-VLOOKUP(B54,'SegEnds_NonXtal_Prot#'!A:AL,11,FALSE)</f>
        <v>3</v>
      </c>
      <c r="AH54" s="49">
        <f>VLOOKUP(B54,'SegEnds_NonXtal_Prot#'!A:AL,16,FALSE)-VLOOKUP(B54,'SegEnds_NonXtal_Prot#'!A:AL,10,FALSE)</f>
        <v>51</v>
      </c>
      <c r="AI54" s="49">
        <f>VLOOKUP(B54,'SegEnds_NonXtal_Prot#'!A:AL,16,FALSE)-VLOOKUP(B54,'SegEnds_NonXtal_Prot#'!A:AL,11,FALSE)</f>
        <v>35</v>
      </c>
      <c r="AJ54" s="49">
        <f>VLOOKUP(B54,'SegEnds_NonXtal_Prot#'!A:AL,22,FALSE)-VLOOKUP(B54,'SegEnds_NonXtal_Prot#'!A:AL,19,FALSE)</f>
        <v>20</v>
      </c>
      <c r="AK54" s="49">
        <f>VLOOKUP(B54,'SegEnds_NonXtal_Prot#'!A:AL,15,FALSE)-VLOOKUP(B54,'SegEnds_NonXtal_Prot#'!A:AL,14,FALSE)</f>
        <v>1</v>
      </c>
      <c r="AL54" s="49">
        <f>VLOOKUP(B54,'SegEnds_NonXtal_Prot#'!A:AL,18,FALSE)-VLOOKUP(B54,'SegEnds_NonXtal_Prot#'!A:AL,17,FALSE)</f>
        <v>1</v>
      </c>
      <c r="AM54" s="2">
        <f>VLOOKUP(B54,'SegEnds_NonXtal_Prot#'!A:AL,34,FALSE)-VLOOKUP(B54,'SegEnds_NonXtal_Prot#'!A:AL,31,FALSE)</f>
        <v>44</v>
      </c>
    </row>
    <row r="55" spans="1:40" x14ac:dyDescent="0.2">
      <c r="A55" s="2" t="str">
        <f t="shared" si="0"/>
        <v>q9wtk1_cavpo__wt</v>
      </c>
      <c r="B55" s="2" t="s">
        <v>1445</v>
      </c>
      <c r="C55" s="2">
        <f>IFERROR(50+VLOOKUP($A55,'SegEnds_Xtal_Prot#'!$A:$AY,5,FALSE)-VLOOKUP($B55,'SegEnds_NonXtal_Prot#'!$A:$AL,4,FALSE),"-")</f>
        <v>29</v>
      </c>
      <c r="D55" s="2">
        <f>IFERROR(50+VLOOKUP($A55,'SegEnds_Xtal_Prot#'!$A:$AY,7,FALSE)-VLOOKUP($B55,'SegEnds_NonXtal_Prot#'!$A:$AL,4,FALSE),"-")</f>
        <v>60</v>
      </c>
      <c r="E55" s="2">
        <f>IFERROR(50+VLOOKUP($A55,'SegEnds_Xtal_Prot#'!$A:$AY,9,FALSE)-VLOOKUP($B55,'SegEnds_NonXtal_Prot#'!$A:$AL,7,FALSE),"-")</f>
        <v>48</v>
      </c>
      <c r="F55" s="2">
        <f>IFERROR(50+VLOOKUP($A55,'SegEnds_Xtal_Prot#'!$A:$AY,11,FALSE)-VLOOKUP($B55,'SegEnds_NonXtal_Prot#'!$A:$AL,7,FALSE),"-")</f>
        <v>51</v>
      </c>
      <c r="G55" s="2">
        <f>IFERROR(50+VLOOKUP($A55,'SegEnds_Xtal_Prot#'!$A:$AY,13,FALSE)-VLOOKUP($B55,'SegEnds_NonXtal_Prot#'!$A:$AL,10,FALSE),"-")</f>
        <v>37</v>
      </c>
      <c r="H55" s="2">
        <f>IFERROR(50+VLOOKUP($A55,'SegEnds_Xtal_Prot#'!$A:$AY,15,FALSE)-VLOOKUP($B55,'SegEnds_NonXtal_Prot#'!$A:$AL,10,FALSE),"-")</f>
        <v>67</v>
      </c>
      <c r="I55" s="2">
        <f>IFERROR(50+VLOOKUP($A55,'SegEnds_Xtal_Prot#'!$A:$AY,17,FALSE)-VLOOKUP($B55,'SegEnds_NonXtal_Prot#'!$A:$AL,13,FALSE),"-")</f>
        <v>49</v>
      </c>
      <c r="J55" s="2">
        <f>IFERROR(50+VLOOKUP($A55,'SegEnds_Xtal_Prot#'!$A:$AY,19,FALSE)-VLOOKUP($B55,'SegEnds_NonXtal_Prot#'!$A:$AL,13,FALSE),"-")</f>
        <v>52</v>
      </c>
      <c r="K55" s="2">
        <f>IFERROR(50+VLOOKUP($A55,'SegEnds_Xtal_Prot#'!$A:$AY,21,FALSE)-VLOOKUP($B55,'SegEnds_NonXtal_Prot#'!$A:$AL,16,FALSE),"-")</f>
        <v>21</v>
      </c>
      <c r="L55" s="2">
        <f>IFERROR(50+VLOOKUP($A55,'SegEnds_Xtal_Prot#'!$A:$AY,23,FALSE)-VLOOKUP($B55,'SegEnds_NonXtal_Prot#'!$A:$AL,16,FALSE),"-")</f>
        <v>56</v>
      </c>
      <c r="M55" s="2">
        <f>IFERROR(50+VLOOKUP($A55,'SegEnds_Xtal_Prot#'!$A:$AY,25,FALSE)-VLOOKUP($B55,'SegEnds_NonXtal_Prot#'!$A:$AL,19,FALSE),"-")</f>
        <v>50</v>
      </c>
      <c r="N55" s="2">
        <f>IFERROR(50+VLOOKUP($A55,'SegEnds_Xtal_Prot#'!$A:$AY,27,FALSE)-VLOOKUP($B55,'SegEnds_NonXtal_Prot#'!$A:$AL,19,FALSE),"-")</f>
        <v>57</v>
      </c>
      <c r="O55" s="2">
        <f>IFERROR(50+VLOOKUP($A55,'SegEnds_Xtal_Prot#'!$A:$AY,29,FALSE)-VLOOKUP($B55,'SegEnds_NonXtal_Prot#'!$A:$AL,22,FALSE),"-")</f>
        <v>38</v>
      </c>
      <c r="P55" s="2">
        <f>IFERROR(50+VLOOKUP($A55,'SegEnds_Xtal_Prot#'!$A:$AY,31,FALSE)-VLOOKUP($B55,'SegEnds_NonXtal_Prot#'!$A:$AL,22,FALSE),"-")</f>
        <v>64</v>
      </c>
      <c r="Q55" s="2">
        <f>IFERROR(50+VLOOKUP($A55,'SegEnds_Xtal_Prot#'!$A:$AY,33,FALSE)-VLOOKUP($B55,'SegEnds_NonXtal_Prot#'!$A:$AL,25,FALSE),"-")</f>
        <v>50</v>
      </c>
      <c r="R55" s="2">
        <f>IFERROR(50+VLOOKUP($A55,'SegEnds_Xtal_Prot#'!$A:$AY,35,FALSE)-VLOOKUP($B55,'SegEnds_NonXtal_Prot#'!$A:$AL,25,FALSE),"-")</f>
        <v>52</v>
      </c>
      <c r="S55" s="2">
        <f>IFERROR(50+VLOOKUP($A55,'SegEnds_Xtal_Prot#'!$A:$AY,37,FALSE)-VLOOKUP($B55,'SegEnds_NonXtal_Prot#'!$A:$AL,28,FALSE),"-")</f>
        <v>31</v>
      </c>
      <c r="T55" s="2">
        <f>IFERROR(50+VLOOKUP($A55,'SegEnds_Xtal_Prot#'!$A:$AY,39,FALSE)-VLOOKUP($B55,'SegEnds_NonXtal_Prot#'!$A:$AL,28,FALSE),"-")</f>
        <v>68</v>
      </c>
      <c r="U55" s="2">
        <f>IFERROR(50+VLOOKUP($A55,'SegEnds_Xtal_Prot#'!$A:$AY,41,FALSE)-VLOOKUP($B55,'SegEnds_NonXtal_Prot#'!$A:$AL,31,FALSE),"-")</f>
        <v>30</v>
      </c>
      <c r="V55" s="2">
        <f>IFERROR(50+VLOOKUP($A55,'SegEnds_Xtal_Prot#'!$A:$AY,43,FALSE)-VLOOKUP($B55,'SegEnds_NonXtal_Prot#'!$A:$AL,31,FALSE),"-")</f>
        <v>64</v>
      </c>
      <c r="W55" s="2">
        <f>IFERROR(50+VLOOKUP($A55,'SegEnds_Xtal_Prot#'!$A:$AY,45,FALSE)-VLOOKUP($B55,'SegEnds_NonXtal_Prot#'!$A:$AL,34,FALSE),"-")</f>
        <v>24</v>
      </c>
      <c r="X55" s="2">
        <f>IFERROR(50+VLOOKUP($A55,'SegEnds_Xtal_Prot#'!$A:$AY,47,FALSE)-VLOOKUP($B55,'SegEnds_NonXtal_Prot#'!$A:$AL,34,FALSE),"-")</f>
        <v>56</v>
      </c>
      <c r="Y55" s="2">
        <f>IFERROR(50+VLOOKUP($A55,'SegEnds_Xtal_Prot#'!$A:$AY,49,FALSE)-VLOOKUP($B55,'SegEnds_NonXtal_Prot#'!$A:$AL,37,FALSE),"-")</f>
        <v>47</v>
      </c>
      <c r="Z55" s="2">
        <f>IFERROR(50+VLOOKUP($A55,'SegEnds_Xtal_Prot#'!$A:$AY,51,FALSE)-VLOOKUP($B55,'SegEnds_NonXtal_Prot#'!$A:$AL,37,FALSE),"-")</f>
        <v>61</v>
      </c>
      <c r="AA55" s="49" t="str">
        <f>VLOOKUP(B55,Classification!A:D,2,FALSE)</f>
        <v>A</v>
      </c>
      <c r="AB55" s="94" t="str">
        <f>VLOOKUP(B55,Classification!A:D,4,0)</f>
        <v>Leukotriene</v>
      </c>
      <c r="AC55" s="49">
        <f>VLOOKUP(B55,'SegEnds_NonXtal_Prot#'!A:AL,6,FALSE)-VLOOKUP(B55,'SegEnds_NonXtal_Prot#'!A:AL,5,FALSE)</f>
        <v>1</v>
      </c>
      <c r="AD55" s="49">
        <f>VLOOKUP(B55,'SegEnds_NonXtal_Prot#'!A:AL,9,FALSE)-VLOOKUP(B55,'SegEnds_NonXtal_Prot#'!A:AL,8,FALSE)</f>
        <v>1</v>
      </c>
      <c r="AE55" s="49">
        <f>VLOOKUP(B55,'SegEnds_NonXtal_Prot#'!A:AL,13,FALSE)-VLOOKUP(B55,'SegEnds_NonXtal_Prot#'!A:AL,10,FALSE)</f>
        <v>19</v>
      </c>
      <c r="AF55" s="49">
        <f>VLOOKUP(B55,'SegEnds_NonXtal_Prot#'!A:AL,12,FALSE)-VLOOKUP(B55,'SegEnds_NonXtal_Prot#'!A:AL,11,FALSE)</f>
        <v>1</v>
      </c>
      <c r="AG55" s="49">
        <f>VLOOKUP(B55,'SegEnds_NonXtal_Prot#'!A:AL,13,FALSE)-VLOOKUP(B55,'SegEnds_NonXtal_Prot#'!A:AL,11,FALSE)</f>
        <v>2</v>
      </c>
      <c r="AH55" s="49">
        <f>VLOOKUP(B55,'SegEnds_NonXtal_Prot#'!A:AL,16,FALSE)-VLOOKUP(B55,'SegEnds_NonXtal_Prot#'!A:AL,10,FALSE)</f>
        <v>51</v>
      </c>
      <c r="AI55" s="49">
        <f>VLOOKUP(B55,'SegEnds_NonXtal_Prot#'!A:AL,16,FALSE)-VLOOKUP(B55,'SegEnds_NonXtal_Prot#'!A:AL,11,FALSE)</f>
        <v>34</v>
      </c>
      <c r="AJ55" s="49">
        <f>VLOOKUP(B55,'SegEnds_NonXtal_Prot#'!A:AL,22,FALSE)-VLOOKUP(B55,'SegEnds_NonXtal_Prot#'!A:AL,19,FALSE)</f>
        <v>20</v>
      </c>
      <c r="AK55" s="49">
        <f>VLOOKUP(B55,'SegEnds_NonXtal_Prot#'!A:AL,15,FALSE)-VLOOKUP(B55,'SegEnds_NonXtal_Prot#'!A:AL,14,FALSE)</f>
        <v>1</v>
      </c>
      <c r="AL55" s="49">
        <f>VLOOKUP(B55,'SegEnds_NonXtal_Prot#'!A:AL,18,FALSE)-VLOOKUP(B55,'SegEnds_NonXtal_Prot#'!A:AL,17,FALSE)</f>
        <v>1</v>
      </c>
      <c r="AM55" s="2">
        <f>VLOOKUP(B55,'SegEnds_NonXtal_Prot#'!A:AL,34,FALSE)-VLOOKUP(B55,'SegEnds_NonXtal_Prot#'!A:AL,31,FALSE)</f>
        <v>43</v>
      </c>
    </row>
    <row r="56" spans="1:40" x14ac:dyDescent="0.2">
      <c r="A56" s="2" t="str">
        <f t="shared" si="0"/>
        <v>c5ar1_human__wt</v>
      </c>
      <c r="B56" s="2" t="s">
        <v>165</v>
      </c>
      <c r="C56" s="2">
        <f>IFERROR(50+VLOOKUP($A56,'SegEnds_Xtal_Prot#'!$A:$AY,5,FALSE)-VLOOKUP($B56,'SegEnds_NonXtal_Prot#'!$A:$AL,4,FALSE),"-")</f>
        <v>29</v>
      </c>
      <c r="D56" s="2">
        <f>IFERROR(50+VLOOKUP($A56,'SegEnds_Xtal_Prot#'!$A:$AY,7,FALSE)-VLOOKUP($B56,'SegEnds_NonXtal_Prot#'!$A:$AL,4,FALSE),"-")</f>
        <v>60</v>
      </c>
      <c r="E56" s="2" t="str">
        <f>IFERROR(50+VLOOKUP($A56,'SegEnds_Xtal_Prot#'!$A:$AY,9,FALSE)-VLOOKUP($B56,'SegEnds_NonXtal_Prot#'!$A:$AL,7,FALSE),"-")</f>
        <v>-</v>
      </c>
      <c r="F56" s="2" t="str">
        <f>IFERROR(50+VLOOKUP($A56,'SegEnds_Xtal_Prot#'!$A:$AY,11,FALSE)-VLOOKUP($B56,'SegEnds_NonXtal_Prot#'!$A:$AL,7,FALSE),"-")</f>
        <v>-</v>
      </c>
      <c r="G56" s="2">
        <f>IFERROR(50+VLOOKUP($A56,'SegEnds_Xtal_Prot#'!$A:$AY,13,FALSE)-VLOOKUP($B56,'SegEnds_NonXtal_Prot#'!$A:$AL,10,FALSE),"-")</f>
        <v>37</v>
      </c>
      <c r="H56" s="2">
        <f>IFERROR(50+VLOOKUP($A56,'SegEnds_Xtal_Prot#'!$A:$AY,15,FALSE)-VLOOKUP($B56,'SegEnds_NonXtal_Prot#'!$A:$AL,10,FALSE),"-")</f>
        <v>67</v>
      </c>
      <c r="I56" s="2">
        <f>IFERROR(50+VLOOKUP($A56,'SegEnds_Xtal_Prot#'!$A:$AY,17,FALSE)-VLOOKUP($B56,'SegEnds_NonXtal_Prot#'!$A:$AL,13,FALSE),"-")</f>
        <v>49</v>
      </c>
      <c r="J56" s="2">
        <f>IFERROR(50+VLOOKUP($A56,'SegEnds_Xtal_Prot#'!$A:$AY,19,FALSE)-VLOOKUP($B56,'SegEnds_NonXtal_Prot#'!$A:$AL,13,FALSE),"-")</f>
        <v>52</v>
      </c>
      <c r="K56" s="2">
        <f>IFERROR(50+VLOOKUP($A56,'SegEnds_Xtal_Prot#'!$A:$AY,21,FALSE)-VLOOKUP($B56,'SegEnds_NonXtal_Prot#'!$A:$AL,16,FALSE),"-")</f>
        <v>21</v>
      </c>
      <c r="L56" s="2">
        <f>IFERROR(50+VLOOKUP($A56,'SegEnds_Xtal_Prot#'!$A:$AY,23,FALSE)-VLOOKUP($B56,'SegEnds_NonXtal_Prot#'!$A:$AL,16,FALSE),"-")</f>
        <v>56</v>
      </c>
      <c r="M56" s="2">
        <f>IFERROR(50+VLOOKUP($A56,'SegEnds_Xtal_Prot#'!$A:$AY,25,FALSE)-VLOOKUP($B56,'SegEnds_NonXtal_Prot#'!$A:$AL,19,FALSE),"-")</f>
        <v>50</v>
      </c>
      <c r="N56" s="2">
        <f>IFERROR(50+VLOOKUP($A56,'SegEnds_Xtal_Prot#'!$A:$AY,27,FALSE)-VLOOKUP($B56,'SegEnds_NonXtal_Prot#'!$A:$AL,19,FALSE),"-")</f>
        <v>57</v>
      </c>
      <c r="O56" s="2">
        <f>IFERROR(50+VLOOKUP($A56,'SegEnds_Xtal_Prot#'!$A:$AY,29,FALSE)-VLOOKUP($B56,'SegEnds_NonXtal_Prot#'!$A:$AL,22,FALSE),"-")</f>
        <v>38</v>
      </c>
      <c r="P56" s="2">
        <f>IFERROR(50+VLOOKUP($A56,'SegEnds_Xtal_Prot#'!$A:$AY,31,FALSE)-VLOOKUP($B56,'SegEnds_NonXtal_Prot#'!$A:$AL,22,FALSE),"-")</f>
        <v>64</v>
      </c>
      <c r="Q56" s="2">
        <f>IFERROR(50+VLOOKUP($A56,'SegEnds_Xtal_Prot#'!$A:$AY,33,FALSE)-VLOOKUP($B56,'SegEnds_NonXtal_Prot#'!$A:$AL,25,FALSE),"-")</f>
        <v>50</v>
      </c>
      <c r="R56" s="2">
        <f>IFERROR(50+VLOOKUP($A56,'SegEnds_Xtal_Prot#'!$A:$AY,35,FALSE)-VLOOKUP($B56,'SegEnds_NonXtal_Prot#'!$A:$AL,25,FALSE),"-")</f>
        <v>52</v>
      </c>
      <c r="S56" s="2">
        <f>IFERROR(50+VLOOKUP($A56,'SegEnds_Xtal_Prot#'!$A:$AY,37,FALSE)-VLOOKUP($B56,'SegEnds_NonXtal_Prot#'!$A:$AL,28,FALSE),"-")</f>
        <v>31</v>
      </c>
      <c r="T56" s="2">
        <f>IFERROR(50+VLOOKUP($A56,'SegEnds_Xtal_Prot#'!$A:$AY,39,FALSE)-VLOOKUP($B56,'SegEnds_NonXtal_Prot#'!$A:$AL,28,FALSE),"-")</f>
        <v>68</v>
      </c>
      <c r="U56" s="2">
        <f>IFERROR(50+VLOOKUP($A56,'SegEnds_Xtal_Prot#'!$A:$AY,41,FALSE)-VLOOKUP($B56,'SegEnds_NonXtal_Prot#'!$A:$AL,31,FALSE),"-")</f>
        <v>31</v>
      </c>
      <c r="V56" s="2">
        <f>IFERROR(50+VLOOKUP($A56,'SegEnds_Xtal_Prot#'!$A:$AY,43,FALSE)-VLOOKUP($B56,'SegEnds_NonXtal_Prot#'!$A:$AL,31,FALSE),"-")</f>
        <v>61</v>
      </c>
      <c r="W56" s="2">
        <f>IFERROR(50+VLOOKUP($A56,'SegEnds_Xtal_Prot#'!$A:$AY,45,FALSE)-VLOOKUP($B56,'SegEnds_NonXtal_Prot#'!$A:$AL,34,FALSE),"-")</f>
        <v>25</v>
      </c>
      <c r="X56" s="2">
        <f>IFERROR(50+VLOOKUP($A56,'SegEnds_Xtal_Prot#'!$A:$AY,47,FALSE)-VLOOKUP($B56,'SegEnds_NonXtal_Prot#'!$A:$AL,34,FALSE),"-")</f>
        <v>56</v>
      </c>
      <c r="Y56" s="2">
        <f>IFERROR(50+VLOOKUP($A56,'SegEnds_Xtal_Prot#'!$A:$AY,49,FALSE)-VLOOKUP($B56,'SegEnds_NonXtal_Prot#'!$A:$AL,37,FALSE),"-")</f>
        <v>47</v>
      </c>
      <c r="Z56" s="2">
        <f>IFERROR(50+VLOOKUP($A56,'SegEnds_Xtal_Prot#'!$A:$AY,51,FALSE)-VLOOKUP($B56,'SegEnds_NonXtal_Prot#'!$A:$AL,37,FALSE),"-")</f>
        <v>56</v>
      </c>
      <c r="AA56" s="49" t="str">
        <f>VLOOKUP(B56,Classification!A:D,2,FALSE)</f>
        <v>A</v>
      </c>
      <c r="AB56" s="94" t="str">
        <f>VLOOKUP(B56,Classification!A:D,4,0)</f>
        <v>Complementpeptide</v>
      </c>
      <c r="AC56" s="49" t="e">
        <f>VLOOKUP(B56,'SegEnds_NonXtal_Prot#'!A:AL,6,FALSE)-VLOOKUP(B56,'SegEnds_NonXtal_Prot#'!A:AL,5,FALSE)</f>
        <v>#VALUE!</v>
      </c>
      <c r="AD56" s="49" t="e">
        <f>VLOOKUP(B56,'SegEnds_NonXtal_Prot#'!A:AL,9,FALSE)-VLOOKUP(B56,'SegEnds_NonXtal_Prot#'!A:AL,8,FALSE)</f>
        <v>#VALUE!</v>
      </c>
      <c r="AE56" s="49">
        <f>VLOOKUP(B56,'SegEnds_NonXtal_Prot#'!A:AL,13,FALSE)-VLOOKUP(B56,'SegEnds_NonXtal_Prot#'!A:AL,10,FALSE)</f>
        <v>20</v>
      </c>
      <c r="AF56" s="49">
        <f>VLOOKUP(B56,'SegEnds_NonXtal_Prot#'!A:AL,12,FALSE)-VLOOKUP(B56,'SegEnds_NonXtal_Prot#'!A:AL,11,FALSE)</f>
        <v>2</v>
      </c>
      <c r="AG56" s="49">
        <f>VLOOKUP(B56,'SegEnds_NonXtal_Prot#'!A:AL,13,FALSE)-VLOOKUP(B56,'SegEnds_NonXtal_Prot#'!A:AL,11,FALSE)</f>
        <v>3</v>
      </c>
      <c r="AH56" s="49">
        <f>VLOOKUP(B56,'SegEnds_NonXtal_Prot#'!A:AL,16,FALSE)-VLOOKUP(B56,'SegEnds_NonXtal_Prot#'!A:AL,10,FALSE)</f>
        <v>52</v>
      </c>
      <c r="AI56" s="49">
        <f>VLOOKUP(B56,'SegEnds_NonXtal_Prot#'!A:AL,16,FALSE)-VLOOKUP(B56,'SegEnds_NonXtal_Prot#'!A:AL,11,FALSE)</f>
        <v>35</v>
      </c>
      <c r="AJ56" s="49">
        <f>VLOOKUP(B56,'SegEnds_NonXtal_Prot#'!A:AL,22,FALSE)-VLOOKUP(B56,'SegEnds_NonXtal_Prot#'!A:AL,19,FALSE)</f>
        <v>20</v>
      </c>
      <c r="AK56" s="49">
        <f>VLOOKUP(B56,'SegEnds_NonXtal_Prot#'!A:AL,15,FALSE)-VLOOKUP(B56,'SegEnds_NonXtal_Prot#'!A:AL,14,FALSE)</f>
        <v>1</v>
      </c>
      <c r="AL56" s="49">
        <f>VLOOKUP(B56,'SegEnds_NonXtal_Prot#'!A:AL,18,FALSE)-VLOOKUP(B56,'SegEnds_NonXtal_Prot#'!A:AL,17,FALSE)</f>
        <v>1</v>
      </c>
      <c r="AM56" s="2">
        <f>VLOOKUP(B56,'SegEnds_NonXtal_Prot#'!A:AL,34,FALSE)-VLOOKUP(B56,'SegEnds_NonXtal_Prot#'!A:AL,31,FALSE)</f>
        <v>40</v>
      </c>
    </row>
    <row r="57" spans="1:40" x14ac:dyDescent="0.2">
      <c r="A57" s="2" t="str">
        <f t="shared" si="0"/>
        <v>npy1r_human__wt</v>
      </c>
      <c r="B57" s="2" t="s">
        <v>324</v>
      </c>
      <c r="C57" s="2">
        <f>IFERROR(50+VLOOKUP($A57,'SegEnds_Xtal_Prot#'!$A:$AY,5,FALSE)-VLOOKUP($B57,'SegEnds_NonXtal_Prot#'!$A:$AL,4,FALSE),"-")</f>
        <v>28</v>
      </c>
      <c r="D57" s="2">
        <f>IFERROR(50+VLOOKUP($A57,'SegEnds_Xtal_Prot#'!$A:$AY,7,FALSE)-VLOOKUP($B57,'SegEnds_NonXtal_Prot#'!$A:$AL,4,FALSE),"-")</f>
        <v>60</v>
      </c>
      <c r="E57" s="2">
        <f>IFERROR(50+VLOOKUP($A57,'SegEnds_Xtal_Prot#'!$A:$AY,9,FALSE)-VLOOKUP($B57,'SegEnds_NonXtal_Prot#'!$A:$AL,7,FALSE),"-")</f>
        <v>48</v>
      </c>
      <c r="F57" s="2">
        <f>IFERROR(50+VLOOKUP($A57,'SegEnds_Xtal_Prot#'!$A:$AY,11,FALSE)-VLOOKUP($B57,'SegEnds_NonXtal_Prot#'!$A:$AL,7,FALSE),"-")</f>
        <v>51</v>
      </c>
      <c r="G57" s="2">
        <f>IFERROR(50+VLOOKUP($A57,'SegEnds_Xtal_Prot#'!$A:$AY,13,FALSE)-VLOOKUP($B57,'SegEnds_NonXtal_Prot#'!$A:$AL,10,FALSE),"-")</f>
        <v>37</v>
      </c>
      <c r="H57" s="2">
        <f>IFERROR(50+VLOOKUP($A57,'SegEnds_Xtal_Prot#'!$A:$AY,15,FALSE)-VLOOKUP($B57,'SegEnds_NonXtal_Prot#'!$A:$AL,10,FALSE),"-")</f>
        <v>68</v>
      </c>
      <c r="I57" s="2">
        <f>IFERROR(50+VLOOKUP($A57,'SegEnds_Xtal_Prot#'!$A:$AY,17,FALSE)-VLOOKUP($B57,'SegEnds_NonXtal_Prot#'!$A:$AL,13,FALSE),"-")</f>
        <v>49</v>
      </c>
      <c r="J57" s="2">
        <f>IFERROR(50+VLOOKUP($A57,'SegEnds_Xtal_Prot#'!$A:$AY,19,FALSE)-VLOOKUP($B57,'SegEnds_NonXtal_Prot#'!$A:$AL,13,FALSE),"-")</f>
        <v>52</v>
      </c>
      <c r="K57" s="2">
        <f>IFERROR(50+VLOOKUP($A57,'SegEnds_Xtal_Prot#'!$A:$AY,21,FALSE)-VLOOKUP($B57,'SegEnds_NonXtal_Prot#'!$A:$AL,16,FALSE),"-")</f>
        <v>21</v>
      </c>
      <c r="L57" s="2">
        <f>IFERROR(50+VLOOKUP($A57,'SegEnds_Xtal_Prot#'!$A:$AY,23,FALSE)-VLOOKUP($B57,'SegEnds_NonXtal_Prot#'!$A:$AL,16,FALSE),"-")</f>
        <v>56</v>
      </c>
      <c r="M57" s="2" t="str">
        <f>IFERROR(50+VLOOKUP($A57,'SegEnds_Xtal_Prot#'!$A:$AY,25,FALSE)-VLOOKUP($B57,'SegEnds_NonXtal_Prot#'!$A:$AL,19,FALSE),"-")</f>
        <v>-</v>
      </c>
      <c r="N57" s="2" t="str">
        <f>IFERROR(50+VLOOKUP($A57,'SegEnds_Xtal_Prot#'!$A:$AY,27,FALSE)-VLOOKUP($B57,'SegEnds_NonXtal_Prot#'!$A:$AL,19,FALSE),"-")</f>
        <v>-</v>
      </c>
      <c r="O57" s="2">
        <f>IFERROR(50+VLOOKUP($A57,'SegEnds_Xtal_Prot#'!$A:$AY,29,FALSE)-VLOOKUP($B57,'SegEnds_NonXtal_Prot#'!$A:$AL,22,FALSE),"-")</f>
        <v>38</v>
      </c>
      <c r="P57" s="2">
        <f>IFERROR(50+VLOOKUP($A57,'SegEnds_Xtal_Prot#'!$A:$AY,31,FALSE)-VLOOKUP($B57,'SegEnds_NonXtal_Prot#'!$A:$AL,22,FALSE),"-")</f>
        <v>64</v>
      </c>
      <c r="Q57" s="2">
        <f>IFERROR(50+VLOOKUP($A57,'SegEnds_Xtal_Prot#'!$A:$AY,33,FALSE)-VLOOKUP($B57,'SegEnds_NonXtal_Prot#'!$A:$AL,25,FALSE),"-")</f>
        <v>50</v>
      </c>
      <c r="R57" s="2">
        <f>IFERROR(50+VLOOKUP($A57,'SegEnds_Xtal_Prot#'!$A:$AY,35,FALSE)-VLOOKUP($B57,'SegEnds_NonXtal_Prot#'!$A:$AL,25,FALSE),"-")</f>
        <v>52</v>
      </c>
      <c r="S57" s="2">
        <f>IFERROR(50+VLOOKUP($A57,'SegEnds_Xtal_Prot#'!$A:$AY,37,FALSE)-VLOOKUP($B57,'SegEnds_NonXtal_Prot#'!$A:$AL,28,FALSE),"-")</f>
        <v>31</v>
      </c>
      <c r="T57" s="2">
        <f>IFERROR(50+VLOOKUP($A57,'SegEnds_Xtal_Prot#'!$A:$AY,39,FALSE)-VLOOKUP($B57,'SegEnds_NonXtal_Prot#'!$A:$AL,28,FALSE),"-")</f>
        <v>72</v>
      </c>
      <c r="U57" s="2">
        <f>IFERROR(50+VLOOKUP($A57,'SegEnds_Xtal_Prot#'!$A:$AY,41,FALSE)-VLOOKUP($B57,'SegEnds_NonXtal_Prot#'!$A:$AL,31,FALSE),"-")</f>
        <v>22</v>
      </c>
      <c r="V57" s="2">
        <f>IFERROR(50+VLOOKUP($A57,'SegEnds_Xtal_Prot#'!$A:$AY,43,FALSE)-VLOOKUP($B57,'SegEnds_NonXtal_Prot#'!$A:$AL,31,FALSE),"-")</f>
        <v>61</v>
      </c>
      <c r="W57" s="2">
        <f>IFERROR(50+VLOOKUP($A57,'SegEnds_Xtal_Prot#'!$A:$AY,45,FALSE)-VLOOKUP($B57,'SegEnds_NonXtal_Prot#'!$A:$AL,34,FALSE),"-")</f>
        <v>28</v>
      </c>
      <c r="X57" s="2">
        <f>IFERROR(50+VLOOKUP($A57,'SegEnds_Xtal_Prot#'!$A:$AY,47,FALSE)-VLOOKUP($B57,'SegEnds_NonXtal_Prot#'!$A:$AL,34,FALSE),"-")</f>
        <v>56</v>
      </c>
      <c r="Y57" s="2">
        <f>IFERROR(50+VLOOKUP($A57,'SegEnds_Xtal_Prot#'!$A:$AY,49,FALSE)-VLOOKUP($B57,'SegEnds_NonXtal_Prot#'!$A:$AL,37,FALSE),"-")</f>
        <v>47</v>
      </c>
      <c r="Z57" s="2">
        <f>IFERROR(50+VLOOKUP($A57,'SegEnds_Xtal_Prot#'!$A:$AY,51,FALSE)-VLOOKUP($B57,'SegEnds_NonXtal_Prot#'!$A:$AL,37,FALSE),"-")</f>
        <v>58</v>
      </c>
      <c r="AA57" s="49" t="str">
        <f>VLOOKUP(B57,Classification!A:D,2,FALSE)</f>
        <v>A</v>
      </c>
      <c r="AB57" s="94" t="str">
        <f>VLOOKUP(B57,Classification!A:D,4,0)</f>
        <v>NeuropeptideY</v>
      </c>
      <c r="AC57" s="49">
        <f>VLOOKUP(B57,'SegEnds_NonXtal_Prot#'!A:AL,6,FALSE)-VLOOKUP(B57,'SegEnds_NonXtal_Prot#'!A:AL,5,FALSE)</f>
        <v>1</v>
      </c>
      <c r="AD57" s="49">
        <f>VLOOKUP(B57,'SegEnds_NonXtal_Prot#'!A:AL,9,FALSE)-VLOOKUP(B57,'SegEnds_NonXtal_Prot#'!A:AL,8,FALSE)</f>
        <v>1</v>
      </c>
      <c r="AE57" s="49">
        <f>VLOOKUP(B57,'SegEnds_NonXtal_Prot#'!A:AL,13,FALSE)-VLOOKUP(B57,'SegEnds_NonXtal_Prot#'!A:AL,10,FALSE)</f>
        <v>20</v>
      </c>
      <c r="AF57" s="49">
        <f>VLOOKUP(B57,'SegEnds_NonXtal_Prot#'!A:AL,12,FALSE)-VLOOKUP(B57,'SegEnds_NonXtal_Prot#'!A:AL,11,FALSE)</f>
        <v>1</v>
      </c>
      <c r="AG57" s="49">
        <f>VLOOKUP(B57,'SegEnds_NonXtal_Prot#'!A:AL,13,FALSE)-VLOOKUP(B57,'SegEnds_NonXtal_Prot#'!A:AL,11,FALSE)</f>
        <v>2</v>
      </c>
      <c r="AH57" s="49">
        <f>VLOOKUP(B57,'SegEnds_NonXtal_Prot#'!A:AL,16,FALSE)-VLOOKUP(B57,'SegEnds_NonXtal_Prot#'!A:AL,10,FALSE)</f>
        <v>52</v>
      </c>
      <c r="AI57" s="49">
        <f>VLOOKUP(B57,'SegEnds_NonXtal_Prot#'!A:AL,16,FALSE)-VLOOKUP(B57,'SegEnds_NonXtal_Prot#'!A:AL,11,FALSE)</f>
        <v>34</v>
      </c>
      <c r="AJ57" s="49" t="e">
        <f>VLOOKUP(B57,'SegEnds_NonXtal_Prot#'!A:AL,22,FALSE)-VLOOKUP(B57,'SegEnds_NonXtal_Prot#'!A:AL,19,FALSE)</f>
        <v>#VALUE!</v>
      </c>
      <c r="AK57" s="49">
        <f>VLOOKUP(B57,'SegEnds_NonXtal_Prot#'!A:AL,15,FALSE)-VLOOKUP(B57,'SegEnds_NonXtal_Prot#'!A:AL,14,FALSE)</f>
        <v>1</v>
      </c>
      <c r="AL57" s="49" t="e">
        <f>VLOOKUP(B57,'SegEnds_NonXtal_Prot#'!A:AL,18,FALSE)-VLOOKUP(B57,'SegEnds_NonXtal_Prot#'!A:AL,17,FALSE)</f>
        <v>#VALUE!</v>
      </c>
      <c r="AM57" s="2">
        <f>VLOOKUP(B57,'SegEnds_NonXtal_Prot#'!A:AL,34,FALSE)-VLOOKUP(B57,'SegEnds_NonXtal_Prot#'!A:AL,31,FALSE)</f>
        <v>39</v>
      </c>
    </row>
    <row r="58" spans="1:40" x14ac:dyDescent="0.2">
      <c r="A58" s="2" t="str">
        <f t="shared" si="0"/>
        <v>ptafr_human__wt</v>
      </c>
      <c r="B58" s="2" t="s">
        <v>370</v>
      </c>
      <c r="C58" s="2">
        <f>IFERROR(50+VLOOKUP($A58,'SegEnds_Xtal_Prot#'!$A:$AY,5,FALSE)-VLOOKUP($B58,'SegEnds_NonXtal_Prot#'!$A:$AL,4,FALSE),"-")</f>
        <v>27</v>
      </c>
      <c r="D58" s="2">
        <f>IFERROR(50+VLOOKUP($A58,'SegEnds_Xtal_Prot#'!$A:$AY,7,FALSE)-VLOOKUP($B58,'SegEnds_NonXtal_Prot#'!$A:$AL,4,FALSE),"-")</f>
        <v>61</v>
      </c>
      <c r="E58" s="2" t="str">
        <f>IFERROR(50+VLOOKUP($A58,'SegEnds_Xtal_Prot#'!$A:$AY,9,FALSE)-VLOOKUP($B58,'SegEnds_NonXtal_Prot#'!$A:$AL,7,FALSE),"-")</f>
        <v>-</v>
      </c>
      <c r="F58" s="2" t="str">
        <f>IFERROR(50+VLOOKUP($A58,'SegEnds_Xtal_Prot#'!$A:$AY,11,FALSE)-VLOOKUP($B58,'SegEnds_NonXtal_Prot#'!$A:$AL,7,FALSE),"-")</f>
        <v>-</v>
      </c>
      <c r="G58" s="2">
        <f>IFERROR(50+VLOOKUP($A58,'SegEnds_Xtal_Prot#'!$A:$AY,13,FALSE)-VLOOKUP($B58,'SegEnds_NonXtal_Prot#'!$A:$AL,10,FALSE),"-")</f>
        <v>36</v>
      </c>
      <c r="H58" s="2">
        <f>IFERROR(50+VLOOKUP($A58,'SegEnds_Xtal_Prot#'!$A:$AY,15,FALSE)-VLOOKUP($B58,'SegEnds_NonXtal_Prot#'!$A:$AL,10,FALSE),"-")</f>
        <v>67</v>
      </c>
      <c r="I58" s="2">
        <f>IFERROR(50+VLOOKUP($A58,'SegEnds_Xtal_Prot#'!$A:$AY,17,FALSE)-VLOOKUP($B58,'SegEnds_NonXtal_Prot#'!$A:$AL,13,FALSE),"-")</f>
        <v>49</v>
      </c>
      <c r="J58" s="2">
        <f>IFERROR(50+VLOOKUP($A58,'SegEnds_Xtal_Prot#'!$A:$AY,19,FALSE)-VLOOKUP($B58,'SegEnds_NonXtal_Prot#'!$A:$AL,13,FALSE),"-")</f>
        <v>52</v>
      </c>
      <c r="K58" s="2">
        <f>IFERROR(50+VLOOKUP($A58,'SegEnds_Xtal_Prot#'!$A:$AY,21,FALSE)-VLOOKUP($B58,'SegEnds_NonXtal_Prot#'!$A:$AL,16,FALSE),"-")</f>
        <v>21</v>
      </c>
      <c r="L58" s="2">
        <f>IFERROR(50+VLOOKUP($A58,'SegEnds_Xtal_Prot#'!$A:$AY,23,FALSE)-VLOOKUP($B58,'SegEnds_NonXtal_Prot#'!$A:$AL,16,FALSE),"-")</f>
        <v>56</v>
      </c>
      <c r="M58" s="2">
        <f>IFERROR(50+VLOOKUP($A58,'SegEnds_Xtal_Prot#'!$A:$AY,25,FALSE)-VLOOKUP($B58,'SegEnds_NonXtal_Prot#'!$A:$AL,19,FALSE),"-")</f>
        <v>50</v>
      </c>
      <c r="N58" s="2">
        <f>IFERROR(50+VLOOKUP($A58,'SegEnds_Xtal_Prot#'!$A:$AY,27,FALSE)-VLOOKUP($B58,'SegEnds_NonXtal_Prot#'!$A:$AL,19,FALSE),"-")</f>
        <v>57</v>
      </c>
      <c r="O58" s="2">
        <f>IFERROR(50+VLOOKUP($A58,'SegEnds_Xtal_Prot#'!$A:$AY,29,FALSE)-VLOOKUP($B58,'SegEnds_NonXtal_Prot#'!$A:$AL,22,FALSE),"-")</f>
        <v>38</v>
      </c>
      <c r="P58" s="2">
        <f>IFERROR(50+VLOOKUP($A58,'SegEnds_Xtal_Prot#'!$A:$AY,31,FALSE)-VLOOKUP($B58,'SegEnds_NonXtal_Prot#'!$A:$AL,22,FALSE),"-")</f>
        <v>63</v>
      </c>
      <c r="Q58" s="2">
        <f>IFERROR(50+VLOOKUP($A58,'SegEnds_Xtal_Prot#'!$A:$AY,33,FALSE)-VLOOKUP($B58,'SegEnds_NonXtal_Prot#'!$A:$AL,25,FALSE),"-")</f>
        <v>50</v>
      </c>
      <c r="R58" s="2">
        <f>IFERROR(50+VLOOKUP($A58,'SegEnds_Xtal_Prot#'!$A:$AY,35,FALSE)-VLOOKUP($B58,'SegEnds_NonXtal_Prot#'!$A:$AL,25,FALSE),"-")</f>
        <v>52</v>
      </c>
      <c r="S58" s="2">
        <f>IFERROR(50+VLOOKUP($A58,'SegEnds_Xtal_Prot#'!$A:$AY,37,FALSE)-VLOOKUP($B58,'SegEnds_NonXtal_Prot#'!$A:$AL,28,FALSE),"-")</f>
        <v>33</v>
      </c>
      <c r="T58" s="2">
        <f>IFERROR(50+VLOOKUP($A58,'SegEnds_Xtal_Prot#'!$A:$AY,39,FALSE)-VLOOKUP($B58,'SegEnds_NonXtal_Prot#'!$A:$AL,28,FALSE),"-")</f>
        <v>68</v>
      </c>
      <c r="U58" s="2">
        <f>IFERROR(50+VLOOKUP($A58,'SegEnds_Xtal_Prot#'!$A:$AY,41,FALSE)-VLOOKUP($B58,'SegEnds_NonXtal_Prot#'!$A:$AL,31,FALSE),"-")</f>
        <v>24</v>
      </c>
      <c r="V58" s="2">
        <f>IFERROR(50+VLOOKUP($A58,'SegEnds_Xtal_Prot#'!$A:$AY,43,FALSE)-VLOOKUP($B58,'SegEnds_NonXtal_Prot#'!$A:$AL,31,FALSE),"-")</f>
        <v>64</v>
      </c>
      <c r="W58" s="2">
        <f>IFERROR(50+VLOOKUP($A58,'SegEnds_Xtal_Prot#'!$A:$AY,45,FALSE)-VLOOKUP($B58,'SegEnds_NonXtal_Prot#'!$A:$AL,34,FALSE),"-")</f>
        <v>24</v>
      </c>
      <c r="X58" s="2">
        <f>IFERROR(50+VLOOKUP($A58,'SegEnds_Xtal_Prot#'!$A:$AY,47,FALSE)-VLOOKUP($B58,'SegEnds_NonXtal_Prot#'!$A:$AL,34,FALSE),"-")</f>
        <v>59</v>
      </c>
      <c r="Y58" s="2">
        <f>IFERROR(50+VLOOKUP($A58,'SegEnds_Xtal_Prot#'!$A:$AY,49,FALSE)-VLOOKUP($B58,'SegEnds_NonXtal_Prot#'!$A:$AL,37,FALSE),"-")</f>
        <v>50</v>
      </c>
      <c r="Z58" s="2">
        <f>IFERROR(50+VLOOKUP($A58,'SegEnds_Xtal_Prot#'!$A:$AY,51,FALSE)-VLOOKUP($B58,'SegEnds_NonXtal_Prot#'!$A:$AL,37,FALSE),"-")</f>
        <v>63</v>
      </c>
      <c r="AA58" s="49" t="str">
        <f>VLOOKUP(B58,Classification!A:D,2,FALSE)</f>
        <v>A</v>
      </c>
      <c r="AB58" s="94" t="str">
        <f>VLOOKUP(B58,Classification!A:D,4,0)</f>
        <v>Platelet-activatingfactor</v>
      </c>
      <c r="AC58" s="49" t="e">
        <f>VLOOKUP(B58,'SegEnds_NonXtal_Prot#'!A:AL,6,FALSE)-VLOOKUP(B58,'SegEnds_NonXtal_Prot#'!A:AL,5,FALSE)</f>
        <v>#VALUE!</v>
      </c>
      <c r="AD58" s="49" t="e">
        <f>VLOOKUP(B58,'SegEnds_NonXtal_Prot#'!A:AL,9,FALSE)-VLOOKUP(B58,'SegEnds_NonXtal_Prot#'!A:AL,8,FALSE)</f>
        <v>#VALUE!</v>
      </c>
      <c r="AE58" s="49">
        <f>VLOOKUP(B58,'SegEnds_NonXtal_Prot#'!A:AL,13,FALSE)-VLOOKUP(B58,'SegEnds_NonXtal_Prot#'!A:AL,10,FALSE)</f>
        <v>20</v>
      </c>
      <c r="AF58" s="49">
        <f>VLOOKUP(B58,'SegEnds_NonXtal_Prot#'!A:AL,12,FALSE)-VLOOKUP(B58,'SegEnds_NonXtal_Prot#'!A:AL,11,FALSE)</f>
        <v>2</v>
      </c>
      <c r="AG58" s="49">
        <f>VLOOKUP(B58,'SegEnds_NonXtal_Prot#'!A:AL,13,FALSE)-VLOOKUP(B58,'SegEnds_NonXtal_Prot#'!A:AL,11,FALSE)</f>
        <v>3</v>
      </c>
      <c r="AH58" s="49">
        <f>VLOOKUP(B58,'SegEnds_NonXtal_Prot#'!A:AL,16,FALSE)-VLOOKUP(B58,'SegEnds_NonXtal_Prot#'!A:AL,10,FALSE)</f>
        <v>52</v>
      </c>
      <c r="AI58" s="49">
        <f>VLOOKUP(B58,'SegEnds_NonXtal_Prot#'!A:AL,16,FALSE)-VLOOKUP(B58,'SegEnds_NonXtal_Prot#'!A:AL,11,FALSE)</f>
        <v>35</v>
      </c>
      <c r="AJ58" s="49">
        <f>VLOOKUP(B58,'SegEnds_NonXtal_Prot#'!A:AL,22,FALSE)-VLOOKUP(B58,'SegEnds_NonXtal_Prot#'!A:AL,19,FALSE)</f>
        <v>20</v>
      </c>
      <c r="AK58" s="49">
        <f>VLOOKUP(B58,'SegEnds_NonXtal_Prot#'!A:AL,15,FALSE)-VLOOKUP(B58,'SegEnds_NonXtal_Prot#'!A:AL,14,FALSE)</f>
        <v>1</v>
      </c>
      <c r="AL58" s="49">
        <f>VLOOKUP(B58,'SegEnds_NonXtal_Prot#'!A:AL,18,FALSE)-VLOOKUP(B58,'SegEnds_NonXtal_Prot#'!A:AL,17,FALSE)</f>
        <v>1</v>
      </c>
      <c r="AM58" s="2">
        <f>VLOOKUP(B58,'SegEnds_NonXtal_Prot#'!A:AL,34,FALSE)-VLOOKUP(B58,'SegEnds_NonXtal_Prot#'!A:AL,31,FALSE)</f>
        <v>43</v>
      </c>
    </row>
    <row r="59" spans="1:40" x14ac:dyDescent="0.2">
      <c r="A59" s="2" t="str">
        <f t="shared" si="0"/>
        <v>q80km9_hcmv__wt</v>
      </c>
      <c r="B59" s="2" t="s">
        <v>1501</v>
      </c>
      <c r="C59" s="2">
        <f>IFERROR(50+VLOOKUP($A59,'SegEnds_Xtal_Prot#'!$A:$AY,5,FALSE)-VLOOKUP($B59,'SegEnds_NonXtal_Prot#'!$A:$AL,4,FALSE),"-")</f>
        <v>24</v>
      </c>
      <c r="D59" s="2">
        <f>IFERROR(50+VLOOKUP($A59,'SegEnds_Xtal_Prot#'!$A:$AY,7,FALSE)-VLOOKUP($B59,'SegEnds_NonXtal_Prot#'!$A:$AL,4,FALSE),"-")</f>
        <v>60</v>
      </c>
      <c r="E59" s="2">
        <f>IFERROR(50+VLOOKUP($A59,'SegEnds_Xtal_Prot#'!$A:$AY,9,FALSE)-VLOOKUP($B59,'SegEnds_NonXtal_Prot#'!$A:$AL,7,FALSE),"-")</f>
        <v>48</v>
      </c>
      <c r="F59" s="2">
        <f>IFERROR(50+VLOOKUP($A59,'SegEnds_Xtal_Prot#'!$A:$AY,11,FALSE)-VLOOKUP($B59,'SegEnds_NonXtal_Prot#'!$A:$AL,7,FALSE),"-")</f>
        <v>51</v>
      </c>
      <c r="G59" s="2">
        <f>IFERROR(50+VLOOKUP($A59,'SegEnds_Xtal_Prot#'!$A:$AY,13,FALSE)-VLOOKUP($B59,'SegEnds_NonXtal_Prot#'!$A:$AL,10,FALSE),"-")</f>
        <v>37</v>
      </c>
      <c r="H59" s="2">
        <f>IFERROR(50+VLOOKUP($A59,'SegEnds_Xtal_Prot#'!$A:$AY,15,FALSE)-VLOOKUP($B59,'SegEnds_NonXtal_Prot#'!$A:$AL,10,FALSE),"-")</f>
        <v>66</v>
      </c>
      <c r="I59" s="2" t="str">
        <f>IFERROR(50+VLOOKUP($A59,'SegEnds_Xtal_Prot#'!$A:$AY,17,FALSE)-VLOOKUP($B59,'SegEnds_NonXtal_Prot#'!$A:$AL,13,FALSE),"-")</f>
        <v>-</v>
      </c>
      <c r="J59" s="2" t="str">
        <f>IFERROR(50+VLOOKUP($A59,'SegEnds_Xtal_Prot#'!$A:$AY,19,FALSE)-VLOOKUP($B59,'SegEnds_NonXtal_Prot#'!$A:$AL,13,FALSE),"-")</f>
        <v>-</v>
      </c>
      <c r="K59" s="2">
        <f>IFERROR(50+VLOOKUP($A59,'SegEnds_Xtal_Prot#'!$A:$AY,21,FALSE)-VLOOKUP($B59,'SegEnds_NonXtal_Prot#'!$A:$AL,16,FALSE),"-")</f>
        <v>21</v>
      </c>
      <c r="L59" s="2">
        <f>IFERROR(50+VLOOKUP($A59,'SegEnds_Xtal_Prot#'!$A:$AY,23,FALSE)-VLOOKUP($B59,'SegEnds_NonXtal_Prot#'!$A:$AL,16,FALSE),"-")</f>
        <v>55</v>
      </c>
      <c r="M59" s="2" t="str">
        <f>IFERROR(50+VLOOKUP($A59,'SegEnds_Xtal_Prot#'!$A:$AY,25,FALSE)-VLOOKUP($B59,'SegEnds_NonXtal_Prot#'!$A:$AL,19,FALSE),"-")</f>
        <v>-</v>
      </c>
      <c r="N59" s="2" t="str">
        <f>IFERROR(50+VLOOKUP($A59,'SegEnds_Xtal_Prot#'!$A:$AY,27,FALSE)-VLOOKUP($B59,'SegEnds_NonXtal_Prot#'!$A:$AL,19,FALSE),"-")</f>
        <v>-</v>
      </c>
      <c r="O59" s="2">
        <f>IFERROR(50+VLOOKUP($A59,'SegEnds_Xtal_Prot#'!$A:$AY,29,FALSE)-VLOOKUP($B59,'SegEnds_NonXtal_Prot#'!$A:$AL,22,FALSE),"-")</f>
        <v>38</v>
      </c>
      <c r="P59" s="2">
        <f>IFERROR(50+VLOOKUP($A59,'SegEnds_Xtal_Prot#'!$A:$AY,31,FALSE)-VLOOKUP($B59,'SegEnds_NonXtal_Prot#'!$A:$AL,22,FALSE),"-")</f>
        <v>62</v>
      </c>
      <c r="Q59" s="2">
        <f>IFERROR(50+VLOOKUP($A59,'SegEnds_Xtal_Prot#'!$A:$AY,33,FALSE)-VLOOKUP($B59,'SegEnds_NonXtal_Prot#'!$A:$AL,25,FALSE),"-")</f>
        <v>50</v>
      </c>
      <c r="R59" s="2">
        <f>IFERROR(50+VLOOKUP($A59,'SegEnds_Xtal_Prot#'!$A:$AY,35,FALSE)-VLOOKUP($B59,'SegEnds_NonXtal_Prot#'!$A:$AL,25,FALSE),"-")</f>
        <v>52</v>
      </c>
      <c r="S59" s="2">
        <f>IFERROR(50+VLOOKUP($A59,'SegEnds_Xtal_Prot#'!$A:$AY,37,FALSE)-VLOOKUP($B59,'SegEnds_NonXtal_Prot#'!$A:$AL,28,FALSE),"-")</f>
        <v>33</v>
      </c>
      <c r="T59" s="2">
        <f>IFERROR(50+VLOOKUP($A59,'SegEnds_Xtal_Prot#'!$A:$AY,39,FALSE)-VLOOKUP($B59,'SegEnds_NonXtal_Prot#'!$A:$AL,28,FALSE),"-")</f>
        <v>68</v>
      </c>
      <c r="U59" s="2">
        <f>IFERROR(50+VLOOKUP($A59,'SegEnds_Xtal_Prot#'!$A:$AY,41,FALSE)-VLOOKUP($B59,'SegEnds_NonXtal_Prot#'!$A:$AL,31,FALSE),"-")</f>
        <v>29</v>
      </c>
      <c r="V59" s="2">
        <f>IFERROR(50+VLOOKUP($A59,'SegEnds_Xtal_Prot#'!$A:$AY,43,FALSE)-VLOOKUP($B59,'SegEnds_NonXtal_Prot#'!$A:$AL,31,FALSE),"-")</f>
        <v>64</v>
      </c>
      <c r="W59" s="2">
        <f>IFERROR(50+VLOOKUP($A59,'SegEnds_Xtal_Prot#'!$A:$AY,45,FALSE)-VLOOKUP($B59,'SegEnds_NonXtal_Prot#'!$A:$AL,34,FALSE),"-")</f>
        <v>24</v>
      </c>
      <c r="X59" s="2">
        <f>IFERROR(50+VLOOKUP($A59,'SegEnds_Xtal_Prot#'!$A:$AY,47,FALSE)-VLOOKUP($B59,'SegEnds_NonXtal_Prot#'!$A:$AL,34,FALSE),"-")</f>
        <v>56</v>
      </c>
      <c r="Y59" s="2">
        <f>IFERROR(50+VLOOKUP($A59,'SegEnds_Xtal_Prot#'!$A:$AY,49,FALSE)-VLOOKUP($B59,'SegEnds_NonXtal_Prot#'!$A:$AL,37,FALSE),"-")</f>
        <v>47</v>
      </c>
      <c r="Z59" s="2">
        <f>IFERROR(50+VLOOKUP($A59,'SegEnds_Xtal_Prot#'!$A:$AY,51,FALSE)-VLOOKUP($B59,'SegEnds_NonXtal_Prot#'!$A:$AL,37,FALSE),"-")</f>
        <v>62</v>
      </c>
      <c r="AA59" s="49" t="str">
        <f>VLOOKUP(B59,Classification!A:D,2,FALSE)</f>
        <v>A</v>
      </c>
      <c r="AB59" s="94" t="str">
        <f>VLOOKUP(B59,Classification!A:D,4,0)</f>
        <v>Chemokine</v>
      </c>
      <c r="AC59" s="49">
        <f>VLOOKUP(B59,'SegEnds_NonXtal_Prot#'!A:AL,6,FALSE)-VLOOKUP(B59,'SegEnds_NonXtal_Prot#'!A:AL,5,FALSE)</f>
        <v>1</v>
      </c>
      <c r="AD59" s="49">
        <f>VLOOKUP(B59,'SegEnds_NonXtal_Prot#'!A:AL,9,FALSE)-VLOOKUP(B59,'SegEnds_NonXtal_Prot#'!A:AL,8,FALSE)</f>
        <v>1</v>
      </c>
      <c r="AE59" s="49" t="e">
        <f>VLOOKUP(B59,'SegEnds_NonXtal_Prot#'!A:AL,13,FALSE)-VLOOKUP(B59,'SegEnds_NonXtal_Prot#'!A:AL,10,FALSE)</f>
        <v>#VALUE!</v>
      </c>
      <c r="AF59" s="49" t="e">
        <f>VLOOKUP(B59,'SegEnds_NonXtal_Prot#'!A:AL,12,FALSE)-VLOOKUP(B59,'SegEnds_NonXtal_Prot#'!A:AL,11,FALSE)</f>
        <v>#VALUE!</v>
      </c>
      <c r="AG59" s="49" t="e">
        <f>VLOOKUP(B59,'SegEnds_NonXtal_Prot#'!A:AL,13,FALSE)-VLOOKUP(B59,'SegEnds_NonXtal_Prot#'!A:AL,11,FALSE)</f>
        <v>#VALUE!</v>
      </c>
      <c r="AH59" s="49">
        <f>VLOOKUP(B59,'SegEnds_NonXtal_Prot#'!A:AL,16,FALSE)-VLOOKUP(B59,'SegEnds_NonXtal_Prot#'!A:AL,10,FALSE)</f>
        <v>50</v>
      </c>
      <c r="AI59" s="49">
        <f>VLOOKUP(B59,'SegEnds_NonXtal_Prot#'!A:AL,16,FALSE)-VLOOKUP(B59,'SegEnds_NonXtal_Prot#'!A:AL,11,FALSE)</f>
        <v>34</v>
      </c>
      <c r="AJ59" s="49" t="e">
        <f>VLOOKUP(B59,'SegEnds_NonXtal_Prot#'!A:AL,22,FALSE)-VLOOKUP(B59,'SegEnds_NonXtal_Prot#'!A:AL,19,FALSE)</f>
        <v>#VALUE!</v>
      </c>
      <c r="AK59" s="49" t="e">
        <f>VLOOKUP(B59,'SegEnds_NonXtal_Prot#'!A:AL,15,FALSE)-VLOOKUP(B59,'SegEnds_NonXtal_Prot#'!A:AL,14,FALSE)</f>
        <v>#VALUE!</v>
      </c>
      <c r="AL59" s="49" t="e">
        <f>VLOOKUP(B59,'SegEnds_NonXtal_Prot#'!A:AL,18,FALSE)-VLOOKUP(B59,'SegEnds_NonXtal_Prot#'!A:AL,17,FALSE)</f>
        <v>#VALUE!</v>
      </c>
      <c r="AM59" s="2">
        <f>VLOOKUP(B59,'SegEnds_NonXtal_Prot#'!A:AL,34,FALSE)-VLOOKUP(B59,'SegEnds_NonXtal_Prot#'!A:AL,31,FALSE)</f>
        <v>45</v>
      </c>
    </row>
    <row r="60" spans="1:40" x14ac:dyDescent="0.2">
      <c r="A60" s="2" t="str">
        <f t="shared" si="0"/>
        <v>calrl_human__wt</v>
      </c>
      <c r="B60" s="2" t="s">
        <v>401</v>
      </c>
      <c r="C60" s="2">
        <f>IFERROR(50+VLOOKUP($A60,'SegEnds_Xtal_Prot#'!$A:$AY,5,FALSE)-VLOOKUP($B60,'SegEnds_NonXtal_Prot#'!$A:$AL,4,FALSE),"-")</f>
        <v>24</v>
      </c>
      <c r="D60" s="2">
        <f>IFERROR(50+VLOOKUP($A60,'SegEnds_Xtal_Prot#'!$A:$AY,7,FALSE)-VLOOKUP($B60,'SegEnds_NonXtal_Prot#'!$A:$AL,4,FALSE),"-")</f>
        <v>60</v>
      </c>
      <c r="E60" s="2">
        <f>IFERROR(50+VLOOKUP($A60,'SegEnds_Xtal_Prot#'!$A:$AY,9,FALSE)-VLOOKUP($B60,'SegEnds_NonXtal_Prot#'!$A:$AL,7,FALSE),"-")</f>
        <v>48</v>
      </c>
      <c r="F60" s="2">
        <f>IFERROR(50+VLOOKUP($A60,'SegEnds_Xtal_Prot#'!$A:$AY,11,FALSE)-VLOOKUP($B60,'SegEnds_NonXtal_Prot#'!$A:$AL,7,FALSE),"-")</f>
        <v>51</v>
      </c>
      <c r="G60" s="2">
        <f>IFERROR(50+VLOOKUP($A60,'SegEnds_Xtal_Prot#'!$A:$AY,13,FALSE)-VLOOKUP($B60,'SegEnds_NonXtal_Prot#'!$A:$AL,10,FALSE),"-")</f>
        <v>37</v>
      </c>
      <c r="H60" s="2">
        <f>IFERROR(50+VLOOKUP($A60,'SegEnds_Xtal_Prot#'!$A:$AY,15,FALSE)-VLOOKUP($B60,'SegEnds_NonXtal_Prot#'!$A:$AL,10,FALSE),"-")</f>
        <v>64</v>
      </c>
      <c r="I60" s="2" t="str">
        <f>IFERROR(50+VLOOKUP($A60,'SegEnds_Xtal_Prot#'!$A:$AY,17,FALSE)-VLOOKUP($B60,'SegEnds_NonXtal_Prot#'!$A:$AL,13,FALSE),"-")</f>
        <v>-</v>
      </c>
      <c r="J60" s="2" t="str">
        <f>IFERROR(50+VLOOKUP($A60,'SegEnds_Xtal_Prot#'!$A:$AY,19,FALSE)-VLOOKUP($B60,'SegEnds_NonXtal_Prot#'!$A:$AL,13,FALSE),"-")</f>
        <v>-</v>
      </c>
      <c r="K60" s="2">
        <f>IFERROR(50+VLOOKUP($A60,'SegEnds_Xtal_Prot#'!$A:$AY,21,FALSE)-VLOOKUP($B60,'SegEnds_NonXtal_Prot#'!$A:$AL,16,FALSE),"-")</f>
        <v>23</v>
      </c>
      <c r="L60" s="2">
        <f>IFERROR(50+VLOOKUP($A60,'SegEnds_Xtal_Prot#'!$A:$AY,23,FALSE)-VLOOKUP($B60,'SegEnds_NonXtal_Prot#'!$A:$AL,16,FALSE),"-")</f>
        <v>56</v>
      </c>
      <c r="M60" s="2" t="str">
        <f>IFERROR(50+VLOOKUP($A60,'SegEnds_Xtal_Prot#'!$A:$AY,25,FALSE)-VLOOKUP($B60,'SegEnds_NonXtal_Prot#'!$A:$AL,19,FALSE),"-")</f>
        <v>-</v>
      </c>
      <c r="N60" s="2" t="str">
        <f>IFERROR(50+VLOOKUP($A60,'SegEnds_Xtal_Prot#'!$A:$AY,27,FALSE)-VLOOKUP($B60,'SegEnds_NonXtal_Prot#'!$A:$AL,19,FALSE),"-")</f>
        <v>-</v>
      </c>
      <c r="O60" s="2">
        <f>IFERROR(50+VLOOKUP($A60,'SegEnds_Xtal_Prot#'!$A:$AY,29,FALSE)-VLOOKUP($B60,'SegEnds_NonXtal_Prot#'!$A:$AL,22,FALSE),"-")</f>
        <v>41</v>
      </c>
      <c r="P60" s="2">
        <f>IFERROR(50+VLOOKUP($A60,'SegEnds_Xtal_Prot#'!$A:$AY,31,FALSE)-VLOOKUP($B60,'SegEnds_NonXtal_Prot#'!$A:$AL,22,FALSE),"-")</f>
        <v>67</v>
      </c>
      <c r="Q60" s="2">
        <f>IFERROR(50+VLOOKUP($A60,'SegEnds_Xtal_Prot#'!$A:$AY,33,FALSE)-VLOOKUP($B60,'SegEnds_NonXtal_Prot#'!$A:$AL,25,FALSE),"-")</f>
        <v>50</v>
      </c>
      <c r="R60" s="2">
        <f>IFERROR(50+VLOOKUP($A60,'SegEnds_Xtal_Prot#'!$A:$AY,35,FALSE)-VLOOKUP($B60,'SegEnds_NonXtal_Prot#'!$A:$AL,25,FALSE),"-")</f>
        <v>52</v>
      </c>
      <c r="S60" s="2">
        <f>IFERROR(50+VLOOKUP($A60,'SegEnds_Xtal_Prot#'!$A:$AY,37,FALSE)-VLOOKUP($B60,'SegEnds_NonXtal_Prot#'!$A:$AL,28,FALSE),"-")</f>
        <v>39</v>
      </c>
      <c r="T60" s="2">
        <f>IFERROR(50+VLOOKUP($A60,'SegEnds_Xtal_Prot#'!$A:$AY,39,FALSE)-VLOOKUP($B60,'SegEnds_NonXtal_Prot#'!$A:$AL,28,FALSE),"-")</f>
        <v>70</v>
      </c>
      <c r="U60" s="2">
        <f>IFERROR(50+VLOOKUP($A60,'SegEnds_Xtal_Prot#'!$A:$AY,41,FALSE)-VLOOKUP($B60,'SegEnds_NonXtal_Prot#'!$A:$AL,31,FALSE),"-")</f>
        <v>30</v>
      </c>
      <c r="V60" s="2">
        <f>IFERROR(50+VLOOKUP($A60,'SegEnds_Xtal_Prot#'!$A:$AY,43,FALSE)-VLOOKUP($B60,'SegEnds_NonXtal_Prot#'!$A:$AL,31,FALSE),"-")</f>
        <v>53</v>
      </c>
      <c r="W60" s="2">
        <f>IFERROR(50+VLOOKUP($A60,'SegEnds_Xtal_Prot#'!$A:$AY,45,FALSE)-VLOOKUP($B60,'SegEnds_NonXtal_Prot#'!$A:$AL,34,FALSE),"-")</f>
        <v>28</v>
      </c>
      <c r="X60" s="2">
        <f>IFERROR(50+VLOOKUP($A60,'SegEnds_Xtal_Prot#'!$A:$AY,47,FALSE)-VLOOKUP($B60,'SegEnds_NonXtal_Prot#'!$A:$AL,34,FALSE),"-")</f>
        <v>56</v>
      </c>
      <c r="Y60" s="2">
        <f>IFERROR(50+VLOOKUP($A60,'SegEnds_Xtal_Prot#'!$A:$AY,49,FALSE)-VLOOKUP($B60,'SegEnds_NonXtal_Prot#'!$A:$AL,37,FALSE),"-")</f>
        <v>47</v>
      </c>
      <c r="Z60" s="2">
        <f>IFERROR(50+VLOOKUP($A60,'SegEnds_Xtal_Prot#'!$A:$AY,51,FALSE)-VLOOKUP($B60,'SegEnds_NonXtal_Prot#'!$A:$AL,37,FALSE),"-")</f>
        <v>72</v>
      </c>
      <c r="AA60" s="49" t="str">
        <f>VLOOKUP(B60,Classification!A:D,2,FALSE)</f>
        <v>B1</v>
      </c>
      <c r="AB60" s="94" t="str">
        <f>VLOOKUP(B60,Classification!A:D,4,0)</f>
        <v>Calcitonin</v>
      </c>
      <c r="AC60" s="49">
        <f>VLOOKUP(B60,'SegEnds_NonXtal_Prot#'!A:AL,6,FALSE)-VLOOKUP(B60,'SegEnds_NonXtal_Prot#'!A:AL,5,FALSE)</f>
        <v>1</v>
      </c>
      <c r="AD60" s="49">
        <f>VLOOKUP(B60,'SegEnds_NonXtal_Prot#'!A:AL,9,FALSE)-VLOOKUP(B60,'SegEnds_NonXtal_Prot#'!A:AL,8,FALSE)</f>
        <v>1</v>
      </c>
      <c r="AE60" s="49" t="e">
        <f>VLOOKUP(B60,'SegEnds_NonXtal_Prot#'!A:AL,13,FALSE)-VLOOKUP(B60,'SegEnds_NonXtal_Prot#'!A:AL,10,FALSE)</f>
        <v>#VALUE!</v>
      </c>
      <c r="AF60" s="49" t="e">
        <f>VLOOKUP(B60,'SegEnds_NonXtal_Prot#'!A:AL,12,FALSE)-VLOOKUP(B60,'SegEnds_NonXtal_Prot#'!A:AL,11,FALSE)</f>
        <v>#VALUE!</v>
      </c>
      <c r="AG60" s="49" t="e">
        <f>VLOOKUP(B60,'SegEnds_NonXtal_Prot#'!A:AL,13,FALSE)-VLOOKUP(B60,'SegEnds_NonXtal_Prot#'!A:AL,11,FALSE)</f>
        <v>#VALUE!</v>
      </c>
      <c r="AH60" s="49">
        <f>VLOOKUP(B60,'SegEnds_NonXtal_Prot#'!A:AL,16,FALSE)-VLOOKUP(B60,'SegEnds_NonXtal_Prot#'!A:AL,10,FALSE)</f>
        <v>53</v>
      </c>
      <c r="AI60" s="49">
        <f>VLOOKUP(B60,'SegEnds_NonXtal_Prot#'!A:AL,16,FALSE)-VLOOKUP(B60,'SegEnds_NonXtal_Prot#'!A:AL,11,FALSE)</f>
        <v>39</v>
      </c>
      <c r="AJ60" s="49" t="e">
        <f>VLOOKUP(B60,'SegEnds_NonXtal_Prot#'!A:AL,22,FALSE)-VLOOKUP(B60,'SegEnds_NonXtal_Prot#'!A:AL,19,FALSE)</f>
        <v>#VALUE!</v>
      </c>
      <c r="AK60" s="49" t="e">
        <f>VLOOKUP(B60,'SegEnds_NonXtal_Prot#'!A:AL,15,FALSE)-VLOOKUP(B60,'SegEnds_NonXtal_Prot#'!A:AL,14,FALSE)</f>
        <v>#VALUE!</v>
      </c>
      <c r="AL60" s="49" t="e">
        <f>VLOOKUP(B60,'SegEnds_NonXtal_Prot#'!A:AL,18,FALSE)-VLOOKUP(B60,'SegEnds_NonXtal_Prot#'!A:AL,17,FALSE)</f>
        <v>#VALUE!</v>
      </c>
      <c r="AM60" s="2">
        <f>VLOOKUP(B60,'SegEnds_NonXtal_Prot#'!A:AL,34,FALSE)-VLOOKUP(B60,'SegEnds_NonXtal_Prot#'!A:AL,31,FALSE)</f>
        <v>30</v>
      </c>
    </row>
    <row r="61" spans="1:40" x14ac:dyDescent="0.2">
      <c r="A61" s="2" t="str">
        <f t="shared" si="0"/>
        <v>pd2r2_human__wt</v>
      </c>
      <c r="B61" s="2" t="s">
        <v>359</v>
      </c>
      <c r="C61" s="2">
        <f>IFERROR(50+VLOOKUP($A61,'SegEnds_Xtal_Prot#'!$A:$AY,5,FALSE)-VLOOKUP($B61,'SegEnds_NonXtal_Prot#'!$A:$AL,4,FALSE),"-")</f>
        <v>32</v>
      </c>
      <c r="D61" s="2">
        <f>IFERROR(50+VLOOKUP($A61,'SegEnds_Xtal_Prot#'!$A:$AY,7,FALSE)-VLOOKUP($B61,'SegEnds_NonXtal_Prot#'!$A:$AL,4,FALSE),"-")</f>
        <v>60</v>
      </c>
      <c r="E61" s="2" t="str">
        <f>IFERROR(50+VLOOKUP($A61,'SegEnds_Xtal_Prot#'!$A:$AY,9,FALSE)-VLOOKUP($B61,'SegEnds_NonXtal_Prot#'!$A:$AL,7,FALSE),"-")</f>
        <v>-</v>
      </c>
      <c r="F61" s="2" t="str">
        <f>IFERROR(50+VLOOKUP($A61,'SegEnds_Xtal_Prot#'!$A:$AY,11,FALSE)-VLOOKUP($B61,'SegEnds_NonXtal_Prot#'!$A:$AL,7,FALSE),"-")</f>
        <v>-</v>
      </c>
      <c r="G61" s="2">
        <f>IFERROR(50+VLOOKUP($A61,'SegEnds_Xtal_Prot#'!$A:$AY,13,FALSE)-VLOOKUP($B61,'SegEnds_NonXtal_Prot#'!$A:$AL,10,FALSE),"-")</f>
        <v>37</v>
      </c>
      <c r="H61" s="2">
        <f>IFERROR(50+VLOOKUP($A61,'SegEnds_Xtal_Prot#'!$A:$AY,15,FALSE)-VLOOKUP($B61,'SegEnds_NonXtal_Prot#'!$A:$AL,10,FALSE),"-")</f>
        <v>67</v>
      </c>
      <c r="I61" s="2">
        <f>IFERROR(50+VLOOKUP($A61,'SegEnds_Xtal_Prot#'!$A:$AY,17,FALSE)-VLOOKUP($B61,'SegEnds_NonXtal_Prot#'!$A:$AL,13,FALSE),"-")</f>
        <v>49</v>
      </c>
      <c r="J61" s="2">
        <f>IFERROR(50+VLOOKUP($A61,'SegEnds_Xtal_Prot#'!$A:$AY,19,FALSE)-VLOOKUP($B61,'SegEnds_NonXtal_Prot#'!$A:$AL,13,FALSE),"-")</f>
        <v>52</v>
      </c>
      <c r="K61" s="2">
        <f>IFERROR(50+VLOOKUP($A61,'SegEnds_Xtal_Prot#'!$A:$AY,21,FALSE)-VLOOKUP($B61,'SegEnds_NonXtal_Prot#'!$A:$AL,16,FALSE),"-")</f>
        <v>21</v>
      </c>
      <c r="L61" s="2">
        <f>IFERROR(50+VLOOKUP($A61,'SegEnds_Xtal_Prot#'!$A:$AY,23,FALSE)-VLOOKUP($B61,'SegEnds_NonXtal_Prot#'!$A:$AL,16,FALSE),"-")</f>
        <v>56</v>
      </c>
      <c r="M61" s="2">
        <f>IFERROR(50+VLOOKUP($A61,'SegEnds_Xtal_Prot#'!$A:$AY,25,FALSE)-VLOOKUP($B61,'SegEnds_NonXtal_Prot#'!$A:$AL,19,FALSE),"-")</f>
        <v>50</v>
      </c>
      <c r="N61" s="2">
        <f>IFERROR(50+VLOOKUP($A61,'SegEnds_Xtal_Prot#'!$A:$AY,27,FALSE)-VLOOKUP($B61,'SegEnds_NonXtal_Prot#'!$A:$AL,19,FALSE),"-")</f>
        <v>57</v>
      </c>
      <c r="O61" s="2">
        <f>IFERROR(50+VLOOKUP($A61,'SegEnds_Xtal_Prot#'!$A:$AY,29,FALSE)-VLOOKUP($B61,'SegEnds_NonXtal_Prot#'!$A:$AL,22,FALSE),"-")</f>
        <v>38</v>
      </c>
      <c r="P61" s="2">
        <f>IFERROR(50+VLOOKUP($A61,'SegEnds_Xtal_Prot#'!$A:$AY,31,FALSE)-VLOOKUP($B61,'SegEnds_NonXtal_Prot#'!$A:$AL,22,FALSE),"-")</f>
        <v>64</v>
      </c>
      <c r="Q61" s="2">
        <f>IFERROR(50+VLOOKUP($A61,'SegEnds_Xtal_Prot#'!$A:$AY,33,FALSE)-VLOOKUP($B61,'SegEnds_NonXtal_Prot#'!$A:$AL,25,FALSE),"-")</f>
        <v>50</v>
      </c>
      <c r="R61" s="2">
        <f>IFERROR(50+VLOOKUP($A61,'SegEnds_Xtal_Prot#'!$A:$AY,35,FALSE)-VLOOKUP($B61,'SegEnds_NonXtal_Prot#'!$A:$AL,25,FALSE),"-")</f>
        <v>52</v>
      </c>
      <c r="S61" s="2">
        <f>IFERROR(50+VLOOKUP($A61,'SegEnds_Xtal_Prot#'!$A:$AY,37,FALSE)-VLOOKUP($B61,'SegEnds_NonXtal_Prot#'!$A:$AL,28,FALSE),"-")</f>
        <v>26</v>
      </c>
      <c r="T61" s="2">
        <f>IFERROR(50+VLOOKUP($A61,'SegEnds_Xtal_Prot#'!$A:$AY,39,FALSE)-VLOOKUP($B61,'SegEnds_NonXtal_Prot#'!$A:$AL,28,FALSE),"-")</f>
        <v>68</v>
      </c>
      <c r="U61" s="2">
        <f>IFERROR(50+VLOOKUP($A61,'SegEnds_Xtal_Prot#'!$A:$AY,41,FALSE)-VLOOKUP($B61,'SegEnds_NonXtal_Prot#'!$A:$AL,31,FALSE),"-")</f>
        <v>30</v>
      </c>
      <c r="V61" s="2">
        <f>IFERROR(50+VLOOKUP($A61,'SegEnds_Xtal_Prot#'!$A:$AY,43,FALSE)-VLOOKUP($B61,'SegEnds_NonXtal_Prot#'!$A:$AL,31,FALSE),"-")</f>
        <v>61</v>
      </c>
      <c r="W61" s="2">
        <f>IFERROR(50+VLOOKUP($A61,'SegEnds_Xtal_Prot#'!$A:$AY,45,FALSE)-VLOOKUP($B61,'SegEnds_NonXtal_Prot#'!$A:$AL,34,FALSE),"-")</f>
        <v>27</v>
      </c>
      <c r="X61" s="2">
        <f>IFERROR(50+VLOOKUP($A61,'SegEnds_Xtal_Prot#'!$A:$AY,47,FALSE)-VLOOKUP($B61,'SegEnds_NonXtal_Prot#'!$A:$AL,34,FALSE),"-")</f>
        <v>56</v>
      </c>
      <c r="Y61" s="2">
        <f>IFERROR(50+VLOOKUP($A61,'SegEnds_Xtal_Prot#'!$A:$AY,49,FALSE)-VLOOKUP($B61,'SegEnds_NonXtal_Prot#'!$A:$AL,37,FALSE),"-")</f>
        <v>47</v>
      </c>
      <c r="Z61" s="2">
        <f>IFERROR(50+VLOOKUP($A61,'SegEnds_Xtal_Prot#'!$A:$AY,51,FALSE)-VLOOKUP($B61,'SegEnds_NonXtal_Prot#'!$A:$AL,37,FALSE),"-")</f>
        <v>64</v>
      </c>
      <c r="AA61" s="49" t="str">
        <f>VLOOKUP(B61,Classification!A:D,2,FALSE)</f>
        <v>A</v>
      </c>
      <c r="AB61" s="94" t="str">
        <f>VLOOKUP(B61,Classification!A:D,4,0)</f>
        <v>Prostanoid</v>
      </c>
      <c r="AC61" s="49" t="e">
        <f>VLOOKUP(B61,'SegEnds_NonXtal_Prot#'!A:AL,6,FALSE)-VLOOKUP(B61,'SegEnds_NonXtal_Prot#'!A:AL,5,FALSE)</f>
        <v>#VALUE!</v>
      </c>
      <c r="AD61" s="49" t="e">
        <f>VLOOKUP(B61,'SegEnds_NonXtal_Prot#'!A:AL,9,FALSE)-VLOOKUP(B61,'SegEnds_NonXtal_Prot#'!A:AL,8,FALSE)</f>
        <v>#VALUE!</v>
      </c>
      <c r="AE61" s="49">
        <f>VLOOKUP(B61,'SegEnds_NonXtal_Prot#'!A:AL,13,FALSE)-VLOOKUP(B61,'SegEnds_NonXtal_Prot#'!A:AL,10,FALSE)</f>
        <v>20</v>
      </c>
      <c r="AF61" s="49">
        <f>VLOOKUP(B61,'SegEnds_NonXtal_Prot#'!A:AL,12,FALSE)-VLOOKUP(B61,'SegEnds_NonXtal_Prot#'!A:AL,11,FALSE)</f>
        <v>2</v>
      </c>
      <c r="AG61" s="49">
        <f>VLOOKUP(B61,'SegEnds_NonXtal_Prot#'!A:AL,13,FALSE)-VLOOKUP(B61,'SegEnds_NonXtal_Prot#'!A:AL,11,FALSE)</f>
        <v>3</v>
      </c>
      <c r="AH61" s="49">
        <f>VLOOKUP(B61,'SegEnds_NonXtal_Prot#'!A:AL,16,FALSE)-VLOOKUP(B61,'SegEnds_NonXtal_Prot#'!A:AL,10,FALSE)</f>
        <v>52</v>
      </c>
      <c r="AI61" s="49">
        <f>VLOOKUP(B61,'SegEnds_NonXtal_Prot#'!A:AL,16,FALSE)-VLOOKUP(B61,'SegEnds_NonXtal_Prot#'!A:AL,11,FALSE)</f>
        <v>35</v>
      </c>
      <c r="AJ61" s="49">
        <f>VLOOKUP(B61,'SegEnds_NonXtal_Prot#'!A:AL,22,FALSE)-VLOOKUP(B61,'SegEnds_NonXtal_Prot#'!A:AL,19,FALSE)</f>
        <v>20</v>
      </c>
      <c r="AK61" s="49">
        <f>VLOOKUP(B61,'SegEnds_NonXtal_Prot#'!A:AL,15,FALSE)-VLOOKUP(B61,'SegEnds_NonXtal_Prot#'!A:AL,14,FALSE)</f>
        <v>1</v>
      </c>
      <c r="AL61" s="49">
        <f>VLOOKUP(B61,'SegEnds_NonXtal_Prot#'!A:AL,18,FALSE)-VLOOKUP(B61,'SegEnds_NonXtal_Prot#'!A:AL,17,FALSE)</f>
        <v>1</v>
      </c>
      <c r="AM61" s="2">
        <f>VLOOKUP(B61,'SegEnds_NonXtal_Prot#'!A:AL,34,FALSE)-VLOOKUP(B61,'SegEnds_NonXtal_Prot#'!A:AL,31,FALSE)</f>
        <v>40</v>
      </c>
    </row>
    <row r="62" spans="1:40" x14ac:dyDescent="0.2">
      <c r="A62" s="2" t="str">
        <f t="shared" si="0"/>
        <v>pth1r_human__wt</v>
      </c>
      <c r="B62" s="2" t="s">
        <v>408</v>
      </c>
      <c r="C62" s="2">
        <f>IFERROR(50+VLOOKUP($A62,'SegEnds_Xtal_Prot#'!$A:$AY,5,FALSE)-VLOOKUP($B62,'SegEnds_NonXtal_Prot#'!$A:$AL,4,FALSE),"-")</f>
        <v>21</v>
      </c>
      <c r="D62" s="2">
        <f>IFERROR(50+VLOOKUP($A62,'SegEnds_Xtal_Prot#'!$A:$AY,7,FALSE)-VLOOKUP($B62,'SegEnds_NonXtal_Prot#'!$A:$AL,4,FALSE),"-")</f>
        <v>60</v>
      </c>
      <c r="E62" s="2">
        <f>IFERROR(50+VLOOKUP($A62,'SegEnds_Xtal_Prot#'!$A:$AY,9,FALSE)-VLOOKUP($B62,'SegEnds_NonXtal_Prot#'!$A:$AL,7,FALSE),"-")</f>
        <v>48</v>
      </c>
      <c r="F62" s="2">
        <f>IFERROR(50+VLOOKUP($A62,'SegEnds_Xtal_Prot#'!$A:$AY,11,FALSE)-VLOOKUP($B62,'SegEnds_NonXtal_Prot#'!$A:$AL,7,FALSE),"-")</f>
        <v>51</v>
      </c>
      <c r="G62" s="2">
        <f>IFERROR(50+VLOOKUP($A62,'SegEnds_Xtal_Prot#'!$A:$AY,13,FALSE)-VLOOKUP($B62,'SegEnds_NonXtal_Prot#'!$A:$AL,10,FALSE),"-")</f>
        <v>37</v>
      </c>
      <c r="H62" s="2">
        <f>IFERROR(50+VLOOKUP($A62,'SegEnds_Xtal_Prot#'!$A:$AY,15,FALSE)-VLOOKUP($B62,'SegEnds_NonXtal_Prot#'!$A:$AL,10,FALSE),"-")</f>
        <v>69</v>
      </c>
      <c r="I62" s="2" t="str">
        <f>IFERROR(50+VLOOKUP($A62,'SegEnds_Xtal_Prot#'!$A:$AY,17,FALSE)-VLOOKUP($B62,'SegEnds_NonXtal_Prot#'!$A:$AL,13,FALSE),"-")</f>
        <v>-</v>
      </c>
      <c r="J62" s="2" t="str">
        <f>IFERROR(50+VLOOKUP($A62,'SegEnds_Xtal_Prot#'!$A:$AY,19,FALSE)-VLOOKUP($B62,'SegEnds_NonXtal_Prot#'!$A:$AL,13,FALSE),"-")</f>
        <v>-</v>
      </c>
      <c r="K62" s="2">
        <f>IFERROR(50+VLOOKUP($A62,'SegEnds_Xtal_Prot#'!$A:$AY,21,FALSE)-VLOOKUP($B62,'SegEnds_NonXtal_Prot#'!$A:$AL,16,FALSE),"-")</f>
        <v>21</v>
      </c>
      <c r="L62" s="2">
        <f>IFERROR(50+VLOOKUP($A62,'SegEnds_Xtal_Prot#'!$A:$AY,23,FALSE)-VLOOKUP($B62,'SegEnds_NonXtal_Prot#'!$A:$AL,16,FALSE),"-")</f>
        <v>56</v>
      </c>
      <c r="M62" s="2" t="str">
        <f>IFERROR(50+VLOOKUP($A62,'SegEnds_Xtal_Prot#'!$A:$AY,25,FALSE)-VLOOKUP($B62,'SegEnds_NonXtal_Prot#'!$A:$AL,19,FALSE),"-")</f>
        <v>-</v>
      </c>
      <c r="N62" s="2" t="str">
        <f>IFERROR(50+VLOOKUP($A62,'SegEnds_Xtal_Prot#'!$A:$AY,27,FALSE)-VLOOKUP($B62,'SegEnds_NonXtal_Prot#'!$A:$AL,19,FALSE),"-")</f>
        <v>-</v>
      </c>
      <c r="O62" s="2">
        <f>IFERROR(50+VLOOKUP($A62,'SegEnds_Xtal_Prot#'!$A:$AY,29,FALSE)-VLOOKUP($B62,'SegEnds_NonXtal_Prot#'!$A:$AL,22,FALSE),"-")</f>
        <v>37</v>
      </c>
      <c r="P62" s="2">
        <f>IFERROR(50+VLOOKUP($A62,'SegEnds_Xtal_Prot#'!$A:$AY,31,FALSE)-VLOOKUP($B62,'SegEnds_NonXtal_Prot#'!$A:$AL,22,FALSE),"-")</f>
        <v>68</v>
      </c>
      <c r="Q62" s="2">
        <f>IFERROR(50+VLOOKUP($A62,'SegEnds_Xtal_Prot#'!$A:$AY,33,FALSE)-VLOOKUP($B62,'SegEnds_NonXtal_Prot#'!$A:$AL,25,FALSE),"-")</f>
        <v>50</v>
      </c>
      <c r="R62" s="2">
        <f>IFERROR(50+VLOOKUP($A62,'SegEnds_Xtal_Prot#'!$A:$AY,35,FALSE)-VLOOKUP($B62,'SegEnds_NonXtal_Prot#'!$A:$AL,25,FALSE),"-")</f>
        <v>52</v>
      </c>
      <c r="S62" s="2">
        <f>IFERROR(50+VLOOKUP($A62,'SegEnds_Xtal_Prot#'!$A:$AY,37,FALSE)-VLOOKUP($B62,'SegEnds_NonXtal_Prot#'!$A:$AL,28,FALSE),"-")</f>
        <v>37</v>
      </c>
      <c r="T62" s="2">
        <f>IFERROR(50+VLOOKUP($A62,'SegEnds_Xtal_Prot#'!$A:$AY,39,FALSE)-VLOOKUP($B62,'SegEnds_NonXtal_Prot#'!$A:$AL,28,FALSE),"-")</f>
        <v>69</v>
      </c>
      <c r="U62" s="2">
        <f>IFERROR(50+VLOOKUP($A62,'SegEnds_Xtal_Prot#'!$A:$AY,41,FALSE)-VLOOKUP($B62,'SegEnds_NonXtal_Prot#'!$A:$AL,31,FALSE),"-")</f>
        <v>25</v>
      </c>
      <c r="V62" s="2">
        <f>IFERROR(50+VLOOKUP($A62,'SegEnds_Xtal_Prot#'!$A:$AY,43,FALSE)-VLOOKUP($B62,'SegEnds_NonXtal_Prot#'!$A:$AL,31,FALSE),"-")</f>
        <v>54</v>
      </c>
      <c r="W62" s="2">
        <f>IFERROR(50+VLOOKUP($A62,'SegEnds_Xtal_Prot#'!$A:$AY,45,FALSE)-VLOOKUP($B62,'SegEnds_NonXtal_Prot#'!$A:$AL,34,FALSE),"-")</f>
        <v>28</v>
      </c>
      <c r="X62" s="2">
        <f>IFERROR(50+VLOOKUP($A62,'SegEnds_Xtal_Prot#'!$A:$AY,47,FALSE)-VLOOKUP($B62,'SegEnds_NonXtal_Prot#'!$A:$AL,34,FALSE),"-")</f>
        <v>56</v>
      </c>
      <c r="Y62" s="2">
        <f>IFERROR(50+VLOOKUP($A62,'SegEnds_Xtal_Prot#'!$A:$AY,49,FALSE)-VLOOKUP($B62,'SegEnds_NonXtal_Prot#'!$A:$AL,37,FALSE),"-")</f>
        <v>47</v>
      </c>
      <c r="Z62" s="2">
        <f>IFERROR(50+VLOOKUP($A62,'SegEnds_Xtal_Prot#'!$A:$AY,51,FALSE)-VLOOKUP($B62,'SegEnds_NonXtal_Prot#'!$A:$AL,37,FALSE),"-")</f>
        <v>72</v>
      </c>
      <c r="AA62" s="49" t="str">
        <f>VLOOKUP(B62,Classification!A:D,2,FALSE)</f>
        <v>B1</v>
      </c>
      <c r="AB62" s="94" t="str">
        <f>VLOOKUP(B62,Classification!A:D,4,0)</f>
        <v>Parathyroidhormone</v>
      </c>
      <c r="AC62" s="49">
        <f>VLOOKUP(B62,'SegEnds_NonXtal_Prot#'!A:AL,6,FALSE)-VLOOKUP(B62,'SegEnds_NonXtal_Prot#'!A:AL,5,FALSE)</f>
        <v>1</v>
      </c>
      <c r="AD62" s="49">
        <f>VLOOKUP(B62,'SegEnds_NonXtal_Prot#'!A:AL,9,FALSE)-VLOOKUP(B62,'SegEnds_NonXtal_Prot#'!A:AL,8,FALSE)</f>
        <v>1</v>
      </c>
      <c r="AE62" s="49" t="e">
        <f>VLOOKUP(B62,'SegEnds_NonXtal_Prot#'!A:AL,13,FALSE)-VLOOKUP(B62,'SegEnds_NonXtal_Prot#'!A:AL,10,FALSE)</f>
        <v>#VALUE!</v>
      </c>
      <c r="AF62" s="49" t="e">
        <f>VLOOKUP(B62,'SegEnds_NonXtal_Prot#'!A:AL,12,FALSE)-VLOOKUP(B62,'SegEnds_NonXtal_Prot#'!A:AL,11,FALSE)</f>
        <v>#VALUE!</v>
      </c>
      <c r="AG62" s="49" t="e">
        <f>VLOOKUP(B62,'SegEnds_NonXtal_Prot#'!A:AL,13,FALSE)-VLOOKUP(B62,'SegEnds_NonXtal_Prot#'!A:AL,11,FALSE)</f>
        <v>#VALUE!</v>
      </c>
      <c r="AH62" s="49">
        <f>VLOOKUP(B62,'SegEnds_NonXtal_Prot#'!A:AL,16,FALSE)-VLOOKUP(B62,'SegEnds_NonXtal_Prot#'!A:AL,10,FALSE)</f>
        <v>76</v>
      </c>
      <c r="AI62" s="49">
        <f>VLOOKUP(B62,'SegEnds_NonXtal_Prot#'!A:AL,16,FALSE)-VLOOKUP(B62,'SegEnds_NonXtal_Prot#'!A:AL,11,FALSE)</f>
        <v>57</v>
      </c>
      <c r="AJ62" s="49" t="e">
        <f>VLOOKUP(B62,'SegEnds_NonXtal_Prot#'!A:AL,22,FALSE)-VLOOKUP(B62,'SegEnds_NonXtal_Prot#'!A:AL,19,FALSE)</f>
        <v>#VALUE!</v>
      </c>
      <c r="AK62" s="49" t="e">
        <f>VLOOKUP(B62,'SegEnds_NonXtal_Prot#'!A:AL,15,FALSE)-VLOOKUP(B62,'SegEnds_NonXtal_Prot#'!A:AL,14,FALSE)</f>
        <v>#VALUE!</v>
      </c>
      <c r="AL62" s="49" t="e">
        <f>VLOOKUP(B62,'SegEnds_NonXtal_Prot#'!A:AL,18,FALSE)-VLOOKUP(B62,'SegEnds_NonXtal_Prot#'!A:AL,17,FALSE)</f>
        <v>#VALUE!</v>
      </c>
      <c r="AM62" s="2">
        <f>VLOOKUP(B62,'SegEnds_NonXtal_Prot#'!A:AL,34,FALSE)-VLOOKUP(B62,'SegEnds_NonXtal_Prot#'!A:AL,31,FALSE)</f>
        <v>33</v>
      </c>
    </row>
    <row r="63" spans="1:40" x14ac:dyDescent="0.2">
      <c r="A63" s="2" t="str">
        <f t="shared" si="0"/>
        <v>nk1r_human__wt</v>
      </c>
      <c r="B63" s="2" t="s">
        <v>313</v>
      </c>
      <c r="C63" s="2">
        <f>IFERROR(50+VLOOKUP($A63,'SegEnds_Xtal_Prot#'!$A:$AY,5,FALSE)-VLOOKUP($B63,'SegEnds_NonXtal_Prot#'!$A:$AL,4,FALSE),"-")</f>
        <v>28</v>
      </c>
      <c r="D63" s="2">
        <f>IFERROR(50+VLOOKUP($A63,'SegEnds_Xtal_Prot#'!$A:$AY,7,FALSE)-VLOOKUP($B63,'SegEnds_NonXtal_Prot#'!$A:$AL,4,FALSE),"-")</f>
        <v>60</v>
      </c>
      <c r="E63" s="2">
        <f>IFERROR(50+VLOOKUP($A63,'SegEnds_Xtal_Prot#'!$A:$AY,9,FALSE)-VLOOKUP($B63,'SegEnds_NonXtal_Prot#'!$A:$AL,7,FALSE),"-")</f>
        <v>48</v>
      </c>
      <c r="F63" s="2">
        <f>IFERROR(50+VLOOKUP($A63,'SegEnds_Xtal_Prot#'!$A:$AY,11,FALSE)-VLOOKUP($B63,'SegEnds_NonXtal_Prot#'!$A:$AL,7,FALSE),"-")</f>
        <v>51</v>
      </c>
      <c r="G63" s="2">
        <f>IFERROR(50+VLOOKUP($A63,'SegEnds_Xtal_Prot#'!$A:$AY,13,FALSE)-VLOOKUP($B63,'SegEnds_NonXtal_Prot#'!$A:$AL,10,FALSE),"-")</f>
        <v>37</v>
      </c>
      <c r="H63" s="2">
        <f>IFERROR(50+VLOOKUP($A63,'SegEnds_Xtal_Prot#'!$A:$AY,15,FALSE)-VLOOKUP($B63,'SegEnds_NonXtal_Prot#'!$A:$AL,10,FALSE),"-")</f>
        <v>68</v>
      </c>
      <c r="I63" s="2">
        <f>IFERROR(50+VLOOKUP($A63,'SegEnds_Xtal_Prot#'!$A:$AY,17,FALSE)-VLOOKUP($B63,'SegEnds_NonXtal_Prot#'!$A:$AL,13,FALSE),"-")</f>
        <v>49</v>
      </c>
      <c r="J63" s="2">
        <f>IFERROR(50+VLOOKUP($A63,'SegEnds_Xtal_Prot#'!$A:$AY,19,FALSE)-VLOOKUP($B63,'SegEnds_NonXtal_Prot#'!$A:$AL,13,FALSE),"-")</f>
        <v>52</v>
      </c>
      <c r="K63" s="2">
        <f>IFERROR(50+VLOOKUP($A63,'SegEnds_Xtal_Prot#'!$A:$AY,21,FALSE)-VLOOKUP($B63,'SegEnds_NonXtal_Prot#'!$A:$AL,16,FALSE),"-")</f>
        <v>21</v>
      </c>
      <c r="L63" s="2">
        <f>IFERROR(50+VLOOKUP($A63,'SegEnds_Xtal_Prot#'!$A:$AY,23,FALSE)-VLOOKUP($B63,'SegEnds_NonXtal_Prot#'!$A:$AL,16,FALSE),"-")</f>
        <v>56</v>
      </c>
      <c r="M63" s="2" t="str">
        <f>IFERROR(50+VLOOKUP($A63,'SegEnds_Xtal_Prot#'!$A:$AY,25,FALSE)-VLOOKUP($B63,'SegEnds_NonXtal_Prot#'!$A:$AL,19,FALSE),"-")</f>
        <v>-</v>
      </c>
      <c r="N63" s="2" t="str">
        <f>IFERROR(50+VLOOKUP($A63,'SegEnds_Xtal_Prot#'!$A:$AY,27,FALSE)-VLOOKUP($B63,'SegEnds_NonXtal_Prot#'!$A:$AL,19,FALSE),"-")</f>
        <v>-</v>
      </c>
      <c r="O63" s="2">
        <f>IFERROR(50+VLOOKUP($A63,'SegEnds_Xtal_Prot#'!$A:$AY,29,FALSE)-VLOOKUP($B63,'SegEnds_NonXtal_Prot#'!$A:$AL,22,FALSE),"-")</f>
        <v>38</v>
      </c>
      <c r="P63" s="2">
        <f>IFERROR(50+VLOOKUP($A63,'SegEnds_Xtal_Prot#'!$A:$AY,31,FALSE)-VLOOKUP($B63,'SegEnds_NonXtal_Prot#'!$A:$AL,22,FALSE),"-")</f>
        <v>64</v>
      </c>
      <c r="Q63" s="2">
        <f>IFERROR(50+VLOOKUP($A63,'SegEnds_Xtal_Prot#'!$A:$AY,33,FALSE)-VLOOKUP($B63,'SegEnds_NonXtal_Prot#'!$A:$AL,25,FALSE),"-")</f>
        <v>50</v>
      </c>
      <c r="R63" s="2">
        <f>IFERROR(50+VLOOKUP($A63,'SegEnds_Xtal_Prot#'!$A:$AY,35,FALSE)-VLOOKUP($B63,'SegEnds_NonXtal_Prot#'!$A:$AL,25,FALSE),"-")</f>
        <v>52</v>
      </c>
      <c r="S63" s="2">
        <f>IFERROR(50+VLOOKUP($A63,'SegEnds_Xtal_Prot#'!$A:$AY,37,FALSE)-VLOOKUP($B63,'SegEnds_NonXtal_Prot#'!$A:$AL,28,FALSE),"-")</f>
        <v>30</v>
      </c>
      <c r="T63" s="2">
        <f>IFERROR(50+VLOOKUP($A63,'SegEnds_Xtal_Prot#'!$A:$AY,39,FALSE)-VLOOKUP($B63,'SegEnds_NonXtal_Prot#'!$A:$AL,28,FALSE),"-")</f>
        <v>73</v>
      </c>
      <c r="U63" s="2">
        <f>IFERROR(50+VLOOKUP($A63,'SegEnds_Xtal_Prot#'!$A:$AY,41,FALSE)-VLOOKUP($B63,'SegEnds_NonXtal_Prot#'!$A:$AL,31,FALSE),"-")</f>
        <v>22</v>
      </c>
      <c r="V63" s="2">
        <f>IFERROR(50+VLOOKUP($A63,'SegEnds_Xtal_Prot#'!$A:$AY,43,FALSE)-VLOOKUP($B63,'SegEnds_NonXtal_Prot#'!$A:$AL,31,FALSE),"-")</f>
        <v>61</v>
      </c>
      <c r="W63" s="2">
        <f>IFERROR(50+VLOOKUP($A63,'SegEnds_Xtal_Prot#'!$A:$AY,45,FALSE)-VLOOKUP($B63,'SegEnds_NonXtal_Prot#'!$A:$AL,34,FALSE),"-")</f>
        <v>30</v>
      </c>
      <c r="X63" s="2">
        <f>IFERROR(50+VLOOKUP($A63,'SegEnds_Xtal_Prot#'!$A:$AY,47,FALSE)-VLOOKUP($B63,'SegEnds_NonXtal_Prot#'!$A:$AL,34,FALSE),"-")</f>
        <v>56</v>
      </c>
      <c r="Y63" s="2">
        <f>IFERROR(50+VLOOKUP($A63,'SegEnds_Xtal_Prot#'!$A:$AY,49,FALSE)-VLOOKUP($B63,'SegEnds_NonXtal_Prot#'!$A:$AL,37,FALSE),"-")</f>
        <v>47</v>
      </c>
      <c r="Z63" s="2">
        <f>IFERROR(50+VLOOKUP($A63,'SegEnds_Xtal_Prot#'!$A:$AY,51,FALSE)-VLOOKUP($B63,'SegEnds_NonXtal_Prot#'!$A:$AL,37,FALSE),"-")</f>
        <v>58</v>
      </c>
      <c r="AA63" s="49" t="str">
        <f>VLOOKUP(B63,Classification!A:D,2,FALSE)</f>
        <v>A</v>
      </c>
      <c r="AB63" s="94" t="str">
        <f>VLOOKUP(B63,Classification!A:D,4,0)</f>
        <v>Tachykinin</v>
      </c>
      <c r="AC63" s="49">
        <f>VLOOKUP(B63,'SegEnds_NonXtal_Prot#'!A:AL,6,FALSE)-VLOOKUP(B63,'SegEnds_NonXtal_Prot#'!A:AL,5,FALSE)</f>
        <v>1</v>
      </c>
      <c r="AD63" s="49">
        <f>VLOOKUP(B63,'SegEnds_NonXtal_Prot#'!A:AL,9,FALSE)-VLOOKUP(B63,'SegEnds_NonXtal_Prot#'!A:AL,8,FALSE)</f>
        <v>1</v>
      </c>
      <c r="AE63" s="49">
        <f>VLOOKUP(B63,'SegEnds_NonXtal_Prot#'!A:AL,13,FALSE)-VLOOKUP(B63,'SegEnds_NonXtal_Prot#'!A:AL,10,FALSE)</f>
        <v>20</v>
      </c>
      <c r="AF63" s="49">
        <f>VLOOKUP(B63,'SegEnds_NonXtal_Prot#'!A:AL,12,FALSE)-VLOOKUP(B63,'SegEnds_NonXtal_Prot#'!A:AL,11,FALSE)</f>
        <v>1</v>
      </c>
      <c r="AG63" s="49">
        <f>VLOOKUP(B63,'SegEnds_NonXtal_Prot#'!A:AL,13,FALSE)-VLOOKUP(B63,'SegEnds_NonXtal_Prot#'!A:AL,11,FALSE)</f>
        <v>2</v>
      </c>
      <c r="AH63" s="49">
        <f>VLOOKUP(B63,'SegEnds_NonXtal_Prot#'!A:AL,16,FALSE)-VLOOKUP(B63,'SegEnds_NonXtal_Prot#'!A:AL,10,FALSE)</f>
        <v>52</v>
      </c>
      <c r="AI63" s="49">
        <f>VLOOKUP(B63,'SegEnds_NonXtal_Prot#'!A:AL,16,FALSE)-VLOOKUP(B63,'SegEnds_NonXtal_Prot#'!A:AL,11,FALSE)</f>
        <v>34</v>
      </c>
      <c r="AJ63" s="49" t="e">
        <f>VLOOKUP(B63,'SegEnds_NonXtal_Prot#'!A:AL,22,FALSE)-VLOOKUP(B63,'SegEnds_NonXtal_Prot#'!A:AL,19,FALSE)</f>
        <v>#VALUE!</v>
      </c>
      <c r="AK63" s="49">
        <f>VLOOKUP(B63,'SegEnds_NonXtal_Prot#'!A:AL,15,FALSE)-VLOOKUP(B63,'SegEnds_NonXtal_Prot#'!A:AL,14,FALSE)</f>
        <v>1</v>
      </c>
      <c r="AL63" s="49" t="e">
        <f>VLOOKUP(B63,'SegEnds_NonXtal_Prot#'!A:AL,18,FALSE)-VLOOKUP(B63,'SegEnds_NonXtal_Prot#'!A:AL,17,FALSE)</f>
        <v>#VALUE!</v>
      </c>
      <c r="AM63" s="2">
        <f>VLOOKUP(B63,'SegEnds_NonXtal_Prot#'!A:AL,34,FALSE)-VLOOKUP(B63,'SegEnds_NonXtal_Prot#'!A:AL,31,FALSE)</f>
        <v>39</v>
      </c>
    </row>
    <row r="64" spans="1:40" x14ac:dyDescent="0.2">
      <c r="A64" s="2" t="str">
        <f t="shared" si="0"/>
        <v>pe2r3_human__wt</v>
      </c>
      <c r="B64" s="2" t="s">
        <v>362</v>
      </c>
      <c r="C64" s="2">
        <f>IFERROR(50+VLOOKUP($A64,'SegEnds_Xtal_Prot#'!$A:$AY,5,FALSE)-VLOOKUP($B64,'SegEnds_NonXtal_Prot#'!$A:$AL,4,FALSE),"-")</f>
        <v>36</v>
      </c>
      <c r="D64" s="2">
        <f>IFERROR(50+VLOOKUP($A64,'SegEnds_Xtal_Prot#'!$A:$AY,7,FALSE)-VLOOKUP($B64,'SegEnds_NonXtal_Prot#'!$A:$AL,4,FALSE),"-")</f>
        <v>62</v>
      </c>
      <c r="E64" s="2" t="str">
        <f>IFERROR(50+VLOOKUP($A64,'SegEnds_Xtal_Prot#'!$A:$AY,9,FALSE)-VLOOKUP($B64,'SegEnds_NonXtal_Prot#'!$A:$AL,7,FALSE),"-")</f>
        <v>-</v>
      </c>
      <c r="F64" s="2" t="str">
        <f>IFERROR(50+VLOOKUP($A64,'SegEnds_Xtal_Prot#'!$A:$AY,11,FALSE)-VLOOKUP($B64,'SegEnds_NonXtal_Prot#'!$A:$AL,7,FALSE),"-")</f>
        <v>-</v>
      </c>
      <c r="G64" s="2">
        <f>IFERROR(50+VLOOKUP($A64,'SegEnds_Xtal_Prot#'!$A:$AY,13,FALSE)-VLOOKUP($B64,'SegEnds_NonXtal_Prot#'!$A:$AL,10,FALSE),"-")</f>
        <v>36</v>
      </c>
      <c r="H64" s="2">
        <f>IFERROR(50+VLOOKUP($A64,'SegEnds_Xtal_Prot#'!$A:$AY,15,FALSE)-VLOOKUP($B64,'SegEnds_NonXtal_Prot#'!$A:$AL,10,FALSE),"-")</f>
        <v>68</v>
      </c>
      <c r="I64" s="2">
        <f>IFERROR(50+VLOOKUP($A64,'SegEnds_Xtal_Prot#'!$A:$AY,17,FALSE)-VLOOKUP($B64,'SegEnds_NonXtal_Prot#'!$A:$AL,13,FALSE),"-")</f>
        <v>48</v>
      </c>
      <c r="J64" s="2">
        <f>IFERROR(50+VLOOKUP($A64,'SegEnds_Xtal_Prot#'!$A:$AY,19,FALSE)-VLOOKUP($B64,'SegEnds_NonXtal_Prot#'!$A:$AL,13,FALSE),"-")</f>
        <v>56</v>
      </c>
      <c r="K64" s="2">
        <f>IFERROR(50+VLOOKUP($A64,'SegEnds_Xtal_Prot#'!$A:$AY,21,FALSE)-VLOOKUP($B64,'SegEnds_NonXtal_Prot#'!$A:$AL,16,FALSE),"-")</f>
        <v>22</v>
      </c>
      <c r="L64" s="2">
        <f>IFERROR(50+VLOOKUP($A64,'SegEnds_Xtal_Prot#'!$A:$AY,23,FALSE)-VLOOKUP($B64,'SegEnds_NonXtal_Prot#'!$A:$AL,16,FALSE),"-")</f>
        <v>56</v>
      </c>
      <c r="M64" s="2">
        <f>IFERROR(50+VLOOKUP($A64,'SegEnds_Xtal_Prot#'!$A:$AY,25,FALSE)-VLOOKUP($B64,'SegEnds_NonXtal_Prot#'!$A:$AL,19,FALSE),"-")</f>
        <v>50</v>
      </c>
      <c r="N64" s="2">
        <f>IFERROR(50+VLOOKUP($A64,'SegEnds_Xtal_Prot#'!$A:$AY,27,FALSE)-VLOOKUP($B64,'SegEnds_NonXtal_Prot#'!$A:$AL,19,FALSE),"-")</f>
        <v>57</v>
      </c>
      <c r="O64" s="2">
        <f>IFERROR(50+VLOOKUP($A64,'SegEnds_Xtal_Prot#'!$A:$AY,29,FALSE)-VLOOKUP($B64,'SegEnds_NonXtal_Prot#'!$A:$AL,22,FALSE),"-")</f>
        <v>38</v>
      </c>
      <c r="P64" s="2">
        <f>IFERROR(50+VLOOKUP($A64,'SegEnds_Xtal_Prot#'!$A:$AY,31,FALSE)-VLOOKUP($B64,'SegEnds_NonXtal_Prot#'!$A:$AL,22,FALSE),"-")</f>
        <v>63</v>
      </c>
      <c r="Q64" s="2">
        <f>IFERROR(50+VLOOKUP($A64,'SegEnds_Xtal_Prot#'!$A:$AY,33,FALSE)-VLOOKUP($B64,'SegEnds_NonXtal_Prot#'!$A:$AL,25,FALSE),"-")</f>
        <v>50</v>
      </c>
      <c r="R64" s="2">
        <f>IFERROR(50+VLOOKUP($A64,'SegEnds_Xtal_Prot#'!$A:$AY,35,FALSE)-VLOOKUP($B64,'SegEnds_NonXtal_Prot#'!$A:$AL,25,FALSE),"-")</f>
        <v>52</v>
      </c>
      <c r="S64" s="2">
        <f>IFERROR(50+VLOOKUP($A64,'SegEnds_Xtal_Prot#'!$A:$AY,37,FALSE)-VLOOKUP($B64,'SegEnds_NonXtal_Prot#'!$A:$AL,28,FALSE),"-")</f>
        <v>34</v>
      </c>
      <c r="T64" s="2">
        <f>IFERROR(50+VLOOKUP($A64,'SegEnds_Xtal_Prot#'!$A:$AY,39,FALSE)-VLOOKUP($B64,'SegEnds_NonXtal_Prot#'!$A:$AL,28,FALSE),"-")</f>
        <v>74</v>
      </c>
      <c r="U64" s="2">
        <f>IFERROR(50+VLOOKUP($A64,'SegEnds_Xtal_Prot#'!$A:$AY,41,FALSE)-VLOOKUP($B64,'SegEnds_NonXtal_Prot#'!$A:$AL,31,FALSE),"-")</f>
        <v>24</v>
      </c>
      <c r="V64" s="2">
        <f>IFERROR(50+VLOOKUP($A64,'SegEnds_Xtal_Prot#'!$A:$AY,43,FALSE)-VLOOKUP($B64,'SegEnds_NonXtal_Prot#'!$A:$AL,31,FALSE),"-")</f>
        <v>64</v>
      </c>
      <c r="W64" s="2">
        <f>IFERROR(50+VLOOKUP($A64,'SegEnds_Xtal_Prot#'!$A:$AY,45,FALSE)-VLOOKUP($B64,'SegEnds_NonXtal_Prot#'!$A:$AL,34,FALSE),"-")</f>
        <v>24</v>
      </c>
      <c r="X64" s="2">
        <f>IFERROR(50+VLOOKUP($A64,'SegEnds_Xtal_Prot#'!$A:$AY,47,FALSE)-VLOOKUP($B64,'SegEnds_NonXtal_Prot#'!$A:$AL,34,FALSE),"-")</f>
        <v>53</v>
      </c>
      <c r="Y64" s="2">
        <f>IFERROR(50+VLOOKUP($A64,'SegEnds_Xtal_Prot#'!$A:$AY,49,FALSE)-VLOOKUP($B64,'SegEnds_NonXtal_Prot#'!$A:$AL,37,FALSE),"-")</f>
        <v>44</v>
      </c>
      <c r="Z64" s="2">
        <f>IFERROR(50+VLOOKUP($A64,'SegEnds_Xtal_Prot#'!$A:$AY,51,FALSE)-VLOOKUP($B64,'SegEnds_NonXtal_Prot#'!$A:$AL,37,FALSE),"-")</f>
        <v>66</v>
      </c>
      <c r="AA64" s="49" t="str">
        <f>VLOOKUP(B64,Classification!A:D,2,FALSE)</f>
        <v>A</v>
      </c>
      <c r="AB64" s="94" t="str">
        <f>VLOOKUP(B64,Classification!A:D,4,0)</f>
        <v>Prostanoid</v>
      </c>
      <c r="AC64" s="49" t="e">
        <f>VLOOKUP(B64,'SegEnds_NonXtal_Prot#'!A:AL,6,FALSE)-VLOOKUP(B64,'SegEnds_NonXtal_Prot#'!A:AL,5,FALSE)</f>
        <v>#VALUE!</v>
      </c>
      <c r="AD64" s="49" t="e">
        <f>VLOOKUP(B64,'SegEnds_NonXtal_Prot#'!A:AL,9,FALSE)-VLOOKUP(B64,'SegEnds_NonXtal_Prot#'!A:AL,8,FALSE)</f>
        <v>#VALUE!</v>
      </c>
      <c r="AE64" s="49">
        <f>VLOOKUP(B64,'SegEnds_NonXtal_Prot#'!A:AL,13,FALSE)-VLOOKUP(B64,'SegEnds_NonXtal_Prot#'!A:AL,10,FALSE)</f>
        <v>21</v>
      </c>
      <c r="AF64" s="49">
        <f>VLOOKUP(B64,'SegEnds_NonXtal_Prot#'!A:AL,12,FALSE)-VLOOKUP(B64,'SegEnds_NonXtal_Prot#'!A:AL,11,FALSE)</f>
        <v>2</v>
      </c>
      <c r="AG64" s="49">
        <f>VLOOKUP(B64,'SegEnds_NonXtal_Prot#'!A:AL,13,FALSE)-VLOOKUP(B64,'SegEnds_NonXtal_Prot#'!A:AL,11,FALSE)</f>
        <v>3</v>
      </c>
      <c r="AH64" s="49">
        <f>VLOOKUP(B64,'SegEnds_NonXtal_Prot#'!A:AL,16,FALSE)-VLOOKUP(B64,'SegEnds_NonXtal_Prot#'!A:AL,10,FALSE)</f>
        <v>56</v>
      </c>
      <c r="AI64" s="49">
        <f>VLOOKUP(B64,'SegEnds_NonXtal_Prot#'!A:AL,16,FALSE)-VLOOKUP(B64,'SegEnds_NonXtal_Prot#'!A:AL,11,FALSE)</f>
        <v>38</v>
      </c>
      <c r="AJ64" s="49">
        <f>VLOOKUP(B64,'SegEnds_NonXtal_Prot#'!A:AL,22,FALSE)-VLOOKUP(B64,'SegEnds_NonXtal_Prot#'!A:AL,19,FALSE)</f>
        <v>20</v>
      </c>
      <c r="AK64" s="49">
        <f>VLOOKUP(B64,'SegEnds_NonXtal_Prot#'!A:AL,15,FALSE)-VLOOKUP(B64,'SegEnds_NonXtal_Prot#'!A:AL,14,FALSE)</f>
        <v>1</v>
      </c>
      <c r="AL64" s="49">
        <f>VLOOKUP(B64,'SegEnds_NonXtal_Prot#'!A:AL,18,FALSE)-VLOOKUP(B64,'SegEnds_NonXtal_Prot#'!A:AL,17,FALSE)</f>
        <v>1</v>
      </c>
      <c r="AM64" s="2">
        <f>VLOOKUP(B64,'SegEnds_NonXtal_Prot#'!A:AL,34,FALSE)-VLOOKUP(B64,'SegEnds_NonXtal_Prot#'!A:AL,31,FALSE)</f>
        <v>46</v>
      </c>
    </row>
    <row r="65" spans="1:39" x14ac:dyDescent="0.2">
      <c r="A65" s="2" t="str">
        <f t="shared" si="0"/>
        <v>pe2r4_human__wt</v>
      </c>
      <c r="B65" s="2" t="s">
        <v>363</v>
      </c>
      <c r="C65" s="2">
        <f>IFERROR(50+VLOOKUP($A65,'SegEnds_Xtal_Prot#'!$A:$AY,5,FALSE)-VLOOKUP($B65,'SegEnds_NonXtal_Prot#'!$A:$AL,4,FALSE),"-")</f>
        <v>33</v>
      </c>
      <c r="D65" s="2">
        <f>IFERROR(50+VLOOKUP($A65,'SegEnds_Xtal_Prot#'!$A:$AY,7,FALSE)-VLOOKUP($B65,'SegEnds_NonXtal_Prot#'!$A:$AL,4,FALSE),"-")</f>
        <v>58</v>
      </c>
      <c r="E65" s="2" t="str">
        <f>IFERROR(50+VLOOKUP($A65,'SegEnds_Xtal_Prot#'!$A:$AY,9,FALSE)-VLOOKUP($B65,'SegEnds_NonXtal_Prot#'!$A:$AL,7,FALSE),"-")</f>
        <v>-</v>
      </c>
      <c r="F65" s="2" t="str">
        <f>IFERROR(50+VLOOKUP($A65,'SegEnds_Xtal_Prot#'!$A:$AY,11,FALSE)-VLOOKUP($B65,'SegEnds_NonXtal_Prot#'!$A:$AL,7,FALSE),"-")</f>
        <v>-</v>
      </c>
      <c r="G65" s="2">
        <f>IFERROR(50+VLOOKUP($A65,'SegEnds_Xtal_Prot#'!$A:$AY,13,FALSE)-VLOOKUP($B65,'SegEnds_NonXtal_Prot#'!$A:$AL,10,FALSE),"-")</f>
        <v>36</v>
      </c>
      <c r="H65" s="2">
        <f>IFERROR(50+VLOOKUP($A65,'SegEnds_Xtal_Prot#'!$A:$AY,15,FALSE)-VLOOKUP($B65,'SegEnds_NonXtal_Prot#'!$A:$AL,10,FALSE),"-")</f>
        <v>67</v>
      </c>
      <c r="I65" s="2">
        <f>IFERROR(50+VLOOKUP($A65,'SegEnds_Xtal_Prot#'!$A:$AY,17,FALSE)-VLOOKUP($B65,'SegEnds_NonXtal_Prot#'!$A:$AL,13,FALSE),"-")</f>
        <v>49</v>
      </c>
      <c r="J65" s="2">
        <f>IFERROR(50+VLOOKUP($A65,'SegEnds_Xtal_Prot#'!$A:$AY,19,FALSE)-VLOOKUP($B65,'SegEnds_NonXtal_Prot#'!$A:$AL,13,FALSE),"-")</f>
        <v>52</v>
      </c>
      <c r="K65" s="2">
        <f>IFERROR(50+VLOOKUP($A65,'SegEnds_Xtal_Prot#'!$A:$AY,21,FALSE)-VLOOKUP($B65,'SegEnds_NonXtal_Prot#'!$A:$AL,16,FALSE),"-")</f>
        <v>21</v>
      </c>
      <c r="L65" s="2">
        <f>IFERROR(50+VLOOKUP($A65,'SegEnds_Xtal_Prot#'!$A:$AY,23,FALSE)-VLOOKUP($B65,'SegEnds_NonXtal_Prot#'!$A:$AL,16,FALSE),"-")</f>
        <v>56</v>
      </c>
      <c r="M65" s="2">
        <f>IFERROR(50+VLOOKUP($A65,'SegEnds_Xtal_Prot#'!$A:$AY,25,FALSE)-VLOOKUP($B65,'SegEnds_NonXtal_Prot#'!$A:$AL,19,FALSE),"-")</f>
        <v>50</v>
      </c>
      <c r="N65" s="2">
        <f>IFERROR(50+VLOOKUP($A65,'SegEnds_Xtal_Prot#'!$A:$AY,27,FALSE)-VLOOKUP($B65,'SegEnds_NonXtal_Prot#'!$A:$AL,19,FALSE),"-")</f>
        <v>57</v>
      </c>
      <c r="O65" s="2">
        <f>IFERROR(50+VLOOKUP($A65,'SegEnds_Xtal_Prot#'!$A:$AY,29,FALSE)-VLOOKUP($B65,'SegEnds_NonXtal_Prot#'!$A:$AL,22,FALSE),"-")</f>
        <v>38</v>
      </c>
      <c r="P65" s="2">
        <f>IFERROR(50+VLOOKUP($A65,'SegEnds_Xtal_Prot#'!$A:$AY,31,FALSE)-VLOOKUP($B65,'SegEnds_NonXtal_Prot#'!$A:$AL,22,FALSE),"-")</f>
        <v>63</v>
      </c>
      <c r="Q65" s="2">
        <f>IFERROR(50+VLOOKUP($A65,'SegEnds_Xtal_Prot#'!$A:$AY,33,FALSE)-VLOOKUP($B65,'SegEnds_NonXtal_Prot#'!$A:$AL,25,FALSE),"-")</f>
        <v>50</v>
      </c>
      <c r="R65" s="2">
        <f>IFERROR(50+VLOOKUP($A65,'SegEnds_Xtal_Prot#'!$A:$AY,35,FALSE)-VLOOKUP($B65,'SegEnds_NonXtal_Prot#'!$A:$AL,25,FALSE),"-")</f>
        <v>52</v>
      </c>
      <c r="S65" s="2">
        <f>IFERROR(50+VLOOKUP($A65,'SegEnds_Xtal_Prot#'!$A:$AY,37,FALSE)-VLOOKUP($B65,'SegEnds_NonXtal_Prot#'!$A:$AL,28,FALSE),"-")</f>
        <v>33</v>
      </c>
      <c r="T65" s="2">
        <f>IFERROR(50+VLOOKUP($A65,'SegEnds_Xtal_Prot#'!$A:$AY,39,FALSE)-VLOOKUP($B65,'SegEnds_NonXtal_Prot#'!$A:$AL,28,FALSE),"-")</f>
        <v>78</v>
      </c>
      <c r="U65" s="2">
        <f>IFERROR(50+VLOOKUP($A65,'SegEnds_Xtal_Prot#'!$A:$AY,41,FALSE)-VLOOKUP($B65,'SegEnds_NonXtal_Prot#'!$A:$AL,31,FALSE),"-")</f>
        <v>24</v>
      </c>
      <c r="V65" s="2">
        <f>IFERROR(50+VLOOKUP($A65,'SegEnds_Xtal_Prot#'!$A:$AY,43,FALSE)-VLOOKUP($B65,'SegEnds_NonXtal_Prot#'!$A:$AL,31,FALSE),"-")</f>
        <v>61</v>
      </c>
      <c r="W65" s="2">
        <f>IFERROR(50+VLOOKUP($A65,'SegEnds_Xtal_Prot#'!$A:$AY,45,FALSE)-VLOOKUP($B65,'SegEnds_NonXtal_Prot#'!$A:$AL,34,FALSE),"-")</f>
        <v>33</v>
      </c>
      <c r="X65" s="2">
        <f>IFERROR(50+VLOOKUP($A65,'SegEnds_Xtal_Prot#'!$A:$AY,47,FALSE)-VLOOKUP($B65,'SegEnds_NonXtal_Prot#'!$A:$AL,34,FALSE),"-")</f>
        <v>56</v>
      </c>
      <c r="Y65" s="2">
        <f>IFERROR(50+VLOOKUP($A65,'SegEnds_Xtal_Prot#'!$A:$AY,49,FALSE)-VLOOKUP($B65,'SegEnds_NonXtal_Prot#'!$A:$AL,37,FALSE),"-")</f>
        <v>47</v>
      </c>
      <c r="Z65" s="2">
        <f>IFERROR(50+VLOOKUP($A65,'SegEnds_Xtal_Prot#'!$A:$AY,51,FALSE)-VLOOKUP($B65,'SegEnds_NonXtal_Prot#'!$A:$AL,37,FALSE),"-")</f>
        <v>60</v>
      </c>
      <c r="AA65" s="49" t="str">
        <f>VLOOKUP(B65,Classification!A:D,2,FALSE)</f>
        <v>A</v>
      </c>
      <c r="AB65" s="94" t="str">
        <f>VLOOKUP(B65,Classification!A:D,4,0)</f>
        <v>Prostanoid</v>
      </c>
      <c r="AC65" s="49" t="e">
        <f>VLOOKUP(B65,'SegEnds_NonXtal_Prot#'!A:AL,6,FALSE)-VLOOKUP(B65,'SegEnds_NonXtal_Prot#'!A:AL,5,FALSE)</f>
        <v>#VALUE!</v>
      </c>
      <c r="AD65" s="49" t="e">
        <f>VLOOKUP(B65,'SegEnds_NonXtal_Prot#'!A:AL,9,FALSE)-VLOOKUP(B65,'SegEnds_NonXtal_Prot#'!A:AL,8,FALSE)</f>
        <v>#VALUE!</v>
      </c>
      <c r="AE65" s="49">
        <f>VLOOKUP(B65,'SegEnds_NonXtal_Prot#'!A:AL,13,FALSE)-VLOOKUP(B65,'SegEnds_NonXtal_Prot#'!A:AL,10,FALSE)</f>
        <v>20</v>
      </c>
      <c r="AF65" s="49">
        <f>VLOOKUP(B65,'SegEnds_NonXtal_Prot#'!A:AL,12,FALSE)-VLOOKUP(B65,'SegEnds_NonXtal_Prot#'!A:AL,11,FALSE)</f>
        <v>2</v>
      </c>
      <c r="AG65" s="49">
        <f>VLOOKUP(B65,'SegEnds_NonXtal_Prot#'!A:AL,13,FALSE)-VLOOKUP(B65,'SegEnds_NonXtal_Prot#'!A:AL,11,FALSE)</f>
        <v>3</v>
      </c>
      <c r="AH65" s="49">
        <f>VLOOKUP(B65,'SegEnds_NonXtal_Prot#'!A:AL,16,FALSE)-VLOOKUP(B65,'SegEnds_NonXtal_Prot#'!A:AL,10,FALSE)</f>
        <v>52</v>
      </c>
      <c r="AI65" s="49">
        <f>VLOOKUP(B65,'SegEnds_NonXtal_Prot#'!A:AL,16,FALSE)-VLOOKUP(B65,'SegEnds_NonXtal_Prot#'!A:AL,11,FALSE)</f>
        <v>35</v>
      </c>
      <c r="AJ65" s="49">
        <f>VLOOKUP(B65,'SegEnds_NonXtal_Prot#'!A:AL,22,FALSE)-VLOOKUP(B65,'SegEnds_NonXtal_Prot#'!A:AL,19,FALSE)</f>
        <v>20</v>
      </c>
      <c r="AK65" s="49">
        <f>VLOOKUP(B65,'SegEnds_NonXtal_Prot#'!A:AL,15,FALSE)-VLOOKUP(B65,'SegEnds_NonXtal_Prot#'!A:AL,14,FALSE)</f>
        <v>1</v>
      </c>
      <c r="AL65" s="49">
        <f>VLOOKUP(B65,'SegEnds_NonXtal_Prot#'!A:AL,18,FALSE)-VLOOKUP(B65,'SegEnds_NonXtal_Prot#'!A:AL,17,FALSE)</f>
        <v>1</v>
      </c>
      <c r="AM65" s="2">
        <f>VLOOKUP(B65,'SegEnds_NonXtal_Prot#'!A:AL,34,FALSE)-VLOOKUP(B65,'SegEnds_NonXtal_Prot#'!A:AL,31,FALSE)</f>
        <v>39</v>
      </c>
    </row>
    <row r="66" spans="1:39" x14ac:dyDescent="0.2">
      <c r="A66" s="2" t="str">
        <f t="shared" si="0"/>
        <v>ta2r_human__wt</v>
      </c>
      <c r="B66" s="2" t="s">
        <v>467</v>
      </c>
      <c r="C66" s="2">
        <f>IFERROR(50+VLOOKUP($A66,'SegEnds_Xtal_Prot#'!$A:$AY,5,FALSE)-VLOOKUP($B66,'SegEnds_NonXtal_Prot#'!$A:$AL,4,FALSE),"-")</f>
        <v>35</v>
      </c>
      <c r="D66" s="2">
        <f>IFERROR(50+VLOOKUP($A66,'SegEnds_Xtal_Prot#'!$A:$AY,7,FALSE)-VLOOKUP($B66,'SegEnds_NonXtal_Prot#'!$A:$AL,4,FALSE),"-")</f>
        <v>62</v>
      </c>
      <c r="E66" s="2" t="str">
        <f>IFERROR(50+VLOOKUP($A66,'SegEnds_Xtal_Prot#'!$A:$AY,9,FALSE)-VLOOKUP($B66,'SegEnds_NonXtal_Prot#'!$A:$AL,7,FALSE),"-")</f>
        <v>-</v>
      </c>
      <c r="F66" s="2" t="str">
        <f>IFERROR(50+VLOOKUP($A66,'SegEnds_Xtal_Prot#'!$A:$AY,11,FALSE)-VLOOKUP($B66,'SegEnds_NonXtal_Prot#'!$A:$AL,7,FALSE),"-")</f>
        <v>-</v>
      </c>
      <c r="G66" s="2">
        <f>IFERROR(50+VLOOKUP($A66,'SegEnds_Xtal_Prot#'!$A:$AY,13,FALSE)-VLOOKUP($B66,'SegEnds_NonXtal_Prot#'!$A:$AL,10,FALSE),"-")</f>
        <v>37</v>
      </c>
      <c r="H66" s="2">
        <f>IFERROR(50+VLOOKUP($A66,'SegEnds_Xtal_Prot#'!$A:$AY,15,FALSE)-VLOOKUP($B66,'SegEnds_NonXtal_Prot#'!$A:$AL,10,FALSE),"-")</f>
        <v>67</v>
      </c>
      <c r="I66" s="2">
        <f>IFERROR(50+VLOOKUP($A66,'SegEnds_Xtal_Prot#'!$A:$AY,17,FALSE)-VLOOKUP($B66,'SegEnds_NonXtal_Prot#'!$A:$AL,13,FALSE),"-")</f>
        <v>49</v>
      </c>
      <c r="J66" s="2">
        <f>IFERROR(50+VLOOKUP($A66,'SegEnds_Xtal_Prot#'!$A:$AY,19,FALSE)-VLOOKUP($B66,'SegEnds_NonXtal_Prot#'!$A:$AL,13,FALSE),"-")</f>
        <v>53</v>
      </c>
      <c r="K66" s="2">
        <f>IFERROR(50+VLOOKUP($A66,'SegEnds_Xtal_Prot#'!$A:$AY,21,FALSE)-VLOOKUP($B66,'SegEnds_NonXtal_Prot#'!$A:$AL,16,FALSE),"-")</f>
        <v>22</v>
      </c>
      <c r="L66" s="2">
        <f>IFERROR(50+VLOOKUP($A66,'SegEnds_Xtal_Prot#'!$A:$AY,23,FALSE)-VLOOKUP($B66,'SegEnds_NonXtal_Prot#'!$A:$AL,16,FALSE),"-")</f>
        <v>56</v>
      </c>
      <c r="M66" s="2">
        <f>IFERROR(50+VLOOKUP($A66,'SegEnds_Xtal_Prot#'!$A:$AY,25,FALSE)-VLOOKUP($B66,'SegEnds_NonXtal_Prot#'!$A:$AL,19,FALSE),"-")</f>
        <v>50</v>
      </c>
      <c r="N66" s="2">
        <f>IFERROR(50+VLOOKUP($A66,'SegEnds_Xtal_Prot#'!$A:$AY,27,FALSE)-VLOOKUP($B66,'SegEnds_NonXtal_Prot#'!$A:$AL,19,FALSE),"-")</f>
        <v>57</v>
      </c>
      <c r="O66" s="2">
        <f>IFERROR(50+VLOOKUP($A66,'SegEnds_Xtal_Prot#'!$A:$AY,29,FALSE)-VLOOKUP($B66,'SegEnds_NonXtal_Prot#'!$A:$AL,22,FALSE),"-")</f>
        <v>38</v>
      </c>
      <c r="P66" s="2">
        <f>IFERROR(50+VLOOKUP($A66,'SegEnds_Xtal_Prot#'!$A:$AY,31,FALSE)-VLOOKUP($B66,'SegEnds_NonXtal_Prot#'!$A:$AL,22,FALSE),"-")</f>
        <v>63</v>
      </c>
      <c r="Q66" s="2">
        <f>IFERROR(50+VLOOKUP($A66,'SegEnds_Xtal_Prot#'!$A:$AY,33,FALSE)-VLOOKUP($B66,'SegEnds_NonXtal_Prot#'!$A:$AL,25,FALSE),"-")</f>
        <v>50</v>
      </c>
      <c r="R66" s="2">
        <f>IFERROR(50+VLOOKUP($A66,'SegEnds_Xtal_Prot#'!$A:$AY,35,FALSE)-VLOOKUP($B66,'SegEnds_NonXtal_Prot#'!$A:$AL,25,FALSE),"-")</f>
        <v>52</v>
      </c>
      <c r="S66" s="2">
        <f>IFERROR(50+VLOOKUP($A66,'SegEnds_Xtal_Prot#'!$A:$AY,37,FALSE)-VLOOKUP($B66,'SegEnds_NonXtal_Prot#'!$A:$AL,28,FALSE),"-")</f>
        <v>33</v>
      </c>
      <c r="T66" s="2">
        <f>IFERROR(50+VLOOKUP($A66,'SegEnds_Xtal_Prot#'!$A:$AY,39,FALSE)-VLOOKUP($B66,'SegEnds_NonXtal_Prot#'!$A:$AL,28,FALSE),"-")</f>
        <v>79</v>
      </c>
      <c r="U66" s="2">
        <f>IFERROR(50+VLOOKUP($A66,'SegEnds_Xtal_Prot#'!$A:$AY,41,FALSE)-VLOOKUP($B66,'SegEnds_NonXtal_Prot#'!$A:$AL,31,FALSE),"-")</f>
        <v>30</v>
      </c>
      <c r="V66" s="2">
        <f>IFERROR(50+VLOOKUP($A66,'SegEnds_Xtal_Prot#'!$A:$AY,43,FALSE)-VLOOKUP($B66,'SegEnds_NonXtal_Prot#'!$A:$AL,31,FALSE),"-")</f>
        <v>61</v>
      </c>
      <c r="W66" s="2">
        <f>IFERROR(50+VLOOKUP($A66,'SegEnds_Xtal_Prot#'!$A:$AY,45,FALSE)-VLOOKUP($B66,'SegEnds_NonXtal_Prot#'!$A:$AL,34,FALSE),"-")</f>
        <v>28</v>
      </c>
      <c r="X66" s="2">
        <f>IFERROR(50+VLOOKUP($A66,'SegEnds_Xtal_Prot#'!$A:$AY,47,FALSE)-VLOOKUP($B66,'SegEnds_NonXtal_Prot#'!$A:$AL,34,FALSE),"-")</f>
        <v>56</v>
      </c>
      <c r="Y66" s="2">
        <f>IFERROR(50+VLOOKUP($A66,'SegEnds_Xtal_Prot#'!$A:$AY,49,FALSE)-VLOOKUP($B66,'SegEnds_NonXtal_Prot#'!$A:$AL,37,FALSE),"-")</f>
        <v>47</v>
      </c>
      <c r="Z66" s="2">
        <f>IFERROR(50+VLOOKUP($A66,'SegEnds_Xtal_Prot#'!$A:$AY,51,FALSE)-VLOOKUP($B66,'SegEnds_NonXtal_Prot#'!$A:$AL,37,FALSE),"-")</f>
        <v>66</v>
      </c>
      <c r="AA66" s="49" t="str">
        <f>VLOOKUP(B66,Classification!A:D,2,FALSE)</f>
        <v>A</v>
      </c>
      <c r="AB66" s="94" t="str">
        <f>VLOOKUP(B66,Classification!A:D,4,0)</f>
        <v>Prostanoid</v>
      </c>
      <c r="AC66" s="49" t="e">
        <f>VLOOKUP(B66,'SegEnds_NonXtal_Prot#'!A:AL,6,FALSE)-VLOOKUP(B66,'SegEnds_NonXtal_Prot#'!A:AL,5,FALSE)</f>
        <v>#VALUE!</v>
      </c>
      <c r="AD66" s="49" t="e">
        <f>VLOOKUP(B66,'SegEnds_NonXtal_Prot#'!A:AL,9,FALSE)-VLOOKUP(B66,'SegEnds_NonXtal_Prot#'!A:AL,8,FALSE)</f>
        <v>#VALUE!</v>
      </c>
      <c r="AE66" s="49">
        <f>VLOOKUP(B66,'SegEnds_NonXtal_Prot#'!A:AL,13,FALSE)-VLOOKUP(B66,'SegEnds_NonXtal_Prot#'!A:AL,10,FALSE)</f>
        <v>21</v>
      </c>
      <c r="AF66" s="49">
        <f>VLOOKUP(B66,'SegEnds_NonXtal_Prot#'!A:AL,12,FALSE)-VLOOKUP(B66,'SegEnds_NonXtal_Prot#'!A:AL,11,FALSE)</f>
        <v>3</v>
      </c>
      <c r="AG66" s="49">
        <f>VLOOKUP(B66,'SegEnds_NonXtal_Prot#'!A:AL,13,FALSE)-VLOOKUP(B66,'SegEnds_NonXtal_Prot#'!A:AL,11,FALSE)</f>
        <v>4</v>
      </c>
      <c r="AH66" s="49">
        <f>VLOOKUP(B66,'SegEnds_NonXtal_Prot#'!A:AL,16,FALSE)-VLOOKUP(B66,'SegEnds_NonXtal_Prot#'!A:AL,10,FALSE)</f>
        <v>56</v>
      </c>
      <c r="AI66" s="49">
        <f>VLOOKUP(B66,'SegEnds_NonXtal_Prot#'!A:AL,16,FALSE)-VLOOKUP(B66,'SegEnds_NonXtal_Prot#'!A:AL,11,FALSE)</f>
        <v>39</v>
      </c>
      <c r="AJ66" s="49">
        <f>VLOOKUP(B66,'SegEnds_NonXtal_Prot#'!A:AL,22,FALSE)-VLOOKUP(B66,'SegEnds_NonXtal_Prot#'!A:AL,19,FALSE)</f>
        <v>20</v>
      </c>
      <c r="AK66" s="49">
        <f>VLOOKUP(B66,'SegEnds_NonXtal_Prot#'!A:AL,15,FALSE)-VLOOKUP(B66,'SegEnds_NonXtal_Prot#'!A:AL,14,FALSE)</f>
        <v>4</v>
      </c>
      <c r="AL66" s="49">
        <f>VLOOKUP(B66,'SegEnds_NonXtal_Prot#'!A:AL,18,FALSE)-VLOOKUP(B66,'SegEnds_NonXtal_Prot#'!A:AL,17,FALSE)</f>
        <v>1</v>
      </c>
      <c r="AM66" s="2">
        <f>VLOOKUP(B66,'SegEnds_NonXtal_Prot#'!A:AL,34,FALSE)-VLOOKUP(B66,'SegEnds_NonXtal_Prot#'!A:AL,31,FALSE)</f>
        <v>45</v>
      </c>
    </row>
    <row r="67" spans="1:39" x14ac:dyDescent="0.2">
      <c r="A67" s="2" t="str">
        <f t="shared" si="0"/>
        <v>fzd4_human__wt</v>
      </c>
      <c r="B67" s="2" t="s">
        <v>444</v>
      </c>
      <c r="C67" s="2">
        <f>IFERROR(50+VLOOKUP($A67,'SegEnds_Xtal_Prot#'!$A:$AY,5,FALSE)-VLOOKUP($B67,'SegEnds_NonXtal_Prot#'!$A:$AL,4,FALSE),"-")</f>
        <v>28</v>
      </c>
      <c r="D67" s="2">
        <f>IFERROR(50+VLOOKUP($A67,'SegEnds_Xtal_Prot#'!$A:$AY,7,FALSE)-VLOOKUP($B67,'SegEnds_NonXtal_Prot#'!$A:$AL,4,FALSE),"-")</f>
        <v>60</v>
      </c>
      <c r="E67" s="2">
        <f>IFERROR(50+VLOOKUP($A67,'SegEnds_Xtal_Prot#'!$A:$AY,9,FALSE)-VLOOKUP($B67,'SegEnds_NonXtal_Prot#'!$A:$AL,7,FALSE),"-")</f>
        <v>47</v>
      </c>
      <c r="F67" s="2">
        <f>IFERROR(50+VLOOKUP($A67,'SegEnds_Xtal_Prot#'!$A:$AY,11,FALSE)-VLOOKUP($B67,'SegEnds_NonXtal_Prot#'!$A:$AL,7,FALSE),"-")</f>
        <v>51</v>
      </c>
      <c r="G67" s="2">
        <f>IFERROR(50+VLOOKUP($A67,'SegEnds_Xtal_Prot#'!$A:$AY,13,FALSE)-VLOOKUP($B67,'SegEnds_NonXtal_Prot#'!$A:$AL,10,FALSE),"-")</f>
        <v>40</v>
      </c>
      <c r="H67" s="2">
        <f>IFERROR(50+VLOOKUP($A67,'SegEnds_Xtal_Prot#'!$A:$AY,15,FALSE)-VLOOKUP($B67,'SegEnds_NonXtal_Prot#'!$A:$AL,10,FALSE),"-")</f>
        <v>66</v>
      </c>
      <c r="I67" s="2" t="str">
        <f>IFERROR(50+VLOOKUP($A67,'SegEnds_Xtal_Prot#'!$A:$AY,17,FALSE)-VLOOKUP($B67,'SegEnds_NonXtal_Prot#'!$A:$AL,13,FALSE),"-")</f>
        <v>-</v>
      </c>
      <c r="J67" s="2" t="str">
        <f>IFERROR(50+VLOOKUP($A67,'SegEnds_Xtal_Prot#'!$A:$AY,19,FALSE)-VLOOKUP($B67,'SegEnds_NonXtal_Prot#'!$A:$AL,13,FALSE),"-")</f>
        <v>-</v>
      </c>
      <c r="K67" s="2">
        <f>IFERROR(50+VLOOKUP($A67,'SegEnds_Xtal_Prot#'!$A:$AY,21,FALSE)-VLOOKUP($B67,'SegEnds_NonXtal_Prot#'!$A:$AL,16,FALSE),"-")</f>
        <v>22</v>
      </c>
      <c r="L67" s="2">
        <f>IFERROR(50+VLOOKUP($A67,'SegEnds_Xtal_Prot#'!$A:$AY,23,FALSE)-VLOOKUP($B67,'SegEnds_NonXtal_Prot#'!$A:$AL,16,FALSE),"-")</f>
        <v>55</v>
      </c>
      <c r="M67" s="2" t="str">
        <f>IFERROR(50+VLOOKUP($A67,'SegEnds_Xtal_Prot#'!$A:$AY,25,FALSE)-VLOOKUP($B67,'SegEnds_NonXtal_Prot#'!$A:$AL,19,FALSE),"-")</f>
        <v>-</v>
      </c>
      <c r="N67" s="2" t="str">
        <f>IFERROR(50+VLOOKUP($A67,'SegEnds_Xtal_Prot#'!$A:$AY,27,FALSE)-VLOOKUP($B67,'SegEnds_NonXtal_Prot#'!$A:$AL,19,FALSE),"-")</f>
        <v>-</v>
      </c>
      <c r="O67" s="2">
        <f>IFERROR(50+VLOOKUP($A67,'SegEnds_Xtal_Prot#'!$A:$AY,29,FALSE)-VLOOKUP($B67,'SegEnds_NonXtal_Prot#'!$A:$AL,22,FALSE),"-")</f>
        <v>41</v>
      </c>
      <c r="P67" s="2">
        <f>IFERROR(50+VLOOKUP($A67,'SegEnds_Xtal_Prot#'!$A:$AY,31,FALSE)-VLOOKUP($B67,'SegEnds_NonXtal_Prot#'!$A:$AL,22,FALSE),"-")</f>
        <v>64</v>
      </c>
      <c r="Q67" s="2">
        <f>IFERROR(50+VLOOKUP($A67,'SegEnds_Xtal_Prot#'!$A:$AY,33,FALSE)-VLOOKUP($B67,'SegEnds_NonXtal_Prot#'!$A:$AL,25,FALSE),"-")</f>
        <v>50</v>
      </c>
      <c r="R67" s="2">
        <f>IFERROR(50+VLOOKUP($A67,'SegEnds_Xtal_Prot#'!$A:$AY,35,FALSE)-VLOOKUP($B67,'SegEnds_NonXtal_Prot#'!$A:$AL,25,FALSE),"-")</f>
        <v>52</v>
      </c>
      <c r="S67" s="2">
        <f>IFERROR(50+VLOOKUP($A67,'SegEnds_Xtal_Prot#'!$A:$AY,37,FALSE)-VLOOKUP($B67,'SegEnds_NonXtal_Prot#'!$A:$AL,28,FALSE),"-")</f>
        <v>35</v>
      </c>
      <c r="T67" s="2">
        <f>IFERROR(50+VLOOKUP($A67,'SegEnds_Xtal_Prot#'!$A:$AY,39,FALSE)-VLOOKUP($B67,'SegEnds_NonXtal_Prot#'!$A:$AL,28,FALSE),"-")</f>
        <v>72</v>
      </c>
      <c r="U67" s="2">
        <f>IFERROR(50+VLOOKUP($A67,'SegEnds_Xtal_Prot#'!$A:$AY,41,FALSE)-VLOOKUP($B67,'SegEnds_NonXtal_Prot#'!$A:$AL,31,FALSE),"-")</f>
        <v>28</v>
      </c>
      <c r="V67" s="2">
        <f>IFERROR(50+VLOOKUP($A67,'SegEnds_Xtal_Prot#'!$A:$AY,43,FALSE)-VLOOKUP($B67,'SegEnds_NonXtal_Prot#'!$A:$AL,31,FALSE),"-")</f>
        <v>58</v>
      </c>
      <c r="W67" s="2">
        <f>IFERROR(50+VLOOKUP($A67,'SegEnds_Xtal_Prot#'!$A:$AY,45,FALSE)-VLOOKUP($B67,'SegEnds_NonXtal_Prot#'!$A:$AL,34,FALSE),"-")</f>
        <v>34</v>
      </c>
      <c r="X67" s="2">
        <f>IFERROR(50+VLOOKUP($A67,'SegEnds_Xtal_Prot#'!$A:$AY,47,FALSE)-VLOOKUP($B67,'SegEnds_NonXtal_Prot#'!$A:$AL,34,FALSE),"-")</f>
        <v>57</v>
      </c>
      <c r="Y67" s="2">
        <f>IFERROR(50+VLOOKUP($A67,'SegEnds_Xtal_Prot#'!$A:$AY,49,FALSE)-VLOOKUP($B67,'SegEnds_NonXtal_Prot#'!$A:$AL,37,FALSE),"-")</f>
        <v>47</v>
      </c>
      <c r="Z67" s="2">
        <f>IFERROR(50+VLOOKUP($A67,'SegEnds_Xtal_Prot#'!$A:$AY,51,FALSE)-VLOOKUP($B67,'SegEnds_NonXtal_Prot#'!$A:$AL,37,FALSE),"-")</f>
        <v>62</v>
      </c>
      <c r="AA67" s="49" t="str">
        <f>VLOOKUP(B67,Classification!A:D,2,FALSE)</f>
        <v>F</v>
      </c>
      <c r="AB67" s="94" t="str">
        <f>VLOOKUP(B67,Classification!A:D,4,0)</f>
        <v>Frizzled</v>
      </c>
      <c r="AC67" s="49">
        <f>VLOOKUP(B67,'SegEnds_NonXtal_Prot#'!A:AL,6,FALSE)-VLOOKUP(B67,'SegEnds_NonXtal_Prot#'!A:AL,5,FALSE)</f>
        <v>1</v>
      </c>
      <c r="AD67" s="49">
        <f>VLOOKUP(B67,'SegEnds_NonXtal_Prot#'!A:AL,9,FALSE)-VLOOKUP(B67,'SegEnds_NonXtal_Prot#'!A:AL,8,FALSE)</f>
        <v>1</v>
      </c>
      <c r="AE67" s="49" t="e">
        <f>VLOOKUP(B67,'SegEnds_NonXtal_Prot#'!A:AL,13,FALSE)-VLOOKUP(B67,'SegEnds_NonXtal_Prot#'!A:AL,10,FALSE)</f>
        <v>#VALUE!</v>
      </c>
      <c r="AF67" s="49" t="e">
        <f>VLOOKUP(B67,'SegEnds_NonXtal_Prot#'!A:AL,12,FALSE)-VLOOKUP(B67,'SegEnds_NonXtal_Prot#'!A:AL,11,FALSE)</f>
        <v>#VALUE!</v>
      </c>
      <c r="AG67" s="49" t="e">
        <f>VLOOKUP(B67,'SegEnds_NonXtal_Prot#'!A:AL,13,FALSE)-VLOOKUP(B67,'SegEnds_NonXtal_Prot#'!A:AL,11,FALSE)</f>
        <v>#VALUE!</v>
      </c>
      <c r="AH67" s="49">
        <f>VLOOKUP(B67,'SegEnds_NonXtal_Prot#'!A:AL,16,FALSE)-VLOOKUP(B67,'SegEnds_NonXtal_Prot#'!A:AL,10,FALSE)</f>
        <v>67</v>
      </c>
      <c r="AI67" s="49">
        <f>VLOOKUP(B67,'SegEnds_NonXtal_Prot#'!A:AL,16,FALSE)-VLOOKUP(B67,'SegEnds_NonXtal_Prot#'!A:AL,11,FALSE)</f>
        <v>51</v>
      </c>
      <c r="AJ67" s="49" t="e">
        <f>VLOOKUP(B67,'SegEnds_NonXtal_Prot#'!A:AL,22,FALSE)-VLOOKUP(B67,'SegEnds_NonXtal_Prot#'!A:AL,19,FALSE)</f>
        <v>#VALUE!</v>
      </c>
      <c r="AK67" s="49" t="e">
        <f>VLOOKUP(B67,'SegEnds_NonXtal_Prot#'!A:AL,15,FALSE)-VLOOKUP(B67,'SegEnds_NonXtal_Prot#'!A:AL,14,FALSE)</f>
        <v>#VALUE!</v>
      </c>
      <c r="AL67" s="49" t="e">
        <f>VLOOKUP(B67,'SegEnds_NonXtal_Prot#'!A:AL,18,FALSE)-VLOOKUP(B67,'SegEnds_NonXtal_Prot#'!A:AL,17,FALSE)</f>
        <v>#VALUE!</v>
      </c>
      <c r="AM67" s="2">
        <f>VLOOKUP(B67,'SegEnds_NonXtal_Prot#'!A:AL,34,FALSE)-VLOOKUP(B67,'SegEnds_NonXtal_Prot#'!A:AL,31,FALSE)</f>
        <v>36</v>
      </c>
    </row>
    <row r="68" spans="1:39" x14ac:dyDescent="0.2">
      <c r="A68" s="2" t="str">
        <f t="shared" si="0"/>
        <v>cnr2_human__wt</v>
      </c>
      <c r="B68" s="2" t="s">
        <v>183</v>
      </c>
      <c r="C68" s="2">
        <f>IFERROR(50+VLOOKUP($A68,'SegEnds_Xtal_Prot#'!$A:$AY,5,FALSE)-VLOOKUP($B68,'SegEnds_NonXtal_Prot#'!$A:$AL,4,FALSE),"-")</f>
        <v>28</v>
      </c>
      <c r="D68" s="2">
        <f>IFERROR(50+VLOOKUP($A68,'SegEnds_Xtal_Prot#'!$A:$AY,7,FALSE)-VLOOKUP($B68,'SegEnds_NonXtal_Prot#'!$A:$AL,4,FALSE),"-")</f>
        <v>60</v>
      </c>
      <c r="E68" s="2">
        <f>IFERROR(50+VLOOKUP($A68,'SegEnds_Xtal_Prot#'!$A:$AY,9,FALSE)-VLOOKUP($B68,'SegEnds_NonXtal_Prot#'!$A:$AL,7,FALSE),"-")</f>
        <v>48</v>
      </c>
      <c r="F68" s="2">
        <f>IFERROR(50+VLOOKUP($A68,'SegEnds_Xtal_Prot#'!$A:$AY,11,FALSE)-VLOOKUP($B68,'SegEnds_NonXtal_Prot#'!$A:$AL,7,FALSE),"-")</f>
        <v>51</v>
      </c>
      <c r="G68" s="2">
        <f>IFERROR(50+VLOOKUP($A68,'SegEnds_Xtal_Prot#'!$A:$AY,13,FALSE)-VLOOKUP($B68,'SegEnds_NonXtal_Prot#'!$A:$AL,10,FALSE),"-")</f>
        <v>37</v>
      </c>
      <c r="H68" s="2">
        <f>IFERROR(50+VLOOKUP($A68,'SegEnds_Xtal_Prot#'!$A:$AY,15,FALSE)-VLOOKUP($B68,'SegEnds_NonXtal_Prot#'!$A:$AL,10,FALSE),"-")</f>
        <v>66</v>
      </c>
      <c r="I68" s="2" t="str">
        <f>IFERROR(50+VLOOKUP($A68,'SegEnds_Xtal_Prot#'!$A:$AY,17,FALSE)-VLOOKUP($B68,'SegEnds_NonXtal_Prot#'!$A:$AL,13,FALSE),"-")</f>
        <v>-</v>
      </c>
      <c r="J68" s="2" t="str">
        <f>IFERROR(50+VLOOKUP($A68,'SegEnds_Xtal_Prot#'!$A:$AY,19,FALSE)-VLOOKUP($B68,'SegEnds_NonXtal_Prot#'!$A:$AL,13,FALSE),"-")</f>
        <v>-</v>
      </c>
      <c r="K68" s="2">
        <f>IFERROR(50+VLOOKUP($A68,'SegEnds_Xtal_Prot#'!$A:$AY,21,FALSE)-VLOOKUP($B68,'SegEnds_NonXtal_Prot#'!$A:$AL,16,FALSE),"-")</f>
        <v>21</v>
      </c>
      <c r="L68" s="2">
        <f>IFERROR(50+VLOOKUP($A68,'SegEnds_Xtal_Prot#'!$A:$AY,23,FALSE)-VLOOKUP($B68,'SegEnds_NonXtal_Prot#'!$A:$AL,16,FALSE),"-")</f>
        <v>56</v>
      </c>
      <c r="M68" s="2">
        <f>IFERROR(50+VLOOKUP($A68,'SegEnds_Xtal_Prot#'!$A:$AY,25,FALSE)-VLOOKUP($B68,'SegEnds_NonXtal_Prot#'!$A:$AL,19,FALSE),"-")</f>
        <v>50</v>
      </c>
      <c r="N68" s="2">
        <f>IFERROR(50+VLOOKUP($A68,'SegEnds_Xtal_Prot#'!$A:$AY,27,FALSE)-VLOOKUP($B68,'SegEnds_NonXtal_Prot#'!$A:$AL,19,FALSE),"-")</f>
        <v>57</v>
      </c>
      <c r="O68" s="2">
        <f>IFERROR(50+VLOOKUP($A68,'SegEnds_Xtal_Prot#'!$A:$AY,29,FALSE)-VLOOKUP($B68,'SegEnds_NonXtal_Prot#'!$A:$AL,22,FALSE),"-")</f>
        <v>38</v>
      </c>
      <c r="P68" s="2">
        <f>IFERROR(50+VLOOKUP($A68,'SegEnds_Xtal_Prot#'!$A:$AY,31,FALSE)-VLOOKUP($B68,'SegEnds_NonXtal_Prot#'!$A:$AL,22,FALSE),"-")</f>
        <v>63</v>
      </c>
      <c r="Q68" s="2" t="str">
        <f>IFERROR(50+VLOOKUP($A68,'SegEnds_Xtal_Prot#'!$A:$AY,33,FALSE)-VLOOKUP($B68,'SegEnds_NonXtal_Prot#'!$A:$AL,25,FALSE),"-")</f>
        <v>-</v>
      </c>
      <c r="R68" s="2" t="str">
        <f>IFERROR(50+VLOOKUP($A68,'SegEnds_Xtal_Prot#'!$A:$AY,35,FALSE)-VLOOKUP($B68,'SegEnds_NonXtal_Prot#'!$A:$AL,25,FALSE),"-")</f>
        <v>-</v>
      </c>
      <c r="S68" s="2">
        <f>IFERROR(50+VLOOKUP($A68,'SegEnds_Xtal_Prot#'!$A:$AY,37,FALSE)-VLOOKUP($B68,'SegEnds_NonXtal_Prot#'!$A:$AL,28,FALSE),"-")</f>
        <v>36</v>
      </c>
      <c r="T68" s="2">
        <f>IFERROR(50+VLOOKUP($A68,'SegEnds_Xtal_Prot#'!$A:$AY,39,FALSE)-VLOOKUP($B68,'SegEnds_NonXtal_Prot#'!$A:$AL,28,FALSE),"-")</f>
        <v>74</v>
      </c>
      <c r="U68" s="2">
        <f>IFERROR(50+VLOOKUP($A68,'SegEnds_Xtal_Prot#'!$A:$AY,41,FALSE)-VLOOKUP($B68,'SegEnds_NonXtal_Prot#'!$A:$AL,31,FALSE),"-")</f>
        <v>28</v>
      </c>
      <c r="V68" s="2">
        <f>IFERROR(50+VLOOKUP($A68,'SegEnds_Xtal_Prot#'!$A:$AY,43,FALSE)-VLOOKUP($B68,'SegEnds_NonXtal_Prot#'!$A:$AL,31,FALSE),"-")</f>
        <v>61</v>
      </c>
      <c r="W68" s="2">
        <f>IFERROR(50+VLOOKUP($A68,'SegEnds_Xtal_Prot#'!$A:$AY,45,FALSE)-VLOOKUP($B68,'SegEnds_NonXtal_Prot#'!$A:$AL,34,FALSE),"-")</f>
        <v>28</v>
      </c>
      <c r="X68" s="2">
        <f>IFERROR(50+VLOOKUP($A68,'SegEnds_Xtal_Prot#'!$A:$AY,47,FALSE)-VLOOKUP($B68,'SegEnds_NonXtal_Prot#'!$A:$AL,34,FALSE),"-")</f>
        <v>56</v>
      </c>
      <c r="Y68" s="2">
        <f>IFERROR(50+VLOOKUP($A68,'SegEnds_Xtal_Prot#'!$A:$AY,49,FALSE)-VLOOKUP($B68,'SegEnds_NonXtal_Prot#'!$A:$AL,37,FALSE),"-")</f>
        <v>47</v>
      </c>
      <c r="Z68" s="2">
        <f>IFERROR(50+VLOOKUP($A68,'SegEnds_Xtal_Prot#'!$A:$AY,51,FALSE)-VLOOKUP($B68,'SegEnds_NonXtal_Prot#'!$A:$AL,37,FALSE),"-")</f>
        <v>63</v>
      </c>
      <c r="AA68" s="49" t="str">
        <f>VLOOKUP(B68,Classification!A:D,2,FALSE)</f>
        <v>A</v>
      </c>
      <c r="AB68" s="94" t="str">
        <f>VLOOKUP(B68,Classification!A:D,4,0)</f>
        <v>Cannabinoid</v>
      </c>
      <c r="AC68" s="49">
        <f>VLOOKUP(B68,'SegEnds_NonXtal_Prot#'!A:AL,6,FALSE)-VLOOKUP(B68,'SegEnds_NonXtal_Prot#'!A:AL,5,FALSE)</f>
        <v>1</v>
      </c>
      <c r="AD68" s="49">
        <f>VLOOKUP(B68,'SegEnds_NonXtal_Prot#'!A:AL,9,FALSE)-VLOOKUP(B68,'SegEnds_NonXtal_Prot#'!A:AL,8,FALSE)</f>
        <v>2</v>
      </c>
      <c r="AE68" s="49" t="e">
        <f>VLOOKUP(B68,'SegEnds_NonXtal_Prot#'!A:AL,13,FALSE)-VLOOKUP(B68,'SegEnds_NonXtal_Prot#'!A:AL,10,FALSE)</f>
        <v>#VALUE!</v>
      </c>
      <c r="AF68" s="49" t="e">
        <f>VLOOKUP(B68,'SegEnds_NonXtal_Prot#'!A:AL,12,FALSE)-VLOOKUP(B68,'SegEnds_NonXtal_Prot#'!A:AL,11,FALSE)</f>
        <v>#VALUE!</v>
      </c>
      <c r="AG68" s="49" t="e">
        <f>VLOOKUP(B68,'SegEnds_NonXtal_Prot#'!A:AL,13,FALSE)-VLOOKUP(B68,'SegEnds_NonXtal_Prot#'!A:AL,11,FALSE)</f>
        <v>#VALUE!</v>
      </c>
      <c r="AH68" s="49">
        <f>VLOOKUP(B68,'SegEnds_NonXtal_Prot#'!A:AL,16,FALSE)-VLOOKUP(B68,'SegEnds_NonXtal_Prot#'!A:AL,10,FALSE)</f>
        <v>51</v>
      </c>
      <c r="AI68" s="49">
        <f>VLOOKUP(B68,'SegEnds_NonXtal_Prot#'!A:AL,16,FALSE)-VLOOKUP(B68,'SegEnds_NonXtal_Prot#'!A:AL,11,FALSE)</f>
        <v>35</v>
      </c>
      <c r="AJ68" s="49">
        <f>VLOOKUP(B68,'SegEnds_NonXtal_Prot#'!A:AL,22,FALSE)-VLOOKUP(B68,'SegEnds_NonXtal_Prot#'!A:AL,19,FALSE)</f>
        <v>20</v>
      </c>
      <c r="AK68" s="49" t="e">
        <f>VLOOKUP(B68,'SegEnds_NonXtal_Prot#'!A:AL,15,FALSE)-VLOOKUP(B68,'SegEnds_NonXtal_Prot#'!A:AL,14,FALSE)</f>
        <v>#VALUE!</v>
      </c>
      <c r="AL68" s="49">
        <f>VLOOKUP(B68,'SegEnds_NonXtal_Prot#'!A:AL,18,FALSE)-VLOOKUP(B68,'SegEnds_NonXtal_Prot#'!A:AL,17,FALSE)</f>
        <v>1</v>
      </c>
      <c r="AM68" s="2">
        <f>VLOOKUP(B68,'SegEnds_NonXtal_Prot#'!A:AL,34,FALSE)-VLOOKUP(B68,'SegEnds_NonXtal_Prot#'!A:AL,31,FALSE)</f>
        <v>36</v>
      </c>
    </row>
    <row r="69" spans="1:39" x14ac:dyDescent="0.2">
      <c r="A69" s="2" t="str">
        <f t="shared" si="0"/>
        <v>5ht2a_human__wt</v>
      </c>
      <c r="B69" s="2" t="s">
        <v>132</v>
      </c>
      <c r="C69" s="2">
        <f>IFERROR(50+VLOOKUP($A69,'SegEnds_Xtal_Prot#'!$A:$AY,5,FALSE)-VLOOKUP($B69,'SegEnds_NonXtal_Prot#'!$A:$AL,4,FALSE),"-")</f>
        <v>27</v>
      </c>
      <c r="D69" s="2">
        <f>IFERROR(50+VLOOKUP($A69,'SegEnds_Xtal_Prot#'!$A:$AY,7,FALSE)-VLOOKUP($B69,'SegEnds_NonXtal_Prot#'!$A:$AL,4,FALSE),"-")</f>
        <v>60</v>
      </c>
      <c r="E69" s="2">
        <f>IFERROR(50+VLOOKUP($A69,'SegEnds_Xtal_Prot#'!$A:$AY,9,FALSE)-VLOOKUP($B69,'SegEnds_NonXtal_Prot#'!$A:$AL,7,FALSE),"-")</f>
        <v>48</v>
      </c>
      <c r="F69" s="2">
        <f>IFERROR(50+VLOOKUP($A69,'SegEnds_Xtal_Prot#'!$A:$AY,11,FALSE)-VLOOKUP($B69,'SegEnds_NonXtal_Prot#'!$A:$AL,7,FALSE),"-")</f>
        <v>51</v>
      </c>
      <c r="G69" s="2">
        <f>IFERROR(50+VLOOKUP($A69,'SegEnds_Xtal_Prot#'!$A:$AY,13,FALSE)-VLOOKUP($B69,'SegEnds_NonXtal_Prot#'!$A:$AL,10,FALSE),"-")</f>
        <v>37</v>
      </c>
      <c r="H69" s="2">
        <f>IFERROR(50+VLOOKUP($A69,'SegEnds_Xtal_Prot#'!$A:$AY,15,FALSE)-VLOOKUP($B69,'SegEnds_NonXtal_Prot#'!$A:$AL,10,FALSE),"-")</f>
        <v>68</v>
      </c>
      <c r="I69" s="2">
        <f>IFERROR(50+VLOOKUP($A69,'SegEnds_Xtal_Prot#'!$A:$AY,17,FALSE)-VLOOKUP($B69,'SegEnds_NonXtal_Prot#'!$A:$AL,13,FALSE),"-")</f>
        <v>49</v>
      </c>
      <c r="J69" s="2">
        <f>IFERROR(50+VLOOKUP($A69,'SegEnds_Xtal_Prot#'!$A:$AY,19,FALSE)-VLOOKUP($B69,'SegEnds_NonXtal_Prot#'!$A:$AL,13,FALSE),"-")</f>
        <v>52</v>
      </c>
      <c r="K69" s="2">
        <f>IFERROR(50+VLOOKUP($A69,'SegEnds_Xtal_Prot#'!$A:$AY,21,FALSE)-VLOOKUP($B69,'SegEnds_NonXtal_Prot#'!$A:$AL,16,FALSE),"-")</f>
        <v>21</v>
      </c>
      <c r="L69" s="2">
        <f>IFERROR(50+VLOOKUP($A69,'SegEnds_Xtal_Prot#'!$A:$AY,23,FALSE)-VLOOKUP($B69,'SegEnds_NonXtal_Prot#'!$A:$AL,16,FALSE),"-")</f>
        <v>56</v>
      </c>
      <c r="M69" s="2">
        <f>IFERROR(50+VLOOKUP($A69,'SegEnds_Xtal_Prot#'!$A:$AY,25,FALSE)-VLOOKUP($B69,'SegEnds_NonXtal_Prot#'!$A:$AL,19,FALSE),"-")</f>
        <v>50</v>
      </c>
      <c r="N69" s="2">
        <f>IFERROR(50+VLOOKUP($A69,'SegEnds_Xtal_Prot#'!$A:$AY,27,FALSE)-VLOOKUP($B69,'SegEnds_NonXtal_Prot#'!$A:$AL,19,FALSE),"-")</f>
        <v>57</v>
      </c>
      <c r="O69" s="2">
        <f>IFERROR(50+VLOOKUP($A69,'SegEnds_Xtal_Prot#'!$A:$AY,29,FALSE)-VLOOKUP($B69,'SegEnds_NonXtal_Prot#'!$A:$AL,22,FALSE),"-")</f>
        <v>38</v>
      </c>
      <c r="P69" s="2">
        <f>IFERROR(50+VLOOKUP($A69,'SegEnds_Xtal_Prot#'!$A:$AY,31,FALSE)-VLOOKUP($B69,'SegEnds_NonXtal_Prot#'!$A:$AL,22,FALSE),"-")</f>
        <v>67</v>
      </c>
      <c r="Q69" s="2">
        <f>IFERROR(50+VLOOKUP($A69,'SegEnds_Xtal_Prot#'!$A:$AY,33,FALSE)-VLOOKUP($B69,'SegEnds_NonXtal_Prot#'!$A:$AL,25,FALSE),"-")</f>
        <v>50</v>
      </c>
      <c r="R69" s="2">
        <f>IFERROR(50+VLOOKUP($A69,'SegEnds_Xtal_Prot#'!$A:$AY,35,FALSE)-VLOOKUP($B69,'SegEnds_NonXtal_Prot#'!$A:$AL,25,FALSE),"-")</f>
        <v>52</v>
      </c>
      <c r="S69" s="2">
        <f>IFERROR(50+VLOOKUP($A69,'SegEnds_Xtal_Prot#'!$A:$AY,37,FALSE)-VLOOKUP($B69,'SegEnds_NonXtal_Prot#'!$A:$AL,28,FALSE),"-")</f>
        <v>35</v>
      </c>
      <c r="T69" s="2">
        <f>IFERROR(50+VLOOKUP($A69,'SegEnds_Xtal_Prot#'!$A:$AY,39,FALSE)-VLOOKUP($B69,'SegEnds_NonXtal_Prot#'!$A:$AL,28,FALSE),"-")</f>
        <v>76</v>
      </c>
      <c r="U69" s="2">
        <f>IFERROR(50+VLOOKUP($A69,'SegEnds_Xtal_Prot#'!$A:$AY,41,FALSE)-VLOOKUP($B69,'SegEnds_NonXtal_Prot#'!$A:$AL,31,FALSE),"-")</f>
        <v>24</v>
      </c>
      <c r="V69" s="2">
        <f>IFERROR(50+VLOOKUP($A69,'SegEnds_Xtal_Prot#'!$A:$AY,43,FALSE)-VLOOKUP($B69,'SegEnds_NonXtal_Prot#'!$A:$AL,31,FALSE),"-")</f>
        <v>61</v>
      </c>
      <c r="W69" s="2">
        <f>IFERROR(50+VLOOKUP($A69,'SegEnds_Xtal_Prot#'!$A:$AY,45,FALSE)-VLOOKUP($B69,'SegEnds_NonXtal_Prot#'!$A:$AL,34,FALSE),"-")</f>
        <v>27</v>
      </c>
      <c r="X69" s="2">
        <f>IFERROR(50+VLOOKUP($A69,'SegEnds_Xtal_Prot#'!$A:$AY,47,FALSE)-VLOOKUP($B69,'SegEnds_NonXtal_Prot#'!$A:$AL,34,FALSE),"-")</f>
        <v>56</v>
      </c>
      <c r="Y69" s="2">
        <f>IFERROR(50+VLOOKUP($A69,'SegEnds_Xtal_Prot#'!$A:$AY,49,FALSE)-VLOOKUP($B69,'SegEnds_NonXtal_Prot#'!$A:$AL,37,FALSE),"-")</f>
        <v>47</v>
      </c>
      <c r="Z69" s="2">
        <f>IFERROR(50+VLOOKUP($A69,'SegEnds_Xtal_Prot#'!$A:$AY,51,FALSE)-VLOOKUP($B69,'SegEnds_NonXtal_Prot#'!$A:$AL,37,FALSE),"-")</f>
        <v>60</v>
      </c>
      <c r="AA69" s="49" t="str">
        <f>VLOOKUP(B69,Classification!A:D,2,FALSE)</f>
        <v>A</v>
      </c>
      <c r="AB69" s="94" t="str">
        <f>VLOOKUP(B69,Classification!A:D,4,0)</f>
        <v>5-Hydroxytryptamine</v>
      </c>
      <c r="AC69" s="49">
        <f>VLOOKUP(B69,'SegEnds_NonXtal_Prot#'!A:AL,6,FALSE)-VLOOKUP(B69,'SegEnds_NonXtal_Prot#'!A:AL,5,FALSE)</f>
        <v>1</v>
      </c>
      <c r="AD69" s="49">
        <f>VLOOKUP(B69,'SegEnds_NonXtal_Prot#'!A:AL,9,FALSE)-VLOOKUP(B69,'SegEnds_NonXtal_Prot#'!A:AL,8,FALSE)</f>
        <v>1</v>
      </c>
      <c r="AE69" s="49">
        <f>VLOOKUP(B69,'SegEnds_NonXtal_Prot#'!A:AL,13,FALSE)-VLOOKUP(B69,'SegEnds_NonXtal_Prot#'!A:AL,10,FALSE)</f>
        <v>21</v>
      </c>
      <c r="AF69" s="49">
        <f>VLOOKUP(B69,'SegEnds_NonXtal_Prot#'!A:AL,12,FALSE)-VLOOKUP(B69,'SegEnds_NonXtal_Prot#'!A:AL,11,FALSE)</f>
        <v>2</v>
      </c>
      <c r="AG69" s="49">
        <f>VLOOKUP(B69,'SegEnds_NonXtal_Prot#'!A:AL,13,FALSE)-VLOOKUP(B69,'SegEnds_NonXtal_Prot#'!A:AL,11,FALSE)</f>
        <v>3</v>
      </c>
      <c r="AH69" s="49">
        <f>VLOOKUP(B69,'SegEnds_NonXtal_Prot#'!A:AL,16,FALSE)-VLOOKUP(B69,'SegEnds_NonXtal_Prot#'!A:AL,10,FALSE)</f>
        <v>53</v>
      </c>
      <c r="AI69" s="49">
        <f>VLOOKUP(B69,'SegEnds_NonXtal_Prot#'!A:AL,16,FALSE)-VLOOKUP(B69,'SegEnds_NonXtal_Prot#'!A:AL,11,FALSE)</f>
        <v>35</v>
      </c>
      <c r="AJ69" s="49">
        <f>VLOOKUP(B69,'SegEnds_NonXtal_Prot#'!A:AL,22,FALSE)-VLOOKUP(B69,'SegEnds_NonXtal_Prot#'!A:AL,19,FALSE)</f>
        <v>20</v>
      </c>
      <c r="AK69" s="49">
        <f>VLOOKUP(B69,'SegEnds_NonXtal_Prot#'!A:AL,15,FALSE)-VLOOKUP(B69,'SegEnds_NonXtal_Prot#'!A:AL,14,FALSE)</f>
        <v>1</v>
      </c>
      <c r="AL69" s="49">
        <f>VLOOKUP(B69,'SegEnds_NonXtal_Prot#'!A:AL,18,FALSE)-VLOOKUP(B69,'SegEnds_NonXtal_Prot#'!A:AL,17,FALSE)</f>
        <v>1</v>
      </c>
      <c r="AM69" s="2">
        <f>VLOOKUP(B69,'SegEnds_NonXtal_Prot#'!A:AL,34,FALSE)-VLOOKUP(B69,'SegEnds_NonXtal_Prot#'!A:AL,31,FALSE)</f>
        <v>39</v>
      </c>
    </row>
    <row r="70" spans="1:39" x14ac:dyDescent="0.2">
      <c r="A70" s="2" t="str">
        <f t="shared" ref="A70:A76" si="1">CONCATENATE(B70,"__wt",)</f>
        <v>mtr1a_human__wt</v>
      </c>
      <c r="B70" s="2" t="s">
        <v>310</v>
      </c>
      <c r="C70" s="2">
        <f>IFERROR(50+VLOOKUP($A70,'SegEnds_Xtal_Prot#'!$A:$AY,5,FALSE)-VLOOKUP($B70,'SegEnds_NonXtal_Prot#'!$A:$AL,4,FALSE),"-")</f>
        <v>28</v>
      </c>
      <c r="D70" s="2">
        <f>IFERROR(50+VLOOKUP($A70,'SegEnds_Xtal_Prot#'!$A:$AY,7,FALSE)-VLOOKUP($B70,'SegEnds_NonXtal_Prot#'!$A:$AL,4,FALSE),"-")</f>
        <v>60</v>
      </c>
      <c r="E70" s="2">
        <f>IFERROR(50+VLOOKUP($A70,'SegEnds_Xtal_Prot#'!$A:$AY,9,FALSE)-VLOOKUP($B70,'SegEnds_NonXtal_Prot#'!$A:$AL,7,FALSE),"-")</f>
        <v>48</v>
      </c>
      <c r="F70" s="2">
        <f>IFERROR(50+VLOOKUP($A70,'SegEnds_Xtal_Prot#'!$A:$AY,11,FALSE)-VLOOKUP($B70,'SegEnds_NonXtal_Prot#'!$A:$AL,7,FALSE),"-")</f>
        <v>51</v>
      </c>
      <c r="G70" s="2">
        <f>IFERROR(50+VLOOKUP($A70,'SegEnds_Xtal_Prot#'!$A:$AY,13,FALSE)-VLOOKUP($B70,'SegEnds_NonXtal_Prot#'!$A:$AL,10,FALSE),"-")</f>
        <v>37</v>
      </c>
      <c r="H70" s="2">
        <f>IFERROR(50+VLOOKUP($A70,'SegEnds_Xtal_Prot#'!$A:$AY,15,FALSE)-VLOOKUP($B70,'SegEnds_NonXtal_Prot#'!$A:$AL,10,FALSE),"-")</f>
        <v>68</v>
      </c>
      <c r="I70" s="2">
        <f>IFERROR(50+VLOOKUP($A70,'SegEnds_Xtal_Prot#'!$A:$AY,17,FALSE)-VLOOKUP($B70,'SegEnds_NonXtal_Prot#'!$A:$AL,13,FALSE),"-")</f>
        <v>49</v>
      </c>
      <c r="J70" s="2">
        <f>IFERROR(50+VLOOKUP($A70,'SegEnds_Xtal_Prot#'!$A:$AY,19,FALSE)-VLOOKUP($B70,'SegEnds_NonXtal_Prot#'!$A:$AL,13,FALSE),"-")</f>
        <v>52</v>
      </c>
      <c r="K70" s="2">
        <f>IFERROR(50+VLOOKUP($A70,'SegEnds_Xtal_Prot#'!$A:$AY,21,FALSE)-VLOOKUP($B70,'SegEnds_NonXtal_Prot#'!$A:$AL,16,FALSE),"-")</f>
        <v>21</v>
      </c>
      <c r="L70" s="2">
        <f>IFERROR(50+VLOOKUP($A70,'SegEnds_Xtal_Prot#'!$A:$AY,23,FALSE)-VLOOKUP($B70,'SegEnds_NonXtal_Prot#'!$A:$AL,16,FALSE),"-")</f>
        <v>56</v>
      </c>
      <c r="M70" s="2">
        <f>IFERROR(50+VLOOKUP($A70,'SegEnds_Xtal_Prot#'!$A:$AY,25,FALSE)-VLOOKUP($B70,'SegEnds_NonXtal_Prot#'!$A:$AL,19,FALSE),"-")</f>
        <v>50</v>
      </c>
      <c r="N70" s="2">
        <f>IFERROR(50+VLOOKUP($A70,'SegEnds_Xtal_Prot#'!$A:$AY,27,FALSE)-VLOOKUP($B70,'SegEnds_NonXtal_Prot#'!$A:$AL,19,FALSE),"-")</f>
        <v>57</v>
      </c>
      <c r="O70" s="2">
        <f>IFERROR(50+VLOOKUP($A70,'SegEnds_Xtal_Prot#'!$A:$AY,29,FALSE)-VLOOKUP($B70,'SegEnds_NonXtal_Prot#'!$A:$AL,22,FALSE),"-")</f>
        <v>38</v>
      </c>
      <c r="P70" s="2">
        <f>IFERROR(50+VLOOKUP($A70,'SegEnds_Xtal_Prot#'!$A:$AY,31,FALSE)-VLOOKUP($B70,'SegEnds_NonXtal_Prot#'!$A:$AL,22,FALSE),"-")</f>
        <v>64</v>
      </c>
      <c r="Q70" s="2">
        <f>IFERROR(50+VLOOKUP($A70,'SegEnds_Xtal_Prot#'!$A:$AY,33,FALSE)-VLOOKUP($B70,'SegEnds_NonXtal_Prot#'!$A:$AL,25,FALSE),"-")</f>
        <v>50</v>
      </c>
      <c r="R70" s="2">
        <f>IFERROR(50+VLOOKUP($A70,'SegEnds_Xtal_Prot#'!$A:$AY,35,FALSE)-VLOOKUP($B70,'SegEnds_NonXtal_Prot#'!$A:$AL,25,FALSE),"-")</f>
        <v>52</v>
      </c>
      <c r="S70" s="2">
        <f>IFERROR(50+VLOOKUP($A70,'SegEnds_Xtal_Prot#'!$A:$AY,37,FALSE)-VLOOKUP($B70,'SegEnds_NonXtal_Prot#'!$A:$AL,28,FALSE),"-")</f>
        <v>35</v>
      </c>
      <c r="T70" s="2">
        <f>IFERROR(50+VLOOKUP($A70,'SegEnds_Xtal_Prot#'!$A:$AY,39,FALSE)-VLOOKUP($B70,'SegEnds_NonXtal_Prot#'!$A:$AL,28,FALSE),"-")</f>
        <v>72</v>
      </c>
      <c r="U70" s="2">
        <f>IFERROR(50+VLOOKUP($A70,'SegEnds_Xtal_Prot#'!$A:$AY,41,FALSE)-VLOOKUP($B70,'SegEnds_NonXtal_Prot#'!$A:$AL,31,FALSE),"-")</f>
        <v>24</v>
      </c>
      <c r="V70" s="2">
        <f>IFERROR(50+VLOOKUP($A70,'SegEnds_Xtal_Prot#'!$A:$AY,43,FALSE)-VLOOKUP($B70,'SegEnds_NonXtal_Prot#'!$A:$AL,31,FALSE),"-")</f>
        <v>61</v>
      </c>
      <c r="W70" s="2">
        <f>IFERROR(50+VLOOKUP($A70,'SegEnds_Xtal_Prot#'!$A:$AY,45,FALSE)-VLOOKUP($B70,'SegEnds_NonXtal_Prot#'!$A:$AL,34,FALSE),"-")</f>
        <v>31</v>
      </c>
      <c r="X70" s="2">
        <f>IFERROR(50+VLOOKUP($A70,'SegEnds_Xtal_Prot#'!$A:$AY,47,FALSE)-VLOOKUP($B70,'SegEnds_NonXtal_Prot#'!$A:$AL,34,FALSE),"-")</f>
        <v>56</v>
      </c>
      <c r="Y70" s="2">
        <f>IFERROR(50+VLOOKUP($A70,'SegEnds_Xtal_Prot#'!$A:$AY,49,FALSE)-VLOOKUP($B70,'SegEnds_NonXtal_Prot#'!$A:$AL,37,FALSE),"-")</f>
        <v>47</v>
      </c>
      <c r="Z70" s="2">
        <f>IFERROR(50+VLOOKUP($A70,'SegEnds_Xtal_Prot#'!$A:$AY,51,FALSE)-VLOOKUP($B70,'SegEnds_NonXtal_Prot#'!$A:$AL,37,FALSE),"-")</f>
        <v>63</v>
      </c>
      <c r="AA70" s="49" t="str">
        <f>VLOOKUP(B70,Classification!A:D,2,FALSE)</f>
        <v>A</v>
      </c>
      <c r="AB70" s="94" t="str">
        <f>VLOOKUP(B70,Classification!A:D,4,0)</f>
        <v>Melatonin</v>
      </c>
      <c r="AC70" s="49">
        <f>VLOOKUP(B70,'SegEnds_NonXtal_Prot#'!A:AL,6,FALSE)-VLOOKUP(B70,'SegEnds_NonXtal_Prot#'!A:AL,5,FALSE)</f>
        <v>1</v>
      </c>
      <c r="AD70" s="49">
        <f>VLOOKUP(B70,'SegEnds_NonXtal_Prot#'!A:AL,9,FALSE)-VLOOKUP(B70,'SegEnds_NonXtal_Prot#'!A:AL,8,FALSE)</f>
        <v>1</v>
      </c>
      <c r="AE70" s="49">
        <f>VLOOKUP(B70,'SegEnds_NonXtal_Prot#'!A:AL,13,FALSE)-VLOOKUP(B70,'SegEnds_NonXtal_Prot#'!A:AL,10,FALSE)</f>
        <v>20</v>
      </c>
      <c r="AF70" s="49">
        <f>VLOOKUP(B70,'SegEnds_NonXtal_Prot#'!A:AL,12,FALSE)-VLOOKUP(B70,'SegEnds_NonXtal_Prot#'!A:AL,11,FALSE)</f>
        <v>1</v>
      </c>
      <c r="AG70" s="49">
        <f>VLOOKUP(B70,'SegEnds_NonXtal_Prot#'!A:AL,13,FALSE)-VLOOKUP(B70,'SegEnds_NonXtal_Prot#'!A:AL,11,FALSE)</f>
        <v>2</v>
      </c>
      <c r="AH70" s="49">
        <f>VLOOKUP(B70,'SegEnds_NonXtal_Prot#'!A:AL,16,FALSE)-VLOOKUP(B70,'SegEnds_NonXtal_Prot#'!A:AL,10,FALSE)</f>
        <v>52</v>
      </c>
      <c r="AI70" s="49">
        <f>VLOOKUP(B70,'SegEnds_NonXtal_Prot#'!A:AL,16,FALSE)-VLOOKUP(B70,'SegEnds_NonXtal_Prot#'!A:AL,11,FALSE)</f>
        <v>34</v>
      </c>
      <c r="AJ70" s="49">
        <f>VLOOKUP(B70,'SegEnds_NonXtal_Prot#'!A:AL,22,FALSE)-VLOOKUP(B70,'SegEnds_NonXtal_Prot#'!A:AL,19,FALSE)</f>
        <v>20</v>
      </c>
      <c r="AK70" s="49">
        <f>VLOOKUP(B70,'SegEnds_NonXtal_Prot#'!A:AL,15,FALSE)-VLOOKUP(B70,'SegEnds_NonXtal_Prot#'!A:AL,14,FALSE)</f>
        <v>1</v>
      </c>
      <c r="AL70" s="49">
        <f>VLOOKUP(B70,'SegEnds_NonXtal_Prot#'!A:AL,18,FALSE)-VLOOKUP(B70,'SegEnds_NonXtal_Prot#'!A:AL,17,FALSE)</f>
        <v>1</v>
      </c>
      <c r="AM70" s="2">
        <f>VLOOKUP(B70,'SegEnds_NonXtal_Prot#'!A:AL,34,FALSE)-VLOOKUP(B70,'SegEnds_NonXtal_Prot#'!A:AL,31,FALSE)</f>
        <v>39</v>
      </c>
    </row>
    <row r="71" spans="1:39" x14ac:dyDescent="0.2">
      <c r="A71" s="2" t="str">
        <f t="shared" si="1"/>
        <v>mtr1b_human__wt</v>
      </c>
      <c r="B71" s="2" t="s">
        <v>311</v>
      </c>
      <c r="C71" s="2">
        <f>IFERROR(50+VLOOKUP($A71,'SegEnds_Xtal_Prot#'!$A:$AY,5,FALSE)-VLOOKUP($B71,'SegEnds_NonXtal_Prot#'!$A:$AL,4,FALSE),"-")</f>
        <v>30</v>
      </c>
      <c r="D71" s="2">
        <f>IFERROR(50+VLOOKUP($A71,'SegEnds_Xtal_Prot#'!$A:$AY,7,FALSE)-VLOOKUP($B71,'SegEnds_NonXtal_Prot#'!$A:$AL,4,FALSE),"-")</f>
        <v>60</v>
      </c>
      <c r="E71" s="2">
        <f>IFERROR(50+VLOOKUP($A71,'SegEnds_Xtal_Prot#'!$A:$AY,9,FALSE)-VLOOKUP($B71,'SegEnds_NonXtal_Prot#'!$A:$AL,7,FALSE),"-")</f>
        <v>48</v>
      </c>
      <c r="F71" s="2">
        <f>IFERROR(50+VLOOKUP($A71,'SegEnds_Xtal_Prot#'!$A:$AY,11,FALSE)-VLOOKUP($B71,'SegEnds_NonXtal_Prot#'!$A:$AL,7,FALSE),"-")</f>
        <v>51</v>
      </c>
      <c r="G71" s="2">
        <f>IFERROR(50+VLOOKUP($A71,'SegEnds_Xtal_Prot#'!$A:$AY,13,FALSE)-VLOOKUP($B71,'SegEnds_NonXtal_Prot#'!$A:$AL,10,FALSE),"-")</f>
        <v>37</v>
      </c>
      <c r="H71" s="2">
        <f>IFERROR(50+VLOOKUP($A71,'SegEnds_Xtal_Prot#'!$A:$AY,15,FALSE)-VLOOKUP($B71,'SegEnds_NonXtal_Prot#'!$A:$AL,10,FALSE),"-")</f>
        <v>68</v>
      </c>
      <c r="I71" s="2">
        <f>IFERROR(50+VLOOKUP($A71,'SegEnds_Xtal_Prot#'!$A:$AY,17,FALSE)-VLOOKUP($B71,'SegEnds_NonXtal_Prot#'!$A:$AL,13,FALSE),"-")</f>
        <v>49</v>
      </c>
      <c r="J71" s="2">
        <f>IFERROR(50+VLOOKUP($A71,'SegEnds_Xtal_Prot#'!$A:$AY,19,FALSE)-VLOOKUP($B71,'SegEnds_NonXtal_Prot#'!$A:$AL,13,FALSE),"-")</f>
        <v>52</v>
      </c>
      <c r="K71" s="2">
        <f>IFERROR(50+VLOOKUP($A71,'SegEnds_Xtal_Prot#'!$A:$AY,21,FALSE)-VLOOKUP($B71,'SegEnds_NonXtal_Prot#'!$A:$AL,16,FALSE),"-")</f>
        <v>21</v>
      </c>
      <c r="L71" s="2">
        <f>IFERROR(50+VLOOKUP($A71,'SegEnds_Xtal_Prot#'!$A:$AY,23,FALSE)-VLOOKUP($B71,'SegEnds_NonXtal_Prot#'!$A:$AL,16,FALSE),"-")</f>
        <v>56</v>
      </c>
      <c r="M71" s="2">
        <f>IFERROR(50+VLOOKUP($A71,'SegEnds_Xtal_Prot#'!$A:$AY,25,FALSE)-VLOOKUP($B71,'SegEnds_NonXtal_Prot#'!$A:$AL,19,FALSE),"-")</f>
        <v>50</v>
      </c>
      <c r="N71" s="2">
        <f>IFERROR(50+VLOOKUP($A71,'SegEnds_Xtal_Prot#'!$A:$AY,27,FALSE)-VLOOKUP($B71,'SegEnds_NonXtal_Prot#'!$A:$AL,19,FALSE),"-")</f>
        <v>57</v>
      </c>
      <c r="O71" s="2">
        <f>IFERROR(50+VLOOKUP($A71,'SegEnds_Xtal_Prot#'!$A:$AY,29,FALSE)-VLOOKUP($B71,'SegEnds_NonXtal_Prot#'!$A:$AL,22,FALSE),"-")</f>
        <v>38</v>
      </c>
      <c r="P71" s="2">
        <f>IFERROR(50+VLOOKUP($A71,'SegEnds_Xtal_Prot#'!$A:$AY,31,FALSE)-VLOOKUP($B71,'SegEnds_NonXtal_Prot#'!$A:$AL,22,FALSE),"-")</f>
        <v>64</v>
      </c>
      <c r="Q71" s="2">
        <f>IFERROR(50+VLOOKUP($A71,'SegEnds_Xtal_Prot#'!$A:$AY,33,FALSE)-VLOOKUP($B71,'SegEnds_NonXtal_Prot#'!$A:$AL,25,FALSE),"-")</f>
        <v>50</v>
      </c>
      <c r="R71" s="2">
        <f>IFERROR(50+VLOOKUP($A71,'SegEnds_Xtal_Prot#'!$A:$AY,35,FALSE)-VLOOKUP($B71,'SegEnds_NonXtal_Prot#'!$A:$AL,25,FALSE),"-")</f>
        <v>52</v>
      </c>
      <c r="S71" s="2">
        <f>IFERROR(50+VLOOKUP($A71,'SegEnds_Xtal_Prot#'!$A:$AY,37,FALSE)-VLOOKUP($B71,'SegEnds_NonXtal_Prot#'!$A:$AL,28,FALSE),"-")</f>
        <v>35</v>
      </c>
      <c r="T71" s="2">
        <f>IFERROR(50+VLOOKUP($A71,'SegEnds_Xtal_Prot#'!$A:$AY,39,FALSE)-VLOOKUP($B71,'SegEnds_NonXtal_Prot#'!$A:$AL,28,FALSE),"-")</f>
        <v>72</v>
      </c>
      <c r="U71" s="2">
        <f>IFERROR(50+VLOOKUP($A71,'SegEnds_Xtal_Prot#'!$A:$AY,41,FALSE)-VLOOKUP($B71,'SegEnds_NonXtal_Prot#'!$A:$AL,31,FALSE),"-")</f>
        <v>24</v>
      </c>
      <c r="V71" s="2">
        <f>IFERROR(50+VLOOKUP($A71,'SegEnds_Xtal_Prot#'!$A:$AY,43,FALSE)-VLOOKUP($B71,'SegEnds_NonXtal_Prot#'!$A:$AL,31,FALSE),"-")</f>
        <v>61</v>
      </c>
      <c r="W71" s="2">
        <f>IFERROR(50+VLOOKUP($A71,'SegEnds_Xtal_Prot#'!$A:$AY,45,FALSE)-VLOOKUP($B71,'SegEnds_NonXtal_Prot#'!$A:$AL,34,FALSE),"-")</f>
        <v>31</v>
      </c>
      <c r="X71" s="2">
        <f>IFERROR(50+VLOOKUP($A71,'SegEnds_Xtal_Prot#'!$A:$AY,47,FALSE)-VLOOKUP($B71,'SegEnds_NonXtal_Prot#'!$A:$AL,34,FALSE),"-")</f>
        <v>56</v>
      </c>
      <c r="Y71" s="2">
        <f>IFERROR(50+VLOOKUP($A71,'SegEnds_Xtal_Prot#'!$A:$AY,49,FALSE)-VLOOKUP($B71,'SegEnds_NonXtal_Prot#'!$A:$AL,37,FALSE),"-")</f>
        <v>47</v>
      </c>
      <c r="Z71" s="2">
        <f>IFERROR(50+VLOOKUP($A71,'SegEnds_Xtal_Prot#'!$A:$AY,51,FALSE)-VLOOKUP($B71,'SegEnds_NonXtal_Prot#'!$A:$AL,37,FALSE),"-")</f>
        <v>63</v>
      </c>
      <c r="AA71" s="49" t="str">
        <f>VLOOKUP(B71,Classification!A:D,2,FALSE)</f>
        <v>A</v>
      </c>
      <c r="AB71" s="94" t="str">
        <f>VLOOKUP(B71,Classification!A:D,4,0)</f>
        <v>Melatonin</v>
      </c>
      <c r="AC71" s="49">
        <f>VLOOKUP(B71,'SegEnds_NonXtal_Prot#'!A:AL,6,FALSE)-VLOOKUP(B71,'SegEnds_NonXtal_Prot#'!A:AL,5,FALSE)</f>
        <v>1</v>
      </c>
      <c r="AD71" s="49">
        <f>VLOOKUP(B71,'SegEnds_NonXtal_Prot#'!A:AL,9,FALSE)-VLOOKUP(B71,'SegEnds_NonXtal_Prot#'!A:AL,8,FALSE)</f>
        <v>1</v>
      </c>
      <c r="AE71" s="49">
        <f>VLOOKUP(B71,'SegEnds_NonXtal_Prot#'!A:AL,13,FALSE)-VLOOKUP(B71,'SegEnds_NonXtal_Prot#'!A:AL,10,FALSE)</f>
        <v>20</v>
      </c>
      <c r="AF71" s="49">
        <f>VLOOKUP(B71,'SegEnds_NonXtal_Prot#'!A:AL,12,FALSE)-VLOOKUP(B71,'SegEnds_NonXtal_Prot#'!A:AL,11,FALSE)</f>
        <v>1</v>
      </c>
      <c r="AG71" s="49">
        <f>VLOOKUP(B71,'SegEnds_NonXtal_Prot#'!A:AL,13,FALSE)-VLOOKUP(B71,'SegEnds_NonXtal_Prot#'!A:AL,11,FALSE)</f>
        <v>2</v>
      </c>
      <c r="AH71" s="49">
        <f>VLOOKUP(B71,'SegEnds_NonXtal_Prot#'!A:AL,16,FALSE)-VLOOKUP(B71,'SegEnds_NonXtal_Prot#'!A:AL,10,FALSE)</f>
        <v>52</v>
      </c>
      <c r="AI71" s="49">
        <f>VLOOKUP(B71,'SegEnds_NonXtal_Prot#'!A:AL,16,FALSE)-VLOOKUP(B71,'SegEnds_NonXtal_Prot#'!A:AL,11,FALSE)</f>
        <v>34</v>
      </c>
      <c r="AJ71" s="49">
        <f>VLOOKUP(B71,'SegEnds_NonXtal_Prot#'!A:AL,22,FALSE)-VLOOKUP(B71,'SegEnds_NonXtal_Prot#'!A:AL,19,FALSE)</f>
        <v>20</v>
      </c>
      <c r="AK71" s="49">
        <f>VLOOKUP(B71,'SegEnds_NonXtal_Prot#'!A:AL,15,FALSE)-VLOOKUP(B71,'SegEnds_NonXtal_Prot#'!A:AL,14,FALSE)</f>
        <v>1</v>
      </c>
      <c r="AL71" s="49">
        <f>VLOOKUP(B71,'SegEnds_NonXtal_Prot#'!A:AL,18,FALSE)-VLOOKUP(B71,'SegEnds_NonXtal_Prot#'!A:AL,17,FALSE)</f>
        <v>1</v>
      </c>
      <c r="AM71" s="2">
        <f>VLOOKUP(B71,'SegEnds_NonXtal_Prot#'!A:AL,34,FALSE)-VLOOKUP(B71,'SegEnds_NonXtal_Prot#'!A:AL,31,FALSE)</f>
        <v>39</v>
      </c>
    </row>
    <row r="72" spans="1:39" x14ac:dyDescent="0.2">
      <c r="A72" s="2" t="str">
        <f t="shared" si="1"/>
        <v>ntr1_human__wt</v>
      </c>
      <c r="B72" s="2" t="s">
        <v>127</v>
      </c>
      <c r="C72" s="2">
        <f>IFERROR(50+VLOOKUP($A72,'SegEnds_Xtal_Prot#'!$A:$AY,5,FALSE)-VLOOKUP($B72,'SegEnds_NonXtal_Prot#'!$A:$AL,4,FALSE),"-")</f>
        <v>28</v>
      </c>
      <c r="D72" s="2">
        <f>IFERROR(50+VLOOKUP($A72,'SegEnds_Xtal_Prot#'!$A:$AY,7,FALSE)-VLOOKUP($B72,'SegEnds_NonXtal_Prot#'!$A:$AL,4,FALSE),"-")</f>
        <v>60</v>
      </c>
      <c r="E72" s="2" t="str">
        <f>IFERROR(50+VLOOKUP($A72,'SegEnds_Xtal_Prot#'!$A:$AY,9,FALSE)-VLOOKUP($B72,'SegEnds_NonXtal_Prot#'!$A:$AL,7,FALSE),"-")</f>
        <v>-</v>
      </c>
      <c r="F72" s="2" t="str">
        <f>IFERROR(50+VLOOKUP($A72,'SegEnds_Xtal_Prot#'!$A:$AY,11,FALSE)-VLOOKUP($B72,'SegEnds_NonXtal_Prot#'!$A:$AL,7,FALSE),"-")</f>
        <v>-</v>
      </c>
      <c r="G72" s="2">
        <f>IFERROR(50+VLOOKUP($A72,'SegEnds_Xtal_Prot#'!$A:$AY,13,FALSE)-VLOOKUP($B72,'SegEnds_NonXtal_Prot#'!$A:$AL,10,FALSE),"-")</f>
        <v>34</v>
      </c>
      <c r="H72" s="2">
        <f>IFERROR(50+VLOOKUP($A72,'SegEnds_Xtal_Prot#'!$A:$AY,15,FALSE)-VLOOKUP($B72,'SegEnds_NonXtal_Prot#'!$A:$AL,10,FALSE),"-")</f>
        <v>68</v>
      </c>
      <c r="I72" s="2">
        <f>IFERROR(50+VLOOKUP($A72,'SegEnds_Xtal_Prot#'!$A:$AY,17,FALSE)-VLOOKUP($B72,'SegEnds_NonXtal_Prot#'!$A:$AL,13,FALSE),"-")</f>
        <v>49</v>
      </c>
      <c r="J72" s="2">
        <f>IFERROR(50+VLOOKUP($A72,'SegEnds_Xtal_Prot#'!$A:$AY,19,FALSE)-VLOOKUP($B72,'SegEnds_NonXtal_Prot#'!$A:$AL,13,FALSE),"-")</f>
        <v>52</v>
      </c>
      <c r="K72" s="2">
        <f>IFERROR(50+VLOOKUP($A72,'SegEnds_Xtal_Prot#'!$A:$AY,21,FALSE)-VLOOKUP($B72,'SegEnds_NonXtal_Prot#'!$A:$AL,16,FALSE),"-")</f>
        <v>21</v>
      </c>
      <c r="L72" s="2">
        <f>IFERROR(50+VLOOKUP($A72,'SegEnds_Xtal_Prot#'!$A:$AY,23,FALSE)-VLOOKUP($B72,'SegEnds_NonXtal_Prot#'!$A:$AL,16,FALSE),"-")</f>
        <v>56</v>
      </c>
      <c r="M72" s="2">
        <f>IFERROR(50+VLOOKUP($A72,'SegEnds_Xtal_Prot#'!$A:$AY,25,FALSE)-VLOOKUP($B72,'SegEnds_NonXtal_Prot#'!$A:$AL,19,FALSE),"-")</f>
        <v>50</v>
      </c>
      <c r="N72" s="2">
        <f>IFERROR(50+VLOOKUP($A72,'SegEnds_Xtal_Prot#'!$A:$AY,27,FALSE)-VLOOKUP($B72,'SegEnds_NonXtal_Prot#'!$A:$AL,19,FALSE),"-")</f>
        <v>57</v>
      </c>
      <c r="O72" s="2">
        <f>IFERROR(50+VLOOKUP($A72,'SegEnds_Xtal_Prot#'!$A:$AY,29,FALSE)-VLOOKUP($B72,'SegEnds_NonXtal_Prot#'!$A:$AL,22,FALSE),"-")</f>
        <v>38</v>
      </c>
      <c r="P72" s="2">
        <f>IFERROR(50+VLOOKUP($A72,'SegEnds_Xtal_Prot#'!$A:$AY,31,FALSE)-VLOOKUP($B72,'SegEnds_NonXtal_Prot#'!$A:$AL,22,FALSE),"-")</f>
        <v>64</v>
      </c>
      <c r="Q72" s="2">
        <f>IFERROR(50+VLOOKUP($A72,'SegEnds_Xtal_Prot#'!$A:$AY,33,FALSE)-VLOOKUP($B72,'SegEnds_NonXtal_Prot#'!$A:$AL,25,FALSE),"-")</f>
        <v>50</v>
      </c>
      <c r="R72" s="2">
        <f>IFERROR(50+VLOOKUP($A72,'SegEnds_Xtal_Prot#'!$A:$AY,35,FALSE)-VLOOKUP($B72,'SegEnds_NonXtal_Prot#'!$A:$AL,25,FALSE),"-")</f>
        <v>52</v>
      </c>
      <c r="S72" s="2">
        <f>IFERROR(50+VLOOKUP($A72,'SegEnds_Xtal_Prot#'!$A:$AY,37,FALSE)-VLOOKUP($B72,'SegEnds_NonXtal_Prot#'!$A:$AL,28,FALSE),"-")</f>
        <v>31</v>
      </c>
      <c r="T72" s="2">
        <f>IFERROR(50+VLOOKUP($A72,'SegEnds_Xtal_Prot#'!$A:$AY,39,FALSE)-VLOOKUP($B72,'SegEnds_NonXtal_Prot#'!$A:$AL,28,FALSE),"-")</f>
        <v>76</v>
      </c>
      <c r="U72" s="2">
        <f>IFERROR(50+VLOOKUP($A72,'SegEnds_Xtal_Prot#'!$A:$AY,41,FALSE)-VLOOKUP($B72,'SegEnds_NonXtal_Prot#'!$A:$AL,31,FALSE),"-")</f>
        <v>24</v>
      </c>
      <c r="V72" s="2">
        <f>IFERROR(50+VLOOKUP($A72,'SegEnds_Xtal_Prot#'!$A:$AY,43,FALSE)-VLOOKUP($B72,'SegEnds_NonXtal_Prot#'!$A:$AL,31,FALSE),"-")</f>
        <v>61</v>
      </c>
      <c r="W72" s="2">
        <f>IFERROR(50+VLOOKUP($A72,'SegEnds_Xtal_Prot#'!$A:$AY,45,FALSE)-VLOOKUP($B72,'SegEnds_NonXtal_Prot#'!$A:$AL,34,FALSE),"-")</f>
        <v>24</v>
      </c>
      <c r="X72" s="2">
        <f>IFERROR(50+VLOOKUP($A72,'SegEnds_Xtal_Prot#'!$A:$AY,47,FALSE)-VLOOKUP($B72,'SegEnds_NonXtal_Prot#'!$A:$AL,34,FALSE),"-")</f>
        <v>56</v>
      </c>
      <c r="Y72" s="2">
        <f>IFERROR(50+VLOOKUP($A72,'SegEnds_Xtal_Prot#'!$A:$AY,49,FALSE)-VLOOKUP($B72,'SegEnds_NonXtal_Prot#'!$A:$AL,37,FALSE),"-")</f>
        <v>47</v>
      </c>
      <c r="Z72" s="2">
        <f>IFERROR(50+VLOOKUP($A72,'SegEnds_Xtal_Prot#'!$A:$AY,51,FALSE)-VLOOKUP($B72,'SegEnds_NonXtal_Prot#'!$A:$AL,37,FALSE),"-")</f>
        <v>62</v>
      </c>
      <c r="AA72" s="49" t="str">
        <f>VLOOKUP(B72,Classification!A:D,2,FALSE)</f>
        <v>A</v>
      </c>
      <c r="AB72" s="94" t="str">
        <f>VLOOKUP(B72,Classification!A:D,4,0)</f>
        <v>Neurotensin</v>
      </c>
      <c r="AC72" s="49" t="e">
        <f>VLOOKUP(B72,'SegEnds_NonXtal_Prot#'!A:AL,6,FALSE)-VLOOKUP(B72,'SegEnds_NonXtal_Prot#'!A:AL,5,FALSE)</f>
        <v>#VALUE!</v>
      </c>
      <c r="AD72" s="49" t="e">
        <f>VLOOKUP(B72,'SegEnds_NonXtal_Prot#'!A:AL,9,FALSE)-VLOOKUP(B72,'SegEnds_NonXtal_Prot#'!A:AL,8,FALSE)</f>
        <v>#VALUE!</v>
      </c>
      <c r="AE72" s="49">
        <f>VLOOKUP(B72,'SegEnds_NonXtal_Prot#'!A:AL,13,FALSE)-VLOOKUP(B72,'SegEnds_NonXtal_Prot#'!A:AL,10,FALSE)</f>
        <v>22</v>
      </c>
      <c r="AF72" s="49">
        <f>VLOOKUP(B72,'SegEnds_NonXtal_Prot#'!A:AL,12,FALSE)-VLOOKUP(B72,'SegEnds_NonXtal_Prot#'!A:AL,11,FALSE)</f>
        <v>3</v>
      </c>
      <c r="AG72" s="49">
        <f>VLOOKUP(B72,'SegEnds_NonXtal_Prot#'!A:AL,13,FALSE)-VLOOKUP(B72,'SegEnds_NonXtal_Prot#'!A:AL,11,FALSE)</f>
        <v>4</v>
      </c>
      <c r="AH72" s="49">
        <f>VLOOKUP(B72,'SegEnds_NonXtal_Prot#'!A:AL,16,FALSE)-VLOOKUP(B72,'SegEnds_NonXtal_Prot#'!A:AL,10,FALSE)</f>
        <v>54</v>
      </c>
      <c r="AI72" s="49">
        <f>VLOOKUP(B72,'SegEnds_NonXtal_Prot#'!A:AL,16,FALSE)-VLOOKUP(B72,'SegEnds_NonXtal_Prot#'!A:AL,11,FALSE)</f>
        <v>36</v>
      </c>
      <c r="AJ72" s="49">
        <f>VLOOKUP(B72,'SegEnds_NonXtal_Prot#'!A:AL,22,FALSE)-VLOOKUP(B72,'SegEnds_NonXtal_Prot#'!A:AL,19,FALSE)</f>
        <v>20</v>
      </c>
      <c r="AK72" s="49">
        <f>VLOOKUP(B72,'SegEnds_NonXtal_Prot#'!A:AL,15,FALSE)-VLOOKUP(B72,'SegEnds_NonXtal_Prot#'!A:AL,14,FALSE)</f>
        <v>1</v>
      </c>
      <c r="AL72" s="49">
        <f>VLOOKUP(B72,'SegEnds_NonXtal_Prot#'!A:AL,18,FALSE)-VLOOKUP(B72,'SegEnds_NonXtal_Prot#'!A:AL,17,FALSE)</f>
        <v>1</v>
      </c>
      <c r="AM72" s="2">
        <f>VLOOKUP(B72,'SegEnds_NonXtal_Prot#'!A:AL,34,FALSE)-VLOOKUP(B72,'SegEnds_NonXtal_Prot#'!A:AL,31,FALSE)</f>
        <v>43</v>
      </c>
    </row>
    <row r="73" spans="1:39" x14ac:dyDescent="0.2">
      <c r="A73" s="2" t="str">
        <f t="shared" si="1"/>
        <v>ccr7_human__wt</v>
      </c>
      <c r="B73" s="2" t="s">
        <v>175</v>
      </c>
      <c r="C73" s="2">
        <f>IFERROR(50+VLOOKUP($A73,'SegEnds_Xtal_Prot#'!$A:$AY,5,FALSE)-VLOOKUP($B73,'SegEnds_NonXtal_Prot#'!$A:$AL,4,FALSE),"-")</f>
        <v>29</v>
      </c>
      <c r="D73" s="2">
        <f>IFERROR(50+VLOOKUP($A73,'SegEnds_Xtal_Prot#'!$A:$AY,7,FALSE)-VLOOKUP($B73,'SegEnds_NonXtal_Prot#'!$A:$AL,4,FALSE),"-")</f>
        <v>60</v>
      </c>
      <c r="E73" s="2">
        <f>IFERROR(50+VLOOKUP($A73,'SegEnds_Xtal_Prot#'!$A:$AY,9,FALSE)-VLOOKUP($B73,'SegEnds_NonXtal_Prot#'!$A:$AL,7,FALSE),"-")</f>
        <v>48</v>
      </c>
      <c r="F73" s="2">
        <f>IFERROR(50+VLOOKUP($A73,'SegEnds_Xtal_Prot#'!$A:$AY,11,FALSE)-VLOOKUP($B73,'SegEnds_NonXtal_Prot#'!$A:$AL,7,FALSE),"-")</f>
        <v>51</v>
      </c>
      <c r="G73" s="2">
        <f>IFERROR(50+VLOOKUP($A73,'SegEnds_Xtal_Prot#'!$A:$AY,13,FALSE)-VLOOKUP($B73,'SegEnds_NonXtal_Prot#'!$A:$AL,10,FALSE),"-")</f>
        <v>37</v>
      </c>
      <c r="H73" s="2">
        <f>IFERROR(50+VLOOKUP($A73,'SegEnds_Xtal_Prot#'!$A:$AY,15,FALSE)-VLOOKUP($B73,'SegEnds_NonXtal_Prot#'!$A:$AL,10,FALSE),"-")</f>
        <v>66</v>
      </c>
      <c r="I73" s="2">
        <f>IFERROR(50+VLOOKUP($A73,'SegEnds_Xtal_Prot#'!$A:$AY,17,FALSE)-VLOOKUP($B73,'SegEnds_NonXtal_Prot#'!$A:$AL,13,FALSE),"-")</f>
        <v>49</v>
      </c>
      <c r="J73" s="2">
        <f>IFERROR(50+VLOOKUP($A73,'SegEnds_Xtal_Prot#'!$A:$AY,19,FALSE)-VLOOKUP($B73,'SegEnds_NonXtal_Prot#'!$A:$AL,13,FALSE),"-")</f>
        <v>52</v>
      </c>
      <c r="K73" s="2">
        <f>IFERROR(50+VLOOKUP($A73,'SegEnds_Xtal_Prot#'!$A:$AY,21,FALSE)-VLOOKUP($B73,'SegEnds_NonXtal_Prot#'!$A:$AL,16,FALSE),"-")</f>
        <v>21</v>
      </c>
      <c r="L73" s="2">
        <f>IFERROR(50+VLOOKUP($A73,'SegEnds_Xtal_Prot#'!$A:$AY,23,FALSE)-VLOOKUP($B73,'SegEnds_NonXtal_Prot#'!$A:$AL,16,FALSE),"-")</f>
        <v>56</v>
      </c>
      <c r="M73" s="2">
        <f>IFERROR(50+VLOOKUP($A73,'SegEnds_Xtal_Prot#'!$A:$AY,25,FALSE)-VLOOKUP($B73,'SegEnds_NonXtal_Prot#'!$A:$AL,19,FALSE),"-")</f>
        <v>50</v>
      </c>
      <c r="N73" s="2">
        <f>IFERROR(50+VLOOKUP($A73,'SegEnds_Xtal_Prot#'!$A:$AY,27,FALSE)-VLOOKUP($B73,'SegEnds_NonXtal_Prot#'!$A:$AL,19,FALSE),"-")</f>
        <v>58</v>
      </c>
      <c r="O73" s="2">
        <f>IFERROR(50+VLOOKUP($A73,'SegEnds_Xtal_Prot#'!$A:$AY,29,FALSE)-VLOOKUP($B73,'SegEnds_NonXtal_Prot#'!$A:$AL,22,FALSE),"-")</f>
        <v>38</v>
      </c>
      <c r="P73" s="2">
        <f>IFERROR(50+VLOOKUP($A73,'SegEnds_Xtal_Prot#'!$A:$AY,31,FALSE)-VLOOKUP($B73,'SegEnds_NonXtal_Prot#'!$A:$AL,22,FALSE),"-")</f>
        <v>64</v>
      </c>
      <c r="Q73" s="2">
        <f>IFERROR(50+VLOOKUP($A73,'SegEnds_Xtal_Prot#'!$A:$AY,33,FALSE)-VLOOKUP($B73,'SegEnds_NonXtal_Prot#'!$A:$AL,25,FALSE),"-")</f>
        <v>50</v>
      </c>
      <c r="R73" s="2">
        <f>IFERROR(50+VLOOKUP($A73,'SegEnds_Xtal_Prot#'!$A:$AY,35,FALSE)-VLOOKUP($B73,'SegEnds_NonXtal_Prot#'!$A:$AL,25,FALSE),"-")</f>
        <v>52</v>
      </c>
      <c r="S73" s="2">
        <f>IFERROR(50+VLOOKUP($A73,'SegEnds_Xtal_Prot#'!$A:$AY,37,FALSE)-VLOOKUP($B73,'SegEnds_NonXtal_Prot#'!$A:$AL,28,FALSE),"-")</f>
        <v>33</v>
      </c>
      <c r="T73" s="2">
        <f>IFERROR(50+VLOOKUP($A73,'SegEnds_Xtal_Prot#'!$A:$AY,39,FALSE)-VLOOKUP($B73,'SegEnds_NonXtal_Prot#'!$A:$AL,28,FALSE),"-")</f>
        <v>68</v>
      </c>
      <c r="U73" s="2">
        <f>IFERROR(50+VLOOKUP($A73,'SegEnds_Xtal_Prot#'!$A:$AY,41,FALSE)-VLOOKUP($B73,'SegEnds_NonXtal_Prot#'!$A:$AL,31,FALSE),"-")</f>
        <v>30</v>
      </c>
      <c r="V73" s="2">
        <f>IFERROR(50+VLOOKUP($A73,'SegEnds_Xtal_Prot#'!$A:$AY,43,FALSE)-VLOOKUP($B73,'SegEnds_NonXtal_Prot#'!$A:$AL,31,FALSE),"-")</f>
        <v>65</v>
      </c>
      <c r="W73" s="2">
        <f>IFERROR(50+VLOOKUP($A73,'SegEnds_Xtal_Prot#'!$A:$AY,45,FALSE)-VLOOKUP($B73,'SegEnds_NonXtal_Prot#'!$A:$AL,34,FALSE),"-")</f>
        <v>24</v>
      </c>
      <c r="X73" s="2">
        <f>IFERROR(50+VLOOKUP($A73,'SegEnds_Xtal_Prot#'!$A:$AY,47,FALSE)-VLOOKUP($B73,'SegEnds_NonXtal_Prot#'!$A:$AL,34,FALSE),"-")</f>
        <v>56</v>
      </c>
      <c r="Y73" s="2">
        <f>IFERROR(50+VLOOKUP($A73,'SegEnds_Xtal_Prot#'!$A:$AY,49,FALSE)-VLOOKUP($B73,'SegEnds_NonXtal_Prot#'!$A:$AL,37,FALSE),"-")</f>
        <v>47</v>
      </c>
      <c r="Z73" s="2">
        <f>IFERROR(50+VLOOKUP($A73,'SegEnds_Xtal_Prot#'!$A:$AY,51,FALSE)-VLOOKUP($B73,'SegEnds_NonXtal_Prot#'!$A:$AL,37,FALSE),"-")</f>
        <v>59</v>
      </c>
      <c r="AA73" s="49" t="str">
        <f>VLOOKUP(B73,Classification!A:D,2,FALSE)</f>
        <v>A</v>
      </c>
      <c r="AB73" s="94" t="str">
        <f>VLOOKUP(B73,Classification!A:D,4,0)</f>
        <v>Chemokine</v>
      </c>
      <c r="AC73" s="49">
        <f>VLOOKUP(B73,'SegEnds_NonXtal_Prot#'!A:AL,6,FALSE)-VLOOKUP(B73,'SegEnds_NonXtal_Prot#'!A:AL,5,FALSE)</f>
        <v>1</v>
      </c>
      <c r="AD73" s="49">
        <f>VLOOKUP(B73,'SegEnds_NonXtal_Prot#'!A:AL,9,FALSE)-VLOOKUP(B73,'SegEnds_NonXtal_Prot#'!A:AL,8,FALSE)</f>
        <v>1</v>
      </c>
      <c r="AE73" s="49">
        <f>VLOOKUP(B73,'SegEnds_NonXtal_Prot#'!A:AL,13,FALSE)-VLOOKUP(B73,'SegEnds_NonXtal_Prot#'!A:AL,10,FALSE)</f>
        <v>18</v>
      </c>
      <c r="AF73" s="49">
        <f>VLOOKUP(B73,'SegEnds_NonXtal_Prot#'!A:AL,12,FALSE)-VLOOKUP(B73,'SegEnds_NonXtal_Prot#'!A:AL,11,FALSE)</f>
        <v>1</v>
      </c>
      <c r="AG73" s="49">
        <f>VLOOKUP(B73,'SegEnds_NonXtal_Prot#'!A:AL,13,FALSE)-VLOOKUP(B73,'SegEnds_NonXtal_Prot#'!A:AL,11,FALSE)</f>
        <v>2</v>
      </c>
      <c r="AH73" s="49">
        <f>VLOOKUP(B73,'SegEnds_NonXtal_Prot#'!A:AL,16,FALSE)-VLOOKUP(B73,'SegEnds_NonXtal_Prot#'!A:AL,10,FALSE)</f>
        <v>50</v>
      </c>
      <c r="AI73" s="49">
        <f>VLOOKUP(B73,'SegEnds_NonXtal_Prot#'!A:AL,16,FALSE)-VLOOKUP(B73,'SegEnds_NonXtal_Prot#'!A:AL,11,FALSE)</f>
        <v>34</v>
      </c>
      <c r="AJ73" s="49">
        <f>VLOOKUP(B73,'SegEnds_NonXtal_Prot#'!A:AL,22,FALSE)-VLOOKUP(B73,'SegEnds_NonXtal_Prot#'!A:AL,19,FALSE)</f>
        <v>22</v>
      </c>
      <c r="AK73" s="49">
        <f>VLOOKUP(B73,'SegEnds_NonXtal_Prot#'!A:AL,15,FALSE)-VLOOKUP(B73,'SegEnds_NonXtal_Prot#'!A:AL,14,FALSE)</f>
        <v>1</v>
      </c>
      <c r="AL73" s="49">
        <f>VLOOKUP(B73,'SegEnds_NonXtal_Prot#'!A:AL,18,FALSE)-VLOOKUP(B73,'SegEnds_NonXtal_Prot#'!A:AL,17,FALSE)</f>
        <v>1</v>
      </c>
      <c r="AM73" s="2">
        <f>VLOOKUP(B73,'SegEnds_NonXtal_Prot#'!A:AL,34,FALSE)-VLOOKUP(B73,'SegEnds_NonXtal_Prot#'!A:AL,31,FALSE)</f>
        <v>45</v>
      </c>
    </row>
    <row r="74" spans="1:39" x14ac:dyDescent="0.2">
      <c r="A74" s="2" t="str">
        <f t="shared" si="1"/>
        <v>smo_mouse__wt</v>
      </c>
      <c r="B74" s="2" t="s">
        <v>1588</v>
      </c>
      <c r="C74" s="2">
        <f>IFERROR(50+VLOOKUP($A74,'SegEnds_Xtal_Prot#'!$A:$AY,5,FALSE)-VLOOKUP($B74,'SegEnds_NonXtal_Prot#'!$A:$AL,4,FALSE),"-")</f>
        <v>28</v>
      </c>
      <c r="D74" s="2">
        <f>IFERROR(50+VLOOKUP($A74,'SegEnds_Xtal_Prot#'!$A:$AY,7,FALSE)-VLOOKUP($B74,'SegEnds_NonXtal_Prot#'!$A:$AL,4,FALSE),"-")</f>
        <v>60</v>
      </c>
      <c r="E74" s="2">
        <f>IFERROR(50+VLOOKUP($A74,'SegEnds_Xtal_Prot#'!$A:$AY,9,FALSE)-VLOOKUP($B74,'SegEnds_NonXtal_Prot#'!$A:$AL,7,FALSE),"-")</f>
        <v>47</v>
      </c>
      <c r="F74" s="2">
        <f>IFERROR(50+VLOOKUP($A74,'SegEnds_Xtal_Prot#'!$A:$AY,11,FALSE)-VLOOKUP($B74,'SegEnds_NonXtal_Prot#'!$A:$AL,7,FALSE),"-")</f>
        <v>51</v>
      </c>
      <c r="G74" s="2">
        <f>IFERROR(50+VLOOKUP($A74,'SegEnds_Xtal_Prot#'!$A:$AY,13,FALSE)-VLOOKUP($B74,'SegEnds_NonXtal_Prot#'!$A:$AL,10,FALSE),"-")</f>
        <v>39</v>
      </c>
      <c r="H74" s="2">
        <f>IFERROR(50+VLOOKUP($A74,'SegEnds_Xtal_Prot#'!$A:$AY,15,FALSE)-VLOOKUP($B74,'SegEnds_NonXtal_Prot#'!$A:$AL,10,FALSE),"-")</f>
        <v>63</v>
      </c>
      <c r="I74" s="2" t="str">
        <f>IFERROR(50+VLOOKUP($A74,'SegEnds_Xtal_Prot#'!$A:$AY,17,FALSE)-VLOOKUP($B74,'SegEnds_NonXtal_Prot#'!$A:$AL,13,FALSE),"-")</f>
        <v>-</v>
      </c>
      <c r="J74" s="2" t="str">
        <f>IFERROR(50+VLOOKUP($A74,'SegEnds_Xtal_Prot#'!$A:$AY,19,FALSE)-VLOOKUP($B74,'SegEnds_NonXtal_Prot#'!$A:$AL,13,FALSE),"-")</f>
        <v>-</v>
      </c>
      <c r="K74" s="2">
        <f>IFERROR(50+VLOOKUP($A74,'SegEnds_Xtal_Prot#'!$A:$AY,21,FALSE)-VLOOKUP($B74,'SegEnds_NonXtal_Prot#'!$A:$AL,16,FALSE),"-")</f>
        <v>23</v>
      </c>
      <c r="L74" s="2">
        <f>IFERROR(50+VLOOKUP($A74,'SegEnds_Xtal_Prot#'!$A:$AY,23,FALSE)-VLOOKUP($B74,'SegEnds_NonXtal_Prot#'!$A:$AL,16,FALSE),"-")</f>
        <v>56</v>
      </c>
      <c r="M74" s="2" t="str">
        <f>IFERROR(50+VLOOKUP($A74,'SegEnds_Xtal_Prot#'!$A:$AY,25,FALSE)-VLOOKUP($B74,'SegEnds_NonXtal_Prot#'!$A:$AL,19,FALSE),"-")</f>
        <v>-</v>
      </c>
      <c r="N74" s="2" t="str">
        <f>IFERROR(50+VLOOKUP($A74,'SegEnds_Xtal_Prot#'!$A:$AY,27,FALSE)-VLOOKUP($B74,'SegEnds_NonXtal_Prot#'!$A:$AL,19,FALSE),"-")</f>
        <v>-</v>
      </c>
      <c r="O74" s="2">
        <f>IFERROR(50+VLOOKUP($A74,'SegEnds_Xtal_Prot#'!$A:$AY,29,FALSE)-VLOOKUP($B74,'SegEnds_NonXtal_Prot#'!$A:$AL,22,FALSE),"-")</f>
        <v>41</v>
      </c>
      <c r="P74" s="2">
        <f>IFERROR(50+VLOOKUP($A74,'SegEnds_Xtal_Prot#'!$A:$AY,31,FALSE)-VLOOKUP($B74,'SegEnds_NonXtal_Prot#'!$A:$AL,22,FALSE),"-")</f>
        <v>64</v>
      </c>
      <c r="Q74" s="2">
        <f>IFERROR(50+VLOOKUP($A74,'SegEnds_Xtal_Prot#'!$A:$AY,33,FALSE)-VLOOKUP($B74,'SegEnds_NonXtal_Prot#'!$A:$AL,25,FALSE),"-")</f>
        <v>50</v>
      </c>
      <c r="R74" s="2">
        <f>IFERROR(50+VLOOKUP($A74,'SegEnds_Xtal_Prot#'!$A:$AY,35,FALSE)-VLOOKUP($B74,'SegEnds_NonXtal_Prot#'!$A:$AL,25,FALSE),"-")</f>
        <v>52</v>
      </c>
      <c r="S74" s="2">
        <f>IFERROR(50+VLOOKUP($A74,'SegEnds_Xtal_Prot#'!$A:$AY,37,FALSE)-VLOOKUP($B74,'SegEnds_NonXtal_Prot#'!$A:$AL,28,FALSE),"-")</f>
        <v>35</v>
      </c>
      <c r="T74" s="2">
        <f>IFERROR(50+VLOOKUP($A74,'SegEnds_Xtal_Prot#'!$A:$AY,39,FALSE)-VLOOKUP($B74,'SegEnds_NonXtal_Prot#'!$A:$AL,28,FALSE),"-")</f>
        <v>72</v>
      </c>
      <c r="U74" s="2">
        <f>IFERROR(50+VLOOKUP($A74,'SegEnds_Xtal_Prot#'!$A:$AY,41,FALSE)-VLOOKUP($B74,'SegEnds_NonXtal_Prot#'!$A:$AL,31,FALSE),"-")</f>
        <v>20</v>
      </c>
      <c r="V74" s="2">
        <f>IFERROR(50+VLOOKUP($A74,'SegEnds_Xtal_Prot#'!$A:$AY,43,FALSE)-VLOOKUP($B74,'SegEnds_NonXtal_Prot#'!$A:$AL,31,FALSE),"-")</f>
        <v>78</v>
      </c>
      <c r="W74" s="2">
        <f>IFERROR(50+VLOOKUP($A74,'SegEnds_Xtal_Prot#'!$A:$AY,45,FALSE)-VLOOKUP($B74,'SegEnds_NonXtal_Prot#'!$A:$AL,34,FALSE),"-")</f>
        <v>34</v>
      </c>
      <c r="X74" s="2">
        <f>IFERROR(50+VLOOKUP($A74,'SegEnds_Xtal_Prot#'!$A:$AY,47,FALSE)-VLOOKUP($B74,'SegEnds_NonXtal_Prot#'!$A:$AL,34,FALSE),"-")</f>
        <v>57</v>
      </c>
      <c r="Y74" s="2">
        <f>IFERROR(50+VLOOKUP($A74,'SegEnds_Xtal_Prot#'!$A:$AY,49,FALSE)-VLOOKUP($B74,'SegEnds_NonXtal_Prot#'!$A:$AL,37,FALSE),"-")</f>
        <v>47</v>
      </c>
      <c r="Z74" s="2">
        <f>IFERROR(50+VLOOKUP($A74,'SegEnds_Xtal_Prot#'!$A:$AY,51,FALSE)-VLOOKUP($B74,'SegEnds_NonXtal_Prot#'!$A:$AL,37,FALSE),"-")</f>
        <v>62</v>
      </c>
      <c r="AA74" s="49" t="str">
        <f>VLOOKUP(B74,Classification!A:D,2,FALSE)</f>
        <v>F</v>
      </c>
      <c r="AB74" s="94" t="str">
        <f>VLOOKUP(B74,Classification!A:D,4,0)</f>
        <v>Frizzled</v>
      </c>
      <c r="AC74" s="49">
        <f>VLOOKUP(B74,'SegEnds_NonXtal_Prot#'!A:AL,6,FALSE)-VLOOKUP(B74,'SegEnds_NonXtal_Prot#'!A:AL,5,FALSE)</f>
        <v>1</v>
      </c>
      <c r="AD74" s="49">
        <f>VLOOKUP(B74,'SegEnds_NonXtal_Prot#'!A:AL,9,FALSE)-VLOOKUP(B74,'SegEnds_NonXtal_Prot#'!A:AL,8,FALSE)</f>
        <v>1</v>
      </c>
      <c r="AE74" s="49" t="e">
        <f>VLOOKUP(B74,'SegEnds_NonXtal_Prot#'!A:AL,13,FALSE)-VLOOKUP(B74,'SegEnds_NonXtal_Prot#'!A:AL,10,FALSE)</f>
        <v>#VALUE!</v>
      </c>
      <c r="AF74" s="49" t="e">
        <f>VLOOKUP(B74,'SegEnds_NonXtal_Prot#'!A:AL,12,FALSE)-VLOOKUP(B74,'SegEnds_NonXtal_Prot#'!A:AL,11,FALSE)</f>
        <v>#VALUE!</v>
      </c>
      <c r="AG74" s="49" t="e">
        <f>VLOOKUP(B74,'SegEnds_NonXtal_Prot#'!A:AL,13,FALSE)-VLOOKUP(B74,'SegEnds_NonXtal_Prot#'!A:AL,11,FALSE)</f>
        <v>#VALUE!</v>
      </c>
      <c r="AH74" s="49">
        <f>VLOOKUP(B74,'SegEnds_NonXtal_Prot#'!A:AL,16,FALSE)-VLOOKUP(B74,'SegEnds_NonXtal_Prot#'!A:AL,10,FALSE)</f>
        <v>67</v>
      </c>
      <c r="AI74" s="49">
        <f>VLOOKUP(B74,'SegEnds_NonXtal_Prot#'!A:AL,16,FALSE)-VLOOKUP(B74,'SegEnds_NonXtal_Prot#'!A:AL,11,FALSE)</f>
        <v>54</v>
      </c>
      <c r="AJ74" s="49" t="e">
        <f>VLOOKUP(B74,'SegEnds_NonXtal_Prot#'!A:AL,22,FALSE)-VLOOKUP(B74,'SegEnds_NonXtal_Prot#'!A:AL,19,FALSE)</f>
        <v>#VALUE!</v>
      </c>
      <c r="AK74" s="49" t="e">
        <f>VLOOKUP(B74,'SegEnds_NonXtal_Prot#'!A:AL,15,FALSE)-VLOOKUP(B74,'SegEnds_NonXtal_Prot#'!A:AL,14,FALSE)</f>
        <v>#VALUE!</v>
      </c>
      <c r="AL74" s="49" t="e">
        <f>VLOOKUP(B74,'SegEnds_NonXtal_Prot#'!A:AL,18,FALSE)-VLOOKUP(B74,'SegEnds_NonXtal_Prot#'!A:AL,17,FALSE)</f>
        <v>#VALUE!</v>
      </c>
      <c r="AM74" s="2">
        <f>VLOOKUP(B74,'SegEnds_NonXtal_Prot#'!A:AL,34,FALSE)-VLOOKUP(B74,'SegEnds_NonXtal_Prot#'!A:AL,31,FALSE)</f>
        <v>62</v>
      </c>
    </row>
    <row r="75" spans="1:39" x14ac:dyDescent="0.2">
      <c r="A75" s="2" t="str">
        <f t="shared" si="1"/>
        <v>sucr1_rat__wt</v>
      </c>
      <c r="B75" s="2" t="s">
        <v>1591</v>
      </c>
      <c r="C75" s="2">
        <f>IFERROR(50+VLOOKUP($A75,'SegEnds_Xtal_Prot#'!$A:$AY,5,FALSE)-VLOOKUP($B75,'SegEnds_NonXtal_Prot#'!$A:$AL,4,FALSE),"-")</f>
        <v>20</v>
      </c>
      <c r="D75" s="2">
        <f>IFERROR(50+VLOOKUP($A75,'SegEnds_Xtal_Prot#'!$A:$AY,7,FALSE)-VLOOKUP($B75,'SegEnds_NonXtal_Prot#'!$A:$AL,4,FALSE),"-")</f>
        <v>61</v>
      </c>
      <c r="E75" s="2" t="str">
        <f>IFERROR(50+VLOOKUP($A75,'SegEnds_Xtal_Prot#'!$A:$AY,9,FALSE)-VLOOKUP($B75,'SegEnds_NonXtal_Prot#'!$A:$AL,7,FALSE),"-")</f>
        <v>-</v>
      </c>
      <c r="F75" s="2" t="str">
        <f>IFERROR(50+VLOOKUP($A75,'SegEnds_Xtal_Prot#'!$A:$AY,11,FALSE)-VLOOKUP($B75,'SegEnds_NonXtal_Prot#'!$A:$AL,7,FALSE),"-")</f>
        <v>-</v>
      </c>
      <c r="G75" s="2">
        <f>IFERROR(50+VLOOKUP($A75,'SegEnds_Xtal_Prot#'!$A:$AY,13,FALSE)-VLOOKUP($B75,'SegEnds_NonXtal_Prot#'!$A:$AL,10,FALSE),"-")</f>
        <v>37</v>
      </c>
      <c r="H75" s="2">
        <f>IFERROR(50+VLOOKUP($A75,'SegEnds_Xtal_Prot#'!$A:$AY,15,FALSE)-VLOOKUP($B75,'SegEnds_NonXtal_Prot#'!$A:$AL,10,FALSE),"-")</f>
        <v>67</v>
      </c>
      <c r="I75" s="2">
        <f>IFERROR(50+VLOOKUP($A75,'SegEnds_Xtal_Prot#'!$A:$AY,17,FALSE)-VLOOKUP($B75,'SegEnds_NonXtal_Prot#'!$A:$AL,13,FALSE),"-")</f>
        <v>49</v>
      </c>
      <c r="J75" s="2">
        <f>IFERROR(50+VLOOKUP($A75,'SegEnds_Xtal_Prot#'!$A:$AY,19,FALSE)-VLOOKUP($B75,'SegEnds_NonXtal_Prot#'!$A:$AL,13,FALSE),"-")</f>
        <v>52</v>
      </c>
      <c r="K75" s="2">
        <f>IFERROR(50+VLOOKUP($A75,'SegEnds_Xtal_Prot#'!$A:$AY,21,FALSE)-VLOOKUP($B75,'SegEnds_NonXtal_Prot#'!$A:$AL,16,FALSE),"-")</f>
        <v>21</v>
      </c>
      <c r="L75" s="2">
        <f>IFERROR(50+VLOOKUP($A75,'SegEnds_Xtal_Prot#'!$A:$AY,23,FALSE)-VLOOKUP($B75,'SegEnds_NonXtal_Prot#'!$A:$AL,16,FALSE),"-")</f>
        <v>56</v>
      </c>
      <c r="M75" s="2">
        <f>IFERROR(50+VLOOKUP($A75,'SegEnds_Xtal_Prot#'!$A:$AY,25,FALSE)-VLOOKUP($B75,'SegEnds_NonXtal_Prot#'!$A:$AL,19,FALSE),"-")</f>
        <v>50</v>
      </c>
      <c r="N75" s="2">
        <f>IFERROR(50+VLOOKUP($A75,'SegEnds_Xtal_Prot#'!$A:$AY,27,FALSE)-VLOOKUP($B75,'SegEnds_NonXtal_Prot#'!$A:$AL,19,FALSE),"-")</f>
        <v>57</v>
      </c>
      <c r="O75" s="2">
        <f>IFERROR(50+VLOOKUP($A75,'SegEnds_Xtal_Prot#'!$A:$AY,29,FALSE)-VLOOKUP($B75,'SegEnds_NonXtal_Prot#'!$A:$AL,22,FALSE),"-")</f>
        <v>38</v>
      </c>
      <c r="P75" s="2">
        <f>IFERROR(50+VLOOKUP($A75,'SegEnds_Xtal_Prot#'!$A:$AY,31,FALSE)-VLOOKUP($B75,'SegEnds_NonXtal_Prot#'!$A:$AL,22,FALSE),"-")</f>
        <v>67</v>
      </c>
      <c r="Q75" s="2">
        <f>IFERROR(50+VLOOKUP($A75,'SegEnds_Xtal_Prot#'!$A:$AY,33,FALSE)-VLOOKUP($B75,'SegEnds_NonXtal_Prot#'!$A:$AL,25,FALSE),"-")</f>
        <v>50</v>
      </c>
      <c r="R75" s="2">
        <f>IFERROR(50+VLOOKUP($A75,'SegEnds_Xtal_Prot#'!$A:$AY,35,FALSE)-VLOOKUP($B75,'SegEnds_NonXtal_Prot#'!$A:$AL,25,FALSE),"-")</f>
        <v>52</v>
      </c>
      <c r="S75" s="2">
        <f>IFERROR(50+VLOOKUP($A75,'SegEnds_Xtal_Prot#'!$A:$AY,37,FALSE)-VLOOKUP($B75,'SegEnds_NonXtal_Prot#'!$A:$AL,28,FALSE),"-")</f>
        <v>31</v>
      </c>
      <c r="T75" s="2">
        <f>IFERROR(50+VLOOKUP($A75,'SegEnds_Xtal_Prot#'!$A:$AY,39,FALSE)-VLOOKUP($B75,'SegEnds_NonXtal_Prot#'!$A:$AL,28,FALSE),"-")</f>
        <v>68</v>
      </c>
      <c r="U75" s="2">
        <f>IFERROR(50+VLOOKUP($A75,'SegEnds_Xtal_Prot#'!$A:$AY,41,FALSE)-VLOOKUP($B75,'SegEnds_NonXtal_Prot#'!$A:$AL,31,FALSE),"-")</f>
        <v>24</v>
      </c>
      <c r="V75" s="2">
        <f>IFERROR(50+VLOOKUP($A75,'SegEnds_Xtal_Prot#'!$A:$AY,43,FALSE)-VLOOKUP($B75,'SegEnds_NonXtal_Prot#'!$A:$AL,31,FALSE),"-")</f>
        <v>63</v>
      </c>
      <c r="W75" s="2">
        <f>IFERROR(50+VLOOKUP($A75,'SegEnds_Xtal_Prot#'!$A:$AY,45,FALSE)-VLOOKUP($B75,'SegEnds_NonXtal_Prot#'!$A:$AL,34,FALSE),"-")</f>
        <v>26</v>
      </c>
      <c r="X75" s="2">
        <f>IFERROR(50+VLOOKUP($A75,'SegEnds_Xtal_Prot#'!$A:$AY,47,FALSE)-VLOOKUP($B75,'SegEnds_NonXtal_Prot#'!$A:$AL,34,FALSE),"-")</f>
        <v>56</v>
      </c>
      <c r="Y75" s="2">
        <f>IFERROR(50+VLOOKUP($A75,'SegEnds_Xtal_Prot#'!$A:$AY,49,FALSE)-VLOOKUP($B75,'SegEnds_NonXtal_Prot#'!$A:$AL,37,FALSE),"-")</f>
        <v>47</v>
      </c>
      <c r="Z75" s="2">
        <f>IFERROR(50+VLOOKUP($A75,'SegEnds_Xtal_Prot#'!$A:$AY,51,FALSE)-VLOOKUP($B75,'SegEnds_NonXtal_Prot#'!$A:$AL,37,FALSE),"-")</f>
        <v>65</v>
      </c>
      <c r="AA75" s="49" t="str">
        <f>VLOOKUP(B75,Classification!A:D,2,FALSE)</f>
        <v>A</v>
      </c>
      <c r="AB75" s="94" t="str">
        <f>VLOOKUP(B75,Classification!A:D,4,0)</f>
        <v>Succinate</v>
      </c>
      <c r="AC75" s="49" t="e">
        <f>VLOOKUP(B75,'SegEnds_NonXtal_Prot#'!A:AL,6,FALSE)-VLOOKUP(B75,'SegEnds_NonXtal_Prot#'!A:AL,5,FALSE)</f>
        <v>#VALUE!</v>
      </c>
      <c r="AD75" s="49" t="e">
        <f>VLOOKUP(B75,'SegEnds_NonXtal_Prot#'!A:AL,9,FALSE)-VLOOKUP(B75,'SegEnds_NonXtal_Prot#'!A:AL,8,FALSE)</f>
        <v>#VALUE!</v>
      </c>
      <c r="AE75" s="49">
        <f>VLOOKUP(B75,'SegEnds_NonXtal_Prot#'!A:AL,13,FALSE)-VLOOKUP(B75,'SegEnds_NonXtal_Prot#'!A:AL,10,FALSE)</f>
        <v>19</v>
      </c>
      <c r="AF75" s="49">
        <f>VLOOKUP(B75,'SegEnds_NonXtal_Prot#'!A:AL,12,FALSE)-VLOOKUP(B75,'SegEnds_NonXtal_Prot#'!A:AL,11,FALSE)</f>
        <v>1</v>
      </c>
      <c r="AG75" s="49">
        <f>VLOOKUP(B75,'SegEnds_NonXtal_Prot#'!A:AL,13,FALSE)-VLOOKUP(B75,'SegEnds_NonXtal_Prot#'!A:AL,11,FALSE)</f>
        <v>2</v>
      </c>
      <c r="AH75" s="49">
        <f>VLOOKUP(B75,'SegEnds_NonXtal_Prot#'!A:AL,16,FALSE)-VLOOKUP(B75,'SegEnds_NonXtal_Prot#'!A:AL,10,FALSE)</f>
        <v>51</v>
      </c>
      <c r="AI75" s="49">
        <f>VLOOKUP(B75,'SegEnds_NonXtal_Prot#'!A:AL,16,FALSE)-VLOOKUP(B75,'SegEnds_NonXtal_Prot#'!A:AL,11,FALSE)</f>
        <v>34</v>
      </c>
      <c r="AJ75" s="49">
        <f>VLOOKUP(B75,'SegEnds_NonXtal_Prot#'!A:AL,22,FALSE)-VLOOKUP(B75,'SegEnds_NonXtal_Prot#'!A:AL,19,FALSE)</f>
        <v>20</v>
      </c>
      <c r="AK75" s="49">
        <f>VLOOKUP(B75,'SegEnds_NonXtal_Prot#'!A:AL,15,FALSE)-VLOOKUP(B75,'SegEnds_NonXtal_Prot#'!A:AL,14,FALSE)</f>
        <v>1</v>
      </c>
      <c r="AL75" s="49">
        <f>VLOOKUP(B75,'SegEnds_NonXtal_Prot#'!A:AL,18,FALSE)-VLOOKUP(B75,'SegEnds_NonXtal_Prot#'!A:AL,17,FALSE)</f>
        <v>1</v>
      </c>
      <c r="AM75" s="2">
        <f>VLOOKUP(B75,'SegEnds_NonXtal_Prot#'!A:AL,34,FALSE)-VLOOKUP(B75,'SegEnds_NonXtal_Prot#'!A:AL,31,FALSE)</f>
        <v>44</v>
      </c>
    </row>
    <row r="76" spans="1:39" x14ac:dyDescent="0.2">
      <c r="A76" s="2" t="str">
        <f t="shared" si="1"/>
        <v>cltr1_human__wt</v>
      </c>
      <c r="B76" s="2" t="s">
        <v>179</v>
      </c>
      <c r="C76" s="2">
        <f>IFERROR(50+VLOOKUP($A76,'SegEnds_Xtal_Prot#'!$A:$AY,5,FALSE)-VLOOKUP($B76,'SegEnds_NonXtal_Prot#'!$A:$AL,4,FALSE),"-")</f>
        <v>20</v>
      </c>
      <c r="D76" s="2">
        <f>IFERROR(50+VLOOKUP($A76,'SegEnds_Xtal_Prot#'!$A:$AY,7,FALSE)-VLOOKUP($B76,'SegEnds_NonXtal_Prot#'!$A:$AL,4,FALSE),"-")</f>
        <v>60</v>
      </c>
      <c r="E76" s="2" t="str">
        <f>IFERROR(50+VLOOKUP($A76,'SegEnds_Xtal_Prot#'!$A:$AY,9,FALSE)-VLOOKUP($B76,'SegEnds_NonXtal_Prot#'!$A:$AL,7,FALSE),"-")</f>
        <v>-</v>
      </c>
      <c r="F76" s="2" t="str">
        <f>IFERROR(50+VLOOKUP($A76,'SegEnds_Xtal_Prot#'!$A:$AY,11,FALSE)-VLOOKUP($B76,'SegEnds_NonXtal_Prot#'!$A:$AL,7,FALSE),"-")</f>
        <v>-</v>
      </c>
      <c r="G76" s="2">
        <f>IFERROR(50+VLOOKUP($A76,'SegEnds_Xtal_Prot#'!$A:$AY,13,FALSE)-VLOOKUP($B76,'SegEnds_NonXtal_Prot#'!$A:$AL,10,FALSE),"-")</f>
        <v>37</v>
      </c>
      <c r="H76" s="2">
        <f>IFERROR(50+VLOOKUP($A76,'SegEnds_Xtal_Prot#'!$A:$AY,15,FALSE)-VLOOKUP($B76,'SegEnds_NonXtal_Prot#'!$A:$AL,10,FALSE),"-")</f>
        <v>67</v>
      </c>
      <c r="I76" s="2">
        <f>IFERROR(50+VLOOKUP($A76,'SegEnds_Xtal_Prot#'!$A:$AY,17,FALSE)-VLOOKUP($B76,'SegEnds_NonXtal_Prot#'!$A:$AL,13,FALSE),"-")</f>
        <v>49</v>
      </c>
      <c r="J76" s="2">
        <f>IFERROR(50+VLOOKUP($A76,'SegEnds_Xtal_Prot#'!$A:$AY,19,FALSE)-VLOOKUP($B76,'SegEnds_NonXtal_Prot#'!$A:$AL,13,FALSE),"-")</f>
        <v>52</v>
      </c>
      <c r="K76" s="2">
        <f>IFERROR(50+VLOOKUP($A76,'SegEnds_Xtal_Prot#'!$A:$AY,21,FALSE)-VLOOKUP($B76,'SegEnds_NonXtal_Prot#'!$A:$AL,16,FALSE),"-")</f>
        <v>21</v>
      </c>
      <c r="L76" s="2">
        <f>IFERROR(50+VLOOKUP($A76,'SegEnds_Xtal_Prot#'!$A:$AY,23,FALSE)-VLOOKUP($B76,'SegEnds_NonXtal_Prot#'!$A:$AL,16,FALSE),"-")</f>
        <v>56</v>
      </c>
      <c r="M76" s="2">
        <f>IFERROR(50+VLOOKUP($A76,'SegEnds_Xtal_Prot#'!$A:$AY,25,FALSE)-VLOOKUP($B76,'SegEnds_NonXtal_Prot#'!$A:$AL,19,FALSE),"-")</f>
        <v>50</v>
      </c>
      <c r="N76" s="2">
        <f>IFERROR(50+VLOOKUP($A76,'SegEnds_Xtal_Prot#'!$A:$AY,27,FALSE)-VLOOKUP($B76,'SegEnds_NonXtal_Prot#'!$A:$AL,19,FALSE),"-")</f>
        <v>57</v>
      </c>
      <c r="O76" s="2">
        <f>IFERROR(50+VLOOKUP($A76,'SegEnds_Xtal_Prot#'!$A:$AY,29,FALSE)-VLOOKUP($B76,'SegEnds_NonXtal_Prot#'!$A:$AL,22,FALSE),"-")</f>
        <v>38</v>
      </c>
      <c r="P76" s="2">
        <f>IFERROR(50+VLOOKUP($A76,'SegEnds_Xtal_Prot#'!$A:$AY,31,FALSE)-VLOOKUP($B76,'SegEnds_NonXtal_Prot#'!$A:$AL,22,FALSE),"-")</f>
        <v>63</v>
      </c>
      <c r="Q76" s="2">
        <f>IFERROR(50+VLOOKUP($A76,'SegEnds_Xtal_Prot#'!$A:$AY,33,FALSE)-VLOOKUP($B76,'SegEnds_NonXtal_Prot#'!$A:$AL,25,FALSE),"-")</f>
        <v>50</v>
      </c>
      <c r="R76" s="2">
        <f>IFERROR(50+VLOOKUP($A76,'SegEnds_Xtal_Prot#'!$A:$AY,35,FALSE)-VLOOKUP($B76,'SegEnds_NonXtal_Prot#'!$A:$AL,25,FALSE),"-")</f>
        <v>52</v>
      </c>
      <c r="S76" s="2">
        <f>IFERROR(50+VLOOKUP($A76,'SegEnds_Xtal_Prot#'!$A:$AY,37,FALSE)-VLOOKUP($B76,'SegEnds_NonXtal_Prot#'!$A:$AL,28,FALSE),"-")</f>
        <v>28</v>
      </c>
      <c r="T76" s="2">
        <f>IFERROR(50+VLOOKUP($A76,'SegEnds_Xtal_Prot#'!$A:$AY,39,FALSE)-VLOOKUP($B76,'SegEnds_NonXtal_Prot#'!$A:$AL,28,FALSE),"-")</f>
        <v>67</v>
      </c>
      <c r="U76" s="2">
        <f>IFERROR(50+VLOOKUP($A76,'SegEnds_Xtal_Prot#'!$A:$AY,41,FALSE)-VLOOKUP($B76,'SegEnds_NonXtal_Prot#'!$A:$AL,31,FALSE),"-")</f>
        <v>26</v>
      </c>
      <c r="V76" s="2">
        <f>IFERROR(50+VLOOKUP($A76,'SegEnds_Xtal_Prot#'!$A:$AY,43,FALSE)-VLOOKUP($B76,'SegEnds_NonXtal_Prot#'!$A:$AL,31,FALSE),"-")</f>
        <v>64</v>
      </c>
      <c r="W76" s="2">
        <f>IFERROR(50+VLOOKUP($A76,'SegEnds_Xtal_Prot#'!$A:$AY,45,FALSE)-VLOOKUP($B76,'SegEnds_NonXtal_Prot#'!$A:$AL,34,FALSE),"-")</f>
        <v>24</v>
      </c>
      <c r="X76" s="2">
        <f>IFERROR(50+VLOOKUP($A76,'SegEnds_Xtal_Prot#'!$A:$AY,47,FALSE)-VLOOKUP($B76,'SegEnds_NonXtal_Prot#'!$A:$AL,34,FALSE),"-")</f>
        <v>56</v>
      </c>
      <c r="Y76" s="2">
        <f>IFERROR(50+VLOOKUP($A76,'SegEnds_Xtal_Prot#'!$A:$AY,49,FALSE)-VLOOKUP($B76,'SegEnds_NonXtal_Prot#'!$A:$AL,37,FALSE),"-")</f>
        <v>47</v>
      </c>
      <c r="Z76" s="2">
        <f>IFERROR(50+VLOOKUP($A76,'SegEnds_Xtal_Prot#'!$A:$AY,51,FALSE)-VLOOKUP($B76,'SegEnds_NonXtal_Prot#'!$A:$AL,37,FALSE),"-")</f>
        <v>59</v>
      </c>
      <c r="AA76" s="49" t="str">
        <f>VLOOKUP(B76,Classification!A:D,2,FALSE)</f>
        <v>A</v>
      </c>
      <c r="AB76" s="94" t="str">
        <f>VLOOKUP(B76,Classification!A:D,4,0)</f>
        <v>Leukotriene</v>
      </c>
      <c r="AC76" s="49" t="e">
        <f>VLOOKUP(B76,'SegEnds_NonXtal_Prot#'!A:AL,6,FALSE)-VLOOKUP(B76,'SegEnds_NonXtal_Prot#'!A:AL,5,FALSE)</f>
        <v>#VALUE!</v>
      </c>
      <c r="AD76" s="49" t="e">
        <f>VLOOKUP(B76,'SegEnds_NonXtal_Prot#'!A:AL,9,FALSE)-VLOOKUP(B76,'SegEnds_NonXtal_Prot#'!A:AL,8,FALSE)</f>
        <v>#VALUE!</v>
      </c>
      <c r="AE76" s="49">
        <f>VLOOKUP(B76,'SegEnds_NonXtal_Prot#'!A:AL,13,FALSE)-VLOOKUP(B76,'SegEnds_NonXtal_Prot#'!A:AL,10,FALSE)</f>
        <v>20</v>
      </c>
      <c r="AF76" s="49">
        <f>VLOOKUP(B76,'SegEnds_NonXtal_Prot#'!A:AL,12,FALSE)-VLOOKUP(B76,'SegEnds_NonXtal_Prot#'!A:AL,11,FALSE)</f>
        <v>2</v>
      </c>
      <c r="AG76" s="49">
        <f>VLOOKUP(B76,'SegEnds_NonXtal_Prot#'!A:AL,13,FALSE)-VLOOKUP(B76,'SegEnds_NonXtal_Prot#'!A:AL,11,FALSE)</f>
        <v>3</v>
      </c>
      <c r="AH76" s="49">
        <f>VLOOKUP(B76,'SegEnds_NonXtal_Prot#'!A:AL,16,FALSE)-VLOOKUP(B76,'SegEnds_NonXtal_Prot#'!A:AL,10,FALSE)</f>
        <v>52</v>
      </c>
      <c r="AI76" s="49">
        <f>VLOOKUP(B76,'SegEnds_NonXtal_Prot#'!A:AL,16,FALSE)-VLOOKUP(B76,'SegEnds_NonXtal_Prot#'!A:AL,11,FALSE)</f>
        <v>35</v>
      </c>
      <c r="AJ76" s="49">
        <f>VLOOKUP(B76,'SegEnds_NonXtal_Prot#'!A:AL,22,FALSE)-VLOOKUP(B76,'SegEnds_NonXtal_Prot#'!A:AL,19,FALSE)</f>
        <v>20</v>
      </c>
      <c r="AK76" s="49">
        <f>VLOOKUP(B76,'SegEnds_NonXtal_Prot#'!A:AL,15,FALSE)-VLOOKUP(B76,'SegEnds_NonXtal_Prot#'!A:AL,14,FALSE)</f>
        <v>1</v>
      </c>
      <c r="AL76" s="49">
        <f>VLOOKUP(B76,'SegEnds_NonXtal_Prot#'!A:AL,18,FALSE)-VLOOKUP(B76,'SegEnds_NonXtal_Prot#'!A:AL,17,FALSE)</f>
        <v>1</v>
      </c>
      <c r="AM76" s="2">
        <f>VLOOKUP(B76,'SegEnds_NonXtal_Prot#'!A:AL,34,FALSE)-VLOOKUP(B76,'SegEnds_NonXtal_Prot#'!A:AL,31,FALSE)</f>
        <v>44</v>
      </c>
    </row>
    <row r="77" spans="1:39" x14ac:dyDescent="0.2">
      <c r="A77" s="2" t="str">
        <f t="shared" ref="A77" si="2">CONCATENATE(B77,"__wt",)</f>
        <v>cltr2_human__wt</v>
      </c>
      <c r="B77" s="2" t="s">
        <v>180</v>
      </c>
      <c r="C77" s="2">
        <f>IFERROR(50+VLOOKUP($A77,'SegEnds_Xtal_Prot#'!$A:$AY,5,FALSE)-VLOOKUP($B77,'SegEnds_NonXtal_Prot#'!$A:$AL,4,FALSE),"-")</f>
        <v>25</v>
      </c>
      <c r="D77" s="2">
        <f>IFERROR(50+VLOOKUP($A77,'SegEnds_Xtal_Prot#'!$A:$AY,7,FALSE)-VLOOKUP($B77,'SegEnds_NonXtal_Prot#'!$A:$AL,4,FALSE),"-")</f>
        <v>60</v>
      </c>
      <c r="E77" s="2" t="str">
        <f>IFERROR(50+VLOOKUP($A77,'SegEnds_Xtal_Prot#'!$A:$AY,9,FALSE)-VLOOKUP($B77,'SegEnds_NonXtal_Prot#'!$A:$AL,7,FALSE),"-")</f>
        <v>-</v>
      </c>
      <c r="F77" s="2" t="str">
        <f>IFERROR(50+VLOOKUP($A77,'SegEnds_Xtal_Prot#'!$A:$AY,11,FALSE)-VLOOKUP($B77,'SegEnds_NonXtal_Prot#'!$A:$AL,7,FALSE),"-")</f>
        <v>-</v>
      </c>
      <c r="G77" s="2">
        <f>IFERROR(50+VLOOKUP($A77,'SegEnds_Xtal_Prot#'!$A:$AY,13,FALSE)-VLOOKUP($B77,'SegEnds_NonXtal_Prot#'!$A:$AL,10,FALSE),"-")</f>
        <v>37</v>
      </c>
      <c r="H77" s="2">
        <f>IFERROR(50+VLOOKUP($A77,'SegEnds_Xtal_Prot#'!$A:$AY,15,FALSE)-VLOOKUP($B77,'SegEnds_NonXtal_Prot#'!$A:$AL,10,FALSE),"-")</f>
        <v>67</v>
      </c>
      <c r="I77" s="2">
        <f>IFERROR(50+VLOOKUP($A77,'SegEnds_Xtal_Prot#'!$A:$AY,17,FALSE)-VLOOKUP($B77,'SegEnds_NonXtal_Prot#'!$A:$AL,13,FALSE),"-")</f>
        <v>49</v>
      </c>
      <c r="J77" s="2">
        <f>IFERROR(50+VLOOKUP($A77,'SegEnds_Xtal_Prot#'!$A:$AY,19,FALSE)-VLOOKUP($B77,'SegEnds_NonXtal_Prot#'!$A:$AL,13,FALSE),"-")</f>
        <v>52</v>
      </c>
      <c r="K77" s="2">
        <f>IFERROR(50+VLOOKUP($A77,'SegEnds_Xtal_Prot#'!$A:$AY,21,FALSE)-VLOOKUP($B77,'SegEnds_NonXtal_Prot#'!$A:$AL,16,FALSE),"-")</f>
        <v>21</v>
      </c>
      <c r="L77" s="2">
        <f>IFERROR(50+VLOOKUP($A77,'SegEnds_Xtal_Prot#'!$A:$AY,23,FALSE)-VLOOKUP($B77,'SegEnds_NonXtal_Prot#'!$A:$AL,16,FALSE),"-")</f>
        <v>56</v>
      </c>
      <c r="M77" s="2">
        <f>IFERROR(50+VLOOKUP($A77,'SegEnds_Xtal_Prot#'!$A:$AY,25,FALSE)-VLOOKUP($B77,'SegEnds_NonXtal_Prot#'!$A:$AL,19,FALSE),"-")</f>
        <v>50</v>
      </c>
      <c r="N77" s="2">
        <f>IFERROR(50+VLOOKUP($A77,'SegEnds_Xtal_Prot#'!$A:$AY,27,FALSE)-VLOOKUP($B77,'SegEnds_NonXtal_Prot#'!$A:$AL,19,FALSE),"-")</f>
        <v>57</v>
      </c>
      <c r="O77" s="2">
        <f>IFERROR(50+VLOOKUP($A77,'SegEnds_Xtal_Prot#'!$A:$AY,29,FALSE)-VLOOKUP($B77,'SegEnds_NonXtal_Prot#'!$A:$AL,22,FALSE),"-")</f>
        <v>38</v>
      </c>
      <c r="P77" s="2">
        <f>IFERROR(50+VLOOKUP($A77,'SegEnds_Xtal_Prot#'!$A:$AY,31,FALSE)-VLOOKUP($B77,'SegEnds_NonXtal_Prot#'!$A:$AL,22,FALSE),"-")</f>
        <v>63</v>
      </c>
      <c r="Q77" s="2">
        <f>IFERROR(50+VLOOKUP($A77,'SegEnds_Xtal_Prot#'!$A:$AY,33,FALSE)-VLOOKUP($B77,'SegEnds_NonXtal_Prot#'!$A:$AL,25,FALSE),"-")</f>
        <v>50</v>
      </c>
      <c r="R77" s="2">
        <f>IFERROR(50+VLOOKUP($A77,'SegEnds_Xtal_Prot#'!$A:$AY,35,FALSE)-VLOOKUP($B77,'SegEnds_NonXtal_Prot#'!$A:$AL,25,FALSE),"-")</f>
        <v>52</v>
      </c>
      <c r="S77" s="2">
        <f>IFERROR(50+VLOOKUP($A77,'SegEnds_Xtal_Prot#'!$A:$AY,37,FALSE)-VLOOKUP($B77,'SegEnds_NonXtal_Prot#'!$A:$AL,28,FALSE),"-")</f>
        <v>32</v>
      </c>
      <c r="T77" s="2">
        <f>IFERROR(50+VLOOKUP($A77,'SegEnds_Xtal_Prot#'!$A:$AY,39,FALSE)-VLOOKUP($B77,'SegEnds_NonXtal_Prot#'!$A:$AL,28,FALSE),"-")</f>
        <v>68</v>
      </c>
      <c r="U77" s="2">
        <f>IFERROR(50+VLOOKUP($A77,'SegEnds_Xtal_Prot#'!$A:$AY,41,FALSE)-VLOOKUP($B77,'SegEnds_NonXtal_Prot#'!$A:$AL,31,FALSE),"-")</f>
        <v>24</v>
      </c>
      <c r="V77" s="2">
        <f>IFERROR(50+VLOOKUP($A77,'SegEnds_Xtal_Prot#'!$A:$AY,43,FALSE)-VLOOKUP($B77,'SegEnds_NonXtal_Prot#'!$A:$AL,31,FALSE),"-")</f>
        <v>62</v>
      </c>
      <c r="W77" s="2">
        <f>IFERROR(50+VLOOKUP($A77,'SegEnds_Xtal_Prot#'!$A:$AY,45,FALSE)-VLOOKUP($B77,'SegEnds_NonXtal_Prot#'!$A:$AL,34,FALSE),"-")</f>
        <v>28</v>
      </c>
      <c r="X77" s="2">
        <f>IFERROR(50+VLOOKUP($A77,'SegEnds_Xtal_Prot#'!$A:$AY,47,FALSE)-VLOOKUP($B77,'SegEnds_NonXtal_Prot#'!$A:$AL,34,FALSE),"-")</f>
        <v>56</v>
      </c>
      <c r="Y77" s="2">
        <f>IFERROR(50+VLOOKUP($A77,'SegEnds_Xtal_Prot#'!$A:$AY,49,FALSE)-VLOOKUP($B77,'SegEnds_NonXtal_Prot#'!$A:$AL,37,FALSE),"-")</f>
        <v>47</v>
      </c>
      <c r="Z77" s="2">
        <f>IFERROR(50+VLOOKUP($A77,'SegEnds_Xtal_Prot#'!$A:$AY,51,FALSE)-VLOOKUP($B77,'SegEnds_NonXtal_Prot#'!$A:$AL,37,FALSE),"-")</f>
        <v>60</v>
      </c>
      <c r="AA77" s="49" t="str">
        <f>VLOOKUP(B77,Classification!A:D,2,FALSE)</f>
        <v>A</v>
      </c>
      <c r="AB77" s="94" t="str">
        <f>VLOOKUP(B77,Classification!A:D,4,0)</f>
        <v>Leukotriene</v>
      </c>
      <c r="AC77" s="49" t="e">
        <f>VLOOKUP(B77,'SegEnds_NonXtal_Prot#'!A:AL,6,FALSE)-VLOOKUP(B77,'SegEnds_NonXtal_Prot#'!A:AL,5,FALSE)</f>
        <v>#VALUE!</v>
      </c>
      <c r="AD77" s="49" t="e">
        <f>VLOOKUP(B77,'SegEnds_NonXtal_Prot#'!A:AL,9,FALSE)-VLOOKUP(B77,'SegEnds_NonXtal_Prot#'!A:AL,8,FALSE)</f>
        <v>#VALUE!</v>
      </c>
      <c r="AE77" s="49">
        <f>VLOOKUP(B77,'SegEnds_NonXtal_Prot#'!A:AL,13,FALSE)-VLOOKUP(B77,'SegEnds_NonXtal_Prot#'!A:AL,10,FALSE)</f>
        <v>20</v>
      </c>
      <c r="AF77" s="49">
        <f>VLOOKUP(B77,'SegEnds_NonXtal_Prot#'!A:AL,12,FALSE)-VLOOKUP(B77,'SegEnds_NonXtal_Prot#'!A:AL,11,FALSE)</f>
        <v>2</v>
      </c>
      <c r="AG77" s="49">
        <f>VLOOKUP(B77,'SegEnds_NonXtal_Prot#'!A:AL,13,FALSE)-VLOOKUP(B77,'SegEnds_NonXtal_Prot#'!A:AL,11,FALSE)</f>
        <v>3</v>
      </c>
      <c r="AH77" s="49">
        <f>VLOOKUP(B77,'SegEnds_NonXtal_Prot#'!A:AL,16,FALSE)-VLOOKUP(B77,'SegEnds_NonXtal_Prot#'!A:AL,10,FALSE)</f>
        <v>52</v>
      </c>
      <c r="AI77" s="49">
        <f>VLOOKUP(B77,'SegEnds_NonXtal_Prot#'!A:AL,16,FALSE)-VLOOKUP(B77,'SegEnds_NonXtal_Prot#'!A:AL,11,FALSE)</f>
        <v>35</v>
      </c>
      <c r="AJ77" s="49">
        <f>VLOOKUP(B77,'SegEnds_NonXtal_Prot#'!A:AL,22,FALSE)-VLOOKUP(B77,'SegEnds_NonXtal_Prot#'!A:AL,19,FALSE)</f>
        <v>20</v>
      </c>
      <c r="AK77" s="49">
        <f>VLOOKUP(B77,'SegEnds_NonXtal_Prot#'!A:AL,15,FALSE)-VLOOKUP(B77,'SegEnds_NonXtal_Prot#'!A:AL,14,FALSE)</f>
        <v>1</v>
      </c>
      <c r="AL77" s="49">
        <f>VLOOKUP(B77,'SegEnds_NonXtal_Prot#'!A:AL,18,FALSE)-VLOOKUP(B77,'SegEnds_NonXtal_Prot#'!A:AL,17,FALSE)</f>
        <v>1</v>
      </c>
      <c r="AM77" s="2">
        <f>VLOOKUP(B77,'SegEnds_NonXtal_Prot#'!A:AL,34,FALSE)-VLOOKUP(B77,'SegEnds_NonXtal_Prot#'!A:AL,31,FALSE)</f>
        <v>40</v>
      </c>
    </row>
    <row r="78" spans="1:39" x14ac:dyDescent="0.2">
      <c r="A78" s="2" t="str">
        <f t="shared" ref="A78" si="3">CONCATENATE(B78,"__wt",)</f>
        <v>acm5_human__wt</v>
      </c>
      <c r="B78" s="2" t="s">
        <v>150</v>
      </c>
      <c r="C78" s="2">
        <f>IFERROR(50+VLOOKUP($A78,'SegEnds_Xtal_Prot#'!$A:$AY,5,FALSE)-VLOOKUP($B78,'SegEnds_NonXtal_Prot#'!$A:$AL,4,FALSE),"-")</f>
        <v>28</v>
      </c>
      <c r="D78" s="2">
        <f>IFERROR(50+VLOOKUP($A78,'SegEnds_Xtal_Prot#'!$A:$AY,7,FALSE)-VLOOKUP($B78,'SegEnds_NonXtal_Prot#'!$A:$AL,4,FALSE),"-")</f>
        <v>60</v>
      </c>
      <c r="E78" s="2">
        <f>IFERROR(50+VLOOKUP($A78,'SegEnds_Xtal_Prot#'!$A:$AY,9,FALSE)-VLOOKUP($B78,'SegEnds_NonXtal_Prot#'!$A:$AL,7,FALSE),"-")</f>
        <v>48</v>
      </c>
      <c r="F78" s="2">
        <f>IFERROR(50+VLOOKUP($A78,'SegEnds_Xtal_Prot#'!$A:$AY,11,FALSE)-VLOOKUP($B78,'SegEnds_NonXtal_Prot#'!$A:$AL,7,FALSE),"-")</f>
        <v>51</v>
      </c>
      <c r="G78" s="2">
        <f>IFERROR(50+VLOOKUP($A78,'SegEnds_Xtal_Prot#'!$A:$AY,13,FALSE)-VLOOKUP($B78,'SegEnds_NonXtal_Prot#'!$A:$AL,10,FALSE),"-")</f>
        <v>37</v>
      </c>
      <c r="H78" s="2">
        <f>IFERROR(50+VLOOKUP($A78,'SegEnds_Xtal_Prot#'!$A:$AY,15,FALSE)-VLOOKUP($B78,'SegEnds_NonXtal_Prot#'!$A:$AL,10,FALSE),"-")</f>
        <v>68</v>
      </c>
      <c r="I78" s="2">
        <f>IFERROR(50+VLOOKUP($A78,'SegEnds_Xtal_Prot#'!$A:$AY,17,FALSE)-VLOOKUP($B78,'SegEnds_NonXtal_Prot#'!$A:$AL,13,FALSE),"-")</f>
        <v>49</v>
      </c>
      <c r="J78" s="2">
        <f>IFERROR(50+VLOOKUP($A78,'SegEnds_Xtal_Prot#'!$A:$AY,19,FALSE)-VLOOKUP($B78,'SegEnds_NonXtal_Prot#'!$A:$AL,13,FALSE),"-")</f>
        <v>52</v>
      </c>
      <c r="K78" s="2">
        <f>IFERROR(50+VLOOKUP($A78,'SegEnds_Xtal_Prot#'!$A:$AY,21,FALSE)-VLOOKUP($B78,'SegEnds_NonXtal_Prot#'!$A:$AL,16,FALSE),"-")</f>
        <v>21</v>
      </c>
      <c r="L78" s="2">
        <f>IFERROR(50+VLOOKUP($A78,'SegEnds_Xtal_Prot#'!$A:$AY,23,FALSE)-VLOOKUP($B78,'SegEnds_NonXtal_Prot#'!$A:$AL,16,FALSE),"-")</f>
        <v>56</v>
      </c>
      <c r="M78" s="2">
        <f>IFERROR(50+VLOOKUP($A78,'SegEnds_Xtal_Prot#'!$A:$AY,25,FALSE)-VLOOKUP($B78,'SegEnds_NonXtal_Prot#'!$A:$AL,19,FALSE),"-")</f>
        <v>50</v>
      </c>
      <c r="N78" s="2">
        <f>IFERROR(50+VLOOKUP($A78,'SegEnds_Xtal_Prot#'!$A:$AY,27,FALSE)-VLOOKUP($B78,'SegEnds_NonXtal_Prot#'!$A:$AL,19,FALSE),"-")</f>
        <v>57</v>
      </c>
      <c r="O78" s="2">
        <f>IFERROR(50+VLOOKUP($A78,'SegEnds_Xtal_Prot#'!$A:$AY,29,FALSE)-VLOOKUP($B78,'SegEnds_NonXtal_Prot#'!$A:$AL,22,FALSE),"-")</f>
        <v>38</v>
      </c>
      <c r="P78" s="2">
        <f>IFERROR(50+VLOOKUP($A78,'SegEnds_Xtal_Prot#'!$A:$AY,31,FALSE)-VLOOKUP($B78,'SegEnds_NonXtal_Prot#'!$A:$AL,22,FALSE),"-")</f>
        <v>69</v>
      </c>
      <c r="Q78" s="2">
        <f>IFERROR(50+VLOOKUP($A78,'SegEnds_Xtal_Prot#'!$A:$AY,33,FALSE)-VLOOKUP($B78,'SegEnds_NonXtal_Prot#'!$A:$AL,25,FALSE),"-")</f>
        <v>50</v>
      </c>
      <c r="R78" s="2">
        <f>IFERROR(50+VLOOKUP($A78,'SegEnds_Xtal_Prot#'!$A:$AY,35,FALSE)-VLOOKUP($B78,'SegEnds_NonXtal_Prot#'!$A:$AL,25,FALSE),"-")</f>
        <v>52</v>
      </c>
      <c r="S78" s="2">
        <f>IFERROR(50+VLOOKUP($A78,'SegEnds_Xtal_Prot#'!$A:$AY,37,FALSE)-VLOOKUP($B78,'SegEnds_NonXtal_Prot#'!$A:$AL,28,FALSE),"-")</f>
        <v>35</v>
      </c>
      <c r="T78" s="2">
        <f>IFERROR(50+VLOOKUP($A78,'SegEnds_Xtal_Prot#'!$A:$AY,39,FALSE)-VLOOKUP($B78,'SegEnds_NonXtal_Prot#'!$A:$AL,28,FALSE),"-")</f>
        <v>75</v>
      </c>
      <c r="U78" s="2">
        <f>IFERROR(50+VLOOKUP($A78,'SegEnds_Xtal_Prot#'!$A:$AY,41,FALSE)-VLOOKUP($B78,'SegEnds_NonXtal_Prot#'!$A:$AL,31,FALSE),"-")</f>
        <v>24</v>
      </c>
      <c r="V78" s="2">
        <f>IFERROR(50+VLOOKUP($A78,'SegEnds_Xtal_Prot#'!$A:$AY,43,FALSE)-VLOOKUP($B78,'SegEnds_NonXtal_Prot#'!$A:$AL,31,FALSE),"-")</f>
        <v>61</v>
      </c>
      <c r="W78" s="2">
        <f>IFERROR(50+VLOOKUP($A78,'SegEnds_Xtal_Prot#'!$A:$AY,45,FALSE)-VLOOKUP($B78,'SegEnds_NonXtal_Prot#'!$A:$AL,34,FALSE),"-")</f>
        <v>31</v>
      </c>
      <c r="X78" s="2">
        <f>IFERROR(50+VLOOKUP($A78,'SegEnds_Xtal_Prot#'!$A:$AY,47,FALSE)-VLOOKUP($B78,'SegEnds_NonXtal_Prot#'!$A:$AL,34,FALSE),"-")</f>
        <v>56</v>
      </c>
      <c r="Y78" s="2">
        <f>IFERROR(50+VLOOKUP($A78,'SegEnds_Xtal_Prot#'!$A:$AY,49,FALSE)-VLOOKUP($B78,'SegEnds_NonXtal_Prot#'!$A:$AL,37,FALSE),"-")</f>
        <v>47</v>
      </c>
      <c r="Z78" s="2">
        <f>IFERROR(50+VLOOKUP($A78,'SegEnds_Xtal_Prot#'!$A:$AY,51,FALSE)-VLOOKUP($B78,'SegEnds_NonXtal_Prot#'!$A:$AL,37,FALSE),"-")</f>
        <v>59</v>
      </c>
      <c r="AA78" s="49" t="str">
        <f>VLOOKUP(B78,Classification!A:D,2,FALSE)</f>
        <v>A</v>
      </c>
      <c r="AB78" s="94" t="str">
        <f>VLOOKUP(B78,Classification!A:D,4,0)</f>
        <v>Acetylcholine(muscarinic)</v>
      </c>
      <c r="AC78" s="49">
        <f>VLOOKUP(B78,'SegEnds_NonXtal_Prot#'!A:AL,6,FALSE)-VLOOKUP(B78,'SegEnds_NonXtal_Prot#'!A:AL,5,FALSE)</f>
        <v>1</v>
      </c>
      <c r="AD78" s="49">
        <f>VLOOKUP(B78,'SegEnds_NonXtal_Prot#'!A:AL,9,FALSE)-VLOOKUP(B78,'SegEnds_NonXtal_Prot#'!A:AL,8,FALSE)</f>
        <v>1</v>
      </c>
      <c r="AE78" s="49">
        <f>VLOOKUP(B78,'SegEnds_NonXtal_Prot#'!A:AL,13,FALSE)-VLOOKUP(B78,'SegEnds_NonXtal_Prot#'!A:AL,10,FALSE)</f>
        <v>20</v>
      </c>
      <c r="AF78" s="49">
        <f>VLOOKUP(B78,'SegEnds_NonXtal_Prot#'!A:AL,12,FALSE)-VLOOKUP(B78,'SegEnds_NonXtal_Prot#'!A:AL,11,FALSE)</f>
        <v>1</v>
      </c>
      <c r="AG78" s="49">
        <f>VLOOKUP(B78,'SegEnds_NonXtal_Prot#'!A:AL,13,FALSE)-VLOOKUP(B78,'SegEnds_NonXtal_Prot#'!A:AL,11,FALSE)</f>
        <v>2</v>
      </c>
      <c r="AH78" s="49">
        <f>VLOOKUP(B78,'SegEnds_NonXtal_Prot#'!A:AL,16,FALSE)-VLOOKUP(B78,'SegEnds_NonXtal_Prot#'!A:AL,10,FALSE)</f>
        <v>52</v>
      </c>
      <c r="AI78" s="49">
        <f>VLOOKUP(B78,'SegEnds_NonXtal_Prot#'!A:AL,16,FALSE)-VLOOKUP(B78,'SegEnds_NonXtal_Prot#'!A:AL,11,FALSE)</f>
        <v>34</v>
      </c>
      <c r="AJ78" s="49">
        <f>VLOOKUP(B78,'SegEnds_NonXtal_Prot#'!A:AL,22,FALSE)-VLOOKUP(B78,'SegEnds_NonXtal_Prot#'!A:AL,19,FALSE)</f>
        <v>20</v>
      </c>
      <c r="AK78" s="49">
        <f>VLOOKUP(B78,'SegEnds_NonXtal_Prot#'!A:AL,15,FALSE)-VLOOKUP(B78,'SegEnds_NonXtal_Prot#'!A:AL,14,FALSE)</f>
        <v>1</v>
      </c>
      <c r="AL78" s="49">
        <f>VLOOKUP(B78,'SegEnds_NonXtal_Prot#'!A:AL,18,FALSE)-VLOOKUP(B78,'SegEnds_NonXtal_Prot#'!A:AL,17,FALSE)</f>
        <v>1</v>
      </c>
      <c r="AM78" s="2">
        <f>VLOOKUP(B78,'SegEnds_NonXtal_Prot#'!A:AL,34,FALSE)-VLOOKUP(B78,'SegEnds_NonXtal_Prot#'!A:AL,31,FALSE)</f>
        <v>35</v>
      </c>
    </row>
    <row r="79" spans="1:39" x14ac:dyDescent="0.2">
      <c r="A79" s="2" t="str">
        <f t="shared" ref="A79" si="4">CONCATENATE(B79,"__wt",)</f>
        <v>pacr_human__wt</v>
      </c>
      <c r="B79" s="2" t="s">
        <v>407</v>
      </c>
      <c r="C79" s="2">
        <f>IFERROR(50+VLOOKUP($A79,'SegEnds_Xtal_Prot#'!$A:$AY,5,FALSE)-VLOOKUP($B79,'SegEnds_NonXtal_Prot#'!$A:$AL,4,FALSE),"-")</f>
        <v>21</v>
      </c>
      <c r="D79" s="2">
        <f>IFERROR(50+VLOOKUP($A79,'SegEnds_Xtal_Prot#'!$A:$AY,7,FALSE)-VLOOKUP($B79,'SegEnds_NonXtal_Prot#'!$A:$AL,4,FALSE),"-")</f>
        <v>60</v>
      </c>
      <c r="E79" s="2">
        <f>IFERROR(50+VLOOKUP($A79,'SegEnds_Xtal_Prot#'!$A:$AY,9,FALSE)-VLOOKUP($B79,'SegEnds_NonXtal_Prot#'!$A:$AL,7,FALSE),"-")</f>
        <v>48</v>
      </c>
      <c r="F79" s="2">
        <f>IFERROR(50+VLOOKUP($A79,'SegEnds_Xtal_Prot#'!$A:$AY,11,FALSE)-VLOOKUP($B79,'SegEnds_NonXtal_Prot#'!$A:$AL,7,FALSE),"-")</f>
        <v>51</v>
      </c>
      <c r="G79" s="2">
        <f>IFERROR(50+VLOOKUP($A79,'SegEnds_Xtal_Prot#'!$A:$AY,13,FALSE)-VLOOKUP($B79,'SegEnds_NonXtal_Prot#'!$A:$AL,10,FALSE),"-")</f>
        <v>37</v>
      </c>
      <c r="H79" s="2">
        <f>IFERROR(50+VLOOKUP($A79,'SegEnds_Xtal_Prot#'!$A:$AY,15,FALSE)-VLOOKUP($B79,'SegEnds_NonXtal_Prot#'!$A:$AL,10,FALSE),"-")</f>
        <v>64</v>
      </c>
      <c r="I79" s="2" t="str">
        <f>IFERROR(50+VLOOKUP($A79,'SegEnds_Xtal_Prot#'!$A:$AY,17,FALSE)-VLOOKUP($B79,'SegEnds_NonXtal_Prot#'!$A:$AL,13,FALSE),"-")</f>
        <v>-</v>
      </c>
      <c r="J79" s="2" t="str">
        <f>IFERROR(50+VLOOKUP($A79,'SegEnds_Xtal_Prot#'!$A:$AY,19,FALSE)-VLOOKUP($B79,'SegEnds_NonXtal_Prot#'!$A:$AL,13,FALSE),"-")</f>
        <v>-</v>
      </c>
      <c r="K79" s="2">
        <f>IFERROR(50+VLOOKUP($A79,'SegEnds_Xtal_Prot#'!$A:$AY,21,FALSE)-VLOOKUP($B79,'SegEnds_NonXtal_Prot#'!$A:$AL,16,FALSE),"-")</f>
        <v>22</v>
      </c>
      <c r="L79" s="2">
        <f>IFERROR(50+VLOOKUP($A79,'SegEnds_Xtal_Prot#'!$A:$AY,23,FALSE)-VLOOKUP($B79,'SegEnds_NonXtal_Prot#'!$A:$AL,16,FALSE),"-")</f>
        <v>56</v>
      </c>
      <c r="M79" s="2" t="str">
        <f>IFERROR(50+VLOOKUP($A79,'SegEnds_Xtal_Prot#'!$A:$AY,25,FALSE)-VLOOKUP($B79,'SegEnds_NonXtal_Prot#'!$A:$AL,19,FALSE),"-")</f>
        <v>-</v>
      </c>
      <c r="N79" s="2" t="str">
        <f>IFERROR(50+VLOOKUP($A79,'SegEnds_Xtal_Prot#'!$A:$AY,27,FALSE)-VLOOKUP($B79,'SegEnds_NonXtal_Prot#'!$A:$AL,19,FALSE),"-")</f>
        <v>-</v>
      </c>
      <c r="O79" s="2">
        <f>IFERROR(50+VLOOKUP($A79,'SegEnds_Xtal_Prot#'!$A:$AY,29,FALSE)-VLOOKUP($B79,'SegEnds_NonXtal_Prot#'!$A:$AL,22,FALSE),"-")</f>
        <v>40</v>
      </c>
      <c r="P79" s="2">
        <f>IFERROR(50+VLOOKUP($A79,'SegEnds_Xtal_Prot#'!$A:$AY,31,FALSE)-VLOOKUP($B79,'SegEnds_NonXtal_Prot#'!$A:$AL,22,FALSE),"-")</f>
        <v>68</v>
      </c>
      <c r="Q79" s="2">
        <f>IFERROR(50+VLOOKUP($A79,'SegEnds_Xtal_Prot#'!$A:$AY,33,FALSE)-VLOOKUP($B79,'SegEnds_NonXtal_Prot#'!$A:$AL,25,FALSE),"-")</f>
        <v>50</v>
      </c>
      <c r="R79" s="2">
        <f>IFERROR(50+VLOOKUP($A79,'SegEnds_Xtal_Prot#'!$A:$AY,35,FALSE)-VLOOKUP($B79,'SegEnds_NonXtal_Prot#'!$A:$AL,25,FALSE),"-")</f>
        <v>52</v>
      </c>
      <c r="S79" s="2">
        <f>IFERROR(50+VLOOKUP($A79,'SegEnds_Xtal_Prot#'!$A:$AY,37,FALSE)-VLOOKUP($B79,'SegEnds_NonXtal_Prot#'!$A:$AL,28,FALSE),"-")</f>
        <v>36</v>
      </c>
      <c r="T79" s="2">
        <f>IFERROR(50+VLOOKUP($A79,'SegEnds_Xtal_Prot#'!$A:$AY,39,FALSE)-VLOOKUP($B79,'SegEnds_NonXtal_Prot#'!$A:$AL,28,FALSE),"-")</f>
        <v>69</v>
      </c>
      <c r="U79" s="2">
        <f>IFERROR(50+VLOOKUP($A79,'SegEnds_Xtal_Prot#'!$A:$AY,41,FALSE)-VLOOKUP($B79,'SegEnds_NonXtal_Prot#'!$A:$AL,31,FALSE),"-")</f>
        <v>25</v>
      </c>
      <c r="V79" s="2">
        <f>IFERROR(50+VLOOKUP($A79,'SegEnds_Xtal_Prot#'!$A:$AY,43,FALSE)-VLOOKUP($B79,'SegEnds_NonXtal_Prot#'!$A:$AL,31,FALSE),"-")</f>
        <v>54</v>
      </c>
      <c r="W79" s="2">
        <f>IFERROR(50+VLOOKUP($A79,'SegEnds_Xtal_Prot#'!$A:$AY,45,FALSE)-VLOOKUP($B79,'SegEnds_NonXtal_Prot#'!$A:$AL,34,FALSE),"-")</f>
        <v>31</v>
      </c>
      <c r="X79" s="2">
        <f>IFERROR(50+VLOOKUP($A79,'SegEnds_Xtal_Prot#'!$A:$AY,47,FALSE)-VLOOKUP($B79,'SegEnds_NonXtal_Prot#'!$A:$AL,34,FALSE),"-")</f>
        <v>56</v>
      </c>
      <c r="Y79" s="2">
        <f>IFERROR(50+VLOOKUP($A79,'SegEnds_Xtal_Prot#'!$A:$AY,49,FALSE)-VLOOKUP($B79,'SegEnds_NonXtal_Prot#'!$A:$AL,37,FALSE),"-")</f>
        <v>47</v>
      </c>
      <c r="Z79" s="2">
        <f>IFERROR(50+VLOOKUP($A79,'SegEnds_Xtal_Prot#'!$A:$AY,51,FALSE)-VLOOKUP($B79,'SegEnds_NonXtal_Prot#'!$A:$AL,37,FALSE),"-")</f>
        <v>72</v>
      </c>
      <c r="AA79" s="49" t="str">
        <f>VLOOKUP(B79,Classification!A:D,2,FALSE)</f>
        <v>B1</v>
      </c>
      <c r="AB79" s="94" t="str">
        <f>VLOOKUP(B79,Classification!A:D,4,0)</f>
        <v>VIPandPACAP</v>
      </c>
      <c r="AC79" s="49">
        <f>VLOOKUP(B79,'SegEnds_NonXtal_Prot#'!A:AL,6,FALSE)-VLOOKUP(B79,'SegEnds_NonXtal_Prot#'!A:AL,5,FALSE)</f>
        <v>1</v>
      </c>
      <c r="AD79" s="49">
        <f>VLOOKUP(B79,'SegEnds_NonXtal_Prot#'!A:AL,9,FALSE)-VLOOKUP(B79,'SegEnds_NonXtal_Prot#'!A:AL,8,FALSE)</f>
        <v>1</v>
      </c>
      <c r="AE79" s="49" t="e">
        <f>VLOOKUP(B79,'SegEnds_NonXtal_Prot#'!A:AL,13,FALSE)-VLOOKUP(B79,'SegEnds_NonXtal_Prot#'!A:AL,10,FALSE)</f>
        <v>#VALUE!</v>
      </c>
      <c r="AF79" s="49" t="e">
        <f>VLOOKUP(B79,'SegEnds_NonXtal_Prot#'!A:AL,12,FALSE)-VLOOKUP(B79,'SegEnds_NonXtal_Prot#'!A:AL,11,FALSE)</f>
        <v>#VALUE!</v>
      </c>
      <c r="AG79" s="49" t="e">
        <f>VLOOKUP(B79,'SegEnds_NonXtal_Prot#'!A:AL,13,FALSE)-VLOOKUP(B79,'SegEnds_NonXtal_Prot#'!A:AL,11,FALSE)</f>
        <v>#VALUE!</v>
      </c>
      <c r="AH79" s="49">
        <f>VLOOKUP(B79,'SegEnds_NonXtal_Prot#'!A:AL,16,FALSE)-VLOOKUP(B79,'SegEnds_NonXtal_Prot#'!A:AL,10,FALSE)</f>
        <v>55</v>
      </c>
      <c r="AI79" s="49">
        <f>VLOOKUP(B79,'SegEnds_NonXtal_Prot#'!A:AL,16,FALSE)-VLOOKUP(B79,'SegEnds_NonXtal_Prot#'!A:AL,11,FALSE)</f>
        <v>41</v>
      </c>
      <c r="AJ79" s="49" t="e">
        <f>VLOOKUP(B79,'SegEnds_NonXtal_Prot#'!A:AL,22,FALSE)-VLOOKUP(B79,'SegEnds_NonXtal_Prot#'!A:AL,19,FALSE)</f>
        <v>#VALUE!</v>
      </c>
      <c r="AK79" s="49" t="e">
        <f>VLOOKUP(B79,'SegEnds_NonXtal_Prot#'!A:AL,15,FALSE)-VLOOKUP(B79,'SegEnds_NonXtal_Prot#'!A:AL,14,FALSE)</f>
        <v>#VALUE!</v>
      </c>
      <c r="AL79" s="49" t="e">
        <f>VLOOKUP(B79,'SegEnds_NonXtal_Prot#'!A:AL,18,FALSE)-VLOOKUP(B79,'SegEnds_NonXtal_Prot#'!A:AL,17,FALSE)</f>
        <v>#VALUE!</v>
      </c>
      <c r="AM79" s="2">
        <f>VLOOKUP(B79,'SegEnds_NonXtal_Prot#'!A:AL,34,FALSE)-VLOOKUP(B79,'SegEnds_NonXtal_Prot#'!A:AL,31,FALSE)</f>
        <v>29</v>
      </c>
    </row>
    <row r="80" spans="1:39" x14ac:dyDescent="0.2">
      <c r="A80" s="2" t="str">
        <f t="shared" ref="A80" si="5">CONCATENATE(B80,"__wt",)</f>
        <v>crfr2_human__wt</v>
      </c>
      <c r="B80" s="2" t="s">
        <v>402</v>
      </c>
      <c r="C80" s="2">
        <f>IFERROR(50+VLOOKUP($A80,'SegEnds_Xtal_Prot#'!$A:$AY,5,FALSE)-VLOOKUP($B80,'SegEnds_NonXtal_Prot#'!$A:$AL,4,FALSE),"-")</f>
        <v>19</v>
      </c>
      <c r="D80" s="2">
        <f>IFERROR(50+VLOOKUP($A80,'SegEnds_Xtal_Prot#'!$A:$AY,7,FALSE)-VLOOKUP($B80,'SegEnds_NonXtal_Prot#'!$A:$AL,4,FALSE),"-")</f>
        <v>60</v>
      </c>
      <c r="E80" s="2">
        <f>IFERROR(50+VLOOKUP($A80,'SegEnds_Xtal_Prot#'!$A:$AY,9,FALSE)-VLOOKUP($B80,'SegEnds_NonXtal_Prot#'!$A:$AL,7,FALSE),"-")</f>
        <v>48</v>
      </c>
      <c r="F80" s="2">
        <f>IFERROR(50+VLOOKUP($A80,'SegEnds_Xtal_Prot#'!$A:$AY,11,FALSE)-VLOOKUP($B80,'SegEnds_NonXtal_Prot#'!$A:$AL,7,FALSE),"-")</f>
        <v>51</v>
      </c>
      <c r="G80" s="2">
        <f>IFERROR(50+VLOOKUP($A80,'SegEnds_Xtal_Prot#'!$A:$AY,13,FALSE)-VLOOKUP($B80,'SegEnds_NonXtal_Prot#'!$A:$AL,10,FALSE),"-")</f>
        <v>37</v>
      </c>
      <c r="H80" s="2">
        <f>IFERROR(50+VLOOKUP($A80,'SegEnds_Xtal_Prot#'!$A:$AY,15,FALSE)-VLOOKUP($B80,'SegEnds_NonXtal_Prot#'!$A:$AL,10,FALSE),"-")</f>
        <v>63</v>
      </c>
      <c r="I80" s="2" t="str">
        <f>IFERROR(50+VLOOKUP($A80,'SegEnds_Xtal_Prot#'!$A:$AY,17,FALSE)-VLOOKUP($B80,'SegEnds_NonXtal_Prot#'!$A:$AL,13,FALSE),"-")</f>
        <v>-</v>
      </c>
      <c r="J80" s="2" t="str">
        <f>IFERROR(50+VLOOKUP($A80,'SegEnds_Xtal_Prot#'!$A:$AY,19,FALSE)-VLOOKUP($B80,'SegEnds_NonXtal_Prot#'!$A:$AL,13,FALSE),"-")</f>
        <v>-</v>
      </c>
      <c r="K80" s="2">
        <f>IFERROR(50+VLOOKUP($A80,'SegEnds_Xtal_Prot#'!$A:$AY,21,FALSE)-VLOOKUP($B80,'SegEnds_NonXtal_Prot#'!$A:$AL,16,FALSE),"-")</f>
        <v>22</v>
      </c>
      <c r="L80" s="2">
        <f>IFERROR(50+VLOOKUP($A80,'SegEnds_Xtal_Prot#'!$A:$AY,23,FALSE)-VLOOKUP($B80,'SegEnds_NonXtal_Prot#'!$A:$AL,16,FALSE),"-")</f>
        <v>56</v>
      </c>
      <c r="M80" s="2" t="str">
        <f>IFERROR(50+VLOOKUP($A80,'SegEnds_Xtal_Prot#'!$A:$AY,25,FALSE)-VLOOKUP($B80,'SegEnds_NonXtal_Prot#'!$A:$AL,19,FALSE),"-")</f>
        <v>-</v>
      </c>
      <c r="N80" s="2" t="str">
        <f>IFERROR(50+VLOOKUP($A80,'SegEnds_Xtal_Prot#'!$A:$AY,27,FALSE)-VLOOKUP($B80,'SegEnds_NonXtal_Prot#'!$A:$AL,19,FALSE),"-")</f>
        <v>-</v>
      </c>
      <c r="O80" s="2">
        <f>IFERROR(50+VLOOKUP($A80,'SegEnds_Xtal_Prot#'!$A:$AY,29,FALSE)-VLOOKUP($B80,'SegEnds_NonXtal_Prot#'!$A:$AL,22,FALSE),"-")</f>
        <v>41</v>
      </c>
      <c r="P80" s="2">
        <f>IFERROR(50+VLOOKUP($A80,'SegEnds_Xtal_Prot#'!$A:$AY,31,FALSE)-VLOOKUP($B80,'SegEnds_NonXtal_Prot#'!$A:$AL,22,FALSE),"-")</f>
        <v>68</v>
      </c>
      <c r="Q80" s="2">
        <f>IFERROR(50+VLOOKUP($A80,'SegEnds_Xtal_Prot#'!$A:$AY,33,FALSE)-VLOOKUP($B80,'SegEnds_NonXtal_Prot#'!$A:$AL,25,FALSE),"-")</f>
        <v>50</v>
      </c>
      <c r="R80" s="2">
        <f>IFERROR(50+VLOOKUP($A80,'SegEnds_Xtal_Prot#'!$A:$AY,35,FALSE)-VLOOKUP($B80,'SegEnds_NonXtal_Prot#'!$A:$AL,25,FALSE),"-")</f>
        <v>52</v>
      </c>
      <c r="S80" s="2">
        <f>IFERROR(50+VLOOKUP($A80,'SegEnds_Xtal_Prot#'!$A:$AY,37,FALSE)-VLOOKUP($B80,'SegEnds_NonXtal_Prot#'!$A:$AL,28,FALSE),"-")</f>
        <v>39</v>
      </c>
      <c r="T80" s="2">
        <f>IFERROR(50+VLOOKUP($A80,'SegEnds_Xtal_Prot#'!$A:$AY,39,FALSE)-VLOOKUP($B80,'SegEnds_NonXtal_Prot#'!$A:$AL,28,FALSE),"-")</f>
        <v>71</v>
      </c>
      <c r="U80" s="2">
        <f>IFERROR(50+VLOOKUP($A80,'SegEnds_Xtal_Prot#'!$A:$AY,41,FALSE)-VLOOKUP($B80,'SegEnds_NonXtal_Prot#'!$A:$AL,31,FALSE),"-")</f>
        <v>25</v>
      </c>
      <c r="V80" s="2">
        <f>IFERROR(50+VLOOKUP($A80,'SegEnds_Xtal_Prot#'!$A:$AY,43,FALSE)-VLOOKUP($B80,'SegEnds_NonXtal_Prot#'!$A:$AL,31,FALSE),"-")</f>
        <v>53</v>
      </c>
      <c r="W80" s="2">
        <f>IFERROR(50+VLOOKUP($A80,'SegEnds_Xtal_Prot#'!$A:$AY,45,FALSE)-VLOOKUP($B80,'SegEnds_NonXtal_Prot#'!$A:$AL,34,FALSE),"-")</f>
        <v>28</v>
      </c>
      <c r="X80" s="2">
        <f>IFERROR(50+VLOOKUP($A80,'SegEnds_Xtal_Prot#'!$A:$AY,47,FALSE)-VLOOKUP($B80,'SegEnds_NonXtal_Prot#'!$A:$AL,34,FALSE),"-")</f>
        <v>56</v>
      </c>
      <c r="Y80" s="2">
        <f>IFERROR(50+VLOOKUP($A80,'SegEnds_Xtal_Prot#'!$A:$AY,49,FALSE)-VLOOKUP($B80,'SegEnds_NonXtal_Prot#'!$A:$AL,37,FALSE),"-")</f>
        <v>47</v>
      </c>
      <c r="Z80" s="2">
        <f>IFERROR(50+VLOOKUP($A80,'SegEnds_Xtal_Prot#'!$A:$AY,51,FALSE)-VLOOKUP($B80,'SegEnds_NonXtal_Prot#'!$A:$AL,37,FALSE),"-")</f>
        <v>72</v>
      </c>
      <c r="AA80" s="49" t="str">
        <f>VLOOKUP(B80,Classification!A:D,2,FALSE)</f>
        <v>B1</v>
      </c>
      <c r="AB80" s="94" t="str">
        <f>VLOOKUP(B80,Classification!A:D,4,0)</f>
        <v>Corticotropin-releasingfact</v>
      </c>
      <c r="AC80" s="49">
        <f>VLOOKUP(B80,'SegEnds_NonXtal_Prot#'!A:AL,6,FALSE)-VLOOKUP(B80,'SegEnds_NonXtal_Prot#'!A:AL,5,FALSE)</f>
        <v>1</v>
      </c>
      <c r="AD80" s="49">
        <f>VLOOKUP(B80,'SegEnds_NonXtal_Prot#'!A:AL,9,FALSE)-VLOOKUP(B80,'SegEnds_NonXtal_Prot#'!A:AL,8,FALSE)</f>
        <v>1</v>
      </c>
      <c r="AE80" s="49" t="e">
        <f>VLOOKUP(B80,'SegEnds_NonXtal_Prot#'!A:AL,13,FALSE)-VLOOKUP(B80,'SegEnds_NonXtal_Prot#'!A:AL,10,FALSE)</f>
        <v>#VALUE!</v>
      </c>
      <c r="AF80" s="49" t="e">
        <f>VLOOKUP(B80,'SegEnds_NonXtal_Prot#'!A:AL,12,FALSE)-VLOOKUP(B80,'SegEnds_NonXtal_Prot#'!A:AL,11,FALSE)</f>
        <v>#VALUE!</v>
      </c>
      <c r="AG80" s="49" t="e">
        <f>VLOOKUP(B80,'SegEnds_NonXtal_Prot#'!A:AL,13,FALSE)-VLOOKUP(B80,'SegEnds_NonXtal_Prot#'!A:AL,11,FALSE)</f>
        <v>#VALUE!</v>
      </c>
      <c r="AH80" s="49">
        <f>VLOOKUP(B80,'SegEnds_NonXtal_Prot#'!A:AL,16,FALSE)-VLOOKUP(B80,'SegEnds_NonXtal_Prot#'!A:AL,10,FALSE)</f>
        <v>50</v>
      </c>
      <c r="AI80" s="49">
        <f>VLOOKUP(B80,'SegEnds_NonXtal_Prot#'!A:AL,16,FALSE)-VLOOKUP(B80,'SegEnds_NonXtal_Prot#'!A:AL,11,FALSE)</f>
        <v>37</v>
      </c>
      <c r="AJ80" s="49" t="e">
        <f>VLOOKUP(B80,'SegEnds_NonXtal_Prot#'!A:AL,22,FALSE)-VLOOKUP(B80,'SegEnds_NonXtal_Prot#'!A:AL,19,FALSE)</f>
        <v>#VALUE!</v>
      </c>
      <c r="AK80" s="49" t="e">
        <f>VLOOKUP(B80,'SegEnds_NonXtal_Prot#'!A:AL,15,FALSE)-VLOOKUP(B80,'SegEnds_NonXtal_Prot#'!A:AL,14,FALSE)</f>
        <v>#VALUE!</v>
      </c>
      <c r="AL80" s="49" t="e">
        <f>VLOOKUP(B80,'SegEnds_NonXtal_Prot#'!A:AL,18,FALSE)-VLOOKUP(B80,'SegEnds_NonXtal_Prot#'!A:AL,17,FALSE)</f>
        <v>#VALUE!</v>
      </c>
      <c r="AM80" s="2">
        <f>VLOOKUP(B80,'SegEnds_NonXtal_Prot#'!A:AL,34,FALSE)-VLOOKUP(B80,'SegEnds_NonXtal_Prot#'!A:AL,31,FALSE)</f>
        <v>31</v>
      </c>
    </row>
    <row r="81" spans="1:64" x14ac:dyDescent="0.2">
      <c r="A81" s="2" t="str">
        <f t="shared" ref="A81" si="6">CONCATENATE(B81,"__wt",)</f>
        <v>fpr2_human__wt</v>
      </c>
      <c r="B81" s="2" t="s">
        <v>201</v>
      </c>
      <c r="C81" s="2">
        <f>IFERROR(50+VLOOKUP($A81,'SegEnds_Xtal_Prot#'!$A:$AY,5,FALSE)-VLOOKUP($B81,'SegEnds_NonXtal_Prot#'!$A:$AL,4,FALSE),"-")</f>
        <v>25</v>
      </c>
      <c r="D81" s="2">
        <f>IFERROR(50+VLOOKUP($A81,'SegEnds_Xtal_Prot#'!$A:$AY,7,FALSE)-VLOOKUP($B81,'SegEnds_NonXtal_Prot#'!$A:$AL,4,FALSE),"-")</f>
        <v>61</v>
      </c>
      <c r="E81" s="2" t="str">
        <f>IFERROR(50+VLOOKUP($A81,'SegEnds_Xtal_Prot#'!$A:$AY,9,FALSE)-VLOOKUP($B81,'SegEnds_NonXtal_Prot#'!$A:$AL,7,FALSE),"-")</f>
        <v>-</v>
      </c>
      <c r="F81" s="2" t="str">
        <f>IFERROR(50+VLOOKUP($A81,'SegEnds_Xtal_Prot#'!$A:$AY,11,FALSE)-VLOOKUP($B81,'SegEnds_NonXtal_Prot#'!$A:$AL,7,FALSE),"-")</f>
        <v>-</v>
      </c>
      <c r="G81" s="2">
        <f>IFERROR(50+VLOOKUP($A81,'SegEnds_Xtal_Prot#'!$A:$AY,13,FALSE)-VLOOKUP($B81,'SegEnds_NonXtal_Prot#'!$A:$AL,10,FALSE),"-")</f>
        <v>37</v>
      </c>
      <c r="H81" s="2">
        <f>IFERROR(50+VLOOKUP($A81,'SegEnds_Xtal_Prot#'!$A:$AY,15,FALSE)-VLOOKUP($B81,'SegEnds_NonXtal_Prot#'!$A:$AL,10,FALSE),"-")</f>
        <v>67</v>
      </c>
      <c r="I81" s="2">
        <f>IFERROR(50+VLOOKUP($A81,'SegEnds_Xtal_Prot#'!$A:$AY,17,FALSE)-VLOOKUP($B81,'SegEnds_NonXtal_Prot#'!$A:$AL,13,FALSE),"-")</f>
        <v>49</v>
      </c>
      <c r="J81" s="2">
        <f>IFERROR(50+VLOOKUP($A81,'SegEnds_Xtal_Prot#'!$A:$AY,19,FALSE)-VLOOKUP($B81,'SegEnds_NonXtal_Prot#'!$A:$AL,13,FALSE),"-")</f>
        <v>52</v>
      </c>
      <c r="K81" s="2">
        <f>IFERROR(50+VLOOKUP($A81,'SegEnds_Xtal_Prot#'!$A:$AY,21,FALSE)-VLOOKUP($B81,'SegEnds_NonXtal_Prot#'!$A:$AL,16,FALSE),"-")</f>
        <v>21</v>
      </c>
      <c r="L81" s="2">
        <f>IFERROR(50+VLOOKUP($A81,'SegEnds_Xtal_Prot#'!$A:$AY,23,FALSE)-VLOOKUP($B81,'SegEnds_NonXtal_Prot#'!$A:$AL,16,FALSE),"-")</f>
        <v>56</v>
      </c>
      <c r="M81" s="2">
        <f>IFERROR(50+VLOOKUP($A81,'SegEnds_Xtal_Prot#'!$A:$AY,25,FALSE)-VLOOKUP($B81,'SegEnds_NonXtal_Prot#'!$A:$AL,19,FALSE),"-")</f>
        <v>50</v>
      </c>
      <c r="N81" s="2">
        <f>IFERROR(50+VLOOKUP($A81,'SegEnds_Xtal_Prot#'!$A:$AY,27,FALSE)-VLOOKUP($B81,'SegEnds_NonXtal_Prot#'!$A:$AL,19,FALSE),"-")</f>
        <v>57</v>
      </c>
      <c r="O81" s="2">
        <f>IFERROR(50+VLOOKUP($A81,'SegEnds_Xtal_Prot#'!$A:$AY,29,FALSE)-VLOOKUP($B81,'SegEnds_NonXtal_Prot#'!$A:$AL,22,FALSE),"-")</f>
        <v>38</v>
      </c>
      <c r="P81" s="2">
        <f>IFERROR(50+VLOOKUP($A81,'SegEnds_Xtal_Prot#'!$A:$AY,31,FALSE)-VLOOKUP($B81,'SegEnds_NonXtal_Prot#'!$A:$AL,22,FALSE),"-")</f>
        <v>64</v>
      </c>
      <c r="Q81" s="2">
        <f>IFERROR(50+VLOOKUP($A81,'SegEnds_Xtal_Prot#'!$A:$AY,33,FALSE)-VLOOKUP($B81,'SegEnds_NonXtal_Prot#'!$A:$AL,25,FALSE),"-")</f>
        <v>50</v>
      </c>
      <c r="R81" s="2">
        <f>IFERROR(50+VLOOKUP($A81,'SegEnds_Xtal_Prot#'!$A:$AY,35,FALSE)-VLOOKUP($B81,'SegEnds_NonXtal_Prot#'!$A:$AL,25,FALSE),"-")</f>
        <v>52</v>
      </c>
      <c r="S81" s="2">
        <f>IFERROR(50+VLOOKUP($A81,'SegEnds_Xtal_Prot#'!$A:$AY,37,FALSE)-VLOOKUP($B81,'SegEnds_NonXtal_Prot#'!$A:$AL,28,FALSE),"-")</f>
        <v>23</v>
      </c>
      <c r="T81" s="2">
        <f>IFERROR(50+VLOOKUP($A81,'SegEnds_Xtal_Prot#'!$A:$AY,39,FALSE)-VLOOKUP($B81,'SegEnds_NonXtal_Prot#'!$A:$AL,28,FALSE),"-")</f>
        <v>69</v>
      </c>
      <c r="U81" s="2">
        <f>IFERROR(50+VLOOKUP($A81,'SegEnds_Xtal_Prot#'!$A:$AY,41,FALSE)-VLOOKUP($B81,'SegEnds_NonXtal_Prot#'!$A:$AL,31,FALSE),"-")</f>
        <v>31</v>
      </c>
      <c r="V81" s="2">
        <f>IFERROR(50+VLOOKUP($A81,'SegEnds_Xtal_Prot#'!$A:$AY,43,FALSE)-VLOOKUP($B81,'SegEnds_NonXtal_Prot#'!$A:$AL,31,FALSE),"-")</f>
        <v>61</v>
      </c>
      <c r="W81" s="2">
        <f>IFERROR(50+VLOOKUP($A81,'SegEnds_Xtal_Prot#'!$A:$AY,45,FALSE)-VLOOKUP($B81,'SegEnds_NonXtal_Prot#'!$A:$AL,34,FALSE),"-")</f>
        <v>28</v>
      </c>
      <c r="X81" s="2">
        <f>IFERROR(50+VLOOKUP($A81,'SegEnds_Xtal_Prot#'!$A:$AY,47,FALSE)-VLOOKUP($B81,'SegEnds_NonXtal_Prot#'!$A:$AL,34,FALSE),"-")</f>
        <v>56</v>
      </c>
      <c r="Y81" s="2">
        <f>IFERROR(50+VLOOKUP($A81,'SegEnds_Xtal_Prot#'!$A:$AY,49,FALSE)-VLOOKUP($B81,'SegEnds_NonXtal_Prot#'!$A:$AL,37,FALSE),"-")</f>
        <v>47</v>
      </c>
      <c r="Z81" s="2">
        <f>IFERROR(50+VLOOKUP($A81,'SegEnds_Xtal_Prot#'!$A:$AY,51,FALSE)-VLOOKUP($B81,'SegEnds_NonXtal_Prot#'!$A:$AL,37,FALSE),"-")</f>
        <v>58</v>
      </c>
      <c r="AA81" s="49" t="str">
        <f>VLOOKUP(B81,Classification!A:D,2,FALSE)</f>
        <v>A</v>
      </c>
      <c r="AB81" s="94" t="str">
        <f>VLOOKUP(B81,Classification!A:D,4,0)</f>
        <v>Formylpeptide</v>
      </c>
      <c r="AC81" s="49" t="e">
        <f>VLOOKUP(B81,'SegEnds_NonXtal_Prot#'!A:AL,6,FALSE)-VLOOKUP(B81,'SegEnds_NonXtal_Prot#'!A:AL,5,FALSE)</f>
        <v>#VALUE!</v>
      </c>
      <c r="AD81" s="49" t="e">
        <f>VLOOKUP(B81,'SegEnds_NonXtal_Prot#'!A:AL,9,FALSE)-VLOOKUP(B81,'SegEnds_NonXtal_Prot#'!A:AL,8,FALSE)</f>
        <v>#VALUE!</v>
      </c>
      <c r="AE81" s="49">
        <f>VLOOKUP(B81,'SegEnds_NonXtal_Prot#'!A:AL,13,FALSE)-VLOOKUP(B81,'SegEnds_NonXtal_Prot#'!A:AL,10,FALSE)</f>
        <v>20</v>
      </c>
      <c r="AF81" s="49">
        <f>VLOOKUP(B81,'SegEnds_NonXtal_Prot#'!A:AL,12,FALSE)-VLOOKUP(B81,'SegEnds_NonXtal_Prot#'!A:AL,11,FALSE)</f>
        <v>2</v>
      </c>
      <c r="AG81" s="49">
        <f>VLOOKUP(B81,'SegEnds_NonXtal_Prot#'!A:AL,13,FALSE)-VLOOKUP(B81,'SegEnds_NonXtal_Prot#'!A:AL,11,FALSE)</f>
        <v>3</v>
      </c>
      <c r="AH81" s="49">
        <f>VLOOKUP(B81,'SegEnds_NonXtal_Prot#'!A:AL,16,FALSE)-VLOOKUP(B81,'SegEnds_NonXtal_Prot#'!A:AL,10,FALSE)</f>
        <v>52</v>
      </c>
      <c r="AI81" s="49">
        <f>VLOOKUP(B81,'SegEnds_NonXtal_Prot#'!A:AL,16,FALSE)-VLOOKUP(B81,'SegEnds_NonXtal_Prot#'!A:AL,11,FALSE)</f>
        <v>35</v>
      </c>
      <c r="AJ81" s="49">
        <f>VLOOKUP(B81,'SegEnds_NonXtal_Prot#'!A:AL,22,FALSE)-VLOOKUP(B81,'SegEnds_NonXtal_Prot#'!A:AL,19,FALSE)</f>
        <v>20</v>
      </c>
      <c r="AK81" s="49">
        <f>VLOOKUP(B81,'SegEnds_NonXtal_Prot#'!A:AL,15,FALSE)-VLOOKUP(B81,'SegEnds_NonXtal_Prot#'!A:AL,14,FALSE)</f>
        <v>1</v>
      </c>
      <c r="AL81" s="49">
        <f>VLOOKUP(B81,'SegEnds_NonXtal_Prot#'!A:AL,18,FALSE)-VLOOKUP(B81,'SegEnds_NonXtal_Prot#'!A:AL,17,FALSE)</f>
        <v>1</v>
      </c>
      <c r="AM81" s="2">
        <f>VLOOKUP(B81,'SegEnds_NonXtal_Prot#'!A:AL,34,FALSE)-VLOOKUP(B81,'SegEnds_NonXtal_Prot#'!A:AL,31,FALSE)</f>
        <v>43</v>
      </c>
    </row>
    <row r="82" spans="1:64" x14ac:dyDescent="0.2">
      <c r="A82" s="2" t="str">
        <f t="shared" ref="A82" si="7">CONCATENATE(B82,"__wt",)</f>
        <v>gpr52_human__wt</v>
      </c>
      <c r="B82" s="2" t="s">
        <v>259</v>
      </c>
      <c r="C82" s="2">
        <f>IFERROR(50+VLOOKUP($A82,'SegEnds_Xtal_Prot#'!$A:$AY,5,FALSE)-VLOOKUP($B82,'SegEnds_NonXtal_Prot#'!$A:$AL,4,FALSE),"-")</f>
        <v>32</v>
      </c>
      <c r="D82" s="2">
        <f>IFERROR(50+VLOOKUP($A82,'SegEnds_Xtal_Prot#'!$A:$AY,7,FALSE)-VLOOKUP($B82,'SegEnds_NonXtal_Prot#'!$A:$AL,4,FALSE),"-")</f>
        <v>60</v>
      </c>
      <c r="E82" s="2">
        <f>IFERROR(50+VLOOKUP($A82,'SegEnds_Xtal_Prot#'!$A:$AY,9,FALSE)-VLOOKUP($B82,'SegEnds_NonXtal_Prot#'!$A:$AL,7,FALSE),"-")</f>
        <v>48</v>
      </c>
      <c r="F82" s="2">
        <f>IFERROR(50+VLOOKUP($A82,'SegEnds_Xtal_Prot#'!$A:$AY,11,FALSE)-VLOOKUP($B82,'SegEnds_NonXtal_Prot#'!$A:$AL,7,FALSE),"-")</f>
        <v>52</v>
      </c>
      <c r="G82" s="2">
        <f>IFERROR(50+VLOOKUP($A82,'SegEnds_Xtal_Prot#'!$A:$AY,13,FALSE)-VLOOKUP($B82,'SegEnds_NonXtal_Prot#'!$A:$AL,10,FALSE),"-")</f>
        <v>37</v>
      </c>
      <c r="H82" s="2">
        <f>IFERROR(50+VLOOKUP($A82,'SegEnds_Xtal_Prot#'!$A:$AY,15,FALSE)-VLOOKUP($B82,'SegEnds_NonXtal_Prot#'!$A:$AL,10,FALSE),"-")</f>
        <v>67</v>
      </c>
      <c r="I82" s="2" t="str">
        <f>IFERROR(50+VLOOKUP($A82,'SegEnds_Xtal_Prot#'!$A:$AY,17,FALSE)-VLOOKUP($B82,'SegEnds_NonXtal_Prot#'!$A:$AL,13,FALSE),"-")</f>
        <v>-</v>
      </c>
      <c r="J82" s="2" t="str">
        <f>IFERROR(50+VLOOKUP($A82,'SegEnds_Xtal_Prot#'!$A:$AY,19,FALSE)-VLOOKUP($B82,'SegEnds_NonXtal_Prot#'!$A:$AL,13,FALSE),"-")</f>
        <v>-</v>
      </c>
      <c r="K82" s="2">
        <f>IFERROR(50+VLOOKUP($A82,'SegEnds_Xtal_Prot#'!$A:$AY,21,FALSE)-VLOOKUP($B82,'SegEnds_NonXtal_Prot#'!$A:$AL,16,FALSE),"-")</f>
        <v>21</v>
      </c>
      <c r="L82" s="2">
        <f>IFERROR(50+VLOOKUP($A82,'SegEnds_Xtal_Prot#'!$A:$AY,23,FALSE)-VLOOKUP($B82,'SegEnds_NonXtal_Prot#'!$A:$AL,16,FALSE),"-")</f>
        <v>56</v>
      </c>
      <c r="M82" s="2">
        <f>IFERROR(50+VLOOKUP($A82,'SegEnds_Xtal_Prot#'!$A:$AY,25,FALSE)-VLOOKUP($B82,'SegEnds_NonXtal_Prot#'!$A:$AL,19,FALSE),"-")</f>
        <v>50</v>
      </c>
      <c r="N82" s="2">
        <f>IFERROR(50+VLOOKUP($A82,'SegEnds_Xtal_Prot#'!$A:$AY,27,FALSE)-VLOOKUP($B82,'SegEnds_NonXtal_Prot#'!$A:$AL,19,FALSE),"-")</f>
        <v>57</v>
      </c>
      <c r="O82" s="2">
        <f>IFERROR(50+VLOOKUP($A82,'SegEnds_Xtal_Prot#'!$A:$AY,29,FALSE)-VLOOKUP($B82,'SegEnds_NonXtal_Prot#'!$A:$AL,22,FALSE),"-")</f>
        <v>38</v>
      </c>
      <c r="P82" s="2">
        <f>IFERROR(50+VLOOKUP($A82,'SegEnds_Xtal_Prot#'!$A:$AY,31,FALSE)-VLOOKUP($B82,'SegEnds_NonXtal_Prot#'!$A:$AL,22,FALSE),"-")</f>
        <v>62</v>
      </c>
      <c r="Q82" s="2">
        <f>IFERROR(50+VLOOKUP($A82,'SegEnds_Xtal_Prot#'!$A:$AY,33,FALSE)-VLOOKUP($B82,'SegEnds_NonXtal_Prot#'!$A:$AL,25,FALSE),"-")</f>
        <v>50</v>
      </c>
      <c r="R82" s="2">
        <f>IFERROR(50+VLOOKUP($A82,'SegEnds_Xtal_Prot#'!$A:$AY,35,FALSE)-VLOOKUP($B82,'SegEnds_NonXtal_Prot#'!$A:$AL,25,FALSE),"-")</f>
        <v>52</v>
      </c>
      <c r="S82" s="2">
        <f>IFERROR(50+VLOOKUP($A82,'SegEnds_Xtal_Prot#'!$A:$AY,37,FALSE)-VLOOKUP($B82,'SegEnds_NonXtal_Prot#'!$A:$AL,28,FALSE),"-")</f>
        <v>36</v>
      </c>
      <c r="T82" s="2">
        <f>IFERROR(50+VLOOKUP($A82,'SegEnds_Xtal_Prot#'!$A:$AY,39,FALSE)-VLOOKUP($B82,'SegEnds_NonXtal_Prot#'!$A:$AL,28,FALSE),"-")</f>
        <v>74</v>
      </c>
      <c r="U82" s="2">
        <f>IFERROR(50+VLOOKUP($A82,'SegEnds_Xtal_Prot#'!$A:$AY,41,FALSE)-VLOOKUP($B82,'SegEnds_NonXtal_Prot#'!$A:$AL,31,FALSE),"-")</f>
        <v>21</v>
      </c>
      <c r="V82" s="2">
        <f>IFERROR(50+VLOOKUP($A82,'SegEnds_Xtal_Prot#'!$A:$AY,43,FALSE)-VLOOKUP($B82,'SegEnds_NonXtal_Prot#'!$A:$AL,31,FALSE),"-")</f>
        <v>61</v>
      </c>
      <c r="W82" s="2">
        <f>IFERROR(50+VLOOKUP($A82,'SegEnds_Xtal_Prot#'!$A:$AY,45,FALSE)-VLOOKUP($B82,'SegEnds_NonXtal_Prot#'!$A:$AL,34,FALSE),"-")</f>
        <v>31</v>
      </c>
      <c r="X82" s="2">
        <f>IFERROR(50+VLOOKUP($A82,'SegEnds_Xtal_Prot#'!$A:$AY,47,FALSE)-VLOOKUP($B82,'SegEnds_NonXtal_Prot#'!$A:$AL,34,FALSE),"-")</f>
        <v>56</v>
      </c>
      <c r="Y82" s="2">
        <f>IFERROR(50+VLOOKUP($A82,'SegEnds_Xtal_Prot#'!$A:$AY,49,FALSE)-VLOOKUP($B82,'SegEnds_NonXtal_Prot#'!$A:$AL,37,FALSE),"-")</f>
        <v>47</v>
      </c>
      <c r="Z82" s="2">
        <f>IFERROR(50+VLOOKUP($A82,'SegEnds_Xtal_Prot#'!$A:$AY,51,FALSE)-VLOOKUP($B82,'SegEnds_NonXtal_Prot#'!$A:$AL,37,FALSE),"-")</f>
        <v>67</v>
      </c>
      <c r="AA82" s="49" t="str">
        <f>VLOOKUP(B82,Classification!A:D,2,FALSE)</f>
        <v>A</v>
      </c>
      <c r="AB82" s="94" t="str">
        <f>VLOOKUP(B82,Classification!A:D,4,0)</f>
        <v>ClassAorphans</v>
      </c>
      <c r="AC82" s="49">
        <f>VLOOKUP(B82,'SegEnds_NonXtal_Prot#'!A:AL,6,FALSE)-VLOOKUP(B82,'SegEnds_NonXtal_Prot#'!A:AL,5,FALSE)</f>
        <v>1</v>
      </c>
      <c r="AD82" s="49">
        <f>VLOOKUP(B82,'SegEnds_NonXtal_Prot#'!A:AL,9,FALSE)-VLOOKUP(B82,'SegEnds_NonXtal_Prot#'!A:AL,8,FALSE)</f>
        <v>1</v>
      </c>
      <c r="AE82" s="49" t="e">
        <f>VLOOKUP(B82,'SegEnds_NonXtal_Prot#'!A:AL,13,FALSE)-VLOOKUP(B82,'SegEnds_NonXtal_Prot#'!A:AL,10,FALSE)</f>
        <v>#VALUE!</v>
      </c>
      <c r="AF82" s="49" t="e">
        <f>VLOOKUP(B82,'SegEnds_NonXtal_Prot#'!A:AL,12,FALSE)-VLOOKUP(B82,'SegEnds_NonXtal_Prot#'!A:AL,11,FALSE)</f>
        <v>#VALUE!</v>
      </c>
      <c r="AG82" s="49" t="e">
        <f>VLOOKUP(B82,'SegEnds_NonXtal_Prot#'!A:AL,13,FALSE)-VLOOKUP(B82,'SegEnds_NonXtal_Prot#'!A:AL,11,FALSE)</f>
        <v>#VALUE!</v>
      </c>
      <c r="AH82" s="49">
        <f>VLOOKUP(B82,'SegEnds_NonXtal_Prot#'!A:AL,16,FALSE)-VLOOKUP(B82,'SegEnds_NonXtal_Prot#'!A:AL,10,FALSE)</f>
        <v>52</v>
      </c>
      <c r="AI82" s="49">
        <f>VLOOKUP(B82,'SegEnds_NonXtal_Prot#'!A:AL,16,FALSE)-VLOOKUP(B82,'SegEnds_NonXtal_Prot#'!A:AL,11,FALSE)</f>
        <v>35</v>
      </c>
      <c r="AJ82" s="49">
        <f>VLOOKUP(B82,'SegEnds_NonXtal_Prot#'!A:AL,22,FALSE)-VLOOKUP(B82,'SegEnds_NonXtal_Prot#'!A:AL,19,FALSE)</f>
        <v>20</v>
      </c>
      <c r="AK82" s="49" t="e">
        <f>VLOOKUP(B82,'SegEnds_NonXtal_Prot#'!A:AL,15,FALSE)-VLOOKUP(B82,'SegEnds_NonXtal_Prot#'!A:AL,14,FALSE)</f>
        <v>#VALUE!</v>
      </c>
      <c r="AL82" s="49">
        <f>VLOOKUP(B82,'SegEnds_NonXtal_Prot#'!A:AL,18,FALSE)-VLOOKUP(B82,'SegEnds_NonXtal_Prot#'!A:AL,17,FALSE)</f>
        <v>1</v>
      </c>
      <c r="AM82" s="2">
        <f>VLOOKUP(B82,'SegEnds_NonXtal_Prot#'!A:AL,34,FALSE)-VLOOKUP(B82,'SegEnds_NonXtal_Prot#'!A:AL,31,FALSE)</f>
        <v>34</v>
      </c>
    </row>
    <row r="83" spans="1:64" x14ac:dyDescent="0.2">
      <c r="A83" s="4"/>
      <c r="B83" s="4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49"/>
      <c r="AB83" s="96"/>
      <c r="AC83" s="49"/>
      <c r="AD83" s="49"/>
      <c r="AE83" s="49"/>
      <c r="AF83" s="49"/>
      <c r="AG83" s="49"/>
      <c r="AH83" s="49"/>
      <c r="AI83" s="49"/>
      <c r="AJ83" s="49"/>
      <c r="AK83" s="49"/>
      <c r="AL83" s="49"/>
      <c r="AM83" s="2"/>
      <c r="AN83" s="38"/>
      <c r="AO83" s="30" t="s">
        <v>1054</v>
      </c>
      <c r="AP83" s="30" t="s">
        <v>1055</v>
      </c>
      <c r="AQ83" s="30" t="s">
        <v>1071</v>
      </c>
      <c r="AR83" s="30" t="s">
        <v>1072</v>
      </c>
      <c r="AS83" s="30" t="s">
        <v>1056</v>
      </c>
      <c r="AT83" s="30" t="s">
        <v>1057</v>
      </c>
      <c r="AU83" s="30" t="s">
        <v>1073</v>
      </c>
      <c r="AV83" s="30" t="s">
        <v>1074</v>
      </c>
      <c r="AW83" s="30" t="s">
        <v>1058</v>
      </c>
      <c r="AX83" s="30" t="s">
        <v>1059</v>
      </c>
      <c r="AY83" s="30" t="s">
        <v>1086</v>
      </c>
      <c r="AZ83" s="30" t="s">
        <v>1087</v>
      </c>
      <c r="BA83" s="30" t="s">
        <v>1060</v>
      </c>
      <c r="BB83" s="30" t="s">
        <v>1061</v>
      </c>
      <c r="BC83" s="30" t="s">
        <v>1089</v>
      </c>
      <c r="BD83" s="30" t="s">
        <v>1090</v>
      </c>
      <c r="BE83" s="30" t="s">
        <v>1062</v>
      </c>
      <c r="BF83" s="30" t="s">
        <v>1063</v>
      </c>
      <c r="BG83" s="30" t="s">
        <v>1064</v>
      </c>
      <c r="BH83" s="30" t="s">
        <v>1065</v>
      </c>
      <c r="BI83" s="30" t="s">
        <v>1066</v>
      </c>
      <c r="BJ83" s="30" t="s">
        <v>1067</v>
      </c>
      <c r="BK83" s="30" t="s">
        <v>1068</v>
      </c>
      <c r="BL83" s="30" t="s">
        <v>1069</v>
      </c>
    </row>
    <row r="84" spans="1:64" x14ac:dyDescent="0.2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N84" s="38" t="s">
        <v>1</v>
      </c>
      <c r="AO84" s="4">
        <f t="shared" ref="AO84:BL84" si="8">MAX(C2:C42)</f>
        <v>34</v>
      </c>
      <c r="AP84" s="4">
        <f t="shared" si="8"/>
        <v>64</v>
      </c>
      <c r="AQ84" s="4">
        <f t="shared" si="8"/>
        <v>48</v>
      </c>
      <c r="AR84" s="4">
        <f t="shared" si="8"/>
        <v>52</v>
      </c>
      <c r="AS84" s="4">
        <f t="shared" si="8"/>
        <v>38</v>
      </c>
      <c r="AT84" s="4">
        <f t="shared" si="8"/>
        <v>69</v>
      </c>
      <c r="AU84" s="4">
        <f t="shared" si="8"/>
        <v>50</v>
      </c>
      <c r="AV84" s="4">
        <f t="shared" si="8"/>
        <v>53</v>
      </c>
      <c r="AW84" s="4">
        <f t="shared" si="8"/>
        <v>21</v>
      </c>
      <c r="AX84" s="4">
        <f t="shared" si="8"/>
        <v>56</v>
      </c>
      <c r="AY84" s="4">
        <f t="shared" si="8"/>
        <v>50</v>
      </c>
      <c r="AZ84" s="4">
        <f t="shared" si="8"/>
        <v>58</v>
      </c>
      <c r="BA84" s="4">
        <f t="shared" si="8"/>
        <v>38</v>
      </c>
      <c r="BB84" s="4">
        <f t="shared" si="8"/>
        <v>69</v>
      </c>
      <c r="BC84" s="4">
        <f t="shared" si="8"/>
        <v>50</v>
      </c>
      <c r="BD84" s="4">
        <f t="shared" si="8"/>
        <v>52</v>
      </c>
      <c r="BE84" s="4">
        <f t="shared" si="8"/>
        <v>36</v>
      </c>
      <c r="BF84" s="4">
        <f t="shared" si="8"/>
        <v>77</v>
      </c>
      <c r="BG84" s="4">
        <f t="shared" si="8"/>
        <v>30</v>
      </c>
      <c r="BH84" s="4">
        <f t="shared" si="8"/>
        <v>65</v>
      </c>
      <c r="BI84" s="4">
        <f t="shared" si="8"/>
        <v>32</v>
      </c>
      <c r="BJ84" s="4">
        <f t="shared" si="8"/>
        <v>56</v>
      </c>
      <c r="BK84" s="4">
        <f t="shared" si="8"/>
        <v>47</v>
      </c>
      <c r="BL84" s="4">
        <f t="shared" si="8"/>
        <v>69</v>
      </c>
    </row>
    <row r="85" spans="1:64" x14ac:dyDescent="0.2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O85" s="4">
        <f t="shared" ref="AO85:BL85" si="9">MIN(C2:C42)</f>
        <v>22</v>
      </c>
      <c r="AP85" s="4">
        <f t="shared" si="9"/>
        <v>60</v>
      </c>
      <c r="AQ85" s="4">
        <f t="shared" si="9"/>
        <v>48</v>
      </c>
      <c r="AR85" s="4">
        <f t="shared" si="9"/>
        <v>51</v>
      </c>
      <c r="AS85" s="4">
        <f t="shared" si="9"/>
        <v>34</v>
      </c>
      <c r="AT85" s="4">
        <f t="shared" si="9"/>
        <v>63</v>
      </c>
      <c r="AU85" s="4">
        <f t="shared" si="9"/>
        <v>47</v>
      </c>
      <c r="AV85" s="4">
        <f t="shared" si="9"/>
        <v>52</v>
      </c>
      <c r="AW85" s="4">
        <f t="shared" si="9"/>
        <v>18</v>
      </c>
      <c r="AX85" s="4">
        <f t="shared" si="9"/>
        <v>55</v>
      </c>
      <c r="AY85" s="4">
        <f t="shared" si="9"/>
        <v>50</v>
      </c>
      <c r="AZ85" s="4">
        <f t="shared" si="9"/>
        <v>53</v>
      </c>
      <c r="BA85" s="4">
        <f t="shared" si="9"/>
        <v>35</v>
      </c>
      <c r="BB85" s="4">
        <f t="shared" si="9"/>
        <v>62</v>
      </c>
      <c r="BC85" s="4">
        <f t="shared" si="9"/>
        <v>50</v>
      </c>
      <c r="BD85" s="4">
        <f t="shared" si="9"/>
        <v>52</v>
      </c>
      <c r="BE85" s="4">
        <f t="shared" si="9"/>
        <v>28</v>
      </c>
      <c r="BF85" s="4">
        <f t="shared" si="9"/>
        <v>67</v>
      </c>
      <c r="BG85" s="4">
        <f t="shared" si="9"/>
        <v>18</v>
      </c>
      <c r="BH85" s="4">
        <f t="shared" si="9"/>
        <v>60</v>
      </c>
      <c r="BI85" s="4">
        <f t="shared" si="9"/>
        <v>24</v>
      </c>
      <c r="BJ85" s="4">
        <f t="shared" si="9"/>
        <v>55</v>
      </c>
      <c r="BK85" s="4">
        <f t="shared" si="9"/>
        <v>47</v>
      </c>
      <c r="BL85" s="4">
        <f t="shared" si="9"/>
        <v>57</v>
      </c>
    </row>
    <row r="86" spans="1:64" x14ac:dyDescent="0.2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O86" s="4">
        <f t="shared" ref="AO86:BL86" si="10">AO84-AO85</f>
        <v>12</v>
      </c>
      <c r="AP86" s="4">
        <f t="shared" si="10"/>
        <v>4</v>
      </c>
      <c r="AQ86" s="4">
        <f t="shared" si="10"/>
        <v>0</v>
      </c>
      <c r="AR86" s="4">
        <f t="shared" si="10"/>
        <v>1</v>
      </c>
      <c r="AS86" s="4">
        <f t="shared" si="10"/>
        <v>4</v>
      </c>
      <c r="AT86" s="4">
        <f t="shared" si="10"/>
        <v>6</v>
      </c>
      <c r="AU86" s="4">
        <f t="shared" si="10"/>
        <v>3</v>
      </c>
      <c r="AV86" s="4">
        <f t="shared" si="10"/>
        <v>1</v>
      </c>
      <c r="AW86" s="4">
        <f t="shared" si="10"/>
        <v>3</v>
      </c>
      <c r="AX86" s="4">
        <f t="shared" si="10"/>
        <v>1</v>
      </c>
      <c r="AY86" s="4">
        <f t="shared" si="10"/>
        <v>0</v>
      </c>
      <c r="AZ86" s="4">
        <f t="shared" si="10"/>
        <v>5</v>
      </c>
      <c r="BA86" s="4">
        <f t="shared" si="10"/>
        <v>3</v>
      </c>
      <c r="BB86" s="4">
        <f t="shared" si="10"/>
        <v>7</v>
      </c>
      <c r="BC86" s="4">
        <f t="shared" si="10"/>
        <v>0</v>
      </c>
      <c r="BD86" s="4">
        <f t="shared" si="10"/>
        <v>0</v>
      </c>
      <c r="BE86" s="4">
        <f t="shared" si="10"/>
        <v>8</v>
      </c>
      <c r="BF86" s="4">
        <f t="shared" si="10"/>
        <v>10</v>
      </c>
      <c r="BG86" s="4">
        <f t="shared" si="10"/>
        <v>12</v>
      </c>
      <c r="BH86" s="4">
        <f t="shared" si="10"/>
        <v>5</v>
      </c>
      <c r="BI86" s="4">
        <f t="shared" si="10"/>
        <v>8</v>
      </c>
      <c r="BJ86" s="4">
        <f t="shared" si="10"/>
        <v>1</v>
      </c>
      <c r="BK86" s="4">
        <f t="shared" si="10"/>
        <v>0</v>
      </c>
      <c r="BL86" s="4">
        <f t="shared" si="10"/>
        <v>12</v>
      </c>
    </row>
    <row r="87" spans="1:64" x14ac:dyDescent="0.2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N87" s="38" t="s">
        <v>1275</v>
      </c>
      <c r="AO87" s="4">
        <f t="shared" ref="AO87:BL87" si="11">MAX(C43:C46)</f>
        <v>29</v>
      </c>
      <c r="AP87" s="4">
        <f t="shared" si="11"/>
        <v>60</v>
      </c>
      <c r="AQ87" s="4">
        <f t="shared" si="11"/>
        <v>48</v>
      </c>
      <c r="AR87" s="4">
        <f t="shared" si="11"/>
        <v>51</v>
      </c>
      <c r="AS87" s="4">
        <f t="shared" si="11"/>
        <v>37</v>
      </c>
      <c r="AT87" s="4">
        <f t="shared" si="11"/>
        <v>66</v>
      </c>
      <c r="AU87" s="4">
        <f t="shared" si="11"/>
        <v>49</v>
      </c>
      <c r="AV87" s="4">
        <f t="shared" si="11"/>
        <v>52</v>
      </c>
      <c r="AW87" s="4">
        <f t="shared" si="11"/>
        <v>23</v>
      </c>
      <c r="AX87" s="4">
        <f t="shared" si="11"/>
        <v>56</v>
      </c>
      <c r="AY87" s="4">
        <f t="shared" si="11"/>
        <v>50</v>
      </c>
      <c r="AZ87" s="4">
        <f t="shared" si="11"/>
        <v>57</v>
      </c>
      <c r="BA87" s="4">
        <f t="shared" si="11"/>
        <v>41</v>
      </c>
      <c r="BB87" s="4">
        <f t="shared" si="11"/>
        <v>68</v>
      </c>
      <c r="BC87" s="4">
        <f t="shared" si="11"/>
        <v>50</v>
      </c>
      <c r="BD87" s="4">
        <f t="shared" si="11"/>
        <v>52</v>
      </c>
      <c r="BE87" s="4">
        <f t="shared" si="11"/>
        <v>40</v>
      </c>
      <c r="BF87" s="4">
        <f t="shared" si="11"/>
        <v>70</v>
      </c>
      <c r="BG87" s="4">
        <f t="shared" si="11"/>
        <v>30</v>
      </c>
      <c r="BH87" s="4">
        <f t="shared" si="11"/>
        <v>65</v>
      </c>
      <c r="BI87" s="4">
        <f t="shared" si="11"/>
        <v>31</v>
      </c>
      <c r="BJ87" s="4">
        <f t="shared" si="11"/>
        <v>56</v>
      </c>
      <c r="BK87" s="4">
        <f t="shared" si="11"/>
        <v>47</v>
      </c>
      <c r="BL87" s="4">
        <f t="shared" si="11"/>
        <v>72</v>
      </c>
    </row>
    <row r="88" spans="1:64" x14ac:dyDescent="0.2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O88" s="4">
        <f t="shared" ref="AO88:BL88" si="12">MIN(C43:C46)</f>
        <v>19</v>
      </c>
      <c r="AP88" s="4">
        <f t="shared" si="12"/>
        <v>60</v>
      </c>
      <c r="AQ88" s="4">
        <f t="shared" si="12"/>
        <v>48</v>
      </c>
      <c r="AR88" s="4">
        <f t="shared" si="12"/>
        <v>51</v>
      </c>
      <c r="AS88" s="4">
        <f t="shared" si="12"/>
        <v>37</v>
      </c>
      <c r="AT88" s="4">
        <f t="shared" si="12"/>
        <v>63</v>
      </c>
      <c r="AU88" s="4">
        <f t="shared" si="12"/>
        <v>47</v>
      </c>
      <c r="AV88" s="4">
        <f t="shared" si="12"/>
        <v>52</v>
      </c>
      <c r="AW88" s="4">
        <f t="shared" si="12"/>
        <v>21</v>
      </c>
      <c r="AX88" s="4">
        <f t="shared" si="12"/>
        <v>56</v>
      </c>
      <c r="AY88" s="4">
        <f t="shared" si="12"/>
        <v>50</v>
      </c>
      <c r="AZ88" s="4">
        <f t="shared" si="12"/>
        <v>56</v>
      </c>
      <c r="BA88" s="4">
        <f t="shared" si="12"/>
        <v>38</v>
      </c>
      <c r="BB88" s="4">
        <f t="shared" si="12"/>
        <v>62</v>
      </c>
      <c r="BC88" s="4">
        <f t="shared" si="12"/>
        <v>50</v>
      </c>
      <c r="BD88" s="4">
        <f t="shared" si="12"/>
        <v>52</v>
      </c>
      <c r="BE88" s="4">
        <f t="shared" si="12"/>
        <v>31</v>
      </c>
      <c r="BF88" s="4">
        <f t="shared" si="12"/>
        <v>67</v>
      </c>
      <c r="BG88" s="4">
        <f t="shared" si="12"/>
        <v>25</v>
      </c>
      <c r="BH88" s="4">
        <f t="shared" si="12"/>
        <v>53</v>
      </c>
      <c r="BI88" s="4">
        <f t="shared" si="12"/>
        <v>28</v>
      </c>
      <c r="BJ88" s="4">
        <f t="shared" si="12"/>
        <v>56</v>
      </c>
      <c r="BK88" s="4">
        <f t="shared" si="12"/>
        <v>47</v>
      </c>
      <c r="BL88" s="4">
        <f t="shared" si="12"/>
        <v>61</v>
      </c>
    </row>
    <row r="89" spans="1:64" x14ac:dyDescent="0.2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O89" s="4">
        <f t="shared" ref="AO89:BL89" si="13">AO87-AO88</f>
        <v>10</v>
      </c>
      <c r="AP89" s="4">
        <f t="shared" si="13"/>
        <v>0</v>
      </c>
      <c r="AQ89" s="4">
        <f t="shared" si="13"/>
        <v>0</v>
      </c>
      <c r="AR89" s="4">
        <f t="shared" si="13"/>
        <v>0</v>
      </c>
      <c r="AS89" s="4">
        <f t="shared" si="13"/>
        <v>0</v>
      </c>
      <c r="AT89" s="4">
        <f t="shared" si="13"/>
        <v>3</v>
      </c>
      <c r="AU89" s="4">
        <f t="shared" si="13"/>
        <v>2</v>
      </c>
      <c r="AV89" s="4">
        <f t="shared" si="13"/>
        <v>0</v>
      </c>
      <c r="AW89" s="4">
        <f t="shared" si="13"/>
        <v>2</v>
      </c>
      <c r="AX89" s="4">
        <f t="shared" si="13"/>
        <v>0</v>
      </c>
      <c r="AY89" s="4">
        <f t="shared" si="13"/>
        <v>0</v>
      </c>
      <c r="AZ89" s="4">
        <f t="shared" si="13"/>
        <v>1</v>
      </c>
      <c r="BA89" s="4">
        <f t="shared" si="13"/>
        <v>3</v>
      </c>
      <c r="BB89" s="4">
        <f t="shared" si="13"/>
        <v>6</v>
      </c>
      <c r="BC89" s="4">
        <f t="shared" si="13"/>
        <v>0</v>
      </c>
      <c r="BD89" s="4">
        <f t="shared" si="13"/>
        <v>0</v>
      </c>
      <c r="BE89" s="4">
        <f t="shared" si="13"/>
        <v>9</v>
      </c>
      <c r="BF89" s="4">
        <f t="shared" si="13"/>
        <v>3</v>
      </c>
      <c r="BG89" s="4">
        <f t="shared" si="13"/>
        <v>5</v>
      </c>
      <c r="BH89" s="4">
        <f t="shared" si="13"/>
        <v>12</v>
      </c>
      <c r="BI89" s="4">
        <f t="shared" si="13"/>
        <v>3</v>
      </c>
      <c r="BJ89" s="4">
        <f t="shared" si="13"/>
        <v>0</v>
      </c>
      <c r="BK89" s="4">
        <f t="shared" si="13"/>
        <v>0</v>
      </c>
      <c r="BL89" s="4">
        <f t="shared" si="13"/>
        <v>11</v>
      </c>
    </row>
    <row r="90" spans="1:64" x14ac:dyDescent="0.2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N90" s="38" t="s">
        <v>27</v>
      </c>
      <c r="AO90" s="4">
        <f t="shared" ref="AO90:BL90" si="14">MAX(C47:C50)</f>
        <v>34</v>
      </c>
      <c r="AP90" s="4">
        <f t="shared" si="14"/>
        <v>60</v>
      </c>
      <c r="AQ90" s="4">
        <f t="shared" si="14"/>
        <v>48</v>
      </c>
      <c r="AR90" s="4">
        <f t="shared" si="14"/>
        <v>53</v>
      </c>
      <c r="AS90" s="4">
        <f t="shared" si="14"/>
        <v>39</v>
      </c>
      <c r="AT90" s="4">
        <f t="shared" si="14"/>
        <v>74</v>
      </c>
      <c r="AU90" s="4">
        <f t="shared" si="14"/>
        <v>0</v>
      </c>
      <c r="AV90" s="4">
        <f t="shared" si="14"/>
        <v>0</v>
      </c>
      <c r="AW90" s="4">
        <f t="shared" si="14"/>
        <v>23</v>
      </c>
      <c r="AX90" s="4">
        <f t="shared" si="14"/>
        <v>56</v>
      </c>
      <c r="AY90" s="4">
        <f t="shared" si="14"/>
        <v>0</v>
      </c>
      <c r="AZ90" s="4">
        <f t="shared" si="14"/>
        <v>0</v>
      </c>
      <c r="BA90" s="4">
        <f t="shared" si="14"/>
        <v>40</v>
      </c>
      <c r="BB90" s="4">
        <f t="shared" si="14"/>
        <v>68</v>
      </c>
      <c r="BC90" s="4">
        <f t="shared" si="14"/>
        <v>50</v>
      </c>
      <c r="BD90" s="4">
        <f t="shared" si="14"/>
        <v>52</v>
      </c>
      <c r="BE90" s="4">
        <f t="shared" si="14"/>
        <v>36</v>
      </c>
      <c r="BF90" s="4">
        <f t="shared" si="14"/>
        <v>71</v>
      </c>
      <c r="BG90" s="4">
        <f t="shared" si="14"/>
        <v>33</v>
      </c>
      <c r="BH90" s="4">
        <f t="shared" si="14"/>
        <v>57</v>
      </c>
      <c r="BI90" s="4">
        <f t="shared" si="14"/>
        <v>33</v>
      </c>
      <c r="BJ90" s="4">
        <f t="shared" si="14"/>
        <v>64</v>
      </c>
      <c r="BK90" s="4">
        <f t="shared" si="14"/>
        <v>47</v>
      </c>
      <c r="BL90" s="4">
        <f t="shared" si="14"/>
        <v>72</v>
      </c>
    </row>
    <row r="91" spans="1:64" x14ac:dyDescent="0.2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O91" s="4">
        <f t="shared" ref="AO91:BL91" si="15">MIN(C47:C50)</f>
        <v>25</v>
      </c>
      <c r="AP91" s="4">
        <f t="shared" si="15"/>
        <v>60</v>
      </c>
      <c r="AQ91" s="4">
        <f t="shared" si="15"/>
        <v>47</v>
      </c>
      <c r="AR91" s="4">
        <f t="shared" si="15"/>
        <v>51</v>
      </c>
      <c r="AS91" s="4">
        <f t="shared" si="15"/>
        <v>37</v>
      </c>
      <c r="AT91" s="4">
        <f t="shared" si="15"/>
        <v>61</v>
      </c>
      <c r="AU91" s="4">
        <f t="shared" si="15"/>
        <v>0</v>
      </c>
      <c r="AV91" s="4">
        <f t="shared" si="15"/>
        <v>0</v>
      </c>
      <c r="AW91" s="4">
        <f t="shared" si="15"/>
        <v>21</v>
      </c>
      <c r="AX91" s="4">
        <f t="shared" si="15"/>
        <v>54</v>
      </c>
      <c r="AY91" s="4">
        <f t="shared" si="15"/>
        <v>0</v>
      </c>
      <c r="AZ91" s="4">
        <f t="shared" si="15"/>
        <v>0</v>
      </c>
      <c r="BA91" s="4">
        <f t="shared" si="15"/>
        <v>37</v>
      </c>
      <c r="BB91" s="4">
        <f t="shared" si="15"/>
        <v>64</v>
      </c>
      <c r="BC91" s="4">
        <f t="shared" si="15"/>
        <v>50</v>
      </c>
      <c r="BD91" s="4">
        <f t="shared" si="15"/>
        <v>52</v>
      </c>
      <c r="BE91" s="4">
        <f t="shared" si="15"/>
        <v>35</v>
      </c>
      <c r="BF91" s="4">
        <f t="shared" si="15"/>
        <v>61</v>
      </c>
      <c r="BG91" s="4">
        <f t="shared" si="15"/>
        <v>28</v>
      </c>
      <c r="BH91" s="4">
        <f t="shared" si="15"/>
        <v>53</v>
      </c>
      <c r="BI91" s="4">
        <f t="shared" si="15"/>
        <v>27</v>
      </c>
      <c r="BJ91" s="4">
        <f t="shared" si="15"/>
        <v>56</v>
      </c>
      <c r="BK91" s="4">
        <f t="shared" si="15"/>
        <v>46</v>
      </c>
      <c r="BL91" s="4">
        <f t="shared" si="15"/>
        <v>57</v>
      </c>
    </row>
    <row r="92" spans="1:64" x14ac:dyDescent="0.2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O92" s="4">
        <f t="shared" ref="AO92:BL92" si="16">AO90-AO91</f>
        <v>9</v>
      </c>
      <c r="AP92" s="4">
        <f t="shared" si="16"/>
        <v>0</v>
      </c>
      <c r="AQ92" s="4">
        <f t="shared" si="16"/>
        <v>1</v>
      </c>
      <c r="AR92" s="4">
        <f t="shared" si="16"/>
        <v>2</v>
      </c>
      <c r="AS92" s="4">
        <f t="shared" si="16"/>
        <v>2</v>
      </c>
      <c r="AT92" s="4">
        <f t="shared" si="16"/>
        <v>13</v>
      </c>
      <c r="AU92" s="4">
        <f t="shared" si="16"/>
        <v>0</v>
      </c>
      <c r="AV92" s="4">
        <f t="shared" si="16"/>
        <v>0</v>
      </c>
      <c r="AW92" s="4">
        <f t="shared" si="16"/>
        <v>2</v>
      </c>
      <c r="AX92" s="4">
        <f t="shared" si="16"/>
        <v>2</v>
      </c>
      <c r="AY92" s="4">
        <f t="shared" si="16"/>
        <v>0</v>
      </c>
      <c r="AZ92" s="4">
        <f t="shared" si="16"/>
        <v>0</v>
      </c>
      <c r="BA92" s="4">
        <f t="shared" si="16"/>
        <v>3</v>
      </c>
      <c r="BB92" s="4">
        <f t="shared" si="16"/>
        <v>4</v>
      </c>
      <c r="BC92" s="4">
        <f t="shared" si="16"/>
        <v>0</v>
      </c>
      <c r="BD92" s="4">
        <f t="shared" si="16"/>
        <v>0</v>
      </c>
      <c r="BE92" s="4">
        <f t="shared" si="16"/>
        <v>1</v>
      </c>
      <c r="BF92" s="4">
        <f t="shared" si="16"/>
        <v>10</v>
      </c>
      <c r="BG92" s="4">
        <f t="shared" si="16"/>
        <v>5</v>
      </c>
      <c r="BH92" s="4">
        <f t="shared" si="16"/>
        <v>4</v>
      </c>
      <c r="BI92" s="4">
        <f t="shared" si="16"/>
        <v>6</v>
      </c>
      <c r="BJ92" s="4">
        <f t="shared" si="16"/>
        <v>8</v>
      </c>
      <c r="BK92" s="4">
        <f t="shared" si="16"/>
        <v>1</v>
      </c>
      <c r="BL92" s="4">
        <f t="shared" si="16"/>
        <v>15</v>
      </c>
    </row>
    <row r="93" spans="1:64" x14ac:dyDescent="0.2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N93" s="38" t="s">
        <v>28</v>
      </c>
      <c r="AO93" s="4">
        <f t="shared" ref="AO93:BL93" si="17">MAX(C51)</f>
        <v>34</v>
      </c>
      <c r="AP93" s="4">
        <f t="shared" si="17"/>
        <v>60</v>
      </c>
      <c r="AQ93" s="4">
        <f t="shared" si="17"/>
        <v>47</v>
      </c>
      <c r="AR93" s="4">
        <f t="shared" si="17"/>
        <v>53</v>
      </c>
      <c r="AS93" s="4">
        <f t="shared" si="17"/>
        <v>39</v>
      </c>
      <c r="AT93" s="4">
        <f t="shared" si="17"/>
        <v>61</v>
      </c>
      <c r="AU93" s="4">
        <f t="shared" si="17"/>
        <v>0</v>
      </c>
      <c r="AV93" s="4">
        <f t="shared" si="17"/>
        <v>0</v>
      </c>
      <c r="AW93" s="4">
        <f t="shared" si="17"/>
        <v>22</v>
      </c>
      <c r="AX93" s="4">
        <f t="shared" si="17"/>
        <v>54</v>
      </c>
      <c r="AY93" s="4">
        <f t="shared" si="17"/>
        <v>0</v>
      </c>
      <c r="AZ93" s="4">
        <f t="shared" si="17"/>
        <v>0</v>
      </c>
      <c r="BA93" s="4">
        <f t="shared" si="17"/>
        <v>38</v>
      </c>
      <c r="BB93" s="4">
        <f t="shared" si="17"/>
        <v>64</v>
      </c>
      <c r="BC93" s="4">
        <f t="shared" si="17"/>
        <v>50</v>
      </c>
      <c r="BD93" s="4">
        <f t="shared" si="17"/>
        <v>52</v>
      </c>
      <c r="BE93" s="4">
        <f t="shared" si="17"/>
        <v>36</v>
      </c>
      <c r="BF93" s="4">
        <f t="shared" si="17"/>
        <v>61</v>
      </c>
      <c r="BG93" s="4">
        <f t="shared" si="17"/>
        <v>33</v>
      </c>
      <c r="BH93" s="4">
        <f t="shared" si="17"/>
        <v>57</v>
      </c>
      <c r="BI93" s="4">
        <f t="shared" si="17"/>
        <v>33</v>
      </c>
      <c r="BJ93" s="4">
        <f t="shared" si="17"/>
        <v>64</v>
      </c>
      <c r="BK93" s="4">
        <f t="shared" si="17"/>
        <v>46</v>
      </c>
      <c r="BL93" s="4">
        <f t="shared" si="17"/>
        <v>57</v>
      </c>
    </row>
    <row r="94" spans="1:64" x14ac:dyDescent="0.2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O94" s="4">
        <f t="shared" ref="AO94:BL94" si="18">MIN(C51)</f>
        <v>34</v>
      </c>
      <c r="AP94" s="4">
        <f t="shared" si="18"/>
        <v>60</v>
      </c>
      <c r="AQ94" s="4">
        <f t="shared" si="18"/>
        <v>47</v>
      </c>
      <c r="AR94" s="4">
        <f t="shared" si="18"/>
        <v>53</v>
      </c>
      <c r="AS94" s="4">
        <f t="shared" si="18"/>
        <v>39</v>
      </c>
      <c r="AT94" s="4">
        <f t="shared" si="18"/>
        <v>61</v>
      </c>
      <c r="AU94" s="4">
        <f t="shared" si="18"/>
        <v>0</v>
      </c>
      <c r="AV94" s="4">
        <f t="shared" si="18"/>
        <v>0</v>
      </c>
      <c r="AW94" s="4">
        <f t="shared" si="18"/>
        <v>22</v>
      </c>
      <c r="AX94" s="4">
        <f t="shared" si="18"/>
        <v>54</v>
      </c>
      <c r="AY94" s="4">
        <f t="shared" si="18"/>
        <v>0</v>
      </c>
      <c r="AZ94" s="4">
        <f t="shared" si="18"/>
        <v>0</v>
      </c>
      <c r="BA94" s="4">
        <f t="shared" si="18"/>
        <v>38</v>
      </c>
      <c r="BB94" s="4">
        <f t="shared" si="18"/>
        <v>64</v>
      </c>
      <c r="BC94" s="4">
        <f t="shared" si="18"/>
        <v>50</v>
      </c>
      <c r="BD94" s="4">
        <f t="shared" si="18"/>
        <v>52</v>
      </c>
      <c r="BE94" s="4">
        <f t="shared" si="18"/>
        <v>36</v>
      </c>
      <c r="BF94" s="4">
        <f t="shared" si="18"/>
        <v>61</v>
      </c>
      <c r="BG94" s="4">
        <f t="shared" si="18"/>
        <v>33</v>
      </c>
      <c r="BH94" s="4">
        <f t="shared" si="18"/>
        <v>57</v>
      </c>
      <c r="BI94" s="4">
        <f t="shared" si="18"/>
        <v>33</v>
      </c>
      <c r="BJ94" s="4">
        <f t="shared" si="18"/>
        <v>64</v>
      </c>
      <c r="BK94" s="4">
        <f t="shared" si="18"/>
        <v>46</v>
      </c>
      <c r="BL94" s="4">
        <f t="shared" si="18"/>
        <v>57</v>
      </c>
    </row>
    <row r="95" spans="1:64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O95" s="4">
        <f t="shared" ref="AO95:BL95" si="19">AO93-AO94</f>
        <v>0</v>
      </c>
      <c r="AP95" s="4">
        <f t="shared" si="19"/>
        <v>0</v>
      </c>
      <c r="AQ95" s="4">
        <f t="shared" si="19"/>
        <v>0</v>
      </c>
      <c r="AR95" s="4">
        <f t="shared" si="19"/>
        <v>0</v>
      </c>
      <c r="AS95" s="4">
        <f t="shared" si="19"/>
        <v>0</v>
      </c>
      <c r="AT95" s="4">
        <f t="shared" si="19"/>
        <v>0</v>
      </c>
      <c r="AU95" s="4">
        <f t="shared" si="19"/>
        <v>0</v>
      </c>
      <c r="AV95" s="4">
        <f t="shared" si="19"/>
        <v>0</v>
      </c>
      <c r="AW95" s="4">
        <f t="shared" si="19"/>
        <v>0</v>
      </c>
      <c r="AX95" s="4">
        <f t="shared" si="19"/>
        <v>0</v>
      </c>
      <c r="AY95" s="4">
        <f t="shared" si="19"/>
        <v>0</v>
      </c>
      <c r="AZ95" s="4">
        <f t="shared" si="19"/>
        <v>0</v>
      </c>
      <c r="BA95" s="4">
        <f t="shared" si="19"/>
        <v>0</v>
      </c>
      <c r="BB95" s="4">
        <f t="shared" si="19"/>
        <v>0</v>
      </c>
      <c r="BC95" s="4">
        <f t="shared" si="19"/>
        <v>0</v>
      </c>
      <c r="BD95" s="4">
        <f t="shared" si="19"/>
        <v>0</v>
      </c>
      <c r="BE95" s="4">
        <f t="shared" si="19"/>
        <v>0</v>
      </c>
      <c r="BF95" s="4">
        <f t="shared" si="19"/>
        <v>0</v>
      </c>
      <c r="BG95" s="4">
        <f t="shared" si="19"/>
        <v>0</v>
      </c>
      <c r="BH95" s="4">
        <f t="shared" si="19"/>
        <v>0</v>
      </c>
      <c r="BI95" s="4">
        <f t="shared" si="19"/>
        <v>0</v>
      </c>
      <c r="BJ95" s="4">
        <f t="shared" si="19"/>
        <v>0</v>
      </c>
      <c r="BK95" s="4">
        <f t="shared" si="19"/>
        <v>0</v>
      </c>
      <c r="BL95" s="4">
        <f t="shared" si="19"/>
        <v>0</v>
      </c>
    </row>
    <row r="96" spans="1:64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O96" s="4">
        <f t="shared" ref="AO96:BL96" si="20">AO86+AO89+AO92+AO95</f>
        <v>31</v>
      </c>
      <c r="AP96" s="4">
        <f t="shared" si="20"/>
        <v>4</v>
      </c>
      <c r="AQ96" s="4">
        <f t="shared" si="20"/>
        <v>1</v>
      </c>
      <c r="AR96" s="4">
        <f t="shared" si="20"/>
        <v>3</v>
      </c>
      <c r="AS96" s="4">
        <f t="shared" si="20"/>
        <v>6</v>
      </c>
      <c r="AT96" s="4">
        <f t="shared" si="20"/>
        <v>22</v>
      </c>
      <c r="AU96" s="4">
        <f t="shared" si="20"/>
        <v>5</v>
      </c>
      <c r="AV96" s="4">
        <f t="shared" si="20"/>
        <v>1</v>
      </c>
      <c r="AW96" s="4">
        <f t="shared" si="20"/>
        <v>7</v>
      </c>
      <c r="AX96" s="4">
        <f t="shared" si="20"/>
        <v>3</v>
      </c>
      <c r="AY96" s="4">
        <f t="shared" si="20"/>
        <v>0</v>
      </c>
      <c r="AZ96" s="4">
        <f t="shared" si="20"/>
        <v>6</v>
      </c>
      <c r="BA96" s="4">
        <f t="shared" si="20"/>
        <v>9</v>
      </c>
      <c r="BB96" s="4">
        <f t="shared" si="20"/>
        <v>17</v>
      </c>
      <c r="BC96" s="4">
        <f t="shared" si="20"/>
        <v>0</v>
      </c>
      <c r="BD96" s="4">
        <f t="shared" si="20"/>
        <v>0</v>
      </c>
      <c r="BE96" s="4">
        <f t="shared" si="20"/>
        <v>18</v>
      </c>
      <c r="BF96" s="4">
        <f t="shared" si="20"/>
        <v>23</v>
      </c>
      <c r="BG96" s="4">
        <f t="shared" si="20"/>
        <v>22</v>
      </c>
      <c r="BH96" s="4">
        <f t="shared" si="20"/>
        <v>21</v>
      </c>
      <c r="BI96" s="4">
        <f t="shared" si="20"/>
        <v>17</v>
      </c>
      <c r="BJ96" s="4">
        <f t="shared" si="20"/>
        <v>9</v>
      </c>
      <c r="BK96" s="4">
        <f t="shared" si="20"/>
        <v>1</v>
      </c>
      <c r="BL96" s="4">
        <f t="shared" si="20"/>
        <v>38</v>
      </c>
    </row>
    <row r="97" spans="3:26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3:26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3:26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3:26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3:26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3:26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3:26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3:26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3:26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3:26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3:26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3:26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3:26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3:26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3:26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3:26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3:26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3:26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3:26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3:26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3:26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3:26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3:26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3:26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3:26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3:26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3:26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3:26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3:26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3:26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3:26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3:26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3:26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3:26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3:26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3:26" x14ac:dyDescent="0.2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3:26" x14ac:dyDescent="0.2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3:26" x14ac:dyDescent="0.2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3:26" x14ac:dyDescent="0.2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3:26" x14ac:dyDescent="0.2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3:26" x14ac:dyDescent="0.2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3:26" x14ac:dyDescent="0.2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3:26" x14ac:dyDescent="0.2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3:26" x14ac:dyDescent="0.2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3:26" x14ac:dyDescent="0.2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3:26" x14ac:dyDescent="0.2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3:26" x14ac:dyDescent="0.2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3:26" x14ac:dyDescent="0.2"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3:26" x14ac:dyDescent="0.2"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3:26" x14ac:dyDescent="0.2"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3:26" x14ac:dyDescent="0.2"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3:26" x14ac:dyDescent="0.2"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3:26" x14ac:dyDescent="0.2"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3:26" x14ac:dyDescent="0.2"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3:26" x14ac:dyDescent="0.2"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3:26" x14ac:dyDescent="0.2"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3:26" x14ac:dyDescent="0.2"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3:26" x14ac:dyDescent="0.2"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3:26" x14ac:dyDescent="0.2"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3:26" x14ac:dyDescent="0.2"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3:26" x14ac:dyDescent="0.2"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3:26" x14ac:dyDescent="0.2"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3:26" x14ac:dyDescent="0.2"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3:26" x14ac:dyDescent="0.2"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3:26" x14ac:dyDescent="0.2"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3:26" x14ac:dyDescent="0.2"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3:26" x14ac:dyDescent="0.2"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3:26" x14ac:dyDescent="0.2"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3:26" x14ac:dyDescent="0.2"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3:26" x14ac:dyDescent="0.2"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3:26" x14ac:dyDescent="0.2"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3:26" x14ac:dyDescent="0.2"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3:26" x14ac:dyDescent="0.2"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3:26" x14ac:dyDescent="0.2"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3:26" x14ac:dyDescent="0.2"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3:26" x14ac:dyDescent="0.2"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3:26" x14ac:dyDescent="0.2"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</sheetData>
  <sortState xmlns:xlrd2="http://schemas.microsoft.com/office/spreadsheetml/2017/richdata2" ref="A2:BL136">
    <sortCondition ref="AA2:AA136"/>
    <sortCondition ref="O2:O136"/>
  </sortState>
  <customSheetViews>
    <customSheetView guid="{3E3401AF-8459-8641-BD70-AD04F80E86ED}">
      <pane ySplit="1" topLeftCell="A2" activePane="bottomLeft" state="frozenSplit"/>
      <selection pane="bottomLeft" activeCell="B1" sqref="B1:B1048576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43"/>
  <sheetViews>
    <sheetView zoomScale="113" zoomScaleNormal="113" zoomScalePageLayoutView="113" workbookViewId="0">
      <pane ySplit="1" topLeftCell="A2" activePane="bottomLeft" state="frozenSplit"/>
      <selection pane="bottomLeft" activeCell="A9" sqref="A9:XFD9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8" s="24" customFormat="1" x14ac:dyDescent="0.2">
      <c r="A1" s="8" t="s">
        <v>1070</v>
      </c>
      <c r="B1" s="8" t="s">
        <v>0</v>
      </c>
      <c r="C1" s="8" t="s">
        <v>1199</v>
      </c>
      <c r="D1" s="8" t="s">
        <v>31</v>
      </c>
      <c r="E1" s="8" t="s">
        <v>1287</v>
      </c>
      <c r="F1" s="8" t="s">
        <v>1236</v>
      </c>
      <c r="G1" s="8" t="s">
        <v>1063</v>
      </c>
      <c r="H1" s="8" t="s">
        <v>1064</v>
      </c>
      <c r="I1" s="8"/>
      <c r="J1" s="8"/>
      <c r="K1" s="8" t="s">
        <v>1285</v>
      </c>
      <c r="L1" s="8" t="s">
        <v>1324</v>
      </c>
      <c r="M1" s="8" t="s">
        <v>1290</v>
      </c>
      <c r="N1" s="8" t="s">
        <v>1291</v>
      </c>
    </row>
    <row r="2" spans="1:18" s="24" customFormat="1" x14ac:dyDescent="0.2">
      <c r="A2" s="15" t="s">
        <v>1297</v>
      </c>
      <c r="B2" s="8" t="s">
        <v>23</v>
      </c>
      <c r="C2" s="8" t="s">
        <v>23</v>
      </c>
      <c r="D2" s="15" t="s">
        <v>1298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8" s="24" customFormat="1" x14ac:dyDescent="0.2">
      <c r="A3" s="15" t="s">
        <v>1382</v>
      </c>
      <c r="B3" s="8" t="s">
        <v>23</v>
      </c>
      <c r="C3" s="8" t="s">
        <v>23</v>
      </c>
      <c r="D3" s="15" t="s">
        <v>1298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8" s="24" customFormat="1" x14ac:dyDescent="0.2">
      <c r="A4" s="15" t="s">
        <v>1382</v>
      </c>
      <c r="B4" s="8" t="s">
        <v>23</v>
      </c>
      <c r="C4" s="8" t="s">
        <v>23</v>
      </c>
      <c r="D4" s="15" t="s">
        <v>1298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8" s="24" customFormat="1" x14ac:dyDescent="0.2">
      <c r="A5" s="15" t="s">
        <v>1382</v>
      </c>
      <c r="B5" s="8" t="s">
        <v>23</v>
      </c>
      <c r="C5" s="8" t="s">
        <v>23</v>
      </c>
      <c r="D5" s="15" t="s">
        <v>1298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8" s="24" customFormat="1" x14ac:dyDescent="0.2">
      <c r="A6" s="3" t="str">
        <f>D6&amp;"__wt"</f>
        <v>cxcr4_human__wt</v>
      </c>
      <c r="B6" s="3" t="str">
        <f>VLOOKUP(D6,Classification!A:D,3,FALSE)</f>
        <v>Protein</v>
      </c>
      <c r="C6" s="3" t="str">
        <f>VLOOKUP(D6,Classification!A:D,4,FALSE)</f>
        <v>Chemokine</v>
      </c>
      <c r="D6" s="3" t="s">
        <v>1165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43</v>
      </c>
      <c r="G6" s="3">
        <f>50+VLOOKUP($A6,'SegEnds_Xtal_Prot#'!$A:$AY,39,FALSE)-VLOOKUP($D6,'SegEnds_NonXtal_Prot#'!$A:$AZ,28,FALSE)</f>
        <v>68</v>
      </c>
      <c r="H6" s="3">
        <f>50+VLOOKUP($A6,'SegEnds_Xtal_Prot#'!$A:$AY,41,FALSE)-VLOOKUP($D6,'SegEnds_NonXtal_Prot#'!$A:$AZ,31,FALSE)</f>
        <v>30</v>
      </c>
      <c r="I6" s="8"/>
      <c r="J6" s="8"/>
      <c r="K6" s="8"/>
      <c r="L6" s="8"/>
      <c r="M6" s="8"/>
      <c r="N6" s="8"/>
    </row>
    <row r="7" spans="1:18" s="24" customFormat="1" ht="17" thickBot="1" x14ac:dyDescent="0.25">
      <c r="A7" s="3" t="str">
        <f>D7&amp;"__wt"</f>
        <v>c5ar1_human__wt</v>
      </c>
      <c r="B7" s="3" t="str">
        <f>VLOOKUP(D7,Classification!A:D,3,FALSE)</f>
        <v>Peptide</v>
      </c>
      <c r="C7" s="3" t="str">
        <f>VLOOKUP(D7,Classification!A:D,4,FALSE)</f>
        <v>Complementpeptide</v>
      </c>
      <c r="D7" s="3" t="s">
        <v>165</v>
      </c>
      <c r="E7" s="3">
        <f>VLOOKUP($D7,'SegEnds_NonXtal_Prot#'!$A:$AZ,30,FALSE)-VLOOKUP($D7,'SegEnds_NonXtal_Prot#'!$A:$AZ,29,FALSE)</f>
        <v>6</v>
      </c>
      <c r="F7" s="1">
        <f>VLOOKUP($D7,'SegEnds_NonXtal_Prot#'!$A:$AZ,31,FALSE)-VLOOKUP($D7,'SegEnds_NonXtal_Prot#'!$A:$AZ,28,FALSE)</f>
        <v>43</v>
      </c>
      <c r="G7" s="3">
        <f>50+VLOOKUP($A7,'SegEnds_Xtal_Prot#'!$A:$AY,39,FALSE)-VLOOKUP($D7,'SegEnds_NonXtal_Prot#'!$A:$AZ,28,FALSE)</f>
        <v>68</v>
      </c>
      <c r="H7" s="3">
        <f>50+VLOOKUP($A7,'SegEnds_Xtal_Prot#'!$A:$AY,41,FALSE)-VLOOKUP($D7,'SegEnds_NonXtal_Prot#'!$A:$AZ,31,FALSE)</f>
        <v>31</v>
      </c>
      <c r="I7" s="8"/>
      <c r="J7" s="8"/>
      <c r="K7" s="8"/>
      <c r="L7" s="8"/>
      <c r="M7" s="8"/>
      <c r="N7" s="8"/>
    </row>
    <row r="8" spans="1:18" x14ac:dyDescent="0.2">
      <c r="A8" s="3" t="str">
        <f t="shared" ref="A8:A24" si="0">D8&amp;"__wt"</f>
        <v>ccr9_human__wt</v>
      </c>
      <c r="B8" s="3" t="str">
        <f>VLOOKUP(D8,Classification!A:D,3,FALSE)</f>
        <v>Protein</v>
      </c>
      <c r="C8" s="3" t="str">
        <f>VLOOKUP(D8,Classification!A:D,4,FALSE)</f>
        <v>Chemokine</v>
      </c>
      <c r="D8" s="3" t="s">
        <v>177</v>
      </c>
      <c r="E8" s="3">
        <f>VLOOKUP($D8,'SegEnds_NonXtal_Prot#'!$A:$AZ,30,FALSE)-VLOOKUP($D8,'SegEnds_NonXtal_Prot#'!$A:$AZ,29,FALSE)</f>
        <v>5</v>
      </c>
      <c r="F8" s="138">
        <f>VLOOKUP($D8,'SegEnds_NonXtal_Prot#'!$A:$AZ,31,FALSE)-VLOOKUP($D8,'SegEnds_NonXtal_Prot#'!$A:$AZ,28,FALSE)</f>
        <v>43</v>
      </c>
      <c r="G8" s="139">
        <f>50+VLOOKUP($A8,'SegEnds_Xtal_Prot#'!$A:$AY,39,FALSE)-VLOOKUP($D8,'SegEnds_NonXtal_Prot#'!$A:$AZ,28,FALSE)</f>
        <v>68</v>
      </c>
      <c r="H8" s="140">
        <f>50+VLOOKUP($A8,'SegEnds_Xtal_Prot#'!$A:$AY,41,FALSE)-VLOOKUP($D8,'SegEnds_NonXtal_Prot#'!$A:$AZ,31,FALSE)</f>
        <v>28</v>
      </c>
      <c r="I8" s="3"/>
      <c r="J8" s="3"/>
      <c r="K8" s="1"/>
      <c r="L8" s="1"/>
      <c r="M8" s="1"/>
      <c r="N8" s="1"/>
      <c r="Q8" s="8"/>
      <c r="R8" s="8"/>
    </row>
    <row r="9" spans="1:18" x14ac:dyDescent="0.2">
      <c r="A9" s="3" t="str">
        <f t="shared" ref="A9" si="1">D9&amp;"__wt"</f>
        <v>fpr2_human__wt</v>
      </c>
      <c r="B9" s="3" t="str">
        <f>VLOOKUP(D9,Classification!A:D,3,FALSE)</f>
        <v>Peptide</v>
      </c>
      <c r="C9" s="3" t="str">
        <f>VLOOKUP(D9,Classification!A:D,4,FALSE)</f>
        <v>Formylpeptide</v>
      </c>
      <c r="D9" s="3" t="s">
        <v>201</v>
      </c>
      <c r="E9" s="3">
        <f>VLOOKUP($D9,'SegEnds_NonXtal_Prot#'!$A:$AZ,30,FALSE)-VLOOKUP($D9,'SegEnds_NonXtal_Prot#'!$A:$AZ,29,FALSE)</f>
        <v>5</v>
      </c>
      <c r="F9" s="4">
        <f>VLOOKUP($D9,'SegEnds_NonXtal_Prot#'!$A:$AZ,31,FALSE)-VLOOKUP($D9,'SegEnds_NonXtal_Prot#'!$A:$AZ,28,FALSE)</f>
        <v>43</v>
      </c>
      <c r="G9" s="2">
        <f>50+VLOOKUP($A9,'SegEnds_Xtal_Prot#'!$A:$AY,39,FALSE)-VLOOKUP($D9,'SegEnds_NonXtal_Prot#'!$A:$AZ,28,FALSE)</f>
        <v>69</v>
      </c>
      <c r="H9" s="2">
        <f>50+VLOOKUP($A9,'SegEnds_Xtal_Prot#'!$A:$AY,41,FALSE)-VLOOKUP($D9,'SegEnds_NonXtal_Prot#'!$A:$AZ,31,FALSE)</f>
        <v>31</v>
      </c>
      <c r="I9" s="3"/>
      <c r="J9" s="3"/>
      <c r="K9" s="1"/>
      <c r="L9" s="1"/>
      <c r="M9" s="1"/>
      <c r="N9" s="1"/>
      <c r="Q9" s="8"/>
      <c r="R9" s="8"/>
    </row>
    <row r="10" spans="1:18" ht="17" thickBot="1" x14ac:dyDescent="0.25">
      <c r="A10" s="3" t="str">
        <f t="shared" si="0"/>
        <v>us28_hcmva__wt</v>
      </c>
      <c r="B10" s="3" t="str">
        <f>VLOOKUP(D10,Classification!A:D,3,FALSE)</f>
        <v>Peptide</v>
      </c>
      <c r="C10" s="3" t="str">
        <f>VLOOKUP(D10,Classification!A:D,4,FALSE)</f>
        <v>Chemokine</v>
      </c>
      <c r="D10" s="3" t="s">
        <v>917</v>
      </c>
      <c r="E10" s="3">
        <f>VLOOKUP($D10,'SegEnds_NonXtal_Prot#'!$A:$AZ,30,FALSE)-VLOOKUP($D10,'SegEnds_NonXtal_Prot#'!$A:$AZ,29,FALSE)</f>
        <v>4</v>
      </c>
      <c r="F10" s="1">
        <f>VLOOKUP($D10,'SegEnds_NonXtal_Prot#'!$A:$AZ,31,FALSE)-VLOOKUP($D10,'SegEnds_NonXtal_Prot#'!$A:$AZ,28,FALSE)</f>
        <v>43</v>
      </c>
      <c r="G10" s="3">
        <f>50+VLOOKUP($A10,'SegEnds_Xtal_Prot#'!$A:$AY,39,FALSE)-VLOOKUP($D10,'SegEnds_NonXtal_Prot#'!$A:$AZ,28,FALSE)</f>
        <v>68</v>
      </c>
      <c r="H10" s="3">
        <f>50+VLOOKUP($A10,'SegEnds_Xtal_Prot#'!$A:$AY,41,FALSE)-VLOOKUP($D10,'SegEnds_NonXtal_Prot#'!$A:$AZ,31,FALSE)</f>
        <v>29</v>
      </c>
      <c r="I10" s="3">
        <f>G10</f>
        <v>68</v>
      </c>
      <c r="J10" s="3">
        <f>H10</f>
        <v>29</v>
      </c>
      <c r="K10" s="1" t="s">
        <v>1285</v>
      </c>
      <c r="L10" s="1"/>
      <c r="M10" s="1"/>
      <c r="N10" s="1"/>
    </row>
    <row r="11" spans="1:18" ht="17" thickBot="1" x14ac:dyDescent="0.25">
      <c r="A11" s="3" t="str">
        <f>D11&amp;"__wt"</f>
        <v>ccr5_human__wt</v>
      </c>
      <c r="B11" s="3" t="str">
        <f>VLOOKUP(D11,Classification!A:D,3,FALSE)</f>
        <v>Protein</v>
      </c>
      <c r="C11" s="3" t="str">
        <f>VLOOKUP(D11,Classification!A:D,4,FALSE)</f>
        <v>Chemokine</v>
      </c>
      <c r="D11" s="3" t="s">
        <v>173</v>
      </c>
      <c r="E11" s="3">
        <f>VLOOKUP($D11,'SegEnds_NonXtal_Prot#'!$A:$AZ,30,FALSE)-VLOOKUP($D11,'SegEnds_NonXtal_Prot#'!$A:$AZ,29,FALSE)</f>
        <v>4</v>
      </c>
      <c r="F11" s="80">
        <f>VLOOKUP($D11,'SegEnds_NonXtal_Prot#'!$A:$AZ,31,FALSE)-VLOOKUP($D11,'SegEnds_NonXtal_Prot#'!$A:$AZ,28,FALSE)</f>
        <v>44</v>
      </c>
      <c r="G11" s="81">
        <f>50+VLOOKUP($A11,'SegEnds_Xtal_Prot#'!$A:$AY,39,FALSE)-VLOOKUP($D11,'SegEnds_NonXtal_Prot#'!$A:$AZ,28,FALSE)</f>
        <v>68</v>
      </c>
      <c r="H11" s="82">
        <f>50+VLOOKUP($A11,'SegEnds_Xtal_Prot#'!$A:$AY,41,FALSE)-VLOOKUP($D11,'SegEnds_NonXtal_Prot#'!$A:$AZ,31,FALSE)</f>
        <v>28</v>
      </c>
      <c r="I11" s="3"/>
      <c r="J11" s="3"/>
      <c r="K11" s="1"/>
      <c r="L11" s="1"/>
      <c r="M11" s="1"/>
      <c r="N11" s="1"/>
    </row>
    <row r="12" spans="1:18" x14ac:dyDescent="0.2">
      <c r="A12" s="3" t="str">
        <f t="shared" si="0"/>
        <v>ffar1_human__wt</v>
      </c>
      <c r="B12" s="3" t="str">
        <f>VLOOKUP(D12,Classification!A:D,3,FALSE)</f>
        <v>Lipid</v>
      </c>
      <c r="C12" s="3" t="str">
        <f>VLOOKUP(D12,Classification!A:D,4,FALSE)</f>
        <v>Freefattyacid</v>
      </c>
      <c r="D12" s="3" t="s">
        <v>1166</v>
      </c>
      <c r="E12" s="3">
        <f>VLOOKUP($D12,'SegEnds_NonXtal_Prot#'!$A:$AZ,30,FALSE)-VLOOKUP($D12,'SegEnds_NonXtal_Prot#'!$A:$AZ,29,FALSE)</f>
        <v>6</v>
      </c>
      <c r="F12" s="1">
        <f>VLOOKUP($D12,'SegEnds_NonXtal_Prot#'!$A:$AZ,31,FALSE)-VLOOKUP($D12,'SegEnds_NonXtal_Prot#'!$A:$AZ,28,FALSE)</f>
        <v>45</v>
      </c>
      <c r="G12" s="3">
        <f>50+VLOOKUP($A12,'SegEnds_Xtal_Prot#'!$A:$AY,39,FALSE)-VLOOKUP($D12,'SegEnds_NonXtal_Prot#'!$A:$AZ,28,FALSE)</f>
        <v>67</v>
      </c>
      <c r="H12" s="3">
        <f>50+VLOOKUP($A12,'SegEnds_Xtal_Prot#'!$A:$AY,41,FALSE)-VLOOKUP($D12,'SegEnds_NonXtal_Prot#'!$A:$AZ,31,FALSE)</f>
        <v>28</v>
      </c>
      <c r="I12" s="3"/>
      <c r="J12" s="3"/>
      <c r="K12" s="1"/>
      <c r="L12" s="1"/>
      <c r="M12" s="1"/>
      <c r="N12" s="1"/>
    </row>
    <row r="13" spans="1:18" x14ac:dyDescent="0.2">
      <c r="A13" s="3" t="str">
        <f t="shared" si="0"/>
        <v>par1_human__wt</v>
      </c>
      <c r="B13" s="3" t="str">
        <f>VLOOKUP(D13,Classification!A:D,3,FALSE)</f>
        <v>Peptide</v>
      </c>
      <c r="C13" s="3" t="str">
        <f>VLOOKUP(D13,Classification!A:D,4,FALSE)</f>
        <v>Proteinase-activated</v>
      </c>
      <c r="D13" s="3" t="s">
        <v>354</v>
      </c>
      <c r="E13" s="3">
        <f>VLOOKUP($D13,'SegEnds_NonXtal_Prot#'!$A:$AZ,30,FALSE)-VLOOKUP($D13,'SegEnds_NonXtal_Prot#'!$A:$AZ,29,FALSE)</f>
        <v>5</v>
      </c>
      <c r="F13" s="1">
        <f>VLOOKUP($D13,'SegEnds_NonXtal_Prot#'!$A:$AZ,31,FALSE)-VLOOKUP($D13,'SegEnds_NonXtal_Prot#'!$A:$AZ,28,FALSE)</f>
        <v>46</v>
      </c>
      <c r="G13" s="3">
        <f>50+VLOOKUP($A13,'SegEnds_Xtal_Prot#'!$A:$AY,39,FALSE)-VLOOKUP($D13,'SegEnds_NonXtal_Prot#'!$A:$AZ,28,FALSE)</f>
        <v>67</v>
      </c>
      <c r="H13" s="3">
        <f>50+VLOOKUP($A13,'SegEnds_Xtal_Prot#'!$A:$AY,41,FALSE)-VLOOKUP($D13,'SegEnds_NonXtal_Prot#'!$A:$AZ,31,FALSE)</f>
        <v>26</v>
      </c>
      <c r="I13" s="3"/>
      <c r="J13" s="3"/>
      <c r="K13" s="1"/>
      <c r="L13" s="1"/>
      <c r="M13" s="1"/>
      <c r="N13" s="1"/>
    </row>
    <row r="14" spans="1:18" x14ac:dyDescent="0.2">
      <c r="A14" s="3" t="str">
        <f t="shared" si="0"/>
        <v>p2ry1_human__wt</v>
      </c>
      <c r="B14" s="3" t="str">
        <f>VLOOKUP(D14,Classification!A:D,3,FALSE)</f>
        <v>Nucleotide</v>
      </c>
      <c r="C14" s="3" t="str">
        <f>VLOOKUP(D14,Classification!A:D,4,FALSE)</f>
        <v>P2Y</v>
      </c>
      <c r="D14" s="3" t="s">
        <v>344</v>
      </c>
      <c r="E14" s="3">
        <f>VLOOKUP($D14,'SegEnds_NonXtal_Prot#'!$A:$AZ,30,FALSE)-VLOOKUP($D14,'SegEnds_NonXtal_Prot#'!$A:$AZ,29,FALSE)</f>
        <v>6</v>
      </c>
      <c r="F14" s="1">
        <f>VLOOKUP($D14,'SegEnds_NonXtal_Prot#'!$A:$AZ,31,FALSE)-VLOOKUP($D14,'SegEnds_NonXtal_Prot#'!$A:$AZ,28,FALSE)</f>
        <v>46</v>
      </c>
      <c r="G14" s="3">
        <f>50+VLOOKUP($A14,'SegEnds_Xtal_Prot#'!$A:$AY,39,FALSE)-VLOOKUP($D14,'SegEnds_NonXtal_Prot#'!$A:$AZ,28,FALSE)</f>
        <v>68</v>
      </c>
      <c r="H14" s="3">
        <f>50+VLOOKUP($A14,'SegEnds_Xtal_Prot#'!$A:$AY,41,FALSE)-VLOOKUP($D14,'SegEnds_NonXtal_Prot#'!$A:$AZ,31,FALSE)</f>
        <v>28</v>
      </c>
      <c r="I14" s="3"/>
      <c r="J14" s="3"/>
      <c r="K14" s="1"/>
      <c r="L14" s="1"/>
      <c r="M14" s="1"/>
      <c r="N14" s="1"/>
    </row>
    <row r="15" spans="1:18" x14ac:dyDescent="0.2">
      <c r="A15" s="9" t="str">
        <f>D15&amp;"__wt"</f>
        <v>agtr2_human__wt</v>
      </c>
      <c r="B15" s="3" t="str">
        <f>VLOOKUP(D15,Classification!A:D,3,FALSE)</f>
        <v>Peptide</v>
      </c>
      <c r="C15" s="3" t="str">
        <f>VLOOKUP(D15,Classification!A:D,4,FALSE)</f>
        <v>Angiotensin</v>
      </c>
      <c r="D15" s="3" t="s">
        <v>159</v>
      </c>
      <c r="E15" s="3">
        <f>VLOOKUP($D15,'SegEnds_NonXtal_Prot#'!$A:$AZ,30,FALSE)-VLOOKUP($D15,'SegEnds_NonXtal_Prot#'!$A:$AZ,29,FALSE)</f>
        <v>4</v>
      </c>
      <c r="F15" s="1">
        <f>VLOOKUP($D15,'SegEnds_NonXtal_Prot#'!$A:$AZ,31,FALSE)-VLOOKUP($D15,'SegEnds_NonXtal_Prot#'!$A:$AZ,28,FALSE)</f>
        <v>48</v>
      </c>
      <c r="G15" s="3">
        <f>50+VLOOKUP($A15,'SegEnds_Xtal_Prot#'!$A:$AY,39,FALSE)-VLOOKUP($D15,'SegEnds_NonXtal_Prot#'!$A:$AZ,28,FALSE)</f>
        <v>68</v>
      </c>
      <c r="H15" s="3">
        <f>50+VLOOKUP($A15,'SegEnds_Xtal_Prot#'!$A:$AY,41,FALSE)-VLOOKUP($D15,'SegEnds_NonXtal_Prot#'!$A:$AZ,31,FALSE)</f>
        <v>24</v>
      </c>
      <c r="I15" s="3"/>
      <c r="J15" s="3"/>
      <c r="K15" s="1"/>
      <c r="L15" s="1"/>
      <c r="M15" s="1"/>
      <c r="N15" s="1"/>
    </row>
    <row r="16" spans="1:18" x14ac:dyDescent="0.2">
      <c r="A16" s="3" t="str">
        <f t="shared" si="0"/>
        <v>agtr1_human__wt</v>
      </c>
      <c r="B16" s="3" t="str">
        <f>VLOOKUP(D16,Classification!A:D,3,FALSE)</f>
        <v>Peptide</v>
      </c>
      <c r="C16" s="3" t="str">
        <f>VLOOKUP(D16,Classification!A:D,4,FALSE)</f>
        <v>Angiotensin</v>
      </c>
      <c r="D16" s="3" t="s">
        <v>158</v>
      </c>
      <c r="E16" s="3">
        <f>VLOOKUP($D16,'SegEnds_NonXtal_Prot#'!$A:$AZ,30,FALSE)-VLOOKUP($D16,'SegEnds_NonXtal_Prot#'!$A:$AZ,29,FALSE)</f>
        <v>4</v>
      </c>
      <c r="F16" s="1">
        <f>VLOOKUP($D16,'SegEnds_NonXtal_Prot#'!$A:$AZ,31,FALSE)-VLOOKUP($D16,'SegEnds_NonXtal_Prot#'!$A:$AZ,28,FALSE)</f>
        <v>48</v>
      </c>
      <c r="G16" s="3">
        <f>50+VLOOKUP($A16,'SegEnds_Xtal_Prot#'!$A:$AY,39,FALSE)-VLOOKUP($D16,'SegEnds_NonXtal_Prot#'!$A:$AZ,28,FALSE)</f>
        <v>68</v>
      </c>
      <c r="H16" s="3">
        <f>50+VLOOKUP($A16,'SegEnds_Xtal_Prot#'!$A:$AY,41,FALSE)-VLOOKUP($D16,'SegEnds_NonXtal_Prot#'!$A:$AZ,31,FALSE)</f>
        <v>28</v>
      </c>
      <c r="I16" s="3"/>
      <c r="J16" s="3"/>
      <c r="K16" s="1"/>
      <c r="L16" s="1"/>
      <c r="M16" s="1"/>
      <c r="N16" s="1"/>
    </row>
    <row r="17" spans="1:14" x14ac:dyDescent="0.2">
      <c r="A17" s="3" t="str">
        <f t="shared" si="0"/>
        <v>p2y12_human__wt</v>
      </c>
      <c r="B17" s="3" t="str">
        <f>VLOOKUP(D17,Classification!A:D,3,FALSE)</f>
        <v>Nucleotide</v>
      </c>
      <c r="C17" s="3" t="str">
        <f>VLOOKUP(D17,Classification!A:D,4,FALSE)</f>
        <v>P2Y</v>
      </c>
      <c r="D17" s="9" t="s">
        <v>351</v>
      </c>
      <c r="E17" s="3">
        <f>VLOOKUP($D17,'SegEnds_NonXtal_Prot#'!$A:$AZ,30,FALSE)-VLOOKUP($D17,'SegEnds_NonXtal_Prot#'!$A:$AZ,29,FALSE)</f>
        <v>7</v>
      </c>
      <c r="F17" s="1">
        <f>VLOOKUP($D17,'SegEnds_NonXtal_Prot#'!$A:$AZ,31,FALSE)-VLOOKUP($D17,'SegEnds_NonXtal_Prot#'!$A:$AZ,28,FALSE)</f>
        <v>50</v>
      </c>
      <c r="G17" s="3">
        <f>50+VLOOKUP($A17,'SegEnds_Xtal_Prot#'!$A:$AY,39,FALSE)-VLOOKUP($D17,'SegEnds_NonXtal_Prot#'!$A:$AZ,28,FALSE)</f>
        <v>72</v>
      </c>
      <c r="H17" s="3">
        <f>50+VLOOKUP($A17,'SegEnds_Xtal_Prot#'!$A:$AY,41,FALSE)-VLOOKUP($D17,'SegEnds_NonXtal_Prot#'!$A:$AZ,31,FALSE)</f>
        <v>29</v>
      </c>
      <c r="I17" s="3"/>
      <c r="J17" s="3"/>
      <c r="K17" s="1"/>
      <c r="L17" s="1"/>
      <c r="M17" s="1" t="s">
        <v>1296</v>
      </c>
      <c r="N17" s="1"/>
    </row>
    <row r="18" spans="1:14" x14ac:dyDescent="0.2">
      <c r="A18" s="3" t="str">
        <f t="shared" si="0"/>
        <v>oprd_human__wt</v>
      </c>
      <c r="B18" s="3" t="str">
        <f>VLOOKUP(D18,Classification!A:D,3,FALSE)</f>
        <v>Peptide</v>
      </c>
      <c r="C18" s="3" t="str">
        <f>VLOOKUP(D18,Classification!A:D,4,FALSE)</f>
        <v>Opioid</v>
      </c>
      <c r="D18" s="3" t="s">
        <v>334</v>
      </c>
      <c r="E18" s="3">
        <f>VLOOKUP($D18,'SegEnds_NonXtal_Prot#'!$A:$AZ,30,FALSE)-VLOOKUP($D18,'SegEnds_NonXtal_Prot#'!$A:$AZ,29,FALSE)</f>
        <v>6</v>
      </c>
      <c r="F18" s="1">
        <f>VLOOKUP($D18,'SegEnds_NonXtal_Prot#'!$A:$AZ,31,FALSE)-VLOOKUP($D18,'SegEnds_NonXtal_Prot#'!$A:$AZ,28,FALSE)</f>
        <v>51</v>
      </c>
      <c r="G18" s="3">
        <f>50+VLOOKUP($A18,'SegEnds_Xtal_Prot#'!$A:$AY,39,FALSE)-VLOOKUP($D18,'SegEnds_NonXtal_Prot#'!$A:$AZ,28,FALSE)</f>
        <v>68</v>
      </c>
      <c r="H18" s="3">
        <f>50+VLOOKUP($A18,'SegEnds_Xtal_Prot#'!$A:$AY,41,FALSE)-VLOOKUP($D18,'SegEnds_NonXtal_Prot#'!$A:$AZ,31,FALSE)</f>
        <v>23</v>
      </c>
      <c r="I18" s="3"/>
      <c r="J18" s="3"/>
      <c r="K18" s="1"/>
      <c r="L18" s="1"/>
      <c r="M18" s="1"/>
      <c r="N18" s="1"/>
    </row>
    <row r="19" spans="1:14" x14ac:dyDescent="0.2">
      <c r="A19" s="3" t="str">
        <f t="shared" si="0"/>
        <v>oprd_mouse__wt</v>
      </c>
      <c r="B19" s="3" t="str">
        <f>VLOOKUP(D19,Classification!A:D,3,FALSE)</f>
        <v>Peptide</v>
      </c>
      <c r="C19" s="3" t="str">
        <f>VLOOKUP(D19,Classification!A:D,4,FALSE)</f>
        <v>Opioid</v>
      </c>
      <c r="D19" s="3" t="s">
        <v>909</v>
      </c>
      <c r="E19" s="3">
        <f>VLOOKUP($D19,'SegEnds_NonXtal_Prot#'!$A:$AZ,30,FALSE)-VLOOKUP($D19,'SegEnds_NonXtal_Prot#'!$A:$AZ,29,FALSE)</f>
        <v>6</v>
      </c>
      <c r="F19" s="1">
        <f>VLOOKUP($D19,'SegEnds_NonXtal_Prot#'!$A:$AZ,31,FALSE)-VLOOKUP($D19,'SegEnds_NonXtal_Prot#'!$A:$AZ,28,FALSE)</f>
        <v>51</v>
      </c>
      <c r="G19" s="3">
        <f>50+VLOOKUP($A19,'SegEnds_Xtal_Prot#'!$A:$AY,39,FALSE)-VLOOKUP($D19,'SegEnds_NonXtal_Prot#'!$A:$AZ,28,FALSE)</f>
        <v>68</v>
      </c>
      <c r="H19" s="3">
        <f>50+VLOOKUP($A19,'SegEnds_Xtal_Prot#'!$A:$AY,41,FALSE)-VLOOKUP($D19,'SegEnds_NonXtal_Prot#'!$A:$AZ,31,FALSE)</f>
        <v>23</v>
      </c>
      <c r="I19" s="3"/>
      <c r="J19" s="3"/>
      <c r="K19" s="1"/>
      <c r="L19" s="1"/>
      <c r="M19" s="1"/>
      <c r="N19" s="1"/>
    </row>
    <row r="20" spans="1:14" x14ac:dyDescent="0.2">
      <c r="A20" s="3" t="str">
        <f t="shared" si="0"/>
        <v>oprk_human__wt</v>
      </c>
      <c r="B20" s="3" t="str">
        <f>VLOOKUP(D20,Classification!A:D,3,FALSE)</f>
        <v>Peptide</v>
      </c>
      <c r="C20" s="3" t="str">
        <f>VLOOKUP(D20,Classification!A:D,4,FALSE)</f>
        <v>Opioid</v>
      </c>
      <c r="D20" s="3" t="s">
        <v>335</v>
      </c>
      <c r="E20" s="3">
        <f>VLOOKUP($D20,'SegEnds_NonXtal_Prot#'!$A:$AZ,30,FALSE)-VLOOKUP($D20,'SegEnds_NonXtal_Prot#'!$A:$AZ,29,FALSE)</f>
        <v>6</v>
      </c>
      <c r="F20" s="1">
        <f>VLOOKUP($D20,'SegEnds_NonXtal_Prot#'!$A:$AZ,31,FALSE)-VLOOKUP($D20,'SegEnds_NonXtal_Prot#'!$A:$AZ,28,FALSE)</f>
        <v>51</v>
      </c>
      <c r="G20" s="3">
        <f>50+VLOOKUP($A20,'SegEnds_Xtal_Prot#'!$A:$AY,39,FALSE)-VLOOKUP($D20,'SegEnds_NonXtal_Prot#'!$A:$AZ,28,FALSE)</f>
        <v>68</v>
      </c>
      <c r="H20" s="3">
        <f>50+VLOOKUP($A20,'SegEnds_Xtal_Prot#'!$A:$AY,41,FALSE)-VLOOKUP($D20,'SegEnds_NonXtal_Prot#'!$A:$AZ,31,FALSE)</f>
        <v>23</v>
      </c>
      <c r="I20" s="3"/>
      <c r="J20" s="3"/>
      <c r="K20" s="1"/>
      <c r="L20" s="1"/>
      <c r="M20" s="1"/>
      <c r="N20" s="1"/>
    </row>
    <row r="21" spans="1:14" x14ac:dyDescent="0.2">
      <c r="A21" s="3" t="str">
        <f t="shared" si="0"/>
        <v>oprm_mouse__wt</v>
      </c>
      <c r="B21" s="3" t="str">
        <f>VLOOKUP(D21,Classification!A:D,3,FALSE)</f>
        <v>Peptide</v>
      </c>
      <c r="C21" s="3" t="str">
        <f>VLOOKUP(D21,Classification!A:D,4,FALSE)</f>
        <v>Opioid</v>
      </c>
      <c r="D21" s="3" t="s">
        <v>911</v>
      </c>
      <c r="E21" s="3">
        <f>VLOOKUP($D21,'SegEnds_NonXtal_Prot#'!$A:$AZ,30,FALSE)-VLOOKUP($D21,'SegEnds_NonXtal_Prot#'!$A:$AZ,29,FALSE)</f>
        <v>6</v>
      </c>
      <c r="F21" s="1">
        <f>VLOOKUP($D21,'SegEnds_NonXtal_Prot#'!$A:$AZ,31,FALSE)-VLOOKUP($D21,'SegEnds_NonXtal_Prot#'!$A:$AZ,28,FALSE)</f>
        <v>51</v>
      </c>
      <c r="G21" s="3">
        <f>50+VLOOKUP($A21,'SegEnds_Xtal_Prot#'!$A:$AY,39,FALSE)-VLOOKUP($D21,'SegEnds_NonXtal_Prot#'!$A:$AZ,28,FALSE)</f>
        <v>68</v>
      </c>
      <c r="H21" s="3">
        <f>50+VLOOKUP($A21,'SegEnds_Xtal_Prot#'!$A:$AY,41,FALSE)-VLOOKUP($D21,'SegEnds_NonXtal_Prot#'!$A:$AZ,31,FALSE)</f>
        <v>23</v>
      </c>
      <c r="I21" s="3">
        <f>G21</f>
        <v>68</v>
      </c>
      <c r="J21" s="3">
        <f>H21</f>
        <v>23</v>
      </c>
      <c r="K21" s="1" t="s">
        <v>1285</v>
      </c>
      <c r="L21" s="1"/>
      <c r="M21" s="1"/>
      <c r="N21" s="1"/>
    </row>
    <row r="22" spans="1:14" x14ac:dyDescent="0.2">
      <c r="A22" s="3" t="str">
        <f t="shared" si="0"/>
        <v>oprx_human__wt</v>
      </c>
      <c r="B22" s="3" t="str">
        <f>VLOOKUP(D22,Classification!A:D,3,FALSE)</f>
        <v>Peptide</v>
      </c>
      <c r="C22" s="3" t="str">
        <f>VLOOKUP(D22,Classification!A:D,4,FALSE)</f>
        <v>Opioid</v>
      </c>
      <c r="D22" s="3" t="s">
        <v>1167</v>
      </c>
      <c r="E22" s="3">
        <f>VLOOKUP($D22,'SegEnds_NonXtal_Prot#'!$A:$AZ,30,FALSE)-VLOOKUP($D22,'SegEnds_NonXtal_Prot#'!$A:$AZ,29,FALSE)</f>
        <v>6</v>
      </c>
      <c r="F22" s="1">
        <f>VLOOKUP($D22,'SegEnds_NonXtal_Prot#'!$A:$AZ,31,FALSE)-VLOOKUP($D22,'SegEnds_NonXtal_Prot#'!$A:$AZ,28,FALSE)</f>
        <v>51</v>
      </c>
      <c r="G22" s="3">
        <f>50+VLOOKUP($A22,'SegEnds_Xtal_Prot#'!$A:$AY,39,FALSE)-VLOOKUP($D22,'SegEnds_NonXtal_Prot#'!$A:$AZ,28,FALSE)</f>
        <v>68</v>
      </c>
      <c r="H22" s="3">
        <f>50+VLOOKUP($A22,'SegEnds_Xtal_Prot#'!$A:$AY,41,FALSE)-VLOOKUP($D22,'SegEnds_NonXtal_Prot#'!$A:$AZ,31,FALSE)</f>
        <v>23</v>
      </c>
      <c r="I22" s="3"/>
      <c r="J22" s="3"/>
      <c r="K22" s="1"/>
      <c r="L22" s="1"/>
      <c r="M22" s="1"/>
      <c r="N22" s="1"/>
    </row>
    <row r="23" spans="1:14" x14ac:dyDescent="0.2">
      <c r="A23" s="3" t="str">
        <f t="shared" si="0"/>
        <v>opsd_bovin__wt</v>
      </c>
      <c r="B23" s="3" t="str">
        <f>VLOOKUP(D23,Classification!A:D,3,FALSE)</f>
        <v>Sensory</v>
      </c>
      <c r="C23" s="3" t="str">
        <f>VLOOKUP(D23,Classification!A:D,4,FALSE)</f>
        <v>Opsins</v>
      </c>
      <c r="D23" s="3" t="s">
        <v>913</v>
      </c>
      <c r="E23" s="3">
        <f>VLOOKUP($D23,'SegEnds_NonXtal_Prot#'!$A:$AZ,30,FALSE)-VLOOKUP($D23,'SegEnds_NonXtal_Prot#'!$A:$AZ,29,FALSE)</f>
        <v>3</v>
      </c>
      <c r="F23" s="1">
        <f>VLOOKUP($D23,'SegEnds_NonXtal_Prot#'!$A:$AZ,31,FALSE)-VLOOKUP($D23,'SegEnds_NonXtal_Prot#'!$A:$AZ,28,FALSE)</f>
        <v>52</v>
      </c>
      <c r="G23" s="3">
        <f>50+VLOOKUP($A23,'SegEnds_Xtal_Prot#'!$A:$AY,39,FALSE)-VLOOKUP($D23,'SegEnds_NonXtal_Prot#'!$A:$AZ,28,FALSE)</f>
        <v>72</v>
      </c>
      <c r="H23" s="3">
        <f>50+VLOOKUP($A23,'SegEnds_Xtal_Prot#'!$A:$AY,41,FALSE)-VLOOKUP($D23,'SegEnds_NonXtal_Prot#'!$A:$AZ,31,FALSE)</f>
        <v>23</v>
      </c>
      <c r="I23" s="3"/>
      <c r="J23" s="3"/>
      <c r="K23" s="1" t="s">
        <v>1285</v>
      </c>
      <c r="L23" s="1"/>
      <c r="M23" s="1"/>
      <c r="N23" s="1"/>
    </row>
    <row r="24" spans="1:14" customFormat="1" x14ac:dyDescent="0.2">
      <c r="A24" s="3" t="str">
        <f t="shared" si="0"/>
        <v>opsd_human__wt</v>
      </c>
      <c r="B24" s="3" t="str">
        <f>VLOOKUP(D24,Classification!A:D,3,FALSE)</f>
        <v>Sensory</v>
      </c>
      <c r="C24" s="3" t="str">
        <f>VLOOKUP(D24,Classification!A:D,4,FALSE)</f>
        <v>Opsins</v>
      </c>
      <c r="D24" s="3" t="s">
        <v>338</v>
      </c>
      <c r="E24" s="3">
        <f>VLOOKUP($D24,'SegEnds_NonXtal_Prot#'!$A:$AZ,30,FALSE)-VLOOKUP($D24,'SegEnds_NonXtal_Prot#'!$A:$AZ,29,FALSE)</f>
        <v>3</v>
      </c>
      <c r="F24" s="1">
        <f>VLOOKUP($D24,'SegEnds_NonXtal_Prot#'!$A:$AZ,31,FALSE)-VLOOKUP($D24,'SegEnds_NonXtal_Prot#'!$A:$AZ,28,FALSE)</f>
        <v>52</v>
      </c>
      <c r="G24" s="3">
        <f>50+VLOOKUP($A24,'SegEnds_Xtal_Prot#'!$A:$AY,39,FALSE)-VLOOKUP($D24,'SegEnds_NonXtal_Prot#'!$A:$AZ,28,FALSE)</f>
        <v>72</v>
      </c>
      <c r="H24" s="3">
        <f>50+VLOOKUP($A24,'SegEnds_Xtal_Prot#'!$A:$AY,41,FALSE)-VLOOKUP($D24,'SegEnds_NonXtal_Prot#'!$A:$AZ,31,FALSE)</f>
        <v>24</v>
      </c>
      <c r="I24" s="3"/>
      <c r="J24" s="3"/>
    </row>
    <row r="25" spans="1:14" customFormat="1" x14ac:dyDescent="0.2">
      <c r="A25" s="1" t="s">
        <v>1323</v>
      </c>
      <c r="B25" s="3" t="str">
        <f>VLOOKUP(D25,Classification!A:D,3,FALSE)</f>
        <v>Peptide</v>
      </c>
      <c r="C25" s="3" t="str">
        <f>VLOOKUP(D25,Classification!A:D,4,FALSE)</f>
        <v>Endothelin</v>
      </c>
      <c r="D25" s="3" t="s">
        <v>196</v>
      </c>
      <c r="E25" s="3">
        <f>VLOOKUP($D25,'SegEnds_NonXtal_Prot#'!$A:$AZ,30,FALSE)-VLOOKUP($D25,'SegEnds_NonXtal_Prot#'!$A:$AZ,29,FALSE)</f>
        <v>5</v>
      </c>
      <c r="F25" s="1">
        <f>VLOOKUP($D25,'SegEnds_NonXtal_Prot#'!$A:$AZ,31,FALSE)-VLOOKUP($D25,'SegEnds_NonXtal_Prot#'!$A:$AZ,28,FALSE)</f>
        <v>53</v>
      </c>
      <c r="G25" s="3">
        <f>50+VLOOKUP($A25,'SegEnds_Xtal_Prot#'!$A:$AY,39,FALSE)-VLOOKUP($D25,'SegEnds_NonXtal_Prot#'!$A:$AZ,28,FALSE)</f>
        <v>72</v>
      </c>
      <c r="H25" s="3">
        <f>50+VLOOKUP($A25,'SegEnds_Xtal_Prot#'!$A:$AY,41,FALSE)-VLOOKUP($D25,'SegEnds_NonXtal_Prot#'!$A:$AZ,31,FALSE)</f>
        <v>24</v>
      </c>
    </row>
    <row r="26" spans="1:14" customFormat="1" x14ac:dyDescent="0.2">
      <c r="A26" s="3" t="str">
        <f t="shared" ref="A26:A43" si="2">D26&amp;"__wt"</f>
        <v>lpar1_human__wt</v>
      </c>
      <c r="B26" s="3" t="str">
        <f>VLOOKUP(D26,Classification!A:D,3,FALSE)</f>
        <v>Lipid</v>
      </c>
      <c r="C26" s="3" t="str">
        <f>VLOOKUP(D26,Classification!A:D,4,FALSE)</f>
        <v>Lysophospholipid(LPA)</v>
      </c>
      <c r="D26" s="9" t="s">
        <v>103</v>
      </c>
      <c r="E26" s="3">
        <f>VLOOKUP($D26,'SegEnds_NonXtal_Prot#'!$A:$AZ,30,FALSE)-VLOOKUP($D26,'SegEnds_NonXtal_Prot#'!$A:$AZ,29,FALSE)</f>
        <v>5</v>
      </c>
      <c r="F26" s="1">
        <f>VLOOKUP($D26,'SegEnds_NonXtal_Prot#'!$A:$AZ,31,FALSE)-VLOOKUP($D26,'SegEnds_NonXtal_Prot#'!$A:$AZ,28,FALSE)</f>
        <v>56</v>
      </c>
      <c r="G26" s="3">
        <f>50+VLOOKUP($A26,'SegEnds_Xtal_Prot#'!$A:$AY,39,FALSE)-VLOOKUP($D26,'SegEnds_NonXtal_Prot#'!$A:$AZ,28,FALSE)</f>
        <v>73</v>
      </c>
      <c r="H26" s="3">
        <f>50+VLOOKUP($A26,'SegEnds_Xtal_Prot#'!$A:$AY,41,FALSE)-VLOOKUP($D26,'SegEnds_NonXtal_Prot#'!$A:$AZ,31,FALSE)</f>
        <v>22</v>
      </c>
      <c r="I26" s="3"/>
      <c r="J26" s="3"/>
      <c r="M26" t="s">
        <v>1292</v>
      </c>
    </row>
    <row r="27" spans="1:14" customFormat="1" x14ac:dyDescent="0.2">
      <c r="A27" s="3" t="str">
        <f t="shared" si="2"/>
        <v>s1pr1_human__wt</v>
      </c>
      <c r="B27" s="3" t="str">
        <f>VLOOKUP(D27,Classification!A:D,3,FALSE)</f>
        <v>Lipid</v>
      </c>
      <c r="C27" s="3" t="str">
        <f>VLOOKUP(D27,Classification!A:D,4,FALSE)</f>
        <v>Lysophospholipid(S1P)</v>
      </c>
      <c r="D27" s="9" t="s">
        <v>104</v>
      </c>
      <c r="E27" s="3">
        <f>VLOOKUP($D27,'SegEnds_NonXtal_Prot#'!$A:$AZ,30,FALSE)-VLOOKUP($D27,'SegEnds_NonXtal_Prot#'!$A:$AZ,29,FALSE)</f>
        <v>9</v>
      </c>
      <c r="F27" s="1">
        <f>VLOOKUP($D27,'SegEnds_NonXtal_Prot#'!$A:$AZ,31,FALSE)-VLOOKUP($D27,'SegEnds_NonXtal_Prot#'!$A:$AZ,28,FALSE)</f>
        <v>58</v>
      </c>
      <c r="G27" s="3">
        <f>50+VLOOKUP($A27,'SegEnds_Xtal_Prot#'!$A:$AY,39,FALSE)-VLOOKUP($D27,'SegEnds_NonXtal_Prot#'!$A:$AZ,28,FALSE)</f>
        <v>73</v>
      </c>
      <c r="H27" s="3">
        <f>50+VLOOKUP($A27,'SegEnds_Xtal_Prot#'!$A:$AY,41,FALSE)-VLOOKUP($D27,'SegEnds_NonXtal_Prot#'!$A:$AZ,31,FALSE)</f>
        <v>24</v>
      </c>
      <c r="I27" s="3"/>
      <c r="J27" s="3"/>
      <c r="M27" t="s">
        <v>1293</v>
      </c>
    </row>
    <row r="28" spans="1:14" customFormat="1" x14ac:dyDescent="0.2">
      <c r="A28" s="3" t="str">
        <f t="shared" si="2"/>
        <v>aa2ar_human__wt</v>
      </c>
      <c r="B28" s="3" t="str">
        <f>VLOOKUP(D28,Classification!A:D,3,FALSE)</f>
        <v>Nucleotide</v>
      </c>
      <c r="C28" s="3" t="str">
        <f>VLOOKUP(D28,Classification!A:D,4,FALSE)</f>
        <v>Adenosine</v>
      </c>
      <c r="D28" s="3" t="s">
        <v>139</v>
      </c>
      <c r="E28" s="3">
        <f>VLOOKUP($D28,'SegEnds_NonXtal_Prot#'!$A:$AZ,30,FALSE)-VLOOKUP($D28,'SegEnds_NonXtal_Prot#'!$A:$AZ,29,FALSE)</f>
        <v>6</v>
      </c>
      <c r="F28" s="1">
        <f>VLOOKUP($D28,'SegEnds_NonXtal_Prot#'!$A:$AZ,31,FALSE)-VLOOKUP($D28,'SegEnds_NonXtal_Prot#'!$A:$AZ,28,FALSE)</f>
        <v>59</v>
      </c>
      <c r="G28" s="3">
        <f>50+VLOOKUP($A28,'SegEnds_Xtal_Prot#'!$A:$AY,39,FALSE)-VLOOKUP($D28,'SegEnds_NonXtal_Prot#'!$A:$AZ,28,FALSE)</f>
        <v>74</v>
      </c>
      <c r="H28" s="3">
        <f>50+VLOOKUP($A28,'SegEnds_Xtal_Prot#'!$A:$AY,41,FALSE)-VLOOKUP($D28,'SegEnds_NonXtal_Prot#'!$A:$AZ,31,FALSE)</f>
        <v>21</v>
      </c>
      <c r="I28" s="3">
        <f>G28</f>
        <v>74</v>
      </c>
      <c r="J28" s="3">
        <f>H28</f>
        <v>21</v>
      </c>
      <c r="K28" s="1" t="s">
        <v>1285</v>
      </c>
      <c r="L28" s="1"/>
    </row>
    <row r="29" spans="1:14" customFormat="1" x14ac:dyDescent="0.2">
      <c r="A29" s="3" t="str">
        <f t="shared" ref="A29" si="3">D29&amp;"__wt"</f>
        <v>cnr2_human__wt</v>
      </c>
      <c r="B29" s="3" t="str">
        <f>VLOOKUP(D29,Classification!A:D,3,FALSE)</f>
        <v>Lipid</v>
      </c>
      <c r="C29" s="3" t="str">
        <f>VLOOKUP(D29,Classification!A:D,4,FALSE)</f>
        <v>Cannabinoid</v>
      </c>
      <c r="D29" s="3" t="s">
        <v>183</v>
      </c>
      <c r="E29" s="3">
        <f>VLOOKUP($D29,'SegEnds_NonXtal_Prot#'!$A:$AZ,30,FALSE)-VLOOKUP($D29,'SegEnds_NonXtal_Prot#'!$A:$AZ,29,FALSE)</f>
        <v>13</v>
      </c>
      <c r="F29" s="1">
        <f>VLOOKUP($D29,'SegEnds_NonXtal_Prot#'!$A:$AZ,31,FALSE)-VLOOKUP($D29,'SegEnds_NonXtal_Prot#'!$A:$AZ,28,FALSE)</f>
        <v>59</v>
      </c>
      <c r="G29" s="3">
        <f>50+VLOOKUP($A29,'SegEnds_Xtal_Prot#'!$A:$AY,39,FALSE)-VLOOKUP($D29,'SegEnds_NonXtal_Prot#'!$A:$AZ,28,FALSE)</f>
        <v>74</v>
      </c>
      <c r="H29" s="3">
        <f>50+VLOOKUP($A29,'SegEnds_Xtal_Prot#'!$A:$AY,41,FALSE)-VLOOKUP($D29,'SegEnds_NonXtal_Prot#'!$A:$AZ,31,FALSE)</f>
        <v>28</v>
      </c>
      <c r="I29" s="3"/>
      <c r="J29" s="3"/>
      <c r="K29" s="1"/>
      <c r="L29" s="1"/>
    </row>
    <row r="30" spans="1:14" customFormat="1" x14ac:dyDescent="0.2">
      <c r="A30" s="3" t="str">
        <f t="shared" si="2"/>
        <v>ntr1_rat__wt</v>
      </c>
      <c r="B30" s="3" t="str">
        <f>VLOOKUP(D30,Classification!A:D,3,FALSE)</f>
        <v>Peptide</v>
      </c>
      <c r="C30" s="3" t="str">
        <f>VLOOKUP(D30,Classification!A:D,4,FALSE)</f>
        <v>Neurotensin</v>
      </c>
      <c r="D30" s="48" t="s">
        <v>907</v>
      </c>
      <c r="E30" s="3">
        <f>VLOOKUP($D30,'SegEnds_NonXtal_Prot#'!$A:$AZ,30,FALSE)-VLOOKUP($D30,'SegEnds_NonXtal_Prot#'!$A:$AZ,29,FALSE)</f>
        <v>22</v>
      </c>
      <c r="F30" s="1">
        <f>VLOOKUP($D30,'SegEnds_NonXtal_Prot#'!$A:$AZ,31,FALSE)-VLOOKUP($D30,'SegEnds_NonXtal_Prot#'!$A:$AZ,28,FALSE)</f>
        <v>74</v>
      </c>
      <c r="G30" s="3">
        <f>50+VLOOKUP($A30,'SegEnds_Xtal_Prot#'!$A:$AY,39,FALSE)-VLOOKUP($D30,'SegEnds_NonXtal_Prot#'!$A:$AZ,28,FALSE)</f>
        <v>76</v>
      </c>
      <c r="H30" s="3">
        <f>50+VLOOKUP($A30,'SegEnds_Xtal_Prot#'!$A:$AY,41,FALSE)-VLOOKUP($D30,'SegEnds_NonXtal_Prot#'!$A:$AZ,31,FALSE)</f>
        <v>24</v>
      </c>
      <c r="I30" s="3"/>
      <c r="J30" s="3"/>
      <c r="M30" t="s">
        <v>1289</v>
      </c>
    </row>
    <row r="31" spans="1:14" customFormat="1" x14ac:dyDescent="0.2">
      <c r="A31" s="3" t="str">
        <f t="shared" si="2"/>
        <v>adrb2_human__wt</v>
      </c>
      <c r="B31" s="3" t="str">
        <f>VLOOKUP(D31,Classification!A:D,3,FALSE)</f>
        <v>Aminergic</v>
      </c>
      <c r="C31" s="3" t="str">
        <f>VLOOKUP(D31,Classification!A:D,4,FALSE)</f>
        <v>Adrenoceptors</v>
      </c>
      <c r="D31" s="48" t="s">
        <v>126</v>
      </c>
      <c r="E31" s="3">
        <f>VLOOKUP($D31,'SegEnds_NonXtal_Prot#'!$A:$AZ,30,FALSE)-VLOOKUP($D31,'SegEnds_NonXtal_Prot#'!$A:$AZ,29,FALSE)</f>
        <v>25</v>
      </c>
      <c r="F31" s="1">
        <f>VLOOKUP($D31,'SegEnds_NonXtal_Prot#'!$A:$AZ,31,FALSE)-VLOOKUP($D31,'SegEnds_NonXtal_Prot#'!$A:$AZ,28,FALSE)</f>
        <v>77</v>
      </c>
      <c r="G31" s="3">
        <f>50+VLOOKUP($A31,'SegEnds_Xtal_Prot#'!$A:$AY,39,FALSE)-VLOOKUP($D31,'SegEnds_NonXtal_Prot#'!$A:$AZ,28,FALSE)</f>
        <v>76</v>
      </c>
      <c r="H31" s="3">
        <f>50+VLOOKUP($A31,'SegEnds_Xtal_Prot#'!$A:$AY,41,FALSE)-VLOOKUP($D31,'SegEnds_NonXtal_Prot#'!$A:$AZ,31,FALSE)</f>
        <v>24</v>
      </c>
      <c r="I31" s="3">
        <f>G31</f>
        <v>76</v>
      </c>
      <c r="J31" s="3"/>
      <c r="K31" s="1" t="s">
        <v>1285</v>
      </c>
      <c r="L31" s="1"/>
      <c r="N31" t="s">
        <v>1295</v>
      </c>
    </row>
    <row r="32" spans="1:14" x14ac:dyDescent="0.2">
      <c r="A32" s="3" t="str">
        <f t="shared" si="2"/>
        <v>5ht1b_human__wt</v>
      </c>
      <c r="B32" s="3" t="str">
        <f>VLOOKUP(D32,Classification!A:D,3,FALSE)</f>
        <v>Aminergic</v>
      </c>
      <c r="C32" s="3" t="str">
        <f>VLOOKUP(D32,Classification!A:D,4,FALSE)</f>
        <v>5-Hydroxytryptamine</v>
      </c>
      <c r="D32" s="3" t="s">
        <v>34</v>
      </c>
      <c r="E32" s="3">
        <f>VLOOKUP($D32,'SegEnds_NonXtal_Prot#'!$A:$AZ,30,FALSE)-VLOOKUP($D32,'SegEnds_NonXtal_Prot#'!$A:$AZ,29,FALSE)</f>
        <v>59</v>
      </c>
      <c r="F32" s="1">
        <f>VLOOKUP($D32,'SegEnds_NonXtal_Prot#'!$A:$AZ,31,FALSE)-VLOOKUP($D32,'SegEnds_NonXtal_Prot#'!$A:$AZ,28,FALSE)</f>
        <v>109</v>
      </c>
      <c r="G32" s="3">
        <f>50+VLOOKUP($A32,'SegEnds_Xtal_Prot#'!$A:$AY,39,FALSE)-VLOOKUP($D32,'SegEnds_NonXtal_Prot#'!$A:$AZ,28,FALSE)</f>
        <v>74</v>
      </c>
      <c r="H32" s="3">
        <f>50+VLOOKUP($A32,'SegEnds_Xtal_Prot#'!$A:$AY,41,FALSE)-VLOOKUP($D32,'SegEnds_NonXtal_Prot#'!$A:$AZ,31,FALSE)</f>
        <v>24</v>
      </c>
      <c r="I32" s="3"/>
      <c r="J32" s="3"/>
      <c r="K32" s="1"/>
      <c r="L32" s="1">
        <v>76</v>
      </c>
      <c r="M32" s="1"/>
      <c r="N32" s="1"/>
    </row>
    <row r="33" spans="1:14" x14ac:dyDescent="0.2">
      <c r="A33" s="3" t="str">
        <f t="shared" si="2"/>
        <v>5ht2b_human__wt</v>
      </c>
      <c r="B33" s="3" t="str">
        <f>VLOOKUP(D33,Classification!A:D,3,FALSE)</f>
        <v>Aminergic</v>
      </c>
      <c r="C33" s="3" t="str">
        <f>VLOOKUP(D33,Classification!A:D,4,FALSE)</f>
        <v>5-Hydroxytryptamine</v>
      </c>
      <c r="D33" s="3" t="s">
        <v>35</v>
      </c>
      <c r="E33" s="3">
        <f>VLOOKUP($D33,'SegEnds_NonXtal_Prot#'!$A:$AZ,30,FALSE)-VLOOKUP($D33,'SegEnds_NonXtal_Prot#'!$A:$AZ,29,FALSE)</f>
        <v>58</v>
      </c>
      <c r="F33" s="1">
        <f>VLOOKUP($D33,'SegEnds_NonXtal_Prot#'!$A:$AZ,31,FALSE)-VLOOKUP($D33,'SegEnds_NonXtal_Prot#'!$A:$AZ,28,FALSE)</f>
        <v>110</v>
      </c>
      <c r="G33" s="3">
        <f>50+VLOOKUP($A33,'SegEnds_Xtal_Prot#'!$A:$AY,39,FALSE)-VLOOKUP($D33,'SegEnds_NonXtal_Prot#'!$A:$AZ,28,FALSE)</f>
        <v>76</v>
      </c>
      <c r="H33" s="3">
        <f>50+VLOOKUP($A33,'SegEnds_Xtal_Prot#'!$A:$AY,41,FALSE)-VLOOKUP($D33,'SegEnds_NonXtal_Prot#'!$A:$AZ,31,FALSE)</f>
        <v>24</v>
      </c>
      <c r="I33" s="3"/>
      <c r="J33" s="3"/>
      <c r="K33" s="1"/>
      <c r="L33" s="1"/>
      <c r="M33" s="1"/>
      <c r="N33" s="1"/>
    </row>
    <row r="34" spans="1:14" x14ac:dyDescent="0.2">
      <c r="A34" s="3" t="str">
        <f t="shared" si="2"/>
        <v>drd3_human__wt</v>
      </c>
      <c r="B34" s="3" t="str">
        <f>VLOOKUP(D34,Classification!A:D,3,FALSE)</f>
        <v>Aminergic</v>
      </c>
      <c r="C34" s="3" t="str">
        <f>VLOOKUP(D34,Classification!A:D,4,FALSE)</f>
        <v>Dopamine</v>
      </c>
      <c r="D34" s="3" t="s">
        <v>192</v>
      </c>
      <c r="E34" s="3">
        <f>VLOOKUP($D34,'SegEnds_NonXtal_Prot#'!$A:$AZ,30,FALSE)-VLOOKUP($D34,'SegEnds_NonXtal_Prot#'!$A:$AZ,29,FALSE)</f>
        <v>92</v>
      </c>
      <c r="F34" s="1">
        <f>VLOOKUP($D34,'SegEnds_NonXtal_Prot#'!$A:$AZ,31,FALSE)-VLOOKUP($D34,'SegEnds_NonXtal_Prot#'!$A:$AZ,28,FALSE)</f>
        <v>144</v>
      </c>
      <c r="G34" s="3">
        <f>50+VLOOKUP($A34,'SegEnds_Xtal_Prot#'!$A:$AY,39,FALSE)-VLOOKUP($D34,'SegEnds_NonXtal_Prot#'!$A:$AZ,28,FALSE)</f>
        <v>76</v>
      </c>
      <c r="H34" s="3">
        <f>50+VLOOKUP($A34,'SegEnds_Xtal_Prot#'!$A:$AY,41,FALSE)-VLOOKUP($D34,'SegEnds_NonXtal_Prot#'!$A:$AZ,31,FALSE)</f>
        <v>24</v>
      </c>
      <c r="I34" s="3"/>
      <c r="J34" s="3"/>
      <c r="K34" s="1"/>
      <c r="L34" s="1"/>
      <c r="M34" s="1"/>
      <c r="N34" s="1"/>
    </row>
    <row r="35" spans="1:14" x14ac:dyDescent="0.2">
      <c r="A35" s="3" t="str">
        <f t="shared" si="2"/>
        <v>acm1_human__wt</v>
      </c>
      <c r="B35" s="3" t="str">
        <f>VLOOKUP(D35,Classification!A:D,3,FALSE)</f>
        <v>Aminergic</v>
      </c>
      <c r="C35" s="3" t="str">
        <f>VLOOKUP(D35,Classification!A:D,4,FALSE)</f>
        <v>Acetylcholine(muscarinic)</v>
      </c>
      <c r="D35" s="3" t="s">
        <v>146</v>
      </c>
      <c r="E35" s="3">
        <f>VLOOKUP($D35,'SegEnds_NonXtal_Prot#'!$A:$AZ,30,FALSE)-VLOOKUP($D35,'SegEnds_NonXtal_Prot#'!$A:$AZ,29,FALSE)</f>
        <v>129</v>
      </c>
      <c r="F35" s="1">
        <f>VLOOKUP($D35,'SegEnds_NonXtal_Prot#'!$A:$AZ,31,FALSE)-VLOOKUP($D35,'SegEnds_NonXtal_Prot#'!$A:$AZ,28,FALSE)</f>
        <v>180</v>
      </c>
      <c r="G35" s="3">
        <f>50+VLOOKUP($A35,'SegEnds_Xtal_Prot#'!$A:$AY,39,FALSE)-VLOOKUP($D35,'SegEnds_NonXtal_Prot#'!$A:$AZ,28,FALSE)</f>
        <v>75</v>
      </c>
      <c r="H35" s="3">
        <f>50+VLOOKUP($A35,'SegEnds_Xtal_Prot#'!$A:$AY,41,FALSE)-VLOOKUP($D35,'SegEnds_NonXtal_Prot#'!$A:$AZ,31,FALSE)</f>
        <v>24</v>
      </c>
      <c r="I35" s="3"/>
      <c r="J35" s="3"/>
      <c r="K35" s="1"/>
      <c r="L35" s="1"/>
      <c r="M35" s="1"/>
      <c r="N35" s="1"/>
    </row>
    <row r="36" spans="1:14" x14ac:dyDescent="0.2">
      <c r="A36" s="3" t="str">
        <f t="shared" si="2"/>
        <v>acm2_human__wt</v>
      </c>
      <c r="B36" s="3" t="str">
        <f>VLOOKUP(D36,Classification!A:D,3,FALSE)</f>
        <v>Aminergic</v>
      </c>
      <c r="C36" s="3" t="str">
        <f>VLOOKUP(D36,Classification!A:D,4,FALSE)</f>
        <v>Acetylcholine(muscarinic)</v>
      </c>
      <c r="D36" s="3" t="s">
        <v>147</v>
      </c>
      <c r="E36" s="3">
        <f>VLOOKUP($D36,'SegEnds_NonXtal_Prot#'!$A:$AZ,30,FALSE)-VLOOKUP($D36,'SegEnds_NonXtal_Prot#'!$A:$AZ,29,FALSE)</f>
        <v>153</v>
      </c>
      <c r="F36" s="1">
        <f>VLOOKUP($D36,'SegEnds_NonXtal_Prot#'!$A:$AZ,31,FALSE)-VLOOKUP($D36,'SegEnds_NonXtal_Prot#'!$A:$AZ,28,FALSE)</f>
        <v>204</v>
      </c>
      <c r="G36" s="3">
        <f>50+VLOOKUP($A36,'SegEnds_Xtal_Prot#'!$A:$AY,39,FALSE)-VLOOKUP($D36,'SegEnds_NonXtal_Prot#'!$A:$AZ,28,FALSE)</f>
        <v>75</v>
      </c>
      <c r="H36" s="3">
        <f>50+VLOOKUP($A36,'SegEnds_Xtal_Prot#'!$A:$AY,41,FALSE)-VLOOKUP($D36,'SegEnds_NonXtal_Prot#'!$A:$AZ,31,FALSE)</f>
        <v>24</v>
      </c>
      <c r="I36" s="3">
        <f>G36</f>
        <v>75</v>
      </c>
      <c r="J36" s="3">
        <f>H36</f>
        <v>24</v>
      </c>
      <c r="K36" s="1" t="s">
        <v>1285</v>
      </c>
      <c r="L36" s="1"/>
      <c r="M36" s="1"/>
      <c r="N36" s="1"/>
    </row>
    <row r="37" spans="1:14" x14ac:dyDescent="0.2">
      <c r="A37" s="3" t="str">
        <f t="shared" si="2"/>
        <v>acm4_human__wt</v>
      </c>
      <c r="B37" s="3" t="str">
        <f>VLOOKUP(D37,Classification!A:D,3,FALSE)</f>
        <v>Aminergic</v>
      </c>
      <c r="C37" s="3" t="str">
        <f>VLOOKUP(D37,Classification!A:D,4,FALSE)</f>
        <v>Acetylcholine(muscarinic)</v>
      </c>
      <c r="D37" s="3" t="s">
        <v>149</v>
      </c>
      <c r="E37" s="3">
        <f>VLOOKUP($D37,'SegEnds_NonXtal_Prot#'!$A:$AZ,30,FALSE)-VLOOKUP($D37,'SegEnds_NonXtal_Prot#'!$A:$AZ,29,FALSE)</f>
        <v>157</v>
      </c>
      <c r="F37" s="1">
        <f>VLOOKUP($D37,'SegEnds_NonXtal_Prot#'!$A:$AZ,31,FALSE)-VLOOKUP($D37,'SegEnds_NonXtal_Prot#'!$A:$AZ,28,FALSE)</f>
        <v>208</v>
      </c>
      <c r="G37" s="3">
        <f>50+VLOOKUP($A37,'SegEnds_Xtal_Prot#'!$A:$AY,39,FALSE)-VLOOKUP($D37,'SegEnds_NonXtal_Prot#'!$A:$AZ,28,FALSE)</f>
        <v>75</v>
      </c>
      <c r="H37" s="3">
        <f>50+VLOOKUP($A37,'SegEnds_Xtal_Prot#'!$A:$AY,41,FALSE)-VLOOKUP($D37,'SegEnds_NonXtal_Prot#'!$A:$AZ,31,FALSE)</f>
        <v>24</v>
      </c>
      <c r="I37" s="3"/>
      <c r="J37" s="3"/>
      <c r="K37" s="1"/>
      <c r="L37" s="1"/>
      <c r="M37" s="1"/>
      <c r="N37" s="1"/>
    </row>
    <row r="38" spans="1:14" customFormat="1" x14ac:dyDescent="0.2">
      <c r="A38" s="3" t="str">
        <f t="shared" si="2"/>
        <v>hrh1_human__wt</v>
      </c>
      <c r="B38" s="3" t="str">
        <f>VLOOKUP(D38,Classification!A:D,3,FALSE)</f>
        <v>Aminergic</v>
      </c>
      <c r="C38" s="3" t="str">
        <f>VLOOKUP(D38,Classification!A:D,4,FALSE)</f>
        <v>Histamine</v>
      </c>
      <c r="D38" s="3" t="s">
        <v>277</v>
      </c>
      <c r="E38" s="3">
        <f>VLOOKUP($D38,'SegEnds_NonXtal_Prot#'!$A:$AZ,30,FALSE)-VLOOKUP($D38,'SegEnds_NonXtal_Prot#'!$A:$AZ,29,FALSE)</f>
        <v>176</v>
      </c>
      <c r="F38" s="1">
        <f>VLOOKUP($D38,'SegEnds_NonXtal_Prot#'!$A:$AZ,31,FALSE)-VLOOKUP($D38,'SegEnds_NonXtal_Prot#'!$A:$AZ,28,FALSE)</f>
        <v>228</v>
      </c>
      <c r="G38" s="3">
        <f>50+VLOOKUP($A38,'SegEnds_Xtal_Prot#'!$A:$AY,39,FALSE)-VLOOKUP($D38,'SegEnds_NonXtal_Prot#'!$A:$AZ,28,FALSE)</f>
        <v>76</v>
      </c>
      <c r="H38" s="3">
        <f>50+VLOOKUP($A38,'SegEnds_Xtal_Prot#'!$A:$AY,41,FALSE)-VLOOKUP($D38,'SegEnds_NonXtal_Prot#'!$A:$AZ,31,FALSE)</f>
        <v>24</v>
      </c>
      <c r="I38" s="3"/>
      <c r="J38" s="3"/>
    </row>
    <row r="39" spans="1:14" customFormat="1" x14ac:dyDescent="0.2">
      <c r="A39" s="3" t="str">
        <f t="shared" si="2"/>
        <v>acm3_rat__wt</v>
      </c>
      <c r="B39" s="3" t="str">
        <f>VLOOKUP(D39,Classification!A:D,3,FALSE)</f>
        <v>Aminergic</v>
      </c>
      <c r="C39" s="3" t="str">
        <f>VLOOKUP(D39,Classification!A:D,4,FALSE)</f>
        <v>Acetylcholine(muscarinic)</v>
      </c>
      <c r="D39" s="3" t="s">
        <v>903</v>
      </c>
      <c r="E39" s="3">
        <f>VLOOKUP($D39,'SegEnds_NonXtal_Prot#'!$A:$AZ,30,FALSE)-VLOOKUP($D39,'SegEnds_NonXtal_Prot#'!$A:$AZ,29,FALSE)</f>
        <v>212</v>
      </c>
      <c r="F39" s="1">
        <f>VLOOKUP($D39,'SegEnds_NonXtal_Prot#'!$A:$AZ,31,FALSE)-VLOOKUP($D39,'SegEnds_NonXtal_Prot#'!$A:$AZ,28,FALSE)</f>
        <v>263</v>
      </c>
      <c r="G39" s="3">
        <f>50+VLOOKUP($A39,'SegEnds_Xtal_Prot#'!$A:$AY,39,FALSE)-VLOOKUP($D39,'SegEnds_NonXtal_Prot#'!$A:$AZ,28,FALSE)</f>
        <v>75</v>
      </c>
      <c r="H39" s="3">
        <f>50+VLOOKUP($A39,'SegEnds_Xtal_Prot#'!$A:$AY,41,FALSE)-VLOOKUP($D39,'SegEnds_NonXtal_Prot#'!$A:$AZ,31,FALSE)</f>
        <v>24</v>
      </c>
      <c r="I39" s="3"/>
      <c r="J39" s="3"/>
    </row>
    <row r="40" spans="1:14" s="60" customFormat="1" x14ac:dyDescent="0.2">
      <c r="A40" s="59" t="str">
        <f t="shared" si="2"/>
        <v>opsd_todpa__wt</v>
      </c>
      <c r="B40" s="59" t="str">
        <f>VLOOKUP(D40,Classification!A:D,3,FALSE)</f>
        <v>Sensory</v>
      </c>
      <c r="C40" s="59" t="str">
        <f>VLOOKUP(D40,Classification!A:D,4,FALSE)</f>
        <v>Opsins</v>
      </c>
      <c r="D40" s="59" t="s">
        <v>915</v>
      </c>
      <c r="E40" s="59">
        <f>VLOOKUP($D40,'SegEnds_NonXtal_Prot#'!$A:$AZ,30,FALSE)-VLOOKUP($D40,'SegEnds_NonXtal_Prot#'!$A:$AZ,29,FALSE)</f>
        <v>5</v>
      </c>
      <c r="F40" s="42">
        <f>VLOOKUP($D40,'SegEnds_NonXtal_Prot#'!$A:$AZ,31,FALSE)-VLOOKUP($D40,'SegEnds_NonXtal_Prot#'!$A:$AZ,28,FALSE)</f>
        <v>64</v>
      </c>
      <c r="G40" s="59">
        <f>50+VLOOKUP($A40,'SegEnds_Xtal_Prot#'!$A:$AY,39,FALSE)-VLOOKUP($D40,'SegEnds_NonXtal_Prot#'!$A:$AZ,28,FALSE)</f>
        <v>77</v>
      </c>
      <c r="H40" s="59">
        <f>50+VLOOKUP($A40,'SegEnds_Xtal_Prot#'!$A:$AY,41,FALSE)-VLOOKUP($D40,'SegEnds_NonXtal_Prot#'!$A:$AZ,31,FALSE)</f>
        <v>18</v>
      </c>
      <c r="I40" s="79" t="s">
        <v>1325</v>
      </c>
      <c r="J40" s="59"/>
    </row>
    <row r="41" spans="1:14" x14ac:dyDescent="0.2">
      <c r="A41" s="3" t="str">
        <f t="shared" si="2"/>
        <v>ox2r_human__wt</v>
      </c>
      <c r="B41" s="3" t="str">
        <f>VLOOKUP(D41,Classification!A:D,3,FALSE)</f>
        <v>Peptide</v>
      </c>
      <c r="C41" s="3" t="str">
        <f>VLOOKUP(D41,Classification!A:D,4,FALSE)</f>
        <v>Orexin</v>
      </c>
      <c r="D41" s="48" t="s">
        <v>1169</v>
      </c>
      <c r="E41" s="3">
        <f>VLOOKUP($D41,'SegEnds_NonXtal_Prot#'!$A:$AZ,30,FALSE)-VLOOKUP($D41,'SegEnds_NonXtal_Prot#'!$A:$AZ,29,FALSE)</f>
        <v>33</v>
      </c>
      <c r="F41" s="1">
        <f>VLOOKUP($D41,'SegEnds_NonXtal_Prot#'!$A:$AZ,31,FALSE)-VLOOKUP($D41,'SegEnds_NonXtal_Prot#'!$A:$AZ,28,FALSE)</f>
        <v>84</v>
      </c>
      <c r="G41" s="3">
        <f>50+VLOOKUP($A41,'SegEnds_Xtal_Prot#'!$A:$AY,39,FALSE)-VLOOKUP($D41,'SegEnds_NonXtal_Prot#'!$A:$AZ,28,FALSE)</f>
        <v>71</v>
      </c>
      <c r="H41" s="3">
        <f>50+VLOOKUP($A41,'SegEnds_Xtal_Prot#'!$A:$AY,41,FALSE)-VLOOKUP($D41,'SegEnds_NonXtal_Prot#'!$A:$AZ,31,FALSE)</f>
        <v>20</v>
      </c>
      <c r="I41" s="3"/>
      <c r="J41" s="3"/>
      <c r="K41" s="1"/>
      <c r="L41" s="1"/>
      <c r="M41" s="1" t="s">
        <v>1288</v>
      </c>
      <c r="N41" s="1" t="s">
        <v>1294</v>
      </c>
    </row>
    <row r="42" spans="1:14" customFormat="1" x14ac:dyDescent="0.2">
      <c r="A42" s="3" t="str">
        <f t="shared" si="2"/>
        <v>ox1r_human__wt</v>
      </c>
      <c r="B42" s="3" t="str">
        <f>VLOOKUP(D42,Classification!A:D,3,FALSE)</f>
        <v>Peptide</v>
      </c>
      <c r="C42" s="3" t="str">
        <f>VLOOKUP(D42,Classification!A:D,4,FALSE)</f>
        <v>Orexin</v>
      </c>
      <c r="D42" s="48" t="s">
        <v>1168</v>
      </c>
      <c r="E42" s="3">
        <f>VLOOKUP($D42,'SegEnds_NonXtal_Prot#'!$A:$AZ,30,FALSE)-VLOOKUP($D42,'SegEnds_NonXtal_Prot#'!$A:$AZ,29,FALSE)</f>
        <v>35</v>
      </c>
      <c r="F42" s="1">
        <f>VLOOKUP($D42,'SegEnds_NonXtal_Prot#'!$A:$AZ,31,FALSE)-VLOOKUP($D42,'SegEnds_NonXtal_Prot#'!$A:$AZ,28,FALSE)</f>
        <v>86</v>
      </c>
      <c r="G42" s="3">
        <f>50+VLOOKUP($A42,'SegEnds_Xtal_Prot#'!$A:$AY,39,FALSE)-VLOOKUP($D42,'SegEnds_NonXtal_Prot#'!$A:$AZ,28,FALSE)</f>
        <v>71</v>
      </c>
      <c r="H42" s="3">
        <f>50+VLOOKUP($A42,'SegEnds_Xtal_Prot#'!$A:$AY,41,FALSE)-VLOOKUP($D42,'SegEnds_NonXtal_Prot#'!$A:$AZ,31,FALSE)</f>
        <v>20</v>
      </c>
      <c r="I42" s="3"/>
      <c r="J42" s="3"/>
      <c r="M42" s="1" t="s">
        <v>1288</v>
      </c>
      <c r="N42" s="1" t="s">
        <v>1294</v>
      </c>
    </row>
    <row r="43" spans="1:14" x14ac:dyDescent="0.2">
      <c r="A43" s="3" t="str">
        <f t="shared" si="2"/>
        <v>adrb1_melga__wt</v>
      </c>
      <c r="B43" s="3" t="str">
        <f>VLOOKUP(D43,Classification!A:D,3,FALSE)</f>
        <v>Aminergic</v>
      </c>
      <c r="C43" s="3" t="str">
        <f>VLOOKUP(D43,Classification!A:D,4,FALSE)</f>
        <v>Adrenoceptors</v>
      </c>
      <c r="D43" s="3" t="s">
        <v>905</v>
      </c>
      <c r="E43" s="3">
        <f>VLOOKUP($D43,'SegEnds_NonXtal_Prot#'!$A:$AZ,30,FALSE)-VLOOKUP($D43,'SegEnds_NonXtal_Prot#'!$A:$AZ,29,FALSE)</f>
        <v>30</v>
      </c>
      <c r="F43" s="1">
        <f>VLOOKUP($D43,'SegEnds_NonXtal_Prot#'!$A:$AZ,31,FALSE)-VLOOKUP($D43,'SegEnds_NonXtal_Prot#'!$A:$AZ,28,FALSE)</f>
        <v>86</v>
      </c>
      <c r="G43" s="3">
        <f>50+VLOOKUP($A43,'SegEnds_Xtal_Prot#'!$A:$AY,39,FALSE)-VLOOKUP($D43,'SegEnds_NonXtal_Prot#'!$A:$AZ,28,FALSE)</f>
        <v>76</v>
      </c>
      <c r="H43" s="3">
        <f>50+VLOOKUP($A43,'SegEnds_Xtal_Prot#'!$A:$AY,41,FALSE)-VLOOKUP($D43,'SegEnds_NonXtal_Prot#'!$A:$AZ,31,FALSE)</f>
        <v>20</v>
      </c>
      <c r="I43" s="3">
        <f>G43</f>
        <v>76</v>
      </c>
      <c r="J43" s="3">
        <f>H43</f>
        <v>20</v>
      </c>
      <c r="K43" s="1" t="s">
        <v>1285</v>
      </c>
      <c r="L43" s="1"/>
      <c r="M43" s="1"/>
      <c r="N43" s="1"/>
    </row>
  </sheetData>
  <sortState xmlns:xlrd2="http://schemas.microsoft.com/office/spreadsheetml/2017/richdata2" ref="A2:O32">
    <sortCondition ref="F2:F32"/>
    <sortCondition ref="G2:G32"/>
    <sortCondition ref="H2:H32"/>
  </sortState>
  <customSheetViews>
    <customSheetView guid="{3E3401AF-8459-8641-BD70-AD04F80E86ED}" scale="113">
      <pane ySplit="1" topLeftCell="A2" activePane="bottomLeft" state="frozenSplit"/>
      <selection pane="bottomLeft" activeCell="A8" sqref="A8:XFD8"/>
      <pageMargins left="0.7" right="0.7" top="0.75" bottom="0.75" header="0.3" footer="0.3"/>
      <pageSetup paperSize="9" orientation="portrait" horizontalDpi="0" verticalDpi="0" copies="2"/>
    </customSheetView>
  </customSheetViews>
  <phoneticPr fontId="6" type="noConversion"/>
  <conditionalFormatting sqref="C1:C1048576">
    <cfRule type="cellIs" dxfId="52" priority="10" operator="equal">
      <formula>"Opsins"</formula>
    </cfRule>
    <cfRule type="cellIs" dxfId="51" priority="11" operator="equal">
      <formula>"Opioid"</formula>
    </cfRule>
    <cfRule type="cellIs" dxfId="50" priority="12" operator="equal">
      <formula>"P2Y"</formula>
    </cfRule>
    <cfRule type="cellIs" dxfId="49" priority="13" operator="equal">
      <formula>"Chemokine"</formula>
    </cfRule>
  </conditionalFormatting>
  <conditionalFormatting sqref="B6:B43">
    <cfRule type="cellIs" dxfId="48" priority="5" operator="equal">
      <formula>"Aminergic"</formula>
    </cfRule>
    <cfRule type="cellIs" dxfId="47" priority="6" operator="equal">
      <formula>"Opsins"</formula>
    </cfRule>
    <cfRule type="cellIs" dxfId="46" priority="7" operator="equal">
      <formula>"Opioid"</formula>
    </cfRule>
    <cfRule type="cellIs" dxfId="45" priority="8" operator="equal">
      <formula>"P2Y"</formula>
    </cfRule>
    <cfRule type="cellIs" dxfId="44" priority="9" operator="equal">
      <formula>"Chemokine"</formula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7 H1:J1048576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43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9"/>
  <sheetViews>
    <sheetView zoomScale="113" zoomScaleNormal="113" zoomScalePageLayoutView="113" workbookViewId="0">
      <pane ySplit="1" topLeftCell="A2" activePane="bottomLeft" state="frozenSplit"/>
      <selection pane="bottomLeft" activeCell="D10" sqref="D10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5" s="24" customFormat="1" x14ac:dyDescent="0.2">
      <c r="A1" s="8" t="s">
        <v>1070</v>
      </c>
      <c r="B1" s="8" t="s">
        <v>0</v>
      </c>
      <c r="C1" s="8" t="s">
        <v>1199</v>
      </c>
      <c r="D1" s="8" t="s">
        <v>31</v>
      </c>
      <c r="E1" s="8" t="s">
        <v>1287</v>
      </c>
      <c r="F1" s="8" t="s">
        <v>1236</v>
      </c>
      <c r="G1" s="8" t="s">
        <v>1063</v>
      </c>
      <c r="H1" s="8" t="s">
        <v>1064</v>
      </c>
      <c r="I1" s="8"/>
      <c r="J1" s="8"/>
      <c r="K1" s="8" t="s">
        <v>1285</v>
      </c>
      <c r="L1" s="8" t="s">
        <v>1324</v>
      </c>
      <c r="M1" s="8" t="s">
        <v>1290</v>
      </c>
      <c r="N1" s="8" t="s">
        <v>1291</v>
      </c>
    </row>
    <row r="2" spans="1:15" s="24" customFormat="1" x14ac:dyDescent="0.2">
      <c r="A2" s="15" t="s">
        <v>1297</v>
      </c>
      <c r="B2" s="8" t="s">
        <v>23</v>
      </c>
      <c r="C2" s="8" t="s">
        <v>23</v>
      </c>
      <c r="D2" s="15" t="s">
        <v>1298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5" s="24" customFormat="1" x14ac:dyDescent="0.2">
      <c r="A3" s="15" t="s">
        <v>1382</v>
      </c>
      <c r="B3" s="8" t="s">
        <v>23</v>
      </c>
      <c r="C3" s="8" t="s">
        <v>23</v>
      </c>
      <c r="D3" s="15" t="s">
        <v>1298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5" s="24" customFormat="1" x14ac:dyDescent="0.2">
      <c r="A4" s="15" t="s">
        <v>1382</v>
      </c>
      <c r="B4" s="8" t="s">
        <v>23</v>
      </c>
      <c r="C4" s="8" t="s">
        <v>23</v>
      </c>
      <c r="D4" s="15" t="s">
        <v>1298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5" s="24" customFormat="1" x14ac:dyDescent="0.2">
      <c r="A5" s="15" t="s">
        <v>1382</v>
      </c>
      <c r="B5" s="8" t="s">
        <v>23</v>
      </c>
      <c r="C5" s="8" t="s">
        <v>23</v>
      </c>
      <c r="D5" s="15" t="s">
        <v>1298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5" x14ac:dyDescent="0.2">
      <c r="A6" s="3" t="str">
        <f>D6&amp;"__wt"</f>
        <v>glp1r_human__wt</v>
      </c>
      <c r="B6" s="3" t="str">
        <f>VLOOKUP(D6,Classification!A:D,3,FALSE)</f>
        <v>Peptide</v>
      </c>
      <c r="C6" s="3" t="str">
        <f>VLOOKUP(D6,Classification!A:D,4,FALSE)</f>
        <v>Glucagonreceptorfamily</v>
      </c>
      <c r="D6" s="3" t="s">
        <v>405</v>
      </c>
      <c r="E6" s="3">
        <f>VLOOKUP($D6,'SegEnds_NonXtal_Prot#'!$A:$AZ,30,FALSE)-VLOOKUP($D6,'SegEnds_NonXtal_Prot#'!$A:$AZ,29,FALSE)</f>
        <v>7</v>
      </c>
      <c r="F6" s="1">
        <f>VLOOKUP($D6,'SegEnds_NonXtal_Prot#'!$A:$AZ,31,FALSE)-VLOOKUP($D6,'SegEnds_NonXtal_Prot#'!$A:$AZ,28,FALSE)</f>
        <v>50</v>
      </c>
      <c r="G6" s="3">
        <f>50+VLOOKUP($A6,'SegEnds_Xtal_Prot#'!$A:$AY,39,FALSE)-VLOOKUP($D6,'SegEnds_NonXtal_Prot#'!$A:$AZ,28,FALSE)</f>
        <v>71</v>
      </c>
      <c r="H6" s="3">
        <f>50+VLOOKUP($A6,'SegEnds_Xtal_Prot#'!$A:$AY,41,FALSE)-VLOOKUP($D6,'SegEnds_NonXtal_Prot#'!$A:$AZ,31,FALSE)</f>
        <v>28</v>
      </c>
      <c r="I6" s="3"/>
      <c r="J6" s="3"/>
      <c r="K6" s="1"/>
      <c r="L6" s="1"/>
      <c r="M6" s="1"/>
      <c r="N6" s="1"/>
      <c r="O6" s="1" t="s">
        <v>1402</v>
      </c>
    </row>
    <row r="7" spans="1:15" x14ac:dyDescent="0.2">
      <c r="A7" s="3" t="str">
        <f>D7&amp;"__wt"</f>
        <v>glr_human__wt</v>
      </c>
      <c r="B7" s="3" t="str">
        <f>VLOOKUP(D7,Classification!A:D,3,FALSE)</f>
        <v>Peptide</v>
      </c>
      <c r="C7" s="3" t="str">
        <f>VLOOKUP(D7,Classification!A:D,4,FALSE)</f>
        <v>Glucagonreceptorfamily</v>
      </c>
      <c r="D7" s="3" t="s">
        <v>32</v>
      </c>
      <c r="E7" s="3">
        <f>VLOOKUP($D7,'SegEnds_NonXtal_Prot#'!$A:$AZ,30,FALSE)-VLOOKUP($D7,'SegEnds_NonXtal_Prot#'!$A:$AZ,29,FALSE)</f>
        <v>7</v>
      </c>
      <c r="F7" s="1">
        <f>VLOOKUP($D7,'SegEnds_NonXtal_Prot#'!$A:$AZ,31,FALSE)-VLOOKUP($D7,'SegEnds_NonXtal_Prot#'!$A:$AZ,28,FALSE)</f>
        <v>50</v>
      </c>
      <c r="G7" s="3">
        <f>50+VLOOKUP($A7,'SegEnds_Xtal_Prot#'!$A:$AY,39,FALSE)-VLOOKUP($D7,'SegEnds_NonXtal_Prot#'!$A:$AZ,28,FALSE)</f>
        <v>71</v>
      </c>
      <c r="H7" s="3">
        <f>50+VLOOKUP($A7,'SegEnds_Xtal_Prot#'!$A:$AY,41,FALSE)-VLOOKUP($D7,'SegEnds_NonXtal_Prot#'!$A:$AZ,31,FALSE)</f>
        <v>28</v>
      </c>
      <c r="I7" s="3"/>
      <c r="J7" s="3"/>
      <c r="K7" s="1"/>
      <c r="L7" s="1"/>
      <c r="M7" s="1"/>
      <c r="N7" s="1"/>
    </row>
    <row r="8" spans="1:15" x14ac:dyDescent="0.2">
      <c r="A8" s="3" t="str">
        <f>D8&amp;"__wt"</f>
        <v>g1sgd4_rabit__wt</v>
      </c>
      <c r="B8" s="3" t="str">
        <f>VLOOKUP(D8,Classification!A:D,3,FALSE)</f>
        <v>Peptide</v>
      </c>
      <c r="C8" s="3" t="str">
        <f>VLOOKUP(D8,Classification!A:D,4,FALSE)</f>
        <v>Glucagonreceptorfamily</v>
      </c>
      <c r="D8" s="3" t="s">
        <v>1414</v>
      </c>
      <c r="E8" s="3">
        <f>VLOOKUP($D8,'SegEnds_NonXtal_Prot#'!$A:$AZ,30,FALSE)-VLOOKUP($D8,'SegEnds_NonXtal_Prot#'!$A:$AZ,29,FALSE)</f>
        <v>9</v>
      </c>
      <c r="F8" s="1">
        <f>VLOOKUP($D8,'SegEnds_NonXtal_Prot#'!$A:$AZ,31,FALSE)-VLOOKUP($D8,'SegEnds_NonXtal_Prot#'!$A:$AZ,28,FALSE)</f>
        <v>50</v>
      </c>
      <c r="G8" s="3">
        <f>50+VLOOKUP($A8,'SegEnds_Xtal_Prot#'!$A:$AY,39,FALSE)-VLOOKUP($D8,'SegEnds_NonXtal_Prot#'!$A:$AZ,28,FALSE)</f>
        <v>71</v>
      </c>
      <c r="H8" s="3">
        <f>50+VLOOKUP($A8,'SegEnds_Xtal_Prot#'!$A:$AY,41,FALSE)-VLOOKUP($D8,'SegEnds_NonXtal_Prot#'!$A:$AZ,31,FALSE)</f>
        <v>30</v>
      </c>
      <c r="I8" s="3"/>
      <c r="J8" s="3"/>
      <c r="K8" s="1"/>
      <c r="L8" s="1"/>
      <c r="M8" s="1"/>
      <c r="N8" s="1"/>
    </row>
    <row r="9" spans="1:15" x14ac:dyDescent="0.2">
      <c r="A9" s="3" t="str">
        <f>D9&amp;"__wt"</f>
        <v>crfr2_human__wt</v>
      </c>
      <c r="B9" s="3" t="str">
        <f>VLOOKUP(D9,Classification!A:D,3,FALSE)</f>
        <v>Peptide</v>
      </c>
      <c r="C9" s="3" t="str">
        <f>VLOOKUP(D9,Classification!A:D,4,FALSE)</f>
        <v>Corticotropin-releasingfact</v>
      </c>
      <c r="D9" s="3" t="s">
        <v>402</v>
      </c>
      <c r="E9" s="3">
        <f>VLOOKUP($D9,'SegEnds_NonXtal_Prot#'!$A:$AZ,30,FALSE)-VLOOKUP($D9,'SegEnds_NonXtal_Prot#'!$A:$AZ,29,FALSE)</f>
        <v>4</v>
      </c>
      <c r="F9" s="1">
        <f>VLOOKUP($D9,'SegEnds_NonXtal_Prot#'!$A:$AZ,31,FALSE)-VLOOKUP($D9,'SegEnds_NonXtal_Prot#'!$A:$AZ,28,FALSE)</f>
        <v>50</v>
      </c>
      <c r="G9" s="3">
        <f>50+VLOOKUP($A9,'SegEnds_Xtal_Prot#'!$A:$AY,39,FALSE)-VLOOKUP($D9,'SegEnds_NonXtal_Prot#'!$A:$AZ,28,FALSE)</f>
        <v>71</v>
      </c>
      <c r="H9" s="3">
        <f>50+VLOOKUP($A9,'SegEnds_Xtal_Prot#'!$A:$AY,41,FALSE)-VLOOKUP($D9,'SegEnds_NonXtal_Prot#'!$A:$AZ,31,FALSE)</f>
        <v>25</v>
      </c>
    </row>
  </sheetData>
  <conditionalFormatting sqref="C1:C1048576">
    <cfRule type="cellIs" dxfId="43" priority="8" operator="equal">
      <formula>"Opsins"</formula>
    </cfRule>
    <cfRule type="cellIs" dxfId="42" priority="9" operator="equal">
      <formula>"Opioid"</formula>
    </cfRule>
    <cfRule type="cellIs" dxfId="41" priority="10" operator="equal">
      <formula>"P2Y"</formula>
    </cfRule>
    <cfRule type="cellIs" dxfId="40" priority="11" operator="equal">
      <formula>"Chemokine"</formula>
    </cfRule>
  </conditionalFormatting>
  <conditionalFormatting sqref="B6:B9">
    <cfRule type="cellIs" dxfId="39" priority="3" operator="equal">
      <formula>"Aminergic"</formula>
    </cfRule>
    <cfRule type="cellIs" dxfId="38" priority="4" operator="equal">
      <formula>"Opsins"</formula>
    </cfRule>
    <cfRule type="cellIs" dxfId="37" priority="5" operator="equal">
      <formula>"Opioid"</formula>
    </cfRule>
    <cfRule type="cellIs" dxfId="36" priority="6" operator="equal">
      <formula>"P2Y"</formula>
    </cfRule>
    <cfRule type="cellIs" dxfId="35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9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7"/>
  <sheetViews>
    <sheetView zoomScale="113" zoomScaleNormal="113" zoomScalePageLayoutView="113" workbookViewId="0">
      <pane ySplit="1" topLeftCell="A2" activePane="bottomLeft" state="frozenSplit"/>
      <selection pane="bottomLeft" activeCell="H7" sqref="H7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4" s="24" customFormat="1" x14ac:dyDescent="0.2">
      <c r="A1" s="8" t="s">
        <v>1070</v>
      </c>
      <c r="B1" s="8" t="s">
        <v>0</v>
      </c>
      <c r="C1" s="8" t="s">
        <v>1199</v>
      </c>
      <c r="D1" s="8" t="s">
        <v>31</v>
      </c>
      <c r="E1" s="8" t="s">
        <v>1287</v>
      </c>
      <c r="F1" s="8" t="s">
        <v>1236</v>
      </c>
      <c r="G1" s="8" t="s">
        <v>1063</v>
      </c>
      <c r="H1" s="8" t="s">
        <v>1064</v>
      </c>
      <c r="I1" s="8"/>
      <c r="J1" s="8"/>
      <c r="K1" s="8" t="s">
        <v>1285</v>
      </c>
      <c r="L1" s="8" t="s">
        <v>1324</v>
      </c>
      <c r="M1" s="8" t="s">
        <v>1290</v>
      </c>
      <c r="N1" s="8" t="s">
        <v>1291</v>
      </c>
    </row>
    <row r="2" spans="1:14" s="24" customFormat="1" x14ac:dyDescent="0.2">
      <c r="A2" s="15" t="s">
        <v>1297</v>
      </c>
      <c r="B2" s="8" t="s">
        <v>23</v>
      </c>
      <c r="C2" s="8" t="s">
        <v>23</v>
      </c>
      <c r="D2" s="15" t="s">
        <v>1298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4" s="24" customFormat="1" x14ac:dyDescent="0.2">
      <c r="A3" s="15" t="s">
        <v>1382</v>
      </c>
      <c r="B3" s="8" t="s">
        <v>23</v>
      </c>
      <c r="C3" s="8" t="s">
        <v>23</v>
      </c>
      <c r="D3" s="15" t="s">
        <v>1298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4" s="24" customFormat="1" x14ac:dyDescent="0.2">
      <c r="A4" s="15" t="s">
        <v>1382</v>
      </c>
      <c r="B4" s="8" t="s">
        <v>23</v>
      </c>
      <c r="C4" s="8" t="s">
        <v>23</v>
      </c>
      <c r="D4" s="15" t="s">
        <v>1298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4" s="24" customFormat="1" x14ac:dyDescent="0.2">
      <c r="A5" s="15" t="s">
        <v>1382</v>
      </c>
      <c r="B5" s="8" t="s">
        <v>23</v>
      </c>
      <c r="C5" s="8" t="s">
        <v>23</v>
      </c>
      <c r="D5" s="15" t="s">
        <v>1298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4" customFormat="1" x14ac:dyDescent="0.2">
      <c r="A6" s="3" t="str">
        <f>D6&amp;"__wt"</f>
        <v>smo_human__wt</v>
      </c>
      <c r="B6" s="3" t="str">
        <f>VLOOKUP(D6,Classification!A:D,3,FALSE)</f>
        <v>Protein</v>
      </c>
      <c r="C6" s="3" t="str">
        <f>VLOOKUP(D6,Classification!A:D,4,FALSE)</f>
        <v>Frizzled</v>
      </c>
      <c r="D6" s="3" t="s">
        <v>33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57</v>
      </c>
      <c r="G6" s="3">
        <f>50+VLOOKUP($A6,'SegEnds_Xtal_Prot#'!$A:$AY,39,FALSE)-VLOOKUP($D6,'SegEnds_NonXtal_Prot#'!$A:$AZ,28,FALSE)</f>
        <v>72</v>
      </c>
      <c r="H6" s="3">
        <f>50+VLOOKUP($A6,'SegEnds_Xtal_Prot#'!$A:$AY,41,FALSE)-VLOOKUP($D6,'SegEnds_NonXtal_Prot#'!$A:$AZ,31,FALSE)</f>
        <v>20</v>
      </c>
      <c r="I6" s="3"/>
      <c r="J6" s="3"/>
    </row>
    <row r="7" spans="1:14" x14ac:dyDescent="0.2">
      <c r="A7" s="3" t="str">
        <f>D7&amp;"__wt"</f>
        <v>smo_mouse__wt</v>
      </c>
      <c r="B7" s="3" t="str">
        <f>VLOOKUP(D7,Classification!A:D,3,FALSE)</f>
        <v>Protein</v>
      </c>
      <c r="C7" s="3" t="str">
        <f>VLOOKUP(D7,Classification!A:D,4,FALSE)</f>
        <v>Frizzled</v>
      </c>
      <c r="D7" s="3" t="s">
        <v>1588</v>
      </c>
      <c r="E7" s="3">
        <f>VLOOKUP($D7,'SegEnds_NonXtal_Prot#'!$A:$AZ,30,FALSE)-VLOOKUP($D7,'SegEnds_NonXtal_Prot#'!$A:$AZ,29,FALSE)</f>
        <v>5</v>
      </c>
      <c r="F7" s="1">
        <f>VLOOKUP($D7,'SegEnds_NonXtal_Prot#'!$A:$AZ,31,FALSE)-VLOOKUP($D7,'SegEnds_NonXtal_Prot#'!$A:$AZ,28,FALSE)</f>
        <v>57</v>
      </c>
      <c r="G7" s="3">
        <f>50+VLOOKUP($A7,'SegEnds_Xtal_Prot#'!$A:$AY,39,FALSE)-VLOOKUP($D7,'SegEnds_NonXtal_Prot#'!$A:$AZ,28,FALSE)</f>
        <v>72</v>
      </c>
      <c r="H7" s="3">
        <f>50+VLOOKUP($A7,'SegEnds_Xtal_Prot#'!$A:$AY,41,FALSE)-VLOOKUP($D7,'SegEnds_NonXtal_Prot#'!$A:$AZ,31,FALSE)</f>
        <v>20</v>
      </c>
    </row>
  </sheetData>
  <conditionalFormatting sqref="C1:C1048576">
    <cfRule type="cellIs" dxfId="34" priority="8" operator="equal">
      <formula>"Opsins"</formula>
    </cfRule>
    <cfRule type="cellIs" dxfId="33" priority="9" operator="equal">
      <formula>"Opioid"</formula>
    </cfRule>
    <cfRule type="cellIs" dxfId="32" priority="10" operator="equal">
      <formula>"P2Y"</formula>
    </cfRule>
    <cfRule type="cellIs" dxfId="31" priority="11" operator="equal">
      <formula>"Chemokine"</formula>
    </cfRule>
  </conditionalFormatting>
  <conditionalFormatting sqref="B6:B7">
    <cfRule type="cellIs" dxfId="30" priority="3" operator="equal">
      <formula>"Aminergic"</formula>
    </cfRule>
    <cfRule type="cellIs" dxfId="29" priority="4" operator="equal">
      <formula>"Opsins"</formula>
    </cfRule>
    <cfRule type="cellIs" dxfId="28" priority="5" operator="equal">
      <formula>"Opioid"</formula>
    </cfRule>
    <cfRule type="cellIs" dxfId="27" priority="6" operator="equal">
      <formula>"P2Y"</formula>
    </cfRule>
    <cfRule type="cellIs" dxfId="26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7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AL416"/>
  <sheetViews>
    <sheetView zoomScale="135" zoomScaleNormal="135" zoomScalePageLayoutView="135" workbookViewId="0">
      <pane ySplit="1" topLeftCell="A266" activePane="bottomLeft" state="frozenSplit"/>
      <selection pane="bottomLeft" activeCell="A291" sqref="A291"/>
    </sheetView>
  </sheetViews>
  <sheetFormatPr baseColWidth="10" defaultColWidth="10.83203125" defaultRowHeight="16" x14ac:dyDescent="0.2"/>
  <cols>
    <col min="1" max="1" width="13.33203125" style="1" bestFit="1" customWidth="1"/>
    <col min="2" max="2" width="12.83203125" style="1" bestFit="1" customWidth="1"/>
    <col min="3" max="3" width="3.5" style="5" customWidth="1"/>
    <col min="4" max="4" width="3.1640625" style="1" bestFit="1" customWidth="1"/>
    <col min="5" max="6" width="3.6640625" style="1" bestFit="1" customWidth="1"/>
    <col min="7" max="7" width="3.1640625" style="1" bestFit="1" customWidth="1"/>
    <col min="8" max="8" width="3.1640625" style="12" bestFit="1" customWidth="1"/>
    <col min="9" max="10" width="4.1640625" style="1" bestFit="1" customWidth="1"/>
    <col min="11" max="11" width="3.1640625" style="12" bestFit="1" customWidth="1"/>
    <col min="12" max="12" width="3.1640625" style="1" bestFit="1" customWidth="1"/>
    <col min="13" max="13" width="3.6640625" style="1" bestFit="1" customWidth="1"/>
    <col min="14" max="14" width="3.6640625" style="12" bestFit="1" customWidth="1"/>
    <col min="15" max="15" width="3.1640625" style="87" bestFit="1" customWidth="1"/>
    <col min="16" max="16" width="3.33203125" style="1" customWidth="1"/>
    <col min="17" max="18" width="4.1640625" style="1" bestFit="1" customWidth="1"/>
    <col min="19" max="26" width="3.1640625" style="1" bestFit="1" customWidth="1"/>
    <col min="27" max="27" width="3.33203125" style="27" customWidth="1"/>
    <col min="28" max="28" width="5" style="50" bestFit="1" customWidth="1"/>
    <col min="29" max="29" width="4.6640625" style="1" customWidth="1"/>
    <col min="30" max="30" width="8.1640625" style="1" customWidth="1"/>
    <col min="31" max="31" width="5" style="1" customWidth="1"/>
    <col min="32" max="32" width="6.83203125" style="1" customWidth="1"/>
    <col min="33" max="35" width="6.5" style="1" customWidth="1"/>
    <col min="36" max="36" width="5.83203125" style="1" customWidth="1"/>
    <col min="37" max="37" width="5" style="1" customWidth="1"/>
    <col min="38" max="16384" width="10.83203125" style="1"/>
  </cols>
  <sheetData>
    <row r="1" spans="1:38" x14ac:dyDescent="0.2">
      <c r="A1" s="10" t="s">
        <v>31</v>
      </c>
      <c r="B1" s="10" t="s">
        <v>1200</v>
      </c>
      <c r="C1" s="26" t="s">
        <v>1054</v>
      </c>
      <c r="D1" s="8" t="s">
        <v>1055</v>
      </c>
      <c r="E1" s="8" t="s">
        <v>1071</v>
      </c>
      <c r="F1" s="8" t="s">
        <v>1072</v>
      </c>
      <c r="G1" s="8" t="s">
        <v>1056</v>
      </c>
      <c r="H1" s="99" t="s">
        <v>1057</v>
      </c>
      <c r="I1" s="8" t="s">
        <v>1073</v>
      </c>
      <c r="J1" s="8" t="s">
        <v>1074</v>
      </c>
      <c r="K1" s="99" t="s">
        <v>1058</v>
      </c>
      <c r="L1" s="8" t="s">
        <v>1059</v>
      </c>
      <c r="M1" s="8" t="s">
        <v>1086</v>
      </c>
      <c r="N1" s="99" t="s">
        <v>1087</v>
      </c>
      <c r="O1" s="86" t="s">
        <v>1060</v>
      </c>
      <c r="P1" s="8" t="s">
        <v>1061</v>
      </c>
      <c r="Q1" s="8" t="s">
        <v>1089</v>
      </c>
      <c r="R1" s="8" t="s">
        <v>1090</v>
      </c>
      <c r="S1" s="8" t="s">
        <v>1062</v>
      </c>
      <c r="T1" s="8" t="s">
        <v>1063</v>
      </c>
      <c r="U1" s="8" t="s">
        <v>1064</v>
      </c>
      <c r="V1" s="8" t="s">
        <v>1065</v>
      </c>
      <c r="W1" s="8" t="s">
        <v>1066</v>
      </c>
      <c r="X1" s="8" t="s">
        <v>1067</v>
      </c>
      <c r="Y1" s="8" t="s">
        <v>1068</v>
      </c>
      <c r="Z1" s="8" t="s">
        <v>1069</v>
      </c>
      <c r="AA1" s="26" t="s">
        <v>99</v>
      </c>
      <c r="AB1" s="30" t="s">
        <v>1234</v>
      </c>
      <c r="AC1" s="30" t="s">
        <v>1280</v>
      </c>
      <c r="AD1" s="30" t="s">
        <v>1276</v>
      </c>
      <c r="AE1" s="30" t="s">
        <v>1235</v>
      </c>
      <c r="AF1" s="30" t="s">
        <v>1269</v>
      </c>
      <c r="AG1" s="26" t="s">
        <v>1273</v>
      </c>
      <c r="AH1" s="30" t="s">
        <v>1385</v>
      </c>
      <c r="AI1" s="30" t="s">
        <v>1236</v>
      </c>
      <c r="AJ1" s="30" t="s">
        <v>1233</v>
      </c>
      <c r="AK1" s="30" t="s">
        <v>1474</v>
      </c>
      <c r="AL1" s="30" t="s">
        <v>1220</v>
      </c>
    </row>
    <row r="2" spans="1:38" x14ac:dyDescent="0.2">
      <c r="A2" s="1" t="s">
        <v>242</v>
      </c>
      <c r="B2" s="1" t="str">
        <f>VLOOKUP(A2,Xtal_Templ!A:B,2,FALSE)</f>
        <v>par2_human</v>
      </c>
      <c r="C2" s="5">
        <f>VLOOKUP($B2&amp;"__wt",'SegEnds_Xtal_BW#'!$A:$Z,3,FALSE)</f>
        <v>28</v>
      </c>
      <c r="D2" s="1">
        <f>VLOOKUP($B2&amp;"__wt",'SegEnds_Xtal_BW#'!$A:$Z,4,FALSE)</f>
        <v>60</v>
      </c>
      <c r="E2" s="1" t="str">
        <f>VLOOKUP($B2&amp;"__wt",'SegEnds_Xtal_BW#'!$A:$Z,5,FALSE)</f>
        <v>-</v>
      </c>
      <c r="F2" s="1" t="str">
        <f>VLOOKUP($B2&amp;"__wt",'SegEnds_Xtal_BW#'!$A:$Z,6,FALSE)</f>
        <v>-</v>
      </c>
      <c r="G2" s="1">
        <v>37</v>
      </c>
      <c r="H2" s="12">
        <v>66</v>
      </c>
      <c r="I2" s="1">
        <f>VLOOKUP($B2&amp;"__wt",'SegEnds_Xtal_BW#'!$A:$Z,9,FALSE)</f>
        <v>47</v>
      </c>
      <c r="J2" s="1">
        <f>VLOOKUP($B2&amp;"__wt",'SegEnds_Xtal_BW#'!$A:$Z,10,FALSE)</f>
        <v>52</v>
      </c>
      <c r="K2" s="12">
        <v>24</v>
      </c>
      <c r="L2" s="1">
        <f>VLOOKUP($B2&amp;"__wt",'SegEnds_Xtal_BW#'!$A:$Z,12,FALSE)</f>
        <v>56</v>
      </c>
      <c r="M2" s="1">
        <f>VLOOKUP($B2&amp;"__wt",'SegEnds_Xtal_BW#'!$A:$Z,13,FALSE)</f>
        <v>50</v>
      </c>
      <c r="N2" s="12">
        <v>57</v>
      </c>
      <c r="O2" s="87">
        <v>38</v>
      </c>
      <c r="P2" s="1">
        <f>VLOOKUP($B2&amp;"__wt",'SegEnds_Xtal_BW#'!$A:$Z,16,FALSE)</f>
        <v>62</v>
      </c>
      <c r="Q2" s="1">
        <f>VLOOKUP($B2&amp;"__wt",'SegEnds_Xtal_BW#'!$A:$Z,17,FALSE)</f>
        <v>50</v>
      </c>
      <c r="R2" s="1">
        <f>VLOOKUP($B2&amp;"__wt",'SegEnds_Xtal_BW#'!$A:$Z,18,FALSE)</f>
        <v>52</v>
      </c>
      <c r="S2" s="108">
        <v>38</v>
      </c>
      <c r="T2" s="1">
        <f t="array" ref="T2">INDEX(ICL3_classA!$G$2:$G$39,MATCH(MIN(ABS(AI2-ICL3_classA!$F$2:$F$39)),ABS(AI2-ICL3_classA!$F$2:$F$39),0))</f>
        <v>68</v>
      </c>
      <c r="U2" s="1">
        <f t="array" ref="U2">INDEX(ICL3_classA!$H$2:$H$39,MATCH(MIN(ABS(AI2-ICL3_classA!$F$2:$F$39)),ABS(AI2-ICL3_classA!$F$2:$F$39),0))</f>
        <v>24</v>
      </c>
      <c r="V2" s="1">
        <v>61</v>
      </c>
      <c r="W2" s="131">
        <f>VLOOKUP($B2&amp;"__wt",'SegEnds_Xtal_BW#'!$A:$Z,23,FALSE)</f>
        <v>31</v>
      </c>
      <c r="X2" s="1">
        <f>VLOOKUP($B2&amp;"__wt",'SegEnds_Xtal_BW#'!$A:$Z,24,FALSE)</f>
        <v>56</v>
      </c>
      <c r="Y2" s="1">
        <f>VLOOKUP($B2&amp;"__wt",'SegEnds_Xtal_BW#'!$A:$Z,25,FALSE)</f>
        <v>47</v>
      </c>
      <c r="Z2" s="1">
        <f>VLOOKUP($B2&amp;"__wt",'SegEnds_Xtal_BW#'!$A:$Z,26,FALSE)</f>
        <v>61</v>
      </c>
      <c r="AA2" s="27" t="str">
        <f>VLOOKUP(A2,Classification!A:B,2,FALSE)</f>
        <v>A</v>
      </c>
      <c r="AB2" s="1">
        <f>VLOOKUP(A2,'SegEnds_NonXtal_Prot#'!A:AL,10,FALSE)-VLOOKUP(A2,'SegEnds_NonXtal_Prot#'!A:AL,4,FALSE)</f>
        <v>28</v>
      </c>
      <c r="AC2" s="1">
        <f>VLOOKUP(A2,'SegEnds_NonXtal_Prot#'!A:AL,10,FALSE)-VLOOKUP(A2,'SegEnds_NonXtal_Prot#'!A:AL,7,FALSE)</f>
        <v>15</v>
      </c>
      <c r="AD2" s="1" t="e">
        <f>VLOOKUP(A2,'SegEnds_NonXtal_Prot#'!A:AL,13,FALSE)-VLOOKUP(A2,'SegEnds_NonXtal_Prot#'!A:AL,10,FALSE)</f>
        <v>#VALUE!</v>
      </c>
      <c r="AE2" s="1">
        <f>VLOOKUP(A2,'SegEnds_NonXtal_Prot#'!A:AL,16,FALSE)-VLOOKUP(A2,'SegEnds_NonXtal_Prot#'!A:AL,10,FALSE)</f>
        <v>49</v>
      </c>
      <c r="AF2" s="1">
        <f>VLOOKUP(A2,'SegEnds_NonXtal_Prot#'!A:AL,22,FALSE)-VLOOKUP(A2,'SegEnds_NonXtal_Prot#'!A:AL,19,FALSE)</f>
        <v>20</v>
      </c>
      <c r="AG2" s="1" t="e">
        <f>VLOOKUP(A2,'SegEnds_NonXtal_Prot#'!A:AL,28,FALSE)-VLOOKUP(A2,'SegEnds_NonXtal_Prot#'!A:AL,25,FALSE)</f>
        <v>#VALUE!</v>
      </c>
      <c r="AH2" s="1">
        <f>VLOOKUP(A2,'SegEnds_NonXtal_Prot#'!A:AL,28,FALSE)-VLOOKUP(A2,'SegEnds_NonXtal_Prot#'!A:AL,22,FALSE)</f>
        <v>33</v>
      </c>
      <c r="AI2" s="1">
        <f>VLOOKUP(A2,'SegEnds_NonXtal_Prot#'!A:AL,31,FALSE)-VLOOKUP(A2,'SegEnds_NonXtal_Prot#'!A:AL,28,FALSE)</f>
        <v>48</v>
      </c>
      <c r="AJ2" s="1">
        <f>VLOOKUP(A2,'SegEnds_NonXtal_Prot#'!A:AL,34,FALSE)-VLOOKUP(A2,'SegEnds_NonXtal_Prot#'!A:AL,31,FALSE)</f>
        <v>38</v>
      </c>
      <c r="AK2" s="1">
        <f>VLOOKUP(A2,'SegEnds_NonXtal_Prot#'!A:AL,37,FALSE)-VLOOKUP(A2,'SegEnds_NonXtal_Prot#'!A:AL,34,FALSE)</f>
        <v>10</v>
      </c>
      <c r="AL2" s="1" t="str">
        <f>IF(ISERROR(MATCH(A2,'SegEnds_Xtal_Prot#'!B:B, 0)), "NoXtal", "Xtal")</f>
        <v>NoXtal</v>
      </c>
    </row>
    <row r="3" spans="1:38" x14ac:dyDescent="0.2">
      <c r="A3" s="1" t="s">
        <v>219</v>
      </c>
      <c r="B3" s="1" t="str">
        <f>VLOOKUP(A3,Xtal_Templ!A:B,2,FALSE)</f>
        <v>5ht1b_human</v>
      </c>
      <c r="C3" s="5">
        <f>VLOOKUP($B3&amp;"__wt",'SegEnds_Xtal_BW#'!$A:$Z,3,FALSE)</f>
        <v>28</v>
      </c>
      <c r="D3" s="1">
        <f>VLOOKUP($B3&amp;"__wt",'SegEnds_Xtal_BW#'!$A:$Z,4,FALSE)</f>
        <v>60</v>
      </c>
      <c r="E3" s="1">
        <f>VLOOKUP($B3&amp;"__wt",'SegEnds_Xtal_BW#'!$A:$Z,5,FALSE)</f>
        <v>48</v>
      </c>
      <c r="F3" s="1">
        <f>VLOOKUP($B3&amp;"__wt",'SegEnds_Xtal_BW#'!$A:$Z,6,FALSE)</f>
        <v>51</v>
      </c>
      <c r="G3" s="1">
        <v>37</v>
      </c>
      <c r="H3" s="12">
        <v>66</v>
      </c>
      <c r="I3" s="1">
        <f>VLOOKUP($B3&amp;"__wt",'SegEnds_Xtal_BW#'!$A:$Z,9,FALSE)</f>
        <v>49</v>
      </c>
      <c r="J3" s="1">
        <f>VLOOKUP($B3&amp;"__wt",'SegEnds_Xtal_BW#'!$A:$Z,10,FALSE)</f>
        <v>52</v>
      </c>
      <c r="K3" s="12">
        <v>24</v>
      </c>
      <c r="L3" s="1">
        <f>VLOOKUP($B3&amp;"__wt",'SegEnds_Xtal_BW#'!$A:$Z,12,FALSE)</f>
        <v>56</v>
      </c>
      <c r="M3" s="1">
        <f>VLOOKUP($B3&amp;"__wt",'SegEnds_Xtal_BW#'!$A:$Z,13,FALSE)</f>
        <v>50</v>
      </c>
      <c r="N3" s="12">
        <v>57</v>
      </c>
      <c r="O3" s="87">
        <v>38</v>
      </c>
      <c r="P3" s="1">
        <f>VLOOKUP($B3&amp;"__wt",'SegEnds_Xtal_BW#'!$A:$Z,16,FALSE)</f>
        <v>63</v>
      </c>
      <c r="Q3" s="1">
        <f>VLOOKUP($B3&amp;"__wt",'SegEnds_Xtal_BW#'!$A:$Z,17,FALSE)</f>
        <v>50</v>
      </c>
      <c r="R3" s="1">
        <f>VLOOKUP($B3&amp;"__wt",'SegEnds_Xtal_BW#'!$A:$Z,18,FALSE)</f>
        <v>52</v>
      </c>
      <c r="S3" s="115">
        <v>35</v>
      </c>
      <c r="T3" s="1">
        <f t="array" ref="T3">INDEX(ICL3_classA!$G$2:$G$39,MATCH(MIN(ABS(AI3-ICL3_classA!$F$2:$F$39)),ABS(AI3-ICL3_classA!$F$2:$F$39),0))</f>
        <v>76</v>
      </c>
      <c r="U3" s="1">
        <f t="array" ref="U3">INDEX(ICL3_classA!$H$2:$H$39,MATCH(MIN(ABS(AI3-ICL3_classA!$F$2:$F$39)),ABS(AI3-ICL3_classA!$F$2:$F$39),0))</f>
        <v>24</v>
      </c>
      <c r="V3" s="1">
        <v>58</v>
      </c>
      <c r="W3" s="1">
        <v>36</v>
      </c>
      <c r="X3" s="1">
        <f>VLOOKUP($B3&amp;"__wt",'SegEnds_Xtal_BW#'!$A:$Z,24,FALSE)</f>
        <v>56</v>
      </c>
      <c r="Y3" s="1">
        <f>VLOOKUP($B3&amp;"__wt",'SegEnds_Xtal_BW#'!$A:$Z,25,FALSE)</f>
        <v>47</v>
      </c>
      <c r="Z3" s="1">
        <f>VLOOKUP($B3&amp;"__wt",'SegEnds_Xtal_BW#'!$A:$Z,26,FALSE)</f>
        <v>58</v>
      </c>
      <c r="AA3" s="27" t="str">
        <f>VLOOKUP(A3,Classification!A:B,2,FALSE)</f>
        <v>A</v>
      </c>
      <c r="AB3" s="1">
        <f>VLOOKUP(A3,'SegEnds_NonXtal_Prot#'!A:AL,10,FALSE)-VLOOKUP(A3,'SegEnds_NonXtal_Prot#'!A:AL,4,FALSE)</f>
        <v>29</v>
      </c>
      <c r="AC3" s="1">
        <f>VLOOKUP(A3,'SegEnds_NonXtal_Prot#'!A:AL,10,FALSE)-VLOOKUP(A3,'SegEnds_NonXtal_Prot#'!A:AL,7,FALSE)</f>
        <v>16</v>
      </c>
      <c r="AD3" s="1">
        <f>VLOOKUP(A3,'SegEnds_NonXtal_Prot#'!A:AL,13,FALSE)-VLOOKUP(A3,'SegEnds_NonXtal_Prot#'!A:AL,10,FALSE)</f>
        <v>18</v>
      </c>
      <c r="AE3" s="1">
        <f>VLOOKUP(A3,'SegEnds_NonXtal_Prot#'!A:AL,16,FALSE)-VLOOKUP(A3,'SegEnds_NonXtal_Prot#'!A:AL,10,FALSE)</f>
        <v>50</v>
      </c>
      <c r="AF3" s="1">
        <f>VLOOKUP(A3,'SegEnds_NonXtal_Prot#'!A:AL,22,FALSE)-VLOOKUP(A3,'SegEnds_NonXtal_Prot#'!A:AL,19,FALSE)</f>
        <v>20</v>
      </c>
      <c r="AG3" s="1" t="e">
        <f>VLOOKUP(A3,'SegEnds_NonXtal_Prot#'!A:AL,28,FALSE)-VLOOKUP(A3,'SegEnds_NonXtal_Prot#'!A:AL,25,FALSE)</f>
        <v>#VALUE!</v>
      </c>
      <c r="AH3" s="1">
        <f>VLOOKUP(A3,'SegEnds_NonXtal_Prot#'!A:AL,28,FALSE)-VLOOKUP(A3,'SegEnds_NonXtal_Prot#'!A:AL,22,FALSE)</f>
        <v>38</v>
      </c>
      <c r="AI3" s="1">
        <f>VLOOKUP(A3,'SegEnds_NonXtal_Prot#'!A:AL,31,FALSE)-VLOOKUP(A3,'SegEnds_NonXtal_Prot#'!A:AL,28,FALSE)</f>
        <v>68</v>
      </c>
      <c r="AJ3" s="1">
        <f>VLOOKUP(A3,'SegEnds_NonXtal_Prot#'!A:AL,34,FALSE)-VLOOKUP(A3,'SegEnds_NonXtal_Prot#'!A:AL,31,FALSE)</f>
        <v>30</v>
      </c>
      <c r="AK3" s="1">
        <f>VLOOKUP(A3,'SegEnds_NonXtal_Prot#'!A:AL,37,FALSE)-VLOOKUP(A3,'SegEnds_NonXtal_Prot#'!A:AL,34,FALSE)</f>
        <v>11</v>
      </c>
      <c r="AL3" s="1" t="str">
        <f>IF(ISERROR(MATCH(A3,'SegEnds_Xtal_Prot#'!B:B, 0)), "NoXtal", "Xtal")</f>
        <v>NoXtal</v>
      </c>
    </row>
    <row r="4" spans="1:38" x14ac:dyDescent="0.2">
      <c r="A4" s="1" t="s">
        <v>294</v>
      </c>
      <c r="B4" s="1" t="str">
        <f>VLOOKUP(A4,Xtal_Templ!A:B,2,FALSE)</f>
        <v>ccr9_human</v>
      </c>
      <c r="C4" s="5">
        <f>VLOOKUP($B4&amp;"__wt",'SegEnds_Xtal_BW#'!$A:$Z,3,FALSE)</f>
        <v>27</v>
      </c>
      <c r="D4" s="1">
        <f>VLOOKUP($B4&amp;"__wt",'SegEnds_Xtal_BW#'!$A:$Z,4,FALSE)</f>
        <v>60</v>
      </c>
      <c r="E4" s="1">
        <f>VLOOKUP($B4&amp;"__wt",'SegEnds_Xtal_BW#'!$A:$Z,5,FALSE)</f>
        <v>48</v>
      </c>
      <c r="F4" s="1">
        <f>VLOOKUP($B4&amp;"__wt",'SegEnds_Xtal_BW#'!$A:$Z,6,FALSE)</f>
        <v>51</v>
      </c>
      <c r="G4" s="1">
        <v>37</v>
      </c>
      <c r="H4" s="12">
        <f>VLOOKUP($B4&amp;"__wt",'SegEnds_Xtal_BW#'!$A:$Z,8,FALSE)</f>
        <v>66</v>
      </c>
      <c r="I4" s="1">
        <f>VLOOKUP($B4&amp;"__wt",'SegEnds_Xtal_BW#'!$A:$Z,9,FALSE)</f>
        <v>49</v>
      </c>
      <c r="J4" s="1">
        <f>VLOOKUP($B4&amp;"__wt",'SegEnds_Xtal_BW#'!$A:$Z,10,FALSE)</f>
        <v>52</v>
      </c>
      <c r="K4" s="12">
        <v>18</v>
      </c>
      <c r="L4" s="1">
        <f>VLOOKUP($B4&amp;"__wt",'SegEnds_Xtal_BW#'!$A:$Z,12,FALSE)</f>
        <v>56</v>
      </c>
      <c r="M4" s="1">
        <f>VLOOKUP($B4&amp;"__wt",'SegEnds_Xtal_BW#'!$A:$Z,13,FALSE)</f>
        <v>50</v>
      </c>
      <c r="N4" s="12">
        <v>57</v>
      </c>
      <c r="O4" s="87">
        <v>38</v>
      </c>
      <c r="P4" s="1">
        <f>VLOOKUP($B4&amp;"__wt",'SegEnds_Xtal_BW#'!$A:$Z,16,FALSE)</f>
        <v>64</v>
      </c>
      <c r="Q4" s="1">
        <f>VLOOKUP($B4&amp;"__wt",'SegEnds_Xtal_BW#'!$A:$Z,17,FALSE)</f>
        <v>50</v>
      </c>
      <c r="R4" s="1">
        <f>VLOOKUP($B4&amp;"__wt",'SegEnds_Xtal_BW#'!$A:$Z,18,FALSE)</f>
        <v>52</v>
      </c>
      <c r="S4" s="1">
        <f>VLOOKUP($B4&amp;"__wt",'SegEnds_Xtal_BW#'!$A:$Z,19,FALSE)</f>
        <v>33</v>
      </c>
      <c r="T4" s="1">
        <f t="array" ref="T4">INDEX(ICL3_classA!$G$2:$G$39,MATCH(MIN(ABS(AI4-ICL3_classA!$F$2:$F$39)),ABS(AI4-ICL3_classA!$F$2:$F$39),0))</f>
        <v>68</v>
      </c>
      <c r="U4" s="1">
        <f t="array" ref="U4">INDEX(ICL3_classA!$H$2:$H$39,MATCH(MIN(ABS(AI4-ICL3_classA!$F$2:$F$39)),ABS(AI4-ICL3_classA!$F$2:$F$39),0))</f>
        <v>30</v>
      </c>
      <c r="V4" s="1">
        <v>61</v>
      </c>
      <c r="W4" s="1">
        <v>34</v>
      </c>
      <c r="X4" s="1">
        <f>VLOOKUP($B4&amp;"__wt",'SegEnds_Xtal_BW#'!$A:$Z,24,FALSE)</f>
        <v>56</v>
      </c>
      <c r="Y4" s="1">
        <f>VLOOKUP($B4&amp;"__wt",'SegEnds_Xtal_BW#'!$A:$Z,25,FALSE)</f>
        <v>47</v>
      </c>
      <c r="Z4" s="1">
        <f>VLOOKUP($B4&amp;"__wt",'SegEnds_Xtal_BW#'!$A:$Z,26,FALSE)</f>
        <v>67</v>
      </c>
      <c r="AA4" s="27" t="str">
        <f>VLOOKUP(A4,Classification!A:B,2,FALSE)</f>
        <v>A</v>
      </c>
      <c r="AB4" s="1">
        <f>VLOOKUP(A4,'SegEnds_NonXtal_Prot#'!A:AL,10,FALSE)-VLOOKUP(A4,'SegEnds_NonXtal_Prot#'!A:AL,4,FALSE)</f>
        <v>26</v>
      </c>
      <c r="AC4" s="1" t="e">
        <f>VLOOKUP(A4,'SegEnds_NonXtal_Prot#'!A:AL,10,FALSE)-VLOOKUP(A4,'SegEnds_NonXtal_Prot#'!A:AL,7,FALSE)</f>
        <v>#VALUE!</v>
      </c>
      <c r="AD4" s="1" t="e">
        <f>VLOOKUP(A4,'SegEnds_NonXtal_Prot#'!A:AL,13,FALSE)-VLOOKUP(A4,'SegEnds_NonXtal_Prot#'!A:AL,10,FALSE)</f>
        <v>#VALUE!</v>
      </c>
      <c r="AE4" s="1">
        <f>VLOOKUP(A4,'SegEnds_NonXtal_Prot#'!A:AL,16,FALSE)-VLOOKUP(A4,'SegEnds_NonXtal_Prot#'!A:AL,10,FALSE)</f>
        <v>52</v>
      </c>
      <c r="AF4" s="1">
        <f>VLOOKUP(A4,'SegEnds_NonXtal_Prot#'!A:AL,22,FALSE)-VLOOKUP(A4,'SegEnds_NonXtal_Prot#'!A:AL,19,FALSE)</f>
        <v>20</v>
      </c>
      <c r="AG4" s="1" t="e">
        <f>VLOOKUP(A4,'SegEnds_NonXtal_Prot#'!A:AL,28,FALSE)-VLOOKUP(A4,'SegEnds_NonXtal_Prot#'!A:AL,25,FALSE)</f>
        <v>#VALUE!</v>
      </c>
      <c r="AH4" s="1">
        <f>VLOOKUP(A4,'SegEnds_NonXtal_Prot#'!A:AL,28,FALSE)-VLOOKUP(A4,'SegEnds_NonXtal_Prot#'!A:AL,22,FALSE)</f>
        <v>39</v>
      </c>
      <c r="AI4" s="1">
        <f>VLOOKUP(A4,'SegEnds_NonXtal_Prot#'!A:AL,31,FALSE)-VLOOKUP(A4,'SegEnds_NonXtal_Prot#'!A:AL,28,FALSE)</f>
        <v>42</v>
      </c>
      <c r="AJ4" s="1">
        <f>VLOOKUP(A4,'SegEnds_NonXtal_Prot#'!A:AL,34,FALSE)-VLOOKUP(A4,'SegEnds_NonXtal_Prot#'!A:AL,31,FALSE)</f>
        <v>32</v>
      </c>
      <c r="AK4" s="1">
        <f>VLOOKUP(A4,'SegEnds_NonXtal_Prot#'!A:AL,37,FALSE)-VLOOKUP(A4,'SegEnds_NonXtal_Prot#'!A:AL,34,FALSE)</f>
        <v>10</v>
      </c>
      <c r="AL4" s="1" t="str">
        <f>IF(ISERROR(MATCH(A4,'SegEnds_Xtal_Prot#'!B:B, 0)), "NoXtal", "Xtal")</f>
        <v>NoXtal</v>
      </c>
    </row>
    <row r="5" spans="1:38" x14ac:dyDescent="0.2">
      <c r="A5" s="1" t="s">
        <v>151</v>
      </c>
      <c r="B5" s="1" t="str">
        <f>VLOOKUP(A5,Xtal_Templ!A:B,2,FALSE)</f>
        <v>s1pr1_human</v>
      </c>
      <c r="C5" s="5">
        <f>VLOOKUP($B5&amp;"__wt",'SegEnds_Xtal_BW#'!$A:$Z,3,FALSE)</f>
        <v>29</v>
      </c>
      <c r="D5" s="1">
        <f>VLOOKUP($B5&amp;"__wt",'SegEnds_Xtal_BW#'!$A:$Z,4,FALSE)</f>
        <v>60</v>
      </c>
      <c r="E5" s="1">
        <f>VLOOKUP($B5&amp;"__wt",'SegEnds_Xtal_BW#'!$A:$Z,5,FALSE)</f>
        <v>48</v>
      </c>
      <c r="F5" s="1">
        <f>VLOOKUP($B5&amp;"__wt",'SegEnds_Xtal_BW#'!$A:$Z,6,FALSE)</f>
        <v>51</v>
      </c>
      <c r="G5" s="1">
        <v>37</v>
      </c>
      <c r="H5" s="12">
        <v>67</v>
      </c>
      <c r="I5" s="1" t="s">
        <v>23</v>
      </c>
      <c r="J5" s="1" t="s">
        <v>23</v>
      </c>
      <c r="K5" s="12">
        <v>18</v>
      </c>
      <c r="L5" s="1">
        <f>VLOOKUP($B5&amp;"__wt",'SegEnds_Xtal_BW#'!$A:$Z,12,FALSE)</f>
        <v>56</v>
      </c>
      <c r="M5" s="1">
        <f>VLOOKUP($B5&amp;"__wt",'SegEnds_Xtal_BW#'!$A:$Z,13,FALSE)</f>
        <v>50</v>
      </c>
      <c r="N5" s="12">
        <v>57</v>
      </c>
      <c r="O5" s="87">
        <f>VLOOKUP($B5&amp;"__wt",'SegEnds_Xtal_BW#'!$A:$Z,15,FALSE)</f>
        <v>38</v>
      </c>
      <c r="P5" s="1">
        <f>VLOOKUP($B5&amp;"__wt",'SegEnds_Xtal_BW#'!$A:$Z,16,FALSE)</f>
        <v>63</v>
      </c>
      <c r="Q5" s="1" t="str">
        <f>VLOOKUP($B5&amp;"__wt",'SegEnds_Xtal_BW#'!$A:$Z,17,FALSE)</f>
        <v>-</v>
      </c>
      <c r="R5" s="1" t="str">
        <f>VLOOKUP($B5&amp;"__wt",'SegEnds_Xtal_BW#'!$A:$Z,18,FALSE)</f>
        <v>-</v>
      </c>
      <c r="S5" s="108">
        <v>33</v>
      </c>
      <c r="T5" s="1">
        <f t="array" ref="T5">INDEX(ICL3_classA!$G$2:$G$39,MATCH(MIN(ABS(AI5-ICL3_classA!$F$2:$F$39)),ABS(AI5-ICL3_classA!$F$2:$F$39),0))</f>
        <v>66</v>
      </c>
      <c r="U5" s="1">
        <f t="array" ref="U5">INDEX(ICL3_classA!$H$2:$H$39,MATCH(MIN(ABS(AI5-ICL3_classA!$F$2:$F$39)),ABS(AI5-ICL3_classA!$F$2:$F$39),0))</f>
        <v>30</v>
      </c>
      <c r="V5" s="1">
        <v>61</v>
      </c>
      <c r="W5" s="131">
        <f>VLOOKUP($B5&amp;"__wt",'SegEnds_Xtal_BW#'!$A:$Z,23,FALSE)</f>
        <v>30</v>
      </c>
      <c r="X5" s="1">
        <f>VLOOKUP($B5&amp;"__wt",'SegEnds_Xtal_BW#'!$A:$Z,24,FALSE)</f>
        <v>56</v>
      </c>
      <c r="Y5" s="1">
        <f>VLOOKUP($B5&amp;"__wt",'SegEnds_Xtal_BW#'!$A:$Z,25,FALSE)</f>
        <v>47</v>
      </c>
      <c r="Z5" s="1">
        <f>VLOOKUP($B5&amp;"__wt",'SegEnds_Xtal_BW#'!$A:$Z,26,FALSE)</f>
        <v>59</v>
      </c>
      <c r="AA5" s="27" t="str">
        <f>VLOOKUP(A5,Classification!A:B,2,FALSE)</f>
        <v>A</v>
      </c>
      <c r="AB5" s="1">
        <f>VLOOKUP(A5,'SegEnds_NonXtal_Prot#'!A:AL,10,FALSE)-VLOOKUP(A5,'SegEnds_NonXtal_Prot#'!A:AL,4,FALSE)</f>
        <v>28</v>
      </c>
      <c r="AC5" s="1">
        <f>VLOOKUP(A5,'SegEnds_NonXtal_Prot#'!A:AL,10,FALSE)-VLOOKUP(A5,'SegEnds_NonXtal_Prot#'!A:AL,7,FALSE)</f>
        <v>15</v>
      </c>
      <c r="AD5" s="1" t="e">
        <f>VLOOKUP(A5,'SegEnds_NonXtal_Prot#'!A:AL,13,FALSE)-VLOOKUP(A5,'SegEnds_NonXtal_Prot#'!A:AL,10,FALSE)</f>
        <v>#VALUE!</v>
      </c>
      <c r="AE5" s="1">
        <f>VLOOKUP(A5,'SegEnds_NonXtal_Prot#'!A:AL,16,FALSE)-VLOOKUP(A5,'SegEnds_NonXtal_Prot#'!A:AL,10,FALSE)</f>
        <v>58</v>
      </c>
      <c r="AF5" s="1">
        <f>VLOOKUP(A5,'SegEnds_NonXtal_Prot#'!A:AL,22,FALSE)-VLOOKUP(A5,'SegEnds_NonXtal_Prot#'!A:AL,19,FALSE)</f>
        <v>20</v>
      </c>
      <c r="AG5" s="1" t="e">
        <f>VLOOKUP(A5,'SegEnds_NonXtal_Prot#'!A:AL,28,FALSE)-VLOOKUP(A5,'SegEnds_NonXtal_Prot#'!A:AL,25,FALSE)</f>
        <v>#VALUE!</v>
      </c>
      <c r="AH5" s="1">
        <f>VLOOKUP(A5,'SegEnds_NonXtal_Prot#'!A:AL,28,FALSE)-VLOOKUP(A5,'SegEnds_NonXtal_Prot#'!A:AL,22,FALSE)</f>
        <v>40</v>
      </c>
      <c r="AI5" s="1">
        <f>VLOOKUP(A5,'SegEnds_NonXtal_Prot#'!A:AL,31,FALSE)-VLOOKUP(A5,'SegEnds_NonXtal_Prot#'!A:AL,28,FALSE)</f>
        <v>39</v>
      </c>
      <c r="AJ5" s="1">
        <f>VLOOKUP(A5,'SegEnds_NonXtal_Prot#'!A:AL,34,FALSE)-VLOOKUP(A5,'SegEnds_NonXtal_Prot#'!A:AL,31,FALSE)</f>
        <v>39</v>
      </c>
      <c r="AK5" s="1">
        <f>VLOOKUP(A5,'SegEnds_NonXtal_Prot#'!A:AL,37,FALSE)-VLOOKUP(A5,'SegEnds_NonXtal_Prot#'!A:AL,34,FALSE)</f>
        <v>10</v>
      </c>
      <c r="AL5" s="1" t="str">
        <f>IF(ISERROR(MATCH(A5,'SegEnds_Xtal_Prot#'!B:B, 0)), "NoXtal", "Xtal")</f>
        <v>NoXtal</v>
      </c>
    </row>
    <row r="6" spans="1:38" x14ac:dyDescent="0.2">
      <c r="A6" s="1" t="s">
        <v>295</v>
      </c>
      <c r="B6" s="1" t="str">
        <f>VLOOKUP(A6,Xtal_Templ!A:B,2,FALSE)</f>
        <v>lpar1_human</v>
      </c>
      <c r="C6" s="5">
        <f>VLOOKUP($B6&amp;"__wt",'SegEnds_Xtal_BW#'!$A:$Z,3,FALSE)</f>
        <v>30</v>
      </c>
      <c r="D6" s="1">
        <f>VLOOKUP($B6&amp;"__wt",'SegEnds_Xtal_BW#'!$A:$Z,4,FALSE)</f>
        <v>60</v>
      </c>
      <c r="E6" s="1">
        <f>VLOOKUP($B6&amp;"__wt",'SegEnds_Xtal_BW#'!$A:$Z,5,FALSE)</f>
        <v>48</v>
      </c>
      <c r="F6" s="1">
        <f>VLOOKUP($B6&amp;"__wt",'SegEnds_Xtal_BW#'!$A:$Z,6,FALSE)</f>
        <v>51</v>
      </c>
      <c r="G6" s="1">
        <v>37</v>
      </c>
      <c r="H6" s="12">
        <v>67</v>
      </c>
      <c r="I6" s="1" t="s">
        <v>23</v>
      </c>
      <c r="J6" s="1" t="s">
        <v>23</v>
      </c>
      <c r="K6" s="12">
        <v>18</v>
      </c>
      <c r="L6" s="1">
        <f>VLOOKUP($B6&amp;"__wt",'SegEnds_Xtal_BW#'!$A:$Z,12,FALSE)</f>
        <v>56</v>
      </c>
      <c r="M6" s="1">
        <f>VLOOKUP($B6&amp;"__wt",'SegEnds_Xtal_BW#'!$A:$Z,13,FALSE)</f>
        <v>50</v>
      </c>
      <c r="N6" s="12">
        <v>57</v>
      </c>
      <c r="O6" s="87">
        <f>VLOOKUP($B6&amp;"__wt",'SegEnds_Xtal_BW#'!$A:$Z,15,FALSE)</f>
        <v>38</v>
      </c>
      <c r="P6" s="1">
        <f>VLOOKUP($B6&amp;"__wt",'SegEnds_Xtal_BW#'!$A:$Z,16,FALSE)</f>
        <v>63</v>
      </c>
      <c r="Q6" s="1" t="str">
        <f>VLOOKUP($B6&amp;"__wt",'SegEnds_Xtal_BW#'!$A:$Z,17,FALSE)</f>
        <v>-</v>
      </c>
      <c r="R6" s="1" t="str">
        <f>VLOOKUP($B6&amp;"__wt",'SegEnds_Xtal_BW#'!$A:$Z,18,FALSE)</f>
        <v>-</v>
      </c>
      <c r="S6" s="108">
        <v>33</v>
      </c>
      <c r="T6" s="1">
        <f t="array" ref="T6">INDEX(ICL3_classA!$G$2:$G$39,MATCH(MIN(ABS(AI6-ICL3_classA!$F$2:$F$39)),ABS(AI6-ICL3_classA!$F$2:$F$39),0))</f>
        <v>68</v>
      </c>
      <c r="U6" s="108">
        <v>27</v>
      </c>
      <c r="V6" s="1">
        <v>61</v>
      </c>
      <c r="W6" s="131">
        <f>VLOOKUP($B6&amp;"__wt",'SegEnds_Xtal_BW#'!$A:$Z,23,FALSE)</f>
        <v>30</v>
      </c>
      <c r="X6" s="1">
        <f>VLOOKUP($B6&amp;"__wt",'SegEnds_Xtal_BW#'!$A:$Z,24,FALSE)</f>
        <v>56</v>
      </c>
      <c r="Y6" s="1">
        <f>VLOOKUP($B6&amp;"__wt",'SegEnds_Xtal_BW#'!$A:$Z,25,FALSE)</f>
        <v>47</v>
      </c>
      <c r="Z6" s="1">
        <f>VLOOKUP($B6&amp;"__wt",'SegEnds_Xtal_BW#'!$A:$Z,26,FALSE)</f>
        <v>59</v>
      </c>
      <c r="AA6" s="27" t="str">
        <f>VLOOKUP(A6,Classification!A:B,2,FALSE)</f>
        <v>A</v>
      </c>
      <c r="AB6" s="1">
        <f>VLOOKUP(A6,'SegEnds_NonXtal_Prot#'!A:AL,10,FALSE)-VLOOKUP(A6,'SegEnds_NonXtal_Prot#'!A:AL,4,FALSE)</f>
        <v>28</v>
      </c>
      <c r="AC6" s="1">
        <f>VLOOKUP(A6,'SegEnds_NonXtal_Prot#'!A:AL,10,FALSE)-VLOOKUP(A6,'SegEnds_NonXtal_Prot#'!A:AL,7,FALSE)</f>
        <v>15</v>
      </c>
      <c r="AD6" s="1" t="e">
        <f>VLOOKUP(A6,'SegEnds_NonXtal_Prot#'!A:AL,13,FALSE)-VLOOKUP(A6,'SegEnds_NonXtal_Prot#'!A:AL,10,FALSE)</f>
        <v>#VALUE!</v>
      </c>
      <c r="AE6" s="1">
        <f>VLOOKUP(A6,'SegEnds_NonXtal_Prot#'!A:AL,16,FALSE)-VLOOKUP(A6,'SegEnds_NonXtal_Prot#'!A:AL,10,FALSE)</f>
        <v>58</v>
      </c>
      <c r="AF6" s="1">
        <f>VLOOKUP(A6,'SegEnds_NonXtal_Prot#'!A:AL,22,FALSE)-VLOOKUP(A6,'SegEnds_NonXtal_Prot#'!A:AL,19,FALSE)</f>
        <v>20</v>
      </c>
      <c r="AG6" s="1" t="e">
        <f>VLOOKUP(A6,'SegEnds_NonXtal_Prot#'!A:AL,28,FALSE)-VLOOKUP(A6,'SegEnds_NonXtal_Prot#'!A:AL,25,FALSE)</f>
        <v>#VALUE!</v>
      </c>
      <c r="AH6" s="1">
        <f>VLOOKUP(A6,'SegEnds_NonXtal_Prot#'!A:AL,28,FALSE)-VLOOKUP(A6,'SegEnds_NonXtal_Prot#'!A:AL,22,FALSE)</f>
        <v>40</v>
      </c>
      <c r="AI6" s="1">
        <f>VLOOKUP(A6,'SegEnds_NonXtal_Prot#'!A:AL,31,FALSE)-VLOOKUP(A6,'SegEnds_NonXtal_Prot#'!A:AL,28,FALSE)</f>
        <v>48</v>
      </c>
      <c r="AJ6" s="1">
        <f>VLOOKUP(A6,'SegEnds_NonXtal_Prot#'!A:AL,34,FALSE)-VLOOKUP(A6,'SegEnds_NonXtal_Prot#'!A:AL,31,FALSE)</f>
        <v>39</v>
      </c>
      <c r="AK6" s="1">
        <f>VLOOKUP(A6,'SegEnds_NonXtal_Prot#'!A:AL,37,FALSE)-VLOOKUP(A6,'SegEnds_NonXtal_Prot#'!A:AL,34,FALSE)</f>
        <v>10</v>
      </c>
      <c r="AL6" s="1" t="str">
        <f>IF(ISERROR(MATCH(A6,'SegEnds_Xtal_Prot#'!B:B, 0)), "NoXtal", "Xtal")</f>
        <v>NoXtal</v>
      </c>
    </row>
    <row r="7" spans="1:38" x14ac:dyDescent="0.2">
      <c r="A7" s="1" t="s">
        <v>296</v>
      </c>
      <c r="B7" s="1" t="str">
        <f>VLOOKUP(A7,Xtal_Templ!A:B,2,FALSE)</f>
        <v>s1pr1_human</v>
      </c>
      <c r="C7" s="5">
        <f>VLOOKUP($B7&amp;"__wt",'SegEnds_Xtal_BW#'!$A:$Z,3,FALSE)</f>
        <v>29</v>
      </c>
      <c r="D7" s="1">
        <f>VLOOKUP($B7&amp;"__wt",'SegEnds_Xtal_BW#'!$A:$Z,4,FALSE)</f>
        <v>60</v>
      </c>
      <c r="E7" s="1">
        <f>VLOOKUP($B7&amp;"__wt",'SegEnds_Xtal_BW#'!$A:$Z,5,FALSE)</f>
        <v>48</v>
      </c>
      <c r="F7" s="1">
        <f>VLOOKUP($B7&amp;"__wt",'SegEnds_Xtal_BW#'!$A:$Z,6,FALSE)</f>
        <v>51</v>
      </c>
      <c r="G7" s="1">
        <v>37</v>
      </c>
      <c r="H7" s="12">
        <v>67</v>
      </c>
      <c r="I7" s="1" t="s">
        <v>23</v>
      </c>
      <c r="J7" s="1" t="s">
        <v>23</v>
      </c>
      <c r="K7" s="12">
        <v>18</v>
      </c>
      <c r="L7" s="1">
        <f>VLOOKUP($B7&amp;"__wt",'SegEnds_Xtal_BW#'!$A:$Z,12,FALSE)</f>
        <v>56</v>
      </c>
      <c r="M7" s="1">
        <f>VLOOKUP($B7&amp;"__wt",'SegEnds_Xtal_BW#'!$A:$Z,13,FALSE)</f>
        <v>50</v>
      </c>
      <c r="N7" s="12">
        <v>57</v>
      </c>
      <c r="O7" s="87">
        <f>VLOOKUP($B7&amp;"__wt",'SegEnds_Xtal_BW#'!$A:$Z,15,FALSE)</f>
        <v>38</v>
      </c>
      <c r="P7" s="1">
        <f>VLOOKUP($B7&amp;"__wt",'SegEnds_Xtal_BW#'!$A:$Z,16,FALSE)</f>
        <v>63</v>
      </c>
      <c r="Q7" s="1" t="str">
        <f>VLOOKUP($B7&amp;"__wt",'SegEnds_Xtal_BW#'!$A:$Z,17,FALSE)</f>
        <v>-</v>
      </c>
      <c r="R7" s="1" t="str">
        <f>VLOOKUP($B7&amp;"__wt",'SegEnds_Xtal_BW#'!$A:$Z,18,FALSE)</f>
        <v>-</v>
      </c>
      <c r="S7" s="108">
        <v>33</v>
      </c>
      <c r="T7" s="1">
        <f t="array" ref="T7">INDEX(ICL3_classA!$G$2:$G$39,MATCH(MIN(ABS(AI7-ICL3_classA!$F$2:$F$39)),ABS(AI7-ICL3_classA!$F$2:$F$39),0))</f>
        <v>67</v>
      </c>
      <c r="U7" s="108">
        <v>27</v>
      </c>
      <c r="V7" s="1">
        <v>61</v>
      </c>
      <c r="W7" s="131">
        <f>VLOOKUP($B7&amp;"__wt",'SegEnds_Xtal_BW#'!$A:$Z,23,FALSE)</f>
        <v>30</v>
      </c>
      <c r="X7" s="1">
        <f>VLOOKUP($B7&amp;"__wt",'SegEnds_Xtal_BW#'!$A:$Z,24,FALSE)</f>
        <v>56</v>
      </c>
      <c r="Y7" s="1">
        <f>VLOOKUP($B7&amp;"__wt",'SegEnds_Xtal_BW#'!$A:$Z,25,FALSE)</f>
        <v>47</v>
      </c>
      <c r="Z7" s="1">
        <f>VLOOKUP($B7&amp;"__wt",'SegEnds_Xtal_BW#'!$A:$Z,26,FALSE)</f>
        <v>59</v>
      </c>
      <c r="AA7" s="27" t="str">
        <f>VLOOKUP(A7,Classification!A:B,2,FALSE)</f>
        <v>A</v>
      </c>
      <c r="AB7" s="1">
        <f>VLOOKUP(A7,'SegEnds_NonXtal_Prot#'!A:AL,10,FALSE)-VLOOKUP(A7,'SegEnds_NonXtal_Prot#'!A:AL,4,FALSE)</f>
        <v>28</v>
      </c>
      <c r="AC7" s="1">
        <f>VLOOKUP(A7,'SegEnds_NonXtal_Prot#'!A:AL,10,FALSE)-VLOOKUP(A7,'SegEnds_NonXtal_Prot#'!A:AL,7,FALSE)</f>
        <v>15</v>
      </c>
      <c r="AD7" s="1" t="e">
        <f>VLOOKUP(A7,'SegEnds_NonXtal_Prot#'!A:AL,13,FALSE)-VLOOKUP(A7,'SegEnds_NonXtal_Prot#'!A:AL,10,FALSE)</f>
        <v>#VALUE!</v>
      </c>
      <c r="AE7" s="1">
        <f>VLOOKUP(A7,'SegEnds_NonXtal_Prot#'!A:AL,16,FALSE)-VLOOKUP(A7,'SegEnds_NonXtal_Prot#'!A:AL,10,FALSE)</f>
        <v>57</v>
      </c>
      <c r="AF7" s="1">
        <f>VLOOKUP(A7,'SegEnds_NonXtal_Prot#'!A:AL,22,FALSE)-VLOOKUP(A7,'SegEnds_NonXtal_Prot#'!A:AL,19,FALSE)</f>
        <v>20</v>
      </c>
      <c r="AG7" s="1" t="e">
        <f>VLOOKUP(A7,'SegEnds_NonXtal_Prot#'!A:AL,28,FALSE)-VLOOKUP(A7,'SegEnds_NonXtal_Prot#'!A:AL,25,FALSE)</f>
        <v>#VALUE!</v>
      </c>
      <c r="AH7" s="1">
        <f>VLOOKUP(A7,'SegEnds_NonXtal_Prot#'!A:AL,28,FALSE)-VLOOKUP(A7,'SegEnds_NonXtal_Prot#'!A:AL,22,FALSE)</f>
        <v>40</v>
      </c>
      <c r="AI7" s="1">
        <f>VLOOKUP(A7,'SegEnds_NonXtal_Prot#'!A:AL,31,FALSE)-VLOOKUP(A7,'SegEnds_NonXtal_Prot#'!A:AL,28,FALSE)</f>
        <v>46</v>
      </c>
      <c r="AJ7" s="1">
        <f>VLOOKUP(A7,'SegEnds_NonXtal_Prot#'!A:AL,34,FALSE)-VLOOKUP(A7,'SegEnds_NonXtal_Prot#'!A:AL,31,FALSE)</f>
        <v>39</v>
      </c>
      <c r="AK7" s="1">
        <f>VLOOKUP(A7,'SegEnds_NonXtal_Prot#'!A:AL,37,FALSE)-VLOOKUP(A7,'SegEnds_NonXtal_Prot#'!A:AL,34,FALSE)</f>
        <v>10</v>
      </c>
      <c r="AL7" s="1" t="str">
        <f>IF(ISERROR(MATCH(A7,'SegEnds_Xtal_Prot#'!B:B, 0)), "NoXtal", "Xtal")</f>
        <v>NoXtal</v>
      </c>
    </row>
    <row r="8" spans="1:38" x14ac:dyDescent="0.2">
      <c r="A8" s="1" t="s">
        <v>297</v>
      </c>
      <c r="B8" s="1" t="str">
        <f>VLOOKUP(A8,Xtal_Templ!A:B,2,FALSE)</f>
        <v>lpar1_human</v>
      </c>
      <c r="C8" s="5">
        <f>VLOOKUP($B8&amp;"__wt",'SegEnds_Xtal_BW#'!$A:$Z,3,FALSE)</f>
        <v>30</v>
      </c>
      <c r="D8" s="1">
        <f>VLOOKUP($B8&amp;"__wt",'SegEnds_Xtal_BW#'!$A:$Z,4,FALSE)</f>
        <v>60</v>
      </c>
      <c r="E8" s="1">
        <f>VLOOKUP($B8&amp;"__wt",'SegEnds_Xtal_BW#'!$A:$Z,5,FALSE)</f>
        <v>48</v>
      </c>
      <c r="F8" s="1">
        <f>VLOOKUP($B8&amp;"__wt",'SegEnds_Xtal_BW#'!$A:$Z,6,FALSE)</f>
        <v>51</v>
      </c>
      <c r="G8" s="1">
        <v>37</v>
      </c>
      <c r="H8" s="12">
        <f>VLOOKUP($B8&amp;"__wt",'SegEnds_Xtal_BW#'!$A:$Z,8,FALSE)</f>
        <v>63</v>
      </c>
      <c r="I8" s="1">
        <v>49</v>
      </c>
      <c r="J8" s="1">
        <f>VLOOKUP($B8&amp;"__wt",'SegEnds_Xtal_BW#'!$A:$Z,10,FALSE)</f>
        <v>53</v>
      </c>
      <c r="K8" s="12">
        <v>18</v>
      </c>
      <c r="L8" s="1">
        <f>VLOOKUP($B8&amp;"__wt",'SegEnds_Xtal_BW#'!$A:$Z,12,FALSE)</f>
        <v>56</v>
      </c>
      <c r="M8" s="1">
        <f>VLOOKUP($B8&amp;"__wt",'SegEnds_Xtal_BW#'!$A:$Z,13,FALSE)</f>
        <v>50</v>
      </c>
      <c r="N8" s="12">
        <v>57</v>
      </c>
      <c r="O8" s="87">
        <f>VLOOKUP($B8&amp;"__wt",'SegEnds_Xtal_BW#'!$A:$Z,15,FALSE)</f>
        <v>38</v>
      </c>
      <c r="P8" s="1">
        <f>VLOOKUP($B8&amp;"__wt",'SegEnds_Xtal_BW#'!$A:$Z,16,FALSE)</f>
        <v>63</v>
      </c>
      <c r="Q8" s="1" t="str">
        <f>VLOOKUP($B8&amp;"__wt",'SegEnds_Xtal_BW#'!$A:$Z,17,FALSE)</f>
        <v>-</v>
      </c>
      <c r="R8" s="1" t="str">
        <f>VLOOKUP($B8&amp;"__wt",'SegEnds_Xtal_BW#'!$A:$Z,18,FALSE)</f>
        <v>-</v>
      </c>
      <c r="S8" s="108">
        <v>33</v>
      </c>
      <c r="T8" s="1">
        <f t="array" ref="T8">INDEX(ICL3_classA!$G$2:$G$39,MATCH(MIN(ABS(AI8-ICL3_classA!$F$2:$F$39)),ABS(AI8-ICL3_classA!$F$2:$F$39),0))</f>
        <v>67</v>
      </c>
      <c r="U8" s="108">
        <v>27</v>
      </c>
      <c r="V8" s="1">
        <v>61</v>
      </c>
      <c r="W8" s="131">
        <f>VLOOKUP($B8&amp;"__wt",'SegEnds_Xtal_BW#'!$A:$Z,23,FALSE)</f>
        <v>30</v>
      </c>
      <c r="X8" s="1">
        <f>VLOOKUP($B8&amp;"__wt",'SegEnds_Xtal_BW#'!$A:$Z,24,FALSE)</f>
        <v>56</v>
      </c>
      <c r="Y8" s="1">
        <f>VLOOKUP($B8&amp;"__wt",'SegEnds_Xtal_BW#'!$A:$Z,25,FALSE)</f>
        <v>47</v>
      </c>
      <c r="Z8" s="1">
        <f>VLOOKUP($B8&amp;"__wt",'SegEnds_Xtal_BW#'!$A:$Z,26,FALSE)</f>
        <v>59</v>
      </c>
      <c r="AA8" s="27" t="str">
        <f>VLOOKUP(A8,Classification!A:B,2,FALSE)</f>
        <v>A</v>
      </c>
      <c r="AB8" s="1">
        <f>VLOOKUP(A8,'SegEnds_NonXtal_Prot#'!A:AL,10,FALSE)-VLOOKUP(A8,'SegEnds_NonXtal_Prot#'!A:AL,4,FALSE)</f>
        <v>28</v>
      </c>
      <c r="AC8" s="1">
        <f>VLOOKUP(A8,'SegEnds_NonXtal_Prot#'!A:AL,10,FALSE)-VLOOKUP(A8,'SegEnds_NonXtal_Prot#'!A:AL,7,FALSE)</f>
        <v>15</v>
      </c>
      <c r="AD8" s="1" t="e">
        <f>VLOOKUP(A8,'SegEnds_NonXtal_Prot#'!A:AL,13,FALSE)-VLOOKUP(A8,'SegEnds_NonXtal_Prot#'!A:AL,10,FALSE)</f>
        <v>#VALUE!</v>
      </c>
      <c r="AE8" s="1">
        <f>VLOOKUP(A8,'SegEnds_NonXtal_Prot#'!A:AL,16,FALSE)-VLOOKUP(A8,'SegEnds_NonXtal_Prot#'!A:AL,10,FALSE)</f>
        <v>58</v>
      </c>
      <c r="AF8" s="1">
        <f>VLOOKUP(A8,'SegEnds_NonXtal_Prot#'!A:AL,22,FALSE)-VLOOKUP(A8,'SegEnds_NonXtal_Prot#'!A:AL,19,FALSE)</f>
        <v>20</v>
      </c>
      <c r="AG8" s="1" t="e">
        <f>VLOOKUP(A8,'SegEnds_NonXtal_Prot#'!A:AL,28,FALSE)-VLOOKUP(A8,'SegEnds_NonXtal_Prot#'!A:AL,25,FALSE)</f>
        <v>#VALUE!</v>
      </c>
      <c r="AH8" s="1">
        <f>VLOOKUP(A8,'SegEnds_NonXtal_Prot#'!A:AL,28,FALSE)-VLOOKUP(A8,'SegEnds_NonXtal_Prot#'!A:AL,22,FALSE)</f>
        <v>40</v>
      </c>
      <c r="AI8" s="1">
        <f>VLOOKUP(A8,'SegEnds_NonXtal_Prot#'!A:AL,31,FALSE)-VLOOKUP(A8,'SegEnds_NonXtal_Prot#'!A:AL,28,FALSE)</f>
        <v>46</v>
      </c>
      <c r="AJ8" s="1">
        <f>VLOOKUP(A8,'SegEnds_NonXtal_Prot#'!A:AL,34,FALSE)-VLOOKUP(A8,'SegEnds_NonXtal_Prot#'!A:AL,31,FALSE)</f>
        <v>39</v>
      </c>
      <c r="AK8" s="1">
        <f>VLOOKUP(A8,'SegEnds_NonXtal_Prot#'!A:AL,37,FALSE)-VLOOKUP(A8,'SegEnds_NonXtal_Prot#'!A:AL,34,FALSE)</f>
        <v>10</v>
      </c>
      <c r="AL8" s="1" t="str">
        <f>IF(ISERROR(MATCH(A8,'SegEnds_Xtal_Prot#'!B:B, 0)), "NoXtal", "Xtal")</f>
        <v>NoXtal</v>
      </c>
    </row>
    <row r="9" spans="1:38" x14ac:dyDescent="0.2">
      <c r="A9" s="1" t="s">
        <v>308</v>
      </c>
      <c r="B9" s="1" t="str">
        <f>VLOOKUP(A9,Xtal_Templ!A:B,2,FALSE)</f>
        <v>s1pr1_human</v>
      </c>
      <c r="C9" s="5">
        <f>VLOOKUP($B9&amp;"__wt",'SegEnds_Xtal_BW#'!$A:$Z,3,FALSE)</f>
        <v>29</v>
      </c>
      <c r="D9" s="1">
        <f>VLOOKUP($B9&amp;"__wt",'SegEnds_Xtal_BW#'!$A:$Z,4,FALSE)</f>
        <v>60</v>
      </c>
      <c r="E9" s="1">
        <f>VLOOKUP($B9&amp;"__wt",'SegEnds_Xtal_BW#'!$A:$Z,5,FALSE)</f>
        <v>48</v>
      </c>
      <c r="F9" s="1">
        <f>VLOOKUP($B9&amp;"__wt",'SegEnds_Xtal_BW#'!$A:$Z,6,FALSE)</f>
        <v>51</v>
      </c>
      <c r="G9" s="1">
        <v>37</v>
      </c>
      <c r="H9" s="12">
        <v>67</v>
      </c>
      <c r="I9" s="1" t="s">
        <v>23</v>
      </c>
      <c r="J9" s="1" t="s">
        <v>23</v>
      </c>
      <c r="K9" s="12">
        <v>18</v>
      </c>
      <c r="L9" s="1">
        <f>VLOOKUP($B9&amp;"__wt",'SegEnds_Xtal_BW#'!$A:$Z,12,FALSE)</f>
        <v>56</v>
      </c>
      <c r="M9" s="1">
        <f>VLOOKUP($B9&amp;"__wt",'SegEnds_Xtal_BW#'!$A:$Z,13,FALSE)</f>
        <v>50</v>
      </c>
      <c r="N9" s="12">
        <v>57</v>
      </c>
      <c r="O9" s="87">
        <f>VLOOKUP($B9&amp;"__wt",'SegEnds_Xtal_BW#'!$A:$Z,15,FALSE)</f>
        <v>38</v>
      </c>
      <c r="P9" s="1">
        <f>VLOOKUP($B9&amp;"__wt",'SegEnds_Xtal_BW#'!$A:$Z,16,FALSE)</f>
        <v>63</v>
      </c>
      <c r="Q9" s="1" t="str">
        <f>VLOOKUP($B9&amp;"__wt",'SegEnds_Xtal_BW#'!$A:$Z,17,FALSE)</f>
        <v>-</v>
      </c>
      <c r="R9" s="1" t="str">
        <f>VLOOKUP($B9&amp;"__wt",'SegEnds_Xtal_BW#'!$A:$Z,18,FALSE)</f>
        <v>-</v>
      </c>
      <c r="S9" s="108">
        <v>33</v>
      </c>
      <c r="T9" s="1">
        <f t="array" ref="T9">INDEX(ICL3_classA!$G$2:$G$39,MATCH(MIN(ABS(AI9-ICL3_classA!$F$2:$F$39)),ABS(AI9-ICL3_classA!$F$2:$F$39),0))</f>
        <v>67</v>
      </c>
      <c r="U9" s="108">
        <v>27</v>
      </c>
      <c r="V9" s="1">
        <v>61</v>
      </c>
      <c r="W9" s="131">
        <f>VLOOKUP($B9&amp;"__wt",'SegEnds_Xtal_BW#'!$A:$Z,23,FALSE)</f>
        <v>30</v>
      </c>
      <c r="X9" s="1">
        <f>VLOOKUP($B9&amp;"__wt",'SegEnds_Xtal_BW#'!$A:$Z,24,FALSE)</f>
        <v>56</v>
      </c>
      <c r="Y9" s="1">
        <f>VLOOKUP($B9&amp;"__wt",'SegEnds_Xtal_BW#'!$A:$Z,25,FALSE)</f>
        <v>47</v>
      </c>
      <c r="Z9" s="1">
        <f>VLOOKUP($B9&amp;"__wt",'SegEnds_Xtal_BW#'!$A:$Z,26,FALSE)</f>
        <v>59</v>
      </c>
      <c r="AA9" s="27" t="str">
        <f>VLOOKUP(A9,Classification!A:B,2,FALSE)</f>
        <v>A</v>
      </c>
      <c r="AB9" s="1">
        <f>VLOOKUP(A9,'SegEnds_NonXtal_Prot#'!A:AL,10,FALSE)-VLOOKUP(A9,'SegEnds_NonXtal_Prot#'!A:AL,4,FALSE)</f>
        <v>28</v>
      </c>
      <c r="AC9" s="1">
        <f>VLOOKUP(A9,'SegEnds_NonXtal_Prot#'!A:AL,10,FALSE)-VLOOKUP(A9,'SegEnds_NonXtal_Prot#'!A:AL,7,FALSE)</f>
        <v>15</v>
      </c>
      <c r="AD9" s="1" t="e">
        <f>VLOOKUP(A9,'SegEnds_NonXtal_Prot#'!A:AL,13,FALSE)-VLOOKUP(A9,'SegEnds_NonXtal_Prot#'!A:AL,10,FALSE)</f>
        <v>#VALUE!</v>
      </c>
      <c r="AE9" s="1">
        <f>VLOOKUP(A9,'SegEnds_NonXtal_Prot#'!A:AL,16,FALSE)-VLOOKUP(A9,'SegEnds_NonXtal_Prot#'!A:AL,10,FALSE)</f>
        <v>58</v>
      </c>
      <c r="AF9" s="1">
        <f>VLOOKUP(A9,'SegEnds_NonXtal_Prot#'!A:AL,22,FALSE)-VLOOKUP(A9,'SegEnds_NonXtal_Prot#'!A:AL,19,FALSE)</f>
        <v>20</v>
      </c>
      <c r="AG9" s="1" t="e">
        <f>VLOOKUP(A9,'SegEnds_NonXtal_Prot#'!A:AL,28,FALSE)-VLOOKUP(A9,'SegEnds_NonXtal_Prot#'!A:AL,25,FALSE)</f>
        <v>#VALUE!</v>
      </c>
      <c r="AH9" s="1">
        <f>VLOOKUP(A9,'SegEnds_NonXtal_Prot#'!A:AL,28,FALSE)-VLOOKUP(A9,'SegEnds_NonXtal_Prot#'!A:AL,22,FALSE)</f>
        <v>40</v>
      </c>
      <c r="AI9" s="1">
        <f>VLOOKUP(A9,'SegEnds_NonXtal_Prot#'!A:AL,31,FALSE)-VLOOKUP(A9,'SegEnds_NonXtal_Prot#'!A:AL,28,FALSE)</f>
        <v>47</v>
      </c>
      <c r="AJ9" s="1">
        <f>VLOOKUP(A9,'SegEnds_NonXtal_Prot#'!A:AL,34,FALSE)-VLOOKUP(A9,'SegEnds_NonXtal_Prot#'!A:AL,31,FALSE)</f>
        <v>39</v>
      </c>
      <c r="AK9" s="1">
        <f>VLOOKUP(A9,'SegEnds_NonXtal_Prot#'!A:AL,37,FALSE)-VLOOKUP(A9,'SegEnds_NonXtal_Prot#'!A:AL,34,FALSE)</f>
        <v>10</v>
      </c>
      <c r="AL9" s="1" t="str">
        <f>IF(ISERROR(MATCH(A9,'SegEnds_Xtal_Prot#'!B:B, 0)), "NoXtal", "Xtal")</f>
        <v>NoXtal</v>
      </c>
    </row>
    <row r="10" spans="1:38" x14ac:dyDescent="0.2">
      <c r="A10" s="1" t="s">
        <v>191</v>
      </c>
      <c r="B10" s="1" t="str">
        <f>VLOOKUP(A10,Xtal_Templ!A:B,2,FALSE)</f>
        <v>drd2_human</v>
      </c>
      <c r="C10" s="5">
        <f>VLOOKUP($B10&amp;"__wt",'SegEnds_Xtal_BW#'!$A:$Z,3,FALSE)</f>
        <v>29</v>
      </c>
      <c r="D10" s="1">
        <f>VLOOKUP($B10&amp;"__wt",'SegEnds_Xtal_BW#'!$A:$Z,4,FALSE)</f>
        <v>60</v>
      </c>
      <c r="E10" s="1">
        <f>VLOOKUP($B10&amp;"__wt",'SegEnds_Xtal_BW#'!$A:$Z,5,FALSE)</f>
        <v>48</v>
      </c>
      <c r="F10" s="1">
        <f>VLOOKUP($B10&amp;"__wt",'SegEnds_Xtal_BW#'!$A:$Z,6,FALSE)</f>
        <v>51</v>
      </c>
      <c r="G10" s="1">
        <v>37</v>
      </c>
      <c r="H10" s="12">
        <f>VLOOKUP($B10&amp;"__wt",'SegEnds_Xtal_BW#'!$A:$Z,8,FALSE)</f>
        <v>68</v>
      </c>
      <c r="I10" s="1">
        <f>VLOOKUP($B10&amp;"__wt",'SegEnds_Xtal_BW#'!$A:$Z,9,FALSE)</f>
        <v>49</v>
      </c>
      <c r="J10" s="1">
        <f>VLOOKUP($B10&amp;"__wt",'SegEnds_Xtal_BW#'!$A:$Z,10,FALSE)</f>
        <v>52</v>
      </c>
      <c r="K10" s="12">
        <v>18</v>
      </c>
      <c r="L10" s="1">
        <f>VLOOKUP($B10&amp;"__wt",'SegEnds_Xtal_BW#'!$A:$Z,12,FALSE)</f>
        <v>56</v>
      </c>
      <c r="M10" s="1">
        <f>VLOOKUP($B10&amp;"__wt",'SegEnds_Xtal_BW#'!$A:$Z,13,FALSE)</f>
        <v>50</v>
      </c>
      <c r="N10" s="12">
        <f>VLOOKUP($B10&amp;"__wt",'SegEnds_Xtal_BW#'!$A:$Z,14,FALSE)</f>
        <v>58</v>
      </c>
      <c r="O10" s="87">
        <v>38</v>
      </c>
      <c r="P10" s="1">
        <f>VLOOKUP($B10&amp;"__wt",'SegEnds_Xtal_BW#'!$A:$Z,16,FALSE)</f>
        <v>62</v>
      </c>
      <c r="Q10" s="1">
        <f>VLOOKUP($B10&amp;"__wt",'SegEnds_Xtal_BW#'!$A:$Z,17,FALSE)</f>
        <v>50</v>
      </c>
      <c r="R10" s="1">
        <f>VLOOKUP($B10&amp;"__wt",'SegEnds_Xtal_BW#'!$A:$Z,18,FALSE)</f>
        <v>52</v>
      </c>
      <c r="S10" s="1">
        <f>VLOOKUP($B10&amp;"__wt",'SegEnds_Xtal_BW#'!$A:$Z,19,FALSE)</f>
        <v>35</v>
      </c>
      <c r="T10" s="1">
        <f t="array" ref="T10">INDEX(ICL3_classA!$G$2:$G$39,MATCH(MIN(ABS(AI10-ICL3_classA!$F$2:$F$39)),ABS(AI10-ICL3_classA!$F$2:$F$39),0))</f>
        <v>75</v>
      </c>
      <c r="U10" s="1">
        <f t="array" ref="U10">INDEX(ICL3_classA!$H$2:$H$39,MATCH(MIN(ABS(AI10-ICL3_classA!$F$2:$F$39)),ABS(AI10-ICL3_classA!$F$2:$F$39),0))</f>
        <v>24</v>
      </c>
      <c r="V10" s="1">
        <v>61</v>
      </c>
      <c r="W10" s="1">
        <v>31</v>
      </c>
      <c r="X10" s="1">
        <f>VLOOKUP($B10&amp;"__wt",'SegEnds_Xtal_BW#'!$A:$Z,24,FALSE)</f>
        <v>56</v>
      </c>
      <c r="Y10" s="1">
        <f>VLOOKUP($B10&amp;"__wt",'SegEnds_Xtal_BW#'!$A:$Z,25,FALSE)</f>
        <v>47</v>
      </c>
      <c r="Z10" s="1">
        <f>VLOOKUP($B10&amp;"__wt",'SegEnds_Xtal_BW#'!$A:$Z,26,FALSE)</f>
        <v>59</v>
      </c>
      <c r="AA10" s="27" t="str">
        <f>VLOOKUP(A10,Classification!A:B,2,FALSE)</f>
        <v>A</v>
      </c>
      <c r="AB10" s="1">
        <f>VLOOKUP(A10,'SegEnds_NonXtal_Prot#'!A:AL,10,FALSE)-VLOOKUP(A10,'SegEnds_NonXtal_Prot#'!A:AL,4,FALSE)</f>
        <v>28</v>
      </c>
      <c r="AC10" s="1">
        <f>VLOOKUP(A10,'SegEnds_NonXtal_Prot#'!A:AL,10,FALSE)-VLOOKUP(A10,'SegEnds_NonXtal_Prot#'!A:AL,7,FALSE)</f>
        <v>15</v>
      </c>
      <c r="AD10" s="1">
        <f>VLOOKUP(A10,'SegEnds_NonXtal_Prot#'!A:AL,13,FALSE)-VLOOKUP(A10,'SegEnds_NonXtal_Prot#'!A:AL,10,FALSE)</f>
        <v>20</v>
      </c>
      <c r="AE10" s="1">
        <f>VLOOKUP(A10,'SegEnds_NonXtal_Prot#'!A:AL,16,FALSE)-VLOOKUP(A10,'SegEnds_NonXtal_Prot#'!A:AL,10,FALSE)</f>
        <v>52</v>
      </c>
      <c r="AF10" s="1">
        <f>VLOOKUP(A10,'SegEnds_NonXtal_Prot#'!A:AL,22,FALSE)-VLOOKUP(A10,'SegEnds_NonXtal_Prot#'!A:AL,19,FALSE)</f>
        <v>21</v>
      </c>
      <c r="AG10" s="1">
        <f>VLOOKUP(A10,'SegEnds_NonXtal_Prot#'!A:AL,28,FALSE)-VLOOKUP(A10,'SegEnds_NonXtal_Prot#'!A:AL,25,FALSE)</f>
        <v>19</v>
      </c>
      <c r="AH10" s="1">
        <f>VLOOKUP(A10,'SegEnds_NonXtal_Prot#'!A:AL,28,FALSE)-VLOOKUP(A10,'SegEnds_NonXtal_Prot#'!A:AL,22,FALSE)</f>
        <v>41</v>
      </c>
      <c r="AI10" s="1">
        <f>VLOOKUP(A10,'SegEnds_NonXtal_Prot#'!A:AL,31,FALSE)-VLOOKUP(A10,'SegEnds_NonXtal_Prot#'!A:AL,28,FALSE)</f>
        <v>187</v>
      </c>
      <c r="AJ10" s="1">
        <f>VLOOKUP(A10,'SegEnds_NonXtal_Prot#'!A:AL,34,FALSE)-VLOOKUP(A10,'SegEnds_NonXtal_Prot#'!A:AL,31,FALSE)</f>
        <v>35</v>
      </c>
      <c r="AK10" s="1">
        <f>VLOOKUP(A10,'SegEnds_NonXtal_Prot#'!A:AL,37,FALSE)-VLOOKUP(A10,'SegEnds_NonXtal_Prot#'!A:AL,34,FALSE)</f>
        <v>10</v>
      </c>
      <c r="AL10" s="1" t="str">
        <f>IF(ISERROR(MATCH(A10,'SegEnds_Xtal_Prot#'!B:B, 0)), "NoXtal", "Xtal")</f>
        <v>Xtal</v>
      </c>
    </row>
    <row r="11" spans="1:38" x14ac:dyDescent="0.2">
      <c r="A11" s="1" t="s">
        <v>247</v>
      </c>
      <c r="B11" s="1" t="str">
        <f>VLOOKUP(A11,Xtal_Templ!A:B,2,FALSE)</f>
        <v>ox1r_human</v>
      </c>
      <c r="C11" s="5">
        <f>VLOOKUP($B11&amp;"__wt",'SegEnds_Xtal_BW#'!$A:$Z,3,FALSE)</f>
        <v>32</v>
      </c>
      <c r="D11" s="1">
        <f>VLOOKUP($B11&amp;"__wt",'SegEnds_Xtal_BW#'!$A:$Z,4,FALSE)</f>
        <v>60</v>
      </c>
      <c r="E11" s="1">
        <f>VLOOKUP($B11&amp;"__wt",'SegEnds_Xtal_BW#'!$A:$Z,5,FALSE)</f>
        <v>48</v>
      </c>
      <c r="F11" s="1">
        <f>VLOOKUP($B11&amp;"__wt",'SegEnds_Xtal_BW#'!$A:$Z,6,FALSE)</f>
        <v>51</v>
      </c>
      <c r="G11" s="1">
        <v>37</v>
      </c>
      <c r="H11" s="12">
        <f>VLOOKUP($B11&amp;"__wt",'SegEnds_Xtal_BW#'!$A:$Z,8,FALSE)</f>
        <v>68</v>
      </c>
      <c r="I11" s="1">
        <f>VLOOKUP($B11&amp;"__wt",'SegEnds_Xtal_BW#'!$A:$Z,9,FALSE)</f>
        <v>49</v>
      </c>
      <c r="J11" s="1">
        <f>VLOOKUP($B11&amp;"__wt",'SegEnds_Xtal_BW#'!$A:$Z,10,FALSE)</f>
        <v>52</v>
      </c>
      <c r="K11" s="12">
        <v>18</v>
      </c>
      <c r="L11" s="1">
        <f>VLOOKUP($B11&amp;"__wt",'SegEnds_Xtal_BW#'!$A:$Z,12,FALSE)</f>
        <v>56</v>
      </c>
      <c r="M11" s="1">
        <f>VLOOKUP($B11&amp;"__wt",'SegEnds_Xtal_BW#'!$A:$Z,13,FALSE)</f>
        <v>50</v>
      </c>
      <c r="N11" s="12">
        <v>58</v>
      </c>
      <c r="O11" s="87">
        <f>VLOOKUP($B11&amp;"__wt",'SegEnds_Xtal_BW#'!$A:$Z,15,FALSE)</f>
        <v>38</v>
      </c>
      <c r="P11" s="1">
        <f>VLOOKUP($B11&amp;"__wt",'SegEnds_Xtal_BW#'!$A:$Z,16,FALSE)</f>
        <v>64</v>
      </c>
      <c r="Q11" s="1">
        <f>VLOOKUP($B11&amp;"__wt",'SegEnds_Xtal_BW#'!$A:$Z,17,FALSE)</f>
        <v>50</v>
      </c>
      <c r="R11" s="1">
        <f>VLOOKUP($B11&amp;"__wt",'SegEnds_Xtal_BW#'!$A:$Z,18,FALSE)</f>
        <v>52</v>
      </c>
      <c r="S11" s="1">
        <v>35</v>
      </c>
      <c r="T11" s="1">
        <f t="array" ref="T11">INDEX(ICL3_classA!$G$2:$G$39,MATCH(MIN(ABS(AI11-ICL3_classA!$F$2:$F$39)),ABS(AI11-ICL3_classA!$F$2:$F$39),0))</f>
        <v>76</v>
      </c>
      <c r="U11" s="1">
        <f t="array" ref="U11">INDEX(ICL3_classA!$H$2:$H$39,MATCH(MIN(ABS(AI11-ICL3_classA!$F$2:$F$39)),ABS(AI11-ICL3_classA!$F$2:$F$39),0))</f>
        <v>24</v>
      </c>
      <c r="V11" s="1">
        <v>61</v>
      </c>
      <c r="W11" s="1">
        <v>31</v>
      </c>
      <c r="X11" s="1">
        <f>VLOOKUP($B11&amp;"__wt",'SegEnds_Xtal_BW#'!$A:$Z,24,FALSE)</f>
        <v>56</v>
      </c>
      <c r="Y11" s="1">
        <f>VLOOKUP($B11&amp;"__wt",'SegEnds_Xtal_BW#'!$A:$Z,25,FALSE)</f>
        <v>47</v>
      </c>
      <c r="Z11" s="1">
        <f>VLOOKUP($B11&amp;"__wt",'SegEnds_Xtal_BW#'!$A:$Z,26,FALSE)</f>
        <v>63</v>
      </c>
      <c r="AA11" s="27" t="str">
        <f>VLOOKUP(A11,Classification!A:B,2,FALSE)</f>
        <v>A</v>
      </c>
      <c r="AB11" s="1">
        <f>VLOOKUP(A11,'SegEnds_NonXtal_Prot#'!A:AL,10,FALSE)-VLOOKUP(A11,'SegEnds_NonXtal_Prot#'!A:AL,4,FALSE)</f>
        <v>28</v>
      </c>
      <c r="AC11" s="1">
        <f>VLOOKUP(A11,'SegEnds_NonXtal_Prot#'!A:AL,10,FALSE)-VLOOKUP(A11,'SegEnds_NonXtal_Prot#'!A:AL,7,FALSE)</f>
        <v>15</v>
      </c>
      <c r="AD11" s="1" t="e">
        <f>VLOOKUP(A11,'SegEnds_NonXtal_Prot#'!A:AL,13,FALSE)-VLOOKUP(A11,'SegEnds_NonXtal_Prot#'!A:AL,10,FALSE)</f>
        <v>#VALUE!</v>
      </c>
      <c r="AE11" s="1">
        <f>VLOOKUP(A11,'SegEnds_NonXtal_Prot#'!A:AL,16,FALSE)-VLOOKUP(A11,'SegEnds_NonXtal_Prot#'!A:AL,10,FALSE)</f>
        <v>56</v>
      </c>
      <c r="AF11" s="1">
        <f>VLOOKUP(A11,'SegEnds_NonXtal_Prot#'!A:AL,22,FALSE)-VLOOKUP(A11,'SegEnds_NonXtal_Prot#'!A:AL,19,FALSE)</f>
        <v>21</v>
      </c>
      <c r="AG11" s="1">
        <f>VLOOKUP(A11,'SegEnds_NonXtal_Prot#'!A:AL,28,FALSE)-VLOOKUP(A11,'SegEnds_NonXtal_Prot#'!A:AL,25,FALSE)</f>
        <v>18</v>
      </c>
      <c r="AH11" s="1">
        <f>VLOOKUP(A11,'SegEnds_NonXtal_Prot#'!A:AL,28,FALSE)-VLOOKUP(A11,'SegEnds_NonXtal_Prot#'!A:AL,22,FALSE)</f>
        <v>41</v>
      </c>
      <c r="AI11" s="1">
        <f>VLOOKUP(A11,'SegEnds_NonXtal_Prot#'!A:AL,31,FALSE)-VLOOKUP(A11,'SegEnds_NonXtal_Prot#'!A:AL,28,FALSE)</f>
        <v>110</v>
      </c>
      <c r="AJ11" s="1">
        <f>VLOOKUP(A11,'SegEnds_NonXtal_Prot#'!A:AL,34,FALSE)-VLOOKUP(A11,'SegEnds_NonXtal_Prot#'!A:AL,31,FALSE)</f>
        <v>36</v>
      </c>
      <c r="AK11" s="1">
        <f>VLOOKUP(A11,'SegEnds_NonXtal_Prot#'!A:AL,37,FALSE)-VLOOKUP(A11,'SegEnds_NonXtal_Prot#'!A:AL,34,FALSE)</f>
        <v>10</v>
      </c>
      <c r="AL11" s="1" t="str">
        <f>IF(ISERROR(MATCH(A11,'SegEnds_Xtal_Prot#'!B:B, 0)), "NoXtal", "Xtal")</f>
        <v>NoXtal</v>
      </c>
    </row>
    <row r="12" spans="1:38" x14ac:dyDescent="0.2">
      <c r="A12" s="1" t="s">
        <v>192</v>
      </c>
      <c r="B12" s="1" t="str">
        <f>VLOOKUP(A12,Xtal_Templ!A:B,2,FALSE)</f>
        <v>drd3_human</v>
      </c>
      <c r="C12" s="5">
        <f>VLOOKUP($B12&amp;"__wt",'SegEnds_Xtal_BW#'!$A:$Z,3,FALSE)</f>
        <v>29</v>
      </c>
      <c r="D12" s="1">
        <f>VLOOKUP($B12&amp;"__wt",'SegEnds_Xtal_BW#'!$A:$Z,4,FALSE)</f>
        <v>60</v>
      </c>
      <c r="E12" s="1">
        <f>VLOOKUP($B12&amp;"__wt",'SegEnds_Xtal_BW#'!$A:$Z,5,FALSE)</f>
        <v>48</v>
      </c>
      <c r="F12" s="1">
        <f>VLOOKUP($B12&amp;"__wt",'SegEnds_Xtal_BW#'!$A:$Z,6,FALSE)</f>
        <v>51</v>
      </c>
      <c r="G12" s="1">
        <v>37</v>
      </c>
      <c r="H12" s="12">
        <f>VLOOKUP($B12&amp;"__wt",'SegEnds_Xtal_BW#'!$A:$Z,8,FALSE)</f>
        <v>67</v>
      </c>
      <c r="I12" s="1">
        <f>VLOOKUP($B12&amp;"__wt",'SegEnds_Xtal_BW#'!$A:$Z,9,FALSE)</f>
        <v>49</v>
      </c>
      <c r="J12" s="1">
        <f>VLOOKUP($B12&amp;"__wt",'SegEnds_Xtal_BW#'!$A:$Z,10,FALSE)</f>
        <v>52</v>
      </c>
      <c r="K12" s="12">
        <v>18</v>
      </c>
      <c r="L12" s="1">
        <f>VLOOKUP($B12&amp;"__wt",'SegEnds_Xtal_BW#'!$A:$Z,12,FALSE)</f>
        <v>56</v>
      </c>
      <c r="M12" s="1">
        <f>VLOOKUP($B12&amp;"__wt",'SegEnds_Xtal_BW#'!$A:$Z,13,FALSE)</f>
        <v>50</v>
      </c>
      <c r="N12" s="12">
        <f>VLOOKUP($B12&amp;"__wt",'SegEnds_Xtal_BW#'!$A:$Z,14,FALSE)</f>
        <v>58</v>
      </c>
      <c r="O12" s="87">
        <f>VLOOKUP($B12&amp;"__wt",'SegEnds_Xtal_BW#'!$A:$Z,15,FALSE)</f>
        <v>38</v>
      </c>
      <c r="P12" s="1">
        <f>VLOOKUP($B12&amp;"__wt",'SegEnds_Xtal_BW#'!$A:$Z,16,FALSE)</f>
        <v>63</v>
      </c>
      <c r="Q12" s="1">
        <f>VLOOKUP($B12&amp;"__wt",'SegEnds_Xtal_BW#'!$A:$Z,17,FALSE)</f>
        <v>50</v>
      </c>
      <c r="R12" s="1">
        <f>VLOOKUP($B12&amp;"__wt",'SegEnds_Xtal_BW#'!$A:$Z,18,FALSE)</f>
        <v>52</v>
      </c>
      <c r="S12" s="1">
        <v>35</v>
      </c>
      <c r="T12" s="1">
        <f t="array" ref="T12">INDEX(ICL3_classA!$G$2:$G$39,MATCH(MIN(ABS(AI12-ICL3_classA!$F$2:$F$39)),ABS(AI12-ICL3_classA!$F$2:$F$39),0))</f>
        <v>76</v>
      </c>
      <c r="U12" s="1">
        <f t="array" ref="U12">INDEX(ICL3_classA!$H$2:$H$39,MATCH(MIN(ABS(AI12-ICL3_classA!$F$2:$F$39)),ABS(AI12-ICL3_classA!$F$2:$F$39),0))</f>
        <v>24</v>
      </c>
      <c r="V12" s="1">
        <f>VLOOKUP($B12&amp;"__wt",'SegEnds_Xtal_BW#'!$A:$Z,22,FALSE)</f>
        <v>60</v>
      </c>
      <c r="W12" s="1">
        <v>31</v>
      </c>
      <c r="X12" s="1">
        <f>VLOOKUP($B12&amp;"__wt",'SegEnds_Xtal_BW#'!$A:$Z,24,FALSE)</f>
        <v>56</v>
      </c>
      <c r="Y12" s="1">
        <f>VLOOKUP($B12&amp;"__wt",'SegEnds_Xtal_BW#'!$A:$Z,25,FALSE)</f>
        <v>47</v>
      </c>
      <c r="Z12" s="1">
        <f>VLOOKUP($B12&amp;"__wt",'SegEnds_Xtal_BW#'!$A:$Z,26,FALSE)</f>
        <v>59</v>
      </c>
      <c r="AA12" s="27" t="str">
        <f>VLOOKUP(A12,Classification!A:B,2,FALSE)</f>
        <v>A</v>
      </c>
      <c r="AB12" s="1">
        <f>VLOOKUP(A12,'SegEnds_NonXtal_Prot#'!A:AL,10,FALSE)-VLOOKUP(A12,'SegEnds_NonXtal_Prot#'!A:AL,4,FALSE)</f>
        <v>28</v>
      </c>
      <c r="AC12" s="1">
        <f>VLOOKUP(A12,'SegEnds_NonXtal_Prot#'!A:AL,10,FALSE)-VLOOKUP(A12,'SegEnds_NonXtal_Prot#'!A:AL,7,FALSE)</f>
        <v>15</v>
      </c>
      <c r="AD12" s="1">
        <f>VLOOKUP(A12,'SegEnds_NonXtal_Prot#'!A:AL,13,FALSE)-VLOOKUP(A12,'SegEnds_NonXtal_Prot#'!A:AL,10,FALSE)</f>
        <v>21</v>
      </c>
      <c r="AE12" s="1">
        <f>VLOOKUP(A12,'SegEnds_NonXtal_Prot#'!A:AL,16,FALSE)-VLOOKUP(A12,'SegEnds_NonXtal_Prot#'!A:AL,10,FALSE)</f>
        <v>53</v>
      </c>
      <c r="AF12" s="1">
        <f>VLOOKUP(A12,'SegEnds_NonXtal_Prot#'!A:AL,22,FALSE)-VLOOKUP(A12,'SegEnds_NonXtal_Prot#'!A:AL,19,FALSE)</f>
        <v>23</v>
      </c>
      <c r="AG12" s="1">
        <f>VLOOKUP(A12,'SegEnds_NonXtal_Prot#'!A:AL,28,FALSE)-VLOOKUP(A12,'SegEnds_NonXtal_Prot#'!A:AL,25,FALSE)</f>
        <v>19</v>
      </c>
      <c r="AH12" s="1">
        <f>VLOOKUP(A12,'SegEnds_NonXtal_Prot#'!A:AL,28,FALSE)-VLOOKUP(A12,'SegEnds_NonXtal_Prot#'!A:AL,22,FALSE)</f>
        <v>42</v>
      </c>
      <c r="AI12" s="1">
        <f>VLOOKUP(A12,'SegEnds_NonXtal_Prot#'!A:AL,31,FALSE)-VLOOKUP(A12,'SegEnds_NonXtal_Prot#'!A:AL,28,FALSE)</f>
        <v>144</v>
      </c>
      <c r="AJ12" s="1">
        <f>VLOOKUP(A12,'SegEnds_NonXtal_Prot#'!A:AL,34,FALSE)-VLOOKUP(A12,'SegEnds_NonXtal_Prot#'!A:AL,31,FALSE)</f>
        <v>36</v>
      </c>
      <c r="AK12" s="1">
        <f>VLOOKUP(A12,'SegEnds_NonXtal_Prot#'!A:AL,37,FALSE)-VLOOKUP(A12,'SegEnds_NonXtal_Prot#'!A:AL,34,FALSE)</f>
        <v>10</v>
      </c>
      <c r="AL12" s="1" t="str">
        <f>IF(ISERROR(MATCH(A12,'SegEnds_Xtal_Prot#'!B:B, 0)), "NoXtal", "Xtal")</f>
        <v>Xtal</v>
      </c>
    </row>
    <row r="13" spans="1:38" x14ac:dyDescent="0.2">
      <c r="A13" s="1" t="s">
        <v>253</v>
      </c>
      <c r="B13" s="1" t="str">
        <f>VLOOKUP(A13,Xtal_Templ!A:B,2,FALSE)</f>
        <v>fpr2_human</v>
      </c>
      <c r="C13" s="5">
        <f>VLOOKUP($B13&amp;"__wt",'SegEnds_Xtal_BW#'!$A:$Z,3,FALSE)</f>
        <v>25</v>
      </c>
      <c r="D13" s="108">
        <v>60</v>
      </c>
      <c r="E13" s="1" t="str">
        <f>VLOOKUP($B13&amp;"__wt",'SegEnds_Xtal_BW#'!$A:$Z,5,FALSE)</f>
        <v>-</v>
      </c>
      <c r="F13" s="1" t="str">
        <f>VLOOKUP($B13&amp;"__wt",'SegEnds_Xtal_BW#'!$A:$Z,6,FALSE)</f>
        <v>-</v>
      </c>
      <c r="G13" s="1">
        <v>37</v>
      </c>
      <c r="H13" s="12">
        <v>66</v>
      </c>
      <c r="I13" s="1">
        <f>VLOOKUP($B13&amp;"__wt",'SegEnds_Xtal_BW#'!$A:$Z,9,FALSE)</f>
        <v>49</v>
      </c>
      <c r="J13" s="1">
        <f>VLOOKUP($B13&amp;"__wt",'SegEnds_Xtal_BW#'!$A:$Z,10,FALSE)</f>
        <v>52</v>
      </c>
      <c r="K13" s="12">
        <v>24</v>
      </c>
      <c r="L13" s="1">
        <f>VLOOKUP($B13&amp;"__wt",'SegEnds_Xtal_BW#'!$A:$Z,12,FALSE)</f>
        <v>56</v>
      </c>
      <c r="M13" s="1">
        <f>VLOOKUP($B13&amp;"__wt",'SegEnds_Xtal_BW#'!$A:$Z,13,FALSE)</f>
        <v>50</v>
      </c>
      <c r="N13" s="12">
        <v>57</v>
      </c>
      <c r="O13" s="87">
        <v>38</v>
      </c>
      <c r="P13" s="1">
        <f>VLOOKUP($B13&amp;"__wt",'SegEnds_Xtal_BW#'!$A:$Z,16,FALSE)</f>
        <v>64</v>
      </c>
      <c r="Q13" s="1">
        <f>VLOOKUP($B13&amp;"__wt",'SegEnds_Xtal_BW#'!$A:$Z,17,FALSE)</f>
        <v>50</v>
      </c>
      <c r="R13" s="1">
        <f>VLOOKUP($B13&amp;"__wt",'SegEnds_Xtal_BW#'!$A:$Z,18,FALSE)</f>
        <v>52</v>
      </c>
      <c r="S13" s="1">
        <v>35</v>
      </c>
      <c r="T13" s="1">
        <f t="array" ref="T13">INDEX(ICL3_classA!$G$2:$G$39,MATCH(MIN(ABS(AI13-ICL3_classA!$F$2:$F$39)),ABS(AI13-ICL3_classA!$F$2:$F$39),0))</f>
        <v>68</v>
      </c>
      <c r="U13" s="1">
        <f t="array" ref="U13">INDEX(ICL3_classA!$H$2:$H$39,MATCH(MIN(ABS(AI13-ICL3_classA!$F$2:$F$39)),ABS(AI13-ICL3_classA!$F$2:$F$39),0))</f>
        <v>24</v>
      </c>
      <c r="V13" s="1">
        <v>61</v>
      </c>
      <c r="W13" s="1">
        <v>28</v>
      </c>
      <c r="X13" s="1">
        <f>VLOOKUP($B13&amp;"__wt",'SegEnds_Xtal_BW#'!$A:$Z,24,FALSE)</f>
        <v>56</v>
      </c>
      <c r="Y13" s="1">
        <f>VLOOKUP($B13&amp;"__wt",'SegEnds_Xtal_BW#'!$A:$Z,25,FALSE)</f>
        <v>47</v>
      </c>
      <c r="Z13" s="1">
        <f>VLOOKUP($B13&amp;"__wt",'SegEnds_Xtal_BW#'!$A:$Z,26,FALSE)</f>
        <v>58</v>
      </c>
      <c r="AA13" s="27" t="str">
        <f>VLOOKUP(A13,Classification!A:B,2,FALSE)</f>
        <v>A</v>
      </c>
      <c r="AB13" s="1">
        <f>VLOOKUP(A13,'SegEnds_NonXtal_Prot#'!A:AL,10,FALSE)-VLOOKUP(A13,'SegEnds_NonXtal_Prot#'!A:AL,4,FALSE)</f>
        <v>28</v>
      </c>
      <c r="AC13" s="1">
        <f>VLOOKUP(A13,'SegEnds_NonXtal_Prot#'!A:AL,10,FALSE)-VLOOKUP(A13,'SegEnds_NonXtal_Prot#'!A:AL,7,FALSE)</f>
        <v>15</v>
      </c>
      <c r="AD13" s="1" t="e">
        <f>VLOOKUP(A13,'SegEnds_NonXtal_Prot#'!A:AL,13,FALSE)-VLOOKUP(A13,'SegEnds_NonXtal_Prot#'!A:AL,10,FALSE)</f>
        <v>#VALUE!</v>
      </c>
      <c r="AE13" s="1">
        <f>VLOOKUP(A13,'SegEnds_NonXtal_Prot#'!A:AL,16,FALSE)-VLOOKUP(A13,'SegEnds_NonXtal_Prot#'!A:AL,10,FALSE)</f>
        <v>48</v>
      </c>
      <c r="AF13" s="1">
        <f>VLOOKUP(A13,'SegEnds_NonXtal_Prot#'!A:AL,22,FALSE)-VLOOKUP(A13,'SegEnds_NonXtal_Prot#'!A:AL,19,FALSE)</f>
        <v>20</v>
      </c>
      <c r="AG13" s="1">
        <f>VLOOKUP(A13,'SegEnds_NonXtal_Prot#'!A:AL,28,FALSE)-VLOOKUP(A13,'SegEnds_NonXtal_Prot#'!A:AL,25,FALSE)</f>
        <v>21</v>
      </c>
      <c r="AH13" s="1">
        <f>VLOOKUP(A13,'SegEnds_NonXtal_Prot#'!A:AL,28,FALSE)-VLOOKUP(A13,'SegEnds_NonXtal_Prot#'!A:AL,22,FALSE)</f>
        <v>42</v>
      </c>
      <c r="AI13" s="1">
        <f>VLOOKUP(A13,'SegEnds_NonXtal_Prot#'!A:AL,31,FALSE)-VLOOKUP(A13,'SegEnds_NonXtal_Prot#'!A:AL,28,FALSE)</f>
        <v>49</v>
      </c>
      <c r="AJ13" s="1">
        <f>VLOOKUP(A13,'SegEnds_NonXtal_Prot#'!A:AL,34,FALSE)-VLOOKUP(A13,'SegEnds_NonXtal_Prot#'!A:AL,31,FALSE)</f>
        <v>41</v>
      </c>
      <c r="AK13" s="1">
        <f>VLOOKUP(A13,'SegEnds_NonXtal_Prot#'!A:AL,37,FALSE)-VLOOKUP(A13,'SegEnds_NonXtal_Prot#'!A:AL,34,FALSE)</f>
        <v>10</v>
      </c>
      <c r="AL13" s="1" t="str">
        <f>IF(ISERROR(MATCH(A13,'SegEnds_Xtal_Prot#'!B:B, 0)), "NoXtal", "Xtal")</f>
        <v>NoXtal</v>
      </c>
    </row>
    <row r="14" spans="1:38" x14ac:dyDescent="0.2">
      <c r="A14" s="1" t="s">
        <v>300</v>
      </c>
      <c r="B14" s="1" t="str">
        <f>VLOOKUP(A14,Xtal_Templ!A:B,2,FALSE)</f>
        <v>c5ar1_human</v>
      </c>
      <c r="C14" s="5">
        <f>VLOOKUP($B14&amp;"__wt",'SegEnds_Xtal_BW#'!$A:$Z,3,FALSE)</f>
        <v>29</v>
      </c>
      <c r="D14" s="1">
        <f>VLOOKUP($B14&amp;"__wt",'SegEnds_Xtal_BW#'!$A:$Z,4,FALSE)</f>
        <v>60</v>
      </c>
      <c r="E14" s="1" t="str">
        <f>VLOOKUP($B14&amp;"__wt",'SegEnds_Xtal_BW#'!$A:$Z,5,FALSE)</f>
        <v>-</v>
      </c>
      <c r="F14" s="1" t="str">
        <f>VLOOKUP($B14&amp;"__wt",'SegEnds_Xtal_BW#'!$A:$Z,6,FALSE)</f>
        <v>-</v>
      </c>
      <c r="G14" s="1">
        <v>37</v>
      </c>
      <c r="H14" s="12">
        <v>66</v>
      </c>
      <c r="I14" s="1">
        <f>VLOOKUP($B14&amp;"__wt",'SegEnds_Xtal_BW#'!$A:$Z,9,FALSE)</f>
        <v>49</v>
      </c>
      <c r="J14" s="1">
        <f>VLOOKUP($B14&amp;"__wt",'SegEnds_Xtal_BW#'!$A:$Z,10,FALSE)</f>
        <v>52</v>
      </c>
      <c r="K14" s="12">
        <v>21</v>
      </c>
      <c r="L14" s="1">
        <f>VLOOKUP($B14&amp;"__wt",'SegEnds_Xtal_BW#'!$A:$Z,12,FALSE)</f>
        <v>56</v>
      </c>
      <c r="M14" s="1">
        <f>VLOOKUP($B14&amp;"__wt",'SegEnds_Xtal_BW#'!$A:$Z,13,FALSE)</f>
        <v>50</v>
      </c>
      <c r="N14" s="12">
        <v>57</v>
      </c>
      <c r="O14" s="87">
        <v>38</v>
      </c>
      <c r="P14" s="1">
        <f>VLOOKUP($B14&amp;"__wt",'SegEnds_Xtal_BW#'!$A:$Z,16,FALSE)</f>
        <v>64</v>
      </c>
      <c r="Q14" s="1">
        <f>VLOOKUP($B14&amp;"__wt",'SegEnds_Xtal_BW#'!$A:$Z,17,FALSE)</f>
        <v>50</v>
      </c>
      <c r="R14" s="1">
        <f>VLOOKUP($B14&amp;"__wt",'SegEnds_Xtal_BW#'!$A:$Z,18,FALSE)</f>
        <v>52</v>
      </c>
      <c r="S14" s="1">
        <f>VLOOKUP($B14&amp;"__wt",'SegEnds_Xtal_BW#'!$A:$Z,19,FALSE)</f>
        <v>31</v>
      </c>
      <c r="T14" s="1">
        <f t="array" ref="T14">INDEX(ICL3_classA!$G$2:$G$39,MATCH(MIN(ABS(AI14-ICL3_classA!$F$2:$F$39)),ABS(AI14-ICL3_classA!$F$2:$F$39),0))</f>
        <v>68</v>
      </c>
      <c r="U14" s="1">
        <f t="array" ref="U14">INDEX(ICL3_classA!$H$2:$H$39,MATCH(MIN(ABS(AI14-ICL3_classA!$F$2:$F$39)),ABS(AI14-ICL3_classA!$F$2:$F$39),0))</f>
        <v>28</v>
      </c>
      <c r="V14" s="1">
        <v>61</v>
      </c>
      <c r="W14" s="1">
        <v>31</v>
      </c>
      <c r="X14" s="108">
        <v>56</v>
      </c>
      <c r="Y14" s="1">
        <f>VLOOKUP($B14&amp;"__wt",'SegEnds_Xtal_BW#'!$A:$Z,25,FALSE)</f>
        <v>47</v>
      </c>
      <c r="Z14" s="1">
        <f>VLOOKUP($B14&amp;"__wt",'SegEnds_Xtal_BW#'!$A:$Z,26,FALSE)</f>
        <v>56</v>
      </c>
      <c r="AA14" s="27" t="str">
        <f>VLOOKUP(A14,Classification!A:B,2,FALSE)</f>
        <v>A</v>
      </c>
      <c r="AB14" s="1">
        <f>VLOOKUP(A14,'SegEnds_NonXtal_Prot#'!A:AL,10,FALSE)-VLOOKUP(A14,'SegEnds_NonXtal_Prot#'!A:AL,4,FALSE)</f>
        <v>27</v>
      </c>
      <c r="AC14" s="1" t="e">
        <f>VLOOKUP(A14,'SegEnds_NonXtal_Prot#'!A:AL,10,FALSE)-VLOOKUP(A14,'SegEnds_NonXtal_Prot#'!A:AL,7,FALSE)</f>
        <v>#VALUE!</v>
      </c>
      <c r="AD14" s="1" t="e">
        <f>VLOOKUP(A14,'SegEnds_NonXtal_Prot#'!A:AL,13,FALSE)-VLOOKUP(A14,'SegEnds_NonXtal_Prot#'!A:AL,10,FALSE)</f>
        <v>#VALUE!</v>
      </c>
      <c r="AE14" s="1">
        <f>VLOOKUP(A14,'SegEnds_NonXtal_Prot#'!A:AL,16,FALSE)-VLOOKUP(A14,'SegEnds_NonXtal_Prot#'!A:AL,10,FALSE)</f>
        <v>51</v>
      </c>
      <c r="AF14" s="1">
        <f>VLOOKUP(A14,'SegEnds_NonXtal_Prot#'!A:AL,22,FALSE)-VLOOKUP(A14,'SegEnds_NonXtal_Prot#'!A:AL,19,FALSE)</f>
        <v>20</v>
      </c>
      <c r="AG14" s="1" t="e">
        <f>VLOOKUP(A14,'SegEnds_NonXtal_Prot#'!A:AL,28,FALSE)-VLOOKUP(A14,'SegEnds_NonXtal_Prot#'!A:AL,25,FALSE)</f>
        <v>#VALUE!</v>
      </c>
      <c r="AH14" s="1">
        <f>VLOOKUP(A14,'SegEnds_NonXtal_Prot#'!A:AL,28,FALSE)-VLOOKUP(A14,'SegEnds_NonXtal_Prot#'!A:AL,22,FALSE)</f>
        <v>42</v>
      </c>
      <c r="AI14" s="1">
        <f>VLOOKUP(A14,'SegEnds_NonXtal_Prot#'!A:AL,31,FALSE)-VLOOKUP(A14,'SegEnds_NonXtal_Prot#'!A:AL,28,FALSE)</f>
        <v>44</v>
      </c>
      <c r="AJ14" s="1">
        <f>VLOOKUP(A14,'SegEnds_NonXtal_Prot#'!A:AL,34,FALSE)-VLOOKUP(A14,'SegEnds_NonXtal_Prot#'!A:AL,31,FALSE)</f>
        <v>37</v>
      </c>
      <c r="AK14" s="1">
        <f>VLOOKUP(A14,'SegEnds_NonXtal_Prot#'!A:AL,37,FALSE)-VLOOKUP(A14,'SegEnds_NonXtal_Prot#'!A:AL,34,FALSE)</f>
        <v>10</v>
      </c>
      <c r="AL14" s="1" t="str">
        <f>IF(ISERROR(MATCH(A14,'SegEnds_Xtal_Prot#'!B:B, 0)), "NoXtal", "Xtal")</f>
        <v>NoXtal</v>
      </c>
    </row>
    <row r="15" spans="1:38" x14ac:dyDescent="0.2">
      <c r="A15" s="1" t="s">
        <v>301</v>
      </c>
      <c r="B15" s="1" t="str">
        <f>VLOOKUP(A15,Xtal_Templ!A:B,2,FALSE)</f>
        <v>cxcr4_human</v>
      </c>
      <c r="C15" s="5">
        <f>VLOOKUP($B15&amp;"__wt",'SegEnds_Xtal_BW#'!$A:$Z,3,FALSE)</f>
        <v>24</v>
      </c>
      <c r="D15" s="1">
        <f>VLOOKUP($B15&amp;"__wt",'SegEnds_Xtal_BW#'!$A:$Z,4,FALSE)</f>
        <v>60</v>
      </c>
      <c r="E15" s="1">
        <f>VLOOKUP($B15&amp;"__wt",'SegEnds_Xtal_BW#'!$A:$Z,5,FALSE)</f>
        <v>48</v>
      </c>
      <c r="F15" s="1">
        <f>VLOOKUP($B15&amp;"__wt",'SegEnds_Xtal_BW#'!$A:$Z,6,FALSE)</f>
        <v>51</v>
      </c>
      <c r="G15" s="1">
        <v>37</v>
      </c>
      <c r="H15" s="12">
        <f>VLOOKUP($B15&amp;"__wt",'SegEnds_Xtal_BW#'!$A:$Z,8,FALSE)</f>
        <v>66</v>
      </c>
      <c r="I15" s="1">
        <f>VLOOKUP($B15&amp;"__wt",'SegEnds_Xtal_BW#'!$A:$Z,9,FALSE)</f>
        <v>49</v>
      </c>
      <c r="J15" s="1">
        <f>VLOOKUP($B15&amp;"__wt",'SegEnds_Xtal_BW#'!$A:$Z,10,FALSE)</f>
        <v>52</v>
      </c>
      <c r="K15" s="12">
        <v>21</v>
      </c>
      <c r="L15" s="1">
        <f>VLOOKUP($B15&amp;"__wt",'SegEnds_Xtal_BW#'!$A:$Z,12,FALSE)</f>
        <v>56</v>
      </c>
      <c r="M15" s="1">
        <f>VLOOKUP($B15&amp;"__wt",'SegEnds_Xtal_BW#'!$A:$Z,13,FALSE)</f>
        <v>50</v>
      </c>
      <c r="N15" s="12">
        <v>57</v>
      </c>
      <c r="O15" s="87">
        <v>38</v>
      </c>
      <c r="P15" s="1">
        <f>VLOOKUP($B15&amp;"__wt",'SegEnds_Xtal_BW#'!$A:$Z,16,FALSE)</f>
        <v>64</v>
      </c>
      <c r="Q15" s="1">
        <f>VLOOKUP($B15&amp;"__wt",'SegEnds_Xtal_BW#'!$A:$Z,17,FALSE)</f>
        <v>50</v>
      </c>
      <c r="R15" s="1">
        <f>VLOOKUP($B15&amp;"__wt",'SegEnds_Xtal_BW#'!$A:$Z,18,FALSE)</f>
        <v>52</v>
      </c>
      <c r="S15" s="1">
        <f>VLOOKUP($B15&amp;"__wt",'SegEnds_Xtal_BW#'!$A:$Z,19,FALSE)</f>
        <v>32</v>
      </c>
      <c r="T15" s="1">
        <f t="array" ref="T15">INDEX(ICL3_classA!$G$2:$G$39,MATCH(MIN(ABS(AI15-ICL3_classA!$F$2:$F$39)),ABS(AI15-ICL3_classA!$F$2:$F$39),0))</f>
        <v>68</v>
      </c>
      <c r="U15" s="1">
        <f t="array" ref="U15">INDEX(ICL3_classA!$H$2:$H$39,MATCH(MIN(ABS(AI15-ICL3_classA!$F$2:$F$39)),ABS(AI15-ICL3_classA!$F$2:$F$39),0))</f>
        <v>30</v>
      </c>
      <c r="V15" s="1">
        <v>61</v>
      </c>
      <c r="W15" s="1">
        <v>32</v>
      </c>
      <c r="X15" s="1">
        <f>VLOOKUP($B15&amp;"__wt",'SegEnds_Xtal_BW#'!$A:$Z,24,FALSE)</f>
        <v>56</v>
      </c>
      <c r="Y15" s="1">
        <f>VLOOKUP($B15&amp;"__wt",'SegEnds_Xtal_BW#'!$A:$Z,25,FALSE)</f>
        <v>47</v>
      </c>
      <c r="Z15" s="1">
        <f>VLOOKUP($B15&amp;"__wt",'SegEnds_Xtal_BW#'!$A:$Z,26,FALSE)</f>
        <v>59</v>
      </c>
      <c r="AA15" s="27" t="str">
        <f>VLOOKUP(A15,Classification!A:B,2,FALSE)</f>
        <v>A</v>
      </c>
      <c r="AB15" s="1">
        <f>VLOOKUP(A15,'SegEnds_NonXtal_Prot#'!A:AL,10,FALSE)-VLOOKUP(A15,'SegEnds_NonXtal_Prot#'!A:AL,4,FALSE)</f>
        <v>27</v>
      </c>
      <c r="AC15" s="1" t="e">
        <f>VLOOKUP(A15,'SegEnds_NonXtal_Prot#'!A:AL,10,FALSE)-VLOOKUP(A15,'SegEnds_NonXtal_Prot#'!A:AL,7,FALSE)</f>
        <v>#VALUE!</v>
      </c>
      <c r="AD15" s="1" t="e">
        <f>VLOOKUP(A15,'SegEnds_NonXtal_Prot#'!A:AL,13,FALSE)-VLOOKUP(A15,'SegEnds_NonXtal_Prot#'!A:AL,10,FALSE)</f>
        <v>#VALUE!</v>
      </c>
      <c r="AE15" s="1">
        <f>VLOOKUP(A15,'SegEnds_NonXtal_Prot#'!A:AL,16,FALSE)-VLOOKUP(A15,'SegEnds_NonXtal_Prot#'!A:AL,10,FALSE)</f>
        <v>52</v>
      </c>
      <c r="AF15" s="1">
        <f>VLOOKUP(A15,'SegEnds_NonXtal_Prot#'!A:AL,22,FALSE)-VLOOKUP(A15,'SegEnds_NonXtal_Prot#'!A:AL,19,FALSE)</f>
        <v>20</v>
      </c>
      <c r="AG15" s="1" t="e">
        <f>VLOOKUP(A15,'SegEnds_NonXtal_Prot#'!A:AL,28,FALSE)-VLOOKUP(A15,'SegEnds_NonXtal_Prot#'!A:AL,25,FALSE)</f>
        <v>#VALUE!</v>
      </c>
      <c r="AH15" s="1">
        <f>VLOOKUP(A15,'SegEnds_NonXtal_Prot#'!A:AL,28,FALSE)-VLOOKUP(A15,'SegEnds_NonXtal_Prot#'!A:AL,22,FALSE)</f>
        <v>42</v>
      </c>
      <c r="AI15" s="1">
        <f>VLOOKUP(A15,'SegEnds_NonXtal_Prot#'!A:AL,31,FALSE)-VLOOKUP(A15,'SegEnds_NonXtal_Prot#'!A:AL,28,FALSE)</f>
        <v>42</v>
      </c>
      <c r="AJ15" s="1">
        <f>VLOOKUP(A15,'SegEnds_NonXtal_Prot#'!A:AL,34,FALSE)-VLOOKUP(A15,'SegEnds_NonXtal_Prot#'!A:AL,31,FALSE)</f>
        <v>34</v>
      </c>
      <c r="AK15" s="1">
        <f>VLOOKUP(A15,'SegEnds_NonXtal_Prot#'!A:AL,37,FALSE)-VLOOKUP(A15,'SegEnds_NonXtal_Prot#'!A:AL,34,FALSE)</f>
        <v>10</v>
      </c>
      <c r="AL15" s="1" t="str">
        <f>IF(ISERROR(MATCH(A15,'SegEnds_Xtal_Prot#'!B:B, 0)), "NoXtal", "Xtal")</f>
        <v>NoXtal</v>
      </c>
    </row>
    <row r="16" spans="1:38" x14ac:dyDescent="0.2">
      <c r="A16" s="1" t="s">
        <v>303</v>
      </c>
      <c r="B16" s="1" t="str">
        <f>VLOOKUP(A16,Xtal_Templ!A:B,2,FALSE)</f>
        <v>agtr1_human</v>
      </c>
      <c r="C16" s="5">
        <f>VLOOKUP($B16&amp;"__wt",'SegEnds_Xtal_BW#'!$A:$Z,3,FALSE)</f>
        <v>28</v>
      </c>
      <c r="D16" s="1">
        <f>VLOOKUP($B16&amp;"__wt",'SegEnds_Xtal_BW#'!$A:$Z,4,FALSE)</f>
        <v>60</v>
      </c>
      <c r="E16" s="1">
        <f>VLOOKUP($B16&amp;"__wt",'SegEnds_Xtal_BW#'!$A:$Z,5,FALSE)</f>
        <v>48</v>
      </c>
      <c r="F16" s="1">
        <f>VLOOKUP($B16&amp;"__wt",'SegEnds_Xtal_BW#'!$A:$Z,6,FALSE)</f>
        <v>51</v>
      </c>
      <c r="G16" s="1">
        <v>37</v>
      </c>
      <c r="H16" s="12">
        <v>63</v>
      </c>
      <c r="I16" s="1">
        <f>VLOOKUP($B16&amp;"__wt",'SegEnds_Xtal_BW#'!$A:$Z,9,FALSE)</f>
        <v>49</v>
      </c>
      <c r="J16" s="1">
        <f>VLOOKUP($B16&amp;"__wt",'SegEnds_Xtal_BW#'!$A:$Z,10,FALSE)</f>
        <v>52</v>
      </c>
      <c r="K16" s="108">
        <v>24</v>
      </c>
      <c r="L16" s="1">
        <f>VLOOKUP($B16&amp;"__wt",'SegEnds_Xtal_BW#'!$A:$Z,12,FALSE)</f>
        <v>56</v>
      </c>
      <c r="M16" s="1">
        <f>VLOOKUP($B16&amp;"__wt",'SegEnds_Xtal_BW#'!$A:$Z,13,FALSE)</f>
        <v>50</v>
      </c>
      <c r="N16" s="12">
        <v>57</v>
      </c>
      <c r="O16" s="87">
        <v>38</v>
      </c>
      <c r="P16" s="1">
        <f>VLOOKUP($B16&amp;"__wt",'SegEnds_Xtal_BW#'!$A:$Z,16,FALSE)</f>
        <v>64</v>
      </c>
      <c r="Q16" s="1">
        <f>VLOOKUP($B16&amp;"__wt",'SegEnds_Xtal_BW#'!$A:$Z,17,FALSE)</f>
        <v>50</v>
      </c>
      <c r="R16" s="1">
        <f>VLOOKUP($B16&amp;"__wt",'SegEnds_Xtal_BW#'!$A:$Z,18,FALSE)</f>
        <v>52</v>
      </c>
      <c r="S16" s="1">
        <f>VLOOKUP($B16&amp;"__wt",'SegEnds_Xtal_BW#'!$A:$Z,19,FALSE)</f>
        <v>34</v>
      </c>
      <c r="T16" s="1">
        <f t="array" ref="T16">INDEX(ICL3_classA!$G$2:$G$39,MATCH(MIN(ABS(AI16-ICL3_classA!$F$2:$F$39)),ABS(AI16-ICL3_classA!$F$2:$F$39),0))</f>
        <v>67</v>
      </c>
      <c r="U16" s="1">
        <f t="array" ref="U16">INDEX(ICL3_classA!$H$2:$H$39,MATCH(MIN(ABS(AI16-ICL3_classA!$F$2:$F$39)),ABS(AI16-ICL3_classA!$F$2:$F$39),0))</f>
        <v>30</v>
      </c>
      <c r="V16" s="1">
        <v>61</v>
      </c>
      <c r="W16" s="1">
        <v>32</v>
      </c>
      <c r="X16" s="1">
        <f>VLOOKUP($B16&amp;"__wt",'SegEnds_Xtal_BW#'!$A:$Z,24,FALSE)</f>
        <v>56</v>
      </c>
      <c r="Y16" s="1">
        <f>VLOOKUP($B16&amp;"__wt",'SegEnds_Xtal_BW#'!$A:$Z,25,FALSE)</f>
        <v>47</v>
      </c>
      <c r="Z16" s="1">
        <f>VLOOKUP($B16&amp;"__wt",'SegEnds_Xtal_BW#'!$A:$Z,26,FALSE)</f>
        <v>61</v>
      </c>
      <c r="AA16" s="27" t="str">
        <f>VLOOKUP(A16,Classification!A:B,2,FALSE)</f>
        <v>A</v>
      </c>
      <c r="AB16" s="1">
        <f>VLOOKUP(A16,'SegEnds_NonXtal_Prot#'!A:AL,10,FALSE)-VLOOKUP(A16,'SegEnds_NonXtal_Prot#'!A:AL,4,FALSE)</f>
        <v>27</v>
      </c>
      <c r="AC16" s="1" t="e">
        <f>VLOOKUP(A16,'SegEnds_NonXtal_Prot#'!A:AL,10,FALSE)-VLOOKUP(A16,'SegEnds_NonXtal_Prot#'!A:AL,7,FALSE)</f>
        <v>#VALUE!</v>
      </c>
      <c r="AD16" s="1" t="e">
        <f>VLOOKUP(A16,'SegEnds_NonXtal_Prot#'!A:AL,13,FALSE)-VLOOKUP(A16,'SegEnds_NonXtal_Prot#'!A:AL,10,FALSE)</f>
        <v>#VALUE!</v>
      </c>
      <c r="AE16" s="1">
        <f>VLOOKUP(A16,'SegEnds_NonXtal_Prot#'!A:AL,16,FALSE)-VLOOKUP(A16,'SegEnds_NonXtal_Prot#'!A:AL,10,FALSE)</f>
        <v>46</v>
      </c>
      <c r="AF16" s="1">
        <f>VLOOKUP(A16,'SegEnds_NonXtal_Prot#'!A:AL,22,FALSE)-VLOOKUP(A16,'SegEnds_NonXtal_Prot#'!A:AL,19,FALSE)</f>
        <v>20</v>
      </c>
      <c r="AG16" s="1" t="e">
        <f>VLOOKUP(A16,'SegEnds_NonXtal_Prot#'!A:AL,28,FALSE)-VLOOKUP(A16,'SegEnds_NonXtal_Prot#'!A:AL,25,FALSE)</f>
        <v>#VALUE!</v>
      </c>
      <c r="AH16" s="1">
        <f>VLOOKUP(A16,'SegEnds_NonXtal_Prot#'!A:AL,28,FALSE)-VLOOKUP(A16,'SegEnds_NonXtal_Prot#'!A:AL,22,FALSE)</f>
        <v>42</v>
      </c>
      <c r="AI16" s="1">
        <f>VLOOKUP(A16,'SegEnds_NonXtal_Prot#'!A:AL,31,FALSE)-VLOOKUP(A16,'SegEnds_NonXtal_Prot#'!A:AL,28,FALSE)</f>
        <v>41</v>
      </c>
      <c r="AJ16" s="1">
        <f>VLOOKUP(A16,'SegEnds_NonXtal_Prot#'!A:AL,34,FALSE)-VLOOKUP(A16,'SegEnds_NonXtal_Prot#'!A:AL,31,FALSE)</f>
        <v>34</v>
      </c>
      <c r="AK16" s="1">
        <f>VLOOKUP(A16,'SegEnds_NonXtal_Prot#'!A:AL,37,FALSE)-VLOOKUP(A16,'SegEnds_NonXtal_Prot#'!A:AL,34,FALSE)</f>
        <v>10</v>
      </c>
      <c r="AL16" s="1" t="str">
        <f>IF(ISERROR(MATCH(A16,'SegEnds_Xtal_Prot#'!B:B, 0)), "NoXtal", "Xtal")</f>
        <v>NoXtal</v>
      </c>
    </row>
    <row r="17" spans="1:38" x14ac:dyDescent="0.2">
      <c r="A17" s="1" t="s">
        <v>304</v>
      </c>
      <c r="B17" s="1" t="str">
        <f>VLOOKUP(A17,Xtal_Templ!A:B,2,FALSE)</f>
        <v>agtr1_human</v>
      </c>
      <c r="C17" s="5">
        <f>VLOOKUP($B17&amp;"__wt",'SegEnds_Xtal_BW#'!$A:$Z,3,FALSE)</f>
        <v>28</v>
      </c>
      <c r="D17" s="1">
        <f>VLOOKUP($B17&amp;"__wt",'SegEnds_Xtal_BW#'!$A:$Z,4,FALSE)</f>
        <v>60</v>
      </c>
      <c r="E17" s="1">
        <f>VLOOKUP($B17&amp;"__wt",'SegEnds_Xtal_BW#'!$A:$Z,5,FALSE)</f>
        <v>48</v>
      </c>
      <c r="F17" s="1">
        <f>VLOOKUP($B17&amp;"__wt",'SegEnds_Xtal_BW#'!$A:$Z,6,FALSE)</f>
        <v>51</v>
      </c>
      <c r="G17" s="1">
        <v>37</v>
      </c>
      <c r="H17" s="12">
        <v>66</v>
      </c>
      <c r="I17" s="1">
        <f>VLOOKUP($B17&amp;"__wt",'SegEnds_Xtal_BW#'!$A:$Z,9,FALSE)</f>
        <v>49</v>
      </c>
      <c r="J17" s="1">
        <f>VLOOKUP($B17&amp;"__wt",'SegEnds_Xtal_BW#'!$A:$Z,10,FALSE)</f>
        <v>52</v>
      </c>
      <c r="K17" s="12">
        <v>24</v>
      </c>
      <c r="L17" s="1">
        <f>VLOOKUP($B17&amp;"__wt",'SegEnds_Xtal_BW#'!$A:$Z,12,FALSE)</f>
        <v>56</v>
      </c>
      <c r="M17" s="1">
        <f>VLOOKUP($B17&amp;"__wt",'SegEnds_Xtal_BW#'!$A:$Z,13,FALSE)</f>
        <v>50</v>
      </c>
      <c r="N17" s="12">
        <v>57</v>
      </c>
      <c r="O17" s="87">
        <v>38</v>
      </c>
      <c r="P17" s="1">
        <f>VLOOKUP($B17&amp;"__wt",'SegEnds_Xtal_BW#'!$A:$Z,16,FALSE)</f>
        <v>64</v>
      </c>
      <c r="Q17" s="1">
        <f>VLOOKUP($B17&amp;"__wt",'SegEnds_Xtal_BW#'!$A:$Z,17,FALSE)</f>
        <v>50</v>
      </c>
      <c r="R17" s="1">
        <f>VLOOKUP($B17&amp;"__wt",'SegEnds_Xtal_BW#'!$A:$Z,18,FALSE)</f>
        <v>52</v>
      </c>
      <c r="S17" s="1">
        <f>VLOOKUP($B17&amp;"__wt",'SegEnds_Xtal_BW#'!$A:$Z,19,FALSE)</f>
        <v>34</v>
      </c>
      <c r="T17" s="1">
        <f t="array" ref="T17">INDEX(ICL3_classA!$G$2:$G$39,MATCH(MIN(ABS(AI17-ICL3_classA!$F$2:$F$39)),ABS(AI17-ICL3_classA!$F$2:$F$39),0))</f>
        <v>68</v>
      </c>
      <c r="U17" s="1">
        <f t="array" ref="U17">INDEX(ICL3_classA!$H$2:$H$39,MATCH(MIN(ABS(AI17-ICL3_classA!$F$2:$F$39)),ABS(AI17-ICL3_classA!$F$2:$F$39),0))</f>
        <v>30</v>
      </c>
      <c r="V17" s="1">
        <v>61</v>
      </c>
      <c r="W17" s="108">
        <v>25</v>
      </c>
      <c r="X17" s="1">
        <f>VLOOKUP($B17&amp;"__wt",'SegEnds_Xtal_BW#'!$A:$Z,24,FALSE)</f>
        <v>56</v>
      </c>
      <c r="Y17" s="1">
        <f>VLOOKUP($B17&amp;"__wt",'SegEnds_Xtal_BW#'!$A:$Z,25,FALSE)</f>
        <v>47</v>
      </c>
      <c r="Z17" s="1">
        <f>VLOOKUP($B17&amp;"__wt",'SegEnds_Xtal_BW#'!$A:$Z,26,FALSE)</f>
        <v>61</v>
      </c>
      <c r="AA17" s="27" t="str">
        <f>VLOOKUP(A17,Classification!A:B,2,FALSE)</f>
        <v>A</v>
      </c>
      <c r="AB17" s="1">
        <f>VLOOKUP(A17,'SegEnds_NonXtal_Prot#'!A:AL,10,FALSE)-VLOOKUP(A17,'SegEnds_NonXtal_Prot#'!A:AL,4,FALSE)</f>
        <v>27</v>
      </c>
      <c r="AC17" s="1" t="e">
        <f>VLOOKUP(A17,'SegEnds_NonXtal_Prot#'!A:AL,10,FALSE)-VLOOKUP(A17,'SegEnds_NonXtal_Prot#'!A:AL,7,FALSE)</f>
        <v>#VALUE!</v>
      </c>
      <c r="AD17" s="1" t="e">
        <f>VLOOKUP(A17,'SegEnds_NonXtal_Prot#'!A:AL,13,FALSE)-VLOOKUP(A17,'SegEnds_NonXtal_Prot#'!A:AL,10,FALSE)</f>
        <v>#VALUE!</v>
      </c>
      <c r="AE17" s="1">
        <f>VLOOKUP(A17,'SegEnds_NonXtal_Prot#'!A:AL,16,FALSE)-VLOOKUP(A17,'SegEnds_NonXtal_Prot#'!A:AL,10,FALSE)</f>
        <v>48</v>
      </c>
      <c r="AF17" s="1">
        <f>VLOOKUP(A17,'SegEnds_NonXtal_Prot#'!A:AL,22,FALSE)-VLOOKUP(A17,'SegEnds_NonXtal_Prot#'!A:AL,19,FALSE)</f>
        <v>20</v>
      </c>
      <c r="AG17" s="1" t="e">
        <f>VLOOKUP(A17,'SegEnds_NonXtal_Prot#'!A:AL,28,FALSE)-VLOOKUP(A17,'SegEnds_NonXtal_Prot#'!A:AL,25,FALSE)</f>
        <v>#VALUE!</v>
      </c>
      <c r="AH17" s="1">
        <f>VLOOKUP(A17,'SegEnds_NonXtal_Prot#'!A:AL,28,FALSE)-VLOOKUP(A17,'SegEnds_NonXtal_Prot#'!A:AL,22,FALSE)</f>
        <v>42</v>
      </c>
      <c r="AI17" s="1">
        <f>VLOOKUP(A17,'SegEnds_NonXtal_Prot#'!A:AL,31,FALSE)-VLOOKUP(A17,'SegEnds_NonXtal_Prot#'!A:AL,28,FALSE)</f>
        <v>42</v>
      </c>
      <c r="AJ17" s="1">
        <f>VLOOKUP(A17,'SegEnds_NonXtal_Prot#'!A:AL,34,FALSE)-VLOOKUP(A17,'SegEnds_NonXtal_Prot#'!A:AL,31,FALSE)</f>
        <v>38</v>
      </c>
      <c r="AK17" s="1">
        <f>VLOOKUP(A17,'SegEnds_NonXtal_Prot#'!A:AL,37,FALSE)-VLOOKUP(A17,'SegEnds_NonXtal_Prot#'!A:AL,34,FALSE)</f>
        <v>10</v>
      </c>
      <c r="AL17" s="1" t="str">
        <f>IF(ISERROR(MATCH(A17,'SegEnds_Xtal_Prot#'!B:B, 0)), "NoXtal", "Xtal")</f>
        <v>NoXtal</v>
      </c>
    </row>
    <row r="18" spans="1:38" x14ac:dyDescent="0.2">
      <c r="A18" s="1" t="s">
        <v>305</v>
      </c>
      <c r="B18" s="1" t="str">
        <f>VLOOKUP(A18,Xtal_Templ!A:B,2,FALSE)</f>
        <v>c5ar1_human</v>
      </c>
      <c r="C18" s="5">
        <f>VLOOKUP($B18&amp;"__wt",'SegEnds_Xtal_BW#'!$A:$Z,3,FALSE)</f>
        <v>29</v>
      </c>
      <c r="D18" s="1">
        <f>VLOOKUP($B18&amp;"__wt",'SegEnds_Xtal_BW#'!$A:$Z,4,FALSE)</f>
        <v>60</v>
      </c>
      <c r="E18" s="1" t="str">
        <f>VLOOKUP($B18&amp;"__wt",'SegEnds_Xtal_BW#'!$A:$Z,5,FALSE)</f>
        <v>-</v>
      </c>
      <c r="F18" s="1" t="str">
        <f>VLOOKUP($B18&amp;"__wt",'SegEnds_Xtal_BW#'!$A:$Z,6,FALSE)</f>
        <v>-</v>
      </c>
      <c r="G18" s="1">
        <v>37</v>
      </c>
      <c r="H18" s="12">
        <f>VLOOKUP($B18&amp;"__wt",'SegEnds_Xtal_BW#'!$A:$Z,8,FALSE)</f>
        <v>67</v>
      </c>
      <c r="I18" s="1">
        <f>VLOOKUP($B18&amp;"__wt",'SegEnds_Xtal_BW#'!$A:$Z,9,FALSE)</f>
        <v>49</v>
      </c>
      <c r="J18" s="1">
        <f>VLOOKUP($B18&amp;"__wt",'SegEnds_Xtal_BW#'!$A:$Z,10,FALSE)</f>
        <v>52</v>
      </c>
      <c r="K18" s="12">
        <v>21</v>
      </c>
      <c r="L18" s="1">
        <f>VLOOKUP($B18&amp;"__wt",'SegEnds_Xtal_BW#'!$A:$Z,12,FALSE)</f>
        <v>56</v>
      </c>
      <c r="M18" s="1">
        <f>VLOOKUP($B18&amp;"__wt",'SegEnds_Xtal_BW#'!$A:$Z,13,FALSE)</f>
        <v>50</v>
      </c>
      <c r="N18" s="12">
        <v>57</v>
      </c>
      <c r="O18" s="87">
        <f>VLOOKUP($B18&amp;"__wt",'SegEnds_Xtal_BW#'!$A:$Z,15,FALSE)</f>
        <v>38</v>
      </c>
      <c r="P18" s="1">
        <f>VLOOKUP($B18&amp;"__wt",'SegEnds_Xtal_BW#'!$A:$Z,16,FALSE)</f>
        <v>64</v>
      </c>
      <c r="Q18" s="1">
        <f>VLOOKUP($B18&amp;"__wt",'SegEnds_Xtal_BW#'!$A:$Z,17,FALSE)</f>
        <v>50</v>
      </c>
      <c r="R18" s="1">
        <f>VLOOKUP($B18&amp;"__wt",'SegEnds_Xtal_BW#'!$A:$Z,18,FALSE)</f>
        <v>52</v>
      </c>
      <c r="S18" s="1">
        <f>VLOOKUP($B18&amp;"__wt",'SegEnds_Xtal_BW#'!$A:$Z,19,FALSE)</f>
        <v>31</v>
      </c>
      <c r="T18" s="1">
        <f t="array" ref="T18">INDEX(ICL3_classA!$G$2:$G$39,MATCH(MIN(ABS(AI18-ICL3_classA!$F$2:$F$39)),ABS(AI18-ICL3_classA!$F$2:$F$39),0))</f>
        <v>68</v>
      </c>
      <c r="U18" s="1">
        <f t="array" ref="U18">INDEX(ICL3_classA!$H$2:$H$39,MATCH(MIN(ABS(AI18-ICL3_classA!$F$2:$F$39)),ABS(AI18-ICL3_classA!$F$2:$F$39),0))</f>
        <v>30</v>
      </c>
      <c r="V18" s="1">
        <v>61</v>
      </c>
      <c r="W18" s="131">
        <f>VLOOKUP($B18&amp;"__wt",'SegEnds_Xtal_BW#'!$A:$Z,23,FALSE)</f>
        <v>25</v>
      </c>
      <c r="X18" s="108">
        <v>56</v>
      </c>
      <c r="Y18" s="1">
        <f>VLOOKUP($B18&amp;"__wt",'SegEnds_Xtal_BW#'!$A:$Z,25,FALSE)</f>
        <v>47</v>
      </c>
      <c r="Z18" s="1">
        <f>VLOOKUP($B18&amp;"__wt",'SegEnds_Xtal_BW#'!$A:$Z,26,FALSE)</f>
        <v>56</v>
      </c>
      <c r="AA18" s="27" t="str">
        <f>VLOOKUP(A18,Classification!A:B,2,FALSE)</f>
        <v>A</v>
      </c>
      <c r="AB18" s="1">
        <f>VLOOKUP(A18,'SegEnds_NonXtal_Prot#'!A:AL,10,FALSE)-VLOOKUP(A18,'SegEnds_NonXtal_Prot#'!A:AL,4,FALSE)</f>
        <v>27</v>
      </c>
      <c r="AC18" s="1" t="e">
        <f>VLOOKUP(A18,'SegEnds_NonXtal_Prot#'!A:AL,10,FALSE)-VLOOKUP(A18,'SegEnds_NonXtal_Prot#'!A:AL,7,FALSE)</f>
        <v>#VALUE!</v>
      </c>
      <c r="AD18" s="1" t="e">
        <f>VLOOKUP(A18,'SegEnds_NonXtal_Prot#'!A:AL,13,FALSE)-VLOOKUP(A18,'SegEnds_NonXtal_Prot#'!A:AL,10,FALSE)</f>
        <v>#VALUE!</v>
      </c>
      <c r="AE18" s="1">
        <f>VLOOKUP(A18,'SegEnds_NonXtal_Prot#'!A:AL,16,FALSE)-VLOOKUP(A18,'SegEnds_NonXtal_Prot#'!A:AL,10,FALSE)</f>
        <v>52</v>
      </c>
      <c r="AF18" s="1">
        <f>VLOOKUP(A18,'SegEnds_NonXtal_Prot#'!A:AL,22,FALSE)-VLOOKUP(A18,'SegEnds_NonXtal_Prot#'!A:AL,19,FALSE)</f>
        <v>20</v>
      </c>
      <c r="AG18" s="1" t="e">
        <f>VLOOKUP(A18,'SegEnds_NonXtal_Prot#'!A:AL,28,FALSE)-VLOOKUP(A18,'SegEnds_NonXtal_Prot#'!A:AL,25,FALSE)</f>
        <v>#VALUE!</v>
      </c>
      <c r="AH18" s="1">
        <f>VLOOKUP(A18,'SegEnds_NonXtal_Prot#'!A:AL,28,FALSE)-VLOOKUP(A18,'SegEnds_NonXtal_Prot#'!A:AL,22,FALSE)</f>
        <v>42</v>
      </c>
      <c r="AI18" s="1">
        <f>VLOOKUP(A18,'SegEnds_NonXtal_Prot#'!A:AL,31,FALSE)-VLOOKUP(A18,'SegEnds_NonXtal_Prot#'!A:AL,28,FALSE)</f>
        <v>42</v>
      </c>
      <c r="AJ18" s="1">
        <f>VLOOKUP(A18,'SegEnds_NonXtal_Prot#'!A:AL,34,FALSE)-VLOOKUP(A18,'SegEnds_NonXtal_Prot#'!A:AL,31,FALSE)</f>
        <v>38</v>
      </c>
      <c r="AK18" s="1">
        <f>VLOOKUP(A18,'SegEnds_NonXtal_Prot#'!A:AL,37,FALSE)-VLOOKUP(A18,'SegEnds_NonXtal_Prot#'!A:AL,34,FALSE)</f>
        <v>10</v>
      </c>
      <c r="AL18" s="1" t="str">
        <f>IF(ISERROR(MATCH(A18,'SegEnds_Xtal_Prot#'!B:B, 0)), "NoXtal", "Xtal")</f>
        <v>NoXtal</v>
      </c>
    </row>
    <row r="19" spans="1:38" x14ac:dyDescent="0.2">
      <c r="A19" s="1" t="s">
        <v>306</v>
      </c>
      <c r="B19" s="1" t="str">
        <f>VLOOKUP(A19,Xtal_Templ!A:B,2,FALSE)</f>
        <v>pd2r2_human</v>
      </c>
      <c r="C19" s="5">
        <f>VLOOKUP($B19&amp;"__wt",'SegEnds_Xtal_BW#'!$A:$Z,3,FALSE)</f>
        <v>32</v>
      </c>
      <c r="D19" s="1">
        <f>VLOOKUP($B19&amp;"__wt",'SegEnds_Xtal_BW#'!$A:$Z,4,FALSE)</f>
        <v>60</v>
      </c>
      <c r="E19" s="1" t="str">
        <f>VLOOKUP($B19&amp;"__wt",'SegEnds_Xtal_BW#'!$A:$Z,5,FALSE)</f>
        <v>-</v>
      </c>
      <c r="F19" s="1" t="str">
        <f>VLOOKUP($B19&amp;"__wt",'SegEnds_Xtal_BW#'!$A:$Z,6,FALSE)</f>
        <v>-</v>
      </c>
      <c r="G19" s="1">
        <v>37</v>
      </c>
      <c r="H19" s="12">
        <v>66</v>
      </c>
      <c r="I19" s="1">
        <f>VLOOKUP($B19&amp;"__wt",'SegEnds_Xtal_BW#'!$A:$Z,9,FALSE)</f>
        <v>49</v>
      </c>
      <c r="J19" s="1">
        <f>VLOOKUP($B19&amp;"__wt",'SegEnds_Xtal_BW#'!$A:$Z,10,FALSE)</f>
        <v>52</v>
      </c>
      <c r="K19" s="12">
        <v>24</v>
      </c>
      <c r="L19" s="1">
        <f>VLOOKUP($B19&amp;"__wt",'SegEnds_Xtal_BW#'!$A:$Z,12,FALSE)</f>
        <v>56</v>
      </c>
      <c r="M19" s="1">
        <f>VLOOKUP($B19&amp;"__wt",'SegEnds_Xtal_BW#'!$A:$Z,13,FALSE)</f>
        <v>50</v>
      </c>
      <c r="N19" s="12">
        <v>57</v>
      </c>
      <c r="O19" s="87">
        <v>38</v>
      </c>
      <c r="P19" s="1">
        <f>VLOOKUP($B19&amp;"__wt",'SegEnds_Xtal_BW#'!$A:$Z,16,FALSE)</f>
        <v>64</v>
      </c>
      <c r="Q19" s="1">
        <f>VLOOKUP($B19&amp;"__wt",'SegEnds_Xtal_BW#'!$A:$Z,17,FALSE)</f>
        <v>50</v>
      </c>
      <c r="R19" s="1">
        <f>VLOOKUP($B19&amp;"__wt",'SegEnds_Xtal_BW#'!$A:$Z,18,FALSE)</f>
        <v>52</v>
      </c>
      <c r="S19" s="1">
        <f>VLOOKUP($B19&amp;"__wt",'SegEnds_Xtal_BW#'!$A:$Z,19,FALSE)</f>
        <v>26</v>
      </c>
      <c r="T19" s="1">
        <f t="array" ref="T19">INDEX(ICL3_classA!$G$2:$G$39,MATCH(MIN(ABS(AI19-ICL3_classA!$F$2:$F$39)),ABS(AI19-ICL3_classA!$F$2:$F$39),0))</f>
        <v>68</v>
      </c>
      <c r="U19" s="1">
        <f t="array" ref="U19">INDEX(ICL3_classA!$H$2:$H$39,MATCH(MIN(ABS(AI19-ICL3_classA!$F$2:$F$39)),ABS(AI19-ICL3_classA!$F$2:$F$39),0))</f>
        <v>30</v>
      </c>
      <c r="V19" s="1">
        <v>61</v>
      </c>
      <c r="W19" s="131">
        <f>VLOOKUP($B19&amp;"__wt",'SegEnds_Xtal_BW#'!$A:$Z,23,FALSE)</f>
        <v>27</v>
      </c>
      <c r="X19" s="1">
        <f>VLOOKUP($B19&amp;"__wt",'SegEnds_Xtal_BW#'!$A:$Z,24,FALSE)</f>
        <v>56</v>
      </c>
      <c r="Y19" s="1">
        <f>VLOOKUP($B19&amp;"__wt",'SegEnds_Xtal_BW#'!$A:$Z,25,FALSE)</f>
        <v>47</v>
      </c>
      <c r="Z19" s="1">
        <f>VLOOKUP($B19&amp;"__wt",'SegEnds_Xtal_BW#'!$A:$Z,26,FALSE)</f>
        <v>64</v>
      </c>
      <c r="AA19" s="27" t="str">
        <f>VLOOKUP(A19,Classification!A:B,2,FALSE)</f>
        <v>A</v>
      </c>
      <c r="AB19" s="1">
        <f>VLOOKUP(A19,'SegEnds_NonXtal_Prot#'!A:AL,10,FALSE)-VLOOKUP(A19,'SegEnds_NonXtal_Prot#'!A:AL,4,FALSE)</f>
        <v>27</v>
      </c>
      <c r="AC19" s="1" t="e">
        <f>VLOOKUP(A19,'SegEnds_NonXtal_Prot#'!A:AL,10,FALSE)-VLOOKUP(A19,'SegEnds_NonXtal_Prot#'!A:AL,7,FALSE)</f>
        <v>#VALUE!</v>
      </c>
      <c r="AD19" s="1" t="e">
        <f>VLOOKUP(A19,'SegEnds_NonXtal_Prot#'!A:AL,13,FALSE)-VLOOKUP(A19,'SegEnds_NonXtal_Prot#'!A:AL,10,FALSE)</f>
        <v>#VALUE!</v>
      </c>
      <c r="AE19" s="1">
        <f>VLOOKUP(A19,'SegEnds_NonXtal_Prot#'!A:AL,16,FALSE)-VLOOKUP(A19,'SegEnds_NonXtal_Prot#'!A:AL,10,FALSE)</f>
        <v>48</v>
      </c>
      <c r="AF19" s="1">
        <f>VLOOKUP(A19,'SegEnds_NonXtal_Prot#'!A:AL,22,FALSE)-VLOOKUP(A19,'SegEnds_NonXtal_Prot#'!A:AL,19,FALSE)</f>
        <v>20</v>
      </c>
      <c r="AG19" s="1" t="e">
        <f>VLOOKUP(A19,'SegEnds_NonXtal_Prot#'!A:AL,28,FALSE)-VLOOKUP(A19,'SegEnds_NonXtal_Prot#'!A:AL,25,FALSE)</f>
        <v>#VALUE!</v>
      </c>
      <c r="AH19" s="1">
        <f>VLOOKUP(A19,'SegEnds_NonXtal_Prot#'!A:AL,28,FALSE)-VLOOKUP(A19,'SegEnds_NonXtal_Prot#'!A:AL,22,FALSE)</f>
        <v>42</v>
      </c>
      <c r="AI19" s="1">
        <f>VLOOKUP(A19,'SegEnds_NonXtal_Prot#'!A:AL,31,FALSE)-VLOOKUP(A19,'SegEnds_NonXtal_Prot#'!A:AL,28,FALSE)</f>
        <v>42</v>
      </c>
      <c r="AJ19" s="1">
        <f>VLOOKUP(A19,'SegEnds_NonXtal_Prot#'!A:AL,34,FALSE)-VLOOKUP(A19,'SegEnds_NonXtal_Prot#'!A:AL,31,FALSE)</f>
        <v>38</v>
      </c>
      <c r="AK19" s="1">
        <f>VLOOKUP(A19,'SegEnds_NonXtal_Prot#'!A:AL,37,FALSE)-VLOOKUP(A19,'SegEnds_NonXtal_Prot#'!A:AL,34,FALSE)</f>
        <v>10</v>
      </c>
      <c r="AL19" s="1" t="str">
        <f>IF(ISERROR(MATCH(A19,'SegEnds_Xtal_Prot#'!B:B, 0)), "NoXtal", "Xtal")</f>
        <v>NoXtal</v>
      </c>
    </row>
    <row r="20" spans="1:38" x14ac:dyDescent="0.2">
      <c r="A20" s="1" t="s">
        <v>307</v>
      </c>
      <c r="B20" s="1" t="str">
        <f>VLOOKUP(A20,Xtal_Templ!A:B,2,FALSE)</f>
        <v>par2_human</v>
      </c>
      <c r="C20" s="5">
        <f>VLOOKUP($B20&amp;"__wt",'SegEnds_Xtal_BW#'!$A:$Z,3,FALSE)</f>
        <v>28</v>
      </c>
      <c r="D20" s="1">
        <f>VLOOKUP($B20&amp;"__wt",'SegEnds_Xtal_BW#'!$A:$Z,4,FALSE)</f>
        <v>60</v>
      </c>
      <c r="E20" s="1" t="str">
        <f>VLOOKUP($B20&amp;"__wt",'SegEnds_Xtal_BW#'!$A:$Z,5,FALSE)</f>
        <v>-</v>
      </c>
      <c r="F20" s="1" t="str">
        <f>VLOOKUP($B20&amp;"__wt",'SegEnds_Xtal_BW#'!$A:$Z,6,FALSE)</f>
        <v>-</v>
      </c>
      <c r="G20" s="1">
        <v>37</v>
      </c>
      <c r="H20" s="12">
        <v>66</v>
      </c>
      <c r="I20" s="1">
        <f>VLOOKUP($B20&amp;"__wt",'SegEnds_Xtal_BW#'!$A:$Z,9,FALSE)</f>
        <v>47</v>
      </c>
      <c r="J20" s="1">
        <f>VLOOKUP($B20&amp;"__wt",'SegEnds_Xtal_BW#'!$A:$Z,10,FALSE)</f>
        <v>52</v>
      </c>
      <c r="K20" s="12">
        <v>24</v>
      </c>
      <c r="L20" s="1">
        <f>VLOOKUP($B20&amp;"__wt",'SegEnds_Xtal_BW#'!$A:$Z,12,FALSE)</f>
        <v>56</v>
      </c>
      <c r="M20" s="1">
        <f>VLOOKUP($B20&amp;"__wt",'SegEnds_Xtal_BW#'!$A:$Z,13,FALSE)</f>
        <v>50</v>
      </c>
      <c r="N20" s="12">
        <v>57</v>
      </c>
      <c r="O20" s="87">
        <v>38</v>
      </c>
      <c r="P20" s="1">
        <f>VLOOKUP($B20&amp;"__wt",'SegEnds_Xtal_BW#'!$A:$Z,16,FALSE)</f>
        <v>62</v>
      </c>
      <c r="Q20" s="1">
        <f>VLOOKUP($B20&amp;"__wt",'SegEnds_Xtal_BW#'!$A:$Z,17,FALSE)</f>
        <v>50</v>
      </c>
      <c r="R20" s="1">
        <f>VLOOKUP($B20&amp;"__wt",'SegEnds_Xtal_BW#'!$A:$Z,18,FALSE)</f>
        <v>52</v>
      </c>
      <c r="S20" s="1">
        <f>VLOOKUP($B20&amp;"__wt",'SegEnds_Xtal_BW#'!$A:$Z,19,FALSE)</f>
        <v>31</v>
      </c>
      <c r="T20" s="1">
        <f t="array" ref="T20">INDEX(ICL3_classA!$G$2:$G$39,MATCH(MIN(ABS(AI20-ICL3_classA!$F$2:$F$39)),ABS(AI20-ICL3_classA!$F$2:$F$39),0))</f>
        <v>68</v>
      </c>
      <c r="U20" s="1">
        <f t="array" ref="U20">INDEX(ICL3_classA!$H$2:$H$39,MATCH(MIN(ABS(AI20-ICL3_classA!$F$2:$F$39)),ABS(AI20-ICL3_classA!$F$2:$F$39),0))</f>
        <v>30</v>
      </c>
      <c r="V20" s="1">
        <v>61</v>
      </c>
      <c r="W20" s="131">
        <f>VLOOKUP($B20&amp;"__wt",'SegEnds_Xtal_BW#'!$A:$Z,23,FALSE)</f>
        <v>31</v>
      </c>
      <c r="X20" s="108">
        <v>56</v>
      </c>
      <c r="Y20" s="1">
        <f>VLOOKUP($B20&amp;"__wt",'SegEnds_Xtal_BW#'!$A:$Z,25,FALSE)</f>
        <v>47</v>
      </c>
      <c r="Z20" s="1">
        <f>VLOOKUP($B20&amp;"__wt",'SegEnds_Xtal_BW#'!$A:$Z,26,FALSE)</f>
        <v>61</v>
      </c>
      <c r="AA20" s="27" t="str">
        <f>VLOOKUP(A20,Classification!A:B,2,FALSE)</f>
        <v>A</v>
      </c>
      <c r="AB20" s="1">
        <f>VLOOKUP(A20,'SegEnds_NonXtal_Prot#'!A:AL,10,FALSE)-VLOOKUP(A20,'SegEnds_NonXtal_Prot#'!A:AL,4,FALSE)</f>
        <v>27</v>
      </c>
      <c r="AC20" s="1" t="e">
        <f>VLOOKUP(A20,'SegEnds_NonXtal_Prot#'!A:AL,10,FALSE)-VLOOKUP(A20,'SegEnds_NonXtal_Prot#'!A:AL,7,FALSE)</f>
        <v>#VALUE!</v>
      </c>
      <c r="AD20" s="1" t="e">
        <f>VLOOKUP(A20,'SegEnds_NonXtal_Prot#'!A:AL,13,FALSE)-VLOOKUP(A20,'SegEnds_NonXtal_Prot#'!A:AL,10,FALSE)</f>
        <v>#VALUE!</v>
      </c>
      <c r="AE20" s="1">
        <f>VLOOKUP(A20,'SegEnds_NonXtal_Prot#'!A:AL,16,FALSE)-VLOOKUP(A20,'SegEnds_NonXtal_Prot#'!A:AL,10,FALSE)</f>
        <v>48</v>
      </c>
      <c r="AF20" s="1">
        <f>VLOOKUP(A20,'SegEnds_NonXtal_Prot#'!A:AL,22,FALSE)-VLOOKUP(A20,'SegEnds_NonXtal_Prot#'!A:AL,19,FALSE)</f>
        <v>20</v>
      </c>
      <c r="AG20" s="1" t="e">
        <f>VLOOKUP(A20,'SegEnds_NonXtal_Prot#'!A:AL,28,FALSE)-VLOOKUP(A20,'SegEnds_NonXtal_Prot#'!A:AL,25,FALSE)</f>
        <v>#VALUE!</v>
      </c>
      <c r="AH20" s="1">
        <f>VLOOKUP(A20,'SegEnds_NonXtal_Prot#'!A:AL,28,FALSE)-VLOOKUP(A20,'SegEnds_NonXtal_Prot#'!A:AL,22,FALSE)</f>
        <v>42</v>
      </c>
      <c r="AI20" s="1">
        <f>VLOOKUP(A20,'SegEnds_NonXtal_Prot#'!A:AL,31,FALSE)-VLOOKUP(A20,'SegEnds_NonXtal_Prot#'!A:AL,28,FALSE)</f>
        <v>42</v>
      </c>
      <c r="AJ20" s="1">
        <f>VLOOKUP(A20,'SegEnds_NonXtal_Prot#'!A:AL,34,FALSE)-VLOOKUP(A20,'SegEnds_NonXtal_Prot#'!A:AL,31,FALSE)</f>
        <v>38</v>
      </c>
      <c r="AK20" s="1">
        <f>VLOOKUP(A20,'SegEnds_NonXtal_Prot#'!A:AL,37,FALSE)-VLOOKUP(A20,'SegEnds_NonXtal_Prot#'!A:AL,34,FALSE)</f>
        <v>10</v>
      </c>
      <c r="AL20" s="1" t="str">
        <f>IF(ISERROR(MATCH(A20,'SegEnds_Xtal_Prot#'!B:B, 0)), "NoXtal", "Xtal")</f>
        <v>NoXtal</v>
      </c>
    </row>
    <row r="21" spans="1:38" x14ac:dyDescent="0.2">
      <c r="A21" s="1" t="s">
        <v>183</v>
      </c>
      <c r="B21" s="1" t="str">
        <f>VLOOKUP(A21,Xtal_Templ!A:B,2,FALSE)</f>
        <v>cnr2_human</v>
      </c>
      <c r="C21" s="5">
        <f>VLOOKUP($B21&amp;"__wt",'SegEnds_Xtal_BW#'!$A:$Z,3,FALSE)</f>
        <v>28</v>
      </c>
      <c r="D21" s="1">
        <f>VLOOKUP($B21&amp;"__wt",'SegEnds_Xtal_BW#'!$A:$Z,4,FALSE)</f>
        <v>60</v>
      </c>
      <c r="E21" s="1">
        <f>VLOOKUP($B21&amp;"__wt",'SegEnds_Xtal_BW#'!$A:$Z,5,FALSE)</f>
        <v>48</v>
      </c>
      <c r="F21" s="1">
        <f>VLOOKUP($B21&amp;"__wt",'SegEnds_Xtal_BW#'!$A:$Z,6,FALSE)</f>
        <v>51</v>
      </c>
      <c r="G21" s="1">
        <v>37</v>
      </c>
      <c r="H21" s="12">
        <v>66</v>
      </c>
      <c r="I21" s="1">
        <v>48</v>
      </c>
      <c r="J21" s="1">
        <v>52</v>
      </c>
      <c r="K21" s="12">
        <v>21</v>
      </c>
      <c r="L21" s="1">
        <f>VLOOKUP($B21&amp;"__wt",'SegEnds_Xtal_BW#'!$A:$Z,12,FALSE)</f>
        <v>56</v>
      </c>
      <c r="M21" s="1">
        <f>VLOOKUP($B21&amp;"__wt",'SegEnds_Xtal_BW#'!$A:$Z,13,FALSE)</f>
        <v>50</v>
      </c>
      <c r="N21" s="12">
        <v>57</v>
      </c>
      <c r="O21" s="87">
        <f>VLOOKUP($B21&amp;"__wt",'SegEnds_Xtal_BW#'!$A:$Z,15,FALSE)</f>
        <v>38</v>
      </c>
      <c r="P21" s="1">
        <f>VLOOKUP($B21&amp;"__wt",'SegEnds_Xtal_BW#'!$A:$Z,16,FALSE)</f>
        <v>63</v>
      </c>
      <c r="Q21" s="1" t="str">
        <f>VLOOKUP($B21&amp;"__wt",'SegEnds_Xtal_BW#'!$A:$Z,17,FALSE)</f>
        <v>-</v>
      </c>
      <c r="R21" s="1" t="str">
        <f>VLOOKUP($B21&amp;"__wt",'SegEnds_Xtal_BW#'!$A:$Z,18,FALSE)</f>
        <v>-</v>
      </c>
      <c r="S21" s="1">
        <f>VLOOKUP($B21&amp;"__wt",'SegEnds_Xtal_BW#'!$A:$Z,19,FALSE)</f>
        <v>36</v>
      </c>
      <c r="T21" s="1">
        <f t="array" ref="T21">INDEX(ICL3_classA!$G$2:$G$39,MATCH(MIN(ABS(AI21-ICL3_classA!$F$2:$F$39)),ABS(AI21-ICL3_classA!$F$2:$F$39),0))</f>
        <v>74</v>
      </c>
      <c r="U21" s="108">
        <v>28</v>
      </c>
      <c r="V21" s="1">
        <f>VLOOKUP($B21&amp;"__wt",'SegEnds_Xtal_BW#'!$A:$Z,22,FALSE)</f>
        <v>61</v>
      </c>
      <c r="W21" s="1">
        <f>VLOOKUP($B21&amp;"__wt",'SegEnds_Xtal_BW#'!$A:$Z,23,FALSE)</f>
        <v>28</v>
      </c>
      <c r="X21" s="1">
        <f>VLOOKUP($B21&amp;"__wt",'SegEnds_Xtal_BW#'!$A:$Z,24,FALSE)</f>
        <v>56</v>
      </c>
      <c r="Y21" s="1">
        <f>VLOOKUP($B21&amp;"__wt",'SegEnds_Xtal_BW#'!$A:$Z,25,FALSE)</f>
        <v>47</v>
      </c>
      <c r="Z21" s="1">
        <f>VLOOKUP($B21&amp;"__wt",'SegEnds_Xtal_BW#'!$A:$Z,26,FALSE)</f>
        <v>63</v>
      </c>
      <c r="AA21" s="27" t="str">
        <f>VLOOKUP(A21,Classification!A:B,2,FALSE)</f>
        <v>A</v>
      </c>
      <c r="AB21" s="1">
        <f>VLOOKUP(A21,'SegEnds_NonXtal_Prot#'!A:AL,10,FALSE)-VLOOKUP(A21,'SegEnds_NonXtal_Prot#'!A:AL,4,FALSE)</f>
        <v>29</v>
      </c>
      <c r="AC21" s="1">
        <f>VLOOKUP(A21,'SegEnds_NonXtal_Prot#'!A:AL,10,FALSE)-VLOOKUP(A21,'SegEnds_NonXtal_Prot#'!A:AL,7,FALSE)</f>
        <v>16</v>
      </c>
      <c r="AD21" s="1" t="e">
        <f>VLOOKUP(A21,'SegEnds_NonXtal_Prot#'!A:AL,13,FALSE)-VLOOKUP(A21,'SegEnds_NonXtal_Prot#'!A:AL,10,FALSE)</f>
        <v>#VALUE!</v>
      </c>
      <c r="AE21" s="1">
        <f>VLOOKUP(A21,'SegEnds_NonXtal_Prot#'!A:AL,16,FALSE)-VLOOKUP(A21,'SegEnds_NonXtal_Prot#'!A:AL,10,FALSE)</f>
        <v>51</v>
      </c>
      <c r="AF21" s="1">
        <f>VLOOKUP(A21,'SegEnds_NonXtal_Prot#'!A:AL,22,FALSE)-VLOOKUP(A21,'SegEnds_NonXtal_Prot#'!A:AL,19,FALSE)</f>
        <v>20</v>
      </c>
      <c r="AG21" s="1" t="e">
        <f>VLOOKUP(A21,'SegEnds_NonXtal_Prot#'!A:AL,28,FALSE)-VLOOKUP(A21,'SegEnds_NonXtal_Prot#'!A:AL,25,FALSE)</f>
        <v>#VALUE!</v>
      </c>
      <c r="AH21" s="1">
        <f>VLOOKUP(A21,'SegEnds_NonXtal_Prot#'!A:AL,28,FALSE)-VLOOKUP(A21,'SegEnds_NonXtal_Prot#'!A:AL,22,FALSE)</f>
        <v>43</v>
      </c>
      <c r="AI21" s="1">
        <f>VLOOKUP(A21,'SegEnds_NonXtal_Prot#'!A:AL,31,FALSE)-VLOOKUP(A21,'SegEnds_NonXtal_Prot#'!A:AL,28,FALSE)</f>
        <v>59</v>
      </c>
      <c r="AJ21" s="1">
        <f>VLOOKUP(A21,'SegEnds_NonXtal_Prot#'!A:AL,34,FALSE)-VLOOKUP(A21,'SegEnds_NonXtal_Prot#'!A:AL,31,FALSE)</f>
        <v>36</v>
      </c>
      <c r="AK21" s="1">
        <f>VLOOKUP(A21,'SegEnds_NonXtal_Prot#'!A:AL,37,FALSE)-VLOOKUP(A21,'SegEnds_NonXtal_Prot#'!A:AL,34,FALSE)</f>
        <v>10</v>
      </c>
      <c r="AL21" s="1" t="str">
        <f>IF(ISERROR(MATCH(A21,'SegEnds_Xtal_Prot#'!B:B, 0)), "NoXtal", "Xtal")</f>
        <v>Xtal</v>
      </c>
    </row>
    <row r="22" spans="1:38" x14ac:dyDescent="0.2">
      <c r="A22" s="1" t="s">
        <v>215</v>
      </c>
      <c r="B22" s="1" t="str">
        <f>VLOOKUP(A22,Xtal_Templ!A:B,2,FALSE)</f>
        <v>5ht2c_human</v>
      </c>
      <c r="C22" s="5">
        <f>VLOOKUP($B22&amp;"__wt",'SegEnds_Xtal_BW#'!$A:$Z,3,FALSE)</f>
        <v>33</v>
      </c>
      <c r="D22" s="1">
        <f>VLOOKUP($B22&amp;"__wt",'SegEnds_Xtal_BW#'!$A:$Z,4,FALSE)</f>
        <v>60</v>
      </c>
      <c r="E22" s="1">
        <f>VLOOKUP($B22&amp;"__wt",'SegEnds_Xtal_BW#'!$A:$Z,5,FALSE)</f>
        <v>48</v>
      </c>
      <c r="F22" s="1">
        <f>VLOOKUP($B22&amp;"__wt",'SegEnds_Xtal_BW#'!$A:$Z,6,FALSE)</f>
        <v>51</v>
      </c>
      <c r="G22" s="1">
        <v>37</v>
      </c>
      <c r="H22" s="1">
        <v>67</v>
      </c>
      <c r="I22" s="1">
        <f>VLOOKUP($B22&amp;"__wt",'SegEnds_Xtal_BW#'!$A:$Z,9,FALSE)</f>
        <v>49</v>
      </c>
      <c r="J22" s="1">
        <f>VLOOKUP($B22&amp;"__wt",'SegEnds_Xtal_BW#'!$A:$Z,10,FALSE)</f>
        <v>52</v>
      </c>
      <c r="K22" s="1">
        <v>18</v>
      </c>
      <c r="L22" s="1">
        <f>VLOOKUP($B22&amp;"__wt",'SegEnds_Xtal_BW#'!$A:$Z,12,FALSE)</f>
        <v>56</v>
      </c>
      <c r="M22" s="1">
        <f>VLOOKUP($B22&amp;"__wt",'SegEnds_Xtal_BW#'!$A:$Z,13,FALSE)</f>
        <v>50</v>
      </c>
      <c r="N22" s="108">
        <v>56</v>
      </c>
      <c r="O22" s="87">
        <f>VLOOKUP($B22&amp;"__wt",'SegEnds_Xtal_BW#'!$A:$Z,15,FALSE)</f>
        <v>38</v>
      </c>
      <c r="P22" s="1">
        <f>VLOOKUP($B22&amp;"__wt",'SegEnds_Xtal_BW#'!$A:$Z,16,FALSE)</f>
        <v>67</v>
      </c>
      <c r="Q22" s="1">
        <f>VLOOKUP($B22&amp;"__wt",'SegEnds_Xtal_BW#'!$A:$Z,17,FALSE)</f>
        <v>50</v>
      </c>
      <c r="R22" s="1">
        <f>VLOOKUP($B22&amp;"__wt",'SegEnds_Xtal_BW#'!$A:$Z,18,FALSE)</f>
        <v>52</v>
      </c>
      <c r="S22" s="1">
        <f>VLOOKUP($B22&amp;"__wt",'SegEnds_Xtal_BW#'!$A:$Z,19,FALSE)</f>
        <v>35</v>
      </c>
      <c r="T22" s="1">
        <f t="array" ref="T22">INDEX(ICL3_classA!$G$2:$G$39,MATCH(MIN(ABS(AI22-ICL3_classA!$F$2:$F$39)),ABS(AI22-ICL3_classA!$F$2:$F$39),0))</f>
        <v>68</v>
      </c>
      <c r="U22" s="1">
        <f t="array" ref="U22">INDEX(ICL3_classA!$H$2:$H$39,MATCH(MIN(ABS(AI22-ICL3_classA!$F$2:$F$39)),ABS(AI22-ICL3_classA!$F$2:$F$39),0))</f>
        <v>24</v>
      </c>
      <c r="V22" s="1">
        <v>61</v>
      </c>
      <c r="W22" s="131">
        <f>VLOOKUP($B22&amp;"__wt",'SegEnds_Xtal_BW#'!$A:$Z,23,FALSE)</f>
        <v>27</v>
      </c>
      <c r="X22" s="1">
        <f>VLOOKUP($B22&amp;"__wt",'SegEnds_Xtal_BW#'!$A:$Z,24,FALSE)</f>
        <v>56</v>
      </c>
      <c r="Y22" s="1">
        <f>VLOOKUP($B22&amp;"__wt",'SegEnds_Xtal_BW#'!$A:$Z,25,FALSE)</f>
        <v>47</v>
      </c>
      <c r="Z22" s="1">
        <f>VLOOKUP($B22&amp;"__wt",'SegEnds_Xtal_BW#'!$A:$Z,26,FALSE)</f>
        <v>60</v>
      </c>
      <c r="AA22" s="27" t="str">
        <f>VLOOKUP(A22,Classification!A:B,2,FALSE)</f>
        <v>A</v>
      </c>
      <c r="AB22" s="1">
        <f>VLOOKUP(A22,'SegEnds_NonXtal_Prot#'!A:AL,10,FALSE)-VLOOKUP(A22,'SegEnds_NonXtal_Prot#'!A:AL,4,FALSE)</f>
        <v>29</v>
      </c>
      <c r="AC22" s="1" t="e">
        <f>VLOOKUP(A22,'SegEnds_NonXtal_Prot#'!A:AL,10,FALSE)-VLOOKUP(A22,'SegEnds_NonXtal_Prot#'!A:AL,7,FALSE)</f>
        <v>#VALUE!</v>
      </c>
      <c r="AD22" s="1" t="e">
        <f>VLOOKUP(A22,'SegEnds_NonXtal_Prot#'!A:AL,13,FALSE)-VLOOKUP(A22,'SegEnds_NonXtal_Prot#'!A:AL,10,FALSE)</f>
        <v>#VALUE!</v>
      </c>
      <c r="AE22" s="1">
        <f>VLOOKUP(A22,'SegEnds_NonXtal_Prot#'!A:AL,16,FALSE)-VLOOKUP(A22,'SegEnds_NonXtal_Prot#'!A:AL,10,FALSE)</f>
        <v>53</v>
      </c>
      <c r="AF22" s="1">
        <f>VLOOKUP(A22,'SegEnds_NonXtal_Prot#'!A:AL,22,FALSE)-VLOOKUP(A22,'SegEnds_NonXtal_Prot#'!A:AL,19,FALSE)</f>
        <v>19</v>
      </c>
      <c r="AG22" s="1" t="e">
        <f>VLOOKUP(A22,'SegEnds_NonXtal_Prot#'!A:AL,28,FALSE)-VLOOKUP(A22,'SegEnds_NonXtal_Prot#'!A:AL,25,FALSE)</f>
        <v>#VALUE!</v>
      </c>
      <c r="AH22" s="1">
        <f>VLOOKUP(A22,'SegEnds_NonXtal_Prot#'!A:AL,28,FALSE)-VLOOKUP(A22,'SegEnds_NonXtal_Prot#'!A:AL,22,FALSE)</f>
        <v>43</v>
      </c>
      <c r="AI22" s="1">
        <f>VLOOKUP(A22,'SegEnds_NonXtal_Prot#'!A:AL,31,FALSE)-VLOOKUP(A22,'SegEnds_NonXtal_Prot#'!A:AL,28,FALSE)</f>
        <v>48</v>
      </c>
      <c r="AJ22" s="1">
        <f>VLOOKUP(A22,'SegEnds_NonXtal_Prot#'!A:AL,34,FALSE)-VLOOKUP(A22,'SegEnds_NonXtal_Prot#'!A:AL,31,FALSE)</f>
        <v>39</v>
      </c>
      <c r="AK22" s="1">
        <f>VLOOKUP(A22,'SegEnds_NonXtal_Prot#'!A:AL,37,FALSE)-VLOOKUP(A22,'SegEnds_NonXtal_Prot#'!A:AL,34,FALSE)</f>
        <v>10</v>
      </c>
      <c r="AL22" s="1" t="str">
        <f>IF(ISERROR(MATCH(A22,'SegEnds_Xtal_Prot#'!B:B, 0)), "NoXtal", "Xtal")</f>
        <v>NoXtal</v>
      </c>
    </row>
    <row r="23" spans="1:38" x14ac:dyDescent="0.2">
      <c r="A23" s="1" t="s">
        <v>217</v>
      </c>
      <c r="B23" s="1" t="str">
        <f>VLOOKUP(A23,Xtal_Templ!A:B,2,FALSE)</f>
        <v>5ht2a_human</v>
      </c>
      <c r="C23" s="5">
        <f>VLOOKUP($B23&amp;"__wt",'SegEnds_Xtal_BW#'!$A:$Z,3,FALSE)</f>
        <v>27</v>
      </c>
      <c r="D23" s="1">
        <f>VLOOKUP($B23&amp;"__wt",'SegEnds_Xtal_BW#'!$A:$Z,4,FALSE)</f>
        <v>60</v>
      </c>
      <c r="E23" s="1">
        <f>VLOOKUP($B23&amp;"__wt",'SegEnds_Xtal_BW#'!$A:$Z,5,FALSE)</f>
        <v>48</v>
      </c>
      <c r="F23" s="1">
        <f>VLOOKUP($B23&amp;"__wt",'SegEnds_Xtal_BW#'!$A:$Z,6,FALSE)</f>
        <v>51</v>
      </c>
      <c r="G23" s="1">
        <v>37</v>
      </c>
      <c r="H23" s="1">
        <v>67</v>
      </c>
      <c r="I23" s="1">
        <f>VLOOKUP($B23&amp;"__wt",'SegEnds_Xtal_BW#'!$A:$Z,9,FALSE)</f>
        <v>49</v>
      </c>
      <c r="J23" s="1">
        <f>VLOOKUP($B23&amp;"__wt",'SegEnds_Xtal_BW#'!$A:$Z,10,FALSE)</f>
        <v>52</v>
      </c>
      <c r="K23" s="1">
        <v>18</v>
      </c>
      <c r="L23" s="1">
        <f>VLOOKUP($B23&amp;"__wt",'SegEnds_Xtal_BW#'!$A:$Z,12,FALSE)</f>
        <v>56</v>
      </c>
      <c r="M23" s="1">
        <f>VLOOKUP($B23&amp;"__wt",'SegEnds_Xtal_BW#'!$A:$Z,13,FALSE)</f>
        <v>50</v>
      </c>
      <c r="N23" s="108">
        <v>56</v>
      </c>
      <c r="O23" s="87">
        <f>VLOOKUP($B23&amp;"__wt",'SegEnds_Xtal_BW#'!$A:$Z,15,FALSE)</f>
        <v>38</v>
      </c>
      <c r="P23" s="1">
        <f>VLOOKUP($B23&amp;"__wt",'SegEnds_Xtal_BW#'!$A:$Z,16,FALSE)</f>
        <v>67</v>
      </c>
      <c r="Q23" s="1">
        <f>VLOOKUP($B23&amp;"__wt",'SegEnds_Xtal_BW#'!$A:$Z,17,FALSE)</f>
        <v>50</v>
      </c>
      <c r="R23" s="1">
        <f>VLOOKUP($B23&amp;"__wt",'SegEnds_Xtal_BW#'!$A:$Z,18,FALSE)</f>
        <v>52</v>
      </c>
      <c r="S23" s="1">
        <f>VLOOKUP($B23&amp;"__wt",'SegEnds_Xtal_BW#'!$A:$Z,19,FALSE)</f>
        <v>35</v>
      </c>
      <c r="T23" s="1">
        <f t="array" ref="T23">INDEX(ICL3_classA!$G$2:$G$39,MATCH(MIN(ABS(AI23-ICL3_classA!$F$2:$F$39)),ABS(AI23-ICL3_classA!$F$2:$F$39),0))</f>
        <v>67</v>
      </c>
      <c r="U23" s="1">
        <f t="array" ref="U23">INDEX(ICL3_classA!$H$2:$H$39,MATCH(MIN(ABS(AI23-ICL3_classA!$F$2:$F$39)),ABS(AI23-ICL3_classA!$F$2:$F$39),0))</f>
        <v>26</v>
      </c>
      <c r="V23" s="1">
        <v>61</v>
      </c>
      <c r="W23" s="131">
        <f>VLOOKUP($B23&amp;"__wt",'SegEnds_Xtal_BW#'!$A:$Z,23,FALSE)</f>
        <v>27</v>
      </c>
      <c r="X23" s="1">
        <f>VLOOKUP($B23&amp;"__wt",'SegEnds_Xtal_BW#'!$A:$Z,24,FALSE)</f>
        <v>56</v>
      </c>
      <c r="Y23" s="1">
        <f>VLOOKUP($B23&amp;"__wt",'SegEnds_Xtal_BW#'!$A:$Z,25,FALSE)</f>
        <v>47</v>
      </c>
      <c r="Z23" s="1">
        <f>VLOOKUP($B23&amp;"__wt",'SegEnds_Xtal_BW#'!$A:$Z,26,FALSE)</f>
        <v>60</v>
      </c>
      <c r="AA23" s="27" t="str">
        <f>VLOOKUP(A23,Classification!A:B,2,FALSE)</f>
        <v>A</v>
      </c>
      <c r="AB23" s="1">
        <f>VLOOKUP(A23,'SegEnds_NonXtal_Prot#'!A:AL,10,FALSE)-VLOOKUP(A23,'SegEnds_NonXtal_Prot#'!A:AL,4,FALSE)</f>
        <v>29</v>
      </c>
      <c r="AC23" s="1" t="e">
        <f>VLOOKUP(A23,'SegEnds_NonXtal_Prot#'!A:AL,10,FALSE)-VLOOKUP(A23,'SegEnds_NonXtal_Prot#'!A:AL,7,FALSE)</f>
        <v>#VALUE!</v>
      </c>
      <c r="AD23" s="1" t="e">
        <f>VLOOKUP(A23,'SegEnds_NonXtal_Prot#'!A:AL,13,FALSE)-VLOOKUP(A23,'SegEnds_NonXtal_Prot#'!A:AL,10,FALSE)</f>
        <v>#VALUE!</v>
      </c>
      <c r="AE23" s="1">
        <f>VLOOKUP(A23,'SegEnds_NonXtal_Prot#'!A:AL,16,FALSE)-VLOOKUP(A23,'SegEnds_NonXtal_Prot#'!A:AL,10,FALSE)</f>
        <v>53</v>
      </c>
      <c r="AF23" s="1">
        <f>VLOOKUP(A23,'SegEnds_NonXtal_Prot#'!A:AL,22,FALSE)-VLOOKUP(A23,'SegEnds_NonXtal_Prot#'!A:AL,19,FALSE)</f>
        <v>19</v>
      </c>
      <c r="AG23" s="1" t="e">
        <f>VLOOKUP(A23,'SegEnds_NonXtal_Prot#'!A:AL,28,FALSE)-VLOOKUP(A23,'SegEnds_NonXtal_Prot#'!A:AL,25,FALSE)</f>
        <v>#VALUE!</v>
      </c>
      <c r="AH23" s="1">
        <f>VLOOKUP(A23,'SegEnds_NonXtal_Prot#'!A:AL,28,FALSE)-VLOOKUP(A23,'SegEnds_NonXtal_Prot#'!A:AL,22,FALSE)</f>
        <v>43</v>
      </c>
      <c r="AI23" s="1">
        <f>VLOOKUP(A23,'SegEnds_NonXtal_Prot#'!A:AL,31,FALSE)-VLOOKUP(A23,'SegEnds_NonXtal_Prot#'!A:AL,28,FALSE)</f>
        <v>47</v>
      </c>
      <c r="AJ23" s="1">
        <f>VLOOKUP(A23,'SegEnds_NonXtal_Prot#'!A:AL,34,FALSE)-VLOOKUP(A23,'SegEnds_NonXtal_Prot#'!A:AL,31,FALSE)</f>
        <v>39</v>
      </c>
      <c r="AK23" s="1">
        <f>VLOOKUP(A23,'SegEnds_NonXtal_Prot#'!A:AL,37,FALSE)-VLOOKUP(A23,'SegEnds_NonXtal_Prot#'!A:AL,34,FALSE)</f>
        <v>10</v>
      </c>
      <c r="AL23" s="1" t="str">
        <f>IF(ISERROR(MATCH(A23,'SegEnds_Xtal_Prot#'!B:B, 0)), "NoXtal", "Xtal")</f>
        <v>NoXtal</v>
      </c>
    </row>
    <row r="24" spans="1:38" x14ac:dyDescent="0.2">
      <c r="A24" s="1" t="s">
        <v>302</v>
      </c>
      <c r="B24" s="1" t="str">
        <f>VLOOKUP(A24,Xtal_Templ!A:B,2,FALSE)</f>
        <v>c5ar1_human</v>
      </c>
      <c r="C24" s="5">
        <f>VLOOKUP($B24&amp;"__wt",'SegEnds_Xtal_BW#'!$A:$Z,3,FALSE)</f>
        <v>29</v>
      </c>
      <c r="D24" s="1">
        <f>VLOOKUP($B24&amp;"__wt",'SegEnds_Xtal_BW#'!$A:$Z,4,FALSE)</f>
        <v>60</v>
      </c>
      <c r="E24" s="1" t="str">
        <f>VLOOKUP($B24&amp;"__wt",'SegEnds_Xtal_BW#'!$A:$Z,5,FALSE)</f>
        <v>-</v>
      </c>
      <c r="F24" s="1" t="str">
        <f>VLOOKUP($B24&amp;"__wt",'SegEnds_Xtal_BW#'!$A:$Z,6,FALSE)</f>
        <v>-</v>
      </c>
      <c r="G24" s="1">
        <v>37</v>
      </c>
      <c r="H24" s="12">
        <f>VLOOKUP($B24&amp;"__wt",'SegEnds_Xtal_BW#'!$A:$Z,8,FALSE)</f>
        <v>67</v>
      </c>
      <c r="I24" s="1">
        <f>VLOOKUP($B24&amp;"__wt",'SegEnds_Xtal_BW#'!$A:$Z,9,FALSE)</f>
        <v>49</v>
      </c>
      <c r="J24" s="1">
        <f>VLOOKUP($B24&amp;"__wt",'SegEnds_Xtal_BW#'!$A:$Z,10,FALSE)</f>
        <v>52</v>
      </c>
      <c r="K24" s="12">
        <v>21</v>
      </c>
      <c r="L24" s="1">
        <f>VLOOKUP($B24&amp;"__wt",'SegEnds_Xtal_BW#'!$A:$Z,12,FALSE)</f>
        <v>56</v>
      </c>
      <c r="M24" s="1">
        <f>VLOOKUP($B24&amp;"__wt",'SegEnds_Xtal_BW#'!$A:$Z,13,FALSE)</f>
        <v>50</v>
      </c>
      <c r="N24" s="12">
        <v>57</v>
      </c>
      <c r="O24" s="87">
        <v>38</v>
      </c>
      <c r="P24" s="1">
        <f>VLOOKUP($B24&amp;"__wt",'SegEnds_Xtal_BW#'!$A:$Z,16,FALSE)</f>
        <v>64</v>
      </c>
      <c r="Q24" s="1">
        <f>VLOOKUP($B24&amp;"__wt",'SegEnds_Xtal_BW#'!$A:$Z,17,FALSE)</f>
        <v>50</v>
      </c>
      <c r="R24" s="1">
        <f>VLOOKUP($B24&amp;"__wt",'SegEnds_Xtal_BW#'!$A:$Z,18,FALSE)</f>
        <v>52</v>
      </c>
      <c r="S24" s="1">
        <f>VLOOKUP($B24&amp;"__wt",'SegEnds_Xtal_BW#'!$A:$Z,19,FALSE)</f>
        <v>31</v>
      </c>
      <c r="T24" s="1">
        <f t="array" ref="T24">INDEX(ICL3_classA!$G$2:$G$39,MATCH(MIN(ABS(AI24-ICL3_classA!$F$2:$F$39)),ABS(AI24-ICL3_classA!$F$2:$F$39),0))</f>
        <v>68</v>
      </c>
      <c r="U24" s="1">
        <f t="array" ref="U24">INDEX(ICL3_classA!$H$2:$H$39,MATCH(MIN(ABS(AI24-ICL3_classA!$F$2:$F$39)),ABS(AI24-ICL3_classA!$F$2:$F$39),0))</f>
        <v>30</v>
      </c>
      <c r="V24" s="1">
        <v>61</v>
      </c>
      <c r="W24" s="1">
        <v>32</v>
      </c>
      <c r="X24" s="108">
        <v>56</v>
      </c>
      <c r="Y24" s="1">
        <f>VLOOKUP($B24&amp;"__wt",'SegEnds_Xtal_BW#'!$A:$Z,25,FALSE)</f>
        <v>47</v>
      </c>
      <c r="Z24" s="1">
        <f>VLOOKUP($B24&amp;"__wt",'SegEnds_Xtal_BW#'!$A:$Z,26,FALSE)</f>
        <v>56</v>
      </c>
      <c r="AA24" s="27" t="str">
        <f>VLOOKUP(A24,Classification!A:B,2,FALSE)</f>
        <v>A</v>
      </c>
      <c r="AB24" s="1">
        <f>VLOOKUP(A24,'SegEnds_NonXtal_Prot#'!A:AL,10,FALSE)-VLOOKUP(A24,'SegEnds_NonXtal_Prot#'!A:AL,4,FALSE)</f>
        <v>27</v>
      </c>
      <c r="AC24" s="1" t="e">
        <f>VLOOKUP(A24,'SegEnds_NonXtal_Prot#'!A:AL,10,FALSE)-VLOOKUP(A24,'SegEnds_NonXtal_Prot#'!A:AL,7,FALSE)</f>
        <v>#VALUE!</v>
      </c>
      <c r="AD24" s="1" t="e">
        <f>VLOOKUP(A24,'SegEnds_NonXtal_Prot#'!A:AL,13,FALSE)-VLOOKUP(A24,'SegEnds_NonXtal_Prot#'!A:AL,10,FALSE)</f>
        <v>#VALUE!</v>
      </c>
      <c r="AE24" s="1">
        <f>VLOOKUP(A24,'SegEnds_NonXtal_Prot#'!A:AL,16,FALSE)-VLOOKUP(A24,'SegEnds_NonXtal_Prot#'!A:AL,10,FALSE)</f>
        <v>52</v>
      </c>
      <c r="AF24" s="1">
        <f>VLOOKUP(A24,'SegEnds_NonXtal_Prot#'!A:AL,22,FALSE)-VLOOKUP(A24,'SegEnds_NonXtal_Prot#'!A:AL,19,FALSE)</f>
        <v>20</v>
      </c>
      <c r="AG24" s="1" t="e">
        <f>VLOOKUP(A24,'SegEnds_NonXtal_Prot#'!A:AL,28,FALSE)-VLOOKUP(A24,'SegEnds_NonXtal_Prot#'!A:AL,25,FALSE)</f>
        <v>#VALUE!</v>
      </c>
      <c r="AH24" s="1">
        <f>VLOOKUP(A24,'SegEnds_NonXtal_Prot#'!A:AL,28,FALSE)-VLOOKUP(A24,'SegEnds_NonXtal_Prot#'!A:AL,22,FALSE)</f>
        <v>43</v>
      </c>
      <c r="AI24" s="1">
        <f>VLOOKUP(A24,'SegEnds_NonXtal_Prot#'!A:AL,31,FALSE)-VLOOKUP(A24,'SegEnds_NonXtal_Prot#'!A:AL,28,FALSE)</f>
        <v>43</v>
      </c>
      <c r="AJ24" s="1">
        <f>VLOOKUP(A24,'SegEnds_NonXtal_Prot#'!A:AL,34,FALSE)-VLOOKUP(A24,'SegEnds_NonXtal_Prot#'!A:AL,31,FALSE)</f>
        <v>34</v>
      </c>
      <c r="AK24" s="1">
        <f>VLOOKUP(A24,'SegEnds_NonXtal_Prot#'!A:AL,37,FALSE)-VLOOKUP(A24,'SegEnds_NonXtal_Prot#'!A:AL,34,FALSE)</f>
        <v>10</v>
      </c>
      <c r="AL24" s="1" t="str">
        <f>IF(ISERROR(MATCH(A24,'SegEnds_Xtal_Prot#'!B:B, 0)), "NoXtal", "Xtal")</f>
        <v>NoXtal</v>
      </c>
    </row>
    <row r="25" spans="1:38" x14ac:dyDescent="0.2">
      <c r="A25" s="1" t="s">
        <v>399</v>
      </c>
      <c r="B25" s="1" t="str">
        <f>VLOOKUP(A25,Xtal_Templ!A:B,2,FALSE)</f>
        <v>ccr5_human</v>
      </c>
      <c r="C25" s="5">
        <f>VLOOKUP($B25&amp;"__wt",'SegEnds_Xtal_BW#'!$A:$Z,3,FALSE)</f>
        <v>24</v>
      </c>
      <c r="D25" s="1">
        <f>VLOOKUP($B25&amp;"__wt",'SegEnds_Xtal_BW#'!$A:$Z,4,FALSE)</f>
        <v>60</v>
      </c>
      <c r="E25" s="1">
        <f>VLOOKUP($B25&amp;"__wt",'SegEnds_Xtal_BW#'!$A:$Z,5,FALSE)</f>
        <v>48</v>
      </c>
      <c r="F25" s="1">
        <f>VLOOKUP($B25&amp;"__wt",'SegEnds_Xtal_BW#'!$A:$Z,6,FALSE)</f>
        <v>51</v>
      </c>
      <c r="G25" s="1">
        <v>37</v>
      </c>
      <c r="H25" s="12">
        <v>66</v>
      </c>
      <c r="I25" s="1">
        <f>VLOOKUP($B25&amp;"__wt",'SegEnds_Xtal_BW#'!$A:$Z,9,FALSE)</f>
        <v>49</v>
      </c>
      <c r="J25" s="1">
        <f>VLOOKUP($B25&amp;"__wt",'SegEnds_Xtal_BW#'!$A:$Z,10,FALSE)</f>
        <v>52</v>
      </c>
      <c r="K25" s="12">
        <v>24</v>
      </c>
      <c r="L25" s="1">
        <f>VLOOKUP($B25&amp;"__wt",'SegEnds_Xtal_BW#'!$A:$Z,12,FALSE)</f>
        <v>56</v>
      </c>
      <c r="M25" s="1">
        <f>VLOOKUP($B25&amp;"__wt",'SegEnds_Xtal_BW#'!$A:$Z,13,FALSE)</f>
        <v>50</v>
      </c>
      <c r="N25" s="12">
        <v>57</v>
      </c>
      <c r="O25" s="87">
        <v>38</v>
      </c>
      <c r="P25" s="1">
        <f>VLOOKUP($B25&amp;"__wt",'SegEnds_Xtal_BW#'!$A:$Z,16,FALSE)</f>
        <v>64</v>
      </c>
      <c r="Q25" s="1">
        <f>VLOOKUP($B25&amp;"__wt",'SegEnds_Xtal_BW#'!$A:$Z,17,FALSE)</f>
        <v>50</v>
      </c>
      <c r="R25" s="1">
        <f>VLOOKUP($B25&amp;"__wt",'SegEnds_Xtal_BW#'!$A:$Z,18,FALSE)</f>
        <v>52</v>
      </c>
      <c r="S25" s="1">
        <v>35</v>
      </c>
      <c r="T25" s="1">
        <f t="array" ref="T25">INDEX(ICL3_classA!$G$2:$G$39,MATCH(MIN(ABS(AI25-ICL3_classA!$F$2:$F$39)),ABS(AI25-ICL3_classA!$F$2:$F$39),0))</f>
        <v>68</v>
      </c>
      <c r="U25" s="1">
        <f t="array" ref="U25">INDEX(ICL3_classA!$H$2:$H$39,MATCH(MIN(ABS(AI25-ICL3_classA!$F$2:$F$39)),ABS(AI25-ICL3_classA!$F$2:$F$39),0))</f>
        <v>30</v>
      </c>
      <c r="V25" s="1">
        <v>64</v>
      </c>
      <c r="W25" s="1">
        <v>24</v>
      </c>
      <c r="X25" s="1">
        <f>VLOOKUP($B25&amp;"__wt",'SegEnds_Xtal_BW#'!$A:$Z,24,FALSE)</f>
        <v>56</v>
      </c>
      <c r="Y25" s="1">
        <f>VLOOKUP($B25&amp;"__wt",'SegEnds_Xtal_BW#'!$A:$Z,25,FALSE)</f>
        <v>47</v>
      </c>
      <c r="Z25" s="1">
        <f>VLOOKUP($B25&amp;"__wt",'SegEnds_Xtal_BW#'!$A:$Z,26,FALSE)</f>
        <v>59</v>
      </c>
      <c r="AA25" s="27" t="str">
        <f>VLOOKUP(A25,Classification!A:B,2,FALSE)</f>
        <v>A</v>
      </c>
      <c r="AB25" s="1">
        <f>VLOOKUP(A25,'SegEnds_NonXtal_Prot#'!A:AL,10,FALSE)-VLOOKUP(A25,'SegEnds_NonXtal_Prot#'!A:AL,4,FALSE)</f>
        <v>28</v>
      </c>
      <c r="AC25" s="1">
        <f>VLOOKUP(A25,'SegEnds_NonXtal_Prot#'!A:AL,10,FALSE)-VLOOKUP(A25,'SegEnds_NonXtal_Prot#'!A:AL,7,FALSE)</f>
        <v>15</v>
      </c>
      <c r="AD25" s="1">
        <f>VLOOKUP(A25,'SegEnds_NonXtal_Prot#'!A:AL,13,FALSE)-VLOOKUP(A25,'SegEnds_NonXtal_Prot#'!A:AL,10,FALSE)</f>
        <v>18</v>
      </c>
      <c r="AE25" s="1">
        <f>VLOOKUP(A25,'SegEnds_NonXtal_Prot#'!A:AL,16,FALSE)-VLOOKUP(A25,'SegEnds_NonXtal_Prot#'!A:AL,10,FALSE)</f>
        <v>50</v>
      </c>
      <c r="AF25" s="1">
        <f>VLOOKUP(A25,'SegEnds_NonXtal_Prot#'!A:AL,22,FALSE)-VLOOKUP(A25,'SegEnds_NonXtal_Prot#'!A:AL,19,FALSE)</f>
        <v>20</v>
      </c>
      <c r="AG25" s="1">
        <f>VLOOKUP(A25,'SegEnds_NonXtal_Prot#'!A:AL,28,FALSE)-VLOOKUP(A25,'SegEnds_NonXtal_Prot#'!A:AL,25,FALSE)</f>
        <v>22</v>
      </c>
      <c r="AH25" s="1">
        <f>VLOOKUP(A25,'SegEnds_NonXtal_Prot#'!A:AL,28,FALSE)-VLOOKUP(A25,'SegEnds_NonXtal_Prot#'!A:AL,22,FALSE)</f>
        <v>43</v>
      </c>
      <c r="AI25" s="1">
        <f>VLOOKUP(A25,'SegEnds_NonXtal_Prot#'!A:AL,31,FALSE)-VLOOKUP(A25,'SegEnds_NonXtal_Prot#'!A:AL,28,FALSE)</f>
        <v>43</v>
      </c>
      <c r="AJ25" s="1">
        <f>VLOOKUP(A25,'SegEnds_NonXtal_Prot#'!A:AL,34,FALSE)-VLOOKUP(A25,'SegEnds_NonXtal_Prot#'!A:AL,31,FALSE)</f>
        <v>44</v>
      </c>
      <c r="AK25" s="1">
        <f>VLOOKUP(A25,'SegEnds_NonXtal_Prot#'!A:AL,37,FALSE)-VLOOKUP(A25,'SegEnds_NonXtal_Prot#'!A:AL,34,FALSE)</f>
        <v>10</v>
      </c>
      <c r="AL25" s="1" t="str">
        <f>IF(ISERROR(MATCH(A25,'SegEnds_Xtal_Prot#'!B:B, 0)), "NoXtal", "Xtal")</f>
        <v>NoXtal</v>
      </c>
    </row>
    <row r="26" spans="1:38" x14ac:dyDescent="0.2">
      <c r="A26" s="1" t="s">
        <v>137</v>
      </c>
      <c r="B26" s="1" t="str">
        <f>VLOOKUP(A26,Xtal_Templ!A:B,2,FALSE)</f>
        <v>5ht1b_human</v>
      </c>
      <c r="C26" s="5">
        <f>VLOOKUP($B26&amp;"__wt",'SegEnds_Xtal_BW#'!$A:$Z,3,FALSE)</f>
        <v>28</v>
      </c>
      <c r="D26" s="1">
        <f>VLOOKUP($B26&amp;"__wt",'SegEnds_Xtal_BW#'!$A:$Z,4,FALSE)</f>
        <v>60</v>
      </c>
      <c r="E26" s="1">
        <f>VLOOKUP($B26&amp;"__wt",'SegEnds_Xtal_BW#'!$A:$Z,5,FALSE)</f>
        <v>48</v>
      </c>
      <c r="F26" s="1">
        <f>VLOOKUP($B26&amp;"__wt",'SegEnds_Xtal_BW#'!$A:$Z,6,FALSE)</f>
        <v>51</v>
      </c>
      <c r="G26" s="1">
        <v>37</v>
      </c>
      <c r="H26" s="12">
        <f>VLOOKUP($B26&amp;"__wt",'SegEnds_Xtal_BW#'!$A:$Z,8,FALSE)</f>
        <v>68</v>
      </c>
      <c r="I26" s="1">
        <f>VLOOKUP($B26&amp;"__wt",'SegEnds_Xtal_BW#'!$A:$Z,9,FALSE)</f>
        <v>49</v>
      </c>
      <c r="J26" s="1">
        <f>VLOOKUP($B26&amp;"__wt",'SegEnds_Xtal_BW#'!$A:$Z,10,FALSE)</f>
        <v>52</v>
      </c>
      <c r="K26" s="12">
        <v>18</v>
      </c>
      <c r="L26" s="1">
        <f>VLOOKUP($B26&amp;"__wt",'SegEnds_Xtal_BW#'!$A:$Z,12,FALSE)</f>
        <v>56</v>
      </c>
      <c r="M26" s="1">
        <f>VLOOKUP($B26&amp;"__wt",'SegEnds_Xtal_BW#'!$A:$Z,13,FALSE)</f>
        <v>50</v>
      </c>
      <c r="N26" s="12">
        <v>57</v>
      </c>
      <c r="O26" s="87">
        <f>VLOOKUP($B26&amp;"__wt",'SegEnds_Xtal_BW#'!$A:$Z,15,FALSE)</f>
        <v>38</v>
      </c>
      <c r="P26" s="1">
        <f>VLOOKUP($B26&amp;"__wt",'SegEnds_Xtal_BW#'!$A:$Z,16,FALSE)</f>
        <v>63</v>
      </c>
      <c r="Q26" s="1">
        <f>VLOOKUP($B26&amp;"__wt",'SegEnds_Xtal_BW#'!$A:$Z,17,FALSE)</f>
        <v>50</v>
      </c>
      <c r="R26" s="1">
        <f>VLOOKUP($B26&amp;"__wt",'SegEnds_Xtal_BW#'!$A:$Z,18,FALSE)</f>
        <v>52</v>
      </c>
      <c r="S26" s="1">
        <v>35</v>
      </c>
      <c r="T26" s="1">
        <f t="array" ref="T26">INDEX(ICL3_classA!$G$2:$G$39,MATCH(MIN(ABS(AI26-ICL3_classA!$F$2:$F$39)),ABS(AI26-ICL3_classA!$F$2:$F$39),0))</f>
        <v>76</v>
      </c>
      <c r="U26" s="1">
        <f t="array" ref="U26">INDEX(ICL3_classA!$H$2:$H$39,MATCH(MIN(ABS(AI26-ICL3_classA!$F$2:$F$39)),ABS(AI26-ICL3_classA!$F$2:$F$39),0))</f>
        <v>24</v>
      </c>
      <c r="V26" s="1">
        <v>61</v>
      </c>
      <c r="W26" s="131">
        <v>27</v>
      </c>
      <c r="X26" s="1">
        <f>VLOOKUP($B26&amp;"__wt",'SegEnds_Xtal_BW#'!$A:$Z,24,FALSE)</f>
        <v>56</v>
      </c>
      <c r="Y26" s="1">
        <f>VLOOKUP($B26&amp;"__wt",'SegEnds_Xtal_BW#'!$A:$Z,25,FALSE)</f>
        <v>47</v>
      </c>
      <c r="Z26" s="1">
        <f>VLOOKUP($B26&amp;"__wt",'SegEnds_Xtal_BW#'!$A:$Z,26,FALSE)</f>
        <v>58</v>
      </c>
      <c r="AA26" s="27" t="str">
        <f>VLOOKUP(A26,Classification!A:B,2,FALSE)</f>
        <v>A</v>
      </c>
      <c r="AB26" s="1">
        <f>VLOOKUP(A26,'SegEnds_NonXtal_Prot#'!A:AL,10,FALSE)-VLOOKUP(A26,'SegEnds_NonXtal_Prot#'!A:AL,4,FALSE)</f>
        <v>28</v>
      </c>
      <c r="AC26" s="1">
        <f>VLOOKUP(A26,'SegEnds_NonXtal_Prot#'!A:AL,10,FALSE)-VLOOKUP(A26,'SegEnds_NonXtal_Prot#'!A:AL,7,FALSE)</f>
        <v>15</v>
      </c>
      <c r="AD26" s="1">
        <f>VLOOKUP(A26,'SegEnds_NonXtal_Prot#'!A:AL,13,FALSE)-VLOOKUP(A26,'SegEnds_NonXtal_Prot#'!A:AL,10,FALSE)</f>
        <v>21</v>
      </c>
      <c r="AE26" s="1">
        <f>VLOOKUP(A26,'SegEnds_NonXtal_Prot#'!A:AL,16,FALSE)-VLOOKUP(A26,'SegEnds_NonXtal_Prot#'!A:AL,10,FALSE)</f>
        <v>53</v>
      </c>
      <c r="AF26" s="1">
        <f>VLOOKUP(A26,'SegEnds_NonXtal_Prot#'!A:AL,22,FALSE)-VLOOKUP(A26,'SegEnds_NonXtal_Prot#'!A:AL,19,FALSE)</f>
        <v>20</v>
      </c>
      <c r="AG26" s="1">
        <f>VLOOKUP(A26,'SegEnds_NonXtal_Prot#'!A:AL,28,FALSE)-VLOOKUP(A26,'SegEnds_NonXtal_Prot#'!A:AL,25,FALSE)</f>
        <v>20</v>
      </c>
      <c r="AH26" s="1">
        <f>VLOOKUP(A26,'SegEnds_NonXtal_Prot#'!A:AL,28,FALSE)-VLOOKUP(A26,'SegEnds_NonXtal_Prot#'!A:AL,22,FALSE)</f>
        <v>44</v>
      </c>
      <c r="AI26" s="1">
        <f>VLOOKUP(A26,'SegEnds_NonXtal_Prot#'!A:AL,31,FALSE)-VLOOKUP(A26,'SegEnds_NonXtal_Prot#'!A:AL,28,FALSE)</f>
        <v>91</v>
      </c>
      <c r="AJ26" s="1">
        <f>VLOOKUP(A26,'SegEnds_NonXtal_Prot#'!A:AL,34,FALSE)-VLOOKUP(A26,'SegEnds_NonXtal_Prot#'!A:AL,31,FALSE)</f>
        <v>39</v>
      </c>
      <c r="AK26" s="1">
        <f>VLOOKUP(A26,'SegEnds_NonXtal_Prot#'!A:AL,37,FALSE)-VLOOKUP(A26,'SegEnds_NonXtal_Prot#'!A:AL,34,FALSE)</f>
        <v>10</v>
      </c>
      <c r="AL26" s="1" t="str">
        <f>IF(ISERROR(MATCH(A26,'SegEnds_Xtal_Prot#'!B:B, 0)), "NoXtal", "Xtal")</f>
        <v>NoXtal</v>
      </c>
    </row>
    <row r="27" spans="1:38" x14ac:dyDescent="0.2">
      <c r="A27" s="1" t="s">
        <v>142</v>
      </c>
      <c r="B27" s="1" t="str">
        <f>VLOOKUP(A27,Xtal_Templ!A:B,2,FALSE)</f>
        <v>fpr2_human</v>
      </c>
      <c r="C27" s="5">
        <f>VLOOKUP($B27&amp;"__wt",'SegEnds_Xtal_BW#'!$A:$Z,3,FALSE)</f>
        <v>25</v>
      </c>
      <c r="D27" s="1">
        <f>VLOOKUP($B27&amp;"__wt",'SegEnds_Xtal_BW#'!$A:$Z,4,FALSE)</f>
        <v>61</v>
      </c>
      <c r="E27" s="1" t="str">
        <f>VLOOKUP($B27&amp;"__wt",'SegEnds_Xtal_BW#'!$A:$Z,5,FALSE)</f>
        <v>-</v>
      </c>
      <c r="F27" s="1" t="str">
        <f>VLOOKUP($B27&amp;"__wt",'SegEnds_Xtal_BW#'!$A:$Z,6,FALSE)</f>
        <v>-</v>
      </c>
      <c r="G27" s="1">
        <v>37</v>
      </c>
      <c r="H27" s="12">
        <v>66</v>
      </c>
      <c r="I27" s="1">
        <f>VLOOKUP($B27&amp;"__wt",'SegEnds_Xtal_BW#'!$A:$Z,9,FALSE)</f>
        <v>49</v>
      </c>
      <c r="J27" s="1">
        <f>VLOOKUP($B27&amp;"__wt",'SegEnds_Xtal_BW#'!$A:$Z,10,FALSE)</f>
        <v>52</v>
      </c>
      <c r="K27" s="12">
        <v>24</v>
      </c>
      <c r="L27" s="1">
        <f>VLOOKUP($B27&amp;"__wt",'SegEnds_Xtal_BW#'!$A:$Z,12,FALSE)</f>
        <v>56</v>
      </c>
      <c r="M27" s="1">
        <f>VLOOKUP($B27&amp;"__wt",'SegEnds_Xtal_BW#'!$A:$Z,13,FALSE)</f>
        <v>50</v>
      </c>
      <c r="N27" s="12">
        <f>VLOOKUP($B27&amp;"__wt",'SegEnds_Xtal_BW#'!$A:$Z,14,FALSE)</f>
        <v>57</v>
      </c>
      <c r="O27" s="87">
        <v>38</v>
      </c>
      <c r="P27" s="1">
        <f>VLOOKUP($B27&amp;"__wt",'SegEnds_Xtal_BW#'!$A:$Z,16,FALSE)</f>
        <v>64</v>
      </c>
      <c r="Q27" s="1">
        <f>VLOOKUP($B27&amp;"__wt",'SegEnds_Xtal_BW#'!$A:$Z,17,FALSE)</f>
        <v>50</v>
      </c>
      <c r="R27" s="1">
        <f>VLOOKUP($B27&amp;"__wt",'SegEnds_Xtal_BW#'!$A:$Z,18,FALSE)</f>
        <v>52</v>
      </c>
      <c r="S27" s="108">
        <v>35</v>
      </c>
      <c r="T27" s="1">
        <f t="array" ref="T27">INDEX(ICL3_classA!$G$2:$G$39,MATCH(MIN(ABS(AI27-ICL3_classA!$F$2:$F$39)),ABS(AI27-ICL3_classA!$F$2:$F$39),0))</f>
        <v>64</v>
      </c>
      <c r="U27" s="1">
        <f t="array" ref="U27">INDEX(ICL3_classA!$H$2:$H$39,MATCH(MIN(ABS(AI27-ICL3_classA!$F$2:$F$39)),ABS(AI27-ICL3_classA!$F$2:$F$39),0))</f>
        <v>34</v>
      </c>
      <c r="V27" s="1">
        <v>64</v>
      </c>
      <c r="W27" s="1">
        <v>24</v>
      </c>
      <c r="X27" s="108">
        <v>56</v>
      </c>
      <c r="Y27" s="1">
        <f>VLOOKUP($B27&amp;"__wt",'SegEnds_Xtal_BW#'!$A:$Z,25,FALSE)</f>
        <v>47</v>
      </c>
      <c r="Z27" s="1">
        <f>VLOOKUP($B27&amp;"__wt",'SegEnds_Xtal_BW#'!$A:$Z,26,FALSE)</f>
        <v>58</v>
      </c>
      <c r="AA27" s="27" t="str">
        <f>VLOOKUP(A27,Classification!A:B,2,FALSE)</f>
        <v>A</v>
      </c>
      <c r="AB27" s="1">
        <f>VLOOKUP(A27,'SegEnds_NonXtal_Prot#'!A:AL,10,FALSE)-VLOOKUP(A27,'SegEnds_NonXtal_Prot#'!A:AL,4,FALSE)</f>
        <v>30</v>
      </c>
      <c r="AC27" s="1" t="e">
        <f>VLOOKUP(A27,'SegEnds_NonXtal_Prot#'!A:AL,10,FALSE)-VLOOKUP(A27,'SegEnds_NonXtal_Prot#'!A:AL,7,FALSE)</f>
        <v>#VALUE!</v>
      </c>
      <c r="AD27" s="1" t="e">
        <f>VLOOKUP(A27,'SegEnds_NonXtal_Prot#'!A:AL,13,FALSE)-VLOOKUP(A27,'SegEnds_NonXtal_Prot#'!A:AL,10,FALSE)</f>
        <v>#VALUE!</v>
      </c>
      <c r="AE27" s="1">
        <f>VLOOKUP(A27,'SegEnds_NonXtal_Prot#'!A:AL,16,FALSE)-VLOOKUP(A27,'SegEnds_NonXtal_Prot#'!A:AL,10,FALSE)</f>
        <v>48</v>
      </c>
      <c r="AF27" s="1" t="e">
        <f>VLOOKUP(A27,'SegEnds_NonXtal_Prot#'!A:AL,22,FALSE)-VLOOKUP(A27,'SegEnds_NonXtal_Prot#'!A:AL,19,FALSE)</f>
        <v>#VALUE!</v>
      </c>
      <c r="AG27" s="1">
        <f>VLOOKUP(A27,'SegEnds_NonXtal_Prot#'!A:AL,28,FALSE)-VLOOKUP(A27,'SegEnds_NonXtal_Prot#'!A:AL,25,FALSE)</f>
        <v>23</v>
      </c>
      <c r="AH27" s="1">
        <f>VLOOKUP(A27,'SegEnds_NonXtal_Prot#'!A:AL,28,FALSE)-VLOOKUP(A27,'SegEnds_NonXtal_Prot#'!A:AL,22,FALSE)</f>
        <v>44</v>
      </c>
      <c r="AI27" s="1">
        <f>VLOOKUP(A27,'SegEnds_NonXtal_Prot#'!A:AL,31,FALSE)-VLOOKUP(A27,'SegEnds_NonXtal_Prot#'!A:AL,28,FALSE)</f>
        <v>37</v>
      </c>
      <c r="AJ27" s="1">
        <f>VLOOKUP(A27,'SegEnds_NonXtal_Prot#'!A:AL,34,FALSE)-VLOOKUP(A27,'SegEnds_NonXtal_Prot#'!A:AL,31,FALSE)</f>
        <v>46</v>
      </c>
      <c r="AK27" s="1">
        <f>VLOOKUP(A27,'SegEnds_NonXtal_Prot#'!A:AL,37,FALSE)-VLOOKUP(A27,'SegEnds_NonXtal_Prot#'!A:AL,34,FALSE)</f>
        <v>10</v>
      </c>
      <c r="AL27" s="1" t="str">
        <f>IF(ISERROR(MATCH(A27,'SegEnds_Xtal_Prot#'!B:B, 0)), "NoXtal", "Xtal")</f>
        <v>NoXtal</v>
      </c>
    </row>
    <row r="28" spans="1:38" x14ac:dyDescent="0.2">
      <c r="A28" s="1" t="s">
        <v>193</v>
      </c>
      <c r="B28" s="1" t="str">
        <f>VLOOKUP(A28,Xtal_Templ!A:B,2,FALSE)</f>
        <v>drd4_human</v>
      </c>
      <c r="C28" s="5">
        <f>VLOOKUP($B28&amp;"__wt",'SegEnds_Xtal_BW#'!$A:$Z,3,FALSE)</f>
        <v>29</v>
      </c>
      <c r="D28" s="1">
        <f>VLOOKUP($B28&amp;"__wt",'SegEnds_Xtal_BW#'!$A:$Z,4,FALSE)</f>
        <v>60</v>
      </c>
      <c r="E28" s="1">
        <f>VLOOKUP($B28&amp;"__wt",'SegEnds_Xtal_BW#'!$A:$Z,5,FALSE)</f>
        <v>48</v>
      </c>
      <c r="F28" s="1">
        <f>VLOOKUP($B28&amp;"__wt",'SegEnds_Xtal_BW#'!$A:$Z,6,FALSE)</f>
        <v>51</v>
      </c>
      <c r="G28" s="1">
        <v>38</v>
      </c>
      <c r="H28" s="12">
        <f>VLOOKUP($B28&amp;"__wt",'SegEnds_Xtal_BW#'!$A:$Z,8,FALSE)</f>
        <v>67</v>
      </c>
      <c r="I28" s="1">
        <f>VLOOKUP($B28&amp;"__wt",'SegEnds_Xtal_BW#'!$A:$Z,9,FALSE)</f>
        <v>49</v>
      </c>
      <c r="J28" s="1">
        <f>VLOOKUP($B28&amp;"__wt",'SegEnds_Xtal_BW#'!$A:$Z,10,FALSE)</f>
        <v>52</v>
      </c>
      <c r="K28" s="12">
        <v>19</v>
      </c>
      <c r="L28" s="1">
        <f>VLOOKUP($B28&amp;"__wt",'SegEnds_Xtal_BW#'!$A:$Z,12,FALSE)</f>
        <v>56</v>
      </c>
      <c r="M28" s="1">
        <f>VLOOKUP($B28&amp;"__wt",'SegEnds_Xtal_BW#'!$A:$Z,13,FALSE)</f>
        <v>50</v>
      </c>
      <c r="N28" s="12">
        <f>VLOOKUP($B28&amp;"__wt",'SegEnds_Xtal_BW#'!$A:$Z,14,FALSE)</f>
        <v>57</v>
      </c>
      <c r="O28" s="87">
        <f>VLOOKUP($B28&amp;"__wt",'SegEnds_Xtal_BW#'!$A:$Z,15,FALSE)</f>
        <v>38</v>
      </c>
      <c r="P28" s="1">
        <f>VLOOKUP($B28&amp;"__wt",'SegEnds_Xtal_BW#'!$A:$Z,16,FALSE)</f>
        <v>63</v>
      </c>
      <c r="Q28" s="1">
        <f>VLOOKUP($B28&amp;"__wt",'SegEnds_Xtal_BW#'!$A:$Z,17,FALSE)</f>
        <v>50</v>
      </c>
      <c r="R28" s="1">
        <f>VLOOKUP($B28&amp;"__wt",'SegEnds_Xtal_BW#'!$A:$Z,18,FALSE)</f>
        <v>52</v>
      </c>
      <c r="S28" s="1">
        <v>35</v>
      </c>
      <c r="T28" s="1">
        <f t="array" ref="T28">INDEX(ICL3_classA!$G$2:$G$39,MATCH(MIN(ABS(AI28-ICL3_classA!$F$2:$F$39)),ABS(AI28-ICL3_classA!$F$2:$F$39),0))</f>
        <v>75</v>
      </c>
      <c r="U28" s="1">
        <f t="array" ref="U28">INDEX(ICL3_classA!$H$2:$H$39,MATCH(MIN(ABS(AI28-ICL3_classA!$F$2:$F$39)),ABS(AI28-ICL3_classA!$F$2:$F$39),0))</f>
        <v>24</v>
      </c>
      <c r="V28" s="1">
        <f>VLOOKUP($B28&amp;"__wt",'SegEnds_Xtal_BW#'!$A:$Z,22,FALSE)</f>
        <v>61</v>
      </c>
      <c r="W28" s="1">
        <v>31</v>
      </c>
      <c r="X28" s="1">
        <f>VLOOKUP($B28&amp;"__wt",'SegEnds_Xtal_BW#'!$A:$Z,24,FALSE)</f>
        <v>56</v>
      </c>
      <c r="Y28" s="1">
        <f>VLOOKUP($B28&amp;"__wt",'SegEnds_Xtal_BW#'!$A:$Z,25,FALSE)</f>
        <v>47</v>
      </c>
      <c r="Z28" s="1">
        <f>VLOOKUP($B28&amp;"__wt",'SegEnds_Xtal_BW#'!$A:$Z,26,FALSE)</f>
        <v>59</v>
      </c>
      <c r="AA28" s="27" t="str">
        <f>VLOOKUP(A28,Classification!A:B,2,FALSE)</f>
        <v>A</v>
      </c>
      <c r="AB28" s="1">
        <f>VLOOKUP(A28,'SegEnds_NonXtal_Prot#'!A:AL,10,FALSE)-VLOOKUP(A28,'SegEnds_NonXtal_Prot#'!A:AL,4,FALSE)</f>
        <v>28</v>
      </c>
      <c r="AC28" s="1">
        <f>VLOOKUP(A28,'SegEnds_NonXtal_Prot#'!A:AL,10,FALSE)-VLOOKUP(A28,'SegEnds_NonXtal_Prot#'!A:AL,7,FALSE)</f>
        <v>15</v>
      </c>
      <c r="AD28" s="1">
        <f>VLOOKUP(A28,'SegEnds_NonXtal_Prot#'!A:AL,13,FALSE)-VLOOKUP(A28,'SegEnds_NonXtal_Prot#'!A:AL,10,FALSE)</f>
        <v>21</v>
      </c>
      <c r="AE28" s="1">
        <f>VLOOKUP(A28,'SegEnds_NonXtal_Prot#'!A:AL,16,FALSE)-VLOOKUP(A28,'SegEnds_NonXtal_Prot#'!A:AL,10,FALSE)</f>
        <v>53</v>
      </c>
      <c r="AF28" s="1">
        <f>VLOOKUP(A28,'SegEnds_NonXtal_Prot#'!A:AL,22,FALSE)-VLOOKUP(A28,'SegEnds_NonXtal_Prot#'!A:AL,19,FALSE)</f>
        <v>20</v>
      </c>
      <c r="AG28" s="1">
        <f>VLOOKUP(A28,'SegEnds_NonXtal_Prot#'!A:AL,28,FALSE)-VLOOKUP(A28,'SegEnds_NonXtal_Prot#'!A:AL,25,FALSE)</f>
        <v>19</v>
      </c>
      <c r="AH28" s="1">
        <f>VLOOKUP(A28,'SegEnds_NonXtal_Prot#'!A:AL,28,FALSE)-VLOOKUP(A28,'SegEnds_NonXtal_Prot#'!A:AL,22,FALSE)</f>
        <v>44</v>
      </c>
      <c r="AI28" s="1">
        <f>VLOOKUP(A28,'SegEnds_NonXtal_Prot#'!A:AL,31,FALSE)-VLOOKUP(A28,'SegEnds_NonXtal_Prot#'!A:AL,28,FALSE)</f>
        <v>205</v>
      </c>
      <c r="AJ28" s="1">
        <f>VLOOKUP(A28,'SegEnds_NonXtal_Prot#'!A:AL,34,FALSE)-VLOOKUP(A28,'SegEnds_NonXtal_Prot#'!A:AL,31,FALSE)</f>
        <v>36</v>
      </c>
      <c r="AK28" s="1">
        <f>VLOOKUP(A28,'SegEnds_NonXtal_Prot#'!A:AL,37,FALSE)-VLOOKUP(A28,'SegEnds_NonXtal_Prot#'!A:AL,34,FALSE)</f>
        <v>10</v>
      </c>
      <c r="AL28" s="1" t="str">
        <f>IF(ISERROR(MATCH(A28,'SegEnds_Xtal_Prot#'!B:B, 0)), "NoXtal", "Xtal")</f>
        <v>Xtal</v>
      </c>
    </row>
    <row r="29" spans="1:38" x14ac:dyDescent="0.2">
      <c r="A29" s="1" t="s">
        <v>213</v>
      </c>
      <c r="B29" s="1" t="str">
        <f>VLOOKUP(A29,Xtal_Templ!A:B,2,FALSE)</f>
        <v>par2_human</v>
      </c>
      <c r="C29" s="5">
        <f>VLOOKUP($B29&amp;"__wt",'SegEnds_Xtal_BW#'!$A:$Z,3,FALSE)</f>
        <v>28</v>
      </c>
      <c r="D29" s="1">
        <f>VLOOKUP($B29&amp;"__wt",'SegEnds_Xtal_BW#'!$A:$Z,4,FALSE)</f>
        <v>60</v>
      </c>
      <c r="E29" s="1" t="str">
        <f>VLOOKUP($B29&amp;"__wt",'SegEnds_Xtal_BW#'!$A:$Z,5,FALSE)</f>
        <v>-</v>
      </c>
      <c r="F29" s="1" t="str">
        <f>VLOOKUP($B29&amp;"__wt",'SegEnds_Xtal_BW#'!$A:$Z,6,FALSE)</f>
        <v>-</v>
      </c>
      <c r="G29" s="1">
        <v>37</v>
      </c>
      <c r="H29" s="12">
        <f>VLOOKUP($B29&amp;"__wt",'SegEnds_Xtal_BW#'!$A:$Z,8,FALSE)</f>
        <v>66</v>
      </c>
      <c r="I29" s="1">
        <f>VLOOKUP($B29&amp;"__wt",'SegEnds_Xtal_BW#'!$A:$Z,9,FALSE)</f>
        <v>47</v>
      </c>
      <c r="J29" s="1">
        <f>VLOOKUP($B29&amp;"__wt",'SegEnds_Xtal_BW#'!$A:$Z,10,FALSE)</f>
        <v>52</v>
      </c>
      <c r="K29" s="12">
        <v>18</v>
      </c>
      <c r="L29" s="1">
        <f>VLOOKUP($B29&amp;"__wt",'SegEnds_Xtal_BW#'!$A:$Z,12,FALSE)</f>
        <v>56</v>
      </c>
      <c r="M29" s="1">
        <f>VLOOKUP($B29&amp;"__wt",'SegEnds_Xtal_BW#'!$A:$Z,13,FALSE)</f>
        <v>50</v>
      </c>
      <c r="N29" s="12">
        <f>VLOOKUP($B29&amp;"__wt",'SegEnds_Xtal_BW#'!$A:$Z,14,FALSE)</f>
        <v>56</v>
      </c>
      <c r="O29" s="87">
        <f>VLOOKUP($B29&amp;"__wt",'SegEnds_Xtal_BW#'!$A:$Z,15,FALSE)</f>
        <v>38</v>
      </c>
      <c r="P29" s="1">
        <f>VLOOKUP($B29&amp;"__wt",'SegEnds_Xtal_BW#'!$A:$Z,16,FALSE)</f>
        <v>62</v>
      </c>
      <c r="Q29" s="1">
        <f>VLOOKUP($B29&amp;"__wt",'SegEnds_Xtal_BW#'!$A:$Z,17,FALSE)</f>
        <v>50</v>
      </c>
      <c r="R29" s="1">
        <f>VLOOKUP($B29&amp;"__wt",'SegEnds_Xtal_BW#'!$A:$Z,18,FALSE)</f>
        <v>52</v>
      </c>
      <c r="S29" s="1">
        <f>VLOOKUP($B29&amp;"__wt",'SegEnds_Xtal_BW#'!$A:$Z,19,FALSE)</f>
        <v>31</v>
      </c>
      <c r="T29" s="1">
        <f t="array" ref="T29">INDEX(ICL3_classA!$G$2:$G$39,MATCH(MIN(ABS(AI29-ICL3_classA!$F$2:$F$39)),ABS(AI29-ICL3_classA!$F$2:$F$39),0))</f>
        <v>67</v>
      </c>
      <c r="U29" s="1">
        <f t="array" ref="U29">INDEX(ICL3_classA!$H$2:$H$39,MATCH(MIN(ABS(AI29-ICL3_classA!$F$2:$F$39)),ABS(AI29-ICL3_classA!$F$2:$F$39),0))</f>
        <v>26</v>
      </c>
      <c r="V29" s="1">
        <v>64</v>
      </c>
      <c r="W29" s="1">
        <v>24</v>
      </c>
      <c r="X29" s="1">
        <f>VLOOKUP($B29&amp;"__wt",'SegEnds_Xtal_BW#'!$A:$Z,24,FALSE)</f>
        <v>56</v>
      </c>
      <c r="Y29" s="1">
        <f>VLOOKUP($B29&amp;"__wt",'SegEnds_Xtal_BW#'!$A:$Z,25,FALSE)</f>
        <v>47</v>
      </c>
      <c r="Z29" s="1">
        <f>VLOOKUP($B29&amp;"__wt",'SegEnds_Xtal_BW#'!$A:$Z,26,FALSE)</f>
        <v>61</v>
      </c>
      <c r="AA29" s="27" t="str">
        <f>VLOOKUP(A29,Classification!A:B,2,FALSE)</f>
        <v>A</v>
      </c>
      <c r="AB29" s="1">
        <f>VLOOKUP(A29,'SegEnds_NonXtal_Prot#'!A:AL,10,FALSE)-VLOOKUP(A29,'SegEnds_NonXtal_Prot#'!A:AL,4,FALSE)</f>
        <v>28</v>
      </c>
      <c r="AC29" s="1" t="e">
        <f>VLOOKUP(A29,'SegEnds_NonXtal_Prot#'!A:AL,10,FALSE)-VLOOKUP(A29,'SegEnds_NonXtal_Prot#'!A:AL,7,FALSE)</f>
        <v>#VALUE!</v>
      </c>
      <c r="AD29" s="1">
        <f>VLOOKUP(A29,'SegEnds_NonXtal_Prot#'!A:AL,13,FALSE)-VLOOKUP(A29,'SegEnds_NonXtal_Prot#'!A:AL,10,FALSE)</f>
        <v>20</v>
      </c>
      <c r="AE29" s="1">
        <f>VLOOKUP(A29,'SegEnds_NonXtal_Prot#'!A:AL,16,FALSE)-VLOOKUP(A29,'SegEnds_NonXtal_Prot#'!A:AL,10,FALSE)</f>
        <v>52</v>
      </c>
      <c r="AF29" s="1" t="e">
        <f>VLOOKUP(A29,'SegEnds_NonXtal_Prot#'!A:AL,22,FALSE)-VLOOKUP(A29,'SegEnds_NonXtal_Prot#'!A:AL,19,FALSE)</f>
        <v>#VALUE!</v>
      </c>
      <c r="AG29" s="1">
        <f>VLOOKUP(A29,'SegEnds_NonXtal_Prot#'!A:AL,28,FALSE)-VLOOKUP(A29,'SegEnds_NonXtal_Prot#'!A:AL,25,FALSE)</f>
        <v>25</v>
      </c>
      <c r="AH29" s="1">
        <f>VLOOKUP(A29,'SegEnds_NonXtal_Prot#'!A:AL,28,FALSE)-VLOOKUP(A29,'SegEnds_NonXtal_Prot#'!A:AL,22,FALSE)</f>
        <v>44</v>
      </c>
      <c r="AI29" s="1">
        <f>VLOOKUP(A29,'SegEnds_NonXtal_Prot#'!A:AL,31,FALSE)-VLOOKUP(A29,'SegEnds_NonXtal_Prot#'!A:AL,28,FALSE)</f>
        <v>46</v>
      </c>
      <c r="AJ29" s="1">
        <f>VLOOKUP(A29,'SegEnds_NonXtal_Prot#'!A:AL,34,FALSE)-VLOOKUP(A29,'SegEnds_NonXtal_Prot#'!A:AL,31,FALSE)</f>
        <v>48</v>
      </c>
      <c r="AK29" s="1">
        <f>VLOOKUP(A29,'SegEnds_NonXtal_Prot#'!A:AL,37,FALSE)-VLOOKUP(A29,'SegEnds_NonXtal_Prot#'!A:AL,34,FALSE)</f>
        <v>10</v>
      </c>
      <c r="AL29" s="1" t="str">
        <f>IF(ISERROR(MATCH(A29,'SegEnds_Xtal_Prot#'!B:B, 0)), "NoXtal", "Xtal")</f>
        <v>NoXtal</v>
      </c>
    </row>
    <row r="30" spans="1:38" x14ac:dyDescent="0.2">
      <c r="A30" s="4" t="s">
        <v>234</v>
      </c>
      <c r="B30" s="4" t="str">
        <f>VLOOKUP(A30,Xtal_Templ!A:B,2,FALSE)</f>
        <v>lpar1_human</v>
      </c>
      <c r="C30" s="5">
        <f>VLOOKUP($B30&amp;"__wt",'SegEnds_Xtal_BW#'!$A:$Z,3,FALSE)</f>
        <v>30</v>
      </c>
      <c r="D30" s="4">
        <f>VLOOKUP($B30&amp;"__wt",'SegEnds_Xtal_BW#'!$A:$Z,4,FALSE)</f>
        <v>60</v>
      </c>
      <c r="E30" s="4">
        <f>VLOOKUP($B30&amp;"__wt",'SegEnds_Xtal_BW#'!$A:$Z,5,FALSE)</f>
        <v>48</v>
      </c>
      <c r="F30" s="4">
        <f>VLOOKUP($B30&amp;"__wt",'SegEnds_Xtal_BW#'!$A:$Z,6,FALSE)</f>
        <v>51</v>
      </c>
      <c r="G30" s="4">
        <v>37</v>
      </c>
      <c r="H30" s="11">
        <v>66</v>
      </c>
      <c r="I30" s="4">
        <v>48</v>
      </c>
      <c r="J30" s="4">
        <v>52</v>
      </c>
      <c r="K30" s="11">
        <v>24</v>
      </c>
      <c r="L30" s="4">
        <f>VLOOKUP($B30&amp;"__wt",'SegEnds_Xtal_BW#'!$A:$Z,12,FALSE)</f>
        <v>56</v>
      </c>
      <c r="M30" s="4">
        <f>VLOOKUP($B30&amp;"__wt",'SegEnds_Xtal_BW#'!$A:$Z,13,FALSE)</f>
        <v>50</v>
      </c>
      <c r="N30" s="11">
        <f>VLOOKUP($B30&amp;"__wt",'SegEnds_Xtal_BW#'!$A:$Z,14,FALSE)</f>
        <v>56</v>
      </c>
      <c r="O30" s="88">
        <v>38</v>
      </c>
      <c r="P30" s="4">
        <f>VLOOKUP($B30&amp;"__wt",'SegEnds_Xtal_BW#'!$A:$Z,16,FALSE)</f>
        <v>63</v>
      </c>
      <c r="Q30" s="115">
        <v>50</v>
      </c>
      <c r="R30" s="115">
        <v>52</v>
      </c>
      <c r="S30" s="4">
        <v>35</v>
      </c>
      <c r="T30" s="4">
        <f t="array" ref="T30">INDEX(ICL3_classA!$G$2:$G$39,MATCH(MIN(ABS(AI30-ICL3_classA!$F$2:$F$39)),ABS(AI30-ICL3_classA!$F$2:$F$39),0))</f>
        <v>74</v>
      </c>
      <c r="U30" s="4">
        <f t="array" ref="U30">INDEX(ICL3_classA!$H$2:$H$39,MATCH(MIN(ABS(AI30-ICL3_classA!$F$2:$F$39)),ABS(AI30-ICL3_classA!$F$2:$F$39),0))</f>
        <v>21</v>
      </c>
      <c r="V30" s="4">
        <v>61</v>
      </c>
      <c r="W30" s="131">
        <f>VLOOKUP($B30&amp;"__wt",'SegEnds_Xtal_BW#'!$A:$Z,23,FALSE)</f>
        <v>30</v>
      </c>
      <c r="X30" s="4">
        <f>VLOOKUP($B30&amp;"__wt",'SegEnds_Xtal_BW#'!$A:$Z,24,FALSE)</f>
        <v>56</v>
      </c>
      <c r="Y30" s="4">
        <f>VLOOKUP($B30&amp;"__wt",'SegEnds_Xtal_BW#'!$A:$Z,25,FALSE)</f>
        <v>47</v>
      </c>
      <c r="Z30" s="4">
        <f>VLOOKUP($B30&amp;"__wt",'SegEnds_Xtal_BW#'!$A:$Z,26,FALSE)</f>
        <v>59</v>
      </c>
      <c r="AA30" s="27" t="str">
        <f>VLOOKUP(A30,Classification!A:B,2,FALSE)</f>
        <v>A</v>
      </c>
      <c r="AB30" s="1">
        <f>VLOOKUP(A30,'SegEnds_NonXtal_Prot#'!A:AL,10,FALSE)-VLOOKUP(A30,'SegEnds_NonXtal_Prot#'!A:AL,4,FALSE)</f>
        <v>29</v>
      </c>
      <c r="AC30" s="4">
        <f>VLOOKUP(A30,'SegEnds_NonXtal_Prot#'!A:AL,10,FALSE)-VLOOKUP(A30,'SegEnds_NonXtal_Prot#'!A:AL,7,FALSE)</f>
        <v>16</v>
      </c>
      <c r="AD30" s="4" t="e">
        <f>VLOOKUP(A30,'SegEnds_NonXtal_Prot#'!A:AL,13,FALSE)-VLOOKUP(A30,'SegEnds_NonXtal_Prot#'!A:AL,10,FALSE)</f>
        <v>#VALUE!</v>
      </c>
      <c r="AE30" s="4">
        <f>VLOOKUP(A30,'SegEnds_NonXtal_Prot#'!A:AL,16,FALSE)-VLOOKUP(A30,'SegEnds_NonXtal_Prot#'!A:AL,10,FALSE)</f>
        <v>49</v>
      </c>
      <c r="AF30" s="1" t="e">
        <f>VLOOKUP(A30,'SegEnds_NonXtal_Prot#'!A:AL,22,FALSE)-VLOOKUP(A30,'SegEnds_NonXtal_Prot#'!A:AL,19,FALSE)</f>
        <v>#VALUE!</v>
      </c>
      <c r="AG30" s="4">
        <f>VLOOKUP(A30,'SegEnds_NonXtal_Prot#'!A:AL,28,FALSE)-VLOOKUP(A30,'SegEnds_NonXtal_Prot#'!A:AL,25,FALSE)</f>
        <v>21</v>
      </c>
      <c r="AH30" s="1">
        <f>VLOOKUP(A30,'SegEnds_NonXtal_Prot#'!A:AL,28,FALSE)-VLOOKUP(A30,'SegEnds_NonXtal_Prot#'!A:AL,22,FALSE)</f>
        <v>44</v>
      </c>
      <c r="AI30" s="4">
        <f>VLOOKUP(A30,'SegEnds_NonXtal_Prot#'!A:AL,31,FALSE)-VLOOKUP(A30,'SegEnds_NonXtal_Prot#'!A:AL,28,FALSE)</f>
        <v>63</v>
      </c>
      <c r="AJ30" s="4">
        <f>VLOOKUP(A30,'SegEnds_NonXtal_Prot#'!A:AL,34,FALSE)-VLOOKUP(A30,'SegEnds_NonXtal_Prot#'!A:AL,31,FALSE)</f>
        <v>38</v>
      </c>
      <c r="AK30" s="1">
        <f>VLOOKUP(A30,'SegEnds_NonXtal_Prot#'!A:AL,37,FALSE)-VLOOKUP(A30,'SegEnds_NonXtal_Prot#'!A:AL,34,FALSE)</f>
        <v>10</v>
      </c>
      <c r="AL30" s="1" t="str">
        <f>IF(ISERROR(MATCH(A30,'SegEnds_Xtal_Prot#'!B:B, 0)), "NoXtal", "Xtal")</f>
        <v>NoXtal</v>
      </c>
    </row>
    <row r="31" spans="1:38" x14ac:dyDescent="0.2">
      <c r="A31" s="1" t="s">
        <v>235</v>
      </c>
      <c r="B31" s="1" t="str">
        <f>VLOOKUP(A31,Xtal_Templ!A:B,2,FALSE)</f>
        <v>cltr2_human</v>
      </c>
      <c r="C31" s="5">
        <f>VLOOKUP($B31&amp;"__wt",'SegEnds_Xtal_BW#'!$A:$Z,3,FALSE)</f>
        <v>25</v>
      </c>
      <c r="D31" s="1">
        <f>VLOOKUP($B31&amp;"__wt",'SegEnds_Xtal_BW#'!$A:$Z,4,FALSE)</f>
        <v>60</v>
      </c>
      <c r="E31" s="1" t="str">
        <f>VLOOKUP($B31&amp;"__wt",'SegEnds_Xtal_BW#'!$A:$Z,5,FALSE)</f>
        <v>-</v>
      </c>
      <c r="F31" s="1" t="str">
        <f>VLOOKUP($B31&amp;"__wt",'SegEnds_Xtal_BW#'!$A:$Z,6,FALSE)</f>
        <v>-</v>
      </c>
      <c r="G31" s="1">
        <v>37</v>
      </c>
      <c r="H31" s="12">
        <v>66</v>
      </c>
      <c r="I31" s="1">
        <f>VLOOKUP($B31&amp;"__wt",'SegEnds_Xtal_BW#'!$A:$Z,9,FALSE)</f>
        <v>49</v>
      </c>
      <c r="J31" s="1">
        <f>VLOOKUP($B31&amp;"__wt",'SegEnds_Xtal_BW#'!$A:$Z,10,FALSE)</f>
        <v>52</v>
      </c>
      <c r="K31" s="12">
        <v>24</v>
      </c>
      <c r="L31" s="1">
        <f>VLOOKUP($B31&amp;"__wt",'SegEnds_Xtal_BW#'!$A:$Z,12,FALSE)</f>
        <v>56</v>
      </c>
      <c r="M31" s="1">
        <f>VLOOKUP($B31&amp;"__wt",'SegEnds_Xtal_BW#'!$A:$Z,13,FALSE)</f>
        <v>50</v>
      </c>
      <c r="N31" s="12">
        <v>57</v>
      </c>
      <c r="O31" s="87">
        <f>VLOOKUP($B31&amp;"__wt",'SegEnds_Xtal_BW#'!$A:$Z,15,FALSE)</f>
        <v>38</v>
      </c>
      <c r="P31" s="1">
        <f>VLOOKUP($B31&amp;"__wt",'SegEnds_Xtal_BW#'!$A:$Z,16,FALSE)</f>
        <v>63</v>
      </c>
      <c r="Q31" s="1">
        <f>VLOOKUP($B31&amp;"__wt",'SegEnds_Xtal_BW#'!$A:$Z,17,FALSE)</f>
        <v>50</v>
      </c>
      <c r="R31" s="1">
        <f>VLOOKUP($B31&amp;"__wt",'SegEnds_Xtal_BW#'!$A:$Z,18,FALSE)</f>
        <v>52</v>
      </c>
      <c r="S31" s="1">
        <v>34</v>
      </c>
      <c r="T31" s="1">
        <f t="array" ref="T31">INDEX(ICL3_classA!$G$2:$G$39,MATCH(MIN(ABS(AI31-ICL3_classA!$F$2:$F$39)),ABS(AI31-ICL3_classA!$F$2:$F$39),0))</f>
        <v>68</v>
      </c>
      <c r="U31" s="1">
        <f t="array" ref="U31">INDEX(ICL3_classA!$H$2:$H$39,MATCH(MIN(ABS(AI31-ICL3_classA!$F$2:$F$39)),ABS(AI31-ICL3_classA!$F$2:$F$39),0))</f>
        <v>24</v>
      </c>
      <c r="V31" s="1">
        <v>64</v>
      </c>
      <c r="W31" s="1">
        <v>24</v>
      </c>
      <c r="X31" s="124">
        <f>VLOOKUP($B31&amp;"__wt",'SegEnds_Xtal_BW#'!$A:$Z,24,FALSE)</f>
        <v>56</v>
      </c>
      <c r="Y31" s="1">
        <f>VLOOKUP($B31&amp;"__wt",'SegEnds_Xtal_BW#'!$A:$Z,25,FALSE)</f>
        <v>47</v>
      </c>
      <c r="Z31" s="1">
        <f>VLOOKUP($B31&amp;"__wt",'SegEnds_Xtal_BW#'!$A:$Z,26,FALSE)</f>
        <v>60</v>
      </c>
      <c r="AA31" s="27" t="str">
        <f>VLOOKUP(A31,Classification!A:B,2,FALSE)</f>
        <v>A</v>
      </c>
      <c r="AB31" s="1">
        <f>VLOOKUP(A31,'SegEnds_NonXtal_Prot#'!A:AL,10,FALSE)-VLOOKUP(A31,'SegEnds_NonXtal_Prot#'!A:AL,4,FALSE)</f>
        <v>28</v>
      </c>
      <c r="AC31" s="1">
        <f>VLOOKUP(A31,'SegEnds_NonXtal_Prot#'!A:AL,10,FALSE)-VLOOKUP(A31,'SegEnds_NonXtal_Prot#'!A:AL,7,FALSE)</f>
        <v>15</v>
      </c>
      <c r="AD31" s="1">
        <f>VLOOKUP(A31,'SegEnds_NonXtal_Prot#'!A:AL,13,FALSE)-VLOOKUP(A31,'SegEnds_NonXtal_Prot#'!A:AL,10,FALSE)</f>
        <v>19</v>
      </c>
      <c r="AE31" s="1">
        <f>VLOOKUP(A31,'SegEnds_NonXtal_Prot#'!A:AL,16,FALSE)-VLOOKUP(A31,'SegEnds_NonXtal_Prot#'!A:AL,10,FALSE)</f>
        <v>50</v>
      </c>
      <c r="AF31" s="1">
        <f>VLOOKUP(A31,'SegEnds_NonXtal_Prot#'!A:AL,22,FALSE)-VLOOKUP(A31,'SegEnds_NonXtal_Prot#'!A:AL,19,FALSE)</f>
        <v>20</v>
      </c>
      <c r="AG31" s="1">
        <f>VLOOKUP(A31,'SegEnds_NonXtal_Prot#'!A:AL,28,FALSE)-VLOOKUP(A31,'SegEnds_NonXtal_Prot#'!A:AL,25,FALSE)</f>
        <v>21</v>
      </c>
      <c r="AH31" s="1">
        <f>VLOOKUP(A31,'SegEnds_NonXtal_Prot#'!A:AL,28,FALSE)-VLOOKUP(A31,'SegEnds_NonXtal_Prot#'!A:AL,22,FALSE)</f>
        <v>44</v>
      </c>
      <c r="AI31" s="1">
        <f>VLOOKUP(A31,'SegEnds_NonXtal_Prot#'!A:AL,31,FALSE)-VLOOKUP(A31,'SegEnds_NonXtal_Prot#'!A:AL,28,FALSE)</f>
        <v>48</v>
      </c>
      <c r="AJ31" s="1">
        <f>VLOOKUP(A31,'SegEnds_NonXtal_Prot#'!A:AL,34,FALSE)-VLOOKUP(A31,'SegEnds_NonXtal_Prot#'!A:AL,31,FALSE)</f>
        <v>47</v>
      </c>
      <c r="AK31" s="1">
        <f>VLOOKUP(A31,'SegEnds_NonXtal_Prot#'!A:AL,37,FALSE)-VLOOKUP(A31,'SegEnds_NonXtal_Prot#'!A:AL,34,FALSE)</f>
        <v>10</v>
      </c>
      <c r="AL31" s="1" t="str">
        <f>IF(ISERROR(MATCH(A31,'SegEnds_Xtal_Prot#'!B:B, 0)), "NoXtal", "Xtal")</f>
        <v>NoXtal</v>
      </c>
    </row>
    <row r="32" spans="1:38" x14ac:dyDescent="0.2">
      <c r="A32" s="4" t="s">
        <v>237</v>
      </c>
      <c r="B32" s="4" t="str">
        <f>VLOOKUP(A32,Xtal_Templ!A:B,2,FALSE)</f>
        <v>lpar1_human</v>
      </c>
      <c r="C32" s="5">
        <f>VLOOKUP($B32&amp;"__wt",'SegEnds_Xtal_BW#'!$A:$Z,3,FALSE)</f>
        <v>30</v>
      </c>
      <c r="D32" s="4">
        <f>VLOOKUP($B32&amp;"__wt",'SegEnds_Xtal_BW#'!$A:$Z,4,FALSE)</f>
        <v>60</v>
      </c>
      <c r="E32" s="4">
        <f>VLOOKUP($B32&amp;"__wt",'SegEnds_Xtal_BW#'!$A:$Z,5,FALSE)</f>
        <v>48</v>
      </c>
      <c r="F32" s="4">
        <f>VLOOKUP($B32&amp;"__wt",'SegEnds_Xtal_BW#'!$A:$Z,6,FALSE)</f>
        <v>51</v>
      </c>
      <c r="G32" s="4">
        <v>37</v>
      </c>
      <c r="H32" s="11">
        <v>62</v>
      </c>
      <c r="I32" s="4">
        <v>48</v>
      </c>
      <c r="J32" s="4">
        <v>52</v>
      </c>
      <c r="K32" s="11">
        <v>24</v>
      </c>
      <c r="L32" s="4">
        <f>VLOOKUP($B32&amp;"__wt",'SegEnds_Xtal_BW#'!$A:$Z,12,FALSE)</f>
        <v>56</v>
      </c>
      <c r="M32" s="4">
        <f>VLOOKUP($B32&amp;"__wt",'SegEnds_Xtal_BW#'!$A:$Z,13,FALSE)</f>
        <v>50</v>
      </c>
      <c r="N32" s="11">
        <v>57</v>
      </c>
      <c r="O32" s="88">
        <v>38</v>
      </c>
      <c r="P32" s="4">
        <f>VLOOKUP($B32&amp;"__wt",'SegEnds_Xtal_BW#'!$A:$Z,16,FALSE)</f>
        <v>63</v>
      </c>
      <c r="Q32" s="4" t="str">
        <f>VLOOKUP($B32&amp;"__wt",'SegEnds_Xtal_BW#'!$A:$Z,17,FALSE)</f>
        <v>-</v>
      </c>
      <c r="R32" s="4" t="str">
        <f>VLOOKUP($B32&amp;"__wt",'SegEnds_Xtal_BW#'!$A:$Z,18,FALSE)</f>
        <v>-</v>
      </c>
      <c r="S32" s="4">
        <f>VLOOKUP($B32&amp;"__wt",'SegEnds_Xtal_BW#'!$A:$Z,19,FALSE)</f>
        <v>36</v>
      </c>
      <c r="T32" s="4">
        <f t="array" ref="T32">INDEX(ICL3_classA!$G$2:$G$39,MATCH(MIN(ABS(AI32-ICL3_classA!$F$2:$F$39)),ABS(AI32-ICL3_classA!$F$2:$F$39),0))</f>
        <v>73</v>
      </c>
      <c r="U32" s="4">
        <f t="array" ref="U32">INDEX(ICL3_classA!$H$2:$H$39,MATCH(MIN(ABS(AI32-ICL3_classA!$F$2:$F$39)),ABS(AI32-ICL3_classA!$F$2:$F$39),0))</f>
        <v>22</v>
      </c>
      <c r="V32" s="4">
        <v>61</v>
      </c>
      <c r="W32" s="4">
        <v>34</v>
      </c>
      <c r="X32" s="4">
        <f>VLOOKUP($B32&amp;"__wt",'SegEnds_Xtal_BW#'!$A:$Z,24,FALSE)</f>
        <v>56</v>
      </c>
      <c r="Y32" s="4">
        <f>VLOOKUP($B32&amp;"__wt",'SegEnds_Xtal_BW#'!$A:$Z,25,FALSE)</f>
        <v>47</v>
      </c>
      <c r="Z32" s="4">
        <f>VLOOKUP($B32&amp;"__wt",'SegEnds_Xtal_BW#'!$A:$Z,26,FALSE)</f>
        <v>59</v>
      </c>
      <c r="AA32" s="27" t="str">
        <f>VLOOKUP(A32,Classification!A:B,2,FALSE)</f>
        <v>A</v>
      </c>
      <c r="AB32" s="1">
        <f>VLOOKUP(A32,'SegEnds_NonXtal_Prot#'!A:AL,10,FALSE)-VLOOKUP(A32,'SegEnds_NonXtal_Prot#'!A:AL,4,FALSE)</f>
        <v>28</v>
      </c>
      <c r="AC32" s="4" t="e">
        <f>VLOOKUP(A32,'SegEnds_NonXtal_Prot#'!A:AL,10,FALSE)-VLOOKUP(A32,'SegEnds_NonXtal_Prot#'!A:AL,7,FALSE)</f>
        <v>#VALUE!</v>
      </c>
      <c r="AD32" s="4">
        <f>VLOOKUP(A32,'SegEnds_NonXtal_Prot#'!A:AL,13,FALSE)-VLOOKUP(A32,'SegEnds_NonXtal_Prot#'!A:AL,10,FALSE)</f>
        <v>15</v>
      </c>
      <c r="AE32" s="4">
        <f>VLOOKUP(A32,'SegEnds_NonXtal_Prot#'!A:AL,16,FALSE)-VLOOKUP(A32,'SegEnds_NonXtal_Prot#'!A:AL,10,FALSE)</f>
        <v>48</v>
      </c>
      <c r="AF32" s="1">
        <f>VLOOKUP(A32,'SegEnds_NonXtal_Prot#'!A:AL,22,FALSE)-VLOOKUP(A32,'SegEnds_NonXtal_Prot#'!A:AL,19,FALSE)</f>
        <v>20</v>
      </c>
      <c r="AG32" s="4" t="e">
        <f>VLOOKUP(A32,'SegEnds_NonXtal_Prot#'!A:AL,28,FALSE)-VLOOKUP(A32,'SegEnds_NonXtal_Prot#'!A:AL,25,FALSE)</f>
        <v>#VALUE!</v>
      </c>
      <c r="AH32" s="1">
        <f>VLOOKUP(A32,'SegEnds_NonXtal_Prot#'!A:AL,28,FALSE)-VLOOKUP(A32,'SegEnds_NonXtal_Prot#'!A:AL,22,FALSE)</f>
        <v>44</v>
      </c>
      <c r="AI32" s="4">
        <f>VLOOKUP(A32,'SegEnds_NonXtal_Prot#'!A:AL,31,FALSE)-VLOOKUP(A32,'SegEnds_NonXtal_Prot#'!A:AL,28,FALSE)</f>
        <v>57</v>
      </c>
      <c r="AJ32" s="4">
        <f>VLOOKUP(A32,'SegEnds_NonXtal_Prot#'!A:AL,34,FALSE)-VLOOKUP(A32,'SegEnds_NonXtal_Prot#'!A:AL,31,FALSE)</f>
        <v>32</v>
      </c>
      <c r="AK32" s="1">
        <f>VLOOKUP(A32,'SegEnds_NonXtal_Prot#'!A:AL,37,FALSE)-VLOOKUP(A32,'SegEnds_NonXtal_Prot#'!A:AL,34,FALSE)</f>
        <v>10</v>
      </c>
      <c r="AL32" s="1" t="str">
        <f>IF(ISERROR(MATCH(A32,'SegEnds_Xtal_Prot#'!B:B, 0)), "NoXtal", "Xtal")</f>
        <v>NoXtal</v>
      </c>
    </row>
    <row r="33" spans="1:38" ht="17" customHeight="1" x14ac:dyDescent="0.2">
      <c r="A33" s="1" t="s">
        <v>248</v>
      </c>
      <c r="B33" s="1" t="str">
        <f>VLOOKUP(A33,Xtal_Templ!A:B,2,FALSE)</f>
        <v>lpar1_human</v>
      </c>
      <c r="C33" s="5">
        <f>VLOOKUP($B33&amp;"__wt",'SegEnds_Xtal_BW#'!$A:$Z,3,FALSE)</f>
        <v>30</v>
      </c>
      <c r="D33" s="1">
        <f>VLOOKUP($B33&amp;"__wt",'SegEnds_Xtal_BW#'!$A:$Z,4,FALSE)</f>
        <v>60</v>
      </c>
      <c r="E33" s="1">
        <f>VLOOKUP($B33&amp;"__wt",'SegEnds_Xtal_BW#'!$A:$Z,5,FALSE)</f>
        <v>48</v>
      </c>
      <c r="F33" s="1">
        <f>VLOOKUP($B33&amp;"__wt",'SegEnds_Xtal_BW#'!$A:$Z,6,FALSE)</f>
        <v>51</v>
      </c>
      <c r="G33" s="1">
        <v>37</v>
      </c>
      <c r="H33" s="12">
        <v>62</v>
      </c>
      <c r="I33" s="1">
        <v>48</v>
      </c>
      <c r="J33" s="1">
        <v>52</v>
      </c>
      <c r="K33" s="12">
        <v>24</v>
      </c>
      <c r="L33" s="1">
        <f>VLOOKUP($B33&amp;"__wt",'SegEnds_Xtal_BW#'!$A:$Z,12,FALSE)</f>
        <v>56</v>
      </c>
      <c r="M33" s="1">
        <f>VLOOKUP($B33&amp;"__wt",'SegEnds_Xtal_BW#'!$A:$Z,13,FALSE)</f>
        <v>50</v>
      </c>
      <c r="N33" s="12">
        <v>57</v>
      </c>
      <c r="O33" s="87">
        <v>38</v>
      </c>
      <c r="P33" s="1">
        <f>VLOOKUP($B33&amp;"__wt",'SegEnds_Xtal_BW#'!$A:$Z,16,FALSE)</f>
        <v>63</v>
      </c>
      <c r="Q33" s="1" t="str">
        <f>VLOOKUP($B33&amp;"__wt",'SegEnds_Xtal_BW#'!$A:$Z,17,FALSE)</f>
        <v>-</v>
      </c>
      <c r="R33" s="1" t="str">
        <f>VLOOKUP($B33&amp;"__wt",'SegEnds_Xtal_BW#'!$A:$Z,18,FALSE)</f>
        <v>-</v>
      </c>
      <c r="S33" s="1">
        <f>VLOOKUP($B33&amp;"__wt",'SegEnds_Xtal_BW#'!$A:$Z,19,FALSE)</f>
        <v>36</v>
      </c>
      <c r="T33" s="1">
        <f t="array" ref="T33">INDEX(ICL3_classA!$G$2:$G$39,MATCH(MIN(ABS(AI33-ICL3_classA!$F$2:$F$39)),ABS(AI33-ICL3_classA!$F$2:$F$39),0))</f>
        <v>73</v>
      </c>
      <c r="U33" s="1">
        <f t="array" ref="U33">INDEX(ICL3_classA!$H$2:$H$39,MATCH(MIN(ABS(AI33-ICL3_classA!$F$2:$F$39)),ABS(AI33-ICL3_classA!$F$2:$F$39),0))</f>
        <v>22</v>
      </c>
      <c r="V33" s="1">
        <v>61</v>
      </c>
      <c r="W33" s="1">
        <v>34</v>
      </c>
      <c r="X33" s="1">
        <f>VLOOKUP($B33&amp;"__wt",'SegEnds_Xtal_BW#'!$A:$Z,24,FALSE)</f>
        <v>56</v>
      </c>
      <c r="Y33" s="1">
        <f>VLOOKUP($B33&amp;"__wt",'SegEnds_Xtal_BW#'!$A:$Z,25,FALSE)</f>
        <v>47</v>
      </c>
      <c r="Z33" s="1">
        <f>VLOOKUP($B33&amp;"__wt",'SegEnds_Xtal_BW#'!$A:$Z,26,FALSE)</f>
        <v>59</v>
      </c>
      <c r="AA33" s="27" t="str">
        <f>VLOOKUP(A33,Classification!A:B,2,FALSE)</f>
        <v>A</v>
      </c>
      <c r="AB33" s="1">
        <f>VLOOKUP(A33,'SegEnds_NonXtal_Prot#'!A:AL,10,FALSE)-VLOOKUP(A33,'SegEnds_NonXtal_Prot#'!A:AL,4,FALSE)</f>
        <v>28</v>
      </c>
      <c r="AC33" s="1">
        <f>VLOOKUP(A33,'SegEnds_NonXtal_Prot#'!A:AL,10,FALSE)-VLOOKUP(A33,'SegEnds_NonXtal_Prot#'!A:AL,7,FALSE)</f>
        <v>15</v>
      </c>
      <c r="AD33" s="1">
        <f>VLOOKUP(A33,'SegEnds_NonXtal_Prot#'!A:AL,13,FALSE)-VLOOKUP(A33,'SegEnds_NonXtal_Prot#'!A:AL,10,FALSE)</f>
        <v>15</v>
      </c>
      <c r="AE33" s="1">
        <f>VLOOKUP(A33,'SegEnds_NonXtal_Prot#'!A:AL,16,FALSE)-VLOOKUP(A33,'SegEnds_NonXtal_Prot#'!A:AL,10,FALSE)</f>
        <v>48</v>
      </c>
      <c r="AF33" s="1">
        <f>VLOOKUP(A33,'SegEnds_NonXtal_Prot#'!A:AL,22,FALSE)-VLOOKUP(A33,'SegEnds_NonXtal_Prot#'!A:AL,19,FALSE)</f>
        <v>20</v>
      </c>
      <c r="AG33" s="1" t="e">
        <f>VLOOKUP(A33,'SegEnds_NonXtal_Prot#'!A:AL,28,FALSE)-VLOOKUP(A33,'SegEnds_NonXtal_Prot#'!A:AL,25,FALSE)</f>
        <v>#VALUE!</v>
      </c>
      <c r="AH33" s="1">
        <f>VLOOKUP(A33,'SegEnds_NonXtal_Prot#'!A:AL,28,FALSE)-VLOOKUP(A33,'SegEnds_NonXtal_Prot#'!A:AL,22,FALSE)</f>
        <v>44</v>
      </c>
      <c r="AI33" s="1">
        <f>VLOOKUP(A33,'SegEnds_NonXtal_Prot#'!A:AL,31,FALSE)-VLOOKUP(A33,'SegEnds_NonXtal_Prot#'!A:AL,28,FALSE)</f>
        <v>57</v>
      </c>
      <c r="AJ33" s="1">
        <f>VLOOKUP(A33,'SegEnds_NonXtal_Prot#'!A:AL,34,FALSE)-VLOOKUP(A33,'SegEnds_NonXtal_Prot#'!A:AL,31,FALSE)</f>
        <v>32</v>
      </c>
      <c r="AK33" s="1">
        <f>VLOOKUP(A33,'SegEnds_NonXtal_Prot#'!A:AL,37,FALSE)-VLOOKUP(A33,'SegEnds_NonXtal_Prot#'!A:AL,34,FALSE)</f>
        <v>10</v>
      </c>
      <c r="AL33" s="1" t="str">
        <f>IF(ISERROR(MATCH(A33,'SegEnds_Xtal_Prot#'!B:B, 0)), "NoXtal", "Xtal")</f>
        <v>NoXtal</v>
      </c>
    </row>
    <row r="34" spans="1:38" x14ac:dyDescent="0.2">
      <c r="A34" s="1" t="s">
        <v>261</v>
      </c>
      <c r="B34" s="1" t="str">
        <f>VLOOKUP(A34,Xtal_Templ!A:B,2,FALSE)</f>
        <v>s1pr1_human</v>
      </c>
      <c r="C34" s="5">
        <f>VLOOKUP($B34&amp;"__wt",'SegEnds_Xtal_BW#'!$A:$Z,3,FALSE)</f>
        <v>29</v>
      </c>
      <c r="D34" s="1">
        <f>VLOOKUP($B34&amp;"__wt",'SegEnds_Xtal_BW#'!$A:$Z,4,FALSE)</f>
        <v>60</v>
      </c>
      <c r="E34" s="1">
        <f>VLOOKUP($B34&amp;"__wt",'SegEnds_Xtal_BW#'!$A:$Z,5,FALSE)</f>
        <v>48</v>
      </c>
      <c r="F34" s="1">
        <f>VLOOKUP($B34&amp;"__wt",'SegEnds_Xtal_BW#'!$A:$Z,6,FALSE)</f>
        <v>51</v>
      </c>
      <c r="G34" s="1">
        <v>37</v>
      </c>
      <c r="H34" s="12">
        <v>62</v>
      </c>
      <c r="I34" s="1">
        <v>48</v>
      </c>
      <c r="J34" s="1">
        <v>52</v>
      </c>
      <c r="K34" s="12">
        <v>24</v>
      </c>
      <c r="L34" s="1">
        <f>VLOOKUP($B34&amp;"__wt",'SegEnds_Xtal_BW#'!$A:$Z,12,FALSE)</f>
        <v>56</v>
      </c>
      <c r="M34" s="1">
        <f>VLOOKUP($B34&amp;"__wt",'SegEnds_Xtal_BW#'!$A:$Z,13,FALSE)</f>
        <v>50</v>
      </c>
      <c r="N34" s="12">
        <v>57</v>
      </c>
      <c r="O34" s="87">
        <v>38</v>
      </c>
      <c r="P34" s="1">
        <f>VLOOKUP($B34&amp;"__wt",'SegEnds_Xtal_BW#'!$A:$Z,16,FALSE)</f>
        <v>63</v>
      </c>
      <c r="Q34" s="1" t="str">
        <f>VLOOKUP($B34&amp;"__wt",'SegEnds_Xtal_BW#'!$A:$Z,17,FALSE)</f>
        <v>-</v>
      </c>
      <c r="R34" s="1" t="str">
        <f>VLOOKUP($B34&amp;"__wt",'SegEnds_Xtal_BW#'!$A:$Z,18,FALSE)</f>
        <v>-</v>
      </c>
      <c r="S34" s="1">
        <f>VLOOKUP($B34&amp;"__wt",'SegEnds_Xtal_BW#'!$A:$Z,19,FALSE)</f>
        <v>36</v>
      </c>
      <c r="T34" s="1">
        <f t="array" ref="T34">INDEX(ICL3_classA!$G$2:$G$39,MATCH(MIN(ABS(AI34-ICL3_classA!$F$2:$F$39)),ABS(AI34-ICL3_classA!$F$2:$F$39),0))</f>
        <v>73</v>
      </c>
      <c r="U34" s="1">
        <f t="array" ref="U34">INDEX(ICL3_classA!$H$2:$H$39,MATCH(MIN(ABS(AI34-ICL3_classA!$F$2:$F$39)),ABS(AI34-ICL3_classA!$F$2:$F$39),0))</f>
        <v>22</v>
      </c>
      <c r="V34" s="1">
        <v>61</v>
      </c>
      <c r="W34" s="1">
        <v>34</v>
      </c>
      <c r="X34" s="1">
        <f>VLOOKUP($B34&amp;"__wt",'SegEnds_Xtal_BW#'!$A:$Z,24,FALSE)</f>
        <v>56</v>
      </c>
      <c r="Y34" s="1">
        <f>VLOOKUP($B34&amp;"__wt",'SegEnds_Xtal_BW#'!$A:$Z,25,FALSE)</f>
        <v>47</v>
      </c>
      <c r="Z34" s="1">
        <f>VLOOKUP($B34&amp;"__wt",'SegEnds_Xtal_BW#'!$A:$Z,26,FALSE)</f>
        <v>59</v>
      </c>
      <c r="AA34" s="27" t="str">
        <f>VLOOKUP(A34,Classification!A:B,2,FALSE)</f>
        <v>A</v>
      </c>
      <c r="AB34" s="1">
        <f>VLOOKUP(A34,'SegEnds_NonXtal_Prot#'!A:AL,10,FALSE)-VLOOKUP(A34,'SegEnds_NonXtal_Prot#'!A:AL,4,FALSE)</f>
        <v>28</v>
      </c>
      <c r="AC34" s="1">
        <f>VLOOKUP(A34,'SegEnds_NonXtal_Prot#'!A:AL,10,FALSE)-VLOOKUP(A34,'SegEnds_NonXtal_Prot#'!A:AL,7,FALSE)</f>
        <v>15</v>
      </c>
      <c r="AD34" s="1">
        <f>VLOOKUP(A34,'SegEnds_NonXtal_Prot#'!A:AL,13,FALSE)-VLOOKUP(A34,'SegEnds_NonXtal_Prot#'!A:AL,10,FALSE)</f>
        <v>15</v>
      </c>
      <c r="AE34" s="1">
        <f>VLOOKUP(A34,'SegEnds_NonXtal_Prot#'!A:AL,16,FALSE)-VLOOKUP(A34,'SegEnds_NonXtal_Prot#'!A:AL,10,FALSE)</f>
        <v>48</v>
      </c>
      <c r="AF34" s="1">
        <f>VLOOKUP(A34,'SegEnds_NonXtal_Prot#'!A:AL,22,FALSE)-VLOOKUP(A34,'SegEnds_NonXtal_Prot#'!A:AL,19,FALSE)</f>
        <v>20</v>
      </c>
      <c r="AG34" s="1" t="e">
        <f>VLOOKUP(A34,'SegEnds_NonXtal_Prot#'!A:AL,28,FALSE)-VLOOKUP(A34,'SegEnds_NonXtal_Prot#'!A:AL,25,FALSE)</f>
        <v>#VALUE!</v>
      </c>
      <c r="AH34" s="1">
        <f>VLOOKUP(A34,'SegEnds_NonXtal_Prot#'!A:AL,28,FALSE)-VLOOKUP(A34,'SegEnds_NonXtal_Prot#'!A:AL,22,FALSE)</f>
        <v>44</v>
      </c>
      <c r="AI34" s="1">
        <f>VLOOKUP(A34,'SegEnds_NonXtal_Prot#'!A:AL,31,FALSE)-VLOOKUP(A34,'SegEnds_NonXtal_Prot#'!A:AL,28,FALSE)</f>
        <v>57</v>
      </c>
      <c r="AJ34" s="1">
        <f>VLOOKUP(A34,'SegEnds_NonXtal_Prot#'!A:AL,34,FALSE)-VLOOKUP(A34,'SegEnds_NonXtal_Prot#'!A:AL,31,FALSE)</f>
        <v>32</v>
      </c>
      <c r="AK34" s="1">
        <f>VLOOKUP(A34,'SegEnds_NonXtal_Prot#'!A:AL,37,FALSE)-VLOOKUP(A34,'SegEnds_NonXtal_Prot#'!A:AL,34,FALSE)</f>
        <v>10</v>
      </c>
      <c r="AL34" s="1" t="str">
        <f>IF(ISERROR(MATCH(A34,'SegEnds_Xtal_Prot#'!B:B, 0)), "NoXtal", "Xtal")</f>
        <v>NoXtal</v>
      </c>
    </row>
    <row r="35" spans="1:38" x14ac:dyDescent="0.2">
      <c r="A35" s="1" t="s">
        <v>293</v>
      </c>
      <c r="B35" s="1" t="str">
        <f>VLOOKUP(A35,Xtal_Templ!A:B,2,FALSE)</f>
        <v>agtr1_human</v>
      </c>
      <c r="C35" s="5">
        <f>VLOOKUP($B35&amp;"__wt",'SegEnds_Xtal_BW#'!$A:$Z,3,FALSE)</f>
        <v>28</v>
      </c>
      <c r="D35" s="1">
        <f>VLOOKUP($B35&amp;"__wt",'SegEnds_Xtal_BW#'!$A:$Z,4,FALSE)</f>
        <v>60</v>
      </c>
      <c r="E35" s="1">
        <f>VLOOKUP($B35&amp;"__wt",'SegEnds_Xtal_BW#'!$A:$Z,5,FALSE)</f>
        <v>48</v>
      </c>
      <c r="F35" s="1">
        <f>VLOOKUP($B35&amp;"__wt",'SegEnds_Xtal_BW#'!$A:$Z,6,FALSE)</f>
        <v>51</v>
      </c>
      <c r="G35" s="1">
        <v>37</v>
      </c>
      <c r="H35" s="12">
        <v>67</v>
      </c>
      <c r="I35" s="1">
        <f>VLOOKUP($B35&amp;"__wt",'SegEnds_Xtal_BW#'!$A:$Z,9,FALSE)</f>
        <v>49</v>
      </c>
      <c r="J35" s="1">
        <f>VLOOKUP($B35&amp;"__wt",'SegEnds_Xtal_BW#'!$A:$Z,10,FALSE)</f>
        <v>52</v>
      </c>
      <c r="K35" s="12">
        <v>18</v>
      </c>
      <c r="L35" s="1">
        <f>VLOOKUP($B35&amp;"__wt",'SegEnds_Xtal_BW#'!$A:$Z,12,FALSE)</f>
        <v>56</v>
      </c>
      <c r="M35" s="1">
        <f>VLOOKUP($B35&amp;"__wt",'SegEnds_Xtal_BW#'!$A:$Z,13,FALSE)</f>
        <v>50</v>
      </c>
      <c r="N35" s="12">
        <v>57</v>
      </c>
      <c r="O35" s="87">
        <f>VLOOKUP($B35&amp;"__wt",'SegEnds_Xtal_BW#'!$A:$Z,15,FALSE)</f>
        <v>38</v>
      </c>
      <c r="P35" s="1">
        <f>VLOOKUP($B35&amp;"__wt",'SegEnds_Xtal_BW#'!$A:$Z,16,FALSE)</f>
        <v>64</v>
      </c>
      <c r="Q35" s="1">
        <f>VLOOKUP($B35&amp;"__wt",'SegEnds_Xtal_BW#'!$A:$Z,17,FALSE)</f>
        <v>50</v>
      </c>
      <c r="R35" s="1">
        <f>VLOOKUP($B35&amp;"__wt",'SegEnds_Xtal_BW#'!$A:$Z,18,FALSE)</f>
        <v>52</v>
      </c>
      <c r="S35" s="1">
        <f>VLOOKUP($B35&amp;"__wt",'SegEnds_Xtal_BW#'!$A:$Z,19,FALSE)</f>
        <v>34</v>
      </c>
      <c r="T35" s="1">
        <f t="array" ref="T35">INDEX(ICL3_classA!$G$2:$G$39,MATCH(MIN(ABS(AI35-ICL3_classA!$F$2:$F$39)),ABS(AI35-ICL3_classA!$F$2:$F$39),0))</f>
        <v>68</v>
      </c>
      <c r="U35" s="1">
        <f t="array" ref="U35">INDEX(ICL3_classA!$H$2:$H$39,MATCH(MIN(ABS(AI35-ICL3_classA!$F$2:$F$39)),ABS(AI35-ICL3_classA!$F$2:$F$39),0))</f>
        <v>30</v>
      </c>
      <c r="V35" s="1">
        <v>61</v>
      </c>
      <c r="W35" s="1">
        <v>32</v>
      </c>
      <c r="X35" s="1">
        <f>VLOOKUP($B35&amp;"__wt",'SegEnds_Xtal_BW#'!$A:$Z,24,FALSE)</f>
        <v>56</v>
      </c>
      <c r="Y35" s="1">
        <f>VLOOKUP($B35&amp;"__wt",'SegEnds_Xtal_BW#'!$A:$Z,25,FALSE)</f>
        <v>47</v>
      </c>
      <c r="Z35" s="1">
        <f>VLOOKUP($B35&amp;"__wt",'SegEnds_Xtal_BW#'!$A:$Z,26,FALSE)</f>
        <v>61</v>
      </c>
      <c r="AA35" s="27" t="str">
        <f>VLOOKUP(A35,Classification!A:B,2,FALSE)</f>
        <v>A</v>
      </c>
      <c r="AB35" s="1">
        <f>VLOOKUP(A35,'SegEnds_NonXtal_Prot#'!A:AL,10,FALSE)-VLOOKUP(A35,'SegEnds_NonXtal_Prot#'!A:AL,4,FALSE)</f>
        <v>27</v>
      </c>
      <c r="AC35" s="1" t="e">
        <f>VLOOKUP(A35,'SegEnds_NonXtal_Prot#'!A:AL,10,FALSE)-VLOOKUP(A35,'SegEnds_NonXtal_Prot#'!A:AL,7,FALSE)</f>
        <v>#VALUE!</v>
      </c>
      <c r="AD35" s="1" t="e">
        <f>VLOOKUP(A35,'SegEnds_NonXtal_Prot#'!A:AL,13,FALSE)-VLOOKUP(A35,'SegEnds_NonXtal_Prot#'!A:AL,10,FALSE)</f>
        <v>#VALUE!</v>
      </c>
      <c r="AE35" s="1">
        <f>VLOOKUP(A35,'SegEnds_NonXtal_Prot#'!A:AL,16,FALSE)-VLOOKUP(A35,'SegEnds_NonXtal_Prot#'!A:AL,10,FALSE)</f>
        <v>53</v>
      </c>
      <c r="AF35" s="1">
        <f>VLOOKUP(A35,'SegEnds_NonXtal_Prot#'!A:AL,22,FALSE)-VLOOKUP(A35,'SegEnds_NonXtal_Prot#'!A:AL,19,FALSE)</f>
        <v>20</v>
      </c>
      <c r="AG35" s="1" t="e">
        <f>VLOOKUP(A35,'SegEnds_NonXtal_Prot#'!A:AL,28,FALSE)-VLOOKUP(A35,'SegEnds_NonXtal_Prot#'!A:AL,25,FALSE)</f>
        <v>#VALUE!</v>
      </c>
      <c r="AH35" s="1">
        <f>VLOOKUP(A35,'SegEnds_NonXtal_Prot#'!A:AL,28,FALSE)-VLOOKUP(A35,'SegEnds_NonXtal_Prot#'!A:AL,22,FALSE)</f>
        <v>44</v>
      </c>
      <c r="AI35" s="1">
        <f>VLOOKUP(A35,'SegEnds_NonXtal_Prot#'!A:AL,31,FALSE)-VLOOKUP(A35,'SegEnds_NonXtal_Prot#'!A:AL,28,FALSE)</f>
        <v>42</v>
      </c>
      <c r="AJ35" s="1">
        <f>VLOOKUP(A35,'SegEnds_NonXtal_Prot#'!A:AL,34,FALSE)-VLOOKUP(A35,'SegEnds_NonXtal_Prot#'!A:AL,31,FALSE)</f>
        <v>34</v>
      </c>
      <c r="AK35" s="1">
        <f>VLOOKUP(A35,'SegEnds_NonXtal_Prot#'!A:AL,37,FALSE)-VLOOKUP(A35,'SegEnds_NonXtal_Prot#'!A:AL,34,FALSE)</f>
        <v>10</v>
      </c>
      <c r="AL35" s="1" t="str">
        <f>IF(ISERROR(MATCH(A35,'SegEnds_Xtal_Prot#'!B:B, 0)), "NoXtal", "Xtal")</f>
        <v>NoXtal</v>
      </c>
    </row>
    <row r="36" spans="1:38" x14ac:dyDescent="0.2">
      <c r="A36" s="1" t="s">
        <v>131</v>
      </c>
      <c r="B36" s="1" t="str">
        <f>VLOOKUP(A36,Xtal_Templ!A:B,2,FALSE)</f>
        <v>5ht1b_human</v>
      </c>
      <c r="C36" s="5">
        <f>VLOOKUP($B36&amp;"__wt",'SegEnds_Xtal_BW#'!$A:$Z,3,FALSE)</f>
        <v>28</v>
      </c>
      <c r="D36" s="1">
        <f>VLOOKUP($B36&amp;"__wt",'SegEnds_Xtal_BW#'!$A:$Z,4,FALSE)</f>
        <v>60</v>
      </c>
      <c r="E36" s="1">
        <f>VLOOKUP($B36&amp;"__wt",'SegEnds_Xtal_BW#'!$A:$Z,5,FALSE)</f>
        <v>48</v>
      </c>
      <c r="F36" s="1">
        <f>VLOOKUP($B36&amp;"__wt",'SegEnds_Xtal_BW#'!$A:$Z,6,FALSE)</f>
        <v>51</v>
      </c>
      <c r="G36" s="1">
        <v>37</v>
      </c>
      <c r="H36" s="12">
        <f>VLOOKUP($B36&amp;"__wt",'SegEnds_Xtal_BW#'!$A:$Z,8,FALSE)</f>
        <v>68</v>
      </c>
      <c r="I36" s="1">
        <f>VLOOKUP($B36&amp;"__wt",'SegEnds_Xtal_BW#'!$A:$Z,9,FALSE)</f>
        <v>49</v>
      </c>
      <c r="J36" s="1">
        <f>VLOOKUP($B36&amp;"__wt",'SegEnds_Xtal_BW#'!$A:$Z,10,FALSE)</f>
        <v>52</v>
      </c>
      <c r="K36" s="12">
        <v>18</v>
      </c>
      <c r="L36" s="1">
        <f>VLOOKUP($B36&amp;"__wt",'SegEnds_Xtal_BW#'!$A:$Z,12,FALSE)</f>
        <v>56</v>
      </c>
      <c r="M36" s="1">
        <f>VLOOKUP($B36&amp;"__wt",'SegEnds_Xtal_BW#'!$A:$Z,13,FALSE)</f>
        <v>50</v>
      </c>
      <c r="N36" s="12">
        <v>57</v>
      </c>
      <c r="O36" s="87">
        <v>38</v>
      </c>
      <c r="P36" s="1">
        <f>VLOOKUP($B36&amp;"__wt",'SegEnds_Xtal_BW#'!$A:$Z,16,FALSE)</f>
        <v>63</v>
      </c>
      <c r="Q36" s="1">
        <f>VLOOKUP($B36&amp;"__wt",'SegEnds_Xtal_BW#'!$A:$Z,17,FALSE)</f>
        <v>50</v>
      </c>
      <c r="R36" s="1">
        <f>VLOOKUP($B36&amp;"__wt",'SegEnds_Xtal_BW#'!$A:$Z,18,FALSE)</f>
        <v>52</v>
      </c>
      <c r="S36" s="1">
        <v>35</v>
      </c>
      <c r="T36" s="1">
        <f t="array" ref="T36">INDEX(ICL3_classA!$G$2:$G$39,MATCH(MIN(ABS(AI36-ICL3_classA!$F$2:$F$39)),ABS(AI36-ICL3_classA!$F$2:$F$39),0))</f>
        <v>76</v>
      </c>
      <c r="U36" s="1">
        <f t="array" ref="U36">INDEX(ICL3_classA!$H$2:$H$39,MATCH(MIN(ABS(AI36-ICL3_classA!$F$2:$F$39)),ABS(AI36-ICL3_classA!$F$2:$F$39),0))</f>
        <v>24</v>
      </c>
      <c r="V36" s="1">
        <v>61</v>
      </c>
      <c r="W36" s="1">
        <v>31</v>
      </c>
      <c r="X36" s="1">
        <f>VLOOKUP($B36&amp;"__wt",'SegEnds_Xtal_BW#'!$A:$Z,24,FALSE)</f>
        <v>56</v>
      </c>
      <c r="Y36" s="1">
        <f>VLOOKUP($B36&amp;"__wt",'SegEnds_Xtal_BW#'!$A:$Z,25,FALSE)</f>
        <v>47</v>
      </c>
      <c r="Z36" s="1">
        <f>VLOOKUP($B36&amp;"__wt",'SegEnds_Xtal_BW#'!$A:$Z,26,FALSE)</f>
        <v>58</v>
      </c>
      <c r="AA36" s="27" t="str">
        <f>VLOOKUP(A36,Classification!A:B,2,FALSE)</f>
        <v>A</v>
      </c>
      <c r="AB36" s="1">
        <f>VLOOKUP(A36,'SegEnds_NonXtal_Prot#'!A:AL,10,FALSE)-VLOOKUP(A36,'SegEnds_NonXtal_Prot#'!A:AL,4,FALSE)</f>
        <v>28</v>
      </c>
      <c r="AC36" s="1">
        <f>VLOOKUP(A36,'SegEnds_NonXtal_Prot#'!A:AL,10,FALSE)-VLOOKUP(A36,'SegEnds_NonXtal_Prot#'!A:AL,7,FALSE)</f>
        <v>15</v>
      </c>
      <c r="AD36" s="1">
        <f>VLOOKUP(A36,'SegEnds_NonXtal_Prot#'!A:AL,13,FALSE)-VLOOKUP(A36,'SegEnds_NonXtal_Prot#'!A:AL,10,FALSE)</f>
        <v>20</v>
      </c>
      <c r="AE36" s="1">
        <f>VLOOKUP(A36,'SegEnds_NonXtal_Prot#'!A:AL,16,FALSE)-VLOOKUP(A36,'SegEnds_NonXtal_Prot#'!A:AL,10,FALSE)</f>
        <v>52</v>
      </c>
      <c r="AF36" s="1">
        <f>VLOOKUP(A36,'SegEnds_NonXtal_Prot#'!A:AL,22,FALSE)-VLOOKUP(A36,'SegEnds_NonXtal_Prot#'!A:AL,19,FALSE)</f>
        <v>20</v>
      </c>
      <c r="AG36" s="1">
        <f>VLOOKUP(A36,'SegEnds_NonXtal_Prot#'!A:AL,28,FALSE)-VLOOKUP(A36,'SegEnds_NonXtal_Prot#'!A:AL,25,FALSE)</f>
        <v>21</v>
      </c>
      <c r="AH36" s="1">
        <f>VLOOKUP(A36,'SegEnds_NonXtal_Prot#'!A:AL,28,FALSE)-VLOOKUP(A36,'SegEnds_NonXtal_Prot#'!A:AL,22,FALSE)</f>
        <v>45</v>
      </c>
      <c r="AI36" s="1">
        <f>VLOOKUP(A36,'SegEnds_NonXtal_Prot#'!A:AL,31,FALSE)-VLOOKUP(A36,'SegEnds_NonXtal_Prot#'!A:AL,28,FALSE)</f>
        <v>115</v>
      </c>
      <c r="AJ36" s="1">
        <f>VLOOKUP(A36,'SegEnds_NonXtal_Prot#'!A:AL,34,FALSE)-VLOOKUP(A36,'SegEnds_NonXtal_Prot#'!A:AL,31,FALSE)</f>
        <v>36</v>
      </c>
      <c r="AK36" s="1">
        <f>VLOOKUP(A36,'SegEnds_NonXtal_Prot#'!A:AL,37,FALSE)-VLOOKUP(A36,'SegEnds_NonXtal_Prot#'!A:AL,34,FALSE)</f>
        <v>10</v>
      </c>
      <c r="AL36" s="1" t="str">
        <f>IF(ISERROR(MATCH(A36,'SegEnds_Xtal_Prot#'!B:B, 0)), "NoXtal", "Xtal")</f>
        <v>NoXtal</v>
      </c>
    </row>
    <row r="37" spans="1:38" x14ac:dyDescent="0.2">
      <c r="A37" s="1" t="s">
        <v>152</v>
      </c>
      <c r="B37" s="1" t="str">
        <f>VLOOKUP(A37,Xtal_Templ!A:B,2,FALSE)</f>
        <v>adrb2_human</v>
      </c>
      <c r="C37" s="5">
        <f>VLOOKUP($B37&amp;"__wt",'SegEnds_Xtal_BW#'!$A:$Z,3,FALSE)</f>
        <v>25</v>
      </c>
      <c r="D37" s="1">
        <f>VLOOKUP($B37&amp;"__wt",'SegEnds_Xtal_BW#'!$A:$Z,4,FALSE)</f>
        <v>60</v>
      </c>
      <c r="E37" s="1">
        <f>VLOOKUP($B37&amp;"__wt",'SegEnds_Xtal_BW#'!$A:$Z,5,FALSE)</f>
        <v>48</v>
      </c>
      <c r="F37" s="1">
        <f>VLOOKUP($B37&amp;"__wt",'SegEnds_Xtal_BW#'!$A:$Z,6,FALSE)</f>
        <v>51</v>
      </c>
      <c r="G37" s="1">
        <v>37</v>
      </c>
      <c r="H37" s="12">
        <f>VLOOKUP($B37&amp;"__wt",'SegEnds_Xtal_BW#'!$A:$Z,8,FALSE)</f>
        <v>67</v>
      </c>
      <c r="I37" s="1">
        <f>VLOOKUP($B37&amp;"__wt",'SegEnds_Xtal_BW#'!$A:$Z,9,FALSE)</f>
        <v>49</v>
      </c>
      <c r="J37" s="1">
        <f>VLOOKUP($B37&amp;"__wt",'SegEnds_Xtal_BW#'!$A:$Z,10,FALSE)</f>
        <v>52</v>
      </c>
      <c r="K37" s="12">
        <v>18</v>
      </c>
      <c r="L37" s="1">
        <f>VLOOKUP($B37&amp;"__wt",'SegEnds_Xtal_BW#'!$A:$Z,12,FALSE)</f>
        <v>56</v>
      </c>
      <c r="M37" s="1">
        <f>VLOOKUP($B37&amp;"__wt",'SegEnds_Xtal_BW#'!$A:$Z,13,FALSE)</f>
        <v>50</v>
      </c>
      <c r="N37" s="12">
        <v>57</v>
      </c>
      <c r="O37" s="87">
        <v>38</v>
      </c>
      <c r="P37" s="1">
        <f>VLOOKUP($B37&amp;"__wt",'SegEnds_Xtal_BW#'!$A:$Z,16,FALSE)</f>
        <v>64</v>
      </c>
      <c r="Q37" s="1">
        <f>VLOOKUP($B37&amp;"__wt",'SegEnds_Xtal_BW#'!$A:$Z,17,FALSE)</f>
        <v>50</v>
      </c>
      <c r="R37" s="1">
        <f>VLOOKUP($B37&amp;"__wt",'SegEnds_Xtal_BW#'!$A:$Z,18,FALSE)</f>
        <v>52</v>
      </c>
      <c r="S37" s="1">
        <v>35</v>
      </c>
      <c r="T37" s="1">
        <f t="array" ref="T37">INDEX(ICL3_classA!$G$2:$G$39,MATCH(MIN(ABS(AI37-ICL3_classA!$F$2:$F$39)),ABS(AI37-ICL3_classA!$F$2:$F$39),0))</f>
        <v>76</v>
      </c>
      <c r="U37" s="1">
        <f t="array" ref="U37">INDEX(ICL3_classA!$H$2:$H$39,MATCH(MIN(ABS(AI37-ICL3_classA!$F$2:$F$39)),ABS(AI37-ICL3_classA!$F$2:$F$39),0))</f>
        <v>24</v>
      </c>
      <c r="V37" s="1">
        <v>61</v>
      </c>
      <c r="W37" s="1">
        <v>31</v>
      </c>
      <c r="X37" s="108">
        <v>56</v>
      </c>
      <c r="Y37" s="1">
        <f>VLOOKUP($B37&amp;"__wt",'SegEnds_Xtal_BW#'!$A:$Z,25,FALSE)</f>
        <v>47</v>
      </c>
      <c r="Z37" s="1">
        <f>VLOOKUP($B37&amp;"__wt",'SegEnds_Xtal_BW#'!$A:$Z,26,FALSE)</f>
        <v>59</v>
      </c>
      <c r="AA37" s="27" t="str">
        <f>VLOOKUP(A37,Classification!A:B,2,FALSE)</f>
        <v>A</v>
      </c>
      <c r="AB37" s="1">
        <f>VLOOKUP(A37,'SegEnds_NonXtal_Prot#'!A:AL,10,FALSE)-VLOOKUP(A37,'SegEnds_NonXtal_Prot#'!A:AL,4,FALSE)</f>
        <v>28</v>
      </c>
      <c r="AC37" s="1">
        <f>VLOOKUP(A37,'SegEnds_NonXtal_Prot#'!A:AL,10,FALSE)-VLOOKUP(A37,'SegEnds_NonXtal_Prot#'!A:AL,7,FALSE)</f>
        <v>15</v>
      </c>
      <c r="AD37" s="1">
        <f>VLOOKUP(A37,'SegEnds_NonXtal_Prot#'!A:AL,13,FALSE)-VLOOKUP(A37,'SegEnds_NonXtal_Prot#'!A:AL,10,FALSE)</f>
        <v>20</v>
      </c>
      <c r="AE37" s="1">
        <f>VLOOKUP(A37,'SegEnds_NonXtal_Prot#'!A:AL,16,FALSE)-VLOOKUP(A37,'SegEnds_NonXtal_Prot#'!A:AL,10,FALSE)</f>
        <v>52</v>
      </c>
      <c r="AF37" s="1">
        <f>VLOOKUP(A37,'SegEnds_NonXtal_Prot#'!A:AL,22,FALSE)-VLOOKUP(A37,'SegEnds_NonXtal_Prot#'!A:AL,19,FALSE)</f>
        <v>20</v>
      </c>
      <c r="AG37" s="1">
        <f>VLOOKUP(A37,'SegEnds_NonXtal_Prot#'!A:AL,28,FALSE)-VLOOKUP(A37,'SegEnds_NonXtal_Prot#'!A:AL,25,FALSE)</f>
        <v>20</v>
      </c>
      <c r="AH37" s="1">
        <f>VLOOKUP(A37,'SegEnds_NonXtal_Prot#'!A:AL,28,FALSE)-VLOOKUP(A37,'SegEnds_NonXtal_Prot#'!A:AL,22,FALSE)</f>
        <v>45</v>
      </c>
      <c r="AI37" s="1">
        <f>VLOOKUP(A37,'SegEnds_NonXtal_Prot#'!A:AL,31,FALSE)-VLOOKUP(A37,'SegEnds_NonXtal_Prot#'!A:AL,28,FALSE)</f>
        <v>91</v>
      </c>
      <c r="AJ37" s="1">
        <f>VLOOKUP(A37,'SegEnds_NonXtal_Prot#'!A:AL,34,FALSE)-VLOOKUP(A37,'SegEnds_NonXtal_Prot#'!A:AL,31,FALSE)</f>
        <v>36</v>
      </c>
      <c r="AK37" s="1">
        <f>VLOOKUP(A37,'SegEnds_NonXtal_Prot#'!A:AL,37,FALSE)-VLOOKUP(A37,'SegEnds_NonXtal_Prot#'!A:AL,34,FALSE)</f>
        <v>10</v>
      </c>
      <c r="AL37" s="1" t="str">
        <f>IF(ISERROR(MATCH(A37,'SegEnds_Xtal_Prot#'!B:B, 0)), "NoXtal", "Xtal")</f>
        <v>NoXtal</v>
      </c>
    </row>
    <row r="38" spans="1:38" x14ac:dyDescent="0.2">
      <c r="A38" s="1" t="s">
        <v>153</v>
      </c>
      <c r="B38" s="1" t="str">
        <f>VLOOKUP(A38,Xtal_Templ!A:B,2,FALSE)</f>
        <v>drd2_human</v>
      </c>
      <c r="C38" s="5">
        <f>VLOOKUP($B38&amp;"__wt",'SegEnds_Xtal_BW#'!$A:$Z,3,FALSE)</f>
        <v>29</v>
      </c>
      <c r="D38" s="1">
        <f>VLOOKUP($B38&amp;"__wt",'SegEnds_Xtal_BW#'!$A:$Z,4,FALSE)</f>
        <v>60</v>
      </c>
      <c r="E38" s="1">
        <f>VLOOKUP($B38&amp;"__wt",'SegEnds_Xtal_BW#'!$A:$Z,5,FALSE)</f>
        <v>48</v>
      </c>
      <c r="F38" s="1">
        <f>VLOOKUP($B38&amp;"__wt",'SegEnds_Xtal_BW#'!$A:$Z,6,FALSE)</f>
        <v>51</v>
      </c>
      <c r="G38" s="1">
        <v>37</v>
      </c>
      <c r="H38" s="12">
        <f>VLOOKUP($B38&amp;"__wt",'SegEnds_Xtal_BW#'!$A:$Z,8,FALSE)</f>
        <v>68</v>
      </c>
      <c r="I38" s="1">
        <f>VLOOKUP($B38&amp;"__wt",'SegEnds_Xtal_BW#'!$A:$Z,9,FALSE)</f>
        <v>49</v>
      </c>
      <c r="J38" s="1">
        <f>VLOOKUP($B38&amp;"__wt",'SegEnds_Xtal_BW#'!$A:$Z,10,FALSE)</f>
        <v>52</v>
      </c>
      <c r="K38" s="12">
        <v>18</v>
      </c>
      <c r="L38" s="1">
        <f>VLOOKUP($B38&amp;"__wt",'SegEnds_Xtal_BW#'!$A:$Z,12,FALSE)</f>
        <v>56</v>
      </c>
      <c r="M38" s="1">
        <f>VLOOKUP($B38&amp;"__wt",'SegEnds_Xtal_BW#'!$A:$Z,13,FALSE)</f>
        <v>50</v>
      </c>
      <c r="N38" s="12">
        <v>57</v>
      </c>
      <c r="O38" s="87">
        <v>38</v>
      </c>
      <c r="P38" s="1">
        <f>VLOOKUP($B38&amp;"__wt",'SegEnds_Xtal_BW#'!$A:$Z,16,FALSE)</f>
        <v>62</v>
      </c>
      <c r="Q38" s="1">
        <f>VLOOKUP($B38&amp;"__wt",'SegEnds_Xtal_BW#'!$A:$Z,17,FALSE)</f>
        <v>50</v>
      </c>
      <c r="R38" s="1">
        <f>VLOOKUP($B38&amp;"__wt",'SegEnds_Xtal_BW#'!$A:$Z,18,FALSE)</f>
        <v>52</v>
      </c>
      <c r="S38" s="1">
        <v>35</v>
      </c>
      <c r="T38" s="1">
        <f t="array" ref="T38">INDEX(ICL3_classA!$G$2:$G$39,MATCH(MIN(ABS(AI38-ICL3_classA!$F$2:$F$39)),ABS(AI38-ICL3_classA!$F$2:$F$39),0))</f>
        <v>74</v>
      </c>
      <c r="U38" s="1">
        <f t="array" ref="U38">INDEX(ICL3_classA!$H$2:$H$39,MATCH(MIN(ABS(AI38-ICL3_classA!$F$2:$F$39)),ABS(AI38-ICL3_classA!$F$2:$F$39),0))</f>
        <v>24</v>
      </c>
      <c r="V38" s="1">
        <v>61</v>
      </c>
      <c r="W38" s="1">
        <v>31</v>
      </c>
      <c r="X38" s="1">
        <f>VLOOKUP($B38&amp;"__wt",'SegEnds_Xtal_BW#'!$A:$Z,24,FALSE)</f>
        <v>56</v>
      </c>
      <c r="Y38" s="1">
        <f>VLOOKUP($B38&amp;"__wt",'SegEnds_Xtal_BW#'!$A:$Z,25,FALSE)</f>
        <v>47</v>
      </c>
      <c r="Z38" s="1">
        <f>VLOOKUP($B38&amp;"__wt",'SegEnds_Xtal_BW#'!$A:$Z,26,FALSE)</f>
        <v>59</v>
      </c>
      <c r="AA38" s="27" t="str">
        <f>VLOOKUP(A38,Classification!A:B,2,FALSE)</f>
        <v>A</v>
      </c>
      <c r="AB38" s="1">
        <f>VLOOKUP(A38,'SegEnds_NonXtal_Prot#'!A:AL,10,FALSE)-VLOOKUP(A38,'SegEnds_NonXtal_Prot#'!A:AL,4,FALSE)</f>
        <v>28</v>
      </c>
      <c r="AC38" s="1">
        <f>VLOOKUP(A38,'SegEnds_NonXtal_Prot#'!A:AL,10,FALSE)-VLOOKUP(A38,'SegEnds_NonXtal_Prot#'!A:AL,7,FALSE)</f>
        <v>15</v>
      </c>
      <c r="AD38" s="1">
        <f>VLOOKUP(A38,'SegEnds_NonXtal_Prot#'!A:AL,13,FALSE)-VLOOKUP(A38,'SegEnds_NonXtal_Prot#'!A:AL,10,FALSE)</f>
        <v>20</v>
      </c>
      <c r="AE38" s="1">
        <f>VLOOKUP(A38,'SegEnds_NonXtal_Prot#'!A:AL,16,FALSE)-VLOOKUP(A38,'SegEnds_NonXtal_Prot#'!A:AL,10,FALSE)</f>
        <v>52</v>
      </c>
      <c r="AF38" s="1">
        <f>VLOOKUP(A38,'SegEnds_NonXtal_Prot#'!A:AL,22,FALSE)-VLOOKUP(A38,'SegEnds_NonXtal_Prot#'!A:AL,19,FALSE)</f>
        <v>20</v>
      </c>
      <c r="AG38" s="1">
        <f>VLOOKUP(A38,'SegEnds_NonXtal_Prot#'!A:AL,28,FALSE)-VLOOKUP(A38,'SegEnds_NonXtal_Prot#'!A:AL,25,FALSE)</f>
        <v>20</v>
      </c>
      <c r="AH38" s="1">
        <f>VLOOKUP(A38,'SegEnds_NonXtal_Prot#'!A:AL,28,FALSE)-VLOOKUP(A38,'SegEnds_NonXtal_Prot#'!A:AL,22,FALSE)</f>
        <v>45</v>
      </c>
      <c r="AI38" s="1">
        <f>VLOOKUP(A38,'SegEnds_NonXtal_Prot#'!A:AL,31,FALSE)-VLOOKUP(A38,'SegEnds_NonXtal_Prot#'!A:AL,28,FALSE)</f>
        <v>94</v>
      </c>
      <c r="AJ38" s="1">
        <f>VLOOKUP(A38,'SegEnds_NonXtal_Prot#'!A:AL,34,FALSE)-VLOOKUP(A38,'SegEnds_NonXtal_Prot#'!A:AL,31,FALSE)</f>
        <v>36</v>
      </c>
      <c r="AK38" s="1">
        <f>VLOOKUP(A38,'SegEnds_NonXtal_Prot#'!A:AL,37,FALSE)-VLOOKUP(A38,'SegEnds_NonXtal_Prot#'!A:AL,34,FALSE)</f>
        <v>10</v>
      </c>
      <c r="AL38" s="1" t="str">
        <f>IF(ISERROR(MATCH(A38,'SegEnds_Xtal_Prot#'!B:B, 0)), "NoXtal", "Xtal")</f>
        <v>NoXtal</v>
      </c>
    </row>
    <row r="39" spans="1:38" x14ac:dyDescent="0.2">
      <c r="A39" s="1" t="s">
        <v>154</v>
      </c>
      <c r="B39" s="1" t="str">
        <f>VLOOKUP(A39,Xtal_Templ!A:B,2,FALSE)</f>
        <v>adrb2_human</v>
      </c>
      <c r="C39" s="5">
        <f>VLOOKUP($B39&amp;"__wt",'SegEnds_Xtal_BW#'!$A:$Z,3,FALSE)</f>
        <v>25</v>
      </c>
      <c r="D39" s="1">
        <f>VLOOKUP($B39&amp;"__wt",'SegEnds_Xtal_BW#'!$A:$Z,4,FALSE)</f>
        <v>60</v>
      </c>
      <c r="E39" s="1">
        <f>VLOOKUP($B39&amp;"__wt",'SegEnds_Xtal_BW#'!$A:$Z,5,FALSE)</f>
        <v>48</v>
      </c>
      <c r="F39" s="1">
        <f>VLOOKUP($B39&amp;"__wt",'SegEnds_Xtal_BW#'!$A:$Z,6,FALSE)</f>
        <v>51</v>
      </c>
      <c r="G39" s="1">
        <v>37</v>
      </c>
      <c r="H39" s="12">
        <f>VLOOKUP($B39&amp;"__wt",'SegEnds_Xtal_BW#'!$A:$Z,8,FALSE)</f>
        <v>67</v>
      </c>
      <c r="I39" s="1">
        <f>VLOOKUP($B39&amp;"__wt",'SegEnds_Xtal_BW#'!$A:$Z,9,FALSE)</f>
        <v>49</v>
      </c>
      <c r="J39" s="1">
        <f>VLOOKUP($B39&amp;"__wt",'SegEnds_Xtal_BW#'!$A:$Z,10,FALSE)</f>
        <v>52</v>
      </c>
      <c r="K39" s="12">
        <v>18</v>
      </c>
      <c r="L39" s="1">
        <f>VLOOKUP($B39&amp;"__wt",'SegEnds_Xtal_BW#'!$A:$Z,12,FALSE)</f>
        <v>56</v>
      </c>
      <c r="M39" s="1">
        <f>VLOOKUP($B39&amp;"__wt",'SegEnds_Xtal_BW#'!$A:$Z,13,FALSE)</f>
        <v>50</v>
      </c>
      <c r="N39" s="12">
        <v>57</v>
      </c>
      <c r="O39" s="87">
        <v>38</v>
      </c>
      <c r="P39" s="1">
        <f>VLOOKUP($B39&amp;"__wt",'SegEnds_Xtal_BW#'!$A:$Z,16,FALSE)</f>
        <v>64</v>
      </c>
      <c r="Q39" s="1">
        <f>VLOOKUP($B39&amp;"__wt",'SegEnds_Xtal_BW#'!$A:$Z,17,FALSE)</f>
        <v>50</v>
      </c>
      <c r="R39" s="1">
        <f>VLOOKUP($B39&amp;"__wt",'SegEnds_Xtal_BW#'!$A:$Z,18,FALSE)</f>
        <v>52</v>
      </c>
      <c r="S39" s="1">
        <v>35</v>
      </c>
      <c r="T39" s="1">
        <f t="array" ref="T39">INDEX(ICL3_classA!$G$2:$G$39,MATCH(MIN(ABS(AI39-ICL3_classA!$F$2:$F$39)),ABS(AI39-ICL3_classA!$F$2:$F$39),0))</f>
        <v>74</v>
      </c>
      <c r="U39" s="1">
        <f t="array" ref="U39">INDEX(ICL3_classA!$H$2:$H$39,MATCH(MIN(ABS(AI39-ICL3_classA!$F$2:$F$39)),ABS(AI39-ICL3_classA!$F$2:$F$39),0))</f>
        <v>24</v>
      </c>
      <c r="V39" s="1">
        <v>61</v>
      </c>
      <c r="W39" s="1">
        <v>31</v>
      </c>
      <c r="X39" s="108">
        <v>56</v>
      </c>
      <c r="Y39" s="1">
        <f>VLOOKUP($B39&amp;"__wt",'SegEnds_Xtal_BW#'!$A:$Z,25,FALSE)</f>
        <v>47</v>
      </c>
      <c r="Z39" s="1">
        <f>VLOOKUP($B39&amp;"__wt",'SegEnds_Xtal_BW#'!$A:$Z,26,FALSE)</f>
        <v>59</v>
      </c>
      <c r="AA39" s="27" t="str">
        <f>VLOOKUP(A39,Classification!A:B,2,FALSE)</f>
        <v>A</v>
      </c>
      <c r="AB39" s="1">
        <f>VLOOKUP(A39,'SegEnds_NonXtal_Prot#'!A:AL,10,FALSE)-VLOOKUP(A39,'SegEnds_NonXtal_Prot#'!A:AL,4,FALSE)</f>
        <v>28</v>
      </c>
      <c r="AC39" s="1">
        <f>VLOOKUP(A39,'SegEnds_NonXtal_Prot#'!A:AL,10,FALSE)-VLOOKUP(A39,'SegEnds_NonXtal_Prot#'!A:AL,7,FALSE)</f>
        <v>15</v>
      </c>
      <c r="AD39" s="1">
        <f>VLOOKUP(A39,'SegEnds_NonXtal_Prot#'!A:AL,13,FALSE)-VLOOKUP(A39,'SegEnds_NonXtal_Prot#'!A:AL,10,FALSE)</f>
        <v>20</v>
      </c>
      <c r="AE39" s="1">
        <f>VLOOKUP(A39,'SegEnds_NonXtal_Prot#'!A:AL,16,FALSE)-VLOOKUP(A39,'SegEnds_NonXtal_Prot#'!A:AL,10,FALSE)</f>
        <v>52</v>
      </c>
      <c r="AF39" s="1">
        <f>VLOOKUP(A39,'SegEnds_NonXtal_Prot#'!A:AL,22,FALSE)-VLOOKUP(A39,'SegEnds_NonXtal_Prot#'!A:AL,19,FALSE)</f>
        <v>20</v>
      </c>
      <c r="AG39" s="1">
        <f>VLOOKUP(A39,'SegEnds_NonXtal_Prot#'!A:AL,28,FALSE)-VLOOKUP(A39,'SegEnds_NonXtal_Prot#'!A:AL,25,FALSE)</f>
        <v>20</v>
      </c>
      <c r="AH39" s="1">
        <f>VLOOKUP(A39,'SegEnds_NonXtal_Prot#'!A:AL,28,FALSE)-VLOOKUP(A39,'SegEnds_NonXtal_Prot#'!A:AL,22,FALSE)</f>
        <v>45</v>
      </c>
      <c r="AI39" s="1">
        <f>VLOOKUP(A39,'SegEnds_NonXtal_Prot#'!A:AL,31,FALSE)-VLOOKUP(A39,'SegEnds_NonXtal_Prot#'!A:AL,28,FALSE)</f>
        <v>97</v>
      </c>
      <c r="AJ39" s="1">
        <f>VLOOKUP(A39,'SegEnds_NonXtal_Prot#'!A:AL,34,FALSE)-VLOOKUP(A39,'SegEnds_NonXtal_Prot#'!A:AL,31,FALSE)</f>
        <v>36</v>
      </c>
      <c r="AK39" s="1">
        <f>VLOOKUP(A39,'SegEnds_NonXtal_Prot#'!A:AL,37,FALSE)-VLOOKUP(A39,'SegEnds_NonXtal_Prot#'!A:AL,34,FALSE)</f>
        <v>10</v>
      </c>
      <c r="AL39" s="1" t="str">
        <f>IF(ISERROR(MATCH(A39,'SegEnds_Xtal_Prot#'!B:B, 0)), "NoXtal", "Xtal")</f>
        <v>NoXtal</v>
      </c>
    </row>
    <row r="40" spans="1:38" x14ac:dyDescent="0.2">
      <c r="A40" s="1" t="s">
        <v>182</v>
      </c>
      <c r="B40" s="1" t="str">
        <f>VLOOKUP(A40,Xtal_Templ!A:B,2,FALSE)</f>
        <v>cnr1_human</v>
      </c>
      <c r="C40" s="5">
        <f>VLOOKUP($B40&amp;"__wt",'SegEnds_Xtal_BW#'!$A:$Z,3,FALSE)</f>
        <v>28</v>
      </c>
      <c r="D40" s="1">
        <f>VLOOKUP($B40&amp;"__wt",'SegEnds_Xtal_BW#'!$A:$Z,4,FALSE)</f>
        <v>60</v>
      </c>
      <c r="E40" s="1">
        <f>VLOOKUP($B40&amp;"__wt",'SegEnds_Xtal_BW#'!$A:$Z,5,FALSE)</f>
        <v>48</v>
      </c>
      <c r="F40" s="1">
        <f>VLOOKUP($B40&amp;"__wt",'SegEnds_Xtal_BW#'!$A:$Z,6,FALSE)</f>
        <v>51</v>
      </c>
      <c r="G40" s="1">
        <f>VLOOKUP($B40&amp;"__wt",'SegEnds_Xtal_BW#'!$A:$Z,7,FALSE)</f>
        <v>37</v>
      </c>
      <c r="H40" s="12">
        <f>VLOOKUP($B40&amp;"__wt",'SegEnds_Xtal_BW#'!$A:$Z,8,FALSE)</f>
        <v>66</v>
      </c>
      <c r="I40" s="1" t="str">
        <f>VLOOKUP($B40&amp;"__wt",'SegEnds_Xtal_BW#'!$A:$Z,9,FALSE)</f>
        <v>-</v>
      </c>
      <c r="J40" s="1" t="str">
        <f>VLOOKUP($B40&amp;"__wt",'SegEnds_Xtal_BW#'!$A:$Z,10,FALSE)</f>
        <v>-</v>
      </c>
      <c r="K40" s="12">
        <f>VLOOKUP($B40&amp;"__wt",'SegEnds_Xtal_BW#'!$A:$Z,11,FALSE)</f>
        <v>21</v>
      </c>
      <c r="L40" s="1">
        <f>VLOOKUP($B40&amp;"__wt",'SegEnds_Xtal_BW#'!$A:$Z,12,FALSE)</f>
        <v>56</v>
      </c>
      <c r="M40" s="1">
        <f>VLOOKUP($B40&amp;"__wt",'SegEnds_Xtal_BW#'!$A:$Z,13,FALSE)</f>
        <v>50</v>
      </c>
      <c r="N40" s="12">
        <f>VLOOKUP($B40&amp;"__wt",'SegEnds_Xtal_BW#'!$A:$Z,14,FALSE)</f>
        <v>57</v>
      </c>
      <c r="O40" s="87">
        <f>VLOOKUP($B40&amp;"__wt",'SegEnds_Xtal_BW#'!$A:$Z,15,FALSE)</f>
        <v>38</v>
      </c>
      <c r="P40" s="1">
        <f>VLOOKUP($B40&amp;"__wt",'SegEnds_Xtal_BW#'!$A:$Z,16,FALSE)</f>
        <v>63</v>
      </c>
      <c r="Q40" s="1" t="str">
        <f>VLOOKUP($B40&amp;"__wt",'SegEnds_Xtal_BW#'!$A:$Z,17,FALSE)</f>
        <v>-</v>
      </c>
      <c r="R40" s="1" t="str">
        <f>VLOOKUP($B40&amp;"__wt",'SegEnds_Xtal_BW#'!$A:$Z,18,FALSE)</f>
        <v>-</v>
      </c>
      <c r="S40" s="1">
        <f>VLOOKUP($B40&amp;"__wt",'SegEnds_Xtal_BW#'!$A:$Z,19,FALSE)</f>
        <v>36</v>
      </c>
      <c r="T40" s="1">
        <f t="array" ref="T40">INDEX(ICL3_classA!$G$2:$G$39,MATCH(MIN(ABS(AI40-ICL3_classA!$F$2:$F$39)),ABS(AI40-ICL3_classA!$F$2:$F$39),0))</f>
        <v>76</v>
      </c>
      <c r="U40" s="1">
        <f t="array" ref="U40">INDEX(ICL3_classA!$H$2:$H$39,MATCH(MIN(ABS(AI40-ICL3_classA!$F$2:$F$39)),ABS(AI40-ICL3_classA!$F$2:$F$39),0))</f>
        <v>24</v>
      </c>
      <c r="V40" s="1">
        <f>VLOOKUP($B40&amp;"__wt",'SegEnds_Xtal_BW#'!$A:$Z,22,FALSE)</f>
        <v>61</v>
      </c>
      <c r="W40" s="1">
        <f>VLOOKUP($B40&amp;"__wt",'SegEnds_Xtal_BW#'!$A:$Z,23,FALSE)</f>
        <v>28</v>
      </c>
      <c r="X40" s="1">
        <f>VLOOKUP($B40&amp;"__wt",'SegEnds_Xtal_BW#'!$A:$Z,24,FALSE)</f>
        <v>56</v>
      </c>
      <c r="Y40" s="1">
        <f>VLOOKUP($B40&amp;"__wt",'SegEnds_Xtal_BW#'!$A:$Z,25,FALSE)</f>
        <v>47</v>
      </c>
      <c r="Z40" s="1">
        <f>VLOOKUP($B40&amp;"__wt",'SegEnds_Xtal_BW#'!$A:$Z,26,FALSE)</f>
        <v>59</v>
      </c>
      <c r="AA40" s="27" t="str">
        <f>VLOOKUP(A40,Classification!A:B,2,FALSE)</f>
        <v>A</v>
      </c>
      <c r="AB40" s="1">
        <f>VLOOKUP(A40,'SegEnds_NonXtal_Prot#'!A:AL,10,FALSE)-VLOOKUP(A40,'SegEnds_NonXtal_Prot#'!A:AL,4,FALSE)</f>
        <v>29</v>
      </c>
      <c r="AC40" s="1">
        <f>VLOOKUP(A40,'SegEnds_NonXtal_Prot#'!A:AL,10,FALSE)-VLOOKUP(A40,'SegEnds_NonXtal_Prot#'!A:AL,7,FALSE)</f>
        <v>16</v>
      </c>
      <c r="AD40" s="1" t="e">
        <f>VLOOKUP(A40,'SegEnds_NonXtal_Prot#'!A:AL,13,FALSE)-VLOOKUP(A40,'SegEnds_NonXtal_Prot#'!A:AL,10,FALSE)</f>
        <v>#VALUE!</v>
      </c>
      <c r="AE40" s="1">
        <f>VLOOKUP(A40,'SegEnds_NonXtal_Prot#'!A:AL,16,FALSE)-VLOOKUP(A40,'SegEnds_NonXtal_Prot#'!A:AL,10,FALSE)</f>
        <v>51</v>
      </c>
      <c r="AF40" s="1">
        <f>VLOOKUP(A40,'SegEnds_NonXtal_Prot#'!A:AL,22,FALSE)-VLOOKUP(A40,'SegEnds_NonXtal_Prot#'!A:AL,19,FALSE)</f>
        <v>20</v>
      </c>
      <c r="AG40" s="1" t="e">
        <f>VLOOKUP(A40,'SegEnds_NonXtal_Prot#'!A:AL,28,FALSE)-VLOOKUP(A40,'SegEnds_NonXtal_Prot#'!A:AL,25,FALSE)</f>
        <v>#VALUE!</v>
      </c>
      <c r="AH40" s="1">
        <f>VLOOKUP(A40,'SegEnds_NonXtal_Prot#'!A:AL,28,FALSE)-VLOOKUP(A40,'SegEnds_NonXtal_Prot#'!A:AL,22,FALSE)</f>
        <v>45</v>
      </c>
      <c r="AI40" s="1">
        <f>VLOOKUP(A40,'SegEnds_NonXtal_Prot#'!A:AL,31,FALSE)-VLOOKUP(A40,'SegEnds_NonXtal_Prot#'!A:AL,28,FALSE)</f>
        <v>72</v>
      </c>
      <c r="AJ40" s="1">
        <f>VLOOKUP(A40,'SegEnds_NonXtal_Prot#'!A:AL,34,FALSE)-VLOOKUP(A40,'SegEnds_NonXtal_Prot#'!A:AL,31,FALSE)</f>
        <v>36</v>
      </c>
      <c r="AK40" s="1">
        <f>VLOOKUP(A40,'SegEnds_NonXtal_Prot#'!A:AL,37,FALSE)-VLOOKUP(A40,'SegEnds_NonXtal_Prot#'!A:AL,34,FALSE)</f>
        <v>10</v>
      </c>
      <c r="AL40" s="1" t="str">
        <f>IF(ISERROR(MATCH(A40,'SegEnds_Xtal_Prot#'!B:B, 0)), "NoXtal", "Xtal")</f>
        <v>Xtal</v>
      </c>
    </row>
    <row r="41" spans="1:38" x14ac:dyDescent="0.2">
      <c r="A41" s="1" t="s">
        <v>265</v>
      </c>
      <c r="B41" s="1" t="str">
        <f>VLOOKUP(A41,Xtal_Templ!A:B,2,FALSE)</f>
        <v>adrb2_human</v>
      </c>
      <c r="C41" s="5">
        <f>VLOOKUP($B41&amp;"__wt",'SegEnds_Xtal_BW#'!$A:$Z,3,FALSE)</f>
        <v>25</v>
      </c>
      <c r="D41" s="1">
        <f>VLOOKUP($B41&amp;"__wt",'SegEnds_Xtal_BW#'!$A:$Z,4,FALSE)</f>
        <v>60</v>
      </c>
      <c r="E41" s="1">
        <f>VLOOKUP($B41&amp;"__wt",'SegEnds_Xtal_BW#'!$A:$Z,5,FALSE)</f>
        <v>48</v>
      </c>
      <c r="F41" s="1">
        <f>VLOOKUP($B41&amp;"__wt",'SegEnds_Xtal_BW#'!$A:$Z,6,FALSE)</f>
        <v>51</v>
      </c>
      <c r="G41" s="1">
        <v>37</v>
      </c>
      <c r="H41" s="12">
        <v>67</v>
      </c>
      <c r="I41" s="1">
        <f>VLOOKUP($B41&amp;"__wt",'SegEnds_Xtal_BW#'!$A:$Z,9,FALSE)</f>
        <v>49</v>
      </c>
      <c r="J41" s="1">
        <f>VLOOKUP($B41&amp;"__wt",'SegEnds_Xtal_BW#'!$A:$Z,10,FALSE)</f>
        <v>52</v>
      </c>
      <c r="K41" s="12">
        <v>18</v>
      </c>
      <c r="L41" s="1">
        <f>VLOOKUP($B41&amp;"__wt",'SegEnds_Xtal_BW#'!$A:$Z,12,FALSE)</f>
        <v>56</v>
      </c>
      <c r="M41" s="1">
        <f>VLOOKUP($B41&amp;"__wt",'SegEnds_Xtal_BW#'!$A:$Z,13,FALSE)</f>
        <v>50</v>
      </c>
      <c r="N41" s="12">
        <f>VLOOKUP($B41&amp;"__wt",'SegEnds_Xtal_BW#'!$A:$Z,14,FALSE)</f>
        <v>57</v>
      </c>
      <c r="O41" s="87">
        <f>VLOOKUP($B41&amp;"__wt",'SegEnds_Xtal_BW#'!$A:$Z,15,FALSE)</f>
        <v>38</v>
      </c>
      <c r="P41" s="1">
        <f>VLOOKUP($B41&amp;"__wt",'SegEnds_Xtal_BW#'!$A:$Z,16,FALSE)</f>
        <v>64</v>
      </c>
      <c r="Q41" s="1">
        <f>VLOOKUP($B41&amp;"__wt",'SegEnds_Xtal_BW#'!$A:$Z,17,FALSE)</f>
        <v>50</v>
      </c>
      <c r="R41" s="1">
        <f>VLOOKUP($B41&amp;"__wt",'SegEnds_Xtal_BW#'!$A:$Z,18,FALSE)</f>
        <v>52</v>
      </c>
      <c r="S41" s="1">
        <f>VLOOKUP($B41&amp;"__wt",'SegEnds_Xtal_BW#'!$A:$Z,19,FALSE)</f>
        <v>35</v>
      </c>
      <c r="T41" s="1">
        <f t="array" ref="T41">INDEX(ICL3_classA!$G$2:$G$39,MATCH(MIN(ABS(AI41-ICL3_classA!$F$2:$F$39)),ABS(AI41-ICL3_classA!$F$2:$F$39),0))</f>
        <v>76</v>
      </c>
      <c r="U41" s="1">
        <f t="array" ref="U41">INDEX(ICL3_classA!$H$2:$H$39,MATCH(MIN(ABS(AI41-ICL3_classA!$F$2:$F$39)),ABS(AI41-ICL3_classA!$F$2:$F$39),0))</f>
        <v>24</v>
      </c>
      <c r="V41" s="1">
        <v>61</v>
      </c>
      <c r="W41" s="1">
        <v>31</v>
      </c>
      <c r="X41" s="1">
        <f>VLOOKUP($B41&amp;"__wt",'SegEnds_Xtal_BW#'!$A:$Z,24,FALSE)</f>
        <v>55</v>
      </c>
      <c r="Y41" s="1">
        <f>VLOOKUP($B41&amp;"__wt",'SegEnds_Xtal_BW#'!$A:$Z,25,FALSE)</f>
        <v>47</v>
      </c>
      <c r="Z41" s="1">
        <f>VLOOKUP($B41&amp;"__wt",'SegEnds_Xtal_BW#'!$A:$Z,26,FALSE)</f>
        <v>59</v>
      </c>
      <c r="AA41" s="27" t="str">
        <f>VLOOKUP(A41,Classification!A:B,2,FALSE)</f>
        <v>A</v>
      </c>
      <c r="AB41" s="1">
        <f>VLOOKUP(A41,'SegEnds_NonXtal_Prot#'!A:AL,10,FALSE)-VLOOKUP(A41,'SegEnds_NonXtal_Prot#'!A:AL,4,FALSE)</f>
        <v>30</v>
      </c>
      <c r="AC41" s="1">
        <f>VLOOKUP(A41,'SegEnds_NonXtal_Prot#'!A:AL,10,FALSE)-VLOOKUP(A41,'SegEnds_NonXtal_Prot#'!A:AL,7,FALSE)</f>
        <v>15</v>
      </c>
      <c r="AD41" s="1" t="e">
        <f>VLOOKUP(A41,'SegEnds_NonXtal_Prot#'!A:AL,13,FALSE)-VLOOKUP(A41,'SegEnds_NonXtal_Prot#'!A:AL,10,FALSE)</f>
        <v>#VALUE!</v>
      </c>
      <c r="AE41" s="1">
        <f>VLOOKUP(A41,'SegEnds_NonXtal_Prot#'!A:AL,16,FALSE)-VLOOKUP(A41,'SegEnds_NonXtal_Prot#'!A:AL,10,FALSE)</f>
        <v>53</v>
      </c>
      <c r="AF41" s="1" t="e">
        <f>VLOOKUP(A41,'SegEnds_NonXtal_Prot#'!A:AL,22,FALSE)-VLOOKUP(A41,'SegEnds_NonXtal_Prot#'!A:AL,19,FALSE)</f>
        <v>#VALUE!</v>
      </c>
      <c r="AG41" s="1">
        <f>VLOOKUP(A41,'SegEnds_NonXtal_Prot#'!A:AL,28,FALSE)-VLOOKUP(A41,'SegEnds_NonXtal_Prot#'!A:AL,25,FALSE)</f>
        <v>25</v>
      </c>
      <c r="AH41" s="1">
        <f>VLOOKUP(A41,'SegEnds_NonXtal_Prot#'!A:AL,28,FALSE)-VLOOKUP(A41,'SegEnds_NonXtal_Prot#'!A:AL,22,FALSE)</f>
        <v>45</v>
      </c>
      <c r="AI41" s="1">
        <f>VLOOKUP(A41,'SegEnds_NonXtal_Prot#'!A:AL,31,FALSE)-VLOOKUP(A41,'SegEnds_NonXtal_Prot#'!A:AL,28,FALSE)</f>
        <v>122</v>
      </c>
      <c r="AJ41" s="1">
        <f>VLOOKUP(A41,'SegEnds_NonXtal_Prot#'!A:AL,34,FALSE)-VLOOKUP(A41,'SegEnds_NonXtal_Prot#'!A:AL,31,FALSE)</f>
        <v>37</v>
      </c>
      <c r="AK41" s="1">
        <f>VLOOKUP(A41,'SegEnds_NonXtal_Prot#'!A:AL,37,FALSE)-VLOOKUP(A41,'SegEnds_NonXtal_Prot#'!A:AL,34,FALSE)</f>
        <v>10</v>
      </c>
      <c r="AL41" s="1" t="str">
        <f>IF(ISERROR(MATCH(A41,'SegEnds_Xtal_Prot#'!B:B, 0)), "NoXtal", "Xtal")</f>
        <v>NoXtal</v>
      </c>
    </row>
    <row r="42" spans="1:38" x14ac:dyDescent="0.2">
      <c r="A42" s="1" t="s">
        <v>103</v>
      </c>
      <c r="B42" s="1" t="str">
        <f>VLOOKUP(A42,Xtal_Templ!A:B,2,FALSE)</f>
        <v>lpar1_human</v>
      </c>
      <c r="C42" s="5">
        <f>VLOOKUP($B42&amp;"__wt",'SegEnds_Xtal_BW#'!$A:$Z,3,FALSE)</f>
        <v>30</v>
      </c>
      <c r="D42" s="1">
        <f>VLOOKUP($B42&amp;"__wt",'SegEnds_Xtal_BW#'!$A:$Z,4,FALSE)</f>
        <v>60</v>
      </c>
      <c r="E42" s="1">
        <f>VLOOKUP($B42&amp;"__wt",'SegEnds_Xtal_BW#'!$A:$Z,5,FALSE)</f>
        <v>48</v>
      </c>
      <c r="F42" s="1">
        <f>VLOOKUP($B42&amp;"__wt",'SegEnds_Xtal_BW#'!$A:$Z,6,FALSE)</f>
        <v>51</v>
      </c>
      <c r="G42" s="1">
        <v>37</v>
      </c>
      <c r="H42" s="12">
        <v>63</v>
      </c>
      <c r="I42" s="1">
        <f>VLOOKUP($B42&amp;"__wt",'SegEnds_Xtal_BW#'!$A:$Z,9,FALSE)</f>
        <v>47</v>
      </c>
      <c r="J42" s="1">
        <f>VLOOKUP($B42&amp;"__wt",'SegEnds_Xtal_BW#'!$A:$Z,10,FALSE)</f>
        <v>53</v>
      </c>
      <c r="K42" s="12">
        <f>VLOOKUP($B42&amp;"__wt",'SegEnds_Xtal_BW#'!$A:$Z,11,FALSE)</f>
        <v>21</v>
      </c>
      <c r="L42" s="1">
        <f>VLOOKUP($B42&amp;"__wt",'SegEnds_Xtal_BW#'!$A:$Z,12,FALSE)</f>
        <v>56</v>
      </c>
      <c r="M42" s="1">
        <f>VLOOKUP($B42&amp;"__wt",'SegEnds_Xtal_BW#'!$A:$Z,13,FALSE)</f>
        <v>50</v>
      </c>
      <c r="N42" s="12">
        <f>VLOOKUP($B42&amp;"__wt",'SegEnds_Xtal_BW#'!$A:$Z,14,FALSE)</f>
        <v>56</v>
      </c>
      <c r="O42" s="87">
        <f>VLOOKUP($B42&amp;"__wt",'SegEnds_Xtal_BW#'!$A:$Z,15,FALSE)</f>
        <v>38</v>
      </c>
      <c r="P42" s="1">
        <f>VLOOKUP($B42&amp;"__wt",'SegEnds_Xtal_BW#'!$A:$Z,16,FALSE)</f>
        <v>63</v>
      </c>
      <c r="Q42" s="1" t="str">
        <f>VLOOKUP($B42&amp;"__wt",'SegEnds_Xtal_BW#'!$A:$Z,17,FALSE)</f>
        <v>-</v>
      </c>
      <c r="R42" s="1" t="str">
        <f>VLOOKUP($B42&amp;"__wt",'SegEnds_Xtal_BW#'!$A:$Z,18,FALSE)</f>
        <v>-</v>
      </c>
      <c r="S42" s="1">
        <f>VLOOKUP($B42&amp;"__wt",'SegEnds_Xtal_BW#'!$A:$Z,19,FALSE)</f>
        <v>36</v>
      </c>
      <c r="T42" s="1">
        <f t="array" ref="T42">INDEX(ICL3_classA!$G$2:$G$39,MATCH(MIN(ABS(AI42-ICL3_classA!$F$2:$F$39)),ABS(AI42-ICL3_classA!$F$2:$F$39),0))</f>
        <v>73</v>
      </c>
      <c r="U42" s="1">
        <f t="array" ref="U42">INDEX(ICL3_classA!$H$2:$H$39,MATCH(MIN(ABS(AI42-ICL3_classA!$F$2:$F$39)),ABS(AI42-ICL3_classA!$F$2:$F$39),0))</f>
        <v>22</v>
      </c>
      <c r="V42" s="1">
        <v>61</v>
      </c>
      <c r="W42" s="1">
        <v>30</v>
      </c>
      <c r="X42" s="1">
        <f>VLOOKUP($B42&amp;"__wt",'SegEnds_Xtal_BW#'!$A:$Z,24,FALSE)</f>
        <v>56</v>
      </c>
      <c r="Y42" s="1">
        <f>VLOOKUP($B42&amp;"__wt",'SegEnds_Xtal_BW#'!$A:$Z,25,FALSE)</f>
        <v>47</v>
      </c>
      <c r="Z42" s="1">
        <f>VLOOKUP($B42&amp;"__wt",'SegEnds_Xtal_BW#'!$A:$Z,26,FALSE)</f>
        <v>59</v>
      </c>
      <c r="AA42" s="27" t="str">
        <f>VLOOKUP(A42,Classification!A:B,2,FALSE)</f>
        <v>A</v>
      </c>
      <c r="AB42" s="1">
        <f>VLOOKUP(A42,'SegEnds_NonXtal_Prot#'!A:AL,10,FALSE)-VLOOKUP(A42,'SegEnds_NonXtal_Prot#'!A:AL,4,FALSE)</f>
        <v>28</v>
      </c>
      <c r="AC42" s="1">
        <f>VLOOKUP(A42,'SegEnds_NonXtal_Prot#'!A:AL,10,FALSE)-VLOOKUP(A42,'SegEnds_NonXtal_Prot#'!A:AL,7,FALSE)</f>
        <v>15</v>
      </c>
      <c r="AD42" s="1">
        <f>VLOOKUP(A42,'SegEnds_NonXtal_Prot#'!A:AL,13,FALSE)-VLOOKUP(A42,'SegEnds_NonXtal_Prot#'!A:AL,10,FALSE)</f>
        <v>18</v>
      </c>
      <c r="AE42" s="1">
        <f>VLOOKUP(A42,'SegEnds_NonXtal_Prot#'!A:AL,16,FALSE)-VLOOKUP(A42,'SegEnds_NonXtal_Prot#'!A:AL,10,FALSE)</f>
        <v>51</v>
      </c>
      <c r="AF42" s="1">
        <f>VLOOKUP(A42,'SegEnds_NonXtal_Prot#'!A:AL,22,FALSE)-VLOOKUP(A42,'SegEnds_NonXtal_Prot#'!A:AL,19,FALSE)</f>
        <v>19</v>
      </c>
      <c r="AG42" s="1" t="e">
        <f>VLOOKUP(A42,'SegEnds_NonXtal_Prot#'!A:AL,28,FALSE)-VLOOKUP(A42,'SegEnds_NonXtal_Prot#'!A:AL,25,FALSE)</f>
        <v>#VALUE!</v>
      </c>
      <c r="AH42" s="1">
        <f>VLOOKUP(A42,'SegEnds_NonXtal_Prot#'!A:AL,28,FALSE)-VLOOKUP(A42,'SegEnds_NonXtal_Prot#'!A:AL,22,FALSE)</f>
        <v>45</v>
      </c>
      <c r="AI42" s="1">
        <f>VLOOKUP(A42,'SegEnds_NonXtal_Prot#'!A:AL,31,FALSE)-VLOOKUP(A42,'SegEnds_NonXtal_Prot#'!A:AL,28,FALSE)</f>
        <v>56</v>
      </c>
      <c r="AJ42" s="1">
        <f>VLOOKUP(A42,'SegEnds_NonXtal_Prot#'!A:AL,34,FALSE)-VLOOKUP(A42,'SegEnds_NonXtal_Prot#'!A:AL,31,FALSE)</f>
        <v>35</v>
      </c>
      <c r="AK42" s="1">
        <f>VLOOKUP(A42,'SegEnds_NonXtal_Prot#'!A:AL,37,FALSE)-VLOOKUP(A42,'SegEnds_NonXtal_Prot#'!A:AL,34,FALSE)</f>
        <v>10</v>
      </c>
      <c r="AL42" s="1" t="str">
        <f>IF(ISERROR(MATCH(A42,'SegEnds_Xtal_Prot#'!B:B, 0)), "NoXtal", "Xtal")</f>
        <v>Xtal</v>
      </c>
    </row>
    <row r="43" spans="1:38" x14ac:dyDescent="0.2">
      <c r="A43" s="1" t="s">
        <v>285</v>
      </c>
      <c r="B43" s="1" t="str">
        <f>VLOOKUP(A43,Xtal_Templ!A:B,2,FALSE)</f>
        <v>lpar1_human</v>
      </c>
      <c r="C43" s="5">
        <f>VLOOKUP($B43&amp;"__wt",'SegEnds_Xtal_BW#'!$A:$Z,3,FALSE)</f>
        <v>30</v>
      </c>
      <c r="D43" s="1">
        <f>VLOOKUP($B43&amp;"__wt",'SegEnds_Xtal_BW#'!$A:$Z,4,FALSE)</f>
        <v>60</v>
      </c>
      <c r="E43" s="1">
        <f>VLOOKUP($B43&amp;"__wt",'SegEnds_Xtal_BW#'!$A:$Z,5,FALSE)</f>
        <v>48</v>
      </c>
      <c r="F43" s="1">
        <f>VLOOKUP($B43&amp;"__wt",'SegEnds_Xtal_BW#'!$A:$Z,6,FALSE)</f>
        <v>51</v>
      </c>
      <c r="G43" s="1">
        <v>37</v>
      </c>
      <c r="H43" s="12">
        <f>VLOOKUP($B43&amp;"__wt",'SegEnds_Xtal_BW#'!$A:$Z,8,FALSE)</f>
        <v>63</v>
      </c>
      <c r="I43" s="1">
        <f>VLOOKUP($B43&amp;"__wt",'SegEnds_Xtal_BW#'!$A:$Z,9,FALSE)</f>
        <v>47</v>
      </c>
      <c r="J43" s="1">
        <f>VLOOKUP($B43&amp;"__wt",'SegEnds_Xtal_BW#'!$A:$Z,10,FALSE)</f>
        <v>53</v>
      </c>
      <c r="K43" s="12">
        <v>21</v>
      </c>
      <c r="L43" s="1">
        <f>VLOOKUP($B43&amp;"__wt",'SegEnds_Xtal_BW#'!$A:$Z,12,FALSE)</f>
        <v>56</v>
      </c>
      <c r="M43" s="1">
        <f>VLOOKUP($B43&amp;"__wt",'SegEnds_Xtal_BW#'!$A:$Z,13,FALSE)</f>
        <v>50</v>
      </c>
      <c r="N43" s="108">
        <v>56</v>
      </c>
      <c r="O43" s="87">
        <f>VLOOKUP($B43&amp;"__wt",'SegEnds_Xtal_BW#'!$A:$Z,15,FALSE)</f>
        <v>38</v>
      </c>
      <c r="P43" s="1">
        <f>VLOOKUP($B43&amp;"__wt",'SegEnds_Xtal_BW#'!$A:$Z,16,FALSE)</f>
        <v>63</v>
      </c>
      <c r="Q43" s="1" t="str">
        <f>VLOOKUP($B43&amp;"__wt",'SegEnds_Xtal_BW#'!$A:$Z,17,FALSE)</f>
        <v>-</v>
      </c>
      <c r="R43" s="1" t="str">
        <f>VLOOKUP($B43&amp;"__wt",'SegEnds_Xtal_BW#'!$A:$Z,18,FALSE)</f>
        <v>-</v>
      </c>
      <c r="S43" s="1">
        <f>VLOOKUP($B43&amp;"__wt",'SegEnds_Xtal_BW#'!$A:$Z,19,FALSE)</f>
        <v>36</v>
      </c>
      <c r="T43" s="1">
        <f t="array" ref="T43">INDEX(ICL3_classA!$G$2:$G$39,MATCH(MIN(ABS(AI43-ICL3_classA!$F$2:$F$39)),ABS(AI43-ICL3_classA!$F$2:$F$39),0))</f>
        <v>73</v>
      </c>
      <c r="U43" s="1">
        <f t="array" ref="U43">INDEX(ICL3_classA!$H$2:$H$39,MATCH(MIN(ABS(AI43-ICL3_classA!$F$2:$F$39)),ABS(AI43-ICL3_classA!$F$2:$F$39),0))</f>
        <v>22</v>
      </c>
      <c r="V43" s="1">
        <v>61</v>
      </c>
      <c r="W43" s="1">
        <v>30</v>
      </c>
      <c r="X43" s="1">
        <f>VLOOKUP($B43&amp;"__wt",'SegEnds_Xtal_BW#'!$A:$Z,24,FALSE)</f>
        <v>56</v>
      </c>
      <c r="Y43" s="1">
        <f>VLOOKUP($B43&amp;"__wt",'SegEnds_Xtal_BW#'!$A:$Z,25,FALSE)</f>
        <v>47</v>
      </c>
      <c r="Z43" s="1">
        <f>VLOOKUP($B43&amp;"__wt",'SegEnds_Xtal_BW#'!$A:$Z,26,FALSE)</f>
        <v>59</v>
      </c>
      <c r="AA43" s="27" t="str">
        <f>VLOOKUP(A43,Classification!A:B,2,FALSE)</f>
        <v>A</v>
      </c>
      <c r="AB43" s="1">
        <f>VLOOKUP(A43,'SegEnds_NonXtal_Prot#'!A:AL,10,FALSE)-VLOOKUP(A43,'SegEnds_NonXtal_Prot#'!A:AL,4,FALSE)</f>
        <v>28</v>
      </c>
      <c r="AC43" s="1">
        <f>VLOOKUP(A43,'SegEnds_NonXtal_Prot#'!A:AL,10,FALSE)-VLOOKUP(A43,'SegEnds_NonXtal_Prot#'!A:AL,7,FALSE)</f>
        <v>15</v>
      </c>
      <c r="AD43" s="1">
        <f>VLOOKUP(A43,'SegEnds_NonXtal_Prot#'!A:AL,13,FALSE)-VLOOKUP(A43,'SegEnds_NonXtal_Prot#'!A:AL,10,FALSE)</f>
        <v>18</v>
      </c>
      <c r="AE43" s="1">
        <f>VLOOKUP(A43,'SegEnds_NonXtal_Prot#'!A:AL,16,FALSE)-VLOOKUP(A43,'SegEnds_NonXtal_Prot#'!A:AL,10,FALSE)</f>
        <v>51</v>
      </c>
      <c r="AF43" s="1">
        <f>VLOOKUP(A43,'SegEnds_NonXtal_Prot#'!A:AL,22,FALSE)-VLOOKUP(A43,'SegEnds_NonXtal_Prot#'!A:AL,19,FALSE)</f>
        <v>19</v>
      </c>
      <c r="AG43" s="1" t="e">
        <f>VLOOKUP(A43,'SegEnds_NonXtal_Prot#'!A:AL,28,FALSE)-VLOOKUP(A43,'SegEnds_NonXtal_Prot#'!A:AL,25,FALSE)</f>
        <v>#VALUE!</v>
      </c>
      <c r="AH43" s="1">
        <f>VLOOKUP(A43,'SegEnds_NonXtal_Prot#'!A:AL,28,FALSE)-VLOOKUP(A43,'SegEnds_NonXtal_Prot#'!A:AL,22,FALSE)</f>
        <v>45</v>
      </c>
      <c r="AI43" s="1">
        <f>VLOOKUP(A43,'SegEnds_NonXtal_Prot#'!A:AL,31,FALSE)-VLOOKUP(A43,'SegEnds_NonXtal_Prot#'!A:AL,28,FALSE)</f>
        <v>56</v>
      </c>
      <c r="AJ43" s="1">
        <f>VLOOKUP(A43,'SegEnds_NonXtal_Prot#'!A:AL,34,FALSE)-VLOOKUP(A43,'SegEnds_NonXtal_Prot#'!A:AL,31,FALSE)</f>
        <v>36</v>
      </c>
      <c r="AK43" s="1">
        <f>VLOOKUP(A43,'SegEnds_NonXtal_Prot#'!A:AL,37,FALSE)-VLOOKUP(A43,'SegEnds_NonXtal_Prot#'!A:AL,34,FALSE)</f>
        <v>10</v>
      </c>
      <c r="AL43" s="1" t="str">
        <f>IF(ISERROR(MATCH(A43,'SegEnds_Xtal_Prot#'!B:B, 0)), "NoXtal", "Xtal")</f>
        <v>NoXtal</v>
      </c>
    </row>
    <row r="44" spans="1:38" x14ac:dyDescent="0.2">
      <c r="A44" s="1" t="s">
        <v>286</v>
      </c>
      <c r="B44" s="1" t="str">
        <f>VLOOKUP(A44,Xtal_Templ!A:B,2,FALSE)</f>
        <v>lpar1_human</v>
      </c>
      <c r="C44" s="5">
        <f>VLOOKUP($B44&amp;"__wt",'SegEnds_Xtal_BW#'!$A:$Z,3,FALSE)</f>
        <v>30</v>
      </c>
      <c r="D44" s="1">
        <f>VLOOKUP($B44&amp;"__wt",'SegEnds_Xtal_BW#'!$A:$Z,4,FALSE)</f>
        <v>60</v>
      </c>
      <c r="E44" s="1">
        <f>VLOOKUP($B44&amp;"__wt",'SegEnds_Xtal_BW#'!$A:$Z,5,FALSE)</f>
        <v>48</v>
      </c>
      <c r="F44" s="1">
        <f>VLOOKUP($B44&amp;"__wt",'SegEnds_Xtal_BW#'!$A:$Z,6,FALSE)</f>
        <v>51</v>
      </c>
      <c r="G44" s="1">
        <v>37</v>
      </c>
      <c r="H44" s="12">
        <f>VLOOKUP($B44&amp;"__wt",'SegEnds_Xtal_BW#'!$A:$Z,8,FALSE)</f>
        <v>63</v>
      </c>
      <c r="I44" s="1">
        <f>VLOOKUP($B44&amp;"__wt",'SegEnds_Xtal_BW#'!$A:$Z,9,FALSE)</f>
        <v>47</v>
      </c>
      <c r="J44" s="1">
        <f>VLOOKUP($B44&amp;"__wt",'SegEnds_Xtal_BW#'!$A:$Z,10,FALSE)</f>
        <v>53</v>
      </c>
      <c r="K44" s="12">
        <v>21</v>
      </c>
      <c r="L44" s="1">
        <f>VLOOKUP($B44&amp;"__wt",'SegEnds_Xtal_BW#'!$A:$Z,12,FALSE)</f>
        <v>56</v>
      </c>
      <c r="M44" s="1">
        <f>VLOOKUP($B44&amp;"__wt",'SegEnds_Xtal_BW#'!$A:$Z,13,FALSE)</f>
        <v>50</v>
      </c>
      <c r="N44" s="108">
        <v>56</v>
      </c>
      <c r="O44" s="87">
        <f>VLOOKUP($B44&amp;"__wt",'SegEnds_Xtal_BW#'!$A:$Z,15,FALSE)</f>
        <v>38</v>
      </c>
      <c r="P44" s="1">
        <f>VLOOKUP($B44&amp;"__wt",'SegEnds_Xtal_BW#'!$A:$Z,16,FALSE)</f>
        <v>63</v>
      </c>
      <c r="Q44" s="1" t="str">
        <f>VLOOKUP($B44&amp;"__wt",'SegEnds_Xtal_BW#'!$A:$Z,17,FALSE)</f>
        <v>-</v>
      </c>
      <c r="R44" s="1" t="str">
        <f>VLOOKUP($B44&amp;"__wt",'SegEnds_Xtal_BW#'!$A:$Z,18,FALSE)</f>
        <v>-</v>
      </c>
      <c r="S44" s="1">
        <f>VLOOKUP($B44&amp;"__wt",'SegEnds_Xtal_BW#'!$A:$Z,19,FALSE)</f>
        <v>36</v>
      </c>
      <c r="T44" s="1">
        <f t="array" ref="T44">INDEX(ICL3_classA!$G$2:$G$39,MATCH(MIN(ABS(AI44-ICL3_classA!$F$2:$F$39)),ABS(AI44-ICL3_classA!$F$2:$F$39),0))</f>
        <v>73</v>
      </c>
      <c r="U44" s="1">
        <f t="array" ref="U44">INDEX(ICL3_classA!$H$2:$H$39,MATCH(MIN(ABS(AI44-ICL3_classA!$F$2:$F$39)),ABS(AI44-ICL3_classA!$F$2:$F$39),0))</f>
        <v>22</v>
      </c>
      <c r="V44" s="1">
        <v>61</v>
      </c>
      <c r="W44" s="1">
        <v>30</v>
      </c>
      <c r="X44" s="1">
        <f>VLOOKUP($B44&amp;"__wt",'SegEnds_Xtal_BW#'!$A:$Z,24,FALSE)</f>
        <v>56</v>
      </c>
      <c r="Y44" s="1">
        <f>VLOOKUP($B44&amp;"__wt",'SegEnds_Xtal_BW#'!$A:$Z,25,FALSE)</f>
        <v>47</v>
      </c>
      <c r="Z44" s="1">
        <f>VLOOKUP($B44&amp;"__wt",'SegEnds_Xtal_BW#'!$A:$Z,26,FALSE)</f>
        <v>59</v>
      </c>
      <c r="AA44" s="27" t="str">
        <f>VLOOKUP(A44,Classification!A:B,2,FALSE)</f>
        <v>A</v>
      </c>
      <c r="AB44" s="1">
        <f>VLOOKUP(A44,'SegEnds_NonXtal_Prot#'!A:AL,10,FALSE)-VLOOKUP(A44,'SegEnds_NonXtal_Prot#'!A:AL,4,FALSE)</f>
        <v>28</v>
      </c>
      <c r="AC44" s="1">
        <f>VLOOKUP(A44,'SegEnds_NonXtal_Prot#'!A:AL,10,FALSE)-VLOOKUP(A44,'SegEnds_NonXtal_Prot#'!A:AL,7,FALSE)</f>
        <v>15</v>
      </c>
      <c r="AD44" s="1">
        <f>VLOOKUP(A44,'SegEnds_NonXtal_Prot#'!A:AL,13,FALSE)-VLOOKUP(A44,'SegEnds_NonXtal_Prot#'!A:AL,10,FALSE)</f>
        <v>18</v>
      </c>
      <c r="AE44" s="1">
        <f>VLOOKUP(A44,'SegEnds_NonXtal_Prot#'!A:AL,16,FALSE)-VLOOKUP(A44,'SegEnds_NonXtal_Prot#'!A:AL,10,FALSE)</f>
        <v>51</v>
      </c>
      <c r="AF44" s="1">
        <f>VLOOKUP(A44,'SegEnds_NonXtal_Prot#'!A:AL,22,FALSE)-VLOOKUP(A44,'SegEnds_NonXtal_Prot#'!A:AL,19,FALSE)</f>
        <v>19</v>
      </c>
      <c r="AG44" s="1" t="e">
        <f>VLOOKUP(A44,'SegEnds_NonXtal_Prot#'!A:AL,28,FALSE)-VLOOKUP(A44,'SegEnds_NonXtal_Prot#'!A:AL,25,FALSE)</f>
        <v>#VALUE!</v>
      </c>
      <c r="AH44" s="1">
        <f>VLOOKUP(A44,'SegEnds_NonXtal_Prot#'!A:AL,28,FALSE)-VLOOKUP(A44,'SegEnds_NonXtal_Prot#'!A:AL,22,FALSE)</f>
        <v>45</v>
      </c>
      <c r="AI44" s="1">
        <f>VLOOKUP(A44,'SegEnds_NonXtal_Prot#'!A:AL,31,FALSE)-VLOOKUP(A44,'SegEnds_NonXtal_Prot#'!A:AL,28,FALSE)</f>
        <v>56</v>
      </c>
      <c r="AJ44" s="1">
        <f>VLOOKUP(A44,'SegEnds_NonXtal_Prot#'!A:AL,34,FALSE)-VLOOKUP(A44,'SegEnds_NonXtal_Prot#'!A:AL,31,FALSE)</f>
        <v>36</v>
      </c>
      <c r="AK44" s="1">
        <f>VLOOKUP(A44,'SegEnds_NonXtal_Prot#'!A:AL,37,FALSE)-VLOOKUP(A44,'SegEnds_NonXtal_Prot#'!A:AL,34,FALSE)</f>
        <v>10</v>
      </c>
      <c r="AL44" s="1" t="str">
        <f>IF(ISERROR(MATCH(A44,'SegEnds_Xtal_Prot#'!B:B, 0)), "NoXtal", "Xtal")</f>
        <v>NoXtal</v>
      </c>
    </row>
    <row r="45" spans="1:38" x14ac:dyDescent="0.2">
      <c r="A45" s="4" t="s">
        <v>104</v>
      </c>
      <c r="B45" s="4" t="str">
        <f>VLOOKUP(A45,Xtal_Templ!A:B,2,FALSE)</f>
        <v>s1pr1_human</v>
      </c>
      <c r="C45" s="5">
        <f>VLOOKUP($B45&amp;"__wt",'SegEnds_Xtal_BW#'!$A:$Z,3,FALSE)</f>
        <v>29</v>
      </c>
      <c r="D45" s="4">
        <f>VLOOKUP($B45&amp;"__wt",'SegEnds_Xtal_BW#'!$A:$Z,4,FALSE)</f>
        <v>60</v>
      </c>
      <c r="E45" s="4">
        <f>VLOOKUP($B45&amp;"__wt",'SegEnds_Xtal_BW#'!$A:$Z,5,FALSE)</f>
        <v>48</v>
      </c>
      <c r="F45" s="4">
        <f>VLOOKUP($B45&amp;"__wt",'SegEnds_Xtal_BW#'!$A:$Z,6,FALSE)</f>
        <v>51</v>
      </c>
      <c r="G45" s="4">
        <v>37</v>
      </c>
      <c r="H45" s="11">
        <v>63</v>
      </c>
      <c r="I45" s="4">
        <f>VLOOKUP($B45&amp;"__wt",'SegEnds_Xtal_BW#'!$A:$Z,9,FALSE)</f>
        <v>47</v>
      </c>
      <c r="J45" s="4">
        <f>VLOOKUP($B45&amp;"__wt",'SegEnds_Xtal_BW#'!$A:$Z,10,FALSE)</f>
        <v>53</v>
      </c>
      <c r="K45" s="11">
        <f>VLOOKUP($B45&amp;"__wt",'SegEnds_Xtal_BW#'!$A:$Z,11,FALSE)</f>
        <v>21</v>
      </c>
      <c r="L45" s="4">
        <f>VLOOKUP($B45&amp;"__wt",'SegEnds_Xtal_BW#'!$A:$Z,12,FALSE)</f>
        <v>56</v>
      </c>
      <c r="M45" s="4">
        <f>VLOOKUP($B45&amp;"__wt",'SegEnds_Xtal_BW#'!$A:$Z,13,FALSE)</f>
        <v>50</v>
      </c>
      <c r="N45" s="108">
        <f>VLOOKUP($B45&amp;"__wt",'SegEnds_Xtal_BW#'!$A:$Z,14,FALSE)</f>
        <v>56</v>
      </c>
      <c r="O45" s="87">
        <f>VLOOKUP($B45&amp;"__wt",'SegEnds_Xtal_BW#'!$A:$Z,15,FALSE)</f>
        <v>38</v>
      </c>
      <c r="P45" s="4">
        <f>VLOOKUP($B45&amp;"__wt",'SegEnds_Xtal_BW#'!$A:$Z,16,FALSE)</f>
        <v>63</v>
      </c>
      <c r="Q45" s="4" t="str">
        <f>VLOOKUP($B45&amp;"__wt",'SegEnds_Xtal_BW#'!$A:$Z,17,FALSE)</f>
        <v>-</v>
      </c>
      <c r="R45" s="4" t="str">
        <f>VLOOKUP($B45&amp;"__wt",'SegEnds_Xtal_BW#'!$A:$Z,18,FALSE)</f>
        <v>-</v>
      </c>
      <c r="S45" s="4">
        <f>VLOOKUP($B45&amp;"__wt",'SegEnds_Xtal_BW#'!$A:$Z,19,FALSE)</f>
        <v>36</v>
      </c>
      <c r="T45" s="4">
        <f t="array" ref="T45">INDEX(ICL3_classA!$G$2:$G$39,MATCH(MIN(ABS(AI45-ICL3_classA!$F$2:$F$39)),ABS(AI45-ICL3_classA!$F$2:$F$39),0))</f>
        <v>73</v>
      </c>
      <c r="U45" s="4">
        <f t="array" ref="U45">INDEX(ICL3_classA!$H$2:$H$39,MATCH(MIN(ABS(AI45-ICL3_classA!$F$2:$F$39)),ABS(AI45-ICL3_classA!$F$2:$F$39),0))</f>
        <v>24</v>
      </c>
      <c r="V45" s="4">
        <v>61</v>
      </c>
      <c r="W45" s="4">
        <v>30</v>
      </c>
      <c r="X45" s="1">
        <f>VLOOKUP($B45&amp;"__wt",'SegEnds_Xtal_BW#'!$A:$Z,24,FALSE)</f>
        <v>56</v>
      </c>
      <c r="Y45" s="4">
        <f>VLOOKUP($B45&amp;"__wt",'SegEnds_Xtal_BW#'!$A:$Z,25,FALSE)</f>
        <v>47</v>
      </c>
      <c r="Z45" s="4">
        <f>VLOOKUP($B45&amp;"__wt",'SegEnds_Xtal_BW#'!$A:$Z,26,FALSE)</f>
        <v>59</v>
      </c>
      <c r="AA45" s="27" t="str">
        <f>VLOOKUP(A45,Classification!A:B,2,FALSE)</f>
        <v>A</v>
      </c>
      <c r="AB45" s="1">
        <f>VLOOKUP(A45,'SegEnds_NonXtal_Prot#'!A:AL,10,FALSE)-VLOOKUP(A45,'SegEnds_NonXtal_Prot#'!A:AL,4,FALSE)</f>
        <v>28</v>
      </c>
      <c r="AC45" s="4">
        <f>VLOOKUP(A45,'SegEnds_NonXtal_Prot#'!A:AL,10,FALSE)-VLOOKUP(A45,'SegEnds_NonXtal_Prot#'!A:AL,7,FALSE)</f>
        <v>15</v>
      </c>
      <c r="AD45" s="4">
        <f>VLOOKUP(A45,'SegEnds_NonXtal_Prot#'!A:AL,13,FALSE)-VLOOKUP(A45,'SegEnds_NonXtal_Prot#'!A:AL,10,FALSE)</f>
        <v>18</v>
      </c>
      <c r="AE45" s="4">
        <f>VLOOKUP(A45,'SegEnds_NonXtal_Prot#'!A:AL,16,FALSE)-VLOOKUP(A45,'SegEnds_NonXtal_Prot#'!A:AL,10,FALSE)</f>
        <v>51</v>
      </c>
      <c r="AF45" s="1">
        <f>VLOOKUP(A45,'SegEnds_NonXtal_Prot#'!A:AL,22,FALSE)-VLOOKUP(A45,'SegEnds_NonXtal_Prot#'!A:AL,19,FALSE)</f>
        <v>19</v>
      </c>
      <c r="AG45" s="4" t="e">
        <f>VLOOKUP(A45,'SegEnds_NonXtal_Prot#'!A:AL,28,FALSE)-VLOOKUP(A45,'SegEnds_NonXtal_Prot#'!A:AL,25,FALSE)</f>
        <v>#VALUE!</v>
      </c>
      <c r="AH45" s="1">
        <f>VLOOKUP(A45,'SegEnds_NonXtal_Prot#'!A:AL,28,FALSE)-VLOOKUP(A45,'SegEnds_NonXtal_Prot#'!A:AL,22,FALSE)</f>
        <v>45</v>
      </c>
      <c r="AI45" s="4">
        <f>VLOOKUP(A45,'SegEnds_NonXtal_Prot#'!A:AL,31,FALSE)-VLOOKUP(A45,'SegEnds_NonXtal_Prot#'!A:AL,28,FALSE)</f>
        <v>58</v>
      </c>
      <c r="AJ45" s="4">
        <f>VLOOKUP(A45,'SegEnds_NonXtal_Prot#'!A:AL,34,FALSE)-VLOOKUP(A45,'SegEnds_NonXtal_Prot#'!A:AL,31,FALSE)</f>
        <v>37</v>
      </c>
      <c r="AK45" s="1">
        <f>VLOOKUP(A45,'SegEnds_NonXtal_Prot#'!A:AL,37,FALSE)-VLOOKUP(A45,'SegEnds_NonXtal_Prot#'!A:AL,34,FALSE)</f>
        <v>10</v>
      </c>
      <c r="AL45" s="1" t="str">
        <f>IF(ISERROR(MATCH(A45,'SegEnds_Xtal_Prot#'!B:B, 0)), "NoXtal", "Xtal")</f>
        <v>Xtal</v>
      </c>
    </row>
    <row r="46" spans="1:38" x14ac:dyDescent="0.2">
      <c r="A46" s="1" t="s">
        <v>376</v>
      </c>
      <c r="B46" s="1" t="str">
        <f>VLOOKUP(A46,Xtal_Templ!A:B,2,FALSE)</f>
        <v>s1pr1_human</v>
      </c>
      <c r="C46" s="5">
        <f>VLOOKUP($B46&amp;"__wt",'SegEnds_Xtal_BW#'!$A:$Z,3,FALSE)</f>
        <v>29</v>
      </c>
      <c r="D46" s="1">
        <f>VLOOKUP($B46&amp;"__wt",'SegEnds_Xtal_BW#'!$A:$Z,4,FALSE)</f>
        <v>60</v>
      </c>
      <c r="E46" s="1">
        <f>VLOOKUP($B46&amp;"__wt",'SegEnds_Xtal_BW#'!$A:$Z,5,FALSE)</f>
        <v>48</v>
      </c>
      <c r="F46" s="1">
        <f>VLOOKUP($B46&amp;"__wt",'SegEnds_Xtal_BW#'!$A:$Z,6,FALSE)</f>
        <v>51</v>
      </c>
      <c r="G46" s="1">
        <v>37</v>
      </c>
      <c r="H46" s="12">
        <v>63</v>
      </c>
      <c r="I46" s="1">
        <f>VLOOKUP($B46&amp;"__wt",'SegEnds_Xtal_BW#'!$A:$Z,9,FALSE)</f>
        <v>47</v>
      </c>
      <c r="J46" s="1">
        <f>VLOOKUP($B46&amp;"__wt",'SegEnds_Xtal_BW#'!$A:$Z,10,FALSE)</f>
        <v>53</v>
      </c>
      <c r="K46" s="12">
        <v>21</v>
      </c>
      <c r="L46" s="1">
        <f>VLOOKUP($B46&amp;"__wt",'SegEnds_Xtal_BW#'!$A:$Z,12,FALSE)</f>
        <v>56</v>
      </c>
      <c r="M46" s="1">
        <f>VLOOKUP($B46&amp;"__wt",'SegEnds_Xtal_BW#'!$A:$Z,13,FALSE)</f>
        <v>50</v>
      </c>
      <c r="N46" s="108">
        <v>56</v>
      </c>
      <c r="O46" s="87">
        <f>VLOOKUP($B46&amp;"__wt",'SegEnds_Xtal_BW#'!$A:$Z,15,FALSE)</f>
        <v>38</v>
      </c>
      <c r="P46" s="1">
        <f>VLOOKUP($B46&amp;"__wt",'SegEnds_Xtal_BW#'!$A:$Z,16,FALSE)</f>
        <v>63</v>
      </c>
      <c r="Q46" s="1" t="str">
        <f>VLOOKUP($B46&amp;"__wt",'SegEnds_Xtal_BW#'!$A:$Z,17,FALSE)</f>
        <v>-</v>
      </c>
      <c r="R46" s="1" t="str">
        <f>VLOOKUP($B46&amp;"__wt",'SegEnds_Xtal_BW#'!$A:$Z,18,FALSE)</f>
        <v>-</v>
      </c>
      <c r="S46" s="1">
        <f>VLOOKUP($B46&amp;"__wt",'SegEnds_Xtal_BW#'!$A:$Z,19,FALSE)</f>
        <v>36</v>
      </c>
      <c r="T46" s="1">
        <f t="array" ref="T46">INDEX(ICL3_classA!$G$2:$G$39,MATCH(MIN(ABS(AI46-ICL3_classA!$F$2:$F$39)),ABS(AI46-ICL3_classA!$F$2:$F$39),0))</f>
        <v>67</v>
      </c>
      <c r="U46" s="1">
        <f t="array" ref="U46">INDEX(ICL3_classA!$H$2:$H$39,MATCH(MIN(ABS(AI46-ICL3_classA!$F$2:$F$39)),ABS(AI46-ICL3_classA!$F$2:$F$39),0))</f>
        <v>26</v>
      </c>
      <c r="V46" s="1">
        <v>61</v>
      </c>
      <c r="W46" s="1">
        <v>30</v>
      </c>
      <c r="X46" s="1">
        <f>VLOOKUP($B46&amp;"__wt",'SegEnds_Xtal_BW#'!$A:$Z,24,FALSE)</f>
        <v>56</v>
      </c>
      <c r="Y46" s="1">
        <f>VLOOKUP($B46&amp;"__wt",'SegEnds_Xtal_BW#'!$A:$Z,25,FALSE)</f>
        <v>47</v>
      </c>
      <c r="Z46" s="1">
        <f>VLOOKUP($B46&amp;"__wt",'SegEnds_Xtal_BW#'!$A:$Z,26,FALSE)</f>
        <v>59</v>
      </c>
      <c r="AA46" s="27" t="str">
        <f>VLOOKUP(A46,Classification!A:B,2,FALSE)</f>
        <v>A</v>
      </c>
      <c r="AB46" s="1">
        <f>VLOOKUP(A46,'SegEnds_NonXtal_Prot#'!A:AL,10,FALSE)-VLOOKUP(A46,'SegEnds_NonXtal_Prot#'!A:AL,4,FALSE)</f>
        <v>28</v>
      </c>
      <c r="AC46" s="1">
        <f>VLOOKUP(A46,'SegEnds_NonXtal_Prot#'!A:AL,10,FALSE)-VLOOKUP(A46,'SegEnds_NonXtal_Prot#'!A:AL,7,FALSE)</f>
        <v>15</v>
      </c>
      <c r="AD46" s="1">
        <f>VLOOKUP(A46,'SegEnds_NonXtal_Prot#'!A:AL,13,FALSE)-VLOOKUP(A46,'SegEnds_NonXtal_Prot#'!A:AL,10,FALSE)</f>
        <v>18</v>
      </c>
      <c r="AE46" s="1">
        <f>VLOOKUP(A46,'SegEnds_NonXtal_Prot#'!A:AL,16,FALSE)-VLOOKUP(A46,'SegEnds_NonXtal_Prot#'!A:AL,10,FALSE)</f>
        <v>51</v>
      </c>
      <c r="AF46" s="1">
        <f>VLOOKUP(A46,'SegEnds_NonXtal_Prot#'!A:AL,22,FALSE)-VLOOKUP(A46,'SegEnds_NonXtal_Prot#'!A:AL,19,FALSE)</f>
        <v>19</v>
      </c>
      <c r="AG46" s="1" t="e">
        <f>VLOOKUP(A46,'SegEnds_NonXtal_Prot#'!A:AL,28,FALSE)-VLOOKUP(A46,'SegEnds_NonXtal_Prot#'!A:AL,25,FALSE)</f>
        <v>#VALUE!</v>
      </c>
      <c r="AH46" s="1">
        <f>VLOOKUP(A46,'SegEnds_NonXtal_Prot#'!A:AL,28,FALSE)-VLOOKUP(A46,'SegEnds_NonXtal_Prot#'!A:AL,22,FALSE)</f>
        <v>45</v>
      </c>
      <c r="AI46" s="1">
        <f>VLOOKUP(A46,'SegEnds_NonXtal_Prot#'!A:AL,31,FALSE)-VLOOKUP(A46,'SegEnds_NonXtal_Prot#'!A:AL,28,FALSE)</f>
        <v>47</v>
      </c>
      <c r="AJ46" s="1">
        <f>VLOOKUP(A46,'SegEnds_NonXtal_Prot#'!A:AL,34,FALSE)-VLOOKUP(A46,'SegEnds_NonXtal_Prot#'!A:AL,31,FALSE)</f>
        <v>37</v>
      </c>
      <c r="AK46" s="1">
        <f>VLOOKUP(A46,'SegEnds_NonXtal_Prot#'!A:AL,37,FALSE)-VLOOKUP(A46,'SegEnds_NonXtal_Prot#'!A:AL,34,FALSE)</f>
        <v>10</v>
      </c>
      <c r="AL46" s="1" t="str">
        <f>IF(ISERROR(MATCH(A46,'SegEnds_Xtal_Prot#'!B:B, 0)), "NoXtal", "Xtal")</f>
        <v>NoXtal</v>
      </c>
    </row>
    <row r="47" spans="1:38" x14ac:dyDescent="0.2">
      <c r="A47" s="1" t="s">
        <v>377</v>
      </c>
      <c r="B47" s="1" t="str">
        <f>VLOOKUP(A47,Xtal_Templ!A:B,2,FALSE)</f>
        <v>s1pr1_human</v>
      </c>
      <c r="C47" s="5">
        <f>VLOOKUP($B47&amp;"__wt",'SegEnds_Xtal_BW#'!$A:$Z,3,FALSE)</f>
        <v>29</v>
      </c>
      <c r="D47" s="1">
        <f>VLOOKUP($B47&amp;"__wt",'SegEnds_Xtal_BW#'!$A:$Z,4,FALSE)</f>
        <v>60</v>
      </c>
      <c r="E47" s="1">
        <f>VLOOKUP($B47&amp;"__wt",'SegEnds_Xtal_BW#'!$A:$Z,5,FALSE)</f>
        <v>48</v>
      </c>
      <c r="F47" s="1">
        <f>VLOOKUP($B47&amp;"__wt",'SegEnds_Xtal_BW#'!$A:$Z,6,FALSE)</f>
        <v>51</v>
      </c>
      <c r="G47" s="1">
        <v>37</v>
      </c>
      <c r="H47" s="12">
        <v>63</v>
      </c>
      <c r="I47" s="1">
        <f>VLOOKUP($B47&amp;"__wt",'SegEnds_Xtal_BW#'!$A:$Z,9,FALSE)</f>
        <v>47</v>
      </c>
      <c r="J47" s="1">
        <f>VLOOKUP($B47&amp;"__wt",'SegEnds_Xtal_BW#'!$A:$Z,10,FALSE)</f>
        <v>53</v>
      </c>
      <c r="K47" s="12">
        <v>21</v>
      </c>
      <c r="L47" s="1">
        <f>VLOOKUP($B47&amp;"__wt",'SegEnds_Xtal_BW#'!$A:$Z,12,FALSE)</f>
        <v>56</v>
      </c>
      <c r="M47" s="1">
        <f>VLOOKUP($B47&amp;"__wt",'SegEnds_Xtal_BW#'!$A:$Z,13,FALSE)</f>
        <v>50</v>
      </c>
      <c r="N47" s="108">
        <v>56</v>
      </c>
      <c r="O47" s="87">
        <f>VLOOKUP($B47&amp;"__wt",'SegEnds_Xtal_BW#'!$A:$Z,15,FALSE)</f>
        <v>38</v>
      </c>
      <c r="P47" s="1">
        <f>VLOOKUP($B47&amp;"__wt",'SegEnds_Xtal_BW#'!$A:$Z,16,FALSE)</f>
        <v>63</v>
      </c>
      <c r="Q47" s="1" t="str">
        <f>VLOOKUP($B47&amp;"__wt",'SegEnds_Xtal_BW#'!$A:$Z,17,FALSE)</f>
        <v>-</v>
      </c>
      <c r="R47" s="1" t="str">
        <f>VLOOKUP($B47&amp;"__wt",'SegEnds_Xtal_BW#'!$A:$Z,18,FALSE)</f>
        <v>-</v>
      </c>
      <c r="S47" s="1">
        <f>VLOOKUP($B47&amp;"__wt",'SegEnds_Xtal_BW#'!$A:$Z,19,FALSE)</f>
        <v>36</v>
      </c>
      <c r="T47" s="1">
        <f t="array" ref="T47">INDEX(ICL3_classA!$G$2:$G$39,MATCH(MIN(ABS(AI47-ICL3_classA!$F$2:$F$39)),ABS(AI47-ICL3_classA!$F$2:$F$39),0))</f>
        <v>68</v>
      </c>
      <c r="U47" s="1">
        <f t="array" ref="U47">INDEX(ICL3_classA!$H$2:$H$39,MATCH(MIN(ABS(AI47-ICL3_classA!$F$2:$F$39)),ABS(AI47-ICL3_classA!$F$2:$F$39),0))</f>
        <v>23</v>
      </c>
      <c r="V47" s="1">
        <v>61</v>
      </c>
      <c r="W47" s="1">
        <v>30</v>
      </c>
      <c r="X47" s="1">
        <f>VLOOKUP($B47&amp;"__wt",'SegEnds_Xtal_BW#'!$A:$Z,24,FALSE)</f>
        <v>56</v>
      </c>
      <c r="Y47" s="1">
        <f>VLOOKUP($B47&amp;"__wt",'SegEnds_Xtal_BW#'!$A:$Z,25,FALSE)</f>
        <v>47</v>
      </c>
      <c r="Z47" s="1">
        <f>VLOOKUP($B47&amp;"__wt",'SegEnds_Xtal_BW#'!$A:$Z,26,FALSE)</f>
        <v>59</v>
      </c>
      <c r="AA47" s="27" t="str">
        <f>VLOOKUP(A47,Classification!A:B,2,FALSE)</f>
        <v>A</v>
      </c>
      <c r="AB47" s="1">
        <f>VLOOKUP(A47,'SegEnds_NonXtal_Prot#'!A:AL,10,FALSE)-VLOOKUP(A47,'SegEnds_NonXtal_Prot#'!A:AL,4,FALSE)</f>
        <v>28</v>
      </c>
      <c r="AC47" s="1">
        <f>VLOOKUP(A47,'SegEnds_NonXtal_Prot#'!A:AL,10,FALSE)-VLOOKUP(A47,'SegEnds_NonXtal_Prot#'!A:AL,7,FALSE)</f>
        <v>15</v>
      </c>
      <c r="AD47" s="1">
        <f>VLOOKUP(A47,'SegEnds_NonXtal_Prot#'!A:AL,13,FALSE)-VLOOKUP(A47,'SegEnds_NonXtal_Prot#'!A:AL,10,FALSE)</f>
        <v>18</v>
      </c>
      <c r="AE47" s="1">
        <f>VLOOKUP(A47,'SegEnds_NonXtal_Prot#'!A:AL,16,FALSE)-VLOOKUP(A47,'SegEnds_NonXtal_Prot#'!A:AL,10,FALSE)</f>
        <v>51</v>
      </c>
      <c r="AF47" s="1">
        <f>VLOOKUP(A47,'SegEnds_NonXtal_Prot#'!A:AL,22,FALSE)-VLOOKUP(A47,'SegEnds_NonXtal_Prot#'!A:AL,19,FALSE)</f>
        <v>19</v>
      </c>
      <c r="AG47" s="1" t="e">
        <f>VLOOKUP(A47,'SegEnds_NonXtal_Prot#'!A:AL,28,FALSE)-VLOOKUP(A47,'SegEnds_NonXtal_Prot#'!A:AL,25,FALSE)</f>
        <v>#VALUE!</v>
      </c>
      <c r="AH47" s="1">
        <f>VLOOKUP(A47,'SegEnds_NonXtal_Prot#'!A:AL,28,FALSE)-VLOOKUP(A47,'SegEnds_NonXtal_Prot#'!A:AL,22,FALSE)</f>
        <v>45</v>
      </c>
      <c r="AI47" s="1">
        <f>VLOOKUP(A47,'SegEnds_NonXtal_Prot#'!A:AL,31,FALSE)-VLOOKUP(A47,'SegEnds_NonXtal_Prot#'!A:AL,28,FALSE)</f>
        <v>51</v>
      </c>
      <c r="AJ47" s="1">
        <f>VLOOKUP(A47,'SegEnds_NonXtal_Prot#'!A:AL,34,FALSE)-VLOOKUP(A47,'SegEnds_NonXtal_Prot#'!A:AL,31,FALSE)</f>
        <v>37</v>
      </c>
      <c r="AK47" s="1">
        <f>VLOOKUP(A47,'SegEnds_NonXtal_Prot#'!A:AL,37,FALSE)-VLOOKUP(A47,'SegEnds_NonXtal_Prot#'!A:AL,34,FALSE)</f>
        <v>10</v>
      </c>
      <c r="AL47" s="1" t="str">
        <f>IF(ISERROR(MATCH(A47,'SegEnds_Xtal_Prot#'!B:B, 0)), "NoXtal", "Xtal")</f>
        <v>NoXtal</v>
      </c>
    </row>
    <row r="48" spans="1:38" x14ac:dyDescent="0.2">
      <c r="A48" s="1" t="s">
        <v>378</v>
      </c>
      <c r="B48" s="1" t="str">
        <f>VLOOKUP(A48,Xtal_Templ!A:B,2,FALSE)</f>
        <v>s1pr1_human</v>
      </c>
      <c r="C48" s="5">
        <f>VLOOKUP($B48&amp;"__wt",'SegEnds_Xtal_BW#'!$A:$Z,3,FALSE)</f>
        <v>29</v>
      </c>
      <c r="D48" s="1">
        <f>VLOOKUP($B48&amp;"__wt",'SegEnds_Xtal_BW#'!$A:$Z,4,FALSE)</f>
        <v>60</v>
      </c>
      <c r="E48" s="1">
        <f>VLOOKUP($B48&amp;"__wt",'SegEnds_Xtal_BW#'!$A:$Z,5,FALSE)</f>
        <v>48</v>
      </c>
      <c r="F48" s="1">
        <f>VLOOKUP($B48&amp;"__wt",'SegEnds_Xtal_BW#'!$A:$Z,6,FALSE)</f>
        <v>51</v>
      </c>
      <c r="G48" s="1">
        <v>37</v>
      </c>
      <c r="H48" s="12">
        <v>63</v>
      </c>
      <c r="I48" s="1">
        <f>VLOOKUP($B48&amp;"__wt",'SegEnds_Xtal_BW#'!$A:$Z,9,FALSE)</f>
        <v>47</v>
      </c>
      <c r="J48" s="1">
        <f>VLOOKUP($B48&amp;"__wt",'SegEnds_Xtal_BW#'!$A:$Z,10,FALSE)</f>
        <v>53</v>
      </c>
      <c r="K48" s="12">
        <v>21</v>
      </c>
      <c r="L48" s="1">
        <f>VLOOKUP($B48&amp;"__wt",'SegEnds_Xtal_BW#'!$A:$Z,12,FALSE)</f>
        <v>56</v>
      </c>
      <c r="M48" s="1">
        <f>VLOOKUP($B48&amp;"__wt",'SegEnds_Xtal_BW#'!$A:$Z,13,FALSE)</f>
        <v>50</v>
      </c>
      <c r="N48" s="12">
        <v>57</v>
      </c>
      <c r="O48" s="87">
        <v>38</v>
      </c>
      <c r="P48" s="1">
        <f>VLOOKUP($B48&amp;"__wt",'SegEnds_Xtal_BW#'!$A:$Z,16,FALSE)</f>
        <v>63</v>
      </c>
      <c r="Q48" s="1" t="str">
        <f>VLOOKUP($B48&amp;"__wt",'SegEnds_Xtal_BW#'!$A:$Z,17,FALSE)</f>
        <v>-</v>
      </c>
      <c r="R48" s="1" t="str">
        <f>VLOOKUP($B48&amp;"__wt",'SegEnds_Xtal_BW#'!$A:$Z,18,FALSE)</f>
        <v>-</v>
      </c>
      <c r="S48" s="1">
        <f>VLOOKUP($B48&amp;"__wt",'SegEnds_Xtal_BW#'!$A:$Z,19,FALSE)</f>
        <v>36</v>
      </c>
      <c r="T48" s="1">
        <f t="array" ref="T48">INDEX(ICL3_classA!$G$2:$G$39,MATCH(MIN(ABS(AI48-ICL3_classA!$F$2:$F$39)),ABS(AI48-ICL3_classA!$F$2:$F$39),0))</f>
        <v>68</v>
      </c>
      <c r="U48" s="1">
        <f t="array" ref="U48">INDEX(ICL3_classA!$H$2:$H$39,MATCH(MIN(ABS(AI48-ICL3_classA!$F$2:$F$39)),ABS(AI48-ICL3_classA!$F$2:$F$39),0))</f>
        <v>23</v>
      </c>
      <c r="V48" s="1">
        <v>61</v>
      </c>
      <c r="W48" s="131">
        <f>VLOOKUP($B48&amp;"__wt",'SegEnds_Xtal_BW#'!$A:$Z,23,FALSE)</f>
        <v>30</v>
      </c>
      <c r="X48" s="1">
        <f>VLOOKUP($B48&amp;"__wt",'SegEnds_Xtal_BW#'!$A:$Z,24,FALSE)</f>
        <v>56</v>
      </c>
      <c r="Y48" s="1">
        <f>VLOOKUP($B48&amp;"__wt",'SegEnds_Xtal_BW#'!$A:$Z,25,FALSE)</f>
        <v>47</v>
      </c>
      <c r="Z48" s="1">
        <f>VLOOKUP($B48&amp;"__wt",'SegEnds_Xtal_BW#'!$A:$Z,26,FALSE)</f>
        <v>59</v>
      </c>
      <c r="AA48" s="27" t="str">
        <f>VLOOKUP(A48,Classification!A:B,2,FALSE)</f>
        <v>A</v>
      </c>
      <c r="AB48" s="1">
        <f>VLOOKUP(A48,'SegEnds_NonXtal_Prot#'!A:AL,10,FALSE)-VLOOKUP(A48,'SegEnds_NonXtal_Prot#'!A:AL,4,FALSE)</f>
        <v>28</v>
      </c>
      <c r="AC48" s="1">
        <f>VLOOKUP(A48,'SegEnds_NonXtal_Prot#'!A:AL,10,FALSE)-VLOOKUP(A48,'SegEnds_NonXtal_Prot#'!A:AL,7,FALSE)</f>
        <v>15</v>
      </c>
      <c r="AD48" s="1">
        <f>VLOOKUP(A48,'SegEnds_NonXtal_Prot#'!A:AL,13,FALSE)-VLOOKUP(A48,'SegEnds_NonXtal_Prot#'!A:AL,10,FALSE)</f>
        <v>18</v>
      </c>
      <c r="AE48" s="1">
        <f>VLOOKUP(A48,'SegEnds_NonXtal_Prot#'!A:AL,16,FALSE)-VLOOKUP(A48,'SegEnds_NonXtal_Prot#'!A:AL,10,FALSE)</f>
        <v>51</v>
      </c>
      <c r="AF48" s="1">
        <f>VLOOKUP(A48,'SegEnds_NonXtal_Prot#'!A:AL,22,FALSE)-VLOOKUP(A48,'SegEnds_NonXtal_Prot#'!A:AL,19,FALSE)</f>
        <v>20</v>
      </c>
      <c r="AG48" s="1" t="e">
        <f>VLOOKUP(A48,'SegEnds_NonXtal_Prot#'!A:AL,28,FALSE)-VLOOKUP(A48,'SegEnds_NonXtal_Prot#'!A:AL,25,FALSE)</f>
        <v>#VALUE!</v>
      </c>
      <c r="AH48" s="1">
        <f>VLOOKUP(A48,'SegEnds_NonXtal_Prot#'!A:AL,28,FALSE)-VLOOKUP(A48,'SegEnds_NonXtal_Prot#'!A:AL,22,FALSE)</f>
        <v>45</v>
      </c>
      <c r="AI48" s="1">
        <f>VLOOKUP(A48,'SegEnds_NonXtal_Prot#'!A:AL,31,FALSE)-VLOOKUP(A48,'SegEnds_NonXtal_Prot#'!A:AL,28,FALSE)</f>
        <v>51</v>
      </c>
      <c r="AJ48" s="1">
        <f>VLOOKUP(A48,'SegEnds_NonXtal_Prot#'!A:AL,34,FALSE)-VLOOKUP(A48,'SegEnds_NonXtal_Prot#'!A:AL,31,FALSE)</f>
        <v>38</v>
      </c>
      <c r="AK48" s="1">
        <f>VLOOKUP(A48,'SegEnds_NonXtal_Prot#'!A:AL,37,FALSE)-VLOOKUP(A48,'SegEnds_NonXtal_Prot#'!A:AL,34,FALSE)</f>
        <v>10</v>
      </c>
      <c r="AL48" s="1" t="str">
        <f>IF(ISERROR(MATCH(A48,'SegEnds_Xtal_Prot#'!B:B, 0)), "NoXtal", "Xtal")</f>
        <v>NoXtal</v>
      </c>
    </row>
    <row r="49" spans="1:38" x14ac:dyDescent="0.2">
      <c r="A49" s="1" t="s">
        <v>379</v>
      </c>
      <c r="B49" s="1" t="str">
        <f>VLOOKUP(A49,Xtal_Templ!A:B,2,FALSE)</f>
        <v>s1pr1_human</v>
      </c>
      <c r="C49" s="5">
        <f>VLOOKUP($B49&amp;"__wt",'SegEnds_Xtal_BW#'!$A:$Z,3,FALSE)</f>
        <v>29</v>
      </c>
      <c r="D49" s="1">
        <f>VLOOKUP($B49&amp;"__wt",'SegEnds_Xtal_BW#'!$A:$Z,4,FALSE)</f>
        <v>60</v>
      </c>
      <c r="E49" s="1">
        <f>VLOOKUP($B49&amp;"__wt",'SegEnds_Xtal_BW#'!$A:$Z,5,FALSE)</f>
        <v>48</v>
      </c>
      <c r="F49" s="1">
        <f>VLOOKUP($B49&amp;"__wt",'SegEnds_Xtal_BW#'!$A:$Z,6,FALSE)</f>
        <v>51</v>
      </c>
      <c r="G49" s="1">
        <v>37</v>
      </c>
      <c r="H49" s="12">
        <v>63</v>
      </c>
      <c r="I49" s="1">
        <f>VLOOKUP($B49&amp;"__wt",'SegEnds_Xtal_BW#'!$A:$Z,9,FALSE)</f>
        <v>47</v>
      </c>
      <c r="J49" s="1">
        <f>VLOOKUP($B49&amp;"__wt",'SegEnds_Xtal_BW#'!$A:$Z,10,FALSE)</f>
        <v>53</v>
      </c>
      <c r="K49" s="12">
        <v>21</v>
      </c>
      <c r="L49" s="1">
        <f>VLOOKUP($B49&amp;"__wt",'SegEnds_Xtal_BW#'!$A:$Z,12,FALSE)</f>
        <v>56</v>
      </c>
      <c r="M49" s="1">
        <f>VLOOKUP($B49&amp;"__wt",'SegEnds_Xtal_BW#'!$A:$Z,13,FALSE)</f>
        <v>50</v>
      </c>
      <c r="N49" s="108">
        <v>56</v>
      </c>
      <c r="O49" s="87">
        <f>VLOOKUP($B49&amp;"__wt",'SegEnds_Xtal_BW#'!$A:$Z,15,FALSE)</f>
        <v>38</v>
      </c>
      <c r="P49" s="1">
        <f>VLOOKUP($B49&amp;"__wt",'SegEnds_Xtal_BW#'!$A:$Z,16,FALSE)</f>
        <v>63</v>
      </c>
      <c r="Q49" s="1" t="str">
        <f>VLOOKUP($B49&amp;"__wt",'SegEnds_Xtal_BW#'!$A:$Z,17,FALSE)</f>
        <v>-</v>
      </c>
      <c r="R49" s="1" t="str">
        <f>VLOOKUP($B49&amp;"__wt",'SegEnds_Xtal_BW#'!$A:$Z,18,FALSE)</f>
        <v>-</v>
      </c>
      <c r="S49" s="1">
        <f>VLOOKUP($B49&amp;"__wt",'SegEnds_Xtal_BW#'!$A:$Z,19,FALSE)</f>
        <v>36</v>
      </c>
      <c r="T49" s="1">
        <f t="array" ref="T49">INDEX(ICL3_classA!$G$2:$G$39,MATCH(MIN(ABS(AI49-ICL3_classA!$F$2:$F$39)),ABS(AI49-ICL3_classA!$F$2:$F$39),0))</f>
        <v>74</v>
      </c>
      <c r="U49" s="1">
        <f t="array" ref="U49">INDEX(ICL3_classA!$H$2:$H$39,MATCH(MIN(ABS(AI49-ICL3_classA!$F$2:$F$39)),ABS(AI49-ICL3_classA!$F$2:$F$39),0))</f>
        <v>21</v>
      </c>
      <c r="V49" s="1">
        <v>61</v>
      </c>
      <c r="W49" s="1">
        <v>30</v>
      </c>
      <c r="X49" s="1">
        <f>VLOOKUP($B49&amp;"__wt",'SegEnds_Xtal_BW#'!$A:$Z,24,FALSE)</f>
        <v>56</v>
      </c>
      <c r="Y49" s="1">
        <f>VLOOKUP($B49&amp;"__wt",'SegEnds_Xtal_BW#'!$A:$Z,25,FALSE)</f>
        <v>47</v>
      </c>
      <c r="Z49" s="1">
        <f>VLOOKUP($B49&amp;"__wt",'SegEnds_Xtal_BW#'!$A:$Z,26,FALSE)</f>
        <v>59</v>
      </c>
      <c r="AA49" s="27" t="str">
        <f>VLOOKUP(A49,Classification!A:B,2,FALSE)</f>
        <v>A</v>
      </c>
      <c r="AB49" s="1">
        <f>VLOOKUP(A49,'SegEnds_NonXtal_Prot#'!A:AL,10,FALSE)-VLOOKUP(A49,'SegEnds_NonXtal_Prot#'!A:AL,4,FALSE)</f>
        <v>28</v>
      </c>
      <c r="AC49" s="1">
        <f>VLOOKUP(A49,'SegEnds_NonXtal_Prot#'!A:AL,10,FALSE)-VLOOKUP(A49,'SegEnds_NonXtal_Prot#'!A:AL,7,FALSE)</f>
        <v>15</v>
      </c>
      <c r="AD49" s="1">
        <f>VLOOKUP(A49,'SegEnds_NonXtal_Prot#'!A:AL,13,FALSE)-VLOOKUP(A49,'SegEnds_NonXtal_Prot#'!A:AL,10,FALSE)</f>
        <v>18</v>
      </c>
      <c r="AE49" s="1">
        <f>VLOOKUP(A49,'SegEnds_NonXtal_Prot#'!A:AL,16,FALSE)-VLOOKUP(A49,'SegEnds_NonXtal_Prot#'!A:AL,10,FALSE)</f>
        <v>51</v>
      </c>
      <c r="AF49" s="1">
        <f>VLOOKUP(A49,'SegEnds_NonXtal_Prot#'!A:AL,22,FALSE)-VLOOKUP(A49,'SegEnds_NonXtal_Prot#'!A:AL,19,FALSE)</f>
        <v>19</v>
      </c>
      <c r="AG49" s="1" t="e">
        <f>VLOOKUP(A49,'SegEnds_NonXtal_Prot#'!A:AL,28,FALSE)-VLOOKUP(A49,'SegEnds_NonXtal_Prot#'!A:AL,25,FALSE)</f>
        <v>#VALUE!</v>
      </c>
      <c r="AH49" s="1">
        <f>VLOOKUP(A49,'SegEnds_NonXtal_Prot#'!A:AL,28,FALSE)-VLOOKUP(A49,'SegEnds_NonXtal_Prot#'!A:AL,22,FALSE)</f>
        <v>45</v>
      </c>
      <c r="AI49" s="1">
        <f>VLOOKUP(A49,'SegEnds_NonXtal_Prot#'!A:AL,31,FALSE)-VLOOKUP(A49,'SegEnds_NonXtal_Prot#'!A:AL,28,FALSE)</f>
        <v>62</v>
      </c>
      <c r="AJ49" s="1">
        <f>VLOOKUP(A49,'SegEnds_NonXtal_Prot#'!A:AL,34,FALSE)-VLOOKUP(A49,'SegEnds_NonXtal_Prot#'!A:AL,31,FALSE)</f>
        <v>37</v>
      </c>
      <c r="AK49" s="1">
        <f>VLOOKUP(A49,'SegEnds_NonXtal_Prot#'!A:AL,37,FALSE)-VLOOKUP(A49,'SegEnds_NonXtal_Prot#'!A:AL,34,FALSE)</f>
        <v>10</v>
      </c>
      <c r="AL49" s="1" t="str">
        <f>IF(ISERROR(MATCH(A49,'SegEnds_Xtal_Prot#'!B:B, 0)), "NoXtal", "Xtal")</f>
        <v>NoXtal</v>
      </c>
    </row>
    <row r="50" spans="1:38" x14ac:dyDescent="0.2">
      <c r="A50" s="1" t="s">
        <v>128</v>
      </c>
      <c r="B50" s="1" t="str">
        <f>VLOOKUP(A50,Xtal_Templ!A:B,2,FALSE)</f>
        <v>5ht1b_human</v>
      </c>
      <c r="C50" s="5">
        <f>VLOOKUP($B50&amp;"__wt",'SegEnds_Xtal_BW#'!$A:$Z,3,FALSE)</f>
        <v>28</v>
      </c>
      <c r="D50" s="1">
        <f>VLOOKUP($B50&amp;"__wt",'SegEnds_Xtal_BW#'!$A:$Z,4,FALSE)</f>
        <v>60</v>
      </c>
      <c r="E50" s="1">
        <f>VLOOKUP($B50&amp;"__wt",'SegEnds_Xtal_BW#'!$A:$Z,5,FALSE)</f>
        <v>48</v>
      </c>
      <c r="F50" s="1">
        <f>VLOOKUP($B50&amp;"__wt",'SegEnds_Xtal_BW#'!$A:$Z,6,FALSE)</f>
        <v>51</v>
      </c>
      <c r="G50" s="1">
        <v>37</v>
      </c>
      <c r="H50" s="12">
        <f>VLOOKUP($B50&amp;"__wt",'SegEnds_Xtal_BW#'!$A:$Z,8,FALSE)</f>
        <v>68</v>
      </c>
      <c r="I50" s="1">
        <f>VLOOKUP($B50&amp;"__wt",'SegEnds_Xtal_BW#'!$A:$Z,9,FALSE)</f>
        <v>49</v>
      </c>
      <c r="J50" s="1">
        <f>VLOOKUP($B50&amp;"__wt",'SegEnds_Xtal_BW#'!$A:$Z,10,FALSE)</f>
        <v>52</v>
      </c>
      <c r="K50" s="12">
        <v>18</v>
      </c>
      <c r="L50" s="1">
        <f>VLOOKUP($B50&amp;"__wt",'SegEnds_Xtal_BW#'!$A:$Z,12,FALSE)</f>
        <v>56</v>
      </c>
      <c r="M50" s="1">
        <f>VLOOKUP($B50&amp;"__wt",'SegEnds_Xtal_BW#'!$A:$Z,13,FALSE)</f>
        <v>50</v>
      </c>
      <c r="N50" s="12">
        <v>57</v>
      </c>
      <c r="O50" s="87">
        <v>38</v>
      </c>
      <c r="P50" s="1">
        <f>VLOOKUP($B50&amp;"__wt",'SegEnds_Xtal_BW#'!$A:$Z,16,FALSE)</f>
        <v>63</v>
      </c>
      <c r="Q50" s="1">
        <f>VLOOKUP($B50&amp;"__wt",'SegEnds_Xtal_BW#'!$A:$Z,17,FALSE)</f>
        <v>50</v>
      </c>
      <c r="R50" s="1">
        <f>VLOOKUP($B50&amp;"__wt",'SegEnds_Xtal_BW#'!$A:$Z,18,FALSE)</f>
        <v>52</v>
      </c>
      <c r="S50" s="1">
        <v>35</v>
      </c>
      <c r="T50" s="1">
        <f t="array" ref="T50">INDEX(ICL3_classA!$G$2:$G$39,MATCH(MIN(ABS(AI50-ICL3_classA!$F$2:$F$39)),ABS(AI50-ICL3_classA!$F$2:$F$39),0))</f>
        <v>76</v>
      </c>
      <c r="U50" s="1">
        <f t="array" ref="U50">INDEX(ICL3_classA!$H$2:$H$39,MATCH(MIN(ABS(AI50-ICL3_classA!$F$2:$F$39)),ABS(AI50-ICL3_classA!$F$2:$F$39),0))</f>
        <v>24</v>
      </c>
      <c r="V50" s="1">
        <v>60</v>
      </c>
      <c r="W50" s="1">
        <v>31</v>
      </c>
      <c r="X50" s="124">
        <f>VLOOKUP($B50&amp;"__wt",'SegEnds_Xtal_BW#'!$A:$Z,24,FALSE)</f>
        <v>56</v>
      </c>
      <c r="Y50" s="1">
        <f>VLOOKUP($B50&amp;"__wt",'SegEnds_Xtal_BW#'!$A:$Z,25,FALSE)</f>
        <v>47</v>
      </c>
      <c r="Z50" s="1">
        <f>VLOOKUP($B50&amp;"__wt",'SegEnds_Xtal_BW#'!$A:$Z,26,FALSE)</f>
        <v>58</v>
      </c>
      <c r="AA50" s="27" t="str">
        <f>VLOOKUP(A50,Classification!A:B,2,FALSE)</f>
        <v>A</v>
      </c>
      <c r="AB50" s="1">
        <f>VLOOKUP(A50,'SegEnds_NonXtal_Prot#'!A:AL,10,FALSE)-VLOOKUP(A50,'SegEnds_NonXtal_Prot#'!A:AL,4,FALSE)</f>
        <v>28</v>
      </c>
      <c r="AC50" s="1">
        <f>VLOOKUP(A50,'SegEnds_NonXtal_Prot#'!A:AL,10,FALSE)-VLOOKUP(A50,'SegEnds_NonXtal_Prot#'!A:AL,7,FALSE)</f>
        <v>15</v>
      </c>
      <c r="AD50" s="1">
        <f>VLOOKUP(A50,'SegEnds_NonXtal_Prot#'!A:AL,13,FALSE)-VLOOKUP(A50,'SegEnds_NonXtal_Prot#'!A:AL,10,FALSE)</f>
        <v>20</v>
      </c>
      <c r="AE50" s="1">
        <f>VLOOKUP(A50,'SegEnds_NonXtal_Prot#'!A:AL,16,FALSE)-VLOOKUP(A50,'SegEnds_NonXtal_Prot#'!A:AL,10,FALSE)</f>
        <v>52</v>
      </c>
      <c r="AF50" s="1">
        <f>VLOOKUP(A50,'SegEnds_NonXtal_Prot#'!A:AL,22,FALSE)-VLOOKUP(A50,'SegEnds_NonXtal_Prot#'!A:AL,19,FALSE)</f>
        <v>20</v>
      </c>
      <c r="AG50" s="1">
        <f>VLOOKUP(A50,'SegEnds_NonXtal_Prot#'!A:AL,28,FALSE)-VLOOKUP(A50,'SegEnds_NonXtal_Prot#'!A:AL,25,FALSE)</f>
        <v>20</v>
      </c>
      <c r="AH50" s="1">
        <f>VLOOKUP(A50,'SegEnds_NonXtal_Prot#'!A:AL,28,FALSE)-VLOOKUP(A50,'SegEnds_NonXtal_Prot#'!A:AL,22,FALSE)</f>
        <v>46</v>
      </c>
      <c r="AI50" s="1">
        <f>VLOOKUP(A50,'SegEnds_NonXtal_Prot#'!A:AL,31,FALSE)-VLOOKUP(A50,'SegEnds_NonXtal_Prot#'!A:AL,28,FALSE)</f>
        <v>153</v>
      </c>
      <c r="AJ50" s="1">
        <f>VLOOKUP(A50,'SegEnds_NonXtal_Prot#'!A:AL,34,FALSE)-VLOOKUP(A50,'SegEnds_NonXtal_Prot#'!A:AL,31,FALSE)</f>
        <v>37</v>
      </c>
      <c r="AK50" s="1">
        <f>VLOOKUP(A50,'SegEnds_NonXtal_Prot#'!A:AL,37,FALSE)-VLOOKUP(A50,'SegEnds_NonXtal_Prot#'!A:AL,34,FALSE)</f>
        <v>10</v>
      </c>
      <c r="AL50" s="1" t="str">
        <f>IF(ISERROR(MATCH(A50,'SegEnds_Xtal_Prot#'!B:B, 0)), "NoXtal", "Xtal")</f>
        <v>NoXtal</v>
      </c>
    </row>
    <row r="51" spans="1:38" x14ac:dyDescent="0.2">
      <c r="A51" s="1" t="s">
        <v>34</v>
      </c>
      <c r="B51" s="1" t="str">
        <f>VLOOKUP(A51,Xtal_Templ!A:B,2,FALSE)</f>
        <v>5ht1b_human</v>
      </c>
      <c r="C51" s="5">
        <f>VLOOKUP($B51&amp;"__wt",'SegEnds_Xtal_BW#'!$A:$Z,3,FALSE)</f>
        <v>28</v>
      </c>
      <c r="D51" s="1">
        <f>VLOOKUP($B51&amp;"__wt",'SegEnds_Xtal_BW#'!$A:$Z,4,FALSE)</f>
        <v>60</v>
      </c>
      <c r="E51" s="1">
        <f>VLOOKUP($B51&amp;"__wt",'SegEnds_Xtal_BW#'!$A:$Z,5,FALSE)</f>
        <v>48</v>
      </c>
      <c r="F51" s="1">
        <f>VLOOKUP($B51&amp;"__wt",'SegEnds_Xtal_BW#'!$A:$Z,6,FALSE)</f>
        <v>51</v>
      </c>
      <c r="G51" s="1">
        <v>37</v>
      </c>
      <c r="H51" s="12">
        <f>VLOOKUP($B51&amp;"__wt",'SegEnds_Xtal_BW#'!$A:$Z,8,FALSE)</f>
        <v>68</v>
      </c>
      <c r="I51" s="1">
        <f>VLOOKUP($B51&amp;"__wt",'SegEnds_Xtal_BW#'!$A:$Z,9,FALSE)</f>
        <v>49</v>
      </c>
      <c r="J51" s="1">
        <f>VLOOKUP($B51&amp;"__wt",'SegEnds_Xtal_BW#'!$A:$Z,10,FALSE)</f>
        <v>52</v>
      </c>
      <c r="K51" s="12">
        <v>18</v>
      </c>
      <c r="L51" s="1">
        <f>VLOOKUP($B51&amp;"__wt",'SegEnds_Xtal_BW#'!$A:$Z,12,FALSE)</f>
        <v>56</v>
      </c>
      <c r="M51" s="1">
        <f>VLOOKUP($B51&amp;"__wt",'SegEnds_Xtal_BW#'!$A:$Z,13,FALSE)</f>
        <v>50</v>
      </c>
      <c r="N51" s="12">
        <f>VLOOKUP($B51&amp;"__wt",'SegEnds_Xtal_BW#'!$A:$Z,14,FALSE)</f>
        <v>57</v>
      </c>
      <c r="O51" s="87">
        <f>VLOOKUP($B51&amp;"__wt",'SegEnds_Xtal_BW#'!$A:$Z,15,FALSE)</f>
        <v>38</v>
      </c>
      <c r="P51" s="1">
        <f>VLOOKUP($B51&amp;"__wt",'SegEnds_Xtal_BW#'!$A:$Z,16,FALSE)</f>
        <v>63</v>
      </c>
      <c r="Q51" s="1">
        <f>VLOOKUP($B51&amp;"__wt",'SegEnds_Xtal_BW#'!$A:$Z,17,FALSE)</f>
        <v>50</v>
      </c>
      <c r="R51" s="1">
        <f>VLOOKUP($B51&amp;"__wt",'SegEnds_Xtal_BW#'!$A:$Z,18,FALSE)</f>
        <v>52</v>
      </c>
      <c r="S51" s="1">
        <v>35</v>
      </c>
      <c r="T51" s="1">
        <f t="array" ref="T51">INDEX(ICL3_classA!$G$2:$G$39,MATCH(MIN(ABS(AI51-ICL3_classA!$F$2:$F$39)),ABS(AI51-ICL3_classA!$F$2:$F$39),0))</f>
        <v>74</v>
      </c>
      <c r="U51" s="1">
        <f t="array" ref="U51">INDEX(ICL3_classA!$H$2:$H$39,MATCH(MIN(ABS(AI51-ICL3_classA!$F$2:$F$39)),ABS(AI51-ICL3_classA!$F$2:$F$39),0))</f>
        <v>24</v>
      </c>
      <c r="V51" s="1">
        <v>60</v>
      </c>
      <c r="W51" s="1">
        <v>31</v>
      </c>
      <c r="X51" s="124">
        <f>VLOOKUP($B51&amp;"__wt",'SegEnds_Xtal_BW#'!$A:$Z,24,FALSE)</f>
        <v>56</v>
      </c>
      <c r="Y51" s="1">
        <f>VLOOKUP($B51&amp;"__wt",'SegEnds_Xtal_BW#'!$A:$Z,25,FALSE)</f>
        <v>47</v>
      </c>
      <c r="Z51" s="1">
        <f>VLOOKUP($B51&amp;"__wt",'SegEnds_Xtal_BW#'!$A:$Z,26,FALSE)</f>
        <v>58</v>
      </c>
      <c r="AA51" s="27" t="str">
        <f>VLOOKUP(A51,Classification!A:B,2,FALSE)</f>
        <v>A</v>
      </c>
      <c r="AB51" s="1">
        <f>VLOOKUP(A51,'SegEnds_NonXtal_Prot#'!A:AL,10,FALSE)-VLOOKUP(A51,'SegEnds_NonXtal_Prot#'!A:AL,4,FALSE)</f>
        <v>28</v>
      </c>
      <c r="AC51" s="1">
        <f>VLOOKUP(A51,'SegEnds_NonXtal_Prot#'!A:AL,10,FALSE)-VLOOKUP(A51,'SegEnds_NonXtal_Prot#'!A:AL,7,FALSE)</f>
        <v>15</v>
      </c>
      <c r="AD51" s="1">
        <f>VLOOKUP(A51,'SegEnds_NonXtal_Prot#'!A:AL,13,FALSE)-VLOOKUP(A51,'SegEnds_NonXtal_Prot#'!A:AL,10,FALSE)</f>
        <v>20</v>
      </c>
      <c r="AE51" s="1">
        <f>VLOOKUP(A51,'SegEnds_NonXtal_Prot#'!A:AL,16,FALSE)-VLOOKUP(A51,'SegEnds_NonXtal_Prot#'!A:AL,10,FALSE)</f>
        <v>52</v>
      </c>
      <c r="AF51" s="1">
        <f>VLOOKUP(A51,'SegEnds_NonXtal_Prot#'!A:AL,22,FALSE)-VLOOKUP(A51,'SegEnds_NonXtal_Prot#'!A:AL,19,FALSE)</f>
        <v>20</v>
      </c>
      <c r="AG51" s="1">
        <f>VLOOKUP(A51,'SegEnds_NonXtal_Prot#'!A:AL,28,FALSE)-VLOOKUP(A51,'SegEnds_NonXtal_Prot#'!A:AL,25,FALSE)</f>
        <v>21</v>
      </c>
      <c r="AH51" s="1">
        <f>VLOOKUP(A51,'SegEnds_NonXtal_Prot#'!A:AL,28,FALSE)-VLOOKUP(A51,'SegEnds_NonXtal_Prot#'!A:AL,22,FALSE)</f>
        <v>46</v>
      </c>
      <c r="AI51" s="1">
        <f>VLOOKUP(A51,'SegEnds_NonXtal_Prot#'!A:AL,31,FALSE)-VLOOKUP(A51,'SegEnds_NonXtal_Prot#'!A:AL,28,FALSE)</f>
        <v>109</v>
      </c>
      <c r="AJ51" s="1">
        <f>VLOOKUP(A51,'SegEnds_NonXtal_Prot#'!A:AL,34,FALSE)-VLOOKUP(A51,'SegEnds_NonXtal_Prot#'!A:AL,31,FALSE)</f>
        <v>37</v>
      </c>
      <c r="AK51" s="1">
        <f>VLOOKUP(A51,'SegEnds_NonXtal_Prot#'!A:AL,37,FALSE)-VLOOKUP(A51,'SegEnds_NonXtal_Prot#'!A:AL,34,FALSE)</f>
        <v>10</v>
      </c>
      <c r="AL51" s="1" t="str">
        <f>IF(ISERROR(MATCH(A51,'SegEnds_Xtal_Prot#'!B:B, 0)), "NoXtal", "Xtal")</f>
        <v>Xtal</v>
      </c>
    </row>
    <row r="52" spans="1:38" x14ac:dyDescent="0.2">
      <c r="A52" s="1" t="s">
        <v>129</v>
      </c>
      <c r="B52" s="1" t="str">
        <f>VLOOKUP(A52,Xtal_Templ!A:B,2,FALSE)</f>
        <v>5ht1b_human</v>
      </c>
      <c r="C52" s="5">
        <f>VLOOKUP($B52&amp;"__wt",'SegEnds_Xtal_BW#'!$A:$Z,3,FALSE)</f>
        <v>28</v>
      </c>
      <c r="D52" s="1">
        <f>VLOOKUP($B52&amp;"__wt",'SegEnds_Xtal_BW#'!$A:$Z,4,FALSE)</f>
        <v>60</v>
      </c>
      <c r="E52" s="1">
        <f>VLOOKUP($B52&amp;"__wt",'SegEnds_Xtal_BW#'!$A:$Z,5,FALSE)</f>
        <v>48</v>
      </c>
      <c r="F52" s="1">
        <f>VLOOKUP($B52&amp;"__wt",'SegEnds_Xtal_BW#'!$A:$Z,6,FALSE)</f>
        <v>51</v>
      </c>
      <c r="G52" s="1">
        <v>37</v>
      </c>
      <c r="H52" s="12">
        <f>VLOOKUP($B52&amp;"__wt",'SegEnds_Xtal_BW#'!$A:$Z,8,FALSE)</f>
        <v>68</v>
      </c>
      <c r="I52" s="1">
        <f>VLOOKUP($B52&amp;"__wt",'SegEnds_Xtal_BW#'!$A:$Z,9,FALSE)</f>
        <v>49</v>
      </c>
      <c r="J52" s="1">
        <f>VLOOKUP($B52&amp;"__wt",'SegEnds_Xtal_BW#'!$A:$Z,10,FALSE)</f>
        <v>52</v>
      </c>
      <c r="K52" s="12">
        <v>18</v>
      </c>
      <c r="L52" s="1">
        <f>VLOOKUP($B52&amp;"__wt",'SegEnds_Xtal_BW#'!$A:$Z,12,FALSE)</f>
        <v>56</v>
      </c>
      <c r="M52" s="1">
        <f>VLOOKUP($B52&amp;"__wt",'SegEnds_Xtal_BW#'!$A:$Z,13,FALSE)</f>
        <v>50</v>
      </c>
      <c r="N52" s="12">
        <v>57</v>
      </c>
      <c r="O52" s="87">
        <v>38</v>
      </c>
      <c r="P52" s="1">
        <f>VLOOKUP($B52&amp;"__wt",'SegEnds_Xtal_BW#'!$A:$Z,16,FALSE)</f>
        <v>63</v>
      </c>
      <c r="Q52" s="1">
        <f>VLOOKUP($B52&amp;"__wt",'SegEnds_Xtal_BW#'!$A:$Z,17,FALSE)</f>
        <v>50</v>
      </c>
      <c r="R52" s="1">
        <f>VLOOKUP($B52&amp;"__wt",'SegEnds_Xtal_BW#'!$A:$Z,18,FALSE)</f>
        <v>52</v>
      </c>
      <c r="S52" s="1">
        <v>35</v>
      </c>
      <c r="T52" s="1">
        <f t="array" ref="T52">INDEX(ICL3_classA!$G$2:$G$39,MATCH(MIN(ABS(AI52-ICL3_classA!$F$2:$F$39)),ABS(AI52-ICL3_classA!$F$2:$F$39),0))</f>
        <v>74</v>
      </c>
      <c r="U52" s="1">
        <f t="array" ref="U52">INDEX(ICL3_classA!$H$2:$H$39,MATCH(MIN(ABS(AI52-ICL3_classA!$F$2:$F$39)),ABS(AI52-ICL3_classA!$F$2:$F$39),0))</f>
        <v>24</v>
      </c>
      <c r="V52" s="1">
        <v>60</v>
      </c>
      <c r="W52" s="1">
        <v>31</v>
      </c>
      <c r="X52" s="124">
        <f>VLOOKUP($B52&amp;"__wt",'SegEnds_Xtal_BW#'!$A:$Z,24,FALSE)</f>
        <v>56</v>
      </c>
      <c r="Y52" s="1">
        <f>VLOOKUP($B52&amp;"__wt",'SegEnds_Xtal_BW#'!$A:$Z,25,FALSE)</f>
        <v>47</v>
      </c>
      <c r="Z52" s="1">
        <f>VLOOKUP($B52&amp;"__wt",'SegEnds_Xtal_BW#'!$A:$Z,26,FALSE)</f>
        <v>58</v>
      </c>
      <c r="AA52" s="27" t="str">
        <f>VLOOKUP(A52,Classification!A:B,2,FALSE)</f>
        <v>A</v>
      </c>
      <c r="AB52" s="1">
        <f>VLOOKUP(A52,'SegEnds_NonXtal_Prot#'!A:AL,10,FALSE)-VLOOKUP(A52,'SegEnds_NonXtal_Prot#'!A:AL,4,FALSE)</f>
        <v>28</v>
      </c>
      <c r="AC52" s="1">
        <f>VLOOKUP(A52,'SegEnds_NonXtal_Prot#'!A:AL,10,FALSE)-VLOOKUP(A52,'SegEnds_NonXtal_Prot#'!A:AL,7,FALSE)</f>
        <v>15</v>
      </c>
      <c r="AD52" s="1">
        <f>VLOOKUP(A52,'SegEnds_NonXtal_Prot#'!A:AL,13,FALSE)-VLOOKUP(A52,'SegEnds_NonXtal_Prot#'!A:AL,10,FALSE)</f>
        <v>20</v>
      </c>
      <c r="AE52" s="1">
        <f>VLOOKUP(A52,'SegEnds_NonXtal_Prot#'!A:AL,16,FALSE)-VLOOKUP(A52,'SegEnds_NonXtal_Prot#'!A:AL,10,FALSE)</f>
        <v>52</v>
      </c>
      <c r="AF52" s="1">
        <f>VLOOKUP(A52,'SegEnds_NonXtal_Prot#'!A:AL,22,FALSE)-VLOOKUP(A52,'SegEnds_NonXtal_Prot#'!A:AL,19,FALSE)</f>
        <v>20</v>
      </c>
      <c r="AG52" s="1">
        <f>VLOOKUP(A52,'SegEnds_NonXtal_Prot#'!A:AL,28,FALSE)-VLOOKUP(A52,'SegEnds_NonXtal_Prot#'!A:AL,25,FALSE)</f>
        <v>21</v>
      </c>
      <c r="AH52" s="1">
        <f>VLOOKUP(A52,'SegEnds_NonXtal_Prot#'!A:AL,28,FALSE)-VLOOKUP(A52,'SegEnds_NonXtal_Prot#'!A:AL,22,FALSE)</f>
        <v>46</v>
      </c>
      <c r="AI52" s="1">
        <f>VLOOKUP(A52,'SegEnds_NonXtal_Prot#'!A:AL,31,FALSE)-VLOOKUP(A52,'SegEnds_NonXtal_Prot#'!A:AL,28,FALSE)</f>
        <v>107</v>
      </c>
      <c r="AJ52" s="1">
        <f>VLOOKUP(A52,'SegEnds_NonXtal_Prot#'!A:AL,34,FALSE)-VLOOKUP(A52,'SegEnds_NonXtal_Prot#'!A:AL,31,FALSE)</f>
        <v>37</v>
      </c>
      <c r="AK52" s="1">
        <f>VLOOKUP(A52,'SegEnds_NonXtal_Prot#'!A:AL,37,FALSE)-VLOOKUP(A52,'SegEnds_NonXtal_Prot#'!A:AL,34,FALSE)</f>
        <v>10</v>
      </c>
      <c r="AL52" s="1" t="str">
        <f>IF(ISERROR(MATCH(A52,'SegEnds_Xtal_Prot#'!B:B, 0)), "NoXtal", "Xtal")</f>
        <v>NoXtal</v>
      </c>
    </row>
    <row r="53" spans="1:38" x14ac:dyDescent="0.2">
      <c r="A53" s="1" t="s">
        <v>132</v>
      </c>
      <c r="B53" s="1" t="str">
        <f>VLOOKUP(A53,Xtal_Templ!A:B,2,FALSE)</f>
        <v>5ht2a_human</v>
      </c>
      <c r="C53" s="5">
        <f>VLOOKUP($B53&amp;"__wt",'SegEnds_Xtal_BW#'!$A:$Z,3,FALSE)</f>
        <v>27</v>
      </c>
      <c r="D53" s="1">
        <f>VLOOKUP($B53&amp;"__wt",'SegEnds_Xtal_BW#'!$A:$Z,4,FALSE)</f>
        <v>60</v>
      </c>
      <c r="E53" s="1">
        <f>VLOOKUP($B53&amp;"__wt",'SegEnds_Xtal_BW#'!$A:$Z,5,FALSE)</f>
        <v>48</v>
      </c>
      <c r="F53" s="1">
        <f>VLOOKUP($B53&amp;"__wt",'SegEnds_Xtal_BW#'!$A:$Z,6,FALSE)</f>
        <v>51</v>
      </c>
      <c r="G53" s="1">
        <v>37</v>
      </c>
      <c r="H53" s="12">
        <f>VLOOKUP($B53&amp;"__wt",'SegEnds_Xtal_BW#'!$A:$Z,8,FALSE)</f>
        <v>68</v>
      </c>
      <c r="I53" s="1">
        <f>VLOOKUP($B53&amp;"__wt",'SegEnds_Xtal_BW#'!$A:$Z,9,FALSE)</f>
        <v>49</v>
      </c>
      <c r="J53" s="1">
        <f>VLOOKUP($B53&amp;"__wt",'SegEnds_Xtal_BW#'!$A:$Z,10,FALSE)</f>
        <v>52</v>
      </c>
      <c r="K53" s="12">
        <v>18</v>
      </c>
      <c r="L53" s="1">
        <f>VLOOKUP($B53&amp;"__wt",'SegEnds_Xtal_BW#'!$A:$Z,12,FALSE)</f>
        <v>56</v>
      </c>
      <c r="M53" s="1">
        <f>VLOOKUP($B53&amp;"__wt",'SegEnds_Xtal_BW#'!$A:$Z,13,FALSE)</f>
        <v>50</v>
      </c>
      <c r="N53" s="12">
        <v>57</v>
      </c>
      <c r="O53" s="87">
        <f>VLOOKUP($B53&amp;"__wt",'SegEnds_Xtal_BW#'!$A:$Z,15,FALSE)</f>
        <v>38</v>
      </c>
      <c r="P53" s="1">
        <f>VLOOKUP($B53&amp;"__wt",'SegEnds_Xtal_BW#'!$A:$Z,16,FALSE)</f>
        <v>67</v>
      </c>
      <c r="Q53" s="1">
        <f>VLOOKUP($B53&amp;"__wt",'SegEnds_Xtal_BW#'!$A:$Z,17,FALSE)</f>
        <v>50</v>
      </c>
      <c r="R53" s="1">
        <f>VLOOKUP($B53&amp;"__wt",'SegEnds_Xtal_BW#'!$A:$Z,18,FALSE)</f>
        <v>52</v>
      </c>
      <c r="S53" s="1">
        <v>35</v>
      </c>
      <c r="T53" s="1">
        <f t="array" ref="T53">INDEX(ICL3_classA!$G$2:$G$39,MATCH(MIN(ABS(AI53-ICL3_classA!$F$2:$F$39)),ABS(AI53-ICL3_classA!$F$2:$F$39),0))</f>
        <v>76</v>
      </c>
      <c r="U53" s="1">
        <f t="array" ref="U53">INDEX(ICL3_classA!$H$2:$H$39,MATCH(MIN(ABS(AI53-ICL3_classA!$F$2:$F$39)),ABS(AI53-ICL3_classA!$F$2:$F$39),0))</f>
        <v>24</v>
      </c>
      <c r="V53" s="1">
        <v>61</v>
      </c>
      <c r="W53" s="131">
        <v>27</v>
      </c>
      <c r="X53" s="1">
        <f>VLOOKUP($B53&amp;"__wt",'SegEnds_Xtal_BW#'!$A:$Z,24,FALSE)</f>
        <v>56</v>
      </c>
      <c r="Y53" s="1">
        <f>VLOOKUP($B53&amp;"__wt",'SegEnds_Xtal_BW#'!$A:$Z,25,FALSE)</f>
        <v>47</v>
      </c>
      <c r="Z53" s="1">
        <f>VLOOKUP($B53&amp;"__wt",'SegEnds_Xtal_BW#'!$A:$Z,26,FALSE)</f>
        <v>60</v>
      </c>
      <c r="AA53" s="27" t="str">
        <f>VLOOKUP(A53,Classification!A:B,2,FALSE)</f>
        <v>A</v>
      </c>
      <c r="AB53" s="1">
        <f>VLOOKUP(A53,'SegEnds_NonXtal_Prot#'!A:AL,10,FALSE)-VLOOKUP(A53,'SegEnds_NonXtal_Prot#'!A:AL,4,FALSE)</f>
        <v>28</v>
      </c>
      <c r="AC53" s="1">
        <f>VLOOKUP(A53,'SegEnds_NonXtal_Prot#'!A:AL,10,FALSE)-VLOOKUP(A53,'SegEnds_NonXtal_Prot#'!A:AL,7,FALSE)</f>
        <v>15</v>
      </c>
      <c r="AD53" s="1">
        <f>VLOOKUP(A53,'SegEnds_NonXtal_Prot#'!A:AL,13,FALSE)-VLOOKUP(A53,'SegEnds_NonXtal_Prot#'!A:AL,10,FALSE)</f>
        <v>21</v>
      </c>
      <c r="AE53" s="1">
        <f>VLOOKUP(A53,'SegEnds_NonXtal_Prot#'!A:AL,16,FALSE)-VLOOKUP(A53,'SegEnds_NonXtal_Prot#'!A:AL,10,FALSE)</f>
        <v>53</v>
      </c>
      <c r="AF53" s="1">
        <f>VLOOKUP(A53,'SegEnds_NonXtal_Prot#'!A:AL,22,FALSE)-VLOOKUP(A53,'SegEnds_NonXtal_Prot#'!A:AL,19,FALSE)</f>
        <v>20</v>
      </c>
      <c r="AG53" s="1">
        <f>VLOOKUP(A53,'SegEnds_NonXtal_Prot#'!A:AL,28,FALSE)-VLOOKUP(A53,'SegEnds_NonXtal_Prot#'!A:AL,25,FALSE)</f>
        <v>19</v>
      </c>
      <c r="AH53" s="1">
        <f>VLOOKUP(A53,'SegEnds_NonXtal_Prot#'!A:AL,28,FALSE)-VLOOKUP(A53,'SegEnds_NonXtal_Prot#'!A:AL,22,FALSE)</f>
        <v>46</v>
      </c>
      <c r="AI53" s="1">
        <f>VLOOKUP(A53,'SegEnds_NonXtal_Prot#'!A:AL,31,FALSE)-VLOOKUP(A53,'SegEnds_NonXtal_Prot#'!A:AL,28,FALSE)</f>
        <v>92</v>
      </c>
      <c r="AJ53" s="1">
        <f>VLOOKUP(A53,'SegEnds_NonXtal_Prot#'!A:AL,34,FALSE)-VLOOKUP(A53,'SegEnds_NonXtal_Prot#'!A:AL,31,FALSE)</f>
        <v>39</v>
      </c>
      <c r="AK53" s="1">
        <f>VLOOKUP(A53,'SegEnds_NonXtal_Prot#'!A:AL,37,FALSE)-VLOOKUP(A53,'SegEnds_NonXtal_Prot#'!A:AL,34,FALSE)</f>
        <v>10</v>
      </c>
      <c r="AL53" s="1" t="str">
        <f>IF(ISERROR(MATCH(A53,'SegEnds_Xtal_Prot#'!B:B, 0)), "NoXtal", "Xtal")</f>
        <v>Xtal</v>
      </c>
    </row>
    <row r="54" spans="1:38" x14ac:dyDescent="0.2">
      <c r="A54" s="1" t="s">
        <v>135</v>
      </c>
      <c r="B54" s="1" t="str">
        <f>VLOOKUP(A54,Xtal_Templ!A:B,2,FALSE)</f>
        <v>5ht1b_human</v>
      </c>
      <c r="C54" s="5">
        <f>VLOOKUP($B54&amp;"__wt",'SegEnds_Xtal_BW#'!$A:$Z,3,FALSE)</f>
        <v>28</v>
      </c>
      <c r="D54" s="1">
        <f>VLOOKUP($B54&amp;"__wt",'SegEnds_Xtal_BW#'!$A:$Z,4,FALSE)</f>
        <v>60</v>
      </c>
      <c r="E54" s="1">
        <f>VLOOKUP($B54&amp;"__wt",'SegEnds_Xtal_BW#'!$A:$Z,5,FALSE)</f>
        <v>48</v>
      </c>
      <c r="F54" s="1">
        <f>VLOOKUP($B54&amp;"__wt",'SegEnds_Xtal_BW#'!$A:$Z,6,FALSE)</f>
        <v>51</v>
      </c>
      <c r="G54" s="1">
        <v>37</v>
      </c>
      <c r="H54" s="12">
        <f>VLOOKUP($B54&amp;"__wt",'SegEnds_Xtal_BW#'!$A:$Z,8,FALSE)</f>
        <v>68</v>
      </c>
      <c r="I54" s="1">
        <f>VLOOKUP($B54&amp;"__wt",'SegEnds_Xtal_BW#'!$A:$Z,9,FALSE)</f>
        <v>49</v>
      </c>
      <c r="J54" s="1">
        <f>VLOOKUP($B54&amp;"__wt",'SegEnds_Xtal_BW#'!$A:$Z,10,FALSE)</f>
        <v>52</v>
      </c>
      <c r="K54" s="12">
        <v>18</v>
      </c>
      <c r="L54" s="1">
        <f>VLOOKUP($B54&amp;"__wt",'SegEnds_Xtal_BW#'!$A:$Z,12,FALSE)</f>
        <v>56</v>
      </c>
      <c r="M54" s="1">
        <f>VLOOKUP($B54&amp;"__wt",'SegEnds_Xtal_BW#'!$A:$Z,13,FALSE)</f>
        <v>50</v>
      </c>
      <c r="N54" s="12">
        <f>VLOOKUP($B54&amp;"__wt",'SegEnds_Xtal_BW#'!$A:$Z,14,FALSE)</f>
        <v>57</v>
      </c>
      <c r="O54" s="87">
        <f>VLOOKUP($B54&amp;"__wt",'SegEnds_Xtal_BW#'!$A:$Z,15,FALSE)</f>
        <v>38</v>
      </c>
      <c r="P54" s="1">
        <f>VLOOKUP($B54&amp;"__wt",'SegEnds_Xtal_BW#'!$A:$Z,16,FALSE)</f>
        <v>63</v>
      </c>
      <c r="Q54" s="1">
        <f>VLOOKUP($B54&amp;"__wt",'SegEnds_Xtal_BW#'!$A:$Z,17,FALSE)</f>
        <v>50</v>
      </c>
      <c r="R54" s="1">
        <f>VLOOKUP($B54&amp;"__wt",'SegEnds_Xtal_BW#'!$A:$Z,18,FALSE)</f>
        <v>52</v>
      </c>
      <c r="S54" s="1">
        <f>VLOOKUP($B54&amp;"__wt",'SegEnds_Xtal_BW#'!$A:$Z,19,FALSE)</f>
        <v>35</v>
      </c>
      <c r="T54" s="1">
        <f t="array" ref="T54">INDEX(ICL3_classA!$G$2:$G$39,MATCH(MIN(ABS(AI54-ICL3_classA!$F$2:$F$39)),ABS(AI54-ICL3_classA!$F$2:$F$39),0))</f>
        <v>76</v>
      </c>
      <c r="U54" s="1">
        <f t="array" ref="U54">INDEX(ICL3_classA!$H$2:$H$39,MATCH(MIN(ABS(AI54-ICL3_classA!$F$2:$F$39)),ABS(AI54-ICL3_classA!$F$2:$F$39),0))</f>
        <v>24</v>
      </c>
      <c r="V54" s="1">
        <v>61</v>
      </c>
      <c r="W54" s="1">
        <v>31</v>
      </c>
      <c r="X54" s="1">
        <f>VLOOKUP($B54&amp;"__wt",'SegEnds_Xtal_BW#'!$A:$Z,24,FALSE)</f>
        <v>56</v>
      </c>
      <c r="Y54" s="1">
        <f>VLOOKUP($B54&amp;"__wt",'SegEnds_Xtal_BW#'!$A:$Z,25,FALSE)</f>
        <v>47</v>
      </c>
      <c r="Z54" s="1">
        <f>VLOOKUP($B54&amp;"__wt",'SegEnds_Xtal_BW#'!$A:$Z,26,FALSE)</f>
        <v>58</v>
      </c>
      <c r="AA54" s="27" t="str">
        <f>VLOOKUP(A54,Classification!A:B,2,FALSE)</f>
        <v>A</v>
      </c>
      <c r="AB54" s="1">
        <f>VLOOKUP(A54,'SegEnds_NonXtal_Prot#'!A:AL,10,FALSE)-VLOOKUP(A54,'SegEnds_NonXtal_Prot#'!A:AL,4,FALSE)</f>
        <v>28</v>
      </c>
      <c r="AC54" s="1">
        <f>VLOOKUP(A54,'SegEnds_NonXtal_Prot#'!A:AL,10,FALSE)-VLOOKUP(A54,'SegEnds_NonXtal_Prot#'!A:AL,7,FALSE)</f>
        <v>15</v>
      </c>
      <c r="AD54" s="1">
        <f>VLOOKUP(A54,'SegEnds_NonXtal_Prot#'!A:AL,13,FALSE)-VLOOKUP(A54,'SegEnds_NonXtal_Prot#'!A:AL,10,FALSE)</f>
        <v>21</v>
      </c>
      <c r="AE54" s="1">
        <f>VLOOKUP(A54,'SegEnds_NonXtal_Prot#'!A:AL,16,FALSE)-VLOOKUP(A54,'SegEnds_NonXtal_Prot#'!A:AL,10,FALSE)</f>
        <v>53</v>
      </c>
      <c r="AF54" s="1">
        <f>VLOOKUP(A54,'SegEnds_NonXtal_Prot#'!A:AL,22,FALSE)-VLOOKUP(A54,'SegEnds_NonXtal_Prot#'!A:AL,19,FALSE)</f>
        <v>20</v>
      </c>
      <c r="AG54" s="1">
        <f>VLOOKUP(A54,'SegEnds_NonXtal_Prot#'!A:AL,28,FALSE)-VLOOKUP(A54,'SegEnds_NonXtal_Prot#'!A:AL,25,FALSE)</f>
        <v>20</v>
      </c>
      <c r="AH54" s="1">
        <f>VLOOKUP(A54,'SegEnds_NonXtal_Prot#'!A:AL,28,FALSE)-VLOOKUP(A54,'SegEnds_NonXtal_Prot#'!A:AL,22,FALSE)</f>
        <v>46</v>
      </c>
      <c r="AI54" s="1">
        <f>VLOOKUP(A54,'SegEnds_NonXtal_Prot#'!A:AL,31,FALSE)-VLOOKUP(A54,'SegEnds_NonXtal_Prot#'!A:AL,28,FALSE)</f>
        <v>88</v>
      </c>
      <c r="AJ54" s="1">
        <f>VLOOKUP(A54,'SegEnds_NonXtal_Prot#'!A:AL,34,FALSE)-VLOOKUP(A54,'SegEnds_NonXtal_Prot#'!A:AL,31,FALSE)</f>
        <v>35</v>
      </c>
      <c r="AK54" s="1">
        <f>VLOOKUP(A54,'SegEnds_NonXtal_Prot#'!A:AL,37,FALSE)-VLOOKUP(A54,'SegEnds_NonXtal_Prot#'!A:AL,34,FALSE)</f>
        <v>10</v>
      </c>
      <c r="AL54" s="1" t="str">
        <f>IF(ISERROR(MATCH(A54,'SegEnds_Xtal_Prot#'!B:B, 0)), "NoXtal", "Xtal")</f>
        <v>NoXtal</v>
      </c>
    </row>
    <row r="55" spans="1:38" x14ac:dyDescent="0.2">
      <c r="A55" s="1" t="s">
        <v>157</v>
      </c>
      <c r="B55" s="1" t="str">
        <f>VLOOKUP(A55,Xtal_Templ!A:B,2,FALSE)</f>
        <v>drd2_human</v>
      </c>
      <c r="C55" s="5">
        <f>VLOOKUP($B55&amp;"__wt",'SegEnds_Xtal_BW#'!$A:$Z,3,FALSE)</f>
        <v>29</v>
      </c>
      <c r="D55" s="1">
        <f>VLOOKUP($B55&amp;"__wt",'SegEnds_Xtal_BW#'!$A:$Z,4,FALSE)</f>
        <v>60</v>
      </c>
      <c r="E55" s="1">
        <f>VLOOKUP($B55&amp;"__wt",'SegEnds_Xtal_BW#'!$A:$Z,5,FALSE)</f>
        <v>48</v>
      </c>
      <c r="F55" s="1">
        <f>VLOOKUP($B55&amp;"__wt",'SegEnds_Xtal_BW#'!$A:$Z,6,FALSE)</f>
        <v>51</v>
      </c>
      <c r="G55" s="1">
        <v>37</v>
      </c>
      <c r="H55" s="12">
        <f>VLOOKUP($B55&amp;"__wt",'SegEnds_Xtal_BW#'!$A:$Z,8,FALSE)</f>
        <v>68</v>
      </c>
      <c r="I55" s="1">
        <f>VLOOKUP($B55&amp;"__wt",'SegEnds_Xtal_BW#'!$A:$Z,9,FALSE)</f>
        <v>49</v>
      </c>
      <c r="J55" s="1">
        <f>VLOOKUP($B55&amp;"__wt",'SegEnds_Xtal_BW#'!$A:$Z,10,FALSE)</f>
        <v>52</v>
      </c>
      <c r="K55" s="12">
        <v>18</v>
      </c>
      <c r="L55" s="1">
        <f>VLOOKUP($B55&amp;"__wt",'SegEnds_Xtal_BW#'!$A:$Z,12,FALSE)</f>
        <v>56</v>
      </c>
      <c r="M55" s="1">
        <f>VLOOKUP($B55&amp;"__wt",'SegEnds_Xtal_BW#'!$A:$Z,13,FALSE)</f>
        <v>50</v>
      </c>
      <c r="N55" s="12">
        <v>57</v>
      </c>
      <c r="O55" s="87">
        <v>38</v>
      </c>
      <c r="P55" s="1">
        <f>VLOOKUP($B55&amp;"__wt",'SegEnds_Xtal_BW#'!$A:$Z,16,FALSE)</f>
        <v>62</v>
      </c>
      <c r="Q55" s="1">
        <f>VLOOKUP($B55&amp;"__wt",'SegEnds_Xtal_BW#'!$A:$Z,17,FALSE)</f>
        <v>50</v>
      </c>
      <c r="R55" s="1">
        <f>VLOOKUP($B55&amp;"__wt",'SegEnds_Xtal_BW#'!$A:$Z,18,FALSE)</f>
        <v>52</v>
      </c>
      <c r="S55" s="1">
        <v>35</v>
      </c>
      <c r="T55" s="1">
        <f t="array" ref="T55">INDEX(ICL3_classA!$G$2:$G$39,MATCH(MIN(ABS(AI55-ICL3_classA!$F$2:$F$39)),ABS(AI55-ICL3_classA!$F$2:$F$39),0))</f>
        <v>75</v>
      </c>
      <c r="U55" s="1">
        <f t="array" ref="U55">INDEX(ICL3_classA!$H$2:$H$39,MATCH(MIN(ABS(AI55-ICL3_classA!$F$2:$F$39)),ABS(AI55-ICL3_classA!$F$2:$F$39),0))</f>
        <v>24</v>
      </c>
      <c r="V55" s="1">
        <v>61</v>
      </c>
      <c r="W55" s="1">
        <v>31</v>
      </c>
      <c r="X55" s="1">
        <f>VLOOKUP($B55&amp;"__wt",'SegEnds_Xtal_BW#'!$A:$Z,24,FALSE)</f>
        <v>56</v>
      </c>
      <c r="Y55" s="1">
        <f>VLOOKUP($B55&amp;"__wt",'SegEnds_Xtal_BW#'!$A:$Z,25,FALSE)</f>
        <v>47</v>
      </c>
      <c r="Z55" s="1">
        <f>VLOOKUP($B55&amp;"__wt",'SegEnds_Xtal_BW#'!$A:$Z,26,FALSE)</f>
        <v>59</v>
      </c>
      <c r="AA55" s="27" t="str">
        <f>VLOOKUP(A55,Classification!A:B,2,FALSE)</f>
        <v>A</v>
      </c>
      <c r="AB55" s="1">
        <f>VLOOKUP(A55,'SegEnds_NonXtal_Prot#'!A:AL,10,FALSE)-VLOOKUP(A55,'SegEnds_NonXtal_Prot#'!A:AL,4,FALSE)</f>
        <v>28</v>
      </c>
      <c r="AC55" s="1">
        <f>VLOOKUP(A55,'SegEnds_NonXtal_Prot#'!A:AL,10,FALSE)-VLOOKUP(A55,'SegEnds_NonXtal_Prot#'!A:AL,7,FALSE)</f>
        <v>15</v>
      </c>
      <c r="AD55" s="1">
        <f>VLOOKUP(A55,'SegEnds_NonXtal_Prot#'!A:AL,13,FALSE)-VLOOKUP(A55,'SegEnds_NonXtal_Prot#'!A:AL,10,FALSE)</f>
        <v>20</v>
      </c>
      <c r="AE55" s="1">
        <f>VLOOKUP(A55,'SegEnds_NonXtal_Prot#'!A:AL,16,FALSE)-VLOOKUP(A55,'SegEnds_NonXtal_Prot#'!A:AL,10,FALSE)</f>
        <v>52</v>
      </c>
      <c r="AF55" s="1">
        <f>VLOOKUP(A55,'SegEnds_NonXtal_Prot#'!A:AL,22,FALSE)-VLOOKUP(A55,'SegEnds_NonXtal_Prot#'!A:AL,19,FALSE)</f>
        <v>20</v>
      </c>
      <c r="AG55" s="1">
        <f>VLOOKUP(A55,'SegEnds_NonXtal_Prot#'!A:AL,28,FALSE)-VLOOKUP(A55,'SegEnds_NonXtal_Prot#'!A:AL,25,FALSE)</f>
        <v>20</v>
      </c>
      <c r="AH55" s="1">
        <f>VLOOKUP(A55,'SegEnds_NonXtal_Prot#'!A:AL,28,FALSE)-VLOOKUP(A55,'SegEnds_NonXtal_Prot#'!A:AL,22,FALSE)</f>
        <v>46</v>
      </c>
      <c r="AI55" s="1">
        <f>VLOOKUP(A55,'SegEnds_NonXtal_Prot#'!A:AL,31,FALSE)-VLOOKUP(A55,'SegEnds_NonXtal_Prot#'!A:AL,28,FALSE)</f>
        <v>175</v>
      </c>
      <c r="AJ55" s="1">
        <f>VLOOKUP(A55,'SegEnds_NonXtal_Prot#'!A:AL,34,FALSE)-VLOOKUP(A55,'SegEnds_NonXtal_Prot#'!A:AL,31,FALSE)</f>
        <v>37</v>
      </c>
      <c r="AK55" s="1">
        <f>VLOOKUP(A55,'SegEnds_NonXtal_Prot#'!A:AL,37,FALSE)-VLOOKUP(A55,'SegEnds_NonXtal_Prot#'!A:AL,34,FALSE)</f>
        <v>10</v>
      </c>
      <c r="AL55" s="1" t="str">
        <f>IF(ISERROR(MATCH(A55,'SegEnds_Xtal_Prot#'!B:B, 0)), "NoXtal", "Xtal")</f>
        <v>NoXtal</v>
      </c>
    </row>
    <row r="56" spans="1:38" x14ac:dyDescent="0.2">
      <c r="A56" s="1" t="s">
        <v>212</v>
      </c>
      <c r="B56" s="1" t="str">
        <f>VLOOKUP(A56,Xtal_Templ!A:B,2,FALSE)</f>
        <v>5ht2a_human</v>
      </c>
      <c r="C56" s="5">
        <f>VLOOKUP($B56&amp;"__wt",'SegEnds_Xtal_BW#'!$A:$Z,3,FALSE)</f>
        <v>27</v>
      </c>
      <c r="D56" s="1">
        <f>VLOOKUP($B56&amp;"__wt",'SegEnds_Xtal_BW#'!$A:$Z,4,FALSE)</f>
        <v>60</v>
      </c>
      <c r="E56" s="1">
        <f>VLOOKUP($B56&amp;"__wt",'SegEnds_Xtal_BW#'!$A:$Z,5,FALSE)</f>
        <v>48</v>
      </c>
      <c r="F56" s="1">
        <f>VLOOKUP($B56&amp;"__wt",'SegEnds_Xtal_BW#'!$A:$Z,6,FALSE)</f>
        <v>51</v>
      </c>
      <c r="G56" s="1">
        <v>37</v>
      </c>
      <c r="H56" s="108">
        <v>66</v>
      </c>
      <c r="I56" s="1">
        <f>VLOOKUP($B56&amp;"__wt",'SegEnds_Xtal_BW#'!$A:$Z,9,FALSE)</f>
        <v>49</v>
      </c>
      <c r="J56" s="1">
        <f>VLOOKUP($B56&amp;"__wt",'SegEnds_Xtal_BW#'!$A:$Z,10,FALSE)</f>
        <v>52</v>
      </c>
      <c r="K56" s="12">
        <v>18</v>
      </c>
      <c r="L56" s="1">
        <f>VLOOKUP($B56&amp;"__wt",'SegEnds_Xtal_BW#'!$A:$Z,12,FALSE)</f>
        <v>56</v>
      </c>
      <c r="M56" s="1">
        <f>VLOOKUP($B56&amp;"__wt",'SegEnds_Xtal_BW#'!$A:$Z,13,FALSE)</f>
        <v>50</v>
      </c>
      <c r="N56" s="12">
        <v>57</v>
      </c>
      <c r="O56" s="87">
        <v>38</v>
      </c>
      <c r="P56" s="1">
        <f>VLOOKUP($B56&amp;"__wt",'SegEnds_Xtal_BW#'!$A:$Z,16,FALSE)</f>
        <v>67</v>
      </c>
      <c r="Q56" s="1">
        <f>VLOOKUP($B56&amp;"__wt",'SegEnds_Xtal_BW#'!$A:$Z,17,FALSE)</f>
        <v>50</v>
      </c>
      <c r="R56" s="1">
        <f>VLOOKUP($B56&amp;"__wt",'SegEnds_Xtal_BW#'!$A:$Z,18,FALSE)</f>
        <v>52</v>
      </c>
      <c r="S56" s="1">
        <v>35</v>
      </c>
      <c r="T56" s="1">
        <f t="array" ref="T56">INDEX(ICL3_classA!$G$2:$G$39,MATCH(MIN(ABS(AI56-ICL3_classA!$F$2:$F$39)),ABS(AI56-ICL3_classA!$F$2:$F$39),0))</f>
        <v>74</v>
      </c>
      <c r="U56" s="1">
        <f t="array" ref="U56">INDEX(ICL3_classA!$H$2:$H$39,MATCH(MIN(ABS(AI56-ICL3_classA!$F$2:$F$39)),ABS(AI56-ICL3_classA!$F$2:$F$39),0))</f>
        <v>21</v>
      </c>
      <c r="V56" s="1">
        <v>61</v>
      </c>
      <c r="W56" s="1">
        <v>31</v>
      </c>
      <c r="X56" s="1">
        <f>VLOOKUP($B56&amp;"__wt",'SegEnds_Xtal_BW#'!$A:$Z,24,FALSE)</f>
        <v>56</v>
      </c>
      <c r="Y56" s="1">
        <f>VLOOKUP($B56&amp;"__wt",'SegEnds_Xtal_BW#'!$A:$Z,25,FALSE)</f>
        <v>47</v>
      </c>
      <c r="Z56" s="1">
        <f>VLOOKUP($B56&amp;"__wt",'SegEnds_Xtal_BW#'!$A:$Z,26,FALSE)</f>
        <v>60</v>
      </c>
      <c r="AA56" s="27" t="str">
        <f>VLOOKUP(A56,Classification!A:B,2,FALSE)</f>
        <v>A</v>
      </c>
      <c r="AB56" s="1">
        <f>VLOOKUP(A56,'SegEnds_NonXtal_Prot#'!A:AL,10,FALSE)-VLOOKUP(A56,'SegEnds_NonXtal_Prot#'!A:AL,4,FALSE)</f>
        <v>29</v>
      </c>
      <c r="AC56" s="1" t="e">
        <f>VLOOKUP(A56,'SegEnds_NonXtal_Prot#'!A:AL,10,FALSE)-VLOOKUP(A56,'SegEnds_NonXtal_Prot#'!A:AL,7,FALSE)</f>
        <v>#VALUE!</v>
      </c>
      <c r="AD56" s="1" t="e">
        <f>VLOOKUP(A56,'SegEnds_NonXtal_Prot#'!A:AL,13,FALSE)-VLOOKUP(A56,'SegEnds_NonXtal_Prot#'!A:AL,10,FALSE)</f>
        <v>#VALUE!</v>
      </c>
      <c r="AE56" s="1">
        <f>VLOOKUP(A56,'SegEnds_NonXtal_Prot#'!A:AL,16,FALSE)-VLOOKUP(A56,'SegEnds_NonXtal_Prot#'!A:AL,10,FALSE)</f>
        <v>52</v>
      </c>
      <c r="AF56" s="1">
        <f>VLOOKUP(A56,'SegEnds_NonXtal_Prot#'!A:AL,22,FALSE)-VLOOKUP(A56,'SegEnds_NonXtal_Prot#'!A:AL,19,FALSE)</f>
        <v>20</v>
      </c>
      <c r="AG56" s="1">
        <f>VLOOKUP(A56,'SegEnds_NonXtal_Prot#'!A:AL,28,FALSE)-VLOOKUP(A56,'SegEnds_NonXtal_Prot#'!A:AL,25,FALSE)</f>
        <v>21</v>
      </c>
      <c r="AH56" s="1">
        <f>VLOOKUP(A56,'SegEnds_NonXtal_Prot#'!A:AL,28,FALSE)-VLOOKUP(A56,'SegEnds_NonXtal_Prot#'!A:AL,22,FALSE)</f>
        <v>46</v>
      </c>
      <c r="AI56" s="1">
        <f>VLOOKUP(A56,'SegEnds_NonXtal_Prot#'!A:AL,31,FALSE)-VLOOKUP(A56,'SegEnds_NonXtal_Prot#'!A:AL,28,FALSE)</f>
        <v>64</v>
      </c>
      <c r="AJ56" s="1">
        <f>VLOOKUP(A56,'SegEnds_NonXtal_Prot#'!A:AL,34,FALSE)-VLOOKUP(A56,'SegEnds_NonXtal_Prot#'!A:AL,31,FALSE)</f>
        <v>36</v>
      </c>
      <c r="AK56" s="1">
        <f>VLOOKUP(A56,'SegEnds_NonXtal_Prot#'!A:AL,37,FALSE)-VLOOKUP(A56,'SegEnds_NonXtal_Prot#'!A:AL,34,FALSE)</f>
        <v>10</v>
      </c>
      <c r="AL56" s="1" t="str">
        <f>IF(ISERROR(MATCH(A56,'SegEnds_Xtal_Prot#'!B:B, 0)), "NoXtal", "Xtal")</f>
        <v>NoXtal</v>
      </c>
    </row>
    <row r="57" spans="1:38" x14ac:dyDescent="0.2">
      <c r="A57" s="1" t="s">
        <v>280</v>
      </c>
      <c r="B57" s="1" t="str">
        <f>VLOOKUP(A57,Xtal_Templ!A:B,2,FALSE)</f>
        <v>acm3_rat</v>
      </c>
      <c r="C57" s="5">
        <f>VLOOKUP($B57&amp;"__wt",'SegEnds_Xtal_BW#'!$A:$Z,3,FALSE)</f>
        <v>28</v>
      </c>
      <c r="D57" s="1">
        <f>VLOOKUP($B57&amp;"__wt",'SegEnds_Xtal_BW#'!$A:$Z,4,FALSE)</f>
        <v>60</v>
      </c>
      <c r="E57" s="1">
        <f>VLOOKUP($B57&amp;"__wt",'SegEnds_Xtal_BW#'!$A:$Z,5,FALSE)</f>
        <v>48</v>
      </c>
      <c r="F57" s="1">
        <f>VLOOKUP($B57&amp;"__wt",'SegEnds_Xtal_BW#'!$A:$Z,6,FALSE)</f>
        <v>51</v>
      </c>
      <c r="G57" s="1">
        <v>37</v>
      </c>
      <c r="H57" s="12">
        <v>66</v>
      </c>
      <c r="I57" s="1">
        <f>VLOOKUP($B57&amp;"__wt",'SegEnds_Xtal_BW#'!$A:$Z,9,FALSE)</f>
        <v>49</v>
      </c>
      <c r="J57" s="1">
        <f>VLOOKUP($B57&amp;"__wt",'SegEnds_Xtal_BW#'!$A:$Z,10,FALSE)</f>
        <v>52</v>
      </c>
      <c r="K57" s="12">
        <v>21</v>
      </c>
      <c r="L57" s="1">
        <f>VLOOKUP($B57&amp;"__wt",'SegEnds_Xtal_BW#'!$A:$Z,12,FALSE)</f>
        <v>56</v>
      </c>
      <c r="M57" s="1">
        <f>VLOOKUP($B57&amp;"__wt",'SegEnds_Xtal_BW#'!$A:$Z,13,FALSE)</f>
        <v>50</v>
      </c>
      <c r="N57" s="12">
        <v>58</v>
      </c>
      <c r="O57" s="87">
        <v>38</v>
      </c>
      <c r="P57" s="1">
        <v>63</v>
      </c>
      <c r="Q57" s="1">
        <f>VLOOKUP($B57&amp;"__wt",'SegEnds_Xtal_BW#'!$A:$Z,17,FALSE)</f>
        <v>50</v>
      </c>
      <c r="R57" s="1">
        <f>VLOOKUP($B57&amp;"__wt",'SegEnds_Xtal_BW#'!$A:$Z,18,FALSE)</f>
        <v>52</v>
      </c>
      <c r="S57" s="1">
        <v>35</v>
      </c>
      <c r="T57" s="1">
        <f t="array" ref="T57">INDEX(ICL3_classA!$G$2:$G$39,MATCH(MIN(ABS(AI57-ICL3_classA!$F$2:$F$39)),ABS(AI57-ICL3_classA!$F$2:$F$39),0))</f>
        <v>76</v>
      </c>
      <c r="U57" s="1">
        <f t="array" ref="U57">INDEX(ICL3_classA!$H$2:$H$39,MATCH(MIN(ABS(AI57-ICL3_classA!$F$2:$F$39)),ABS(AI57-ICL3_classA!$F$2:$F$39),0))</f>
        <v>24</v>
      </c>
      <c r="V57" s="1">
        <v>61</v>
      </c>
      <c r="W57" s="1">
        <v>31</v>
      </c>
      <c r="X57" s="1">
        <f>VLOOKUP($B57&amp;"__wt",'SegEnds_Xtal_BW#'!$A:$Z,24,FALSE)</f>
        <v>56</v>
      </c>
      <c r="Y57" s="1">
        <f>VLOOKUP($B57&amp;"__wt",'SegEnds_Xtal_BW#'!$A:$Z,25,FALSE)</f>
        <v>47</v>
      </c>
      <c r="Z57" s="1">
        <f>VLOOKUP($B57&amp;"__wt",'SegEnds_Xtal_BW#'!$A:$Z,26,FALSE)</f>
        <v>60</v>
      </c>
      <c r="AA57" s="27" t="str">
        <f>VLOOKUP(A57,Classification!A:B,2,FALSE)</f>
        <v>A</v>
      </c>
      <c r="AB57" s="1">
        <f>VLOOKUP(A57,'SegEnds_NonXtal_Prot#'!A:AL,10,FALSE)-VLOOKUP(A57,'SegEnds_NonXtal_Prot#'!A:AL,4,FALSE)</f>
        <v>28</v>
      </c>
      <c r="AC57" s="1">
        <f>VLOOKUP(A57,'SegEnds_NonXtal_Prot#'!A:AL,10,FALSE)-VLOOKUP(A57,'SegEnds_NonXtal_Prot#'!A:AL,7,FALSE)</f>
        <v>15</v>
      </c>
      <c r="AD57" s="1">
        <f>VLOOKUP(A57,'SegEnds_NonXtal_Prot#'!A:AL,13,FALSE)-VLOOKUP(A57,'SegEnds_NonXtal_Prot#'!A:AL,10,FALSE)</f>
        <v>19</v>
      </c>
      <c r="AE57" s="1">
        <f>VLOOKUP(A57,'SegEnds_NonXtal_Prot#'!A:AL,16,FALSE)-VLOOKUP(A57,'SegEnds_NonXtal_Prot#'!A:AL,10,FALSE)</f>
        <v>51</v>
      </c>
      <c r="AF57" s="1">
        <f>VLOOKUP(A57,'SegEnds_NonXtal_Prot#'!A:AL,22,FALSE)-VLOOKUP(A57,'SegEnds_NonXtal_Prot#'!A:AL,19,FALSE)</f>
        <v>21</v>
      </c>
      <c r="AG57" s="1">
        <f>VLOOKUP(A57,'SegEnds_NonXtal_Prot#'!A:AL,28,FALSE)-VLOOKUP(A57,'SegEnds_NonXtal_Prot#'!A:AL,25,FALSE)</f>
        <v>22</v>
      </c>
      <c r="AH57" s="1">
        <f>VLOOKUP(A57,'SegEnds_NonXtal_Prot#'!A:AL,28,FALSE)-VLOOKUP(A57,'SegEnds_NonXtal_Prot#'!A:AL,22,FALSE)</f>
        <v>46</v>
      </c>
      <c r="AI57" s="1">
        <f>VLOOKUP(A57,'SegEnds_NonXtal_Prot#'!A:AL,31,FALSE)-VLOOKUP(A57,'SegEnds_NonXtal_Prot#'!A:AL,28,FALSE)</f>
        <v>132</v>
      </c>
      <c r="AJ57" s="1">
        <f>VLOOKUP(A57,'SegEnds_NonXtal_Prot#'!A:AL,34,FALSE)-VLOOKUP(A57,'SegEnds_NonXtal_Prot#'!A:AL,31,FALSE)</f>
        <v>37</v>
      </c>
      <c r="AK57" s="1">
        <f>VLOOKUP(A57,'SegEnds_NonXtal_Prot#'!A:AL,37,FALSE)-VLOOKUP(A57,'SegEnds_NonXtal_Prot#'!A:AL,34,FALSE)</f>
        <v>10</v>
      </c>
      <c r="AL57" s="1" t="str">
        <f>IF(ISERROR(MATCH(A57,'SegEnds_Xtal_Prot#'!B:B, 0)), "NoXtal", "Xtal")</f>
        <v>NoXtal</v>
      </c>
    </row>
    <row r="58" spans="1:38" x14ac:dyDescent="0.2">
      <c r="A58" s="1" t="s">
        <v>130</v>
      </c>
      <c r="B58" s="1" t="str">
        <f>VLOOKUP(A58,Xtal_Templ!A:B,2,FALSE)</f>
        <v>5ht1b_human</v>
      </c>
      <c r="C58" s="5">
        <f>VLOOKUP($B58&amp;"__wt",'SegEnds_Xtal_BW#'!$A:$Z,3,FALSE)</f>
        <v>28</v>
      </c>
      <c r="D58" s="1">
        <f>VLOOKUP($B58&amp;"__wt",'SegEnds_Xtal_BW#'!$A:$Z,4,FALSE)</f>
        <v>60</v>
      </c>
      <c r="E58" s="1">
        <f>VLOOKUP($B58&amp;"__wt",'SegEnds_Xtal_BW#'!$A:$Z,5,FALSE)</f>
        <v>48</v>
      </c>
      <c r="F58" s="1">
        <f>VLOOKUP($B58&amp;"__wt",'SegEnds_Xtal_BW#'!$A:$Z,6,FALSE)</f>
        <v>51</v>
      </c>
      <c r="G58" s="1">
        <v>37</v>
      </c>
      <c r="H58" s="12">
        <f>VLOOKUP($B58&amp;"__wt",'SegEnds_Xtal_BW#'!$A:$Z,8,FALSE)</f>
        <v>68</v>
      </c>
      <c r="I58" s="1">
        <f>VLOOKUP($B58&amp;"__wt",'SegEnds_Xtal_BW#'!$A:$Z,9,FALSE)</f>
        <v>49</v>
      </c>
      <c r="J58" s="1">
        <f>VLOOKUP($B58&amp;"__wt",'SegEnds_Xtal_BW#'!$A:$Z,10,FALSE)</f>
        <v>52</v>
      </c>
      <c r="K58" s="12">
        <v>18</v>
      </c>
      <c r="L58" s="1">
        <f>VLOOKUP($B58&amp;"__wt",'SegEnds_Xtal_BW#'!$A:$Z,12,FALSE)</f>
        <v>56</v>
      </c>
      <c r="M58" s="1">
        <f>VLOOKUP($B58&amp;"__wt",'SegEnds_Xtal_BW#'!$A:$Z,13,FALSE)</f>
        <v>50</v>
      </c>
      <c r="N58" s="12">
        <v>57</v>
      </c>
      <c r="O58" s="87">
        <v>38</v>
      </c>
      <c r="P58" s="1">
        <f>VLOOKUP($B58&amp;"__wt",'SegEnds_Xtal_BW#'!$A:$Z,16,FALSE)</f>
        <v>63</v>
      </c>
      <c r="Q58" s="1">
        <f>VLOOKUP($B58&amp;"__wt",'SegEnds_Xtal_BW#'!$A:$Z,17,FALSE)</f>
        <v>50</v>
      </c>
      <c r="R58" s="1">
        <f>VLOOKUP($B58&amp;"__wt",'SegEnds_Xtal_BW#'!$A:$Z,18,FALSE)</f>
        <v>52</v>
      </c>
      <c r="S58" s="1">
        <f>VLOOKUP($B58&amp;"__wt",'SegEnds_Xtal_BW#'!$A:$Z,19,FALSE)</f>
        <v>35</v>
      </c>
      <c r="T58" s="1">
        <f t="array" ref="T58">INDEX(ICL3_classA!$G$2:$G$39,MATCH(MIN(ABS(AI58-ICL3_classA!$F$2:$F$39)),ABS(AI58-ICL3_classA!$F$2:$F$39),0))</f>
        <v>76</v>
      </c>
      <c r="U58" s="1">
        <f t="array" ref="U58">INDEX(ICL3_classA!$H$2:$H$39,MATCH(MIN(ABS(AI58-ICL3_classA!$F$2:$F$39)),ABS(AI58-ICL3_classA!$F$2:$F$39),0))</f>
        <v>24</v>
      </c>
      <c r="V58" s="1">
        <v>61</v>
      </c>
      <c r="W58" s="1">
        <v>31</v>
      </c>
      <c r="X58" s="1">
        <f>VLOOKUP($B58&amp;"__wt",'SegEnds_Xtal_BW#'!$A:$Z,24,FALSE)</f>
        <v>56</v>
      </c>
      <c r="Y58" s="1">
        <f>VLOOKUP($B58&amp;"__wt",'SegEnds_Xtal_BW#'!$A:$Z,25,FALSE)</f>
        <v>47</v>
      </c>
      <c r="Z58" s="1">
        <f>VLOOKUP($B58&amp;"__wt",'SegEnds_Xtal_BW#'!$A:$Z,26,FALSE)</f>
        <v>58</v>
      </c>
      <c r="AA58" s="27" t="str">
        <f>VLOOKUP(A58,Classification!A:B,2,FALSE)</f>
        <v>A</v>
      </c>
      <c r="AB58" s="1">
        <f>VLOOKUP(A58,'SegEnds_NonXtal_Prot#'!A:AL,10,FALSE)-VLOOKUP(A58,'SegEnds_NonXtal_Prot#'!A:AL,4,FALSE)</f>
        <v>28</v>
      </c>
      <c r="AC58" s="1">
        <f>VLOOKUP(A58,'SegEnds_NonXtal_Prot#'!A:AL,10,FALSE)-VLOOKUP(A58,'SegEnds_NonXtal_Prot#'!A:AL,7,FALSE)</f>
        <v>15</v>
      </c>
      <c r="AD58" s="1">
        <f>VLOOKUP(A58,'SegEnds_NonXtal_Prot#'!A:AL,13,FALSE)-VLOOKUP(A58,'SegEnds_NonXtal_Prot#'!A:AL,10,FALSE)</f>
        <v>20</v>
      </c>
      <c r="AE58" s="1">
        <f>VLOOKUP(A58,'SegEnds_NonXtal_Prot#'!A:AL,16,FALSE)-VLOOKUP(A58,'SegEnds_NonXtal_Prot#'!A:AL,10,FALSE)</f>
        <v>52</v>
      </c>
      <c r="AF58" s="1">
        <f>VLOOKUP(A58,'SegEnds_NonXtal_Prot#'!A:AL,22,FALSE)-VLOOKUP(A58,'SegEnds_NonXtal_Prot#'!A:AL,19,FALSE)</f>
        <v>20</v>
      </c>
      <c r="AG58" s="1">
        <f>VLOOKUP(A58,'SegEnds_NonXtal_Prot#'!A:AL,28,FALSE)-VLOOKUP(A58,'SegEnds_NonXtal_Prot#'!A:AL,25,FALSE)</f>
        <v>21</v>
      </c>
      <c r="AH58" s="1">
        <f>VLOOKUP(A58,'SegEnds_NonXtal_Prot#'!A:AL,28,FALSE)-VLOOKUP(A58,'SegEnds_NonXtal_Prot#'!A:AL,22,FALSE)</f>
        <v>47</v>
      </c>
      <c r="AI58" s="1">
        <f>VLOOKUP(A58,'SegEnds_NonXtal_Prot#'!A:AL,31,FALSE)-VLOOKUP(A58,'SegEnds_NonXtal_Prot#'!A:AL,28,FALSE)</f>
        <v>112</v>
      </c>
      <c r="AJ58" s="1">
        <f>VLOOKUP(A58,'SegEnds_NonXtal_Prot#'!A:AL,34,FALSE)-VLOOKUP(A58,'SegEnds_NonXtal_Prot#'!A:AL,31,FALSE)</f>
        <v>35</v>
      </c>
      <c r="AK58" s="1">
        <f>VLOOKUP(A58,'SegEnds_NonXtal_Prot#'!A:AL,37,FALSE)-VLOOKUP(A58,'SegEnds_NonXtal_Prot#'!A:AL,34,FALSE)</f>
        <v>10</v>
      </c>
      <c r="AL58" s="1" t="str">
        <f>IF(ISERROR(MATCH(A58,'SegEnds_Xtal_Prot#'!B:B, 0)), "NoXtal", "Xtal")</f>
        <v>NoXtal</v>
      </c>
    </row>
    <row r="59" spans="1:38" x14ac:dyDescent="0.2">
      <c r="A59" s="1" t="s">
        <v>133</v>
      </c>
      <c r="B59" s="1" t="str">
        <f>VLOOKUP(A59,Xtal_Templ!A:B,2,FALSE)</f>
        <v>5ht2c_human</v>
      </c>
      <c r="C59" s="5">
        <f>VLOOKUP($B59&amp;"__wt",'SegEnds_Xtal_BW#'!$A:$Z,3,FALSE)</f>
        <v>33</v>
      </c>
      <c r="D59" s="1">
        <f>VLOOKUP($B59&amp;"__wt",'SegEnds_Xtal_BW#'!$A:$Z,4,FALSE)</f>
        <v>60</v>
      </c>
      <c r="E59" s="1">
        <f>VLOOKUP($B59&amp;"__wt",'SegEnds_Xtal_BW#'!$A:$Z,5,FALSE)</f>
        <v>48</v>
      </c>
      <c r="F59" s="1">
        <f>VLOOKUP($B59&amp;"__wt",'SegEnds_Xtal_BW#'!$A:$Z,6,FALSE)</f>
        <v>51</v>
      </c>
      <c r="G59" s="1">
        <v>37</v>
      </c>
      <c r="H59" s="12">
        <f>VLOOKUP($B59&amp;"__wt",'SegEnds_Xtal_BW#'!$A:$Z,8,FALSE)</f>
        <v>68</v>
      </c>
      <c r="I59" s="1">
        <f>VLOOKUP($B59&amp;"__wt",'SegEnds_Xtal_BW#'!$A:$Z,9,FALSE)</f>
        <v>49</v>
      </c>
      <c r="J59" s="1">
        <f>VLOOKUP($B59&amp;"__wt",'SegEnds_Xtal_BW#'!$A:$Z,10,FALSE)</f>
        <v>52</v>
      </c>
      <c r="K59" s="12">
        <v>18</v>
      </c>
      <c r="L59" s="1">
        <f>VLOOKUP($B59&amp;"__wt",'SegEnds_Xtal_BW#'!$A:$Z,12,FALSE)</f>
        <v>56</v>
      </c>
      <c r="M59" s="1">
        <f>VLOOKUP($B59&amp;"__wt",'SegEnds_Xtal_BW#'!$A:$Z,13,FALSE)</f>
        <v>50</v>
      </c>
      <c r="N59" s="12">
        <v>57</v>
      </c>
      <c r="O59" s="87">
        <f>VLOOKUP($B59&amp;"__wt",'SegEnds_Xtal_BW#'!$A:$Z,15,FALSE)</f>
        <v>38</v>
      </c>
      <c r="P59" s="1">
        <f>VLOOKUP($B59&amp;"__wt",'SegEnds_Xtal_BW#'!$A:$Z,16,FALSE)</f>
        <v>67</v>
      </c>
      <c r="Q59" s="1">
        <f>VLOOKUP($B59&amp;"__wt",'SegEnds_Xtal_BW#'!$A:$Z,17,FALSE)</f>
        <v>50</v>
      </c>
      <c r="R59" s="1">
        <f>VLOOKUP($B59&amp;"__wt",'SegEnds_Xtal_BW#'!$A:$Z,18,FALSE)</f>
        <v>52</v>
      </c>
      <c r="S59" s="1">
        <f>VLOOKUP($B59&amp;"__wt",'SegEnds_Xtal_BW#'!$A:$Z,19,FALSE)</f>
        <v>35</v>
      </c>
      <c r="T59" s="1">
        <f t="array" ref="T59">INDEX(ICL3_classA!$G$2:$G$39,MATCH(MIN(ABS(AI59-ICL3_classA!$F$2:$F$39)),ABS(AI59-ICL3_classA!$F$2:$F$39),0))</f>
        <v>74</v>
      </c>
      <c r="U59" s="1">
        <f t="array" ref="U59">INDEX(ICL3_classA!$H$2:$H$39,MATCH(MIN(ABS(AI59-ICL3_classA!$F$2:$F$39)),ABS(AI59-ICL3_classA!$F$2:$F$39),0))</f>
        <v>24</v>
      </c>
      <c r="V59" s="1">
        <v>61</v>
      </c>
      <c r="W59" s="131">
        <v>27</v>
      </c>
      <c r="X59" s="1">
        <f>VLOOKUP($B59&amp;"__wt",'SegEnds_Xtal_BW#'!$A:$Z,24,FALSE)</f>
        <v>56</v>
      </c>
      <c r="Y59" s="1">
        <f>VLOOKUP($B59&amp;"__wt",'SegEnds_Xtal_BW#'!$A:$Z,25,FALSE)</f>
        <v>47</v>
      </c>
      <c r="Z59" s="1">
        <f>VLOOKUP($B59&amp;"__wt",'SegEnds_Xtal_BW#'!$A:$Z,26,FALSE)</f>
        <v>60</v>
      </c>
      <c r="AA59" s="27" t="str">
        <f>VLOOKUP(A59,Classification!A:B,2,FALSE)</f>
        <v>A</v>
      </c>
      <c r="AB59" s="1">
        <f>VLOOKUP(A59,'SegEnds_NonXtal_Prot#'!A:AL,10,FALSE)-VLOOKUP(A59,'SegEnds_NonXtal_Prot#'!A:AL,4,FALSE)</f>
        <v>28</v>
      </c>
      <c r="AC59" s="1">
        <f>VLOOKUP(A59,'SegEnds_NonXtal_Prot#'!A:AL,10,FALSE)-VLOOKUP(A59,'SegEnds_NonXtal_Prot#'!A:AL,7,FALSE)</f>
        <v>15</v>
      </c>
      <c r="AD59" s="1">
        <f>VLOOKUP(A59,'SegEnds_NonXtal_Prot#'!A:AL,13,FALSE)-VLOOKUP(A59,'SegEnds_NonXtal_Prot#'!A:AL,10,FALSE)</f>
        <v>21</v>
      </c>
      <c r="AE59" s="1">
        <f>VLOOKUP(A59,'SegEnds_NonXtal_Prot#'!A:AL,16,FALSE)-VLOOKUP(A59,'SegEnds_NonXtal_Prot#'!A:AL,10,FALSE)</f>
        <v>53</v>
      </c>
      <c r="AF59" s="1">
        <f>VLOOKUP(A59,'SegEnds_NonXtal_Prot#'!A:AL,22,FALSE)-VLOOKUP(A59,'SegEnds_NonXtal_Prot#'!A:AL,19,FALSE)</f>
        <v>20</v>
      </c>
      <c r="AG59" s="1">
        <f>VLOOKUP(A59,'SegEnds_NonXtal_Prot#'!A:AL,28,FALSE)-VLOOKUP(A59,'SegEnds_NonXtal_Prot#'!A:AL,25,FALSE)</f>
        <v>19</v>
      </c>
      <c r="AH59" s="1">
        <f>VLOOKUP(A59,'SegEnds_NonXtal_Prot#'!A:AL,28,FALSE)-VLOOKUP(A59,'SegEnds_NonXtal_Prot#'!A:AL,22,FALSE)</f>
        <v>47</v>
      </c>
      <c r="AI59" s="1">
        <f>VLOOKUP(A59,'SegEnds_NonXtal_Prot#'!A:AL,31,FALSE)-VLOOKUP(A59,'SegEnds_NonXtal_Prot#'!A:AL,28,FALSE)</f>
        <v>100</v>
      </c>
      <c r="AJ59" s="1">
        <f>VLOOKUP(A59,'SegEnds_NonXtal_Prot#'!A:AL,34,FALSE)-VLOOKUP(A59,'SegEnds_NonXtal_Prot#'!A:AL,31,FALSE)</f>
        <v>39</v>
      </c>
      <c r="AK59" s="1">
        <f>VLOOKUP(A59,'SegEnds_NonXtal_Prot#'!A:AL,37,FALSE)-VLOOKUP(A59,'SegEnds_NonXtal_Prot#'!A:AL,34,FALSE)</f>
        <v>10</v>
      </c>
      <c r="AL59" s="1" t="str">
        <f>IF(ISERROR(MATCH(A59,'SegEnds_Xtal_Prot#'!B:B, 0)), "NoXtal", "Xtal")</f>
        <v>Xtal</v>
      </c>
    </row>
    <row r="60" spans="1:38" x14ac:dyDescent="0.2">
      <c r="A60" s="1" t="s">
        <v>156</v>
      </c>
      <c r="B60" s="1" t="str">
        <f>VLOOKUP(A60,Xtal_Templ!A:B,2,FALSE)</f>
        <v>drd2_human</v>
      </c>
      <c r="C60" s="5">
        <f>VLOOKUP($B60&amp;"__wt",'SegEnds_Xtal_BW#'!$A:$Z,3,FALSE)</f>
        <v>29</v>
      </c>
      <c r="D60" s="1">
        <f>VLOOKUP($B60&amp;"__wt",'SegEnds_Xtal_BW#'!$A:$Z,4,FALSE)</f>
        <v>60</v>
      </c>
      <c r="E60" s="1">
        <f>VLOOKUP($B60&amp;"__wt",'SegEnds_Xtal_BW#'!$A:$Z,5,FALSE)</f>
        <v>48</v>
      </c>
      <c r="F60" s="1">
        <f>VLOOKUP($B60&amp;"__wt",'SegEnds_Xtal_BW#'!$A:$Z,6,FALSE)</f>
        <v>51</v>
      </c>
      <c r="G60" s="1">
        <v>37</v>
      </c>
      <c r="H60" s="12">
        <f>VLOOKUP($B60&amp;"__wt",'SegEnds_Xtal_BW#'!$A:$Z,8,FALSE)</f>
        <v>68</v>
      </c>
      <c r="I60" s="1">
        <f>VLOOKUP($B60&amp;"__wt",'SegEnds_Xtal_BW#'!$A:$Z,9,FALSE)</f>
        <v>49</v>
      </c>
      <c r="J60" s="1">
        <f>VLOOKUP($B60&amp;"__wt",'SegEnds_Xtal_BW#'!$A:$Z,10,FALSE)</f>
        <v>52</v>
      </c>
      <c r="K60" s="12">
        <v>18</v>
      </c>
      <c r="L60" s="1">
        <f>VLOOKUP($B60&amp;"__wt",'SegEnds_Xtal_BW#'!$A:$Z,12,FALSE)</f>
        <v>56</v>
      </c>
      <c r="M60" s="1">
        <f>VLOOKUP($B60&amp;"__wt",'SegEnds_Xtal_BW#'!$A:$Z,13,FALSE)</f>
        <v>50</v>
      </c>
      <c r="N60" s="12">
        <v>57</v>
      </c>
      <c r="O60" s="87">
        <v>38</v>
      </c>
      <c r="P60" s="1">
        <f>VLOOKUP($B60&amp;"__wt",'SegEnds_Xtal_BW#'!$A:$Z,16,FALSE)</f>
        <v>62</v>
      </c>
      <c r="Q60" s="1">
        <f>VLOOKUP($B60&amp;"__wt",'SegEnds_Xtal_BW#'!$A:$Z,17,FALSE)</f>
        <v>50</v>
      </c>
      <c r="R60" s="1">
        <f>VLOOKUP($B60&amp;"__wt",'SegEnds_Xtal_BW#'!$A:$Z,18,FALSE)</f>
        <v>52</v>
      </c>
      <c r="S60" s="1">
        <v>35</v>
      </c>
      <c r="T60" s="1">
        <f t="array" ref="T60">INDEX(ICL3_classA!$G$2:$G$39,MATCH(MIN(ABS(AI60-ICL3_classA!$F$2:$F$39)),ABS(AI60-ICL3_classA!$F$2:$F$39),0))</f>
        <v>75</v>
      </c>
      <c r="U60" s="1">
        <f t="array" ref="U60">INDEX(ICL3_classA!$H$2:$H$39,MATCH(MIN(ABS(AI60-ICL3_classA!$F$2:$F$39)),ABS(AI60-ICL3_classA!$F$2:$F$39),0))</f>
        <v>24</v>
      </c>
      <c r="V60" s="1">
        <v>61</v>
      </c>
      <c r="W60" s="1">
        <v>31</v>
      </c>
      <c r="X60" s="1">
        <f>VLOOKUP($B60&amp;"__wt",'SegEnds_Xtal_BW#'!$A:$Z,24,FALSE)</f>
        <v>56</v>
      </c>
      <c r="Y60" s="1">
        <f>VLOOKUP($B60&amp;"__wt",'SegEnds_Xtal_BW#'!$A:$Z,25,FALSE)</f>
        <v>47</v>
      </c>
      <c r="Z60" s="1">
        <f>VLOOKUP($B60&amp;"__wt",'SegEnds_Xtal_BW#'!$A:$Z,26,FALSE)</f>
        <v>59</v>
      </c>
      <c r="AA60" s="27" t="str">
        <f>VLOOKUP(A60,Classification!A:B,2,FALSE)</f>
        <v>A</v>
      </c>
      <c r="AB60" s="1">
        <f>VLOOKUP(A60,'SegEnds_NonXtal_Prot#'!A:AL,10,FALSE)-VLOOKUP(A60,'SegEnds_NonXtal_Prot#'!A:AL,4,FALSE)</f>
        <v>28</v>
      </c>
      <c r="AC60" s="1">
        <f>VLOOKUP(A60,'SegEnds_NonXtal_Prot#'!A:AL,10,FALSE)-VLOOKUP(A60,'SegEnds_NonXtal_Prot#'!A:AL,7,FALSE)</f>
        <v>15</v>
      </c>
      <c r="AD60" s="1">
        <f>VLOOKUP(A60,'SegEnds_NonXtal_Prot#'!A:AL,13,FALSE)-VLOOKUP(A60,'SegEnds_NonXtal_Prot#'!A:AL,10,FALSE)</f>
        <v>20</v>
      </c>
      <c r="AE60" s="1">
        <f>VLOOKUP(A60,'SegEnds_NonXtal_Prot#'!A:AL,16,FALSE)-VLOOKUP(A60,'SegEnds_NonXtal_Prot#'!A:AL,10,FALSE)</f>
        <v>52</v>
      </c>
      <c r="AF60" s="1">
        <f>VLOOKUP(A60,'SegEnds_NonXtal_Prot#'!A:AL,22,FALSE)-VLOOKUP(A60,'SegEnds_NonXtal_Prot#'!A:AL,19,FALSE)</f>
        <v>20</v>
      </c>
      <c r="AG60" s="1">
        <f>VLOOKUP(A60,'SegEnds_NonXtal_Prot#'!A:AL,28,FALSE)-VLOOKUP(A60,'SegEnds_NonXtal_Prot#'!A:AL,25,FALSE)</f>
        <v>20</v>
      </c>
      <c r="AH60" s="1">
        <f>VLOOKUP(A60,'SegEnds_NonXtal_Prot#'!A:AL,28,FALSE)-VLOOKUP(A60,'SegEnds_NonXtal_Prot#'!A:AL,22,FALSE)</f>
        <v>47</v>
      </c>
      <c r="AI60" s="1">
        <f>VLOOKUP(A60,'SegEnds_NonXtal_Prot#'!A:AL,31,FALSE)-VLOOKUP(A60,'SegEnds_NonXtal_Prot#'!A:AL,28,FALSE)</f>
        <v>199</v>
      </c>
      <c r="AJ60" s="1">
        <f>VLOOKUP(A60,'SegEnds_NonXtal_Prot#'!A:AL,34,FALSE)-VLOOKUP(A60,'SegEnds_NonXtal_Prot#'!A:AL,31,FALSE)</f>
        <v>37</v>
      </c>
      <c r="AK60" s="1">
        <f>VLOOKUP(A60,'SegEnds_NonXtal_Prot#'!A:AL,37,FALSE)-VLOOKUP(A60,'SegEnds_NonXtal_Prot#'!A:AL,34,FALSE)</f>
        <v>10</v>
      </c>
      <c r="AL60" s="1" t="str">
        <f>IF(ISERROR(MATCH(A60,'SegEnds_Xtal_Prot#'!B:B, 0)), "NoXtal", "Xtal")</f>
        <v>NoXtal</v>
      </c>
    </row>
    <row r="61" spans="1:38" x14ac:dyDescent="0.2">
      <c r="A61" s="12" t="s">
        <v>189</v>
      </c>
      <c r="B61" s="12" t="str">
        <f>VLOOKUP(A61,Xtal_Templ!A:B,2,FALSE)</f>
        <v>ccr9_human</v>
      </c>
      <c r="C61" s="13">
        <f>VLOOKUP($B61&amp;"__wt",'SegEnds_Xtal_BW#'!$A:$Z,3,FALSE)</f>
        <v>27</v>
      </c>
      <c r="D61" s="12">
        <f>VLOOKUP($B61&amp;"__wt",'SegEnds_Xtal_BW#'!$A:$Z,4,FALSE)</f>
        <v>60</v>
      </c>
      <c r="E61" s="12">
        <f>VLOOKUP($B61&amp;"__wt",'SegEnds_Xtal_BW#'!$A:$Z,5,FALSE)</f>
        <v>48</v>
      </c>
      <c r="F61" s="12">
        <f>VLOOKUP($B61&amp;"__wt",'SegEnds_Xtal_BW#'!$A:$Z,6,FALSE)</f>
        <v>51</v>
      </c>
      <c r="G61" s="12">
        <v>37</v>
      </c>
      <c r="H61" s="12">
        <v>66</v>
      </c>
      <c r="I61" s="12">
        <f>VLOOKUP($B61&amp;"__wt",'SegEnds_Xtal_BW#'!$A:$Z,9,FALSE)</f>
        <v>49</v>
      </c>
      <c r="J61" s="12">
        <f>VLOOKUP($B61&amp;"__wt",'SegEnds_Xtal_BW#'!$A:$Z,10,FALSE)</f>
        <v>52</v>
      </c>
      <c r="K61" s="12">
        <v>24</v>
      </c>
      <c r="L61" s="12">
        <f>VLOOKUP($B61&amp;"__wt",'SegEnds_Xtal_BW#'!$A:$Z,12,FALSE)</f>
        <v>56</v>
      </c>
      <c r="M61" s="12">
        <f>VLOOKUP($B61&amp;"__wt",'SegEnds_Xtal_BW#'!$A:$Z,13,FALSE)</f>
        <v>50</v>
      </c>
      <c r="N61" s="12">
        <v>58</v>
      </c>
      <c r="O61" s="87">
        <v>38</v>
      </c>
      <c r="P61" s="12">
        <f>VLOOKUP($B61&amp;"__wt",'SegEnds_Xtal_BW#'!$A:$Z,16,FALSE)</f>
        <v>64</v>
      </c>
      <c r="Q61" s="12">
        <f>VLOOKUP($B61&amp;"__wt",'SegEnds_Xtal_BW#'!$A:$Z,17,FALSE)</f>
        <v>50</v>
      </c>
      <c r="R61" s="12">
        <f>VLOOKUP($B61&amp;"__wt",'SegEnds_Xtal_BW#'!$A:$Z,18,FALSE)</f>
        <v>52</v>
      </c>
      <c r="S61" s="12">
        <f>VLOOKUP($B61&amp;"__wt",'SegEnds_Xtal_BW#'!$A:$Z,19,FALSE)</f>
        <v>33</v>
      </c>
      <c r="T61" s="12">
        <f t="array" ref="T61">INDEX(ICL3_classA!$G$2:$G$39,MATCH(MIN(ABS(AI61-ICL3_classA!$F$2:$F$39)),ABS(AI61-ICL3_classA!$F$2:$F$39),0))</f>
        <v>68</v>
      </c>
      <c r="U61" s="12">
        <f t="array" ref="U61">INDEX(ICL3_classA!$H$2:$H$39,MATCH(MIN(ABS(AI61-ICL3_classA!$F$2:$F$39)),ABS(AI61-ICL3_classA!$F$2:$F$39),0))</f>
        <v>30</v>
      </c>
      <c r="V61" s="12">
        <v>61</v>
      </c>
      <c r="W61" s="131">
        <f>VLOOKUP($B61&amp;"__wt",'SegEnds_Xtal_BW#'!$A:$Z,23,FALSE)</f>
        <v>24</v>
      </c>
      <c r="X61" s="12">
        <f>VLOOKUP($B61&amp;"__wt",'SegEnds_Xtal_BW#'!$A:$Z,24,FALSE)</f>
        <v>56</v>
      </c>
      <c r="Y61" s="12">
        <f>VLOOKUP($B61&amp;"__wt",'SegEnds_Xtal_BW#'!$A:$Z,25,FALSE)</f>
        <v>47</v>
      </c>
      <c r="Z61" s="12">
        <f>VLOOKUP($B61&amp;"__wt",'SegEnds_Xtal_BW#'!$A:$Z,26,FALSE)</f>
        <v>67</v>
      </c>
      <c r="AA61" s="36" t="str">
        <f>VLOOKUP(A61,Classification!A:B,2,FALSE)</f>
        <v>A</v>
      </c>
      <c r="AB61" s="1">
        <f>VLOOKUP(A61,'SegEnds_NonXtal_Prot#'!A:AL,10,FALSE)-VLOOKUP(A61,'SegEnds_NonXtal_Prot#'!A:AL,4,FALSE)</f>
        <v>28</v>
      </c>
      <c r="AC61" s="12">
        <f>VLOOKUP(A61,'SegEnds_NonXtal_Prot#'!A:AL,10,FALSE)-VLOOKUP(A61,'SegEnds_NonXtal_Prot#'!A:AL,7,FALSE)</f>
        <v>15</v>
      </c>
      <c r="AD61" s="12">
        <f>VLOOKUP(A61,'SegEnds_NonXtal_Prot#'!A:AL,13,FALSE)-VLOOKUP(A61,'SegEnds_NonXtal_Prot#'!A:AL,10,FALSE)</f>
        <v>18</v>
      </c>
      <c r="AE61" s="12">
        <f>VLOOKUP(A61,'SegEnds_NonXtal_Prot#'!A:AL,16,FALSE)-VLOOKUP(A61,'SegEnds_NonXtal_Prot#'!A:AL,10,FALSE)</f>
        <v>50</v>
      </c>
      <c r="AF61" s="1">
        <f>VLOOKUP(A61,'SegEnds_NonXtal_Prot#'!A:AL,22,FALSE)-VLOOKUP(A61,'SegEnds_NonXtal_Prot#'!A:AL,19,FALSE)</f>
        <v>22</v>
      </c>
      <c r="AG61" s="12">
        <f>VLOOKUP(A61,'SegEnds_NonXtal_Prot#'!A:AL,28,FALSE)-VLOOKUP(A61,'SegEnds_NonXtal_Prot#'!A:AL,25,FALSE)</f>
        <v>23</v>
      </c>
      <c r="AH61" s="1">
        <f>VLOOKUP(A61,'SegEnds_NonXtal_Prot#'!A:AL,28,FALSE)-VLOOKUP(A61,'SegEnds_NonXtal_Prot#'!A:AL,22,FALSE)</f>
        <v>47</v>
      </c>
      <c r="AI61" s="12">
        <f>VLOOKUP(A61,'SegEnds_NonXtal_Prot#'!A:AL,31,FALSE)-VLOOKUP(A61,'SegEnds_NonXtal_Prot#'!A:AL,28,FALSE)</f>
        <v>43</v>
      </c>
      <c r="AJ61" s="12">
        <f>VLOOKUP(A61,'SegEnds_NonXtal_Prot#'!A:AL,34,FALSE)-VLOOKUP(A61,'SegEnds_NonXtal_Prot#'!A:AL,31,FALSE)</f>
        <v>39</v>
      </c>
      <c r="AK61" s="1">
        <f>VLOOKUP(A61,'SegEnds_NonXtal_Prot#'!A:AL,37,FALSE)-VLOOKUP(A61,'SegEnds_NonXtal_Prot#'!A:AL,34,FALSE)</f>
        <v>10</v>
      </c>
      <c r="AL61" s="12" t="str">
        <f>IF(ISERROR(MATCH(A61,'SegEnds_Xtal_Prot#'!B:B, 0)), "NoXtal", "Xtal")</f>
        <v>NoXtal</v>
      </c>
    </row>
    <row r="62" spans="1:38" x14ac:dyDescent="0.2">
      <c r="A62" s="1" t="s">
        <v>203</v>
      </c>
      <c r="B62" s="1" t="str">
        <f>VLOOKUP(A62,Xtal_Templ!A:B,2,FALSE)</f>
        <v>aa2ar_human</v>
      </c>
      <c r="C62" s="5">
        <f>VLOOKUP($B62&amp;"__wt",'SegEnds_Xtal_BW#'!$A:$Z,3,FALSE)</f>
        <v>27</v>
      </c>
      <c r="D62" s="1">
        <f>VLOOKUP($B62&amp;"__wt",'SegEnds_Xtal_BW#'!$A:$Z,4,FALSE)</f>
        <v>60</v>
      </c>
      <c r="E62" s="1">
        <f>VLOOKUP($B62&amp;"__wt",'SegEnds_Xtal_BW#'!$A:$Z,5,FALSE)</f>
        <v>48</v>
      </c>
      <c r="F62" s="1">
        <f>VLOOKUP($B62&amp;"__wt",'SegEnds_Xtal_BW#'!$A:$Z,6,FALSE)</f>
        <v>51</v>
      </c>
      <c r="G62" s="1">
        <v>37</v>
      </c>
      <c r="H62" s="12">
        <f>VLOOKUP($B62&amp;"__wt",'SegEnds_Xtal_BW#'!$A:$Z,8,FALSE)</f>
        <v>67</v>
      </c>
      <c r="I62" s="1">
        <v>49</v>
      </c>
      <c r="J62" s="1">
        <f>VLOOKUP($B62&amp;"__wt",'SegEnds_Xtal_BW#'!$A:$Z,10,FALSE)</f>
        <v>52</v>
      </c>
      <c r="K62" s="12">
        <v>18</v>
      </c>
      <c r="L62" s="1">
        <f>VLOOKUP($B62&amp;"__wt",'SegEnds_Xtal_BW#'!$A:$Z,12,FALSE)</f>
        <v>56</v>
      </c>
      <c r="M62" s="1">
        <f>VLOOKUP($B62&amp;"__wt",'SegEnds_Xtal_BW#'!$A:$Z,13,FALSE)</f>
        <v>50</v>
      </c>
      <c r="N62" s="12">
        <v>57</v>
      </c>
      <c r="O62" s="87">
        <f>VLOOKUP($B62&amp;"__wt",'SegEnds_Xtal_BW#'!$A:$Z,15,FALSE)</f>
        <v>38</v>
      </c>
      <c r="P62" s="1">
        <f>VLOOKUP($B62&amp;"__wt",'SegEnds_Xtal_BW#'!$A:$Z,16,FALSE)</f>
        <v>63</v>
      </c>
      <c r="Q62" s="1">
        <f>VLOOKUP($B62&amp;"__wt",'SegEnds_Xtal_BW#'!$A:$Z,17,FALSE)</f>
        <v>50</v>
      </c>
      <c r="R62" s="1">
        <f>VLOOKUP($B62&amp;"__wt",'SegEnds_Xtal_BW#'!$A:$Z,18,FALSE)</f>
        <v>52</v>
      </c>
      <c r="S62" s="1">
        <f>VLOOKUP($B62&amp;"__wt",'SegEnds_Xtal_BW#'!$A:$Z,19,FALSE)</f>
        <v>34</v>
      </c>
      <c r="T62" s="1">
        <f t="array" ref="T62">INDEX(ICL3_classA!$G$2:$G$39,MATCH(MIN(ABS(AI62-ICL3_classA!$F$2:$F$39)),ABS(AI62-ICL3_classA!$F$2:$F$39),0))</f>
        <v>67</v>
      </c>
      <c r="U62" s="1">
        <f t="array" ref="U62">INDEX(ICL3_classA!$H$2:$H$39,MATCH(MIN(ABS(AI62-ICL3_classA!$F$2:$F$39)),ABS(AI62-ICL3_classA!$F$2:$F$39),0))</f>
        <v>26</v>
      </c>
      <c r="V62" s="1">
        <v>61</v>
      </c>
      <c r="W62" s="1">
        <v>31</v>
      </c>
      <c r="X62" s="1">
        <f>VLOOKUP($B62&amp;"__wt",'SegEnds_Xtal_BW#'!$A:$Z,24,FALSE)</f>
        <v>56</v>
      </c>
      <c r="Y62" s="1">
        <f>VLOOKUP($B62&amp;"__wt",'SegEnds_Xtal_BW#'!$A:$Z,25,FALSE)</f>
        <v>47</v>
      </c>
      <c r="Z62" s="1">
        <f>VLOOKUP($B62&amp;"__wt",'SegEnds_Xtal_BW#'!$A:$Z,26,FALSE)</f>
        <v>69</v>
      </c>
      <c r="AA62" s="27" t="str">
        <f>VLOOKUP(A62,Classification!A:B,2,FALSE)</f>
        <v>A</v>
      </c>
      <c r="AB62" s="1">
        <f>VLOOKUP(A62,'SegEnds_NonXtal_Prot#'!A:AL,10,FALSE)-VLOOKUP(A62,'SegEnds_NonXtal_Prot#'!A:AL,4,FALSE)</f>
        <v>28</v>
      </c>
      <c r="AC62" s="1">
        <f>VLOOKUP(A62,'SegEnds_NonXtal_Prot#'!A:AL,10,FALSE)-VLOOKUP(A62,'SegEnds_NonXtal_Prot#'!A:AL,7,FALSE)</f>
        <v>14</v>
      </c>
      <c r="AD62" s="1">
        <f>VLOOKUP(A62,'SegEnds_NonXtal_Prot#'!A:AL,13,FALSE)-VLOOKUP(A62,'SegEnds_NonXtal_Prot#'!A:AL,10,FALSE)</f>
        <v>28</v>
      </c>
      <c r="AE62" s="1">
        <f>VLOOKUP(A62,'SegEnds_NonXtal_Prot#'!A:AL,16,FALSE)-VLOOKUP(A62,'SegEnds_NonXtal_Prot#'!A:AL,10,FALSE)</f>
        <v>59</v>
      </c>
      <c r="AF62" s="1">
        <f>VLOOKUP(A62,'SegEnds_NonXtal_Prot#'!A:AL,22,FALSE)-VLOOKUP(A62,'SegEnds_NonXtal_Prot#'!A:AL,19,FALSE)</f>
        <v>20</v>
      </c>
      <c r="AG62" s="1">
        <f>VLOOKUP(A62,'SegEnds_NonXtal_Prot#'!A:AL,28,FALSE)-VLOOKUP(A62,'SegEnds_NonXtal_Prot#'!A:AL,25,FALSE)</f>
        <v>24</v>
      </c>
      <c r="AH62" s="1">
        <f>VLOOKUP(A62,'SegEnds_NonXtal_Prot#'!A:AL,28,FALSE)-VLOOKUP(A62,'SegEnds_NonXtal_Prot#'!A:AL,22,FALSE)</f>
        <v>47</v>
      </c>
      <c r="AI62" s="1">
        <f>VLOOKUP(A62,'SegEnds_NonXtal_Prot#'!A:AL,31,FALSE)-VLOOKUP(A62,'SegEnds_NonXtal_Prot#'!A:AL,28,FALSE)</f>
        <v>46</v>
      </c>
      <c r="AJ62" s="1">
        <f>VLOOKUP(A62,'SegEnds_NonXtal_Prot#'!A:AL,34,FALSE)-VLOOKUP(A62,'SegEnds_NonXtal_Prot#'!A:AL,31,FALSE)</f>
        <v>36</v>
      </c>
      <c r="AK62" s="1">
        <f>VLOOKUP(A62,'SegEnds_NonXtal_Prot#'!A:AL,37,FALSE)-VLOOKUP(A62,'SegEnds_NonXtal_Prot#'!A:AL,34,FALSE)</f>
        <v>10</v>
      </c>
      <c r="AL62" s="1" t="str">
        <f>IF(ISERROR(MATCH(A62,'SegEnds_Xtal_Prot#'!B:B, 0)), "NoXtal", "Xtal")</f>
        <v>NoXtal</v>
      </c>
    </row>
    <row r="63" spans="1:38" x14ac:dyDescent="0.2">
      <c r="A63" s="1" t="s">
        <v>218</v>
      </c>
      <c r="B63" s="1" t="str">
        <f>VLOOKUP(A63,Xtal_Templ!A:B,2,FALSE)</f>
        <v>fpr2_human</v>
      </c>
      <c r="C63" s="5">
        <f>VLOOKUP($B63&amp;"__wt",'SegEnds_Xtal_BW#'!$A:$Z,3,FALSE)</f>
        <v>25</v>
      </c>
      <c r="D63" s="1">
        <f>VLOOKUP($B63&amp;"__wt",'SegEnds_Xtal_BW#'!$A:$Z,4,FALSE)</f>
        <v>61</v>
      </c>
      <c r="E63" s="1" t="str">
        <f>VLOOKUP($B63&amp;"__wt",'SegEnds_Xtal_BW#'!$A:$Z,5,FALSE)</f>
        <v>-</v>
      </c>
      <c r="F63" s="1" t="str">
        <f>VLOOKUP($B63&amp;"__wt",'SegEnds_Xtal_BW#'!$A:$Z,6,FALSE)</f>
        <v>-</v>
      </c>
      <c r="G63" s="1">
        <v>37</v>
      </c>
      <c r="H63" s="12">
        <v>63</v>
      </c>
      <c r="I63" s="1">
        <f>VLOOKUP($B63&amp;"__wt",'SegEnds_Xtal_BW#'!$A:$Z,9,FALSE)</f>
        <v>49</v>
      </c>
      <c r="J63" s="1">
        <f>VLOOKUP($B63&amp;"__wt",'SegEnds_Xtal_BW#'!$A:$Z,10,FALSE)</f>
        <v>52</v>
      </c>
      <c r="K63" s="12">
        <v>24</v>
      </c>
      <c r="L63" s="1">
        <f>VLOOKUP($B63&amp;"__wt",'SegEnds_Xtal_BW#'!$A:$Z,12,FALSE)</f>
        <v>56</v>
      </c>
      <c r="M63" s="1">
        <f>VLOOKUP($B63&amp;"__wt",'SegEnds_Xtal_BW#'!$A:$Z,13,FALSE)</f>
        <v>50</v>
      </c>
      <c r="N63" s="12">
        <v>56</v>
      </c>
      <c r="O63" s="87">
        <v>38</v>
      </c>
      <c r="P63" s="1">
        <f>VLOOKUP($B63&amp;"__wt",'SegEnds_Xtal_BW#'!$A:$Z,16,FALSE)</f>
        <v>64</v>
      </c>
      <c r="Q63" s="1">
        <f>VLOOKUP($B63&amp;"__wt",'SegEnds_Xtal_BW#'!$A:$Z,17,FALSE)</f>
        <v>50</v>
      </c>
      <c r="R63" s="1">
        <f>VLOOKUP($B63&amp;"__wt",'SegEnds_Xtal_BW#'!$A:$Z,18,FALSE)</f>
        <v>52</v>
      </c>
      <c r="S63" s="1">
        <f>VLOOKUP($B63&amp;"__wt",'SegEnds_Xtal_BW#'!$A:$Z,19,FALSE)</f>
        <v>23</v>
      </c>
      <c r="T63" s="1">
        <f t="array" ref="T63">INDEX(ICL3_classA!$G$2:$G$39,MATCH(MIN(ABS(AI63-ICL3_classA!$F$2:$F$39)),ABS(AI63-ICL3_classA!$F$2:$F$39),0))</f>
        <v>68</v>
      </c>
      <c r="U63" s="1">
        <f t="array" ref="U63">INDEX(ICL3_classA!$H$2:$H$39,MATCH(MIN(ABS(AI63-ICL3_classA!$F$2:$F$39)),ABS(AI63-ICL3_classA!$F$2:$F$39),0))</f>
        <v>24</v>
      </c>
      <c r="V63" s="1">
        <v>64</v>
      </c>
      <c r="W63" s="1">
        <v>24</v>
      </c>
      <c r="X63" s="1">
        <f>VLOOKUP($B63&amp;"__wt",'SegEnds_Xtal_BW#'!$A:$Z,24,FALSE)</f>
        <v>56</v>
      </c>
      <c r="Y63" s="1">
        <f>VLOOKUP($B63&amp;"__wt",'SegEnds_Xtal_BW#'!$A:$Z,25,FALSE)</f>
        <v>47</v>
      </c>
      <c r="Z63" s="1">
        <f>VLOOKUP($B63&amp;"__wt",'SegEnds_Xtal_BW#'!$A:$Z,26,FALSE)</f>
        <v>58</v>
      </c>
      <c r="AA63" s="27" t="str">
        <f>VLOOKUP(A63,Classification!A:B,2,FALSE)</f>
        <v>A</v>
      </c>
      <c r="AB63" s="1">
        <f>VLOOKUP(A63,'SegEnds_NonXtal_Prot#'!A:AL,10,FALSE)-VLOOKUP(A63,'SegEnds_NonXtal_Prot#'!A:AL,4,FALSE)</f>
        <v>33</v>
      </c>
      <c r="AC63" s="1" t="e">
        <f>VLOOKUP(A63,'SegEnds_NonXtal_Prot#'!A:AL,10,FALSE)-VLOOKUP(A63,'SegEnds_NonXtal_Prot#'!A:AL,7,FALSE)</f>
        <v>#VALUE!</v>
      </c>
      <c r="AD63" s="1">
        <f>VLOOKUP(A63,'SegEnds_NonXtal_Prot#'!A:AL,13,FALSE)-VLOOKUP(A63,'SegEnds_NonXtal_Prot#'!A:AL,10,FALSE)</f>
        <v>17</v>
      </c>
      <c r="AE63" s="1">
        <f>VLOOKUP(A63,'SegEnds_NonXtal_Prot#'!A:AL,16,FALSE)-VLOOKUP(A63,'SegEnds_NonXtal_Prot#'!A:AL,10,FALSE)</f>
        <v>49</v>
      </c>
      <c r="AF63" s="1" t="e">
        <f>VLOOKUP(A63,'SegEnds_NonXtal_Prot#'!A:AL,22,FALSE)-VLOOKUP(A63,'SegEnds_NonXtal_Prot#'!A:AL,19,FALSE)</f>
        <v>#VALUE!</v>
      </c>
      <c r="AG63" s="1" t="e">
        <f>VLOOKUP(A63,'SegEnds_NonXtal_Prot#'!A:AL,28,FALSE)-VLOOKUP(A63,'SegEnds_NonXtal_Prot#'!A:AL,25,FALSE)</f>
        <v>#VALUE!</v>
      </c>
      <c r="AH63" s="1">
        <f>VLOOKUP(A63,'SegEnds_NonXtal_Prot#'!A:AL,28,FALSE)-VLOOKUP(A63,'SegEnds_NonXtal_Prot#'!A:AL,22,FALSE)</f>
        <v>47</v>
      </c>
      <c r="AI63" s="1">
        <f>VLOOKUP(A63,'SegEnds_NonXtal_Prot#'!A:AL,31,FALSE)-VLOOKUP(A63,'SegEnds_NonXtal_Prot#'!A:AL,28,FALSE)</f>
        <v>49</v>
      </c>
      <c r="AJ63" s="1">
        <f>VLOOKUP(A63,'SegEnds_NonXtal_Prot#'!A:AL,34,FALSE)-VLOOKUP(A63,'SegEnds_NonXtal_Prot#'!A:AL,31,FALSE)</f>
        <v>45</v>
      </c>
      <c r="AK63" s="1">
        <f>VLOOKUP(A63,'SegEnds_NonXtal_Prot#'!A:AL,37,FALSE)-VLOOKUP(A63,'SegEnds_NonXtal_Prot#'!A:AL,34,FALSE)</f>
        <v>10</v>
      </c>
      <c r="AL63" s="1" t="str">
        <f>IF(ISERROR(MATCH(A63,'SegEnds_Xtal_Prot#'!B:B, 0)), "NoXtal", "Xtal")</f>
        <v>NoXtal</v>
      </c>
    </row>
    <row r="64" spans="1:38" x14ac:dyDescent="0.2">
      <c r="A64" s="4" t="s">
        <v>241</v>
      </c>
      <c r="B64" s="4" t="str">
        <f>VLOOKUP(A64,Xtal_Templ!A:B,2,FALSE)</f>
        <v>ox2r_human</v>
      </c>
      <c r="C64" s="5">
        <f>VLOOKUP($B64&amp;"__wt",'SegEnds_Xtal_BW#'!$A:$Z,3,FALSE)</f>
        <v>31</v>
      </c>
      <c r="D64" s="4">
        <f>VLOOKUP($B64&amp;"__wt",'SegEnds_Xtal_BW#'!$A:$Z,4,FALSE)</f>
        <v>60</v>
      </c>
      <c r="E64" s="4">
        <f>VLOOKUP($B64&amp;"__wt",'SegEnds_Xtal_BW#'!$A:$Z,5,FALSE)</f>
        <v>48</v>
      </c>
      <c r="F64" s="4">
        <f>VLOOKUP($B64&amp;"__wt",'SegEnds_Xtal_BW#'!$A:$Z,6,FALSE)</f>
        <v>51</v>
      </c>
      <c r="G64" s="4">
        <v>37</v>
      </c>
      <c r="H64" s="12">
        <f>VLOOKUP($B64&amp;"__wt",'SegEnds_Xtal_BW#'!$A:$Z,8,FALSE)</f>
        <v>68</v>
      </c>
      <c r="I64" s="4">
        <f>VLOOKUP($B64&amp;"__wt",'SegEnds_Xtal_BW#'!$A:$Z,9,FALSE)</f>
        <v>49</v>
      </c>
      <c r="J64" s="4">
        <f>VLOOKUP($B64&amp;"__wt",'SegEnds_Xtal_BW#'!$A:$Z,10,FALSE)</f>
        <v>52</v>
      </c>
      <c r="K64" s="11">
        <v>18</v>
      </c>
      <c r="L64" s="4">
        <f>VLOOKUP($B64&amp;"__wt",'SegEnds_Xtal_BW#'!$A:$Z,12,FALSE)</f>
        <v>56</v>
      </c>
      <c r="M64" s="4">
        <f>VLOOKUP($B64&amp;"__wt",'SegEnds_Xtal_BW#'!$A:$Z,13,FALSE)</f>
        <v>50</v>
      </c>
      <c r="N64" s="11">
        <v>53</v>
      </c>
      <c r="O64" s="87">
        <f>VLOOKUP($B64&amp;"__wt",'SegEnds_Xtal_BW#'!$A:$Z,15,FALSE)</f>
        <v>38</v>
      </c>
      <c r="P64" s="4">
        <f>VLOOKUP($B64&amp;"__wt",'SegEnds_Xtal_BW#'!$A:$Z,16,FALSE)</f>
        <v>64</v>
      </c>
      <c r="Q64" s="4">
        <f>VLOOKUP($B64&amp;"__wt",'SegEnds_Xtal_BW#'!$A:$Z,17,FALSE)</f>
        <v>50</v>
      </c>
      <c r="R64" s="4">
        <f>VLOOKUP($B64&amp;"__wt",'SegEnds_Xtal_BW#'!$A:$Z,18,FALSE)</f>
        <v>52</v>
      </c>
      <c r="S64" s="4">
        <f>VLOOKUP($B64&amp;"__wt",'SegEnds_Xtal_BW#'!$A:$Z,19,FALSE)</f>
        <v>33</v>
      </c>
      <c r="T64" s="4">
        <f t="array" ref="T64">INDEX(ICL3_classA!$G$2:$G$39,MATCH(MIN(ABS(AI64-ICL3_classA!$F$2:$F$39)),ABS(AI64-ICL3_classA!$F$2:$F$39),0))</f>
        <v>73</v>
      </c>
      <c r="U64" s="4">
        <f t="array" ref="U64">INDEX(ICL3_classA!$H$2:$H$39,MATCH(MIN(ABS(AI64-ICL3_classA!$F$2:$F$39)),ABS(AI64-ICL3_classA!$F$2:$F$39),0))</f>
        <v>22</v>
      </c>
      <c r="V64" s="4">
        <v>61</v>
      </c>
      <c r="W64" s="4">
        <v>31</v>
      </c>
      <c r="X64" s="4">
        <f>VLOOKUP($B64&amp;"__wt",'SegEnds_Xtal_BW#'!$A:$Z,24,FALSE)</f>
        <v>56</v>
      </c>
      <c r="Y64" s="4">
        <f>VLOOKUP($B64&amp;"__wt",'SegEnds_Xtal_BW#'!$A:$Z,25,FALSE)</f>
        <v>47</v>
      </c>
      <c r="Z64" s="4">
        <f>VLOOKUP($B64&amp;"__wt",'SegEnds_Xtal_BW#'!$A:$Z,26,FALSE)</f>
        <v>63</v>
      </c>
      <c r="AA64" s="27" t="str">
        <f>VLOOKUP(A64,Classification!A:B,2,FALSE)</f>
        <v>A</v>
      </c>
      <c r="AB64" s="1">
        <f>VLOOKUP(A64,'SegEnds_NonXtal_Prot#'!A:AL,10,FALSE)-VLOOKUP(A64,'SegEnds_NonXtal_Prot#'!A:AL,4,FALSE)</f>
        <v>28</v>
      </c>
      <c r="AC64" s="4">
        <f>VLOOKUP(A64,'SegEnds_NonXtal_Prot#'!A:AL,10,FALSE)-VLOOKUP(A64,'SegEnds_NonXtal_Prot#'!A:AL,7,FALSE)</f>
        <v>15</v>
      </c>
      <c r="AD64" s="4">
        <f>VLOOKUP(A64,'SegEnds_NonXtal_Prot#'!A:AL,13,FALSE)-VLOOKUP(A64,'SegEnds_NonXtal_Prot#'!A:AL,10,FALSE)</f>
        <v>20</v>
      </c>
      <c r="AE64" s="4">
        <f>VLOOKUP(A64,'SegEnds_NonXtal_Prot#'!A:AL,16,FALSE)-VLOOKUP(A64,'SegEnds_NonXtal_Prot#'!A:AL,10,FALSE)</f>
        <v>52</v>
      </c>
      <c r="AF64" s="1">
        <f>VLOOKUP(A64,'SegEnds_NonXtal_Prot#'!A:AL,22,FALSE)-VLOOKUP(A64,'SegEnds_NonXtal_Prot#'!A:AL,19,FALSE)</f>
        <v>18</v>
      </c>
      <c r="AG64" s="4">
        <f>VLOOKUP(A64,'SegEnds_NonXtal_Prot#'!A:AL,28,FALSE)-VLOOKUP(A64,'SegEnds_NonXtal_Prot#'!A:AL,25,FALSE)</f>
        <v>25</v>
      </c>
      <c r="AH64" s="1">
        <f>VLOOKUP(A64,'SegEnds_NonXtal_Prot#'!A:AL,28,FALSE)-VLOOKUP(A64,'SegEnds_NonXtal_Prot#'!A:AL,22,FALSE)</f>
        <v>47</v>
      </c>
      <c r="AI64" s="4">
        <f>VLOOKUP(A64,'SegEnds_NonXtal_Prot#'!A:AL,31,FALSE)-VLOOKUP(A64,'SegEnds_NonXtal_Prot#'!A:AL,28,FALSE)</f>
        <v>56</v>
      </c>
      <c r="AJ64" s="4">
        <f>VLOOKUP(A64,'SegEnds_NonXtal_Prot#'!A:AL,34,FALSE)-VLOOKUP(A64,'SegEnds_NonXtal_Prot#'!A:AL,31,FALSE)</f>
        <v>36</v>
      </c>
      <c r="AK64" s="1">
        <f>VLOOKUP(A64,'SegEnds_NonXtal_Prot#'!A:AL,37,FALSE)-VLOOKUP(A64,'SegEnds_NonXtal_Prot#'!A:AL,34,FALSE)</f>
        <v>10</v>
      </c>
      <c r="AL64" s="1" t="str">
        <f>IF(ISERROR(MATCH(A64,'SegEnds_Xtal_Prot#'!B:B, 0)), "NoXtal", "Xtal")</f>
        <v>NoXtal</v>
      </c>
    </row>
    <row r="65" spans="1:38" x14ac:dyDescent="0.2">
      <c r="A65" s="1" t="s">
        <v>260</v>
      </c>
      <c r="B65" s="1" t="str">
        <f>VLOOKUP(A65,Xtal_Templ!A:B,2,FALSE)</f>
        <v>oprk_human</v>
      </c>
      <c r="C65" s="5">
        <f>VLOOKUP($B65&amp;"__wt",'SegEnds_Xtal_BW#'!$A:$Z,3,FALSE)</f>
        <v>30</v>
      </c>
      <c r="D65" s="1">
        <f>VLOOKUP($B65&amp;"__wt",'SegEnds_Xtal_BW#'!$A:$Z,4,FALSE)</f>
        <v>60</v>
      </c>
      <c r="E65" s="1">
        <f>VLOOKUP($B65&amp;"__wt",'SegEnds_Xtal_BW#'!$A:$Z,5,FALSE)</f>
        <v>48</v>
      </c>
      <c r="F65" s="1">
        <f>VLOOKUP($B65&amp;"__wt",'SegEnds_Xtal_BW#'!$A:$Z,6,FALSE)</f>
        <v>51</v>
      </c>
      <c r="G65" s="1">
        <v>37</v>
      </c>
      <c r="H65" s="12">
        <v>66</v>
      </c>
      <c r="I65" s="1">
        <f>VLOOKUP($B65&amp;"__wt",'SegEnds_Xtal_BW#'!$A:$Z,9,FALSE)</f>
        <v>49</v>
      </c>
      <c r="J65" s="1">
        <f>VLOOKUP($B65&amp;"__wt",'SegEnds_Xtal_BW#'!$A:$Z,10,FALSE)</f>
        <v>52</v>
      </c>
      <c r="K65" s="12">
        <v>24</v>
      </c>
      <c r="L65" s="1">
        <f>VLOOKUP($B65&amp;"__wt",'SegEnds_Xtal_BW#'!$A:$Z,12,FALSE)</f>
        <v>56</v>
      </c>
      <c r="M65" s="1">
        <f>VLOOKUP($B65&amp;"__wt",'SegEnds_Xtal_BW#'!$A:$Z,13,FALSE)</f>
        <v>50</v>
      </c>
      <c r="N65" s="12">
        <v>57</v>
      </c>
      <c r="O65" s="87">
        <v>38</v>
      </c>
      <c r="P65" s="1">
        <f>VLOOKUP($B65&amp;"__wt",'SegEnds_Xtal_BW#'!$A:$Z,16,FALSE)</f>
        <v>64</v>
      </c>
      <c r="Q65" s="1">
        <f>VLOOKUP($B65&amp;"__wt",'SegEnds_Xtal_BW#'!$A:$Z,17,FALSE)</f>
        <v>50</v>
      </c>
      <c r="R65" s="1">
        <f>VLOOKUP($B65&amp;"__wt",'SegEnds_Xtal_BW#'!$A:$Z,18,FALSE)</f>
        <v>52</v>
      </c>
      <c r="S65" s="1">
        <f>VLOOKUP($B65&amp;"__wt",'SegEnds_Xtal_BW#'!$A:$Z,19,FALSE)</f>
        <v>30</v>
      </c>
      <c r="T65" s="1">
        <f t="array" ref="T65">INDEX(ICL3_classA!$G$2:$G$39,MATCH(MIN(ABS(AI65-ICL3_classA!$F$2:$F$39)),ABS(AI65-ICL3_classA!$F$2:$F$39),0))</f>
        <v>68</v>
      </c>
      <c r="U65" s="1">
        <f t="array" ref="U65">INDEX(ICL3_classA!$H$2:$H$39,MATCH(MIN(ABS(AI65-ICL3_classA!$F$2:$F$39)),ABS(AI65-ICL3_classA!$F$2:$F$39),0))</f>
        <v>24</v>
      </c>
      <c r="V65" s="1">
        <v>64</v>
      </c>
      <c r="W65" s="1">
        <v>24</v>
      </c>
      <c r="X65" s="1">
        <f>VLOOKUP($B65&amp;"__wt",'SegEnds_Xtal_BW#'!$A:$Z,24,FALSE)</f>
        <v>56</v>
      </c>
      <c r="Y65" s="1">
        <f>VLOOKUP($B65&amp;"__wt",'SegEnds_Xtal_BW#'!$A:$Z,25,FALSE)</f>
        <v>47</v>
      </c>
      <c r="Z65" s="1">
        <f>VLOOKUP($B65&amp;"__wt",'SegEnds_Xtal_BW#'!$A:$Z,26,FALSE)</f>
        <v>59</v>
      </c>
      <c r="AA65" s="27" t="str">
        <f>VLOOKUP(A65,Classification!A:B,2,FALSE)</f>
        <v>A</v>
      </c>
      <c r="AB65" s="1">
        <f>VLOOKUP(A65,'SegEnds_NonXtal_Prot#'!A:AL,10,FALSE)-VLOOKUP(A65,'SegEnds_NonXtal_Prot#'!A:AL,4,FALSE)</f>
        <v>32</v>
      </c>
      <c r="AC65" s="1" t="e">
        <f>VLOOKUP(A65,'SegEnds_NonXtal_Prot#'!A:AL,10,FALSE)-VLOOKUP(A65,'SegEnds_NonXtal_Prot#'!A:AL,7,FALSE)</f>
        <v>#VALUE!</v>
      </c>
      <c r="AD65" s="1" t="e">
        <f>VLOOKUP(A65,'SegEnds_NonXtal_Prot#'!A:AL,13,FALSE)-VLOOKUP(A65,'SegEnds_NonXtal_Prot#'!A:AL,10,FALSE)</f>
        <v>#VALUE!</v>
      </c>
      <c r="AE65" s="1">
        <f>VLOOKUP(A65,'SegEnds_NonXtal_Prot#'!A:AL,16,FALSE)-VLOOKUP(A65,'SegEnds_NonXtal_Prot#'!A:AL,10,FALSE)</f>
        <v>49</v>
      </c>
      <c r="AF65" s="1">
        <f>VLOOKUP(A65,'SegEnds_NonXtal_Prot#'!A:AL,22,FALSE)-VLOOKUP(A65,'SegEnds_NonXtal_Prot#'!A:AL,19,FALSE)</f>
        <v>20</v>
      </c>
      <c r="AG65" s="1">
        <f>VLOOKUP(A65,'SegEnds_NonXtal_Prot#'!A:AL,28,FALSE)-VLOOKUP(A65,'SegEnds_NonXtal_Prot#'!A:AL,25,FALSE)</f>
        <v>25</v>
      </c>
      <c r="AH65" s="1">
        <f>VLOOKUP(A65,'SegEnds_NonXtal_Prot#'!A:AL,28,FALSE)-VLOOKUP(A65,'SegEnds_NonXtal_Prot#'!A:AL,22,FALSE)</f>
        <v>47</v>
      </c>
      <c r="AI65" s="1">
        <f>VLOOKUP(A65,'SegEnds_NonXtal_Prot#'!A:AL,31,FALSE)-VLOOKUP(A65,'SegEnds_NonXtal_Prot#'!A:AL,28,FALSE)</f>
        <v>48</v>
      </c>
      <c r="AJ65" s="1">
        <f>VLOOKUP(A65,'SegEnds_NonXtal_Prot#'!A:AL,34,FALSE)-VLOOKUP(A65,'SegEnds_NonXtal_Prot#'!A:AL,31,FALSE)</f>
        <v>44</v>
      </c>
      <c r="AK65" s="1">
        <f>VLOOKUP(A65,'SegEnds_NonXtal_Prot#'!A:AL,37,FALSE)-VLOOKUP(A65,'SegEnds_NonXtal_Prot#'!A:AL,34,FALSE)</f>
        <v>10</v>
      </c>
      <c r="AL65" s="1" t="str">
        <f>IF(ISERROR(MATCH(A65,'SegEnds_Xtal_Prot#'!B:B, 0)), "NoXtal", "Xtal")</f>
        <v>NoXtal</v>
      </c>
    </row>
    <row r="66" spans="1:38" x14ac:dyDescent="0.2">
      <c r="A66" s="1" t="s">
        <v>263</v>
      </c>
      <c r="B66" s="1" t="str">
        <f>VLOOKUP(A66,Xtal_Templ!A:B,2,FALSE)</f>
        <v>drd3_human</v>
      </c>
      <c r="C66" s="5">
        <f>VLOOKUP($B66&amp;"__wt",'SegEnds_Xtal_BW#'!$A:$Z,3,FALSE)</f>
        <v>29</v>
      </c>
      <c r="D66" s="1">
        <f>VLOOKUP($B66&amp;"__wt",'SegEnds_Xtal_BW#'!$A:$Z,4,FALSE)</f>
        <v>60</v>
      </c>
      <c r="E66" s="1">
        <f>VLOOKUP($B66&amp;"__wt",'SegEnds_Xtal_BW#'!$A:$Z,5,FALSE)</f>
        <v>48</v>
      </c>
      <c r="F66" s="1">
        <f>VLOOKUP($B66&amp;"__wt",'SegEnds_Xtal_BW#'!$A:$Z,6,FALSE)</f>
        <v>51</v>
      </c>
      <c r="G66" s="1">
        <v>37</v>
      </c>
      <c r="H66" s="12">
        <f>VLOOKUP($B66&amp;"__wt",'SegEnds_Xtal_BW#'!$A:$Z,8,FALSE)</f>
        <v>67</v>
      </c>
      <c r="I66" s="1">
        <f>VLOOKUP($B66&amp;"__wt",'SegEnds_Xtal_BW#'!$A:$Z,9,FALSE)</f>
        <v>49</v>
      </c>
      <c r="J66" s="1">
        <f>VLOOKUP($B66&amp;"__wt",'SegEnds_Xtal_BW#'!$A:$Z,10,FALSE)</f>
        <v>52</v>
      </c>
      <c r="K66" s="12">
        <v>18</v>
      </c>
      <c r="L66" s="1">
        <f>VLOOKUP($B66&amp;"__wt",'SegEnds_Xtal_BW#'!$A:$Z,12,FALSE)</f>
        <v>56</v>
      </c>
      <c r="M66" s="1">
        <f>VLOOKUP($B66&amp;"__wt",'SegEnds_Xtal_BW#'!$A:$Z,13,FALSE)</f>
        <v>50</v>
      </c>
      <c r="N66" s="12">
        <f>VLOOKUP($B66&amp;"__wt",'SegEnds_Xtal_BW#'!$A:$Z,14,FALSE)</f>
        <v>58</v>
      </c>
      <c r="O66" s="87">
        <f>VLOOKUP($B66&amp;"__wt",'SegEnds_Xtal_BW#'!$A:$Z,15,FALSE)</f>
        <v>38</v>
      </c>
      <c r="P66" s="1">
        <f>VLOOKUP($B66&amp;"__wt",'SegEnds_Xtal_BW#'!$A:$Z,16,FALSE)</f>
        <v>63</v>
      </c>
      <c r="Q66" s="1">
        <f>VLOOKUP($B66&amp;"__wt",'SegEnds_Xtal_BW#'!$A:$Z,17,FALSE)</f>
        <v>50</v>
      </c>
      <c r="R66" s="1">
        <f>VLOOKUP($B66&amp;"__wt",'SegEnds_Xtal_BW#'!$A:$Z,18,FALSE)</f>
        <v>52</v>
      </c>
      <c r="S66" s="115">
        <v>35</v>
      </c>
      <c r="T66" s="1">
        <f t="array" ref="T66">INDEX(ICL3_classA!$G$2:$G$39,MATCH(MIN(ABS(AI66-ICL3_classA!$F$2:$F$39)),ABS(AI66-ICL3_classA!$F$2:$F$39),0))</f>
        <v>76</v>
      </c>
      <c r="U66" s="1">
        <f t="array" ref="U66">INDEX(ICL3_classA!$H$2:$H$39,MATCH(MIN(ABS(AI66-ICL3_classA!$F$2:$F$39)),ABS(AI66-ICL3_classA!$F$2:$F$39),0))</f>
        <v>24</v>
      </c>
      <c r="V66" s="1">
        <v>58</v>
      </c>
      <c r="W66" s="1">
        <v>35</v>
      </c>
      <c r="X66" s="1">
        <f>VLOOKUP($B66&amp;"__wt",'SegEnds_Xtal_BW#'!$A:$Z,24,FALSE)</f>
        <v>56</v>
      </c>
      <c r="Y66" s="1">
        <f>VLOOKUP($B66&amp;"__wt",'SegEnds_Xtal_BW#'!$A:$Z,25,FALSE)</f>
        <v>47</v>
      </c>
      <c r="Z66" s="1">
        <f>VLOOKUP($B66&amp;"__wt",'SegEnds_Xtal_BW#'!$A:$Z,26,FALSE)</f>
        <v>59</v>
      </c>
      <c r="AA66" s="27" t="str">
        <f>VLOOKUP(A66,Classification!A:B,2,FALSE)</f>
        <v>A</v>
      </c>
      <c r="AB66" s="1">
        <f>VLOOKUP(A66,'SegEnds_NonXtal_Prot#'!A:AL,10,FALSE)-VLOOKUP(A66,'SegEnds_NonXtal_Prot#'!A:AL,4,FALSE)</f>
        <v>26</v>
      </c>
      <c r="AC66" s="1" t="e">
        <f>VLOOKUP(A66,'SegEnds_NonXtal_Prot#'!A:AL,10,FALSE)-VLOOKUP(A66,'SegEnds_NonXtal_Prot#'!A:AL,7,FALSE)</f>
        <v>#VALUE!</v>
      </c>
      <c r="AD66" s="1" t="e">
        <f>VLOOKUP(A66,'SegEnds_NonXtal_Prot#'!A:AL,13,FALSE)-VLOOKUP(A66,'SegEnds_NonXtal_Prot#'!A:AL,10,FALSE)</f>
        <v>#VALUE!</v>
      </c>
      <c r="AE66" s="1">
        <f>VLOOKUP(A66,'SegEnds_NonXtal_Prot#'!A:AL,16,FALSE)-VLOOKUP(A66,'SegEnds_NonXtal_Prot#'!A:AL,10,FALSE)</f>
        <v>55</v>
      </c>
      <c r="AF66" s="1" t="e">
        <f>VLOOKUP(A66,'SegEnds_NonXtal_Prot#'!A:AL,22,FALSE)-VLOOKUP(A66,'SegEnds_NonXtal_Prot#'!A:AL,19,FALSE)</f>
        <v>#VALUE!</v>
      </c>
      <c r="AG66" s="1">
        <f>VLOOKUP(A66,'SegEnds_NonXtal_Prot#'!A:AL,28,FALSE)-VLOOKUP(A66,'SegEnds_NonXtal_Prot#'!A:AL,25,FALSE)</f>
        <v>22</v>
      </c>
      <c r="AH66" s="1">
        <f>VLOOKUP(A66,'SegEnds_NonXtal_Prot#'!A:AL,28,FALSE)-VLOOKUP(A66,'SegEnds_NonXtal_Prot#'!A:AL,22,FALSE)</f>
        <v>47</v>
      </c>
      <c r="AI66" s="1">
        <f>VLOOKUP(A66,'SegEnds_NonXtal_Prot#'!A:AL,31,FALSE)-VLOOKUP(A66,'SegEnds_NonXtal_Prot#'!A:AL,28,FALSE)</f>
        <v>72</v>
      </c>
      <c r="AJ66" s="1">
        <f>VLOOKUP(A66,'SegEnds_NonXtal_Prot#'!A:AL,34,FALSE)-VLOOKUP(A66,'SegEnds_NonXtal_Prot#'!A:AL,31,FALSE)</f>
        <v>31</v>
      </c>
      <c r="AK66" s="1">
        <f>VLOOKUP(A66,'SegEnds_NonXtal_Prot#'!A:AL,37,FALSE)-VLOOKUP(A66,'SegEnds_NonXtal_Prot#'!A:AL,34,FALSE)</f>
        <v>10</v>
      </c>
      <c r="AL66" s="1" t="str">
        <f>IF(ISERROR(MATCH(A66,'SegEnds_Xtal_Prot#'!B:B, 0)), "NoXtal", "Xtal")</f>
        <v>NoXtal</v>
      </c>
    </row>
    <row r="67" spans="1:38" x14ac:dyDescent="0.2">
      <c r="A67" s="1" t="s">
        <v>282</v>
      </c>
      <c r="B67" s="1" t="str">
        <f>VLOOKUP(A67,Xtal_Templ!A:B,2,FALSE)</f>
        <v>agtr1_human</v>
      </c>
      <c r="C67" s="5">
        <f>VLOOKUP($B67&amp;"__wt",'SegEnds_Xtal_BW#'!$A:$Z,3,FALSE)</f>
        <v>28</v>
      </c>
      <c r="D67" s="1">
        <f>VLOOKUP($B67&amp;"__wt",'SegEnds_Xtal_BW#'!$A:$Z,4,FALSE)</f>
        <v>60</v>
      </c>
      <c r="E67" s="1">
        <f>VLOOKUP($B67&amp;"__wt",'SegEnds_Xtal_BW#'!$A:$Z,5,FALSE)</f>
        <v>48</v>
      </c>
      <c r="F67" s="1">
        <f>VLOOKUP($B67&amp;"__wt",'SegEnds_Xtal_BW#'!$A:$Z,6,FALSE)</f>
        <v>51</v>
      </c>
      <c r="G67" s="1">
        <v>37</v>
      </c>
      <c r="H67" s="12">
        <v>67</v>
      </c>
      <c r="I67" s="1">
        <f>VLOOKUP($B67&amp;"__wt",'SegEnds_Xtal_BW#'!$A:$Z,9,FALSE)</f>
        <v>49</v>
      </c>
      <c r="J67" s="1">
        <f>VLOOKUP($B67&amp;"__wt",'SegEnds_Xtal_BW#'!$A:$Z,10,FALSE)</f>
        <v>52</v>
      </c>
      <c r="K67" s="12">
        <v>18</v>
      </c>
      <c r="L67" s="1">
        <f>VLOOKUP($B67&amp;"__wt",'SegEnds_Xtal_BW#'!$A:$Z,12,FALSE)</f>
        <v>56</v>
      </c>
      <c r="M67" s="1">
        <f>VLOOKUP($B67&amp;"__wt",'SegEnds_Xtal_BW#'!$A:$Z,13,FALSE)</f>
        <v>50</v>
      </c>
      <c r="N67" s="12">
        <v>57</v>
      </c>
      <c r="O67" s="87">
        <f>VLOOKUP($B67&amp;"__wt",'SegEnds_Xtal_BW#'!$A:$Z,15,FALSE)</f>
        <v>38</v>
      </c>
      <c r="P67" s="1">
        <f>VLOOKUP($B67&amp;"__wt",'SegEnds_Xtal_BW#'!$A:$Z,16,FALSE)</f>
        <v>64</v>
      </c>
      <c r="Q67" s="1">
        <f>VLOOKUP($B67&amp;"__wt",'SegEnds_Xtal_BW#'!$A:$Z,17,FALSE)</f>
        <v>50</v>
      </c>
      <c r="R67" s="1">
        <f>VLOOKUP($B67&amp;"__wt",'SegEnds_Xtal_BW#'!$A:$Z,18,FALSE)</f>
        <v>52</v>
      </c>
      <c r="S67" s="1">
        <f>VLOOKUP($B67&amp;"__wt",'SegEnds_Xtal_BW#'!$A:$Z,19,FALSE)</f>
        <v>34</v>
      </c>
      <c r="T67" s="1">
        <f t="array" ref="T67">INDEX(ICL3_classA!$G$2:$G$39,MATCH(MIN(ABS(AI67-ICL3_classA!$F$2:$F$39)),ABS(AI67-ICL3_classA!$F$2:$F$39),0))</f>
        <v>67</v>
      </c>
      <c r="U67" s="1">
        <f t="array" ref="U67">INDEX(ICL3_classA!$H$2:$H$39,MATCH(MIN(ABS(AI67-ICL3_classA!$F$2:$F$39)),ABS(AI67-ICL3_classA!$F$2:$F$39),0))</f>
        <v>28</v>
      </c>
      <c r="V67" s="1">
        <v>61</v>
      </c>
      <c r="W67" s="1">
        <v>31</v>
      </c>
      <c r="X67" s="1">
        <f>VLOOKUP($B67&amp;"__wt",'SegEnds_Xtal_BW#'!$A:$Z,24,FALSE)</f>
        <v>56</v>
      </c>
      <c r="Y67" s="1">
        <f>VLOOKUP($B67&amp;"__wt",'SegEnds_Xtal_BW#'!$A:$Z,25,FALSE)</f>
        <v>47</v>
      </c>
      <c r="Z67" s="1">
        <f>VLOOKUP($B67&amp;"__wt",'SegEnds_Xtal_BW#'!$A:$Z,26,FALSE)</f>
        <v>61</v>
      </c>
      <c r="AA67" s="27" t="str">
        <f>VLOOKUP(A67,Classification!A:B,2,FALSE)</f>
        <v>A</v>
      </c>
      <c r="AB67" s="1">
        <f>VLOOKUP(A67,'SegEnds_NonXtal_Prot#'!A:AL,10,FALSE)-VLOOKUP(A67,'SegEnds_NonXtal_Prot#'!A:AL,4,FALSE)</f>
        <v>28</v>
      </c>
      <c r="AC67" s="1" t="e">
        <f>VLOOKUP(A67,'SegEnds_NonXtal_Prot#'!A:AL,10,FALSE)-VLOOKUP(A67,'SegEnds_NonXtal_Prot#'!A:AL,7,FALSE)</f>
        <v>#VALUE!</v>
      </c>
      <c r="AD67" s="1" t="e">
        <f>VLOOKUP(A67,'SegEnds_NonXtal_Prot#'!A:AL,13,FALSE)-VLOOKUP(A67,'SegEnds_NonXtal_Prot#'!A:AL,10,FALSE)</f>
        <v>#VALUE!</v>
      </c>
      <c r="AE67" s="1">
        <f>VLOOKUP(A67,'SegEnds_NonXtal_Prot#'!A:AL,16,FALSE)-VLOOKUP(A67,'SegEnds_NonXtal_Prot#'!A:AL,10,FALSE)</f>
        <v>59</v>
      </c>
      <c r="AF67" s="1">
        <f>VLOOKUP(A67,'SegEnds_NonXtal_Prot#'!A:AL,22,FALSE)-VLOOKUP(A67,'SegEnds_NonXtal_Prot#'!A:AL,19,FALSE)</f>
        <v>20</v>
      </c>
      <c r="AG67" s="1">
        <f>VLOOKUP(A67,'SegEnds_NonXtal_Prot#'!A:AL,28,FALSE)-VLOOKUP(A67,'SegEnds_NonXtal_Prot#'!A:AL,25,FALSE)</f>
        <v>24</v>
      </c>
      <c r="AH67" s="1">
        <f>VLOOKUP(A67,'SegEnds_NonXtal_Prot#'!A:AL,28,FALSE)-VLOOKUP(A67,'SegEnds_NonXtal_Prot#'!A:AL,22,FALSE)</f>
        <v>47</v>
      </c>
      <c r="AI67" s="1">
        <f>VLOOKUP(A67,'SegEnds_NonXtal_Prot#'!A:AL,31,FALSE)-VLOOKUP(A67,'SegEnds_NonXtal_Prot#'!A:AL,28,FALSE)</f>
        <v>45</v>
      </c>
      <c r="AJ67" s="1">
        <f>VLOOKUP(A67,'SegEnds_NonXtal_Prot#'!A:AL,34,FALSE)-VLOOKUP(A67,'SegEnds_NonXtal_Prot#'!A:AL,31,FALSE)</f>
        <v>36</v>
      </c>
      <c r="AK67" s="1">
        <f>VLOOKUP(A67,'SegEnds_NonXtal_Prot#'!A:AL,37,FALSE)-VLOOKUP(A67,'SegEnds_NonXtal_Prot#'!A:AL,34,FALSE)</f>
        <v>10</v>
      </c>
      <c r="AL67" s="1" t="str">
        <f>IF(ISERROR(MATCH(A67,'SegEnds_Xtal_Prot#'!B:B, 0)), "NoXtal", "Xtal")</f>
        <v>NoXtal</v>
      </c>
    </row>
    <row r="68" spans="1:38" x14ac:dyDescent="0.2">
      <c r="A68" s="1" t="s">
        <v>283</v>
      </c>
      <c r="B68" s="1" t="str">
        <f>VLOOKUP(A68,Xtal_Templ!A:B,2,FALSE)</f>
        <v>aa2ar_human</v>
      </c>
      <c r="C68" s="5">
        <f>VLOOKUP($B68&amp;"__wt",'SegEnds_Xtal_BW#'!$A:$Z,3,FALSE)</f>
        <v>27</v>
      </c>
      <c r="D68" s="1">
        <f>VLOOKUP($B68&amp;"__wt",'SegEnds_Xtal_BW#'!$A:$Z,4,FALSE)</f>
        <v>60</v>
      </c>
      <c r="E68" s="1">
        <f>VLOOKUP($B68&amp;"__wt",'SegEnds_Xtal_BW#'!$A:$Z,5,FALSE)</f>
        <v>48</v>
      </c>
      <c r="F68" s="1">
        <f>VLOOKUP($B68&amp;"__wt",'SegEnds_Xtal_BW#'!$A:$Z,6,FALSE)</f>
        <v>51</v>
      </c>
      <c r="G68" s="1">
        <v>37</v>
      </c>
      <c r="H68" s="12">
        <f>VLOOKUP($B68&amp;"__wt",'SegEnds_Xtal_BW#'!$A:$Z,8,FALSE)</f>
        <v>67</v>
      </c>
      <c r="I68" s="1">
        <v>49</v>
      </c>
      <c r="J68" s="1">
        <f>VLOOKUP($B68&amp;"__wt",'SegEnds_Xtal_BW#'!$A:$Z,10,FALSE)</f>
        <v>52</v>
      </c>
      <c r="K68" s="12">
        <v>18</v>
      </c>
      <c r="L68" s="1">
        <f>VLOOKUP($B68&amp;"__wt",'SegEnds_Xtal_BW#'!$A:$Z,12,FALSE)</f>
        <v>56</v>
      </c>
      <c r="M68" s="1">
        <f>VLOOKUP($B68&amp;"__wt",'SegEnds_Xtal_BW#'!$A:$Z,13,FALSE)</f>
        <v>50</v>
      </c>
      <c r="N68" s="12">
        <v>57</v>
      </c>
      <c r="O68" s="87">
        <f>VLOOKUP($B68&amp;"__wt",'SegEnds_Xtal_BW#'!$A:$Z,15,FALSE)</f>
        <v>38</v>
      </c>
      <c r="P68" s="1">
        <f>VLOOKUP($B68&amp;"__wt",'SegEnds_Xtal_BW#'!$A:$Z,16,FALSE)</f>
        <v>63</v>
      </c>
      <c r="Q68" s="1">
        <f>VLOOKUP($B68&amp;"__wt",'SegEnds_Xtal_BW#'!$A:$Z,17,FALSE)</f>
        <v>50</v>
      </c>
      <c r="R68" s="1">
        <f>VLOOKUP($B68&amp;"__wt",'SegEnds_Xtal_BW#'!$A:$Z,18,FALSE)</f>
        <v>52</v>
      </c>
      <c r="S68" s="1">
        <f>VLOOKUP($B68&amp;"__wt",'SegEnds_Xtal_BW#'!$A:$Z,19,FALSE)</f>
        <v>34</v>
      </c>
      <c r="T68" s="1">
        <f t="array" ref="T68">INDEX(ICL3_classA!$G$2:$G$39,MATCH(MIN(ABS(AI68-ICL3_classA!$F$2:$F$39)),ABS(AI68-ICL3_classA!$F$2:$F$39),0))</f>
        <v>67</v>
      </c>
      <c r="U68" s="1">
        <f t="array" ref="U68">INDEX(ICL3_classA!$H$2:$H$39,MATCH(MIN(ABS(AI68-ICL3_classA!$F$2:$F$39)),ABS(AI68-ICL3_classA!$F$2:$F$39),0))</f>
        <v>28</v>
      </c>
      <c r="V68" s="1">
        <v>61</v>
      </c>
      <c r="W68" s="1">
        <v>31</v>
      </c>
      <c r="X68" s="1">
        <f>VLOOKUP($B68&amp;"__wt",'SegEnds_Xtal_BW#'!$A:$Z,24,FALSE)</f>
        <v>56</v>
      </c>
      <c r="Y68" s="1">
        <f>VLOOKUP($B68&amp;"__wt",'SegEnds_Xtal_BW#'!$A:$Z,25,FALSE)</f>
        <v>47</v>
      </c>
      <c r="Z68" s="1">
        <f>VLOOKUP($B68&amp;"__wt",'SegEnds_Xtal_BW#'!$A:$Z,26,FALSE)</f>
        <v>69</v>
      </c>
      <c r="AA68" s="27" t="str">
        <f>VLOOKUP(A68,Classification!A:B,2,FALSE)</f>
        <v>A</v>
      </c>
      <c r="AB68" s="1">
        <f>VLOOKUP(A68,'SegEnds_NonXtal_Prot#'!A:AL,10,FALSE)-VLOOKUP(A68,'SegEnds_NonXtal_Prot#'!A:AL,4,FALSE)</f>
        <v>28</v>
      </c>
      <c r="AC68" s="1" t="e">
        <f>VLOOKUP(A68,'SegEnds_NonXtal_Prot#'!A:AL,10,FALSE)-VLOOKUP(A68,'SegEnds_NonXtal_Prot#'!A:AL,7,FALSE)</f>
        <v>#VALUE!</v>
      </c>
      <c r="AD68" s="1" t="e">
        <f>VLOOKUP(A68,'SegEnds_NonXtal_Prot#'!A:AL,13,FALSE)-VLOOKUP(A68,'SegEnds_NonXtal_Prot#'!A:AL,10,FALSE)</f>
        <v>#VALUE!</v>
      </c>
      <c r="AE68" s="1">
        <f>VLOOKUP(A68,'SegEnds_NonXtal_Prot#'!A:AL,16,FALSE)-VLOOKUP(A68,'SegEnds_NonXtal_Prot#'!A:AL,10,FALSE)</f>
        <v>59</v>
      </c>
      <c r="AF68" s="1">
        <f>VLOOKUP(A68,'SegEnds_NonXtal_Prot#'!A:AL,22,FALSE)-VLOOKUP(A68,'SegEnds_NonXtal_Prot#'!A:AL,19,FALSE)</f>
        <v>20</v>
      </c>
      <c r="AG68" s="1">
        <f>VLOOKUP(A68,'SegEnds_NonXtal_Prot#'!A:AL,28,FALSE)-VLOOKUP(A68,'SegEnds_NonXtal_Prot#'!A:AL,25,FALSE)</f>
        <v>24</v>
      </c>
      <c r="AH68" s="1">
        <f>VLOOKUP(A68,'SegEnds_NonXtal_Prot#'!A:AL,28,FALSE)-VLOOKUP(A68,'SegEnds_NonXtal_Prot#'!A:AL,22,FALSE)</f>
        <v>47</v>
      </c>
      <c r="AI68" s="1">
        <f>VLOOKUP(A68,'SegEnds_NonXtal_Prot#'!A:AL,31,FALSE)-VLOOKUP(A68,'SegEnds_NonXtal_Prot#'!A:AL,28,FALSE)</f>
        <v>45</v>
      </c>
      <c r="AJ68" s="1">
        <f>VLOOKUP(A68,'SegEnds_NonXtal_Prot#'!A:AL,34,FALSE)-VLOOKUP(A68,'SegEnds_NonXtal_Prot#'!A:AL,31,FALSE)</f>
        <v>36</v>
      </c>
      <c r="AK68" s="1">
        <f>VLOOKUP(A68,'SegEnds_NonXtal_Prot#'!A:AL,37,FALSE)-VLOOKUP(A68,'SegEnds_NonXtal_Prot#'!A:AL,34,FALSE)</f>
        <v>10</v>
      </c>
      <c r="AL68" s="1" t="str">
        <f>IF(ISERROR(MATCH(A68,'SegEnds_Xtal_Prot#'!B:B, 0)), "NoXtal", "Xtal")</f>
        <v>NoXtal</v>
      </c>
    </row>
    <row r="69" spans="1:38" x14ac:dyDescent="0.2">
      <c r="A69" s="1" t="s">
        <v>290</v>
      </c>
      <c r="B69" s="1" t="str">
        <f>VLOOKUP(A69,Xtal_Templ!A:B,2,FALSE)</f>
        <v>hrh1_human</v>
      </c>
      <c r="C69" s="5">
        <f>VLOOKUP($B69&amp;"__wt",'SegEnds_Xtal_BW#'!$A:$Z,3,FALSE)</f>
        <v>34</v>
      </c>
      <c r="D69" s="1">
        <f>VLOOKUP($B69&amp;"__wt",'SegEnds_Xtal_BW#'!$A:$Z,4,FALSE)</f>
        <v>60</v>
      </c>
      <c r="E69" s="1">
        <f>VLOOKUP($B69&amp;"__wt",'SegEnds_Xtal_BW#'!$A:$Z,5,FALSE)</f>
        <v>48</v>
      </c>
      <c r="F69" s="1">
        <f>VLOOKUP($B69&amp;"__wt",'SegEnds_Xtal_BW#'!$A:$Z,6,FALSE)</f>
        <v>51</v>
      </c>
      <c r="G69" s="1">
        <v>37</v>
      </c>
      <c r="H69" s="12">
        <f>VLOOKUP($B69&amp;"__wt",'SegEnds_Xtal_BW#'!$A:$Z,8,FALSE)</f>
        <v>67</v>
      </c>
      <c r="I69" s="1">
        <v>49</v>
      </c>
      <c r="J69" s="1">
        <f>VLOOKUP($B69&amp;"__wt",'SegEnds_Xtal_BW#'!$A:$Z,10,FALSE)</f>
        <v>52</v>
      </c>
      <c r="K69" s="12">
        <v>18</v>
      </c>
      <c r="L69" s="1">
        <f>VLOOKUP($B69&amp;"__wt",'SegEnds_Xtal_BW#'!$A:$Z,12,FALSE)</f>
        <v>56</v>
      </c>
      <c r="M69" s="1">
        <f>VLOOKUP($B69&amp;"__wt",'SegEnds_Xtal_BW#'!$A:$Z,13,FALSE)</f>
        <v>50</v>
      </c>
      <c r="N69" s="12">
        <v>57</v>
      </c>
      <c r="O69" s="87">
        <f>VLOOKUP($B69&amp;"__wt",'SegEnds_Xtal_BW#'!$A:$Z,15,FALSE)</f>
        <v>38</v>
      </c>
      <c r="P69" s="1">
        <f>VLOOKUP($B69&amp;"__wt",'SegEnds_Xtal_BW#'!$A:$Z,16,FALSE)</f>
        <v>62</v>
      </c>
      <c r="Q69" s="1">
        <f>VLOOKUP($B69&amp;"__wt",'SegEnds_Xtal_BW#'!$A:$Z,17,FALSE)</f>
        <v>50</v>
      </c>
      <c r="R69" s="1">
        <f>VLOOKUP($B69&amp;"__wt",'SegEnds_Xtal_BW#'!$A:$Z,18,FALSE)</f>
        <v>52</v>
      </c>
      <c r="S69" s="1">
        <f>VLOOKUP($B69&amp;"__wt",'SegEnds_Xtal_BW#'!$A:$Z,19,FALSE)</f>
        <v>35</v>
      </c>
      <c r="T69" s="1">
        <f t="array" ref="T69">INDEX(ICL3_classA!$G$2:$G$39,MATCH(MIN(ABS(AI69-ICL3_classA!$F$2:$F$39)),ABS(AI69-ICL3_classA!$F$2:$F$39),0))</f>
        <v>67</v>
      </c>
      <c r="U69" s="1">
        <f t="array" ref="U69">INDEX(ICL3_classA!$H$2:$H$39,MATCH(MIN(ABS(AI69-ICL3_classA!$F$2:$F$39)),ABS(AI69-ICL3_classA!$F$2:$F$39),0))</f>
        <v>26</v>
      </c>
      <c r="V69" s="1">
        <v>61</v>
      </c>
      <c r="W69" s="1">
        <v>31</v>
      </c>
      <c r="X69" s="1">
        <f>VLOOKUP($B69&amp;"__wt",'SegEnds_Xtal_BW#'!$A:$Z,24,FALSE)</f>
        <v>56</v>
      </c>
      <c r="Y69" s="1">
        <f>VLOOKUP($B69&amp;"__wt",'SegEnds_Xtal_BW#'!$A:$Z,25,FALSE)</f>
        <v>47</v>
      </c>
      <c r="Z69" s="1">
        <f>VLOOKUP($B69&amp;"__wt",'SegEnds_Xtal_BW#'!$A:$Z,26,FALSE)</f>
        <v>59</v>
      </c>
      <c r="AA69" s="27" t="str">
        <f>VLOOKUP(A69,Classification!A:B,2,FALSE)</f>
        <v>A</v>
      </c>
      <c r="AB69" s="1">
        <f>VLOOKUP(A69,'SegEnds_NonXtal_Prot#'!A:AL,10,FALSE)-VLOOKUP(A69,'SegEnds_NonXtal_Prot#'!A:AL,4,FALSE)</f>
        <v>28</v>
      </c>
      <c r="AC69" s="1">
        <f>VLOOKUP(A69,'SegEnds_NonXtal_Prot#'!A:AL,10,FALSE)-VLOOKUP(A69,'SegEnds_NonXtal_Prot#'!A:AL,7,FALSE)</f>
        <v>14</v>
      </c>
      <c r="AD69" s="1">
        <f>VLOOKUP(A69,'SegEnds_NonXtal_Prot#'!A:AL,13,FALSE)-VLOOKUP(A69,'SegEnds_NonXtal_Prot#'!A:AL,10,FALSE)</f>
        <v>28</v>
      </c>
      <c r="AE69" s="1">
        <f>VLOOKUP(A69,'SegEnds_NonXtal_Prot#'!A:AL,16,FALSE)-VLOOKUP(A69,'SegEnds_NonXtal_Prot#'!A:AL,10,FALSE)</f>
        <v>59</v>
      </c>
      <c r="AF69" s="1">
        <f>VLOOKUP(A69,'SegEnds_NonXtal_Prot#'!A:AL,22,FALSE)-VLOOKUP(A69,'SegEnds_NonXtal_Prot#'!A:AL,19,FALSE)</f>
        <v>20</v>
      </c>
      <c r="AG69" s="1">
        <f>VLOOKUP(A69,'SegEnds_NonXtal_Prot#'!A:AL,28,FALSE)-VLOOKUP(A69,'SegEnds_NonXtal_Prot#'!A:AL,25,FALSE)</f>
        <v>24</v>
      </c>
      <c r="AH69" s="1">
        <f>VLOOKUP(A69,'SegEnds_NonXtal_Prot#'!A:AL,28,FALSE)-VLOOKUP(A69,'SegEnds_NonXtal_Prot#'!A:AL,22,FALSE)</f>
        <v>47</v>
      </c>
      <c r="AI69" s="1">
        <f>VLOOKUP(A69,'SegEnds_NonXtal_Prot#'!A:AL,31,FALSE)-VLOOKUP(A69,'SegEnds_NonXtal_Prot#'!A:AL,28,FALSE)</f>
        <v>46</v>
      </c>
      <c r="AJ69" s="1">
        <f>VLOOKUP(A69,'SegEnds_NonXtal_Prot#'!A:AL,34,FALSE)-VLOOKUP(A69,'SegEnds_NonXtal_Prot#'!A:AL,31,FALSE)</f>
        <v>36</v>
      </c>
      <c r="AK69" s="1">
        <f>VLOOKUP(A69,'SegEnds_NonXtal_Prot#'!A:AL,37,FALSE)-VLOOKUP(A69,'SegEnds_NonXtal_Prot#'!A:AL,34,FALSE)</f>
        <v>10</v>
      </c>
      <c r="AL69" s="1" t="str">
        <f>IF(ISERROR(MATCH(A69,'SegEnds_Xtal_Prot#'!B:B, 0)), "NoXtal", "Xtal")</f>
        <v>NoXtal</v>
      </c>
    </row>
    <row r="70" spans="1:38" x14ac:dyDescent="0.2">
      <c r="A70" s="1" t="s">
        <v>292</v>
      </c>
      <c r="B70" s="1" t="str">
        <f>VLOOKUP(A70,Xtal_Templ!A:B,2,FALSE)</f>
        <v>pd2r2_human</v>
      </c>
      <c r="C70" s="5">
        <f>VLOOKUP($B70&amp;"__wt",'SegEnds_Xtal_BW#'!$A:$Z,3,FALSE)</f>
        <v>32</v>
      </c>
      <c r="D70" s="1">
        <f>VLOOKUP($B70&amp;"__wt",'SegEnds_Xtal_BW#'!$A:$Z,4,FALSE)</f>
        <v>60</v>
      </c>
      <c r="E70" s="1" t="str">
        <f>VLOOKUP($B70&amp;"__wt",'SegEnds_Xtal_BW#'!$A:$Z,5,FALSE)</f>
        <v>-</v>
      </c>
      <c r="F70" s="1" t="str">
        <f>VLOOKUP($B70&amp;"__wt",'SegEnds_Xtal_BW#'!$A:$Z,6,FALSE)</f>
        <v>-</v>
      </c>
      <c r="G70" s="1">
        <v>37</v>
      </c>
      <c r="H70" s="12">
        <v>66</v>
      </c>
      <c r="I70" s="1">
        <f>VLOOKUP($B70&amp;"__wt",'SegEnds_Xtal_BW#'!$A:$Z,9,FALSE)</f>
        <v>49</v>
      </c>
      <c r="J70" s="1">
        <f>VLOOKUP($B70&amp;"__wt",'SegEnds_Xtal_BW#'!$A:$Z,10,FALSE)</f>
        <v>52</v>
      </c>
      <c r="K70" s="12">
        <v>21</v>
      </c>
      <c r="L70" s="1">
        <f>VLOOKUP($B70&amp;"__wt",'SegEnds_Xtal_BW#'!$A:$Z,12,FALSE)</f>
        <v>56</v>
      </c>
      <c r="M70" s="1">
        <f>VLOOKUP($B70&amp;"__wt",'SegEnds_Xtal_BW#'!$A:$Z,13,FALSE)</f>
        <v>50</v>
      </c>
      <c r="N70" s="12">
        <v>57</v>
      </c>
      <c r="O70" s="87">
        <v>38</v>
      </c>
      <c r="P70" s="1">
        <f>VLOOKUP($B70&amp;"__wt",'SegEnds_Xtal_BW#'!$A:$Z,16,FALSE)</f>
        <v>64</v>
      </c>
      <c r="Q70" s="1">
        <f>VLOOKUP($B70&amp;"__wt",'SegEnds_Xtal_BW#'!$A:$Z,17,FALSE)</f>
        <v>50</v>
      </c>
      <c r="R70" s="1">
        <f>VLOOKUP($B70&amp;"__wt",'SegEnds_Xtal_BW#'!$A:$Z,18,FALSE)</f>
        <v>52</v>
      </c>
      <c r="S70" s="1">
        <v>35</v>
      </c>
      <c r="T70" s="1">
        <f t="array" ref="T70">INDEX(ICL3_classA!$G$2:$G$39,MATCH(MIN(ABS(AI70-ICL3_classA!$F$2:$F$39)),ABS(AI70-ICL3_classA!$F$2:$F$39),0))</f>
        <v>67</v>
      </c>
      <c r="U70" s="1">
        <f t="array" ref="U70">INDEX(ICL3_classA!$H$2:$H$39,MATCH(MIN(ABS(AI70-ICL3_classA!$F$2:$F$39)),ABS(AI70-ICL3_classA!$F$2:$F$39),0))</f>
        <v>26</v>
      </c>
      <c r="V70" s="1">
        <v>64</v>
      </c>
      <c r="W70" s="1">
        <v>24</v>
      </c>
      <c r="X70" s="108">
        <v>56</v>
      </c>
      <c r="Y70" s="1">
        <f>VLOOKUP($B70&amp;"__wt",'SegEnds_Xtal_BW#'!$A:$Z,25,FALSE)</f>
        <v>47</v>
      </c>
      <c r="Z70" s="1">
        <f>VLOOKUP($B70&amp;"__wt",'SegEnds_Xtal_BW#'!$A:$Z,26,FALSE)</f>
        <v>64</v>
      </c>
      <c r="AA70" s="27" t="str">
        <f>VLOOKUP(A70,Classification!A:B,2,FALSE)</f>
        <v>A</v>
      </c>
      <c r="AB70" s="1">
        <f>VLOOKUP(A70,'SegEnds_NonXtal_Prot#'!A:AL,10,FALSE)-VLOOKUP(A70,'SegEnds_NonXtal_Prot#'!A:AL,4,FALSE)</f>
        <v>30</v>
      </c>
      <c r="AC70" s="1">
        <f>VLOOKUP(A70,'SegEnds_NonXtal_Prot#'!A:AL,10,FALSE)-VLOOKUP(A70,'SegEnds_NonXtal_Prot#'!A:AL,7,FALSE)</f>
        <v>17</v>
      </c>
      <c r="AD70" s="1">
        <f>VLOOKUP(A70,'SegEnds_NonXtal_Prot#'!A:AL,13,FALSE)-VLOOKUP(A70,'SegEnds_NonXtal_Prot#'!A:AL,10,FALSE)</f>
        <v>19</v>
      </c>
      <c r="AE70" s="1">
        <f>VLOOKUP(A70,'SegEnds_NonXtal_Prot#'!A:AL,16,FALSE)-VLOOKUP(A70,'SegEnds_NonXtal_Prot#'!A:AL,10,FALSE)</f>
        <v>51</v>
      </c>
      <c r="AF70" s="1">
        <f>VLOOKUP(A70,'SegEnds_NonXtal_Prot#'!A:AL,22,FALSE)-VLOOKUP(A70,'SegEnds_NonXtal_Prot#'!A:AL,19,FALSE)</f>
        <v>20</v>
      </c>
      <c r="AG70" s="1">
        <f>VLOOKUP(A70,'SegEnds_NonXtal_Prot#'!A:AL,28,FALSE)-VLOOKUP(A70,'SegEnds_NonXtal_Prot#'!A:AL,25,FALSE)</f>
        <v>22</v>
      </c>
      <c r="AH70" s="1">
        <f>VLOOKUP(A70,'SegEnds_NonXtal_Prot#'!A:AL,28,FALSE)-VLOOKUP(A70,'SegEnds_NonXtal_Prot#'!A:AL,22,FALSE)</f>
        <v>47</v>
      </c>
      <c r="AI70" s="1">
        <f>VLOOKUP(A70,'SegEnds_NonXtal_Prot#'!A:AL,31,FALSE)-VLOOKUP(A70,'SegEnds_NonXtal_Prot#'!A:AL,28,FALSE)</f>
        <v>46</v>
      </c>
      <c r="AJ70" s="1">
        <f>VLOOKUP(A70,'SegEnds_NonXtal_Prot#'!A:AL,34,FALSE)-VLOOKUP(A70,'SegEnds_NonXtal_Prot#'!A:AL,31,FALSE)</f>
        <v>46</v>
      </c>
      <c r="AK70" s="1">
        <f>VLOOKUP(A70,'SegEnds_NonXtal_Prot#'!A:AL,37,FALSE)-VLOOKUP(A70,'SegEnds_NonXtal_Prot#'!A:AL,34,FALSE)</f>
        <v>10</v>
      </c>
      <c r="AL70" s="1" t="str">
        <f>IF(ISERROR(MATCH(A70,'SegEnds_Xtal_Prot#'!B:B, 0)), "NoXtal", "Xtal")</f>
        <v>NoXtal</v>
      </c>
    </row>
    <row r="71" spans="1:38" x14ac:dyDescent="0.2">
      <c r="A71" s="1" t="s">
        <v>310</v>
      </c>
      <c r="B71" s="1" t="str">
        <f>VLOOKUP(A71,Xtal_Templ!A:B,2,FALSE)</f>
        <v>mtr1a_human</v>
      </c>
      <c r="C71" s="5">
        <f>VLOOKUP($B71&amp;"__wt",'SegEnds_Xtal_BW#'!$A:$Z,3,FALSE)</f>
        <v>28</v>
      </c>
      <c r="D71" s="1">
        <f>VLOOKUP($B71&amp;"__wt",'SegEnds_Xtal_BW#'!$A:$Z,4,FALSE)</f>
        <v>60</v>
      </c>
      <c r="E71" s="1">
        <f>VLOOKUP($B71&amp;"__wt",'SegEnds_Xtal_BW#'!$A:$Z,5,FALSE)</f>
        <v>48</v>
      </c>
      <c r="F71" s="1">
        <f>VLOOKUP($B71&amp;"__wt",'SegEnds_Xtal_BW#'!$A:$Z,6,FALSE)</f>
        <v>51</v>
      </c>
      <c r="G71" s="1">
        <v>37</v>
      </c>
      <c r="H71" s="12">
        <f>VLOOKUP($B71&amp;"__wt",'SegEnds_Xtal_BW#'!$A:$Z,8,FALSE)</f>
        <v>68</v>
      </c>
      <c r="I71" s="1">
        <f>VLOOKUP($B71&amp;"__wt",'SegEnds_Xtal_BW#'!$A:$Z,9,FALSE)</f>
        <v>49</v>
      </c>
      <c r="J71" s="1">
        <f>VLOOKUP($B71&amp;"__wt",'SegEnds_Xtal_BW#'!$A:$Z,10,FALSE)</f>
        <v>52</v>
      </c>
      <c r="K71" s="12">
        <v>18</v>
      </c>
      <c r="L71" s="1">
        <f>VLOOKUP($B71&amp;"__wt",'SegEnds_Xtal_BW#'!$A:$Z,12,FALSE)</f>
        <v>56</v>
      </c>
      <c r="M71" s="1">
        <f>VLOOKUP($B71&amp;"__wt",'SegEnds_Xtal_BW#'!$A:$Z,13,FALSE)</f>
        <v>50</v>
      </c>
      <c r="N71" s="12">
        <v>57</v>
      </c>
      <c r="O71" s="87">
        <f>VLOOKUP($B71&amp;"__wt",'SegEnds_Xtal_BW#'!$A:$Z,15,FALSE)</f>
        <v>38</v>
      </c>
      <c r="P71" s="1">
        <f>VLOOKUP($B71&amp;"__wt",'SegEnds_Xtal_BW#'!$A:$Z,16,FALSE)</f>
        <v>64</v>
      </c>
      <c r="Q71" s="1">
        <f>VLOOKUP($B71&amp;"__wt",'SegEnds_Xtal_BW#'!$A:$Z,17,FALSE)</f>
        <v>50</v>
      </c>
      <c r="R71" s="1">
        <f>VLOOKUP($B71&amp;"__wt",'SegEnds_Xtal_BW#'!$A:$Z,18,FALSE)</f>
        <v>52</v>
      </c>
      <c r="S71" s="1">
        <f>VLOOKUP($B71&amp;"__wt",'SegEnds_Xtal_BW#'!$A:$Z,19,FALSE)</f>
        <v>35</v>
      </c>
      <c r="T71" s="1">
        <f t="array" ref="T71">INDEX(ICL3_classA!$G$2:$G$39,MATCH(MIN(ABS(AI71-ICL3_classA!$F$2:$F$39)),ABS(AI71-ICL3_classA!$F$2:$F$39),0))</f>
        <v>72</v>
      </c>
      <c r="U71" s="1">
        <f t="array" ref="U71">INDEX(ICL3_classA!$H$2:$H$39,MATCH(MIN(ABS(AI71-ICL3_classA!$F$2:$F$39)),ABS(AI71-ICL3_classA!$F$2:$F$39),0))</f>
        <v>24</v>
      </c>
      <c r="V71" s="1">
        <v>61</v>
      </c>
      <c r="W71" s="131">
        <f>VLOOKUP($B71&amp;"__wt",'SegEnds_Xtal_BW#'!$A:$Z,23,FALSE)</f>
        <v>31</v>
      </c>
      <c r="X71" s="1">
        <f>VLOOKUP($B71&amp;"__wt",'SegEnds_Xtal_BW#'!$A:$Z,24,FALSE)</f>
        <v>56</v>
      </c>
      <c r="Y71" s="1">
        <f>VLOOKUP($B71&amp;"__wt",'SegEnds_Xtal_BW#'!$A:$Z,25,FALSE)</f>
        <v>47</v>
      </c>
      <c r="Z71" s="1">
        <f>VLOOKUP($B71&amp;"__wt",'SegEnds_Xtal_BW#'!$A:$Z,26,FALSE)</f>
        <v>63</v>
      </c>
      <c r="AA71" s="27" t="str">
        <f>VLOOKUP(A71,Classification!A:B,2,FALSE)</f>
        <v>A</v>
      </c>
      <c r="AB71" s="1">
        <f>VLOOKUP(A71,'SegEnds_NonXtal_Prot#'!A:AL,10,FALSE)-VLOOKUP(A71,'SegEnds_NonXtal_Prot#'!A:AL,4,FALSE)</f>
        <v>28</v>
      </c>
      <c r="AC71" s="1">
        <f>VLOOKUP(A71,'SegEnds_NonXtal_Prot#'!A:AL,10,FALSE)-VLOOKUP(A71,'SegEnds_NonXtal_Prot#'!A:AL,7,FALSE)</f>
        <v>15</v>
      </c>
      <c r="AD71" s="1">
        <f>VLOOKUP(A71,'SegEnds_NonXtal_Prot#'!A:AL,13,FALSE)-VLOOKUP(A71,'SegEnds_NonXtal_Prot#'!A:AL,10,FALSE)</f>
        <v>20</v>
      </c>
      <c r="AE71" s="1">
        <f>VLOOKUP(A71,'SegEnds_NonXtal_Prot#'!A:AL,16,FALSE)-VLOOKUP(A71,'SegEnds_NonXtal_Prot#'!A:AL,10,FALSE)</f>
        <v>52</v>
      </c>
      <c r="AF71" s="1">
        <f>VLOOKUP(A71,'SegEnds_NonXtal_Prot#'!A:AL,22,FALSE)-VLOOKUP(A71,'SegEnds_NonXtal_Prot#'!A:AL,19,FALSE)</f>
        <v>20</v>
      </c>
      <c r="AG71" s="1">
        <f>VLOOKUP(A71,'SegEnds_NonXtal_Prot#'!A:AL,28,FALSE)-VLOOKUP(A71,'SegEnds_NonXtal_Prot#'!A:AL,25,FALSE)</f>
        <v>22</v>
      </c>
      <c r="AH71" s="1">
        <f>VLOOKUP(A71,'SegEnds_NonXtal_Prot#'!A:AL,28,FALSE)-VLOOKUP(A71,'SegEnds_NonXtal_Prot#'!A:AL,22,FALSE)</f>
        <v>47</v>
      </c>
      <c r="AI71" s="1">
        <f>VLOOKUP(A71,'SegEnds_NonXtal_Prot#'!A:AL,31,FALSE)-VLOOKUP(A71,'SegEnds_NonXtal_Prot#'!A:AL,28,FALSE)</f>
        <v>54</v>
      </c>
      <c r="AJ71" s="1">
        <f>VLOOKUP(A71,'SegEnds_NonXtal_Prot#'!A:AL,34,FALSE)-VLOOKUP(A71,'SegEnds_NonXtal_Prot#'!A:AL,31,FALSE)</f>
        <v>39</v>
      </c>
      <c r="AK71" s="1">
        <f>VLOOKUP(A71,'SegEnds_NonXtal_Prot#'!A:AL,37,FALSE)-VLOOKUP(A71,'SegEnds_NonXtal_Prot#'!A:AL,34,FALSE)</f>
        <v>10</v>
      </c>
      <c r="AL71" s="1" t="str">
        <f>IF(ISERROR(MATCH(A71,'SegEnds_Xtal_Prot#'!B:B, 0)), "NoXtal", "Xtal")</f>
        <v>Xtal</v>
      </c>
    </row>
    <row r="72" spans="1:38" x14ac:dyDescent="0.2">
      <c r="A72" s="1" t="s">
        <v>311</v>
      </c>
      <c r="B72" s="1" t="str">
        <f>VLOOKUP(A72,Xtal_Templ!A:B,2,FALSE)</f>
        <v>mtr1b_human</v>
      </c>
      <c r="C72" s="5">
        <f>VLOOKUP($B72&amp;"__wt",'SegEnds_Xtal_BW#'!$A:$Z,3,FALSE)</f>
        <v>30</v>
      </c>
      <c r="D72" s="1">
        <f>VLOOKUP($B72&amp;"__wt",'SegEnds_Xtal_BW#'!$A:$Z,4,FALSE)</f>
        <v>60</v>
      </c>
      <c r="E72" s="1">
        <f>VLOOKUP($B72&amp;"__wt",'SegEnds_Xtal_BW#'!$A:$Z,5,FALSE)</f>
        <v>48</v>
      </c>
      <c r="F72" s="1">
        <f>VLOOKUP($B72&amp;"__wt",'SegEnds_Xtal_BW#'!$A:$Z,6,FALSE)</f>
        <v>51</v>
      </c>
      <c r="G72" s="1">
        <v>37</v>
      </c>
      <c r="H72" s="12">
        <f>VLOOKUP($B72&amp;"__wt",'SegEnds_Xtal_BW#'!$A:$Z,8,FALSE)</f>
        <v>68</v>
      </c>
      <c r="I72" s="1">
        <f>VLOOKUP($B72&amp;"__wt",'SegEnds_Xtal_BW#'!$A:$Z,9,FALSE)</f>
        <v>49</v>
      </c>
      <c r="J72" s="1">
        <f>VLOOKUP($B72&amp;"__wt",'SegEnds_Xtal_BW#'!$A:$Z,10,FALSE)</f>
        <v>52</v>
      </c>
      <c r="K72" s="12">
        <v>18</v>
      </c>
      <c r="L72" s="1">
        <f>VLOOKUP($B72&amp;"__wt",'SegEnds_Xtal_BW#'!$A:$Z,12,FALSE)</f>
        <v>56</v>
      </c>
      <c r="M72" s="1">
        <f>VLOOKUP($B72&amp;"__wt",'SegEnds_Xtal_BW#'!$A:$Z,13,FALSE)</f>
        <v>50</v>
      </c>
      <c r="N72" s="12">
        <v>57</v>
      </c>
      <c r="O72" s="87">
        <f>VLOOKUP($B72&amp;"__wt",'SegEnds_Xtal_BW#'!$A:$Z,15,FALSE)</f>
        <v>38</v>
      </c>
      <c r="P72" s="1">
        <f>VLOOKUP($B72&amp;"__wt",'SegEnds_Xtal_BW#'!$A:$Z,16,FALSE)</f>
        <v>64</v>
      </c>
      <c r="Q72" s="1">
        <f>VLOOKUP($B72&amp;"__wt",'SegEnds_Xtal_BW#'!$A:$Z,17,FALSE)</f>
        <v>50</v>
      </c>
      <c r="R72" s="1">
        <f>VLOOKUP($B72&amp;"__wt",'SegEnds_Xtal_BW#'!$A:$Z,18,FALSE)</f>
        <v>52</v>
      </c>
      <c r="S72" s="1">
        <v>35</v>
      </c>
      <c r="T72" s="1">
        <f t="array" ref="T72">INDEX(ICL3_classA!$G$2:$G$39,MATCH(MIN(ABS(AI72-ICL3_classA!$F$2:$F$39)),ABS(AI72-ICL3_classA!$F$2:$F$39),0))</f>
        <v>72</v>
      </c>
      <c r="U72" s="1">
        <f t="array" ref="U72">INDEX(ICL3_classA!$H$2:$H$39,MATCH(MIN(ABS(AI72-ICL3_classA!$F$2:$F$39)),ABS(AI72-ICL3_classA!$F$2:$F$39),0))</f>
        <v>24</v>
      </c>
      <c r="V72" s="1">
        <v>61</v>
      </c>
      <c r="W72" s="131">
        <f>VLOOKUP($B72&amp;"__wt",'SegEnds_Xtal_BW#'!$A:$Z,23,FALSE)</f>
        <v>31</v>
      </c>
      <c r="X72" s="1">
        <f>VLOOKUP($B72&amp;"__wt",'SegEnds_Xtal_BW#'!$A:$Z,24,FALSE)</f>
        <v>56</v>
      </c>
      <c r="Y72" s="1">
        <f>VLOOKUP($B72&amp;"__wt",'SegEnds_Xtal_BW#'!$A:$Z,25,FALSE)</f>
        <v>47</v>
      </c>
      <c r="Z72" s="1">
        <f>VLOOKUP($B72&amp;"__wt",'SegEnds_Xtal_BW#'!$A:$Z,26,FALSE)</f>
        <v>63</v>
      </c>
      <c r="AA72" s="27" t="str">
        <f>VLOOKUP(A72,Classification!A:B,2,FALSE)</f>
        <v>A</v>
      </c>
      <c r="AB72" s="1">
        <f>VLOOKUP(A72,'SegEnds_NonXtal_Prot#'!A:AL,10,FALSE)-VLOOKUP(A72,'SegEnds_NonXtal_Prot#'!A:AL,4,FALSE)</f>
        <v>28</v>
      </c>
      <c r="AC72" s="1">
        <f>VLOOKUP(A72,'SegEnds_NonXtal_Prot#'!A:AL,10,FALSE)-VLOOKUP(A72,'SegEnds_NonXtal_Prot#'!A:AL,7,FALSE)</f>
        <v>15</v>
      </c>
      <c r="AD72" s="1">
        <f>VLOOKUP(A72,'SegEnds_NonXtal_Prot#'!A:AL,13,FALSE)-VLOOKUP(A72,'SegEnds_NonXtal_Prot#'!A:AL,10,FALSE)</f>
        <v>20</v>
      </c>
      <c r="AE72" s="1">
        <f>VLOOKUP(A72,'SegEnds_NonXtal_Prot#'!A:AL,16,FALSE)-VLOOKUP(A72,'SegEnds_NonXtal_Prot#'!A:AL,10,FALSE)</f>
        <v>52</v>
      </c>
      <c r="AF72" s="1">
        <f>VLOOKUP(A72,'SegEnds_NonXtal_Prot#'!A:AL,22,FALSE)-VLOOKUP(A72,'SegEnds_NonXtal_Prot#'!A:AL,19,FALSE)</f>
        <v>20</v>
      </c>
      <c r="AG72" s="1">
        <f>VLOOKUP(A72,'SegEnds_NonXtal_Prot#'!A:AL,28,FALSE)-VLOOKUP(A72,'SegEnds_NonXtal_Prot#'!A:AL,25,FALSE)</f>
        <v>22</v>
      </c>
      <c r="AH72" s="1">
        <f>VLOOKUP(A72,'SegEnds_NonXtal_Prot#'!A:AL,28,FALSE)-VLOOKUP(A72,'SegEnds_NonXtal_Prot#'!A:AL,22,FALSE)</f>
        <v>47</v>
      </c>
      <c r="AI72" s="1">
        <f>VLOOKUP(A72,'SegEnds_NonXtal_Prot#'!A:AL,31,FALSE)-VLOOKUP(A72,'SegEnds_NonXtal_Prot#'!A:AL,28,FALSE)</f>
        <v>54</v>
      </c>
      <c r="AJ72" s="1">
        <f>VLOOKUP(A72,'SegEnds_NonXtal_Prot#'!A:AL,34,FALSE)-VLOOKUP(A72,'SegEnds_NonXtal_Prot#'!A:AL,31,FALSE)</f>
        <v>39</v>
      </c>
      <c r="AK72" s="1">
        <f>VLOOKUP(A72,'SegEnds_NonXtal_Prot#'!A:AL,37,FALSE)-VLOOKUP(A72,'SegEnds_NonXtal_Prot#'!A:AL,34,FALSE)</f>
        <v>10</v>
      </c>
      <c r="AL72" s="1" t="str">
        <f>IF(ISERROR(MATCH(A72,'SegEnds_Xtal_Prot#'!B:B, 0)), "NoXtal", "Xtal")</f>
        <v>Xtal</v>
      </c>
    </row>
    <row r="73" spans="1:38" x14ac:dyDescent="0.2">
      <c r="A73" s="1" t="s">
        <v>312</v>
      </c>
      <c r="B73" s="1" t="str">
        <f>VLOOKUP(A73,Xtal_Templ!A:B,2,FALSE)</f>
        <v>mtr1a_human</v>
      </c>
      <c r="C73" s="5">
        <f>VLOOKUP($B73&amp;"__wt",'SegEnds_Xtal_BW#'!$A:$Z,3,FALSE)</f>
        <v>28</v>
      </c>
      <c r="D73" s="1">
        <f>VLOOKUP($B73&amp;"__wt",'SegEnds_Xtal_BW#'!$A:$Z,4,FALSE)</f>
        <v>60</v>
      </c>
      <c r="E73" s="1">
        <f>VLOOKUP($B73&amp;"__wt",'SegEnds_Xtal_BW#'!$A:$Z,5,FALSE)</f>
        <v>48</v>
      </c>
      <c r="F73" s="1">
        <f>VLOOKUP($B73&amp;"__wt",'SegEnds_Xtal_BW#'!$A:$Z,6,FALSE)</f>
        <v>51</v>
      </c>
      <c r="G73" s="1">
        <v>37</v>
      </c>
      <c r="H73" s="12">
        <f>VLOOKUP($B73&amp;"__wt",'SegEnds_Xtal_BW#'!$A:$Z,8,FALSE)</f>
        <v>68</v>
      </c>
      <c r="I73" s="1">
        <f>VLOOKUP($B73&amp;"__wt",'SegEnds_Xtal_BW#'!$A:$Z,9,FALSE)</f>
        <v>49</v>
      </c>
      <c r="J73" s="1">
        <f>VLOOKUP($B73&amp;"__wt",'SegEnds_Xtal_BW#'!$A:$Z,10,FALSE)</f>
        <v>52</v>
      </c>
      <c r="K73" s="12">
        <v>18</v>
      </c>
      <c r="L73" s="1">
        <f>VLOOKUP($B73&amp;"__wt",'SegEnds_Xtal_BW#'!$A:$Z,12,FALSE)</f>
        <v>56</v>
      </c>
      <c r="M73" s="1">
        <f>VLOOKUP($B73&amp;"__wt",'SegEnds_Xtal_BW#'!$A:$Z,13,FALSE)</f>
        <v>50</v>
      </c>
      <c r="N73" s="12">
        <v>57</v>
      </c>
      <c r="O73" s="87">
        <f>VLOOKUP($B73&amp;"__wt",'SegEnds_Xtal_BW#'!$A:$Z,15,FALSE)</f>
        <v>38</v>
      </c>
      <c r="P73" s="1">
        <f>VLOOKUP($B73&amp;"__wt",'SegEnds_Xtal_BW#'!$A:$Z,16,FALSE)</f>
        <v>64</v>
      </c>
      <c r="Q73" s="1">
        <f>VLOOKUP($B73&amp;"__wt",'SegEnds_Xtal_BW#'!$A:$Z,17,FALSE)</f>
        <v>50</v>
      </c>
      <c r="R73" s="1">
        <f>VLOOKUP($B73&amp;"__wt",'SegEnds_Xtal_BW#'!$A:$Z,18,FALSE)</f>
        <v>52</v>
      </c>
      <c r="S73" s="1">
        <v>35</v>
      </c>
      <c r="T73" s="1">
        <f t="array" ref="T73">INDEX(ICL3_classA!$G$2:$G$39,MATCH(MIN(ABS(AI73-ICL3_classA!$F$2:$F$39)),ABS(AI73-ICL3_classA!$F$2:$F$39),0))</f>
        <v>72</v>
      </c>
      <c r="U73" s="1">
        <f t="array" ref="U73">INDEX(ICL3_classA!$H$2:$H$39,MATCH(MIN(ABS(AI73-ICL3_classA!$F$2:$F$39)),ABS(AI73-ICL3_classA!$F$2:$F$39),0))</f>
        <v>23</v>
      </c>
      <c r="V73" s="1">
        <v>61</v>
      </c>
      <c r="W73" s="131">
        <f>VLOOKUP($B73&amp;"__wt",'SegEnds_Xtal_BW#'!$A:$Z,23,FALSE)</f>
        <v>31</v>
      </c>
      <c r="X73" s="1">
        <f>VLOOKUP($B73&amp;"__wt",'SegEnds_Xtal_BW#'!$A:$Z,24,FALSE)</f>
        <v>56</v>
      </c>
      <c r="Y73" s="1">
        <f>VLOOKUP($B73&amp;"__wt",'SegEnds_Xtal_BW#'!$A:$Z,25,FALSE)</f>
        <v>47</v>
      </c>
      <c r="Z73" s="1">
        <f>VLOOKUP($B73&amp;"__wt",'SegEnds_Xtal_BW#'!$A:$Z,26,FALSE)</f>
        <v>63</v>
      </c>
      <c r="AA73" s="27" t="str">
        <f>VLOOKUP(A73,Classification!A:B,2,FALSE)</f>
        <v>A</v>
      </c>
      <c r="AB73" s="1">
        <f>VLOOKUP(A73,'SegEnds_NonXtal_Prot#'!A:AL,10,FALSE)-VLOOKUP(A73,'SegEnds_NonXtal_Prot#'!A:AL,4,FALSE)</f>
        <v>28</v>
      </c>
      <c r="AC73" s="1">
        <f>VLOOKUP(A73,'SegEnds_NonXtal_Prot#'!A:AL,10,FALSE)-VLOOKUP(A73,'SegEnds_NonXtal_Prot#'!A:AL,7,FALSE)</f>
        <v>15</v>
      </c>
      <c r="AD73" s="1">
        <f>VLOOKUP(A73,'SegEnds_NonXtal_Prot#'!A:AL,13,FALSE)-VLOOKUP(A73,'SegEnds_NonXtal_Prot#'!A:AL,10,FALSE)</f>
        <v>20</v>
      </c>
      <c r="AE73" s="1">
        <f>VLOOKUP(A73,'SegEnds_NonXtal_Prot#'!A:AL,16,FALSE)-VLOOKUP(A73,'SegEnds_NonXtal_Prot#'!A:AL,10,FALSE)</f>
        <v>52</v>
      </c>
      <c r="AF73" s="1">
        <f>VLOOKUP(A73,'SegEnds_NonXtal_Prot#'!A:AL,22,FALSE)-VLOOKUP(A73,'SegEnds_NonXtal_Prot#'!A:AL,19,FALSE)</f>
        <v>20</v>
      </c>
      <c r="AG73" s="1">
        <f>VLOOKUP(A73,'SegEnds_NonXtal_Prot#'!A:AL,28,FALSE)-VLOOKUP(A73,'SegEnds_NonXtal_Prot#'!A:AL,25,FALSE)</f>
        <v>22</v>
      </c>
      <c r="AH73" s="1">
        <f>VLOOKUP(A73,'SegEnds_NonXtal_Prot#'!A:AL,28,FALSE)-VLOOKUP(A73,'SegEnds_NonXtal_Prot#'!A:AL,22,FALSE)</f>
        <v>47</v>
      </c>
      <c r="AI73" s="1">
        <f>VLOOKUP(A73,'SegEnds_NonXtal_Prot#'!A:AL,31,FALSE)-VLOOKUP(A73,'SegEnds_NonXtal_Prot#'!A:AL,28,FALSE)</f>
        <v>52</v>
      </c>
      <c r="AJ73" s="1">
        <f>VLOOKUP(A73,'SegEnds_NonXtal_Prot#'!A:AL,34,FALSE)-VLOOKUP(A73,'SegEnds_NonXtal_Prot#'!A:AL,31,FALSE)</f>
        <v>39</v>
      </c>
      <c r="AK73" s="1">
        <f>VLOOKUP(A73,'SegEnds_NonXtal_Prot#'!A:AL,37,FALSE)-VLOOKUP(A73,'SegEnds_NonXtal_Prot#'!A:AL,34,FALSE)</f>
        <v>10</v>
      </c>
      <c r="AL73" s="1" t="str">
        <f>IF(ISERROR(MATCH(A73,'SegEnds_Xtal_Prot#'!B:B, 0)), "NoXtal", "Xtal")</f>
        <v>NoXtal</v>
      </c>
    </row>
    <row r="74" spans="1:38" x14ac:dyDescent="0.2">
      <c r="A74" s="1" t="s">
        <v>341</v>
      </c>
      <c r="B74" s="1" t="str">
        <f>VLOOKUP(A74,Xtal_Templ!A:B,2,FALSE)</f>
        <v>pd2r2_human</v>
      </c>
      <c r="C74" s="5">
        <f>VLOOKUP($B74&amp;"__wt",'SegEnds_Xtal_BW#'!$A:$Z,3,FALSE)</f>
        <v>32</v>
      </c>
      <c r="D74" s="1">
        <f>VLOOKUP($B74&amp;"__wt",'SegEnds_Xtal_BW#'!$A:$Z,4,FALSE)</f>
        <v>60</v>
      </c>
      <c r="E74" s="1" t="str">
        <f>VLOOKUP($B74&amp;"__wt",'SegEnds_Xtal_BW#'!$A:$Z,5,FALSE)</f>
        <v>-</v>
      </c>
      <c r="F74" s="1" t="str">
        <f>VLOOKUP($B74&amp;"__wt",'SegEnds_Xtal_BW#'!$A:$Z,6,FALSE)</f>
        <v>-</v>
      </c>
      <c r="G74" s="1">
        <v>37</v>
      </c>
      <c r="H74" s="12">
        <f>VLOOKUP($B74&amp;"__wt",'SegEnds_Xtal_BW#'!$A:$Z,8,FALSE)</f>
        <v>67</v>
      </c>
      <c r="I74" s="1">
        <f>VLOOKUP($B74&amp;"__wt",'SegEnds_Xtal_BW#'!$A:$Z,9,FALSE)</f>
        <v>49</v>
      </c>
      <c r="J74" s="1">
        <f>VLOOKUP($B74&amp;"__wt",'SegEnds_Xtal_BW#'!$A:$Z,10,FALSE)</f>
        <v>52</v>
      </c>
      <c r="K74" s="12">
        <v>18</v>
      </c>
      <c r="L74" s="1">
        <f>VLOOKUP($B74&amp;"__wt",'SegEnds_Xtal_BW#'!$A:$Z,12,FALSE)</f>
        <v>56</v>
      </c>
      <c r="M74" s="1">
        <f>VLOOKUP($B74&amp;"__wt",'SegEnds_Xtal_BW#'!$A:$Z,13,FALSE)</f>
        <v>50</v>
      </c>
      <c r="N74" s="12">
        <f>VLOOKUP($B74&amp;"__wt",'SegEnds_Xtal_BW#'!$A:$Z,14,FALSE)</f>
        <v>57</v>
      </c>
      <c r="O74" s="87">
        <f>VLOOKUP($B74&amp;"__wt",'SegEnds_Xtal_BW#'!$A:$Z,15,FALSE)</f>
        <v>38</v>
      </c>
      <c r="P74" s="1">
        <f>VLOOKUP($B74&amp;"__wt",'SegEnds_Xtal_BW#'!$A:$Z,16,FALSE)</f>
        <v>64</v>
      </c>
      <c r="Q74" s="1">
        <f>VLOOKUP($B74&amp;"__wt",'SegEnds_Xtal_BW#'!$A:$Z,17,FALSE)</f>
        <v>50</v>
      </c>
      <c r="R74" s="1">
        <f>VLOOKUP($B74&amp;"__wt",'SegEnds_Xtal_BW#'!$A:$Z,18,FALSE)</f>
        <v>52</v>
      </c>
      <c r="S74" s="1">
        <f>VLOOKUP($B74&amp;"__wt",'SegEnds_Xtal_BW#'!$A:$Z,19,FALSE)</f>
        <v>26</v>
      </c>
      <c r="T74" s="1">
        <f t="array" ref="T74">INDEX(ICL3_classA!$G$2:$G$39,MATCH(MIN(ABS(AI74-ICL3_classA!$F$2:$F$39)),ABS(AI74-ICL3_classA!$F$2:$F$39),0))</f>
        <v>67</v>
      </c>
      <c r="U74" s="1">
        <f t="array" ref="U74">INDEX(ICL3_classA!$H$2:$H$39,MATCH(MIN(ABS(AI74-ICL3_classA!$F$2:$F$39)),ABS(AI74-ICL3_classA!$F$2:$F$39),0))</f>
        <v>26</v>
      </c>
      <c r="V74" s="1">
        <v>61</v>
      </c>
      <c r="W74" s="1">
        <v>28</v>
      </c>
      <c r="X74" s="1">
        <f>VLOOKUP($B74&amp;"__wt",'SegEnds_Xtal_BW#'!$A:$Z,24,FALSE)</f>
        <v>56</v>
      </c>
      <c r="Y74" s="1">
        <f>VLOOKUP($B74&amp;"__wt",'SegEnds_Xtal_BW#'!$A:$Z,25,FALSE)</f>
        <v>47</v>
      </c>
      <c r="Z74" s="1">
        <f>VLOOKUP($B74&amp;"__wt",'SegEnds_Xtal_BW#'!$A:$Z,26,FALSE)</f>
        <v>64</v>
      </c>
      <c r="AA74" s="27" t="str">
        <f>VLOOKUP(A74,Classification!A:B,2,FALSE)</f>
        <v>A</v>
      </c>
      <c r="AB74" s="1">
        <f>VLOOKUP(A74,'SegEnds_NonXtal_Prot#'!A:AL,10,FALSE)-VLOOKUP(A74,'SegEnds_NonXtal_Prot#'!A:AL,4,FALSE)</f>
        <v>28</v>
      </c>
      <c r="AC74" s="1">
        <f>VLOOKUP(A74,'SegEnds_NonXtal_Prot#'!A:AL,10,FALSE)-VLOOKUP(A74,'SegEnds_NonXtal_Prot#'!A:AL,7,FALSE)</f>
        <v>15</v>
      </c>
      <c r="AD74" s="1">
        <f>VLOOKUP(A74,'SegEnds_NonXtal_Prot#'!A:AL,13,FALSE)-VLOOKUP(A74,'SegEnds_NonXtal_Prot#'!A:AL,10,FALSE)</f>
        <v>20</v>
      </c>
      <c r="AE74" s="1">
        <f>VLOOKUP(A74,'SegEnds_NonXtal_Prot#'!A:AL,16,FALSE)-VLOOKUP(A74,'SegEnds_NonXtal_Prot#'!A:AL,10,FALSE)</f>
        <v>52</v>
      </c>
      <c r="AF74" s="1">
        <f>VLOOKUP(A74,'SegEnds_NonXtal_Prot#'!A:AL,22,FALSE)-VLOOKUP(A74,'SegEnds_NonXtal_Prot#'!A:AL,19,FALSE)</f>
        <v>20</v>
      </c>
      <c r="AG74" s="1">
        <f>VLOOKUP(A74,'SegEnds_NonXtal_Prot#'!A:AL,28,FALSE)-VLOOKUP(A74,'SegEnds_NonXtal_Prot#'!A:AL,25,FALSE)</f>
        <v>27</v>
      </c>
      <c r="AH74" s="1">
        <f>VLOOKUP(A74,'SegEnds_NonXtal_Prot#'!A:AL,28,FALSE)-VLOOKUP(A74,'SegEnds_NonXtal_Prot#'!A:AL,22,FALSE)</f>
        <v>47</v>
      </c>
      <c r="AI74" s="1">
        <f>VLOOKUP(A74,'SegEnds_NonXtal_Prot#'!A:AL,31,FALSE)-VLOOKUP(A74,'SegEnds_NonXtal_Prot#'!A:AL,28,FALSE)</f>
        <v>46</v>
      </c>
      <c r="AJ74" s="1">
        <f>VLOOKUP(A74,'SegEnds_NonXtal_Prot#'!A:AL,34,FALSE)-VLOOKUP(A74,'SegEnds_NonXtal_Prot#'!A:AL,31,FALSE)</f>
        <v>42</v>
      </c>
      <c r="AK74" s="1">
        <f>VLOOKUP(A74,'SegEnds_NonXtal_Prot#'!A:AL,37,FALSE)-VLOOKUP(A74,'SegEnds_NonXtal_Prot#'!A:AL,34,FALSE)</f>
        <v>10</v>
      </c>
      <c r="AL74" s="1" t="str">
        <f>IF(ISERROR(MATCH(A74,'SegEnds_Xtal_Prot#'!B:B, 0)), "NoXtal", "Xtal")</f>
        <v>NoXtal</v>
      </c>
    </row>
    <row r="75" spans="1:38" x14ac:dyDescent="0.2">
      <c r="A75" s="1" t="s">
        <v>394</v>
      </c>
      <c r="B75" s="1" t="str">
        <f>VLOOKUP(A75,Xtal_Templ!A:B,2,FALSE)</f>
        <v>aa2ar_human</v>
      </c>
      <c r="C75" s="5">
        <f>VLOOKUP($B75&amp;"__wt",'SegEnds_Xtal_BW#'!$A:$Z,3,FALSE)</f>
        <v>27</v>
      </c>
      <c r="D75" s="1">
        <f>VLOOKUP($B75&amp;"__wt",'SegEnds_Xtal_BW#'!$A:$Z,4,FALSE)</f>
        <v>60</v>
      </c>
      <c r="E75" s="1">
        <f>VLOOKUP($B75&amp;"__wt",'SegEnds_Xtal_BW#'!$A:$Z,5,FALSE)</f>
        <v>48</v>
      </c>
      <c r="F75" s="1">
        <f>VLOOKUP($B75&amp;"__wt",'SegEnds_Xtal_BW#'!$A:$Z,6,FALSE)</f>
        <v>51</v>
      </c>
      <c r="G75" s="1">
        <v>37</v>
      </c>
      <c r="H75" s="12">
        <f>VLOOKUP($B75&amp;"__wt",'SegEnds_Xtal_BW#'!$A:$Z,8,FALSE)</f>
        <v>67</v>
      </c>
      <c r="I75" s="1">
        <v>49</v>
      </c>
      <c r="J75" s="1">
        <f>VLOOKUP($B75&amp;"__wt",'SegEnds_Xtal_BW#'!$A:$Z,10,FALSE)</f>
        <v>52</v>
      </c>
      <c r="K75" s="12">
        <v>18</v>
      </c>
      <c r="L75" s="1">
        <f>VLOOKUP($B75&amp;"__wt",'SegEnds_Xtal_BW#'!$A:$Z,12,FALSE)</f>
        <v>56</v>
      </c>
      <c r="M75" s="1">
        <f>VLOOKUP($B75&amp;"__wt",'SegEnds_Xtal_BW#'!$A:$Z,13,FALSE)</f>
        <v>50</v>
      </c>
      <c r="N75" s="12">
        <v>57</v>
      </c>
      <c r="O75" s="87">
        <f>VLOOKUP($B75&amp;"__wt",'SegEnds_Xtal_BW#'!$A:$Z,15,FALSE)</f>
        <v>38</v>
      </c>
      <c r="P75" s="1">
        <f>VLOOKUP($B75&amp;"__wt",'SegEnds_Xtal_BW#'!$A:$Z,16,FALSE)</f>
        <v>63</v>
      </c>
      <c r="Q75" s="1">
        <f>VLOOKUP($B75&amp;"__wt",'SegEnds_Xtal_BW#'!$A:$Z,17,FALSE)</f>
        <v>50</v>
      </c>
      <c r="R75" s="1">
        <f>VLOOKUP($B75&amp;"__wt",'SegEnds_Xtal_BW#'!$A:$Z,18,FALSE)</f>
        <v>52</v>
      </c>
      <c r="S75" s="1">
        <f>VLOOKUP($B75&amp;"__wt",'SegEnds_Xtal_BW#'!$A:$Z,19,FALSE)</f>
        <v>34</v>
      </c>
      <c r="T75" s="1">
        <f t="array" ref="T75">INDEX(ICL3_classA!$G$2:$G$39,MATCH(MIN(ABS(AI75-ICL3_classA!$F$2:$F$39)),ABS(AI75-ICL3_classA!$F$2:$F$39),0))</f>
        <v>67</v>
      </c>
      <c r="U75" s="1">
        <f t="array" ref="U75">INDEX(ICL3_classA!$H$2:$H$39,MATCH(MIN(ABS(AI75-ICL3_classA!$F$2:$F$39)),ABS(AI75-ICL3_classA!$F$2:$F$39),0))</f>
        <v>26</v>
      </c>
      <c r="V75" s="1">
        <v>61</v>
      </c>
      <c r="W75" s="1">
        <v>31</v>
      </c>
      <c r="X75" s="1">
        <f>VLOOKUP($B75&amp;"__wt",'SegEnds_Xtal_BW#'!$A:$Z,24,FALSE)</f>
        <v>56</v>
      </c>
      <c r="Y75" s="1">
        <f>VLOOKUP($B75&amp;"__wt",'SegEnds_Xtal_BW#'!$A:$Z,25,FALSE)</f>
        <v>47</v>
      </c>
      <c r="Z75" s="1">
        <f>VLOOKUP($B75&amp;"__wt",'SegEnds_Xtal_BW#'!$A:$Z,26,FALSE)</f>
        <v>69</v>
      </c>
      <c r="AA75" s="27" t="str">
        <f>VLOOKUP(A75,Classification!A:B,2,FALSE)</f>
        <v>A</v>
      </c>
      <c r="AB75" s="1">
        <f>VLOOKUP(A75,'SegEnds_NonXtal_Prot#'!A:AL,10,FALSE)-VLOOKUP(A75,'SegEnds_NonXtal_Prot#'!A:AL,4,FALSE)</f>
        <v>28</v>
      </c>
      <c r="AC75" s="1">
        <f>VLOOKUP(A75,'SegEnds_NonXtal_Prot#'!A:AL,10,FALSE)-VLOOKUP(A75,'SegEnds_NonXtal_Prot#'!A:AL,7,FALSE)</f>
        <v>14</v>
      </c>
      <c r="AD75" s="1">
        <f>VLOOKUP(A75,'SegEnds_NonXtal_Prot#'!A:AL,13,FALSE)-VLOOKUP(A75,'SegEnds_NonXtal_Prot#'!A:AL,10,FALSE)</f>
        <v>28</v>
      </c>
      <c r="AE75" s="1">
        <f>VLOOKUP(A75,'SegEnds_NonXtal_Prot#'!A:AL,16,FALSE)-VLOOKUP(A75,'SegEnds_NonXtal_Prot#'!A:AL,10,FALSE)</f>
        <v>59</v>
      </c>
      <c r="AF75" s="1">
        <f>VLOOKUP(A75,'SegEnds_NonXtal_Prot#'!A:AL,22,FALSE)-VLOOKUP(A75,'SegEnds_NonXtal_Prot#'!A:AL,19,FALSE)</f>
        <v>20</v>
      </c>
      <c r="AG75" s="1">
        <f>VLOOKUP(A75,'SegEnds_NonXtal_Prot#'!A:AL,28,FALSE)-VLOOKUP(A75,'SegEnds_NonXtal_Prot#'!A:AL,25,FALSE)</f>
        <v>24</v>
      </c>
      <c r="AH75" s="1">
        <f>VLOOKUP(A75,'SegEnds_NonXtal_Prot#'!A:AL,28,FALSE)-VLOOKUP(A75,'SegEnds_NonXtal_Prot#'!A:AL,22,FALSE)</f>
        <v>47</v>
      </c>
      <c r="AI75" s="1">
        <f>VLOOKUP(A75,'SegEnds_NonXtal_Prot#'!A:AL,31,FALSE)-VLOOKUP(A75,'SegEnds_NonXtal_Prot#'!A:AL,28,FALSE)</f>
        <v>46</v>
      </c>
      <c r="AJ75" s="1">
        <f>VLOOKUP(A75,'SegEnds_NonXtal_Prot#'!A:AL,34,FALSE)-VLOOKUP(A75,'SegEnds_NonXtal_Prot#'!A:AL,31,FALSE)</f>
        <v>36</v>
      </c>
      <c r="AK75" s="1">
        <f>VLOOKUP(A75,'SegEnds_NonXtal_Prot#'!A:AL,37,FALSE)-VLOOKUP(A75,'SegEnds_NonXtal_Prot#'!A:AL,34,FALSE)</f>
        <v>10</v>
      </c>
      <c r="AL75" s="1" t="str">
        <f>IF(ISERROR(MATCH(A75,'SegEnds_Xtal_Prot#'!B:B, 0)), "NoXtal", "Xtal")</f>
        <v>NoXtal</v>
      </c>
    </row>
    <row r="76" spans="1:38" x14ac:dyDescent="0.2">
      <c r="A76" s="1" t="s">
        <v>211</v>
      </c>
      <c r="B76" s="1" t="str">
        <f>VLOOKUP(A76,Xtal_Templ!A:B,2,FALSE)</f>
        <v>ccr5_human</v>
      </c>
      <c r="C76" s="5">
        <f>VLOOKUP($B76&amp;"__wt",'SegEnds_Xtal_BW#'!$A:$Z,3,FALSE)</f>
        <v>24</v>
      </c>
      <c r="D76" s="1">
        <f>VLOOKUP($B76&amp;"__wt",'SegEnds_Xtal_BW#'!$A:$Z,4,FALSE)</f>
        <v>60</v>
      </c>
      <c r="E76" s="1">
        <f>VLOOKUP($B76&amp;"__wt",'SegEnds_Xtal_BW#'!$A:$Z,5,FALSE)</f>
        <v>48</v>
      </c>
      <c r="F76" s="1">
        <f>VLOOKUP($B76&amp;"__wt",'SegEnds_Xtal_BW#'!$A:$Z,6,FALSE)</f>
        <v>51</v>
      </c>
      <c r="G76" s="1">
        <v>37</v>
      </c>
      <c r="H76" s="12">
        <f>VLOOKUP($B76&amp;"__wt",'SegEnds_Xtal_BW#'!$A:$Z,8,FALSE)</f>
        <v>66</v>
      </c>
      <c r="I76" s="1">
        <f>VLOOKUP($B76&amp;"__wt",'SegEnds_Xtal_BW#'!$A:$Z,9,FALSE)</f>
        <v>49</v>
      </c>
      <c r="J76" s="1">
        <f>VLOOKUP($B76&amp;"__wt",'SegEnds_Xtal_BW#'!$A:$Z,10,FALSE)</f>
        <v>52</v>
      </c>
      <c r="K76" s="12">
        <v>18</v>
      </c>
      <c r="L76" s="1">
        <f>VLOOKUP($B76&amp;"__wt",'SegEnds_Xtal_BW#'!$A:$Z,12,FALSE)</f>
        <v>56</v>
      </c>
      <c r="M76" s="1">
        <f>VLOOKUP($B76&amp;"__wt",'SegEnds_Xtal_BW#'!$A:$Z,13,FALSE)</f>
        <v>50</v>
      </c>
      <c r="N76" s="12">
        <v>57</v>
      </c>
      <c r="O76" s="87">
        <v>38</v>
      </c>
      <c r="P76" s="1">
        <f>VLOOKUP($B76&amp;"__wt",'SegEnds_Xtal_BW#'!$A:$Z,16,FALSE)</f>
        <v>64</v>
      </c>
      <c r="Q76" s="1">
        <f>VLOOKUP($B76&amp;"__wt",'SegEnds_Xtal_BW#'!$A:$Z,17,FALSE)</f>
        <v>50</v>
      </c>
      <c r="R76" s="1">
        <f>VLOOKUP($B76&amp;"__wt",'SegEnds_Xtal_BW#'!$A:$Z,18,FALSE)</f>
        <v>52</v>
      </c>
      <c r="S76" s="1">
        <v>35</v>
      </c>
      <c r="T76" s="1">
        <f t="array" ref="T76">INDEX(ICL3_classA!$G$2:$G$39,MATCH(MIN(ABS(AI76-ICL3_classA!$F$2:$F$39)),ABS(AI76-ICL3_classA!$F$2:$F$39),0))</f>
        <v>75</v>
      </c>
      <c r="U76" s="1">
        <f t="array" ref="U76">INDEX(ICL3_classA!$H$2:$H$39,MATCH(MIN(ABS(AI76-ICL3_classA!$F$2:$F$39)),ABS(AI76-ICL3_classA!$F$2:$F$39),0))</f>
        <v>24</v>
      </c>
      <c r="V76" s="1">
        <v>61</v>
      </c>
      <c r="W76" s="1">
        <v>31</v>
      </c>
      <c r="X76" s="1">
        <f>VLOOKUP($B76&amp;"__wt",'SegEnds_Xtal_BW#'!$A:$Z,24,FALSE)</f>
        <v>56</v>
      </c>
      <c r="Y76" s="1">
        <f>VLOOKUP($B76&amp;"__wt",'SegEnds_Xtal_BW#'!$A:$Z,25,FALSE)</f>
        <v>47</v>
      </c>
      <c r="Z76" s="1">
        <f>VLOOKUP($B76&amp;"__wt",'SegEnds_Xtal_BW#'!$A:$Z,26,FALSE)</f>
        <v>59</v>
      </c>
      <c r="AA76" s="27" t="str">
        <f>VLOOKUP(A76,Classification!A:B,2,FALSE)</f>
        <v>A</v>
      </c>
      <c r="AB76" s="1">
        <f>VLOOKUP(A76,'SegEnds_NonXtal_Prot#'!A:AL,10,FALSE)-VLOOKUP(A76,'SegEnds_NonXtal_Prot#'!A:AL,4,FALSE)</f>
        <v>28</v>
      </c>
      <c r="AC76" s="1">
        <f>VLOOKUP(A76,'SegEnds_NonXtal_Prot#'!A:AL,10,FALSE)-VLOOKUP(A76,'SegEnds_NonXtal_Prot#'!A:AL,7,FALSE)</f>
        <v>15</v>
      </c>
      <c r="AD76" s="1">
        <f>VLOOKUP(A76,'SegEnds_NonXtal_Prot#'!A:AL,13,FALSE)-VLOOKUP(A76,'SegEnds_NonXtal_Prot#'!A:AL,10,FALSE)</f>
        <v>20</v>
      </c>
      <c r="AE76" s="1">
        <f>VLOOKUP(A76,'SegEnds_NonXtal_Prot#'!A:AL,16,FALSE)-VLOOKUP(A76,'SegEnds_NonXtal_Prot#'!A:AL,10,FALSE)</f>
        <v>52</v>
      </c>
      <c r="AF76" s="1">
        <f>VLOOKUP(A76,'SegEnds_NonXtal_Prot#'!A:AL,22,FALSE)-VLOOKUP(A76,'SegEnds_NonXtal_Prot#'!A:AL,19,FALSE)</f>
        <v>20</v>
      </c>
      <c r="AG76" s="1">
        <f>VLOOKUP(A76,'SegEnds_NonXtal_Prot#'!A:AL,28,FALSE)-VLOOKUP(A76,'SegEnds_NonXtal_Prot#'!A:AL,25,FALSE)</f>
        <v>22</v>
      </c>
      <c r="AH76" s="1">
        <f>VLOOKUP(A76,'SegEnds_NonXtal_Prot#'!A:AL,28,FALSE)-VLOOKUP(A76,'SegEnds_NonXtal_Prot#'!A:AL,22,FALSE)</f>
        <v>48</v>
      </c>
      <c r="AI76" s="1">
        <f>VLOOKUP(A76,'SegEnds_NonXtal_Prot#'!A:AL,31,FALSE)-VLOOKUP(A76,'SegEnds_NonXtal_Prot#'!A:AL,28,FALSE)</f>
        <v>210</v>
      </c>
      <c r="AJ76" s="1">
        <f>VLOOKUP(A76,'SegEnds_NonXtal_Prot#'!A:AL,34,FALSE)-VLOOKUP(A76,'SegEnds_NonXtal_Prot#'!A:AL,31,FALSE)</f>
        <v>37</v>
      </c>
      <c r="AK76" s="1">
        <f>VLOOKUP(A76,'SegEnds_NonXtal_Prot#'!A:AL,37,FALSE)-VLOOKUP(A76,'SegEnds_NonXtal_Prot#'!A:AL,34,FALSE)</f>
        <v>10</v>
      </c>
      <c r="AL76" s="1" t="str">
        <f>IF(ISERROR(MATCH(A76,'SegEnds_Xtal_Prot#'!B:B, 0)), "NoXtal", "Xtal")</f>
        <v>NoXtal</v>
      </c>
    </row>
    <row r="77" spans="1:38" x14ac:dyDescent="0.2">
      <c r="A77" s="1" t="s">
        <v>223</v>
      </c>
      <c r="B77" s="1" t="str">
        <f>VLOOKUP(A77,Xtal_Templ!A:B,2,FALSE)</f>
        <v>fpr2_human</v>
      </c>
      <c r="C77" s="5">
        <f>VLOOKUP($B77&amp;"__wt",'SegEnds_Xtal_BW#'!$A:$Z,3,FALSE)</f>
        <v>25</v>
      </c>
      <c r="D77" s="1">
        <f>VLOOKUP($B77&amp;"__wt",'SegEnds_Xtal_BW#'!$A:$Z,4,FALSE)</f>
        <v>61</v>
      </c>
      <c r="E77" s="1" t="str">
        <f>VLOOKUP($B77&amp;"__wt",'SegEnds_Xtal_BW#'!$A:$Z,5,FALSE)</f>
        <v>-</v>
      </c>
      <c r="F77" s="1" t="str">
        <f>VLOOKUP($B77&amp;"__wt",'SegEnds_Xtal_BW#'!$A:$Z,6,FALSE)</f>
        <v>-</v>
      </c>
      <c r="G77" s="1">
        <v>37</v>
      </c>
      <c r="H77" s="12">
        <v>67</v>
      </c>
      <c r="I77" s="1">
        <f>VLOOKUP($B77&amp;"__wt",'SegEnds_Xtal_BW#'!$A:$Z,9,FALSE)</f>
        <v>49</v>
      </c>
      <c r="J77" s="1">
        <f>VLOOKUP($B77&amp;"__wt",'SegEnds_Xtal_BW#'!$A:$Z,10,FALSE)</f>
        <v>52</v>
      </c>
      <c r="K77" s="12">
        <v>18</v>
      </c>
      <c r="L77" s="1">
        <f>VLOOKUP($B77&amp;"__wt",'SegEnds_Xtal_BW#'!$A:$Z,12,FALSE)</f>
        <v>56</v>
      </c>
      <c r="M77" s="1">
        <f>VLOOKUP($B77&amp;"__wt",'SegEnds_Xtal_BW#'!$A:$Z,13,FALSE)</f>
        <v>50</v>
      </c>
      <c r="N77" s="12">
        <v>57</v>
      </c>
      <c r="O77" s="87">
        <f>VLOOKUP($B77&amp;"__wt",'SegEnds_Xtal_BW#'!$A:$Z,15,FALSE)</f>
        <v>38</v>
      </c>
      <c r="P77" s="1">
        <f>VLOOKUP($B77&amp;"__wt",'SegEnds_Xtal_BW#'!$A:$Z,16,FALSE)</f>
        <v>64</v>
      </c>
      <c r="Q77" s="1">
        <f>VLOOKUP($B77&amp;"__wt",'SegEnds_Xtal_BW#'!$A:$Z,17,FALSE)</f>
        <v>50</v>
      </c>
      <c r="R77" s="1">
        <f>VLOOKUP($B77&amp;"__wt",'SegEnds_Xtal_BW#'!$A:$Z,18,FALSE)</f>
        <v>52</v>
      </c>
      <c r="S77" s="1">
        <v>35</v>
      </c>
      <c r="T77" s="1">
        <f t="array" ref="T77">INDEX(ICL3_classA!$G$2:$G$39,MATCH(MIN(ABS(AI77-ICL3_classA!$F$2:$F$39)),ABS(AI77-ICL3_classA!$F$2:$F$39),0))</f>
        <v>68</v>
      </c>
      <c r="U77" s="1">
        <f t="array" ref="U77">INDEX(ICL3_classA!$H$2:$H$39,MATCH(MIN(ABS(AI77-ICL3_classA!$F$2:$F$39)),ABS(AI77-ICL3_classA!$F$2:$F$39),0))</f>
        <v>24</v>
      </c>
      <c r="V77" s="1">
        <v>61</v>
      </c>
      <c r="W77" s="1">
        <v>28</v>
      </c>
      <c r="X77" s="1">
        <f>VLOOKUP($B77&amp;"__wt",'SegEnds_Xtal_BW#'!$A:$Z,24,FALSE)</f>
        <v>56</v>
      </c>
      <c r="Y77" s="1">
        <f>VLOOKUP($B77&amp;"__wt",'SegEnds_Xtal_BW#'!$A:$Z,25,FALSE)</f>
        <v>47</v>
      </c>
      <c r="Z77" s="1">
        <f>VLOOKUP($B77&amp;"__wt",'SegEnds_Xtal_BW#'!$A:$Z,26,FALSE)</f>
        <v>58</v>
      </c>
      <c r="AA77" s="27" t="str">
        <f>VLOOKUP(A77,Classification!A:B,2,FALSE)</f>
        <v>A</v>
      </c>
      <c r="AB77" s="1">
        <f>VLOOKUP(A77,'SegEnds_NonXtal_Prot#'!A:AL,10,FALSE)-VLOOKUP(A77,'SegEnds_NonXtal_Prot#'!A:AL,4,FALSE)</f>
        <v>30</v>
      </c>
      <c r="AC77" s="1" t="e">
        <f>VLOOKUP(A77,'SegEnds_NonXtal_Prot#'!A:AL,10,FALSE)-VLOOKUP(A77,'SegEnds_NonXtal_Prot#'!A:AL,7,FALSE)</f>
        <v>#VALUE!</v>
      </c>
      <c r="AD77" s="1">
        <f>VLOOKUP(A77,'SegEnds_NonXtal_Prot#'!A:AL,13,FALSE)-VLOOKUP(A77,'SegEnds_NonXtal_Prot#'!A:AL,10,FALSE)</f>
        <v>20</v>
      </c>
      <c r="AE77" s="1">
        <f>VLOOKUP(A77,'SegEnds_NonXtal_Prot#'!A:AL,16,FALSE)-VLOOKUP(A77,'SegEnds_NonXtal_Prot#'!A:AL,10,FALSE)</f>
        <v>52</v>
      </c>
      <c r="AF77" s="1">
        <f>VLOOKUP(A77,'SegEnds_NonXtal_Prot#'!A:AL,22,FALSE)-VLOOKUP(A77,'SegEnds_NonXtal_Prot#'!A:AL,19,FALSE)</f>
        <v>20</v>
      </c>
      <c r="AG77" s="1">
        <f>VLOOKUP(A77,'SegEnds_NonXtal_Prot#'!A:AL,28,FALSE)-VLOOKUP(A77,'SegEnds_NonXtal_Prot#'!A:AL,25,FALSE)</f>
        <v>22</v>
      </c>
      <c r="AH77" s="1">
        <f>VLOOKUP(A77,'SegEnds_NonXtal_Prot#'!A:AL,28,FALSE)-VLOOKUP(A77,'SegEnds_NonXtal_Prot#'!A:AL,22,FALSE)</f>
        <v>48</v>
      </c>
      <c r="AI77" s="1">
        <f>VLOOKUP(A77,'SegEnds_NonXtal_Prot#'!A:AL,31,FALSE)-VLOOKUP(A77,'SegEnds_NonXtal_Prot#'!A:AL,28,FALSE)</f>
        <v>48</v>
      </c>
      <c r="AJ77" s="1">
        <f>VLOOKUP(A77,'SegEnds_NonXtal_Prot#'!A:AL,34,FALSE)-VLOOKUP(A77,'SegEnds_NonXtal_Prot#'!A:AL,31,FALSE)</f>
        <v>40</v>
      </c>
      <c r="AK77" s="1">
        <f>VLOOKUP(A77,'SegEnds_NonXtal_Prot#'!A:AL,37,FALSE)-VLOOKUP(A77,'SegEnds_NonXtal_Prot#'!A:AL,34,FALSE)</f>
        <v>10</v>
      </c>
      <c r="AL77" s="1" t="str">
        <f>IF(ISERROR(MATCH(A77,'SegEnds_Xtal_Prot#'!B:B, 0)), "NoXtal", "Xtal")</f>
        <v>NoXtal</v>
      </c>
    </row>
    <row r="78" spans="1:38" x14ac:dyDescent="0.2">
      <c r="A78" s="1" t="s">
        <v>226</v>
      </c>
      <c r="B78" s="1" t="str">
        <f>VLOOKUP(A78,Xtal_Templ!A:B,2,FALSE)</f>
        <v>5ht1b_human</v>
      </c>
      <c r="C78" s="5">
        <f>VLOOKUP($B78&amp;"__wt",'SegEnds_Xtal_BW#'!$A:$Z,3,FALSE)</f>
        <v>28</v>
      </c>
      <c r="D78" s="1">
        <f>VLOOKUP($B78&amp;"__wt",'SegEnds_Xtal_BW#'!$A:$Z,4,FALSE)</f>
        <v>60</v>
      </c>
      <c r="E78" s="1">
        <f>VLOOKUP($B78&amp;"__wt",'SegEnds_Xtal_BW#'!$A:$Z,5,FALSE)</f>
        <v>48</v>
      </c>
      <c r="F78" s="1">
        <f>VLOOKUP($B78&amp;"__wt",'SegEnds_Xtal_BW#'!$A:$Z,6,FALSE)</f>
        <v>51</v>
      </c>
      <c r="G78" s="1">
        <v>37</v>
      </c>
      <c r="H78" s="12">
        <f>VLOOKUP($B78&amp;"__wt",'SegEnds_Xtal_BW#'!$A:$Z,8,FALSE)</f>
        <v>68</v>
      </c>
      <c r="I78" s="1">
        <f>VLOOKUP($B78&amp;"__wt",'SegEnds_Xtal_BW#'!$A:$Z,9,FALSE)</f>
        <v>49</v>
      </c>
      <c r="J78" s="1">
        <f>VLOOKUP($B78&amp;"__wt",'SegEnds_Xtal_BW#'!$A:$Z,10,FALSE)</f>
        <v>52</v>
      </c>
      <c r="K78" s="12">
        <v>18</v>
      </c>
      <c r="L78" s="1">
        <f>VLOOKUP($B78&amp;"__wt",'SegEnds_Xtal_BW#'!$A:$Z,12,FALSE)</f>
        <v>56</v>
      </c>
      <c r="M78" s="1">
        <f>VLOOKUP($B78&amp;"__wt",'SegEnds_Xtal_BW#'!$A:$Z,13,FALSE)</f>
        <v>50</v>
      </c>
      <c r="N78" s="12">
        <f>VLOOKUP($B78&amp;"__wt",'SegEnds_Xtal_BW#'!$A:$Z,14,FALSE)</f>
        <v>57</v>
      </c>
      <c r="O78" s="87">
        <v>38</v>
      </c>
      <c r="P78" s="1">
        <v>63</v>
      </c>
      <c r="Q78" s="1">
        <f>VLOOKUP($B78&amp;"__wt",'SegEnds_Xtal_BW#'!$A:$Z,17,FALSE)</f>
        <v>50</v>
      </c>
      <c r="R78" s="1">
        <f>VLOOKUP($B78&amp;"__wt",'SegEnds_Xtal_BW#'!$A:$Z,18,FALSE)</f>
        <v>52</v>
      </c>
      <c r="S78" s="1">
        <v>35</v>
      </c>
      <c r="T78" s="1">
        <f t="array" ref="T78">INDEX(ICL3_classA!$G$2:$G$39,MATCH(MIN(ABS(AI78-ICL3_classA!$F$2:$F$39)),ABS(AI78-ICL3_classA!$F$2:$F$39),0))</f>
        <v>76</v>
      </c>
      <c r="U78" s="1">
        <f t="array" ref="U78">INDEX(ICL3_classA!$H$2:$H$39,MATCH(MIN(ABS(AI78-ICL3_classA!$F$2:$F$39)),ABS(AI78-ICL3_classA!$F$2:$F$39),0))</f>
        <v>24</v>
      </c>
      <c r="V78" s="1">
        <v>61</v>
      </c>
      <c r="W78" s="1">
        <v>31</v>
      </c>
      <c r="X78" s="1">
        <f>VLOOKUP($B78&amp;"__wt",'SegEnds_Xtal_BW#'!$A:$Z,24,FALSE)</f>
        <v>56</v>
      </c>
      <c r="Y78" s="1">
        <f>VLOOKUP($B78&amp;"__wt",'SegEnds_Xtal_BW#'!$A:$Z,25,FALSE)</f>
        <v>47</v>
      </c>
      <c r="Z78" s="1">
        <f>VLOOKUP($B78&amp;"__wt",'SegEnds_Xtal_BW#'!$A:$Z,26,FALSE)</f>
        <v>58</v>
      </c>
      <c r="AA78" s="27" t="str">
        <f>VLOOKUP(A78,Classification!A:B,2,FALSE)</f>
        <v>A</v>
      </c>
      <c r="AB78" s="1">
        <f>VLOOKUP(A78,'SegEnds_NonXtal_Prot#'!A:AL,10,FALSE)-VLOOKUP(A78,'SegEnds_NonXtal_Prot#'!A:AL,4,FALSE)</f>
        <v>28</v>
      </c>
      <c r="AC78" s="1">
        <f>VLOOKUP(A78,'SegEnds_NonXtal_Prot#'!A:AL,10,FALSE)-VLOOKUP(A78,'SegEnds_NonXtal_Prot#'!A:AL,7,FALSE)</f>
        <v>15</v>
      </c>
      <c r="AD78" s="1">
        <f>VLOOKUP(A78,'SegEnds_NonXtal_Prot#'!A:AL,13,FALSE)-VLOOKUP(A78,'SegEnds_NonXtal_Prot#'!A:AL,10,FALSE)</f>
        <v>20</v>
      </c>
      <c r="AE78" s="1">
        <f>VLOOKUP(A78,'SegEnds_NonXtal_Prot#'!A:AL,16,FALSE)-VLOOKUP(A78,'SegEnds_NonXtal_Prot#'!A:AL,10,FALSE)</f>
        <v>52</v>
      </c>
      <c r="AF78" s="1">
        <f>VLOOKUP(A78,'SegEnds_NonXtal_Prot#'!A:AL,22,FALSE)-VLOOKUP(A78,'SegEnds_NonXtal_Prot#'!A:AL,19,FALSE)</f>
        <v>20</v>
      </c>
      <c r="AG78" s="1">
        <f>VLOOKUP(A78,'SegEnds_NonXtal_Prot#'!A:AL,28,FALSE)-VLOOKUP(A78,'SegEnds_NonXtal_Prot#'!A:AL,25,FALSE)</f>
        <v>22</v>
      </c>
      <c r="AH78" s="1">
        <f>VLOOKUP(A78,'SegEnds_NonXtal_Prot#'!A:AL,28,FALSE)-VLOOKUP(A78,'SegEnds_NonXtal_Prot#'!A:AL,22,FALSE)</f>
        <v>48</v>
      </c>
      <c r="AI78" s="1">
        <f>VLOOKUP(A78,'SegEnds_NonXtal_Prot#'!A:AL,31,FALSE)-VLOOKUP(A78,'SegEnds_NonXtal_Prot#'!A:AL,28,FALSE)</f>
        <v>85</v>
      </c>
      <c r="AJ78" s="1">
        <f>VLOOKUP(A78,'SegEnds_NonXtal_Prot#'!A:AL,34,FALSE)-VLOOKUP(A78,'SegEnds_NonXtal_Prot#'!A:AL,31,FALSE)</f>
        <v>36</v>
      </c>
      <c r="AK78" s="1">
        <f>VLOOKUP(A78,'SegEnds_NonXtal_Prot#'!A:AL,37,FALSE)-VLOOKUP(A78,'SegEnds_NonXtal_Prot#'!A:AL,34,FALSE)</f>
        <v>10</v>
      </c>
      <c r="AL78" s="1" t="str">
        <f>IF(ISERROR(MATCH(A78,'SegEnds_Xtal_Prot#'!B:B, 0)), "NoXtal", "Xtal")</f>
        <v>NoXtal</v>
      </c>
    </row>
    <row r="79" spans="1:38" x14ac:dyDescent="0.2">
      <c r="A79" s="1" t="s">
        <v>239</v>
      </c>
      <c r="B79" s="1" t="str">
        <f>VLOOKUP(A79,Xtal_Templ!A:B,2,FALSE)</f>
        <v>cltr2_human</v>
      </c>
      <c r="C79" s="5">
        <f>VLOOKUP($B79&amp;"__wt",'SegEnds_Xtal_BW#'!$A:$Z,3,FALSE)</f>
        <v>25</v>
      </c>
      <c r="D79" s="1">
        <f>VLOOKUP($B79&amp;"__wt",'SegEnds_Xtal_BW#'!$A:$Z,4,FALSE)</f>
        <v>60</v>
      </c>
      <c r="E79" s="1" t="str">
        <f>VLOOKUP($B79&amp;"__wt",'SegEnds_Xtal_BW#'!$A:$Z,5,FALSE)</f>
        <v>-</v>
      </c>
      <c r="F79" s="1" t="str">
        <f>VLOOKUP($B79&amp;"__wt",'SegEnds_Xtal_BW#'!$A:$Z,6,FALSE)</f>
        <v>-</v>
      </c>
      <c r="G79" s="1">
        <v>37</v>
      </c>
      <c r="H79" s="12">
        <f>VLOOKUP($B79&amp;"__wt",'SegEnds_Xtal_BW#'!$A:$Z,8,FALSE)</f>
        <v>67</v>
      </c>
      <c r="I79" s="1">
        <f>VLOOKUP($B79&amp;"__wt",'SegEnds_Xtal_BW#'!$A:$Z,9,FALSE)</f>
        <v>49</v>
      </c>
      <c r="J79" s="1">
        <f>VLOOKUP($B79&amp;"__wt",'SegEnds_Xtal_BW#'!$A:$Z,10,FALSE)</f>
        <v>52</v>
      </c>
      <c r="K79" s="12">
        <v>18</v>
      </c>
      <c r="L79" s="1">
        <f>VLOOKUP($B79&amp;"__wt",'SegEnds_Xtal_BW#'!$A:$Z,12,FALSE)</f>
        <v>56</v>
      </c>
      <c r="M79" s="1">
        <f>VLOOKUP($B79&amp;"__wt",'SegEnds_Xtal_BW#'!$A:$Z,13,FALSE)</f>
        <v>50</v>
      </c>
      <c r="N79" s="12">
        <v>57</v>
      </c>
      <c r="O79" s="87">
        <f>VLOOKUP($B79&amp;"__wt",'SegEnds_Xtal_BW#'!$A:$Z,15,FALSE)</f>
        <v>38</v>
      </c>
      <c r="P79" s="1">
        <f>VLOOKUP($B79&amp;"__wt",'SegEnds_Xtal_BW#'!$A:$Z,16,FALSE)</f>
        <v>63</v>
      </c>
      <c r="Q79" s="1">
        <f>VLOOKUP($B79&amp;"__wt",'SegEnds_Xtal_BW#'!$A:$Z,17,FALSE)</f>
        <v>50</v>
      </c>
      <c r="R79" s="1">
        <f>VLOOKUP($B79&amp;"__wt",'SegEnds_Xtal_BW#'!$A:$Z,18,FALSE)</f>
        <v>52</v>
      </c>
      <c r="S79" s="108">
        <v>31</v>
      </c>
      <c r="T79" s="1">
        <f t="array" ref="T79">INDEX(ICL3_classA!$G$2:$G$39,MATCH(MIN(ABS(AI79-ICL3_classA!$F$2:$F$39)),ABS(AI79-ICL3_classA!$F$2:$F$39),0))</f>
        <v>67</v>
      </c>
      <c r="U79" s="1">
        <f t="array" ref="U79">INDEX(ICL3_classA!$H$2:$H$39,MATCH(MIN(ABS(AI79-ICL3_classA!$F$2:$F$39)),ABS(AI79-ICL3_classA!$F$2:$F$39),0))</f>
        <v>26</v>
      </c>
      <c r="V79" s="1">
        <v>64</v>
      </c>
      <c r="W79" s="1">
        <v>24</v>
      </c>
      <c r="X79" s="1">
        <f>VLOOKUP($B79&amp;"__wt",'SegEnds_Xtal_BW#'!$A:$Z,24,FALSE)</f>
        <v>56</v>
      </c>
      <c r="Y79" s="1">
        <f>VLOOKUP($B79&amp;"__wt",'SegEnds_Xtal_BW#'!$A:$Z,25,FALSE)</f>
        <v>47</v>
      </c>
      <c r="Z79" s="1">
        <f>VLOOKUP($B79&amp;"__wt",'SegEnds_Xtal_BW#'!$A:$Z,26,FALSE)</f>
        <v>60</v>
      </c>
      <c r="AA79" s="27" t="str">
        <f>VLOOKUP(A79,Classification!A:B,2,FALSE)</f>
        <v>A</v>
      </c>
      <c r="AB79" s="1">
        <f>VLOOKUP(A79,'SegEnds_NonXtal_Prot#'!A:AL,10,FALSE)-VLOOKUP(A79,'SegEnds_NonXtal_Prot#'!A:AL,4,FALSE)</f>
        <v>28</v>
      </c>
      <c r="AC79" s="1" t="e">
        <f>VLOOKUP(A79,'SegEnds_NonXtal_Prot#'!A:AL,10,FALSE)-VLOOKUP(A79,'SegEnds_NonXtal_Prot#'!A:AL,7,FALSE)</f>
        <v>#VALUE!</v>
      </c>
      <c r="AD79" s="1">
        <f>VLOOKUP(A79,'SegEnds_NonXtal_Prot#'!A:AL,13,FALSE)-VLOOKUP(A79,'SegEnds_NonXtal_Prot#'!A:AL,10,FALSE)</f>
        <v>20</v>
      </c>
      <c r="AE79" s="1">
        <f>VLOOKUP(A79,'SegEnds_NonXtal_Prot#'!A:AL,16,FALSE)-VLOOKUP(A79,'SegEnds_NonXtal_Prot#'!A:AL,10,FALSE)</f>
        <v>52</v>
      </c>
      <c r="AF79" s="1">
        <f>VLOOKUP(A79,'SegEnds_NonXtal_Prot#'!A:AL,22,FALSE)-VLOOKUP(A79,'SegEnds_NonXtal_Prot#'!A:AL,19,FALSE)</f>
        <v>20</v>
      </c>
      <c r="AG79" s="1">
        <f>VLOOKUP(A79,'SegEnds_NonXtal_Prot#'!A:AL,28,FALSE)-VLOOKUP(A79,'SegEnds_NonXtal_Prot#'!A:AL,25,FALSE)</f>
        <v>23</v>
      </c>
      <c r="AH79" s="1">
        <f>VLOOKUP(A79,'SegEnds_NonXtal_Prot#'!A:AL,28,FALSE)-VLOOKUP(A79,'SegEnds_NonXtal_Prot#'!A:AL,22,FALSE)</f>
        <v>48</v>
      </c>
      <c r="AI79" s="1">
        <f>VLOOKUP(A79,'SegEnds_NonXtal_Prot#'!A:AL,31,FALSE)-VLOOKUP(A79,'SegEnds_NonXtal_Prot#'!A:AL,28,FALSE)</f>
        <v>46</v>
      </c>
      <c r="AJ79" s="1">
        <f>VLOOKUP(A79,'SegEnds_NonXtal_Prot#'!A:AL,34,FALSE)-VLOOKUP(A79,'SegEnds_NonXtal_Prot#'!A:AL,31,FALSE)</f>
        <v>44</v>
      </c>
      <c r="AK79" s="1">
        <f>VLOOKUP(A79,'SegEnds_NonXtal_Prot#'!A:AL,37,FALSE)-VLOOKUP(A79,'SegEnds_NonXtal_Prot#'!A:AL,34,FALSE)</f>
        <v>10</v>
      </c>
      <c r="AL79" s="1" t="str">
        <f>IF(ISERROR(MATCH(A79,'SegEnds_Xtal_Prot#'!B:B, 0)), "NoXtal", "Xtal")</f>
        <v>NoXtal</v>
      </c>
    </row>
    <row r="80" spans="1:38" x14ac:dyDescent="0.2">
      <c r="A80" s="1" t="s">
        <v>243</v>
      </c>
      <c r="B80" s="1" t="str">
        <f>VLOOKUP(A80,Xtal_Templ!A:B,2,FALSE)</f>
        <v>gpr52_human</v>
      </c>
      <c r="C80" s="5">
        <f>VLOOKUP($B80&amp;"__wt",'SegEnds_Xtal_BW#'!$A:$Z,3,FALSE)</f>
        <v>32</v>
      </c>
      <c r="D80" s="1">
        <f>VLOOKUP($B80&amp;"__wt",'SegEnds_Xtal_BW#'!$A:$Z,4,FALSE)</f>
        <v>60</v>
      </c>
      <c r="E80" s="1">
        <f>VLOOKUP($B80&amp;"__wt",'SegEnds_Xtal_BW#'!$A:$Z,5,FALSE)</f>
        <v>48</v>
      </c>
      <c r="F80" s="1">
        <f>VLOOKUP($B80&amp;"__wt",'SegEnds_Xtal_BW#'!$A:$Z,6,FALSE)</f>
        <v>52</v>
      </c>
      <c r="G80" s="1">
        <v>37</v>
      </c>
      <c r="H80" s="108">
        <v>66</v>
      </c>
      <c r="I80" s="1" t="str">
        <f>VLOOKUP($B80&amp;"__wt",'SegEnds_Xtal_BW#'!$A:$Z,9,FALSE)</f>
        <v>-</v>
      </c>
      <c r="J80" s="1" t="str">
        <f>VLOOKUP($B80&amp;"__wt",'SegEnds_Xtal_BW#'!$A:$Z,10,FALSE)</f>
        <v>-</v>
      </c>
      <c r="K80" s="12">
        <v>18</v>
      </c>
      <c r="L80" s="1">
        <f>VLOOKUP($B80&amp;"__wt",'SegEnds_Xtal_BW#'!$A:$Z,12,FALSE)</f>
        <v>56</v>
      </c>
      <c r="M80" s="1">
        <f>VLOOKUP($B80&amp;"__wt",'SegEnds_Xtal_BW#'!$A:$Z,13,FALSE)</f>
        <v>50</v>
      </c>
      <c r="N80" s="12">
        <v>57</v>
      </c>
      <c r="O80" s="87">
        <v>38</v>
      </c>
      <c r="P80" s="1">
        <f>VLOOKUP($B80&amp;"__wt",'SegEnds_Xtal_BW#'!$A:$Z,16,FALSE)</f>
        <v>62</v>
      </c>
      <c r="Q80" s="1">
        <f>VLOOKUP($B80&amp;"__wt",'SegEnds_Xtal_BW#'!$A:$Z,17,FALSE)</f>
        <v>50</v>
      </c>
      <c r="R80" s="1">
        <f>VLOOKUP($B80&amp;"__wt",'SegEnds_Xtal_BW#'!$A:$Z,18,FALSE)</f>
        <v>52</v>
      </c>
      <c r="S80" s="1">
        <v>35</v>
      </c>
      <c r="T80" s="1">
        <f t="array" ref="T80">INDEX(ICL3_classA!$G$2:$G$39,MATCH(MIN(ABS(AI80-ICL3_classA!$F$2:$F$39)),ABS(AI80-ICL3_classA!$F$2:$F$39),0))</f>
        <v>74</v>
      </c>
      <c r="U80" s="1">
        <f t="array" ref="U80">INDEX(ICL3_classA!$H$2:$H$39,MATCH(MIN(ABS(AI80-ICL3_classA!$F$2:$F$39)),ABS(AI80-ICL3_classA!$F$2:$F$39),0))</f>
        <v>21</v>
      </c>
      <c r="V80" s="1">
        <v>61</v>
      </c>
      <c r="W80" s="1">
        <v>32</v>
      </c>
      <c r="X80" s="1">
        <f>VLOOKUP($B80&amp;"__wt",'SegEnds_Xtal_BW#'!$A:$Z,24,FALSE)</f>
        <v>56</v>
      </c>
      <c r="Y80" s="1">
        <f>VLOOKUP($B80&amp;"__wt",'SegEnds_Xtal_BW#'!$A:$Z,25,FALSE)</f>
        <v>47</v>
      </c>
      <c r="Z80" s="1">
        <f>VLOOKUP($B80&amp;"__wt",'SegEnds_Xtal_BW#'!$A:$Z,26,FALSE)</f>
        <v>67</v>
      </c>
      <c r="AA80" s="27" t="str">
        <f>VLOOKUP(A80,Classification!A:B,2,FALSE)</f>
        <v>A</v>
      </c>
      <c r="AB80" s="1">
        <f>VLOOKUP(A80,'SegEnds_NonXtal_Prot#'!A:AL,10,FALSE)-VLOOKUP(A80,'SegEnds_NonXtal_Prot#'!A:AL,4,FALSE)</f>
        <v>29</v>
      </c>
      <c r="AC80" s="1">
        <f>VLOOKUP(A80,'SegEnds_NonXtal_Prot#'!A:AL,10,FALSE)-VLOOKUP(A80,'SegEnds_NonXtal_Prot#'!A:AL,7,FALSE)</f>
        <v>16</v>
      </c>
      <c r="AD80" s="1" t="e">
        <f>VLOOKUP(A80,'SegEnds_NonXtal_Prot#'!A:AL,13,FALSE)-VLOOKUP(A80,'SegEnds_NonXtal_Prot#'!A:AL,10,FALSE)</f>
        <v>#VALUE!</v>
      </c>
      <c r="AE80" s="1">
        <f>VLOOKUP(A80,'SegEnds_NonXtal_Prot#'!A:AL,16,FALSE)-VLOOKUP(A80,'SegEnds_NonXtal_Prot#'!A:AL,10,FALSE)</f>
        <v>52</v>
      </c>
      <c r="AF80" s="1">
        <f>VLOOKUP(A80,'SegEnds_NonXtal_Prot#'!A:AL,22,FALSE)-VLOOKUP(A80,'SegEnds_NonXtal_Prot#'!A:AL,19,FALSE)</f>
        <v>20</v>
      </c>
      <c r="AG80" s="1">
        <f>VLOOKUP(A80,'SegEnds_NonXtal_Prot#'!A:AL,28,FALSE)-VLOOKUP(A80,'SegEnds_NonXtal_Prot#'!A:AL,25,FALSE)</f>
        <v>21</v>
      </c>
      <c r="AH80" s="1">
        <f>VLOOKUP(A80,'SegEnds_NonXtal_Prot#'!A:AL,28,FALSE)-VLOOKUP(A80,'SegEnds_NonXtal_Prot#'!A:AL,22,FALSE)</f>
        <v>48</v>
      </c>
      <c r="AI80" s="1">
        <f>VLOOKUP(A80,'SegEnds_NonXtal_Prot#'!A:AL,31,FALSE)-VLOOKUP(A80,'SegEnds_NonXtal_Prot#'!A:AL,28,FALSE)</f>
        <v>65</v>
      </c>
      <c r="AJ80" s="1">
        <f>VLOOKUP(A80,'SegEnds_NonXtal_Prot#'!A:AL,34,FALSE)-VLOOKUP(A80,'SegEnds_NonXtal_Prot#'!A:AL,31,FALSE)</f>
        <v>34</v>
      </c>
      <c r="AK80" s="1">
        <f>VLOOKUP(A80,'SegEnds_NonXtal_Prot#'!A:AL,37,FALSE)-VLOOKUP(A80,'SegEnds_NonXtal_Prot#'!A:AL,34,FALSE)</f>
        <v>10</v>
      </c>
      <c r="AL80" s="1" t="str">
        <f>IF(ISERROR(MATCH(A80,'SegEnds_Xtal_Prot#'!B:B, 0)), "NoXtal", "Xtal")</f>
        <v>NoXtal</v>
      </c>
    </row>
    <row r="81" spans="1:38" x14ac:dyDescent="0.2">
      <c r="A81" s="1" t="s">
        <v>259</v>
      </c>
      <c r="B81" s="1" t="str">
        <f>VLOOKUP(A81,Xtal_Templ!A:B,2,FALSE)</f>
        <v>gpr52_human</v>
      </c>
      <c r="C81" s="5">
        <f>VLOOKUP($B81&amp;"__wt",'SegEnds_Xtal_BW#'!$A:$Z,3,FALSE)</f>
        <v>32</v>
      </c>
      <c r="D81" s="1">
        <f>VLOOKUP($B81&amp;"__wt",'SegEnds_Xtal_BW#'!$A:$Z,4,FALSE)</f>
        <v>60</v>
      </c>
      <c r="E81" s="1">
        <f>VLOOKUP($B81&amp;"__wt",'SegEnds_Xtal_BW#'!$A:$Z,5,FALSE)</f>
        <v>48</v>
      </c>
      <c r="F81" s="1">
        <f>VLOOKUP($B81&amp;"__wt",'SegEnds_Xtal_BW#'!$A:$Z,6,FALSE)</f>
        <v>52</v>
      </c>
      <c r="G81" s="1">
        <v>37</v>
      </c>
      <c r="H81" s="108">
        <v>67</v>
      </c>
      <c r="I81" s="1" t="str">
        <f>VLOOKUP($B81&amp;"__wt",'SegEnds_Xtal_BW#'!$A:$Z,9,FALSE)</f>
        <v>-</v>
      </c>
      <c r="J81" s="1" t="str">
        <f>VLOOKUP($B81&amp;"__wt",'SegEnds_Xtal_BW#'!$A:$Z,10,FALSE)</f>
        <v>-</v>
      </c>
      <c r="K81" s="108">
        <v>21</v>
      </c>
      <c r="L81" s="1">
        <f>VLOOKUP($B81&amp;"__wt",'SegEnds_Xtal_BW#'!$A:$Z,12,FALSE)</f>
        <v>56</v>
      </c>
      <c r="M81" s="1">
        <f>VLOOKUP($B81&amp;"__wt",'SegEnds_Xtal_BW#'!$A:$Z,13,FALSE)</f>
        <v>50</v>
      </c>
      <c r="N81" s="12">
        <v>57</v>
      </c>
      <c r="O81" s="87">
        <v>38</v>
      </c>
      <c r="P81" s="1">
        <f>VLOOKUP($B81&amp;"__wt",'SegEnds_Xtal_BW#'!$A:$Z,16,FALSE)</f>
        <v>62</v>
      </c>
      <c r="Q81" s="1">
        <f>VLOOKUP($B81&amp;"__wt",'SegEnds_Xtal_BW#'!$A:$Z,17,FALSE)</f>
        <v>50</v>
      </c>
      <c r="R81" s="1">
        <f>VLOOKUP($B81&amp;"__wt",'SegEnds_Xtal_BW#'!$A:$Z,18,FALSE)</f>
        <v>52</v>
      </c>
      <c r="S81" s="108">
        <v>36</v>
      </c>
      <c r="T81" s="1">
        <f t="array" ref="T81">INDEX(ICL3_classA!$G$2:$G$39,MATCH(MIN(ABS(AI81-ICL3_classA!$F$2:$F$39)),ABS(AI81-ICL3_classA!$F$2:$F$39),0))</f>
        <v>74</v>
      </c>
      <c r="U81" s="1">
        <f t="array" ref="U81">INDEX(ICL3_classA!$H$2:$H$39,MATCH(MIN(ABS(AI81-ICL3_classA!$F$2:$F$39)),ABS(AI81-ICL3_classA!$F$2:$F$39),0))</f>
        <v>21</v>
      </c>
      <c r="V81" s="1">
        <v>61</v>
      </c>
      <c r="W81" s="108">
        <v>31</v>
      </c>
      <c r="X81" s="1">
        <f>VLOOKUP($B81&amp;"__wt",'SegEnds_Xtal_BW#'!$A:$Z,24,FALSE)</f>
        <v>56</v>
      </c>
      <c r="Y81" s="1">
        <f>VLOOKUP($B81&amp;"__wt",'SegEnds_Xtal_BW#'!$A:$Z,25,FALSE)</f>
        <v>47</v>
      </c>
      <c r="Z81" s="1">
        <f>VLOOKUP($B81&amp;"__wt",'SegEnds_Xtal_BW#'!$A:$Z,26,FALSE)</f>
        <v>67</v>
      </c>
      <c r="AA81" s="27" t="str">
        <f>VLOOKUP(A81,Classification!A:B,2,FALSE)</f>
        <v>A</v>
      </c>
      <c r="AB81" s="1">
        <f>VLOOKUP(A81,'SegEnds_NonXtal_Prot#'!A:AL,10,FALSE)-VLOOKUP(A81,'SegEnds_NonXtal_Prot#'!A:AL,4,FALSE)</f>
        <v>29</v>
      </c>
      <c r="AC81" s="1">
        <f>VLOOKUP(A81,'SegEnds_NonXtal_Prot#'!A:AL,10,FALSE)-VLOOKUP(A81,'SegEnds_NonXtal_Prot#'!A:AL,7,FALSE)</f>
        <v>16</v>
      </c>
      <c r="AD81" s="1" t="e">
        <f>VLOOKUP(A81,'SegEnds_NonXtal_Prot#'!A:AL,13,FALSE)-VLOOKUP(A81,'SegEnds_NonXtal_Prot#'!A:AL,10,FALSE)</f>
        <v>#VALUE!</v>
      </c>
      <c r="AE81" s="1">
        <f>VLOOKUP(A81,'SegEnds_NonXtal_Prot#'!A:AL,16,FALSE)-VLOOKUP(A81,'SegEnds_NonXtal_Prot#'!A:AL,10,FALSE)</f>
        <v>52</v>
      </c>
      <c r="AF81" s="1">
        <f>VLOOKUP(A81,'SegEnds_NonXtal_Prot#'!A:AL,22,FALSE)-VLOOKUP(A81,'SegEnds_NonXtal_Prot#'!A:AL,19,FALSE)</f>
        <v>20</v>
      </c>
      <c r="AG81" s="1">
        <f>VLOOKUP(A81,'SegEnds_NonXtal_Prot#'!A:AL,28,FALSE)-VLOOKUP(A81,'SegEnds_NonXtal_Prot#'!A:AL,25,FALSE)</f>
        <v>21</v>
      </c>
      <c r="AH81" s="1">
        <f>VLOOKUP(A81,'SegEnds_NonXtal_Prot#'!A:AL,28,FALSE)-VLOOKUP(A81,'SegEnds_NonXtal_Prot#'!A:AL,22,FALSE)</f>
        <v>48</v>
      </c>
      <c r="AI81" s="1">
        <f>VLOOKUP(A81,'SegEnds_NonXtal_Prot#'!A:AL,31,FALSE)-VLOOKUP(A81,'SegEnds_NonXtal_Prot#'!A:AL,28,FALSE)</f>
        <v>66</v>
      </c>
      <c r="AJ81" s="1">
        <f>VLOOKUP(A81,'SegEnds_NonXtal_Prot#'!A:AL,34,FALSE)-VLOOKUP(A81,'SegEnds_NonXtal_Prot#'!A:AL,31,FALSE)</f>
        <v>34</v>
      </c>
      <c r="AK81" s="1">
        <f>VLOOKUP(A81,'SegEnds_NonXtal_Prot#'!A:AL,37,FALSE)-VLOOKUP(A81,'SegEnds_NonXtal_Prot#'!A:AL,34,FALSE)</f>
        <v>10</v>
      </c>
      <c r="AL81" s="1" t="str">
        <f>IF(ISERROR(MATCH(A81,'SegEnds_Xtal_Prot#'!B:B, 0)), "NoXtal", "Xtal")</f>
        <v>Xtal</v>
      </c>
    </row>
    <row r="82" spans="1:38" x14ac:dyDescent="0.2">
      <c r="A82" s="1" t="s">
        <v>274</v>
      </c>
      <c r="B82" s="1" t="str">
        <f>VLOOKUP(A82,Xtal_Templ!A:B,2,FALSE)</f>
        <v>p2ry1_human</v>
      </c>
      <c r="C82" s="5">
        <f>VLOOKUP($B82&amp;"__wt",'SegEnds_Xtal_BW#'!$A:$Z,3,FALSE)</f>
        <v>30</v>
      </c>
      <c r="D82" s="1">
        <f>VLOOKUP($B82&amp;"__wt",'SegEnds_Xtal_BW#'!$A:$Z,4,FALSE)</f>
        <v>60</v>
      </c>
      <c r="E82" s="1" t="str">
        <f>VLOOKUP($B82&amp;"__wt",'SegEnds_Xtal_BW#'!$A:$Z,5,FALSE)</f>
        <v>-</v>
      </c>
      <c r="F82" s="1" t="str">
        <f>VLOOKUP($B82&amp;"__wt",'SegEnds_Xtal_BW#'!$A:$Z,6,FALSE)</f>
        <v>-</v>
      </c>
      <c r="G82" s="1">
        <v>37</v>
      </c>
      <c r="H82" s="12">
        <f>VLOOKUP($B82&amp;"__wt",'SegEnds_Xtal_BW#'!$A:$Z,8,FALSE)</f>
        <v>66</v>
      </c>
      <c r="I82" s="1">
        <f>VLOOKUP($B82&amp;"__wt",'SegEnds_Xtal_BW#'!$A:$Z,9,FALSE)</f>
        <v>49</v>
      </c>
      <c r="J82" s="1">
        <f>VLOOKUP($B82&amp;"__wt",'SegEnds_Xtal_BW#'!$A:$Z,10,FALSE)</f>
        <v>52</v>
      </c>
      <c r="K82" s="12">
        <v>18</v>
      </c>
      <c r="L82" s="1">
        <f>VLOOKUP($B82&amp;"__wt",'SegEnds_Xtal_BW#'!$A:$Z,12,FALSE)</f>
        <v>56</v>
      </c>
      <c r="M82" s="1">
        <f>VLOOKUP($B82&amp;"__wt",'SegEnds_Xtal_BW#'!$A:$Z,13,FALSE)</f>
        <v>50</v>
      </c>
      <c r="N82" s="12">
        <v>57</v>
      </c>
      <c r="O82" s="87">
        <f>VLOOKUP($B82&amp;"__wt",'SegEnds_Xtal_BW#'!$A:$Z,15,FALSE)</f>
        <v>38</v>
      </c>
      <c r="P82" s="1">
        <f>VLOOKUP($B82&amp;"__wt",'SegEnds_Xtal_BW#'!$A:$Z,16,FALSE)</f>
        <v>64</v>
      </c>
      <c r="Q82" s="1">
        <f>VLOOKUP($B82&amp;"__wt",'SegEnds_Xtal_BW#'!$A:$Z,17,FALSE)</f>
        <v>50</v>
      </c>
      <c r="R82" s="1">
        <f>VLOOKUP($B82&amp;"__wt",'SegEnds_Xtal_BW#'!$A:$Z,18,FALSE)</f>
        <v>52</v>
      </c>
      <c r="S82" s="1">
        <f>VLOOKUP($B82&amp;"__wt",'SegEnds_Xtal_BW#'!$A:$Z,19,FALSE)</f>
        <v>32</v>
      </c>
      <c r="T82" s="1">
        <f t="array" ref="T82">INDEX(ICL3_classA!$G$2:$G$39,MATCH(MIN(ABS(AI82-ICL3_classA!$F$2:$F$39)),ABS(AI82-ICL3_classA!$F$2:$F$39),0))</f>
        <v>67</v>
      </c>
      <c r="U82" s="1">
        <f t="array" ref="U82">INDEX(ICL3_classA!$H$2:$H$39,MATCH(MIN(ABS(AI82-ICL3_classA!$F$2:$F$39)),ABS(AI82-ICL3_classA!$F$2:$F$39),0))</f>
        <v>26</v>
      </c>
      <c r="V82" s="1">
        <v>61</v>
      </c>
      <c r="W82" s="1">
        <v>28</v>
      </c>
      <c r="X82" s="1">
        <f>VLOOKUP($B82&amp;"__wt",'SegEnds_Xtal_BW#'!$A:$Z,24,FALSE)</f>
        <v>56</v>
      </c>
      <c r="Y82" s="1">
        <f>VLOOKUP($B82&amp;"__wt",'SegEnds_Xtal_BW#'!$A:$Z,25,FALSE)</f>
        <v>47</v>
      </c>
      <c r="Z82" s="1">
        <f>VLOOKUP($B82&amp;"__wt",'SegEnds_Xtal_BW#'!$A:$Z,26,FALSE)</f>
        <v>59</v>
      </c>
      <c r="AA82" s="27" t="str">
        <f>VLOOKUP(A82,Classification!A:B,2,FALSE)</f>
        <v>A</v>
      </c>
      <c r="AB82" s="1">
        <f>VLOOKUP(A82,'SegEnds_NonXtal_Prot#'!A:AL,10,FALSE)-VLOOKUP(A82,'SegEnds_NonXtal_Prot#'!A:AL,4,FALSE)</f>
        <v>28</v>
      </c>
      <c r="AC82" s="1" t="e">
        <f>VLOOKUP(A82,'SegEnds_NonXtal_Prot#'!A:AL,10,FALSE)-VLOOKUP(A82,'SegEnds_NonXtal_Prot#'!A:AL,7,FALSE)</f>
        <v>#VALUE!</v>
      </c>
      <c r="AD82" s="1">
        <f>VLOOKUP(A82,'SegEnds_NonXtal_Prot#'!A:AL,13,FALSE)-VLOOKUP(A82,'SegEnds_NonXtal_Prot#'!A:AL,10,FALSE)</f>
        <v>20</v>
      </c>
      <c r="AE82" s="1">
        <f>VLOOKUP(A82,'SegEnds_NonXtal_Prot#'!A:AL,16,FALSE)-VLOOKUP(A82,'SegEnds_NonXtal_Prot#'!A:AL,10,FALSE)</f>
        <v>52</v>
      </c>
      <c r="AF82" s="1">
        <f>VLOOKUP(A82,'SegEnds_NonXtal_Prot#'!A:AL,22,FALSE)-VLOOKUP(A82,'SegEnds_NonXtal_Prot#'!A:AL,19,FALSE)</f>
        <v>20</v>
      </c>
      <c r="AG82" s="1">
        <f>VLOOKUP(A82,'SegEnds_NonXtal_Prot#'!A:AL,28,FALSE)-VLOOKUP(A82,'SegEnds_NonXtal_Prot#'!A:AL,25,FALSE)</f>
        <v>23</v>
      </c>
      <c r="AH82" s="1">
        <f>VLOOKUP(A82,'SegEnds_NonXtal_Prot#'!A:AL,28,FALSE)-VLOOKUP(A82,'SegEnds_NonXtal_Prot#'!A:AL,22,FALSE)</f>
        <v>48</v>
      </c>
      <c r="AI82" s="1">
        <f>VLOOKUP(A82,'SegEnds_NonXtal_Prot#'!A:AL,31,FALSE)-VLOOKUP(A82,'SegEnds_NonXtal_Prot#'!A:AL,28,FALSE)</f>
        <v>47</v>
      </c>
      <c r="AJ82" s="1">
        <f>VLOOKUP(A82,'SegEnds_NonXtal_Prot#'!A:AL,34,FALSE)-VLOOKUP(A82,'SegEnds_NonXtal_Prot#'!A:AL,31,FALSE)</f>
        <v>40</v>
      </c>
      <c r="AK82" s="1">
        <f>VLOOKUP(A82,'SegEnds_NonXtal_Prot#'!A:AL,37,FALSE)-VLOOKUP(A82,'SegEnds_NonXtal_Prot#'!A:AL,34,FALSE)</f>
        <v>10</v>
      </c>
      <c r="AL82" s="1" t="str">
        <f>IF(ISERROR(MATCH(A82,'SegEnds_Xtal_Prot#'!B:B, 0)), "NoXtal", "Xtal")</f>
        <v>NoXtal</v>
      </c>
    </row>
    <row r="83" spans="1:38" x14ac:dyDescent="0.2">
      <c r="A83" s="1" t="s">
        <v>275</v>
      </c>
      <c r="B83" s="1" t="str">
        <f>VLOOKUP(A83,Xtal_Templ!A:B,2,FALSE)</f>
        <v>p2ry1_human</v>
      </c>
      <c r="C83" s="5">
        <f>VLOOKUP($B83&amp;"__wt",'SegEnds_Xtal_BW#'!$A:$Z,3,FALSE)</f>
        <v>30</v>
      </c>
      <c r="D83" s="1">
        <f>VLOOKUP($B83&amp;"__wt",'SegEnds_Xtal_BW#'!$A:$Z,4,FALSE)</f>
        <v>60</v>
      </c>
      <c r="E83" s="1" t="str">
        <f>VLOOKUP($B83&amp;"__wt",'SegEnds_Xtal_BW#'!$A:$Z,5,FALSE)</f>
        <v>-</v>
      </c>
      <c r="F83" s="1" t="str">
        <f>VLOOKUP($B83&amp;"__wt",'SegEnds_Xtal_BW#'!$A:$Z,6,FALSE)</f>
        <v>-</v>
      </c>
      <c r="G83" s="1">
        <v>37</v>
      </c>
      <c r="H83" s="12">
        <f>VLOOKUP($B83&amp;"__wt",'SegEnds_Xtal_BW#'!$A:$Z,8,FALSE)</f>
        <v>66</v>
      </c>
      <c r="I83" s="1">
        <f>VLOOKUP($B83&amp;"__wt",'SegEnds_Xtal_BW#'!$A:$Z,9,FALSE)</f>
        <v>49</v>
      </c>
      <c r="J83" s="1">
        <f>VLOOKUP($B83&amp;"__wt",'SegEnds_Xtal_BW#'!$A:$Z,10,FALSE)</f>
        <v>52</v>
      </c>
      <c r="K83" s="12">
        <v>18</v>
      </c>
      <c r="L83" s="1">
        <f>VLOOKUP($B83&amp;"__wt",'SegEnds_Xtal_BW#'!$A:$Z,12,FALSE)</f>
        <v>56</v>
      </c>
      <c r="M83" s="1">
        <f>VLOOKUP($B83&amp;"__wt",'SegEnds_Xtal_BW#'!$A:$Z,13,FALSE)</f>
        <v>50</v>
      </c>
      <c r="N83" s="12">
        <v>57</v>
      </c>
      <c r="O83" s="87">
        <f>VLOOKUP($B83&amp;"__wt",'SegEnds_Xtal_BW#'!$A:$Z,15,FALSE)</f>
        <v>38</v>
      </c>
      <c r="P83" s="1">
        <f>VLOOKUP($B83&amp;"__wt",'SegEnds_Xtal_BW#'!$A:$Z,16,FALSE)</f>
        <v>64</v>
      </c>
      <c r="Q83" s="1">
        <f>VLOOKUP($B83&amp;"__wt",'SegEnds_Xtal_BW#'!$A:$Z,17,FALSE)</f>
        <v>50</v>
      </c>
      <c r="R83" s="1">
        <f>VLOOKUP($B83&amp;"__wt",'SegEnds_Xtal_BW#'!$A:$Z,18,FALSE)</f>
        <v>52</v>
      </c>
      <c r="S83" s="1">
        <f>VLOOKUP($B83&amp;"__wt",'SegEnds_Xtal_BW#'!$A:$Z,19,FALSE)</f>
        <v>32</v>
      </c>
      <c r="T83" s="1">
        <f t="array" ref="T83">INDEX(ICL3_classA!$G$2:$G$39,MATCH(MIN(ABS(AI83-ICL3_classA!$F$2:$F$39)),ABS(AI83-ICL3_classA!$F$2:$F$39),0))</f>
        <v>67</v>
      </c>
      <c r="U83" s="1">
        <f t="array" ref="U83">INDEX(ICL3_classA!$H$2:$H$39,MATCH(MIN(ABS(AI83-ICL3_classA!$F$2:$F$39)),ABS(AI83-ICL3_classA!$F$2:$F$39),0))</f>
        <v>26</v>
      </c>
      <c r="V83" s="1">
        <v>64</v>
      </c>
      <c r="W83" s="1">
        <v>24</v>
      </c>
      <c r="X83" s="1">
        <f>VLOOKUP($B83&amp;"__wt",'SegEnds_Xtal_BW#'!$A:$Z,24,FALSE)</f>
        <v>56</v>
      </c>
      <c r="Y83" s="1">
        <f>VLOOKUP($B83&amp;"__wt",'SegEnds_Xtal_BW#'!$A:$Z,25,FALSE)</f>
        <v>47</v>
      </c>
      <c r="Z83" s="1">
        <f>VLOOKUP($B83&amp;"__wt",'SegEnds_Xtal_BW#'!$A:$Z,26,FALSE)</f>
        <v>59</v>
      </c>
      <c r="AA83" s="27" t="str">
        <f>VLOOKUP(A83,Classification!A:B,2,FALSE)</f>
        <v>A</v>
      </c>
      <c r="AB83" s="1">
        <f>VLOOKUP(A83,'SegEnds_NonXtal_Prot#'!A:AL,10,FALSE)-VLOOKUP(A83,'SegEnds_NonXtal_Prot#'!A:AL,4,FALSE)</f>
        <v>28</v>
      </c>
      <c r="AC83" s="1" t="e">
        <f>VLOOKUP(A83,'SegEnds_NonXtal_Prot#'!A:AL,10,FALSE)-VLOOKUP(A83,'SegEnds_NonXtal_Prot#'!A:AL,7,FALSE)</f>
        <v>#VALUE!</v>
      </c>
      <c r="AD83" s="1">
        <f>VLOOKUP(A83,'SegEnds_NonXtal_Prot#'!A:AL,13,FALSE)-VLOOKUP(A83,'SegEnds_NonXtal_Prot#'!A:AL,10,FALSE)</f>
        <v>20</v>
      </c>
      <c r="AE83" s="1">
        <f>VLOOKUP(A83,'SegEnds_NonXtal_Prot#'!A:AL,16,FALSE)-VLOOKUP(A83,'SegEnds_NonXtal_Prot#'!A:AL,10,FALSE)</f>
        <v>52</v>
      </c>
      <c r="AF83" s="1">
        <f>VLOOKUP(A83,'SegEnds_NonXtal_Prot#'!A:AL,22,FALSE)-VLOOKUP(A83,'SegEnds_NonXtal_Prot#'!A:AL,19,FALSE)</f>
        <v>20</v>
      </c>
      <c r="AG83" s="1">
        <f>VLOOKUP(A83,'SegEnds_NonXtal_Prot#'!A:AL,28,FALSE)-VLOOKUP(A83,'SegEnds_NonXtal_Prot#'!A:AL,25,FALSE)</f>
        <v>23</v>
      </c>
      <c r="AH83" s="1">
        <f>VLOOKUP(A83,'SegEnds_NonXtal_Prot#'!A:AL,28,FALSE)-VLOOKUP(A83,'SegEnds_NonXtal_Prot#'!A:AL,22,FALSE)</f>
        <v>48</v>
      </c>
      <c r="AI83" s="1">
        <f>VLOOKUP(A83,'SegEnds_NonXtal_Prot#'!A:AL,31,FALSE)-VLOOKUP(A83,'SegEnds_NonXtal_Prot#'!A:AL,28,FALSE)</f>
        <v>46</v>
      </c>
      <c r="AJ83" s="1">
        <f>VLOOKUP(A83,'SegEnds_NonXtal_Prot#'!A:AL,34,FALSE)-VLOOKUP(A83,'SegEnds_NonXtal_Prot#'!A:AL,31,FALSE)</f>
        <v>45</v>
      </c>
      <c r="AK83" s="1">
        <f>VLOOKUP(A83,'SegEnds_NonXtal_Prot#'!A:AL,37,FALSE)-VLOOKUP(A83,'SegEnds_NonXtal_Prot#'!A:AL,34,FALSE)</f>
        <v>10</v>
      </c>
      <c r="AL83" s="1" t="str">
        <f>IF(ISERROR(MATCH(A83,'SegEnds_Xtal_Prot#'!B:B, 0)), "NoXtal", "Xtal")</f>
        <v>NoXtal</v>
      </c>
    </row>
    <row r="84" spans="1:38" x14ac:dyDescent="0.2">
      <c r="A84" s="1" t="s">
        <v>276</v>
      </c>
      <c r="B84" s="1" t="str">
        <f>VLOOKUP(A84,Xtal_Templ!A:B,2,FALSE)</f>
        <v>p2ry1_human</v>
      </c>
      <c r="C84" s="5">
        <f>VLOOKUP($B84&amp;"__wt",'SegEnds_Xtal_BW#'!$A:$Z,3,FALSE)</f>
        <v>30</v>
      </c>
      <c r="D84" s="1">
        <f>VLOOKUP($B84&amp;"__wt",'SegEnds_Xtal_BW#'!$A:$Z,4,FALSE)</f>
        <v>60</v>
      </c>
      <c r="E84" s="1" t="str">
        <f>VLOOKUP($B84&amp;"__wt",'SegEnds_Xtal_BW#'!$A:$Z,5,FALSE)</f>
        <v>-</v>
      </c>
      <c r="F84" s="1" t="str">
        <f>VLOOKUP($B84&amp;"__wt",'SegEnds_Xtal_BW#'!$A:$Z,6,FALSE)</f>
        <v>-</v>
      </c>
      <c r="G84" s="1">
        <v>37</v>
      </c>
      <c r="H84" s="12">
        <f>VLOOKUP($B84&amp;"__wt",'SegEnds_Xtal_BW#'!$A:$Z,8,FALSE)</f>
        <v>66</v>
      </c>
      <c r="I84" s="1">
        <f>VLOOKUP($B84&amp;"__wt",'SegEnds_Xtal_BW#'!$A:$Z,9,FALSE)</f>
        <v>49</v>
      </c>
      <c r="J84" s="1">
        <f>VLOOKUP($B84&amp;"__wt",'SegEnds_Xtal_BW#'!$A:$Z,10,FALSE)</f>
        <v>52</v>
      </c>
      <c r="K84" s="12">
        <v>18</v>
      </c>
      <c r="L84" s="1">
        <f>VLOOKUP($B84&amp;"__wt",'SegEnds_Xtal_BW#'!$A:$Z,12,FALSE)</f>
        <v>56</v>
      </c>
      <c r="M84" s="1">
        <f>VLOOKUP($B84&amp;"__wt",'SegEnds_Xtal_BW#'!$A:$Z,13,FALSE)</f>
        <v>50</v>
      </c>
      <c r="N84" s="12">
        <v>57</v>
      </c>
      <c r="O84" s="87">
        <f>VLOOKUP($B84&amp;"__wt",'SegEnds_Xtal_BW#'!$A:$Z,15,FALSE)</f>
        <v>38</v>
      </c>
      <c r="P84" s="1">
        <f>VLOOKUP($B84&amp;"__wt",'SegEnds_Xtal_BW#'!$A:$Z,16,FALSE)</f>
        <v>64</v>
      </c>
      <c r="Q84" s="1">
        <f>VLOOKUP($B84&amp;"__wt",'SegEnds_Xtal_BW#'!$A:$Z,17,FALSE)</f>
        <v>50</v>
      </c>
      <c r="R84" s="1">
        <f>VLOOKUP($B84&amp;"__wt",'SegEnds_Xtal_BW#'!$A:$Z,18,FALSE)</f>
        <v>52</v>
      </c>
      <c r="S84" s="1">
        <f>VLOOKUP($B84&amp;"__wt",'SegEnds_Xtal_BW#'!$A:$Z,19,FALSE)</f>
        <v>32</v>
      </c>
      <c r="T84" s="1">
        <f t="array" ref="T84">INDEX(ICL3_classA!$G$2:$G$39,MATCH(MIN(ABS(AI84-ICL3_classA!$F$2:$F$39)),ABS(AI84-ICL3_classA!$F$2:$F$39),0))</f>
        <v>67</v>
      </c>
      <c r="U84" s="1">
        <f t="array" ref="U84">INDEX(ICL3_classA!$H$2:$H$39,MATCH(MIN(ABS(AI84-ICL3_classA!$F$2:$F$39)),ABS(AI84-ICL3_classA!$F$2:$F$39),0))</f>
        <v>26</v>
      </c>
      <c r="V84" s="1">
        <v>64</v>
      </c>
      <c r="W84" s="1">
        <v>24</v>
      </c>
      <c r="X84" s="1">
        <f>VLOOKUP($B84&amp;"__wt",'SegEnds_Xtal_BW#'!$A:$Z,24,FALSE)</f>
        <v>56</v>
      </c>
      <c r="Y84" s="1">
        <f>VLOOKUP($B84&amp;"__wt",'SegEnds_Xtal_BW#'!$A:$Z,25,FALSE)</f>
        <v>47</v>
      </c>
      <c r="Z84" s="1">
        <f>VLOOKUP($B84&amp;"__wt",'SegEnds_Xtal_BW#'!$A:$Z,26,FALSE)</f>
        <v>59</v>
      </c>
      <c r="AA84" s="27" t="str">
        <f>VLOOKUP(A84,Classification!A:B,2,FALSE)</f>
        <v>A</v>
      </c>
      <c r="AB84" s="1">
        <f>VLOOKUP(A84,'SegEnds_NonXtal_Prot#'!A:AL,10,FALSE)-VLOOKUP(A84,'SegEnds_NonXtal_Prot#'!A:AL,4,FALSE)</f>
        <v>28</v>
      </c>
      <c r="AC84" s="1" t="e">
        <f>VLOOKUP(A84,'SegEnds_NonXtal_Prot#'!A:AL,10,FALSE)-VLOOKUP(A84,'SegEnds_NonXtal_Prot#'!A:AL,7,FALSE)</f>
        <v>#VALUE!</v>
      </c>
      <c r="AD84" s="1">
        <f>VLOOKUP(A84,'SegEnds_NonXtal_Prot#'!A:AL,13,FALSE)-VLOOKUP(A84,'SegEnds_NonXtal_Prot#'!A:AL,10,FALSE)</f>
        <v>20</v>
      </c>
      <c r="AE84" s="1">
        <f>VLOOKUP(A84,'SegEnds_NonXtal_Prot#'!A:AL,16,FALSE)-VLOOKUP(A84,'SegEnds_NonXtal_Prot#'!A:AL,10,FALSE)</f>
        <v>52</v>
      </c>
      <c r="AF84" s="1">
        <f>VLOOKUP(A84,'SegEnds_NonXtal_Prot#'!A:AL,22,FALSE)-VLOOKUP(A84,'SegEnds_NonXtal_Prot#'!A:AL,19,FALSE)</f>
        <v>20</v>
      </c>
      <c r="AG84" s="1">
        <f>VLOOKUP(A84,'SegEnds_NonXtal_Prot#'!A:AL,28,FALSE)-VLOOKUP(A84,'SegEnds_NonXtal_Prot#'!A:AL,25,FALSE)</f>
        <v>23</v>
      </c>
      <c r="AH84" s="1">
        <f>VLOOKUP(A84,'SegEnds_NonXtal_Prot#'!A:AL,28,FALSE)-VLOOKUP(A84,'SegEnds_NonXtal_Prot#'!A:AL,22,FALSE)</f>
        <v>48</v>
      </c>
      <c r="AI84" s="1">
        <f>VLOOKUP(A84,'SegEnds_NonXtal_Prot#'!A:AL,31,FALSE)-VLOOKUP(A84,'SegEnds_NonXtal_Prot#'!A:AL,28,FALSE)</f>
        <v>46</v>
      </c>
      <c r="AJ84" s="1">
        <f>VLOOKUP(A84,'SegEnds_NonXtal_Prot#'!A:AL,34,FALSE)-VLOOKUP(A84,'SegEnds_NonXtal_Prot#'!A:AL,31,FALSE)</f>
        <v>45</v>
      </c>
      <c r="AK84" s="1">
        <f>VLOOKUP(A84,'SegEnds_NonXtal_Prot#'!A:AL,37,FALSE)-VLOOKUP(A84,'SegEnds_NonXtal_Prot#'!A:AL,34,FALSE)</f>
        <v>10</v>
      </c>
      <c r="AL84" s="1" t="str">
        <f>IF(ISERROR(MATCH(A84,'SegEnds_Xtal_Prot#'!B:B, 0)), "NoXtal", "Xtal")</f>
        <v>NoXtal</v>
      </c>
    </row>
    <row r="85" spans="1:38" x14ac:dyDescent="0.2">
      <c r="A85" s="1" t="s">
        <v>361</v>
      </c>
      <c r="B85" s="1" t="str">
        <f>VLOOKUP(A85,Xtal_Templ!A:B,2,FALSE)</f>
        <v>pe2r4_human</v>
      </c>
      <c r="C85" s="5">
        <f>VLOOKUP($B85&amp;"__wt",'SegEnds_Xtal_BW#'!$A:$Z,3,FALSE)</f>
        <v>33</v>
      </c>
      <c r="D85" s="1">
        <f>VLOOKUP($B85&amp;"__wt",'SegEnds_Xtal_BW#'!$A:$Z,4,FALSE)</f>
        <v>58</v>
      </c>
      <c r="E85" s="1" t="str">
        <f>VLOOKUP($B85&amp;"__wt",'SegEnds_Xtal_BW#'!$A:$Z,5,FALSE)</f>
        <v>-</v>
      </c>
      <c r="F85" s="1" t="str">
        <f>VLOOKUP($B85&amp;"__wt",'SegEnds_Xtal_BW#'!$A:$Z,6,FALSE)</f>
        <v>-</v>
      </c>
      <c r="G85" s="1">
        <v>37</v>
      </c>
      <c r="H85" s="12">
        <f>VLOOKUP($B85&amp;"__wt",'SegEnds_Xtal_BW#'!$A:$Z,8,FALSE)</f>
        <v>67</v>
      </c>
      <c r="I85" s="1">
        <f>VLOOKUP($B85&amp;"__wt",'SegEnds_Xtal_BW#'!$A:$Z,9,FALSE)</f>
        <v>49</v>
      </c>
      <c r="J85" s="1">
        <f>VLOOKUP($B85&amp;"__wt",'SegEnds_Xtal_BW#'!$A:$Z,10,FALSE)</f>
        <v>52</v>
      </c>
      <c r="K85" s="12">
        <v>18</v>
      </c>
      <c r="L85" s="1">
        <f>VLOOKUP($B85&amp;"__wt",'SegEnds_Xtal_BW#'!$A:$Z,12,FALSE)</f>
        <v>56</v>
      </c>
      <c r="M85" s="1">
        <f>VLOOKUP($B85&amp;"__wt",'SegEnds_Xtal_BW#'!$A:$Z,13,FALSE)</f>
        <v>50</v>
      </c>
      <c r="N85" s="12">
        <v>57</v>
      </c>
      <c r="O85" s="87">
        <f>VLOOKUP($B85&amp;"__wt",'SegEnds_Xtal_BW#'!$A:$Z,15,FALSE)</f>
        <v>38</v>
      </c>
      <c r="P85" s="1">
        <f>VLOOKUP($B85&amp;"__wt",'SegEnds_Xtal_BW#'!$A:$Z,16,FALSE)</f>
        <v>63</v>
      </c>
      <c r="Q85" s="1">
        <f>VLOOKUP($B85&amp;"__wt",'SegEnds_Xtal_BW#'!$A:$Z,17,FALSE)</f>
        <v>50</v>
      </c>
      <c r="R85" s="1">
        <f>VLOOKUP($B85&amp;"__wt",'SegEnds_Xtal_BW#'!$A:$Z,18,FALSE)</f>
        <v>52</v>
      </c>
      <c r="S85" s="1">
        <v>35</v>
      </c>
      <c r="T85" s="1">
        <f t="array" ref="T85">INDEX(ICL3_classA!$G$2:$G$39,MATCH(MIN(ABS(AI85-ICL3_classA!$F$2:$F$39)),ABS(AI85-ICL3_classA!$F$2:$F$39),0))</f>
        <v>76</v>
      </c>
      <c r="U85" s="1">
        <f t="array" ref="U85">INDEX(ICL3_classA!$H$2:$H$39,MATCH(MIN(ABS(AI85-ICL3_classA!$F$2:$F$39)),ABS(AI85-ICL3_classA!$F$2:$F$39),0))</f>
        <v>24</v>
      </c>
      <c r="V85" s="1">
        <v>61</v>
      </c>
      <c r="W85" s="1">
        <v>33</v>
      </c>
      <c r="X85" s="1">
        <f>VLOOKUP($B85&amp;"__wt",'SegEnds_Xtal_BW#'!$A:$Z,24,FALSE)</f>
        <v>56</v>
      </c>
      <c r="Y85" s="1">
        <f>VLOOKUP($B85&amp;"__wt",'SegEnds_Xtal_BW#'!$A:$Z,25,FALSE)</f>
        <v>47</v>
      </c>
      <c r="Z85" s="1">
        <f>VLOOKUP($B85&amp;"__wt",'SegEnds_Xtal_BW#'!$A:$Z,26,FALSE)</f>
        <v>60</v>
      </c>
      <c r="AA85" s="27" t="str">
        <f>VLOOKUP(A85,Classification!A:B,2,FALSE)</f>
        <v>A</v>
      </c>
      <c r="AB85" s="1">
        <f>VLOOKUP(A85,'SegEnds_NonXtal_Prot#'!A:AL,10,FALSE)-VLOOKUP(A85,'SegEnds_NonXtal_Prot#'!A:AL,4,FALSE)</f>
        <v>39</v>
      </c>
      <c r="AC85" s="1">
        <f>VLOOKUP(A85,'SegEnds_NonXtal_Prot#'!A:AL,10,FALSE)-VLOOKUP(A85,'SegEnds_NonXtal_Prot#'!A:AL,7,FALSE)</f>
        <v>20</v>
      </c>
      <c r="AD85" s="1" t="e">
        <f>VLOOKUP(A85,'SegEnds_NonXtal_Prot#'!A:AL,13,FALSE)-VLOOKUP(A85,'SegEnds_NonXtal_Prot#'!A:AL,10,FALSE)</f>
        <v>#VALUE!</v>
      </c>
      <c r="AE85" s="1">
        <f>VLOOKUP(A85,'SegEnds_NonXtal_Prot#'!A:AL,16,FALSE)-VLOOKUP(A85,'SegEnds_NonXtal_Prot#'!A:AL,10,FALSE)</f>
        <v>56</v>
      </c>
      <c r="AF85" s="1">
        <f>VLOOKUP(A85,'SegEnds_NonXtal_Prot#'!A:AL,22,FALSE)-VLOOKUP(A85,'SegEnds_NonXtal_Prot#'!A:AL,19,FALSE)</f>
        <v>20</v>
      </c>
      <c r="AG85" s="1">
        <f>VLOOKUP(A85,'SegEnds_NonXtal_Prot#'!A:AL,28,FALSE)-VLOOKUP(A85,'SegEnds_NonXtal_Prot#'!A:AL,25,FALSE)</f>
        <v>22</v>
      </c>
      <c r="AH85" s="1">
        <f>VLOOKUP(A85,'SegEnds_NonXtal_Prot#'!A:AL,28,FALSE)-VLOOKUP(A85,'SegEnds_NonXtal_Prot#'!A:AL,22,FALSE)</f>
        <v>48</v>
      </c>
      <c r="AI85" s="1">
        <f>VLOOKUP(A85,'SegEnds_NonXtal_Prot#'!A:AL,31,FALSE)-VLOOKUP(A85,'SegEnds_NonXtal_Prot#'!A:AL,28,FALSE)</f>
        <v>70</v>
      </c>
      <c r="AJ85" s="1">
        <f>VLOOKUP(A85,'SegEnds_NonXtal_Prot#'!A:AL,34,FALSE)-VLOOKUP(A85,'SegEnds_NonXtal_Prot#'!A:AL,31,FALSE)</f>
        <v>33</v>
      </c>
      <c r="AK85" s="1">
        <f>VLOOKUP(A85,'SegEnds_NonXtal_Prot#'!A:AL,37,FALSE)-VLOOKUP(A85,'SegEnds_NonXtal_Prot#'!A:AL,34,FALSE)</f>
        <v>10</v>
      </c>
      <c r="AL85" s="1" t="str">
        <f>IF(ISERROR(MATCH(A85,'SegEnds_Xtal_Prot#'!B:B, 0)), "NoXtal", "Xtal")</f>
        <v>NoXtal</v>
      </c>
    </row>
    <row r="86" spans="1:38" x14ac:dyDescent="0.2">
      <c r="A86" s="1" t="s">
        <v>1501</v>
      </c>
      <c r="B86" s="1" t="str">
        <f>VLOOKUP(A86,Xtal_Templ!A:B,2,FALSE)</f>
        <v>q80km9_hcmv</v>
      </c>
      <c r="C86" s="5">
        <f>VLOOKUP($B86&amp;"__wt",'SegEnds_Xtal_BW#'!$A:$Z,3,FALSE)</f>
        <v>24</v>
      </c>
      <c r="D86" s="1">
        <f>VLOOKUP($B86&amp;"__wt",'SegEnds_Xtal_BW#'!$A:$Z,4,FALSE)</f>
        <v>60</v>
      </c>
      <c r="E86" s="1">
        <f>VLOOKUP($B86&amp;"__wt",'SegEnds_Xtal_BW#'!$A:$Z,5,FALSE)</f>
        <v>48</v>
      </c>
      <c r="F86" s="1">
        <f>VLOOKUP($B86&amp;"__wt",'SegEnds_Xtal_BW#'!$A:$Z,6,FALSE)</f>
        <v>51</v>
      </c>
      <c r="G86" s="1">
        <v>37</v>
      </c>
      <c r="H86" s="12">
        <v>66</v>
      </c>
      <c r="I86" s="1" t="str">
        <f>VLOOKUP($B86&amp;"__wt",'SegEnds_Xtal_BW#'!$A:$Z,9,FALSE)</f>
        <v>-</v>
      </c>
      <c r="J86" s="1" t="str">
        <f>VLOOKUP($B86&amp;"__wt",'SegEnds_Xtal_BW#'!$A:$Z,10,FALSE)</f>
        <v>-</v>
      </c>
      <c r="K86" s="108">
        <v>21</v>
      </c>
      <c r="L86" s="1">
        <f>VLOOKUP($B86&amp;"__wt",'SegEnds_Xtal_BW#'!$A:$Z,12,FALSE)</f>
        <v>55</v>
      </c>
      <c r="M86" s="1" t="str">
        <f>VLOOKUP($B86&amp;"__wt",'SegEnds_Xtal_BW#'!$A:$Z,13,FALSE)</f>
        <v>-</v>
      </c>
      <c r="N86" s="12" t="str">
        <f>VLOOKUP($B86&amp;"__wt",'SegEnds_Xtal_BW#'!$A:$Z,14,FALSE)</f>
        <v>-</v>
      </c>
      <c r="O86" s="87">
        <f>VLOOKUP($B86&amp;"__wt",'SegEnds_Xtal_BW#'!$A:$Z,15,FALSE)</f>
        <v>38</v>
      </c>
      <c r="P86" s="1">
        <f>VLOOKUP($B86&amp;"__wt",'SegEnds_Xtal_BW#'!$A:$Z,16,FALSE)</f>
        <v>62</v>
      </c>
      <c r="Q86" s="1">
        <f>VLOOKUP($B86&amp;"__wt",'SegEnds_Xtal_BW#'!$A:$Z,17,FALSE)</f>
        <v>50</v>
      </c>
      <c r="R86" s="1">
        <f>VLOOKUP($B86&amp;"__wt",'SegEnds_Xtal_BW#'!$A:$Z,18,FALSE)</f>
        <v>52</v>
      </c>
      <c r="S86" s="1">
        <f>VLOOKUP($B86&amp;"__wt",'SegEnds_Xtal_BW#'!$A:$Z,19,FALSE)</f>
        <v>33</v>
      </c>
      <c r="T86" s="1">
        <f t="array" ref="T86">INDEX(ICL3_classA!$G$2:$G$39,MATCH(MIN(ABS(AI86-ICL3_classA!$F$2:$F$39)),ABS(AI86-ICL3_classA!$F$2:$F$39),0))</f>
        <v>68</v>
      </c>
      <c r="U86" s="1">
        <v>29</v>
      </c>
      <c r="V86" s="1">
        <v>64</v>
      </c>
      <c r="W86" s="1">
        <v>24</v>
      </c>
      <c r="X86" s="1">
        <f>VLOOKUP($B86&amp;"__wt",'SegEnds_Xtal_BW#'!$A:$Z,24,FALSE)</f>
        <v>56</v>
      </c>
      <c r="Y86" s="1">
        <f>VLOOKUP($B86&amp;"__wt",'SegEnds_Xtal_BW#'!$A:$Z,25,FALSE)</f>
        <v>47</v>
      </c>
      <c r="Z86" s="1">
        <f>VLOOKUP($B86&amp;"__wt",'SegEnds_Xtal_BW#'!$A:$Z,26,FALSE)</f>
        <v>62</v>
      </c>
      <c r="AA86" s="27" t="str">
        <f>VLOOKUP(A86,Classification!A:B,2,FALSE)</f>
        <v>A</v>
      </c>
      <c r="AB86" s="1">
        <f>VLOOKUP(A86,'SegEnds_NonXtal_Prot#'!A:AL,10,FALSE)-VLOOKUP(A86,'SegEnds_NonXtal_Prot#'!A:AL,4,FALSE)</f>
        <v>28</v>
      </c>
      <c r="AC86" s="1">
        <f>VLOOKUP(A86,'SegEnds_NonXtal_Prot#'!A:AL,10,FALSE)-VLOOKUP(A86,'SegEnds_NonXtal_Prot#'!A:AL,7,FALSE)</f>
        <v>15</v>
      </c>
      <c r="AD86" s="1" t="e">
        <f>VLOOKUP(A86,'SegEnds_NonXtal_Prot#'!A:AL,13,FALSE)-VLOOKUP(A86,'SegEnds_NonXtal_Prot#'!A:AL,10,FALSE)</f>
        <v>#VALUE!</v>
      </c>
      <c r="AE86" s="1">
        <f>VLOOKUP(A86,'SegEnds_NonXtal_Prot#'!A:AL,16,FALSE)-VLOOKUP(A86,'SegEnds_NonXtal_Prot#'!A:AL,10,FALSE)</f>
        <v>50</v>
      </c>
      <c r="AF86" s="1" t="e">
        <f>VLOOKUP(A86,'SegEnds_NonXtal_Prot#'!A:AL,22,FALSE)-VLOOKUP(A86,'SegEnds_NonXtal_Prot#'!A:AL,19,FALSE)</f>
        <v>#VALUE!</v>
      </c>
      <c r="AG86" s="1">
        <f>VLOOKUP(A86,'SegEnds_NonXtal_Prot#'!A:AL,28,FALSE)-VLOOKUP(A86,'SegEnds_NonXtal_Prot#'!A:AL,25,FALSE)</f>
        <v>27</v>
      </c>
      <c r="AH86" s="1">
        <f>VLOOKUP(A86,'SegEnds_NonXtal_Prot#'!A:AL,28,FALSE)-VLOOKUP(A86,'SegEnds_NonXtal_Prot#'!A:AL,22,FALSE)</f>
        <v>48</v>
      </c>
      <c r="AI86" s="1">
        <f>VLOOKUP(A86,'SegEnds_NonXtal_Prot#'!A:AL,31,FALSE)-VLOOKUP(A86,'SegEnds_NonXtal_Prot#'!A:AL,28,FALSE)</f>
        <v>43</v>
      </c>
      <c r="AJ86" s="1">
        <f>VLOOKUP(A86,'SegEnds_NonXtal_Prot#'!A:AL,34,FALSE)-VLOOKUP(A86,'SegEnds_NonXtal_Prot#'!A:AL,31,FALSE)</f>
        <v>45</v>
      </c>
      <c r="AK86" s="1">
        <f>VLOOKUP(A86,'SegEnds_NonXtal_Prot#'!A:AL,37,FALSE)-VLOOKUP(A86,'SegEnds_NonXtal_Prot#'!A:AL,34,FALSE)</f>
        <v>10</v>
      </c>
      <c r="AL86" s="1" t="str">
        <f>IF(ISERROR(MATCH(A86,'SegEnds_Xtal_Prot#'!B:B, 0)), "NoXtal", "Xtal")</f>
        <v>Xtal</v>
      </c>
    </row>
    <row r="87" spans="1:38" x14ac:dyDescent="0.2">
      <c r="A87" s="1" t="s">
        <v>917</v>
      </c>
      <c r="B87" s="1" t="str">
        <f>VLOOKUP(A87,Xtal_Templ!A:B,2,FALSE)</f>
        <v>us28_hcmva</v>
      </c>
      <c r="C87" s="5">
        <f>VLOOKUP($B87&amp;"__wt",'SegEnds_Xtal_BW#'!$A:$Z,3,FALSE)</f>
        <v>24</v>
      </c>
      <c r="D87" s="1">
        <f>VLOOKUP($B87&amp;"__wt",'SegEnds_Xtal_BW#'!$A:$Z,4,FALSE)</f>
        <v>60</v>
      </c>
      <c r="E87" s="1">
        <f>VLOOKUP($B87&amp;"__wt",'SegEnds_Xtal_BW#'!$A:$Z,5,FALSE)</f>
        <v>48</v>
      </c>
      <c r="F87" s="1">
        <f>VLOOKUP($B87&amp;"__wt",'SegEnds_Xtal_BW#'!$A:$Z,6,FALSE)</f>
        <v>51</v>
      </c>
      <c r="G87" s="1">
        <v>37</v>
      </c>
      <c r="H87" s="12">
        <v>66</v>
      </c>
      <c r="I87" s="1" t="str">
        <f>VLOOKUP($B87&amp;"__wt",'SegEnds_Xtal_BW#'!$A:$Z,9,FALSE)</f>
        <v>-</v>
      </c>
      <c r="J87" s="1" t="str">
        <f>VLOOKUP($B87&amp;"__wt",'SegEnds_Xtal_BW#'!$A:$Z,10,FALSE)</f>
        <v>-</v>
      </c>
      <c r="K87" s="108">
        <v>21</v>
      </c>
      <c r="L87" s="1">
        <f>VLOOKUP($B87&amp;"__wt",'SegEnds_Xtal_BW#'!$A:$Z,12,FALSE)</f>
        <v>55</v>
      </c>
      <c r="M87" s="1" t="str">
        <f>VLOOKUP($B87&amp;"__wt",'SegEnds_Xtal_BW#'!$A:$Z,13,FALSE)</f>
        <v>-</v>
      </c>
      <c r="N87" s="12" t="str">
        <f>VLOOKUP($B87&amp;"__wt",'SegEnds_Xtal_BW#'!$A:$Z,14,FALSE)</f>
        <v>-</v>
      </c>
      <c r="O87" s="87">
        <f>VLOOKUP($B87&amp;"__wt",'SegEnds_Xtal_BW#'!$A:$Z,15,FALSE)</f>
        <v>38</v>
      </c>
      <c r="P87" s="1">
        <f>VLOOKUP($B87&amp;"__wt",'SegEnds_Xtal_BW#'!$A:$Z,16,FALSE)</f>
        <v>62</v>
      </c>
      <c r="Q87" s="1">
        <f>VLOOKUP($B87&amp;"__wt",'SegEnds_Xtal_BW#'!$A:$Z,17,FALSE)</f>
        <v>50</v>
      </c>
      <c r="R87" s="1">
        <f>VLOOKUP($B87&amp;"__wt",'SegEnds_Xtal_BW#'!$A:$Z,18,FALSE)</f>
        <v>52</v>
      </c>
      <c r="S87" s="1">
        <f>VLOOKUP($B87&amp;"__wt",'SegEnds_Xtal_BW#'!$A:$Z,19,FALSE)</f>
        <v>33</v>
      </c>
      <c r="T87" s="1">
        <f t="array" ref="T87">INDEX(ICL3_classA!$G$2:$G$39,MATCH(MIN(ABS(AI87-ICL3_classA!$F$2:$F$39)),ABS(AI87-ICL3_classA!$F$2:$F$39),0))</f>
        <v>68</v>
      </c>
      <c r="U87" s="1">
        <v>29</v>
      </c>
      <c r="V87" s="1">
        <v>64</v>
      </c>
      <c r="W87" s="1">
        <v>24</v>
      </c>
      <c r="X87" s="1">
        <f>VLOOKUP($B87&amp;"__wt",'SegEnds_Xtal_BW#'!$A:$Z,24,FALSE)</f>
        <v>56</v>
      </c>
      <c r="Y87" s="1">
        <f>VLOOKUP($B87&amp;"__wt",'SegEnds_Xtal_BW#'!$A:$Z,25,FALSE)</f>
        <v>47</v>
      </c>
      <c r="Z87" s="1">
        <f>VLOOKUP($B87&amp;"__wt",'SegEnds_Xtal_BW#'!$A:$Z,26,FALSE)</f>
        <v>62</v>
      </c>
      <c r="AA87" s="27" t="str">
        <f>VLOOKUP(A87,Classification!A:B,2,FALSE)</f>
        <v>A</v>
      </c>
      <c r="AB87" s="1">
        <f>VLOOKUP(A87,'SegEnds_NonXtal_Prot#'!A:AL,10,FALSE)-VLOOKUP(A87,'SegEnds_NonXtal_Prot#'!A:AL,4,FALSE)</f>
        <v>28</v>
      </c>
      <c r="AC87" s="1">
        <f>VLOOKUP(A87,'SegEnds_NonXtal_Prot#'!A:AL,10,FALSE)-VLOOKUP(A87,'SegEnds_NonXtal_Prot#'!A:AL,7,FALSE)</f>
        <v>15</v>
      </c>
      <c r="AD87" s="1" t="e">
        <f>VLOOKUP(A87,'SegEnds_NonXtal_Prot#'!A:AL,13,FALSE)-VLOOKUP(A87,'SegEnds_NonXtal_Prot#'!A:AL,10,FALSE)</f>
        <v>#VALUE!</v>
      </c>
      <c r="AE87" s="1">
        <f>VLOOKUP(A87,'SegEnds_NonXtal_Prot#'!A:AL,16,FALSE)-VLOOKUP(A87,'SegEnds_NonXtal_Prot#'!A:AL,10,FALSE)</f>
        <v>50</v>
      </c>
      <c r="AF87" s="1" t="e">
        <f>VLOOKUP(A87,'SegEnds_NonXtal_Prot#'!A:AL,22,FALSE)-VLOOKUP(A87,'SegEnds_NonXtal_Prot#'!A:AL,19,FALSE)</f>
        <v>#VALUE!</v>
      </c>
      <c r="AG87" s="1">
        <f>VLOOKUP(A87,'SegEnds_NonXtal_Prot#'!A:AL,28,FALSE)-VLOOKUP(A87,'SegEnds_NonXtal_Prot#'!A:AL,25,FALSE)</f>
        <v>27</v>
      </c>
      <c r="AH87" s="1">
        <f>VLOOKUP(A87,'SegEnds_NonXtal_Prot#'!A:AL,28,FALSE)-VLOOKUP(A87,'SegEnds_NonXtal_Prot#'!A:AL,22,FALSE)</f>
        <v>48</v>
      </c>
      <c r="AI87" s="1">
        <f>VLOOKUP(A87,'SegEnds_NonXtal_Prot#'!A:AL,31,FALSE)-VLOOKUP(A87,'SegEnds_NonXtal_Prot#'!A:AL,28,FALSE)</f>
        <v>43</v>
      </c>
      <c r="AJ87" s="1">
        <f>VLOOKUP(A87,'SegEnds_NonXtal_Prot#'!A:AL,34,FALSE)-VLOOKUP(A87,'SegEnds_NonXtal_Prot#'!A:AL,31,FALSE)</f>
        <v>45</v>
      </c>
      <c r="AK87" s="1">
        <f>VLOOKUP(A87,'SegEnds_NonXtal_Prot#'!A:AL,37,FALSE)-VLOOKUP(A87,'SegEnds_NonXtal_Prot#'!A:AL,34,FALSE)</f>
        <v>10</v>
      </c>
      <c r="AL87" s="1" t="str">
        <f>IF(ISERROR(MATCH(A87,'SegEnds_Xtal_Prot#'!B:B, 0)), "NoXtal", "Xtal")</f>
        <v>Xtal</v>
      </c>
    </row>
    <row r="88" spans="1:38" x14ac:dyDescent="0.2">
      <c r="A88" s="1" t="s">
        <v>35</v>
      </c>
      <c r="B88" s="1" t="str">
        <f>VLOOKUP(A88,Xtal_Templ!A:B,2,FALSE)</f>
        <v>5ht2b_human</v>
      </c>
      <c r="C88" s="5">
        <f>VLOOKUP($B88&amp;"__wt",'SegEnds_Xtal_BW#'!$A:$Z,3,FALSE)</f>
        <v>31</v>
      </c>
      <c r="D88" s="1">
        <f>VLOOKUP($B88&amp;"__wt",'SegEnds_Xtal_BW#'!$A:$Z,4,FALSE)</f>
        <v>60</v>
      </c>
      <c r="E88" s="1">
        <f>VLOOKUP($B88&amp;"__wt",'SegEnds_Xtal_BW#'!$A:$Z,5,FALSE)</f>
        <v>48</v>
      </c>
      <c r="F88" s="1">
        <f>VLOOKUP($B88&amp;"__wt",'SegEnds_Xtal_BW#'!$A:$Z,6,FALSE)</f>
        <v>51</v>
      </c>
      <c r="G88" s="1">
        <v>37</v>
      </c>
      <c r="H88" s="12">
        <f>VLOOKUP($B88&amp;"__wt",'SegEnds_Xtal_BW#'!$A:$Z,8,FALSE)</f>
        <v>67</v>
      </c>
      <c r="I88" s="1">
        <f>VLOOKUP($B88&amp;"__wt",'SegEnds_Xtal_BW#'!$A:$Z,9,FALSE)</f>
        <v>49</v>
      </c>
      <c r="J88" s="1">
        <f>VLOOKUP($B88&amp;"__wt",'SegEnds_Xtal_BW#'!$A:$Z,10,FALSE)</f>
        <v>52</v>
      </c>
      <c r="K88" s="12">
        <v>18</v>
      </c>
      <c r="L88" s="1">
        <f>VLOOKUP($B88&amp;"__wt",'SegEnds_Xtal_BW#'!$A:$Z,12,FALSE)</f>
        <v>56</v>
      </c>
      <c r="M88" s="1">
        <f>VLOOKUP($B88&amp;"__wt",'SegEnds_Xtal_BW#'!$A:$Z,13,FALSE)</f>
        <v>50</v>
      </c>
      <c r="N88" s="12">
        <f>VLOOKUP($B88&amp;"__wt",'SegEnds_Xtal_BW#'!$A:$Z,14,FALSE)</f>
        <v>57</v>
      </c>
      <c r="O88" s="87">
        <f>VLOOKUP($B88&amp;"__wt",'SegEnds_Xtal_BW#'!$A:$Z,15,FALSE)</f>
        <v>38</v>
      </c>
      <c r="P88" s="1">
        <f>VLOOKUP($B88&amp;"__wt",'SegEnds_Xtal_BW#'!$A:$Z,16,FALSE)</f>
        <v>64</v>
      </c>
      <c r="Q88" s="1">
        <f>VLOOKUP($B88&amp;"__wt",'SegEnds_Xtal_BW#'!$A:$Z,17,FALSE)</f>
        <v>50</v>
      </c>
      <c r="R88" s="1">
        <f>VLOOKUP($B88&amp;"__wt",'SegEnds_Xtal_BW#'!$A:$Z,18,FALSE)</f>
        <v>52</v>
      </c>
      <c r="S88" s="1">
        <v>35</v>
      </c>
      <c r="T88" s="1">
        <f t="array" ref="T88">INDEX(ICL3_classA!$G$2:$G$39,MATCH(MIN(ABS(AI88-ICL3_classA!$F$2:$F$39)),ABS(AI88-ICL3_classA!$F$2:$F$39),0))</f>
        <v>76</v>
      </c>
      <c r="U88" s="1">
        <f t="array" ref="U88">INDEX(ICL3_classA!$H$2:$H$39,MATCH(MIN(ABS(AI88-ICL3_classA!$F$2:$F$39)),ABS(AI88-ICL3_classA!$F$2:$F$39),0))</f>
        <v>24</v>
      </c>
      <c r="V88" s="1">
        <v>61</v>
      </c>
      <c r="W88" s="131">
        <v>27</v>
      </c>
      <c r="X88" s="1">
        <f>VLOOKUP($B88&amp;"__wt",'SegEnds_Xtal_BW#'!$A:$Z,24,FALSE)</f>
        <v>56</v>
      </c>
      <c r="Y88" s="1">
        <f>VLOOKUP($B88&amp;"__wt",'SegEnds_Xtal_BW#'!$A:$Z,25,FALSE)</f>
        <v>47</v>
      </c>
      <c r="Z88" s="1">
        <f>VLOOKUP($B88&amp;"__wt",'SegEnds_Xtal_BW#'!$A:$Z,26,FALSE)</f>
        <v>58</v>
      </c>
      <c r="AA88" s="27" t="str">
        <f>VLOOKUP(A88,Classification!A:B,2,FALSE)</f>
        <v>A</v>
      </c>
      <c r="AB88" s="1">
        <f>VLOOKUP(A88,'SegEnds_NonXtal_Prot#'!A:AL,10,FALSE)-VLOOKUP(A88,'SegEnds_NonXtal_Prot#'!A:AL,4,FALSE)</f>
        <v>28</v>
      </c>
      <c r="AC88" s="1">
        <f>VLOOKUP(A88,'SegEnds_NonXtal_Prot#'!A:AL,10,FALSE)-VLOOKUP(A88,'SegEnds_NonXtal_Prot#'!A:AL,7,FALSE)</f>
        <v>15</v>
      </c>
      <c r="AD88" s="1">
        <f>VLOOKUP(A88,'SegEnds_NonXtal_Prot#'!A:AL,13,FALSE)-VLOOKUP(A88,'SegEnds_NonXtal_Prot#'!A:AL,10,FALSE)</f>
        <v>21</v>
      </c>
      <c r="AE88" s="1">
        <f>VLOOKUP(A88,'SegEnds_NonXtal_Prot#'!A:AL,16,FALSE)-VLOOKUP(A88,'SegEnds_NonXtal_Prot#'!A:AL,10,FALSE)</f>
        <v>53</v>
      </c>
      <c r="AF88" s="1">
        <f>VLOOKUP(A88,'SegEnds_NonXtal_Prot#'!A:AL,22,FALSE)-VLOOKUP(A88,'SegEnds_NonXtal_Prot#'!A:AL,19,FALSE)</f>
        <v>20</v>
      </c>
      <c r="AG88" s="1">
        <f>VLOOKUP(A88,'SegEnds_NonXtal_Prot#'!A:AL,28,FALSE)-VLOOKUP(A88,'SegEnds_NonXtal_Prot#'!A:AL,25,FALSE)</f>
        <v>22</v>
      </c>
      <c r="AH88" s="1">
        <f>VLOOKUP(A88,'SegEnds_NonXtal_Prot#'!A:AL,28,FALSE)-VLOOKUP(A88,'SegEnds_NonXtal_Prot#'!A:AL,22,FALSE)</f>
        <v>49</v>
      </c>
      <c r="AI88" s="1">
        <f>VLOOKUP(A88,'SegEnds_NonXtal_Prot#'!A:AL,31,FALSE)-VLOOKUP(A88,'SegEnds_NonXtal_Prot#'!A:AL,28,FALSE)</f>
        <v>110</v>
      </c>
      <c r="AJ88" s="1">
        <f>VLOOKUP(A88,'SegEnds_NonXtal_Prot#'!A:AL,34,FALSE)-VLOOKUP(A88,'SegEnds_NonXtal_Prot#'!A:AL,31,FALSE)</f>
        <v>38</v>
      </c>
      <c r="AK88" s="1">
        <f>VLOOKUP(A88,'SegEnds_NonXtal_Prot#'!A:AL,37,FALSE)-VLOOKUP(A88,'SegEnds_NonXtal_Prot#'!A:AL,34,FALSE)</f>
        <v>10</v>
      </c>
      <c r="AL88" s="1" t="str">
        <f>IF(ISERROR(MATCH(A88,'SegEnds_Xtal_Prot#'!B:B, 0)), "NoXtal", "Xtal")</f>
        <v>Xtal</v>
      </c>
    </row>
    <row r="89" spans="1:38" x14ac:dyDescent="0.2">
      <c r="A89" s="1" t="s">
        <v>136</v>
      </c>
      <c r="B89" s="1" t="str">
        <f>VLOOKUP(A89,Xtal_Templ!A:B,2,FALSE)</f>
        <v>5ht2c_human</v>
      </c>
      <c r="C89" s="5">
        <f>VLOOKUP($B89&amp;"__wt",'SegEnds_Xtal_BW#'!$A:$Z,3,FALSE)</f>
        <v>33</v>
      </c>
      <c r="D89" s="1">
        <f>VLOOKUP($B89&amp;"__wt",'SegEnds_Xtal_BW#'!$A:$Z,4,FALSE)</f>
        <v>60</v>
      </c>
      <c r="E89" s="1">
        <f>VLOOKUP($B89&amp;"__wt",'SegEnds_Xtal_BW#'!$A:$Z,5,FALSE)</f>
        <v>48</v>
      </c>
      <c r="F89" s="1">
        <f>VLOOKUP($B89&amp;"__wt",'SegEnds_Xtal_BW#'!$A:$Z,6,FALSE)</f>
        <v>51</v>
      </c>
      <c r="G89" s="1">
        <v>37</v>
      </c>
      <c r="H89" s="12">
        <f>VLOOKUP($B89&amp;"__wt",'SegEnds_Xtal_BW#'!$A:$Z,8,FALSE)</f>
        <v>68</v>
      </c>
      <c r="I89" s="1">
        <f>VLOOKUP($B89&amp;"__wt",'SegEnds_Xtal_BW#'!$A:$Z,9,FALSE)</f>
        <v>49</v>
      </c>
      <c r="J89" s="1">
        <f>VLOOKUP($B89&amp;"__wt",'SegEnds_Xtal_BW#'!$A:$Z,10,FALSE)</f>
        <v>52</v>
      </c>
      <c r="K89" s="12">
        <v>18</v>
      </c>
      <c r="L89" s="1">
        <f>VLOOKUP($B89&amp;"__wt",'SegEnds_Xtal_BW#'!$A:$Z,12,FALSE)</f>
        <v>56</v>
      </c>
      <c r="M89" s="1">
        <f>VLOOKUP($B89&amp;"__wt",'SegEnds_Xtal_BW#'!$A:$Z,13,FALSE)</f>
        <v>50</v>
      </c>
      <c r="N89" s="12">
        <v>57</v>
      </c>
      <c r="O89" s="87">
        <v>38</v>
      </c>
      <c r="P89" s="1">
        <f>VLOOKUP($B89&amp;"__wt",'SegEnds_Xtal_BW#'!$A:$Z,16,FALSE)</f>
        <v>67</v>
      </c>
      <c r="Q89" s="1">
        <f>VLOOKUP($B89&amp;"__wt",'SegEnds_Xtal_BW#'!$A:$Z,17,FALSE)</f>
        <v>50</v>
      </c>
      <c r="R89" s="1">
        <f>VLOOKUP($B89&amp;"__wt",'SegEnds_Xtal_BW#'!$A:$Z,18,FALSE)</f>
        <v>52</v>
      </c>
      <c r="S89" s="1">
        <v>35</v>
      </c>
      <c r="T89" s="1">
        <f t="array" ref="T89">INDEX(ICL3_classA!$G$2:$G$39,MATCH(MIN(ABS(AI89-ICL3_classA!$F$2:$F$39)),ABS(AI89-ICL3_classA!$F$2:$F$39),0))</f>
        <v>76</v>
      </c>
      <c r="U89" s="1">
        <f t="array" ref="U89">INDEX(ICL3_classA!$H$2:$H$39,MATCH(MIN(ABS(AI89-ICL3_classA!$F$2:$F$39)),ABS(AI89-ICL3_classA!$F$2:$F$39),0))</f>
        <v>24</v>
      </c>
      <c r="V89" s="1">
        <v>61</v>
      </c>
      <c r="W89" s="1">
        <v>32</v>
      </c>
      <c r="X89" s="1">
        <f>VLOOKUP($B89&amp;"__wt",'SegEnds_Xtal_BW#'!$A:$Z,24,FALSE)</f>
        <v>56</v>
      </c>
      <c r="Y89" s="1">
        <f>VLOOKUP($B89&amp;"__wt",'SegEnds_Xtal_BW#'!$A:$Z,25,FALSE)</f>
        <v>47</v>
      </c>
      <c r="Z89" s="1">
        <f>VLOOKUP($B89&amp;"__wt",'SegEnds_Xtal_BW#'!$A:$Z,26,FALSE)</f>
        <v>60</v>
      </c>
      <c r="AA89" s="27" t="str">
        <f>VLOOKUP(A89,Classification!A:B,2,FALSE)</f>
        <v>A</v>
      </c>
      <c r="AB89" s="1">
        <f>VLOOKUP(A89,'SegEnds_NonXtal_Prot#'!A:AL,10,FALSE)-VLOOKUP(A89,'SegEnds_NonXtal_Prot#'!A:AL,4,FALSE)</f>
        <v>28</v>
      </c>
      <c r="AC89" s="1">
        <f>VLOOKUP(A89,'SegEnds_NonXtal_Prot#'!A:AL,10,FALSE)-VLOOKUP(A89,'SegEnds_NonXtal_Prot#'!A:AL,7,FALSE)</f>
        <v>15</v>
      </c>
      <c r="AD89" s="1">
        <f>VLOOKUP(A89,'SegEnds_NonXtal_Prot#'!A:AL,13,FALSE)-VLOOKUP(A89,'SegEnds_NonXtal_Prot#'!A:AL,10,FALSE)</f>
        <v>20</v>
      </c>
      <c r="AE89" s="1">
        <f>VLOOKUP(A89,'SegEnds_NonXtal_Prot#'!A:AL,16,FALSE)-VLOOKUP(A89,'SegEnds_NonXtal_Prot#'!A:AL,10,FALSE)</f>
        <v>52</v>
      </c>
      <c r="AF89" s="1">
        <f>VLOOKUP(A89,'SegEnds_NonXtal_Prot#'!A:AL,22,FALSE)-VLOOKUP(A89,'SegEnds_NonXtal_Prot#'!A:AL,19,FALSE)</f>
        <v>20</v>
      </c>
      <c r="AG89" s="1">
        <f>VLOOKUP(A89,'SegEnds_NonXtal_Prot#'!A:AL,28,FALSE)-VLOOKUP(A89,'SegEnds_NonXtal_Prot#'!A:AL,25,FALSE)</f>
        <v>20</v>
      </c>
      <c r="AH89" s="1">
        <f>VLOOKUP(A89,'SegEnds_NonXtal_Prot#'!A:AL,28,FALSE)-VLOOKUP(A89,'SegEnds_NonXtal_Prot#'!A:AL,22,FALSE)</f>
        <v>49</v>
      </c>
      <c r="AI89" s="1">
        <f>VLOOKUP(A89,'SegEnds_NonXtal_Prot#'!A:AL,31,FALSE)-VLOOKUP(A89,'SegEnds_NonXtal_Prot#'!A:AL,28,FALSE)</f>
        <v>83</v>
      </c>
      <c r="AJ89" s="1">
        <f>VLOOKUP(A89,'SegEnds_NonXtal_Prot#'!A:AL,34,FALSE)-VLOOKUP(A89,'SegEnds_NonXtal_Prot#'!A:AL,31,FALSE)</f>
        <v>34</v>
      </c>
      <c r="AK89" s="1">
        <f>VLOOKUP(A89,'SegEnds_NonXtal_Prot#'!A:AL,37,FALSE)-VLOOKUP(A89,'SegEnds_NonXtal_Prot#'!A:AL,34,FALSE)</f>
        <v>10</v>
      </c>
      <c r="AL89" s="1" t="str">
        <f>IF(ISERROR(MATCH(A89,'SegEnds_Xtal_Prot#'!B:B, 0)), "NoXtal", "Xtal")</f>
        <v>NoXtal</v>
      </c>
    </row>
    <row r="90" spans="1:38" x14ac:dyDescent="0.2">
      <c r="A90" s="1" t="s">
        <v>170</v>
      </c>
      <c r="B90" s="1" t="str">
        <f>VLOOKUP(A90,Xtal_Templ!A:B,2,FALSE)</f>
        <v>ccr2_human</v>
      </c>
      <c r="C90" s="5">
        <f>VLOOKUP($B90&amp;"__wt",'SegEnds_Xtal_BW#'!$A:$Z,3,FALSE)</f>
        <v>27</v>
      </c>
      <c r="D90" s="1">
        <f>VLOOKUP($B90&amp;"__wt",'SegEnds_Xtal_BW#'!$A:$Z,4,FALSE)</f>
        <v>60</v>
      </c>
      <c r="E90" s="1">
        <f>VLOOKUP($B90&amp;"__wt",'SegEnds_Xtal_BW#'!$A:$Z,5,FALSE)</f>
        <v>48</v>
      </c>
      <c r="F90" s="1">
        <f>VLOOKUP($B90&amp;"__wt",'SegEnds_Xtal_BW#'!$A:$Z,6,FALSE)</f>
        <v>51</v>
      </c>
      <c r="G90" s="1">
        <v>37</v>
      </c>
      <c r="H90" s="12">
        <v>66</v>
      </c>
      <c r="I90" s="1">
        <f>VLOOKUP($B90&amp;"__wt",'SegEnds_Xtal_BW#'!$A:$Z,9,FALSE)</f>
        <v>49</v>
      </c>
      <c r="J90" s="1">
        <f>VLOOKUP($B90&amp;"__wt",'SegEnds_Xtal_BW#'!$A:$Z,10,FALSE)</f>
        <v>52</v>
      </c>
      <c r="K90" s="12">
        <v>24</v>
      </c>
      <c r="L90" s="1">
        <f>VLOOKUP($B90&amp;"__wt",'SegEnds_Xtal_BW#'!$A:$Z,12,FALSE)</f>
        <v>56</v>
      </c>
      <c r="M90" s="1">
        <f>VLOOKUP($B90&amp;"__wt",'SegEnds_Xtal_BW#'!$A:$Z,13,FALSE)</f>
        <v>50</v>
      </c>
      <c r="N90" s="12">
        <f>VLOOKUP($B90&amp;"__wt",'SegEnds_Xtal_BW#'!$A:$Z,14,FALSE)</f>
        <v>57</v>
      </c>
      <c r="O90" s="87">
        <f>VLOOKUP($B90&amp;"__wt",'SegEnds_Xtal_BW#'!$A:$Z,15,FALSE)</f>
        <v>38</v>
      </c>
      <c r="P90" s="1">
        <f>VLOOKUP($B90&amp;"__wt",'SegEnds_Xtal_BW#'!$A:$Z,16,FALSE)</f>
        <v>64</v>
      </c>
      <c r="Q90" s="1">
        <f>VLOOKUP($B90&amp;"__wt",'SegEnds_Xtal_BW#'!$A:$Z,17,FALSE)</f>
        <v>50</v>
      </c>
      <c r="R90" s="1">
        <f>VLOOKUP($B90&amp;"__wt",'SegEnds_Xtal_BW#'!$A:$Z,18,FALSE)</f>
        <v>52</v>
      </c>
      <c r="S90" s="1">
        <f>VLOOKUP($B90&amp;"__wt",'SegEnds_Xtal_BW#'!$A:$Z,19,FALSE)</f>
        <v>31</v>
      </c>
      <c r="T90" s="1">
        <f t="array" ref="T90">INDEX(ICL3_classA!$G$2:$G$39,MATCH(MIN(ABS(AI90-ICL3_classA!$F$2:$F$39)),ABS(AI90-ICL3_classA!$F$2:$F$39),0))</f>
        <v>68</v>
      </c>
      <c r="U90" s="1">
        <f t="array" ref="U90">INDEX(ICL3_classA!$H$2:$H$39,MATCH(MIN(ABS(AI90-ICL3_classA!$F$2:$F$39)),ABS(AI90-ICL3_classA!$F$2:$F$39),0))</f>
        <v>28</v>
      </c>
      <c r="V90" s="1">
        <v>65</v>
      </c>
      <c r="W90" s="1">
        <v>24</v>
      </c>
      <c r="X90" s="1">
        <f>VLOOKUP($B90&amp;"__wt",'SegEnds_Xtal_BW#'!$A:$Z,24,FALSE)</f>
        <v>56</v>
      </c>
      <c r="Y90" s="1">
        <f>VLOOKUP($B90&amp;"__wt",'SegEnds_Xtal_BW#'!$A:$Z,25,FALSE)</f>
        <v>47</v>
      </c>
      <c r="Z90" s="1">
        <f>VLOOKUP($B90&amp;"__wt",'SegEnds_Xtal_BW#'!$A:$Z,26,FALSE)</f>
        <v>58</v>
      </c>
      <c r="AA90" s="27" t="str">
        <f>VLOOKUP(A90,Classification!A:B,2,FALSE)</f>
        <v>A</v>
      </c>
      <c r="AB90" s="1">
        <f>VLOOKUP(A90,'SegEnds_NonXtal_Prot#'!A:AL,10,FALSE)-VLOOKUP(A90,'SegEnds_NonXtal_Prot#'!A:AL,4,FALSE)</f>
        <v>28</v>
      </c>
      <c r="AC90" s="1">
        <f>VLOOKUP(A90,'SegEnds_NonXtal_Prot#'!A:AL,10,FALSE)-VLOOKUP(A90,'SegEnds_NonXtal_Prot#'!A:AL,7,FALSE)</f>
        <v>15</v>
      </c>
      <c r="AD90" s="1">
        <f>VLOOKUP(A90,'SegEnds_NonXtal_Prot#'!A:AL,13,FALSE)-VLOOKUP(A90,'SegEnds_NonXtal_Prot#'!A:AL,10,FALSE)</f>
        <v>18</v>
      </c>
      <c r="AE90" s="1">
        <f>VLOOKUP(A90,'SegEnds_NonXtal_Prot#'!A:AL,16,FALSE)-VLOOKUP(A90,'SegEnds_NonXtal_Prot#'!A:AL,10,FALSE)</f>
        <v>50</v>
      </c>
      <c r="AF90" s="1">
        <f>VLOOKUP(A90,'SegEnds_NonXtal_Prot#'!A:AL,22,FALSE)-VLOOKUP(A90,'SegEnds_NonXtal_Prot#'!A:AL,19,FALSE)</f>
        <v>20</v>
      </c>
      <c r="AG90" s="1">
        <f>VLOOKUP(A90,'SegEnds_NonXtal_Prot#'!A:AL,28,FALSE)-VLOOKUP(A90,'SegEnds_NonXtal_Prot#'!A:AL,25,FALSE)</f>
        <v>24</v>
      </c>
      <c r="AH90" s="1">
        <f>VLOOKUP(A90,'SegEnds_NonXtal_Prot#'!A:AL,28,FALSE)-VLOOKUP(A90,'SegEnds_NonXtal_Prot#'!A:AL,22,FALSE)</f>
        <v>49</v>
      </c>
      <c r="AI90" s="1">
        <f>VLOOKUP(A90,'SegEnds_NonXtal_Prot#'!A:AL,31,FALSE)-VLOOKUP(A90,'SegEnds_NonXtal_Prot#'!A:AL,28,FALSE)</f>
        <v>44</v>
      </c>
      <c r="AJ90" s="1">
        <f>VLOOKUP(A90,'SegEnds_NonXtal_Prot#'!A:AL,34,FALSE)-VLOOKUP(A90,'SegEnds_NonXtal_Prot#'!A:AL,31,FALSE)</f>
        <v>44</v>
      </c>
      <c r="AK90" s="1">
        <f>VLOOKUP(A90,'SegEnds_NonXtal_Prot#'!A:AL,37,FALSE)-VLOOKUP(A90,'SegEnds_NonXtal_Prot#'!A:AL,34,FALSE)</f>
        <v>10</v>
      </c>
      <c r="AL90" s="1" t="str">
        <f>IF(ISERROR(MATCH(A90,'SegEnds_Xtal_Prot#'!B:B, 0)), "NoXtal", "Xtal")</f>
        <v>Xtal</v>
      </c>
    </row>
    <row r="91" spans="1:38" x14ac:dyDescent="0.2">
      <c r="A91" s="1" t="s">
        <v>184</v>
      </c>
      <c r="B91" s="1" t="str">
        <f>VLOOKUP(A91,Xtal_Templ!A:B,2,FALSE)</f>
        <v>ccr2_human</v>
      </c>
      <c r="C91" s="5">
        <f>VLOOKUP($B91&amp;"__wt",'SegEnds_Xtal_BW#'!$A:$Z,3,FALSE)</f>
        <v>27</v>
      </c>
      <c r="D91" s="1">
        <f>VLOOKUP($B91&amp;"__wt",'SegEnds_Xtal_BW#'!$A:$Z,4,FALSE)</f>
        <v>60</v>
      </c>
      <c r="E91" s="1">
        <f>VLOOKUP($B91&amp;"__wt",'SegEnds_Xtal_BW#'!$A:$Z,5,FALSE)</f>
        <v>48</v>
      </c>
      <c r="F91" s="1">
        <f>VLOOKUP($B91&amp;"__wt",'SegEnds_Xtal_BW#'!$A:$Z,6,FALSE)</f>
        <v>51</v>
      </c>
      <c r="G91" s="1">
        <v>37</v>
      </c>
      <c r="H91" s="12">
        <v>66</v>
      </c>
      <c r="I91" s="1">
        <f>VLOOKUP($B91&amp;"__wt",'SegEnds_Xtal_BW#'!$A:$Z,9,FALSE)</f>
        <v>49</v>
      </c>
      <c r="J91" s="1">
        <f>VLOOKUP($B91&amp;"__wt",'SegEnds_Xtal_BW#'!$A:$Z,10,FALSE)</f>
        <v>52</v>
      </c>
      <c r="K91" s="12">
        <v>24</v>
      </c>
      <c r="L91" s="1">
        <f>VLOOKUP($B91&amp;"__wt",'SegEnds_Xtal_BW#'!$A:$Z,12,FALSE)</f>
        <v>56</v>
      </c>
      <c r="M91" s="1">
        <f>VLOOKUP($B91&amp;"__wt",'SegEnds_Xtal_BW#'!$A:$Z,13,FALSE)</f>
        <v>50</v>
      </c>
      <c r="N91" s="12">
        <v>57</v>
      </c>
      <c r="O91" s="87">
        <v>38</v>
      </c>
      <c r="P91" s="1">
        <f>VLOOKUP($B91&amp;"__wt",'SegEnds_Xtal_BW#'!$A:$Z,16,FALSE)</f>
        <v>64</v>
      </c>
      <c r="Q91" s="1">
        <f>VLOOKUP($B91&amp;"__wt",'SegEnds_Xtal_BW#'!$A:$Z,17,FALSE)</f>
        <v>50</v>
      </c>
      <c r="R91" s="1">
        <f>VLOOKUP($B91&amp;"__wt",'SegEnds_Xtal_BW#'!$A:$Z,18,FALSE)</f>
        <v>52</v>
      </c>
      <c r="S91" s="1">
        <f>VLOOKUP($B91&amp;"__wt",'SegEnds_Xtal_BW#'!$A:$Z,19,FALSE)</f>
        <v>31</v>
      </c>
      <c r="T91" s="1">
        <f t="array" ref="T91">INDEX(ICL3_classA!$G$2:$G$39,MATCH(MIN(ABS(AI91-ICL3_classA!$F$2:$F$39)),ABS(AI91-ICL3_classA!$F$2:$F$39),0))</f>
        <v>68</v>
      </c>
      <c r="U91" s="1">
        <f t="array" ref="U91">INDEX(ICL3_classA!$H$2:$H$39,MATCH(MIN(ABS(AI91-ICL3_classA!$F$2:$F$39)),ABS(AI91-ICL3_classA!$F$2:$F$39),0))</f>
        <v>30</v>
      </c>
      <c r="V91" s="1">
        <v>64</v>
      </c>
      <c r="W91" s="1">
        <v>24</v>
      </c>
      <c r="X91" s="1">
        <f>VLOOKUP($B91&amp;"__wt",'SegEnds_Xtal_BW#'!$A:$Z,24,FALSE)</f>
        <v>56</v>
      </c>
      <c r="Y91" s="1">
        <f>VLOOKUP($B91&amp;"__wt",'SegEnds_Xtal_BW#'!$A:$Z,25,FALSE)</f>
        <v>47</v>
      </c>
      <c r="Z91" s="1">
        <f>VLOOKUP($B91&amp;"__wt",'SegEnds_Xtal_BW#'!$A:$Z,26,FALSE)</f>
        <v>58</v>
      </c>
      <c r="AA91" s="27" t="str">
        <f>VLOOKUP(A91,Classification!A:B,2,FALSE)</f>
        <v>A</v>
      </c>
      <c r="AB91" s="1">
        <f>VLOOKUP(A91,'SegEnds_NonXtal_Prot#'!A:AL,10,FALSE)-VLOOKUP(A91,'SegEnds_NonXtal_Prot#'!A:AL,4,FALSE)</f>
        <v>28</v>
      </c>
      <c r="AC91" s="1">
        <f>VLOOKUP(A91,'SegEnds_NonXtal_Prot#'!A:AL,10,FALSE)-VLOOKUP(A91,'SegEnds_NonXtal_Prot#'!A:AL,7,FALSE)</f>
        <v>15</v>
      </c>
      <c r="AD91" s="1" t="e">
        <f>VLOOKUP(A91,'SegEnds_NonXtal_Prot#'!A:AL,13,FALSE)-VLOOKUP(A91,'SegEnds_NonXtal_Prot#'!A:AL,10,FALSE)</f>
        <v>#VALUE!</v>
      </c>
      <c r="AE91" s="1">
        <f>VLOOKUP(A91,'SegEnds_NonXtal_Prot#'!A:AL,16,FALSE)-VLOOKUP(A91,'SegEnds_NonXtal_Prot#'!A:AL,10,FALSE)</f>
        <v>50</v>
      </c>
      <c r="AF91" s="1">
        <f>VLOOKUP(A91,'SegEnds_NonXtal_Prot#'!A:AL,22,FALSE)-VLOOKUP(A91,'SegEnds_NonXtal_Prot#'!A:AL,19,FALSE)</f>
        <v>20</v>
      </c>
      <c r="AG91" s="1">
        <f>VLOOKUP(A91,'SegEnds_NonXtal_Prot#'!A:AL,28,FALSE)-VLOOKUP(A91,'SegEnds_NonXtal_Prot#'!A:AL,25,FALSE)</f>
        <v>28</v>
      </c>
      <c r="AH91" s="1">
        <f>VLOOKUP(A91,'SegEnds_NonXtal_Prot#'!A:AL,28,FALSE)-VLOOKUP(A91,'SegEnds_NonXtal_Prot#'!A:AL,22,FALSE)</f>
        <v>49</v>
      </c>
      <c r="AI91" s="1">
        <f>VLOOKUP(A91,'SegEnds_NonXtal_Prot#'!A:AL,31,FALSE)-VLOOKUP(A91,'SegEnds_NonXtal_Prot#'!A:AL,28,FALSE)</f>
        <v>43</v>
      </c>
      <c r="AJ91" s="1">
        <f>VLOOKUP(A91,'SegEnds_NonXtal_Prot#'!A:AL,34,FALSE)-VLOOKUP(A91,'SegEnds_NonXtal_Prot#'!A:AL,31,FALSE)</f>
        <v>44</v>
      </c>
      <c r="AK91" s="1">
        <f>VLOOKUP(A91,'SegEnds_NonXtal_Prot#'!A:AL,37,FALSE)-VLOOKUP(A91,'SegEnds_NonXtal_Prot#'!A:AL,34,FALSE)</f>
        <v>10</v>
      </c>
      <c r="AL91" s="1" t="str">
        <f>IF(ISERROR(MATCH(A91,'SegEnds_Xtal_Prot#'!B:B, 0)), "NoXtal", "Xtal")</f>
        <v>NoXtal</v>
      </c>
    </row>
    <row r="92" spans="1:38" x14ac:dyDescent="0.2">
      <c r="A92" s="1" t="s">
        <v>205</v>
      </c>
      <c r="B92" s="1" t="str">
        <f>VLOOKUP(A92,Xtal_Templ!A:B,2,FALSE)</f>
        <v>oprk_human</v>
      </c>
      <c r="C92" s="5">
        <f>VLOOKUP($B92&amp;"__wt",'SegEnds_Xtal_BW#'!$A:$Z,3,FALSE)</f>
        <v>30</v>
      </c>
      <c r="D92" s="1">
        <f>VLOOKUP($B92&amp;"__wt",'SegEnds_Xtal_BW#'!$A:$Z,4,FALSE)</f>
        <v>60</v>
      </c>
      <c r="E92" s="1">
        <f>VLOOKUP($B92&amp;"__wt",'SegEnds_Xtal_BW#'!$A:$Z,5,FALSE)</f>
        <v>48</v>
      </c>
      <c r="F92" s="1">
        <f>VLOOKUP($B92&amp;"__wt",'SegEnds_Xtal_BW#'!$A:$Z,6,FALSE)</f>
        <v>51</v>
      </c>
      <c r="G92" s="1">
        <v>37</v>
      </c>
      <c r="H92" s="12">
        <f>VLOOKUP($B92&amp;"__wt",'SegEnds_Xtal_BW#'!$A:$Z,8,FALSE)</f>
        <v>67</v>
      </c>
      <c r="I92" s="1">
        <f>VLOOKUP($B92&amp;"__wt",'SegEnds_Xtal_BW#'!$A:$Z,9,FALSE)</f>
        <v>49</v>
      </c>
      <c r="J92" s="1">
        <f>VLOOKUP($B92&amp;"__wt",'SegEnds_Xtal_BW#'!$A:$Z,10,FALSE)</f>
        <v>52</v>
      </c>
      <c r="K92" s="12">
        <v>18</v>
      </c>
      <c r="L92" s="1">
        <f>VLOOKUP($B92&amp;"__wt",'SegEnds_Xtal_BW#'!$A:$Z,12,FALSE)</f>
        <v>56</v>
      </c>
      <c r="M92" s="1">
        <f>VLOOKUP($B92&amp;"__wt",'SegEnds_Xtal_BW#'!$A:$Z,13,FALSE)</f>
        <v>50</v>
      </c>
      <c r="N92" s="12">
        <v>57</v>
      </c>
      <c r="O92" s="87">
        <f>VLOOKUP($B92&amp;"__wt",'SegEnds_Xtal_BW#'!$A:$Z,15,FALSE)</f>
        <v>38</v>
      </c>
      <c r="P92" s="1">
        <f>VLOOKUP($B92&amp;"__wt",'SegEnds_Xtal_BW#'!$A:$Z,16,FALSE)</f>
        <v>64</v>
      </c>
      <c r="Q92" s="1">
        <f>VLOOKUP($B92&amp;"__wt",'SegEnds_Xtal_BW#'!$A:$Z,17,FALSE)</f>
        <v>50</v>
      </c>
      <c r="R92" s="1">
        <f>VLOOKUP($B92&amp;"__wt",'SegEnds_Xtal_BW#'!$A:$Z,18,FALSE)</f>
        <v>52</v>
      </c>
      <c r="S92" s="1">
        <f>VLOOKUP($B92&amp;"__wt",'SegEnds_Xtal_BW#'!$A:$Z,19,FALSE)</f>
        <v>30</v>
      </c>
      <c r="T92" s="1">
        <f t="array" ref="T92">INDEX(ICL3_classA!$G$2:$G$39,MATCH(MIN(ABS(AI92-ICL3_classA!$F$2:$F$39)),ABS(AI92-ICL3_classA!$F$2:$F$39),0))</f>
        <v>72</v>
      </c>
      <c r="U92" s="1">
        <f t="array" ref="U92">INDEX(ICL3_classA!$H$2:$H$39,MATCH(MIN(ABS(AI92-ICL3_classA!$F$2:$F$39)),ABS(AI92-ICL3_classA!$F$2:$F$39),0))</f>
        <v>23</v>
      </c>
      <c r="V92" s="1">
        <v>61</v>
      </c>
      <c r="W92" s="131">
        <f>VLOOKUP($B92&amp;"__wt",'SegEnds_Xtal_BW#'!$A:$Z,23,FALSE)</f>
        <v>28</v>
      </c>
      <c r="X92" s="1">
        <f>VLOOKUP($B92&amp;"__wt",'SegEnds_Xtal_BW#'!$A:$Z,24,FALSE)</f>
        <v>56</v>
      </c>
      <c r="Y92" s="1">
        <f>VLOOKUP($B92&amp;"__wt",'SegEnds_Xtal_BW#'!$A:$Z,25,FALSE)</f>
        <v>47</v>
      </c>
      <c r="Z92" s="1">
        <f>VLOOKUP($B92&amp;"__wt",'SegEnds_Xtal_BW#'!$A:$Z,26,FALSE)</f>
        <v>59</v>
      </c>
      <c r="AA92" s="27" t="str">
        <f>VLOOKUP(A92,Classification!A:B,2,FALSE)</f>
        <v>A</v>
      </c>
      <c r="AB92" s="1">
        <f>VLOOKUP(A92,'SegEnds_NonXtal_Prot#'!A:AL,10,FALSE)-VLOOKUP(A92,'SegEnds_NonXtal_Prot#'!A:AL,4,FALSE)</f>
        <v>28</v>
      </c>
      <c r="AC92" s="1">
        <f>VLOOKUP(A92,'SegEnds_NonXtal_Prot#'!A:AL,10,FALSE)-VLOOKUP(A92,'SegEnds_NonXtal_Prot#'!A:AL,7,FALSE)</f>
        <v>15</v>
      </c>
      <c r="AD92" s="1">
        <f>VLOOKUP(A92,'SegEnds_NonXtal_Prot#'!A:AL,13,FALSE)-VLOOKUP(A92,'SegEnds_NonXtal_Prot#'!A:AL,10,FALSE)</f>
        <v>20</v>
      </c>
      <c r="AE92" s="1">
        <f>VLOOKUP(A92,'SegEnds_NonXtal_Prot#'!A:AL,16,FALSE)-VLOOKUP(A92,'SegEnds_NonXtal_Prot#'!A:AL,10,FALSE)</f>
        <v>52</v>
      </c>
      <c r="AF92" s="1">
        <f>VLOOKUP(A92,'SegEnds_NonXtal_Prot#'!A:AL,22,FALSE)-VLOOKUP(A92,'SegEnds_NonXtal_Prot#'!A:AL,19,FALSE)</f>
        <v>20</v>
      </c>
      <c r="AG92" s="1">
        <f>VLOOKUP(A92,'SegEnds_NonXtal_Prot#'!A:AL,28,FALSE)-VLOOKUP(A92,'SegEnds_NonXtal_Prot#'!A:AL,25,FALSE)</f>
        <v>24</v>
      </c>
      <c r="AH92" s="1">
        <f>VLOOKUP(A92,'SegEnds_NonXtal_Prot#'!A:AL,28,FALSE)-VLOOKUP(A92,'SegEnds_NonXtal_Prot#'!A:AL,22,FALSE)</f>
        <v>49</v>
      </c>
      <c r="AI92" s="1">
        <f>VLOOKUP(A92,'SegEnds_NonXtal_Prot#'!A:AL,31,FALSE)-VLOOKUP(A92,'SegEnds_NonXtal_Prot#'!A:AL,28,FALSE)</f>
        <v>52</v>
      </c>
      <c r="AJ92" s="1">
        <f>VLOOKUP(A92,'SegEnds_NonXtal_Prot#'!A:AL,34,FALSE)-VLOOKUP(A92,'SegEnds_NonXtal_Prot#'!A:AL,31,FALSE)</f>
        <v>38</v>
      </c>
      <c r="AK92" s="1">
        <f>VLOOKUP(A92,'SegEnds_NonXtal_Prot#'!A:AL,37,FALSE)-VLOOKUP(A92,'SegEnds_NonXtal_Prot#'!A:AL,34,FALSE)</f>
        <v>10</v>
      </c>
      <c r="AL92" s="1" t="str">
        <f>IF(ISERROR(MATCH(A92,'SegEnds_Xtal_Prot#'!B:B, 0)), "NoXtal", "Xtal")</f>
        <v>NoXtal</v>
      </c>
    </row>
    <row r="93" spans="1:38" x14ac:dyDescent="0.2">
      <c r="A93" s="1" t="s">
        <v>206</v>
      </c>
      <c r="B93" s="1" t="str">
        <f>VLOOKUP(A93,Xtal_Templ!A:B,2,FALSE)</f>
        <v>oprk_human</v>
      </c>
      <c r="C93" s="5">
        <f>VLOOKUP($B93&amp;"__wt",'SegEnds_Xtal_BW#'!$A:$Z,3,FALSE)</f>
        <v>30</v>
      </c>
      <c r="D93" s="1">
        <f>VLOOKUP($B93&amp;"__wt",'SegEnds_Xtal_BW#'!$A:$Z,4,FALSE)</f>
        <v>60</v>
      </c>
      <c r="E93" s="1">
        <f>VLOOKUP($B93&amp;"__wt",'SegEnds_Xtal_BW#'!$A:$Z,5,FALSE)</f>
        <v>48</v>
      </c>
      <c r="F93" s="1">
        <f>VLOOKUP($B93&amp;"__wt",'SegEnds_Xtal_BW#'!$A:$Z,6,FALSE)</f>
        <v>51</v>
      </c>
      <c r="G93" s="1">
        <v>37</v>
      </c>
      <c r="H93" s="12">
        <f>VLOOKUP($B93&amp;"__wt",'SegEnds_Xtal_BW#'!$A:$Z,8,FALSE)</f>
        <v>67</v>
      </c>
      <c r="I93" s="1">
        <f>VLOOKUP($B93&amp;"__wt",'SegEnds_Xtal_BW#'!$A:$Z,9,FALSE)</f>
        <v>49</v>
      </c>
      <c r="J93" s="1">
        <f>VLOOKUP($B93&amp;"__wt",'SegEnds_Xtal_BW#'!$A:$Z,10,FALSE)</f>
        <v>52</v>
      </c>
      <c r="K93" s="12">
        <v>18</v>
      </c>
      <c r="L93" s="1">
        <f>VLOOKUP($B93&amp;"__wt",'SegEnds_Xtal_BW#'!$A:$Z,12,FALSE)</f>
        <v>56</v>
      </c>
      <c r="M93" s="1">
        <f>VLOOKUP($B93&amp;"__wt",'SegEnds_Xtal_BW#'!$A:$Z,13,FALSE)</f>
        <v>50</v>
      </c>
      <c r="N93" s="12">
        <v>57</v>
      </c>
      <c r="O93" s="87">
        <f>VLOOKUP($B93&amp;"__wt",'SegEnds_Xtal_BW#'!$A:$Z,15,FALSE)</f>
        <v>38</v>
      </c>
      <c r="P93" s="1">
        <f>VLOOKUP($B93&amp;"__wt",'SegEnds_Xtal_BW#'!$A:$Z,16,FALSE)</f>
        <v>64</v>
      </c>
      <c r="Q93" s="1">
        <f>VLOOKUP($B93&amp;"__wt",'SegEnds_Xtal_BW#'!$A:$Z,17,FALSE)</f>
        <v>50</v>
      </c>
      <c r="R93" s="1">
        <f>VLOOKUP($B93&amp;"__wt",'SegEnds_Xtal_BW#'!$A:$Z,18,FALSE)</f>
        <v>52</v>
      </c>
      <c r="S93" s="1">
        <f>VLOOKUP($B93&amp;"__wt",'SegEnds_Xtal_BW#'!$A:$Z,19,FALSE)</f>
        <v>30</v>
      </c>
      <c r="T93" s="1">
        <f t="array" ref="T93">INDEX(ICL3_classA!$G$2:$G$39,MATCH(MIN(ABS(AI93-ICL3_classA!$F$2:$F$39)),ABS(AI93-ICL3_classA!$F$2:$F$39),0))</f>
        <v>72</v>
      </c>
      <c r="U93" s="1">
        <f t="array" ref="U93">INDEX(ICL3_classA!$H$2:$H$39,MATCH(MIN(ABS(AI93-ICL3_classA!$F$2:$F$39)),ABS(AI93-ICL3_classA!$F$2:$F$39),0))</f>
        <v>24</v>
      </c>
      <c r="V93" s="1">
        <v>61</v>
      </c>
      <c r="W93" s="131">
        <f>VLOOKUP($B93&amp;"__wt",'SegEnds_Xtal_BW#'!$A:$Z,23,FALSE)</f>
        <v>28</v>
      </c>
      <c r="X93" s="1">
        <f>VLOOKUP($B93&amp;"__wt",'SegEnds_Xtal_BW#'!$A:$Z,24,FALSE)</f>
        <v>56</v>
      </c>
      <c r="Y93" s="1">
        <f>VLOOKUP($B93&amp;"__wt",'SegEnds_Xtal_BW#'!$A:$Z,25,FALSE)</f>
        <v>47</v>
      </c>
      <c r="Z93" s="1">
        <f>VLOOKUP($B93&amp;"__wt",'SegEnds_Xtal_BW#'!$A:$Z,26,FALSE)</f>
        <v>59</v>
      </c>
      <c r="AA93" s="27" t="str">
        <f>VLOOKUP(A93,Classification!A:B,2,FALSE)</f>
        <v>A</v>
      </c>
      <c r="AB93" s="1">
        <f>VLOOKUP(A93,'SegEnds_NonXtal_Prot#'!A:AL,10,FALSE)-VLOOKUP(A93,'SegEnds_NonXtal_Prot#'!A:AL,4,FALSE)</f>
        <v>33</v>
      </c>
      <c r="AC93" s="1">
        <f>VLOOKUP(A93,'SegEnds_NonXtal_Prot#'!A:AL,10,FALSE)-VLOOKUP(A93,'SegEnds_NonXtal_Prot#'!A:AL,7,FALSE)</f>
        <v>19</v>
      </c>
      <c r="AD93" s="1">
        <f>VLOOKUP(A93,'SegEnds_NonXtal_Prot#'!A:AL,13,FALSE)-VLOOKUP(A93,'SegEnds_NonXtal_Prot#'!A:AL,10,FALSE)</f>
        <v>20</v>
      </c>
      <c r="AE93" s="1">
        <f>VLOOKUP(A93,'SegEnds_NonXtal_Prot#'!A:AL,16,FALSE)-VLOOKUP(A93,'SegEnds_NonXtal_Prot#'!A:AL,10,FALSE)</f>
        <v>52</v>
      </c>
      <c r="AF93" s="1">
        <f>VLOOKUP(A93,'SegEnds_NonXtal_Prot#'!A:AL,22,FALSE)-VLOOKUP(A93,'SegEnds_NonXtal_Prot#'!A:AL,19,FALSE)</f>
        <v>20</v>
      </c>
      <c r="AG93" s="1">
        <f>VLOOKUP(A93,'SegEnds_NonXtal_Prot#'!A:AL,28,FALSE)-VLOOKUP(A93,'SegEnds_NonXtal_Prot#'!A:AL,25,FALSE)</f>
        <v>24</v>
      </c>
      <c r="AH93" s="1">
        <f>VLOOKUP(A93,'SegEnds_NonXtal_Prot#'!A:AL,28,FALSE)-VLOOKUP(A93,'SegEnds_NonXtal_Prot#'!A:AL,22,FALSE)</f>
        <v>49</v>
      </c>
      <c r="AI93" s="1">
        <f>VLOOKUP(A93,'SegEnds_NonXtal_Prot#'!A:AL,31,FALSE)-VLOOKUP(A93,'SegEnds_NonXtal_Prot#'!A:AL,28,FALSE)</f>
        <v>54</v>
      </c>
      <c r="AJ93" s="1">
        <f>VLOOKUP(A93,'SegEnds_NonXtal_Prot#'!A:AL,34,FALSE)-VLOOKUP(A93,'SegEnds_NonXtal_Prot#'!A:AL,31,FALSE)</f>
        <v>38</v>
      </c>
      <c r="AK93" s="1">
        <f>VLOOKUP(A93,'SegEnds_NonXtal_Prot#'!A:AL,37,FALSE)-VLOOKUP(A93,'SegEnds_NonXtal_Prot#'!A:AL,34,FALSE)</f>
        <v>10</v>
      </c>
      <c r="AL93" s="1" t="str">
        <f>IF(ISERROR(MATCH(A93,'SegEnds_Xtal_Prot#'!B:B, 0)), "NoXtal", "Xtal")</f>
        <v>NoXtal</v>
      </c>
    </row>
    <row r="94" spans="1:38" x14ac:dyDescent="0.2">
      <c r="A94" s="1" t="s">
        <v>224</v>
      </c>
      <c r="B94" s="1" t="str">
        <f>VLOOKUP(A94,Xtal_Templ!A:B,2,FALSE)</f>
        <v>ox2r_human</v>
      </c>
      <c r="C94" s="5">
        <f>VLOOKUP($B94&amp;"__wt",'SegEnds_Xtal_BW#'!$A:$Z,3,FALSE)</f>
        <v>31</v>
      </c>
      <c r="D94" s="1">
        <f>VLOOKUP($B94&amp;"__wt",'SegEnds_Xtal_BW#'!$A:$Z,4,FALSE)</f>
        <v>60</v>
      </c>
      <c r="E94" s="1">
        <f>VLOOKUP($B94&amp;"__wt",'SegEnds_Xtal_BW#'!$A:$Z,5,FALSE)</f>
        <v>48</v>
      </c>
      <c r="F94" s="1">
        <f>VLOOKUP($B94&amp;"__wt",'SegEnds_Xtal_BW#'!$A:$Z,6,FALSE)</f>
        <v>51</v>
      </c>
      <c r="G94" s="1">
        <v>37</v>
      </c>
      <c r="H94" s="12">
        <f>VLOOKUP($B94&amp;"__wt",'SegEnds_Xtal_BW#'!$A:$Z,8,FALSE)</f>
        <v>68</v>
      </c>
      <c r="I94" s="1">
        <f>VLOOKUP($B94&amp;"__wt",'SegEnds_Xtal_BW#'!$A:$Z,9,FALSE)</f>
        <v>49</v>
      </c>
      <c r="J94" s="1">
        <f>VLOOKUP($B94&amp;"__wt",'SegEnds_Xtal_BW#'!$A:$Z,10,FALSE)</f>
        <v>52</v>
      </c>
      <c r="K94" s="12">
        <v>18</v>
      </c>
      <c r="L94" s="1">
        <f>VLOOKUP($B94&amp;"__wt",'SegEnds_Xtal_BW#'!$A:$Z,12,FALSE)</f>
        <v>56</v>
      </c>
      <c r="M94" s="1">
        <f>VLOOKUP($B94&amp;"__wt",'SegEnds_Xtal_BW#'!$A:$Z,13,FALSE)</f>
        <v>50</v>
      </c>
      <c r="N94" s="12">
        <v>57</v>
      </c>
      <c r="O94" s="87">
        <f>VLOOKUP($B94&amp;"__wt",'SegEnds_Xtal_BW#'!$A:$Z,15,FALSE)</f>
        <v>38</v>
      </c>
      <c r="P94" s="1">
        <v>63</v>
      </c>
      <c r="Q94" s="1">
        <f>VLOOKUP($B94&amp;"__wt",'SegEnds_Xtal_BW#'!$A:$Z,17,FALSE)</f>
        <v>50</v>
      </c>
      <c r="R94" s="1">
        <f>VLOOKUP($B94&amp;"__wt",'SegEnds_Xtal_BW#'!$A:$Z,18,FALSE)</f>
        <v>52</v>
      </c>
      <c r="S94" s="1">
        <v>35</v>
      </c>
      <c r="T94" s="1">
        <f t="array" ref="T94">INDEX(ICL3_classA!$G$2:$G$39,MATCH(MIN(ABS(AI94-ICL3_classA!$F$2:$F$39)),ABS(AI94-ICL3_classA!$F$2:$F$39),0))</f>
        <v>76</v>
      </c>
      <c r="U94" s="1">
        <f t="array" ref="U94">INDEX(ICL3_classA!$H$2:$H$39,MATCH(MIN(ABS(AI94-ICL3_classA!$F$2:$F$39)),ABS(AI94-ICL3_classA!$F$2:$F$39),0))</f>
        <v>24</v>
      </c>
      <c r="V94" s="1">
        <v>61</v>
      </c>
      <c r="W94" s="1">
        <v>32</v>
      </c>
      <c r="X94" s="108">
        <v>55</v>
      </c>
      <c r="Y94" s="1">
        <f>VLOOKUP($B94&amp;"__wt",'SegEnds_Xtal_BW#'!$A:$Z,25,FALSE)</f>
        <v>47</v>
      </c>
      <c r="Z94" s="1">
        <f>VLOOKUP($B94&amp;"__wt",'SegEnds_Xtal_BW#'!$A:$Z,26,FALSE)</f>
        <v>63</v>
      </c>
      <c r="AA94" s="27" t="str">
        <f>VLOOKUP(A94,Classification!A:B,2,FALSE)</f>
        <v>A</v>
      </c>
      <c r="AB94" s="1">
        <f>VLOOKUP(A94,'SegEnds_NonXtal_Prot#'!A:AL,10,FALSE)-VLOOKUP(A94,'SegEnds_NonXtal_Prot#'!A:AL,4,FALSE)</f>
        <v>27</v>
      </c>
      <c r="AC94" s="1">
        <f>VLOOKUP(A94,'SegEnds_NonXtal_Prot#'!A:AL,10,FALSE)-VLOOKUP(A94,'SegEnds_NonXtal_Prot#'!A:AL,7,FALSE)</f>
        <v>14</v>
      </c>
      <c r="AD94" s="1">
        <f>VLOOKUP(A94,'SegEnds_NonXtal_Prot#'!A:AL,13,FALSE)-VLOOKUP(A94,'SegEnds_NonXtal_Prot#'!A:AL,10,FALSE)</f>
        <v>24</v>
      </c>
      <c r="AE94" s="1">
        <f>VLOOKUP(A94,'SegEnds_NonXtal_Prot#'!A:AL,16,FALSE)-VLOOKUP(A94,'SegEnds_NonXtal_Prot#'!A:AL,10,FALSE)</f>
        <v>56</v>
      </c>
      <c r="AF94" s="1">
        <f>VLOOKUP(A94,'SegEnds_NonXtal_Prot#'!A:AL,22,FALSE)-VLOOKUP(A94,'SegEnds_NonXtal_Prot#'!A:AL,19,FALSE)</f>
        <v>20</v>
      </c>
      <c r="AG94" s="1">
        <f>VLOOKUP(A94,'SegEnds_NonXtal_Prot#'!A:AL,28,FALSE)-VLOOKUP(A94,'SegEnds_NonXtal_Prot#'!A:AL,25,FALSE)</f>
        <v>23</v>
      </c>
      <c r="AH94" s="1">
        <f>VLOOKUP(A94,'SegEnds_NonXtal_Prot#'!A:AL,28,FALSE)-VLOOKUP(A94,'SegEnds_NonXtal_Prot#'!A:AL,22,FALSE)</f>
        <v>49</v>
      </c>
      <c r="AI94" s="1">
        <f>VLOOKUP(A94,'SegEnds_NonXtal_Prot#'!A:AL,31,FALSE)-VLOOKUP(A94,'SegEnds_NonXtal_Prot#'!A:AL,28,FALSE)</f>
        <v>76</v>
      </c>
      <c r="AJ94" s="1">
        <f>VLOOKUP(A94,'SegEnds_NonXtal_Prot#'!A:AL,34,FALSE)-VLOOKUP(A94,'SegEnds_NonXtal_Prot#'!A:AL,31,FALSE)</f>
        <v>34</v>
      </c>
      <c r="AK94" s="1">
        <f>VLOOKUP(A94,'SegEnds_NonXtal_Prot#'!A:AL,37,FALSE)-VLOOKUP(A94,'SegEnds_NonXtal_Prot#'!A:AL,34,FALSE)</f>
        <v>9</v>
      </c>
      <c r="AL94" s="1" t="str">
        <f>IF(ISERROR(MATCH(A94,'SegEnds_Xtal_Prot#'!B:B, 0)), "NoXtal", "Xtal")</f>
        <v>NoXtal</v>
      </c>
    </row>
    <row r="95" spans="1:38" x14ac:dyDescent="0.2">
      <c r="A95" s="1" t="s">
        <v>225</v>
      </c>
      <c r="B95" s="1" t="str">
        <f>VLOOKUP(A95,Xtal_Templ!A:B,2,FALSE)</f>
        <v>p2y12_human</v>
      </c>
      <c r="C95" s="5">
        <f>VLOOKUP($B95&amp;"__wt",'SegEnds_Xtal_BW#'!$A:$Z,3,FALSE)</f>
        <v>28</v>
      </c>
      <c r="D95" s="1">
        <f>VLOOKUP($B95&amp;"__wt",'SegEnds_Xtal_BW#'!$A:$Z,4,FALSE)</f>
        <v>60</v>
      </c>
      <c r="E95" s="1" t="str">
        <f>VLOOKUP($B95&amp;"__wt",'SegEnds_Xtal_BW#'!$A:$Z,5,FALSE)</f>
        <v>-</v>
      </c>
      <c r="F95" s="1" t="str">
        <f>VLOOKUP($B95&amp;"__wt",'SegEnds_Xtal_BW#'!$A:$Z,6,FALSE)</f>
        <v>-</v>
      </c>
      <c r="G95" s="1">
        <v>37</v>
      </c>
      <c r="H95" s="12">
        <f>VLOOKUP($B95&amp;"__wt",'SegEnds_Xtal_BW#'!$A:$Z,8,FALSE)</f>
        <v>66</v>
      </c>
      <c r="I95" s="1" t="str">
        <f>VLOOKUP($B95&amp;"__wt",'SegEnds_Xtal_BW#'!$A:$Z,9,FALSE)</f>
        <v>-</v>
      </c>
      <c r="J95" s="1" t="str">
        <f>VLOOKUP($B95&amp;"__wt",'SegEnds_Xtal_BW#'!$A:$Z,10,FALSE)</f>
        <v>-</v>
      </c>
      <c r="K95" s="12">
        <v>18</v>
      </c>
      <c r="L95" s="1">
        <f>VLOOKUP($B95&amp;"__wt",'SegEnds_Xtal_BW#'!$A:$Z,12,FALSE)</f>
        <v>56</v>
      </c>
      <c r="M95" s="1">
        <f>VLOOKUP($B95&amp;"__wt",'SegEnds_Xtal_BW#'!$A:$Z,13,FALSE)</f>
        <v>50</v>
      </c>
      <c r="N95" s="12">
        <v>57</v>
      </c>
      <c r="O95" s="87">
        <f>VLOOKUP($B95&amp;"__wt",'SegEnds_Xtal_BW#'!$A:$Z,15,FALSE)</f>
        <v>38</v>
      </c>
      <c r="P95" s="1">
        <v>63</v>
      </c>
      <c r="Q95" s="1">
        <f>VLOOKUP($B95&amp;"__wt",'SegEnds_Xtal_BW#'!$A:$Z,17,FALSE)</f>
        <v>50</v>
      </c>
      <c r="R95" s="1">
        <f>VLOOKUP($B95&amp;"__wt",'SegEnds_Xtal_BW#'!$A:$Z,18,FALSE)</f>
        <v>52</v>
      </c>
      <c r="S95" s="1">
        <v>35</v>
      </c>
      <c r="T95" s="1">
        <f t="array" ref="T95">INDEX(ICL3_classA!$G$2:$G$39,MATCH(MIN(ABS(AI95-ICL3_classA!$F$2:$F$39)),ABS(AI95-ICL3_classA!$F$2:$F$39),0))</f>
        <v>73</v>
      </c>
      <c r="U95" s="1">
        <f t="array" ref="U95">INDEX(ICL3_classA!$H$2:$H$39,MATCH(MIN(ABS(AI95-ICL3_classA!$F$2:$F$39)),ABS(AI95-ICL3_classA!$F$2:$F$39),0))</f>
        <v>24</v>
      </c>
      <c r="V95" s="1">
        <v>61</v>
      </c>
      <c r="W95" s="1">
        <v>31</v>
      </c>
      <c r="X95" s="1">
        <f>VLOOKUP($B95&amp;"__wt",'SegEnds_Xtal_BW#'!$A:$Z,24,FALSE)</f>
        <v>56</v>
      </c>
      <c r="Y95" s="1">
        <f>VLOOKUP($B95&amp;"__wt",'SegEnds_Xtal_BW#'!$A:$Z,25,FALSE)</f>
        <v>47</v>
      </c>
      <c r="Z95" s="1">
        <f>VLOOKUP($B95&amp;"__wt",'SegEnds_Xtal_BW#'!$A:$Z,26,FALSE)</f>
        <v>57</v>
      </c>
      <c r="AA95" s="27" t="str">
        <f>VLOOKUP(A95,Classification!A:B,2,FALSE)</f>
        <v>A</v>
      </c>
      <c r="AB95" s="1">
        <f>VLOOKUP(A95,'SegEnds_NonXtal_Prot#'!A:AL,10,FALSE)-VLOOKUP(A95,'SegEnds_NonXtal_Prot#'!A:AL,4,FALSE)</f>
        <v>27</v>
      </c>
      <c r="AC95" s="1" t="e">
        <f>VLOOKUP(A95,'SegEnds_NonXtal_Prot#'!A:AL,10,FALSE)-VLOOKUP(A95,'SegEnds_NonXtal_Prot#'!A:AL,7,FALSE)</f>
        <v>#VALUE!</v>
      </c>
      <c r="AD95" s="1" t="e">
        <f>VLOOKUP(A95,'SegEnds_NonXtal_Prot#'!A:AL,13,FALSE)-VLOOKUP(A95,'SegEnds_NonXtal_Prot#'!A:AL,10,FALSE)</f>
        <v>#VALUE!</v>
      </c>
      <c r="AE95" s="1">
        <f>VLOOKUP(A95,'SegEnds_NonXtal_Prot#'!A:AL,16,FALSE)-VLOOKUP(A95,'SegEnds_NonXtal_Prot#'!A:AL,10,FALSE)</f>
        <v>54</v>
      </c>
      <c r="AF95" s="1" t="e">
        <f>VLOOKUP(A95,'SegEnds_NonXtal_Prot#'!A:AL,22,FALSE)-VLOOKUP(A95,'SegEnds_NonXtal_Prot#'!A:AL,19,FALSE)</f>
        <v>#VALUE!</v>
      </c>
      <c r="AG95" s="1">
        <f>VLOOKUP(A95,'SegEnds_NonXtal_Prot#'!A:AL,28,FALSE)-VLOOKUP(A95,'SegEnds_NonXtal_Prot#'!A:AL,25,FALSE)</f>
        <v>22</v>
      </c>
      <c r="AH95" s="1">
        <f>VLOOKUP(A95,'SegEnds_NonXtal_Prot#'!A:AL,28,FALSE)-VLOOKUP(A95,'SegEnds_NonXtal_Prot#'!A:AL,22,FALSE)</f>
        <v>49</v>
      </c>
      <c r="AI95" s="1">
        <f>VLOOKUP(A95,'SegEnds_NonXtal_Prot#'!A:AL,31,FALSE)-VLOOKUP(A95,'SegEnds_NonXtal_Prot#'!A:AL,28,FALSE)</f>
        <v>58</v>
      </c>
      <c r="AJ95" s="1">
        <f>VLOOKUP(A95,'SegEnds_NonXtal_Prot#'!A:AL,34,FALSE)-VLOOKUP(A95,'SegEnds_NonXtal_Prot#'!A:AL,31,FALSE)</f>
        <v>35</v>
      </c>
      <c r="AK95" s="1">
        <f>VLOOKUP(A95,'SegEnds_NonXtal_Prot#'!A:AL,37,FALSE)-VLOOKUP(A95,'SegEnds_NonXtal_Prot#'!A:AL,34,FALSE)</f>
        <v>10</v>
      </c>
      <c r="AL95" s="1" t="str">
        <f>IF(ISERROR(MATCH(A95,'SegEnds_Xtal_Prot#'!B:B, 0)), "NoXtal", "Xtal")</f>
        <v>NoXtal</v>
      </c>
    </row>
    <row r="96" spans="1:38" x14ac:dyDescent="0.2">
      <c r="A96" s="1" t="s">
        <v>227</v>
      </c>
      <c r="B96" s="1" t="str">
        <f>VLOOKUP(A96,Xtal_Templ!A:B,2,FALSE)</f>
        <v>npy1r_human</v>
      </c>
      <c r="C96" s="5">
        <f>VLOOKUP($B96&amp;"__wt",'SegEnds_Xtal_BW#'!$A:$Z,3,FALSE)</f>
        <v>28</v>
      </c>
      <c r="D96" s="1">
        <f>VLOOKUP($B96&amp;"__wt",'SegEnds_Xtal_BW#'!$A:$Z,4,FALSE)</f>
        <v>60</v>
      </c>
      <c r="E96" s="1">
        <f>VLOOKUP($B96&amp;"__wt",'SegEnds_Xtal_BW#'!$A:$Z,5,FALSE)</f>
        <v>48</v>
      </c>
      <c r="F96" s="1">
        <f>VLOOKUP($B96&amp;"__wt",'SegEnds_Xtal_BW#'!$A:$Z,6,FALSE)</f>
        <v>51</v>
      </c>
      <c r="G96" s="1">
        <v>37</v>
      </c>
      <c r="H96" s="12">
        <f>VLOOKUP($B96&amp;"__wt",'SegEnds_Xtal_BW#'!$A:$Z,8,FALSE)</f>
        <v>68</v>
      </c>
      <c r="I96" s="1">
        <f>VLOOKUP($B96&amp;"__wt",'SegEnds_Xtal_BW#'!$A:$Z,9,FALSE)</f>
        <v>49</v>
      </c>
      <c r="J96" s="1">
        <f>VLOOKUP($B96&amp;"__wt",'SegEnds_Xtal_BW#'!$A:$Z,10,FALSE)</f>
        <v>52</v>
      </c>
      <c r="K96" s="12">
        <v>18</v>
      </c>
      <c r="L96" s="1">
        <f>VLOOKUP($B96&amp;"__wt",'SegEnds_Xtal_BW#'!$A:$Z,12,FALSE)</f>
        <v>56</v>
      </c>
      <c r="M96" s="108">
        <v>50</v>
      </c>
      <c r="N96" s="12">
        <v>57</v>
      </c>
      <c r="O96" s="87">
        <f>VLOOKUP($B96&amp;"__wt",'SegEnds_Xtal_BW#'!$A:$Z,15,FALSE)</f>
        <v>38</v>
      </c>
      <c r="P96" s="1">
        <f>VLOOKUP($B96&amp;"__wt",'SegEnds_Xtal_BW#'!$A:$Z,16,FALSE)</f>
        <v>64</v>
      </c>
      <c r="Q96" s="1">
        <f>VLOOKUP($B96&amp;"__wt",'SegEnds_Xtal_BW#'!$A:$Z,17,FALSE)</f>
        <v>50</v>
      </c>
      <c r="R96" s="1">
        <f>VLOOKUP($B96&amp;"__wt",'SegEnds_Xtal_BW#'!$A:$Z,18,FALSE)</f>
        <v>52</v>
      </c>
      <c r="S96" s="1">
        <v>35</v>
      </c>
      <c r="T96" s="1">
        <f t="array" ref="T96">INDEX(ICL3_classA!$G$2:$G$39,MATCH(MIN(ABS(AI96-ICL3_classA!$F$2:$F$39)),ABS(AI96-ICL3_classA!$F$2:$F$39),0))</f>
        <v>74</v>
      </c>
      <c r="U96" s="1">
        <f t="array" ref="U96">INDEX(ICL3_classA!$H$2:$H$39,MATCH(MIN(ABS(AI96-ICL3_classA!$F$2:$F$39)),ABS(AI96-ICL3_classA!$F$2:$F$39),0))</f>
        <v>24</v>
      </c>
      <c r="V96" s="1">
        <v>61</v>
      </c>
      <c r="W96" s="1">
        <v>32</v>
      </c>
      <c r="X96" s="108">
        <v>55</v>
      </c>
      <c r="Y96" s="1">
        <f>VLOOKUP($B96&amp;"__wt",'SegEnds_Xtal_BW#'!$A:$Z,25,FALSE)</f>
        <v>47</v>
      </c>
      <c r="Z96" s="1">
        <f>VLOOKUP($B96&amp;"__wt",'SegEnds_Xtal_BW#'!$A:$Z,26,FALSE)</f>
        <v>58</v>
      </c>
      <c r="AA96" s="27" t="str">
        <f>VLOOKUP(A96,Classification!A:B,2,FALSE)</f>
        <v>A</v>
      </c>
      <c r="AB96" s="1">
        <f>VLOOKUP(A96,'SegEnds_NonXtal_Prot#'!A:AL,10,FALSE)-VLOOKUP(A96,'SegEnds_NonXtal_Prot#'!A:AL,4,FALSE)</f>
        <v>27</v>
      </c>
      <c r="AC96" s="1">
        <f>VLOOKUP(A96,'SegEnds_NonXtal_Prot#'!A:AL,10,FALSE)-VLOOKUP(A96,'SegEnds_NonXtal_Prot#'!A:AL,7,FALSE)</f>
        <v>14</v>
      </c>
      <c r="AD96" s="1">
        <f>VLOOKUP(A96,'SegEnds_NonXtal_Prot#'!A:AL,13,FALSE)-VLOOKUP(A96,'SegEnds_NonXtal_Prot#'!A:AL,10,FALSE)</f>
        <v>25</v>
      </c>
      <c r="AE96" s="1">
        <f>VLOOKUP(A96,'SegEnds_NonXtal_Prot#'!A:AL,16,FALSE)-VLOOKUP(A96,'SegEnds_NonXtal_Prot#'!A:AL,10,FALSE)</f>
        <v>57</v>
      </c>
      <c r="AF96" s="1">
        <f>VLOOKUP(A96,'SegEnds_NonXtal_Prot#'!A:AL,22,FALSE)-VLOOKUP(A96,'SegEnds_NonXtal_Prot#'!A:AL,19,FALSE)</f>
        <v>20</v>
      </c>
      <c r="AG96" s="1">
        <f>VLOOKUP(A96,'SegEnds_NonXtal_Prot#'!A:AL,28,FALSE)-VLOOKUP(A96,'SegEnds_NonXtal_Prot#'!A:AL,25,FALSE)</f>
        <v>23</v>
      </c>
      <c r="AH96" s="1">
        <f>VLOOKUP(A96,'SegEnds_NonXtal_Prot#'!A:AL,28,FALSE)-VLOOKUP(A96,'SegEnds_NonXtal_Prot#'!A:AL,22,FALSE)</f>
        <v>49</v>
      </c>
      <c r="AI96" s="1">
        <f>VLOOKUP(A96,'SegEnds_NonXtal_Prot#'!A:AL,31,FALSE)-VLOOKUP(A96,'SegEnds_NonXtal_Prot#'!A:AL,28,FALSE)</f>
        <v>96</v>
      </c>
      <c r="AJ96" s="1">
        <f>VLOOKUP(A96,'SegEnds_NonXtal_Prot#'!A:AL,34,FALSE)-VLOOKUP(A96,'SegEnds_NonXtal_Prot#'!A:AL,31,FALSE)</f>
        <v>34</v>
      </c>
      <c r="AK96" s="1">
        <f>VLOOKUP(A96,'SegEnds_NonXtal_Prot#'!A:AL,37,FALSE)-VLOOKUP(A96,'SegEnds_NonXtal_Prot#'!A:AL,34,FALSE)</f>
        <v>9</v>
      </c>
      <c r="AL96" s="1" t="str">
        <f>IF(ISERROR(MATCH(A96,'SegEnds_Xtal_Prot#'!B:B, 0)), "NoXtal", "Xtal")</f>
        <v>NoXtal</v>
      </c>
    </row>
    <row r="97" spans="1:38" x14ac:dyDescent="0.2">
      <c r="A97" s="1" t="s">
        <v>238</v>
      </c>
      <c r="B97" s="1" t="str">
        <f>VLOOKUP(A97,Xtal_Templ!A:B,2,FALSE)</f>
        <v>apj_human</v>
      </c>
      <c r="C97" s="5">
        <f>VLOOKUP($B97&amp;"__wt",'SegEnds_Xtal_BW#'!$A:$Z,3,FALSE)</f>
        <v>33</v>
      </c>
      <c r="D97" s="1">
        <f>VLOOKUP($B97&amp;"__wt",'SegEnds_Xtal_BW#'!$A:$Z,4,FALSE)</f>
        <v>60</v>
      </c>
      <c r="E97" s="1">
        <f>VLOOKUP($B97&amp;"__wt",'SegEnds_Xtal_BW#'!$A:$Z,5,FALSE)</f>
        <v>48</v>
      </c>
      <c r="F97" s="1">
        <f>VLOOKUP($B97&amp;"__wt",'SegEnds_Xtal_BW#'!$A:$Z,6,FALSE)</f>
        <v>52</v>
      </c>
      <c r="G97" s="1">
        <v>37</v>
      </c>
      <c r="H97" s="12">
        <f>VLOOKUP($B97&amp;"__wt",'SegEnds_Xtal_BW#'!$A:$Z,8,FALSE)</f>
        <v>67</v>
      </c>
      <c r="I97" s="1">
        <f>VLOOKUP($B97&amp;"__wt",'SegEnds_Xtal_BW#'!$A:$Z,9,FALSE)</f>
        <v>49</v>
      </c>
      <c r="J97" s="1">
        <f>VLOOKUP($B97&amp;"__wt",'SegEnds_Xtal_BW#'!$A:$Z,10,FALSE)</f>
        <v>52</v>
      </c>
      <c r="K97" s="12">
        <v>18</v>
      </c>
      <c r="L97" s="1">
        <f>VLOOKUP($B97&amp;"__wt",'SegEnds_Xtal_BW#'!$A:$Z,12,FALSE)</f>
        <v>56</v>
      </c>
      <c r="M97" s="1">
        <f>VLOOKUP($B97&amp;"__wt",'SegEnds_Xtal_BW#'!$A:$Z,13,FALSE)</f>
        <v>50</v>
      </c>
      <c r="N97" s="12">
        <f>VLOOKUP($B97&amp;"__wt",'SegEnds_Xtal_BW#'!$A:$Z,14,FALSE)</f>
        <v>57</v>
      </c>
      <c r="O97" s="87">
        <v>38</v>
      </c>
      <c r="P97" s="1">
        <f>VLOOKUP($B97&amp;"__wt",'SegEnds_Xtal_BW#'!$A:$Z,16,FALSE)</f>
        <v>64</v>
      </c>
      <c r="Q97" s="1">
        <f>VLOOKUP($B97&amp;"__wt",'SegEnds_Xtal_BW#'!$A:$Z,17,FALSE)</f>
        <v>50</v>
      </c>
      <c r="R97" s="1">
        <f>VLOOKUP($B97&amp;"__wt",'SegEnds_Xtal_BW#'!$A:$Z,18,FALSE)</f>
        <v>52</v>
      </c>
      <c r="S97" s="1">
        <f>VLOOKUP($B97&amp;"__wt",'SegEnds_Xtal_BW#'!$A:$Z,19,FALSE)</f>
        <v>30</v>
      </c>
      <c r="T97" s="1">
        <f t="array" ref="T97">INDEX(ICL3_classA!$G$2:$G$39,MATCH(MIN(ABS(AI97-ICL3_classA!$F$2:$F$39)),ABS(AI97-ICL3_classA!$F$2:$F$39),0))</f>
        <v>68</v>
      </c>
      <c r="U97" s="1">
        <f t="array" ref="U97">INDEX(ICL3_classA!$H$2:$H$39,MATCH(MIN(ABS(AI97-ICL3_classA!$F$2:$F$39)),ABS(AI97-ICL3_classA!$F$2:$F$39),0))</f>
        <v>24</v>
      </c>
      <c r="V97" s="1">
        <v>61</v>
      </c>
      <c r="W97" s="1">
        <v>24</v>
      </c>
      <c r="X97" s="1">
        <f>VLOOKUP($B97&amp;"__wt",'SegEnds_Xtal_BW#'!$A:$Z,24,FALSE)</f>
        <v>56</v>
      </c>
      <c r="Y97" s="1">
        <f>VLOOKUP($B97&amp;"__wt",'SegEnds_Xtal_BW#'!$A:$Z,25,FALSE)</f>
        <v>47</v>
      </c>
      <c r="Z97" s="1">
        <f>VLOOKUP($B97&amp;"__wt",'SegEnds_Xtal_BW#'!$A:$Z,26,FALSE)</f>
        <v>61</v>
      </c>
      <c r="AA97" s="27" t="str">
        <f>VLOOKUP(A97,Classification!A:B,2,FALSE)</f>
        <v>A</v>
      </c>
      <c r="AB97" s="1">
        <f>VLOOKUP(A97,'SegEnds_NonXtal_Prot#'!A:AL,10,FALSE)-VLOOKUP(A97,'SegEnds_NonXtal_Prot#'!A:AL,4,FALSE)</f>
        <v>28</v>
      </c>
      <c r="AC97" s="1" t="e">
        <f>VLOOKUP(A97,'SegEnds_NonXtal_Prot#'!A:AL,10,FALSE)-VLOOKUP(A97,'SegEnds_NonXtal_Prot#'!A:AL,7,FALSE)</f>
        <v>#VALUE!</v>
      </c>
      <c r="AD97" s="1">
        <f>VLOOKUP(A97,'SegEnds_NonXtal_Prot#'!A:AL,13,FALSE)-VLOOKUP(A97,'SegEnds_NonXtal_Prot#'!A:AL,10,FALSE)</f>
        <v>20</v>
      </c>
      <c r="AE97" s="1">
        <f>VLOOKUP(A97,'SegEnds_NonXtal_Prot#'!A:AL,16,FALSE)-VLOOKUP(A97,'SegEnds_NonXtal_Prot#'!A:AL,10,FALSE)</f>
        <v>52</v>
      </c>
      <c r="AF97" s="1">
        <f>VLOOKUP(A97,'SegEnds_NonXtal_Prot#'!A:AL,22,FALSE)-VLOOKUP(A97,'SegEnds_NonXtal_Prot#'!A:AL,19,FALSE)</f>
        <v>20</v>
      </c>
      <c r="AG97" s="1">
        <f>VLOOKUP(A97,'SegEnds_NonXtal_Prot#'!A:AL,28,FALSE)-VLOOKUP(A97,'SegEnds_NonXtal_Prot#'!A:AL,25,FALSE)</f>
        <v>24</v>
      </c>
      <c r="AH97" s="1">
        <f>VLOOKUP(A97,'SegEnds_NonXtal_Prot#'!A:AL,28,FALSE)-VLOOKUP(A97,'SegEnds_NonXtal_Prot#'!A:AL,22,FALSE)</f>
        <v>49</v>
      </c>
      <c r="AI97" s="1">
        <f>VLOOKUP(A97,'SegEnds_NonXtal_Prot#'!A:AL,31,FALSE)-VLOOKUP(A97,'SegEnds_NonXtal_Prot#'!A:AL,28,FALSE)</f>
        <v>49</v>
      </c>
      <c r="AJ97" s="1">
        <f>VLOOKUP(A97,'SegEnds_NonXtal_Prot#'!A:AL,34,FALSE)-VLOOKUP(A97,'SegEnds_NonXtal_Prot#'!A:AL,31,FALSE)</f>
        <v>43</v>
      </c>
      <c r="AK97" s="1">
        <f>VLOOKUP(A97,'SegEnds_NonXtal_Prot#'!A:AL,37,FALSE)-VLOOKUP(A97,'SegEnds_NonXtal_Prot#'!A:AL,34,FALSE)</f>
        <v>10</v>
      </c>
      <c r="AL97" s="1" t="str">
        <f>IF(ISERROR(MATCH(A97,'SegEnds_Xtal_Prot#'!B:B, 0)), "NoXtal", "Xtal")</f>
        <v>NoXtal</v>
      </c>
    </row>
    <row r="98" spans="1:38" x14ac:dyDescent="0.2">
      <c r="A98" s="1" t="s">
        <v>281</v>
      </c>
      <c r="B98" s="1" t="str">
        <f>VLOOKUP(A98,Xtal_Templ!A:B,2,FALSE)</f>
        <v>oprk_human</v>
      </c>
      <c r="C98" s="5">
        <f>VLOOKUP($B98&amp;"__wt",'SegEnds_Xtal_BW#'!$A:$Z,3,FALSE)</f>
        <v>30</v>
      </c>
      <c r="D98" s="1">
        <f>VLOOKUP($B98&amp;"__wt",'SegEnds_Xtal_BW#'!$A:$Z,4,FALSE)</f>
        <v>60</v>
      </c>
      <c r="E98" s="1">
        <f>VLOOKUP($B98&amp;"__wt",'SegEnds_Xtal_BW#'!$A:$Z,5,FALSE)</f>
        <v>48</v>
      </c>
      <c r="F98" s="1">
        <f>VLOOKUP($B98&amp;"__wt",'SegEnds_Xtal_BW#'!$A:$Z,6,FALSE)</f>
        <v>51</v>
      </c>
      <c r="G98" s="1">
        <v>37</v>
      </c>
      <c r="H98" s="12">
        <f>VLOOKUP($B98&amp;"__wt",'SegEnds_Xtal_BW#'!$A:$Z,8,FALSE)</f>
        <v>67</v>
      </c>
      <c r="I98" s="1">
        <f>VLOOKUP($B98&amp;"__wt",'SegEnds_Xtal_BW#'!$A:$Z,9,FALSE)</f>
        <v>49</v>
      </c>
      <c r="J98" s="1">
        <f>VLOOKUP($B98&amp;"__wt",'SegEnds_Xtal_BW#'!$A:$Z,10,FALSE)</f>
        <v>52</v>
      </c>
      <c r="K98" s="12">
        <v>18</v>
      </c>
      <c r="L98" s="1">
        <f>VLOOKUP($B98&amp;"__wt",'SegEnds_Xtal_BW#'!$A:$Z,12,FALSE)</f>
        <v>56</v>
      </c>
      <c r="M98" s="1">
        <f>VLOOKUP($B98&amp;"__wt",'SegEnds_Xtal_BW#'!$A:$Z,13,FALSE)</f>
        <v>50</v>
      </c>
      <c r="N98" s="12">
        <v>57</v>
      </c>
      <c r="O98" s="87">
        <f>VLOOKUP($B98&amp;"__wt",'SegEnds_Xtal_BW#'!$A:$Z,15,FALSE)</f>
        <v>38</v>
      </c>
      <c r="P98" s="1">
        <f>VLOOKUP($B98&amp;"__wt",'SegEnds_Xtal_BW#'!$A:$Z,16,FALSE)</f>
        <v>64</v>
      </c>
      <c r="Q98" s="1">
        <f>VLOOKUP($B98&amp;"__wt",'SegEnds_Xtal_BW#'!$A:$Z,17,FALSE)</f>
        <v>50</v>
      </c>
      <c r="R98" s="1">
        <f>VLOOKUP($B98&amp;"__wt",'SegEnds_Xtal_BW#'!$A:$Z,18,FALSE)</f>
        <v>52</v>
      </c>
      <c r="S98" s="1">
        <f>VLOOKUP($B98&amp;"__wt",'SegEnds_Xtal_BW#'!$A:$Z,19,FALSE)</f>
        <v>30</v>
      </c>
      <c r="T98" s="1">
        <f t="array" ref="T98">INDEX(ICL3_classA!$G$2:$G$39,MATCH(MIN(ABS(AI98-ICL3_classA!$F$2:$F$39)),ABS(AI98-ICL3_classA!$F$2:$F$39),0))</f>
        <v>74</v>
      </c>
      <c r="U98" s="1">
        <f t="array" ref="U98">INDEX(ICL3_classA!$H$2:$H$39,MATCH(MIN(ABS(AI98-ICL3_classA!$F$2:$F$39)),ABS(AI98-ICL3_classA!$F$2:$F$39),0))</f>
        <v>21</v>
      </c>
      <c r="V98" s="1">
        <v>61</v>
      </c>
      <c r="W98" s="1">
        <v>28</v>
      </c>
      <c r="X98" s="1">
        <f>VLOOKUP($B98&amp;"__wt",'SegEnds_Xtal_BW#'!$A:$Z,24,FALSE)</f>
        <v>56</v>
      </c>
      <c r="Y98" s="1">
        <f>VLOOKUP($B98&amp;"__wt",'SegEnds_Xtal_BW#'!$A:$Z,25,FALSE)</f>
        <v>47</v>
      </c>
      <c r="Z98" s="1">
        <f>VLOOKUP($B98&amp;"__wt",'SegEnds_Xtal_BW#'!$A:$Z,26,FALSE)</f>
        <v>59</v>
      </c>
      <c r="AA98" s="27" t="str">
        <f>VLOOKUP(A98,Classification!A:B,2,FALSE)</f>
        <v>A</v>
      </c>
      <c r="AB98" s="1">
        <f>VLOOKUP(A98,'SegEnds_NonXtal_Prot#'!A:AL,10,FALSE)-VLOOKUP(A98,'SegEnds_NonXtal_Prot#'!A:AL,4,FALSE)</f>
        <v>28</v>
      </c>
      <c r="AC98" s="1">
        <f>VLOOKUP(A98,'SegEnds_NonXtal_Prot#'!A:AL,10,FALSE)-VLOOKUP(A98,'SegEnds_NonXtal_Prot#'!A:AL,7,FALSE)</f>
        <v>15</v>
      </c>
      <c r="AD98" s="1">
        <f>VLOOKUP(A98,'SegEnds_NonXtal_Prot#'!A:AL,13,FALSE)-VLOOKUP(A98,'SegEnds_NonXtal_Prot#'!A:AL,10,FALSE)</f>
        <v>20</v>
      </c>
      <c r="AE98" s="1">
        <f>VLOOKUP(A98,'SegEnds_NonXtal_Prot#'!A:AL,16,FALSE)-VLOOKUP(A98,'SegEnds_NonXtal_Prot#'!A:AL,10,FALSE)</f>
        <v>52</v>
      </c>
      <c r="AF98" s="1">
        <f>VLOOKUP(A98,'SegEnds_NonXtal_Prot#'!A:AL,22,FALSE)-VLOOKUP(A98,'SegEnds_NonXtal_Prot#'!A:AL,19,FALSE)</f>
        <v>20</v>
      </c>
      <c r="AG98" s="1">
        <f>VLOOKUP(A98,'SegEnds_NonXtal_Prot#'!A:AL,28,FALSE)-VLOOKUP(A98,'SegEnds_NonXtal_Prot#'!A:AL,25,FALSE)</f>
        <v>25</v>
      </c>
      <c r="AH98" s="1">
        <f>VLOOKUP(A98,'SegEnds_NonXtal_Prot#'!A:AL,28,FALSE)-VLOOKUP(A98,'SegEnds_NonXtal_Prot#'!A:AL,22,FALSE)</f>
        <v>49</v>
      </c>
      <c r="AI98" s="1">
        <f>VLOOKUP(A98,'SegEnds_NonXtal_Prot#'!A:AL,31,FALSE)-VLOOKUP(A98,'SegEnds_NonXtal_Prot#'!A:AL,28,FALSE)</f>
        <v>62</v>
      </c>
      <c r="AJ98" s="1">
        <f>VLOOKUP(A98,'SegEnds_NonXtal_Prot#'!A:AL,34,FALSE)-VLOOKUP(A98,'SegEnds_NonXtal_Prot#'!A:AL,31,FALSE)</f>
        <v>42</v>
      </c>
      <c r="AK98" s="1">
        <f>VLOOKUP(A98,'SegEnds_NonXtal_Prot#'!A:AL,37,FALSE)-VLOOKUP(A98,'SegEnds_NonXtal_Prot#'!A:AL,34,FALSE)</f>
        <v>10</v>
      </c>
      <c r="AL98" s="1" t="str">
        <f>IF(ISERROR(MATCH(A98,'SegEnds_Xtal_Prot#'!B:B, 0)), "NoXtal", "Xtal")</f>
        <v>NoXtal</v>
      </c>
    </row>
    <row r="99" spans="1:38" x14ac:dyDescent="0.2">
      <c r="A99" s="1" t="s">
        <v>284</v>
      </c>
      <c r="B99" s="1" t="str">
        <f>VLOOKUP(A99,Xtal_Templ!A:B,2,FALSE)</f>
        <v>mtr1a_human</v>
      </c>
      <c r="C99" s="5">
        <f>VLOOKUP($B99&amp;"__wt",'SegEnds_Xtal_BW#'!$A:$Z,3,FALSE)</f>
        <v>28</v>
      </c>
      <c r="D99" s="1">
        <f>VLOOKUP($B99&amp;"__wt",'SegEnds_Xtal_BW#'!$A:$Z,4,FALSE)</f>
        <v>60</v>
      </c>
      <c r="E99" s="1">
        <f>VLOOKUP($B99&amp;"__wt",'SegEnds_Xtal_BW#'!$A:$Z,5,FALSE)</f>
        <v>48</v>
      </c>
      <c r="F99" s="1">
        <f>VLOOKUP($B99&amp;"__wt",'SegEnds_Xtal_BW#'!$A:$Z,6,FALSE)</f>
        <v>51</v>
      </c>
      <c r="G99" s="1">
        <v>37</v>
      </c>
      <c r="H99" s="12">
        <f>VLOOKUP($B99&amp;"__wt",'SegEnds_Xtal_BW#'!$A:$Z,8,FALSE)</f>
        <v>68</v>
      </c>
      <c r="I99" s="1">
        <f>VLOOKUP($B99&amp;"__wt",'SegEnds_Xtal_BW#'!$A:$Z,9,FALSE)</f>
        <v>49</v>
      </c>
      <c r="J99" s="1">
        <f>VLOOKUP($B99&amp;"__wt",'SegEnds_Xtal_BW#'!$A:$Z,10,FALSE)</f>
        <v>52</v>
      </c>
      <c r="K99" s="12">
        <v>18</v>
      </c>
      <c r="L99" s="1">
        <f>VLOOKUP($B99&amp;"__wt",'SegEnds_Xtal_BW#'!$A:$Z,12,FALSE)</f>
        <v>56</v>
      </c>
      <c r="M99" s="1">
        <f>VLOOKUP($B99&amp;"__wt",'SegEnds_Xtal_BW#'!$A:$Z,13,FALSE)</f>
        <v>50</v>
      </c>
      <c r="N99" s="12">
        <v>57</v>
      </c>
      <c r="O99" s="87">
        <f>VLOOKUP($B99&amp;"__wt",'SegEnds_Xtal_BW#'!$A:$Z,15,FALSE)</f>
        <v>38</v>
      </c>
      <c r="P99" s="1">
        <f>VLOOKUP($B99&amp;"__wt",'SegEnds_Xtal_BW#'!$A:$Z,16,FALSE)</f>
        <v>64</v>
      </c>
      <c r="Q99" s="1">
        <f>VLOOKUP($B99&amp;"__wt",'SegEnds_Xtal_BW#'!$A:$Z,17,FALSE)</f>
        <v>50</v>
      </c>
      <c r="R99" s="1">
        <f>VLOOKUP($B99&amp;"__wt",'SegEnds_Xtal_BW#'!$A:$Z,18,FALSE)</f>
        <v>52</v>
      </c>
      <c r="S99" s="1">
        <v>35</v>
      </c>
      <c r="T99" s="1">
        <f t="array" ref="T99">INDEX(ICL3_classA!$G$2:$G$39,MATCH(MIN(ABS(AI99-ICL3_classA!$F$2:$F$39)),ABS(AI99-ICL3_classA!$F$2:$F$39),0))</f>
        <v>67</v>
      </c>
      <c r="U99" s="1">
        <f t="array" ref="U99">INDEX(ICL3_classA!$H$2:$H$39,MATCH(MIN(ABS(AI99-ICL3_classA!$F$2:$F$39)),ABS(AI99-ICL3_classA!$F$2:$F$39),0))</f>
        <v>28</v>
      </c>
      <c r="V99" s="1">
        <v>61</v>
      </c>
      <c r="W99" s="1">
        <v>31</v>
      </c>
      <c r="X99" s="108">
        <v>56</v>
      </c>
      <c r="Y99" s="1">
        <f>VLOOKUP($B99&amp;"__wt",'SegEnds_Xtal_BW#'!$A:$Z,25,FALSE)</f>
        <v>47</v>
      </c>
      <c r="Z99" s="1">
        <f>VLOOKUP($B99&amp;"__wt",'SegEnds_Xtal_BW#'!$A:$Z,26,FALSE)</f>
        <v>63</v>
      </c>
      <c r="AA99" s="27" t="str">
        <f>VLOOKUP(A99,Classification!A:B,2,FALSE)</f>
        <v>A</v>
      </c>
      <c r="AB99" s="1">
        <f>VLOOKUP(A99,'SegEnds_NonXtal_Prot#'!A:AL,10,FALSE)-VLOOKUP(A99,'SegEnds_NonXtal_Prot#'!A:AL,4,FALSE)</f>
        <v>29</v>
      </c>
      <c r="AC99" s="1" t="e">
        <f>VLOOKUP(A99,'SegEnds_NonXtal_Prot#'!A:AL,10,FALSE)-VLOOKUP(A99,'SegEnds_NonXtal_Prot#'!A:AL,7,FALSE)</f>
        <v>#VALUE!</v>
      </c>
      <c r="AD99" s="1" t="e">
        <f>VLOOKUP(A99,'SegEnds_NonXtal_Prot#'!A:AL,13,FALSE)-VLOOKUP(A99,'SegEnds_NonXtal_Prot#'!A:AL,10,FALSE)</f>
        <v>#VALUE!</v>
      </c>
      <c r="AE99" s="1">
        <f>VLOOKUP(A99,'SegEnds_NonXtal_Prot#'!A:AL,16,FALSE)-VLOOKUP(A99,'SegEnds_NonXtal_Prot#'!A:AL,10,FALSE)</f>
        <v>59</v>
      </c>
      <c r="AF99" s="1">
        <f>VLOOKUP(A99,'SegEnds_NonXtal_Prot#'!A:AL,22,FALSE)-VLOOKUP(A99,'SegEnds_NonXtal_Prot#'!A:AL,19,FALSE)</f>
        <v>20</v>
      </c>
      <c r="AG99" s="1">
        <f>VLOOKUP(A99,'SegEnds_NonXtal_Prot#'!A:AL,28,FALSE)-VLOOKUP(A99,'SegEnds_NonXtal_Prot#'!A:AL,25,FALSE)</f>
        <v>26</v>
      </c>
      <c r="AH99" s="1">
        <f>VLOOKUP(A99,'SegEnds_NonXtal_Prot#'!A:AL,28,FALSE)-VLOOKUP(A99,'SegEnds_NonXtal_Prot#'!A:AL,22,FALSE)</f>
        <v>49</v>
      </c>
      <c r="AI99" s="1">
        <f>VLOOKUP(A99,'SegEnds_NonXtal_Prot#'!A:AL,31,FALSE)-VLOOKUP(A99,'SegEnds_NonXtal_Prot#'!A:AL,28,FALSE)</f>
        <v>45</v>
      </c>
      <c r="AJ99" s="1">
        <f>VLOOKUP(A99,'SegEnds_NonXtal_Prot#'!A:AL,34,FALSE)-VLOOKUP(A99,'SegEnds_NonXtal_Prot#'!A:AL,31,FALSE)</f>
        <v>36</v>
      </c>
      <c r="AK99" s="1">
        <f>VLOOKUP(A99,'SegEnds_NonXtal_Prot#'!A:AL,37,FALSE)-VLOOKUP(A99,'SegEnds_NonXtal_Prot#'!A:AL,34,FALSE)</f>
        <v>10</v>
      </c>
      <c r="AL99" s="1" t="str">
        <f>IF(ISERROR(MATCH(A99,'SegEnds_Xtal_Prot#'!B:B, 0)), "NoXtal", "Xtal")</f>
        <v>NoXtal</v>
      </c>
    </row>
    <row r="100" spans="1:38" x14ac:dyDescent="0.2">
      <c r="A100" s="1" t="s">
        <v>384</v>
      </c>
      <c r="B100" s="1" t="str">
        <f>VLOOKUP(A100,Xtal_Templ!A:B,2,FALSE)</f>
        <v>oprk_human</v>
      </c>
      <c r="C100" s="5">
        <f>VLOOKUP($B100&amp;"__wt",'SegEnds_Xtal_BW#'!$A:$Z,3,FALSE)</f>
        <v>30</v>
      </c>
      <c r="D100" s="1">
        <f>VLOOKUP($B100&amp;"__wt",'SegEnds_Xtal_BW#'!$A:$Z,4,FALSE)</f>
        <v>60</v>
      </c>
      <c r="E100" s="1">
        <f>VLOOKUP($B100&amp;"__wt",'SegEnds_Xtal_BW#'!$A:$Z,5,FALSE)</f>
        <v>48</v>
      </c>
      <c r="F100" s="1">
        <f>VLOOKUP($B100&amp;"__wt",'SegEnds_Xtal_BW#'!$A:$Z,6,FALSE)</f>
        <v>51</v>
      </c>
      <c r="G100" s="1">
        <v>37</v>
      </c>
      <c r="H100" s="12">
        <v>66</v>
      </c>
      <c r="I100" s="1">
        <f>VLOOKUP($B100&amp;"__wt",'SegEnds_Xtal_BW#'!$A:$Z,9,FALSE)</f>
        <v>49</v>
      </c>
      <c r="J100" s="1">
        <f>VLOOKUP($B100&amp;"__wt",'SegEnds_Xtal_BW#'!$A:$Z,10,FALSE)</f>
        <v>52</v>
      </c>
      <c r="K100" s="12">
        <v>21</v>
      </c>
      <c r="L100" s="1">
        <f>VLOOKUP($B100&amp;"__wt",'SegEnds_Xtal_BW#'!$A:$Z,12,FALSE)</f>
        <v>56</v>
      </c>
      <c r="M100" s="1">
        <f>VLOOKUP($B100&amp;"__wt",'SegEnds_Xtal_BW#'!$A:$Z,13,FALSE)</f>
        <v>50</v>
      </c>
      <c r="N100" s="12">
        <v>57</v>
      </c>
      <c r="O100" s="87">
        <v>38</v>
      </c>
      <c r="P100" s="1">
        <f>VLOOKUP($B100&amp;"__wt",'SegEnds_Xtal_BW#'!$A:$Z,16,FALSE)</f>
        <v>64</v>
      </c>
      <c r="Q100" s="1">
        <f>VLOOKUP($B100&amp;"__wt",'SegEnds_Xtal_BW#'!$A:$Z,17,FALSE)</f>
        <v>50</v>
      </c>
      <c r="R100" s="1">
        <f>VLOOKUP($B100&amp;"__wt",'SegEnds_Xtal_BW#'!$A:$Z,18,FALSE)</f>
        <v>52</v>
      </c>
      <c r="S100" s="1">
        <f>VLOOKUP($B100&amp;"__wt",'SegEnds_Xtal_BW#'!$A:$Z,19,FALSE)</f>
        <v>30</v>
      </c>
      <c r="T100" s="1">
        <f t="array" ref="T100">INDEX(ICL3_classA!$G$2:$G$39,MATCH(MIN(ABS(AI100-ICL3_classA!$F$2:$F$39)),ABS(AI100-ICL3_classA!$F$2:$F$39),0))</f>
        <v>72</v>
      </c>
      <c r="U100" s="1">
        <f t="array" ref="U100">INDEX(ICL3_classA!$H$2:$H$39,MATCH(MIN(ABS(AI100-ICL3_classA!$F$2:$F$39)),ABS(AI100-ICL3_classA!$F$2:$F$39),0))</f>
        <v>29</v>
      </c>
      <c r="V100" s="1">
        <v>61</v>
      </c>
      <c r="W100" s="131">
        <f>VLOOKUP($B100&amp;"__wt",'SegEnds_Xtal_BW#'!$A:$Z,23,FALSE)</f>
        <v>28</v>
      </c>
      <c r="X100" s="1">
        <f>VLOOKUP($B100&amp;"__wt",'SegEnds_Xtal_BW#'!$A:$Z,24,FALSE)</f>
        <v>56</v>
      </c>
      <c r="Y100" s="1">
        <f>VLOOKUP($B100&amp;"__wt",'SegEnds_Xtal_BW#'!$A:$Z,25,FALSE)</f>
        <v>47</v>
      </c>
      <c r="Z100" s="1">
        <f>VLOOKUP($B100&amp;"__wt",'SegEnds_Xtal_BW#'!$A:$Z,26,FALSE)</f>
        <v>59</v>
      </c>
      <c r="AA100" s="27" t="str">
        <f>VLOOKUP(A100,Classification!A:B,2,FALSE)</f>
        <v>A</v>
      </c>
      <c r="AB100" s="1">
        <f>VLOOKUP(A100,'SegEnds_NonXtal_Prot#'!A:AL,10,FALSE)-VLOOKUP(A100,'SegEnds_NonXtal_Prot#'!A:AL,4,FALSE)</f>
        <v>28</v>
      </c>
      <c r="AC100" s="1">
        <f>VLOOKUP(A100,'SegEnds_NonXtal_Prot#'!A:AL,10,FALSE)-VLOOKUP(A100,'SegEnds_NonXtal_Prot#'!A:AL,7,FALSE)</f>
        <v>15</v>
      </c>
      <c r="AD100" s="1">
        <f>VLOOKUP(A100,'SegEnds_NonXtal_Prot#'!A:AL,13,FALSE)-VLOOKUP(A100,'SegEnds_NonXtal_Prot#'!A:AL,10,FALSE)</f>
        <v>19</v>
      </c>
      <c r="AE100" s="1">
        <f>VLOOKUP(A100,'SegEnds_NonXtal_Prot#'!A:AL,16,FALSE)-VLOOKUP(A100,'SegEnds_NonXtal_Prot#'!A:AL,10,FALSE)</f>
        <v>51</v>
      </c>
      <c r="AF100" s="1">
        <f>VLOOKUP(A100,'SegEnds_NonXtal_Prot#'!A:AL,22,FALSE)-VLOOKUP(A100,'SegEnds_NonXtal_Prot#'!A:AL,19,FALSE)</f>
        <v>20</v>
      </c>
      <c r="AG100" s="1">
        <f>VLOOKUP(A100,'SegEnds_NonXtal_Prot#'!A:AL,28,FALSE)-VLOOKUP(A100,'SegEnds_NonXtal_Prot#'!A:AL,25,FALSE)</f>
        <v>27</v>
      </c>
      <c r="AH100" s="1">
        <f>VLOOKUP(A100,'SegEnds_NonXtal_Prot#'!A:AL,28,FALSE)-VLOOKUP(A100,'SegEnds_NonXtal_Prot#'!A:AL,22,FALSE)</f>
        <v>49</v>
      </c>
      <c r="AI100" s="1">
        <f>VLOOKUP(A100,'SegEnds_NonXtal_Prot#'!A:AL,31,FALSE)-VLOOKUP(A100,'SegEnds_NonXtal_Prot#'!A:AL,28,FALSE)</f>
        <v>50</v>
      </c>
      <c r="AJ100" s="1">
        <f>VLOOKUP(A100,'SegEnds_NonXtal_Prot#'!A:AL,34,FALSE)-VLOOKUP(A100,'SegEnds_NonXtal_Prot#'!A:AL,31,FALSE)</f>
        <v>38</v>
      </c>
      <c r="AK100" s="1">
        <f>VLOOKUP(A100,'SegEnds_NonXtal_Prot#'!A:AL,37,FALSE)-VLOOKUP(A100,'SegEnds_NonXtal_Prot#'!A:AL,34,FALSE)</f>
        <v>10</v>
      </c>
      <c r="AL100" s="1" t="str">
        <f>IF(ISERROR(MATCH(A100,'SegEnds_Xtal_Prot#'!B:B, 0)), "NoXtal", "Xtal")</f>
        <v>NoXtal</v>
      </c>
    </row>
    <row r="101" spans="1:38" x14ac:dyDescent="0.2">
      <c r="A101" s="1" t="s">
        <v>395</v>
      </c>
      <c r="B101" s="1" t="str">
        <f>VLOOKUP(A101,Xtal_Templ!A:B,2,FALSE)</f>
        <v>ccr5_human</v>
      </c>
      <c r="C101" s="5">
        <f>VLOOKUP($B101&amp;"__wt",'SegEnds_Xtal_BW#'!$A:$Z,3,FALSE)</f>
        <v>24</v>
      </c>
      <c r="D101" s="1">
        <f>VLOOKUP($B101&amp;"__wt",'SegEnds_Xtal_BW#'!$A:$Z,4,FALSE)</f>
        <v>60</v>
      </c>
      <c r="E101" s="1">
        <f>VLOOKUP($B101&amp;"__wt",'SegEnds_Xtal_BW#'!$A:$Z,5,FALSE)</f>
        <v>48</v>
      </c>
      <c r="F101" s="1">
        <f>VLOOKUP($B101&amp;"__wt",'SegEnds_Xtal_BW#'!$A:$Z,6,FALSE)</f>
        <v>51</v>
      </c>
      <c r="G101" s="1">
        <v>37</v>
      </c>
      <c r="H101" s="12">
        <v>66</v>
      </c>
      <c r="I101" s="1">
        <f>VLOOKUP($B101&amp;"__wt",'SegEnds_Xtal_BW#'!$A:$Z,9,FALSE)</f>
        <v>49</v>
      </c>
      <c r="J101" s="1">
        <f>VLOOKUP($B101&amp;"__wt",'SegEnds_Xtal_BW#'!$A:$Z,10,FALSE)</f>
        <v>52</v>
      </c>
      <c r="K101" s="12">
        <v>21</v>
      </c>
      <c r="L101" s="1">
        <f>VLOOKUP($B101&amp;"__wt",'SegEnds_Xtal_BW#'!$A:$Z,12,FALSE)</f>
        <v>56</v>
      </c>
      <c r="M101" s="1">
        <f>VLOOKUP($B101&amp;"__wt",'SegEnds_Xtal_BW#'!$A:$Z,13,FALSE)</f>
        <v>50</v>
      </c>
      <c r="N101" s="108">
        <v>56</v>
      </c>
      <c r="O101" s="87">
        <f>VLOOKUP($B101&amp;"__wt",'SegEnds_Xtal_BW#'!$A:$Z,15,FALSE)</f>
        <v>38</v>
      </c>
      <c r="P101" s="1">
        <f>VLOOKUP($B101&amp;"__wt",'SegEnds_Xtal_BW#'!$A:$Z,16,FALSE)</f>
        <v>64</v>
      </c>
      <c r="Q101" s="1">
        <f>VLOOKUP($B101&amp;"__wt",'SegEnds_Xtal_BW#'!$A:$Z,17,FALSE)</f>
        <v>50</v>
      </c>
      <c r="R101" s="1">
        <f>VLOOKUP($B101&amp;"__wt",'SegEnds_Xtal_BW#'!$A:$Z,18,FALSE)</f>
        <v>52</v>
      </c>
      <c r="S101" s="1">
        <f>VLOOKUP($B101&amp;"__wt",'SegEnds_Xtal_BW#'!$A:$Z,19,FALSE)</f>
        <v>30</v>
      </c>
      <c r="T101" s="1">
        <f t="array" ref="T101">INDEX(ICL3_classA!$G$2:$G$39,MATCH(MIN(ABS(AI101-ICL3_classA!$F$2:$F$39)),ABS(AI101-ICL3_classA!$F$2:$F$39),0))</f>
        <v>72</v>
      </c>
      <c r="U101" s="1">
        <f t="array" ref="U101">INDEX(ICL3_classA!$H$2:$H$39,MATCH(MIN(ABS(AI101-ICL3_classA!$F$2:$F$39)),ABS(AI101-ICL3_classA!$F$2:$F$39),0))</f>
        <v>29</v>
      </c>
      <c r="V101" s="1">
        <v>61</v>
      </c>
      <c r="W101" s="131">
        <f>VLOOKUP($B101&amp;"__wt",'SegEnds_Xtal_BW#'!$A:$Z,23,FALSE)</f>
        <v>24</v>
      </c>
      <c r="X101" s="108">
        <v>56</v>
      </c>
      <c r="Y101" s="1">
        <f>VLOOKUP($B101&amp;"__wt",'SegEnds_Xtal_BW#'!$A:$Z,25,FALSE)</f>
        <v>47</v>
      </c>
      <c r="Z101" s="1">
        <f>VLOOKUP($B101&amp;"__wt",'SegEnds_Xtal_BW#'!$A:$Z,26,FALSE)</f>
        <v>59</v>
      </c>
      <c r="AA101" s="27" t="str">
        <f>VLOOKUP(A101,Classification!A:B,2,FALSE)</f>
        <v>A</v>
      </c>
      <c r="AB101" s="1">
        <f>VLOOKUP(A101,'SegEnds_NonXtal_Prot#'!A:AL,10,FALSE)-VLOOKUP(A101,'SegEnds_NonXtal_Prot#'!A:AL,4,FALSE)</f>
        <v>28</v>
      </c>
      <c r="AC101" s="1">
        <f>VLOOKUP(A101,'SegEnds_NonXtal_Prot#'!A:AL,10,FALSE)-VLOOKUP(A101,'SegEnds_NonXtal_Prot#'!A:AL,7,FALSE)</f>
        <v>15</v>
      </c>
      <c r="AD101" s="1">
        <f>VLOOKUP(A101,'SegEnds_NonXtal_Prot#'!A:AL,13,FALSE)-VLOOKUP(A101,'SegEnds_NonXtal_Prot#'!A:AL,10,FALSE)</f>
        <v>19</v>
      </c>
      <c r="AE101" s="1">
        <f>VLOOKUP(A101,'SegEnds_NonXtal_Prot#'!A:AL,16,FALSE)-VLOOKUP(A101,'SegEnds_NonXtal_Prot#'!A:AL,10,FALSE)</f>
        <v>51</v>
      </c>
      <c r="AF101" s="1">
        <f>VLOOKUP(A101,'SegEnds_NonXtal_Prot#'!A:AL,22,FALSE)-VLOOKUP(A101,'SegEnds_NonXtal_Prot#'!A:AL,19,FALSE)</f>
        <v>19</v>
      </c>
      <c r="AG101" s="1">
        <f>VLOOKUP(A101,'SegEnds_NonXtal_Prot#'!A:AL,28,FALSE)-VLOOKUP(A101,'SegEnds_NonXtal_Prot#'!A:AL,25,FALSE)</f>
        <v>24</v>
      </c>
      <c r="AH101" s="1">
        <f>VLOOKUP(A101,'SegEnds_NonXtal_Prot#'!A:AL,28,FALSE)-VLOOKUP(A101,'SegEnds_NonXtal_Prot#'!A:AL,22,FALSE)</f>
        <v>49</v>
      </c>
      <c r="AI101" s="1">
        <f>VLOOKUP(A101,'SegEnds_NonXtal_Prot#'!A:AL,31,FALSE)-VLOOKUP(A101,'SegEnds_NonXtal_Prot#'!A:AL,28,FALSE)</f>
        <v>50</v>
      </c>
      <c r="AJ101" s="1">
        <f>VLOOKUP(A101,'SegEnds_NonXtal_Prot#'!A:AL,34,FALSE)-VLOOKUP(A101,'SegEnds_NonXtal_Prot#'!A:AL,31,FALSE)</f>
        <v>39</v>
      </c>
      <c r="AK101" s="1">
        <f>VLOOKUP(A101,'SegEnds_NonXtal_Prot#'!A:AL,37,FALSE)-VLOOKUP(A101,'SegEnds_NonXtal_Prot#'!A:AL,34,FALSE)</f>
        <v>10</v>
      </c>
      <c r="AL101" s="1" t="str">
        <f>IF(ISERROR(MATCH(A101,'SegEnds_Xtal_Prot#'!B:B, 0)), "NoXtal", "Xtal")</f>
        <v>NoXtal</v>
      </c>
    </row>
    <row r="102" spans="1:38" x14ac:dyDescent="0.2">
      <c r="A102" s="1" t="s">
        <v>145</v>
      </c>
      <c r="B102" s="1" t="str">
        <f>VLOOKUP(A102,Xtal_Templ!A:B,2,FALSE)</f>
        <v>ccr9_human</v>
      </c>
      <c r="C102" s="5">
        <f>VLOOKUP($B102&amp;"__wt",'SegEnds_Xtal_BW#'!$A:$Z,3,FALSE)</f>
        <v>27</v>
      </c>
      <c r="D102" s="1">
        <f>VLOOKUP($B102&amp;"__wt",'SegEnds_Xtal_BW#'!$A:$Z,4,FALSE)</f>
        <v>60</v>
      </c>
      <c r="E102" s="1">
        <f>VLOOKUP($B102&amp;"__wt",'SegEnds_Xtal_BW#'!$A:$Z,5,FALSE)</f>
        <v>48</v>
      </c>
      <c r="F102" s="1">
        <f>VLOOKUP($B102&amp;"__wt",'SegEnds_Xtal_BW#'!$A:$Z,6,FALSE)</f>
        <v>51</v>
      </c>
      <c r="G102" s="1">
        <v>37</v>
      </c>
      <c r="H102" s="12">
        <v>66</v>
      </c>
      <c r="I102" s="1">
        <f>VLOOKUP($B102&amp;"__wt",'SegEnds_Xtal_BW#'!$A:$Z,9,FALSE)</f>
        <v>49</v>
      </c>
      <c r="J102" s="1">
        <f>VLOOKUP($B102&amp;"__wt",'SegEnds_Xtal_BW#'!$A:$Z,10,FALSE)</f>
        <v>52</v>
      </c>
      <c r="K102" s="108">
        <v>21</v>
      </c>
      <c r="L102" s="1">
        <f>VLOOKUP($B102&amp;"__wt",'SegEnds_Xtal_BW#'!$A:$Z,12,FALSE)</f>
        <v>56</v>
      </c>
      <c r="M102" s="1">
        <f>VLOOKUP($B102&amp;"__wt",'SegEnds_Xtal_BW#'!$A:$Z,13,FALSE)</f>
        <v>50</v>
      </c>
      <c r="N102" s="12">
        <f>VLOOKUP($B102&amp;"__wt",'SegEnds_Xtal_BW#'!$A:$Z,14,FALSE)</f>
        <v>56</v>
      </c>
      <c r="O102" s="87">
        <v>38</v>
      </c>
      <c r="P102" s="1">
        <f>VLOOKUP($B102&amp;"__wt",'SegEnds_Xtal_BW#'!$A:$Z,16,FALSE)</f>
        <v>64</v>
      </c>
      <c r="Q102" s="1">
        <f>VLOOKUP($B102&amp;"__wt",'SegEnds_Xtal_BW#'!$A:$Z,17,FALSE)</f>
        <v>50</v>
      </c>
      <c r="R102" s="1">
        <f>VLOOKUP($B102&amp;"__wt",'SegEnds_Xtal_BW#'!$A:$Z,18,FALSE)</f>
        <v>52</v>
      </c>
      <c r="S102" s="1">
        <f>VLOOKUP($B102&amp;"__wt",'SegEnds_Xtal_BW#'!$A:$Z,19,FALSE)</f>
        <v>33</v>
      </c>
      <c r="T102" s="1">
        <f t="array" ref="T102">INDEX(ICL3_classA!$G$2:$G$39,MATCH(MIN(ABS(AI102-ICL3_classA!$F$2:$F$39)),ABS(AI102-ICL3_classA!$F$2:$F$39),0))</f>
        <v>68</v>
      </c>
      <c r="U102" s="1">
        <f t="array" ref="U102">INDEX(ICL3_classA!$H$2:$H$39,MATCH(MIN(ABS(AI102-ICL3_classA!$F$2:$F$39)),ABS(AI102-ICL3_classA!$F$2:$F$39),0))</f>
        <v>30</v>
      </c>
      <c r="V102" s="1">
        <v>64</v>
      </c>
      <c r="W102" s="1">
        <v>24</v>
      </c>
      <c r="X102" s="1">
        <f>VLOOKUP($B102&amp;"__wt",'SegEnds_Xtal_BW#'!$A:$Z,24,FALSE)</f>
        <v>56</v>
      </c>
      <c r="Y102" s="1">
        <f>VLOOKUP($B102&amp;"__wt",'SegEnds_Xtal_BW#'!$A:$Z,25,FALSE)</f>
        <v>47</v>
      </c>
      <c r="Z102" s="1">
        <f>VLOOKUP($B102&amp;"__wt",'SegEnds_Xtal_BW#'!$A:$Z,26,FALSE)</f>
        <v>67</v>
      </c>
      <c r="AA102" s="27" t="str">
        <f>VLOOKUP(A102,Classification!A:B,2,FALSE)</f>
        <v>A</v>
      </c>
      <c r="AB102" s="1">
        <f>VLOOKUP(A102,'SegEnds_NonXtal_Prot#'!A:AL,10,FALSE)-VLOOKUP(A102,'SegEnds_NonXtal_Prot#'!A:AL,4,FALSE)</f>
        <v>28</v>
      </c>
      <c r="AC102" s="1">
        <f>VLOOKUP(A102,'SegEnds_NonXtal_Prot#'!A:AL,10,FALSE)-VLOOKUP(A102,'SegEnds_NonXtal_Prot#'!A:AL,7,FALSE)</f>
        <v>15</v>
      </c>
      <c r="AD102" s="1">
        <f>VLOOKUP(A102,'SegEnds_NonXtal_Prot#'!A:AL,13,FALSE)-VLOOKUP(A102,'SegEnds_NonXtal_Prot#'!A:AL,10,FALSE)</f>
        <v>18</v>
      </c>
      <c r="AE102" s="1">
        <f>VLOOKUP(A102,'SegEnds_NonXtal_Prot#'!A:AL,16,FALSE)-VLOOKUP(A102,'SegEnds_NonXtal_Prot#'!A:AL,10,FALSE)</f>
        <v>50</v>
      </c>
      <c r="AF102" s="1" t="e">
        <f>VLOOKUP(A102,'SegEnds_NonXtal_Prot#'!A:AL,22,FALSE)-VLOOKUP(A102,'SegEnds_NonXtal_Prot#'!A:AL,19,FALSE)</f>
        <v>#VALUE!</v>
      </c>
      <c r="AG102" s="1">
        <f>VLOOKUP(A102,'SegEnds_NonXtal_Prot#'!A:AL,28,FALSE)-VLOOKUP(A102,'SegEnds_NonXtal_Prot#'!A:AL,25,FALSE)</f>
        <v>28</v>
      </c>
      <c r="AH102" s="1">
        <f>VLOOKUP(A102,'SegEnds_NonXtal_Prot#'!A:AL,28,FALSE)-VLOOKUP(A102,'SegEnds_NonXtal_Prot#'!A:AL,22,FALSE)</f>
        <v>50</v>
      </c>
      <c r="AI102" s="1">
        <f>VLOOKUP(A102,'SegEnds_NonXtal_Prot#'!A:AL,31,FALSE)-VLOOKUP(A102,'SegEnds_NonXtal_Prot#'!A:AL,28,FALSE)</f>
        <v>43</v>
      </c>
      <c r="AJ102" s="1">
        <f>VLOOKUP(A102,'SegEnds_NonXtal_Prot#'!A:AL,34,FALSE)-VLOOKUP(A102,'SegEnds_NonXtal_Prot#'!A:AL,31,FALSE)</f>
        <v>45</v>
      </c>
      <c r="AK102" s="1">
        <f>VLOOKUP(A102,'SegEnds_NonXtal_Prot#'!A:AL,37,FALSE)-VLOOKUP(A102,'SegEnds_NonXtal_Prot#'!A:AL,34,FALSE)</f>
        <v>10</v>
      </c>
      <c r="AL102" s="1" t="str">
        <f>IF(ISERROR(MATCH(A102,'SegEnds_Xtal_Prot#'!B:B, 0)), "NoXtal", "Xtal")</f>
        <v>NoXtal</v>
      </c>
    </row>
    <row r="103" spans="1:38" x14ac:dyDescent="0.2">
      <c r="A103" s="1" t="s">
        <v>146</v>
      </c>
      <c r="B103" s="1" t="str">
        <f>VLOOKUP(A103,Xtal_Templ!A:B,2,FALSE)</f>
        <v>acm1_human</v>
      </c>
      <c r="C103" s="5">
        <f>VLOOKUP($B103&amp;"__wt",'SegEnds_Xtal_BW#'!$A:$Z,3,FALSE)</f>
        <v>29</v>
      </c>
      <c r="D103" s="1">
        <f>VLOOKUP($B103&amp;"__wt",'SegEnds_Xtal_BW#'!$A:$Z,4,FALSE)</f>
        <v>60</v>
      </c>
      <c r="E103" s="1">
        <f>VLOOKUP($B103&amp;"__wt",'SegEnds_Xtal_BW#'!$A:$Z,5,FALSE)</f>
        <v>48</v>
      </c>
      <c r="F103" s="1">
        <f>VLOOKUP($B103&amp;"__wt",'SegEnds_Xtal_BW#'!$A:$Z,6,FALSE)</f>
        <v>51</v>
      </c>
      <c r="G103" s="1">
        <v>37</v>
      </c>
      <c r="H103" s="12">
        <f>VLOOKUP($B103&amp;"__wt",'SegEnds_Xtal_BW#'!$A:$Z,8,FALSE)</f>
        <v>68</v>
      </c>
      <c r="I103" s="1">
        <f>VLOOKUP($B103&amp;"__wt",'SegEnds_Xtal_BW#'!$A:$Z,9,FALSE)</f>
        <v>49</v>
      </c>
      <c r="J103" s="1">
        <f>VLOOKUP($B103&amp;"__wt",'SegEnds_Xtal_BW#'!$A:$Z,10,FALSE)</f>
        <v>52</v>
      </c>
      <c r="K103" s="12">
        <v>18</v>
      </c>
      <c r="L103" s="1">
        <f>VLOOKUP($B103&amp;"__wt",'SegEnds_Xtal_BW#'!$A:$Z,12,FALSE)</f>
        <v>56</v>
      </c>
      <c r="M103" s="1">
        <f>VLOOKUP($B103&amp;"__wt",'SegEnds_Xtal_BW#'!$A:$Z,13,FALSE)</f>
        <v>50</v>
      </c>
      <c r="N103" s="12">
        <f>VLOOKUP($B103&amp;"__wt",'SegEnds_Xtal_BW#'!$A:$Z,14,FALSE)</f>
        <v>57</v>
      </c>
      <c r="O103" s="87">
        <f>VLOOKUP($B103&amp;"__wt",'SegEnds_Xtal_BW#'!$A:$Z,15,FALSE)</f>
        <v>38</v>
      </c>
      <c r="P103" s="1">
        <f>VLOOKUP($B103&amp;"__wt",'SegEnds_Xtal_BW#'!$A:$Z,16,FALSE)</f>
        <v>69</v>
      </c>
      <c r="Q103" s="1">
        <f>VLOOKUP($B103&amp;"__wt",'SegEnds_Xtal_BW#'!$A:$Z,17,FALSE)</f>
        <v>50</v>
      </c>
      <c r="R103" s="1">
        <f>VLOOKUP($B103&amp;"__wt",'SegEnds_Xtal_BW#'!$A:$Z,18,FALSE)</f>
        <v>52</v>
      </c>
      <c r="S103" s="1">
        <f>VLOOKUP($B103&amp;"__wt",'SegEnds_Xtal_BW#'!$A:$Z,19,FALSE)</f>
        <v>35</v>
      </c>
      <c r="T103" s="1">
        <f t="array" ref="T103">INDEX(ICL3_classA!$G$2:$G$39,MATCH(MIN(ABS(AI103-ICL3_classA!$F$2:$F$39)),ABS(AI103-ICL3_classA!$F$2:$F$39),0))</f>
        <v>75</v>
      </c>
      <c r="U103" s="1">
        <f t="array" ref="U103">INDEX(ICL3_classA!$H$2:$H$39,MATCH(MIN(ABS(AI103-ICL3_classA!$F$2:$F$39)),ABS(AI103-ICL3_classA!$F$2:$F$39),0))</f>
        <v>24</v>
      </c>
      <c r="V103" s="1">
        <v>61</v>
      </c>
      <c r="W103" s="1">
        <v>31</v>
      </c>
      <c r="X103" s="1">
        <f>VLOOKUP($B103&amp;"__wt",'SegEnds_Xtal_BW#'!$A:$Z,24,FALSE)</f>
        <v>56</v>
      </c>
      <c r="Y103" s="1">
        <f>VLOOKUP($B103&amp;"__wt",'SegEnds_Xtal_BW#'!$A:$Z,25,FALSE)</f>
        <v>47</v>
      </c>
      <c r="Z103" s="1">
        <f>VLOOKUP($B103&amp;"__wt",'SegEnds_Xtal_BW#'!$A:$Z,26,FALSE)</f>
        <v>59</v>
      </c>
      <c r="AA103" s="27" t="str">
        <f>VLOOKUP(A103,Classification!A:B,2,FALSE)</f>
        <v>A</v>
      </c>
      <c r="AB103" s="1">
        <f>VLOOKUP(A103,'SegEnds_NonXtal_Prot#'!A:AL,10,FALSE)-VLOOKUP(A103,'SegEnds_NonXtal_Prot#'!A:AL,4,FALSE)</f>
        <v>28</v>
      </c>
      <c r="AC103" s="1">
        <f>VLOOKUP(A103,'SegEnds_NonXtal_Prot#'!A:AL,10,FALSE)-VLOOKUP(A103,'SegEnds_NonXtal_Prot#'!A:AL,7,FALSE)</f>
        <v>15</v>
      </c>
      <c r="AD103" s="1">
        <f>VLOOKUP(A103,'SegEnds_NonXtal_Prot#'!A:AL,13,FALSE)-VLOOKUP(A103,'SegEnds_NonXtal_Prot#'!A:AL,10,FALSE)</f>
        <v>20</v>
      </c>
      <c r="AE103" s="1">
        <f>VLOOKUP(A103,'SegEnds_NonXtal_Prot#'!A:AL,16,FALSE)-VLOOKUP(A103,'SegEnds_NonXtal_Prot#'!A:AL,10,FALSE)</f>
        <v>52</v>
      </c>
      <c r="AF103" s="1">
        <f>VLOOKUP(A103,'SegEnds_NonXtal_Prot#'!A:AL,22,FALSE)-VLOOKUP(A103,'SegEnds_NonXtal_Prot#'!A:AL,19,FALSE)</f>
        <v>20</v>
      </c>
      <c r="AG103" s="1">
        <f>VLOOKUP(A103,'SegEnds_NonXtal_Prot#'!A:AL,28,FALSE)-VLOOKUP(A103,'SegEnds_NonXtal_Prot#'!A:AL,25,FALSE)</f>
        <v>22</v>
      </c>
      <c r="AH103" s="1">
        <f>VLOOKUP(A103,'SegEnds_NonXtal_Prot#'!A:AL,28,FALSE)-VLOOKUP(A103,'SegEnds_NonXtal_Prot#'!A:AL,22,FALSE)</f>
        <v>50</v>
      </c>
      <c r="AI103" s="1">
        <f>VLOOKUP(A103,'SegEnds_NonXtal_Prot#'!A:AL,31,FALSE)-VLOOKUP(A103,'SegEnds_NonXtal_Prot#'!A:AL,28,FALSE)</f>
        <v>180</v>
      </c>
      <c r="AJ103" s="1">
        <f>VLOOKUP(A103,'SegEnds_NonXtal_Prot#'!A:AL,34,FALSE)-VLOOKUP(A103,'SegEnds_NonXtal_Prot#'!A:AL,31,FALSE)</f>
        <v>35</v>
      </c>
      <c r="AK103" s="1">
        <f>VLOOKUP(A103,'SegEnds_NonXtal_Prot#'!A:AL,37,FALSE)-VLOOKUP(A103,'SegEnds_NonXtal_Prot#'!A:AL,34,FALSE)</f>
        <v>10</v>
      </c>
      <c r="AL103" s="1" t="str">
        <f>IF(ISERROR(MATCH(A103,'SegEnds_Xtal_Prot#'!B:B, 0)), "NoXtal", "Xtal")</f>
        <v>Xtal</v>
      </c>
    </row>
    <row r="104" spans="1:38" x14ac:dyDescent="0.2">
      <c r="A104" s="1" t="s">
        <v>147</v>
      </c>
      <c r="B104" s="1" t="str">
        <f>VLOOKUP(A104,Xtal_Templ!A:B,2,FALSE)</f>
        <v>acm2_human</v>
      </c>
      <c r="C104" s="5">
        <f>VLOOKUP($B104&amp;"__wt",'SegEnds_Xtal_BW#'!$A:$Z,3,FALSE)</f>
        <v>28</v>
      </c>
      <c r="D104" s="1">
        <f>VLOOKUP($B104&amp;"__wt",'SegEnds_Xtal_BW#'!$A:$Z,4,FALSE)</f>
        <v>60</v>
      </c>
      <c r="E104" s="1">
        <f>VLOOKUP($B104&amp;"__wt",'SegEnds_Xtal_BW#'!$A:$Z,5,FALSE)</f>
        <v>48</v>
      </c>
      <c r="F104" s="1">
        <f>VLOOKUP($B104&amp;"__wt",'SegEnds_Xtal_BW#'!$A:$Z,6,FALSE)</f>
        <v>51</v>
      </c>
      <c r="G104" s="1">
        <v>37</v>
      </c>
      <c r="H104" s="12">
        <f>VLOOKUP($B104&amp;"__wt",'SegEnds_Xtal_BW#'!$A:$Z,8,FALSE)</f>
        <v>68</v>
      </c>
      <c r="I104" s="1">
        <f>VLOOKUP($B104&amp;"__wt",'SegEnds_Xtal_BW#'!$A:$Z,9,FALSE)</f>
        <v>49</v>
      </c>
      <c r="J104" s="1">
        <f>VLOOKUP($B104&amp;"__wt",'SegEnds_Xtal_BW#'!$A:$Z,10,FALSE)</f>
        <v>52</v>
      </c>
      <c r="K104" s="12">
        <v>18</v>
      </c>
      <c r="L104" s="1">
        <f>VLOOKUP($B104&amp;"__wt",'SegEnds_Xtal_BW#'!$A:$Z,12,FALSE)</f>
        <v>56</v>
      </c>
      <c r="M104" s="1">
        <f>VLOOKUP($B104&amp;"__wt",'SegEnds_Xtal_BW#'!$A:$Z,13,FALSE)</f>
        <v>50</v>
      </c>
      <c r="N104" s="12">
        <f>VLOOKUP($B104&amp;"__wt",'SegEnds_Xtal_BW#'!$A:$Z,14,FALSE)</f>
        <v>57</v>
      </c>
      <c r="O104" s="87">
        <f>VLOOKUP($B104&amp;"__wt",'SegEnds_Xtal_BW#'!$A:$Z,15,FALSE)</f>
        <v>38</v>
      </c>
      <c r="P104" s="1">
        <f>VLOOKUP($B104&amp;"__wt",'SegEnds_Xtal_BW#'!$A:$Z,16,FALSE)</f>
        <v>69</v>
      </c>
      <c r="Q104" s="1">
        <f>VLOOKUP($B104&amp;"__wt",'SegEnds_Xtal_BW#'!$A:$Z,17,FALSE)</f>
        <v>50</v>
      </c>
      <c r="R104" s="1">
        <f>VLOOKUP($B104&amp;"__wt",'SegEnds_Xtal_BW#'!$A:$Z,18,FALSE)</f>
        <v>52</v>
      </c>
      <c r="S104" s="1">
        <f>VLOOKUP($B104&amp;"__wt",'SegEnds_Xtal_BW#'!$A:$Z,19,FALSE)</f>
        <v>35</v>
      </c>
      <c r="T104" s="1">
        <f t="array" ref="T104">INDEX(ICL3_classA!$G$2:$G$39,MATCH(MIN(ABS(AI104-ICL3_classA!$F$2:$F$39)),ABS(AI104-ICL3_classA!$F$2:$F$39),0))</f>
        <v>75</v>
      </c>
      <c r="U104" s="1">
        <f t="array" ref="U104">INDEX(ICL3_classA!$H$2:$H$39,MATCH(MIN(ABS(AI104-ICL3_classA!$F$2:$F$39)),ABS(AI104-ICL3_classA!$F$2:$F$39),0))</f>
        <v>24</v>
      </c>
      <c r="V104" s="1">
        <v>61</v>
      </c>
      <c r="W104" s="1">
        <v>31</v>
      </c>
      <c r="X104" s="1">
        <f>VLOOKUP($B104&amp;"__wt",'SegEnds_Xtal_BW#'!$A:$Z,24,FALSE)</f>
        <v>56</v>
      </c>
      <c r="Y104" s="1">
        <f>VLOOKUP($B104&amp;"__wt",'SegEnds_Xtal_BW#'!$A:$Z,25,FALSE)</f>
        <v>47</v>
      </c>
      <c r="Z104" s="1">
        <f>VLOOKUP($B104&amp;"__wt",'SegEnds_Xtal_BW#'!$A:$Z,26,FALSE)</f>
        <v>59</v>
      </c>
      <c r="AA104" s="27" t="str">
        <f>VLOOKUP(A104,Classification!A:B,2,FALSE)</f>
        <v>A</v>
      </c>
      <c r="AB104" s="1">
        <f>VLOOKUP(A104,'SegEnds_NonXtal_Prot#'!A:AL,10,FALSE)-VLOOKUP(A104,'SegEnds_NonXtal_Prot#'!A:AL,4,FALSE)</f>
        <v>28</v>
      </c>
      <c r="AC104" s="1">
        <f>VLOOKUP(A104,'SegEnds_NonXtal_Prot#'!A:AL,10,FALSE)-VLOOKUP(A104,'SegEnds_NonXtal_Prot#'!A:AL,7,FALSE)</f>
        <v>15</v>
      </c>
      <c r="AD104" s="1">
        <f>VLOOKUP(A104,'SegEnds_NonXtal_Prot#'!A:AL,13,FALSE)-VLOOKUP(A104,'SegEnds_NonXtal_Prot#'!A:AL,10,FALSE)</f>
        <v>20</v>
      </c>
      <c r="AE104" s="1">
        <f>VLOOKUP(A104,'SegEnds_NonXtal_Prot#'!A:AL,16,FALSE)-VLOOKUP(A104,'SegEnds_NonXtal_Prot#'!A:AL,10,FALSE)</f>
        <v>52</v>
      </c>
      <c r="AF104" s="1">
        <f>VLOOKUP(A104,'SegEnds_NonXtal_Prot#'!A:AL,22,FALSE)-VLOOKUP(A104,'SegEnds_NonXtal_Prot#'!A:AL,19,FALSE)</f>
        <v>20</v>
      </c>
      <c r="AG104" s="1">
        <f>VLOOKUP(A104,'SegEnds_NonXtal_Prot#'!A:AL,28,FALSE)-VLOOKUP(A104,'SegEnds_NonXtal_Prot#'!A:AL,25,FALSE)</f>
        <v>22</v>
      </c>
      <c r="AH104" s="1">
        <f>VLOOKUP(A104,'SegEnds_NonXtal_Prot#'!A:AL,28,FALSE)-VLOOKUP(A104,'SegEnds_NonXtal_Prot#'!A:AL,22,FALSE)</f>
        <v>50</v>
      </c>
      <c r="AI104" s="1">
        <f>VLOOKUP(A104,'SegEnds_NonXtal_Prot#'!A:AL,31,FALSE)-VLOOKUP(A104,'SegEnds_NonXtal_Prot#'!A:AL,28,FALSE)</f>
        <v>204</v>
      </c>
      <c r="AJ104" s="1">
        <f>VLOOKUP(A104,'SegEnds_NonXtal_Prot#'!A:AL,34,FALSE)-VLOOKUP(A104,'SegEnds_NonXtal_Prot#'!A:AL,31,FALSE)</f>
        <v>35</v>
      </c>
      <c r="AK104" s="1">
        <f>VLOOKUP(A104,'SegEnds_NonXtal_Prot#'!A:AL,37,FALSE)-VLOOKUP(A104,'SegEnds_NonXtal_Prot#'!A:AL,34,FALSE)</f>
        <v>10</v>
      </c>
      <c r="AL104" s="1" t="str">
        <f>IF(ISERROR(MATCH(A104,'SegEnds_Xtal_Prot#'!B:B, 0)), "NoXtal", "Xtal")</f>
        <v>Xtal</v>
      </c>
    </row>
    <row r="105" spans="1:38" x14ac:dyDescent="0.2">
      <c r="A105" s="1" t="s">
        <v>148</v>
      </c>
      <c r="B105" s="1" t="str">
        <f>VLOOKUP(A105,Xtal_Templ!A:B,2,FALSE)</f>
        <v>acm3_rat</v>
      </c>
      <c r="C105" s="5">
        <f>VLOOKUP($B105&amp;"__wt",'SegEnds_Xtal_BW#'!$A:$Z,3,FALSE)</f>
        <v>28</v>
      </c>
      <c r="D105" s="1">
        <f>VLOOKUP($B105&amp;"__wt",'SegEnds_Xtal_BW#'!$A:$Z,4,FALSE)</f>
        <v>60</v>
      </c>
      <c r="E105" s="1">
        <f>VLOOKUP($B105&amp;"__wt",'SegEnds_Xtal_BW#'!$A:$Z,5,FALSE)</f>
        <v>48</v>
      </c>
      <c r="F105" s="1">
        <f>VLOOKUP($B105&amp;"__wt",'SegEnds_Xtal_BW#'!$A:$Z,6,FALSE)</f>
        <v>51</v>
      </c>
      <c r="G105" s="1">
        <v>37</v>
      </c>
      <c r="H105" s="12">
        <f>VLOOKUP($B105&amp;"__wt",'SegEnds_Xtal_BW#'!$A:$Z,8,FALSE)</f>
        <v>67</v>
      </c>
      <c r="I105" s="1">
        <f>VLOOKUP($B105&amp;"__wt",'SegEnds_Xtal_BW#'!$A:$Z,9,FALSE)</f>
        <v>49</v>
      </c>
      <c r="J105" s="1">
        <f>VLOOKUP($B105&amp;"__wt",'SegEnds_Xtal_BW#'!$A:$Z,10,FALSE)</f>
        <v>52</v>
      </c>
      <c r="K105" s="12">
        <v>18</v>
      </c>
      <c r="L105" s="1">
        <f>VLOOKUP($B105&amp;"__wt",'SegEnds_Xtal_BW#'!$A:$Z,12,FALSE)</f>
        <v>56</v>
      </c>
      <c r="M105" s="1">
        <f>VLOOKUP($B105&amp;"__wt",'SegEnds_Xtal_BW#'!$A:$Z,13,FALSE)</f>
        <v>50</v>
      </c>
      <c r="N105" s="12">
        <v>57</v>
      </c>
      <c r="O105" s="87">
        <v>38</v>
      </c>
      <c r="P105" s="1">
        <f>VLOOKUP($B105&amp;"__wt",'SegEnds_Xtal_BW#'!$A:$Z,16,FALSE)</f>
        <v>69</v>
      </c>
      <c r="Q105" s="1">
        <f>VLOOKUP($B105&amp;"__wt",'SegEnds_Xtal_BW#'!$A:$Z,17,FALSE)</f>
        <v>50</v>
      </c>
      <c r="R105" s="1">
        <f>VLOOKUP($B105&amp;"__wt",'SegEnds_Xtal_BW#'!$A:$Z,18,FALSE)</f>
        <v>52</v>
      </c>
      <c r="S105" s="1">
        <f>VLOOKUP($B105&amp;"__wt",'SegEnds_Xtal_BW#'!$A:$Z,19,FALSE)</f>
        <v>35</v>
      </c>
      <c r="T105" s="1">
        <f t="array" ref="T105">INDEX(ICL3_classA!$G$2:$G$39,MATCH(MIN(ABS(AI105-ICL3_classA!$F$2:$F$39)),ABS(AI105-ICL3_classA!$F$2:$F$39),0))</f>
        <v>75</v>
      </c>
      <c r="U105" s="1">
        <f t="array" ref="U105">INDEX(ICL3_classA!$H$2:$H$39,MATCH(MIN(ABS(AI105-ICL3_classA!$F$2:$F$39)),ABS(AI105-ICL3_classA!$F$2:$F$39),0))</f>
        <v>24</v>
      </c>
      <c r="V105" s="1">
        <v>61</v>
      </c>
      <c r="W105" s="1">
        <v>31</v>
      </c>
      <c r="X105" s="1">
        <f>VLOOKUP($B105&amp;"__wt",'SegEnds_Xtal_BW#'!$A:$Z,24,FALSE)</f>
        <v>56</v>
      </c>
      <c r="Y105" s="1">
        <f>VLOOKUP($B105&amp;"__wt",'SegEnds_Xtal_BW#'!$A:$Z,25,FALSE)</f>
        <v>47</v>
      </c>
      <c r="Z105" s="1">
        <f>VLOOKUP($B105&amp;"__wt",'SegEnds_Xtal_BW#'!$A:$Z,26,FALSE)</f>
        <v>60</v>
      </c>
      <c r="AA105" s="27" t="str">
        <f>VLOOKUP(A105,Classification!A:B,2,FALSE)</f>
        <v>A</v>
      </c>
      <c r="AB105" s="1">
        <f>VLOOKUP(A105,'SegEnds_NonXtal_Prot#'!A:AL,10,FALSE)-VLOOKUP(A105,'SegEnds_NonXtal_Prot#'!A:AL,4,FALSE)</f>
        <v>28</v>
      </c>
      <c r="AC105" s="1">
        <f>VLOOKUP(A105,'SegEnds_NonXtal_Prot#'!A:AL,10,FALSE)-VLOOKUP(A105,'SegEnds_NonXtal_Prot#'!A:AL,7,FALSE)</f>
        <v>15</v>
      </c>
      <c r="AD105" s="1">
        <f>VLOOKUP(A105,'SegEnds_NonXtal_Prot#'!A:AL,13,FALSE)-VLOOKUP(A105,'SegEnds_NonXtal_Prot#'!A:AL,10,FALSE)</f>
        <v>20</v>
      </c>
      <c r="AE105" s="1">
        <f>VLOOKUP(A105,'SegEnds_NonXtal_Prot#'!A:AL,16,FALSE)-VLOOKUP(A105,'SegEnds_NonXtal_Prot#'!A:AL,10,FALSE)</f>
        <v>52</v>
      </c>
      <c r="AF105" s="1">
        <f>VLOOKUP(A105,'SegEnds_NonXtal_Prot#'!A:AL,22,FALSE)-VLOOKUP(A105,'SegEnds_NonXtal_Prot#'!A:AL,19,FALSE)</f>
        <v>20</v>
      </c>
      <c r="AG105" s="1">
        <f>VLOOKUP(A105,'SegEnds_NonXtal_Prot#'!A:AL,28,FALSE)-VLOOKUP(A105,'SegEnds_NonXtal_Prot#'!A:AL,25,FALSE)</f>
        <v>22</v>
      </c>
      <c r="AH105" s="1">
        <f>VLOOKUP(A105,'SegEnds_NonXtal_Prot#'!A:AL,28,FALSE)-VLOOKUP(A105,'SegEnds_NonXtal_Prot#'!A:AL,22,FALSE)</f>
        <v>50</v>
      </c>
      <c r="AI105" s="1">
        <f>VLOOKUP(A105,'SegEnds_NonXtal_Prot#'!A:AL,31,FALSE)-VLOOKUP(A105,'SegEnds_NonXtal_Prot#'!A:AL,28,FALSE)</f>
        <v>263</v>
      </c>
      <c r="AJ105" s="1">
        <f>VLOOKUP(A105,'SegEnds_NonXtal_Prot#'!A:AL,34,FALSE)-VLOOKUP(A105,'SegEnds_NonXtal_Prot#'!A:AL,31,FALSE)</f>
        <v>35</v>
      </c>
      <c r="AK105" s="1">
        <f>VLOOKUP(A105,'SegEnds_NonXtal_Prot#'!A:AL,37,FALSE)-VLOOKUP(A105,'SegEnds_NonXtal_Prot#'!A:AL,34,FALSE)</f>
        <v>10</v>
      </c>
      <c r="AL105" s="1" t="str">
        <f>IF(ISERROR(MATCH(A105,'SegEnds_Xtal_Prot#'!B:B, 0)), "NoXtal", "Xtal")</f>
        <v>NoXtal</v>
      </c>
    </row>
    <row r="106" spans="1:38" x14ac:dyDescent="0.2">
      <c r="A106" s="4" t="s">
        <v>903</v>
      </c>
      <c r="B106" s="4" t="str">
        <f>VLOOKUP(A106,Xtal_Templ!A:B,2,FALSE)</f>
        <v>acm3_rat</v>
      </c>
      <c r="C106" s="5">
        <f>VLOOKUP($B106&amp;"__wt",'SegEnds_Xtal_BW#'!$A:$Z,3,FALSE)</f>
        <v>28</v>
      </c>
      <c r="D106" s="4">
        <f>VLOOKUP($B106&amp;"__wt",'SegEnds_Xtal_BW#'!$A:$Z,4,FALSE)</f>
        <v>60</v>
      </c>
      <c r="E106" s="4">
        <f>VLOOKUP($B106&amp;"__wt",'SegEnds_Xtal_BW#'!$A:$Z,5,FALSE)</f>
        <v>48</v>
      </c>
      <c r="F106" s="4">
        <f>VLOOKUP($B106&amp;"__wt",'SegEnds_Xtal_BW#'!$A:$Z,6,FALSE)</f>
        <v>51</v>
      </c>
      <c r="G106" s="4">
        <v>37</v>
      </c>
      <c r="H106" s="11">
        <f>VLOOKUP($B106&amp;"__wt",'SegEnds_Xtal_BW#'!$A:$Z,8,FALSE)</f>
        <v>67</v>
      </c>
      <c r="I106" s="4">
        <f>VLOOKUP($B106&amp;"__wt",'SegEnds_Xtal_BW#'!$A:$Z,9,FALSE)</f>
        <v>49</v>
      </c>
      <c r="J106" s="4">
        <f>VLOOKUP($B106&amp;"__wt",'SegEnds_Xtal_BW#'!$A:$Z,10,FALSE)</f>
        <v>52</v>
      </c>
      <c r="K106" s="11">
        <v>18</v>
      </c>
      <c r="L106" s="4">
        <f>VLOOKUP($B106&amp;"__wt",'SegEnds_Xtal_BW#'!$A:$Z,12,FALSE)</f>
        <v>56</v>
      </c>
      <c r="M106" s="4">
        <f>VLOOKUP($B106&amp;"__wt",'SegEnds_Xtal_BW#'!$A:$Z,13,FALSE)</f>
        <v>50</v>
      </c>
      <c r="N106" s="12">
        <f>VLOOKUP($B106&amp;"__wt",'SegEnds_Xtal_BW#'!$A:$Z,14,FALSE)</f>
        <v>57</v>
      </c>
      <c r="O106" s="87">
        <f>VLOOKUP($B106&amp;"__wt",'SegEnds_Xtal_BW#'!$A:$Z,15,FALSE)</f>
        <v>38</v>
      </c>
      <c r="P106" s="4">
        <f>VLOOKUP($B106&amp;"__wt",'SegEnds_Xtal_BW#'!$A:$Z,16,FALSE)</f>
        <v>69</v>
      </c>
      <c r="Q106" s="4">
        <f>VLOOKUP($B106&amp;"__wt",'SegEnds_Xtal_BW#'!$A:$Z,17,FALSE)</f>
        <v>50</v>
      </c>
      <c r="R106" s="4">
        <f>VLOOKUP($B106&amp;"__wt",'SegEnds_Xtal_BW#'!$A:$Z,18,FALSE)</f>
        <v>52</v>
      </c>
      <c r="S106" s="1">
        <f>VLOOKUP($B106&amp;"__wt",'SegEnds_Xtal_BW#'!$A:$Z,19,FALSE)</f>
        <v>35</v>
      </c>
      <c r="T106" s="4">
        <f t="array" ref="T106">INDEX(ICL3_classA!$G$2:$G$39,MATCH(MIN(ABS(AI106-ICL3_classA!$F$2:$F$39)),ABS(AI106-ICL3_classA!$F$2:$F$39),0))</f>
        <v>75</v>
      </c>
      <c r="U106" s="4">
        <f t="array" ref="U106">INDEX(ICL3_classA!$H$2:$H$39,MATCH(MIN(ABS(AI106-ICL3_classA!$F$2:$F$39)),ABS(AI106-ICL3_classA!$F$2:$F$39),0))</f>
        <v>24</v>
      </c>
      <c r="V106" s="4">
        <v>61</v>
      </c>
      <c r="W106" s="4">
        <v>31</v>
      </c>
      <c r="X106" s="4">
        <f>VLOOKUP($B106&amp;"__wt",'SegEnds_Xtal_BW#'!$A:$Z,24,FALSE)</f>
        <v>56</v>
      </c>
      <c r="Y106" s="4">
        <f>VLOOKUP($B106&amp;"__wt",'SegEnds_Xtal_BW#'!$A:$Z,25,FALSE)</f>
        <v>47</v>
      </c>
      <c r="Z106" s="4">
        <f>VLOOKUP($B106&amp;"__wt",'SegEnds_Xtal_BW#'!$A:$Z,26,FALSE)</f>
        <v>60</v>
      </c>
      <c r="AA106" s="27" t="str">
        <f>VLOOKUP(A106,Classification!A:B,2,FALSE)</f>
        <v>A</v>
      </c>
      <c r="AB106" s="1">
        <f>VLOOKUP(A106,'SegEnds_NonXtal_Prot#'!A:AL,10,FALSE)-VLOOKUP(A106,'SegEnds_NonXtal_Prot#'!A:AL,4,FALSE)</f>
        <v>28</v>
      </c>
      <c r="AC106" s="4">
        <f>VLOOKUP(A106,'SegEnds_NonXtal_Prot#'!A:AL,10,FALSE)-VLOOKUP(A106,'SegEnds_NonXtal_Prot#'!A:AL,7,FALSE)</f>
        <v>15</v>
      </c>
      <c r="AD106" s="4">
        <f>VLOOKUP(A106,'SegEnds_NonXtal_Prot#'!A:AL,13,FALSE)-VLOOKUP(A106,'SegEnds_NonXtal_Prot#'!A:AL,10,FALSE)</f>
        <v>20</v>
      </c>
      <c r="AE106" s="4">
        <f>VLOOKUP(A106,'SegEnds_NonXtal_Prot#'!A:AL,16,FALSE)-VLOOKUP(A106,'SegEnds_NonXtal_Prot#'!A:AL,10,FALSE)</f>
        <v>52</v>
      </c>
      <c r="AF106" s="1">
        <f>VLOOKUP(A106,'SegEnds_NonXtal_Prot#'!A:AL,22,FALSE)-VLOOKUP(A106,'SegEnds_NonXtal_Prot#'!A:AL,19,FALSE)</f>
        <v>20</v>
      </c>
      <c r="AG106" s="4">
        <f>VLOOKUP(A106,'SegEnds_NonXtal_Prot#'!A:AL,28,FALSE)-VLOOKUP(A106,'SegEnds_NonXtal_Prot#'!A:AL,25,FALSE)</f>
        <v>22</v>
      </c>
      <c r="AH106" s="1">
        <f>VLOOKUP(A106,'SegEnds_NonXtal_Prot#'!A:AL,28,FALSE)-VLOOKUP(A106,'SegEnds_NonXtal_Prot#'!A:AL,22,FALSE)</f>
        <v>50</v>
      </c>
      <c r="AI106" s="4">
        <f>VLOOKUP(A106,'SegEnds_NonXtal_Prot#'!A:AL,31,FALSE)-VLOOKUP(A106,'SegEnds_NonXtal_Prot#'!A:AL,28,FALSE)</f>
        <v>263</v>
      </c>
      <c r="AJ106" s="4">
        <f>VLOOKUP(A106,'SegEnds_NonXtal_Prot#'!A:AL,34,FALSE)-VLOOKUP(A106,'SegEnds_NonXtal_Prot#'!A:AL,31,FALSE)</f>
        <v>35</v>
      </c>
      <c r="AK106" s="1">
        <f>VLOOKUP(A106,'SegEnds_NonXtal_Prot#'!A:AL,37,FALSE)-VLOOKUP(A106,'SegEnds_NonXtal_Prot#'!A:AL,34,FALSE)</f>
        <v>10</v>
      </c>
      <c r="AL106" s="1" t="str">
        <f>IF(ISERROR(MATCH(A106,'SegEnds_Xtal_Prot#'!B:B, 0)), "NoXtal", "Xtal")</f>
        <v>Xtal</v>
      </c>
    </row>
    <row r="107" spans="1:38" x14ac:dyDescent="0.2">
      <c r="A107" s="1" t="s">
        <v>149</v>
      </c>
      <c r="B107" s="1" t="str">
        <f>VLOOKUP(A107,Xtal_Templ!A:B,2,FALSE)</f>
        <v>acm4_human</v>
      </c>
      <c r="C107" s="5">
        <f>VLOOKUP($B107&amp;"__wt",'SegEnds_Xtal_BW#'!$A:$Z,3,FALSE)</f>
        <v>26</v>
      </c>
      <c r="D107" s="1">
        <f>VLOOKUP($B107&amp;"__wt",'SegEnds_Xtal_BW#'!$A:$Z,4,FALSE)</f>
        <v>60</v>
      </c>
      <c r="E107" s="1">
        <f>VLOOKUP($B107&amp;"__wt",'SegEnds_Xtal_BW#'!$A:$Z,5,FALSE)</f>
        <v>48</v>
      </c>
      <c r="F107" s="1">
        <f>VLOOKUP($B107&amp;"__wt",'SegEnds_Xtal_BW#'!$A:$Z,6,FALSE)</f>
        <v>51</v>
      </c>
      <c r="G107" s="1">
        <v>37</v>
      </c>
      <c r="H107" s="12">
        <f>VLOOKUP($B107&amp;"__wt",'SegEnds_Xtal_BW#'!$A:$Z,8,FALSE)</f>
        <v>68</v>
      </c>
      <c r="I107" s="1">
        <f>VLOOKUP($B107&amp;"__wt",'SegEnds_Xtal_BW#'!$A:$Z,9,FALSE)</f>
        <v>49</v>
      </c>
      <c r="J107" s="1">
        <f>VLOOKUP($B107&amp;"__wt",'SegEnds_Xtal_BW#'!$A:$Z,10,FALSE)</f>
        <v>52</v>
      </c>
      <c r="K107" s="12">
        <v>18</v>
      </c>
      <c r="L107" s="1">
        <f>VLOOKUP($B107&amp;"__wt",'SegEnds_Xtal_BW#'!$A:$Z,12,FALSE)</f>
        <v>56</v>
      </c>
      <c r="M107" s="1">
        <f>VLOOKUP($B107&amp;"__wt",'SegEnds_Xtal_BW#'!$A:$Z,13,FALSE)</f>
        <v>50</v>
      </c>
      <c r="N107" s="12">
        <f>VLOOKUP($B107&amp;"__wt",'SegEnds_Xtal_BW#'!$A:$Z,14,FALSE)</f>
        <v>57</v>
      </c>
      <c r="O107" s="87">
        <f>VLOOKUP($B107&amp;"__wt",'SegEnds_Xtal_BW#'!$A:$Z,15,FALSE)</f>
        <v>38</v>
      </c>
      <c r="P107" s="1">
        <f>VLOOKUP($B107&amp;"__wt",'SegEnds_Xtal_BW#'!$A:$Z,16,FALSE)</f>
        <v>69</v>
      </c>
      <c r="Q107" s="1">
        <f>VLOOKUP($B107&amp;"__wt",'SegEnds_Xtal_BW#'!$A:$Z,17,FALSE)</f>
        <v>50</v>
      </c>
      <c r="R107" s="1">
        <f>VLOOKUP($B107&amp;"__wt",'SegEnds_Xtal_BW#'!$A:$Z,18,FALSE)</f>
        <v>52</v>
      </c>
      <c r="S107" s="1">
        <f>VLOOKUP($B107&amp;"__wt",'SegEnds_Xtal_BW#'!$A:$Z,19,FALSE)</f>
        <v>35</v>
      </c>
      <c r="T107" s="1">
        <f t="array" ref="T107">INDEX(ICL3_classA!$G$2:$G$39,MATCH(MIN(ABS(AI107-ICL3_classA!$F$2:$F$39)),ABS(AI107-ICL3_classA!$F$2:$F$39),0))</f>
        <v>75</v>
      </c>
      <c r="U107" s="1">
        <f t="array" ref="U107">INDEX(ICL3_classA!$H$2:$H$39,MATCH(MIN(ABS(AI107-ICL3_classA!$F$2:$F$39)),ABS(AI107-ICL3_classA!$F$2:$F$39),0))</f>
        <v>24</v>
      </c>
      <c r="V107" s="1">
        <v>61</v>
      </c>
      <c r="W107" s="1">
        <v>31</v>
      </c>
      <c r="X107" s="1">
        <f>VLOOKUP($B107&amp;"__wt",'SegEnds_Xtal_BW#'!$A:$Z,24,FALSE)</f>
        <v>56</v>
      </c>
      <c r="Y107" s="1">
        <f>VLOOKUP($B107&amp;"__wt",'SegEnds_Xtal_BW#'!$A:$Z,25,FALSE)</f>
        <v>47</v>
      </c>
      <c r="Z107" s="1">
        <f>VLOOKUP($B107&amp;"__wt",'SegEnds_Xtal_BW#'!$A:$Z,26,FALSE)</f>
        <v>61</v>
      </c>
      <c r="AA107" s="27" t="str">
        <f>VLOOKUP(A107,Classification!A:B,2,FALSE)</f>
        <v>A</v>
      </c>
      <c r="AB107" s="1">
        <f>VLOOKUP(A107,'SegEnds_NonXtal_Prot#'!A:AL,10,FALSE)-VLOOKUP(A107,'SegEnds_NonXtal_Prot#'!A:AL,4,FALSE)</f>
        <v>28</v>
      </c>
      <c r="AC107" s="1">
        <f>VLOOKUP(A107,'SegEnds_NonXtal_Prot#'!A:AL,10,FALSE)-VLOOKUP(A107,'SegEnds_NonXtal_Prot#'!A:AL,7,FALSE)</f>
        <v>15</v>
      </c>
      <c r="AD107" s="1">
        <f>VLOOKUP(A107,'SegEnds_NonXtal_Prot#'!A:AL,13,FALSE)-VLOOKUP(A107,'SegEnds_NonXtal_Prot#'!A:AL,10,FALSE)</f>
        <v>20</v>
      </c>
      <c r="AE107" s="1">
        <f>VLOOKUP(A107,'SegEnds_NonXtal_Prot#'!A:AL,16,FALSE)-VLOOKUP(A107,'SegEnds_NonXtal_Prot#'!A:AL,10,FALSE)</f>
        <v>52</v>
      </c>
      <c r="AF107" s="1">
        <f>VLOOKUP(A107,'SegEnds_NonXtal_Prot#'!A:AL,22,FALSE)-VLOOKUP(A107,'SegEnds_NonXtal_Prot#'!A:AL,19,FALSE)</f>
        <v>20</v>
      </c>
      <c r="AG107" s="1">
        <f>VLOOKUP(A107,'SegEnds_NonXtal_Prot#'!A:AL,28,FALSE)-VLOOKUP(A107,'SegEnds_NonXtal_Prot#'!A:AL,25,FALSE)</f>
        <v>22</v>
      </c>
      <c r="AH107" s="1">
        <f>VLOOKUP(A107,'SegEnds_NonXtal_Prot#'!A:AL,28,FALSE)-VLOOKUP(A107,'SegEnds_NonXtal_Prot#'!A:AL,22,FALSE)</f>
        <v>50</v>
      </c>
      <c r="AI107" s="1">
        <f>VLOOKUP(A107,'SegEnds_NonXtal_Prot#'!A:AL,31,FALSE)-VLOOKUP(A107,'SegEnds_NonXtal_Prot#'!A:AL,28,FALSE)</f>
        <v>208</v>
      </c>
      <c r="AJ107" s="1">
        <f>VLOOKUP(A107,'SegEnds_NonXtal_Prot#'!A:AL,34,FALSE)-VLOOKUP(A107,'SegEnds_NonXtal_Prot#'!A:AL,31,FALSE)</f>
        <v>35</v>
      </c>
      <c r="AK107" s="1">
        <f>VLOOKUP(A107,'SegEnds_NonXtal_Prot#'!A:AL,37,FALSE)-VLOOKUP(A107,'SegEnds_NonXtal_Prot#'!A:AL,34,FALSE)</f>
        <v>10</v>
      </c>
      <c r="AL107" s="1" t="str">
        <f>IF(ISERROR(MATCH(A107,'SegEnds_Xtal_Prot#'!B:B, 0)), "NoXtal", "Xtal")</f>
        <v>Xtal</v>
      </c>
    </row>
    <row r="108" spans="1:38" x14ac:dyDescent="0.2">
      <c r="A108" s="1" t="s">
        <v>150</v>
      </c>
      <c r="B108" s="1" t="str">
        <f>VLOOKUP(A108,Xtal_Templ!A:B,2,FALSE)</f>
        <v>acm5_human</v>
      </c>
      <c r="C108" s="5">
        <f>VLOOKUP($B108&amp;"__wt",'SegEnds_Xtal_BW#'!$A:$Z,3,FALSE)</f>
        <v>28</v>
      </c>
      <c r="D108" s="1">
        <f>VLOOKUP($B108&amp;"__wt",'SegEnds_Xtal_BW#'!$A:$Z,4,FALSE)</f>
        <v>60</v>
      </c>
      <c r="E108" s="1">
        <f>VLOOKUP($B108&amp;"__wt",'SegEnds_Xtal_BW#'!$A:$Z,5,FALSE)</f>
        <v>48</v>
      </c>
      <c r="F108" s="1">
        <f>VLOOKUP($B108&amp;"__wt",'SegEnds_Xtal_BW#'!$A:$Z,6,FALSE)</f>
        <v>51</v>
      </c>
      <c r="G108" s="1">
        <v>37</v>
      </c>
      <c r="H108" s="12">
        <f>VLOOKUP($B108&amp;"__wt",'SegEnds_Xtal_BW#'!$A:$Z,8,FALSE)</f>
        <v>68</v>
      </c>
      <c r="I108" s="1">
        <f>VLOOKUP($B108&amp;"__wt",'SegEnds_Xtal_BW#'!$A:$Z,9,FALSE)</f>
        <v>49</v>
      </c>
      <c r="J108" s="1">
        <f>VLOOKUP($B108&amp;"__wt",'SegEnds_Xtal_BW#'!$A:$Z,10,FALSE)</f>
        <v>52</v>
      </c>
      <c r="K108" s="12">
        <v>18</v>
      </c>
      <c r="L108" s="1">
        <f>VLOOKUP($B108&amp;"__wt",'SegEnds_Xtal_BW#'!$A:$Z,12,FALSE)</f>
        <v>56</v>
      </c>
      <c r="M108" s="1">
        <f>VLOOKUP($B108&amp;"__wt",'SegEnds_Xtal_BW#'!$A:$Z,13,FALSE)</f>
        <v>50</v>
      </c>
      <c r="N108" s="12">
        <v>57</v>
      </c>
      <c r="O108" s="87">
        <v>38</v>
      </c>
      <c r="P108" s="1">
        <f>VLOOKUP($B108&amp;"__wt",'SegEnds_Xtal_BW#'!$A:$Z,16,FALSE)</f>
        <v>69</v>
      </c>
      <c r="Q108" s="1">
        <f>VLOOKUP($B108&amp;"__wt",'SegEnds_Xtal_BW#'!$A:$Z,17,FALSE)</f>
        <v>50</v>
      </c>
      <c r="R108" s="1">
        <f>VLOOKUP($B108&amp;"__wt",'SegEnds_Xtal_BW#'!$A:$Z,18,FALSE)</f>
        <v>52</v>
      </c>
      <c r="S108" s="1">
        <f>VLOOKUP($B108&amp;"__wt",'SegEnds_Xtal_BW#'!$A:$Z,19,FALSE)</f>
        <v>35</v>
      </c>
      <c r="T108" s="1">
        <f t="array" ref="T108">INDEX(ICL3_classA!$G$2:$G$39,MATCH(MIN(ABS(AI108-ICL3_classA!$F$2:$F$39)),ABS(AI108-ICL3_classA!$F$2:$F$39),0))</f>
        <v>75</v>
      </c>
      <c r="U108" s="1">
        <f t="array" ref="U108">INDEX(ICL3_classA!$H$2:$H$39,MATCH(MIN(ABS(AI108-ICL3_classA!$F$2:$F$39)),ABS(AI108-ICL3_classA!$F$2:$F$39),0))</f>
        <v>24</v>
      </c>
      <c r="V108" s="1">
        <v>61</v>
      </c>
      <c r="W108" s="1">
        <v>31</v>
      </c>
      <c r="X108" s="1">
        <f>VLOOKUP($B108&amp;"__wt",'SegEnds_Xtal_BW#'!$A:$Z,24,FALSE)</f>
        <v>56</v>
      </c>
      <c r="Y108" s="1">
        <f>VLOOKUP($B108&amp;"__wt",'SegEnds_Xtal_BW#'!$A:$Z,25,FALSE)</f>
        <v>47</v>
      </c>
      <c r="Z108" s="1">
        <f>VLOOKUP($B108&amp;"__wt",'SegEnds_Xtal_BW#'!$A:$Z,26,FALSE)</f>
        <v>59</v>
      </c>
      <c r="AA108" s="27" t="str">
        <f>VLOOKUP(A108,Classification!A:B,2,FALSE)</f>
        <v>A</v>
      </c>
      <c r="AB108" s="1">
        <f>VLOOKUP(A108,'SegEnds_NonXtal_Prot#'!A:AL,10,FALSE)-VLOOKUP(A108,'SegEnds_NonXtal_Prot#'!A:AL,4,FALSE)</f>
        <v>28</v>
      </c>
      <c r="AC108" s="1">
        <f>VLOOKUP(A108,'SegEnds_NonXtal_Prot#'!A:AL,10,FALSE)-VLOOKUP(A108,'SegEnds_NonXtal_Prot#'!A:AL,7,FALSE)</f>
        <v>15</v>
      </c>
      <c r="AD108" s="1">
        <f>VLOOKUP(A108,'SegEnds_NonXtal_Prot#'!A:AL,13,FALSE)-VLOOKUP(A108,'SegEnds_NonXtal_Prot#'!A:AL,10,FALSE)</f>
        <v>20</v>
      </c>
      <c r="AE108" s="1">
        <f>VLOOKUP(A108,'SegEnds_NonXtal_Prot#'!A:AL,16,FALSE)-VLOOKUP(A108,'SegEnds_NonXtal_Prot#'!A:AL,10,FALSE)</f>
        <v>52</v>
      </c>
      <c r="AF108" s="1">
        <f>VLOOKUP(A108,'SegEnds_NonXtal_Prot#'!A:AL,22,FALSE)-VLOOKUP(A108,'SegEnds_NonXtal_Prot#'!A:AL,19,FALSE)</f>
        <v>20</v>
      </c>
      <c r="AG108" s="1">
        <f>VLOOKUP(A108,'SegEnds_NonXtal_Prot#'!A:AL,28,FALSE)-VLOOKUP(A108,'SegEnds_NonXtal_Prot#'!A:AL,25,FALSE)</f>
        <v>22</v>
      </c>
      <c r="AH108" s="1">
        <f>VLOOKUP(A108,'SegEnds_NonXtal_Prot#'!A:AL,28,FALSE)-VLOOKUP(A108,'SegEnds_NonXtal_Prot#'!A:AL,22,FALSE)</f>
        <v>50</v>
      </c>
      <c r="AI108" s="1">
        <f>VLOOKUP(A108,'SegEnds_NonXtal_Prot#'!A:AL,31,FALSE)-VLOOKUP(A108,'SegEnds_NonXtal_Prot#'!A:AL,28,FALSE)</f>
        <v>252</v>
      </c>
      <c r="AJ108" s="1">
        <f>VLOOKUP(A108,'SegEnds_NonXtal_Prot#'!A:AL,34,FALSE)-VLOOKUP(A108,'SegEnds_NonXtal_Prot#'!A:AL,31,FALSE)</f>
        <v>35</v>
      </c>
      <c r="AK108" s="1">
        <f>VLOOKUP(A108,'SegEnds_NonXtal_Prot#'!A:AL,37,FALSE)-VLOOKUP(A108,'SegEnds_NonXtal_Prot#'!A:AL,34,FALSE)</f>
        <v>10</v>
      </c>
      <c r="AL108" s="1" t="str">
        <f>IF(ISERROR(MATCH(A108,'SegEnds_Xtal_Prot#'!B:B, 0)), "NoXtal", "Xtal")</f>
        <v>Xtal</v>
      </c>
    </row>
    <row r="109" spans="1:38" x14ac:dyDescent="0.2">
      <c r="A109" s="1" t="s">
        <v>155</v>
      </c>
      <c r="B109" s="1" t="str">
        <f>VLOOKUP(A109,Xtal_Templ!A:B,2,FALSE)</f>
        <v>drd2_human</v>
      </c>
      <c r="C109" s="5">
        <f>VLOOKUP($B109&amp;"__wt",'SegEnds_Xtal_BW#'!$A:$Z,3,FALSE)</f>
        <v>29</v>
      </c>
      <c r="D109" s="1">
        <f>VLOOKUP($B109&amp;"__wt",'SegEnds_Xtal_BW#'!$A:$Z,4,FALSE)</f>
        <v>60</v>
      </c>
      <c r="E109" s="1">
        <f>VLOOKUP($B109&amp;"__wt",'SegEnds_Xtal_BW#'!$A:$Z,5,FALSE)</f>
        <v>48</v>
      </c>
      <c r="F109" s="1">
        <f>VLOOKUP($B109&amp;"__wt",'SegEnds_Xtal_BW#'!$A:$Z,6,FALSE)</f>
        <v>51</v>
      </c>
      <c r="G109" s="1">
        <v>37</v>
      </c>
      <c r="H109" s="12">
        <f>VLOOKUP($B109&amp;"__wt",'SegEnds_Xtal_BW#'!$A:$Z,8,FALSE)</f>
        <v>68</v>
      </c>
      <c r="I109" s="1">
        <f>VLOOKUP($B109&amp;"__wt",'SegEnds_Xtal_BW#'!$A:$Z,9,FALSE)</f>
        <v>49</v>
      </c>
      <c r="J109" s="1">
        <f>VLOOKUP($B109&amp;"__wt",'SegEnds_Xtal_BW#'!$A:$Z,10,FALSE)</f>
        <v>52</v>
      </c>
      <c r="K109" s="12">
        <v>18</v>
      </c>
      <c r="L109" s="1">
        <f>VLOOKUP($B109&amp;"__wt",'SegEnds_Xtal_BW#'!$A:$Z,12,FALSE)</f>
        <v>56</v>
      </c>
      <c r="M109" s="1">
        <f>VLOOKUP($B109&amp;"__wt",'SegEnds_Xtal_BW#'!$A:$Z,13,FALSE)</f>
        <v>50</v>
      </c>
      <c r="N109" s="12">
        <v>57</v>
      </c>
      <c r="O109" s="87">
        <v>38</v>
      </c>
      <c r="P109" s="1">
        <f>VLOOKUP($B109&amp;"__wt",'SegEnds_Xtal_BW#'!$A:$Z,16,FALSE)</f>
        <v>62</v>
      </c>
      <c r="Q109" s="1">
        <f>VLOOKUP($B109&amp;"__wt",'SegEnds_Xtal_BW#'!$A:$Z,17,FALSE)</f>
        <v>50</v>
      </c>
      <c r="R109" s="1">
        <f>VLOOKUP($B109&amp;"__wt",'SegEnds_Xtal_BW#'!$A:$Z,18,FALSE)</f>
        <v>52</v>
      </c>
      <c r="S109" s="1">
        <v>35</v>
      </c>
      <c r="T109" s="1">
        <f t="array" ref="T109">INDEX(ICL3_classA!$G$2:$G$39,MATCH(MIN(ABS(AI109-ICL3_classA!$F$2:$F$39)),ABS(AI109-ICL3_classA!$F$2:$F$39),0))</f>
        <v>75</v>
      </c>
      <c r="U109" s="1">
        <f t="array" ref="U109">INDEX(ICL3_classA!$H$2:$H$39,MATCH(MIN(ABS(AI109-ICL3_classA!$F$2:$F$39)),ABS(AI109-ICL3_classA!$F$2:$F$39),0))</f>
        <v>24</v>
      </c>
      <c r="V109" s="1">
        <v>61</v>
      </c>
      <c r="W109" s="1">
        <v>32</v>
      </c>
      <c r="X109" s="1">
        <f>VLOOKUP($B109&amp;"__wt",'SegEnds_Xtal_BW#'!$A:$Z,24,FALSE)</f>
        <v>56</v>
      </c>
      <c r="Y109" s="1">
        <f>VLOOKUP($B109&amp;"__wt",'SegEnds_Xtal_BW#'!$A:$Z,25,FALSE)</f>
        <v>47</v>
      </c>
      <c r="Z109" s="1">
        <f>VLOOKUP($B109&amp;"__wt",'SegEnds_Xtal_BW#'!$A:$Z,26,FALSE)</f>
        <v>59</v>
      </c>
      <c r="AA109" s="27" t="str">
        <f>VLOOKUP(A109,Classification!A:B,2,FALSE)</f>
        <v>A</v>
      </c>
      <c r="AB109" s="1">
        <f>VLOOKUP(A109,'SegEnds_NonXtal_Prot#'!A:AL,10,FALSE)-VLOOKUP(A109,'SegEnds_NonXtal_Prot#'!A:AL,4,FALSE)</f>
        <v>28</v>
      </c>
      <c r="AC109" s="1">
        <f>VLOOKUP(A109,'SegEnds_NonXtal_Prot#'!A:AL,10,FALSE)-VLOOKUP(A109,'SegEnds_NonXtal_Prot#'!A:AL,7,FALSE)</f>
        <v>15</v>
      </c>
      <c r="AD109" s="1">
        <f>VLOOKUP(A109,'SegEnds_NonXtal_Prot#'!A:AL,13,FALSE)-VLOOKUP(A109,'SegEnds_NonXtal_Prot#'!A:AL,10,FALSE)</f>
        <v>20</v>
      </c>
      <c r="AE109" s="1">
        <f>VLOOKUP(A109,'SegEnds_NonXtal_Prot#'!A:AL,16,FALSE)-VLOOKUP(A109,'SegEnds_NonXtal_Prot#'!A:AL,10,FALSE)</f>
        <v>52</v>
      </c>
      <c r="AF109" s="1">
        <f>VLOOKUP(A109,'SegEnds_NonXtal_Prot#'!A:AL,22,FALSE)-VLOOKUP(A109,'SegEnds_NonXtal_Prot#'!A:AL,19,FALSE)</f>
        <v>20</v>
      </c>
      <c r="AG109" s="1">
        <f>VLOOKUP(A109,'SegEnds_NonXtal_Prot#'!A:AL,28,FALSE)-VLOOKUP(A109,'SegEnds_NonXtal_Prot#'!A:AL,25,FALSE)</f>
        <v>20</v>
      </c>
      <c r="AH109" s="1">
        <f>VLOOKUP(A109,'SegEnds_NonXtal_Prot#'!A:AL,28,FALSE)-VLOOKUP(A109,'SegEnds_NonXtal_Prot#'!A:AL,22,FALSE)</f>
        <v>50</v>
      </c>
      <c r="AI109" s="1">
        <f>VLOOKUP(A109,'SegEnds_NonXtal_Prot#'!A:AL,31,FALSE)-VLOOKUP(A109,'SegEnds_NonXtal_Prot#'!A:AL,28,FALSE)</f>
        <v>181</v>
      </c>
      <c r="AJ109" s="1">
        <f>VLOOKUP(A109,'SegEnds_NonXtal_Prot#'!A:AL,34,FALSE)-VLOOKUP(A109,'SegEnds_NonXtal_Prot#'!A:AL,31,FALSE)</f>
        <v>34</v>
      </c>
      <c r="AK109" s="1">
        <f>VLOOKUP(A109,'SegEnds_NonXtal_Prot#'!A:AL,37,FALSE)-VLOOKUP(A109,'SegEnds_NonXtal_Prot#'!A:AL,34,FALSE)</f>
        <v>10</v>
      </c>
      <c r="AL109" s="1" t="str">
        <f>IF(ISERROR(MATCH(A109,'SegEnds_Xtal_Prot#'!B:B, 0)), "NoXtal", "Xtal")</f>
        <v>NoXtal</v>
      </c>
    </row>
    <row r="110" spans="1:38" x14ac:dyDescent="0.2">
      <c r="A110" s="1" t="s">
        <v>180</v>
      </c>
      <c r="B110" s="1" t="str">
        <f>VLOOKUP(A110,Xtal_Templ!A:B,2,FALSE)</f>
        <v>cltr2_human</v>
      </c>
      <c r="C110" s="5">
        <f>VLOOKUP($B110&amp;"__wt",'SegEnds_Xtal_BW#'!$A:$Z,3,FALSE)</f>
        <v>25</v>
      </c>
      <c r="D110" s="1">
        <f>VLOOKUP($B110&amp;"__wt",'SegEnds_Xtal_BW#'!$A:$Z,4,FALSE)</f>
        <v>60</v>
      </c>
      <c r="E110" s="1" t="str">
        <f>VLOOKUP($B110&amp;"__wt",'SegEnds_Xtal_BW#'!$A:$Z,5,FALSE)</f>
        <v>-</v>
      </c>
      <c r="F110" s="1" t="str">
        <f>VLOOKUP($B110&amp;"__wt",'SegEnds_Xtal_BW#'!$A:$Z,6,FALSE)</f>
        <v>-</v>
      </c>
      <c r="G110" s="1">
        <v>37</v>
      </c>
      <c r="H110" s="12">
        <f>VLOOKUP($B110&amp;"__wt",'SegEnds_Xtal_BW#'!$A:$Z,8,FALSE)</f>
        <v>67</v>
      </c>
      <c r="I110" s="1">
        <f>VLOOKUP($B110&amp;"__wt",'SegEnds_Xtal_BW#'!$A:$Z,9,FALSE)</f>
        <v>49</v>
      </c>
      <c r="J110" s="1">
        <f>VLOOKUP($B110&amp;"__wt",'SegEnds_Xtal_BW#'!$A:$Z,10,FALSE)</f>
        <v>52</v>
      </c>
      <c r="K110" s="12">
        <v>18</v>
      </c>
      <c r="L110" s="1">
        <f>VLOOKUP($B110&amp;"__wt",'SegEnds_Xtal_BW#'!$A:$Z,12,FALSE)</f>
        <v>56</v>
      </c>
      <c r="M110" s="1">
        <f>VLOOKUP($B110&amp;"__wt",'SegEnds_Xtal_BW#'!$A:$Z,13,FALSE)</f>
        <v>50</v>
      </c>
      <c r="N110" s="12">
        <v>57</v>
      </c>
      <c r="O110" s="87">
        <f>VLOOKUP($B110&amp;"__wt",'SegEnds_Xtal_BW#'!$A:$Z,15,FALSE)</f>
        <v>38</v>
      </c>
      <c r="P110" s="1">
        <f>VLOOKUP($B110&amp;"__wt",'SegEnds_Xtal_BW#'!$A:$Z,16,FALSE)</f>
        <v>63</v>
      </c>
      <c r="Q110" s="1">
        <f>VLOOKUP($B110&amp;"__wt",'SegEnds_Xtal_BW#'!$A:$Z,17,FALSE)</f>
        <v>50</v>
      </c>
      <c r="R110" s="1">
        <f>VLOOKUP($B110&amp;"__wt",'SegEnds_Xtal_BW#'!$A:$Z,18,FALSE)</f>
        <v>52</v>
      </c>
      <c r="S110" s="1">
        <f>VLOOKUP($B110&amp;"__wt",'SegEnds_Xtal_BW#'!$A:$Z,19,FALSE)</f>
        <v>32</v>
      </c>
      <c r="T110" s="1">
        <f t="array" ref="T110">INDEX(ICL3_classA!$G$2:$G$39,MATCH(MIN(ABS(AI110-ICL3_classA!$F$2:$F$39)),ABS(AI110-ICL3_classA!$F$2:$F$39),0))</f>
        <v>68</v>
      </c>
      <c r="U110" s="1">
        <f t="array" ref="U110">INDEX(ICL3_classA!$H$2:$H$39,MATCH(MIN(ABS(AI110-ICL3_classA!$F$2:$F$39)),ABS(AI110-ICL3_classA!$F$2:$F$39),0))</f>
        <v>24</v>
      </c>
      <c r="V110" s="1">
        <f>VLOOKUP($B110&amp;"__wt",'SegEnds_Xtal_BW#'!$A:$Z,22,FALSE)</f>
        <v>62</v>
      </c>
      <c r="W110" s="1">
        <v>28</v>
      </c>
      <c r="X110" s="1">
        <f>VLOOKUP($B110&amp;"__wt",'SegEnds_Xtal_BW#'!$A:$Z,24,FALSE)</f>
        <v>56</v>
      </c>
      <c r="Y110" s="1">
        <f>VLOOKUP($B110&amp;"__wt",'SegEnds_Xtal_BW#'!$A:$Z,25,FALSE)</f>
        <v>47</v>
      </c>
      <c r="Z110" s="1">
        <f>VLOOKUP($B110&amp;"__wt",'SegEnds_Xtal_BW#'!$A:$Z,26,FALSE)</f>
        <v>60</v>
      </c>
      <c r="AA110" s="27" t="str">
        <f>VLOOKUP(A110,Classification!A:B,2,FALSE)</f>
        <v>A</v>
      </c>
      <c r="AB110" s="1">
        <f>VLOOKUP(A110,'SegEnds_NonXtal_Prot#'!A:AL,10,FALSE)-VLOOKUP(A110,'SegEnds_NonXtal_Prot#'!A:AL,4,FALSE)</f>
        <v>28</v>
      </c>
      <c r="AC110" s="1" t="e">
        <f>VLOOKUP(A110,'SegEnds_NonXtal_Prot#'!A:AL,10,FALSE)-VLOOKUP(A110,'SegEnds_NonXtal_Prot#'!A:AL,7,FALSE)</f>
        <v>#VALUE!</v>
      </c>
      <c r="AD110" s="1">
        <f>VLOOKUP(A110,'SegEnds_NonXtal_Prot#'!A:AL,13,FALSE)-VLOOKUP(A110,'SegEnds_NonXtal_Prot#'!A:AL,10,FALSE)</f>
        <v>20</v>
      </c>
      <c r="AE110" s="1">
        <f>VLOOKUP(A110,'SegEnds_NonXtal_Prot#'!A:AL,16,FALSE)-VLOOKUP(A110,'SegEnds_NonXtal_Prot#'!A:AL,10,FALSE)</f>
        <v>52</v>
      </c>
      <c r="AF110" s="1">
        <f>VLOOKUP(A110,'SegEnds_NonXtal_Prot#'!A:AL,22,FALSE)-VLOOKUP(A110,'SegEnds_NonXtal_Prot#'!A:AL,19,FALSE)</f>
        <v>20</v>
      </c>
      <c r="AG110" s="1">
        <f>VLOOKUP(A110,'SegEnds_NonXtal_Prot#'!A:AL,28,FALSE)-VLOOKUP(A110,'SegEnds_NonXtal_Prot#'!A:AL,25,FALSE)</f>
        <v>26</v>
      </c>
      <c r="AH110" s="1">
        <f>VLOOKUP(A110,'SegEnds_NonXtal_Prot#'!A:AL,28,FALSE)-VLOOKUP(A110,'SegEnds_NonXtal_Prot#'!A:AL,22,FALSE)</f>
        <v>50</v>
      </c>
      <c r="AI110" s="1">
        <f>VLOOKUP(A110,'SegEnds_NonXtal_Prot#'!A:AL,31,FALSE)-VLOOKUP(A110,'SegEnds_NonXtal_Prot#'!A:AL,28,FALSE)</f>
        <v>49</v>
      </c>
      <c r="AJ110" s="1">
        <f>VLOOKUP(A110,'SegEnds_NonXtal_Prot#'!A:AL,34,FALSE)-VLOOKUP(A110,'SegEnds_NonXtal_Prot#'!A:AL,31,FALSE)</f>
        <v>40</v>
      </c>
      <c r="AK110" s="1">
        <f>VLOOKUP(A110,'SegEnds_NonXtal_Prot#'!A:AL,37,FALSE)-VLOOKUP(A110,'SegEnds_NonXtal_Prot#'!A:AL,34,FALSE)</f>
        <v>10</v>
      </c>
      <c r="AL110" s="1" t="str">
        <f>IF(ISERROR(MATCH(A110,'SegEnds_Xtal_Prot#'!B:B, 0)), "NoXtal", "Xtal")</f>
        <v>Xtal</v>
      </c>
    </row>
    <row r="111" spans="1:38" x14ac:dyDescent="0.2">
      <c r="A111" s="1" t="s">
        <v>1165</v>
      </c>
      <c r="B111" s="1" t="str">
        <f>VLOOKUP(A111,Xtal_Templ!A:B,2,FALSE)</f>
        <v>cxcr4_human</v>
      </c>
      <c r="C111" s="5">
        <f>VLOOKUP($B111&amp;"__wt",'SegEnds_Xtal_BW#'!$A:$Z,3,FALSE)</f>
        <v>24</v>
      </c>
      <c r="D111" s="1">
        <f>VLOOKUP($B111&amp;"__wt",'SegEnds_Xtal_BW#'!$A:$Z,4,FALSE)</f>
        <v>60</v>
      </c>
      <c r="E111" s="1">
        <f>VLOOKUP($B111&amp;"__wt",'SegEnds_Xtal_BW#'!$A:$Z,5,FALSE)</f>
        <v>48</v>
      </c>
      <c r="F111" s="1">
        <f>VLOOKUP($B111&amp;"__wt",'SegEnds_Xtal_BW#'!$A:$Z,6,FALSE)</f>
        <v>51</v>
      </c>
      <c r="G111" s="1">
        <v>37</v>
      </c>
      <c r="H111" s="12">
        <v>66</v>
      </c>
      <c r="I111" s="1">
        <f>VLOOKUP($B111&amp;"__wt",'SegEnds_Xtal_BW#'!$A:$Z,9,FALSE)</f>
        <v>49</v>
      </c>
      <c r="J111" s="1">
        <f>VLOOKUP($B111&amp;"__wt",'SegEnds_Xtal_BW#'!$A:$Z,10,FALSE)</f>
        <v>52</v>
      </c>
      <c r="K111" s="12">
        <v>24</v>
      </c>
      <c r="L111" s="1">
        <f>VLOOKUP($B111&amp;"__wt",'SegEnds_Xtal_BW#'!$A:$Z,12,FALSE)</f>
        <v>56</v>
      </c>
      <c r="M111" s="1">
        <f>VLOOKUP($B111&amp;"__wt",'SegEnds_Xtal_BW#'!$A:$Z,13,FALSE)</f>
        <v>50</v>
      </c>
      <c r="N111" s="12">
        <f>VLOOKUP($B111&amp;"__wt",'SegEnds_Xtal_BW#'!$A:$Z,14,FALSE)</f>
        <v>57</v>
      </c>
      <c r="O111" s="87">
        <f>VLOOKUP($B111&amp;"__wt",'SegEnds_Xtal_BW#'!$A:$Z,15,FALSE)</f>
        <v>38</v>
      </c>
      <c r="P111" s="1">
        <f>VLOOKUP($B111&amp;"__wt",'SegEnds_Xtal_BW#'!$A:$Z,16,FALSE)</f>
        <v>64</v>
      </c>
      <c r="Q111" s="1">
        <f>VLOOKUP($B111&amp;"__wt",'SegEnds_Xtal_BW#'!$A:$Z,17,FALSE)</f>
        <v>50</v>
      </c>
      <c r="R111" s="1">
        <f>VLOOKUP($B111&amp;"__wt",'SegEnds_Xtal_BW#'!$A:$Z,18,FALSE)</f>
        <v>52</v>
      </c>
      <c r="S111" s="1">
        <f>VLOOKUP($B111&amp;"__wt",'SegEnds_Xtal_BW#'!$A:$Z,19,FALSE)</f>
        <v>32</v>
      </c>
      <c r="T111" s="1">
        <f t="array" ref="T111">INDEX(ICL3_classA!$G$2:$G$39,MATCH(MIN(ABS(AI111-ICL3_classA!$F$2:$F$39)),ABS(AI111-ICL3_classA!$F$2:$F$39),0))</f>
        <v>68</v>
      </c>
      <c r="U111" s="1">
        <f t="array" ref="U111">INDEX(ICL3_classA!$H$2:$H$39,MATCH(MIN(ABS(AI111-ICL3_classA!$F$2:$F$39)),ABS(AI111-ICL3_classA!$F$2:$F$39),0))</f>
        <v>30</v>
      </c>
      <c r="V111" s="1">
        <v>64</v>
      </c>
      <c r="W111" s="1">
        <v>24</v>
      </c>
      <c r="X111" s="1">
        <f>VLOOKUP($B111&amp;"__wt",'SegEnds_Xtal_BW#'!$A:$Z,24,FALSE)</f>
        <v>56</v>
      </c>
      <c r="Y111" s="1">
        <f>VLOOKUP($B111&amp;"__wt",'SegEnds_Xtal_BW#'!$A:$Z,25,FALSE)</f>
        <v>47</v>
      </c>
      <c r="Z111" s="1">
        <f>VLOOKUP($B111&amp;"__wt",'SegEnds_Xtal_BW#'!$A:$Z,26,FALSE)</f>
        <v>59</v>
      </c>
      <c r="AA111" s="27" t="str">
        <f>VLOOKUP(A111,Classification!A:B,2,FALSE)</f>
        <v>A</v>
      </c>
      <c r="AB111" s="1">
        <f>VLOOKUP(A111,'SegEnds_NonXtal_Prot#'!A:AL,10,FALSE)-VLOOKUP(A111,'SegEnds_NonXtal_Prot#'!A:AL,4,FALSE)</f>
        <v>28</v>
      </c>
      <c r="AC111" s="1">
        <f>VLOOKUP(A111,'SegEnds_NonXtal_Prot#'!A:AL,10,FALSE)-VLOOKUP(A111,'SegEnds_NonXtal_Prot#'!A:AL,7,FALSE)</f>
        <v>15</v>
      </c>
      <c r="AD111" s="1">
        <f>VLOOKUP(A111,'SegEnds_NonXtal_Prot#'!A:AL,13,FALSE)-VLOOKUP(A111,'SegEnds_NonXtal_Prot#'!A:AL,10,FALSE)</f>
        <v>18</v>
      </c>
      <c r="AE111" s="1">
        <f>VLOOKUP(A111,'SegEnds_NonXtal_Prot#'!A:AL,16,FALSE)-VLOOKUP(A111,'SegEnds_NonXtal_Prot#'!A:AL,10,FALSE)</f>
        <v>50</v>
      </c>
      <c r="AF111" s="1">
        <f>VLOOKUP(A111,'SegEnds_NonXtal_Prot#'!A:AL,22,FALSE)-VLOOKUP(A111,'SegEnds_NonXtal_Prot#'!A:AL,19,FALSE)</f>
        <v>20</v>
      </c>
      <c r="AG111" s="1">
        <f>VLOOKUP(A111,'SegEnds_NonXtal_Prot#'!A:AL,28,FALSE)-VLOOKUP(A111,'SegEnds_NonXtal_Prot#'!A:AL,25,FALSE)</f>
        <v>25</v>
      </c>
      <c r="AH111" s="1">
        <f>VLOOKUP(A111,'SegEnds_NonXtal_Prot#'!A:AL,28,FALSE)-VLOOKUP(A111,'SegEnds_NonXtal_Prot#'!A:AL,22,FALSE)</f>
        <v>50</v>
      </c>
      <c r="AI111" s="1">
        <f>VLOOKUP(A111,'SegEnds_NonXtal_Prot#'!A:AL,31,FALSE)-VLOOKUP(A111,'SegEnds_NonXtal_Prot#'!A:AL,28,FALSE)</f>
        <v>43</v>
      </c>
      <c r="AJ111" s="1">
        <f>VLOOKUP(A111,'SegEnds_NonXtal_Prot#'!A:AL,34,FALSE)-VLOOKUP(A111,'SegEnds_NonXtal_Prot#'!A:AL,31,FALSE)</f>
        <v>45</v>
      </c>
      <c r="AK111" s="1">
        <f>VLOOKUP(A111,'SegEnds_NonXtal_Prot#'!A:AL,37,FALSE)-VLOOKUP(A111,'SegEnds_NonXtal_Prot#'!A:AL,34,FALSE)</f>
        <v>10</v>
      </c>
      <c r="AL111" s="1" t="str">
        <f>IF(ISERROR(MATCH(A111,'SegEnds_Xtal_Prot#'!B:B, 0)), "NoXtal", "Xtal")</f>
        <v>Xtal</v>
      </c>
    </row>
    <row r="112" spans="1:38" x14ac:dyDescent="0.2">
      <c r="A112" s="1" t="s">
        <v>231</v>
      </c>
      <c r="B112" s="1" t="str">
        <f>VLOOKUP(A112,Xtal_Templ!A:B,2,FALSE)</f>
        <v>ox1r_human</v>
      </c>
      <c r="C112" s="5">
        <f>VLOOKUP($B112&amp;"__wt",'SegEnds_Xtal_BW#'!$A:$Z,3,FALSE)</f>
        <v>32</v>
      </c>
      <c r="D112" s="1">
        <f>VLOOKUP($B112&amp;"__wt",'SegEnds_Xtal_BW#'!$A:$Z,4,FALSE)</f>
        <v>60</v>
      </c>
      <c r="E112" s="1">
        <f>VLOOKUP($B112&amp;"__wt",'SegEnds_Xtal_BW#'!$A:$Z,5,FALSE)</f>
        <v>48</v>
      </c>
      <c r="F112" s="1">
        <f>VLOOKUP($B112&amp;"__wt",'SegEnds_Xtal_BW#'!$A:$Z,6,FALSE)</f>
        <v>51</v>
      </c>
      <c r="G112" s="1">
        <v>37</v>
      </c>
      <c r="H112" s="12">
        <f>VLOOKUP($B112&amp;"__wt",'SegEnds_Xtal_BW#'!$A:$Z,8,FALSE)</f>
        <v>68</v>
      </c>
      <c r="I112" s="1">
        <f>VLOOKUP($B112&amp;"__wt",'SegEnds_Xtal_BW#'!$A:$Z,9,FALSE)</f>
        <v>49</v>
      </c>
      <c r="J112" s="1">
        <f>VLOOKUP($B112&amp;"__wt",'SegEnds_Xtal_BW#'!$A:$Z,10,FALSE)</f>
        <v>52</v>
      </c>
      <c r="K112" s="12">
        <v>18</v>
      </c>
      <c r="L112" s="1">
        <f>VLOOKUP($B112&amp;"__wt",'SegEnds_Xtal_BW#'!$A:$Z,12,FALSE)</f>
        <v>56</v>
      </c>
      <c r="M112" s="1">
        <f>VLOOKUP($B112&amp;"__wt",'SegEnds_Xtal_BW#'!$A:$Z,13,FALSE)</f>
        <v>50</v>
      </c>
      <c r="N112" s="12">
        <v>56</v>
      </c>
      <c r="O112" s="87">
        <f>VLOOKUP($B112&amp;"__wt",'SegEnds_Xtal_BW#'!$A:$Z,15,FALSE)</f>
        <v>38</v>
      </c>
      <c r="P112" s="1">
        <f>VLOOKUP($B112&amp;"__wt",'SegEnds_Xtal_BW#'!$A:$Z,16,FALSE)</f>
        <v>64</v>
      </c>
      <c r="Q112" s="1">
        <f>VLOOKUP($B112&amp;"__wt",'SegEnds_Xtal_BW#'!$A:$Z,17,FALSE)</f>
        <v>50</v>
      </c>
      <c r="R112" s="1">
        <f>VLOOKUP($B112&amp;"__wt",'SegEnds_Xtal_BW#'!$A:$Z,18,FALSE)</f>
        <v>52</v>
      </c>
      <c r="S112" s="1">
        <f>VLOOKUP($B112&amp;"__wt",'SegEnds_Xtal_BW#'!$A:$Z,19,FALSE)</f>
        <v>33</v>
      </c>
      <c r="T112" s="1">
        <f t="array" ref="T112">INDEX(ICL3_classA!$G$2:$G$39,MATCH(MIN(ABS(AI112-ICL3_classA!$F$2:$F$39)),ABS(AI112-ICL3_classA!$F$2:$F$39),0))</f>
        <v>74</v>
      </c>
      <c r="U112" s="1">
        <f t="array" ref="U112">INDEX(ICL3_classA!$H$2:$H$39,MATCH(MIN(ABS(AI112-ICL3_classA!$F$2:$F$39)),ABS(AI112-ICL3_classA!$F$2:$F$39),0))</f>
        <v>21</v>
      </c>
      <c r="V112" s="1">
        <v>61</v>
      </c>
      <c r="W112" s="1">
        <v>31</v>
      </c>
      <c r="X112" s="1">
        <f>VLOOKUP($B112&amp;"__wt",'SegEnds_Xtal_BW#'!$A:$Z,24,FALSE)</f>
        <v>56</v>
      </c>
      <c r="Y112" s="1">
        <f>VLOOKUP($B112&amp;"__wt",'SegEnds_Xtal_BW#'!$A:$Z,25,FALSE)</f>
        <v>47</v>
      </c>
      <c r="Z112" s="1">
        <f>VLOOKUP($B112&amp;"__wt",'SegEnds_Xtal_BW#'!$A:$Z,26,FALSE)</f>
        <v>63</v>
      </c>
      <c r="AA112" s="27" t="str">
        <f>VLOOKUP(A112,Classification!A:B,2,FALSE)</f>
        <v>A</v>
      </c>
      <c r="AB112" s="1">
        <f>VLOOKUP(A112,'SegEnds_NonXtal_Prot#'!A:AL,10,FALSE)-VLOOKUP(A112,'SegEnds_NonXtal_Prot#'!A:AL,4,FALSE)</f>
        <v>28</v>
      </c>
      <c r="AC112" s="1">
        <f>VLOOKUP(A112,'SegEnds_NonXtal_Prot#'!A:AL,10,FALSE)-VLOOKUP(A112,'SegEnds_NonXtal_Prot#'!A:AL,7,FALSE)</f>
        <v>15</v>
      </c>
      <c r="AD112" s="1">
        <f>VLOOKUP(A112,'SegEnds_NonXtal_Prot#'!A:AL,13,FALSE)-VLOOKUP(A112,'SegEnds_NonXtal_Prot#'!A:AL,10,FALSE)</f>
        <v>22</v>
      </c>
      <c r="AE112" s="1">
        <f>VLOOKUP(A112,'SegEnds_NonXtal_Prot#'!A:AL,16,FALSE)-VLOOKUP(A112,'SegEnds_NonXtal_Prot#'!A:AL,10,FALSE)</f>
        <v>55</v>
      </c>
      <c r="AF112" s="1" t="e">
        <f>VLOOKUP(A112,'SegEnds_NonXtal_Prot#'!A:AL,22,FALSE)-VLOOKUP(A112,'SegEnds_NonXtal_Prot#'!A:AL,19,FALSE)</f>
        <v>#VALUE!</v>
      </c>
      <c r="AG112" s="1">
        <f>VLOOKUP(A112,'SegEnds_NonXtal_Prot#'!A:AL,28,FALSE)-VLOOKUP(A112,'SegEnds_NonXtal_Prot#'!A:AL,25,FALSE)</f>
        <v>25</v>
      </c>
      <c r="AH112" s="1">
        <f>VLOOKUP(A112,'SegEnds_NonXtal_Prot#'!A:AL,28,FALSE)-VLOOKUP(A112,'SegEnds_NonXtal_Prot#'!A:AL,22,FALSE)</f>
        <v>50</v>
      </c>
      <c r="AI112" s="1">
        <f>VLOOKUP(A112,'SegEnds_NonXtal_Prot#'!A:AL,31,FALSE)-VLOOKUP(A112,'SegEnds_NonXtal_Prot#'!A:AL,28,FALSE)</f>
        <v>64</v>
      </c>
      <c r="AJ112" s="1">
        <f>VLOOKUP(A112,'SegEnds_NonXtal_Prot#'!A:AL,34,FALSE)-VLOOKUP(A112,'SegEnds_NonXtal_Prot#'!A:AL,31,FALSE)</f>
        <v>36</v>
      </c>
      <c r="AK112" s="1">
        <f>VLOOKUP(A112,'SegEnds_NonXtal_Prot#'!A:AL,37,FALSE)-VLOOKUP(A112,'SegEnds_NonXtal_Prot#'!A:AL,34,FALSE)</f>
        <v>10</v>
      </c>
      <c r="AL112" s="1" t="str">
        <f>IF(ISERROR(MATCH(A112,'SegEnds_Xtal_Prot#'!B:B, 0)), "NoXtal", "Xtal")</f>
        <v>NoXtal</v>
      </c>
    </row>
    <row r="113" spans="1:38" x14ac:dyDescent="0.2">
      <c r="A113" s="1" t="s">
        <v>245</v>
      </c>
      <c r="B113" s="1" t="str">
        <f>VLOOKUP(A113,Xtal_Templ!A:B,2,FALSE)</f>
        <v>agtr1_human</v>
      </c>
      <c r="C113" s="5">
        <f>VLOOKUP($B113&amp;"__wt",'SegEnds_Xtal_BW#'!$A:$Z,3,FALSE)</f>
        <v>28</v>
      </c>
      <c r="D113" s="1">
        <f>VLOOKUP($B113&amp;"__wt",'SegEnds_Xtal_BW#'!$A:$Z,4,FALSE)</f>
        <v>60</v>
      </c>
      <c r="E113" s="1">
        <f>VLOOKUP($B113&amp;"__wt",'SegEnds_Xtal_BW#'!$A:$Z,5,FALSE)</f>
        <v>48</v>
      </c>
      <c r="F113" s="1">
        <f>VLOOKUP($B113&amp;"__wt",'SegEnds_Xtal_BW#'!$A:$Z,6,FALSE)</f>
        <v>51</v>
      </c>
      <c r="G113" s="1">
        <v>37</v>
      </c>
      <c r="H113" s="12">
        <f>VLOOKUP($B113&amp;"__wt",'SegEnds_Xtal_BW#'!$A:$Z,8,FALSE)</f>
        <v>67</v>
      </c>
      <c r="I113" s="1">
        <f>VLOOKUP($B113&amp;"__wt",'SegEnds_Xtal_BW#'!$A:$Z,9,FALSE)</f>
        <v>49</v>
      </c>
      <c r="J113" s="1">
        <f>VLOOKUP($B113&amp;"__wt",'SegEnds_Xtal_BW#'!$A:$Z,10,FALSE)</f>
        <v>52</v>
      </c>
      <c r="K113" s="12">
        <v>18</v>
      </c>
      <c r="L113" s="1">
        <f>VLOOKUP($B113&amp;"__wt",'SegEnds_Xtal_BW#'!$A:$Z,12,FALSE)</f>
        <v>56</v>
      </c>
      <c r="M113" s="1">
        <f>VLOOKUP($B113&amp;"__wt",'SegEnds_Xtal_BW#'!$A:$Z,13,FALSE)</f>
        <v>50</v>
      </c>
      <c r="N113" s="12">
        <v>57</v>
      </c>
      <c r="O113" s="87">
        <f>VLOOKUP($B113&amp;"__wt",'SegEnds_Xtal_BW#'!$A:$Z,15,FALSE)</f>
        <v>38</v>
      </c>
      <c r="P113" s="1">
        <f>VLOOKUP($B113&amp;"__wt",'SegEnds_Xtal_BW#'!$A:$Z,16,FALSE)</f>
        <v>64</v>
      </c>
      <c r="Q113" s="1">
        <f>VLOOKUP($B113&amp;"__wt",'SegEnds_Xtal_BW#'!$A:$Z,17,FALSE)</f>
        <v>50</v>
      </c>
      <c r="R113" s="1">
        <f>VLOOKUP($B113&amp;"__wt",'SegEnds_Xtal_BW#'!$A:$Z,18,FALSE)</f>
        <v>52</v>
      </c>
      <c r="S113" s="1">
        <f>VLOOKUP($B113&amp;"__wt",'SegEnds_Xtal_BW#'!$A:$Z,19,FALSE)</f>
        <v>34</v>
      </c>
      <c r="T113" s="1">
        <f t="array" ref="T113">INDEX(ICL3_classA!$G$2:$G$39,MATCH(MIN(ABS(AI113-ICL3_classA!$F$2:$F$39)),ABS(AI113-ICL3_classA!$F$2:$F$39),0))</f>
        <v>67</v>
      </c>
      <c r="U113" s="1">
        <f t="array" ref="U113">INDEX(ICL3_classA!$H$2:$H$39,MATCH(MIN(ABS(AI113-ICL3_classA!$F$2:$F$39)),ABS(AI113-ICL3_classA!$F$2:$F$39),0))</f>
        <v>28</v>
      </c>
      <c r="V113" s="1">
        <v>64</v>
      </c>
      <c r="W113" s="1">
        <v>24</v>
      </c>
      <c r="X113" s="1">
        <f>VLOOKUP($B113&amp;"__wt",'SegEnds_Xtal_BW#'!$A:$Z,24,FALSE)</f>
        <v>56</v>
      </c>
      <c r="Y113" s="1">
        <f>VLOOKUP($B113&amp;"__wt",'SegEnds_Xtal_BW#'!$A:$Z,25,FALSE)</f>
        <v>47</v>
      </c>
      <c r="Z113" s="1">
        <f>VLOOKUP($B113&amp;"__wt",'SegEnds_Xtal_BW#'!$A:$Z,26,FALSE)</f>
        <v>61</v>
      </c>
      <c r="AA113" s="27" t="str">
        <f>VLOOKUP(A113,Classification!A:B,2,FALSE)</f>
        <v>A</v>
      </c>
      <c r="AB113" s="1">
        <f>VLOOKUP(A113,'SegEnds_NonXtal_Prot#'!A:AL,10,FALSE)-VLOOKUP(A113,'SegEnds_NonXtal_Prot#'!A:AL,4,FALSE)</f>
        <v>28</v>
      </c>
      <c r="AC113" s="1">
        <f>VLOOKUP(A113,'SegEnds_NonXtal_Prot#'!A:AL,10,FALSE)-VLOOKUP(A113,'SegEnds_NonXtal_Prot#'!A:AL,7,FALSE)</f>
        <v>15</v>
      </c>
      <c r="AD113" s="1">
        <f>VLOOKUP(A113,'SegEnds_NonXtal_Prot#'!A:AL,13,FALSE)-VLOOKUP(A113,'SegEnds_NonXtal_Prot#'!A:AL,10,FALSE)</f>
        <v>20</v>
      </c>
      <c r="AE113" s="1">
        <f>VLOOKUP(A113,'SegEnds_NonXtal_Prot#'!A:AL,16,FALSE)-VLOOKUP(A113,'SegEnds_NonXtal_Prot#'!A:AL,10,FALSE)</f>
        <v>52</v>
      </c>
      <c r="AF113" s="1">
        <f>VLOOKUP(A113,'SegEnds_NonXtal_Prot#'!A:AL,22,FALSE)-VLOOKUP(A113,'SegEnds_NonXtal_Prot#'!A:AL,19,FALSE)</f>
        <v>20</v>
      </c>
      <c r="AG113" s="1">
        <f>VLOOKUP(A113,'SegEnds_NonXtal_Prot#'!A:AL,28,FALSE)-VLOOKUP(A113,'SegEnds_NonXtal_Prot#'!A:AL,25,FALSE)</f>
        <v>23</v>
      </c>
      <c r="AH113" s="1">
        <f>VLOOKUP(A113,'SegEnds_NonXtal_Prot#'!A:AL,28,FALSE)-VLOOKUP(A113,'SegEnds_NonXtal_Prot#'!A:AL,22,FALSE)</f>
        <v>50</v>
      </c>
      <c r="AI113" s="1">
        <f>VLOOKUP(A113,'SegEnds_NonXtal_Prot#'!A:AL,31,FALSE)-VLOOKUP(A113,'SegEnds_NonXtal_Prot#'!A:AL,28,FALSE)</f>
        <v>45</v>
      </c>
      <c r="AJ113" s="1">
        <f>VLOOKUP(A113,'SegEnds_NonXtal_Prot#'!A:AL,34,FALSE)-VLOOKUP(A113,'SegEnds_NonXtal_Prot#'!A:AL,31,FALSE)</f>
        <v>45</v>
      </c>
      <c r="AK113" s="1">
        <f>VLOOKUP(A113,'SegEnds_NonXtal_Prot#'!A:AL,37,FALSE)-VLOOKUP(A113,'SegEnds_NonXtal_Prot#'!A:AL,34,FALSE)</f>
        <v>10</v>
      </c>
      <c r="AL113" s="1" t="str">
        <f>IF(ISERROR(MATCH(A113,'SegEnds_Xtal_Prot#'!B:B, 0)), "NoXtal", "Xtal")</f>
        <v>NoXtal</v>
      </c>
    </row>
    <row r="114" spans="1:38" x14ac:dyDescent="0.2">
      <c r="A114" s="1" t="s">
        <v>249</v>
      </c>
      <c r="B114" s="1" t="str">
        <f>VLOOKUP(A114,Xtal_Templ!A:B,2,FALSE)</f>
        <v>oprd_mouse</v>
      </c>
      <c r="C114" s="5">
        <f>VLOOKUP($B114&amp;"__wt",'SegEnds_Xtal_BW#'!$A:$Z,3,FALSE)</f>
        <v>24</v>
      </c>
      <c r="D114" s="1">
        <f>VLOOKUP($B114&amp;"__wt",'SegEnds_Xtal_BW#'!$A:$Z,4,FALSE)</f>
        <v>60</v>
      </c>
      <c r="E114" s="1">
        <f>VLOOKUP($B114&amp;"__wt",'SegEnds_Xtal_BW#'!$A:$Z,5,FALSE)</f>
        <v>48</v>
      </c>
      <c r="F114" s="1">
        <f>VLOOKUP($B114&amp;"__wt",'SegEnds_Xtal_BW#'!$A:$Z,6,FALSE)</f>
        <v>51</v>
      </c>
      <c r="G114" s="1">
        <v>37</v>
      </c>
      <c r="H114" s="12">
        <f>VLOOKUP($B114&amp;"__wt",'SegEnds_Xtal_BW#'!$A:$Z,8,FALSE)</f>
        <v>66</v>
      </c>
      <c r="I114" s="1">
        <f>VLOOKUP($B114&amp;"__wt",'SegEnds_Xtal_BW#'!$A:$Z,9,FALSE)</f>
        <v>49</v>
      </c>
      <c r="J114" s="1">
        <f>VLOOKUP($B114&amp;"__wt",'SegEnds_Xtal_BW#'!$A:$Z,10,FALSE)</f>
        <v>52</v>
      </c>
      <c r="K114" s="12">
        <v>18</v>
      </c>
      <c r="L114" s="1">
        <f>VLOOKUP($B114&amp;"__wt",'SegEnds_Xtal_BW#'!$A:$Z,12,FALSE)</f>
        <v>56</v>
      </c>
      <c r="M114" s="1">
        <f>VLOOKUP($B114&amp;"__wt",'SegEnds_Xtal_BW#'!$A:$Z,13,FALSE)</f>
        <v>50</v>
      </c>
      <c r="N114" s="12">
        <v>57</v>
      </c>
      <c r="O114" s="87">
        <f>VLOOKUP($B114&amp;"__wt",'SegEnds_Xtal_BW#'!$A:$Z,15,FALSE)</f>
        <v>38</v>
      </c>
      <c r="P114" s="1">
        <f>VLOOKUP($B114&amp;"__wt",'SegEnds_Xtal_BW#'!$A:$Z,16,FALSE)</f>
        <v>64</v>
      </c>
      <c r="Q114" s="1">
        <f>VLOOKUP($B114&amp;"__wt",'SegEnds_Xtal_BW#'!$A:$Z,17,FALSE)</f>
        <v>50</v>
      </c>
      <c r="R114" s="1">
        <f>VLOOKUP($B114&amp;"__wt",'SegEnds_Xtal_BW#'!$A:$Z,18,FALSE)</f>
        <v>52</v>
      </c>
      <c r="S114" s="1">
        <f>VLOOKUP($B114&amp;"__wt",'SegEnds_Xtal_BW#'!$A:$Z,19,FALSE)</f>
        <v>31</v>
      </c>
      <c r="T114" s="1">
        <f t="array" ref="T114">INDEX(ICL3_classA!$G$2:$G$39,MATCH(MIN(ABS(AI114-ICL3_classA!$F$2:$F$39)),ABS(AI114-ICL3_classA!$F$2:$F$39),0))</f>
        <v>68</v>
      </c>
      <c r="U114" s="1">
        <f t="array" ref="U114">INDEX(ICL3_classA!$H$2:$H$39,MATCH(MIN(ABS(AI114-ICL3_classA!$F$2:$F$39)),ABS(AI114-ICL3_classA!$F$2:$F$39),0))</f>
        <v>24</v>
      </c>
      <c r="V114" s="1">
        <v>61</v>
      </c>
      <c r="W114" s="1">
        <v>28</v>
      </c>
      <c r="X114" s="1">
        <f>VLOOKUP($B114&amp;"__wt",'SegEnds_Xtal_BW#'!$A:$Z,24,FALSE)</f>
        <v>56</v>
      </c>
      <c r="Y114" s="1">
        <f>VLOOKUP($B114&amp;"__wt",'SegEnds_Xtal_BW#'!$A:$Z,25,FALSE)</f>
        <v>47</v>
      </c>
      <c r="Z114" s="1">
        <f>VLOOKUP($B114&amp;"__wt",'SegEnds_Xtal_BW#'!$A:$Z,26,FALSE)</f>
        <v>60</v>
      </c>
      <c r="AA114" s="27" t="str">
        <f>VLOOKUP(A114,Classification!A:B,2,FALSE)</f>
        <v>A</v>
      </c>
      <c r="AB114" s="1">
        <f>VLOOKUP(A114,'SegEnds_NonXtal_Prot#'!A:AL,10,FALSE)-VLOOKUP(A114,'SegEnds_NonXtal_Prot#'!A:AL,4,FALSE)</f>
        <v>28</v>
      </c>
      <c r="AC114" s="1">
        <f>VLOOKUP(A114,'SegEnds_NonXtal_Prot#'!A:AL,10,FALSE)-VLOOKUP(A114,'SegEnds_NonXtal_Prot#'!A:AL,7,FALSE)</f>
        <v>15</v>
      </c>
      <c r="AD114" s="1">
        <f>VLOOKUP(A114,'SegEnds_NonXtal_Prot#'!A:AL,13,FALSE)-VLOOKUP(A114,'SegEnds_NonXtal_Prot#'!A:AL,10,FALSE)</f>
        <v>20</v>
      </c>
      <c r="AE114" s="1">
        <f>VLOOKUP(A114,'SegEnds_NonXtal_Prot#'!A:AL,16,FALSE)-VLOOKUP(A114,'SegEnds_NonXtal_Prot#'!A:AL,10,FALSE)</f>
        <v>52</v>
      </c>
      <c r="AF114" s="1">
        <f>VLOOKUP(A114,'SegEnds_NonXtal_Prot#'!A:AL,22,FALSE)-VLOOKUP(A114,'SegEnds_NonXtal_Prot#'!A:AL,19,FALSE)</f>
        <v>20</v>
      </c>
      <c r="AG114" s="1">
        <f>VLOOKUP(A114,'SegEnds_NonXtal_Prot#'!A:AL,28,FALSE)-VLOOKUP(A114,'SegEnds_NonXtal_Prot#'!A:AL,25,FALSE)</f>
        <v>27</v>
      </c>
      <c r="AH114" s="1">
        <f>VLOOKUP(A114,'SegEnds_NonXtal_Prot#'!A:AL,28,FALSE)-VLOOKUP(A114,'SegEnds_NonXtal_Prot#'!A:AL,22,FALSE)</f>
        <v>50</v>
      </c>
      <c r="AI114" s="1">
        <f>VLOOKUP(A114,'SegEnds_NonXtal_Prot#'!A:AL,31,FALSE)-VLOOKUP(A114,'SegEnds_NonXtal_Prot#'!A:AL,28,FALSE)</f>
        <v>48</v>
      </c>
      <c r="AJ114" s="1">
        <f>VLOOKUP(A114,'SegEnds_NonXtal_Prot#'!A:AL,34,FALSE)-VLOOKUP(A114,'SegEnds_NonXtal_Prot#'!A:AL,31,FALSE)</f>
        <v>42</v>
      </c>
      <c r="AK114" s="1">
        <f>VLOOKUP(A114,'SegEnds_NonXtal_Prot#'!A:AL,37,FALSE)-VLOOKUP(A114,'SegEnds_NonXtal_Prot#'!A:AL,34,FALSE)</f>
        <v>10</v>
      </c>
      <c r="AL114" s="1" t="str">
        <f>IF(ISERROR(MATCH(A114,'SegEnds_Xtal_Prot#'!B:B, 0)), "NoXtal", "Xtal")</f>
        <v>NoXtal</v>
      </c>
    </row>
    <row r="115" spans="1:38" x14ac:dyDescent="0.2">
      <c r="A115" s="1" t="s">
        <v>277</v>
      </c>
      <c r="B115" s="1" t="str">
        <f>VLOOKUP(A115,Xtal_Templ!A:B,2,FALSE)</f>
        <v>hrh1_human</v>
      </c>
      <c r="C115" s="5">
        <f>VLOOKUP($B115&amp;"__wt",'SegEnds_Xtal_BW#'!$A:$Z,3,FALSE)</f>
        <v>34</v>
      </c>
      <c r="D115" s="1">
        <f>VLOOKUP($B115&amp;"__wt",'SegEnds_Xtal_BW#'!$A:$Z,4,FALSE)</f>
        <v>60</v>
      </c>
      <c r="E115" s="1">
        <f>VLOOKUP($B115&amp;"__wt",'SegEnds_Xtal_BW#'!$A:$Z,5,FALSE)</f>
        <v>48</v>
      </c>
      <c r="F115" s="1">
        <f>VLOOKUP($B115&amp;"__wt",'SegEnds_Xtal_BW#'!$A:$Z,6,FALSE)</f>
        <v>51</v>
      </c>
      <c r="G115" s="1">
        <v>37</v>
      </c>
      <c r="H115" s="12">
        <f>VLOOKUP($B115&amp;"__wt",'SegEnds_Xtal_BW#'!$A:$Z,8,FALSE)</f>
        <v>67</v>
      </c>
      <c r="I115" s="1">
        <f>VLOOKUP($B115&amp;"__wt",'SegEnds_Xtal_BW#'!$A:$Z,9,FALSE)</f>
        <v>49</v>
      </c>
      <c r="J115" s="1">
        <f>VLOOKUP($B115&amp;"__wt",'SegEnds_Xtal_BW#'!$A:$Z,10,FALSE)</f>
        <v>52</v>
      </c>
      <c r="K115" s="12">
        <v>18</v>
      </c>
      <c r="L115" s="1">
        <f>VLOOKUP($B115&amp;"__wt",'SegEnds_Xtal_BW#'!$A:$Z,12,FALSE)</f>
        <v>56</v>
      </c>
      <c r="M115" s="1">
        <f>VLOOKUP($B115&amp;"__wt",'SegEnds_Xtal_BW#'!$A:$Z,13,FALSE)</f>
        <v>50</v>
      </c>
      <c r="N115" s="12">
        <f>VLOOKUP($B115&amp;"__wt",'SegEnds_Xtal_BW#'!$A:$Z,14,FALSE)</f>
        <v>57</v>
      </c>
      <c r="O115" s="87">
        <f>VLOOKUP($B115&amp;"__wt",'SegEnds_Xtal_BW#'!$A:$Z,15,FALSE)</f>
        <v>38</v>
      </c>
      <c r="P115" s="1">
        <f>VLOOKUP($B115&amp;"__wt",'SegEnds_Xtal_BW#'!$A:$Z,16,FALSE)</f>
        <v>62</v>
      </c>
      <c r="Q115" s="1">
        <f>VLOOKUP($B115&amp;"__wt",'SegEnds_Xtal_BW#'!$A:$Z,17,FALSE)</f>
        <v>50</v>
      </c>
      <c r="R115" s="1">
        <f>VLOOKUP($B115&amp;"__wt",'SegEnds_Xtal_BW#'!$A:$Z,18,FALSE)</f>
        <v>52</v>
      </c>
      <c r="S115" s="1">
        <v>35</v>
      </c>
      <c r="T115" s="1">
        <f t="array" ref="T115">INDEX(ICL3_classA!$G$2:$G$39,MATCH(MIN(ABS(AI115-ICL3_classA!$F$2:$F$39)),ABS(AI115-ICL3_classA!$F$2:$F$39),0))</f>
        <v>76</v>
      </c>
      <c r="U115" s="1">
        <f t="array" ref="U115">INDEX(ICL3_classA!$H$2:$H$39,MATCH(MIN(ABS(AI115-ICL3_classA!$F$2:$F$39)),ABS(AI115-ICL3_classA!$F$2:$F$39),0))</f>
        <v>24</v>
      </c>
      <c r="V115" s="1">
        <v>61</v>
      </c>
      <c r="W115" s="1">
        <v>31</v>
      </c>
      <c r="X115" s="1">
        <f>VLOOKUP($B115&amp;"__wt",'SegEnds_Xtal_BW#'!$A:$Z,24,FALSE)</f>
        <v>56</v>
      </c>
      <c r="Y115" s="1">
        <f>VLOOKUP($B115&amp;"__wt",'SegEnds_Xtal_BW#'!$A:$Z,25,FALSE)</f>
        <v>47</v>
      </c>
      <c r="Z115" s="1">
        <f>VLOOKUP($B115&amp;"__wt",'SegEnds_Xtal_BW#'!$A:$Z,26,FALSE)</f>
        <v>59</v>
      </c>
      <c r="AA115" s="27" t="str">
        <f>VLOOKUP(A115,Classification!A:B,2,FALSE)</f>
        <v>A</v>
      </c>
      <c r="AB115" s="1">
        <f>VLOOKUP(A115,'SegEnds_NonXtal_Prot#'!A:AL,10,FALSE)-VLOOKUP(A115,'SegEnds_NonXtal_Prot#'!A:AL,4,FALSE)</f>
        <v>28</v>
      </c>
      <c r="AC115" s="1">
        <f>VLOOKUP(A115,'SegEnds_NonXtal_Prot#'!A:AL,10,FALSE)-VLOOKUP(A115,'SegEnds_NonXtal_Prot#'!A:AL,7,FALSE)</f>
        <v>15</v>
      </c>
      <c r="AD115" s="1">
        <f>VLOOKUP(A115,'SegEnds_NonXtal_Prot#'!A:AL,13,FALSE)-VLOOKUP(A115,'SegEnds_NonXtal_Prot#'!A:AL,10,FALSE)</f>
        <v>20</v>
      </c>
      <c r="AE115" s="1">
        <f>VLOOKUP(A115,'SegEnds_NonXtal_Prot#'!A:AL,16,FALSE)-VLOOKUP(A115,'SegEnds_NonXtal_Prot#'!A:AL,10,FALSE)</f>
        <v>52</v>
      </c>
      <c r="AF115" s="1">
        <f>VLOOKUP(A115,'SegEnds_NonXtal_Prot#'!A:AL,22,FALSE)-VLOOKUP(A115,'SegEnds_NonXtal_Prot#'!A:AL,19,FALSE)</f>
        <v>20</v>
      </c>
      <c r="AG115" s="1">
        <f>VLOOKUP(A115,'SegEnds_NonXtal_Prot#'!A:AL,28,FALSE)-VLOOKUP(A115,'SegEnds_NonXtal_Prot#'!A:AL,25,FALSE)</f>
        <v>22</v>
      </c>
      <c r="AH115" s="1">
        <f>VLOOKUP(A115,'SegEnds_NonXtal_Prot#'!A:AL,28,FALSE)-VLOOKUP(A115,'SegEnds_NonXtal_Prot#'!A:AL,22,FALSE)</f>
        <v>50</v>
      </c>
      <c r="AI115" s="1">
        <f>VLOOKUP(A115,'SegEnds_NonXtal_Prot#'!A:AL,31,FALSE)-VLOOKUP(A115,'SegEnds_NonXtal_Prot#'!A:AL,28,FALSE)</f>
        <v>228</v>
      </c>
      <c r="AJ115" s="1">
        <f>VLOOKUP(A115,'SegEnds_NonXtal_Prot#'!A:AL,34,FALSE)-VLOOKUP(A115,'SegEnds_NonXtal_Prot#'!A:AL,31,FALSE)</f>
        <v>35</v>
      </c>
      <c r="AK115" s="1">
        <f>VLOOKUP(A115,'SegEnds_NonXtal_Prot#'!A:AL,37,FALSE)-VLOOKUP(A115,'SegEnds_NonXtal_Prot#'!A:AL,34,FALSE)</f>
        <v>10</v>
      </c>
      <c r="AL115" s="1" t="str">
        <f>IF(ISERROR(MATCH(A115,'SegEnds_Xtal_Prot#'!B:B, 0)), "NoXtal", "Xtal")</f>
        <v>Xtal</v>
      </c>
    </row>
    <row r="116" spans="1:38" x14ac:dyDescent="0.2">
      <c r="A116" s="1" t="s">
        <v>279</v>
      </c>
      <c r="B116" s="1" t="str">
        <f>VLOOKUP(A116,Xtal_Templ!A:B,2,FALSE)</f>
        <v>hrh1_human</v>
      </c>
      <c r="C116" s="5">
        <f>VLOOKUP($B116&amp;"__wt",'SegEnds_Xtal_BW#'!$A:$Z,3,FALSE)</f>
        <v>34</v>
      </c>
      <c r="D116" s="1">
        <f>VLOOKUP($B116&amp;"__wt",'SegEnds_Xtal_BW#'!$A:$Z,4,FALSE)</f>
        <v>60</v>
      </c>
      <c r="E116" s="1">
        <f>VLOOKUP($B116&amp;"__wt",'SegEnds_Xtal_BW#'!$A:$Z,5,FALSE)</f>
        <v>48</v>
      </c>
      <c r="F116" s="1">
        <f>VLOOKUP($B116&amp;"__wt",'SegEnds_Xtal_BW#'!$A:$Z,6,FALSE)</f>
        <v>51</v>
      </c>
      <c r="G116" s="1">
        <v>37</v>
      </c>
      <c r="H116" s="12">
        <f>VLOOKUP($B116&amp;"__wt",'SegEnds_Xtal_BW#'!$A:$Z,8,FALSE)</f>
        <v>67</v>
      </c>
      <c r="I116" s="1">
        <f>VLOOKUP($B116&amp;"__wt",'SegEnds_Xtal_BW#'!$A:$Z,9,FALSE)</f>
        <v>49</v>
      </c>
      <c r="J116" s="1">
        <f>VLOOKUP($B116&amp;"__wt",'SegEnds_Xtal_BW#'!$A:$Z,10,FALSE)</f>
        <v>52</v>
      </c>
      <c r="K116" s="12">
        <v>18</v>
      </c>
      <c r="L116" s="1">
        <f>VLOOKUP($B116&amp;"__wt",'SegEnds_Xtal_BW#'!$A:$Z,12,FALSE)</f>
        <v>56</v>
      </c>
      <c r="M116" s="1">
        <f>VLOOKUP($B116&amp;"__wt",'SegEnds_Xtal_BW#'!$A:$Z,13,FALSE)</f>
        <v>50</v>
      </c>
      <c r="N116" s="12">
        <v>58</v>
      </c>
      <c r="O116" s="87">
        <f>VLOOKUP($B116&amp;"__wt",'SegEnds_Xtal_BW#'!$A:$Z,15,FALSE)</f>
        <v>38</v>
      </c>
      <c r="P116" s="1">
        <v>63</v>
      </c>
      <c r="Q116" s="1">
        <f>VLOOKUP($B116&amp;"__wt",'SegEnds_Xtal_BW#'!$A:$Z,17,FALSE)</f>
        <v>50</v>
      </c>
      <c r="R116" s="1">
        <f>VLOOKUP($B116&amp;"__wt",'SegEnds_Xtal_BW#'!$A:$Z,18,FALSE)</f>
        <v>52</v>
      </c>
      <c r="S116" s="1">
        <v>35</v>
      </c>
      <c r="T116" s="1">
        <f t="array" ref="T116">INDEX(ICL3_classA!$G$2:$G$39,MATCH(MIN(ABS(AI116-ICL3_classA!$F$2:$F$39)),ABS(AI116-ICL3_classA!$F$2:$F$39),0))</f>
        <v>75</v>
      </c>
      <c r="U116" s="1">
        <f t="array" ref="U116">INDEX(ICL3_classA!$H$2:$H$39,MATCH(MIN(ABS(AI116-ICL3_classA!$F$2:$F$39)),ABS(AI116-ICL3_classA!$F$2:$F$39),0))</f>
        <v>24</v>
      </c>
      <c r="V116" s="1">
        <v>61</v>
      </c>
      <c r="W116" s="1">
        <v>31</v>
      </c>
      <c r="X116" s="1">
        <f>VLOOKUP($B116&amp;"__wt",'SegEnds_Xtal_BW#'!$A:$Z,24,FALSE)</f>
        <v>56</v>
      </c>
      <c r="Y116" s="1">
        <f>VLOOKUP($B116&amp;"__wt",'SegEnds_Xtal_BW#'!$A:$Z,25,FALSE)</f>
        <v>47</v>
      </c>
      <c r="Z116" s="1">
        <f>VLOOKUP($B116&amp;"__wt",'SegEnds_Xtal_BW#'!$A:$Z,26,FALSE)</f>
        <v>59</v>
      </c>
      <c r="AA116" s="27" t="str">
        <f>VLOOKUP(A116,Classification!A:B,2,FALSE)</f>
        <v>A</v>
      </c>
      <c r="AB116" s="1">
        <f>VLOOKUP(A116,'SegEnds_NonXtal_Prot#'!A:AL,10,FALSE)-VLOOKUP(A116,'SegEnds_NonXtal_Prot#'!A:AL,4,FALSE)</f>
        <v>28</v>
      </c>
      <c r="AC116" s="1">
        <f>VLOOKUP(A116,'SegEnds_NonXtal_Prot#'!A:AL,10,FALSE)-VLOOKUP(A116,'SegEnds_NonXtal_Prot#'!A:AL,7,FALSE)</f>
        <v>15</v>
      </c>
      <c r="AD116" s="1">
        <f>VLOOKUP(A116,'SegEnds_NonXtal_Prot#'!A:AL,13,FALSE)-VLOOKUP(A116,'SegEnds_NonXtal_Prot#'!A:AL,10,FALSE)</f>
        <v>20</v>
      </c>
      <c r="AE116" s="1">
        <f>VLOOKUP(A116,'SegEnds_NonXtal_Prot#'!A:AL,16,FALSE)-VLOOKUP(A116,'SegEnds_NonXtal_Prot#'!A:AL,10,FALSE)</f>
        <v>52</v>
      </c>
      <c r="AF116" s="1">
        <f>VLOOKUP(A116,'SegEnds_NonXtal_Prot#'!A:AL,22,FALSE)-VLOOKUP(A116,'SegEnds_NonXtal_Prot#'!A:AL,19,FALSE)</f>
        <v>21</v>
      </c>
      <c r="AG116" s="1">
        <f>VLOOKUP(A116,'SegEnds_NonXtal_Prot#'!A:AL,28,FALSE)-VLOOKUP(A116,'SegEnds_NonXtal_Prot#'!A:AL,25,FALSE)</f>
        <v>22</v>
      </c>
      <c r="AH116" s="1">
        <f>VLOOKUP(A116,'SegEnds_NonXtal_Prot#'!A:AL,28,FALSE)-VLOOKUP(A116,'SegEnds_NonXtal_Prot#'!A:AL,22,FALSE)</f>
        <v>50</v>
      </c>
      <c r="AI116" s="1">
        <f>VLOOKUP(A116,'SegEnds_NonXtal_Prot#'!A:AL,31,FALSE)-VLOOKUP(A116,'SegEnds_NonXtal_Prot#'!A:AL,28,FALSE)</f>
        <v>163</v>
      </c>
      <c r="AJ116" s="1">
        <f>VLOOKUP(A116,'SegEnds_NonXtal_Prot#'!A:AL,34,FALSE)-VLOOKUP(A116,'SegEnds_NonXtal_Prot#'!A:AL,31,FALSE)</f>
        <v>36</v>
      </c>
      <c r="AK116" s="1">
        <f>VLOOKUP(A116,'SegEnds_NonXtal_Prot#'!A:AL,37,FALSE)-VLOOKUP(A116,'SegEnds_NonXtal_Prot#'!A:AL,34,FALSE)</f>
        <v>10</v>
      </c>
      <c r="AL116" s="1" t="str">
        <f>IF(ISERROR(MATCH(A116,'SegEnds_Xtal_Prot#'!B:B, 0)), "NoXtal", "Xtal")</f>
        <v>NoXtal</v>
      </c>
    </row>
    <row r="117" spans="1:38" x14ac:dyDescent="0.2">
      <c r="A117" s="1" t="s">
        <v>373</v>
      </c>
      <c r="B117" s="1" t="str">
        <f>VLOOKUP(A117,Xtal_Templ!A:B,2,FALSE)</f>
        <v>oprd_human</v>
      </c>
      <c r="C117" s="5">
        <f>VLOOKUP($B117&amp;"__wt",'SegEnds_Xtal_BW#'!$A:$Z,3,FALSE)</f>
        <v>22</v>
      </c>
      <c r="D117" s="1">
        <f>VLOOKUP($B117&amp;"__wt",'SegEnds_Xtal_BW#'!$A:$Z,4,FALSE)</f>
        <v>60</v>
      </c>
      <c r="E117" s="1">
        <f>VLOOKUP($B117&amp;"__wt",'SegEnds_Xtal_BW#'!$A:$Z,5,FALSE)</f>
        <v>48</v>
      </c>
      <c r="F117" s="1">
        <f>VLOOKUP($B117&amp;"__wt",'SegEnds_Xtal_BW#'!$A:$Z,6,FALSE)</f>
        <v>51</v>
      </c>
      <c r="G117" s="1">
        <v>37</v>
      </c>
      <c r="H117" s="12">
        <f>VLOOKUP($B117&amp;"__wt",'SegEnds_Xtal_BW#'!$A:$Z,8,FALSE)</f>
        <v>66</v>
      </c>
      <c r="I117" s="1">
        <f>VLOOKUP($B117&amp;"__wt",'SegEnds_Xtal_BW#'!$A:$Z,9,FALSE)</f>
        <v>49</v>
      </c>
      <c r="J117" s="1">
        <f>VLOOKUP($B117&amp;"__wt",'SegEnds_Xtal_BW#'!$A:$Z,10,FALSE)</f>
        <v>52</v>
      </c>
      <c r="K117" s="12">
        <v>18</v>
      </c>
      <c r="L117" s="1">
        <f>VLOOKUP($B117&amp;"__wt",'SegEnds_Xtal_BW#'!$A:$Z,12,FALSE)</f>
        <v>56</v>
      </c>
      <c r="M117" s="1">
        <f>VLOOKUP($B117&amp;"__wt",'SegEnds_Xtal_BW#'!$A:$Z,13,FALSE)</f>
        <v>50</v>
      </c>
      <c r="N117" s="12">
        <v>57</v>
      </c>
      <c r="O117" s="87">
        <f>VLOOKUP($B117&amp;"__wt",'SegEnds_Xtal_BW#'!$A:$Z,15,FALSE)</f>
        <v>38</v>
      </c>
      <c r="P117" s="1">
        <f>VLOOKUP($B117&amp;"__wt",'SegEnds_Xtal_BW#'!$A:$Z,16,FALSE)</f>
        <v>64</v>
      </c>
      <c r="Q117" s="1">
        <f>VLOOKUP($B117&amp;"__wt",'SegEnds_Xtal_BW#'!$A:$Z,17,FALSE)</f>
        <v>50</v>
      </c>
      <c r="R117" s="1">
        <f>VLOOKUP($B117&amp;"__wt",'SegEnds_Xtal_BW#'!$A:$Z,18,FALSE)</f>
        <v>52</v>
      </c>
      <c r="S117" s="1">
        <f>VLOOKUP($B117&amp;"__wt",'SegEnds_Xtal_BW#'!$A:$Z,19,FALSE)</f>
        <v>31</v>
      </c>
      <c r="T117" s="1">
        <f t="array" ref="T117">INDEX(ICL3_classA!$G$2:$G$39,MATCH(MIN(ABS(AI117-ICL3_classA!$F$2:$F$39)),ABS(AI117-ICL3_classA!$F$2:$F$39),0))</f>
        <v>67</v>
      </c>
      <c r="U117" s="1">
        <f t="array" ref="U117">INDEX(ICL3_classA!$H$2:$H$39,MATCH(MIN(ABS(AI117-ICL3_classA!$F$2:$F$39)),ABS(AI117-ICL3_classA!$F$2:$F$39),0))</f>
        <v>28</v>
      </c>
      <c r="V117" s="1">
        <v>64</v>
      </c>
      <c r="W117" s="1">
        <v>24</v>
      </c>
      <c r="X117" s="1">
        <f>VLOOKUP($B117&amp;"__wt",'SegEnds_Xtal_BW#'!$A:$Z,24,FALSE)</f>
        <v>56</v>
      </c>
      <c r="Y117" s="1">
        <f>VLOOKUP($B117&amp;"__wt",'SegEnds_Xtal_BW#'!$A:$Z,25,FALSE)</f>
        <v>47</v>
      </c>
      <c r="Z117" s="1">
        <f>VLOOKUP($B117&amp;"__wt",'SegEnds_Xtal_BW#'!$A:$Z,26,FALSE)</f>
        <v>60</v>
      </c>
      <c r="AA117" s="27" t="str">
        <f>VLOOKUP(A117,Classification!A:B,2,FALSE)</f>
        <v>A</v>
      </c>
      <c r="AB117" s="1">
        <f>VLOOKUP(A117,'SegEnds_NonXtal_Prot#'!A:AL,10,FALSE)-VLOOKUP(A117,'SegEnds_NonXtal_Prot#'!A:AL,4,FALSE)</f>
        <v>30</v>
      </c>
      <c r="AC117" s="1">
        <f>VLOOKUP(A117,'SegEnds_NonXtal_Prot#'!A:AL,10,FALSE)-VLOOKUP(A117,'SegEnds_NonXtal_Prot#'!A:AL,7,FALSE)</f>
        <v>16</v>
      </c>
      <c r="AD117" s="1">
        <f>VLOOKUP(A117,'SegEnds_NonXtal_Prot#'!A:AL,13,FALSE)-VLOOKUP(A117,'SegEnds_NonXtal_Prot#'!A:AL,10,FALSE)</f>
        <v>20</v>
      </c>
      <c r="AE117" s="1">
        <f>VLOOKUP(A117,'SegEnds_NonXtal_Prot#'!A:AL,16,FALSE)-VLOOKUP(A117,'SegEnds_NonXtal_Prot#'!A:AL,10,FALSE)</f>
        <v>52</v>
      </c>
      <c r="AF117" s="1">
        <f>VLOOKUP(A117,'SegEnds_NonXtal_Prot#'!A:AL,22,FALSE)-VLOOKUP(A117,'SegEnds_NonXtal_Prot#'!A:AL,19,FALSE)</f>
        <v>20</v>
      </c>
      <c r="AG117" s="1">
        <f>VLOOKUP(A117,'SegEnds_NonXtal_Prot#'!A:AL,28,FALSE)-VLOOKUP(A117,'SegEnds_NonXtal_Prot#'!A:AL,25,FALSE)</f>
        <v>25</v>
      </c>
      <c r="AH117" s="1">
        <f>VLOOKUP(A117,'SegEnds_NonXtal_Prot#'!A:AL,28,FALSE)-VLOOKUP(A117,'SegEnds_NonXtal_Prot#'!A:AL,22,FALSE)</f>
        <v>50</v>
      </c>
      <c r="AI117" s="1">
        <f>VLOOKUP(A117,'SegEnds_NonXtal_Prot#'!A:AL,31,FALSE)-VLOOKUP(A117,'SegEnds_NonXtal_Prot#'!A:AL,28,FALSE)</f>
        <v>45</v>
      </c>
      <c r="AJ117" s="1">
        <f>VLOOKUP(A117,'SegEnds_NonXtal_Prot#'!A:AL,34,FALSE)-VLOOKUP(A117,'SegEnds_NonXtal_Prot#'!A:AL,31,FALSE)</f>
        <v>45</v>
      </c>
      <c r="AK117" s="1">
        <f>VLOOKUP(A117,'SegEnds_NonXtal_Prot#'!A:AL,37,FALSE)-VLOOKUP(A117,'SegEnds_NonXtal_Prot#'!A:AL,34,FALSE)</f>
        <v>10</v>
      </c>
      <c r="AL117" s="1" t="str">
        <f>IF(ISERROR(MATCH(A117,'SegEnds_Xtal_Prot#'!B:B, 0)), "NoXtal", "Xtal")</f>
        <v>NoXtal</v>
      </c>
    </row>
    <row r="118" spans="1:38" x14ac:dyDescent="0.2">
      <c r="A118" s="1" t="s">
        <v>382</v>
      </c>
      <c r="B118" s="1" t="str">
        <f>VLOOKUP(A118,Xtal_Templ!A:B,2,FALSE)</f>
        <v>oprk_human</v>
      </c>
      <c r="C118" s="5">
        <f>VLOOKUP($B118&amp;"__wt",'SegEnds_Xtal_BW#'!$A:$Z,3,FALSE)</f>
        <v>30</v>
      </c>
      <c r="D118" s="1">
        <f>VLOOKUP($B118&amp;"__wt",'SegEnds_Xtal_BW#'!$A:$Z,4,FALSE)</f>
        <v>60</v>
      </c>
      <c r="E118" s="1">
        <f>VLOOKUP($B118&amp;"__wt",'SegEnds_Xtal_BW#'!$A:$Z,5,FALSE)</f>
        <v>48</v>
      </c>
      <c r="F118" s="1">
        <f>VLOOKUP($B118&amp;"__wt",'SegEnds_Xtal_BW#'!$A:$Z,6,FALSE)</f>
        <v>51</v>
      </c>
      <c r="G118" s="1">
        <v>37</v>
      </c>
      <c r="H118" s="12">
        <v>66</v>
      </c>
      <c r="I118" s="1">
        <f>VLOOKUP($B118&amp;"__wt",'SegEnds_Xtal_BW#'!$A:$Z,9,FALSE)</f>
        <v>49</v>
      </c>
      <c r="J118" s="1">
        <f>VLOOKUP($B118&amp;"__wt",'SegEnds_Xtal_BW#'!$A:$Z,10,FALSE)</f>
        <v>52</v>
      </c>
      <c r="K118" s="12">
        <v>21</v>
      </c>
      <c r="L118" s="1">
        <f>VLOOKUP($B118&amp;"__wt",'SegEnds_Xtal_BW#'!$A:$Z,12,FALSE)</f>
        <v>56</v>
      </c>
      <c r="M118" s="1">
        <f>VLOOKUP($B118&amp;"__wt",'SegEnds_Xtal_BW#'!$A:$Z,13,FALSE)</f>
        <v>50</v>
      </c>
      <c r="N118" s="12">
        <v>57</v>
      </c>
      <c r="O118" s="87">
        <v>38</v>
      </c>
      <c r="P118" s="1">
        <f>VLOOKUP($B118&amp;"__wt",'SegEnds_Xtal_BW#'!$A:$Z,16,FALSE)</f>
        <v>64</v>
      </c>
      <c r="Q118" s="1">
        <f>VLOOKUP($B118&amp;"__wt",'SegEnds_Xtal_BW#'!$A:$Z,17,FALSE)</f>
        <v>50</v>
      </c>
      <c r="R118" s="1">
        <f>VLOOKUP($B118&amp;"__wt",'SegEnds_Xtal_BW#'!$A:$Z,18,FALSE)</f>
        <v>52</v>
      </c>
      <c r="S118" s="1">
        <f>VLOOKUP($B118&amp;"__wt",'SegEnds_Xtal_BW#'!$A:$Z,19,FALSE)</f>
        <v>30</v>
      </c>
      <c r="T118" s="1">
        <f t="array" ref="T118">INDEX(ICL3_classA!$G$2:$G$39,MATCH(MIN(ABS(AI118-ICL3_classA!$F$2:$F$39)),ABS(AI118-ICL3_classA!$F$2:$F$39),0))</f>
        <v>72</v>
      </c>
      <c r="U118" s="1">
        <f t="array" ref="U118">INDEX(ICL3_classA!$H$2:$H$39,MATCH(MIN(ABS(AI118-ICL3_classA!$F$2:$F$39)),ABS(AI118-ICL3_classA!$F$2:$F$39),0))</f>
        <v>24</v>
      </c>
      <c r="V118" s="1">
        <v>61</v>
      </c>
      <c r="W118" s="131">
        <f>VLOOKUP($B118&amp;"__wt",'SegEnds_Xtal_BW#'!$A:$Z,23,FALSE)</f>
        <v>28</v>
      </c>
      <c r="X118" s="1">
        <f>VLOOKUP($B118&amp;"__wt",'SegEnds_Xtal_BW#'!$A:$Z,24,FALSE)</f>
        <v>56</v>
      </c>
      <c r="Y118" s="1">
        <f>VLOOKUP($B118&amp;"__wt",'SegEnds_Xtal_BW#'!$A:$Z,25,FALSE)</f>
        <v>47</v>
      </c>
      <c r="Z118" s="1">
        <f>VLOOKUP($B118&amp;"__wt",'SegEnds_Xtal_BW#'!$A:$Z,26,FALSE)</f>
        <v>59</v>
      </c>
      <c r="AA118" s="27" t="str">
        <f>VLOOKUP(A118,Classification!A:B,2,FALSE)</f>
        <v>A</v>
      </c>
      <c r="AB118" s="1">
        <f>VLOOKUP(A118,'SegEnds_NonXtal_Prot#'!A:AL,10,FALSE)-VLOOKUP(A118,'SegEnds_NonXtal_Prot#'!A:AL,4,FALSE)</f>
        <v>28</v>
      </c>
      <c r="AC118" s="1">
        <f>VLOOKUP(A118,'SegEnds_NonXtal_Prot#'!A:AL,10,FALSE)-VLOOKUP(A118,'SegEnds_NonXtal_Prot#'!A:AL,7,FALSE)</f>
        <v>15</v>
      </c>
      <c r="AD118" s="1">
        <f>VLOOKUP(A118,'SegEnds_NonXtal_Prot#'!A:AL,13,FALSE)-VLOOKUP(A118,'SegEnds_NonXtal_Prot#'!A:AL,10,FALSE)</f>
        <v>19</v>
      </c>
      <c r="AE118" s="1">
        <f>VLOOKUP(A118,'SegEnds_NonXtal_Prot#'!A:AL,16,FALSE)-VLOOKUP(A118,'SegEnds_NonXtal_Prot#'!A:AL,10,FALSE)</f>
        <v>51</v>
      </c>
      <c r="AF118" s="1">
        <f>VLOOKUP(A118,'SegEnds_NonXtal_Prot#'!A:AL,22,FALSE)-VLOOKUP(A118,'SegEnds_NonXtal_Prot#'!A:AL,19,FALSE)</f>
        <v>20</v>
      </c>
      <c r="AG118" s="1">
        <f>VLOOKUP(A118,'SegEnds_NonXtal_Prot#'!A:AL,28,FALSE)-VLOOKUP(A118,'SegEnds_NonXtal_Prot#'!A:AL,25,FALSE)</f>
        <v>27</v>
      </c>
      <c r="AH118" s="1">
        <f>VLOOKUP(A118,'SegEnds_NonXtal_Prot#'!A:AL,28,FALSE)-VLOOKUP(A118,'SegEnds_NonXtal_Prot#'!A:AL,22,FALSE)</f>
        <v>50</v>
      </c>
      <c r="AI118" s="1">
        <f>VLOOKUP(A118,'SegEnds_NonXtal_Prot#'!A:AL,31,FALSE)-VLOOKUP(A118,'SegEnds_NonXtal_Prot#'!A:AL,28,FALSE)</f>
        <v>54</v>
      </c>
      <c r="AJ118" s="1">
        <f>VLOOKUP(A118,'SegEnds_NonXtal_Prot#'!A:AL,34,FALSE)-VLOOKUP(A118,'SegEnds_NonXtal_Prot#'!A:AL,31,FALSE)</f>
        <v>38</v>
      </c>
      <c r="AK118" s="1">
        <f>VLOOKUP(A118,'SegEnds_NonXtal_Prot#'!A:AL,37,FALSE)-VLOOKUP(A118,'SegEnds_NonXtal_Prot#'!A:AL,34,FALSE)</f>
        <v>10</v>
      </c>
      <c r="AL118" s="1" t="str">
        <f>IF(ISERROR(MATCH(A118,'SegEnds_Xtal_Prot#'!B:B, 0)), "NoXtal", "Xtal")</f>
        <v>NoXtal</v>
      </c>
    </row>
    <row r="119" spans="1:38" x14ac:dyDescent="0.2">
      <c r="A119" s="1" t="s">
        <v>467</v>
      </c>
      <c r="B119" s="1" t="str">
        <f>VLOOKUP(A119,Xtal_Templ!A:B,2,FALSE)</f>
        <v>ta2r_human</v>
      </c>
      <c r="C119" s="5">
        <f>VLOOKUP($B119&amp;"__wt",'SegEnds_Xtal_BW#'!$A:$Z,3,FALSE)</f>
        <v>35</v>
      </c>
      <c r="D119" s="1">
        <f>VLOOKUP($B119&amp;"__wt",'SegEnds_Xtal_BW#'!$A:$Z,4,FALSE)</f>
        <v>62</v>
      </c>
      <c r="E119" s="1" t="str">
        <f>VLOOKUP($B119&amp;"__wt",'SegEnds_Xtal_BW#'!$A:$Z,5,FALSE)</f>
        <v>-</v>
      </c>
      <c r="F119" s="1" t="str">
        <f>VLOOKUP($B119&amp;"__wt",'SegEnds_Xtal_BW#'!$A:$Z,6,FALSE)</f>
        <v>-</v>
      </c>
      <c r="G119" s="1">
        <v>37</v>
      </c>
      <c r="H119" s="12">
        <v>67</v>
      </c>
      <c r="I119" s="1">
        <f>VLOOKUP($B119&amp;"__wt",'SegEnds_Xtal_BW#'!$A:$Z,9,FALSE)</f>
        <v>49</v>
      </c>
      <c r="J119" s="1">
        <f>VLOOKUP($B119&amp;"__wt",'SegEnds_Xtal_BW#'!$A:$Z,10,FALSE)</f>
        <v>53</v>
      </c>
      <c r="K119" s="12">
        <v>18</v>
      </c>
      <c r="L119" s="1">
        <f>VLOOKUP($B119&amp;"__wt",'SegEnds_Xtal_BW#'!$A:$Z,12,FALSE)</f>
        <v>56</v>
      </c>
      <c r="M119" s="1">
        <f>VLOOKUP($B119&amp;"__wt",'SegEnds_Xtal_BW#'!$A:$Z,13,FALSE)</f>
        <v>50</v>
      </c>
      <c r="N119" s="12">
        <v>57</v>
      </c>
      <c r="O119" s="87">
        <f>VLOOKUP($B119&amp;"__wt",'SegEnds_Xtal_BW#'!$A:$Z,15,FALSE)</f>
        <v>38</v>
      </c>
      <c r="P119" s="1">
        <f>VLOOKUP($B119&amp;"__wt",'SegEnds_Xtal_BW#'!$A:$Z,16,FALSE)</f>
        <v>63</v>
      </c>
      <c r="Q119" s="1">
        <f>VLOOKUP($B119&amp;"__wt",'SegEnds_Xtal_BW#'!$A:$Z,17,FALSE)</f>
        <v>50</v>
      </c>
      <c r="R119" s="1">
        <f>VLOOKUP($B119&amp;"__wt",'SegEnds_Xtal_BW#'!$A:$Z,18,FALSE)</f>
        <v>52</v>
      </c>
      <c r="S119" s="1">
        <f>VLOOKUP($B119&amp;"__wt",'SegEnds_Xtal_BW#'!$A:$Z,19,FALSE)</f>
        <v>33</v>
      </c>
      <c r="T119" s="1">
        <f t="array" ref="T119">INDEX(ICL3_classA!$G$2:$G$39,MATCH(MIN(ABS(AI119-ICL3_classA!$F$2:$F$39)),ABS(AI119-ICL3_classA!$F$2:$F$39),0))</f>
        <v>72</v>
      </c>
      <c r="U119" s="1">
        <f t="array" ref="U119">INDEX(ICL3_classA!$H$2:$H$39,MATCH(MIN(ABS(AI119-ICL3_classA!$F$2:$F$39)),ABS(AI119-ICL3_classA!$F$2:$F$39),0))</f>
        <v>24</v>
      </c>
      <c r="V119" s="108">
        <v>61</v>
      </c>
      <c r="W119" s="108">
        <v>28</v>
      </c>
      <c r="X119" s="1">
        <f>VLOOKUP($B119&amp;"__wt",'SegEnds_Xtal_BW#'!$A:$Z,24,FALSE)</f>
        <v>56</v>
      </c>
      <c r="Y119" s="1">
        <f>VLOOKUP($B119&amp;"__wt",'SegEnds_Xtal_BW#'!$A:$Z,25,FALSE)</f>
        <v>47</v>
      </c>
      <c r="Z119" s="1">
        <f>VLOOKUP($B119&amp;"__wt",'SegEnds_Xtal_BW#'!$A:$Z,26,FALSE)</f>
        <v>66</v>
      </c>
      <c r="AA119" s="27" t="str">
        <f>VLOOKUP(A119,Classification!A:B,2,FALSE)</f>
        <v>A</v>
      </c>
      <c r="AB119" s="1">
        <f>VLOOKUP(A119,'SegEnds_NonXtal_Prot#'!A:AL,10,FALSE)-VLOOKUP(A119,'SegEnds_NonXtal_Prot#'!A:AL,4,FALSE)</f>
        <v>32</v>
      </c>
      <c r="AC119" s="1" t="e">
        <f>VLOOKUP(A119,'SegEnds_NonXtal_Prot#'!A:AL,10,FALSE)-VLOOKUP(A119,'SegEnds_NonXtal_Prot#'!A:AL,7,FALSE)</f>
        <v>#VALUE!</v>
      </c>
      <c r="AD119" s="1">
        <f>VLOOKUP(A119,'SegEnds_NonXtal_Prot#'!A:AL,13,FALSE)-VLOOKUP(A119,'SegEnds_NonXtal_Prot#'!A:AL,10,FALSE)</f>
        <v>21</v>
      </c>
      <c r="AE119" s="1">
        <f>VLOOKUP(A119,'SegEnds_NonXtal_Prot#'!A:AL,16,FALSE)-VLOOKUP(A119,'SegEnds_NonXtal_Prot#'!A:AL,10,FALSE)</f>
        <v>56</v>
      </c>
      <c r="AF119" s="1">
        <f>VLOOKUP(A119,'SegEnds_NonXtal_Prot#'!A:AL,22,FALSE)-VLOOKUP(A119,'SegEnds_NonXtal_Prot#'!A:AL,19,FALSE)</f>
        <v>20</v>
      </c>
      <c r="AG119" s="1">
        <f>VLOOKUP(A119,'SegEnds_NonXtal_Prot#'!A:AL,28,FALSE)-VLOOKUP(A119,'SegEnds_NonXtal_Prot#'!A:AL,25,FALSE)</f>
        <v>24</v>
      </c>
      <c r="AH119" s="1">
        <f>VLOOKUP(A119,'SegEnds_NonXtal_Prot#'!A:AL,28,FALSE)-VLOOKUP(A119,'SegEnds_NonXtal_Prot#'!A:AL,22,FALSE)</f>
        <v>50</v>
      </c>
      <c r="AI119" s="1">
        <f>VLOOKUP(A119,'SegEnds_NonXtal_Prot#'!A:AL,31,FALSE)-VLOOKUP(A119,'SegEnds_NonXtal_Prot#'!A:AL,28,FALSE)</f>
        <v>53</v>
      </c>
      <c r="AJ119" s="1">
        <f>VLOOKUP(A119,'SegEnds_NonXtal_Prot#'!A:AL,34,FALSE)-VLOOKUP(A119,'SegEnds_NonXtal_Prot#'!A:AL,31,FALSE)</f>
        <v>45</v>
      </c>
      <c r="AK119" s="1">
        <f>VLOOKUP(A119,'SegEnds_NonXtal_Prot#'!A:AL,37,FALSE)-VLOOKUP(A119,'SegEnds_NonXtal_Prot#'!A:AL,34,FALSE)</f>
        <v>10</v>
      </c>
      <c r="AL119" s="1" t="str">
        <f>IF(ISERROR(MATCH(A119,'SegEnds_Xtal_Prot#'!B:B, 0)), "NoXtal", "Xtal")</f>
        <v>Xtal</v>
      </c>
    </row>
    <row r="120" spans="1:38" x14ac:dyDescent="0.2">
      <c r="A120" s="1" t="s">
        <v>187</v>
      </c>
      <c r="B120" s="1" t="str">
        <f>VLOOKUP(A120,Xtal_Templ!A:B,2,FALSE)</f>
        <v>ccr7_human</v>
      </c>
      <c r="C120" s="5">
        <f>VLOOKUP($B120&amp;"__wt",'SegEnds_Xtal_BW#'!$A:$Z,3,FALSE)</f>
        <v>29</v>
      </c>
      <c r="D120" s="1">
        <f>VLOOKUP($B120&amp;"__wt",'SegEnds_Xtal_BW#'!$A:$Z,4,FALSE)</f>
        <v>60</v>
      </c>
      <c r="E120" s="1">
        <f>VLOOKUP($B120&amp;"__wt",'SegEnds_Xtal_BW#'!$A:$Z,5,FALSE)</f>
        <v>48</v>
      </c>
      <c r="F120" s="1">
        <f>VLOOKUP($B120&amp;"__wt",'SegEnds_Xtal_BW#'!$A:$Z,6,FALSE)</f>
        <v>51</v>
      </c>
      <c r="G120" s="1">
        <v>37</v>
      </c>
      <c r="H120" s="12">
        <v>66</v>
      </c>
      <c r="I120" s="1">
        <f>VLOOKUP($B120&amp;"__wt",'SegEnds_Xtal_BW#'!$A:$Z,9,FALSE)</f>
        <v>49</v>
      </c>
      <c r="J120" s="1">
        <f>VLOOKUP($B120&amp;"__wt",'SegEnds_Xtal_BW#'!$A:$Z,10,FALSE)</f>
        <v>52</v>
      </c>
      <c r="K120" s="12">
        <v>24</v>
      </c>
      <c r="L120" s="1">
        <f>VLOOKUP($B120&amp;"__wt",'SegEnds_Xtal_BW#'!$A:$Z,12,FALSE)</f>
        <v>56</v>
      </c>
      <c r="M120" s="1">
        <f>VLOOKUP($B120&amp;"__wt",'SegEnds_Xtal_BW#'!$A:$Z,13,FALSE)</f>
        <v>50</v>
      </c>
      <c r="N120" s="12">
        <v>57</v>
      </c>
      <c r="O120" s="87">
        <v>38</v>
      </c>
      <c r="P120" s="1">
        <f>VLOOKUP($B120&amp;"__wt",'SegEnds_Xtal_BW#'!$A:$Z,16,FALSE)</f>
        <v>64</v>
      </c>
      <c r="Q120" s="1">
        <f>VLOOKUP($B120&amp;"__wt",'SegEnds_Xtal_BW#'!$A:$Z,17,FALSE)</f>
        <v>50</v>
      </c>
      <c r="R120" s="1">
        <f>VLOOKUP($B120&amp;"__wt",'SegEnds_Xtal_BW#'!$A:$Z,18,FALSE)</f>
        <v>52</v>
      </c>
      <c r="S120" s="1">
        <f>VLOOKUP($B120&amp;"__wt",'SegEnds_Xtal_BW#'!$A:$Z,19,FALSE)</f>
        <v>33</v>
      </c>
      <c r="T120" s="1">
        <f t="array" ref="T120">INDEX(ICL3_classA!$G$2:$G$39,MATCH(MIN(ABS(AI120-ICL3_classA!$F$2:$F$39)),ABS(AI120-ICL3_classA!$F$2:$F$39),0))</f>
        <v>68</v>
      </c>
      <c r="U120" s="1">
        <f t="array" ref="U120">INDEX(ICL3_classA!$H$2:$H$39,MATCH(MIN(ABS(AI120-ICL3_classA!$F$2:$F$39)),ABS(AI120-ICL3_classA!$F$2:$F$39),0))</f>
        <v>30</v>
      </c>
      <c r="V120" s="1">
        <v>64</v>
      </c>
      <c r="W120" s="1">
        <v>24</v>
      </c>
      <c r="X120" s="1">
        <f>VLOOKUP($B120&amp;"__wt",'SegEnds_Xtal_BW#'!$A:$Z,24,FALSE)</f>
        <v>56</v>
      </c>
      <c r="Y120" s="1">
        <f>VLOOKUP($B120&amp;"__wt",'SegEnds_Xtal_BW#'!$A:$Z,25,FALSE)</f>
        <v>47</v>
      </c>
      <c r="Z120" s="1">
        <f>VLOOKUP($B120&amp;"__wt",'SegEnds_Xtal_BW#'!$A:$Z,26,FALSE)</f>
        <v>59</v>
      </c>
      <c r="AA120" s="27" t="str">
        <f>VLOOKUP(A120,Classification!A:B,2,FALSE)</f>
        <v>A</v>
      </c>
      <c r="AB120" s="1">
        <f>VLOOKUP(A120,'SegEnds_NonXtal_Prot#'!A:AL,10,FALSE)-VLOOKUP(A120,'SegEnds_NonXtal_Prot#'!A:AL,4,FALSE)</f>
        <v>28</v>
      </c>
      <c r="AC120" s="1">
        <f>VLOOKUP(A120,'SegEnds_NonXtal_Prot#'!A:AL,10,FALSE)-VLOOKUP(A120,'SegEnds_NonXtal_Prot#'!A:AL,7,FALSE)</f>
        <v>15</v>
      </c>
      <c r="AD120" s="1">
        <f>VLOOKUP(A120,'SegEnds_NonXtal_Prot#'!A:AL,13,FALSE)-VLOOKUP(A120,'SegEnds_NonXtal_Prot#'!A:AL,10,FALSE)</f>
        <v>18</v>
      </c>
      <c r="AE120" s="1">
        <f>VLOOKUP(A120,'SegEnds_NonXtal_Prot#'!A:AL,16,FALSE)-VLOOKUP(A120,'SegEnds_NonXtal_Prot#'!A:AL,10,FALSE)</f>
        <v>50</v>
      </c>
      <c r="AF120" s="1">
        <f>VLOOKUP(A120,'SegEnds_NonXtal_Prot#'!A:AL,22,FALSE)-VLOOKUP(A120,'SegEnds_NonXtal_Prot#'!A:AL,19,FALSE)</f>
        <v>20</v>
      </c>
      <c r="AG120" s="1">
        <f>VLOOKUP(A120,'SegEnds_NonXtal_Prot#'!A:AL,28,FALSE)-VLOOKUP(A120,'SegEnds_NonXtal_Prot#'!A:AL,25,FALSE)</f>
        <v>24</v>
      </c>
      <c r="AH120" s="1">
        <f>VLOOKUP(A120,'SegEnds_NonXtal_Prot#'!A:AL,28,FALSE)-VLOOKUP(A120,'SegEnds_NonXtal_Prot#'!A:AL,22,FALSE)</f>
        <v>51</v>
      </c>
      <c r="AI120" s="1">
        <f>VLOOKUP(A120,'SegEnds_NonXtal_Prot#'!A:AL,31,FALSE)-VLOOKUP(A120,'SegEnds_NonXtal_Prot#'!A:AL,28,FALSE)</f>
        <v>43</v>
      </c>
      <c r="AJ120" s="1">
        <f>VLOOKUP(A120,'SegEnds_NonXtal_Prot#'!A:AL,34,FALSE)-VLOOKUP(A120,'SegEnds_NonXtal_Prot#'!A:AL,31,FALSE)</f>
        <v>45</v>
      </c>
      <c r="AK120" s="1">
        <f>VLOOKUP(A120,'SegEnds_NonXtal_Prot#'!A:AL,37,FALSE)-VLOOKUP(A120,'SegEnds_NonXtal_Prot#'!A:AL,34,FALSE)</f>
        <v>10</v>
      </c>
      <c r="AL120" s="1" t="str">
        <f>IF(ISERROR(MATCH(A120,'SegEnds_Xtal_Prot#'!B:B, 0)), "NoXtal", "Xtal")</f>
        <v>NoXtal</v>
      </c>
    </row>
    <row r="121" spans="1:38" x14ac:dyDescent="0.2">
      <c r="A121" s="1" t="s">
        <v>207</v>
      </c>
      <c r="B121" s="1" t="str">
        <f>VLOOKUP(A121,Xtal_Templ!A:B,2,FALSE)</f>
        <v>ox2r_human</v>
      </c>
      <c r="C121" s="5">
        <f>VLOOKUP($B121&amp;"__wt",'SegEnds_Xtal_BW#'!$A:$Z,3,FALSE)</f>
        <v>31</v>
      </c>
      <c r="D121" s="1">
        <f>VLOOKUP($B121&amp;"__wt",'SegEnds_Xtal_BW#'!$A:$Z,4,FALSE)</f>
        <v>60</v>
      </c>
      <c r="E121" s="1">
        <f>VLOOKUP($B121&amp;"__wt",'SegEnds_Xtal_BW#'!$A:$Z,5,FALSE)</f>
        <v>48</v>
      </c>
      <c r="F121" s="1">
        <f>VLOOKUP($B121&amp;"__wt",'SegEnds_Xtal_BW#'!$A:$Z,6,FALSE)</f>
        <v>51</v>
      </c>
      <c r="G121" s="1">
        <v>37</v>
      </c>
      <c r="H121" s="12">
        <f>VLOOKUP($B121&amp;"__wt",'SegEnds_Xtal_BW#'!$A:$Z,8,FALSE)</f>
        <v>68</v>
      </c>
      <c r="I121" s="1">
        <f>VLOOKUP($B121&amp;"__wt",'SegEnds_Xtal_BW#'!$A:$Z,9,FALSE)</f>
        <v>49</v>
      </c>
      <c r="J121" s="1">
        <f>VLOOKUP($B121&amp;"__wt",'SegEnds_Xtal_BW#'!$A:$Z,10,FALSE)</f>
        <v>52</v>
      </c>
      <c r="K121" s="12">
        <v>18</v>
      </c>
      <c r="L121" s="1">
        <f>VLOOKUP($B121&amp;"__wt",'SegEnds_Xtal_BW#'!$A:$Z,12,FALSE)</f>
        <v>56</v>
      </c>
      <c r="M121" s="1">
        <f>VLOOKUP($B121&amp;"__wt",'SegEnds_Xtal_BW#'!$A:$Z,13,FALSE)</f>
        <v>50</v>
      </c>
      <c r="N121" s="12">
        <v>57</v>
      </c>
      <c r="O121" s="87">
        <f>VLOOKUP($B121&amp;"__wt",'SegEnds_Xtal_BW#'!$A:$Z,15,FALSE)</f>
        <v>38</v>
      </c>
      <c r="P121" s="1">
        <f>VLOOKUP($B121&amp;"__wt",'SegEnds_Xtal_BW#'!$A:$Z,16,FALSE)</f>
        <v>64</v>
      </c>
      <c r="Q121" s="1">
        <f>VLOOKUP($B121&amp;"__wt",'SegEnds_Xtal_BW#'!$A:$Z,17,FALSE)</f>
        <v>50</v>
      </c>
      <c r="R121" s="1">
        <f>VLOOKUP($B121&amp;"__wt",'SegEnds_Xtal_BW#'!$A:$Z,18,FALSE)</f>
        <v>52</v>
      </c>
      <c r="S121" s="1">
        <f>VLOOKUP($B121&amp;"__wt",'SegEnds_Xtal_BW#'!$A:$Z,19,FALSE)</f>
        <v>33</v>
      </c>
      <c r="T121" s="1">
        <f t="array" ref="T121">INDEX(ICL3_classA!$G$2:$G$39,MATCH(MIN(ABS(AI121-ICL3_classA!$F$2:$F$39)),ABS(AI121-ICL3_classA!$F$2:$F$39),0))</f>
        <v>76</v>
      </c>
      <c r="U121" s="1">
        <f t="array" ref="U121">INDEX(ICL3_classA!$H$2:$H$39,MATCH(MIN(ABS(AI121-ICL3_classA!$F$2:$F$39)),ABS(AI121-ICL3_classA!$F$2:$F$39),0))</f>
        <v>24</v>
      </c>
      <c r="V121" s="1">
        <v>61</v>
      </c>
      <c r="W121" s="131">
        <f>VLOOKUP($B121&amp;"__wt",'SegEnds_Xtal_BW#'!$A:$Z,23,FALSE)</f>
        <v>27</v>
      </c>
      <c r="X121" s="1">
        <f>VLOOKUP($B121&amp;"__wt",'SegEnds_Xtal_BW#'!$A:$Z,24,FALSE)</f>
        <v>56</v>
      </c>
      <c r="Y121" s="1">
        <f>VLOOKUP($B121&amp;"__wt",'SegEnds_Xtal_BW#'!$A:$Z,25,FALSE)</f>
        <v>47</v>
      </c>
      <c r="Z121" s="1">
        <f>VLOOKUP($B121&amp;"__wt",'SegEnds_Xtal_BW#'!$A:$Z,26,FALSE)</f>
        <v>63</v>
      </c>
      <c r="AA121" s="27" t="str">
        <f>VLOOKUP(A121,Classification!A:B,2,FALSE)</f>
        <v>A</v>
      </c>
      <c r="AB121" s="1">
        <f>VLOOKUP(A121,'SegEnds_NonXtal_Prot#'!A:AL,10,FALSE)-VLOOKUP(A121,'SegEnds_NonXtal_Prot#'!A:AL,4,FALSE)</f>
        <v>28</v>
      </c>
      <c r="AC121" s="1">
        <f>VLOOKUP(A121,'SegEnds_NonXtal_Prot#'!A:AL,10,FALSE)-VLOOKUP(A121,'SegEnds_NonXtal_Prot#'!A:AL,7,FALSE)</f>
        <v>15</v>
      </c>
      <c r="AD121" s="1">
        <f>VLOOKUP(A121,'SegEnds_NonXtal_Prot#'!A:AL,13,FALSE)-VLOOKUP(A121,'SegEnds_NonXtal_Prot#'!A:AL,10,FALSE)</f>
        <v>20</v>
      </c>
      <c r="AE121" s="1">
        <f>VLOOKUP(A121,'SegEnds_NonXtal_Prot#'!A:AL,16,FALSE)-VLOOKUP(A121,'SegEnds_NonXtal_Prot#'!A:AL,10,FALSE)</f>
        <v>52</v>
      </c>
      <c r="AF121" s="1">
        <f>VLOOKUP(A121,'SegEnds_NonXtal_Prot#'!A:AL,22,FALSE)-VLOOKUP(A121,'SegEnds_NonXtal_Prot#'!A:AL,19,FALSE)</f>
        <v>20</v>
      </c>
      <c r="AG121" s="1">
        <f>VLOOKUP(A121,'SegEnds_NonXtal_Prot#'!A:AL,28,FALSE)-VLOOKUP(A121,'SegEnds_NonXtal_Prot#'!A:AL,25,FALSE)</f>
        <v>25</v>
      </c>
      <c r="AH121" s="1">
        <f>VLOOKUP(A121,'SegEnds_NonXtal_Prot#'!A:AL,28,FALSE)-VLOOKUP(A121,'SegEnds_NonXtal_Prot#'!A:AL,22,FALSE)</f>
        <v>51</v>
      </c>
      <c r="AI121" s="1">
        <f>VLOOKUP(A121,'SegEnds_NonXtal_Prot#'!A:AL,31,FALSE)-VLOOKUP(A121,'SegEnds_NonXtal_Prot#'!A:AL,28,FALSE)</f>
        <v>118</v>
      </c>
      <c r="AJ121" s="1">
        <f>VLOOKUP(A121,'SegEnds_NonXtal_Prot#'!A:AL,34,FALSE)-VLOOKUP(A121,'SegEnds_NonXtal_Prot#'!A:AL,31,FALSE)</f>
        <v>39</v>
      </c>
      <c r="AK121" s="1">
        <f>VLOOKUP(A121,'SegEnds_NonXtal_Prot#'!A:AL,37,FALSE)-VLOOKUP(A121,'SegEnds_NonXtal_Prot#'!A:AL,34,FALSE)</f>
        <v>10</v>
      </c>
      <c r="AL121" s="1" t="str">
        <f>IF(ISERROR(MATCH(A121,'SegEnds_Xtal_Prot#'!B:B, 0)), "NoXtal", "Xtal")</f>
        <v>NoXtal</v>
      </c>
    </row>
    <row r="122" spans="1:38" x14ac:dyDescent="0.2">
      <c r="A122" s="1" t="s">
        <v>252</v>
      </c>
      <c r="B122" s="1" t="str">
        <f>VLOOKUP(A122,Xtal_Templ!A:B,2,FALSE)</f>
        <v>ptafr_human</v>
      </c>
      <c r="C122" s="5">
        <f>VLOOKUP($B122&amp;"__wt",'SegEnds_Xtal_BW#'!$A:$Z,3,FALSE)</f>
        <v>27</v>
      </c>
      <c r="D122" s="1">
        <f>VLOOKUP($B122&amp;"__wt",'SegEnds_Xtal_BW#'!$A:$Z,4,FALSE)</f>
        <v>61</v>
      </c>
      <c r="E122" s="1" t="str">
        <f>VLOOKUP($B122&amp;"__wt",'SegEnds_Xtal_BW#'!$A:$Z,5,FALSE)</f>
        <v>-</v>
      </c>
      <c r="F122" s="1" t="str">
        <f>VLOOKUP($B122&amp;"__wt",'SegEnds_Xtal_BW#'!$A:$Z,6,FALSE)</f>
        <v>-</v>
      </c>
      <c r="G122" s="1">
        <v>37</v>
      </c>
      <c r="H122" s="12">
        <f>VLOOKUP($B122&amp;"__wt",'SegEnds_Xtal_BW#'!$A:$Z,8,FALSE)</f>
        <v>67</v>
      </c>
      <c r="I122" s="1">
        <f>VLOOKUP($B122&amp;"__wt",'SegEnds_Xtal_BW#'!$A:$Z,9,FALSE)</f>
        <v>49</v>
      </c>
      <c r="J122" s="1">
        <f>VLOOKUP($B122&amp;"__wt",'SegEnds_Xtal_BW#'!$A:$Z,10,FALSE)</f>
        <v>52</v>
      </c>
      <c r="K122" s="12">
        <v>18</v>
      </c>
      <c r="L122" s="1">
        <f>VLOOKUP($B122&amp;"__wt",'SegEnds_Xtal_BW#'!$A:$Z,12,FALSE)</f>
        <v>56</v>
      </c>
      <c r="M122" s="1">
        <f>VLOOKUP($B122&amp;"__wt",'SegEnds_Xtal_BW#'!$A:$Z,13,FALSE)</f>
        <v>50</v>
      </c>
      <c r="N122" s="12">
        <f>VLOOKUP($B122&amp;"__wt",'SegEnds_Xtal_BW#'!$A:$Z,14,FALSE)</f>
        <v>57</v>
      </c>
      <c r="O122" s="87">
        <f>VLOOKUP($B122&amp;"__wt",'SegEnds_Xtal_BW#'!$A:$Z,15,FALSE)</f>
        <v>38</v>
      </c>
      <c r="P122" s="1">
        <f>VLOOKUP($B122&amp;"__wt",'SegEnds_Xtal_BW#'!$A:$Z,16,FALSE)</f>
        <v>63</v>
      </c>
      <c r="Q122" s="1">
        <f>VLOOKUP($B122&amp;"__wt",'SegEnds_Xtal_BW#'!$A:$Z,17,FALSE)</f>
        <v>50</v>
      </c>
      <c r="R122" s="1">
        <f>VLOOKUP($B122&amp;"__wt",'SegEnds_Xtal_BW#'!$A:$Z,18,FALSE)</f>
        <v>52</v>
      </c>
      <c r="S122" s="1">
        <f>VLOOKUP($B122&amp;"__wt",'SegEnds_Xtal_BW#'!$A:$Z,19,FALSE)</f>
        <v>33</v>
      </c>
      <c r="T122" s="1">
        <f t="array" ref="T122">INDEX(ICL3_classA!$G$2:$G$39,MATCH(MIN(ABS(AI122-ICL3_classA!$F$2:$F$39)),ABS(AI122-ICL3_classA!$F$2:$F$39),0))</f>
        <v>68</v>
      </c>
      <c r="U122" s="1">
        <f t="array" ref="U122">INDEX(ICL3_classA!$H$2:$H$39,MATCH(MIN(ABS(AI122-ICL3_classA!$F$2:$F$39)),ABS(AI122-ICL3_classA!$F$2:$F$39),0))</f>
        <v>23</v>
      </c>
      <c r="V122" s="1">
        <v>61</v>
      </c>
      <c r="W122" s="1">
        <v>24</v>
      </c>
      <c r="X122" s="1">
        <f>VLOOKUP($B122&amp;"__wt",'SegEnds_Xtal_BW#'!$A:$Z,24,FALSE)</f>
        <v>59</v>
      </c>
      <c r="Y122" s="1">
        <f>VLOOKUP($B122&amp;"__wt",'SegEnds_Xtal_BW#'!$A:$Z,25,FALSE)</f>
        <v>50</v>
      </c>
      <c r="Z122" s="1">
        <f>VLOOKUP($B122&amp;"__wt",'SegEnds_Xtal_BW#'!$A:$Z,26,FALSE)</f>
        <v>63</v>
      </c>
      <c r="AA122" s="27" t="str">
        <f>VLOOKUP(A122,Classification!A:B,2,FALSE)</f>
        <v>A</v>
      </c>
      <c r="AB122" s="1">
        <f>VLOOKUP(A122,'SegEnds_NonXtal_Prot#'!A:AL,10,FALSE)-VLOOKUP(A122,'SegEnds_NonXtal_Prot#'!A:AL,4,FALSE)</f>
        <v>28</v>
      </c>
      <c r="AC122" s="1" t="e">
        <f>VLOOKUP(A122,'SegEnds_NonXtal_Prot#'!A:AL,10,FALSE)-VLOOKUP(A122,'SegEnds_NonXtal_Prot#'!A:AL,7,FALSE)</f>
        <v>#VALUE!</v>
      </c>
      <c r="AD122" s="1">
        <f>VLOOKUP(A122,'SegEnds_NonXtal_Prot#'!A:AL,13,FALSE)-VLOOKUP(A122,'SegEnds_NonXtal_Prot#'!A:AL,10,FALSE)</f>
        <v>20</v>
      </c>
      <c r="AE122" s="1">
        <f>VLOOKUP(A122,'SegEnds_NonXtal_Prot#'!A:AL,16,FALSE)-VLOOKUP(A122,'SegEnds_NonXtal_Prot#'!A:AL,10,FALSE)</f>
        <v>52</v>
      </c>
      <c r="AF122" s="1">
        <f>VLOOKUP(A122,'SegEnds_NonXtal_Prot#'!A:AL,22,FALSE)-VLOOKUP(A122,'SegEnds_NonXtal_Prot#'!A:AL,19,FALSE)</f>
        <v>20</v>
      </c>
      <c r="AG122" s="1">
        <f>VLOOKUP(A122,'SegEnds_NonXtal_Prot#'!A:AL,28,FALSE)-VLOOKUP(A122,'SegEnds_NonXtal_Prot#'!A:AL,25,FALSE)</f>
        <v>26</v>
      </c>
      <c r="AH122" s="1">
        <f>VLOOKUP(A122,'SegEnds_NonXtal_Prot#'!A:AL,28,FALSE)-VLOOKUP(A122,'SegEnds_NonXtal_Prot#'!A:AL,22,FALSE)</f>
        <v>51</v>
      </c>
      <c r="AI122" s="1">
        <f>VLOOKUP(A122,'SegEnds_NonXtal_Prot#'!A:AL,31,FALSE)-VLOOKUP(A122,'SegEnds_NonXtal_Prot#'!A:AL,28,FALSE)</f>
        <v>51</v>
      </c>
      <c r="AJ122" s="1">
        <f>VLOOKUP(A122,'SegEnds_NonXtal_Prot#'!A:AL,34,FALSE)-VLOOKUP(A122,'SegEnds_NonXtal_Prot#'!A:AL,31,FALSE)</f>
        <v>43</v>
      </c>
      <c r="AK122" s="1">
        <f>VLOOKUP(A122,'SegEnds_NonXtal_Prot#'!A:AL,37,FALSE)-VLOOKUP(A122,'SegEnds_NonXtal_Prot#'!A:AL,34,FALSE)</f>
        <v>10</v>
      </c>
      <c r="AL122" s="1" t="str">
        <f>IF(ISERROR(MATCH(A122,'SegEnds_Xtal_Prot#'!B:B, 0)), "NoXtal", "Xtal")</f>
        <v>NoXtal</v>
      </c>
    </row>
    <row r="123" spans="1:38" x14ac:dyDescent="0.2">
      <c r="A123" s="1" t="s">
        <v>256</v>
      </c>
      <c r="B123" s="1" t="str">
        <f>VLOOKUP(A123,Xtal_Templ!A:B,2,FALSE)</f>
        <v>ptafr_human</v>
      </c>
      <c r="C123" s="5">
        <f>VLOOKUP($B123&amp;"__wt",'SegEnds_Xtal_BW#'!$A:$Z,3,FALSE)</f>
        <v>27</v>
      </c>
      <c r="D123" s="1">
        <f>VLOOKUP($B123&amp;"__wt",'SegEnds_Xtal_BW#'!$A:$Z,4,FALSE)</f>
        <v>61</v>
      </c>
      <c r="E123" s="1" t="str">
        <f>VLOOKUP($B123&amp;"__wt",'SegEnds_Xtal_BW#'!$A:$Z,5,FALSE)</f>
        <v>-</v>
      </c>
      <c r="F123" s="1" t="str">
        <f>VLOOKUP($B123&amp;"__wt",'SegEnds_Xtal_BW#'!$A:$Z,6,FALSE)</f>
        <v>-</v>
      </c>
      <c r="G123" s="1">
        <v>37</v>
      </c>
      <c r="H123" s="12">
        <f>VLOOKUP($B123&amp;"__wt",'SegEnds_Xtal_BW#'!$A:$Z,8,FALSE)</f>
        <v>67</v>
      </c>
      <c r="I123" s="1">
        <f>VLOOKUP($B123&amp;"__wt",'SegEnds_Xtal_BW#'!$A:$Z,9,FALSE)</f>
        <v>49</v>
      </c>
      <c r="J123" s="1">
        <f>VLOOKUP($B123&amp;"__wt",'SegEnds_Xtal_BW#'!$A:$Z,10,FALSE)</f>
        <v>52</v>
      </c>
      <c r="K123" s="12">
        <v>18</v>
      </c>
      <c r="L123" s="1">
        <f>VLOOKUP($B123&amp;"__wt",'SegEnds_Xtal_BW#'!$A:$Z,12,FALSE)</f>
        <v>56</v>
      </c>
      <c r="M123" s="1">
        <f>VLOOKUP($B123&amp;"__wt",'SegEnds_Xtal_BW#'!$A:$Z,13,FALSE)</f>
        <v>50</v>
      </c>
      <c r="N123" s="12">
        <v>57</v>
      </c>
      <c r="O123" s="87">
        <f>VLOOKUP($B123&amp;"__wt",'SegEnds_Xtal_BW#'!$A:$Z,15,FALSE)</f>
        <v>38</v>
      </c>
      <c r="P123" s="1">
        <f>VLOOKUP($B123&amp;"__wt",'SegEnds_Xtal_BW#'!$A:$Z,16,FALSE)</f>
        <v>63</v>
      </c>
      <c r="Q123" s="1">
        <f>VLOOKUP($B123&amp;"__wt",'SegEnds_Xtal_BW#'!$A:$Z,17,FALSE)</f>
        <v>50</v>
      </c>
      <c r="R123" s="1">
        <f>VLOOKUP($B123&amp;"__wt",'SegEnds_Xtal_BW#'!$A:$Z,18,FALSE)</f>
        <v>52</v>
      </c>
      <c r="S123" s="1">
        <f>VLOOKUP($B123&amp;"__wt",'SegEnds_Xtal_BW#'!$A:$Z,19,FALSE)</f>
        <v>33</v>
      </c>
      <c r="T123" s="1">
        <f t="array" ref="T123">INDEX(ICL3_classA!$G$2:$G$39,MATCH(MIN(ABS(AI123-ICL3_classA!$F$2:$F$39)),ABS(AI123-ICL3_classA!$F$2:$F$39),0))</f>
        <v>67</v>
      </c>
      <c r="U123" s="1">
        <f t="array" ref="U123">INDEX(ICL3_classA!$H$2:$H$39,MATCH(MIN(ABS(AI123-ICL3_classA!$F$2:$F$39)),ABS(AI123-ICL3_classA!$F$2:$F$39),0))</f>
        <v>26</v>
      </c>
      <c r="V123" s="1">
        <v>64</v>
      </c>
      <c r="W123" s="1">
        <v>24</v>
      </c>
      <c r="X123" s="1">
        <f>VLOOKUP($B123&amp;"__wt",'SegEnds_Xtal_BW#'!$A:$Z,24,FALSE)</f>
        <v>59</v>
      </c>
      <c r="Y123" s="1">
        <f>VLOOKUP($B123&amp;"__wt",'SegEnds_Xtal_BW#'!$A:$Z,25,FALSE)</f>
        <v>50</v>
      </c>
      <c r="Z123" s="1">
        <f>VLOOKUP($B123&amp;"__wt",'SegEnds_Xtal_BW#'!$A:$Z,26,FALSE)</f>
        <v>63</v>
      </c>
      <c r="AA123" s="27" t="str">
        <f>VLOOKUP(A123,Classification!A:B,2,FALSE)</f>
        <v>A</v>
      </c>
      <c r="AB123" s="1">
        <f>VLOOKUP(A123,'SegEnds_NonXtal_Prot#'!A:AL,10,FALSE)-VLOOKUP(A123,'SegEnds_NonXtal_Prot#'!A:AL,4,FALSE)</f>
        <v>28</v>
      </c>
      <c r="AC123" s="1" t="e">
        <f>VLOOKUP(A123,'SegEnds_NonXtal_Prot#'!A:AL,10,FALSE)-VLOOKUP(A123,'SegEnds_NonXtal_Prot#'!A:AL,7,FALSE)</f>
        <v>#VALUE!</v>
      </c>
      <c r="AD123" s="1">
        <f>VLOOKUP(A123,'SegEnds_NonXtal_Prot#'!A:AL,13,FALSE)-VLOOKUP(A123,'SegEnds_NonXtal_Prot#'!A:AL,10,FALSE)</f>
        <v>20</v>
      </c>
      <c r="AE123" s="1">
        <f>VLOOKUP(A123,'SegEnds_NonXtal_Prot#'!A:AL,16,FALSE)-VLOOKUP(A123,'SegEnds_NonXtal_Prot#'!A:AL,10,FALSE)</f>
        <v>52</v>
      </c>
      <c r="AF123" s="1">
        <f>VLOOKUP(A123,'SegEnds_NonXtal_Prot#'!A:AL,22,FALSE)-VLOOKUP(A123,'SegEnds_NonXtal_Prot#'!A:AL,19,FALSE)</f>
        <v>20</v>
      </c>
      <c r="AG123" s="1">
        <f>VLOOKUP(A123,'SegEnds_NonXtal_Prot#'!A:AL,28,FALSE)-VLOOKUP(A123,'SegEnds_NonXtal_Prot#'!A:AL,25,FALSE)</f>
        <v>25</v>
      </c>
      <c r="AH123" s="1">
        <f>VLOOKUP(A123,'SegEnds_NonXtal_Prot#'!A:AL,28,FALSE)-VLOOKUP(A123,'SegEnds_NonXtal_Prot#'!A:AL,22,FALSE)</f>
        <v>51</v>
      </c>
      <c r="AI123" s="1">
        <f>VLOOKUP(A123,'SegEnds_NonXtal_Prot#'!A:AL,31,FALSE)-VLOOKUP(A123,'SegEnds_NonXtal_Prot#'!A:AL,28,FALSE)</f>
        <v>46</v>
      </c>
      <c r="AJ123" s="1">
        <f>VLOOKUP(A123,'SegEnds_NonXtal_Prot#'!A:AL,34,FALSE)-VLOOKUP(A123,'SegEnds_NonXtal_Prot#'!A:AL,31,FALSE)</f>
        <v>44</v>
      </c>
      <c r="AK123" s="1">
        <f>VLOOKUP(A123,'SegEnds_NonXtal_Prot#'!A:AL,37,FALSE)-VLOOKUP(A123,'SegEnds_NonXtal_Prot#'!A:AL,34,FALSE)</f>
        <v>10</v>
      </c>
      <c r="AL123" s="1" t="str">
        <f>IF(ISERROR(MATCH(A123,'SegEnds_Xtal_Prot#'!B:B, 0)), "NoXtal", "Xtal")</f>
        <v>NoXtal</v>
      </c>
    </row>
    <row r="124" spans="1:38" x14ac:dyDescent="0.2">
      <c r="A124" s="1" t="s">
        <v>258</v>
      </c>
      <c r="B124" s="1" t="str">
        <f>VLOOKUP(A124,Xtal_Templ!A:B,2,FALSE)</f>
        <v>5ht1b_human</v>
      </c>
      <c r="C124" s="5">
        <f>VLOOKUP($B124&amp;"__wt",'SegEnds_Xtal_BW#'!$A:$Z,3,FALSE)</f>
        <v>28</v>
      </c>
      <c r="D124" s="1">
        <f>VLOOKUP($B124&amp;"__wt",'SegEnds_Xtal_BW#'!$A:$Z,4,FALSE)</f>
        <v>60</v>
      </c>
      <c r="E124" s="1">
        <f>VLOOKUP($B124&amp;"__wt",'SegEnds_Xtal_BW#'!$A:$Z,5,FALSE)</f>
        <v>48</v>
      </c>
      <c r="F124" s="1">
        <f>VLOOKUP($B124&amp;"__wt",'SegEnds_Xtal_BW#'!$A:$Z,6,FALSE)</f>
        <v>51</v>
      </c>
      <c r="G124" s="1">
        <v>37</v>
      </c>
      <c r="H124" s="12">
        <f>VLOOKUP($B124&amp;"__wt",'SegEnds_Xtal_BW#'!$A:$Z,8,FALSE)</f>
        <v>68</v>
      </c>
      <c r="I124" s="1">
        <f>VLOOKUP($B124&amp;"__wt",'SegEnds_Xtal_BW#'!$A:$Z,9,FALSE)</f>
        <v>49</v>
      </c>
      <c r="J124" s="1">
        <f>VLOOKUP($B124&amp;"__wt",'SegEnds_Xtal_BW#'!$A:$Z,10,FALSE)</f>
        <v>52</v>
      </c>
      <c r="K124" s="12">
        <v>18</v>
      </c>
      <c r="L124" s="1">
        <f>VLOOKUP($B124&amp;"__wt",'SegEnds_Xtal_BW#'!$A:$Z,12,FALSE)</f>
        <v>56</v>
      </c>
      <c r="M124" s="1">
        <f>VLOOKUP($B124&amp;"__wt",'SegEnds_Xtal_BW#'!$A:$Z,13,FALSE)</f>
        <v>50</v>
      </c>
      <c r="N124" s="12">
        <f>VLOOKUP($B124&amp;"__wt",'SegEnds_Xtal_BW#'!$A:$Z,14,FALSE)</f>
        <v>57</v>
      </c>
      <c r="O124" s="87">
        <v>38</v>
      </c>
      <c r="P124" s="1">
        <f>VLOOKUP($B124&amp;"__wt",'SegEnds_Xtal_BW#'!$A:$Z,16,FALSE)</f>
        <v>63</v>
      </c>
      <c r="Q124" s="1">
        <f>VLOOKUP($B124&amp;"__wt",'SegEnds_Xtal_BW#'!$A:$Z,17,FALSE)</f>
        <v>50</v>
      </c>
      <c r="R124" s="1">
        <f>VLOOKUP($B124&amp;"__wt",'SegEnds_Xtal_BW#'!$A:$Z,18,FALSE)</f>
        <v>52</v>
      </c>
      <c r="S124" s="1">
        <v>35</v>
      </c>
      <c r="T124" s="1">
        <f t="array" ref="T124">INDEX(ICL3_classA!$G$2:$G$39,MATCH(MIN(ABS(AI124-ICL3_classA!$F$2:$F$39)),ABS(AI124-ICL3_classA!$F$2:$F$39),0))</f>
        <v>76</v>
      </c>
      <c r="U124" s="1">
        <f t="array" ref="U124">INDEX(ICL3_classA!$H$2:$H$39,MATCH(MIN(ABS(AI124-ICL3_classA!$F$2:$F$39)),ABS(AI124-ICL3_classA!$F$2:$F$39),0))</f>
        <v>24</v>
      </c>
      <c r="V124" s="1">
        <v>61</v>
      </c>
      <c r="W124" s="131">
        <f>VLOOKUP($B124&amp;"__wt",'SegEnds_Xtal_BW#'!$A:$Z,23,FALSE)</f>
        <v>31</v>
      </c>
      <c r="X124" s="124">
        <f>VLOOKUP($B124&amp;"__wt",'SegEnds_Xtal_BW#'!$A:$Z,24,FALSE)</f>
        <v>56</v>
      </c>
      <c r="Y124" s="1">
        <f>VLOOKUP($B124&amp;"__wt",'SegEnds_Xtal_BW#'!$A:$Z,25,FALSE)</f>
        <v>47</v>
      </c>
      <c r="Z124" s="1">
        <f>VLOOKUP($B124&amp;"__wt",'SegEnds_Xtal_BW#'!$A:$Z,26,FALSE)</f>
        <v>58</v>
      </c>
      <c r="AA124" s="27" t="str">
        <f>VLOOKUP(A124,Classification!A:B,2,FALSE)</f>
        <v>A</v>
      </c>
      <c r="AB124" s="1">
        <f>VLOOKUP(A124,'SegEnds_NonXtal_Prot#'!A:AL,10,FALSE)-VLOOKUP(A124,'SegEnds_NonXtal_Prot#'!A:AL,4,FALSE)</f>
        <v>28</v>
      </c>
      <c r="AC124" s="1">
        <f>VLOOKUP(A124,'SegEnds_NonXtal_Prot#'!A:AL,10,FALSE)-VLOOKUP(A124,'SegEnds_NonXtal_Prot#'!A:AL,7,FALSE)</f>
        <v>15</v>
      </c>
      <c r="AD124" s="1">
        <f>VLOOKUP(A124,'SegEnds_NonXtal_Prot#'!A:AL,13,FALSE)-VLOOKUP(A124,'SegEnds_NonXtal_Prot#'!A:AL,10,FALSE)</f>
        <v>20</v>
      </c>
      <c r="AE124" s="1">
        <f>VLOOKUP(A124,'SegEnds_NonXtal_Prot#'!A:AL,16,FALSE)-VLOOKUP(A124,'SegEnds_NonXtal_Prot#'!A:AL,10,FALSE)</f>
        <v>52</v>
      </c>
      <c r="AF124" s="1" t="e">
        <f>VLOOKUP(A124,'SegEnds_NonXtal_Prot#'!A:AL,22,FALSE)-VLOOKUP(A124,'SegEnds_NonXtal_Prot#'!A:AL,19,FALSE)</f>
        <v>#VALUE!</v>
      </c>
      <c r="AG124" s="1">
        <f>VLOOKUP(A124,'SegEnds_NonXtal_Prot#'!A:AL,28,FALSE)-VLOOKUP(A124,'SegEnds_NonXtal_Prot#'!A:AL,25,FALSE)</f>
        <v>25</v>
      </c>
      <c r="AH124" s="1">
        <f>VLOOKUP(A124,'SegEnds_NonXtal_Prot#'!A:AL,28,FALSE)-VLOOKUP(A124,'SegEnds_NonXtal_Prot#'!A:AL,22,FALSE)</f>
        <v>51</v>
      </c>
      <c r="AI124" s="1">
        <f>VLOOKUP(A124,'SegEnds_NonXtal_Prot#'!A:AL,31,FALSE)-VLOOKUP(A124,'SegEnds_NonXtal_Prot#'!A:AL,28,FALSE)</f>
        <v>75</v>
      </c>
      <c r="AJ124" s="1">
        <f>VLOOKUP(A124,'SegEnds_NonXtal_Prot#'!A:AL,34,FALSE)-VLOOKUP(A124,'SegEnds_NonXtal_Prot#'!A:AL,31,FALSE)</f>
        <v>39</v>
      </c>
      <c r="AK124" s="1">
        <f>VLOOKUP(A124,'SegEnds_NonXtal_Prot#'!A:AL,37,FALSE)-VLOOKUP(A124,'SegEnds_NonXtal_Prot#'!A:AL,34,FALSE)</f>
        <v>10</v>
      </c>
      <c r="AL124" s="1" t="str">
        <f>IF(ISERROR(MATCH(A124,'SegEnds_Xtal_Prot#'!B:B, 0)), "NoXtal", "Xtal")</f>
        <v>NoXtal</v>
      </c>
    </row>
    <row r="125" spans="1:38" x14ac:dyDescent="0.2">
      <c r="A125" s="1" t="s">
        <v>264</v>
      </c>
      <c r="B125" s="1" t="str">
        <f>VLOOKUP(A125,Xtal_Templ!A:B,2,FALSE)</f>
        <v>drd2_human</v>
      </c>
      <c r="C125" s="5">
        <f>VLOOKUP($B125&amp;"__wt",'SegEnds_Xtal_BW#'!$A:$Z,3,FALSE)</f>
        <v>29</v>
      </c>
      <c r="D125" s="1">
        <f>VLOOKUP($B125&amp;"__wt",'SegEnds_Xtal_BW#'!$A:$Z,4,FALSE)</f>
        <v>60</v>
      </c>
      <c r="E125" s="1">
        <f>VLOOKUP($B125&amp;"__wt",'SegEnds_Xtal_BW#'!$A:$Z,5,FALSE)</f>
        <v>48</v>
      </c>
      <c r="F125" s="1">
        <f>VLOOKUP($B125&amp;"__wt",'SegEnds_Xtal_BW#'!$A:$Z,6,FALSE)</f>
        <v>51</v>
      </c>
      <c r="G125" s="1">
        <v>37</v>
      </c>
      <c r="H125" s="12">
        <f>VLOOKUP($B125&amp;"__wt",'SegEnds_Xtal_BW#'!$A:$Z,8,FALSE)</f>
        <v>68</v>
      </c>
      <c r="I125" s="1">
        <f>VLOOKUP($B125&amp;"__wt",'SegEnds_Xtal_BW#'!$A:$Z,9,FALSE)</f>
        <v>49</v>
      </c>
      <c r="J125" s="1">
        <f>VLOOKUP($B125&amp;"__wt",'SegEnds_Xtal_BW#'!$A:$Z,10,FALSE)</f>
        <v>52</v>
      </c>
      <c r="K125" s="12">
        <v>18</v>
      </c>
      <c r="L125" s="1">
        <f>VLOOKUP($B125&amp;"__wt",'SegEnds_Xtal_BW#'!$A:$Z,12,FALSE)</f>
        <v>56</v>
      </c>
      <c r="M125" s="1">
        <f>VLOOKUP($B125&amp;"__wt",'SegEnds_Xtal_BW#'!$A:$Z,13,FALSE)</f>
        <v>50</v>
      </c>
      <c r="N125" s="12">
        <f>VLOOKUP($B125&amp;"__wt",'SegEnds_Xtal_BW#'!$A:$Z,14,FALSE)</f>
        <v>58</v>
      </c>
      <c r="O125" s="87">
        <v>38</v>
      </c>
      <c r="P125" s="1">
        <f>VLOOKUP($B125&amp;"__wt",'SegEnds_Xtal_BW#'!$A:$Z,16,FALSE)</f>
        <v>62</v>
      </c>
      <c r="Q125" s="1">
        <f>VLOOKUP($B125&amp;"__wt",'SegEnds_Xtal_BW#'!$A:$Z,17,FALSE)</f>
        <v>50</v>
      </c>
      <c r="R125" s="1">
        <f>VLOOKUP($B125&amp;"__wt",'SegEnds_Xtal_BW#'!$A:$Z,18,FALSE)</f>
        <v>52</v>
      </c>
      <c r="S125" s="1">
        <v>35</v>
      </c>
      <c r="T125" s="1">
        <f t="array" ref="T125">INDEX(ICL3_classA!$G$2:$G$39,MATCH(MIN(ABS(AI125-ICL3_classA!$F$2:$F$39)),ABS(AI125-ICL3_classA!$F$2:$F$39),0))</f>
        <v>76</v>
      </c>
      <c r="U125" s="1">
        <f t="array" ref="U125">INDEX(ICL3_classA!$H$2:$H$39,MATCH(MIN(ABS(AI125-ICL3_classA!$F$2:$F$39)),ABS(AI125-ICL3_classA!$F$2:$F$39),0))</f>
        <v>24</v>
      </c>
      <c r="V125" s="1">
        <v>61</v>
      </c>
      <c r="W125" s="131">
        <f>VLOOKUP($B125&amp;"__wt",'SegEnds_Xtal_BW#'!$A:$Z,23,FALSE)</f>
        <v>31</v>
      </c>
      <c r="X125" s="1">
        <f>VLOOKUP($B125&amp;"__wt",'SegEnds_Xtal_BW#'!$A:$Z,24,FALSE)</f>
        <v>56</v>
      </c>
      <c r="Y125" s="1">
        <f>VLOOKUP($B125&amp;"__wt",'SegEnds_Xtal_BW#'!$A:$Z,25,FALSE)</f>
        <v>47</v>
      </c>
      <c r="Z125" s="1">
        <f>VLOOKUP($B125&amp;"__wt",'SegEnds_Xtal_BW#'!$A:$Z,26,FALSE)</f>
        <v>59</v>
      </c>
      <c r="AA125" s="27" t="str">
        <f>VLOOKUP(A125,Classification!A:B,2,FALSE)</f>
        <v>A</v>
      </c>
      <c r="AB125" s="1">
        <f>VLOOKUP(A125,'SegEnds_NonXtal_Prot#'!A:AL,10,FALSE)-VLOOKUP(A125,'SegEnds_NonXtal_Prot#'!A:AL,4,FALSE)</f>
        <v>28</v>
      </c>
      <c r="AC125" s="1">
        <f>VLOOKUP(A125,'SegEnds_NonXtal_Prot#'!A:AL,10,FALSE)-VLOOKUP(A125,'SegEnds_NonXtal_Prot#'!A:AL,7,FALSE)</f>
        <v>15</v>
      </c>
      <c r="AD125" s="1">
        <f>VLOOKUP(A125,'SegEnds_NonXtal_Prot#'!A:AL,13,FALSE)-VLOOKUP(A125,'SegEnds_NonXtal_Prot#'!A:AL,10,FALSE)</f>
        <v>20</v>
      </c>
      <c r="AE125" s="1">
        <f>VLOOKUP(A125,'SegEnds_NonXtal_Prot#'!A:AL,16,FALSE)-VLOOKUP(A125,'SegEnds_NonXtal_Prot#'!A:AL,10,FALSE)</f>
        <v>52</v>
      </c>
      <c r="AF125" s="1" t="e">
        <f>VLOOKUP(A125,'SegEnds_NonXtal_Prot#'!A:AL,22,FALSE)-VLOOKUP(A125,'SegEnds_NonXtal_Prot#'!A:AL,19,FALSE)</f>
        <v>#VALUE!</v>
      </c>
      <c r="AG125" s="1">
        <f>VLOOKUP(A125,'SegEnds_NonXtal_Prot#'!A:AL,28,FALSE)-VLOOKUP(A125,'SegEnds_NonXtal_Prot#'!A:AL,25,FALSE)</f>
        <v>25</v>
      </c>
      <c r="AH125" s="1">
        <f>VLOOKUP(A125,'SegEnds_NonXtal_Prot#'!A:AL,28,FALSE)-VLOOKUP(A125,'SegEnds_NonXtal_Prot#'!A:AL,22,FALSE)</f>
        <v>51</v>
      </c>
      <c r="AI125" s="1">
        <f>VLOOKUP(A125,'SegEnds_NonXtal_Prot#'!A:AL,31,FALSE)-VLOOKUP(A125,'SegEnds_NonXtal_Prot#'!A:AL,28,FALSE)</f>
        <v>75</v>
      </c>
      <c r="AJ125" s="1">
        <f>VLOOKUP(A125,'SegEnds_NonXtal_Prot#'!A:AL,34,FALSE)-VLOOKUP(A125,'SegEnds_NonXtal_Prot#'!A:AL,31,FALSE)</f>
        <v>39</v>
      </c>
      <c r="AK125" s="1">
        <f>VLOOKUP(A125,'SegEnds_NonXtal_Prot#'!A:AL,37,FALSE)-VLOOKUP(A125,'SegEnds_NonXtal_Prot#'!A:AL,34,FALSE)</f>
        <v>10</v>
      </c>
      <c r="AL125" s="1" t="str">
        <f>IF(ISERROR(MATCH(A125,'SegEnds_Xtal_Prot#'!B:B, 0)), "NoXtal", "Xtal")</f>
        <v>NoXtal</v>
      </c>
    </row>
    <row r="126" spans="1:38" x14ac:dyDescent="0.2">
      <c r="A126" s="1" t="s">
        <v>278</v>
      </c>
      <c r="B126" s="1" t="str">
        <f>VLOOKUP(A126,Xtal_Templ!A:B,2,FALSE)</f>
        <v>adrb2_human</v>
      </c>
      <c r="C126" s="5">
        <f>VLOOKUP($B126&amp;"__wt",'SegEnds_Xtal_BW#'!$A:$Z,3,FALSE)</f>
        <v>25</v>
      </c>
      <c r="D126" s="1">
        <f>VLOOKUP($B126&amp;"__wt",'SegEnds_Xtal_BW#'!$A:$Z,4,FALSE)</f>
        <v>60</v>
      </c>
      <c r="E126" s="1">
        <f>VLOOKUP($B126&amp;"__wt",'SegEnds_Xtal_BW#'!$A:$Z,5,FALSE)</f>
        <v>48</v>
      </c>
      <c r="F126" s="1">
        <f>VLOOKUP($B126&amp;"__wt",'SegEnds_Xtal_BW#'!$A:$Z,6,FALSE)</f>
        <v>51</v>
      </c>
      <c r="G126" s="1">
        <v>37</v>
      </c>
      <c r="H126" s="12">
        <f>VLOOKUP($B126&amp;"__wt",'SegEnds_Xtal_BW#'!$A:$Z,8,FALSE)</f>
        <v>67</v>
      </c>
      <c r="I126" s="1">
        <f>VLOOKUP($B126&amp;"__wt",'SegEnds_Xtal_BW#'!$A:$Z,9,FALSE)</f>
        <v>49</v>
      </c>
      <c r="J126" s="1">
        <f>VLOOKUP($B126&amp;"__wt",'SegEnds_Xtal_BW#'!$A:$Z,10,FALSE)</f>
        <v>52</v>
      </c>
      <c r="K126" s="12">
        <v>18</v>
      </c>
      <c r="L126" s="1">
        <f>VLOOKUP($B126&amp;"__wt",'SegEnds_Xtal_BW#'!$A:$Z,12,FALSE)</f>
        <v>56</v>
      </c>
      <c r="M126" s="1">
        <f>VLOOKUP($B126&amp;"__wt",'SegEnds_Xtal_BW#'!$A:$Z,13,FALSE)</f>
        <v>50</v>
      </c>
      <c r="N126" s="12">
        <v>57</v>
      </c>
      <c r="O126" s="87">
        <v>38</v>
      </c>
      <c r="P126" s="1">
        <f>VLOOKUP($B126&amp;"__wt",'SegEnds_Xtal_BW#'!$A:$Z,16,FALSE)</f>
        <v>64</v>
      </c>
      <c r="Q126" s="1">
        <f>VLOOKUP($B126&amp;"__wt",'SegEnds_Xtal_BW#'!$A:$Z,17,FALSE)</f>
        <v>50</v>
      </c>
      <c r="R126" s="1">
        <f>VLOOKUP($B126&amp;"__wt",'SegEnds_Xtal_BW#'!$A:$Z,18,FALSE)</f>
        <v>52</v>
      </c>
      <c r="S126" s="1">
        <v>35</v>
      </c>
      <c r="T126" s="1">
        <f t="array" ref="T126">INDEX(ICL3_classA!$G$2:$G$39,MATCH(MIN(ABS(AI126-ICL3_classA!$F$2:$F$39)),ABS(AI126-ICL3_classA!$F$2:$F$39),0))</f>
        <v>73</v>
      </c>
      <c r="U126" s="1">
        <f t="array" ref="U126">INDEX(ICL3_classA!$H$2:$H$39,MATCH(MIN(ABS(AI126-ICL3_classA!$F$2:$F$39)),ABS(AI126-ICL3_classA!$F$2:$F$39),0))</f>
        <v>22</v>
      </c>
      <c r="V126" s="1">
        <v>61</v>
      </c>
      <c r="W126" s="1">
        <v>31</v>
      </c>
      <c r="X126" s="108">
        <v>56</v>
      </c>
      <c r="Y126" s="1">
        <f>VLOOKUP($B126&amp;"__wt",'SegEnds_Xtal_BW#'!$A:$Z,25,FALSE)</f>
        <v>47</v>
      </c>
      <c r="Z126" s="1">
        <f>VLOOKUP($B126&amp;"__wt",'SegEnds_Xtal_BW#'!$A:$Z,26,FALSE)</f>
        <v>59</v>
      </c>
      <c r="AA126" s="27" t="str">
        <f>VLOOKUP(A126,Classification!A:B,2,FALSE)</f>
        <v>A</v>
      </c>
      <c r="AB126" s="1">
        <f>VLOOKUP(A126,'SegEnds_NonXtal_Prot#'!A:AL,10,FALSE)-VLOOKUP(A126,'SegEnds_NonXtal_Prot#'!A:AL,4,FALSE)</f>
        <v>28</v>
      </c>
      <c r="AC126" s="1">
        <f>VLOOKUP(A126,'SegEnds_NonXtal_Prot#'!A:AL,10,FALSE)-VLOOKUP(A126,'SegEnds_NonXtal_Prot#'!A:AL,7,FALSE)</f>
        <v>15</v>
      </c>
      <c r="AD126" s="1">
        <f>VLOOKUP(A126,'SegEnds_NonXtal_Prot#'!A:AL,13,FALSE)-VLOOKUP(A126,'SegEnds_NonXtal_Prot#'!A:AL,10,FALSE)</f>
        <v>20</v>
      </c>
      <c r="AE126" s="1">
        <f>VLOOKUP(A126,'SegEnds_NonXtal_Prot#'!A:AL,16,FALSE)-VLOOKUP(A126,'SegEnds_NonXtal_Prot#'!A:AL,10,FALSE)</f>
        <v>52</v>
      </c>
      <c r="AF126" s="1">
        <f>VLOOKUP(A126,'SegEnds_NonXtal_Prot#'!A:AL,22,FALSE)-VLOOKUP(A126,'SegEnds_NonXtal_Prot#'!A:AL,19,FALSE)</f>
        <v>20</v>
      </c>
      <c r="AG126" s="1">
        <f>VLOOKUP(A126,'SegEnds_NonXtal_Prot#'!A:AL,28,FALSE)-VLOOKUP(A126,'SegEnds_NonXtal_Prot#'!A:AL,25,FALSE)</f>
        <v>20</v>
      </c>
      <c r="AH126" s="1">
        <f>VLOOKUP(A126,'SegEnds_NonXtal_Prot#'!A:AL,28,FALSE)-VLOOKUP(A126,'SegEnds_NonXtal_Prot#'!A:AL,22,FALSE)</f>
        <v>51</v>
      </c>
      <c r="AI126" s="1">
        <f>VLOOKUP(A126,'SegEnds_NonXtal_Prot#'!A:AL,31,FALSE)-VLOOKUP(A126,'SegEnds_NonXtal_Prot#'!A:AL,28,FALSE)</f>
        <v>55</v>
      </c>
      <c r="AJ126" s="1">
        <f>VLOOKUP(A126,'SegEnds_NonXtal_Prot#'!A:AL,34,FALSE)-VLOOKUP(A126,'SegEnds_NonXtal_Prot#'!A:AL,31,FALSE)</f>
        <v>36</v>
      </c>
      <c r="AK126" s="1">
        <f>VLOOKUP(A126,'SegEnds_NonXtal_Prot#'!A:AL,37,FALSE)-VLOOKUP(A126,'SegEnds_NonXtal_Prot#'!A:AL,34,FALSE)</f>
        <v>10</v>
      </c>
      <c r="AL126" s="1" t="str">
        <f>IF(ISERROR(MATCH(A126,'SegEnds_Xtal_Prot#'!B:B, 0)), "NoXtal", "Xtal")</f>
        <v>NoXtal</v>
      </c>
    </row>
    <row r="127" spans="1:38" x14ac:dyDescent="0.2">
      <c r="A127" s="1" t="s">
        <v>291</v>
      </c>
      <c r="B127" s="1" t="str">
        <f>VLOOKUP(A127,Xtal_Templ!A:B,2,FALSE)</f>
        <v>ccr7_human</v>
      </c>
      <c r="C127" s="5">
        <f>VLOOKUP($B127&amp;"__wt",'SegEnds_Xtal_BW#'!$A:$Z,3,FALSE)</f>
        <v>29</v>
      </c>
      <c r="D127" s="1">
        <f>VLOOKUP($B127&amp;"__wt",'SegEnds_Xtal_BW#'!$A:$Z,4,FALSE)</f>
        <v>60</v>
      </c>
      <c r="E127" s="1">
        <f>VLOOKUP($B127&amp;"__wt",'SegEnds_Xtal_BW#'!$A:$Z,5,FALSE)</f>
        <v>48</v>
      </c>
      <c r="F127" s="1">
        <f>VLOOKUP($B127&amp;"__wt",'SegEnds_Xtal_BW#'!$A:$Z,6,FALSE)</f>
        <v>51</v>
      </c>
      <c r="G127" s="1">
        <v>37</v>
      </c>
      <c r="H127" s="12">
        <v>66</v>
      </c>
      <c r="I127" s="1">
        <f>VLOOKUP($B127&amp;"__wt",'SegEnds_Xtal_BW#'!$A:$Z,9,FALSE)</f>
        <v>49</v>
      </c>
      <c r="J127" s="1">
        <f>VLOOKUP($B127&amp;"__wt",'SegEnds_Xtal_BW#'!$A:$Z,10,FALSE)</f>
        <v>52</v>
      </c>
      <c r="K127" s="12">
        <v>21</v>
      </c>
      <c r="L127" s="1">
        <f>VLOOKUP($B127&amp;"__wt",'SegEnds_Xtal_BW#'!$A:$Z,12,FALSE)</f>
        <v>56</v>
      </c>
      <c r="M127" s="1">
        <f>VLOOKUP($B127&amp;"__wt",'SegEnds_Xtal_BW#'!$A:$Z,13,FALSE)</f>
        <v>50</v>
      </c>
      <c r="N127" s="12">
        <v>57</v>
      </c>
      <c r="O127" s="87">
        <v>38</v>
      </c>
      <c r="P127" s="1">
        <f>VLOOKUP($B127&amp;"__wt",'SegEnds_Xtal_BW#'!$A:$Z,16,FALSE)</f>
        <v>64</v>
      </c>
      <c r="Q127" s="1">
        <f>VLOOKUP($B127&amp;"__wt",'SegEnds_Xtal_BW#'!$A:$Z,17,FALSE)</f>
        <v>50</v>
      </c>
      <c r="R127" s="1">
        <f>VLOOKUP($B127&amp;"__wt",'SegEnds_Xtal_BW#'!$A:$Z,18,FALSE)</f>
        <v>52</v>
      </c>
      <c r="S127" s="108">
        <v>29</v>
      </c>
      <c r="T127" s="1">
        <f t="array" ref="T127">INDEX(ICL3_classA!$G$2:$G$39,MATCH(MIN(ABS(AI127-ICL3_classA!$F$2:$F$39)),ABS(AI127-ICL3_classA!$F$2:$F$39),0))</f>
        <v>68</v>
      </c>
      <c r="U127" s="1">
        <f t="array" ref="U127">INDEX(ICL3_classA!$H$2:$H$39,MATCH(MIN(ABS(AI127-ICL3_classA!$F$2:$F$39)),ABS(AI127-ICL3_classA!$F$2:$F$39),0))</f>
        <v>30</v>
      </c>
      <c r="V127" s="1">
        <v>64</v>
      </c>
      <c r="W127" s="1">
        <v>24</v>
      </c>
      <c r="X127" s="1">
        <f>VLOOKUP($B127&amp;"__wt",'SegEnds_Xtal_BW#'!$A:$Z,24,FALSE)</f>
        <v>56</v>
      </c>
      <c r="Y127" s="1">
        <f>VLOOKUP($B127&amp;"__wt",'SegEnds_Xtal_BW#'!$A:$Z,25,FALSE)</f>
        <v>47</v>
      </c>
      <c r="Z127" s="1">
        <f>VLOOKUP($B127&amp;"__wt",'SegEnds_Xtal_BW#'!$A:$Z,26,FALSE)</f>
        <v>59</v>
      </c>
      <c r="AA127" s="27" t="str">
        <f>VLOOKUP(A127,Classification!A:B,2,FALSE)</f>
        <v>A</v>
      </c>
      <c r="AB127" s="1">
        <f>VLOOKUP(A127,'SegEnds_NonXtal_Prot#'!A:AL,10,FALSE)-VLOOKUP(A127,'SegEnds_NonXtal_Prot#'!A:AL,4,FALSE)</f>
        <v>28</v>
      </c>
      <c r="AC127" s="1">
        <f>VLOOKUP(A127,'SegEnds_NonXtal_Prot#'!A:AL,10,FALSE)-VLOOKUP(A127,'SegEnds_NonXtal_Prot#'!A:AL,7,FALSE)</f>
        <v>15</v>
      </c>
      <c r="AD127" s="1">
        <f>VLOOKUP(A127,'SegEnds_NonXtal_Prot#'!A:AL,13,FALSE)-VLOOKUP(A127,'SegEnds_NonXtal_Prot#'!A:AL,10,FALSE)</f>
        <v>19</v>
      </c>
      <c r="AE127" s="1">
        <f>VLOOKUP(A127,'SegEnds_NonXtal_Prot#'!A:AL,16,FALSE)-VLOOKUP(A127,'SegEnds_NonXtal_Prot#'!A:AL,10,FALSE)</f>
        <v>51</v>
      </c>
      <c r="AF127" s="1">
        <f>VLOOKUP(A127,'SegEnds_NonXtal_Prot#'!A:AL,22,FALSE)-VLOOKUP(A127,'SegEnds_NonXtal_Prot#'!A:AL,19,FALSE)</f>
        <v>20</v>
      </c>
      <c r="AG127" s="1">
        <f>VLOOKUP(A127,'SegEnds_NonXtal_Prot#'!A:AL,28,FALSE)-VLOOKUP(A127,'SegEnds_NonXtal_Prot#'!A:AL,25,FALSE)</f>
        <v>25</v>
      </c>
      <c r="AH127" s="1">
        <f>VLOOKUP(A127,'SegEnds_NonXtal_Prot#'!A:AL,28,FALSE)-VLOOKUP(A127,'SegEnds_NonXtal_Prot#'!A:AL,22,FALSE)</f>
        <v>51</v>
      </c>
      <c r="AI127" s="1">
        <f>VLOOKUP(A127,'SegEnds_NonXtal_Prot#'!A:AL,31,FALSE)-VLOOKUP(A127,'SegEnds_NonXtal_Prot#'!A:AL,28,FALSE)</f>
        <v>43</v>
      </c>
      <c r="AJ127" s="1">
        <f>VLOOKUP(A127,'SegEnds_NonXtal_Prot#'!A:AL,34,FALSE)-VLOOKUP(A127,'SegEnds_NonXtal_Prot#'!A:AL,31,FALSE)</f>
        <v>46</v>
      </c>
      <c r="AK127" s="1">
        <f>VLOOKUP(A127,'SegEnds_NonXtal_Prot#'!A:AL,37,FALSE)-VLOOKUP(A127,'SegEnds_NonXtal_Prot#'!A:AL,34,FALSE)</f>
        <v>10</v>
      </c>
      <c r="AL127" s="1" t="str">
        <f>IF(ISERROR(MATCH(A127,'SegEnds_Xtal_Prot#'!B:B, 0)), "NoXtal", "Xtal")</f>
        <v>NoXtal</v>
      </c>
    </row>
    <row r="128" spans="1:38" x14ac:dyDescent="0.2">
      <c r="A128" s="1" t="s">
        <v>299</v>
      </c>
      <c r="B128" s="1" t="str">
        <f>VLOOKUP(A128,Xtal_Templ!A:B,2,FALSE)</f>
        <v>oprd_human</v>
      </c>
      <c r="C128" s="5">
        <f>VLOOKUP($B128&amp;"__wt",'SegEnds_Xtal_BW#'!$A:$Z,3,FALSE)</f>
        <v>22</v>
      </c>
      <c r="D128" s="1">
        <f>VLOOKUP($B128&amp;"__wt",'SegEnds_Xtal_BW#'!$A:$Z,4,FALSE)</f>
        <v>60</v>
      </c>
      <c r="E128" s="1">
        <f>VLOOKUP($B128&amp;"__wt",'SegEnds_Xtal_BW#'!$A:$Z,5,FALSE)</f>
        <v>48</v>
      </c>
      <c r="F128" s="1">
        <f>VLOOKUP($B128&amp;"__wt",'SegEnds_Xtal_BW#'!$A:$Z,6,FALSE)</f>
        <v>51</v>
      </c>
      <c r="G128" s="1">
        <v>37</v>
      </c>
      <c r="H128" s="12">
        <f>VLOOKUP($B128&amp;"__wt",'SegEnds_Xtal_BW#'!$A:$Z,8,FALSE)</f>
        <v>66</v>
      </c>
      <c r="I128" s="1">
        <f>VLOOKUP($B128&amp;"__wt",'SegEnds_Xtal_BW#'!$A:$Z,9,FALSE)</f>
        <v>49</v>
      </c>
      <c r="J128" s="1">
        <f>VLOOKUP($B128&amp;"__wt",'SegEnds_Xtal_BW#'!$A:$Z,10,FALSE)</f>
        <v>52</v>
      </c>
      <c r="K128" s="12">
        <v>18</v>
      </c>
      <c r="L128" s="1">
        <f>VLOOKUP($B128&amp;"__wt",'SegEnds_Xtal_BW#'!$A:$Z,12,FALSE)</f>
        <v>56</v>
      </c>
      <c r="M128" s="1">
        <f>VLOOKUP($B128&amp;"__wt",'SegEnds_Xtal_BW#'!$A:$Z,13,FALSE)</f>
        <v>50</v>
      </c>
      <c r="N128" s="12">
        <v>57</v>
      </c>
      <c r="O128" s="87">
        <f>VLOOKUP($B128&amp;"__wt",'SegEnds_Xtal_BW#'!$A:$Z,15,FALSE)</f>
        <v>38</v>
      </c>
      <c r="P128" s="1">
        <f>VLOOKUP($B128&amp;"__wt",'SegEnds_Xtal_BW#'!$A:$Z,16,FALSE)</f>
        <v>64</v>
      </c>
      <c r="Q128" s="1">
        <f>VLOOKUP($B128&amp;"__wt",'SegEnds_Xtal_BW#'!$A:$Z,17,FALSE)</f>
        <v>50</v>
      </c>
      <c r="R128" s="1">
        <f>VLOOKUP($B128&amp;"__wt",'SegEnds_Xtal_BW#'!$A:$Z,18,FALSE)</f>
        <v>52</v>
      </c>
      <c r="S128" s="1">
        <f>VLOOKUP($B128&amp;"__wt",'SegEnds_Xtal_BW#'!$A:$Z,19,FALSE)</f>
        <v>31</v>
      </c>
      <c r="T128" s="1">
        <f t="array" ref="T128">INDEX(ICL3_classA!$G$2:$G$39,MATCH(MIN(ABS(AI128-ICL3_classA!$F$2:$F$39)),ABS(AI128-ICL3_classA!$F$2:$F$39),0))</f>
        <v>73</v>
      </c>
      <c r="U128" s="1">
        <f t="array" ref="U128">INDEX(ICL3_classA!$H$2:$H$39,MATCH(MIN(ABS(AI128-ICL3_classA!$F$2:$F$39)),ABS(AI128-ICL3_classA!$F$2:$F$39),0))</f>
        <v>22</v>
      </c>
      <c r="V128" s="1">
        <v>61</v>
      </c>
      <c r="W128" s="1">
        <v>31</v>
      </c>
      <c r="X128" s="1">
        <f>VLOOKUP($B128&amp;"__wt",'SegEnds_Xtal_BW#'!$A:$Z,24,FALSE)</f>
        <v>56</v>
      </c>
      <c r="Y128" s="1">
        <f>VLOOKUP($B128&amp;"__wt",'SegEnds_Xtal_BW#'!$A:$Z,25,FALSE)</f>
        <v>47</v>
      </c>
      <c r="Z128" s="1">
        <f>VLOOKUP($B128&amp;"__wt",'SegEnds_Xtal_BW#'!$A:$Z,26,FALSE)</f>
        <v>60</v>
      </c>
      <c r="AA128" s="27" t="str">
        <f>VLOOKUP(A128,Classification!A:B,2,FALSE)</f>
        <v>A</v>
      </c>
      <c r="AB128" s="1">
        <f>VLOOKUP(A128,'SegEnds_NonXtal_Prot#'!A:AL,10,FALSE)-VLOOKUP(A128,'SegEnds_NonXtal_Prot#'!A:AL,4,FALSE)</f>
        <v>27</v>
      </c>
      <c r="AC128" s="1" t="e">
        <f>VLOOKUP(A128,'SegEnds_NonXtal_Prot#'!A:AL,10,FALSE)-VLOOKUP(A128,'SegEnds_NonXtal_Prot#'!A:AL,7,FALSE)</f>
        <v>#VALUE!</v>
      </c>
      <c r="AD128" s="1">
        <f>VLOOKUP(A128,'SegEnds_NonXtal_Prot#'!A:AL,13,FALSE)-VLOOKUP(A128,'SegEnds_NonXtal_Prot#'!A:AL,10,FALSE)</f>
        <v>20</v>
      </c>
      <c r="AE128" s="1">
        <f>VLOOKUP(A128,'SegEnds_NonXtal_Prot#'!A:AL,16,FALSE)-VLOOKUP(A128,'SegEnds_NonXtal_Prot#'!A:AL,10,FALSE)</f>
        <v>52</v>
      </c>
      <c r="AF128" s="1">
        <f>VLOOKUP(A128,'SegEnds_NonXtal_Prot#'!A:AL,22,FALSE)-VLOOKUP(A128,'SegEnds_NonXtal_Prot#'!A:AL,19,FALSE)</f>
        <v>20</v>
      </c>
      <c r="AG128" s="1">
        <f>VLOOKUP(A128,'SegEnds_NonXtal_Prot#'!A:AL,28,FALSE)-VLOOKUP(A128,'SegEnds_NonXtal_Prot#'!A:AL,25,FALSE)</f>
        <v>25</v>
      </c>
      <c r="AH128" s="1">
        <f>VLOOKUP(A128,'SegEnds_NonXtal_Prot#'!A:AL,28,FALSE)-VLOOKUP(A128,'SegEnds_NonXtal_Prot#'!A:AL,22,FALSE)</f>
        <v>51</v>
      </c>
      <c r="AI128" s="1">
        <f>VLOOKUP(A128,'SegEnds_NonXtal_Prot#'!A:AL,31,FALSE)-VLOOKUP(A128,'SegEnds_NonXtal_Prot#'!A:AL,28,FALSE)</f>
        <v>57</v>
      </c>
      <c r="AJ128" s="1">
        <f>VLOOKUP(A128,'SegEnds_NonXtal_Prot#'!A:AL,34,FALSE)-VLOOKUP(A128,'SegEnds_NonXtal_Prot#'!A:AL,31,FALSE)</f>
        <v>37</v>
      </c>
      <c r="AK128" s="1">
        <f>VLOOKUP(A128,'SegEnds_NonXtal_Prot#'!A:AL,37,FALSE)-VLOOKUP(A128,'SegEnds_NonXtal_Prot#'!A:AL,34,FALSE)</f>
        <v>10</v>
      </c>
      <c r="AL128" s="1" t="str">
        <f>IF(ISERROR(MATCH(A128,'SegEnds_Xtal_Prot#'!B:B, 0)), "NoXtal", "Xtal")</f>
        <v>NoXtal</v>
      </c>
    </row>
    <row r="129" spans="1:38" x14ac:dyDescent="0.2">
      <c r="A129" s="1" t="s">
        <v>315</v>
      </c>
      <c r="B129" s="1" t="str">
        <f>VLOOKUP(A129,Xtal_Templ!A:B,2,FALSE)</f>
        <v>nk1r_human</v>
      </c>
      <c r="C129" s="5">
        <f>VLOOKUP($B129&amp;"__wt",'SegEnds_Xtal_BW#'!$A:$Z,3,FALSE)</f>
        <v>28</v>
      </c>
      <c r="D129" s="1">
        <f>VLOOKUP($B129&amp;"__wt",'SegEnds_Xtal_BW#'!$A:$Z,4,FALSE)</f>
        <v>60</v>
      </c>
      <c r="E129" s="1">
        <f>VLOOKUP($B129&amp;"__wt",'SegEnds_Xtal_BW#'!$A:$Z,5,FALSE)</f>
        <v>48</v>
      </c>
      <c r="F129" s="1">
        <f>VLOOKUP($B129&amp;"__wt",'SegEnds_Xtal_BW#'!$A:$Z,6,FALSE)</f>
        <v>51</v>
      </c>
      <c r="G129" s="1">
        <v>37</v>
      </c>
      <c r="H129" s="12">
        <f>VLOOKUP($B129&amp;"__wt",'SegEnds_Xtal_BW#'!$A:$Z,8,FALSE)</f>
        <v>68</v>
      </c>
      <c r="I129" s="1">
        <f>VLOOKUP($B129&amp;"__wt",'SegEnds_Xtal_BW#'!$A:$Z,9,FALSE)</f>
        <v>49</v>
      </c>
      <c r="J129" s="1">
        <f>VLOOKUP($B129&amp;"__wt",'SegEnds_Xtal_BW#'!$A:$Z,10,FALSE)</f>
        <v>52</v>
      </c>
      <c r="K129" s="12">
        <v>18</v>
      </c>
      <c r="L129" s="1">
        <f>VLOOKUP($B129&amp;"__wt",'SegEnds_Xtal_BW#'!$A:$Z,12,FALSE)</f>
        <v>56</v>
      </c>
      <c r="M129" s="1" t="str">
        <f>VLOOKUP($B129&amp;"__wt",'SegEnds_Xtal_BW#'!$A:$Z,13,FALSE)</f>
        <v>-</v>
      </c>
      <c r="N129" s="12">
        <v>56</v>
      </c>
      <c r="O129" s="87">
        <f>VLOOKUP($B129&amp;"__wt",'SegEnds_Xtal_BW#'!$A:$Z,15,FALSE)</f>
        <v>38</v>
      </c>
      <c r="P129" s="1">
        <f>VLOOKUP($B129&amp;"__wt",'SegEnds_Xtal_BW#'!$A:$Z,16,FALSE)</f>
        <v>64</v>
      </c>
      <c r="Q129" s="1">
        <f>VLOOKUP($B129&amp;"__wt",'SegEnds_Xtal_BW#'!$A:$Z,17,FALSE)</f>
        <v>50</v>
      </c>
      <c r="R129" s="1">
        <f>VLOOKUP($B129&amp;"__wt",'SegEnds_Xtal_BW#'!$A:$Z,18,FALSE)</f>
        <v>52</v>
      </c>
      <c r="S129" s="1">
        <f>VLOOKUP($B129&amp;"__wt",'SegEnds_Xtal_BW#'!$A:$Z,19,FALSE)</f>
        <v>30</v>
      </c>
      <c r="T129" s="1">
        <f t="array" ref="T129">INDEX(ICL3_classA!$G$2:$G$39,MATCH(MIN(ABS(AI129-ICL3_classA!$F$2:$F$39)),ABS(AI129-ICL3_classA!$F$2:$F$39),0))</f>
        <v>73</v>
      </c>
      <c r="U129" s="1">
        <f t="array" ref="U129">INDEX(ICL3_classA!$H$2:$H$39,MATCH(MIN(ABS(AI129-ICL3_classA!$F$2:$F$39)),ABS(AI129-ICL3_classA!$F$2:$F$39),0))</f>
        <v>22</v>
      </c>
      <c r="V129" s="1">
        <v>61</v>
      </c>
      <c r="W129" s="131">
        <f>VLOOKUP($B129&amp;"__wt",'SegEnds_Xtal_BW#'!$A:$Z,23,FALSE)</f>
        <v>30</v>
      </c>
      <c r="X129" s="1">
        <f>VLOOKUP($B129&amp;"__wt",'SegEnds_Xtal_BW#'!$A:$Z,24,FALSE)</f>
        <v>56</v>
      </c>
      <c r="Y129" s="1">
        <f>VLOOKUP($B129&amp;"__wt",'SegEnds_Xtal_BW#'!$A:$Z,25,FALSE)</f>
        <v>47</v>
      </c>
      <c r="Z129" s="1">
        <f>VLOOKUP($B129&amp;"__wt",'SegEnds_Xtal_BW#'!$A:$Z,26,FALSE)</f>
        <v>58</v>
      </c>
      <c r="AA129" s="27" t="str">
        <f>VLOOKUP(A129,Classification!A:B,2,FALSE)</f>
        <v>A</v>
      </c>
      <c r="AB129" s="1">
        <f>VLOOKUP(A129,'SegEnds_NonXtal_Prot#'!A:AL,10,FALSE)-VLOOKUP(A129,'SegEnds_NonXtal_Prot#'!A:AL,4,FALSE)</f>
        <v>28</v>
      </c>
      <c r="AC129" s="1">
        <f>VLOOKUP(A129,'SegEnds_NonXtal_Prot#'!A:AL,10,FALSE)-VLOOKUP(A129,'SegEnds_NonXtal_Prot#'!A:AL,7,FALSE)</f>
        <v>15</v>
      </c>
      <c r="AD129" s="1">
        <f>VLOOKUP(A129,'SegEnds_NonXtal_Prot#'!A:AL,13,FALSE)-VLOOKUP(A129,'SegEnds_NonXtal_Prot#'!A:AL,10,FALSE)</f>
        <v>20</v>
      </c>
      <c r="AE129" s="1">
        <f>VLOOKUP(A129,'SegEnds_NonXtal_Prot#'!A:AL,16,FALSE)-VLOOKUP(A129,'SegEnds_NonXtal_Prot#'!A:AL,10,FALSE)</f>
        <v>52</v>
      </c>
      <c r="AF129" s="1" t="e">
        <f>VLOOKUP(A129,'SegEnds_NonXtal_Prot#'!A:AL,22,FALSE)-VLOOKUP(A129,'SegEnds_NonXtal_Prot#'!A:AL,19,FALSE)</f>
        <v>#VALUE!</v>
      </c>
      <c r="AG129" s="1">
        <f>VLOOKUP(A129,'SegEnds_NonXtal_Prot#'!A:AL,28,FALSE)-VLOOKUP(A129,'SegEnds_NonXtal_Prot#'!A:AL,25,FALSE)</f>
        <v>26</v>
      </c>
      <c r="AH129" s="1">
        <f>VLOOKUP(A129,'SegEnds_NonXtal_Prot#'!A:AL,28,FALSE)-VLOOKUP(A129,'SegEnds_NonXtal_Prot#'!A:AL,22,FALSE)</f>
        <v>51</v>
      </c>
      <c r="AI129" s="1">
        <f>VLOOKUP(A129,'SegEnds_NonXtal_Prot#'!A:AL,31,FALSE)-VLOOKUP(A129,'SegEnds_NonXtal_Prot#'!A:AL,28,FALSE)</f>
        <v>55</v>
      </c>
      <c r="AJ129" s="1">
        <f>VLOOKUP(A129,'SegEnds_NonXtal_Prot#'!A:AL,34,FALSE)-VLOOKUP(A129,'SegEnds_NonXtal_Prot#'!A:AL,31,FALSE)</f>
        <v>39</v>
      </c>
      <c r="AK129" s="1">
        <f>VLOOKUP(A129,'SegEnds_NonXtal_Prot#'!A:AL,37,FALSE)-VLOOKUP(A129,'SegEnds_NonXtal_Prot#'!A:AL,34,FALSE)</f>
        <v>10</v>
      </c>
      <c r="AL129" s="1" t="str">
        <f>IF(ISERROR(MATCH(A129,'SegEnds_Xtal_Prot#'!B:B, 0)), "NoXtal", "Xtal")</f>
        <v>NoXtal</v>
      </c>
    </row>
    <row r="130" spans="1:38" x14ac:dyDescent="0.2">
      <c r="A130" s="1" t="s">
        <v>323</v>
      </c>
      <c r="B130" s="1" t="str">
        <f>VLOOKUP(A130,Xtal_Templ!A:B,2,FALSE)</f>
        <v>5ht2c_human</v>
      </c>
      <c r="C130" s="5">
        <f>VLOOKUP($B130&amp;"__wt",'SegEnds_Xtal_BW#'!$A:$Z,3,FALSE)</f>
        <v>33</v>
      </c>
      <c r="D130" s="1">
        <f>VLOOKUP($B130&amp;"__wt",'SegEnds_Xtal_BW#'!$A:$Z,4,FALSE)</f>
        <v>60</v>
      </c>
      <c r="E130" s="1">
        <f>VLOOKUP($B130&amp;"__wt",'SegEnds_Xtal_BW#'!$A:$Z,5,FALSE)</f>
        <v>48</v>
      </c>
      <c r="F130" s="1">
        <f>VLOOKUP($B130&amp;"__wt",'SegEnds_Xtal_BW#'!$A:$Z,6,FALSE)</f>
        <v>51</v>
      </c>
      <c r="G130" s="1">
        <v>37</v>
      </c>
      <c r="H130" s="12">
        <f>VLOOKUP($B130&amp;"__wt",'SegEnds_Xtal_BW#'!$A:$Z,8,FALSE)</f>
        <v>68</v>
      </c>
      <c r="I130" s="1">
        <f>VLOOKUP($B130&amp;"__wt",'SegEnds_Xtal_BW#'!$A:$Z,9,FALSE)</f>
        <v>49</v>
      </c>
      <c r="J130" s="1">
        <f>VLOOKUP($B130&amp;"__wt",'SegEnds_Xtal_BW#'!$A:$Z,10,FALSE)</f>
        <v>52</v>
      </c>
      <c r="K130" s="12">
        <v>18</v>
      </c>
      <c r="L130" s="1">
        <f>VLOOKUP($B130&amp;"__wt",'SegEnds_Xtal_BW#'!$A:$Z,12,FALSE)</f>
        <v>56</v>
      </c>
      <c r="M130" s="1">
        <f>VLOOKUP($B130&amp;"__wt",'SegEnds_Xtal_BW#'!$A:$Z,13,FALSE)</f>
        <v>50</v>
      </c>
      <c r="N130" s="12">
        <v>53</v>
      </c>
      <c r="O130" s="87">
        <v>38</v>
      </c>
      <c r="P130" s="1">
        <f>VLOOKUP($B130&amp;"__wt",'SegEnds_Xtal_BW#'!$A:$Z,16,FALSE)</f>
        <v>67</v>
      </c>
      <c r="Q130" s="1">
        <f>VLOOKUP($B130&amp;"__wt",'SegEnds_Xtal_BW#'!$A:$Z,17,FALSE)</f>
        <v>50</v>
      </c>
      <c r="R130" s="1">
        <f>VLOOKUP($B130&amp;"__wt",'SegEnds_Xtal_BW#'!$A:$Z,18,FALSE)</f>
        <v>52</v>
      </c>
      <c r="S130" s="1">
        <f>VLOOKUP($B130&amp;"__wt",'SegEnds_Xtal_BW#'!$A:$Z,19,FALSE)</f>
        <v>35</v>
      </c>
      <c r="T130" s="1">
        <f t="array" ref="T130">INDEX(ICL3_classA!$G$2:$G$39,MATCH(MIN(ABS(AI130-ICL3_classA!$F$2:$F$39)),ABS(AI130-ICL3_classA!$F$2:$F$39),0))</f>
        <v>76</v>
      </c>
      <c r="U130" s="1">
        <f t="array" ref="U130">INDEX(ICL3_classA!$H$2:$H$39,MATCH(MIN(ABS(AI130-ICL3_classA!$F$2:$F$39)),ABS(AI130-ICL3_classA!$F$2:$F$39),0))</f>
        <v>24</v>
      </c>
      <c r="V130" s="1">
        <v>61</v>
      </c>
      <c r="W130" s="131">
        <f>VLOOKUP($B130&amp;"__wt",'SegEnds_Xtal_BW#'!$A:$Z,23,FALSE)</f>
        <v>27</v>
      </c>
      <c r="X130" s="1">
        <f>VLOOKUP($B130&amp;"__wt",'SegEnds_Xtal_BW#'!$A:$Z,24,FALSE)</f>
        <v>56</v>
      </c>
      <c r="Y130" s="1">
        <f>VLOOKUP($B130&amp;"__wt",'SegEnds_Xtal_BW#'!$A:$Z,25,FALSE)</f>
        <v>47</v>
      </c>
      <c r="Z130" s="1">
        <f>VLOOKUP($B130&amp;"__wt",'SegEnds_Xtal_BW#'!$A:$Z,26,FALSE)</f>
        <v>60</v>
      </c>
      <c r="AA130" s="27" t="str">
        <f>VLOOKUP(A130,Classification!A:B,2,FALSE)</f>
        <v>A</v>
      </c>
      <c r="AB130" s="1">
        <f>VLOOKUP(A130,'SegEnds_NonXtal_Prot#'!A:AL,10,FALSE)-VLOOKUP(A130,'SegEnds_NonXtal_Prot#'!A:AL,4,FALSE)</f>
        <v>27</v>
      </c>
      <c r="AC130" s="1" t="e">
        <f>VLOOKUP(A130,'SegEnds_NonXtal_Prot#'!A:AL,10,FALSE)-VLOOKUP(A130,'SegEnds_NonXtal_Prot#'!A:AL,7,FALSE)</f>
        <v>#VALUE!</v>
      </c>
      <c r="AD130" s="1">
        <f>VLOOKUP(A130,'SegEnds_NonXtal_Prot#'!A:AL,13,FALSE)-VLOOKUP(A130,'SegEnds_NonXtal_Prot#'!A:AL,10,FALSE)</f>
        <v>20</v>
      </c>
      <c r="AE130" s="1">
        <f>VLOOKUP(A130,'SegEnds_NonXtal_Prot#'!A:AL,16,FALSE)-VLOOKUP(A130,'SegEnds_NonXtal_Prot#'!A:AL,10,FALSE)</f>
        <v>52</v>
      </c>
      <c r="AF130" s="1">
        <f>VLOOKUP(A130,'SegEnds_NonXtal_Prot#'!A:AL,22,FALSE)-VLOOKUP(A130,'SegEnds_NonXtal_Prot#'!A:AL,19,FALSE)</f>
        <v>18</v>
      </c>
      <c r="AG130" s="1">
        <f>VLOOKUP(A130,'SegEnds_NonXtal_Prot#'!A:AL,28,FALSE)-VLOOKUP(A130,'SegEnds_NonXtal_Prot#'!A:AL,25,FALSE)</f>
        <v>25</v>
      </c>
      <c r="AH130" s="1">
        <f>VLOOKUP(A130,'SegEnds_NonXtal_Prot#'!A:AL,28,FALSE)-VLOOKUP(A130,'SegEnds_NonXtal_Prot#'!A:AL,22,FALSE)</f>
        <v>51</v>
      </c>
      <c r="AI130" s="1">
        <f>VLOOKUP(A130,'SegEnds_NonXtal_Prot#'!A:AL,31,FALSE)-VLOOKUP(A130,'SegEnds_NonXtal_Prot#'!A:AL,28,FALSE)</f>
        <v>67</v>
      </c>
      <c r="AJ130" s="1">
        <f>VLOOKUP(A130,'SegEnds_NonXtal_Prot#'!A:AL,34,FALSE)-VLOOKUP(A130,'SegEnds_NonXtal_Prot#'!A:AL,31,FALSE)</f>
        <v>38</v>
      </c>
      <c r="AK130" s="1">
        <f>VLOOKUP(A130,'SegEnds_NonXtal_Prot#'!A:AL,37,FALSE)-VLOOKUP(A130,'SegEnds_NonXtal_Prot#'!A:AL,34,FALSE)</f>
        <v>10</v>
      </c>
      <c r="AL130" s="1" t="str">
        <f>IF(ISERROR(MATCH(A130,'SegEnds_Xtal_Prot#'!B:B, 0)), "NoXtal", "Xtal")</f>
        <v>NoXtal</v>
      </c>
    </row>
    <row r="131" spans="1:38" x14ac:dyDescent="0.2">
      <c r="A131" s="1" t="s">
        <v>330</v>
      </c>
      <c r="B131" s="1" t="str">
        <f>VLOOKUP(A131,Xtal_Templ!A:B,2,FALSE)</f>
        <v>ptafr_human</v>
      </c>
      <c r="C131" s="5">
        <f>VLOOKUP($B131&amp;"__wt",'SegEnds_Xtal_BW#'!$A:$Z,3,FALSE)</f>
        <v>27</v>
      </c>
      <c r="D131" s="108">
        <v>60</v>
      </c>
      <c r="E131" s="108">
        <v>48</v>
      </c>
      <c r="F131" s="108">
        <v>51</v>
      </c>
      <c r="G131" s="1">
        <v>37</v>
      </c>
      <c r="H131" s="12">
        <f>VLOOKUP($B131&amp;"__wt",'SegEnds_Xtal_BW#'!$A:$Z,8,FALSE)</f>
        <v>67</v>
      </c>
      <c r="I131" s="1">
        <f>VLOOKUP($B131&amp;"__wt",'SegEnds_Xtal_BW#'!$A:$Z,9,FALSE)</f>
        <v>49</v>
      </c>
      <c r="J131" s="1">
        <f>VLOOKUP($B131&amp;"__wt",'SegEnds_Xtal_BW#'!$A:$Z,10,FALSE)</f>
        <v>52</v>
      </c>
      <c r="K131" s="12">
        <v>18</v>
      </c>
      <c r="L131" s="1">
        <f>VLOOKUP($B131&amp;"__wt",'SegEnds_Xtal_BW#'!$A:$Z,12,FALSE)</f>
        <v>56</v>
      </c>
      <c r="M131" s="1">
        <f>VLOOKUP($B131&amp;"__wt",'SegEnds_Xtal_BW#'!$A:$Z,13,FALSE)</f>
        <v>50</v>
      </c>
      <c r="N131" s="12">
        <v>57</v>
      </c>
      <c r="O131" s="87">
        <f>VLOOKUP($B131&amp;"__wt",'SegEnds_Xtal_BW#'!$A:$Z,15,FALSE)</f>
        <v>38</v>
      </c>
      <c r="P131" s="1">
        <f>VLOOKUP($B131&amp;"__wt",'SegEnds_Xtal_BW#'!$A:$Z,16,FALSE)</f>
        <v>63</v>
      </c>
      <c r="Q131" s="1">
        <f>VLOOKUP($B131&amp;"__wt",'SegEnds_Xtal_BW#'!$A:$Z,17,FALSE)</f>
        <v>50</v>
      </c>
      <c r="R131" s="1">
        <f>VLOOKUP($B131&amp;"__wt",'SegEnds_Xtal_BW#'!$A:$Z,18,FALSE)</f>
        <v>52</v>
      </c>
      <c r="S131" s="1">
        <f>VLOOKUP($B131&amp;"__wt",'SegEnds_Xtal_BW#'!$A:$Z,19,FALSE)</f>
        <v>33</v>
      </c>
      <c r="T131" s="1">
        <f t="array" ref="T131">INDEX(ICL3_classA!$G$2:$G$39,MATCH(MIN(ABS(AI131-ICL3_classA!$F$2:$F$39)),ABS(AI131-ICL3_classA!$F$2:$F$39),0))</f>
        <v>67</v>
      </c>
      <c r="U131" s="1">
        <f t="array" ref="U131">INDEX(ICL3_classA!$H$2:$H$39,MATCH(MIN(ABS(AI131-ICL3_classA!$F$2:$F$39)),ABS(AI131-ICL3_classA!$F$2:$F$39),0))</f>
        <v>26</v>
      </c>
      <c r="V131" s="1">
        <v>61</v>
      </c>
      <c r="W131" s="1">
        <v>28</v>
      </c>
      <c r="X131" s="1">
        <f>VLOOKUP($B131&amp;"__wt",'SegEnds_Xtal_BW#'!$A:$Z,24,FALSE)</f>
        <v>59</v>
      </c>
      <c r="Y131" s="1">
        <f>VLOOKUP($B131&amp;"__wt",'SegEnds_Xtal_BW#'!$A:$Z,25,FALSE)</f>
        <v>50</v>
      </c>
      <c r="Z131" s="1">
        <f>VLOOKUP($B131&amp;"__wt",'SegEnds_Xtal_BW#'!$A:$Z,26,FALSE)</f>
        <v>63</v>
      </c>
      <c r="AA131" s="27" t="str">
        <f>VLOOKUP(A131,Classification!A:B,2,FALSE)</f>
        <v>A</v>
      </c>
      <c r="AB131" s="1">
        <f>VLOOKUP(A131,'SegEnds_NonXtal_Prot#'!A:AL,10,FALSE)-VLOOKUP(A131,'SegEnds_NonXtal_Prot#'!A:AL,4,FALSE)</f>
        <v>28</v>
      </c>
      <c r="AC131" s="1">
        <f>VLOOKUP(A131,'SegEnds_NonXtal_Prot#'!A:AL,10,FALSE)-VLOOKUP(A131,'SegEnds_NonXtal_Prot#'!A:AL,7,FALSE)</f>
        <v>15</v>
      </c>
      <c r="AD131" s="1">
        <f>VLOOKUP(A131,'SegEnds_NonXtal_Prot#'!A:AL,13,FALSE)-VLOOKUP(A131,'SegEnds_NonXtal_Prot#'!A:AL,10,FALSE)</f>
        <v>20</v>
      </c>
      <c r="AE131" s="1">
        <f>VLOOKUP(A131,'SegEnds_NonXtal_Prot#'!A:AL,16,FALSE)-VLOOKUP(A131,'SegEnds_NonXtal_Prot#'!A:AL,10,FALSE)</f>
        <v>52</v>
      </c>
      <c r="AF131" s="1">
        <f>VLOOKUP(A131,'SegEnds_NonXtal_Prot#'!A:AL,22,FALSE)-VLOOKUP(A131,'SegEnds_NonXtal_Prot#'!A:AL,19,FALSE)</f>
        <v>20</v>
      </c>
      <c r="AG131" s="1">
        <f>VLOOKUP(A131,'SegEnds_NonXtal_Prot#'!A:AL,28,FALSE)-VLOOKUP(A131,'SegEnds_NonXtal_Prot#'!A:AL,25,FALSE)</f>
        <v>25</v>
      </c>
      <c r="AH131" s="1">
        <f>VLOOKUP(A131,'SegEnds_NonXtal_Prot#'!A:AL,28,FALSE)-VLOOKUP(A131,'SegEnds_NonXtal_Prot#'!A:AL,22,FALSE)</f>
        <v>51</v>
      </c>
      <c r="AI131" s="1">
        <f>VLOOKUP(A131,'SegEnds_NonXtal_Prot#'!A:AL,31,FALSE)-VLOOKUP(A131,'SegEnds_NonXtal_Prot#'!A:AL,28,FALSE)</f>
        <v>46</v>
      </c>
      <c r="AJ131" s="1">
        <f>VLOOKUP(A131,'SegEnds_NonXtal_Prot#'!A:AL,34,FALSE)-VLOOKUP(A131,'SegEnds_NonXtal_Prot#'!A:AL,31,FALSE)</f>
        <v>40</v>
      </c>
      <c r="AK131" s="1">
        <f>VLOOKUP(A131,'SegEnds_NonXtal_Prot#'!A:AL,37,FALSE)-VLOOKUP(A131,'SegEnds_NonXtal_Prot#'!A:AL,34,FALSE)</f>
        <v>10</v>
      </c>
      <c r="AL131" s="1" t="str">
        <f>IF(ISERROR(MATCH(A131,'SegEnds_Xtal_Prot#'!B:B, 0)), "NoXtal", "Xtal")</f>
        <v>NoXtal</v>
      </c>
    </row>
    <row r="132" spans="1:38" x14ac:dyDescent="0.2">
      <c r="A132" s="4" t="s">
        <v>343</v>
      </c>
      <c r="B132" s="4" t="str">
        <f>VLOOKUP(A132,Xtal_Templ!A:B,2,FALSE)</f>
        <v>ox1r_human</v>
      </c>
      <c r="C132" s="5">
        <f>VLOOKUP($B132&amp;"__wt",'SegEnds_Xtal_BW#'!$A:$Z,3,FALSE)</f>
        <v>32</v>
      </c>
      <c r="D132" s="4">
        <f>VLOOKUP($B132&amp;"__wt",'SegEnds_Xtal_BW#'!$A:$Z,4,FALSE)</f>
        <v>60</v>
      </c>
      <c r="E132" s="4">
        <f>VLOOKUP($B132&amp;"__wt",'SegEnds_Xtal_BW#'!$A:$Z,5,FALSE)</f>
        <v>48</v>
      </c>
      <c r="F132" s="4">
        <f>VLOOKUP($B132&amp;"__wt",'SegEnds_Xtal_BW#'!$A:$Z,6,FALSE)</f>
        <v>51</v>
      </c>
      <c r="G132" s="4">
        <v>37</v>
      </c>
      <c r="H132" s="11">
        <v>66</v>
      </c>
      <c r="I132" s="4">
        <f>VLOOKUP($B132&amp;"__wt",'SegEnds_Xtal_BW#'!$A:$Z,9,FALSE)</f>
        <v>49</v>
      </c>
      <c r="J132" s="4">
        <f>VLOOKUP($B132&amp;"__wt",'SegEnds_Xtal_BW#'!$A:$Z,10,FALSE)</f>
        <v>52</v>
      </c>
      <c r="K132" s="11">
        <v>18</v>
      </c>
      <c r="L132" s="4">
        <f>VLOOKUP($B132&amp;"__wt",'SegEnds_Xtal_BW#'!$A:$Z,12,FALSE)</f>
        <v>56</v>
      </c>
      <c r="M132" s="4">
        <f>VLOOKUP($B132&amp;"__wt",'SegEnds_Xtal_BW#'!$A:$Z,13,FALSE)</f>
        <v>50</v>
      </c>
      <c r="N132" s="11">
        <v>55</v>
      </c>
      <c r="O132" s="88">
        <v>38</v>
      </c>
      <c r="P132" s="4">
        <f>VLOOKUP($B132&amp;"__wt",'SegEnds_Xtal_BW#'!$A:$Z,16,FALSE)</f>
        <v>64</v>
      </c>
      <c r="Q132" s="4">
        <f>VLOOKUP($B132&amp;"__wt",'SegEnds_Xtal_BW#'!$A:$Z,17,FALSE)</f>
        <v>50</v>
      </c>
      <c r="R132" s="4">
        <f>VLOOKUP($B132&amp;"__wt",'SegEnds_Xtal_BW#'!$A:$Z,18,FALSE)</f>
        <v>52</v>
      </c>
      <c r="S132" s="4">
        <f>VLOOKUP($B132&amp;"__wt",'SegEnds_Xtal_BW#'!$A:$Z,19,FALSE)</f>
        <v>33</v>
      </c>
      <c r="T132" s="4">
        <f t="array" ref="T132">INDEX(ICL3_classA!$G$2:$G$39,MATCH(MIN(ABS(AI132-ICL3_classA!$F$2:$F$39)),ABS(AI132-ICL3_classA!$F$2:$F$39),0))</f>
        <v>76</v>
      </c>
      <c r="U132" s="4">
        <f t="array" ref="U132">INDEX(ICL3_classA!$H$2:$H$39,MATCH(MIN(ABS(AI132-ICL3_classA!$F$2:$F$39)),ABS(AI132-ICL3_classA!$F$2:$F$39),0))</f>
        <v>24</v>
      </c>
      <c r="V132" s="4">
        <v>61</v>
      </c>
      <c r="W132" s="4">
        <v>31</v>
      </c>
      <c r="X132" s="4">
        <f>VLOOKUP($B132&amp;"__wt",'SegEnds_Xtal_BW#'!$A:$Z,24,FALSE)</f>
        <v>56</v>
      </c>
      <c r="Y132" s="4">
        <f>VLOOKUP($B132&amp;"__wt",'SegEnds_Xtal_BW#'!$A:$Z,25,FALSE)</f>
        <v>47</v>
      </c>
      <c r="Z132" s="4">
        <f>VLOOKUP($B132&amp;"__wt",'SegEnds_Xtal_BW#'!$A:$Z,26,FALSE)</f>
        <v>63</v>
      </c>
      <c r="AA132" s="27" t="str">
        <f>VLOOKUP(A132,Classification!A:B,2,FALSE)</f>
        <v>A</v>
      </c>
      <c r="AB132" s="1">
        <f>VLOOKUP(A132,'SegEnds_NonXtal_Prot#'!A:AL,10,FALSE)-VLOOKUP(A132,'SegEnds_NonXtal_Prot#'!A:AL,4,FALSE)</f>
        <v>28</v>
      </c>
      <c r="AC132" s="4">
        <f>VLOOKUP(A132,'SegEnds_NonXtal_Prot#'!A:AL,10,FALSE)-VLOOKUP(A132,'SegEnds_NonXtal_Prot#'!A:AL,7,FALSE)</f>
        <v>15</v>
      </c>
      <c r="AD132" s="4">
        <f>VLOOKUP(A132,'SegEnds_NonXtal_Prot#'!A:AL,13,FALSE)-VLOOKUP(A132,'SegEnds_NonXtal_Prot#'!A:AL,10,FALSE)</f>
        <v>18</v>
      </c>
      <c r="AE132" s="4">
        <f>VLOOKUP(A132,'SegEnds_NonXtal_Prot#'!A:AL,16,FALSE)-VLOOKUP(A132,'SegEnds_NonXtal_Prot#'!A:AL,10,FALSE)</f>
        <v>52</v>
      </c>
      <c r="AF132" s="1" t="e">
        <f>VLOOKUP(A132,'SegEnds_NonXtal_Prot#'!A:AL,22,FALSE)-VLOOKUP(A132,'SegEnds_NonXtal_Prot#'!A:AL,19,FALSE)</f>
        <v>#VALUE!</v>
      </c>
      <c r="AG132" s="4">
        <f>VLOOKUP(A132,'SegEnds_NonXtal_Prot#'!A:AL,28,FALSE)-VLOOKUP(A132,'SegEnds_NonXtal_Prot#'!A:AL,25,FALSE)</f>
        <v>25</v>
      </c>
      <c r="AH132" s="1">
        <f>VLOOKUP(A132,'SegEnds_NonXtal_Prot#'!A:AL,28,FALSE)-VLOOKUP(A132,'SegEnds_NonXtal_Prot#'!A:AL,22,FALSE)</f>
        <v>51</v>
      </c>
      <c r="AI132" s="4">
        <f>VLOOKUP(A132,'SegEnds_NonXtal_Prot#'!A:AL,31,FALSE)-VLOOKUP(A132,'SegEnds_NonXtal_Prot#'!A:AL,28,FALSE)</f>
        <v>78</v>
      </c>
      <c r="AJ132" s="4">
        <f>VLOOKUP(A132,'SegEnds_NonXtal_Prot#'!A:AL,34,FALSE)-VLOOKUP(A132,'SegEnds_NonXtal_Prot#'!A:AL,31,FALSE)</f>
        <v>36</v>
      </c>
      <c r="AK132" s="1">
        <f>VLOOKUP(A132,'SegEnds_NonXtal_Prot#'!A:AL,37,FALSE)-VLOOKUP(A132,'SegEnds_NonXtal_Prot#'!A:AL,34,FALSE)</f>
        <v>10</v>
      </c>
      <c r="AL132" s="1" t="str">
        <f>IF(ISERROR(MATCH(A132,'SegEnds_Xtal_Prot#'!B:B, 0)), "NoXtal", "Xtal")</f>
        <v>NoXtal</v>
      </c>
    </row>
    <row r="133" spans="1:38" x14ac:dyDescent="0.2">
      <c r="A133" s="1" t="s">
        <v>363</v>
      </c>
      <c r="B133" s="1" t="str">
        <f>VLOOKUP(A133,Xtal_Templ!A:B,2,FALSE)</f>
        <v>pe2r4_human</v>
      </c>
      <c r="C133" s="5">
        <f>VLOOKUP($B133&amp;"__wt",'SegEnds_Xtal_BW#'!$A:$Z,3,FALSE)</f>
        <v>33</v>
      </c>
      <c r="D133" s="1">
        <f>VLOOKUP($B133&amp;"__wt",'SegEnds_Xtal_BW#'!$A:$Z,4,FALSE)</f>
        <v>58</v>
      </c>
      <c r="E133" s="1" t="str">
        <f>VLOOKUP($B133&amp;"__wt",'SegEnds_Xtal_BW#'!$A:$Z,5,FALSE)</f>
        <v>-</v>
      </c>
      <c r="F133" s="1" t="str">
        <f>VLOOKUP($B133&amp;"__wt",'SegEnds_Xtal_BW#'!$A:$Z,6,FALSE)</f>
        <v>-</v>
      </c>
      <c r="G133" s="1">
        <v>37</v>
      </c>
      <c r="H133" s="12">
        <f>VLOOKUP($B133&amp;"__wt",'SegEnds_Xtal_BW#'!$A:$Z,8,FALSE)</f>
        <v>67</v>
      </c>
      <c r="I133" s="1">
        <f>VLOOKUP($B133&amp;"__wt",'SegEnds_Xtal_BW#'!$A:$Z,9,FALSE)</f>
        <v>49</v>
      </c>
      <c r="J133" s="1">
        <f>VLOOKUP($B133&amp;"__wt",'SegEnds_Xtal_BW#'!$A:$Z,10,FALSE)</f>
        <v>52</v>
      </c>
      <c r="K133" s="12">
        <v>21</v>
      </c>
      <c r="L133" s="1">
        <f>VLOOKUP($B133&amp;"__wt",'SegEnds_Xtal_BW#'!$A:$Z,12,FALSE)</f>
        <v>56</v>
      </c>
      <c r="M133" s="1">
        <f>VLOOKUP($B133&amp;"__wt",'SegEnds_Xtal_BW#'!$A:$Z,13,FALSE)</f>
        <v>50</v>
      </c>
      <c r="N133" s="12">
        <f>VLOOKUP($B133&amp;"__wt",'SegEnds_Xtal_BW#'!$A:$Z,14,FALSE)</f>
        <v>57</v>
      </c>
      <c r="O133" s="87">
        <v>38</v>
      </c>
      <c r="P133" s="1">
        <f>VLOOKUP($B133&amp;"__wt",'SegEnds_Xtal_BW#'!$A:$Z,16,FALSE)</f>
        <v>63</v>
      </c>
      <c r="Q133" s="1">
        <f>VLOOKUP($B133&amp;"__wt",'SegEnds_Xtal_BW#'!$A:$Z,17,FALSE)</f>
        <v>50</v>
      </c>
      <c r="R133" s="1">
        <f>VLOOKUP($B133&amp;"__wt",'SegEnds_Xtal_BW#'!$A:$Z,18,FALSE)</f>
        <v>52</v>
      </c>
      <c r="S133" s="1">
        <f>VLOOKUP($B133&amp;"__wt",'SegEnds_Xtal_BW#'!$A:$Z,19,FALSE)</f>
        <v>33</v>
      </c>
      <c r="T133" s="1">
        <f t="array" ref="T133">INDEX(ICL3_classA!$G$2:$G$39,MATCH(MIN(ABS(AI133-ICL3_classA!$F$2:$F$39)),ABS(AI133-ICL3_classA!$F$2:$F$39),0))</f>
        <v>76</v>
      </c>
      <c r="U133" s="1">
        <f t="array" ref="U133">INDEX(ICL3_classA!$H$2:$H$39,MATCH(MIN(ABS(AI133-ICL3_classA!$F$2:$F$39)),ABS(AI133-ICL3_classA!$F$2:$F$39),0))</f>
        <v>24</v>
      </c>
      <c r="V133" s="1">
        <v>61</v>
      </c>
      <c r="W133" s="131">
        <f>VLOOKUP($B133&amp;"__wt",'SegEnds_Xtal_BW#'!$A:$Z,23,FALSE)</f>
        <v>33</v>
      </c>
      <c r="X133" s="1">
        <f>VLOOKUP($B133&amp;"__wt",'SegEnds_Xtal_BW#'!$A:$Z,24,FALSE)</f>
        <v>56</v>
      </c>
      <c r="Y133" s="1">
        <f>VLOOKUP($B133&amp;"__wt",'SegEnds_Xtal_BW#'!$A:$Z,25,FALSE)</f>
        <v>47</v>
      </c>
      <c r="Z133" s="1">
        <f>VLOOKUP($B133&amp;"__wt",'SegEnds_Xtal_BW#'!$A:$Z,26,FALSE)</f>
        <v>60</v>
      </c>
      <c r="AA133" s="27" t="str">
        <f>VLOOKUP(A133,Classification!A:B,2,FALSE)</f>
        <v>A</v>
      </c>
      <c r="AB133" s="1">
        <f>VLOOKUP(A133,'SegEnds_NonXtal_Prot#'!A:AL,10,FALSE)-VLOOKUP(A133,'SegEnds_NonXtal_Prot#'!A:AL,4,FALSE)</f>
        <v>30</v>
      </c>
      <c r="AC133" s="1" t="e">
        <f>VLOOKUP(A133,'SegEnds_NonXtal_Prot#'!A:AL,10,FALSE)-VLOOKUP(A133,'SegEnds_NonXtal_Prot#'!A:AL,7,FALSE)</f>
        <v>#VALUE!</v>
      </c>
      <c r="AD133" s="1">
        <f>VLOOKUP(A133,'SegEnds_NonXtal_Prot#'!A:AL,13,FALSE)-VLOOKUP(A133,'SegEnds_NonXtal_Prot#'!A:AL,10,FALSE)</f>
        <v>20</v>
      </c>
      <c r="AE133" s="1">
        <f>VLOOKUP(A133,'SegEnds_NonXtal_Prot#'!A:AL,16,FALSE)-VLOOKUP(A133,'SegEnds_NonXtal_Prot#'!A:AL,10,FALSE)</f>
        <v>52</v>
      </c>
      <c r="AF133" s="1">
        <f>VLOOKUP(A133,'SegEnds_NonXtal_Prot#'!A:AL,22,FALSE)-VLOOKUP(A133,'SegEnds_NonXtal_Prot#'!A:AL,19,FALSE)</f>
        <v>20</v>
      </c>
      <c r="AG133" s="1">
        <f>VLOOKUP(A133,'SegEnds_NonXtal_Prot#'!A:AL,28,FALSE)-VLOOKUP(A133,'SegEnds_NonXtal_Prot#'!A:AL,25,FALSE)</f>
        <v>25</v>
      </c>
      <c r="AH133" s="1">
        <f>VLOOKUP(A133,'SegEnds_NonXtal_Prot#'!A:AL,28,FALSE)-VLOOKUP(A133,'SegEnds_NonXtal_Prot#'!A:AL,22,FALSE)</f>
        <v>51</v>
      </c>
      <c r="AI133" s="1">
        <f>VLOOKUP(A133,'SegEnds_NonXtal_Prot#'!A:AL,31,FALSE)-VLOOKUP(A133,'SegEnds_NonXtal_Prot#'!A:AL,28,FALSE)</f>
        <v>92</v>
      </c>
      <c r="AJ133" s="1">
        <f>VLOOKUP(A133,'SegEnds_NonXtal_Prot#'!A:AL,34,FALSE)-VLOOKUP(A133,'SegEnds_NonXtal_Prot#'!A:AL,31,FALSE)</f>
        <v>39</v>
      </c>
      <c r="AK133" s="1">
        <f>VLOOKUP(A133,'SegEnds_NonXtal_Prot#'!A:AL,37,FALSE)-VLOOKUP(A133,'SegEnds_NonXtal_Prot#'!A:AL,34,FALSE)</f>
        <v>10</v>
      </c>
      <c r="AL133" s="1" t="str">
        <f>IF(ISERROR(MATCH(A133,'SegEnds_Xtal_Prot#'!B:B, 0)), "NoXtal", "Xtal")</f>
        <v>Xtal</v>
      </c>
    </row>
    <row r="134" spans="1:38" x14ac:dyDescent="0.2">
      <c r="A134" s="1" t="s">
        <v>1445</v>
      </c>
      <c r="B134" s="1" t="s">
        <v>1445</v>
      </c>
      <c r="C134" s="5">
        <f>VLOOKUP($B134&amp;"__wt",'SegEnds_Xtal_BW#'!$A:$Z,3,FALSE)</f>
        <v>29</v>
      </c>
      <c r="D134" s="1">
        <f>VLOOKUP($B134&amp;"__wt",'SegEnds_Xtal_BW#'!$A:$Z,4,FALSE)</f>
        <v>60</v>
      </c>
      <c r="E134" s="1">
        <f>VLOOKUP($B134&amp;"__wt",'SegEnds_Xtal_BW#'!$A:$Z,5,FALSE)</f>
        <v>48</v>
      </c>
      <c r="F134" s="1">
        <f>VLOOKUP($B134&amp;"__wt",'SegEnds_Xtal_BW#'!$A:$Z,6,FALSE)</f>
        <v>51</v>
      </c>
      <c r="G134" s="1">
        <v>37</v>
      </c>
      <c r="H134" s="12">
        <f>VLOOKUP($B134&amp;"__wt",'SegEnds_Xtal_BW#'!$A:$Z,8,FALSE)</f>
        <v>67</v>
      </c>
      <c r="I134" s="1">
        <f>VLOOKUP($B134&amp;"__wt",'SegEnds_Xtal_BW#'!$A:$Z,9,FALSE)</f>
        <v>49</v>
      </c>
      <c r="J134" s="1">
        <f>VLOOKUP($B134&amp;"__wt",'SegEnds_Xtal_BW#'!$A:$Z,10,FALSE)</f>
        <v>52</v>
      </c>
      <c r="K134" s="12">
        <f>VLOOKUP($B134&amp;"__wt",'SegEnds_Xtal_BW#'!$A:$Z,11,FALSE)</f>
        <v>21</v>
      </c>
      <c r="L134" s="1">
        <f>VLOOKUP($B134&amp;"__wt",'SegEnds_Xtal_BW#'!$A:$Z,12,FALSE)</f>
        <v>56</v>
      </c>
      <c r="M134" s="1">
        <f>VLOOKUP($B134&amp;"__wt",'SegEnds_Xtal_BW#'!$A:$Z,13,FALSE)</f>
        <v>50</v>
      </c>
      <c r="N134" s="12">
        <f>VLOOKUP($B134&amp;"__wt",'SegEnds_Xtal_BW#'!$A:$Z,14,FALSE)</f>
        <v>57</v>
      </c>
      <c r="O134" s="87">
        <f>VLOOKUP($B134&amp;"__wt",'SegEnds_Xtal_BW#'!$A:$Z,15,FALSE)</f>
        <v>38</v>
      </c>
      <c r="P134" s="1">
        <f>VLOOKUP($B134&amp;"__wt",'SegEnds_Xtal_BW#'!$A:$Z,16,FALSE)</f>
        <v>64</v>
      </c>
      <c r="Q134" s="1">
        <f>VLOOKUP($B134&amp;"__wt",'SegEnds_Xtal_BW#'!$A:$Z,17,FALSE)</f>
        <v>50</v>
      </c>
      <c r="R134" s="1">
        <f>VLOOKUP($B134&amp;"__wt",'SegEnds_Xtal_BW#'!$A:$Z,18,FALSE)</f>
        <v>52</v>
      </c>
      <c r="S134" s="1">
        <f>VLOOKUP($B134&amp;"__wt",'SegEnds_Xtal_BW#'!$A:$Z,19,FALSE)</f>
        <v>31</v>
      </c>
      <c r="T134" s="1">
        <f t="array" ref="T134">INDEX(ICL3_classA!$G$2:$G$39,MATCH(MIN(ABS(AI134-ICL3_classA!$F$2:$F$39)),ABS(AI134-ICL3_classA!$F$2:$F$39),0))</f>
        <v>68</v>
      </c>
      <c r="U134" s="1">
        <f t="array" ref="U134">INDEX(ICL3_classA!$H$2:$H$39,MATCH(MIN(ABS(AI134-ICL3_classA!$F$2:$F$39)),ABS(AI134-ICL3_classA!$F$2:$F$39),0))</f>
        <v>30</v>
      </c>
      <c r="V134" s="1">
        <v>64</v>
      </c>
      <c r="W134" s="1">
        <v>24</v>
      </c>
      <c r="X134" s="1">
        <f>VLOOKUP($B134&amp;"__wt",'SegEnds_Xtal_BW#'!$A:$Z,24,FALSE)</f>
        <v>56</v>
      </c>
      <c r="Y134" s="1">
        <f>VLOOKUP($B134&amp;"__wt",'SegEnds_Xtal_BW#'!$A:$Z,25,FALSE)</f>
        <v>47</v>
      </c>
      <c r="Z134" s="1">
        <f>VLOOKUP($B134&amp;"__wt",'SegEnds_Xtal_BW#'!$A:$Z,26,FALSE)</f>
        <v>61</v>
      </c>
      <c r="AA134" s="27" t="str">
        <f>VLOOKUP(A134,Classification!A:B,2,FALSE)</f>
        <v>A</v>
      </c>
      <c r="AB134" s="1">
        <f>VLOOKUP(A134,'SegEnds_NonXtal_Prot#'!A:AL,10,FALSE)-VLOOKUP(A134,'SegEnds_NonXtal_Prot#'!A:AL,4,FALSE)</f>
        <v>28</v>
      </c>
      <c r="AC134" s="1">
        <f>VLOOKUP(A134,'SegEnds_NonXtal_Prot#'!A:AL,10,FALSE)-VLOOKUP(A134,'SegEnds_NonXtal_Prot#'!A:AL,7,FALSE)</f>
        <v>15</v>
      </c>
      <c r="AD134" s="1">
        <f>VLOOKUP(A134,'SegEnds_NonXtal_Prot#'!A:AL,13,FALSE)-VLOOKUP(A134,'SegEnds_NonXtal_Prot#'!A:AL,10,FALSE)</f>
        <v>19</v>
      </c>
      <c r="AE134" s="1">
        <f>VLOOKUP(A134,'SegEnds_NonXtal_Prot#'!A:AL,16,FALSE)-VLOOKUP(A134,'SegEnds_NonXtal_Prot#'!A:AL,10,FALSE)</f>
        <v>51</v>
      </c>
      <c r="AF134" s="1">
        <f>VLOOKUP(A134,'SegEnds_NonXtal_Prot#'!A:AL,22,FALSE)-VLOOKUP(A134,'SegEnds_NonXtal_Prot#'!A:AL,19,FALSE)</f>
        <v>20</v>
      </c>
      <c r="AG134" s="1">
        <f>VLOOKUP(A134,'SegEnds_NonXtal_Prot#'!A:AL,28,FALSE)-VLOOKUP(A134,'SegEnds_NonXtal_Prot#'!A:AL,25,FALSE)</f>
        <v>25</v>
      </c>
      <c r="AH134" s="1">
        <f>VLOOKUP(A134,'SegEnds_NonXtal_Prot#'!A:AL,28,FALSE)-VLOOKUP(A134,'SegEnds_NonXtal_Prot#'!A:AL,22,FALSE)</f>
        <v>51</v>
      </c>
      <c r="AI134" s="1">
        <f>VLOOKUP(A134,'SegEnds_NonXtal_Prot#'!A:AL,31,FALSE)-VLOOKUP(A134,'SegEnds_NonXtal_Prot#'!A:AL,28,FALSE)</f>
        <v>43</v>
      </c>
      <c r="AJ134" s="1">
        <f>VLOOKUP(A134,'SegEnds_NonXtal_Prot#'!A:AL,34,FALSE)-VLOOKUP(A134,'SegEnds_NonXtal_Prot#'!A:AL,31,FALSE)</f>
        <v>43</v>
      </c>
      <c r="AK134" s="1">
        <f>VLOOKUP(A134,'SegEnds_NonXtal_Prot#'!A:AL,37,FALSE)-VLOOKUP(A134,'SegEnds_NonXtal_Prot#'!A:AL,34,FALSE)</f>
        <v>10</v>
      </c>
      <c r="AL134" s="1" t="str">
        <f>IF(ISERROR(MATCH(A134,'SegEnds_Xtal_Prot#'!B:B, 0)), "NoXtal", "Xtal")</f>
        <v>Xtal</v>
      </c>
    </row>
    <row r="135" spans="1:38" x14ac:dyDescent="0.2">
      <c r="A135" s="1" t="s">
        <v>161</v>
      </c>
      <c r="B135" s="1" t="str">
        <f>VLOOKUP(A135,Xtal_Templ!A:B,2,FALSE)</f>
        <v>agtr1_human</v>
      </c>
      <c r="C135" s="5">
        <f>VLOOKUP($B135&amp;"__wt",'SegEnds_Xtal_BW#'!$A:$Z,3,FALSE)</f>
        <v>28</v>
      </c>
      <c r="D135" s="1">
        <f>VLOOKUP($B135&amp;"__wt",'SegEnds_Xtal_BW#'!$A:$Z,4,FALSE)</f>
        <v>60</v>
      </c>
      <c r="E135" s="1">
        <f>VLOOKUP($B135&amp;"__wt",'SegEnds_Xtal_BW#'!$A:$Z,5,FALSE)</f>
        <v>48</v>
      </c>
      <c r="F135" s="1">
        <f>VLOOKUP($B135&amp;"__wt",'SegEnds_Xtal_BW#'!$A:$Z,6,FALSE)</f>
        <v>51</v>
      </c>
      <c r="G135" s="1">
        <v>37</v>
      </c>
      <c r="H135" s="12">
        <f>VLOOKUP($B135&amp;"__wt",'SegEnds_Xtal_BW#'!$A:$Z,8,FALSE)</f>
        <v>67</v>
      </c>
      <c r="I135" s="1">
        <f>VLOOKUP($B135&amp;"__wt",'SegEnds_Xtal_BW#'!$A:$Z,9,FALSE)</f>
        <v>49</v>
      </c>
      <c r="J135" s="1">
        <f>VLOOKUP($B135&amp;"__wt",'SegEnds_Xtal_BW#'!$A:$Z,10,FALSE)</f>
        <v>52</v>
      </c>
      <c r="K135" s="12">
        <v>18</v>
      </c>
      <c r="L135" s="1">
        <f>VLOOKUP($B135&amp;"__wt",'SegEnds_Xtal_BW#'!$A:$Z,12,FALSE)</f>
        <v>56</v>
      </c>
      <c r="M135" s="1">
        <f>VLOOKUP($B135&amp;"__wt",'SegEnds_Xtal_BW#'!$A:$Z,13,FALSE)</f>
        <v>50</v>
      </c>
      <c r="N135" s="12">
        <f>VLOOKUP($B135&amp;"__wt",'SegEnds_Xtal_BW#'!$A:$Z,14,FALSE)</f>
        <v>57</v>
      </c>
      <c r="O135" s="87">
        <v>38</v>
      </c>
      <c r="P135" s="1">
        <f>VLOOKUP($B135&amp;"__wt",'SegEnds_Xtal_BW#'!$A:$Z,16,FALSE)</f>
        <v>64</v>
      </c>
      <c r="Q135" s="1">
        <f>VLOOKUP($B135&amp;"__wt",'SegEnds_Xtal_BW#'!$A:$Z,17,FALSE)</f>
        <v>50</v>
      </c>
      <c r="R135" s="1">
        <f>VLOOKUP($B135&amp;"__wt",'SegEnds_Xtal_BW#'!$A:$Z,18,FALSE)</f>
        <v>52</v>
      </c>
      <c r="S135" s="1">
        <f>VLOOKUP($B135&amp;"__wt",'SegEnds_Xtal_BW#'!$A:$Z,19,FALSE)</f>
        <v>34</v>
      </c>
      <c r="T135" s="1">
        <f t="array" ref="T135">INDEX(ICL3_classA!$G$2:$G$39,MATCH(MIN(ABS(AI135-ICL3_classA!$F$2:$F$39)),ABS(AI135-ICL3_classA!$F$2:$F$39),0))</f>
        <v>68</v>
      </c>
      <c r="U135" s="1">
        <f t="array" ref="U135">INDEX(ICL3_classA!$H$2:$H$39,MATCH(MIN(ABS(AI135-ICL3_classA!$F$2:$F$39)),ABS(AI135-ICL3_classA!$F$2:$F$39),0))</f>
        <v>23</v>
      </c>
      <c r="V135" s="1">
        <v>64</v>
      </c>
      <c r="W135" s="1">
        <v>24</v>
      </c>
      <c r="X135" s="1">
        <f>VLOOKUP($B135&amp;"__wt",'SegEnds_Xtal_BW#'!$A:$Z,24,FALSE)</f>
        <v>56</v>
      </c>
      <c r="Y135" s="1">
        <f>VLOOKUP($B135&amp;"__wt",'SegEnds_Xtal_BW#'!$A:$Z,25,FALSE)</f>
        <v>47</v>
      </c>
      <c r="Z135" s="1">
        <f>VLOOKUP($B135&amp;"__wt",'SegEnds_Xtal_BW#'!$A:$Z,26,FALSE)</f>
        <v>61</v>
      </c>
      <c r="AA135" s="27" t="str">
        <f>VLOOKUP(A135,Classification!A:B,2,FALSE)</f>
        <v>A</v>
      </c>
      <c r="AB135" s="1">
        <f>VLOOKUP(A135,'SegEnds_NonXtal_Prot#'!A:AL,10,FALSE)-VLOOKUP(A135,'SegEnds_NonXtal_Prot#'!A:AL,4,FALSE)</f>
        <v>28</v>
      </c>
      <c r="AC135" s="1">
        <f>VLOOKUP(A135,'SegEnds_NonXtal_Prot#'!A:AL,10,FALSE)-VLOOKUP(A135,'SegEnds_NonXtal_Prot#'!A:AL,7,FALSE)</f>
        <v>15</v>
      </c>
      <c r="AD135" s="1">
        <f>VLOOKUP(A135,'SegEnds_NonXtal_Prot#'!A:AL,13,FALSE)-VLOOKUP(A135,'SegEnds_NonXtal_Prot#'!A:AL,10,FALSE)</f>
        <v>20</v>
      </c>
      <c r="AE135" s="1">
        <f>VLOOKUP(A135,'SegEnds_NonXtal_Prot#'!A:AL,16,FALSE)-VLOOKUP(A135,'SegEnds_NonXtal_Prot#'!A:AL,10,FALSE)</f>
        <v>52</v>
      </c>
      <c r="AF135" s="1">
        <f>VLOOKUP(A135,'SegEnds_NonXtal_Prot#'!A:AL,22,FALSE)-VLOOKUP(A135,'SegEnds_NonXtal_Prot#'!A:AL,19,FALSE)</f>
        <v>20</v>
      </c>
      <c r="AG135" s="1">
        <f>VLOOKUP(A135,'SegEnds_NonXtal_Prot#'!A:AL,28,FALSE)-VLOOKUP(A135,'SegEnds_NonXtal_Prot#'!A:AL,25,FALSE)</f>
        <v>25</v>
      </c>
      <c r="AH135" s="1">
        <f>VLOOKUP(A135,'SegEnds_NonXtal_Prot#'!A:AL,28,FALSE)-VLOOKUP(A135,'SegEnds_NonXtal_Prot#'!A:AL,22,FALSE)</f>
        <v>52</v>
      </c>
      <c r="AI135" s="1">
        <f>VLOOKUP(A135,'SegEnds_NonXtal_Prot#'!A:AL,31,FALSE)-VLOOKUP(A135,'SegEnds_NonXtal_Prot#'!A:AL,28,FALSE)</f>
        <v>51</v>
      </c>
      <c r="AJ135" s="1">
        <f>VLOOKUP(A135,'SegEnds_NonXtal_Prot#'!A:AL,34,FALSE)-VLOOKUP(A135,'SegEnds_NonXtal_Prot#'!A:AL,31,FALSE)</f>
        <v>44</v>
      </c>
      <c r="AK135" s="1">
        <f>VLOOKUP(A135,'SegEnds_NonXtal_Prot#'!A:AL,37,FALSE)-VLOOKUP(A135,'SegEnds_NonXtal_Prot#'!A:AL,34,FALSE)</f>
        <v>10</v>
      </c>
      <c r="AL135" s="1" t="str">
        <f>IF(ISERROR(MATCH(A135,'SegEnds_Xtal_Prot#'!B:B, 0)), "NoXtal", "Xtal")</f>
        <v>NoXtal</v>
      </c>
    </row>
    <row r="136" spans="1:38" x14ac:dyDescent="0.2">
      <c r="A136" s="1" t="s">
        <v>172</v>
      </c>
      <c r="B136" s="1" t="str">
        <f>VLOOKUP(A136,Xtal_Templ!A:B,2,FALSE)</f>
        <v>ccr5_human</v>
      </c>
      <c r="C136" s="5">
        <f>VLOOKUP($B136&amp;"__wt",'SegEnds_Xtal_BW#'!$A:$Z,3,FALSE)</f>
        <v>24</v>
      </c>
      <c r="D136" s="1">
        <f>VLOOKUP($B136&amp;"__wt",'SegEnds_Xtal_BW#'!$A:$Z,4,FALSE)</f>
        <v>60</v>
      </c>
      <c r="E136" s="1">
        <f>VLOOKUP($B136&amp;"__wt",'SegEnds_Xtal_BW#'!$A:$Z,5,FALSE)</f>
        <v>48</v>
      </c>
      <c r="F136" s="1">
        <f>VLOOKUP($B136&amp;"__wt",'SegEnds_Xtal_BW#'!$A:$Z,6,FALSE)</f>
        <v>51</v>
      </c>
      <c r="G136" s="1">
        <v>37</v>
      </c>
      <c r="H136" s="12">
        <v>66</v>
      </c>
      <c r="I136" s="1">
        <f>VLOOKUP($B136&amp;"__wt",'SegEnds_Xtal_BW#'!$A:$Z,9,FALSE)</f>
        <v>49</v>
      </c>
      <c r="J136" s="1">
        <f>VLOOKUP($B136&amp;"__wt",'SegEnds_Xtal_BW#'!$A:$Z,10,FALSE)</f>
        <v>52</v>
      </c>
      <c r="K136" s="12">
        <v>24</v>
      </c>
      <c r="L136" s="1">
        <f>VLOOKUP($B136&amp;"__wt",'SegEnds_Xtal_BW#'!$A:$Z,12,FALSE)</f>
        <v>56</v>
      </c>
      <c r="M136" s="1">
        <f>VLOOKUP($B136&amp;"__wt",'SegEnds_Xtal_BW#'!$A:$Z,13,FALSE)</f>
        <v>50</v>
      </c>
      <c r="N136" s="12">
        <f>VLOOKUP($B136&amp;"__wt",'SegEnds_Xtal_BW#'!$A:$Z,14,FALSE)</f>
        <v>57</v>
      </c>
      <c r="O136" s="87">
        <v>38</v>
      </c>
      <c r="P136" s="1">
        <f>VLOOKUP($B136&amp;"__wt",'SegEnds_Xtal_BW#'!$A:$Z,16,FALSE)</f>
        <v>64</v>
      </c>
      <c r="Q136" s="1">
        <f>VLOOKUP($B136&amp;"__wt",'SegEnds_Xtal_BW#'!$A:$Z,17,FALSE)</f>
        <v>50</v>
      </c>
      <c r="R136" s="1">
        <f>VLOOKUP($B136&amp;"__wt",'SegEnds_Xtal_BW#'!$A:$Z,18,FALSE)</f>
        <v>52</v>
      </c>
      <c r="S136" s="1">
        <f>VLOOKUP($B136&amp;"__wt",'SegEnds_Xtal_BW#'!$A:$Z,19,FALSE)</f>
        <v>30</v>
      </c>
      <c r="T136" s="1">
        <f t="array" ref="T136">INDEX(ICL3_classA!$G$2:$G$39,MATCH(MIN(ABS(AI136-ICL3_classA!$F$2:$F$39)),ABS(AI136-ICL3_classA!$F$2:$F$39),0))</f>
        <v>68</v>
      </c>
      <c r="U136" s="1">
        <f t="array" ref="U136">INDEX(ICL3_classA!$H$2:$H$39,MATCH(MIN(ABS(AI136-ICL3_classA!$F$2:$F$39)),ABS(AI136-ICL3_classA!$F$2:$F$39),0))</f>
        <v>30</v>
      </c>
      <c r="V136" s="1">
        <v>65</v>
      </c>
      <c r="W136" s="1">
        <v>24</v>
      </c>
      <c r="X136" s="1">
        <f>VLOOKUP($B136&amp;"__wt",'SegEnds_Xtal_BW#'!$A:$Z,24,FALSE)</f>
        <v>56</v>
      </c>
      <c r="Y136" s="1">
        <f>VLOOKUP($B136&amp;"__wt",'SegEnds_Xtal_BW#'!$A:$Z,25,FALSE)</f>
        <v>47</v>
      </c>
      <c r="Z136" s="1">
        <f>VLOOKUP($B136&amp;"__wt",'SegEnds_Xtal_BW#'!$A:$Z,26,FALSE)</f>
        <v>59</v>
      </c>
      <c r="AA136" s="27" t="str">
        <f>VLOOKUP(A136,Classification!A:B,2,FALSE)</f>
        <v>A</v>
      </c>
      <c r="AB136" s="1">
        <f>VLOOKUP(A136,'SegEnds_NonXtal_Prot#'!A:AL,10,FALSE)-VLOOKUP(A136,'SegEnds_NonXtal_Prot#'!A:AL,4,FALSE)</f>
        <v>28</v>
      </c>
      <c r="AC136" s="1">
        <f>VLOOKUP(A136,'SegEnds_NonXtal_Prot#'!A:AL,10,FALSE)-VLOOKUP(A136,'SegEnds_NonXtal_Prot#'!A:AL,7,FALSE)</f>
        <v>15</v>
      </c>
      <c r="AD136" s="1">
        <f>VLOOKUP(A136,'SegEnds_NonXtal_Prot#'!A:AL,13,FALSE)-VLOOKUP(A136,'SegEnds_NonXtal_Prot#'!A:AL,10,FALSE)</f>
        <v>18</v>
      </c>
      <c r="AE136" s="1">
        <f>VLOOKUP(A136,'SegEnds_NonXtal_Prot#'!A:AL,16,FALSE)-VLOOKUP(A136,'SegEnds_NonXtal_Prot#'!A:AL,10,FALSE)</f>
        <v>50</v>
      </c>
      <c r="AF136" s="1">
        <f>VLOOKUP(A136,'SegEnds_NonXtal_Prot#'!A:AL,22,FALSE)-VLOOKUP(A136,'SegEnds_NonXtal_Prot#'!A:AL,19,FALSE)</f>
        <v>20</v>
      </c>
      <c r="AG136" s="1">
        <f>VLOOKUP(A136,'SegEnds_NonXtal_Prot#'!A:AL,28,FALSE)-VLOOKUP(A136,'SegEnds_NonXtal_Prot#'!A:AL,25,FALSE)</f>
        <v>27</v>
      </c>
      <c r="AH136" s="1">
        <f>VLOOKUP(A136,'SegEnds_NonXtal_Prot#'!A:AL,28,FALSE)-VLOOKUP(A136,'SegEnds_NonXtal_Prot#'!A:AL,22,FALSE)</f>
        <v>52</v>
      </c>
      <c r="AI136" s="1">
        <f>VLOOKUP(A136,'SegEnds_NonXtal_Prot#'!A:AL,31,FALSE)-VLOOKUP(A136,'SegEnds_NonXtal_Prot#'!A:AL,28,FALSE)</f>
        <v>43</v>
      </c>
      <c r="AJ136" s="1">
        <f>VLOOKUP(A136,'SegEnds_NonXtal_Prot#'!A:AL,34,FALSE)-VLOOKUP(A136,'SegEnds_NonXtal_Prot#'!A:AL,31,FALSE)</f>
        <v>44</v>
      </c>
      <c r="AK136" s="1">
        <f>VLOOKUP(A136,'SegEnds_NonXtal_Prot#'!A:AL,37,FALSE)-VLOOKUP(A136,'SegEnds_NonXtal_Prot#'!A:AL,34,FALSE)</f>
        <v>10</v>
      </c>
      <c r="AL136" s="1" t="str">
        <f>IF(ISERROR(MATCH(A136,'SegEnds_Xtal_Prot#'!B:B, 0)), "NoXtal", "Xtal")</f>
        <v>NoXtal</v>
      </c>
    </row>
    <row r="137" spans="1:38" x14ac:dyDescent="0.2">
      <c r="A137" s="12" t="s">
        <v>175</v>
      </c>
      <c r="B137" s="12" t="str">
        <f>VLOOKUP(A137,Xtal_Templ!A:B,2,FALSE)</f>
        <v>ccr7_human</v>
      </c>
      <c r="C137" s="13">
        <f>VLOOKUP($B137&amp;"__wt",'SegEnds_Xtal_BW#'!$A:$Z,3,FALSE)</f>
        <v>29</v>
      </c>
      <c r="D137" s="12">
        <f>VLOOKUP($B137&amp;"__wt",'SegEnds_Xtal_BW#'!$A:$Z,4,FALSE)</f>
        <v>60</v>
      </c>
      <c r="E137" s="12">
        <f>VLOOKUP($B137&amp;"__wt",'SegEnds_Xtal_BW#'!$A:$Z,5,FALSE)</f>
        <v>48</v>
      </c>
      <c r="F137" s="12">
        <f>VLOOKUP($B137&amp;"__wt",'SegEnds_Xtal_BW#'!$A:$Z,6,FALSE)</f>
        <v>51</v>
      </c>
      <c r="G137" s="12">
        <v>37</v>
      </c>
      <c r="H137" s="12">
        <v>66</v>
      </c>
      <c r="I137" s="12">
        <f>VLOOKUP($B137&amp;"__wt",'SegEnds_Xtal_BW#'!$A:$Z,9,FALSE)</f>
        <v>49</v>
      </c>
      <c r="J137" s="12">
        <f>VLOOKUP($B137&amp;"__wt",'SegEnds_Xtal_BW#'!$A:$Z,10,FALSE)</f>
        <v>52</v>
      </c>
      <c r="K137" s="12">
        <v>24</v>
      </c>
      <c r="L137" s="12">
        <f>VLOOKUP($B137&amp;"__wt",'SegEnds_Xtal_BW#'!$A:$Z,12,FALSE)</f>
        <v>56</v>
      </c>
      <c r="M137" s="12">
        <f>VLOOKUP($B137&amp;"__wt",'SegEnds_Xtal_BW#'!$A:$Z,13,FALSE)</f>
        <v>50</v>
      </c>
      <c r="N137" s="12">
        <v>58</v>
      </c>
      <c r="O137" s="87">
        <v>38</v>
      </c>
      <c r="P137" s="12">
        <f>VLOOKUP($B137&amp;"__wt",'SegEnds_Xtal_BW#'!$A:$Z,16,FALSE)</f>
        <v>64</v>
      </c>
      <c r="Q137" s="12">
        <f>VLOOKUP($B137&amp;"__wt",'SegEnds_Xtal_BW#'!$A:$Z,17,FALSE)</f>
        <v>50</v>
      </c>
      <c r="R137" s="12">
        <f>VLOOKUP($B137&amp;"__wt",'SegEnds_Xtal_BW#'!$A:$Z,18,FALSE)</f>
        <v>52</v>
      </c>
      <c r="S137" s="12">
        <f>VLOOKUP($B137&amp;"__wt",'SegEnds_Xtal_BW#'!$A:$Z,19,FALSE)</f>
        <v>33</v>
      </c>
      <c r="T137" s="12">
        <f t="array" ref="T137">INDEX(ICL3_classA!$G$2:$G$39,MATCH(MIN(ABS(AI137-ICL3_classA!$F$2:$F$39)),ABS(AI137-ICL3_classA!$F$2:$F$39),0))</f>
        <v>68</v>
      </c>
      <c r="U137" s="12">
        <f t="array" ref="U137">INDEX(ICL3_classA!$H$2:$H$39,MATCH(MIN(ABS(AI137-ICL3_classA!$F$2:$F$39)),ABS(AI137-ICL3_classA!$F$2:$F$39),0))</f>
        <v>30</v>
      </c>
      <c r="V137" s="12">
        <v>65</v>
      </c>
      <c r="W137" s="12">
        <v>24</v>
      </c>
      <c r="X137" s="12">
        <f>VLOOKUP($B137&amp;"__wt",'SegEnds_Xtal_BW#'!$A:$Z,24,FALSE)</f>
        <v>56</v>
      </c>
      <c r="Y137" s="12">
        <f>VLOOKUP($B137&amp;"__wt",'SegEnds_Xtal_BW#'!$A:$Z,25,FALSE)</f>
        <v>47</v>
      </c>
      <c r="Z137" s="12">
        <f>VLOOKUP($B137&amp;"__wt",'SegEnds_Xtal_BW#'!$A:$Z,26,FALSE)</f>
        <v>59</v>
      </c>
      <c r="AA137" s="36" t="str">
        <f>VLOOKUP(A137,Classification!A:B,2,FALSE)</f>
        <v>A</v>
      </c>
      <c r="AB137" s="1">
        <f>VLOOKUP(A137,'SegEnds_NonXtal_Prot#'!A:AL,10,FALSE)-VLOOKUP(A137,'SegEnds_NonXtal_Prot#'!A:AL,4,FALSE)</f>
        <v>28</v>
      </c>
      <c r="AC137" s="12">
        <f>VLOOKUP(A137,'SegEnds_NonXtal_Prot#'!A:AL,10,FALSE)-VLOOKUP(A137,'SegEnds_NonXtal_Prot#'!A:AL,7,FALSE)</f>
        <v>15</v>
      </c>
      <c r="AD137" s="12">
        <f>VLOOKUP(A137,'SegEnds_NonXtal_Prot#'!A:AL,13,FALSE)-VLOOKUP(A137,'SegEnds_NonXtal_Prot#'!A:AL,10,FALSE)</f>
        <v>18</v>
      </c>
      <c r="AE137" s="12">
        <f>VLOOKUP(A137,'SegEnds_NonXtal_Prot#'!A:AL,16,FALSE)-VLOOKUP(A137,'SegEnds_NonXtal_Prot#'!A:AL,10,FALSE)</f>
        <v>50</v>
      </c>
      <c r="AF137" s="1">
        <f>VLOOKUP(A137,'SegEnds_NonXtal_Prot#'!A:AL,22,FALSE)-VLOOKUP(A137,'SegEnds_NonXtal_Prot#'!A:AL,19,FALSE)</f>
        <v>22</v>
      </c>
      <c r="AG137" s="12">
        <f>VLOOKUP(A137,'SegEnds_NonXtal_Prot#'!A:AL,28,FALSE)-VLOOKUP(A137,'SegEnds_NonXtal_Prot#'!A:AL,25,FALSE)</f>
        <v>25</v>
      </c>
      <c r="AH137" s="1">
        <f>VLOOKUP(A137,'SegEnds_NonXtal_Prot#'!A:AL,28,FALSE)-VLOOKUP(A137,'SegEnds_NonXtal_Prot#'!A:AL,22,FALSE)</f>
        <v>52</v>
      </c>
      <c r="AI137" s="12">
        <f>VLOOKUP(A137,'SegEnds_NonXtal_Prot#'!A:AL,31,FALSE)-VLOOKUP(A137,'SegEnds_NonXtal_Prot#'!A:AL,28,FALSE)</f>
        <v>43</v>
      </c>
      <c r="AJ137" s="12">
        <f>VLOOKUP(A137,'SegEnds_NonXtal_Prot#'!A:AL,34,FALSE)-VLOOKUP(A137,'SegEnds_NonXtal_Prot#'!A:AL,31,FALSE)</f>
        <v>45</v>
      </c>
      <c r="AK137" s="1">
        <f>VLOOKUP(A137,'SegEnds_NonXtal_Prot#'!A:AL,37,FALSE)-VLOOKUP(A137,'SegEnds_NonXtal_Prot#'!A:AL,34,FALSE)</f>
        <v>10</v>
      </c>
      <c r="AL137" s="12" t="str">
        <f>IF(ISERROR(MATCH(A137,'SegEnds_Xtal_Prot#'!B:B, 0)), "NoXtal", "Xtal")</f>
        <v>Xtal</v>
      </c>
    </row>
    <row r="138" spans="1:38" x14ac:dyDescent="0.2">
      <c r="A138" s="1" t="s">
        <v>176</v>
      </c>
      <c r="B138" s="1" t="str">
        <f>VLOOKUP(A138,Xtal_Templ!A:B,2,FALSE)</f>
        <v>ccr5_human</v>
      </c>
      <c r="C138" s="5">
        <f>VLOOKUP($B138&amp;"__wt",'SegEnds_Xtal_BW#'!$A:$Z,3,FALSE)</f>
        <v>24</v>
      </c>
      <c r="D138" s="1">
        <f>VLOOKUP($B138&amp;"__wt",'SegEnds_Xtal_BW#'!$A:$Z,4,FALSE)</f>
        <v>60</v>
      </c>
      <c r="E138" s="1">
        <f>VLOOKUP($B138&amp;"__wt",'SegEnds_Xtal_BW#'!$A:$Z,5,FALSE)</f>
        <v>48</v>
      </c>
      <c r="F138" s="1">
        <f>VLOOKUP($B138&amp;"__wt",'SegEnds_Xtal_BW#'!$A:$Z,6,FALSE)</f>
        <v>51</v>
      </c>
      <c r="G138" s="1">
        <v>37</v>
      </c>
      <c r="H138" s="12">
        <v>66</v>
      </c>
      <c r="I138" s="1">
        <f>VLOOKUP($B138&amp;"__wt",'SegEnds_Xtal_BW#'!$A:$Z,9,FALSE)</f>
        <v>49</v>
      </c>
      <c r="J138" s="1">
        <f>VLOOKUP($B138&amp;"__wt",'SegEnds_Xtal_BW#'!$A:$Z,10,FALSE)</f>
        <v>52</v>
      </c>
      <c r="K138" s="12">
        <v>24</v>
      </c>
      <c r="L138" s="1">
        <f>VLOOKUP($B138&amp;"__wt",'SegEnds_Xtal_BW#'!$A:$Z,12,FALSE)</f>
        <v>56</v>
      </c>
      <c r="M138" s="1">
        <f>VLOOKUP($B138&amp;"__wt",'SegEnds_Xtal_BW#'!$A:$Z,13,FALSE)</f>
        <v>50</v>
      </c>
      <c r="N138" s="12">
        <v>57</v>
      </c>
      <c r="O138" s="87">
        <v>38</v>
      </c>
      <c r="P138" s="1">
        <f>VLOOKUP($B138&amp;"__wt",'SegEnds_Xtal_BW#'!$A:$Z,16,FALSE)</f>
        <v>64</v>
      </c>
      <c r="Q138" s="1">
        <f>VLOOKUP($B138&amp;"__wt",'SegEnds_Xtal_BW#'!$A:$Z,17,FALSE)</f>
        <v>50</v>
      </c>
      <c r="R138" s="1">
        <f>VLOOKUP($B138&amp;"__wt",'SegEnds_Xtal_BW#'!$A:$Z,18,FALSE)</f>
        <v>52</v>
      </c>
      <c r="S138" s="1">
        <f>VLOOKUP($B138&amp;"__wt",'SegEnds_Xtal_BW#'!$A:$Z,19,FALSE)</f>
        <v>30</v>
      </c>
      <c r="T138" s="1">
        <f t="array" ref="T138">INDEX(ICL3_classA!$G$2:$G$39,MATCH(MIN(ABS(AI138-ICL3_classA!$F$2:$F$39)),ABS(AI138-ICL3_classA!$F$2:$F$39),0))</f>
        <v>68</v>
      </c>
      <c r="U138" s="1">
        <f t="array" ref="U138">INDEX(ICL3_classA!$H$2:$H$39,MATCH(MIN(ABS(AI138-ICL3_classA!$F$2:$F$39)),ABS(AI138-ICL3_classA!$F$2:$F$39),0))</f>
        <v>30</v>
      </c>
      <c r="V138" s="1">
        <v>65</v>
      </c>
      <c r="W138" s="1">
        <v>24</v>
      </c>
      <c r="X138" s="1">
        <f>VLOOKUP($B138&amp;"__wt",'SegEnds_Xtal_BW#'!$A:$Z,24,FALSE)</f>
        <v>56</v>
      </c>
      <c r="Y138" s="1">
        <f>VLOOKUP($B138&amp;"__wt",'SegEnds_Xtal_BW#'!$A:$Z,25,FALSE)</f>
        <v>47</v>
      </c>
      <c r="Z138" s="1">
        <f>VLOOKUP($B138&amp;"__wt",'SegEnds_Xtal_BW#'!$A:$Z,26,FALSE)</f>
        <v>59</v>
      </c>
      <c r="AA138" s="27" t="str">
        <f>VLOOKUP(A138,Classification!A:B,2,FALSE)</f>
        <v>A</v>
      </c>
      <c r="AB138" s="1">
        <f>VLOOKUP(A138,'SegEnds_NonXtal_Prot#'!A:AL,10,FALSE)-VLOOKUP(A138,'SegEnds_NonXtal_Prot#'!A:AL,4,FALSE)</f>
        <v>28</v>
      </c>
      <c r="AC138" s="1">
        <f>VLOOKUP(A138,'SegEnds_NonXtal_Prot#'!A:AL,10,FALSE)-VLOOKUP(A138,'SegEnds_NonXtal_Prot#'!A:AL,7,FALSE)</f>
        <v>15</v>
      </c>
      <c r="AD138" s="1">
        <f>VLOOKUP(A138,'SegEnds_NonXtal_Prot#'!A:AL,13,FALSE)-VLOOKUP(A138,'SegEnds_NonXtal_Prot#'!A:AL,10,FALSE)</f>
        <v>18</v>
      </c>
      <c r="AE138" s="1">
        <f>VLOOKUP(A138,'SegEnds_NonXtal_Prot#'!A:AL,16,FALSE)-VLOOKUP(A138,'SegEnds_NonXtal_Prot#'!A:AL,10,FALSE)</f>
        <v>50</v>
      </c>
      <c r="AF138" s="1">
        <f>VLOOKUP(A138,'SegEnds_NonXtal_Prot#'!A:AL,22,FALSE)-VLOOKUP(A138,'SegEnds_NonXtal_Prot#'!A:AL,19,FALSE)</f>
        <v>20</v>
      </c>
      <c r="AG138" s="1">
        <f>VLOOKUP(A138,'SegEnds_NonXtal_Prot#'!A:AL,28,FALSE)-VLOOKUP(A138,'SegEnds_NonXtal_Prot#'!A:AL,25,FALSE)</f>
        <v>27</v>
      </c>
      <c r="AH138" s="1">
        <f>VLOOKUP(A138,'SegEnds_NonXtal_Prot#'!A:AL,28,FALSE)-VLOOKUP(A138,'SegEnds_NonXtal_Prot#'!A:AL,22,FALSE)</f>
        <v>52</v>
      </c>
      <c r="AI138" s="1">
        <f>VLOOKUP(A138,'SegEnds_NonXtal_Prot#'!A:AL,31,FALSE)-VLOOKUP(A138,'SegEnds_NonXtal_Prot#'!A:AL,28,FALSE)</f>
        <v>43</v>
      </c>
      <c r="AJ138" s="1">
        <f>VLOOKUP(A138,'SegEnds_NonXtal_Prot#'!A:AL,34,FALSE)-VLOOKUP(A138,'SegEnds_NonXtal_Prot#'!A:AL,31,FALSE)</f>
        <v>44</v>
      </c>
      <c r="AK138" s="1">
        <f>VLOOKUP(A138,'SegEnds_NonXtal_Prot#'!A:AL,37,FALSE)-VLOOKUP(A138,'SegEnds_NonXtal_Prot#'!A:AL,34,FALSE)</f>
        <v>10</v>
      </c>
      <c r="AL138" s="1" t="str">
        <f>IF(ISERROR(MATCH(A138,'SegEnds_Xtal_Prot#'!B:B, 0)), "NoXtal", "Xtal")</f>
        <v>NoXtal</v>
      </c>
    </row>
    <row r="139" spans="1:38" x14ac:dyDescent="0.2">
      <c r="A139" s="1" t="s">
        <v>204</v>
      </c>
      <c r="B139" s="1" t="str">
        <f>VLOOKUP(A139,Xtal_Templ!A:B,2,FALSE)</f>
        <v>oprk_human</v>
      </c>
      <c r="C139" s="5">
        <f>VLOOKUP($B139&amp;"__wt",'SegEnds_Xtal_BW#'!$A:$Z,3,FALSE)</f>
        <v>30</v>
      </c>
      <c r="D139" s="1">
        <f>VLOOKUP($B139&amp;"__wt",'SegEnds_Xtal_BW#'!$A:$Z,4,FALSE)</f>
        <v>60</v>
      </c>
      <c r="E139" s="1">
        <f>VLOOKUP($B139&amp;"__wt",'SegEnds_Xtal_BW#'!$A:$Z,5,FALSE)</f>
        <v>48</v>
      </c>
      <c r="F139" s="1">
        <f>VLOOKUP($B139&amp;"__wt",'SegEnds_Xtal_BW#'!$A:$Z,6,FALSE)</f>
        <v>51</v>
      </c>
      <c r="G139" s="1">
        <v>37</v>
      </c>
      <c r="H139" s="12">
        <f>VLOOKUP($B139&amp;"__wt",'SegEnds_Xtal_BW#'!$A:$Z,8,FALSE)</f>
        <v>67</v>
      </c>
      <c r="I139" s="1">
        <f>VLOOKUP($B139&amp;"__wt",'SegEnds_Xtal_BW#'!$A:$Z,9,FALSE)</f>
        <v>49</v>
      </c>
      <c r="J139" s="1">
        <f>VLOOKUP($B139&amp;"__wt",'SegEnds_Xtal_BW#'!$A:$Z,10,FALSE)</f>
        <v>52</v>
      </c>
      <c r="K139" s="12">
        <v>18</v>
      </c>
      <c r="L139" s="1">
        <f>VLOOKUP($B139&amp;"__wt",'SegEnds_Xtal_BW#'!$A:$Z,12,FALSE)</f>
        <v>56</v>
      </c>
      <c r="M139" s="1">
        <f>VLOOKUP($B139&amp;"__wt",'SegEnds_Xtal_BW#'!$A:$Z,13,FALSE)</f>
        <v>50</v>
      </c>
      <c r="N139" s="12">
        <v>57</v>
      </c>
      <c r="O139" s="87">
        <f>VLOOKUP($B139&amp;"__wt",'SegEnds_Xtal_BW#'!$A:$Z,15,FALSE)</f>
        <v>38</v>
      </c>
      <c r="P139" s="1">
        <f>VLOOKUP($B139&amp;"__wt",'SegEnds_Xtal_BW#'!$A:$Z,16,FALSE)</f>
        <v>64</v>
      </c>
      <c r="Q139" s="1">
        <f>VLOOKUP($B139&amp;"__wt",'SegEnds_Xtal_BW#'!$A:$Z,17,FALSE)</f>
        <v>50</v>
      </c>
      <c r="R139" s="1">
        <f>VLOOKUP($B139&amp;"__wt",'SegEnds_Xtal_BW#'!$A:$Z,18,FALSE)</f>
        <v>52</v>
      </c>
      <c r="S139" s="1">
        <f>VLOOKUP($B139&amp;"__wt",'SegEnds_Xtal_BW#'!$A:$Z,19,FALSE)</f>
        <v>30</v>
      </c>
      <c r="T139" s="1">
        <f t="array" ref="T139">INDEX(ICL3_classA!$G$2:$G$39,MATCH(MIN(ABS(AI139-ICL3_classA!$F$2:$F$39)),ABS(AI139-ICL3_classA!$F$2:$F$39),0))</f>
        <v>72</v>
      </c>
      <c r="U139" s="1">
        <f t="array" ref="U139">INDEX(ICL3_classA!$H$2:$H$39,MATCH(MIN(ABS(AI139-ICL3_classA!$F$2:$F$39)),ABS(AI139-ICL3_classA!$F$2:$F$39),0))</f>
        <v>29</v>
      </c>
      <c r="V139" s="1">
        <v>61</v>
      </c>
      <c r="W139" s="131">
        <f>VLOOKUP($B139&amp;"__wt",'SegEnds_Xtal_BW#'!$A:$Z,23,FALSE)</f>
        <v>28</v>
      </c>
      <c r="X139" s="1">
        <f>VLOOKUP($B139&amp;"__wt",'SegEnds_Xtal_BW#'!$A:$Z,24,FALSE)</f>
        <v>56</v>
      </c>
      <c r="Y139" s="1">
        <f>VLOOKUP($B139&amp;"__wt",'SegEnds_Xtal_BW#'!$A:$Z,25,FALSE)</f>
        <v>47</v>
      </c>
      <c r="Z139" s="1">
        <f>VLOOKUP($B139&amp;"__wt",'SegEnds_Xtal_BW#'!$A:$Z,26,FALSE)</f>
        <v>59</v>
      </c>
      <c r="AA139" s="27" t="str">
        <f>VLOOKUP(A139,Classification!A:B,2,FALSE)</f>
        <v>A</v>
      </c>
      <c r="AB139" s="1">
        <f>VLOOKUP(A139,'SegEnds_NonXtal_Prot#'!A:AL,10,FALSE)-VLOOKUP(A139,'SegEnds_NonXtal_Prot#'!A:AL,4,FALSE)</f>
        <v>30</v>
      </c>
      <c r="AC139" s="1" t="e">
        <f>VLOOKUP(A139,'SegEnds_NonXtal_Prot#'!A:AL,10,FALSE)-VLOOKUP(A139,'SegEnds_NonXtal_Prot#'!A:AL,7,FALSE)</f>
        <v>#VALUE!</v>
      </c>
      <c r="AD139" s="1">
        <f>VLOOKUP(A139,'SegEnds_NonXtal_Prot#'!A:AL,13,FALSE)-VLOOKUP(A139,'SegEnds_NonXtal_Prot#'!A:AL,10,FALSE)</f>
        <v>20</v>
      </c>
      <c r="AE139" s="1">
        <f>VLOOKUP(A139,'SegEnds_NonXtal_Prot#'!A:AL,16,FALSE)-VLOOKUP(A139,'SegEnds_NonXtal_Prot#'!A:AL,10,FALSE)</f>
        <v>52</v>
      </c>
      <c r="AF139" s="1">
        <f>VLOOKUP(A139,'SegEnds_NonXtal_Prot#'!A:AL,22,FALSE)-VLOOKUP(A139,'SegEnds_NonXtal_Prot#'!A:AL,19,FALSE)</f>
        <v>20</v>
      </c>
      <c r="AG139" s="1">
        <f>VLOOKUP(A139,'SegEnds_NonXtal_Prot#'!A:AL,28,FALSE)-VLOOKUP(A139,'SegEnds_NonXtal_Prot#'!A:AL,25,FALSE)</f>
        <v>25</v>
      </c>
      <c r="AH139" s="1">
        <f>VLOOKUP(A139,'SegEnds_NonXtal_Prot#'!A:AL,28,FALSE)-VLOOKUP(A139,'SegEnds_NonXtal_Prot#'!A:AL,22,FALSE)</f>
        <v>52</v>
      </c>
      <c r="AI139" s="1">
        <f>VLOOKUP(A139,'SegEnds_NonXtal_Prot#'!A:AL,31,FALSE)-VLOOKUP(A139,'SegEnds_NonXtal_Prot#'!A:AL,28,FALSE)</f>
        <v>50</v>
      </c>
      <c r="AJ139" s="1">
        <f>VLOOKUP(A139,'SegEnds_NonXtal_Prot#'!A:AL,34,FALSE)-VLOOKUP(A139,'SegEnds_NonXtal_Prot#'!A:AL,31,FALSE)</f>
        <v>38</v>
      </c>
      <c r="AK139" s="1">
        <f>VLOOKUP(A139,'SegEnds_NonXtal_Prot#'!A:AL,37,FALSE)-VLOOKUP(A139,'SegEnds_NonXtal_Prot#'!A:AL,34,FALSE)</f>
        <v>10</v>
      </c>
      <c r="AL139" s="1" t="str">
        <f>IF(ISERROR(MATCH(A139,'SegEnds_Xtal_Prot#'!B:B, 0)), "NoXtal", "Xtal")</f>
        <v>NoXtal</v>
      </c>
    </row>
    <row r="140" spans="1:38" x14ac:dyDescent="0.2">
      <c r="A140" s="1" t="s">
        <v>222</v>
      </c>
      <c r="B140" s="1" t="str">
        <f>VLOOKUP(A140,Xtal_Templ!A:B,2,FALSE)</f>
        <v>agtr2_human</v>
      </c>
      <c r="C140" s="5">
        <f>VLOOKUP($B140&amp;"__wt",'SegEnds_Xtal_BW#'!$A:$Z,3,FALSE)</f>
        <v>33</v>
      </c>
      <c r="D140" s="1">
        <f>VLOOKUP($B140&amp;"__wt",'SegEnds_Xtal_BW#'!$A:$Z,4,FALSE)</f>
        <v>60</v>
      </c>
      <c r="E140" s="1" t="str">
        <f>VLOOKUP($B140&amp;"__wt",'SegEnds_Xtal_BW#'!$A:$Z,5,FALSE)</f>
        <v>-</v>
      </c>
      <c r="F140" s="1" t="str">
        <f>VLOOKUP($B140&amp;"__wt",'SegEnds_Xtal_BW#'!$A:$Z,6,FALSE)</f>
        <v>-</v>
      </c>
      <c r="G140" s="1">
        <v>37</v>
      </c>
      <c r="H140" s="12">
        <f>VLOOKUP($B140&amp;"__wt",'SegEnds_Xtal_BW#'!$A:$Z,8,FALSE)</f>
        <v>66</v>
      </c>
      <c r="I140" s="1">
        <f>VLOOKUP($B140&amp;"__wt",'SegEnds_Xtal_BW#'!$A:$Z,9,FALSE)</f>
        <v>47</v>
      </c>
      <c r="J140" s="1">
        <f>VLOOKUP($B140&amp;"__wt",'SegEnds_Xtal_BW#'!$A:$Z,10,FALSE)</f>
        <v>52</v>
      </c>
      <c r="K140" s="12">
        <v>18</v>
      </c>
      <c r="L140" s="1">
        <f>VLOOKUP($B140&amp;"__wt",'SegEnds_Xtal_BW#'!$A:$Z,12,FALSE)</f>
        <v>56</v>
      </c>
      <c r="M140" s="1">
        <f>VLOOKUP($B140&amp;"__wt",'SegEnds_Xtal_BW#'!$A:$Z,13,FALSE)</f>
        <v>50</v>
      </c>
      <c r="N140" s="12">
        <v>56</v>
      </c>
      <c r="O140" s="87">
        <f>VLOOKUP($B140&amp;"__wt",'SegEnds_Xtal_BW#'!$A:$Z,15,FALSE)</f>
        <v>38</v>
      </c>
      <c r="P140" s="1">
        <f>VLOOKUP($B140&amp;"__wt",'SegEnds_Xtal_BW#'!$A:$Z,16,FALSE)</f>
        <v>64</v>
      </c>
      <c r="Q140" s="1">
        <f>VLOOKUP($B140&amp;"__wt",'SegEnds_Xtal_BW#'!$A:$Z,17,FALSE)</f>
        <v>50</v>
      </c>
      <c r="R140" s="1">
        <f>VLOOKUP($B140&amp;"__wt",'SegEnds_Xtal_BW#'!$A:$Z,18,FALSE)</f>
        <v>52</v>
      </c>
      <c r="S140" s="1">
        <f>VLOOKUP($B140&amp;"__wt",'SegEnds_Xtal_BW#'!$A:$Z,19,FALSE)</f>
        <v>30</v>
      </c>
      <c r="T140" s="1">
        <f t="array" ref="T140">INDEX(ICL3_classA!$G$2:$G$39,MATCH(MIN(ABS(AI140-ICL3_classA!$F$2:$F$39)),ABS(AI140-ICL3_classA!$F$2:$F$39),0))</f>
        <v>68</v>
      </c>
      <c r="U140" s="1">
        <f t="array" ref="U140">INDEX(ICL3_classA!$H$2:$H$39,MATCH(MIN(ABS(AI140-ICL3_classA!$F$2:$F$39)),ABS(AI140-ICL3_classA!$F$2:$F$39),0))</f>
        <v>23</v>
      </c>
      <c r="V140" s="1">
        <v>61</v>
      </c>
      <c r="W140" s="108">
        <v>25</v>
      </c>
      <c r="X140" s="1">
        <f>VLOOKUP($B140&amp;"__wt",'SegEnds_Xtal_BW#'!$A:$Z,24,FALSE)</f>
        <v>56</v>
      </c>
      <c r="Y140" s="1">
        <f>VLOOKUP($B140&amp;"__wt",'SegEnds_Xtal_BW#'!$A:$Z,25,FALSE)</f>
        <v>47</v>
      </c>
      <c r="Z140" s="1">
        <f>VLOOKUP($B140&amp;"__wt",'SegEnds_Xtal_BW#'!$A:$Z,26,FALSE)</f>
        <v>61</v>
      </c>
      <c r="AA140" s="27" t="str">
        <f>VLOOKUP(A140,Classification!A:B,2,FALSE)</f>
        <v>A</v>
      </c>
      <c r="AB140" s="1">
        <f>VLOOKUP(A140,'SegEnds_NonXtal_Prot#'!A:AL,10,FALSE)-VLOOKUP(A140,'SegEnds_NonXtal_Prot#'!A:AL,4,FALSE)</f>
        <v>30</v>
      </c>
      <c r="AC140" s="1" t="e">
        <f>VLOOKUP(A140,'SegEnds_NonXtal_Prot#'!A:AL,10,FALSE)-VLOOKUP(A140,'SegEnds_NonXtal_Prot#'!A:AL,7,FALSE)</f>
        <v>#VALUE!</v>
      </c>
      <c r="AD140" s="1">
        <f>VLOOKUP(A140,'SegEnds_NonXtal_Prot#'!A:AL,13,FALSE)-VLOOKUP(A140,'SegEnds_NonXtal_Prot#'!A:AL,10,FALSE)</f>
        <v>20</v>
      </c>
      <c r="AE140" s="1">
        <f>VLOOKUP(A140,'SegEnds_NonXtal_Prot#'!A:AL,16,FALSE)-VLOOKUP(A140,'SegEnds_NonXtal_Prot#'!A:AL,10,FALSE)</f>
        <v>52</v>
      </c>
      <c r="AF140" s="1">
        <f>VLOOKUP(A140,'SegEnds_NonXtal_Prot#'!A:AL,22,FALSE)-VLOOKUP(A140,'SegEnds_NonXtal_Prot#'!A:AL,19,FALSE)</f>
        <v>19</v>
      </c>
      <c r="AG140" s="1">
        <f>VLOOKUP(A140,'SegEnds_NonXtal_Prot#'!A:AL,28,FALSE)-VLOOKUP(A140,'SegEnds_NonXtal_Prot#'!A:AL,25,FALSE)</f>
        <v>27</v>
      </c>
      <c r="AH140" s="1">
        <f>VLOOKUP(A140,'SegEnds_NonXtal_Prot#'!A:AL,28,FALSE)-VLOOKUP(A140,'SegEnds_NonXtal_Prot#'!A:AL,22,FALSE)</f>
        <v>52</v>
      </c>
      <c r="AI140" s="1">
        <f>VLOOKUP(A140,'SegEnds_NonXtal_Prot#'!A:AL,31,FALSE)-VLOOKUP(A140,'SegEnds_NonXtal_Prot#'!A:AL,28,FALSE)</f>
        <v>51</v>
      </c>
      <c r="AJ140" s="1">
        <f>VLOOKUP(A140,'SegEnds_NonXtal_Prot#'!A:AL,34,FALSE)-VLOOKUP(A140,'SegEnds_NonXtal_Prot#'!A:AL,31,FALSE)</f>
        <v>38</v>
      </c>
      <c r="AK140" s="1">
        <f>VLOOKUP(A140,'SegEnds_NonXtal_Prot#'!A:AL,37,FALSE)-VLOOKUP(A140,'SegEnds_NonXtal_Prot#'!A:AL,34,FALSE)</f>
        <v>10</v>
      </c>
      <c r="AL140" s="1" t="str">
        <f>IF(ISERROR(MATCH(A140,'SegEnds_Xtal_Prot#'!B:B, 0)), "NoXtal", "Xtal")</f>
        <v>NoXtal</v>
      </c>
    </row>
    <row r="141" spans="1:38" x14ac:dyDescent="0.2">
      <c r="A141" s="1" t="s">
        <v>228</v>
      </c>
      <c r="B141" s="1" t="str">
        <f>VLOOKUP(A141,Xtal_Templ!A:B,2,FALSE)</f>
        <v>p2y12_human</v>
      </c>
      <c r="C141" s="5">
        <f>VLOOKUP($B141&amp;"__wt",'SegEnds_Xtal_BW#'!$A:$Z,3,FALSE)</f>
        <v>28</v>
      </c>
      <c r="D141" s="1">
        <f>VLOOKUP($B141&amp;"__wt",'SegEnds_Xtal_BW#'!$A:$Z,4,FALSE)</f>
        <v>60</v>
      </c>
      <c r="E141" s="1" t="str">
        <f>VLOOKUP($B141&amp;"__wt",'SegEnds_Xtal_BW#'!$A:$Z,5,FALSE)</f>
        <v>-</v>
      </c>
      <c r="F141" s="1" t="str">
        <f>VLOOKUP($B141&amp;"__wt",'SegEnds_Xtal_BW#'!$A:$Z,6,FALSE)</f>
        <v>-</v>
      </c>
      <c r="G141" s="1">
        <v>37</v>
      </c>
      <c r="H141" s="12">
        <f>VLOOKUP($B141&amp;"__wt",'SegEnds_Xtal_BW#'!$A:$Z,8,FALSE)</f>
        <v>66</v>
      </c>
      <c r="I141" s="1" t="str">
        <f>VLOOKUP($B141&amp;"__wt",'SegEnds_Xtal_BW#'!$A:$Z,9,FALSE)</f>
        <v>-</v>
      </c>
      <c r="J141" s="1" t="str">
        <f>VLOOKUP($B141&amp;"__wt",'SegEnds_Xtal_BW#'!$A:$Z,10,FALSE)</f>
        <v>-</v>
      </c>
      <c r="K141" s="12">
        <v>18</v>
      </c>
      <c r="L141" s="1">
        <f>VLOOKUP($B141&amp;"__wt",'SegEnds_Xtal_BW#'!$A:$Z,12,FALSE)</f>
        <v>56</v>
      </c>
      <c r="M141" s="1">
        <f>VLOOKUP($B141&amp;"__wt",'SegEnds_Xtal_BW#'!$A:$Z,13,FALSE)</f>
        <v>50</v>
      </c>
      <c r="N141" s="12">
        <v>57</v>
      </c>
      <c r="O141" s="87">
        <f>VLOOKUP($B141&amp;"__wt",'SegEnds_Xtal_BW#'!$A:$Z,15,FALSE)</f>
        <v>38</v>
      </c>
      <c r="P141" s="1">
        <f>VLOOKUP($B141&amp;"__wt",'SegEnds_Xtal_BW#'!$A:$Z,16,FALSE)</f>
        <v>64</v>
      </c>
      <c r="Q141" s="1">
        <f>VLOOKUP($B141&amp;"__wt",'SegEnds_Xtal_BW#'!$A:$Z,17,FALSE)</f>
        <v>50</v>
      </c>
      <c r="R141" s="1">
        <f>VLOOKUP($B141&amp;"__wt",'SegEnds_Xtal_BW#'!$A:$Z,18,FALSE)</f>
        <v>52</v>
      </c>
      <c r="S141" s="1">
        <f>VLOOKUP($B141&amp;"__wt",'SegEnds_Xtal_BW#'!$A:$Z,19,FALSE)</f>
        <v>30</v>
      </c>
      <c r="T141" s="1">
        <f t="array" ref="T141">INDEX(ICL3_classA!$G$2:$G$39,MATCH(MIN(ABS(AI141-ICL3_classA!$F$2:$F$39)),ABS(AI141-ICL3_classA!$F$2:$F$39),0))</f>
        <v>67</v>
      </c>
      <c r="U141" s="1">
        <f t="array" ref="U141">INDEX(ICL3_classA!$H$2:$H$39,MATCH(MIN(ABS(AI141-ICL3_classA!$F$2:$F$39)),ABS(AI141-ICL3_classA!$F$2:$F$39),0))</f>
        <v>26</v>
      </c>
      <c r="V141" s="1">
        <v>64</v>
      </c>
      <c r="W141" s="1">
        <v>24</v>
      </c>
      <c r="X141" s="1">
        <f>VLOOKUP($B141&amp;"__wt",'SegEnds_Xtal_BW#'!$A:$Z,24,FALSE)</f>
        <v>56</v>
      </c>
      <c r="Y141" s="1">
        <f>VLOOKUP($B141&amp;"__wt",'SegEnds_Xtal_BW#'!$A:$Z,25,FALSE)</f>
        <v>47</v>
      </c>
      <c r="Z141" s="1">
        <f>VLOOKUP($B141&amp;"__wt",'SegEnds_Xtal_BW#'!$A:$Z,26,FALSE)</f>
        <v>57</v>
      </c>
      <c r="AA141" s="27" t="str">
        <f>VLOOKUP(A141,Classification!A:B,2,FALSE)</f>
        <v>A</v>
      </c>
      <c r="AB141" s="1">
        <f>VLOOKUP(A141,'SegEnds_NonXtal_Prot#'!A:AL,10,FALSE)-VLOOKUP(A141,'SegEnds_NonXtal_Prot#'!A:AL,4,FALSE)</f>
        <v>28</v>
      </c>
      <c r="AC141" s="1" t="e">
        <f>VLOOKUP(A141,'SegEnds_NonXtal_Prot#'!A:AL,10,FALSE)-VLOOKUP(A141,'SegEnds_NonXtal_Prot#'!A:AL,7,FALSE)</f>
        <v>#VALUE!</v>
      </c>
      <c r="AD141" s="1" t="e">
        <f>VLOOKUP(A141,'SegEnds_NonXtal_Prot#'!A:AL,13,FALSE)-VLOOKUP(A141,'SegEnds_NonXtal_Prot#'!A:AL,10,FALSE)</f>
        <v>#VALUE!</v>
      </c>
      <c r="AE141" s="1">
        <f>VLOOKUP(A141,'SegEnds_NonXtal_Prot#'!A:AL,16,FALSE)-VLOOKUP(A141,'SegEnds_NonXtal_Prot#'!A:AL,10,FALSE)</f>
        <v>52</v>
      </c>
      <c r="AF141" s="1">
        <f>VLOOKUP(A141,'SegEnds_NonXtal_Prot#'!A:AL,22,FALSE)-VLOOKUP(A141,'SegEnds_NonXtal_Prot#'!A:AL,19,FALSE)</f>
        <v>20</v>
      </c>
      <c r="AG141" s="1">
        <f>VLOOKUP(A141,'SegEnds_NonXtal_Prot#'!A:AL,28,FALSE)-VLOOKUP(A141,'SegEnds_NonXtal_Prot#'!A:AL,25,FALSE)</f>
        <v>26</v>
      </c>
      <c r="AH141" s="1">
        <f>VLOOKUP(A141,'SegEnds_NonXtal_Prot#'!A:AL,28,FALSE)-VLOOKUP(A141,'SegEnds_NonXtal_Prot#'!A:AL,22,FALSE)</f>
        <v>52</v>
      </c>
      <c r="AI141" s="1">
        <f>VLOOKUP(A141,'SegEnds_NonXtal_Prot#'!A:AL,31,FALSE)-VLOOKUP(A141,'SegEnds_NonXtal_Prot#'!A:AL,28,FALSE)</f>
        <v>47</v>
      </c>
      <c r="AJ141" s="1">
        <f>VLOOKUP(A141,'SegEnds_NonXtal_Prot#'!A:AL,34,FALSE)-VLOOKUP(A141,'SegEnds_NonXtal_Prot#'!A:AL,31,FALSE)</f>
        <v>44</v>
      </c>
      <c r="AK141" s="1">
        <f>VLOOKUP(A141,'SegEnds_NonXtal_Prot#'!A:AL,37,FALSE)-VLOOKUP(A141,'SegEnds_NonXtal_Prot#'!A:AL,34,FALSE)</f>
        <v>10</v>
      </c>
      <c r="AL141" s="1" t="str">
        <f>IF(ISERROR(MATCH(A141,'SegEnds_Xtal_Prot#'!B:B, 0)), "NoXtal", "Xtal")</f>
        <v>NoXtal</v>
      </c>
    </row>
    <row r="142" spans="1:38" x14ac:dyDescent="0.2">
      <c r="A142" s="1" t="s">
        <v>232</v>
      </c>
      <c r="B142" s="1" t="str">
        <f>VLOOKUP(A142,Xtal_Templ!A:B,2,FALSE)</f>
        <v>apj_human</v>
      </c>
      <c r="C142" s="5">
        <f>VLOOKUP($B142&amp;"__wt",'SegEnds_Xtal_BW#'!$A:$Z,3,FALSE)</f>
        <v>33</v>
      </c>
      <c r="D142" s="1">
        <f>VLOOKUP($B142&amp;"__wt",'SegEnds_Xtal_BW#'!$A:$Z,4,FALSE)</f>
        <v>60</v>
      </c>
      <c r="E142" s="1">
        <f>VLOOKUP($B142&amp;"__wt",'SegEnds_Xtal_BW#'!$A:$Z,5,FALSE)</f>
        <v>48</v>
      </c>
      <c r="F142" s="1">
        <f>VLOOKUP($B142&amp;"__wt",'SegEnds_Xtal_BW#'!$A:$Z,6,FALSE)</f>
        <v>52</v>
      </c>
      <c r="G142" s="1">
        <v>37</v>
      </c>
      <c r="H142" s="12">
        <f>VLOOKUP($B142&amp;"__wt",'SegEnds_Xtal_BW#'!$A:$Z,8,FALSE)</f>
        <v>67</v>
      </c>
      <c r="I142" s="1">
        <f>VLOOKUP($B142&amp;"__wt",'SegEnds_Xtal_BW#'!$A:$Z,9,FALSE)</f>
        <v>49</v>
      </c>
      <c r="J142" s="1">
        <f>VLOOKUP($B142&amp;"__wt",'SegEnds_Xtal_BW#'!$A:$Z,10,FALSE)</f>
        <v>52</v>
      </c>
      <c r="K142" s="12">
        <v>18</v>
      </c>
      <c r="L142" s="1">
        <f>VLOOKUP($B142&amp;"__wt",'SegEnds_Xtal_BW#'!$A:$Z,12,FALSE)</f>
        <v>56</v>
      </c>
      <c r="M142" s="1">
        <f>VLOOKUP($B142&amp;"__wt",'SegEnds_Xtal_BW#'!$A:$Z,13,FALSE)</f>
        <v>50</v>
      </c>
      <c r="N142" s="12">
        <v>57</v>
      </c>
      <c r="O142" s="87">
        <v>38</v>
      </c>
      <c r="P142" s="1">
        <f>VLOOKUP($B142&amp;"__wt",'SegEnds_Xtal_BW#'!$A:$Z,16,FALSE)</f>
        <v>64</v>
      </c>
      <c r="Q142" s="1">
        <f>VLOOKUP($B142&amp;"__wt",'SegEnds_Xtal_BW#'!$A:$Z,17,FALSE)</f>
        <v>50</v>
      </c>
      <c r="R142" s="1">
        <f>VLOOKUP($B142&amp;"__wt",'SegEnds_Xtal_BW#'!$A:$Z,18,FALSE)</f>
        <v>52</v>
      </c>
      <c r="S142" s="1">
        <f>VLOOKUP($B142&amp;"__wt",'SegEnds_Xtal_BW#'!$A:$Z,19,FALSE)</f>
        <v>30</v>
      </c>
      <c r="T142" s="1">
        <f t="array" ref="T142">INDEX(ICL3_classA!$G$2:$G$39,MATCH(MIN(ABS(AI142-ICL3_classA!$F$2:$F$39)),ABS(AI142-ICL3_classA!$F$2:$F$39),0))</f>
        <v>68</v>
      </c>
      <c r="U142" s="1">
        <f t="array" ref="U142">INDEX(ICL3_classA!$H$2:$H$39,MATCH(MIN(ABS(AI142-ICL3_classA!$F$2:$F$39)),ABS(AI142-ICL3_classA!$F$2:$F$39),0))</f>
        <v>30</v>
      </c>
      <c r="V142" s="1">
        <v>64</v>
      </c>
      <c r="W142" s="1">
        <v>24</v>
      </c>
      <c r="X142" s="1">
        <f>VLOOKUP($B142&amp;"__wt",'SegEnds_Xtal_BW#'!$A:$Z,24,FALSE)</f>
        <v>56</v>
      </c>
      <c r="Y142" s="1">
        <f>VLOOKUP($B142&amp;"__wt",'SegEnds_Xtal_BW#'!$A:$Z,25,FALSE)</f>
        <v>47</v>
      </c>
      <c r="Z142" s="1">
        <f>VLOOKUP($B142&amp;"__wt",'SegEnds_Xtal_BW#'!$A:$Z,26,FALSE)</f>
        <v>61</v>
      </c>
      <c r="AA142" s="27" t="str">
        <f>VLOOKUP(A142,Classification!A:B,2,FALSE)</f>
        <v>A</v>
      </c>
      <c r="AB142" s="1">
        <f>VLOOKUP(A142,'SegEnds_NonXtal_Prot#'!A:AL,10,FALSE)-VLOOKUP(A142,'SegEnds_NonXtal_Prot#'!A:AL,4,FALSE)</f>
        <v>28</v>
      </c>
      <c r="AC142" s="1">
        <f>VLOOKUP(A142,'SegEnds_NonXtal_Prot#'!A:AL,10,FALSE)-VLOOKUP(A142,'SegEnds_NonXtal_Prot#'!A:AL,7,FALSE)</f>
        <v>15</v>
      </c>
      <c r="AD142" s="1">
        <f>VLOOKUP(A142,'SegEnds_NonXtal_Prot#'!A:AL,13,FALSE)-VLOOKUP(A142,'SegEnds_NonXtal_Prot#'!A:AL,10,FALSE)</f>
        <v>20</v>
      </c>
      <c r="AE142" s="1">
        <f>VLOOKUP(A142,'SegEnds_NonXtal_Prot#'!A:AL,16,FALSE)-VLOOKUP(A142,'SegEnds_NonXtal_Prot#'!A:AL,10,FALSE)</f>
        <v>52</v>
      </c>
      <c r="AF142" s="1">
        <f>VLOOKUP(A142,'SegEnds_NonXtal_Prot#'!A:AL,22,FALSE)-VLOOKUP(A142,'SegEnds_NonXtal_Prot#'!A:AL,19,FALSE)</f>
        <v>20</v>
      </c>
      <c r="AG142" s="1">
        <f>VLOOKUP(A142,'SegEnds_NonXtal_Prot#'!A:AL,28,FALSE)-VLOOKUP(A142,'SegEnds_NonXtal_Prot#'!A:AL,25,FALSE)</f>
        <v>28</v>
      </c>
      <c r="AH142" s="1">
        <f>VLOOKUP(A142,'SegEnds_NonXtal_Prot#'!A:AL,28,FALSE)-VLOOKUP(A142,'SegEnds_NonXtal_Prot#'!A:AL,22,FALSE)</f>
        <v>52</v>
      </c>
      <c r="AI142" s="1">
        <f>VLOOKUP(A142,'SegEnds_NonXtal_Prot#'!A:AL,31,FALSE)-VLOOKUP(A142,'SegEnds_NonXtal_Prot#'!A:AL,28,FALSE)</f>
        <v>43</v>
      </c>
      <c r="AJ142" s="1">
        <f>VLOOKUP(A142,'SegEnds_NonXtal_Prot#'!A:AL,34,FALSE)-VLOOKUP(A142,'SegEnds_NonXtal_Prot#'!A:AL,31,FALSE)</f>
        <v>44</v>
      </c>
      <c r="AK142" s="1">
        <f>VLOOKUP(A142,'SegEnds_NonXtal_Prot#'!A:AL,37,FALSE)-VLOOKUP(A142,'SegEnds_NonXtal_Prot#'!A:AL,34,FALSE)</f>
        <v>10</v>
      </c>
      <c r="AL142" s="1" t="str">
        <f>IF(ISERROR(MATCH(A142,'SegEnds_Xtal_Prot#'!B:B, 0)), "NoXtal", "Xtal")</f>
        <v>NoXtal</v>
      </c>
    </row>
    <row r="143" spans="1:38" x14ac:dyDescent="0.2">
      <c r="A143" s="1" t="s">
        <v>233</v>
      </c>
      <c r="B143" s="1" t="str">
        <f>VLOOKUP(A143,Xtal_Templ!A:B,2,FALSE)</f>
        <v>oprk_human</v>
      </c>
      <c r="C143" s="5">
        <f>VLOOKUP($B143&amp;"__wt",'SegEnds_Xtal_BW#'!$A:$Z,3,FALSE)</f>
        <v>30</v>
      </c>
      <c r="D143" s="1">
        <f>VLOOKUP($B143&amp;"__wt",'SegEnds_Xtal_BW#'!$A:$Z,4,FALSE)</f>
        <v>60</v>
      </c>
      <c r="E143" s="1">
        <f>VLOOKUP($B143&amp;"__wt",'SegEnds_Xtal_BW#'!$A:$Z,5,FALSE)</f>
        <v>48</v>
      </c>
      <c r="F143" s="1">
        <f>VLOOKUP($B143&amp;"__wt",'SegEnds_Xtal_BW#'!$A:$Z,6,FALSE)</f>
        <v>51</v>
      </c>
      <c r="G143" s="1">
        <v>37</v>
      </c>
      <c r="H143" s="12">
        <f>VLOOKUP($B143&amp;"__wt",'SegEnds_Xtal_BW#'!$A:$Z,8,FALSE)</f>
        <v>67</v>
      </c>
      <c r="I143" s="1">
        <f>VLOOKUP($B143&amp;"__wt",'SegEnds_Xtal_BW#'!$A:$Z,9,FALSE)</f>
        <v>49</v>
      </c>
      <c r="J143" s="1">
        <f>VLOOKUP($B143&amp;"__wt",'SegEnds_Xtal_BW#'!$A:$Z,10,FALSE)</f>
        <v>52</v>
      </c>
      <c r="K143" s="12">
        <v>18</v>
      </c>
      <c r="L143" s="1">
        <f>VLOOKUP($B143&amp;"__wt",'SegEnds_Xtal_BW#'!$A:$Z,12,FALSE)</f>
        <v>56</v>
      </c>
      <c r="M143" s="1">
        <f>VLOOKUP($B143&amp;"__wt",'SegEnds_Xtal_BW#'!$A:$Z,13,FALSE)</f>
        <v>50</v>
      </c>
      <c r="N143" s="12">
        <v>57</v>
      </c>
      <c r="O143" s="87">
        <f>VLOOKUP($B143&amp;"__wt",'SegEnds_Xtal_BW#'!$A:$Z,15,FALSE)</f>
        <v>38</v>
      </c>
      <c r="P143" s="1">
        <f>VLOOKUP($B143&amp;"__wt",'SegEnds_Xtal_BW#'!$A:$Z,16,FALSE)</f>
        <v>64</v>
      </c>
      <c r="Q143" s="1">
        <f>VLOOKUP($B143&amp;"__wt",'SegEnds_Xtal_BW#'!$A:$Z,17,FALSE)</f>
        <v>50</v>
      </c>
      <c r="R143" s="1">
        <f>VLOOKUP($B143&amp;"__wt",'SegEnds_Xtal_BW#'!$A:$Z,18,FALSE)</f>
        <v>52</v>
      </c>
      <c r="S143" s="1">
        <f>VLOOKUP($B143&amp;"__wt",'SegEnds_Xtal_BW#'!$A:$Z,19,FALSE)</f>
        <v>30</v>
      </c>
      <c r="T143" s="1">
        <f t="array" ref="T143">INDEX(ICL3_classA!$G$2:$G$39,MATCH(MIN(ABS(AI143-ICL3_classA!$F$2:$F$39)),ABS(AI143-ICL3_classA!$F$2:$F$39),0))</f>
        <v>68</v>
      </c>
      <c r="U143" s="1">
        <f t="array" ref="U143">INDEX(ICL3_classA!$H$2:$H$39,MATCH(MIN(ABS(AI143-ICL3_classA!$F$2:$F$39)),ABS(AI143-ICL3_classA!$F$2:$F$39),0))</f>
        <v>23</v>
      </c>
      <c r="V143" s="1">
        <v>64</v>
      </c>
      <c r="W143" s="1">
        <v>24</v>
      </c>
      <c r="X143" s="1">
        <f>VLOOKUP($B143&amp;"__wt",'SegEnds_Xtal_BW#'!$A:$Z,24,FALSE)</f>
        <v>56</v>
      </c>
      <c r="Y143" s="1">
        <f>VLOOKUP($B143&amp;"__wt",'SegEnds_Xtal_BW#'!$A:$Z,25,FALSE)</f>
        <v>47</v>
      </c>
      <c r="Z143" s="1">
        <f>VLOOKUP($B143&amp;"__wt",'SegEnds_Xtal_BW#'!$A:$Z,26,FALSE)</f>
        <v>59</v>
      </c>
      <c r="AA143" s="27" t="str">
        <f>VLOOKUP(A143,Classification!A:B,2,FALSE)</f>
        <v>A</v>
      </c>
      <c r="AB143" s="1">
        <f>VLOOKUP(A143,'SegEnds_NonXtal_Prot#'!A:AL,10,FALSE)-VLOOKUP(A143,'SegEnds_NonXtal_Prot#'!A:AL,4,FALSE)</f>
        <v>28</v>
      </c>
      <c r="AC143" s="1">
        <f>VLOOKUP(A143,'SegEnds_NonXtal_Prot#'!A:AL,10,FALSE)-VLOOKUP(A143,'SegEnds_NonXtal_Prot#'!A:AL,7,FALSE)</f>
        <v>15</v>
      </c>
      <c r="AD143" s="1">
        <f>VLOOKUP(A143,'SegEnds_NonXtal_Prot#'!A:AL,13,FALSE)-VLOOKUP(A143,'SegEnds_NonXtal_Prot#'!A:AL,10,FALSE)</f>
        <v>20</v>
      </c>
      <c r="AE143" s="1">
        <f>VLOOKUP(A143,'SegEnds_NonXtal_Prot#'!A:AL,16,FALSE)-VLOOKUP(A143,'SegEnds_NonXtal_Prot#'!A:AL,10,FALSE)</f>
        <v>52</v>
      </c>
      <c r="AF143" s="1">
        <f>VLOOKUP(A143,'SegEnds_NonXtal_Prot#'!A:AL,22,FALSE)-VLOOKUP(A143,'SegEnds_NonXtal_Prot#'!A:AL,19,FALSE)</f>
        <v>20</v>
      </c>
      <c r="AG143" s="1">
        <f>VLOOKUP(A143,'SegEnds_NonXtal_Prot#'!A:AL,28,FALSE)-VLOOKUP(A143,'SegEnds_NonXtal_Prot#'!A:AL,25,FALSE)</f>
        <v>27</v>
      </c>
      <c r="AH143" s="1">
        <f>VLOOKUP(A143,'SegEnds_NonXtal_Prot#'!A:AL,28,FALSE)-VLOOKUP(A143,'SegEnds_NonXtal_Prot#'!A:AL,22,FALSE)</f>
        <v>52</v>
      </c>
      <c r="AI143" s="1">
        <f>VLOOKUP(A143,'SegEnds_NonXtal_Prot#'!A:AL,31,FALSE)-VLOOKUP(A143,'SegEnds_NonXtal_Prot#'!A:AL,28,FALSE)</f>
        <v>51</v>
      </c>
      <c r="AJ143" s="1">
        <f>VLOOKUP(A143,'SegEnds_NonXtal_Prot#'!A:AL,34,FALSE)-VLOOKUP(A143,'SegEnds_NonXtal_Prot#'!A:AL,31,FALSE)</f>
        <v>46</v>
      </c>
      <c r="AK143" s="1">
        <f>VLOOKUP(A143,'SegEnds_NonXtal_Prot#'!A:AL,37,FALSE)-VLOOKUP(A143,'SegEnds_NonXtal_Prot#'!A:AL,34,FALSE)</f>
        <v>10</v>
      </c>
      <c r="AL143" s="1" t="str">
        <f>IF(ISERROR(MATCH(A143,'SegEnds_Xtal_Prot#'!B:B, 0)), "NoXtal", "Xtal")</f>
        <v>NoXtal</v>
      </c>
    </row>
    <row r="144" spans="1:38" x14ac:dyDescent="0.2">
      <c r="A144" s="1" t="s">
        <v>271</v>
      </c>
      <c r="B144" s="1" t="str">
        <f>VLOOKUP(A144,Xtal_Templ!A:B,2,FALSE)</f>
        <v>p2y12_human</v>
      </c>
      <c r="C144" s="5">
        <f>VLOOKUP($B144&amp;"__wt",'SegEnds_Xtal_BW#'!$A:$Z,3,FALSE)</f>
        <v>28</v>
      </c>
      <c r="D144" s="1">
        <f>VLOOKUP($B144&amp;"__wt",'SegEnds_Xtal_BW#'!$A:$Z,4,FALSE)</f>
        <v>60</v>
      </c>
      <c r="E144" s="1" t="str">
        <f>VLOOKUP($B144&amp;"__wt",'SegEnds_Xtal_BW#'!$A:$Z,5,FALSE)</f>
        <v>-</v>
      </c>
      <c r="F144" s="1" t="str">
        <f>VLOOKUP($B144&amp;"__wt",'SegEnds_Xtal_BW#'!$A:$Z,6,FALSE)</f>
        <v>-</v>
      </c>
      <c r="G144" s="1">
        <v>37</v>
      </c>
      <c r="H144" s="12">
        <f>VLOOKUP($B144&amp;"__wt",'SegEnds_Xtal_BW#'!$A:$Z,8,FALSE)</f>
        <v>66</v>
      </c>
      <c r="I144" s="1" t="str">
        <f>VLOOKUP($B144&amp;"__wt",'SegEnds_Xtal_BW#'!$A:$Z,9,FALSE)</f>
        <v>-</v>
      </c>
      <c r="J144" s="1" t="str">
        <f>VLOOKUP($B144&amp;"__wt",'SegEnds_Xtal_BW#'!$A:$Z,10,FALSE)</f>
        <v>-</v>
      </c>
      <c r="K144" s="12">
        <v>18</v>
      </c>
      <c r="L144" s="1">
        <f>VLOOKUP($B144&amp;"__wt",'SegEnds_Xtal_BW#'!$A:$Z,12,FALSE)</f>
        <v>56</v>
      </c>
      <c r="M144" s="1">
        <f>VLOOKUP($B144&amp;"__wt",'SegEnds_Xtal_BW#'!$A:$Z,13,FALSE)</f>
        <v>50</v>
      </c>
      <c r="N144" s="12">
        <v>57</v>
      </c>
      <c r="O144" s="87">
        <f>VLOOKUP($B144&amp;"__wt",'SegEnds_Xtal_BW#'!$A:$Z,15,FALSE)</f>
        <v>38</v>
      </c>
      <c r="P144" s="1">
        <f>VLOOKUP($B144&amp;"__wt",'SegEnds_Xtal_BW#'!$A:$Z,16,FALSE)</f>
        <v>64</v>
      </c>
      <c r="Q144" s="1">
        <f>VLOOKUP($B144&amp;"__wt",'SegEnds_Xtal_BW#'!$A:$Z,17,FALSE)</f>
        <v>50</v>
      </c>
      <c r="R144" s="1">
        <f>VLOOKUP($B144&amp;"__wt",'SegEnds_Xtal_BW#'!$A:$Z,18,FALSE)</f>
        <v>52</v>
      </c>
      <c r="S144" s="1">
        <f>VLOOKUP($B144&amp;"__wt",'SegEnds_Xtal_BW#'!$A:$Z,19,FALSE)</f>
        <v>30</v>
      </c>
      <c r="T144" s="1">
        <f t="array" ref="T144">INDEX(ICL3_classA!$G$2:$G$39,MATCH(MIN(ABS(AI144-ICL3_classA!$F$2:$F$39)),ABS(AI144-ICL3_classA!$F$2:$F$39),0))</f>
        <v>68</v>
      </c>
      <c r="U144" s="1">
        <f t="array" ref="U144">INDEX(ICL3_classA!$H$2:$H$39,MATCH(MIN(ABS(AI144-ICL3_classA!$F$2:$F$39)),ABS(AI144-ICL3_classA!$F$2:$F$39),0))</f>
        <v>24</v>
      </c>
      <c r="V144" s="1">
        <v>64</v>
      </c>
      <c r="W144" s="1">
        <v>24</v>
      </c>
      <c r="X144" s="1">
        <f>VLOOKUP($B144&amp;"__wt",'SegEnds_Xtal_BW#'!$A:$Z,24,FALSE)</f>
        <v>56</v>
      </c>
      <c r="Y144" s="1">
        <f>VLOOKUP($B144&amp;"__wt",'SegEnds_Xtal_BW#'!$A:$Z,25,FALSE)</f>
        <v>47</v>
      </c>
      <c r="Z144" s="1">
        <f>VLOOKUP($B144&amp;"__wt",'SegEnds_Xtal_BW#'!$A:$Z,26,FALSE)</f>
        <v>57</v>
      </c>
      <c r="AA144" s="27" t="str">
        <f>VLOOKUP(A144,Classification!A:B,2,FALSE)</f>
        <v>A</v>
      </c>
      <c r="AB144" s="1">
        <f>VLOOKUP(A144,'SegEnds_NonXtal_Prot#'!A:AL,10,FALSE)-VLOOKUP(A144,'SegEnds_NonXtal_Prot#'!A:AL,4,FALSE)</f>
        <v>27</v>
      </c>
      <c r="AC144" s="1" t="e">
        <f>VLOOKUP(A144,'SegEnds_NonXtal_Prot#'!A:AL,10,FALSE)-VLOOKUP(A144,'SegEnds_NonXtal_Prot#'!A:AL,7,FALSE)</f>
        <v>#VALUE!</v>
      </c>
      <c r="AD144" s="1">
        <f>VLOOKUP(A144,'SegEnds_NonXtal_Prot#'!A:AL,13,FALSE)-VLOOKUP(A144,'SegEnds_NonXtal_Prot#'!A:AL,10,FALSE)</f>
        <v>20</v>
      </c>
      <c r="AE144" s="1">
        <f>VLOOKUP(A144,'SegEnds_NonXtal_Prot#'!A:AL,16,FALSE)-VLOOKUP(A144,'SegEnds_NonXtal_Prot#'!A:AL,10,FALSE)</f>
        <v>52</v>
      </c>
      <c r="AF144" s="1">
        <f>VLOOKUP(A144,'SegEnds_NonXtal_Prot#'!A:AL,22,FALSE)-VLOOKUP(A144,'SegEnds_NonXtal_Prot#'!A:AL,19,FALSE)</f>
        <v>20</v>
      </c>
      <c r="AG144" s="1">
        <f>VLOOKUP(A144,'SegEnds_NonXtal_Prot#'!A:AL,28,FALSE)-VLOOKUP(A144,'SegEnds_NonXtal_Prot#'!A:AL,25,FALSE)</f>
        <v>26</v>
      </c>
      <c r="AH144" s="1">
        <f>VLOOKUP(A144,'SegEnds_NonXtal_Prot#'!A:AL,28,FALSE)-VLOOKUP(A144,'SegEnds_NonXtal_Prot#'!A:AL,22,FALSE)</f>
        <v>52</v>
      </c>
      <c r="AI144" s="1">
        <f>VLOOKUP(A144,'SegEnds_NonXtal_Prot#'!A:AL,31,FALSE)-VLOOKUP(A144,'SegEnds_NonXtal_Prot#'!A:AL,28,FALSE)</f>
        <v>49</v>
      </c>
      <c r="AJ144" s="1">
        <f>VLOOKUP(A144,'SegEnds_NonXtal_Prot#'!A:AL,34,FALSE)-VLOOKUP(A144,'SegEnds_NonXtal_Prot#'!A:AL,31,FALSE)</f>
        <v>44</v>
      </c>
      <c r="AK144" s="1">
        <f>VLOOKUP(A144,'SegEnds_NonXtal_Prot#'!A:AL,37,FALSE)-VLOOKUP(A144,'SegEnds_NonXtal_Prot#'!A:AL,34,FALSE)</f>
        <v>10</v>
      </c>
      <c r="AL144" s="1" t="str">
        <f>IF(ISERROR(MATCH(A144,'SegEnds_Xtal_Prot#'!B:B, 0)), "NoXtal", "Xtal")</f>
        <v>NoXtal</v>
      </c>
    </row>
    <row r="145" spans="1:38" x14ac:dyDescent="0.2">
      <c r="A145" s="1" t="s">
        <v>298</v>
      </c>
      <c r="B145" s="1" t="str">
        <f>VLOOKUP(A145,Xtal_Templ!A:B,2,FALSE)</f>
        <v>oprk_human</v>
      </c>
      <c r="C145" s="5">
        <f>VLOOKUP($B145&amp;"__wt",'SegEnds_Xtal_BW#'!$A:$Z,3,FALSE)</f>
        <v>30</v>
      </c>
      <c r="D145" s="1">
        <f>VLOOKUP($B145&amp;"__wt",'SegEnds_Xtal_BW#'!$A:$Z,4,FALSE)</f>
        <v>60</v>
      </c>
      <c r="E145" s="1">
        <f>VLOOKUP($B145&amp;"__wt",'SegEnds_Xtal_BW#'!$A:$Z,5,FALSE)</f>
        <v>48</v>
      </c>
      <c r="F145" s="1">
        <f>VLOOKUP($B145&amp;"__wt",'SegEnds_Xtal_BW#'!$A:$Z,6,FALSE)</f>
        <v>51</v>
      </c>
      <c r="G145" s="1">
        <v>37</v>
      </c>
      <c r="H145" s="12">
        <f>VLOOKUP($B145&amp;"__wt",'SegEnds_Xtal_BW#'!$A:$Z,8,FALSE)</f>
        <v>67</v>
      </c>
      <c r="I145" s="1">
        <f>VLOOKUP($B145&amp;"__wt",'SegEnds_Xtal_BW#'!$A:$Z,9,FALSE)</f>
        <v>49</v>
      </c>
      <c r="J145" s="1">
        <f>VLOOKUP($B145&amp;"__wt",'SegEnds_Xtal_BW#'!$A:$Z,10,FALSE)</f>
        <v>52</v>
      </c>
      <c r="K145" s="12">
        <v>18</v>
      </c>
      <c r="L145" s="1">
        <f>VLOOKUP($B145&amp;"__wt",'SegEnds_Xtal_BW#'!$A:$Z,12,FALSE)</f>
        <v>56</v>
      </c>
      <c r="M145" s="1">
        <f>VLOOKUP($B145&amp;"__wt",'SegEnds_Xtal_BW#'!$A:$Z,13,FALSE)</f>
        <v>50</v>
      </c>
      <c r="N145" s="12">
        <v>57</v>
      </c>
      <c r="O145" s="87">
        <v>38</v>
      </c>
      <c r="P145" s="1">
        <f>VLOOKUP($B145&amp;"__wt",'SegEnds_Xtal_BW#'!$A:$Z,16,FALSE)</f>
        <v>64</v>
      </c>
      <c r="Q145" s="1">
        <f>VLOOKUP($B145&amp;"__wt",'SegEnds_Xtal_BW#'!$A:$Z,17,FALSE)</f>
        <v>50</v>
      </c>
      <c r="R145" s="1">
        <f>VLOOKUP($B145&amp;"__wt",'SegEnds_Xtal_BW#'!$A:$Z,18,FALSE)</f>
        <v>52</v>
      </c>
      <c r="S145" s="1">
        <f>VLOOKUP($B145&amp;"__wt",'SegEnds_Xtal_BW#'!$A:$Z,19,FALSE)</f>
        <v>30</v>
      </c>
      <c r="T145" s="1">
        <f t="array" ref="T145">INDEX(ICL3_classA!$G$2:$G$39,MATCH(MIN(ABS(AI145-ICL3_classA!$F$2:$F$39)),ABS(AI145-ICL3_classA!$F$2:$F$39),0))</f>
        <v>68</v>
      </c>
      <c r="U145" s="1">
        <f t="array" ref="U145">INDEX(ICL3_classA!$H$2:$H$39,MATCH(MIN(ABS(AI145-ICL3_classA!$F$2:$F$39)),ABS(AI145-ICL3_classA!$F$2:$F$39),0))</f>
        <v>23</v>
      </c>
      <c r="V145" s="1">
        <v>61</v>
      </c>
      <c r="W145" s="1">
        <v>31</v>
      </c>
      <c r="X145" s="1">
        <f>VLOOKUP($B145&amp;"__wt",'SegEnds_Xtal_BW#'!$A:$Z,24,FALSE)</f>
        <v>56</v>
      </c>
      <c r="Y145" s="1">
        <f>VLOOKUP($B145&amp;"__wt",'SegEnds_Xtal_BW#'!$A:$Z,25,FALSE)</f>
        <v>47</v>
      </c>
      <c r="Z145" s="1">
        <f>VLOOKUP($B145&amp;"__wt",'SegEnds_Xtal_BW#'!$A:$Z,26,FALSE)</f>
        <v>59</v>
      </c>
      <c r="AA145" s="27" t="str">
        <f>VLOOKUP(A145,Classification!A:B,2,FALSE)</f>
        <v>A</v>
      </c>
      <c r="AB145" s="1">
        <f>VLOOKUP(A145,'SegEnds_NonXtal_Prot#'!A:AL,10,FALSE)-VLOOKUP(A145,'SegEnds_NonXtal_Prot#'!A:AL,4,FALSE)</f>
        <v>31</v>
      </c>
      <c r="AC145" s="1">
        <f>VLOOKUP(A145,'SegEnds_NonXtal_Prot#'!A:AL,10,FALSE)-VLOOKUP(A145,'SegEnds_NonXtal_Prot#'!A:AL,7,FALSE)</f>
        <v>18</v>
      </c>
      <c r="AD145" s="1">
        <f>VLOOKUP(A145,'SegEnds_NonXtal_Prot#'!A:AL,13,FALSE)-VLOOKUP(A145,'SegEnds_NonXtal_Prot#'!A:AL,10,FALSE)</f>
        <v>20</v>
      </c>
      <c r="AE145" s="1">
        <f>VLOOKUP(A145,'SegEnds_NonXtal_Prot#'!A:AL,16,FALSE)-VLOOKUP(A145,'SegEnds_NonXtal_Prot#'!A:AL,10,FALSE)</f>
        <v>52</v>
      </c>
      <c r="AF145" s="1">
        <f>VLOOKUP(A145,'SegEnds_NonXtal_Prot#'!A:AL,22,FALSE)-VLOOKUP(A145,'SegEnds_NonXtal_Prot#'!A:AL,19,FALSE)</f>
        <v>20</v>
      </c>
      <c r="AG145" s="1">
        <f>VLOOKUP(A145,'SegEnds_NonXtal_Prot#'!A:AL,28,FALSE)-VLOOKUP(A145,'SegEnds_NonXtal_Prot#'!A:AL,25,FALSE)</f>
        <v>26</v>
      </c>
      <c r="AH145" s="1">
        <f>VLOOKUP(A145,'SegEnds_NonXtal_Prot#'!A:AL,28,FALSE)-VLOOKUP(A145,'SegEnds_NonXtal_Prot#'!A:AL,22,FALSE)</f>
        <v>52</v>
      </c>
      <c r="AI145" s="1">
        <f>VLOOKUP(A145,'SegEnds_NonXtal_Prot#'!A:AL,31,FALSE)-VLOOKUP(A145,'SegEnds_NonXtal_Prot#'!A:AL,28,FALSE)</f>
        <v>51</v>
      </c>
      <c r="AJ145" s="1">
        <f>VLOOKUP(A145,'SegEnds_NonXtal_Prot#'!A:AL,34,FALSE)-VLOOKUP(A145,'SegEnds_NonXtal_Prot#'!A:AL,31,FALSE)</f>
        <v>37</v>
      </c>
      <c r="AK145" s="1">
        <f>VLOOKUP(A145,'SegEnds_NonXtal_Prot#'!A:AL,37,FALSE)-VLOOKUP(A145,'SegEnds_NonXtal_Prot#'!A:AL,34,FALSE)</f>
        <v>10</v>
      </c>
      <c r="AL145" s="1" t="str">
        <f>IF(ISERROR(MATCH(A145,'SegEnds_Xtal_Prot#'!B:B, 0)), "NoXtal", "Xtal")</f>
        <v>NoXtal</v>
      </c>
    </row>
    <row r="146" spans="1:38" x14ac:dyDescent="0.2">
      <c r="A146" s="1" t="s">
        <v>319</v>
      </c>
      <c r="B146" s="1" t="str">
        <f>VLOOKUP(A146,Xtal_Templ!A:B,2,FALSE)</f>
        <v>oprd_human</v>
      </c>
      <c r="C146" s="5">
        <f>VLOOKUP($B146&amp;"__wt",'SegEnds_Xtal_BW#'!$A:$Z,3,FALSE)</f>
        <v>22</v>
      </c>
      <c r="D146" s="1">
        <f>VLOOKUP($B146&amp;"__wt",'SegEnds_Xtal_BW#'!$A:$Z,4,FALSE)</f>
        <v>60</v>
      </c>
      <c r="E146" s="1">
        <f>VLOOKUP($B146&amp;"__wt",'SegEnds_Xtal_BW#'!$A:$Z,5,FALSE)</f>
        <v>48</v>
      </c>
      <c r="F146" s="1">
        <f>VLOOKUP($B146&amp;"__wt",'SegEnds_Xtal_BW#'!$A:$Z,6,FALSE)</f>
        <v>51</v>
      </c>
      <c r="G146" s="1">
        <v>37</v>
      </c>
      <c r="H146" s="12">
        <v>66</v>
      </c>
      <c r="I146" s="1">
        <f>VLOOKUP($B146&amp;"__wt",'SegEnds_Xtal_BW#'!$A:$Z,9,FALSE)</f>
        <v>49</v>
      </c>
      <c r="J146" s="1">
        <f>VLOOKUP($B146&amp;"__wt",'SegEnds_Xtal_BW#'!$A:$Z,10,FALSE)</f>
        <v>52</v>
      </c>
      <c r="K146" s="12">
        <v>21</v>
      </c>
      <c r="L146" s="1">
        <f>VLOOKUP($B146&amp;"__wt",'SegEnds_Xtal_BW#'!$A:$Z,12,FALSE)</f>
        <v>56</v>
      </c>
      <c r="M146" s="1">
        <f>VLOOKUP($B146&amp;"__wt",'SegEnds_Xtal_BW#'!$A:$Z,13,FALSE)</f>
        <v>50</v>
      </c>
      <c r="N146" s="12">
        <f>VLOOKUP($B146&amp;"__wt",'SegEnds_Xtal_BW#'!$A:$Z,14,FALSE)</f>
        <v>57</v>
      </c>
      <c r="O146" s="87">
        <v>38</v>
      </c>
      <c r="P146" s="1">
        <f>VLOOKUP($B146&amp;"__wt",'SegEnds_Xtal_BW#'!$A:$Z,16,FALSE)</f>
        <v>64</v>
      </c>
      <c r="Q146" s="1">
        <f>VLOOKUP($B146&amp;"__wt",'SegEnds_Xtal_BW#'!$A:$Z,17,FALSE)</f>
        <v>50</v>
      </c>
      <c r="R146" s="1">
        <f>VLOOKUP($B146&amp;"__wt",'SegEnds_Xtal_BW#'!$A:$Z,18,FALSE)</f>
        <v>52</v>
      </c>
      <c r="S146" s="1">
        <f>VLOOKUP($B146&amp;"__wt",'SegEnds_Xtal_BW#'!$A:$Z,19,FALSE)</f>
        <v>31</v>
      </c>
      <c r="T146" s="1">
        <f t="array" ref="T146">INDEX(ICL3_classA!$G$2:$G$39,MATCH(MIN(ABS(AI146-ICL3_classA!$F$2:$F$39)),ABS(AI146-ICL3_classA!$F$2:$F$39),0))</f>
        <v>68</v>
      </c>
      <c r="U146" s="1">
        <f t="array" ref="U146">INDEX(ICL3_classA!$H$2:$H$39,MATCH(MIN(ABS(AI146-ICL3_classA!$F$2:$F$39)),ABS(AI146-ICL3_classA!$F$2:$F$39),0))</f>
        <v>23</v>
      </c>
      <c r="V146" s="1">
        <v>61</v>
      </c>
      <c r="W146" s="131">
        <f>VLOOKUP($B146&amp;"__wt",'SegEnds_Xtal_BW#'!$A:$Z,23,FALSE)</f>
        <v>28</v>
      </c>
      <c r="X146" s="1">
        <f>VLOOKUP($B146&amp;"__wt",'SegEnds_Xtal_BW#'!$A:$Z,24,FALSE)</f>
        <v>56</v>
      </c>
      <c r="Y146" s="1">
        <f>VLOOKUP($B146&amp;"__wt",'SegEnds_Xtal_BW#'!$A:$Z,25,FALSE)</f>
        <v>47</v>
      </c>
      <c r="Z146" s="1">
        <f>VLOOKUP($B146&amp;"__wt",'SegEnds_Xtal_BW#'!$A:$Z,26,FALSE)</f>
        <v>60</v>
      </c>
      <c r="AA146" s="27" t="str">
        <f>VLOOKUP(A146,Classification!A:B,2,FALSE)</f>
        <v>A</v>
      </c>
      <c r="AB146" s="1">
        <f>VLOOKUP(A146,'SegEnds_NonXtal_Prot#'!A:AL,10,FALSE)-VLOOKUP(A146,'SegEnds_NonXtal_Prot#'!A:AL,4,FALSE)</f>
        <v>28</v>
      </c>
      <c r="AC146" s="1">
        <f>VLOOKUP(A146,'SegEnds_NonXtal_Prot#'!A:AL,10,FALSE)-VLOOKUP(A146,'SegEnds_NonXtal_Prot#'!A:AL,7,FALSE)</f>
        <v>15</v>
      </c>
      <c r="AD146" s="1">
        <f>VLOOKUP(A146,'SegEnds_NonXtal_Prot#'!A:AL,13,FALSE)-VLOOKUP(A146,'SegEnds_NonXtal_Prot#'!A:AL,10,FALSE)</f>
        <v>19</v>
      </c>
      <c r="AE146" s="1">
        <f>VLOOKUP(A146,'SegEnds_NonXtal_Prot#'!A:AL,16,FALSE)-VLOOKUP(A146,'SegEnds_NonXtal_Prot#'!A:AL,10,FALSE)</f>
        <v>51</v>
      </c>
      <c r="AF146" s="1" t="e">
        <f>VLOOKUP(A146,'SegEnds_NonXtal_Prot#'!A:AL,22,FALSE)-VLOOKUP(A146,'SegEnds_NonXtal_Prot#'!A:AL,19,FALSE)</f>
        <v>#VALUE!</v>
      </c>
      <c r="AG146" s="1">
        <f>VLOOKUP(A146,'SegEnds_NonXtal_Prot#'!A:AL,28,FALSE)-VLOOKUP(A146,'SegEnds_NonXtal_Prot#'!A:AL,25,FALSE)</f>
        <v>27</v>
      </c>
      <c r="AH146" s="1">
        <f>VLOOKUP(A146,'SegEnds_NonXtal_Prot#'!A:AL,28,FALSE)-VLOOKUP(A146,'SegEnds_NonXtal_Prot#'!A:AL,22,FALSE)</f>
        <v>52</v>
      </c>
      <c r="AI146" s="1">
        <f>VLOOKUP(A146,'SegEnds_NonXtal_Prot#'!A:AL,31,FALSE)-VLOOKUP(A146,'SegEnds_NonXtal_Prot#'!A:AL,28,FALSE)</f>
        <v>51</v>
      </c>
      <c r="AJ146" s="1">
        <f>VLOOKUP(A146,'SegEnds_NonXtal_Prot#'!A:AL,34,FALSE)-VLOOKUP(A146,'SegEnds_NonXtal_Prot#'!A:AL,31,FALSE)</f>
        <v>38</v>
      </c>
      <c r="AK146" s="1">
        <f>VLOOKUP(A146,'SegEnds_NonXtal_Prot#'!A:AL,37,FALSE)-VLOOKUP(A146,'SegEnds_NonXtal_Prot#'!A:AL,34,FALSE)</f>
        <v>10</v>
      </c>
      <c r="AL146" s="1" t="str">
        <f>IF(ISERROR(MATCH(A146,'SegEnds_Xtal_Prot#'!B:B, 0)), "NoXtal", "Xtal")</f>
        <v>NoXtal</v>
      </c>
    </row>
    <row r="147" spans="1:38" x14ac:dyDescent="0.2">
      <c r="A147" s="1" t="s">
        <v>331</v>
      </c>
      <c r="B147" s="1" t="str">
        <f>VLOOKUP(A147,Xtal_Templ!A:B,2,FALSE)</f>
        <v>opsd_bovin</v>
      </c>
      <c r="C147" s="5">
        <f>VLOOKUP($B147&amp;"__wt",'SegEnds_Xtal_BW#'!$A:$Z,3,FALSE)</f>
        <v>28</v>
      </c>
      <c r="D147" s="1">
        <f>VLOOKUP($B147&amp;"__wt",'SegEnds_Xtal_BW#'!$A:$Z,4,FALSE)</f>
        <v>60</v>
      </c>
      <c r="E147" s="1">
        <f>VLOOKUP($B147&amp;"__wt",'SegEnds_Xtal_BW#'!$A:$Z,5,FALSE)</f>
        <v>48</v>
      </c>
      <c r="F147" s="1">
        <f>VLOOKUP($B147&amp;"__wt",'SegEnds_Xtal_BW#'!$A:$Z,6,FALSE)</f>
        <v>51</v>
      </c>
      <c r="G147" s="1">
        <v>37</v>
      </c>
      <c r="H147" s="12">
        <f>VLOOKUP($B147&amp;"__wt",'SegEnds_Xtal_BW#'!$A:$Z,8,FALSE)</f>
        <v>67</v>
      </c>
      <c r="I147" s="1">
        <f>VLOOKUP($B147&amp;"__wt",'SegEnds_Xtal_BW#'!$A:$Z,9,FALSE)</f>
        <v>49</v>
      </c>
      <c r="J147" s="1">
        <f>VLOOKUP($B147&amp;"__wt",'SegEnds_Xtal_BW#'!$A:$Z,10,FALSE)</f>
        <v>52</v>
      </c>
      <c r="K147" s="12">
        <v>18</v>
      </c>
      <c r="L147" s="1">
        <f>VLOOKUP($B147&amp;"__wt",'SegEnds_Xtal_BW#'!$A:$Z,12,FALSE)</f>
        <v>56</v>
      </c>
      <c r="M147" s="1">
        <f>VLOOKUP($B147&amp;"__wt",'SegEnds_Xtal_BW#'!$A:$Z,13,FALSE)</f>
        <v>50</v>
      </c>
      <c r="N147" s="12">
        <f>VLOOKUP($B147&amp;"__wt",'SegEnds_Xtal_BW#'!$A:$Z,14,FALSE)</f>
        <v>56</v>
      </c>
      <c r="O147" s="87">
        <f>VLOOKUP($B147&amp;"__wt",'SegEnds_Xtal_BW#'!$A:$Z,15,FALSE)</f>
        <v>38</v>
      </c>
      <c r="P147" s="1">
        <f>VLOOKUP($B147&amp;"__wt",'SegEnds_Xtal_BW#'!$A:$Z,16,FALSE)</f>
        <v>62</v>
      </c>
      <c r="Q147" s="1">
        <f>VLOOKUP($B147&amp;"__wt",'SegEnds_Xtal_BW#'!$A:$Z,17,FALSE)</f>
        <v>50</v>
      </c>
      <c r="R147" s="1">
        <f>VLOOKUP($B147&amp;"__wt",'SegEnds_Xtal_BW#'!$A:$Z,18,FALSE)</f>
        <v>52</v>
      </c>
      <c r="S147" s="1">
        <f>VLOOKUP($B147&amp;"__wt",'SegEnds_Xtal_BW#'!$A:$Z,19,FALSE)</f>
        <v>34</v>
      </c>
      <c r="T147" s="1">
        <f t="array" ref="T147">INDEX(ICL3_classA!$G$2:$G$39,MATCH(MIN(ABS(AI147-ICL3_classA!$F$2:$F$39)),ABS(AI147-ICL3_classA!$F$2:$F$39),0))</f>
        <v>73</v>
      </c>
      <c r="U147" s="1">
        <f t="array" ref="U147">INDEX(ICL3_classA!$H$2:$H$39,MATCH(MIN(ABS(AI147-ICL3_classA!$F$2:$F$39)),ABS(AI147-ICL3_classA!$F$2:$F$39),0))</f>
        <v>22</v>
      </c>
      <c r="V147" s="1">
        <v>61</v>
      </c>
      <c r="W147" s="1">
        <v>31</v>
      </c>
      <c r="X147" s="1">
        <f>VLOOKUP($B147&amp;"__wt",'SegEnds_Xtal_BW#'!$A:$Z,24,FALSE)</f>
        <v>56</v>
      </c>
      <c r="Y147" s="1">
        <f>VLOOKUP($B147&amp;"__wt",'SegEnds_Xtal_BW#'!$A:$Z,25,FALSE)</f>
        <v>47</v>
      </c>
      <c r="Z147" s="1">
        <f>VLOOKUP($B147&amp;"__wt",'SegEnds_Xtal_BW#'!$A:$Z,26,FALSE)</f>
        <v>59</v>
      </c>
      <c r="AA147" s="27" t="str">
        <f>VLOOKUP(A147,Classification!A:B,2,FALSE)</f>
        <v>A</v>
      </c>
      <c r="AB147" s="1">
        <f>VLOOKUP(A147,'SegEnds_NonXtal_Prot#'!A:AL,10,FALSE)-VLOOKUP(A147,'SegEnds_NonXtal_Prot#'!A:AL,4,FALSE)</f>
        <v>28</v>
      </c>
      <c r="AC147" s="1">
        <f>VLOOKUP(A147,'SegEnds_NonXtal_Prot#'!A:AL,10,FALSE)-VLOOKUP(A147,'SegEnds_NonXtal_Prot#'!A:AL,7,FALSE)</f>
        <v>15</v>
      </c>
      <c r="AD147" s="1">
        <f>VLOOKUP(A147,'SegEnds_NonXtal_Prot#'!A:AL,13,FALSE)-VLOOKUP(A147,'SegEnds_NonXtal_Prot#'!A:AL,10,FALSE)</f>
        <v>20</v>
      </c>
      <c r="AE147" s="1">
        <f>VLOOKUP(A147,'SegEnds_NonXtal_Prot#'!A:AL,16,FALSE)-VLOOKUP(A147,'SegEnds_NonXtal_Prot#'!A:AL,10,FALSE)</f>
        <v>52</v>
      </c>
      <c r="AF147" s="1" t="e">
        <f>VLOOKUP(A147,'SegEnds_NonXtal_Prot#'!A:AL,22,FALSE)-VLOOKUP(A147,'SegEnds_NonXtal_Prot#'!A:AL,19,FALSE)</f>
        <v>#VALUE!</v>
      </c>
      <c r="AG147" s="1">
        <f>VLOOKUP(A147,'SegEnds_NonXtal_Prot#'!A:AL,28,FALSE)-VLOOKUP(A147,'SegEnds_NonXtal_Prot#'!A:AL,25,FALSE)</f>
        <v>26</v>
      </c>
      <c r="AH147" s="1">
        <f>VLOOKUP(A147,'SegEnds_NonXtal_Prot#'!A:AL,28,FALSE)-VLOOKUP(A147,'SegEnds_NonXtal_Prot#'!A:AL,22,FALSE)</f>
        <v>52</v>
      </c>
      <c r="AI147" s="1">
        <f>VLOOKUP(A147,'SegEnds_NonXtal_Prot#'!A:AL,31,FALSE)-VLOOKUP(A147,'SegEnds_NonXtal_Prot#'!A:AL,28,FALSE)</f>
        <v>56</v>
      </c>
      <c r="AJ147" s="1">
        <f>VLOOKUP(A147,'SegEnds_NonXtal_Prot#'!A:AL,34,FALSE)-VLOOKUP(A147,'SegEnds_NonXtal_Prot#'!A:AL,31,FALSE)</f>
        <v>36</v>
      </c>
      <c r="AK147" s="1">
        <f>VLOOKUP(A147,'SegEnds_NonXtal_Prot#'!A:AL,37,FALSE)-VLOOKUP(A147,'SegEnds_NonXtal_Prot#'!A:AL,34,FALSE)</f>
        <v>10</v>
      </c>
      <c r="AL147" s="1" t="str">
        <f>IF(ISERROR(MATCH(A147,'SegEnds_Xtal_Prot#'!B:B, 0)), "NoXtal", "Xtal")</f>
        <v>NoXtal</v>
      </c>
    </row>
    <row r="148" spans="1:38" x14ac:dyDescent="0.2">
      <c r="A148" s="1" t="s">
        <v>332</v>
      </c>
      <c r="B148" s="1" t="str">
        <f>VLOOKUP(A148,Xtal_Templ!A:B,2,FALSE)</f>
        <v>opsd_bovin</v>
      </c>
      <c r="C148" s="5">
        <f>VLOOKUP($B148&amp;"__wt",'SegEnds_Xtal_BW#'!$A:$Z,3,FALSE)</f>
        <v>28</v>
      </c>
      <c r="D148" s="1">
        <f>VLOOKUP($B148&amp;"__wt",'SegEnds_Xtal_BW#'!$A:$Z,4,FALSE)</f>
        <v>60</v>
      </c>
      <c r="E148" s="1">
        <f>VLOOKUP($B148&amp;"__wt",'SegEnds_Xtal_BW#'!$A:$Z,5,FALSE)</f>
        <v>48</v>
      </c>
      <c r="F148" s="1">
        <f>VLOOKUP($B148&amp;"__wt",'SegEnds_Xtal_BW#'!$A:$Z,6,FALSE)</f>
        <v>51</v>
      </c>
      <c r="G148" s="1">
        <v>37</v>
      </c>
      <c r="H148" s="12">
        <f>VLOOKUP($B148&amp;"__wt",'SegEnds_Xtal_BW#'!$A:$Z,8,FALSE)</f>
        <v>67</v>
      </c>
      <c r="I148" s="1">
        <f>VLOOKUP($B148&amp;"__wt",'SegEnds_Xtal_BW#'!$A:$Z,9,FALSE)</f>
        <v>49</v>
      </c>
      <c r="J148" s="1">
        <f>VLOOKUP($B148&amp;"__wt",'SegEnds_Xtal_BW#'!$A:$Z,10,FALSE)</f>
        <v>52</v>
      </c>
      <c r="K148" s="12">
        <v>18</v>
      </c>
      <c r="L148" s="1">
        <f>VLOOKUP($B148&amp;"__wt",'SegEnds_Xtal_BW#'!$A:$Z,12,FALSE)</f>
        <v>56</v>
      </c>
      <c r="M148" s="1">
        <f>VLOOKUP($B148&amp;"__wt",'SegEnds_Xtal_BW#'!$A:$Z,13,FALSE)</f>
        <v>50</v>
      </c>
      <c r="N148" s="12">
        <v>57</v>
      </c>
      <c r="O148" s="87">
        <f>VLOOKUP($B148&amp;"__wt",'SegEnds_Xtal_BW#'!$A:$Z,15,FALSE)</f>
        <v>38</v>
      </c>
      <c r="P148" s="1">
        <f>VLOOKUP($B148&amp;"__wt",'SegEnds_Xtal_BW#'!$A:$Z,16,FALSE)</f>
        <v>62</v>
      </c>
      <c r="Q148" s="1">
        <f>VLOOKUP($B148&amp;"__wt",'SegEnds_Xtal_BW#'!$A:$Z,17,FALSE)</f>
        <v>50</v>
      </c>
      <c r="R148" s="1">
        <f>VLOOKUP($B148&amp;"__wt",'SegEnds_Xtal_BW#'!$A:$Z,18,FALSE)</f>
        <v>52</v>
      </c>
      <c r="S148" s="1">
        <f>VLOOKUP($B148&amp;"__wt",'SegEnds_Xtal_BW#'!$A:$Z,19,FALSE)</f>
        <v>34</v>
      </c>
      <c r="T148" s="1">
        <f t="array" ref="T148">INDEX(ICL3_classA!$G$2:$G$39,MATCH(MIN(ABS(AI148-ICL3_classA!$F$2:$F$39)),ABS(AI148-ICL3_classA!$F$2:$F$39),0))</f>
        <v>74</v>
      </c>
      <c r="U148" s="1">
        <f t="array" ref="U148">INDEX(ICL3_classA!$H$2:$H$39,MATCH(MIN(ABS(AI148-ICL3_classA!$F$2:$F$39)),ABS(AI148-ICL3_classA!$F$2:$F$39),0))</f>
        <v>21</v>
      </c>
      <c r="V148" s="1">
        <v>61</v>
      </c>
      <c r="W148" s="1">
        <v>31</v>
      </c>
      <c r="X148" s="1">
        <f>VLOOKUP($B148&amp;"__wt",'SegEnds_Xtal_BW#'!$A:$Z,24,FALSE)</f>
        <v>56</v>
      </c>
      <c r="Y148" s="1">
        <f>VLOOKUP($B148&amp;"__wt",'SegEnds_Xtal_BW#'!$A:$Z,25,FALSE)</f>
        <v>47</v>
      </c>
      <c r="Z148" s="1">
        <f>VLOOKUP($B148&amp;"__wt",'SegEnds_Xtal_BW#'!$A:$Z,26,FALSE)</f>
        <v>59</v>
      </c>
      <c r="AA148" s="27" t="str">
        <f>VLOOKUP(A148,Classification!A:B,2,FALSE)</f>
        <v>A</v>
      </c>
      <c r="AB148" s="1">
        <f>VLOOKUP(A148,'SegEnds_NonXtal_Prot#'!A:AL,10,FALSE)-VLOOKUP(A148,'SegEnds_NonXtal_Prot#'!A:AL,4,FALSE)</f>
        <v>28</v>
      </c>
      <c r="AC148" s="1">
        <f>VLOOKUP(A148,'SegEnds_NonXtal_Prot#'!A:AL,10,FALSE)-VLOOKUP(A148,'SegEnds_NonXtal_Prot#'!A:AL,7,FALSE)</f>
        <v>15</v>
      </c>
      <c r="AD148" s="1">
        <f>VLOOKUP(A148,'SegEnds_NonXtal_Prot#'!A:AL,13,FALSE)-VLOOKUP(A148,'SegEnds_NonXtal_Prot#'!A:AL,10,FALSE)</f>
        <v>20</v>
      </c>
      <c r="AE148" s="1">
        <f>VLOOKUP(A148,'SegEnds_NonXtal_Prot#'!A:AL,16,FALSE)-VLOOKUP(A148,'SegEnds_NonXtal_Prot#'!A:AL,10,FALSE)</f>
        <v>52</v>
      </c>
      <c r="AF148" s="1">
        <f>VLOOKUP(A148,'SegEnds_NonXtal_Prot#'!A:AL,22,FALSE)-VLOOKUP(A148,'SegEnds_NonXtal_Prot#'!A:AL,19,FALSE)</f>
        <v>20</v>
      </c>
      <c r="AG148" s="1">
        <f>VLOOKUP(A148,'SegEnds_NonXtal_Prot#'!A:AL,28,FALSE)-VLOOKUP(A148,'SegEnds_NonXtal_Prot#'!A:AL,25,FALSE)</f>
        <v>26</v>
      </c>
      <c r="AH148" s="1">
        <f>VLOOKUP(A148,'SegEnds_NonXtal_Prot#'!A:AL,28,FALSE)-VLOOKUP(A148,'SegEnds_NonXtal_Prot#'!A:AL,22,FALSE)</f>
        <v>52</v>
      </c>
      <c r="AI148" s="1">
        <f>VLOOKUP(A148,'SegEnds_NonXtal_Prot#'!A:AL,31,FALSE)-VLOOKUP(A148,'SegEnds_NonXtal_Prot#'!A:AL,28,FALSE)</f>
        <v>64</v>
      </c>
      <c r="AJ148" s="1">
        <f>VLOOKUP(A148,'SegEnds_NonXtal_Prot#'!A:AL,34,FALSE)-VLOOKUP(A148,'SegEnds_NonXtal_Prot#'!A:AL,31,FALSE)</f>
        <v>36</v>
      </c>
      <c r="AK148" s="1">
        <f>VLOOKUP(A148,'SegEnds_NonXtal_Prot#'!A:AL,37,FALSE)-VLOOKUP(A148,'SegEnds_NonXtal_Prot#'!A:AL,34,FALSE)</f>
        <v>10</v>
      </c>
      <c r="AL148" s="1" t="str">
        <f>IF(ISERROR(MATCH(A148,'SegEnds_Xtal_Prot#'!B:B, 0)), "NoXtal", "Xtal")</f>
        <v>NoXtal</v>
      </c>
    </row>
    <row r="149" spans="1:38" x14ac:dyDescent="0.2">
      <c r="A149" s="1" t="s">
        <v>334</v>
      </c>
      <c r="B149" s="1" t="str">
        <f>VLOOKUP(A149,Xtal_Templ!A:B,2,FALSE)</f>
        <v>oprd_human</v>
      </c>
      <c r="C149" s="5">
        <f>VLOOKUP($B149&amp;"__wt",'SegEnds_Xtal_BW#'!$A:$Z,3,FALSE)</f>
        <v>22</v>
      </c>
      <c r="D149" s="1">
        <f>VLOOKUP($B149&amp;"__wt",'SegEnds_Xtal_BW#'!$A:$Z,4,FALSE)</f>
        <v>60</v>
      </c>
      <c r="E149" s="1">
        <f>VLOOKUP($B149&amp;"__wt",'SegEnds_Xtal_BW#'!$A:$Z,5,FALSE)</f>
        <v>48</v>
      </c>
      <c r="F149" s="1">
        <f>VLOOKUP($B149&amp;"__wt",'SegEnds_Xtal_BW#'!$A:$Z,6,FALSE)</f>
        <v>51</v>
      </c>
      <c r="G149" s="1">
        <v>37</v>
      </c>
      <c r="H149" s="12">
        <v>66</v>
      </c>
      <c r="I149" s="1">
        <f>VLOOKUP($B149&amp;"__wt",'SegEnds_Xtal_BW#'!$A:$Z,9,FALSE)</f>
        <v>49</v>
      </c>
      <c r="J149" s="1">
        <f>VLOOKUP($B149&amp;"__wt",'SegEnds_Xtal_BW#'!$A:$Z,10,FALSE)</f>
        <v>52</v>
      </c>
      <c r="K149" s="12">
        <f>VLOOKUP($B149&amp;"__wt",'SegEnds_Xtal_BW#'!$A:$Z,11,FALSE)</f>
        <v>21</v>
      </c>
      <c r="L149" s="1">
        <f>VLOOKUP($B149&amp;"__wt",'SegEnds_Xtal_BW#'!$A:$Z,12,FALSE)</f>
        <v>56</v>
      </c>
      <c r="M149" s="1">
        <f>VLOOKUP($B149&amp;"__wt",'SegEnds_Xtal_BW#'!$A:$Z,13,FALSE)</f>
        <v>50</v>
      </c>
      <c r="N149" s="12">
        <f>VLOOKUP($B149&amp;"__wt",'SegEnds_Xtal_BW#'!$A:$Z,14,FALSE)</f>
        <v>57</v>
      </c>
      <c r="O149" s="87">
        <f>VLOOKUP($B149&amp;"__wt",'SegEnds_Xtal_BW#'!$A:$Z,15,FALSE)</f>
        <v>38</v>
      </c>
      <c r="P149" s="1">
        <f>VLOOKUP($B149&amp;"__wt",'SegEnds_Xtal_BW#'!$A:$Z,16,FALSE)</f>
        <v>64</v>
      </c>
      <c r="Q149" s="1">
        <f>VLOOKUP($B149&amp;"__wt",'SegEnds_Xtal_BW#'!$A:$Z,17,FALSE)</f>
        <v>50</v>
      </c>
      <c r="R149" s="1">
        <f>VLOOKUP($B149&amp;"__wt",'SegEnds_Xtal_BW#'!$A:$Z,18,FALSE)</f>
        <v>52</v>
      </c>
      <c r="S149" s="1">
        <f>VLOOKUP($B149&amp;"__wt",'SegEnds_Xtal_BW#'!$A:$Z,19,FALSE)</f>
        <v>31</v>
      </c>
      <c r="T149" s="1">
        <f t="array" ref="T149">INDEX(ICL3_classA!$G$2:$G$39,MATCH(MIN(ABS(AI149-ICL3_classA!$F$2:$F$39)),ABS(AI149-ICL3_classA!$F$2:$F$39),0))</f>
        <v>68</v>
      </c>
      <c r="U149" s="1">
        <f t="array" ref="U149">INDEX(ICL3_classA!$H$2:$H$39,MATCH(MIN(ABS(AI149-ICL3_classA!$F$2:$F$39)),ABS(AI149-ICL3_classA!$F$2:$F$39),0))</f>
        <v>23</v>
      </c>
      <c r="V149" s="1">
        <v>61</v>
      </c>
      <c r="W149" s="131">
        <f>VLOOKUP($B149&amp;"__wt",'SegEnds_Xtal_BW#'!$A:$Z,23,FALSE)</f>
        <v>28</v>
      </c>
      <c r="X149" s="1">
        <f>VLOOKUP($B149&amp;"__wt",'SegEnds_Xtal_BW#'!$A:$Z,24,FALSE)</f>
        <v>56</v>
      </c>
      <c r="Y149" s="1">
        <f>VLOOKUP($B149&amp;"__wt",'SegEnds_Xtal_BW#'!$A:$Z,25,FALSE)</f>
        <v>47</v>
      </c>
      <c r="Z149" s="1">
        <f>VLOOKUP($B149&amp;"__wt",'SegEnds_Xtal_BW#'!$A:$Z,26,FALSE)</f>
        <v>60</v>
      </c>
      <c r="AA149" s="27" t="str">
        <f>VLOOKUP(A149,Classification!A:B,2,FALSE)</f>
        <v>A</v>
      </c>
      <c r="AB149" s="1">
        <f>VLOOKUP(A149,'SegEnds_NonXtal_Prot#'!A:AL,10,FALSE)-VLOOKUP(A149,'SegEnds_NonXtal_Prot#'!A:AL,4,FALSE)</f>
        <v>28</v>
      </c>
      <c r="AC149" s="1">
        <f>VLOOKUP(A149,'SegEnds_NonXtal_Prot#'!A:AL,10,FALSE)-VLOOKUP(A149,'SegEnds_NonXtal_Prot#'!A:AL,7,FALSE)</f>
        <v>15</v>
      </c>
      <c r="AD149" s="1">
        <f>VLOOKUP(A149,'SegEnds_NonXtal_Prot#'!A:AL,13,FALSE)-VLOOKUP(A149,'SegEnds_NonXtal_Prot#'!A:AL,10,FALSE)</f>
        <v>19</v>
      </c>
      <c r="AE149" s="1">
        <f>VLOOKUP(A149,'SegEnds_NonXtal_Prot#'!A:AL,16,FALSE)-VLOOKUP(A149,'SegEnds_NonXtal_Prot#'!A:AL,10,FALSE)</f>
        <v>51</v>
      </c>
      <c r="AF149" s="1">
        <f>VLOOKUP(A149,'SegEnds_NonXtal_Prot#'!A:AL,22,FALSE)-VLOOKUP(A149,'SegEnds_NonXtal_Prot#'!A:AL,19,FALSE)</f>
        <v>20</v>
      </c>
      <c r="AG149" s="1">
        <f>VLOOKUP(A149,'SegEnds_NonXtal_Prot#'!A:AL,28,FALSE)-VLOOKUP(A149,'SegEnds_NonXtal_Prot#'!A:AL,25,FALSE)</f>
        <v>27</v>
      </c>
      <c r="AH149" s="1">
        <f>VLOOKUP(A149,'SegEnds_NonXtal_Prot#'!A:AL,28,FALSE)-VLOOKUP(A149,'SegEnds_NonXtal_Prot#'!A:AL,22,FALSE)</f>
        <v>52</v>
      </c>
      <c r="AI149" s="1">
        <f>VLOOKUP(A149,'SegEnds_NonXtal_Prot#'!A:AL,31,FALSE)-VLOOKUP(A149,'SegEnds_NonXtal_Prot#'!A:AL,28,FALSE)</f>
        <v>51</v>
      </c>
      <c r="AJ149" s="1">
        <f>VLOOKUP(A149,'SegEnds_NonXtal_Prot#'!A:AL,34,FALSE)-VLOOKUP(A149,'SegEnds_NonXtal_Prot#'!A:AL,31,FALSE)</f>
        <v>39</v>
      </c>
      <c r="AK149" s="1">
        <f>VLOOKUP(A149,'SegEnds_NonXtal_Prot#'!A:AL,37,FALSE)-VLOOKUP(A149,'SegEnds_NonXtal_Prot#'!A:AL,34,FALSE)</f>
        <v>10</v>
      </c>
      <c r="AL149" s="1" t="str">
        <f>IF(ISERROR(MATCH(A149,'SegEnds_Xtal_Prot#'!B:B, 0)), "NoXtal", "Xtal")</f>
        <v>Xtal</v>
      </c>
    </row>
    <row r="150" spans="1:38" x14ac:dyDescent="0.2">
      <c r="A150" s="1" t="s">
        <v>909</v>
      </c>
      <c r="B150" s="1" t="str">
        <f>VLOOKUP(A150,Xtal_Templ!A:B,2,FALSE)</f>
        <v>oprd_mouse</v>
      </c>
      <c r="C150" s="5">
        <f>VLOOKUP($B150&amp;"__wt",'SegEnds_Xtal_BW#'!$A:$Z,3,FALSE)</f>
        <v>24</v>
      </c>
      <c r="D150" s="1">
        <f>VLOOKUP($B150&amp;"__wt",'SegEnds_Xtal_BW#'!$A:$Z,4,FALSE)</f>
        <v>60</v>
      </c>
      <c r="E150" s="1">
        <f>VLOOKUP($B150&amp;"__wt",'SegEnds_Xtal_BW#'!$A:$Z,5,FALSE)</f>
        <v>48</v>
      </c>
      <c r="F150" s="1">
        <f>VLOOKUP($B150&amp;"__wt",'SegEnds_Xtal_BW#'!$A:$Z,6,FALSE)</f>
        <v>51</v>
      </c>
      <c r="G150" s="1">
        <v>37</v>
      </c>
      <c r="H150" s="12">
        <v>66</v>
      </c>
      <c r="I150" s="1">
        <f>VLOOKUP($B150&amp;"__wt",'SegEnds_Xtal_BW#'!$A:$Z,9,FALSE)</f>
        <v>49</v>
      </c>
      <c r="J150" s="1">
        <f>VLOOKUP($B150&amp;"__wt",'SegEnds_Xtal_BW#'!$A:$Z,10,FALSE)</f>
        <v>52</v>
      </c>
      <c r="K150" s="12">
        <f>VLOOKUP($B150&amp;"__wt",'SegEnds_Xtal_BW#'!$A:$Z,11,FALSE)</f>
        <v>21</v>
      </c>
      <c r="L150" s="1">
        <f>VLOOKUP($B150&amp;"__wt",'SegEnds_Xtal_BW#'!$A:$Z,12,FALSE)</f>
        <v>56</v>
      </c>
      <c r="M150" s="1">
        <f>VLOOKUP($B150&amp;"__wt",'SegEnds_Xtal_BW#'!$A:$Z,13,FALSE)</f>
        <v>50</v>
      </c>
      <c r="N150" s="12">
        <f>VLOOKUP($B150&amp;"__wt",'SegEnds_Xtal_BW#'!$A:$Z,14,FALSE)</f>
        <v>57</v>
      </c>
      <c r="O150" s="87">
        <f>VLOOKUP($B150&amp;"__wt",'SegEnds_Xtal_BW#'!$A:$Z,15,FALSE)</f>
        <v>38</v>
      </c>
      <c r="P150" s="1">
        <f>VLOOKUP($B150&amp;"__wt",'SegEnds_Xtal_BW#'!$A:$Z,16,FALSE)</f>
        <v>64</v>
      </c>
      <c r="Q150" s="1">
        <f>VLOOKUP($B150&amp;"__wt",'SegEnds_Xtal_BW#'!$A:$Z,17,FALSE)</f>
        <v>50</v>
      </c>
      <c r="R150" s="1">
        <f>VLOOKUP($B150&amp;"__wt",'SegEnds_Xtal_BW#'!$A:$Z,18,FALSE)</f>
        <v>52</v>
      </c>
      <c r="S150" s="1">
        <f>VLOOKUP($B150&amp;"__wt",'SegEnds_Xtal_BW#'!$A:$Z,19,FALSE)</f>
        <v>31</v>
      </c>
      <c r="T150" s="1">
        <f t="array" ref="T150">INDEX(ICL3_classA!$G$2:$G$39,MATCH(MIN(ABS(AI150-ICL3_classA!$F$2:$F$39)),ABS(AI150-ICL3_classA!$F$2:$F$39),0))</f>
        <v>68</v>
      </c>
      <c r="U150" s="1">
        <f t="array" ref="U150">INDEX(ICL3_classA!$H$2:$H$39,MATCH(MIN(ABS(AI150-ICL3_classA!$F$2:$F$39)),ABS(AI150-ICL3_classA!$F$2:$F$39),0))</f>
        <v>23</v>
      </c>
      <c r="V150" s="1">
        <v>61</v>
      </c>
      <c r="W150" s="131">
        <f>VLOOKUP($B150&amp;"__wt",'SegEnds_Xtal_BW#'!$A:$Z,23,FALSE)</f>
        <v>28</v>
      </c>
      <c r="X150" s="1">
        <f>VLOOKUP($B150&amp;"__wt",'SegEnds_Xtal_BW#'!$A:$Z,24,FALSE)</f>
        <v>56</v>
      </c>
      <c r="Y150" s="1">
        <f>VLOOKUP($B150&amp;"__wt",'SegEnds_Xtal_BW#'!$A:$Z,25,FALSE)</f>
        <v>47</v>
      </c>
      <c r="Z150" s="1">
        <f>VLOOKUP($B150&amp;"__wt",'SegEnds_Xtal_BW#'!$A:$Z,26,FALSE)</f>
        <v>60</v>
      </c>
      <c r="AA150" s="27" t="str">
        <f>VLOOKUP(A150,Classification!A:B,2,FALSE)</f>
        <v>A</v>
      </c>
      <c r="AB150" s="1">
        <f>VLOOKUP(A150,'SegEnds_NonXtal_Prot#'!A:AL,10,FALSE)-VLOOKUP(A150,'SegEnds_NonXtal_Prot#'!A:AL,4,FALSE)</f>
        <v>28</v>
      </c>
      <c r="AC150" s="1">
        <f>VLOOKUP(A150,'SegEnds_NonXtal_Prot#'!A:AL,10,FALSE)-VLOOKUP(A150,'SegEnds_NonXtal_Prot#'!A:AL,7,FALSE)</f>
        <v>15</v>
      </c>
      <c r="AD150" s="1">
        <f>VLOOKUP(A150,'SegEnds_NonXtal_Prot#'!A:AL,13,FALSE)-VLOOKUP(A150,'SegEnds_NonXtal_Prot#'!A:AL,10,FALSE)</f>
        <v>19</v>
      </c>
      <c r="AE150" s="1">
        <f>VLOOKUP(A150,'SegEnds_NonXtal_Prot#'!A:AL,16,FALSE)-VLOOKUP(A150,'SegEnds_NonXtal_Prot#'!A:AL,10,FALSE)</f>
        <v>51</v>
      </c>
      <c r="AF150" s="1">
        <f>VLOOKUP(A150,'SegEnds_NonXtal_Prot#'!A:AL,22,FALSE)-VLOOKUP(A150,'SegEnds_NonXtal_Prot#'!A:AL,19,FALSE)</f>
        <v>20</v>
      </c>
      <c r="AG150" s="1">
        <f>VLOOKUP(A150,'SegEnds_NonXtal_Prot#'!A:AL,28,FALSE)-VLOOKUP(A150,'SegEnds_NonXtal_Prot#'!A:AL,25,FALSE)</f>
        <v>27</v>
      </c>
      <c r="AH150" s="1">
        <f>VLOOKUP(A150,'SegEnds_NonXtal_Prot#'!A:AL,28,FALSE)-VLOOKUP(A150,'SegEnds_NonXtal_Prot#'!A:AL,22,FALSE)</f>
        <v>52</v>
      </c>
      <c r="AI150" s="1">
        <f>VLOOKUP(A150,'SegEnds_NonXtal_Prot#'!A:AL,31,FALSE)-VLOOKUP(A150,'SegEnds_NonXtal_Prot#'!A:AL,28,FALSE)</f>
        <v>51</v>
      </c>
      <c r="AJ150" s="1">
        <f>VLOOKUP(A150,'SegEnds_NonXtal_Prot#'!A:AL,34,FALSE)-VLOOKUP(A150,'SegEnds_NonXtal_Prot#'!A:AL,31,FALSE)</f>
        <v>39</v>
      </c>
      <c r="AK150" s="1">
        <f>VLOOKUP(A150,'SegEnds_NonXtal_Prot#'!A:AL,37,FALSE)-VLOOKUP(A150,'SegEnds_NonXtal_Prot#'!A:AL,34,FALSE)</f>
        <v>10</v>
      </c>
      <c r="AL150" s="1" t="str">
        <f>IF(ISERROR(MATCH(A150,'SegEnds_Xtal_Prot#'!B:B, 0)), "NoXtal", "Xtal")</f>
        <v>Xtal</v>
      </c>
    </row>
    <row r="151" spans="1:38" x14ac:dyDescent="0.2">
      <c r="A151" s="1" t="s">
        <v>336</v>
      </c>
      <c r="B151" s="1" t="str">
        <f>VLOOKUP(A151,Xtal_Templ!A:B,2,FALSE)</f>
        <v>oprm_mouse</v>
      </c>
      <c r="C151" s="5">
        <f>VLOOKUP($B151&amp;"__wt",'SegEnds_Xtal_BW#'!$A:$Z,3,FALSE)</f>
        <v>29</v>
      </c>
      <c r="D151" s="1">
        <f>VLOOKUP($B151&amp;"__wt",'SegEnds_Xtal_BW#'!$A:$Z,4,FALSE)</f>
        <v>60</v>
      </c>
      <c r="E151" s="1">
        <f>VLOOKUP($B151&amp;"__wt",'SegEnds_Xtal_BW#'!$A:$Z,5,FALSE)</f>
        <v>48</v>
      </c>
      <c r="F151" s="1">
        <f>VLOOKUP($B151&amp;"__wt",'SegEnds_Xtal_BW#'!$A:$Z,6,FALSE)</f>
        <v>51</v>
      </c>
      <c r="G151" s="1">
        <v>37</v>
      </c>
      <c r="H151" s="12">
        <v>66</v>
      </c>
      <c r="I151" s="1">
        <f>VLOOKUP($B151&amp;"__wt",'SegEnds_Xtal_BW#'!$A:$Z,9,FALSE)</f>
        <v>49</v>
      </c>
      <c r="J151" s="1">
        <f>VLOOKUP($B151&amp;"__wt",'SegEnds_Xtal_BW#'!$A:$Z,10,FALSE)</f>
        <v>52</v>
      </c>
      <c r="K151" s="12">
        <v>21</v>
      </c>
      <c r="L151" s="1">
        <f>VLOOKUP($B151&amp;"__wt",'SegEnds_Xtal_BW#'!$A:$Z,12,FALSE)</f>
        <v>56</v>
      </c>
      <c r="M151" s="1">
        <f>VLOOKUP($B151&amp;"__wt",'SegEnds_Xtal_BW#'!$A:$Z,13,FALSE)</f>
        <v>50</v>
      </c>
      <c r="N151" s="12">
        <v>57</v>
      </c>
      <c r="O151" s="87">
        <v>38</v>
      </c>
      <c r="P151" s="1">
        <f>VLOOKUP($B151&amp;"__wt",'SegEnds_Xtal_BW#'!$A:$Z,16,FALSE)</f>
        <v>64</v>
      </c>
      <c r="Q151" s="1">
        <f>VLOOKUP($B151&amp;"__wt",'SegEnds_Xtal_BW#'!$A:$Z,17,FALSE)</f>
        <v>50</v>
      </c>
      <c r="R151" s="1">
        <f>VLOOKUP($B151&amp;"__wt",'SegEnds_Xtal_BW#'!$A:$Z,18,FALSE)</f>
        <v>52</v>
      </c>
      <c r="S151" s="1">
        <f>VLOOKUP($B151&amp;"__wt",'SegEnds_Xtal_BW#'!$A:$Z,19,FALSE)</f>
        <v>31</v>
      </c>
      <c r="T151" s="1">
        <f t="array" ref="T151">INDEX(ICL3_classA!$G$2:$G$39,MATCH(MIN(ABS(AI151-ICL3_classA!$F$2:$F$39)),ABS(AI151-ICL3_classA!$F$2:$F$39),0))</f>
        <v>68</v>
      </c>
      <c r="U151" s="1">
        <f t="array" ref="U151">INDEX(ICL3_classA!$H$2:$H$39,MATCH(MIN(ABS(AI151-ICL3_classA!$F$2:$F$39)),ABS(AI151-ICL3_classA!$F$2:$F$39),0))</f>
        <v>23</v>
      </c>
      <c r="V151" s="1">
        <v>61</v>
      </c>
      <c r="W151" s="131">
        <f>VLOOKUP($B151&amp;"__wt",'SegEnds_Xtal_BW#'!$A:$Z,23,FALSE)</f>
        <v>28</v>
      </c>
      <c r="X151" s="124">
        <f>VLOOKUP($B151&amp;"__wt",'SegEnds_Xtal_BW#'!$A:$Z,24,FALSE)</f>
        <v>56</v>
      </c>
      <c r="Y151" s="1">
        <f>VLOOKUP($B151&amp;"__wt",'SegEnds_Xtal_BW#'!$A:$Z,25,FALSE)</f>
        <v>47</v>
      </c>
      <c r="Z151" s="1">
        <f>VLOOKUP($B151&amp;"__wt",'SegEnds_Xtal_BW#'!$A:$Z,26,FALSE)</f>
        <v>59</v>
      </c>
      <c r="AA151" s="27" t="str">
        <f>VLOOKUP(A151,Classification!A:B,2,FALSE)</f>
        <v>A</v>
      </c>
      <c r="AB151" s="1">
        <f>VLOOKUP(A151,'SegEnds_NonXtal_Prot#'!A:AL,10,FALSE)-VLOOKUP(A151,'SegEnds_NonXtal_Prot#'!A:AL,4,FALSE)</f>
        <v>28</v>
      </c>
      <c r="AC151" s="1">
        <f>VLOOKUP(A151,'SegEnds_NonXtal_Prot#'!A:AL,10,FALSE)-VLOOKUP(A151,'SegEnds_NonXtal_Prot#'!A:AL,7,FALSE)</f>
        <v>15</v>
      </c>
      <c r="AD151" s="1">
        <f>VLOOKUP(A151,'SegEnds_NonXtal_Prot#'!A:AL,13,FALSE)-VLOOKUP(A151,'SegEnds_NonXtal_Prot#'!A:AL,10,FALSE)</f>
        <v>19</v>
      </c>
      <c r="AE151" s="1">
        <f>VLOOKUP(A151,'SegEnds_NonXtal_Prot#'!A:AL,16,FALSE)-VLOOKUP(A151,'SegEnds_NonXtal_Prot#'!A:AL,10,FALSE)</f>
        <v>51</v>
      </c>
      <c r="AF151" s="1">
        <f>VLOOKUP(A151,'SegEnds_NonXtal_Prot#'!A:AL,22,FALSE)-VLOOKUP(A151,'SegEnds_NonXtal_Prot#'!A:AL,19,FALSE)</f>
        <v>20</v>
      </c>
      <c r="AG151" s="1">
        <f>VLOOKUP(A151,'SegEnds_NonXtal_Prot#'!A:AL,28,FALSE)-VLOOKUP(A151,'SegEnds_NonXtal_Prot#'!A:AL,25,FALSE)</f>
        <v>27</v>
      </c>
      <c r="AH151" s="1">
        <f>VLOOKUP(A151,'SegEnds_NonXtal_Prot#'!A:AL,28,FALSE)-VLOOKUP(A151,'SegEnds_NonXtal_Prot#'!A:AL,22,FALSE)</f>
        <v>52</v>
      </c>
      <c r="AI151" s="1">
        <f>VLOOKUP(A151,'SegEnds_NonXtal_Prot#'!A:AL,31,FALSE)-VLOOKUP(A151,'SegEnds_NonXtal_Prot#'!A:AL,28,FALSE)</f>
        <v>51</v>
      </c>
      <c r="AJ151" s="1">
        <f>VLOOKUP(A151,'SegEnds_NonXtal_Prot#'!A:AL,34,FALSE)-VLOOKUP(A151,'SegEnds_NonXtal_Prot#'!A:AL,31,FALSE)</f>
        <v>38</v>
      </c>
      <c r="AK151" s="1">
        <f>VLOOKUP(A151,'SegEnds_NonXtal_Prot#'!A:AL,37,FALSE)-VLOOKUP(A151,'SegEnds_NonXtal_Prot#'!A:AL,34,FALSE)</f>
        <v>10</v>
      </c>
      <c r="AL151" s="1" t="str">
        <f>IF(ISERROR(MATCH(A151,'SegEnds_Xtal_Prot#'!B:B, 0)), "NoXtal", "Xtal")</f>
        <v>NoXtal</v>
      </c>
    </row>
    <row r="152" spans="1:38" x14ac:dyDescent="0.2">
      <c r="A152" s="1" t="s">
        <v>911</v>
      </c>
      <c r="B152" s="1" t="str">
        <f>VLOOKUP(A152,Xtal_Templ!A:B,2,FALSE)</f>
        <v>oprm_mouse</v>
      </c>
      <c r="C152" s="5">
        <f>VLOOKUP($B152&amp;"__wt",'SegEnds_Xtal_BW#'!$A:$Z,3,FALSE)</f>
        <v>29</v>
      </c>
      <c r="D152" s="1">
        <f>VLOOKUP($B152&amp;"__wt",'SegEnds_Xtal_BW#'!$A:$Z,4,FALSE)</f>
        <v>60</v>
      </c>
      <c r="E152" s="1">
        <f>VLOOKUP($B152&amp;"__wt",'SegEnds_Xtal_BW#'!$A:$Z,5,FALSE)</f>
        <v>48</v>
      </c>
      <c r="F152" s="1">
        <f>VLOOKUP($B152&amp;"__wt",'SegEnds_Xtal_BW#'!$A:$Z,6,FALSE)</f>
        <v>51</v>
      </c>
      <c r="G152" s="1">
        <v>37</v>
      </c>
      <c r="H152" s="12">
        <v>66</v>
      </c>
      <c r="I152" s="1">
        <f>VLOOKUP($B152&amp;"__wt",'SegEnds_Xtal_BW#'!$A:$Z,9,FALSE)</f>
        <v>49</v>
      </c>
      <c r="J152" s="1">
        <f>VLOOKUP($B152&amp;"__wt",'SegEnds_Xtal_BW#'!$A:$Z,10,FALSE)</f>
        <v>52</v>
      </c>
      <c r="K152" s="12">
        <f>VLOOKUP($B152&amp;"__wt",'SegEnds_Xtal_BW#'!$A:$Z,11,FALSE)</f>
        <v>21</v>
      </c>
      <c r="L152" s="1">
        <f>VLOOKUP($B152&amp;"__wt",'SegEnds_Xtal_BW#'!$A:$Z,12,FALSE)</f>
        <v>56</v>
      </c>
      <c r="M152" s="1">
        <f>VLOOKUP($B152&amp;"__wt",'SegEnds_Xtal_BW#'!$A:$Z,13,FALSE)</f>
        <v>50</v>
      </c>
      <c r="N152" s="12">
        <f>VLOOKUP($B152&amp;"__wt",'SegEnds_Xtal_BW#'!$A:$Z,14,FALSE)</f>
        <v>57</v>
      </c>
      <c r="O152" s="87">
        <f>VLOOKUP($B152&amp;"__wt",'SegEnds_Xtal_BW#'!$A:$Z,15,FALSE)</f>
        <v>38</v>
      </c>
      <c r="P152" s="1">
        <f>VLOOKUP($B152&amp;"__wt",'SegEnds_Xtal_BW#'!$A:$Z,16,FALSE)</f>
        <v>64</v>
      </c>
      <c r="Q152" s="1">
        <f>VLOOKUP($B152&amp;"__wt",'SegEnds_Xtal_BW#'!$A:$Z,17,FALSE)</f>
        <v>50</v>
      </c>
      <c r="R152" s="1">
        <f>VLOOKUP($B152&amp;"__wt",'SegEnds_Xtal_BW#'!$A:$Z,18,FALSE)</f>
        <v>52</v>
      </c>
      <c r="S152" s="1">
        <f>VLOOKUP($B152&amp;"__wt",'SegEnds_Xtal_BW#'!$A:$Z,19,FALSE)</f>
        <v>31</v>
      </c>
      <c r="T152" s="1">
        <f t="array" ref="T152">INDEX(ICL3_classA!$G$2:$G$39,MATCH(MIN(ABS(AI152-ICL3_classA!$F$2:$F$39)),ABS(AI152-ICL3_classA!$F$2:$F$39),0))</f>
        <v>68</v>
      </c>
      <c r="U152" s="1">
        <f t="array" ref="U152">INDEX(ICL3_classA!$H$2:$H$39,MATCH(MIN(ABS(AI152-ICL3_classA!$F$2:$F$39)),ABS(AI152-ICL3_classA!$F$2:$F$39),0))</f>
        <v>23</v>
      </c>
      <c r="V152" s="1">
        <v>61</v>
      </c>
      <c r="W152" s="131">
        <f>VLOOKUP($B152&amp;"__wt",'SegEnds_Xtal_BW#'!$A:$Z,23,FALSE)</f>
        <v>28</v>
      </c>
      <c r="X152" s="1">
        <f>VLOOKUP($B152&amp;"__wt",'SegEnds_Xtal_BW#'!$A:$Z,24,FALSE)</f>
        <v>56</v>
      </c>
      <c r="Y152" s="1">
        <f>VLOOKUP($B152&amp;"__wt",'SegEnds_Xtal_BW#'!$A:$Z,25,FALSE)</f>
        <v>47</v>
      </c>
      <c r="Z152" s="1">
        <f>VLOOKUP($B152&amp;"__wt",'SegEnds_Xtal_BW#'!$A:$Z,26,FALSE)</f>
        <v>59</v>
      </c>
      <c r="AA152" s="27" t="str">
        <f>VLOOKUP(A152,Classification!A:B,2,FALSE)</f>
        <v>A</v>
      </c>
      <c r="AB152" s="1">
        <f>VLOOKUP(A152,'SegEnds_NonXtal_Prot#'!A:AL,10,FALSE)-VLOOKUP(A152,'SegEnds_NonXtal_Prot#'!A:AL,4,FALSE)</f>
        <v>28</v>
      </c>
      <c r="AC152" s="1">
        <f>VLOOKUP(A152,'SegEnds_NonXtal_Prot#'!A:AL,10,FALSE)-VLOOKUP(A152,'SegEnds_NonXtal_Prot#'!A:AL,7,FALSE)</f>
        <v>15</v>
      </c>
      <c r="AD152" s="1">
        <f>VLOOKUP(A152,'SegEnds_NonXtal_Prot#'!A:AL,13,FALSE)-VLOOKUP(A152,'SegEnds_NonXtal_Prot#'!A:AL,10,FALSE)</f>
        <v>19</v>
      </c>
      <c r="AE152" s="1">
        <f>VLOOKUP(A152,'SegEnds_NonXtal_Prot#'!A:AL,16,FALSE)-VLOOKUP(A152,'SegEnds_NonXtal_Prot#'!A:AL,10,FALSE)</f>
        <v>51</v>
      </c>
      <c r="AF152" s="1">
        <f>VLOOKUP(A152,'SegEnds_NonXtal_Prot#'!A:AL,22,FALSE)-VLOOKUP(A152,'SegEnds_NonXtal_Prot#'!A:AL,19,FALSE)</f>
        <v>20</v>
      </c>
      <c r="AG152" s="1">
        <f>VLOOKUP(A152,'SegEnds_NonXtal_Prot#'!A:AL,28,FALSE)-VLOOKUP(A152,'SegEnds_NonXtal_Prot#'!A:AL,25,FALSE)</f>
        <v>27</v>
      </c>
      <c r="AH152" s="1">
        <f>VLOOKUP(A152,'SegEnds_NonXtal_Prot#'!A:AL,28,FALSE)-VLOOKUP(A152,'SegEnds_NonXtal_Prot#'!A:AL,22,FALSE)</f>
        <v>52</v>
      </c>
      <c r="AI152" s="1">
        <f>VLOOKUP(A152,'SegEnds_NonXtal_Prot#'!A:AL,31,FALSE)-VLOOKUP(A152,'SegEnds_NonXtal_Prot#'!A:AL,28,FALSE)</f>
        <v>51</v>
      </c>
      <c r="AJ152" s="1">
        <f>VLOOKUP(A152,'SegEnds_NonXtal_Prot#'!A:AL,34,FALSE)-VLOOKUP(A152,'SegEnds_NonXtal_Prot#'!A:AL,31,FALSE)</f>
        <v>38</v>
      </c>
      <c r="AK152" s="1">
        <f>VLOOKUP(A152,'SegEnds_NonXtal_Prot#'!A:AL,37,FALSE)-VLOOKUP(A152,'SegEnds_NonXtal_Prot#'!A:AL,34,FALSE)</f>
        <v>10</v>
      </c>
      <c r="AL152" s="1" t="str">
        <f>IF(ISERROR(MATCH(A152,'SegEnds_Xtal_Prot#'!B:B, 0)), "NoXtal", "Xtal")</f>
        <v>Xtal</v>
      </c>
    </row>
    <row r="153" spans="1:38" x14ac:dyDescent="0.2">
      <c r="A153" s="1" t="s">
        <v>1167</v>
      </c>
      <c r="B153" s="1" t="str">
        <f>VLOOKUP(A153,Xtal_Templ!A:B,2,FALSE)</f>
        <v>oprx_human</v>
      </c>
      <c r="C153" s="5">
        <f>VLOOKUP($B153&amp;"__wt",'SegEnds_Xtal_BW#'!$A:$Z,3,FALSE)</f>
        <v>29</v>
      </c>
      <c r="D153" s="1">
        <f>VLOOKUP($B153&amp;"__wt",'SegEnds_Xtal_BW#'!$A:$Z,4,FALSE)</f>
        <v>60</v>
      </c>
      <c r="E153" s="1">
        <f>VLOOKUP($B153&amp;"__wt",'SegEnds_Xtal_BW#'!$A:$Z,5,FALSE)</f>
        <v>48</v>
      </c>
      <c r="F153" s="1">
        <f>VLOOKUP($B153&amp;"__wt",'SegEnds_Xtal_BW#'!$A:$Z,6,FALSE)</f>
        <v>51</v>
      </c>
      <c r="G153" s="1">
        <v>37</v>
      </c>
      <c r="H153" s="12">
        <v>66</v>
      </c>
      <c r="I153" s="1">
        <f>VLOOKUP($B153&amp;"__wt",'SegEnds_Xtal_BW#'!$A:$Z,9,FALSE)</f>
        <v>49</v>
      </c>
      <c r="J153" s="1">
        <f>VLOOKUP($B153&amp;"__wt",'SegEnds_Xtal_BW#'!$A:$Z,10,FALSE)</f>
        <v>52</v>
      </c>
      <c r="K153" s="12">
        <f>VLOOKUP($B153&amp;"__wt",'SegEnds_Xtal_BW#'!$A:$Z,11,FALSE)</f>
        <v>21</v>
      </c>
      <c r="L153" s="1">
        <f>VLOOKUP($B153&amp;"__wt",'SegEnds_Xtal_BW#'!$A:$Z,12,FALSE)</f>
        <v>56</v>
      </c>
      <c r="M153" s="1">
        <f>VLOOKUP($B153&amp;"__wt",'SegEnds_Xtal_BW#'!$A:$Z,13,FALSE)</f>
        <v>50</v>
      </c>
      <c r="N153" s="12">
        <f>VLOOKUP($B153&amp;"__wt",'SegEnds_Xtal_BW#'!$A:$Z,14,FALSE)</f>
        <v>57</v>
      </c>
      <c r="O153" s="87">
        <f>VLOOKUP($B153&amp;"__wt",'SegEnds_Xtal_BW#'!$A:$Z,15,FALSE)</f>
        <v>38</v>
      </c>
      <c r="P153" s="1">
        <f>VLOOKUP($B153&amp;"__wt",'SegEnds_Xtal_BW#'!$A:$Z,16,FALSE)</f>
        <v>64</v>
      </c>
      <c r="Q153" s="1">
        <f>VLOOKUP($B153&amp;"__wt",'SegEnds_Xtal_BW#'!$A:$Z,17,FALSE)</f>
        <v>50</v>
      </c>
      <c r="R153" s="1">
        <f>VLOOKUP($B153&amp;"__wt",'SegEnds_Xtal_BW#'!$A:$Z,18,FALSE)</f>
        <v>52</v>
      </c>
      <c r="S153" s="1">
        <f>VLOOKUP($B153&amp;"__wt",'SegEnds_Xtal_BW#'!$A:$Z,19,FALSE)</f>
        <v>31</v>
      </c>
      <c r="T153" s="1">
        <f t="array" ref="T153">INDEX(ICL3_classA!$G$2:$G$39,MATCH(MIN(ABS(AI153-ICL3_classA!$F$2:$F$39)),ABS(AI153-ICL3_classA!$F$2:$F$39),0))</f>
        <v>68</v>
      </c>
      <c r="U153" s="1">
        <f t="array" ref="U153">INDEX(ICL3_classA!$H$2:$H$39,MATCH(MIN(ABS(AI153-ICL3_classA!$F$2:$F$39)),ABS(AI153-ICL3_classA!$F$2:$F$39),0))</f>
        <v>23</v>
      </c>
      <c r="V153" s="1">
        <v>61</v>
      </c>
      <c r="W153" s="131">
        <f>VLOOKUP($B153&amp;"__wt",'SegEnds_Xtal_BW#'!$A:$Z,23,FALSE)</f>
        <v>28</v>
      </c>
      <c r="X153" s="124">
        <f>VLOOKUP($B153&amp;"__wt",'SegEnds_Xtal_BW#'!$A:$Z,24,FALSE)</f>
        <v>56</v>
      </c>
      <c r="Y153" s="1">
        <f>VLOOKUP($B153&amp;"__wt",'SegEnds_Xtal_BW#'!$A:$Z,25,FALSE)</f>
        <v>47</v>
      </c>
      <c r="Z153" s="1">
        <f>VLOOKUP($B153&amp;"__wt",'SegEnds_Xtal_BW#'!$A:$Z,26,FALSE)</f>
        <v>59</v>
      </c>
      <c r="AA153" s="27" t="str">
        <f>VLOOKUP(A153,Classification!A:B,2,FALSE)</f>
        <v>A</v>
      </c>
      <c r="AB153" s="1">
        <f>VLOOKUP(A153,'SegEnds_NonXtal_Prot#'!A:AL,10,FALSE)-VLOOKUP(A153,'SegEnds_NonXtal_Prot#'!A:AL,4,FALSE)</f>
        <v>28</v>
      </c>
      <c r="AC153" s="1">
        <f>VLOOKUP(A153,'SegEnds_NonXtal_Prot#'!A:AL,10,FALSE)-VLOOKUP(A153,'SegEnds_NonXtal_Prot#'!A:AL,7,FALSE)</f>
        <v>15</v>
      </c>
      <c r="AD153" s="1">
        <f>VLOOKUP(A153,'SegEnds_NonXtal_Prot#'!A:AL,13,FALSE)-VLOOKUP(A153,'SegEnds_NonXtal_Prot#'!A:AL,10,FALSE)</f>
        <v>19</v>
      </c>
      <c r="AE153" s="1">
        <f>VLOOKUP(A153,'SegEnds_NonXtal_Prot#'!A:AL,16,FALSE)-VLOOKUP(A153,'SegEnds_NonXtal_Prot#'!A:AL,10,FALSE)</f>
        <v>51</v>
      </c>
      <c r="AF153" s="1">
        <f>VLOOKUP(A153,'SegEnds_NonXtal_Prot#'!A:AL,22,FALSE)-VLOOKUP(A153,'SegEnds_NonXtal_Prot#'!A:AL,19,FALSE)</f>
        <v>20</v>
      </c>
      <c r="AG153" s="1">
        <f>VLOOKUP(A153,'SegEnds_NonXtal_Prot#'!A:AL,28,FALSE)-VLOOKUP(A153,'SegEnds_NonXtal_Prot#'!A:AL,25,FALSE)</f>
        <v>27</v>
      </c>
      <c r="AH153" s="1">
        <f>VLOOKUP(A153,'SegEnds_NonXtal_Prot#'!A:AL,28,FALSE)-VLOOKUP(A153,'SegEnds_NonXtal_Prot#'!A:AL,22,FALSE)</f>
        <v>52</v>
      </c>
      <c r="AI153" s="1">
        <f>VLOOKUP(A153,'SegEnds_NonXtal_Prot#'!A:AL,31,FALSE)-VLOOKUP(A153,'SegEnds_NonXtal_Prot#'!A:AL,28,FALSE)</f>
        <v>51</v>
      </c>
      <c r="AJ153" s="1">
        <f>VLOOKUP(A153,'SegEnds_NonXtal_Prot#'!A:AL,34,FALSE)-VLOOKUP(A153,'SegEnds_NonXtal_Prot#'!A:AL,31,FALSE)</f>
        <v>38</v>
      </c>
      <c r="AK153" s="1">
        <f>VLOOKUP(A153,'SegEnds_NonXtal_Prot#'!A:AL,37,FALSE)-VLOOKUP(A153,'SegEnds_NonXtal_Prot#'!A:AL,34,FALSE)</f>
        <v>10</v>
      </c>
      <c r="AL153" s="1" t="str">
        <f>IF(ISERROR(MATCH(A153,'SegEnds_Xtal_Prot#'!B:B, 0)), "NoXtal", "Xtal")</f>
        <v>Xtal</v>
      </c>
    </row>
    <row r="154" spans="1:38" x14ac:dyDescent="0.2">
      <c r="A154" s="1" t="s">
        <v>915</v>
      </c>
      <c r="B154" s="1" t="str">
        <f>VLOOKUP(A154,Xtal_Templ!A:B,2,FALSE)</f>
        <v>opsd_todpa</v>
      </c>
      <c r="C154" s="5">
        <f>VLOOKUP($B154&amp;"__wt",'SegEnds_Xtal_BW#'!$A:$Z,3,FALSE)</f>
        <v>29</v>
      </c>
      <c r="D154" s="1">
        <f>VLOOKUP($B154&amp;"__wt",'SegEnds_Xtal_BW#'!$A:$Z,4,FALSE)</f>
        <v>60</v>
      </c>
      <c r="E154" s="1">
        <f>VLOOKUP($B154&amp;"__wt",'SegEnds_Xtal_BW#'!$A:$Z,5,FALSE)</f>
        <v>48</v>
      </c>
      <c r="F154" s="1">
        <f>VLOOKUP($B154&amp;"__wt",'SegEnds_Xtal_BW#'!$A:$Z,6,FALSE)</f>
        <v>51</v>
      </c>
      <c r="G154" s="1">
        <v>37</v>
      </c>
      <c r="H154" s="12">
        <f>VLOOKUP($B154&amp;"__wt",'SegEnds_Xtal_BW#'!$A:$Z,8,FALSE)</f>
        <v>69</v>
      </c>
      <c r="I154" s="1">
        <f>VLOOKUP($B154&amp;"__wt",'SegEnds_Xtal_BW#'!$A:$Z,9,FALSE)</f>
        <v>49</v>
      </c>
      <c r="J154" s="1">
        <f>VLOOKUP($B154&amp;"__wt",'SegEnds_Xtal_BW#'!$A:$Z,10,FALSE)</f>
        <v>52</v>
      </c>
      <c r="K154" s="12">
        <v>18</v>
      </c>
      <c r="L154" s="1">
        <f>VLOOKUP($B154&amp;"__wt",'SegEnds_Xtal_BW#'!$A:$Z,12,FALSE)</f>
        <v>56</v>
      </c>
      <c r="M154" s="1">
        <f>VLOOKUP($B154&amp;"__wt",'SegEnds_Xtal_BW#'!$A:$Z,13,FALSE)</f>
        <v>50</v>
      </c>
      <c r="N154" s="12">
        <f>VLOOKUP($B154&amp;"__wt",'SegEnds_Xtal_BW#'!$A:$Z,14,FALSE)</f>
        <v>57</v>
      </c>
      <c r="O154" s="87">
        <f>VLOOKUP($B154&amp;"__wt",'SegEnds_Xtal_BW#'!$A:$Z,15,FALSE)</f>
        <v>38</v>
      </c>
      <c r="P154" s="1">
        <f>VLOOKUP($B154&amp;"__wt",'SegEnds_Xtal_BW#'!$A:$Z,16,FALSE)</f>
        <v>62</v>
      </c>
      <c r="Q154" s="1">
        <f>VLOOKUP($B154&amp;"__wt",'SegEnds_Xtal_BW#'!$A:$Z,17,FALSE)</f>
        <v>50</v>
      </c>
      <c r="R154" s="1">
        <f>VLOOKUP($B154&amp;"__wt",'SegEnds_Xtal_BW#'!$A:$Z,18,FALSE)</f>
        <v>52</v>
      </c>
      <c r="S154" s="1">
        <f>VLOOKUP($B154&amp;"__wt",'SegEnds_Xtal_BW#'!$A:$Z,19,FALSE)</f>
        <v>32</v>
      </c>
      <c r="T154" s="1">
        <f t="array" ref="T154">INDEX(ICL3_classA!$G$2:$G$39,MATCH(MIN(ABS(AI154-ICL3_classA!$F$2:$F$39)),ABS(AI154-ICL3_classA!$F$2:$F$39),0))</f>
        <v>74</v>
      </c>
      <c r="U154" s="1">
        <f t="array" ref="U154">INDEX(ICL3_classA!$H$2:$H$39,MATCH(MIN(ABS(AI154-ICL3_classA!$F$2:$F$39)),ABS(AI154-ICL3_classA!$F$2:$F$39),0))</f>
        <v>21</v>
      </c>
      <c r="V154" s="1">
        <v>61</v>
      </c>
      <c r="W154" s="1">
        <v>31</v>
      </c>
      <c r="X154" s="1">
        <f>VLOOKUP($B154&amp;"__wt",'SegEnds_Xtal_BW#'!$A:$Z,24,FALSE)</f>
        <v>56</v>
      </c>
      <c r="Y154" s="1">
        <f>VLOOKUP($B154&amp;"__wt",'SegEnds_Xtal_BW#'!$A:$Z,25,FALSE)</f>
        <v>47</v>
      </c>
      <c r="Z154" s="1">
        <f>VLOOKUP($B154&amp;"__wt",'SegEnds_Xtal_BW#'!$A:$Z,26,FALSE)</f>
        <v>58</v>
      </c>
      <c r="AA154" s="27" t="str">
        <f>VLOOKUP(A154,Classification!A:B,2,FALSE)</f>
        <v>A</v>
      </c>
      <c r="AB154" s="1">
        <f>VLOOKUP(A154,'SegEnds_NonXtal_Prot#'!A:AL,10,FALSE)-VLOOKUP(A154,'SegEnds_NonXtal_Prot#'!A:AL,4,FALSE)</f>
        <v>28</v>
      </c>
      <c r="AC154" s="1">
        <f>VLOOKUP(A154,'SegEnds_NonXtal_Prot#'!A:AL,10,FALSE)-VLOOKUP(A154,'SegEnds_NonXtal_Prot#'!A:AL,7,FALSE)</f>
        <v>15</v>
      </c>
      <c r="AD154" s="1">
        <f>VLOOKUP(A154,'SegEnds_NonXtal_Prot#'!A:AL,13,FALSE)-VLOOKUP(A154,'SegEnds_NonXtal_Prot#'!A:AL,10,FALSE)</f>
        <v>21</v>
      </c>
      <c r="AE154" s="1">
        <f>VLOOKUP(A154,'SegEnds_NonXtal_Prot#'!A:AL,16,FALSE)-VLOOKUP(A154,'SegEnds_NonXtal_Prot#'!A:AL,10,FALSE)</f>
        <v>53</v>
      </c>
      <c r="AF154" s="1">
        <f>VLOOKUP(A154,'SegEnds_NonXtal_Prot#'!A:AL,22,FALSE)-VLOOKUP(A154,'SegEnds_NonXtal_Prot#'!A:AL,19,FALSE)</f>
        <v>20</v>
      </c>
      <c r="AG154" s="1">
        <f>VLOOKUP(A154,'SegEnds_NonXtal_Prot#'!A:AL,28,FALSE)-VLOOKUP(A154,'SegEnds_NonXtal_Prot#'!A:AL,25,FALSE)</f>
        <v>26</v>
      </c>
      <c r="AH154" s="1">
        <f>VLOOKUP(A154,'SegEnds_NonXtal_Prot#'!A:AL,28,FALSE)-VLOOKUP(A154,'SegEnds_NonXtal_Prot#'!A:AL,22,FALSE)</f>
        <v>52</v>
      </c>
      <c r="AI154" s="1">
        <f>VLOOKUP(A154,'SegEnds_NonXtal_Prot#'!A:AL,31,FALSE)-VLOOKUP(A154,'SegEnds_NonXtal_Prot#'!A:AL,28,FALSE)</f>
        <v>64</v>
      </c>
      <c r="AJ154" s="1">
        <f>VLOOKUP(A154,'SegEnds_NonXtal_Prot#'!A:AL,34,FALSE)-VLOOKUP(A154,'SegEnds_NonXtal_Prot#'!A:AL,31,FALSE)</f>
        <v>36</v>
      </c>
      <c r="AK154" s="1">
        <f>VLOOKUP(A154,'SegEnds_NonXtal_Prot#'!A:AL,37,FALSE)-VLOOKUP(A154,'SegEnds_NonXtal_Prot#'!A:AL,34,FALSE)</f>
        <v>10</v>
      </c>
      <c r="AL154" s="1" t="str">
        <f>IF(ISERROR(MATCH(A154,'SegEnds_Xtal_Prot#'!B:B, 0)), "NoXtal", "Xtal")</f>
        <v>Xtal</v>
      </c>
    </row>
    <row r="155" spans="1:38" x14ac:dyDescent="0.2">
      <c r="A155" s="1" t="s">
        <v>342</v>
      </c>
      <c r="B155" s="1" t="str">
        <f>VLOOKUP(A155,Xtal_Templ!A:B,2,FALSE)</f>
        <v>p2ry1_human</v>
      </c>
      <c r="C155" s="5">
        <f>VLOOKUP($B155&amp;"__wt",'SegEnds_Xtal_BW#'!$A:$Z,3,FALSE)</f>
        <v>30</v>
      </c>
      <c r="D155" s="1">
        <f>VLOOKUP($B155&amp;"__wt",'SegEnds_Xtal_BW#'!$A:$Z,4,FALSE)</f>
        <v>60</v>
      </c>
      <c r="E155" s="1" t="str">
        <f>VLOOKUP($B155&amp;"__wt",'SegEnds_Xtal_BW#'!$A:$Z,5,FALSE)</f>
        <v>-</v>
      </c>
      <c r="F155" s="1" t="str">
        <f>VLOOKUP($B155&amp;"__wt",'SegEnds_Xtal_BW#'!$A:$Z,6,FALSE)</f>
        <v>-</v>
      </c>
      <c r="G155" s="1">
        <v>37</v>
      </c>
      <c r="H155" s="12">
        <f>VLOOKUP($B155&amp;"__wt",'SegEnds_Xtal_BW#'!$A:$Z,8,FALSE)</f>
        <v>66</v>
      </c>
      <c r="I155" s="1">
        <f>VLOOKUP($B155&amp;"__wt",'SegEnds_Xtal_BW#'!$A:$Z,9,FALSE)</f>
        <v>49</v>
      </c>
      <c r="J155" s="1">
        <f>VLOOKUP($B155&amp;"__wt",'SegEnds_Xtal_BW#'!$A:$Z,10,FALSE)</f>
        <v>52</v>
      </c>
      <c r="K155" s="12">
        <v>18</v>
      </c>
      <c r="L155" s="1">
        <f>VLOOKUP($B155&amp;"__wt",'SegEnds_Xtal_BW#'!$A:$Z,12,FALSE)</f>
        <v>56</v>
      </c>
      <c r="M155" s="1">
        <f>VLOOKUP($B155&amp;"__wt",'SegEnds_Xtal_BW#'!$A:$Z,13,FALSE)</f>
        <v>50</v>
      </c>
      <c r="N155" s="12">
        <f>VLOOKUP($B155&amp;"__wt",'SegEnds_Xtal_BW#'!$A:$Z,14,FALSE)</f>
        <v>57</v>
      </c>
      <c r="O155" s="87">
        <f>VLOOKUP($B155&amp;"__wt",'SegEnds_Xtal_BW#'!$A:$Z,15,FALSE)</f>
        <v>38</v>
      </c>
      <c r="P155" s="1">
        <f>VLOOKUP($B155&amp;"__wt",'SegEnds_Xtal_BW#'!$A:$Z,16,FALSE)</f>
        <v>64</v>
      </c>
      <c r="Q155" s="1">
        <f>VLOOKUP($B155&amp;"__wt",'SegEnds_Xtal_BW#'!$A:$Z,17,FALSE)</f>
        <v>50</v>
      </c>
      <c r="R155" s="1">
        <f>VLOOKUP($B155&amp;"__wt",'SegEnds_Xtal_BW#'!$A:$Z,18,FALSE)</f>
        <v>52</v>
      </c>
      <c r="S155" s="1">
        <f>VLOOKUP($B155&amp;"__wt",'SegEnds_Xtal_BW#'!$A:$Z,19,FALSE)</f>
        <v>32</v>
      </c>
      <c r="T155" s="1">
        <f t="array" ref="T155">INDEX(ICL3_classA!$G$2:$G$39,MATCH(MIN(ABS(AI155-ICL3_classA!$F$2:$F$39)),ABS(AI155-ICL3_classA!$F$2:$F$39),0))</f>
        <v>67</v>
      </c>
      <c r="U155" s="1">
        <f t="array" ref="U155">INDEX(ICL3_classA!$H$2:$H$39,MATCH(MIN(ABS(AI155-ICL3_classA!$F$2:$F$39)),ABS(AI155-ICL3_classA!$F$2:$F$39),0))</f>
        <v>26</v>
      </c>
      <c r="V155" s="1">
        <v>61</v>
      </c>
      <c r="W155" s="1">
        <v>24</v>
      </c>
      <c r="X155" s="1">
        <f>VLOOKUP($B155&amp;"__wt",'SegEnds_Xtal_BW#'!$A:$Z,24,FALSE)</f>
        <v>56</v>
      </c>
      <c r="Y155" s="1">
        <f>VLOOKUP($B155&amp;"__wt",'SegEnds_Xtal_BW#'!$A:$Z,25,FALSE)</f>
        <v>47</v>
      </c>
      <c r="Z155" s="1">
        <f>VLOOKUP($B155&amp;"__wt",'SegEnds_Xtal_BW#'!$A:$Z,26,FALSE)</f>
        <v>59</v>
      </c>
      <c r="AA155" s="27" t="str">
        <f>VLOOKUP(A155,Classification!A:B,2,FALSE)</f>
        <v>A</v>
      </c>
      <c r="AB155" s="1">
        <f>VLOOKUP(A155,'SegEnds_NonXtal_Prot#'!A:AL,10,FALSE)-VLOOKUP(A155,'SegEnds_NonXtal_Prot#'!A:AL,4,FALSE)</f>
        <v>28</v>
      </c>
      <c r="AC155" s="1" t="e">
        <f>VLOOKUP(A155,'SegEnds_NonXtal_Prot#'!A:AL,10,FALSE)-VLOOKUP(A155,'SegEnds_NonXtal_Prot#'!A:AL,7,FALSE)</f>
        <v>#VALUE!</v>
      </c>
      <c r="AD155" s="1">
        <f>VLOOKUP(A155,'SegEnds_NonXtal_Prot#'!A:AL,13,FALSE)-VLOOKUP(A155,'SegEnds_NonXtal_Prot#'!A:AL,10,FALSE)</f>
        <v>20</v>
      </c>
      <c r="AE155" s="1">
        <f>VLOOKUP(A155,'SegEnds_NonXtal_Prot#'!A:AL,16,FALSE)-VLOOKUP(A155,'SegEnds_NonXtal_Prot#'!A:AL,10,FALSE)</f>
        <v>52</v>
      </c>
      <c r="AF155" s="1">
        <f>VLOOKUP(A155,'SegEnds_NonXtal_Prot#'!A:AL,22,FALSE)-VLOOKUP(A155,'SegEnds_NonXtal_Prot#'!A:AL,19,FALSE)</f>
        <v>20</v>
      </c>
      <c r="AG155" s="1">
        <f>VLOOKUP(A155,'SegEnds_NonXtal_Prot#'!A:AL,28,FALSE)-VLOOKUP(A155,'SegEnds_NonXtal_Prot#'!A:AL,25,FALSE)</f>
        <v>27</v>
      </c>
      <c r="AH155" s="1">
        <f>VLOOKUP(A155,'SegEnds_NonXtal_Prot#'!A:AL,28,FALSE)-VLOOKUP(A155,'SegEnds_NonXtal_Prot#'!A:AL,22,FALSE)</f>
        <v>52</v>
      </c>
      <c r="AI155" s="1">
        <f>VLOOKUP(A155,'SegEnds_NonXtal_Prot#'!A:AL,31,FALSE)-VLOOKUP(A155,'SegEnds_NonXtal_Prot#'!A:AL,28,FALSE)</f>
        <v>46</v>
      </c>
      <c r="AJ155" s="1">
        <f>VLOOKUP(A155,'SegEnds_NonXtal_Prot#'!A:AL,34,FALSE)-VLOOKUP(A155,'SegEnds_NonXtal_Prot#'!A:AL,31,FALSE)</f>
        <v>43</v>
      </c>
      <c r="AK155" s="1">
        <f>VLOOKUP(A155,'SegEnds_NonXtal_Prot#'!A:AL,37,FALSE)-VLOOKUP(A155,'SegEnds_NonXtal_Prot#'!A:AL,34,FALSE)</f>
        <v>10</v>
      </c>
      <c r="AL155" s="1" t="str">
        <f>IF(ISERROR(MATCH(A155,'SegEnds_Xtal_Prot#'!B:B, 0)), "NoXtal", "Xtal")</f>
        <v>NoXtal</v>
      </c>
    </row>
    <row r="156" spans="1:38" x14ac:dyDescent="0.2">
      <c r="A156" s="1" t="s">
        <v>345</v>
      </c>
      <c r="B156" s="1" t="str">
        <f>VLOOKUP(A156,Xtal_Templ!A:B,2,FALSE)</f>
        <v>p2ry1_human</v>
      </c>
      <c r="C156" s="5">
        <f>VLOOKUP($B156&amp;"__wt",'SegEnds_Xtal_BW#'!$A:$Z,3,FALSE)</f>
        <v>30</v>
      </c>
      <c r="D156" s="1">
        <f>VLOOKUP($B156&amp;"__wt",'SegEnds_Xtal_BW#'!$A:$Z,4,FALSE)</f>
        <v>60</v>
      </c>
      <c r="E156" s="1" t="str">
        <f>VLOOKUP($B156&amp;"__wt",'SegEnds_Xtal_BW#'!$A:$Z,5,FALSE)</f>
        <v>-</v>
      </c>
      <c r="F156" s="1" t="str">
        <f>VLOOKUP($B156&amp;"__wt",'SegEnds_Xtal_BW#'!$A:$Z,6,FALSE)</f>
        <v>-</v>
      </c>
      <c r="G156" s="1">
        <v>37</v>
      </c>
      <c r="H156" s="12">
        <f>VLOOKUP($B156&amp;"__wt",'SegEnds_Xtal_BW#'!$A:$Z,8,FALSE)</f>
        <v>66</v>
      </c>
      <c r="I156" s="1">
        <f>VLOOKUP($B156&amp;"__wt",'SegEnds_Xtal_BW#'!$A:$Z,9,FALSE)</f>
        <v>49</v>
      </c>
      <c r="J156" s="1">
        <f>VLOOKUP($B156&amp;"__wt",'SegEnds_Xtal_BW#'!$A:$Z,10,FALSE)</f>
        <v>52</v>
      </c>
      <c r="K156" s="12">
        <v>18</v>
      </c>
      <c r="L156" s="1">
        <f>VLOOKUP($B156&amp;"__wt",'SegEnds_Xtal_BW#'!$A:$Z,12,FALSE)</f>
        <v>56</v>
      </c>
      <c r="M156" s="1">
        <f>VLOOKUP($B156&amp;"__wt",'SegEnds_Xtal_BW#'!$A:$Z,13,FALSE)</f>
        <v>50</v>
      </c>
      <c r="N156" s="12">
        <f>VLOOKUP($B156&amp;"__wt",'SegEnds_Xtal_BW#'!$A:$Z,14,FALSE)</f>
        <v>57</v>
      </c>
      <c r="O156" s="87">
        <f>VLOOKUP($B156&amp;"__wt",'SegEnds_Xtal_BW#'!$A:$Z,15,FALSE)</f>
        <v>38</v>
      </c>
      <c r="P156" s="1">
        <f>VLOOKUP($B156&amp;"__wt",'SegEnds_Xtal_BW#'!$A:$Z,16,FALSE)</f>
        <v>64</v>
      </c>
      <c r="Q156" s="1">
        <f>VLOOKUP($B156&amp;"__wt",'SegEnds_Xtal_BW#'!$A:$Z,17,FALSE)</f>
        <v>50</v>
      </c>
      <c r="R156" s="1">
        <f>VLOOKUP($B156&amp;"__wt",'SegEnds_Xtal_BW#'!$A:$Z,18,FALSE)</f>
        <v>52</v>
      </c>
      <c r="S156" s="1">
        <f>VLOOKUP($B156&amp;"__wt",'SegEnds_Xtal_BW#'!$A:$Z,19,FALSE)</f>
        <v>32</v>
      </c>
      <c r="T156" s="1">
        <f t="array" ref="T156">INDEX(ICL3_classA!$G$2:$G$39,MATCH(MIN(ABS(AI156-ICL3_classA!$F$2:$F$39)),ABS(AI156-ICL3_classA!$F$2:$F$39),0))</f>
        <v>72</v>
      </c>
      <c r="U156" s="1">
        <f t="array" ref="U156">INDEX(ICL3_classA!$H$2:$H$39,MATCH(MIN(ABS(AI156-ICL3_classA!$F$2:$F$39)),ABS(AI156-ICL3_classA!$F$2:$F$39),0))</f>
        <v>29</v>
      </c>
      <c r="V156" s="1">
        <v>61</v>
      </c>
      <c r="W156" s="1">
        <v>24</v>
      </c>
      <c r="X156" s="1">
        <f>VLOOKUP($B156&amp;"__wt",'SegEnds_Xtal_BW#'!$A:$Z,24,FALSE)</f>
        <v>56</v>
      </c>
      <c r="Y156" s="1">
        <f>VLOOKUP($B156&amp;"__wt",'SegEnds_Xtal_BW#'!$A:$Z,25,FALSE)</f>
        <v>47</v>
      </c>
      <c r="Z156" s="1">
        <f>VLOOKUP($B156&amp;"__wt",'SegEnds_Xtal_BW#'!$A:$Z,26,FALSE)</f>
        <v>59</v>
      </c>
      <c r="AA156" s="27" t="str">
        <f>VLOOKUP(A156,Classification!A:B,2,FALSE)</f>
        <v>A</v>
      </c>
      <c r="AB156" s="1">
        <f>VLOOKUP(A156,'SegEnds_NonXtal_Prot#'!A:AL,10,FALSE)-VLOOKUP(A156,'SegEnds_NonXtal_Prot#'!A:AL,4,FALSE)</f>
        <v>28</v>
      </c>
      <c r="AC156" s="1" t="e">
        <f>VLOOKUP(A156,'SegEnds_NonXtal_Prot#'!A:AL,10,FALSE)-VLOOKUP(A156,'SegEnds_NonXtal_Prot#'!A:AL,7,FALSE)</f>
        <v>#VALUE!</v>
      </c>
      <c r="AD156" s="1">
        <f>VLOOKUP(A156,'SegEnds_NonXtal_Prot#'!A:AL,13,FALSE)-VLOOKUP(A156,'SegEnds_NonXtal_Prot#'!A:AL,10,FALSE)</f>
        <v>20</v>
      </c>
      <c r="AE156" s="1">
        <f>VLOOKUP(A156,'SegEnds_NonXtal_Prot#'!A:AL,16,FALSE)-VLOOKUP(A156,'SegEnds_NonXtal_Prot#'!A:AL,10,FALSE)</f>
        <v>52</v>
      </c>
      <c r="AF156" s="1">
        <f>VLOOKUP(A156,'SegEnds_NonXtal_Prot#'!A:AL,22,FALSE)-VLOOKUP(A156,'SegEnds_NonXtal_Prot#'!A:AL,19,FALSE)</f>
        <v>20</v>
      </c>
      <c r="AG156" s="1">
        <f>VLOOKUP(A156,'SegEnds_NonXtal_Prot#'!A:AL,28,FALSE)-VLOOKUP(A156,'SegEnds_NonXtal_Prot#'!A:AL,25,FALSE)</f>
        <v>27</v>
      </c>
      <c r="AH156" s="1">
        <f>VLOOKUP(A156,'SegEnds_NonXtal_Prot#'!A:AL,28,FALSE)-VLOOKUP(A156,'SegEnds_NonXtal_Prot#'!A:AL,22,FALSE)</f>
        <v>52</v>
      </c>
      <c r="AI156" s="1">
        <f>VLOOKUP(A156,'SegEnds_NonXtal_Prot#'!A:AL,31,FALSE)-VLOOKUP(A156,'SegEnds_NonXtal_Prot#'!A:AL,28,FALSE)</f>
        <v>50</v>
      </c>
      <c r="AJ156" s="1">
        <f>VLOOKUP(A156,'SegEnds_NonXtal_Prot#'!A:AL,34,FALSE)-VLOOKUP(A156,'SegEnds_NonXtal_Prot#'!A:AL,31,FALSE)</f>
        <v>43</v>
      </c>
      <c r="AK156" s="1">
        <f>VLOOKUP(A156,'SegEnds_NonXtal_Prot#'!A:AL,37,FALSE)-VLOOKUP(A156,'SegEnds_NonXtal_Prot#'!A:AL,34,FALSE)</f>
        <v>10</v>
      </c>
      <c r="AL156" s="1" t="str">
        <f>IF(ISERROR(MATCH(A156,'SegEnds_Xtal_Prot#'!B:B, 0)), "NoXtal", "Xtal")</f>
        <v>NoXtal</v>
      </c>
    </row>
    <row r="157" spans="1:38" x14ac:dyDescent="0.2">
      <c r="A157" s="1" t="s">
        <v>346</v>
      </c>
      <c r="B157" s="1" t="str">
        <f>VLOOKUP(A157,Xtal_Templ!A:B,2,FALSE)</f>
        <v>p2ry1_human</v>
      </c>
      <c r="C157" s="5">
        <f>VLOOKUP($B157&amp;"__wt",'SegEnds_Xtal_BW#'!$A:$Z,3,FALSE)</f>
        <v>30</v>
      </c>
      <c r="D157" s="1">
        <f>VLOOKUP($B157&amp;"__wt",'SegEnds_Xtal_BW#'!$A:$Z,4,FALSE)</f>
        <v>60</v>
      </c>
      <c r="E157" s="1" t="str">
        <f>VLOOKUP($B157&amp;"__wt",'SegEnds_Xtal_BW#'!$A:$Z,5,FALSE)</f>
        <v>-</v>
      </c>
      <c r="F157" s="1" t="str">
        <f>VLOOKUP($B157&amp;"__wt",'SegEnds_Xtal_BW#'!$A:$Z,6,FALSE)</f>
        <v>-</v>
      </c>
      <c r="G157" s="1">
        <v>37</v>
      </c>
      <c r="H157" s="12">
        <f>VLOOKUP($B157&amp;"__wt",'SegEnds_Xtal_BW#'!$A:$Z,8,FALSE)</f>
        <v>66</v>
      </c>
      <c r="I157" s="1">
        <f>VLOOKUP($B157&amp;"__wt",'SegEnds_Xtal_BW#'!$A:$Z,9,FALSE)</f>
        <v>49</v>
      </c>
      <c r="J157" s="1">
        <f>VLOOKUP($B157&amp;"__wt",'SegEnds_Xtal_BW#'!$A:$Z,10,FALSE)</f>
        <v>52</v>
      </c>
      <c r="K157" s="12">
        <v>18</v>
      </c>
      <c r="L157" s="1">
        <f>VLOOKUP($B157&amp;"__wt",'SegEnds_Xtal_BW#'!$A:$Z,12,FALSE)</f>
        <v>56</v>
      </c>
      <c r="M157" s="1">
        <f>VLOOKUP($B157&amp;"__wt",'SegEnds_Xtal_BW#'!$A:$Z,13,FALSE)</f>
        <v>50</v>
      </c>
      <c r="N157" s="12">
        <f>VLOOKUP($B157&amp;"__wt",'SegEnds_Xtal_BW#'!$A:$Z,14,FALSE)</f>
        <v>57</v>
      </c>
      <c r="O157" s="87">
        <f>VLOOKUP($B157&amp;"__wt",'SegEnds_Xtal_BW#'!$A:$Z,15,FALSE)</f>
        <v>38</v>
      </c>
      <c r="P157" s="1">
        <f>VLOOKUP($B157&amp;"__wt",'SegEnds_Xtal_BW#'!$A:$Z,16,FALSE)</f>
        <v>64</v>
      </c>
      <c r="Q157" s="1">
        <f>VLOOKUP($B157&amp;"__wt",'SegEnds_Xtal_BW#'!$A:$Z,17,FALSE)</f>
        <v>50</v>
      </c>
      <c r="R157" s="1">
        <f>VLOOKUP($B157&amp;"__wt",'SegEnds_Xtal_BW#'!$A:$Z,18,FALSE)</f>
        <v>52</v>
      </c>
      <c r="S157" s="1">
        <f>VLOOKUP($B157&amp;"__wt",'SegEnds_Xtal_BW#'!$A:$Z,19,FALSE)</f>
        <v>32</v>
      </c>
      <c r="T157" s="1">
        <f t="array" ref="T157">INDEX(ICL3_classA!$G$2:$G$39,MATCH(MIN(ABS(AI157-ICL3_classA!$F$2:$F$39)),ABS(AI157-ICL3_classA!$F$2:$F$39),0))</f>
        <v>68</v>
      </c>
      <c r="U157" s="1">
        <f t="array" ref="U157">INDEX(ICL3_classA!$H$2:$H$39,MATCH(MIN(ABS(AI157-ICL3_classA!$F$2:$F$39)),ABS(AI157-ICL3_classA!$F$2:$F$39),0))</f>
        <v>24</v>
      </c>
      <c r="V157" s="1">
        <v>61</v>
      </c>
      <c r="W157" s="1">
        <v>24</v>
      </c>
      <c r="X157" s="1">
        <f>VLOOKUP($B157&amp;"__wt",'SegEnds_Xtal_BW#'!$A:$Z,24,FALSE)</f>
        <v>56</v>
      </c>
      <c r="Y157" s="1">
        <f>VLOOKUP($B157&amp;"__wt",'SegEnds_Xtal_BW#'!$A:$Z,25,FALSE)</f>
        <v>47</v>
      </c>
      <c r="Z157" s="1">
        <f>VLOOKUP($B157&amp;"__wt",'SegEnds_Xtal_BW#'!$A:$Z,26,FALSE)</f>
        <v>59</v>
      </c>
      <c r="AA157" s="27" t="str">
        <f>VLOOKUP(A157,Classification!A:B,2,FALSE)</f>
        <v>A</v>
      </c>
      <c r="AB157" s="1">
        <f>VLOOKUP(A157,'SegEnds_NonXtal_Prot#'!A:AL,10,FALSE)-VLOOKUP(A157,'SegEnds_NonXtal_Prot#'!A:AL,4,FALSE)</f>
        <v>28</v>
      </c>
      <c r="AC157" s="1" t="e">
        <f>VLOOKUP(A157,'SegEnds_NonXtal_Prot#'!A:AL,10,FALSE)-VLOOKUP(A157,'SegEnds_NonXtal_Prot#'!A:AL,7,FALSE)</f>
        <v>#VALUE!</v>
      </c>
      <c r="AD157" s="1">
        <f>VLOOKUP(A157,'SegEnds_NonXtal_Prot#'!A:AL,13,FALSE)-VLOOKUP(A157,'SegEnds_NonXtal_Prot#'!A:AL,10,FALSE)</f>
        <v>20</v>
      </c>
      <c r="AE157" s="1">
        <f>VLOOKUP(A157,'SegEnds_NonXtal_Prot#'!A:AL,16,FALSE)-VLOOKUP(A157,'SegEnds_NonXtal_Prot#'!A:AL,10,FALSE)</f>
        <v>52</v>
      </c>
      <c r="AF157" s="1">
        <f>VLOOKUP(A157,'SegEnds_NonXtal_Prot#'!A:AL,22,FALSE)-VLOOKUP(A157,'SegEnds_NonXtal_Prot#'!A:AL,19,FALSE)</f>
        <v>20</v>
      </c>
      <c r="AG157" s="1">
        <f>VLOOKUP(A157,'SegEnds_NonXtal_Prot#'!A:AL,28,FALSE)-VLOOKUP(A157,'SegEnds_NonXtal_Prot#'!A:AL,25,FALSE)</f>
        <v>27</v>
      </c>
      <c r="AH157" s="1">
        <f>VLOOKUP(A157,'SegEnds_NonXtal_Prot#'!A:AL,28,FALSE)-VLOOKUP(A157,'SegEnds_NonXtal_Prot#'!A:AL,22,FALSE)</f>
        <v>52</v>
      </c>
      <c r="AI157" s="1">
        <f>VLOOKUP(A157,'SegEnds_NonXtal_Prot#'!A:AL,31,FALSE)-VLOOKUP(A157,'SegEnds_NonXtal_Prot#'!A:AL,28,FALSE)</f>
        <v>48</v>
      </c>
      <c r="AJ157" s="1">
        <f>VLOOKUP(A157,'SegEnds_NonXtal_Prot#'!A:AL,34,FALSE)-VLOOKUP(A157,'SegEnds_NonXtal_Prot#'!A:AL,31,FALSE)</f>
        <v>43</v>
      </c>
      <c r="AK157" s="1">
        <f>VLOOKUP(A157,'SegEnds_NonXtal_Prot#'!A:AL,37,FALSE)-VLOOKUP(A157,'SegEnds_NonXtal_Prot#'!A:AL,34,FALSE)</f>
        <v>10</v>
      </c>
      <c r="AL157" s="1" t="str">
        <f>IF(ISERROR(MATCH(A157,'SegEnds_Xtal_Prot#'!B:B, 0)), "NoXtal", "Xtal")</f>
        <v>NoXtal</v>
      </c>
    </row>
    <row r="158" spans="1:38" x14ac:dyDescent="0.2">
      <c r="A158" s="1" t="s">
        <v>347</v>
      </c>
      <c r="B158" s="1" t="str">
        <f>VLOOKUP(A158,Xtal_Templ!A:B,2,FALSE)</f>
        <v>p2ry1_human</v>
      </c>
      <c r="C158" s="5">
        <f>VLOOKUP($B158&amp;"__wt",'SegEnds_Xtal_BW#'!$A:$Z,3,FALSE)</f>
        <v>30</v>
      </c>
      <c r="D158" s="1">
        <f>VLOOKUP($B158&amp;"__wt",'SegEnds_Xtal_BW#'!$A:$Z,4,FALSE)</f>
        <v>60</v>
      </c>
      <c r="E158" s="1" t="str">
        <f>VLOOKUP($B158&amp;"__wt",'SegEnds_Xtal_BW#'!$A:$Z,5,FALSE)</f>
        <v>-</v>
      </c>
      <c r="F158" s="1" t="str">
        <f>VLOOKUP($B158&amp;"__wt",'SegEnds_Xtal_BW#'!$A:$Z,6,FALSE)</f>
        <v>-</v>
      </c>
      <c r="G158" s="1">
        <v>37</v>
      </c>
      <c r="H158" s="12">
        <f>VLOOKUP($B158&amp;"__wt",'SegEnds_Xtal_BW#'!$A:$Z,8,FALSE)</f>
        <v>66</v>
      </c>
      <c r="I158" s="1">
        <f>VLOOKUP($B158&amp;"__wt",'SegEnds_Xtal_BW#'!$A:$Z,9,FALSE)</f>
        <v>49</v>
      </c>
      <c r="J158" s="1">
        <f>VLOOKUP($B158&amp;"__wt",'SegEnds_Xtal_BW#'!$A:$Z,10,FALSE)</f>
        <v>52</v>
      </c>
      <c r="K158" s="12">
        <v>18</v>
      </c>
      <c r="L158" s="1">
        <f>VLOOKUP($B158&amp;"__wt",'SegEnds_Xtal_BW#'!$A:$Z,12,FALSE)</f>
        <v>56</v>
      </c>
      <c r="M158" s="1">
        <f>VLOOKUP($B158&amp;"__wt",'SegEnds_Xtal_BW#'!$A:$Z,13,FALSE)</f>
        <v>50</v>
      </c>
      <c r="N158" s="12">
        <v>58</v>
      </c>
      <c r="O158" s="87">
        <f>VLOOKUP($B158&amp;"__wt",'SegEnds_Xtal_BW#'!$A:$Z,15,FALSE)</f>
        <v>38</v>
      </c>
      <c r="P158" s="1">
        <f>VLOOKUP($B158&amp;"__wt",'SegEnds_Xtal_BW#'!$A:$Z,16,FALSE)</f>
        <v>64</v>
      </c>
      <c r="Q158" s="1">
        <f>VLOOKUP($B158&amp;"__wt",'SegEnds_Xtal_BW#'!$A:$Z,17,FALSE)</f>
        <v>50</v>
      </c>
      <c r="R158" s="1">
        <f>VLOOKUP($B158&amp;"__wt",'SegEnds_Xtal_BW#'!$A:$Z,18,FALSE)</f>
        <v>52</v>
      </c>
      <c r="S158" s="1">
        <f>VLOOKUP($B158&amp;"__wt",'SegEnds_Xtal_BW#'!$A:$Z,19,FALSE)</f>
        <v>32</v>
      </c>
      <c r="T158" s="1">
        <f t="array" ref="T158">INDEX(ICL3_classA!$G$2:$G$39,MATCH(MIN(ABS(AI158-ICL3_classA!$F$2:$F$39)),ABS(AI158-ICL3_classA!$F$2:$F$39),0))</f>
        <v>72</v>
      </c>
      <c r="U158" s="1">
        <f t="array" ref="U158">INDEX(ICL3_classA!$H$2:$H$39,MATCH(MIN(ABS(AI158-ICL3_classA!$F$2:$F$39)),ABS(AI158-ICL3_classA!$F$2:$F$39),0))</f>
        <v>29</v>
      </c>
      <c r="V158" s="1">
        <v>64</v>
      </c>
      <c r="W158" s="1">
        <v>24</v>
      </c>
      <c r="X158" s="1">
        <f>VLOOKUP($B158&amp;"__wt",'SegEnds_Xtal_BW#'!$A:$Z,24,FALSE)</f>
        <v>56</v>
      </c>
      <c r="Y158" s="1">
        <f>VLOOKUP($B158&amp;"__wt",'SegEnds_Xtal_BW#'!$A:$Z,25,FALSE)</f>
        <v>47</v>
      </c>
      <c r="Z158" s="1">
        <f>VLOOKUP($B158&amp;"__wt",'SegEnds_Xtal_BW#'!$A:$Z,26,FALSE)</f>
        <v>59</v>
      </c>
      <c r="AA158" s="27" t="str">
        <f>VLOOKUP(A158,Classification!A:B,2,FALSE)</f>
        <v>A</v>
      </c>
      <c r="AB158" s="1">
        <f>VLOOKUP(A158,'SegEnds_NonXtal_Prot#'!A:AL,10,FALSE)-VLOOKUP(A158,'SegEnds_NonXtal_Prot#'!A:AL,4,FALSE)</f>
        <v>28</v>
      </c>
      <c r="AC158" s="1">
        <f>VLOOKUP(A158,'SegEnds_NonXtal_Prot#'!A:AL,10,FALSE)-VLOOKUP(A158,'SegEnds_NonXtal_Prot#'!A:AL,7,FALSE)</f>
        <v>15</v>
      </c>
      <c r="AD158" s="1">
        <f>VLOOKUP(A158,'SegEnds_NonXtal_Prot#'!A:AL,13,FALSE)-VLOOKUP(A158,'SegEnds_NonXtal_Prot#'!A:AL,10,FALSE)</f>
        <v>20</v>
      </c>
      <c r="AE158" s="1">
        <f>VLOOKUP(A158,'SegEnds_NonXtal_Prot#'!A:AL,16,FALSE)-VLOOKUP(A158,'SegEnds_NonXtal_Prot#'!A:AL,10,FALSE)</f>
        <v>52</v>
      </c>
      <c r="AF158" s="1">
        <f>VLOOKUP(A158,'SegEnds_NonXtal_Prot#'!A:AL,22,FALSE)-VLOOKUP(A158,'SegEnds_NonXtal_Prot#'!A:AL,19,FALSE)</f>
        <v>21</v>
      </c>
      <c r="AG158" s="1">
        <f>VLOOKUP(A158,'SegEnds_NonXtal_Prot#'!A:AL,28,FALSE)-VLOOKUP(A158,'SegEnds_NonXtal_Prot#'!A:AL,25,FALSE)</f>
        <v>27</v>
      </c>
      <c r="AH158" s="1">
        <f>VLOOKUP(A158,'SegEnds_NonXtal_Prot#'!A:AL,28,FALSE)-VLOOKUP(A158,'SegEnds_NonXtal_Prot#'!A:AL,22,FALSE)</f>
        <v>52</v>
      </c>
      <c r="AI158" s="1">
        <f>VLOOKUP(A158,'SegEnds_NonXtal_Prot#'!A:AL,31,FALSE)-VLOOKUP(A158,'SegEnds_NonXtal_Prot#'!A:AL,28,FALSE)</f>
        <v>50</v>
      </c>
      <c r="AJ158" s="1">
        <f>VLOOKUP(A158,'SegEnds_NonXtal_Prot#'!A:AL,34,FALSE)-VLOOKUP(A158,'SegEnds_NonXtal_Prot#'!A:AL,31,FALSE)</f>
        <v>44</v>
      </c>
      <c r="AK158" s="1">
        <f>VLOOKUP(A158,'SegEnds_NonXtal_Prot#'!A:AL,37,FALSE)-VLOOKUP(A158,'SegEnds_NonXtal_Prot#'!A:AL,34,FALSE)</f>
        <v>10</v>
      </c>
      <c r="AL158" s="1" t="str">
        <f>IF(ISERROR(MATCH(A158,'SegEnds_Xtal_Prot#'!B:B, 0)), "NoXtal", "Xtal")</f>
        <v>NoXtal</v>
      </c>
    </row>
    <row r="159" spans="1:38" x14ac:dyDescent="0.2">
      <c r="A159" s="1" t="s">
        <v>351</v>
      </c>
      <c r="B159" s="1" t="str">
        <f>VLOOKUP(A159,Xtal_Templ!A:B,2,FALSE)</f>
        <v>p2y12_human</v>
      </c>
      <c r="C159" s="5">
        <f>VLOOKUP($B159&amp;"__wt",'SegEnds_Xtal_BW#'!$A:$Z,3,FALSE)</f>
        <v>28</v>
      </c>
      <c r="D159" s="1">
        <f>VLOOKUP($B159&amp;"__wt",'SegEnds_Xtal_BW#'!$A:$Z,4,FALSE)</f>
        <v>60</v>
      </c>
      <c r="E159" s="1" t="str">
        <f>VLOOKUP($B159&amp;"__wt",'SegEnds_Xtal_BW#'!$A:$Z,5,FALSE)</f>
        <v>-</v>
      </c>
      <c r="F159" s="1" t="str">
        <f>VLOOKUP($B159&amp;"__wt",'SegEnds_Xtal_BW#'!$A:$Z,6,FALSE)</f>
        <v>-</v>
      </c>
      <c r="G159" s="1">
        <v>37</v>
      </c>
      <c r="H159" s="12">
        <f>VLOOKUP($B159&amp;"__wt",'SegEnds_Xtal_BW#'!$A:$Z,8,FALSE)</f>
        <v>66</v>
      </c>
      <c r="I159" s="1" t="str">
        <f>VLOOKUP($B159&amp;"__wt",'SegEnds_Xtal_BW#'!$A:$Z,9,FALSE)</f>
        <v>-</v>
      </c>
      <c r="J159" s="1" t="str">
        <f>VLOOKUP($B159&amp;"__wt",'SegEnds_Xtal_BW#'!$A:$Z,10,FALSE)</f>
        <v>-</v>
      </c>
      <c r="K159" s="12">
        <v>18</v>
      </c>
      <c r="L159" s="1">
        <f>VLOOKUP($B159&amp;"__wt",'SegEnds_Xtal_BW#'!$A:$Z,12,FALSE)</f>
        <v>56</v>
      </c>
      <c r="M159" s="1">
        <f>VLOOKUP($B159&amp;"__wt",'SegEnds_Xtal_BW#'!$A:$Z,13,FALSE)</f>
        <v>50</v>
      </c>
      <c r="N159" s="12">
        <f>VLOOKUP($B159&amp;"__wt",'SegEnds_Xtal_BW#'!$A:$Z,14,FALSE)</f>
        <v>57</v>
      </c>
      <c r="O159" s="87">
        <f>VLOOKUP($B159&amp;"__wt",'SegEnds_Xtal_BW#'!$A:$Z,15,FALSE)</f>
        <v>38</v>
      </c>
      <c r="P159" s="1">
        <f>VLOOKUP($B159&amp;"__wt",'SegEnds_Xtal_BW#'!$A:$Z,16,FALSE)</f>
        <v>64</v>
      </c>
      <c r="Q159" s="1">
        <f>VLOOKUP($B159&amp;"__wt",'SegEnds_Xtal_BW#'!$A:$Z,17,FALSE)</f>
        <v>50</v>
      </c>
      <c r="R159" s="1">
        <f>VLOOKUP($B159&amp;"__wt",'SegEnds_Xtal_BW#'!$A:$Z,18,FALSE)</f>
        <v>52</v>
      </c>
      <c r="S159" s="1">
        <f>VLOOKUP($B159&amp;"__wt",'SegEnds_Xtal_BW#'!$A:$Z,19,FALSE)</f>
        <v>30</v>
      </c>
      <c r="T159" s="1">
        <f t="array" ref="T159">INDEX(ICL3_classA!$G$2:$G$39,MATCH(MIN(ABS(AI159-ICL3_classA!$F$2:$F$39)),ABS(AI159-ICL3_classA!$F$2:$F$39),0))</f>
        <v>72</v>
      </c>
      <c r="U159" s="1">
        <f t="array" ref="U159">INDEX(ICL3_classA!$H$2:$H$39,MATCH(MIN(ABS(AI159-ICL3_classA!$F$2:$F$39)),ABS(AI159-ICL3_classA!$F$2:$F$39),0))</f>
        <v>29</v>
      </c>
      <c r="V159" s="1">
        <v>64</v>
      </c>
      <c r="W159" s="1">
        <v>24</v>
      </c>
      <c r="X159" s="1">
        <f>VLOOKUP($B159&amp;"__wt",'SegEnds_Xtal_BW#'!$A:$Z,24,FALSE)</f>
        <v>56</v>
      </c>
      <c r="Y159" s="1">
        <f>VLOOKUP($B159&amp;"__wt",'SegEnds_Xtal_BW#'!$A:$Z,25,FALSE)</f>
        <v>47</v>
      </c>
      <c r="Z159" s="1">
        <f>VLOOKUP($B159&amp;"__wt",'SegEnds_Xtal_BW#'!$A:$Z,26,FALSE)</f>
        <v>57</v>
      </c>
      <c r="AA159" s="27" t="str">
        <f>VLOOKUP(A159,Classification!A:B,2,FALSE)</f>
        <v>A</v>
      </c>
      <c r="AB159" s="1">
        <f>VLOOKUP(A159,'SegEnds_NonXtal_Prot#'!A:AL,10,FALSE)-VLOOKUP(A159,'SegEnds_NonXtal_Prot#'!A:AL,4,FALSE)</f>
        <v>27</v>
      </c>
      <c r="AC159" s="1" t="e">
        <f>VLOOKUP(A159,'SegEnds_NonXtal_Prot#'!A:AL,10,FALSE)-VLOOKUP(A159,'SegEnds_NonXtal_Prot#'!A:AL,7,FALSE)</f>
        <v>#VALUE!</v>
      </c>
      <c r="AD159" s="1" t="e">
        <f>VLOOKUP(A159,'SegEnds_NonXtal_Prot#'!A:AL,13,FALSE)-VLOOKUP(A159,'SegEnds_NonXtal_Prot#'!A:AL,10,FALSE)</f>
        <v>#VALUE!</v>
      </c>
      <c r="AE159" s="1">
        <f>VLOOKUP(A159,'SegEnds_NonXtal_Prot#'!A:AL,16,FALSE)-VLOOKUP(A159,'SegEnds_NonXtal_Prot#'!A:AL,10,FALSE)</f>
        <v>52</v>
      </c>
      <c r="AF159" s="1">
        <f>VLOOKUP(A159,'SegEnds_NonXtal_Prot#'!A:AL,22,FALSE)-VLOOKUP(A159,'SegEnds_NonXtal_Prot#'!A:AL,19,FALSE)</f>
        <v>20</v>
      </c>
      <c r="AG159" s="1">
        <f>VLOOKUP(A159,'SegEnds_NonXtal_Prot#'!A:AL,28,FALSE)-VLOOKUP(A159,'SegEnds_NonXtal_Prot#'!A:AL,25,FALSE)</f>
        <v>26</v>
      </c>
      <c r="AH159" s="1">
        <f>VLOOKUP(A159,'SegEnds_NonXtal_Prot#'!A:AL,28,FALSE)-VLOOKUP(A159,'SegEnds_NonXtal_Prot#'!A:AL,22,FALSE)</f>
        <v>52</v>
      </c>
      <c r="AI159" s="1">
        <f>VLOOKUP(A159,'SegEnds_NonXtal_Prot#'!A:AL,31,FALSE)-VLOOKUP(A159,'SegEnds_NonXtal_Prot#'!A:AL,28,FALSE)</f>
        <v>50</v>
      </c>
      <c r="AJ159" s="1">
        <f>VLOOKUP(A159,'SegEnds_NonXtal_Prot#'!A:AL,34,FALSE)-VLOOKUP(A159,'SegEnds_NonXtal_Prot#'!A:AL,31,FALSE)</f>
        <v>44</v>
      </c>
      <c r="AK159" s="1">
        <f>VLOOKUP(A159,'SegEnds_NonXtal_Prot#'!A:AL,37,FALSE)-VLOOKUP(A159,'SegEnds_NonXtal_Prot#'!A:AL,34,FALSE)</f>
        <v>10</v>
      </c>
      <c r="AL159" s="1" t="str">
        <f>IF(ISERROR(MATCH(A159,'SegEnds_Xtal_Prot#'!B:B, 0)), "NoXtal", "Xtal")</f>
        <v>Xtal</v>
      </c>
    </row>
    <row r="160" spans="1:38" x14ac:dyDescent="0.2">
      <c r="A160" s="1" t="s">
        <v>352</v>
      </c>
      <c r="B160" s="1" t="str">
        <f>VLOOKUP(A160,Xtal_Templ!A:B,2,FALSE)</f>
        <v>p2y12_human</v>
      </c>
      <c r="C160" s="5">
        <f>VLOOKUP($B160&amp;"__wt",'SegEnds_Xtal_BW#'!$A:$Z,3,FALSE)</f>
        <v>28</v>
      </c>
      <c r="D160" s="1">
        <f>VLOOKUP($B160&amp;"__wt",'SegEnds_Xtal_BW#'!$A:$Z,4,FALSE)</f>
        <v>60</v>
      </c>
      <c r="E160" s="1" t="str">
        <f>VLOOKUP($B160&amp;"__wt",'SegEnds_Xtal_BW#'!$A:$Z,5,FALSE)</f>
        <v>-</v>
      </c>
      <c r="F160" s="1" t="str">
        <f>VLOOKUP($B160&amp;"__wt",'SegEnds_Xtal_BW#'!$A:$Z,6,FALSE)</f>
        <v>-</v>
      </c>
      <c r="G160" s="1">
        <v>37</v>
      </c>
      <c r="H160" s="12">
        <f>VLOOKUP($B160&amp;"__wt",'SegEnds_Xtal_BW#'!$A:$Z,8,FALSE)</f>
        <v>66</v>
      </c>
      <c r="I160" s="1" t="str">
        <f>VLOOKUP($B160&amp;"__wt",'SegEnds_Xtal_BW#'!$A:$Z,9,FALSE)</f>
        <v>-</v>
      </c>
      <c r="J160" s="1" t="str">
        <f>VLOOKUP($B160&amp;"__wt",'SegEnds_Xtal_BW#'!$A:$Z,10,FALSE)</f>
        <v>-</v>
      </c>
      <c r="K160" s="12">
        <v>18</v>
      </c>
      <c r="L160" s="1">
        <f>VLOOKUP($B160&amp;"__wt",'SegEnds_Xtal_BW#'!$A:$Z,12,FALSE)</f>
        <v>56</v>
      </c>
      <c r="M160" s="1">
        <f>VLOOKUP($B160&amp;"__wt",'SegEnds_Xtal_BW#'!$A:$Z,13,FALSE)</f>
        <v>50</v>
      </c>
      <c r="N160" s="12">
        <v>57</v>
      </c>
      <c r="O160" s="87">
        <f>VLOOKUP($B160&amp;"__wt",'SegEnds_Xtal_BW#'!$A:$Z,15,FALSE)</f>
        <v>38</v>
      </c>
      <c r="P160" s="1">
        <f>VLOOKUP($B160&amp;"__wt",'SegEnds_Xtal_BW#'!$A:$Z,16,FALSE)</f>
        <v>64</v>
      </c>
      <c r="Q160" s="1">
        <f>VLOOKUP($B160&amp;"__wt",'SegEnds_Xtal_BW#'!$A:$Z,17,FALSE)</f>
        <v>50</v>
      </c>
      <c r="R160" s="1">
        <f>VLOOKUP($B160&amp;"__wt",'SegEnds_Xtal_BW#'!$A:$Z,18,FALSE)</f>
        <v>52</v>
      </c>
      <c r="S160" s="1">
        <f>VLOOKUP($B160&amp;"__wt",'SegEnds_Xtal_BW#'!$A:$Z,19,FALSE)</f>
        <v>30</v>
      </c>
      <c r="T160" s="1">
        <f t="array" ref="T160">INDEX(ICL3_classA!$G$2:$G$39,MATCH(MIN(ABS(AI160-ICL3_classA!$F$2:$F$39)),ABS(AI160-ICL3_classA!$F$2:$F$39),0))</f>
        <v>72</v>
      </c>
      <c r="U160" s="1">
        <f t="array" ref="U160">INDEX(ICL3_classA!$H$2:$H$39,MATCH(MIN(ABS(AI160-ICL3_classA!$F$2:$F$39)),ABS(AI160-ICL3_classA!$F$2:$F$39),0))</f>
        <v>29</v>
      </c>
      <c r="V160" s="1">
        <v>64</v>
      </c>
      <c r="W160" s="1">
        <v>24</v>
      </c>
      <c r="X160" s="1">
        <f>VLOOKUP($B160&amp;"__wt",'SegEnds_Xtal_BW#'!$A:$Z,24,FALSE)</f>
        <v>56</v>
      </c>
      <c r="Y160" s="1">
        <f>VLOOKUP($B160&amp;"__wt",'SegEnds_Xtal_BW#'!$A:$Z,25,FALSE)</f>
        <v>47</v>
      </c>
      <c r="Z160" s="1">
        <f>VLOOKUP($B160&amp;"__wt",'SegEnds_Xtal_BW#'!$A:$Z,26,FALSE)</f>
        <v>57</v>
      </c>
      <c r="AA160" s="27" t="str">
        <f>VLOOKUP(A160,Classification!A:B,2,FALSE)</f>
        <v>A</v>
      </c>
      <c r="AB160" s="1">
        <f>VLOOKUP(A160,'SegEnds_NonXtal_Prot#'!A:AL,10,FALSE)-VLOOKUP(A160,'SegEnds_NonXtal_Prot#'!A:AL,4,FALSE)</f>
        <v>27</v>
      </c>
      <c r="AC160" s="1" t="e">
        <f>VLOOKUP(A160,'SegEnds_NonXtal_Prot#'!A:AL,10,FALSE)-VLOOKUP(A160,'SegEnds_NonXtal_Prot#'!A:AL,7,FALSE)</f>
        <v>#VALUE!</v>
      </c>
      <c r="AD160" s="1" t="e">
        <f>VLOOKUP(A160,'SegEnds_NonXtal_Prot#'!A:AL,13,FALSE)-VLOOKUP(A160,'SegEnds_NonXtal_Prot#'!A:AL,10,FALSE)</f>
        <v>#VALUE!</v>
      </c>
      <c r="AE160" s="1">
        <f>VLOOKUP(A160,'SegEnds_NonXtal_Prot#'!A:AL,16,FALSE)-VLOOKUP(A160,'SegEnds_NonXtal_Prot#'!A:AL,10,FALSE)</f>
        <v>52</v>
      </c>
      <c r="AF160" s="1">
        <f>VLOOKUP(A160,'SegEnds_NonXtal_Prot#'!A:AL,22,FALSE)-VLOOKUP(A160,'SegEnds_NonXtal_Prot#'!A:AL,19,FALSE)</f>
        <v>20</v>
      </c>
      <c r="AG160" s="1">
        <f>VLOOKUP(A160,'SegEnds_NonXtal_Prot#'!A:AL,28,FALSE)-VLOOKUP(A160,'SegEnds_NonXtal_Prot#'!A:AL,25,FALSE)</f>
        <v>26</v>
      </c>
      <c r="AH160" s="1">
        <f>VLOOKUP(A160,'SegEnds_NonXtal_Prot#'!A:AL,28,FALSE)-VLOOKUP(A160,'SegEnds_NonXtal_Prot#'!A:AL,22,FALSE)</f>
        <v>52</v>
      </c>
      <c r="AI160" s="1">
        <f>VLOOKUP(A160,'SegEnds_NonXtal_Prot#'!A:AL,31,FALSE)-VLOOKUP(A160,'SegEnds_NonXtal_Prot#'!A:AL,28,FALSE)</f>
        <v>50</v>
      </c>
      <c r="AJ160" s="1">
        <f>VLOOKUP(A160,'SegEnds_NonXtal_Prot#'!A:AL,34,FALSE)-VLOOKUP(A160,'SegEnds_NonXtal_Prot#'!A:AL,31,FALSE)</f>
        <v>44</v>
      </c>
      <c r="AK160" s="1">
        <f>VLOOKUP(A160,'SegEnds_NonXtal_Prot#'!A:AL,37,FALSE)-VLOOKUP(A160,'SegEnds_NonXtal_Prot#'!A:AL,34,FALSE)</f>
        <v>10</v>
      </c>
      <c r="AL160" s="1" t="str">
        <f>IF(ISERROR(MATCH(A160,'SegEnds_Xtal_Prot#'!B:B, 0)), "NoXtal", "Xtal")</f>
        <v>NoXtal</v>
      </c>
    </row>
    <row r="161" spans="1:38" x14ac:dyDescent="0.2">
      <c r="A161" s="1" t="s">
        <v>353</v>
      </c>
      <c r="B161" s="1" t="str">
        <f>VLOOKUP(A161,Xtal_Templ!A:B,2,FALSE)</f>
        <v>p2y12_human</v>
      </c>
      <c r="C161" s="5">
        <f>VLOOKUP($B161&amp;"__wt",'SegEnds_Xtal_BW#'!$A:$Z,3,FALSE)</f>
        <v>28</v>
      </c>
      <c r="D161" s="1">
        <f>VLOOKUP($B161&amp;"__wt",'SegEnds_Xtal_BW#'!$A:$Z,4,FALSE)</f>
        <v>60</v>
      </c>
      <c r="E161" s="1" t="str">
        <f>VLOOKUP($B161&amp;"__wt",'SegEnds_Xtal_BW#'!$A:$Z,5,FALSE)</f>
        <v>-</v>
      </c>
      <c r="F161" s="1" t="str">
        <f>VLOOKUP($B161&amp;"__wt",'SegEnds_Xtal_BW#'!$A:$Z,6,FALSE)</f>
        <v>-</v>
      </c>
      <c r="G161" s="1">
        <v>37</v>
      </c>
      <c r="H161" s="12">
        <f>VLOOKUP($B161&amp;"__wt",'SegEnds_Xtal_BW#'!$A:$Z,8,FALSE)</f>
        <v>66</v>
      </c>
      <c r="I161" s="1" t="str">
        <f>VLOOKUP($B161&amp;"__wt",'SegEnds_Xtal_BW#'!$A:$Z,9,FALSE)</f>
        <v>-</v>
      </c>
      <c r="J161" s="1" t="str">
        <f>VLOOKUP($B161&amp;"__wt",'SegEnds_Xtal_BW#'!$A:$Z,10,FALSE)</f>
        <v>-</v>
      </c>
      <c r="K161" s="12">
        <v>18</v>
      </c>
      <c r="L161" s="1">
        <f>VLOOKUP($B161&amp;"__wt",'SegEnds_Xtal_BW#'!$A:$Z,12,FALSE)</f>
        <v>56</v>
      </c>
      <c r="M161" s="1">
        <f>VLOOKUP($B161&amp;"__wt",'SegEnds_Xtal_BW#'!$A:$Z,13,FALSE)</f>
        <v>50</v>
      </c>
      <c r="N161" s="12">
        <v>57</v>
      </c>
      <c r="O161" s="87">
        <f>VLOOKUP($B161&amp;"__wt",'SegEnds_Xtal_BW#'!$A:$Z,15,FALSE)</f>
        <v>38</v>
      </c>
      <c r="P161" s="1">
        <f>VLOOKUP($B161&amp;"__wt",'SegEnds_Xtal_BW#'!$A:$Z,16,FALSE)</f>
        <v>64</v>
      </c>
      <c r="Q161" s="1">
        <f>VLOOKUP($B161&amp;"__wt",'SegEnds_Xtal_BW#'!$A:$Z,17,FALSE)</f>
        <v>50</v>
      </c>
      <c r="R161" s="1">
        <f>VLOOKUP($B161&amp;"__wt",'SegEnds_Xtal_BW#'!$A:$Z,18,FALSE)</f>
        <v>52</v>
      </c>
      <c r="S161" s="1">
        <f>VLOOKUP($B161&amp;"__wt",'SegEnds_Xtal_BW#'!$A:$Z,19,FALSE)</f>
        <v>30</v>
      </c>
      <c r="T161" s="1">
        <f t="array" ref="T161">INDEX(ICL3_classA!$G$2:$G$39,MATCH(MIN(ABS(AI161-ICL3_classA!$F$2:$F$39)),ABS(AI161-ICL3_classA!$F$2:$F$39),0))</f>
        <v>72</v>
      </c>
      <c r="U161" s="1">
        <f t="array" ref="U161">INDEX(ICL3_classA!$H$2:$H$39,MATCH(MIN(ABS(AI161-ICL3_classA!$F$2:$F$39)),ABS(AI161-ICL3_classA!$F$2:$F$39),0))</f>
        <v>29</v>
      </c>
      <c r="V161" s="1">
        <v>64</v>
      </c>
      <c r="W161" s="1">
        <v>24</v>
      </c>
      <c r="X161" s="1">
        <f>VLOOKUP($B161&amp;"__wt",'SegEnds_Xtal_BW#'!$A:$Z,24,FALSE)</f>
        <v>56</v>
      </c>
      <c r="Y161" s="1">
        <f>VLOOKUP($B161&amp;"__wt",'SegEnds_Xtal_BW#'!$A:$Z,25,FALSE)</f>
        <v>47</v>
      </c>
      <c r="Z161" s="1">
        <f>VLOOKUP($B161&amp;"__wt",'SegEnds_Xtal_BW#'!$A:$Z,26,FALSE)</f>
        <v>57</v>
      </c>
      <c r="AA161" s="27" t="str">
        <f>VLOOKUP(A161,Classification!A:B,2,FALSE)</f>
        <v>A</v>
      </c>
      <c r="AB161" s="1">
        <f>VLOOKUP(A161,'SegEnds_NonXtal_Prot#'!A:AL,10,FALSE)-VLOOKUP(A161,'SegEnds_NonXtal_Prot#'!A:AL,4,FALSE)</f>
        <v>27</v>
      </c>
      <c r="AC161" s="1" t="e">
        <f>VLOOKUP(A161,'SegEnds_NonXtal_Prot#'!A:AL,10,FALSE)-VLOOKUP(A161,'SegEnds_NonXtal_Prot#'!A:AL,7,FALSE)</f>
        <v>#VALUE!</v>
      </c>
      <c r="AD161" s="1" t="e">
        <f>VLOOKUP(A161,'SegEnds_NonXtal_Prot#'!A:AL,13,FALSE)-VLOOKUP(A161,'SegEnds_NonXtal_Prot#'!A:AL,10,FALSE)</f>
        <v>#VALUE!</v>
      </c>
      <c r="AE161" s="1">
        <f>VLOOKUP(A161,'SegEnds_NonXtal_Prot#'!A:AL,16,FALSE)-VLOOKUP(A161,'SegEnds_NonXtal_Prot#'!A:AL,10,FALSE)</f>
        <v>52</v>
      </c>
      <c r="AF161" s="1">
        <f>VLOOKUP(A161,'SegEnds_NonXtal_Prot#'!A:AL,22,FALSE)-VLOOKUP(A161,'SegEnds_NonXtal_Prot#'!A:AL,19,FALSE)</f>
        <v>20</v>
      </c>
      <c r="AG161" s="1">
        <f>VLOOKUP(A161,'SegEnds_NonXtal_Prot#'!A:AL,28,FALSE)-VLOOKUP(A161,'SegEnds_NonXtal_Prot#'!A:AL,25,FALSE)</f>
        <v>26</v>
      </c>
      <c r="AH161" s="1">
        <f>VLOOKUP(A161,'SegEnds_NonXtal_Prot#'!A:AL,28,FALSE)-VLOOKUP(A161,'SegEnds_NonXtal_Prot#'!A:AL,22,FALSE)</f>
        <v>52</v>
      </c>
      <c r="AI161" s="1">
        <f>VLOOKUP(A161,'SegEnds_NonXtal_Prot#'!A:AL,31,FALSE)-VLOOKUP(A161,'SegEnds_NonXtal_Prot#'!A:AL,28,FALSE)</f>
        <v>50</v>
      </c>
      <c r="AJ161" s="1">
        <f>VLOOKUP(A161,'SegEnds_NonXtal_Prot#'!A:AL,34,FALSE)-VLOOKUP(A161,'SegEnds_NonXtal_Prot#'!A:AL,31,FALSE)</f>
        <v>44</v>
      </c>
      <c r="AK161" s="1">
        <f>VLOOKUP(A161,'SegEnds_NonXtal_Prot#'!A:AL,37,FALSE)-VLOOKUP(A161,'SegEnds_NonXtal_Prot#'!A:AL,34,FALSE)</f>
        <v>10</v>
      </c>
      <c r="AL161" s="1" t="str">
        <f>IF(ISERROR(MATCH(A161,'SegEnds_Xtal_Prot#'!B:B, 0)), "NoXtal", "Xtal")</f>
        <v>NoXtal</v>
      </c>
    </row>
    <row r="162" spans="1:38" x14ac:dyDescent="0.2">
      <c r="A162" s="1" t="s">
        <v>383</v>
      </c>
      <c r="B162" s="1" t="str">
        <f>VLOOKUP(A162,Xtal_Templ!A:B,2,FALSE)</f>
        <v>oprk_human</v>
      </c>
      <c r="C162" s="5">
        <f>VLOOKUP($B162&amp;"__wt",'SegEnds_Xtal_BW#'!$A:$Z,3,FALSE)</f>
        <v>30</v>
      </c>
      <c r="D162" s="1">
        <f>VLOOKUP($B162&amp;"__wt",'SegEnds_Xtal_BW#'!$A:$Z,4,FALSE)</f>
        <v>60</v>
      </c>
      <c r="E162" s="1">
        <f>VLOOKUP($B162&amp;"__wt",'SegEnds_Xtal_BW#'!$A:$Z,5,FALSE)</f>
        <v>48</v>
      </c>
      <c r="F162" s="1">
        <f>VLOOKUP($B162&amp;"__wt",'SegEnds_Xtal_BW#'!$A:$Z,6,FALSE)</f>
        <v>51</v>
      </c>
      <c r="G162" s="1">
        <v>37</v>
      </c>
      <c r="H162" s="12">
        <v>66</v>
      </c>
      <c r="I162" s="1">
        <f>VLOOKUP($B162&amp;"__wt",'SegEnds_Xtal_BW#'!$A:$Z,9,FALSE)</f>
        <v>49</v>
      </c>
      <c r="J162" s="1">
        <f>VLOOKUP($B162&amp;"__wt",'SegEnds_Xtal_BW#'!$A:$Z,10,FALSE)</f>
        <v>52</v>
      </c>
      <c r="K162" s="12">
        <v>21</v>
      </c>
      <c r="L162" s="1">
        <f>VLOOKUP($B162&amp;"__wt",'SegEnds_Xtal_BW#'!$A:$Z,12,FALSE)</f>
        <v>56</v>
      </c>
      <c r="M162" s="1">
        <f>VLOOKUP($B162&amp;"__wt",'SegEnds_Xtal_BW#'!$A:$Z,13,FALSE)</f>
        <v>50</v>
      </c>
      <c r="N162" s="12">
        <v>57</v>
      </c>
      <c r="O162" s="87">
        <v>38</v>
      </c>
      <c r="P162" s="1">
        <f>VLOOKUP($B162&amp;"__wt",'SegEnds_Xtal_BW#'!$A:$Z,16,FALSE)</f>
        <v>64</v>
      </c>
      <c r="Q162" s="1">
        <f>VLOOKUP($B162&amp;"__wt",'SegEnds_Xtal_BW#'!$A:$Z,17,FALSE)</f>
        <v>50</v>
      </c>
      <c r="R162" s="1">
        <f>VLOOKUP($B162&amp;"__wt",'SegEnds_Xtal_BW#'!$A:$Z,18,FALSE)</f>
        <v>52</v>
      </c>
      <c r="S162" s="1">
        <f>VLOOKUP($B162&amp;"__wt",'SegEnds_Xtal_BW#'!$A:$Z,19,FALSE)</f>
        <v>30</v>
      </c>
      <c r="T162" s="1">
        <f t="array" ref="T162">INDEX(ICL3_classA!$G$2:$G$39,MATCH(MIN(ABS(AI162-ICL3_classA!$F$2:$F$39)),ABS(AI162-ICL3_classA!$F$2:$F$39),0))</f>
        <v>68</v>
      </c>
      <c r="U162" s="1">
        <f t="array" ref="U162">INDEX(ICL3_classA!$H$2:$H$39,MATCH(MIN(ABS(AI162-ICL3_classA!$F$2:$F$39)),ABS(AI162-ICL3_classA!$F$2:$F$39),0))</f>
        <v>23</v>
      </c>
      <c r="V162" s="1">
        <v>61</v>
      </c>
      <c r="W162" s="1">
        <v>32</v>
      </c>
      <c r="X162" s="1">
        <f>VLOOKUP($B162&amp;"__wt",'SegEnds_Xtal_BW#'!$A:$Z,24,FALSE)</f>
        <v>56</v>
      </c>
      <c r="Y162" s="1">
        <f>VLOOKUP($B162&amp;"__wt",'SegEnds_Xtal_BW#'!$A:$Z,25,FALSE)</f>
        <v>47</v>
      </c>
      <c r="Z162" s="1">
        <f>VLOOKUP($B162&amp;"__wt",'SegEnds_Xtal_BW#'!$A:$Z,26,FALSE)</f>
        <v>59</v>
      </c>
      <c r="AA162" s="27" t="str">
        <f>VLOOKUP(A162,Classification!A:B,2,FALSE)</f>
        <v>A</v>
      </c>
      <c r="AB162" s="1">
        <f>VLOOKUP(A162,'SegEnds_NonXtal_Prot#'!A:AL,10,FALSE)-VLOOKUP(A162,'SegEnds_NonXtal_Prot#'!A:AL,4,FALSE)</f>
        <v>28</v>
      </c>
      <c r="AC162" s="1">
        <f>VLOOKUP(A162,'SegEnds_NonXtal_Prot#'!A:AL,10,FALSE)-VLOOKUP(A162,'SegEnds_NonXtal_Prot#'!A:AL,7,FALSE)</f>
        <v>15</v>
      </c>
      <c r="AD162" s="1">
        <f>VLOOKUP(A162,'SegEnds_NonXtal_Prot#'!A:AL,13,FALSE)-VLOOKUP(A162,'SegEnds_NonXtal_Prot#'!A:AL,10,FALSE)</f>
        <v>19</v>
      </c>
      <c r="AE162" s="1">
        <f>VLOOKUP(A162,'SegEnds_NonXtal_Prot#'!A:AL,16,FALSE)-VLOOKUP(A162,'SegEnds_NonXtal_Prot#'!A:AL,10,FALSE)</f>
        <v>51</v>
      </c>
      <c r="AF162" s="1">
        <f>VLOOKUP(A162,'SegEnds_NonXtal_Prot#'!A:AL,22,FALSE)-VLOOKUP(A162,'SegEnds_NonXtal_Prot#'!A:AL,19,FALSE)</f>
        <v>20</v>
      </c>
      <c r="AG162" s="1">
        <f>VLOOKUP(A162,'SegEnds_NonXtal_Prot#'!A:AL,28,FALSE)-VLOOKUP(A162,'SegEnds_NonXtal_Prot#'!A:AL,25,FALSE)</f>
        <v>25</v>
      </c>
      <c r="AH162" s="1">
        <f>VLOOKUP(A162,'SegEnds_NonXtal_Prot#'!A:AL,28,FALSE)-VLOOKUP(A162,'SegEnds_NonXtal_Prot#'!A:AL,22,FALSE)</f>
        <v>52</v>
      </c>
      <c r="AI162" s="1">
        <f>VLOOKUP(A162,'SegEnds_NonXtal_Prot#'!A:AL,31,FALSE)-VLOOKUP(A162,'SegEnds_NonXtal_Prot#'!A:AL,28,FALSE)</f>
        <v>51</v>
      </c>
      <c r="AJ162" s="1">
        <f>VLOOKUP(A162,'SegEnds_NonXtal_Prot#'!A:AL,34,FALSE)-VLOOKUP(A162,'SegEnds_NonXtal_Prot#'!A:AL,31,FALSE)</f>
        <v>34</v>
      </c>
      <c r="AK162" s="1">
        <f>VLOOKUP(A162,'SegEnds_NonXtal_Prot#'!A:AL,37,FALSE)-VLOOKUP(A162,'SegEnds_NonXtal_Prot#'!A:AL,34,FALSE)</f>
        <v>10</v>
      </c>
      <c r="AL162" s="1" t="str">
        <f>IF(ISERROR(MATCH(A162,'SegEnds_Xtal_Prot#'!B:B, 0)), "NoXtal", "Xtal")</f>
        <v>NoXtal</v>
      </c>
    </row>
    <row r="163" spans="1:38" x14ac:dyDescent="0.2">
      <c r="A163" s="1" t="s">
        <v>385</v>
      </c>
      <c r="B163" s="1" t="str">
        <f>VLOOKUP(A163,Xtal_Templ!A:B,2,FALSE)</f>
        <v>sucr1_rat</v>
      </c>
      <c r="C163" s="5">
        <f>VLOOKUP($B163&amp;"__wt",'SegEnds_Xtal_BW#'!$A:$Z,3,FALSE)</f>
        <v>20</v>
      </c>
      <c r="D163" s="1">
        <f>VLOOKUP($B163&amp;"__wt",'SegEnds_Xtal_BW#'!$A:$Z,4,FALSE)</f>
        <v>61</v>
      </c>
      <c r="E163" s="1" t="str">
        <f>VLOOKUP($B163&amp;"__wt",'SegEnds_Xtal_BW#'!$A:$Z,5,FALSE)</f>
        <v>-</v>
      </c>
      <c r="F163" s="1" t="str">
        <f>VLOOKUP($B163&amp;"__wt",'SegEnds_Xtal_BW#'!$A:$Z,6,FALSE)</f>
        <v>-</v>
      </c>
      <c r="G163" s="1">
        <v>37</v>
      </c>
      <c r="H163" s="12">
        <v>66</v>
      </c>
      <c r="I163" s="1">
        <f>VLOOKUP($B163&amp;"__wt",'SegEnds_Xtal_BW#'!$A:$Z,9,FALSE)</f>
        <v>49</v>
      </c>
      <c r="J163" s="1">
        <f>VLOOKUP($B163&amp;"__wt",'SegEnds_Xtal_BW#'!$A:$Z,10,FALSE)</f>
        <v>52</v>
      </c>
      <c r="K163" s="12">
        <v>21</v>
      </c>
      <c r="L163" s="1">
        <f>VLOOKUP($B163&amp;"__wt",'SegEnds_Xtal_BW#'!$A:$Z,12,FALSE)</f>
        <v>56</v>
      </c>
      <c r="M163" s="1">
        <f>VLOOKUP($B163&amp;"__wt",'SegEnds_Xtal_BW#'!$A:$Z,13,FALSE)</f>
        <v>50</v>
      </c>
      <c r="N163" s="12">
        <v>57</v>
      </c>
      <c r="O163" s="87">
        <f>VLOOKUP($B163&amp;"__wt",'SegEnds_Xtal_BW#'!$A:$Z,15,FALSE)</f>
        <v>38</v>
      </c>
      <c r="P163" s="1">
        <f>VLOOKUP($B163&amp;"__wt",'SegEnds_Xtal_BW#'!$A:$Z,16,FALSE)</f>
        <v>67</v>
      </c>
      <c r="Q163" s="1">
        <f>VLOOKUP($B163&amp;"__wt",'SegEnds_Xtal_BW#'!$A:$Z,17,FALSE)</f>
        <v>50</v>
      </c>
      <c r="R163" s="1">
        <f>VLOOKUP($B163&amp;"__wt",'SegEnds_Xtal_BW#'!$A:$Z,18,FALSE)</f>
        <v>52</v>
      </c>
      <c r="S163" s="1">
        <f>VLOOKUP($B163&amp;"__wt",'SegEnds_Xtal_BW#'!$A:$Z,19,FALSE)</f>
        <v>31</v>
      </c>
      <c r="T163" s="1">
        <f t="array" ref="T163">INDEX(ICL3_classA!$G$2:$G$39,MATCH(MIN(ABS(AI163-ICL3_classA!$F$2:$F$39)),ABS(AI163-ICL3_classA!$F$2:$F$39),0))</f>
        <v>68</v>
      </c>
      <c r="U163" s="1">
        <f t="array" ref="U163">INDEX(ICL3_classA!$H$2:$H$39,MATCH(MIN(ABS(AI163-ICL3_classA!$F$2:$F$39)),ABS(AI163-ICL3_classA!$F$2:$F$39),0))</f>
        <v>24</v>
      </c>
      <c r="V163" s="1">
        <v>64</v>
      </c>
      <c r="W163" s="1">
        <v>24</v>
      </c>
      <c r="X163" s="124">
        <f>VLOOKUP($B163&amp;"__wt",'SegEnds_Xtal_BW#'!$A:$Z,24,FALSE)</f>
        <v>56</v>
      </c>
      <c r="Y163" s="1">
        <f>VLOOKUP($B163&amp;"__wt",'SegEnds_Xtal_BW#'!$A:$Z,25,FALSE)</f>
        <v>47</v>
      </c>
      <c r="Z163" s="1">
        <f>VLOOKUP($B163&amp;"__wt",'SegEnds_Xtal_BW#'!$A:$Z,26,FALSE)</f>
        <v>65</v>
      </c>
      <c r="AA163" s="27" t="str">
        <f>VLOOKUP(A163,Classification!A:B,2,FALSE)</f>
        <v>A</v>
      </c>
      <c r="AB163" s="1">
        <f>VLOOKUP(A163,'SegEnds_NonXtal_Prot#'!A:AL,10,FALSE)-VLOOKUP(A163,'SegEnds_NonXtal_Prot#'!A:AL,4,FALSE)</f>
        <v>28</v>
      </c>
      <c r="AC163" s="1" t="e">
        <f>VLOOKUP(A163,'SegEnds_NonXtal_Prot#'!A:AL,10,FALSE)-VLOOKUP(A163,'SegEnds_NonXtal_Prot#'!A:AL,7,FALSE)</f>
        <v>#VALUE!</v>
      </c>
      <c r="AD163" s="1">
        <f>VLOOKUP(A163,'SegEnds_NonXtal_Prot#'!A:AL,13,FALSE)-VLOOKUP(A163,'SegEnds_NonXtal_Prot#'!A:AL,10,FALSE)</f>
        <v>19</v>
      </c>
      <c r="AE163" s="1">
        <f>VLOOKUP(A163,'SegEnds_NonXtal_Prot#'!A:AL,16,FALSE)-VLOOKUP(A163,'SegEnds_NonXtal_Prot#'!A:AL,10,FALSE)</f>
        <v>51</v>
      </c>
      <c r="AF163" s="1">
        <f>VLOOKUP(A163,'SegEnds_NonXtal_Prot#'!A:AL,22,FALSE)-VLOOKUP(A163,'SegEnds_NonXtal_Prot#'!A:AL,19,FALSE)</f>
        <v>20</v>
      </c>
      <c r="AG163" s="1">
        <f>VLOOKUP(A163,'SegEnds_NonXtal_Prot#'!A:AL,28,FALSE)-VLOOKUP(A163,'SegEnds_NonXtal_Prot#'!A:AL,25,FALSE)</f>
        <v>27</v>
      </c>
      <c r="AH163" s="1">
        <f>VLOOKUP(A163,'SegEnds_NonXtal_Prot#'!A:AL,28,FALSE)-VLOOKUP(A163,'SegEnds_NonXtal_Prot#'!A:AL,22,FALSE)</f>
        <v>52</v>
      </c>
      <c r="AI163" s="1">
        <f>VLOOKUP(A163,'SegEnds_NonXtal_Prot#'!A:AL,31,FALSE)-VLOOKUP(A163,'SegEnds_NonXtal_Prot#'!A:AL,28,FALSE)</f>
        <v>48</v>
      </c>
      <c r="AJ163" s="1">
        <f>VLOOKUP(A163,'SegEnds_NonXtal_Prot#'!A:AL,34,FALSE)-VLOOKUP(A163,'SegEnds_NonXtal_Prot#'!A:AL,31,FALSE)</f>
        <v>45</v>
      </c>
      <c r="AK163" s="1">
        <f>VLOOKUP(A163,'SegEnds_NonXtal_Prot#'!A:AL,37,FALSE)-VLOOKUP(A163,'SegEnds_NonXtal_Prot#'!A:AL,34,FALSE)</f>
        <v>10</v>
      </c>
      <c r="AL163" s="1" t="str">
        <f>IF(ISERROR(MATCH(A163,'SegEnds_Xtal_Prot#'!B:B, 0)), "NoXtal", "Xtal")</f>
        <v>NoXtal</v>
      </c>
    </row>
    <row r="164" spans="1:38" x14ac:dyDescent="0.2">
      <c r="A164" s="4" t="s">
        <v>1591</v>
      </c>
      <c r="B164" s="4" t="str">
        <f>VLOOKUP(A164,Xtal_Templ!A:B,2,FALSE)</f>
        <v>sucr1_rat</v>
      </c>
      <c r="C164" s="5">
        <f>VLOOKUP($B164&amp;"__wt",'SegEnds_Xtal_BW#'!$A:$Z,3,FALSE)</f>
        <v>20</v>
      </c>
      <c r="D164" s="4">
        <f>VLOOKUP($B164&amp;"__wt",'SegEnds_Xtal_BW#'!$A:$Z,4,FALSE)</f>
        <v>61</v>
      </c>
      <c r="E164" s="4" t="str">
        <f>VLOOKUP($B164&amp;"__wt",'SegEnds_Xtal_BW#'!$A:$Z,5,FALSE)</f>
        <v>-</v>
      </c>
      <c r="F164" s="4" t="str">
        <f>VLOOKUP($B164&amp;"__wt",'SegEnds_Xtal_BW#'!$A:$Z,6,FALSE)</f>
        <v>-</v>
      </c>
      <c r="G164" s="4">
        <v>37</v>
      </c>
      <c r="H164" s="11">
        <f>VLOOKUP($B164&amp;"__wt",'SegEnds_Xtal_BW#'!$A:$Z,8,FALSE)</f>
        <v>67</v>
      </c>
      <c r="I164" s="4">
        <f>VLOOKUP($B164&amp;"__wt",'SegEnds_Xtal_BW#'!$A:$Z,9,FALSE)</f>
        <v>49</v>
      </c>
      <c r="J164" s="4">
        <f>VLOOKUP($B164&amp;"__wt",'SegEnds_Xtal_BW#'!$A:$Z,10,FALSE)</f>
        <v>52</v>
      </c>
      <c r="K164" s="11">
        <v>21</v>
      </c>
      <c r="L164" s="4">
        <f>VLOOKUP($B164&amp;"__wt",'SegEnds_Xtal_BW#'!$A:$Z,12,FALSE)</f>
        <v>56</v>
      </c>
      <c r="M164" s="4">
        <f>VLOOKUP($B164&amp;"__wt",'SegEnds_Xtal_BW#'!$A:$Z,13,FALSE)</f>
        <v>50</v>
      </c>
      <c r="N164" s="12">
        <f>VLOOKUP($B164&amp;"__wt",'SegEnds_Xtal_BW#'!$A:$Z,14,FALSE)</f>
        <v>57</v>
      </c>
      <c r="O164" s="87">
        <f>VLOOKUP($B164&amp;"__wt",'SegEnds_Xtal_BW#'!$A:$Z,15,FALSE)</f>
        <v>38</v>
      </c>
      <c r="P164" s="115">
        <f>VLOOKUP($B164&amp;"__wt",'SegEnds_Xtal_BW#'!$A:$Z,16,FALSE)</f>
        <v>67</v>
      </c>
      <c r="Q164" s="4">
        <f>VLOOKUP($B164&amp;"__wt",'SegEnds_Xtal_BW#'!$A:$Z,17,FALSE)</f>
        <v>50</v>
      </c>
      <c r="R164" s="4">
        <f>VLOOKUP($B164&amp;"__wt",'SegEnds_Xtal_BW#'!$A:$Z,18,FALSE)</f>
        <v>52</v>
      </c>
      <c r="S164" s="1">
        <f>VLOOKUP($B164&amp;"__wt",'SegEnds_Xtal_BW#'!$A:$Z,19,FALSE)</f>
        <v>31</v>
      </c>
      <c r="T164" s="4">
        <f t="array" ref="T164">INDEX(ICL3_classA!$G$2:$G$39,MATCH(MIN(ABS(AI164-ICL3_classA!$F$2:$F$39)),ABS(AI164-ICL3_classA!$F$2:$F$39),0))</f>
        <v>68</v>
      </c>
      <c r="U164" s="4">
        <f t="array" ref="U164">INDEX(ICL3_classA!$H$2:$H$39,MATCH(MIN(ABS(AI164-ICL3_classA!$F$2:$F$39)),ABS(AI164-ICL3_classA!$F$2:$F$39),0))</f>
        <v>24</v>
      </c>
      <c r="V164" s="115">
        <v>63</v>
      </c>
      <c r="W164" s="115">
        <v>26</v>
      </c>
      <c r="X164" s="4">
        <f>VLOOKUP($B164&amp;"__wt",'SegEnds_Xtal_BW#'!$A:$Z,24,FALSE)</f>
        <v>56</v>
      </c>
      <c r="Y164" s="4">
        <f>VLOOKUP($B164&amp;"__wt",'SegEnds_Xtal_BW#'!$A:$Z,25,FALSE)</f>
        <v>47</v>
      </c>
      <c r="Z164" s="4">
        <f>VLOOKUP($B164&amp;"__wt",'SegEnds_Xtal_BW#'!$A:$Z,26,FALSE)</f>
        <v>65</v>
      </c>
      <c r="AA164" s="27" t="str">
        <f>VLOOKUP(A164,Classification!A:B,2,FALSE)</f>
        <v>A</v>
      </c>
      <c r="AB164" s="1">
        <f>VLOOKUP(A164,'SegEnds_NonXtal_Prot#'!A:AL,10,FALSE)-VLOOKUP(A164,'SegEnds_NonXtal_Prot#'!A:AL,4,FALSE)</f>
        <v>28</v>
      </c>
      <c r="AC164" s="4" t="e">
        <f>VLOOKUP(A164,'SegEnds_NonXtal_Prot#'!A:AL,10,FALSE)-VLOOKUP(A164,'SegEnds_NonXtal_Prot#'!A:AL,7,FALSE)</f>
        <v>#VALUE!</v>
      </c>
      <c r="AD164" s="4">
        <f>VLOOKUP(A164,'SegEnds_NonXtal_Prot#'!A:AL,13,FALSE)-VLOOKUP(A164,'SegEnds_NonXtal_Prot#'!A:AL,10,FALSE)</f>
        <v>19</v>
      </c>
      <c r="AE164" s="4">
        <f>VLOOKUP(A164,'SegEnds_NonXtal_Prot#'!A:AL,16,FALSE)-VLOOKUP(A164,'SegEnds_NonXtal_Prot#'!A:AL,10,FALSE)</f>
        <v>51</v>
      </c>
      <c r="AF164" s="1">
        <f>VLOOKUP(A164,'SegEnds_NonXtal_Prot#'!A:AL,22,FALSE)-VLOOKUP(A164,'SegEnds_NonXtal_Prot#'!A:AL,19,FALSE)</f>
        <v>20</v>
      </c>
      <c r="AG164" s="4">
        <f>VLOOKUP(A164,'SegEnds_NonXtal_Prot#'!A:AL,28,FALSE)-VLOOKUP(A164,'SegEnds_NonXtal_Prot#'!A:AL,25,FALSE)</f>
        <v>27</v>
      </c>
      <c r="AH164" s="1">
        <f>VLOOKUP(A164,'SegEnds_NonXtal_Prot#'!A:AL,28,FALSE)-VLOOKUP(A164,'SegEnds_NonXtal_Prot#'!A:AL,22,FALSE)</f>
        <v>52</v>
      </c>
      <c r="AI164" s="4">
        <f>VLOOKUP(A164,'SegEnds_NonXtal_Prot#'!A:AL,31,FALSE)-VLOOKUP(A164,'SegEnds_NonXtal_Prot#'!A:AL,28,FALSE)</f>
        <v>48</v>
      </c>
      <c r="AJ164" s="4">
        <f>VLOOKUP(A164,'SegEnds_NonXtal_Prot#'!A:AL,34,FALSE)-VLOOKUP(A164,'SegEnds_NonXtal_Prot#'!A:AL,31,FALSE)</f>
        <v>44</v>
      </c>
      <c r="AK164" s="1">
        <f>VLOOKUP(A164,'SegEnds_NonXtal_Prot#'!A:AL,37,FALSE)-VLOOKUP(A164,'SegEnds_NonXtal_Prot#'!A:AL,34,FALSE)</f>
        <v>10</v>
      </c>
      <c r="AL164" s="1" t="str">
        <f>IF(ISERROR(MATCH(A164,'SegEnds_Xtal_Prot#'!B:B, 0)), "NoXtal", "Xtal")</f>
        <v>Xtal</v>
      </c>
    </row>
    <row r="165" spans="1:38" x14ac:dyDescent="0.2">
      <c r="A165" s="1" t="s">
        <v>389</v>
      </c>
      <c r="B165" s="1" t="str">
        <f>VLOOKUP(A165,Xtal_Templ!A:B,2,FALSE)</f>
        <v>5ht1b_human</v>
      </c>
      <c r="C165" s="5">
        <f>VLOOKUP($B165&amp;"__wt",'SegEnds_Xtal_BW#'!$A:$Z,3,FALSE)</f>
        <v>28</v>
      </c>
      <c r="D165" s="1">
        <f>VLOOKUP($B165&amp;"__wt",'SegEnds_Xtal_BW#'!$A:$Z,4,FALSE)</f>
        <v>60</v>
      </c>
      <c r="E165" s="1">
        <f>VLOOKUP($B165&amp;"__wt",'SegEnds_Xtal_BW#'!$A:$Z,5,FALSE)</f>
        <v>48</v>
      </c>
      <c r="F165" s="1">
        <f>VLOOKUP($B165&amp;"__wt",'SegEnds_Xtal_BW#'!$A:$Z,6,FALSE)</f>
        <v>51</v>
      </c>
      <c r="G165" s="1">
        <v>37</v>
      </c>
      <c r="H165" s="12">
        <f>VLOOKUP($B165&amp;"__wt",'SegEnds_Xtal_BW#'!$A:$Z,8,FALSE)</f>
        <v>68</v>
      </c>
      <c r="I165" s="1">
        <f>VLOOKUP($B165&amp;"__wt",'SegEnds_Xtal_BW#'!$A:$Z,9,FALSE)</f>
        <v>49</v>
      </c>
      <c r="J165" s="1">
        <f>VLOOKUP($B165&amp;"__wt",'SegEnds_Xtal_BW#'!$A:$Z,10,FALSE)</f>
        <v>52</v>
      </c>
      <c r="K165" s="12">
        <v>18</v>
      </c>
      <c r="L165" s="1">
        <f>VLOOKUP($B165&amp;"__wt",'SegEnds_Xtal_BW#'!$A:$Z,12,FALSE)</f>
        <v>56</v>
      </c>
      <c r="M165" s="1">
        <f>VLOOKUP($B165&amp;"__wt",'SegEnds_Xtal_BW#'!$A:$Z,13,FALSE)</f>
        <v>50</v>
      </c>
      <c r="N165" s="12">
        <v>57</v>
      </c>
      <c r="O165" s="87">
        <v>38</v>
      </c>
      <c r="P165" s="1">
        <f>VLOOKUP($B165&amp;"__wt",'SegEnds_Xtal_BW#'!$A:$Z,16,FALSE)</f>
        <v>63</v>
      </c>
      <c r="Q165" s="1">
        <f>VLOOKUP($B165&amp;"__wt",'SegEnds_Xtal_BW#'!$A:$Z,17,FALSE)</f>
        <v>50</v>
      </c>
      <c r="R165" s="1">
        <f>VLOOKUP($B165&amp;"__wt",'SegEnds_Xtal_BW#'!$A:$Z,18,FALSE)</f>
        <v>52</v>
      </c>
      <c r="S165" s="1">
        <v>35</v>
      </c>
      <c r="T165" s="1">
        <f t="array" ref="T165">INDEX(ICL3_classA!$G$2:$G$39,MATCH(MIN(ABS(AI165-ICL3_classA!$F$2:$F$39)),ABS(AI165-ICL3_classA!$F$2:$F$39),0))</f>
        <v>73</v>
      </c>
      <c r="U165" s="1">
        <f t="array" ref="U165">INDEX(ICL3_classA!$H$2:$H$39,MATCH(MIN(ABS(AI165-ICL3_classA!$F$2:$F$39)),ABS(AI165-ICL3_classA!$F$2:$F$39),0))</f>
        <v>22</v>
      </c>
      <c r="V165" s="1">
        <v>61</v>
      </c>
      <c r="W165" s="1">
        <v>31</v>
      </c>
      <c r="X165" s="1">
        <f>VLOOKUP($B165&amp;"__wt",'SegEnds_Xtal_BW#'!$A:$Z,24,FALSE)</f>
        <v>56</v>
      </c>
      <c r="Y165" s="1">
        <f>VLOOKUP($B165&amp;"__wt",'SegEnds_Xtal_BW#'!$A:$Z,25,FALSE)</f>
        <v>47</v>
      </c>
      <c r="Z165" s="1">
        <f>VLOOKUP($B165&amp;"__wt",'SegEnds_Xtal_BW#'!$A:$Z,26,FALSE)</f>
        <v>58</v>
      </c>
      <c r="AA165" s="27" t="str">
        <f>VLOOKUP(A165,Classification!A:B,2,FALSE)</f>
        <v>A</v>
      </c>
      <c r="AB165" s="1">
        <f>VLOOKUP(A165,'SegEnds_NonXtal_Prot#'!A:AL,10,FALSE)-VLOOKUP(A165,'SegEnds_NonXtal_Prot#'!A:AL,4,FALSE)</f>
        <v>28</v>
      </c>
      <c r="AC165" s="1">
        <f>VLOOKUP(A165,'SegEnds_NonXtal_Prot#'!A:AL,10,FALSE)-VLOOKUP(A165,'SegEnds_NonXtal_Prot#'!A:AL,7,FALSE)</f>
        <v>15</v>
      </c>
      <c r="AD165" s="1">
        <f>VLOOKUP(A165,'SegEnds_NonXtal_Prot#'!A:AL,13,FALSE)-VLOOKUP(A165,'SegEnds_NonXtal_Prot#'!A:AL,10,FALSE)</f>
        <v>20</v>
      </c>
      <c r="AE165" s="1">
        <f>VLOOKUP(A165,'SegEnds_NonXtal_Prot#'!A:AL,16,FALSE)-VLOOKUP(A165,'SegEnds_NonXtal_Prot#'!A:AL,10,FALSE)</f>
        <v>52</v>
      </c>
      <c r="AF165" s="1">
        <f>VLOOKUP(A165,'SegEnds_NonXtal_Prot#'!A:AL,22,FALSE)-VLOOKUP(A165,'SegEnds_NonXtal_Prot#'!A:AL,19,FALSE)</f>
        <v>20</v>
      </c>
      <c r="AG165" s="1">
        <f>VLOOKUP(A165,'SegEnds_NonXtal_Prot#'!A:AL,28,FALSE)-VLOOKUP(A165,'SegEnds_NonXtal_Prot#'!A:AL,25,FALSE)</f>
        <v>19</v>
      </c>
      <c r="AH165" s="1">
        <f>VLOOKUP(A165,'SegEnds_NonXtal_Prot#'!A:AL,28,FALSE)-VLOOKUP(A165,'SegEnds_NonXtal_Prot#'!A:AL,22,FALSE)</f>
        <v>52</v>
      </c>
      <c r="AI165" s="1">
        <f>VLOOKUP(A165,'SegEnds_NonXtal_Prot#'!A:AL,31,FALSE)-VLOOKUP(A165,'SegEnds_NonXtal_Prot#'!A:AL,28,FALSE)</f>
        <v>56</v>
      </c>
      <c r="AJ165" s="1">
        <f>VLOOKUP(A165,'SegEnds_NonXtal_Prot#'!A:AL,34,FALSE)-VLOOKUP(A165,'SegEnds_NonXtal_Prot#'!A:AL,31,FALSE)</f>
        <v>35</v>
      </c>
      <c r="AK165" s="1">
        <f>VLOOKUP(A165,'SegEnds_NonXtal_Prot#'!A:AL,37,FALSE)-VLOOKUP(A165,'SegEnds_NonXtal_Prot#'!A:AL,34,FALSE)</f>
        <v>10</v>
      </c>
      <c r="AL165" s="1" t="str">
        <f>IF(ISERROR(MATCH(A165,'SegEnds_Xtal_Prot#'!B:B, 0)), "NoXtal", "Xtal")</f>
        <v>NoXtal</v>
      </c>
    </row>
    <row r="166" spans="1:38" x14ac:dyDescent="0.2">
      <c r="A166" s="1" t="s">
        <v>390</v>
      </c>
      <c r="B166" s="1" t="str">
        <f>VLOOKUP(A166,Xtal_Templ!A:B,2,FALSE)</f>
        <v>5ht1b_human</v>
      </c>
      <c r="C166" s="5">
        <f>VLOOKUP($B166&amp;"__wt",'SegEnds_Xtal_BW#'!$A:$Z,3,FALSE)</f>
        <v>28</v>
      </c>
      <c r="D166" s="1">
        <f>VLOOKUP($B166&amp;"__wt",'SegEnds_Xtal_BW#'!$A:$Z,4,FALSE)</f>
        <v>60</v>
      </c>
      <c r="E166" s="1">
        <f>VLOOKUP($B166&amp;"__wt",'SegEnds_Xtal_BW#'!$A:$Z,5,FALSE)</f>
        <v>48</v>
      </c>
      <c r="F166" s="1">
        <f>VLOOKUP($B166&amp;"__wt",'SegEnds_Xtal_BW#'!$A:$Z,6,FALSE)</f>
        <v>51</v>
      </c>
      <c r="G166" s="1">
        <v>37</v>
      </c>
      <c r="H166" s="12">
        <f>VLOOKUP($B166&amp;"__wt",'SegEnds_Xtal_BW#'!$A:$Z,8,FALSE)</f>
        <v>68</v>
      </c>
      <c r="I166" s="1">
        <f>VLOOKUP($B166&amp;"__wt",'SegEnds_Xtal_BW#'!$A:$Z,9,FALSE)</f>
        <v>49</v>
      </c>
      <c r="J166" s="1">
        <f>VLOOKUP($B166&amp;"__wt",'SegEnds_Xtal_BW#'!$A:$Z,10,FALSE)</f>
        <v>52</v>
      </c>
      <c r="K166" s="12">
        <v>18</v>
      </c>
      <c r="L166" s="1">
        <f>VLOOKUP($B166&amp;"__wt",'SegEnds_Xtal_BW#'!$A:$Z,12,FALSE)</f>
        <v>56</v>
      </c>
      <c r="M166" s="1">
        <f>VLOOKUP($B166&amp;"__wt",'SegEnds_Xtal_BW#'!$A:$Z,13,FALSE)</f>
        <v>50</v>
      </c>
      <c r="N166" s="12">
        <v>57</v>
      </c>
      <c r="O166" s="87">
        <v>38</v>
      </c>
      <c r="P166" s="1">
        <f>VLOOKUP($B166&amp;"__wt",'SegEnds_Xtal_BW#'!$A:$Z,16,FALSE)</f>
        <v>63</v>
      </c>
      <c r="Q166" s="1">
        <f>VLOOKUP($B166&amp;"__wt",'SegEnds_Xtal_BW#'!$A:$Z,17,FALSE)</f>
        <v>50</v>
      </c>
      <c r="R166" s="1">
        <f>VLOOKUP($B166&amp;"__wt",'SegEnds_Xtal_BW#'!$A:$Z,18,FALSE)</f>
        <v>52</v>
      </c>
      <c r="S166" s="1">
        <v>35</v>
      </c>
      <c r="T166" s="1">
        <f t="array" ref="T166">INDEX(ICL3_classA!$G$2:$G$39,MATCH(MIN(ABS(AI166-ICL3_classA!$F$2:$F$39)),ABS(AI166-ICL3_classA!$F$2:$F$39),0))</f>
        <v>74</v>
      </c>
      <c r="U166" s="1">
        <f t="array" ref="U166">INDEX(ICL3_classA!$H$2:$H$39,MATCH(MIN(ABS(AI166-ICL3_classA!$F$2:$F$39)),ABS(AI166-ICL3_classA!$F$2:$F$39),0))</f>
        <v>21</v>
      </c>
      <c r="V166" s="1">
        <v>61</v>
      </c>
      <c r="W166" s="1">
        <v>31</v>
      </c>
      <c r="X166" s="1">
        <f>VLOOKUP($B166&amp;"__wt",'SegEnds_Xtal_BW#'!$A:$Z,24,FALSE)</f>
        <v>56</v>
      </c>
      <c r="Y166" s="1">
        <f>VLOOKUP($B166&amp;"__wt",'SegEnds_Xtal_BW#'!$A:$Z,25,FALSE)</f>
        <v>47</v>
      </c>
      <c r="Z166" s="1">
        <f>VLOOKUP($B166&amp;"__wt",'SegEnds_Xtal_BW#'!$A:$Z,26,FALSE)</f>
        <v>58</v>
      </c>
      <c r="AA166" s="27" t="str">
        <f>VLOOKUP(A166,Classification!A:B,2,FALSE)</f>
        <v>A</v>
      </c>
      <c r="AB166" s="1">
        <f>VLOOKUP(A166,'SegEnds_NonXtal_Prot#'!A:AL,10,FALSE)-VLOOKUP(A166,'SegEnds_NonXtal_Prot#'!A:AL,4,FALSE)</f>
        <v>28</v>
      </c>
      <c r="AC166" s="1">
        <f>VLOOKUP(A166,'SegEnds_NonXtal_Prot#'!A:AL,10,FALSE)-VLOOKUP(A166,'SegEnds_NonXtal_Prot#'!A:AL,7,FALSE)</f>
        <v>15</v>
      </c>
      <c r="AD166" s="1">
        <f>VLOOKUP(A166,'SegEnds_NonXtal_Prot#'!A:AL,13,FALSE)-VLOOKUP(A166,'SegEnds_NonXtal_Prot#'!A:AL,10,FALSE)</f>
        <v>20</v>
      </c>
      <c r="AE166" s="1">
        <f>VLOOKUP(A166,'SegEnds_NonXtal_Prot#'!A:AL,16,FALSE)-VLOOKUP(A166,'SegEnds_NonXtal_Prot#'!A:AL,10,FALSE)</f>
        <v>52</v>
      </c>
      <c r="AF166" s="1">
        <f>VLOOKUP(A166,'SegEnds_NonXtal_Prot#'!A:AL,22,FALSE)-VLOOKUP(A166,'SegEnds_NonXtal_Prot#'!A:AL,19,FALSE)</f>
        <v>20</v>
      </c>
      <c r="AG166" s="1">
        <f>VLOOKUP(A166,'SegEnds_NonXtal_Prot#'!A:AL,28,FALSE)-VLOOKUP(A166,'SegEnds_NonXtal_Prot#'!A:AL,25,FALSE)</f>
        <v>19</v>
      </c>
      <c r="AH166" s="1">
        <f>VLOOKUP(A166,'SegEnds_NonXtal_Prot#'!A:AL,28,FALSE)-VLOOKUP(A166,'SegEnds_NonXtal_Prot#'!A:AL,22,FALSE)</f>
        <v>52</v>
      </c>
      <c r="AI166" s="1">
        <f>VLOOKUP(A166,'SegEnds_NonXtal_Prot#'!A:AL,31,FALSE)-VLOOKUP(A166,'SegEnds_NonXtal_Prot#'!A:AL,28,FALSE)</f>
        <v>64</v>
      </c>
      <c r="AJ166" s="1">
        <f>VLOOKUP(A166,'SegEnds_NonXtal_Prot#'!A:AL,34,FALSE)-VLOOKUP(A166,'SegEnds_NonXtal_Prot#'!A:AL,31,FALSE)</f>
        <v>35</v>
      </c>
      <c r="AK166" s="1">
        <f>VLOOKUP(A166,'SegEnds_NonXtal_Prot#'!A:AL,37,FALSE)-VLOOKUP(A166,'SegEnds_NonXtal_Prot#'!A:AL,34,FALSE)</f>
        <v>10</v>
      </c>
      <c r="AL166" s="1" t="str">
        <f>IF(ISERROR(MATCH(A166,'SegEnds_Xtal_Prot#'!B:B, 0)), "NoXtal", "Xtal")</f>
        <v>NoXtal</v>
      </c>
    </row>
    <row r="167" spans="1:38" x14ac:dyDescent="0.2">
      <c r="A167" s="1" t="s">
        <v>391</v>
      </c>
      <c r="B167" s="1" t="str">
        <f>VLOOKUP(A167,Xtal_Templ!A:B,2,FALSE)</f>
        <v>5ht1b_human</v>
      </c>
      <c r="C167" s="5">
        <f>VLOOKUP($B167&amp;"__wt",'SegEnds_Xtal_BW#'!$A:$Z,3,FALSE)</f>
        <v>28</v>
      </c>
      <c r="D167" s="1">
        <f>VLOOKUP($B167&amp;"__wt",'SegEnds_Xtal_BW#'!$A:$Z,4,FALSE)</f>
        <v>60</v>
      </c>
      <c r="E167" s="1">
        <f>VLOOKUP($B167&amp;"__wt",'SegEnds_Xtal_BW#'!$A:$Z,5,FALSE)</f>
        <v>48</v>
      </c>
      <c r="F167" s="1">
        <f>VLOOKUP($B167&amp;"__wt",'SegEnds_Xtal_BW#'!$A:$Z,6,FALSE)</f>
        <v>51</v>
      </c>
      <c r="G167" s="1">
        <v>37</v>
      </c>
      <c r="H167" s="12">
        <f>VLOOKUP($B167&amp;"__wt",'SegEnds_Xtal_BW#'!$A:$Z,8,FALSE)</f>
        <v>68</v>
      </c>
      <c r="I167" s="1">
        <f>VLOOKUP($B167&amp;"__wt",'SegEnds_Xtal_BW#'!$A:$Z,9,FALSE)</f>
        <v>49</v>
      </c>
      <c r="J167" s="1">
        <f>VLOOKUP($B167&amp;"__wt",'SegEnds_Xtal_BW#'!$A:$Z,10,FALSE)</f>
        <v>52</v>
      </c>
      <c r="K167" s="12">
        <v>18</v>
      </c>
      <c r="L167" s="1">
        <f>VLOOKUP($B167&amp;"__wt",'SegEnds_Xtal_BW#'!$A:$Z,12,FALSE)</f>
        <v>56</v>
      </c>
      <c r="M167" s="1">
        <f>VLOOKUP($B167&amp;"__wt",'SegEnds_Xtal_BW#'!$A:$Z,13,FALSE)</f>
        <v>50</v>
      </c>
      <c r="N167" s="12">
        <v>57</v>
      </c>
      <c r="O167" s="87">
        <v>38</v>
      </c>
      <c r="P167" s="1">
        <f>VLOOKUP($B167&amp;"__wt",'SegEnds_Xtal_BW#'!$A:$Z,16,FALSE)</f>
        <v>63</v>
      </c>
      <c r="Q167" s="1">
        <f>VLOOKUP($B167&amp;"__wt",'SegEnds_Xtal_BW#'!$A:$Z,17,FALSE)</f>
        <v>50</v>
      </c>
      <c r="R167" s="1">
        <f>VLOOKUP($B167&amp;"__wt",'SegEnds_Xtal_BW#'!$A:$Z,18,FALSE)</f>
        <v>52</v>
      </c>
      <c r="S167" s="1">
        <v>35</v>
      </c>
      <c r="T167" s="1">
        <f t="array" ref="T167">INDEX(ICL3_classA!$G$2:$G$39,MATCH(MIN(ABS(AI167-ICL3_classA!$F$2:$F$39)),ABS(AI167-ICL3_classA!$F$2:$F$39),0))</f>
        <v>74</v>
      </c>
      <c r="U167" s="1">
        <f t="array" ref="U167">INDEX(ICL3_classA!$H$2:$H$39,MATCH(MIN(ABS(AI167-ICL3_classA!$F$2:$F$39)),ABS(AI167-ICL3_classA!$F$2:$F$39),0))</f>
        <v>21</v>
      </c>
      <c r="V167" s="1">
        <v>61</v>
      </c>
      <c r="W167" s="1">
        <v>31</v>
      </c>
      <c r="X167" s="1">
        <f>VLOOKUP($B167&amp;"__wt",'SegEnds_Xtal_BW#'!$A:$Z,24,FALSE)</f>
        <v>56</v>
      </c>
      <c r="Y167" s="1">
        <f>VLOOKUP($B167&amp;"__wt",'SegEnds_Xtal_BW#'!$A:$Z,25,FALSE)</f>
        <v>47</v>
      </c>
      <c r="Z167" s="1">
        <f>VLOOKUP($B167&amp;"__wt",'SegEnds_Xtal_BW#'!$A:$Z,26,FALSE)</f>
        <v>58</v>
      </c>
      <c r="AA167" s="27" t="str">
        <f>VLOOKUP(A167,Classification!A:B,2,FALSE)</f>
        <v>A</v>
      </c>
      <c r="AB167" s="1">
        <f>VLOOKUP(A167,'SegEnds_NonXtal_Prot#'!A:AL,10,FALSE)-VLOOKUP(A167,'SegEnds_NonXtal_Prot#'!A:AL,4,FALSE)</f>
        <v>28</v>
      </c>
      <c r="AC167" s="1">
        <f>VLOOKUP(A167,'SegEnds_NonXtal_Prot#'!A:AL,10,FALSE)-VLOOKUP(A167,'SegEnds_NonXtal_Prot#'!A:AL,7,FALSE)</f>
        <v>15</v>
      </c>
      <c r="AD167" s="1">
        <f>VLOOKUP(A167,'SegEnds_NonXtal_Prot#'!A:AL,13,FALSE)-VLOOKUP(A167,'SegEnds_NonXtal_Prot#'!A:AL,10,FALSE)</f>
        <v>20</v>
      </c>
      <c r="AE167" s="1">
        <f>VLOOKUP(A167,'SegEnds_NonXtal_Prot#'!A:AL,16,FALSE)-VLOOKUP(A167,'SegEnds_NonXtal_Prot#'!A:AL,10,FALSE)</f>
        <v>52</v>
      </c>
      <c r="AF167" s="1">
        <f>VLOOKUP(A167,'SegEnds_NonXtal_Prot#'!A:AL,22,FALSE)-VLOOKUP(A167,'SegEnds_NonXtal_Prot#'!A:AL,19,FALSE)</f>
        <v>20</v>
      </c>
      <c r="AG167" s="1">
        <f>VLOOKUP(A167,'SegEnds_NonXtal_Prot#'!A:AL,28,FALSE)-VLOOKUP(A167,'SegEnds_NonXtal_Prot#'!A:AL,25,FALSE)</f>
        <v>19</v>
      </c>
      <c r="AH167" s="1">
        <f>VLOOKUP(A167,'SegEnds_NonXtal_Prot#'!A:AL,28,FALSE)-VLOOKUP(A167,'SegEnds_NonXtal_Prot#'!A:AL,22,FALSE)</f>
        <v>52</v>
      </c>
      <c r="AI167" s="1">
        <f>VLOOKUP(A167,'SegEnds_NonXtal_Prot#'!A:AL,31,FALSE)-VLOOKUP(A167,'SegEnds_NonXtal_Prot#'!A:AL,28,FALSE)</f>
        <v>64</v>
      </c>
      <c r="AJ167" s="1">
        <f>VLOOKUP(A167,'SegEnds_NonXtal_Prot#'!A:AL,34,FALSE)-VLOOKUP(A167,'SegEnds_NonXtal_Prot#'!A:AL,31,FALSE)</f>
        <v>35</v>
      </c>
      <c r="AK167" s="1">
        <f>VLOOKUP(A167,'SegEnds_NonXtal_Prot#'!A:AL,37,FALSE)-VLOOKUP(A167,'SegEnds_NonXtal_Prot#'!A:AL,34,FALSE)</f>
        <v>10</v>
      </c>
      <c r="AL167" s="1" t="str">
        <f>IF(ISERROR(MATCH(A167,'SegEnds_Xtal_Prot#'!B:B, 0)), "NoXtal", "Xtal")</f>
        <v>NoXtal</v>
      </c>
    </row>
    <row r="168" spans="1:38" x14ac:dyDescent="0.2">
      <c r="A168" s="1" t="s">
        <v>392</v>
      </c>
      <c r="B168" s="1" t="str">
        <f>VLOOKUP(A168,Xtal_Templ!A:B,2,FALSE)</f>
        <v>5ht1b_human</v>
      </c>
      <c r="C168" s="5">
        <f>VLOOKUP($B168&amp;"__wt",'SegEnds_Xtal_BW#'!$A:$Z,3,FALSE)</f>
        <v>28</v>
      </c>
      <c r="D168" s="1">
        <f>VLOOKUP($B168&amp;"__wt",'SegEnds_Xtal_BW#'!$A:$Z,4,FALSE)</f>
        <v>60</v>
      </c>
      <c r="E168" s="1">
        <f>VLOOKUP($B168&amp;"__wt",'SegEnds_Xtal_BW#'!$A:$Z,5,FALSE)</f>
        <v>48</v>
      </c>
      <c r="F168" s="1">
        <f>VLOOKUP($B168&amp;"__wt",'SegEnds_Xtal_BW#'!$A:$Z,6,FALSE)</f>
        <v>51</v>
      </c>
      <c r="G168" s="1">
        <v>37</v>
      </c>
      <c r="H168" s="12">
        <f>VLOOKUP($B168&amp;"__wt",'SegEnds_Xtal_BW#'!$A:$Z,8,FALSE)</f>
        <v>68</v>
      </c>
      <c r="I168" s="1">
        <f>VLOOKUP($B168&amp;"__wt",'SegEnds_Xtal_BW#'!$A:$Z,9,FALSE)</f>
        <v>49</v>
      </c>
      <c r="J168" s="1">
        <f>VLOOKUP($B168&amp;"__wt",'SegEnds_Xtal_BW#'!$A:$Z,10,FALSE)</f>
        <v>52</v>
      </c>
      <c r="K168" s="12">
        <v>18</v>
      </c>
      <c r="L168" s="1">
        <f>VLOOKUP($B168&amp;"__wt",'SegEnds_Xtal_BW#'!$A:$Z,12,FALSE)</f>
        <v>56</v>
      </c>
      <c r="M168" s="1">
        <f>VLOOKUP($B168&amp;"__wt",'SegEnds_Xtal_BW#'!$A:$Z,13,FALSE)</f>
        <v>50</v>
      </c>
      <c r="N168" s="12">
        <v>57</v>
      </c>
      <c r="O168" s="87">
        <v>38</v>
      </c>
      <c r="P168" s="1">
        <f>VLOOKUP($B168&amp;"__wt",'SegEnds_Xtal_BW#'!$A:$Z,16,FALSE)</f>
        <v>63</v>
      </c>
      <c r="Q168" s="1">
        <f>VLOOKUP($B168&amp;"__wt",'SegEnds_Xtal_BW#'!$A:$Z,17,FALSE)</f>
        <v>50</v>
      </c>
      <c r="R168" s="1">
        <f>VLOOKUP($B168&amp;"__wt",'SegEnds_Xtal_BW#'!$A:$Z,18,FALSE)</f>
        <v>52</v>
      </c>
      <c r="S168" s="1">
        <v>35</v>
      </c>
      <c r="T168" s="1">
        <f t="array" ref="T168">INDEX(ICL3_classA!$G$2:$G$39,MATCH(MIN(ABS(AI168-ICL3_classA!$F$2:$F$39)),ABS(AI168-ICL3_classA!$F$2:$F$39),0))</f>
        <v>74</v>
      </c>
      <c r="U168" s="1">
        <f t="array" ref="U168">INDEX(ICL3_classA!$H$2:$H$39,MATCH(MIN(ABS(AI168-ICL3_classA!$F$2:$F$39)),ABS(AI168-ICL3_classA!$F$2:$F$39),0))</f>
        <v>21</v>
      </c>
      <c r="V168" s="1">
        <v>61</v>
      </c>
      <c r="W168" s="1">
        <v>31</v>
      </c>
      <c r="X168" s="1">
        <f>VLOOKUP($B168&amp;"__wt",'SegEnds_Xtal_BW#'!$A:$Z,24,FALSE)</f>
        <v>56</v>
      </c>
      <c r="Y168" s="1">
        <f>VLOOKUP($B168&amp;"__wt",'SegEnds_Xtal_BW#'!$A:$Z,25,FALSE)</f>
        <v>47</v>
      </c>
      <c r="Z168" s="1">
        <f>VLOOKUP($B168&amp;"__wt",'SegEnds_Xtal_BW#'!$A:$Z,26,FALSE)</f>
        <v>58</v>
      </c>
      <c r="AA168" s="27" t="str">
        <f>VLOOKUP(A168,Classification!A:B,2,FALSE)</f>
        <v>A</v>
      </c>
      <c r="AB168" s="1">
        <f>VLOOKUP(A168,'SegEnds_NonXtal_Prot#'!A:AL,10,FALSE)-VLOOKUP(A168,'SegEnds_NonXtal_Prot#'!A:AL,4,FALSE)</f>
        <v>28</v>
      </c>
      <c r="AC168" s="1">
        <f>VLOOKUP(A168,'SegEnds_NonXtal_Prot#'!A:AL,10,FALSE)-VLOOKUP(A168,'SegEnds_NonXtal_Prot#'!A:AL,7,FALSE)</f>
        <v>15</v>
      </c>
      <c r="AD168" s="1">
        <f>VLOOKUP(A168,'SegEnds_NonXtal_Prot#'!A:AL,13,FALSE)-VLOOKUP(A168,'SegEnds_NonXtal_Prot#'!A:AL,10,FALSE)</f>
        <v>20</v>
      </c>
      <c r="AE168" s="1">
        <f>VLOOKUP(A168,'SegEnds_NonXtal_Prot#'!A:AL,16,FALSE)-VLOOKUP(A168,'SegEnds_NonXtal_Prot#'!A:AL,10,FALSE)</f>
        <v>52</v>
      </c>
      <c r="AF168" s="1">
        <f>VLOOKUP(A168,'SegEnds_NonXtal_Prot#'!A:AL,22,FALSE)-VLOOKUP(A168,'SegEnds_NonXtal_Prot#'!A:AL,19,FALSE)</f>
        <v>20</v>
      </c>
      <c r="AG168" s="1">
        <f>VLOOKUP(A168,'SegEnds_NonXtal_Prot#'!A:AL,28,FALSE)-VLOOKUP(A168,'SegEnds_NonXtal_Prot#'!A:AL,25,FALSE)</f>
        <v>19</v>
      </c>
      <c r="AH168" s="1">
        <f>VLOOKUP(A168,'SegEnds_NonXtal_Prot#'!A:AL,28,FALSE)-VLOOKUP(A168,'SegEnds_NonXtal_Prot#'!A:AL,22,FALSE)</f>
        <v>52</v>
      </c>
      <c r="AI168" s="1">
        <f>VLOOKUP(A168,'SegEnds_NonXtal_Prot#'!A:AL,31,FALSE)-VLOOKUP(A168,'SegEnds_NonXtal_Prot#'!A:AL,28,FALSE)</f>
        <v>64</v>
      </c>
      <c r="AJ168" s="1">
        <f>VLOOKUP(A168,'SegEnds_NonXtal_Prot#'!A:AL,34,FALSE)-VLOOKUP(A168,'SegEnds_NonXtal_Prot#'!A:AL,31,FALSE)</f>
        <v>35</v>
      </c>
      <c r="AK168" s="1">
        <f>VLOOKUP(A168,'SegEnds_NonXtal_Prot#'!A:AL,37,FALSE)-VLOOKUP(A168,'SegEnds_NonXtal_Prot#'!A:AL,34,FALSE)</f>
        <v>10</v>
      </c>
      <c r="AL168" s="1" t="str">
        <f>IF(ISERROR(MATCH(A168,'SegEnds_Xtal_Prot#'!B:B, 0)), "NoXtal", "Xtal")</f>
        <v>NoXtal</v>
      </c>
    </row>
    <row r="169" spans="1:38" x14ac:dyDescent="0.2">
      <c r="A169" s="1" t="s">
        <v>143</v>
      </c>
      <c r="B169" s="1" t="str">
        <f>VLOOKUP(A169,Xtal_Templ!A:B,2,FALSE)</f>
        <v>ccr2_human</v>
      </c>
      <c r="C169" s="5">
        <f>VLOOKUP($B169&amp;"__wt",'SegEnds_Xtal_BW#'!$A:$Z,3,FALSE)</f>
        <v>27</v>
      </c>
      <c r="D169" s="1">
        <f>VLOOKUP($B169&amp;"__wt",'SegEnds_Xtal_BW#'!$A:$Z,4,FALSE)</f>
        <v>60</v>
      </c>
      <c r="E169" s="1">
        <f>VLOOKUP($B169&amp;"__wt",'SegEnds_Xtal_BW#'!$A:$Z,5,FALSE)</f>
        <v>48</v>
      </c>
      <c r="F169" s="1">
        <f>VLOOKUP($B169&amp;"__wt",'SegEnds_Xtal_BW#'!$A:$Z,6,FALSE)</f>
        <v>51</v>
      </c>
      <c r="G169" s="1">
        <v>37</v>
      </c>
      <c r="H169" s="12">
        <v>66</v>
      </c>
      <c r="I169" s="1">
        <f>VLOOKUP($B169&amp;"__wt",'SegEnds_Xtal_BW#'!$A:$Z,9,FALSE)</f>
        <v>49</v>
      </c>
      <c r="J169" s="1">
        <f>VLOOKUP($B169&amp;"__wt",'SegEnds_Xtal_BW#'!$A:$Z,10,FALSE)</f>
        <v>52</v>
      </c>
      <c r="K169" s="108">
        <v>21</v>
      </c>
      <c r="L169" s="1">
        <f>VLOOKUP($B169&amp;"__wt",'SegEnds_Xtal_BW#'!$A:$Z,12,FALSE)</f>
        <v>56</v>
      </c>
      <c r="M169" s="1">
        <f>VLOOKUP($B169&amp;"__wt",'SegEnds_Xtal_BW#'!$A:$Z,13,FALSE)</f>
        <v>50</v>
      </c>
      <c r="N169" s="12">
        <f>VLOOKUP($B169&amp;"__wt",'SegEnds_Xtal_BW#'!$A:$Z,14,FALSE)</f>
        <v>57</v>
      </c>
      <c r="O169" s="87">
        <f>VLOOKUP($B169&amp;"__wt",'SegEnds_Xtal_BW#'!$A:$Z,15,FALSE)</f>
        <v>38</v>
      </c>
      <c r="P169" s="1">
        <f>VLOOKUP($B169&amp;"__wt",'SegEnds_Xtal_BW#'!$A:$Z,16,FALSE)</f>
        <v>64</v>
      </c>
      <c r="Q169" s="1">
        <f>VLOOKUP($B169&amp;"__wt",'SegEnds_Xtal_BW#'!$A:$Z,17,FALSE)</f>
        <v>50</v>
      </c>
      <c r="R169" s="1">
        <f>VLOOKUP($B169&amp;"__wt",'SegEnds_Xtal_BW#'!$A:$Z,18,FALSE)</f>
        <v>52</v>
      </c>
      <c r="S169" s="1">
        <f>VLOOKUP($B169&amp;"__wt",'SegEnds_Xtal_BW#'!$A:$Z,19,FALSE)</f>
        <v>31</v>
      </c>
      <c r="T169" s="1">
        <f t="array" ref="T169">INDEX(ICL3_classA!$G$2:$G$39,MATCH(MIN(ABS(AI169-ICL3_classA!$F$2:$F$39)),ABS(AI169-ICL3_classA!$F$2:$F$39),0))</f>
        <v>68</v>
      </c>
      <c r="U169" s="1">
        <f t="array" ref="U169">INDEX(ICL3_classA!$H$2:$H$39,MATCH(MIN(ABS(AI169-ICL3_classA!$F$2:$F$39)),ABS(AI169-ICL3_classA!$F$2:$F$39),0))</f>
        <v>30</v>
      </c>
      <c r="V169" s="1">
        <v>64</v>
      </c>
      <c r="W169" s="1">
        <v>24</v>
      </c>
      <c r="X169" s="1">
        <f>VLOOKUP($B169&amp;"__wt",'SegEnds_Xtal_BW#'!$A:$Z,24,FALSE)</f>
        <v>56</v>
      </c>
      <c r="Y169" s="1">
        <f>VLOOKUP($B169&amp;"__wt",'SegEnds_Xtal_BW#'!$A:$Z,25,FALSE)</f>
        <v>47</v>
      </c>
      <c r="Z169" s="1">
        <f>VLOOKUP($B169&amp;"__wt",'SegEnds_Xtal_BW#'!$A:$Z,26,FALSE)</f>
        <v>58</v>
      </c>
      <c r="AA169" s="27" t="str">
        <f>VLOOKUP(A169,Classification!A:B,2,FALSE)</f>
        <v>A</v>
      </c>
      <c r="AB169" s="1">
        <f>VLOOKUP(A169,'SegEnds_NonXtal_Prot#'!A:AL,10,FALSE)-VLOOKUP(A169,'SegEnds_NonXtal_Prot#'!A:AL,4,FALSE)</f>
        <v>28</v>
      </c>
      <c r="AC169" s="1">
        <f>VLOOKUP(A169,'SegEnds_NonXtal_Prot#'!A:AL,10,FALSE)-VLOOKUP(A169,'SegEnds_NonXtal_Prot#'!A:AL,7,FALSE)</f>
        <v>15</v>
      </c>
      <c r="AD169" s="1">
        <f>VLOOKUP(A169,'SegEnds_NonXtal_Prot#'!A:AL,13,FALSE)-VLOOKUP(A169,'SegEnds_NonXtal_Prot#'!A:AL,10,FALSE)</f>
        <v>18</v>
      </c>
      <c r="AE169" s="1">
        <f>VLOOKUP(A169,'SegEnds_NonXtal_Prot#'!A:AL,16,FALSE)-VLOOKUP(A169,'SegEnds_NonXtal_Prot#'!A:AL,10,FALSE)</f>
        <v>50</v>
      </c>
      <c r="AF169" s="1">
        <f>VLOOKUP(A169,'SegEnds_NonXtal_Prot#'!A:AL,22,FALSE)-VLOOKUP(A169,'SegEnds_NonXtal_Prot#'!A:AL,19,FALSE)</f>
        <v>20</v>
      </c>
      <c r="AG169" s="1">
        <f>VLOOKUP(A169,'SegEnds_NonXtal_Prot#'!A:AL,28,FALSE)-VLOOKUP(A169,'SegEnds_NonXtal_Prot#'!A:AL,25,FALSE)</f>
        <v>27</v>
      </c>
      <c r="AH169" s="1">
        <f>VLOOKUP(A169,'SegEnds_NonXtal_Prot#'!A:AL,28,FALSE)-VLOOKUP(A169,'SegEnds_NonXtal_Prot#'!A:AL,22,FALSE)</f>
        <v>53</v>
      </c>
      <c r="AI169" s="1">
        <f>VLOOKUP(A169,'SegEnds_NonXtal_Prot#'!A:AL,31,FALSE)-VLOOKUP(A169,'SegEnds_NonXtal_Prot#'!A:AL,28,FALSE)</f>
        <v>43</v>
      </c>
      <c r="AJ169" s="1">
        <f>VLOOKUP(A169,'SegEnds_NonXtal_Prot#'!A:AL,34,FALSE)-VLOOKUP(A169,'SegEnds_NonXtal_Prot#'!A:AL,31,FALSE)</f>
        <v>44</v>
      </c>
      <c r="AK169" s="1">
        <f>VLOOKUP(A169,'SegEnds_NonXtal_Prot#'!A:AL,37,FALSE)-VLOOKUP(A169,'SegEnds_NonXtal_Prot#'!A:AL,34,FALSE)</f>
        <v>10</v>
      </c>
      <c r="AL169" s="1" t="str">
        <f>IF(ISERROR(MATCH(A169,'SegEnds_Xtal_Prot#'!B:B, 0)), "NoXtal", "Xtal")</f>
        <v>NoXtal</v>
      </c>
    </row>
    <row r="170" spans="1:38" x14ac:dyDescent="0.2">
      <c r="A170" s="1" t="s">
        <v>125</v>
      </c>
      <c r="B170" s="1" t="str">
        <f>VLOOKUP(A170,Xtal_Templ!A:B,2,FALSE)</f>
        <v>adrb2_human</v>
      </c>
      <c r="C170" s="5">
        <f>VLOOKUP($B170&amp;"__wt",'SegEnds_Xtal_BW#'!$A:$Z,3,FALSE)</f>
        <v>25</v>
      </c>
      <c r="D170" s="1">
        <f>VLOOKUP($B170&amp;"__wt",'SegEnds_Xtal_BW#'!$A:$Z,4,FALSE)</f>
        <v>60</v>
      </c>
      <c r="E170" s="1">
        <f>VLOOKUP($B170&amp;"__wt",'SegEnds_Xtal_BW#'!$A:$Z,5,FALSE)</f>
        <v>48</v>
      </c>
      <c r="F170" s="1">
        <f>VLOOKUP($B170&amp;"__wt",'SegEnds_Xtal_BW#'!$A:$Z,6,FALSE)</f>
        <v>51</v>
      </c>
      <c r="G170" s="1">
        <v>37</v>
      </c>
      <c r="H170" s="12">
        <f>VLOOKUP($B170&amp;"__wt",'SegEnds_Xtal_BW#'!$A:$Z,8,FALSE)</f>
        <v>67</v>
      </c>
      <c r="I170" s="1">
        <f>VLOOKUP($B170&amp;"__wt",'SegEnds_Xtal_BW#'!$A:$Z,9,FALSE)</f>
        <v>49</v>
      </c>
      <c r="J170" s="1">
        <f>VLOOKUP($B170&amp;"__wt",'SegEnds_Xtal_BW#'!$A:$Z,10,FALSE)</f>
        <v>52</v>
      </c>
      <c r="K170" s="12">
        <v>18</v>
      </c>
      <c r="L170" s="1">
        <f>VLOOKUP($B170&amp;"__wt",'SegEnds_Xtal_BW#'!$A:$Z,12,FALSE)</f>
        <v>56</v>
      </c>
      <c r="M170" s="1">
        <f>VLOOKUP($B170&amp;"__wt",'SegEnds_Xtal_BW#'!$A:$Z,13,FALSE)</f>
        <v>50</v>
      </c>
      <c r="N170" s="12">
        <v>57</v>
      </c>
      <c r="O170" s="87">
        <v>38</v>
      </c>
      <c r="P170" s="1">
        <f>VLOOKUP($B170&amp;"__wt",'SegEnds_Xtal_BW#'!$A:$Z,16,FALSE)</f>
        <v>64</v>
      </c>
      <c r="Q170" s="1">
        <f>VLOOKUP($B170&amp;"__wt",'SegEnds_Xtal_BW#'!$A:$Z,17,FALSE)</f>
        <v>50</v>
      </c>
      <c r="R170" s="1">
        <f>VLOOKUP($B170&amp;"__wt",'SegEnds_Xtal_BW#'!$A:$Z,18,FALSE)</f>
        <v>52</v>
      </c>
      <c r="S170" s="1">
        <f>VLOOKUP($B170&amp;"__wt",'SegEnds_Xtal_BW#'!$A:$Z,19,FALSE)</f>
        <v>35</v>
      </c>
      <c r="T170" s="1">
        <f t="array" ref="T170">INDEX(ICL3_classA!$G$2:$G$39,MATCH(MIN(ABS(AI170-ICL3_classA!$F$2:$F$39)),ABS(AI170-ICL3_classA!$F$2:$F$39),0))</f>
        <v>74</v>
      </c>
      <c r="U170" s="1">
        <f t="array" ref="U170">INDEX(ICL3_classA!$H$2:$H$39,MATCH(MIN(ABS(AI170-ICL3_classA!$F$2:$F$39)),ABS(AI170-ICL3_classA!$F$2:$F$39),0))</f>
        <v>24</v>
      </c>
      <c r="V170" s="1">
        <v>61</v>
      </c>
      <c r="W170" s="1">
        <v>31</v>
      </c>
      <c r="X170" s="1">
        <f>VLOOKUP($B170&amp;"__wt",'SegEnds_Xtal_BW#'!$A:$Z,24,FALSE)</f>
        <v>55</v>
      </c>
      <c r="Y170" s="1">
        <f>VLOOKUP($B170&amp;"__wt",'SegEnds_Xtal_BW#'!$A:$Z,25,FALSE)</f>
        <v>47</v>
      </c>
      <c r="Z170" s="1">
        <f>VLOOKUP($B170&amp;"__wt",'SegEnds_Xtal_BW#'!$A:$Z,26,FALSE)</f>
        <v>59</v>
      </c>
      <c r="AA170" s="27" t="str">
        <f>VLOOKUP(A170,Classification!A:B,2,FALSE)</f>
        <v>A</v>
      </c>
      <c r="AB170" s="1">
        <f>VLOOKUP(A170,'SegEnds_NonXtal_Prot#'!A:AL,10,FALSE)-VLOOKUP(A170,'SegEnds_NonXtal_Prot#'!A:AL,4,FALSE)</f>
        <v>28</v>
      </c>
      <c r="AC170" s="1">
        <f>VLOOKUP(A170,'SegEnds_NonXtal_Prot#'!A:AL,10,FALSE)-VLOOKUP(A170,'SegEnds_NonXtal_Prot#'!A:AL,7,FALSE)</f>
        <v>15</v>
      </c>
      <c r="AD170" s="1">
        <f>VLOOKUP(A170,'SegEnds_NonXtal_Prot#'!A:AL,13,FALSE)-VLOOKUP(A170,'SegEnds_NonXtal_Prot#'!A:AL,10,FALSE)</f>
        <v>20</v>
      </c>
      <c r="AE170" s="1">
        <f>VLOOKUP(A170,'SegEnds_NonXtal_Prot#'!A:AL,16,FALSE)-VLOOKUP(A170,'SegEnds_NonXtal_Prot#'!A:AL,10,FALSE)</f>
        <v>52</v>
      </c>
      <c r="AF170" s="1">
        <f>VLOOKUP(A170,'SegEnds_NonXtal_Prot#'!A:AL,22,FALSE)-VLOOKUP(A170,'SegEnds_NonXtal_Prot#'!A:AL,19,FALSE)</f>
        <v>20</v>
      </c>
      <c r="AG170" s="1">
        <f>VLOOKUP(A170,'SegEnds_NonXtal_Prot#'!A:AL,28,FALSE)-VLOOKUP(A170,'SegEnds_NonXtal_Prot#'!A:AL,25,FALSE)</f>
        <v>20</v>
      </c>
      <c r="AH170" s="1">
        <f>VLOOKUP(A170,'SegEnds_NonXtal_Prot#'!A:AL,28,FALSE)-VLOOKUP(A170,'SegEnds_NonXtal_Prot#'!A:AL,22,FALSE)</f>
        <v>53</v>
      </c>
      <c r="AI170" s="1">
        <f>VLOOKUP(A170,'SegEnds_NonXtal_Prot#'!A:AL,31,FALSE)-VLOOKUP(A170,'SegEnds_NonXtal_Prot#'!A:AL,28,FALSE)</f>
        <v>103</v>
      </c>
      <c r="AJ170" s="1">
        <f>VLOOKUP(A170,'SegEnds_NonXtal_Prot#'!A:AL,34,FALSE)-VLOOKUP(A170,'SegEnds_NonXtal_Prot#'!A:AL,31,FALSE)</f>
        <v>35</v>
      </c>
      <c r="AK170" s="1">
        <f>VLOOKUP(A170,'SegEnds_NonXtal_Prot#'!A:AL,37,FALSE)-VLOOKUP(A170,'SegEnds_NonXtal_Prot#'!A:AL,34,FALSE)</f>
        <v>9</v>
      </c>
      <c r="AL170" s="1" t="str">
        <f>IF(ISERROR(MATCH(A170,'SegEnds_Xtal_Prot#'!B:B, 0)), "NoXtal", "Xtal")</f>
        <v>NoXtal</v>
      </c>
    </row>
    <row r="171" spans="1:38" x14ac:dyDescent="0.2">
      <c r="A171" s="1" t="s">
        <v>905</v>
      </c>
      <c r="B171" s="1" t="str">
        <f>VLOOKUP(A171,Xtal_Templ!A:B,2,FALSE)</f>
        <v>adrb1_melga</v>
      </c>
      <c r="C171" s="5">
        <f>VLOOKUP($B171&amp;"__wt",'SegEnds_Xtal_BW#'!$A:$Z,3,FALSE)</f>
        <v>24</v>
      </c>
      <c r="D171" s="1">
        <f>VLOOKUP($B171&amp;"__wt",'SegEnds_Xtal_BW#'!$A:$Z,4,FALSE)</f>
        <v>60</v>
      </c>
      <c r="E171" s="1">
        <f>VLOOKUP($B171&amp;"__wt",'SegEnds_Xtal_BW#'!$A:$Z,5,FALSE)</f>
        <v>48</v>
      </c>
      <c r="F171" s="1">
        <f>VLOOKUP($B171&amp;"__wt",'SegEnds_Xtal_BW#'!$A:$Z,6,FALSE)</f>
        <v>51</v>
      </c>
      <c r="G171" s="1">
        <v>37</v>
      </c>
      <c r="H171" s="12">
        <f>VLOOKUP($B171&amp;"__wt",'SegEnds_Xtal_BW#'!$A:$Z,8,FALSE)</f>
        <v>67</v>
      </c>
      <c r="I171" s="1">
        <f>VLOOKUP($B171&amp;"__wt",'SegEnds_Xtal_BW#'!$A:$Z,9,FALSE)</f>
        <v>49</v>
      </c>
      <c r="J171" s="1">
        <f>VLOOKUP($B171&amp;"__wt",'SegEnds_Xtal_BW#'!$A:$Z,10,FALSE)</f>
        <v>52</v>
      </c>
      <c r="K171" s="12">
        <v>18</v>
      </c>
      <c r="L171" s="1">
        <f>VLOOKUP($B171&amp;"__wt",'SegEnds_Xtal_BW#'!$A:$Z,12,FALSE)</f>
        <v>56</v>
      </c>
      <c r="M171" s="1">
        <f>VLOOKUP($B171&amp;"__wt",'SegEnds_Xtal_BW#'!$A:$Z,13,FALSE)</f>
        <v>50</v>
      </c>
      <c r="N171" s="12">
        <f>VLOOKUP($B171&amp;"__wt",'SegEnds_Xtal_BW#'!$A:$Z,14,FALSE)</f>
        <v>57</v>
      </c>
      <c r="O171" s="87">
        <f>VLOOKUP($B171&amp;"__wt",'SegEnds_Xtal_BW#'!$A:$Z,15,FALSE)</f>
        <v>38</v>
      </c>
      <c r="P171" s="1">
        <f>VLOOKUP($B171&amp;"__wt",'SegEnds_Xtal_BW#'!$A:$Z,16,FALSE)</f>
        <v>64</v>
      </c>
      <c r="Q171" s="1">
        <f>VLOOKUP($B171&amp;"__wt",'SegEnds_Xtal_BW#'!$A:$Z,17,FALSE)</f>
        <v>50</v>
      </c>
      <c r="R171" s="1">
        <f>VLOOKUP($B171&amp;"__wt",'SegEnds_Xtal_BW#'!$A:$Z,18,FALSE)</f>
        <v>52</v>
      </c>
      <c r="S171" s="1">
        <f>VLOOKUP($B171&amp;"__wt",'SegEnds_Xtal_BW#'!$A:$Z,19,FALSE)</f>
        <v>35</v>
      </c>
      <c r="T171" s="1">
        <f t="array" ref="T171">INDEX(ICL3_classA!$G$2:$G$39,MATCH(MIN(ABS(AI171-ICL3_classA!$F$2:$F$39)),ABS(AI171-ICL3_classA!$F$2:$F$39),0))</f>
        <v>76</v>
      </c>
      <c r="U171" s="1">
        <v>20</v>
      </c>
      <c r="V171" s="1">
        <v>61</v>
      </c>
      <c r="W171" s="1">
        <v>31</v>
      </c>
      <c r="X171" s="1">
        <f>VLOOKUP($B171&amp;"__wt",'SegEnds_Xtal_BW#'!$A:$Z,24,FALSE)</f>
        <v>55</v>
      </c>
      <c r="Y171" s="1">
        <f>VLOOKUP($B171&amp;"__wt",'SegEnds_Xtal_BW#'!$A:$Z,25,FALSE)</f>
        <v>47</v>
      </c>
      <c r="Z171" s="1">
        <f>VLOOKUP($B171&amp;"__wt",'SegEnds_Xtal_BW#'!$A:$Z,26,FALSE)</f>
        <v>59</v>
      </c>
      <c r="AA171" s="27" t="str">
        <f>VLOOKUP(A171,Classification!A:B,2,FALSE)</f>
        <v>A</v>
      </c>
      <c r="AB171" s="1">
        <f>VLOOKUP(A171,'SegEnds_NonXtal_Prot#'!A:AL,10,FALSE)-VLOOKUP(A171,'SegEnds_NonXtal_Prot#'!A:AL,4,FALSE)</f>
        <v>28</v>
      </c>
      <c r="AC171" s="1">
        <f>VLOOKUP(A171,'SegEnds_NonXtal_Prot#'!A:AL,10,FALSE)-VLOOKUP(A171,'SegEnds_NonXtal_Prot#'!A:AL,7,FALSE)</f>
        <v>15</v>
      </c>
      <c r="AD171" s="1">
        <f>VLOOKUP(A171,'SegEnds_NonXtal_Prot#'!A:AL,13,FALSE)-VLOOKUP(A171,'SegEnds_NonXtal_Prot#'!A:AL,10,FALSE)</f>
        <v>20</v>
      </c>
      <c r="AE171" s="1">
        <f>VLOOKUP(A171,'SegEnds_NonXtal_Prot#'!A:AL,16,FALSE)-VLOOKUP(A171,'SegEnds_NonXtal_Prot#'!A:AL,10,FALSE)</f>
        <v>52</v>
      </c>
      <c r="AF171" s="1">
        <f>VLOOKUP(A171,'SegEnds_NonXtal_Prot#'!A:AL,22,FALSE)-VLOOKUP(A171,'SegEnds_NonXtal_Prot#'!A:AL,19,FALSE)</f>
        <v>20</v>
      </c>
      <c r="AG171" s="1">
        <f>VLOOKUP(A171,'SegEnds_NonXtal_Prot#'!A:AL,28,FALSE)-VLOOKUP(A171,'SegEnds_NonXtal_Prot#'!A:AL,25,FALSE)</f>
        <v>20</v>
      </c>
      <c r="AH171" s="1">
        <f>VLOOKUP(A171,'SegEnds_NonXtal_Prot#'!A:AL,28,FALSE)-VLOOKUP(A171,'SegEnds_NonXtal_Prot#'!A:AL,22,FALSE)</f>
        <v>53</v>
      </c>
      <c r="AI171" s="1">
        <f>VLOOKUP(A171,'SegEnds_NonXtal_Prot#'!A:AL,31,FALSE)-VLOOKUP(A171,'SegEnds_NonXtal_Prot#'!A:AL,28,FALSE)</f>
        <v>86</v>
      </c>
      <c r="AJ171" s="1">
        <f>VLOOKUP(A171,'SegEnds_NonXtal_Prot#'!A:AL,34,FALSE)-VLOOKUP(A171,'SegEnds_NonXtal_Prot#'!A:AL,31,FALSE)</f>
        <v>35</v>
      </c>
      <c r="AK171" s="1">
        <f>VLOOKUP(A171,'SegEnds_NonXtal_Prot#'!A:AL,37,FALSE)-VLOOKUP(A171,'SegEnds_NonXtal_Prot#'!A:AL,34,FALSE)</f>
        <v>9</v>
      </c>
      <c r="AL171" s="1" t="str">
        <f>IF(ISERROR(MATCH(A171,'SegEnds_Xtal_Prot#'!B:B, 0)), "NoXtal", "Xtal")</f>
        <v>Xtal</v>
      </c>
    </row>
    <row r="172" spans="1:38" x14ac:dyDescent="0.2">
      <c r="A172" s="1" t="s">
        <v>126</v>
      </c>
      <c r="B172" s="1" t="str">
        <f>VLOOKUP(A172,Xtal_Templ!A:B,2,FALSE)</f>
        <v>adrb2_human</v>
      </c>
      <c r="C172" s="5">
        <f>VLOOKUP($B172&amp;"__wt",'SegEnds_Xtal_BW#'!$A:$Z,3,FALSE)</f>
        <v>25</v>
      </c>
      <c r="D172" s="1">
        <f>VLOOKUP($B172&amp;"__wt",'SegEnds_Xtal_BW#'!$A:$Z,4,FALSE)</f>
        <v>60</v>
      </c>
      <c r="E172" s="1">
        <f>VLOOKUP($B172&amp;"__wt",'SegEnds_Xtal_BW#'!$A:$Z,5,FALSE)</f>
        <v>48</v>
      </c>
      <c r="F172" s="1">
        <f>VLOOKUP($B172&amp;"__wt",'SegEnds_Xtal_BW#'!$A:$Z,6,FALSE)</f>
        <v>51</v>
      </c>
      <c r="G172" s="1">
        <v>37</v>
      </c>
      <c r="H172" s="12">
        <f>VLOOKUP($B172&amp;"__wt",'SegEnds_Xtal_BW#'!$A:$Z,8,FALSE)</f>
        <v>67</v>
      </c>
      <c r="I172" s="1">
        <f>VLOOKUP($B172&amp;"__wt",'SegEnds_Xtal_BW#'!$A:$Z,9,FALSE)</f>
        <v>49</v>
      </c>
      <c r="J172" s="1">
        <f>VLOOKUP($B172&amp;"__wt",'SegEnds_Xtal_BW#'!$A:$Z,10,FALSE)</f>
        <v>52</v>
      </c>
      <c r="K172" s="12">
        <v>18</v>
      </c>
      <c r="L172" s="1">
        <f>VLOOKUP($B172&amp;"__wt",'SegEnds_Xtal_BW#'!$A:$Z,12,FALSE)</f>
        <v>56</v>
      </c>
      <c r="M172" s="1">
        <f>VLOOKUP($B172&amp;"__wt",'SegEnds_Xtal_BW#'!$A:$Z,13,FALSE)</f>
        <v>50</v>
      </c>
      <c r="N172" s="12">
        <f>VLOOKUP($B172&amp;"__wt",'SegEnds_Xtal_BW#'!$A:$Z,14,FALSE)</f>
        <v>57</v>
      </c>
      <c r="O172" s="87">
        <f>VLOOKUP($B172&amp;"__wt",'SegEnds_Xtal_BW#'!$A:$Z,15,FALSE)</f>
        <v>38</v>
      </c>
      <c r="P172" s="1">
        <f>VLOOKUP($B172&amp;"__wt",'SegEnds_Xtal_BW#'!$A:$Z,16,FALSE)</f>
        <v>64</v>
      </c>
      <c r="Q172" s="1">
        <f>VLOOKUP($B172&amp;"__wt",'SegEnds_Xtal_BW#'!$A:$Z,17,FALSE)</f>
        <v>50</v>
      </c>
      <c r="R172" s="1">
        <f>VLOOKUP($B172&amp;"__wt",'SegEnds_Xtal_BW#'!$A:$Z,18,FALSE)</f>
        <v>52</v>
      </c>
      <c r="S172" s="1">
        <f>VLOOKUP($B172&amp;"__wt",'SegEnds_Xtal_BW#'!$A:$Z,19,FALSE)</f>
        <v>35</v>
      </c>
      <c r="T172" s="1">
        <f t="array" ref="T172">INDEX(ICL3_classA!$G$2:$G$39,MATCH(MIN(ABS(AI172-ICL3_classA!$F$2:$F$39)),ABS(AI172-ICL3_classA!$F$2:$F$39),0))</f>
        <v>76</v>
      </c>
      <c r="U172" s="1">
        <f t="array" ref="U172">INDEX(ICL3_classA!$H$2:$H$39,MATCH(MIN(ABS(AI172-ICL3_classA!$F$2:$F$39)),ABS(AI172-ICL3_classA!$F$2:$F$39),0))</f>
        <v>24</v>
      </c>
      <c r="V172" s="1">
        <v>61</v>
      </c>
      <c r="W172" s="1">
        <v>31</v>
      </c>
      <c r="X172" s="1">
        <f>VLOOKUP($B172&amp;"__wt",'SegEnds_Xtal_BW#'!$A:$Z,24,FALSE)</f>
        <v>55</v>
      </c>
      <c r="Y172" s="1">
        <f>VLOOKUP($B172&amp;"__wt",'SegEnds_Xtal_BW#'!$A:$Z,25,FALSE)</f>
        <v>47</v>
      </c>
      <c r="Z172" s="1">
        <f>VLOOKUP($B172&amp;"__wt",'SegEnds_Xtal_BW#'!$A:$Z,26,FALSE)</f>
        <v>59</v>
      </c>
      <c r="AA172" s="27" t="str">
        <f>VLOOKUP(A172,Classification!A:B,2,FALSE)</f>
        <v>A</v>
      </c>
      <c r="AB172" s="1">
        <f>VLOOKUP(A172,'SegEnds_NonXtal_Prot#'!A:AL,10,FALSE)-VLOOKUP(A172,'SegEnds_NonXtal_Prot#'!A:AL,4,FALSE)</f>
        <v>28</v>
      </c>
      <c r="AC172" s="1">
        <f>VLOOKUP(A172,'SegEnds_NonXtal_Prot#'!A:AL,10,FALSE)-VLOOKUP(A172,'SegEnds_NonXtal_Prot#'!A:AL,7,FALSE)</f>
        <v>15</v>
      </c>
      <c r="AD172" s="1">
        <f>VLOOKUP(A172,'SegEnds_NonXtal_Prot#'!A:AL,13,FALSE)-VLOOKUP(A172,'SegEnds_NonXtal_Prot#'!A:AL,10,FALSE)</f>
        <v>20</v>
      </c>
      <c r="AE172" s="1">
        <f>VLOOKUP(A172,'SegEnds_NonXtal_Prot#'!A:AL,16,FALSE)-VLOOKUP(A172,'SegEnds_NonXtal_Prot#'!A:AL,10,FALSE)</f>
        <v>52</v>
      </c>
      <c r="AF172" s="1">
        <f>VLOOKUP(A172,'SegEnds_NonXtal_Prot#'!A:AL,22,FALSE)-VLOOKUP(A172,'SegEnds_NonXtal_Prot#'!A:AL,19,FALSE)</f>
        <v>20</v>
      </c>
      <c r="AG172" s="1">
        <f>VLOOKUP(A172,'SegEnds_NonXtal_Prot#'!A:AL,28,FALSE)-VLOOKUP(A172,'SegEnds_NonXtal_Prot#'!A:AL,25,FALSE)</f>
        <v>20</v>
      </c>
      <c r="AH172" s="1">
        <f>VLOOKUP(A172,'SegEnds_NonXtal_Prot#'!A:AL,28,FALSE)-VLOOKUP(A172,'SegEnds_NonXtal_Prot#'!A:AL,22,FALSE)</f>
        <v>53</v>
      </c>
      <c r="AI172" s="1">
        <f>VLOOKUP(A172,'SegEnds_NonXtal_Prot#'!A:AL,31,FALSE)-VLOOKUP(A172,'SegEnds_NonXtal_Prot#'!A:AL,28,FALSE)</f>
        <v>77</v>
      </c>
      <c r="AJ172" s="1">
        <f>VLOOKUP(A172,'SegEnds_NonXtal_Prot#'!A:AL,34,FALSE)-VLOOKUP(A172,'SegEnds_NonXtal_Prot#'!A:AL,31,FALSE)</f>
        <v>35</v>
      </c>
      <c r="AK172" s="1">
        <f>VLOOKUP(A172,'SegEnds_NonXtal_Prot#'!A:AL,37,FALSE)-VLOOKUP(A172,'SegEnds_NonXtal_Prot#'!A:AL,34,FALSE)</f>
        <v>9</v>
      </c>
      <c r="AL172" s="1" t="str">
        <f>IF(ISERROR(MATCH(A172,'SegEnds_Xtal_Prot#'!B:B, 0)), "NoXtal", "Xtal")</f>
        <v>Xtal</v>
      </c>
    </row>
    <row r="173" spans="1:38" x14ac:dyDescent="0.2">
      <c r="A173" s="1" t="s">
        <v>165</v>
      </c>
      <c r="B173" s="1" t="str">
        <f>VLOOKUP(A173,Xtal_Templ!A:B,2,FALSE)</f>
        <v>c5ar1_human</v>
      </c>
      <c r="C173" s="5">
        <f>VLOOKUP($B173&amp;"__wt",'SegEnds_Xtal_BW#'!$A:$Z,3,FALSE)</f>
        <v>29</v>
      </c>
      <c r="D173" s="1">
        <f>VLOOKUP($B173&amp;"__wt",'SegEnds_Xtal_BW#'!$A:$Z,4,FALSE)</f>
        <v>60</v>
      </c>
      <c r="E173" s="1" t="str">
        <f>VLOOKUP($B173&amp;"__wt",'SegEnds_Xtal_BW#'!$A:$Z,5,FALSE)</f>
        <v>-</v>
      </c>
      <c r="F173" s="1" t="str">
        <f>VLOOKUP($B173&amp;"__wt",'SegEnds_Xtal_BW#'!$A:$Z,6,FALSE)</f>
        <v>-</v>
      </c>
      <c r="G173" s="1">
        <v>37</v>
      </c>
      <c r="H173" s="12">
        <f>VLOOKUP($B173&amp;"__wt",'SegEnds_Xtal_BW#'!$A:$Z,8,FALSE)</f>
        <v>67</v>
      </c>
      <c r="I173" s="1">
        <f>VLOOKUP($B173&amp;"__wt",'SegEnds_Xtal_BW#'!$A:$Z,9,FALSE)</f>
        <v>49</v>
      </c>
      <c r="J173" s="1">
        <f>VLOOKUP($B173&amp;"__wt",'SegEnds_Xtal_BW#'!$A:$Z,10,FALSE)</f>
        <v>52</v>
      </c>
      <c r="K173" s="12">
        <v>18</v>
      </c>
      <c r="L173" s="1">
        <f>VLOOKUP($B173&amp;"__wt",'SegEnds_Xtal_BW#'!$A:$Z,12,FALSE)</f>
        <v>56</v>
      </c>
      <c r="M173" s="1">
        <f>VLOOKUP($B173&amp;"__wt",'SegEnds_Xtal_BW#'!$A:$Z,13,FALSE)</f>
        <v>50</v>
      </c>
      <c r="N173" s="12">
        <v>57</v>
      </c>
      <c r="O173" s="87">
        <v>38</v>
      </c>
      <c r="P173" s="1">
        <f>VLOOKUP($B173&amp;"__wt",'SegEnds_Xtal_BW#'!$A:$Z,16,FALSE)</f>
        <v>64</v>
      </c>
      <c r="Q173" s="1">
        <f>VLOOKUP($B173&amp;"__wt",'SegEnds_Xtal_BW#'!$A:$Z,17,FALSE)</f>
        <v>50</v>
      </c>
      <c r="R173" s="1">
        <f>VLOOKUP($B173&amp;"__wt",'SegEnds_Xtal_BW#'!$A:$Z,18,FALSE)</f>
        <v>52</v>
      </c>
      <c r="S173" s="1">
        <f>VLOOKUP($B173&amp;"__wt",'SegEnds_Xtal_BW#'!$A:$Z,19,FALSE)</f>
        <v>31</v>
      </c>
      <c r="T173" s="1">
        <f t="array" ref="T173">INDEX(ICL3_classA!$G$2:$G$39,MATCH(MIN(ABS(AI173-ICL3_classA!$F$2:$F$39)),ABS(AI173-ICL3_classA!$F$2:$F$39),0))</f>
        <v>68</v>
      </c>
      <c r="U173" s="108">
        <v>31</v>
      </c>
      <c r="V173" s="1">
        <v>61</v>
      </c>
      <c r="W173" s="108">
        <v>25</v>
      </c>
      <c r="X173" s="1">
        <f>VLOOKUP($B173&amp;"__wt",'SegEnds_Xtal_BW#'!$A:$Z,24,FALSE)</f>
        <v>56</v>
      </c>
      <c r="Y173" s="1">
        <f>VLOOKUP($B173&amp;"__wt",'SegEnds_Xtal_BW#'!$A:$Z,25,FALSE)</f>
        <v>47</v>
      </c>
      <c r="Z173" s="1">
        <f>VLOOKUP($B173&amp;"__wt",'SegEnds_Xtal_BW#'!$A:$Z,26,FALSE)</f>
        <v>56</v>
      </c>
      <c r="AA173" s="27" t="str">
        <f>VLOOKUP(A173,Classification!A:B,2,FALSE)</f>
        <v>A</v>
      </c>
      <c r="AB173" s="1">
        <f>VLOOKUP(A173,'SegEnds_NonXtal_Prot#'!A:AL,10,FALSE)-VLOOKUP(A173,'SegEnds_NonXtal_Prot#'!A:AL,4,FALSE)</f>
        <v>27</v>
      </c>
      <c r="AC173" s="1" t="e">
        <f>VLOOKUP(A173,'SegEnds_NonXtal_Prot#'!A:AL,10,FALSE)-VLOOKUP(A173,'SegEnds_NonXtal_Prot#'!A:AL,7,FALSE)</f>
        <v>#VALUE!</v>
      </c>
      <c r="AD173" s="1">
        <f>VLOOKUP(A173,'SegEnds_NonXtal_Prot#'!A:AL,13,FALSE)-VLOOKUP(A173,'SegEnds_NonXtal_Prot#'!A:AL,10,FALSE)</f>
        <v>20</v>
      </c>
      <c r="AE173" s="1">
        <f>VLOOKUP(A173,'SegEnds_NonXtal_Prot#'!A:AL,16,FALSE)-VLOOKUP(A173,'SegEnds_NonXtal_Prot#'!A:AL,10,FALSE)</f>
        <v>52</v>
      </c>
      <c r="AF173" s="1">
        <f>VLOOKUP(A173,'SegEnds_NonXtal_Prot#'!A:AL,22,FALSE)-VLOOKUP(A173,'SegEnds_NonXtal_Prot#'!A:AL,19,FALSE)</f>
        <v>20</v>
      </c>
      <c r="AG173" s="1">
        <f>VLOOKUP(A173,'SegEnds_NonXtal_Prot#'!A:AL,28,FALSE)-VLOOKUP(A173,'SegEnds_NonXtal_Prot#'!A:AL,25,FALSE)</f>
        <v>26</v>
      </c>
      <c r="AH173" s="1">
        <f>VLOOKUP(A173,'SegEnds_NonXtal_Prot#'!A:AL,28,FALSE)-VLOOKUP(A173,'SegEnds_NonXtal_Prot#'!A:AL,22,FALSE)</f>
        <v>53</v>
      </c>
      <c r="AI173" s="1">
        <f>VLOOKUP(A173,'SegEnds_NonXtal_Prot#'!A:AL,31,FALSE)-VLOOKUP(A173,'SegEnds_NonXtal_Prot#'!A:AL,28,FALSE)</f>
        <v>43</v>
      </c>
      <c r="AJ173" s="1">
        <f>VLOOKUP(A173,'SegEnds_NonXtal_Prot#'!A:AL,34,FALSE)-VLOOKUP(A173,'SegEnds_NonXtal_Prot#'!A:AL,31,FALSE)</f>
        <v>40</v>
      </c>
      <c r="AK173" s="1">
        <f>VLOOKUP(A173,'SegEnds_NonXtal_Prot#'!A:AL,37,FALSE)-VLOOKUP(A173,'SegEnds_NonXtal_Prot#'!A:AL,34,FALSE)</f>
        <v>10</v>
      </c>
      <c r="AL173" s="1" t="str">
        <f>IF(ISERROR(MATCH(A173,'SegEnds_Xtal_Prot#'!B:B, 0)), "NoXtal", "Xtal")</f>
        <v>Xtal</v>
      </c>
    </row>
    <row r="174" spans="1:38" x14ac:dyDescent="0.2">
      <c r="A174" s="1" t="s">
        <v>166</v>
      </c>
      <c r="B174" s="1" t="str">
        <f>VLOOKUP(A174,Xtal_Templ!A:B,2,FALSE)</f>
        <v>c5ar1_human</v>
      </c>
      <c r="C174" s="5">
        <f>VLOOKUP($B174&amp;"__wt",'SegEnds_Xtal_BW#'!$A:$Z,3,FALSE)</f>
        <v>29</v>
      </c>
      <c r="D174" s="1">
        <f>VLOOKUP($B174&amp;"__wt",'SegEnds_Xtal_BW#'!$A:$Z,4,FALSE)</f>
        <v>60</v>
      </c>
      <c r="E174" s="1" t="str">
        <f>VLOOKUP($B174&amp;"__wt",'SegEnds_Xtal_BW#'!$A:$Z,5,FALSE)</f>
        <v>-</v>
      </c>
      <c r="F174" s="1" t="str">
        <f>VLOOKUP($B174&amp;"__wt",'SegEnds_Xtal_BW#'!$A:$Z,6,FALSE)</f>
        <v>-</v>
      </c>
      <c r="G174" s="1">
        <v>37</v>
      </c>
      <c r="H174" s="12">
        <f>VLOOKUP($B174&amp;"__wt",'SegEnds_Xtal_BW#'!$A:$Z,8,FALSE)</f>
        <v>67</v>
      </c>
      <c r="I174" s="1">
        <f>VLOOKUP($B174&amp;"__wt",'SegEnds_Xtal_BW#'!$A:$Z,9,FALSE)</f>
        <v>49</v>
      </c>
      <c r="J174" s="1">
        <f>VLOOKUP($B174&amp;"__wt",'SegEnds_Xtal_BW#'!$A:$Z,10,FALSE)</f>
        <v>52</v>
      </c>
      <c r="K174" s="12">
        <v>18</v>
      </c>
      <c r="L174" s="1">
        <f>VLOOKUP($B174&amp;"__wt",'SegEnds_Xtal_BW#'!$A:$Z,12,FALSE)</f>
        <v>56</v>
      </c>
      <c r="M174" s="1">
        <f>VLOOKUP($B174&amp;"__wt",'SegEnds_Xtal_BW#'!$A:$Z,13,FALSE)</f>
        <v>50</v>
      </c>
      <c r="N174" s="12">
        <v>57</v>
      </c>
      <c r="O174" s="87">
        <v>38</v>
      </c>
      <c r="P174" s="1">
        <f>VLOOKUP($B174&amp;"__wt",'SegEnds_Xtal_BW#'!$A:$Z,16,FALSE)</f>
        <v>64</v>
      </c>
      <c r="Q174" s="1">
        <f>VLOOKUP($B174&amp;"__wt",'SegEnds_Xtal_BW#'!$A:$Z,17,FALSE)</f>
        <v>50</v>
      </c>
      <c r="R174" s="1">
        <f>VLOOKUP($B174&amp;"__wt",'SegEnds_Xtal_BW#'!$A:$Z,18,FALSE)</f>
        <v>52</v>
      </c>
      <c r="S174" s="1">
        <f>VLOOKUP($B174&amp;"__wt",'SegEnds_Xtal_BW#'!$A:$Z,19,FALSE)</f>
        <v>31</v>
      </c>
      <c r="T174" s="1">
        <f t="array" ref="T174">INDEX(ICL3_classA!$G$2:$G$39,MATCH(MIN(ABS(AI174-ICL3_classA!$F$2:$F$39)),ABS(AI174-ICL3_classA!$F$2:$F$39),0))</f>
        <v>64</v>
      </c>
      <c r="U174" s="108">
        <v>31</v>
      </c>
      <c r="V174" s="1">
        <v>61</v>
      </c>
      <c r="W174" s="108">
        <v>25</v>
      </c>
      <c r="X174" s="1">
        <f>VLOOKUP($B174&amp;"__wt",'SegEnds_Xtal_BW#'!$A:$Z,24,FALSE)</f>
        <v>56</v>
      </c>
      <c r="Y174" s="1">
        <f>VLOOKUP($B174&amp;"__wt",'SegEnds_Xtal_BW#'!$A:$Z,25,FALSE)</f>
        <v>47</v>
      </c>
      <c r="Z174" s="1">
        <f>VLOOKUP($B174&amp;"__wt",'SegEnds_Xtal_BW#'!$A:$Z,26,FALSE)</f>
        <v>56</v>
      </c>
      <c r="AA174" s="27" t="str">
        <f>VLOOKUP(A174,Classification!A:B,2,FALSE)</f>
        <v>A</v>
      </c>
      <c r="AB174" s="1">
        <f>VLOOKUP(A174,'SegEnds_NonXtal_Prot#'!A:AL,10,FALSE)-VLOOKUP(A174,'SegEnds_NonXtal_Prot#'!A:AL,4,FALSE)</f>
        <v>27</v>
      </c>
      <c r="AC174" s="1" t="e">
        <f>VLOOKUP(A174,'SegEnds_NonXtal_Prot#'!A:AL,10,FALSE)-VLOOKUP(A174,'SegEnds_NonXtal_Prot#'!A:AL,7,FALSE)</f>
        <v>#VALUE!</v>
      </c>
      <c r="AD174" s="1">
        <f>VLOOKUP(A174,'SegEnds_NonXtal_Prot#'!A:AL,13,FALSE)-VLOOKUP(A174,'SegEnds_NonXtal_Prot#'!A:AL,10,FALSE)</f>
        <v>20</v>
      </c>
      <c r="AE174" s="1">
        <f>VLOOKUP(A174,'SegEnds_NonXtal_Prot#'!A:AL,16,FALSE)-VLOOKUP(A174,'SegEnds_NonXtal_Prot#'!A:AL,10,FALSE)</f>
        <v>52</v>
      </c>
      <c r="AF174" s="1">
        <f>VLOOKUP(A174,'SegEnds_NonXtal_Prot#'!A:AL,22,FALSE)-VLOOKUP(A174,'SegEnds_NonXtal_Prot#'!A:AL,19,FALSE)</f>
        <v>20</v>
      </c>
      <c r="AG174" s="1">
        <f>VLOOKUP(A174,'SegEnds_NonXtal_Prot#'!A:AL,28,FALSE)-VLOOKUP(A174,'SegEnds_NonXtal_Prot#'!A:AL,25,FALSE)</f>
        <v>26</v>
      </c>
      <c r="AH174" s="1">
        <f>VLOOKUP(A174,'SegEnds_NonXtal_Prot#'!A:AL,28,FALSE)-VLOOKUP(A174,'SegEnds_NonXtal_Prot#'!A:AL,22,FALSE)</f>
        <v>53</v>
      </c>
      <c r="AI174" s="1">
        <f>VLOOKUP(A174,'SegEnds_NonXtal_Prot#'!A:AL,31,FALSE)-VLOOKUP(A174,'SegEnds_NonXtal_Prot#'!A:AL,28,FALSE)</f>
        <v>36</v>
      </c>
      <c r="AJ174" s="1">
        <f>VLOOKUP(A174,'SegEnds_NonXtal_Prot#'!A:AL,34,FALSE)-VLOOKUP(A174,'SegEnds_NonXtal_Prot#'!A:AL,31,FALSE)</f>
        <v>40</v>
      </c>
      <c r="AK174" s="1">
        <f>VLOOKUP(A174,'SegEnds_NonXtal_Prot#'!A:AL,37,FALSE)-VLOOKUP(A174,'SegEnds_NonXtal_Prot#'!A:AL,34,FALSE)</f>
        <v>10</v>
      </c>
      <c r="AL174" s="1" t="str">
        <f>IF(ISERROR(MATCH(A174,'SegEnds_Xtal_Prot#'!B:B, 0)), "NoXtal", "Xtal")</f>
        <v>NoXtal</v>
      </c>
    </row>
    <row r="175" spans="1:38" x14ac:dyDescent="0.2">
      <c r="A175" s="1" t="s">
        <v>168</v>
      </c>
      <c r="B175" s="1" t="str">
        <f>VLOOKUP(A175,Xtal_Templ!A:B,2,FALSE)</f>
        <v>ccr5_human</v>
      </c>
      <c r="C175" s="5">
        <f>VLOOKUP($B175&amp;"__wt",'SegEnds_Xtal_BW#'!$A:$Z,3,FALSE)</f>
        <v>24</v>
      </c>
      <c r="D175" s="1">
        <f>VLOOKUP($B175&amp;"__wt",'SegEnds_Xtal_BW#'!$A:$Z,4,FALSE)</f>
        <v>60</v>
      </c>
      <c r="E175" s="1">
        <f>VLOOKUP($B175&amp;"__wt",'SegEnds_Xtal_BW#'!$A:$Z,5,FALSE)</f>
        <v>48</v>
      </c>
      <c r="F175" s="1">
        <f>VLOOKUP($B175&amp;"__wt",'SegEnds_Xtal_BW#'!$A:$Z,6,FALSE)</f>
        <v>51</v>
      </c>
      <c r="G175" s="1">
        <v>37</v>
      </c>
      <c r="H175" s="12">
        <v>66</v>
      </c>
      <c r="I175" s="1">
        <f>VLOOKUP($B175&amp;"__wt",'SegEnds_Xtal_BW#'!$A:$Z,9,FALSE)</f>
        <v>49</v>
      </c>
      <c r="J175" s="1">
        <f>VLOOKUP($B175&amp;"__wt",'SegEnds_Xtal_BW#'!$A:$Z,10,FALSE)</f>
        <v>52</v>
      </c>
      <c r="K175" s="12">
        <v>21</v>
      </c>
      <c r="L175" s="1">
        <f>VLOOKUP($B175&amp;"__wt",'SegEnds_Xtal_BW#'!$A:$Z,12,FALSE)</f>
        <v>56</v>
      </c>
      <c r="M175" s="1">
        <f>VLOOKUP($B175&amp;"__wt",'SegEnds_Xtal_BW#'!$A:$Z,13,FALSE)</f>
        <v>50</v>
      </c>
      <c r="N175" s="12">
        <f>VLOOKUP($B175&amp;"__wt",'SegEnds_Xtal_BW#'!$A:$Z,14,FALSE)</f>
        <v>57</v>
      </c>
      <c r="O175" s="87">
        <f>VLOOKUP($B175&amp;"__wt",'SegEnds_Xtal_BW#'!$A:$Z,15,FALSE)</f>
        <v>38</v>
      </c>
      <c r="P175" s="1">
        <f>VLOOKUP($B175&amp;"__wt",'SegEnds_Xtal_BW#'!$A:$Z,16,FALSE)</f>
        <v>64</v>
      </c>
      <c r="Q175" s="1">
        <f>VLOOKUP($B175&amp;"__wt",'SegEnds_Xtal_BW#'!$A:$Z,17,FALSE)</f>
        <v>50</v>
      </c>
      <c r="R175" s="1">
        <f>VLOOKUP($B175&amp;"__wt",'SegEnds_Xtal_BW#'!$A:$Z,18,FALSE)</f>
        <v>52</v>
      </c>
      <c r="S175" s="1">
        <f>VLOOKUP($B175&amp;"__wt",'SegEnds_Xtal_BW#'!$A:$Z,19,FALSE)</f>
        <v>30</v>
      </c>
      <c r="T175" s="1">
        <f t="array" ref="T175">INDEX(ICL3_classA!$G$2:$G$39,MATCH(MIN(ABS(AI175-ICL3_classA!$F$2:$F$39)),ABS(AI175-ICL3_classA!$F$2:$F$39),0))</f>
        <v>68</v>
      </c>
      <c r="U175" s="1">
        <f t="array" ref="U175">INDEX(ICL3_classA!$H$2:$H$39,MATCH(MIN(ABS(AI175-ICL3_classA!$F$2:$F$39)),ABS(AI175-ICL3_classA!$F$2:$F$39),0))</f>
        <v>30</v>
      </c>
      <c r="V175" s="1">
        <v>65</v>
      </c>
      <c r="W175" s="1">
        <v>24</v>
      </c>
      <c r="X175" s="1">
        <f>VLOOKUP($B175&amp;"__wt",'SegEnds_Xtal_BW#'!$A:$Z,24,FALSE)</f>
        <v>56</v>
      </c>
      <c r="Y175" s="1">
        <f>VLOOKUP($B175&amp;"__wt",'SegEnds_Xtal_BW#'!$A:$Z,25,FALSE)</f>
        <v>47</v>
      </c>
      <c r="Z175" s="1">
        <f>VLOOKUP($B175&amp;"__wt",'SegEnds_Xtal_BW#'!$A:$Z,26,FALSE)</f>
        <v>59</v>
      </c>
      <c r="AA175" s="27" t="str">
        <f>VLOOKUP(A175,Classification!A:B,2,FALSE)</f>
        <v>A</v>
      </c>
      <c r="AB175" s="1">
        <f>VLOOKUP(A175,'SegEnds_NonXtal_Prot#'!A:AL,10,FALSE)-VLOOKUP(A175,'SegEnds_NonXtal_Prot#'!A:AL,4,FALSE)</f>
        <v>28</v>
      </c>
      <c r="AC175" s="1">
        <f>VLOOKUP(A175,'SegEnds_NonXtal_Prot#'!A:AL,10,FALSE)-VLOOKUP(A175,'SegEnds_NonXtal_Prot#'!A:AL,7,FALSE)</f>
        <v>15</v>
      </c>
      <c r="AD175" s="1">
        <f>VLOOKUP(A175,'SegEnds_NonXtal_Prot#'!A:AL,13,FALSE)-VLOOKUP(A175,'SegEnds_NonXtal_Prot#'!A:AL,10,FALSE)</f>
        <v>19</v>
      </c>
      <c r="AE175" s="1">
        <f>VLOOKUP(A175,'SegEnds_NonXtal_Prot#'!A:AL,16,FALSE)-VLOOKUP(A175,'SegEnds_NonXtal_Prot#'!A:AL,10,FALSE)</f>
        <v>51</v>
      </c>
      <c r="AF175" s="1">
        <f>VLOOKUP(A175,'SegEnds_NonXtal_Prot#'!A:AL,22,FALSE)-VLOOKUP(A175,'SegEnds_NonXtal_Prot#'!A:AL,19,FALSE)</f>
        <v>20</v>
      </c>
      <c r="AG175" s="1">
        <f>VLOOKUP(A175,'SegEnds_NonXtal_Prot#'!A:AL,28,FALSE)-VLOOKUP(A175,'SegEnds_NonXtal_Prot#'!A:AL,25,FALSE)</f>
        <v>28</v>
      </c>
      <c r="AH175" s="1">
        <f>VLOOKUP(A175,'SegEnds_NonXtal_Prot#'!A:AL,28,FALSE)-VLOOKUP(A175,'SegEnds_NonXtal_Prot#'!A:AL,22,FALSE)</f>
        <v>53</v>
      </c>
      <c r="AI175" s="1">
        <f>VLOOKUP(A175,'SegEnds_NonXtal_Prot#'!A:AL,31,FALSE)-VLOOKUP(A175,'SegEnds_NonXtal_Prot#'!A:AL,28,FALSE)</f>
        <v>43</v>
      </c>
      <c r="AJ175" s="1">
        <f>VLOOKUP(A175,'SegEnds_NonXtal_Prot#'!A:AL,34,FALSE)-VLOOKUP(A175,'SegEnds_NonXtal_Prot#'!A:AL,31,FALSE)</f>
        <v>44</v>
      </c>
      <c r="AK175" s="1">
        <f>VLOOKUP(A175,'SegEnds_NonXtal_Prot#'!A:AL,37,FALSE)-VLOOKUP(A175,'SegEnds_NonXtal_Prot#'!A:AL,34,FALSE)</f>
        <v>10</v>
      </c>
      <c r="AL175" s="1" t="str">
        <f>IF(ISERROR(MATCH(A175,'SegEnds_Xtal_Prot#'!B:B, 0)), "NoXtal", "Xtal")</f>
        <v>NoXtal</v>
      </c>
    </row>
    <row r="176" spans="1:38" x14ac:dyDescent="0.2">
      <c r="A176" s="1" t="s">
        <v>169</v>
      </c>
      <c r="B176" s="1" t="str">
        <f>VLOOKUP(A176,Xtal_Templ!A:B,2,FALSE)</f>
        <v>ccr7_human</v>
      </c>
      <c r="C176" s="5">
        <f>VLOOKUP($B176&amp;"__wt",'SegEnds_Xtal_BW#'!$A:$Z,3,FALSE)</f>
        <v>29</v>
      </c>
      <c r="D176" s="1">
        <f>VLOOKUP($B176&amp;"__wt",'SegEnds_Xtal_BW#'!$A:$Z,4,FALSE)</f>
        <v>60</v>
      </c>
      <c r="E176" s="1">
        <f>VLOOKUP($B176&amp;"__wt",'SegEnds_Xtal_BW#'!$A:$Z,5,FALSE)</f>
        <v>48</v>
      </c>
      <c r="F176" s="1">
        <f>VLOOKUP($B176&amp;"__wt",'SegEnds_Xtal_BW#'!$A:$Z,6,FALSE)</f>
        <v>51</v>
      </c>
      <c r="G176" s="1">
        <v>37</v>
      </c>
      <c r="H176" s="12">
        <v>66</v>
      </c>
      <c r="I176" s="1">
        <f>VLOOKUP($B176&amp;"__wt",'SegEnds_Xtal_BW#'!$A:$Z,9,FALSE)</f>
        <v>49</v>
      </c>
      <c r="J176" s="1">
        <f>VLOOKUP($B176&amp;"__wt",'SegEnds_Xtal_BW#'!$A:$Z,10,FALSE)</f>
        <v>52</v>
      </c>
      <c r="K176" s="12">
        <v>24</v>
      </c>
      <c r="L176" s="1">
        <f>VLOOKUP($B176&amp;"__wt",'SegEnds_Xtal_BW#'!$A:$Z,12,FALSE)</f>
        <v>56</v>
      </c>
      <c r="M176" s="1">
        <f>VLOOKUP($B176&amp;"__wt",'SegEnds_Xtal_BW#'!$A:$Z,13,FALSE)</f>
        <v>50</v>
      </c>
      <c r="N176" s="12">
        <f>VLOOKUP($B176&amp;"__wt",'SegEnds_Xtal_BW#'!$A:$Z,14,FALSE)</f>
        <v>58</v>
      </c>
      <c r="O176" s="87">
        <v>38</v>
      </c>
      <c r="P176" s="1">
        <f>VLOOKUP($B176&amp;"__wt",'SegEnds_Xtal_BW#'!$A:$Z,16,FALSE)</f>
        <v>64</v>
      </c>
      <c r="Q176" s="1">
        <f>VLOOKUP($B176&amp;"__wt",'SegEnds_Xtal_BW#'!$A:$Z,17,FALSE)</f>
        <v>50</v>
      </c>
      <c r="R176" s="1">
        <f>VLOOKUP($B176&amp;"__wt",'SegEnds_Xtal_BW#'!$A:$Z,18,FALSE)</f>
        <v>52</v>
      </c>
      <c r="S176" s="1">
        <f>VLOOKUP($B176&amp;"__wt",'SegEnds_Xtal_BW#'!$A:$Z,19,FALSE)</f>
        <v>33</v>
      </c>
      <c r="T176" s="1">
        <f t="array" ref="T176">INDEX(ICL3_classA!$G$2:$G$39,MATCH(MIN(ABS(AI176-ICL3_classA!$F$2:$F$39)),ABS(AI176-ICL3_classA!$F$2:$F$39),0))</f>
        <v>68</v>
      </c>
      <c r="U176" s="1">
        <f t="array" ref="U176">INDEX(ICL3_classA!$H$2:$H$39,MATCH(MIN(ABS(AI176-ICL3_classA!$F$2:$F$39)),ABS(AI176-ICL3_classA!$F$2:$F$39),0))</f>
        <v>30</v>
      </c>
      <c r="V176" s="1">
        <v>65</v>
      </c>
      <c r="W176" s="1">
        <v>24</v>
      </c>
      <c r="X176" s="1">
        <f>VLOOKUP($B176&amp;"__wt",'SegEnds_Xtal_BW#'!$A:$Z,24,FALSE)</f>
        <v>56</v>
      </c>
      <c r="Y176" s="1">
        <f>VLOOKUP($B176&amp;"__wt",'SegEnds_Xtal_BW#'!$A:$Z,25,FALSE)</f>
        <v>47</v>
      </c>
      <c r="Z176" s="1">
        <f>VLOOKUP($B176&amp;"__wt",'SegEnds_Xtal_BW#'!$A:$Z,26,FALSE)</f>
        <v>59</v>
      </c>
      <c r="AA176" s="27" t="str">
        <f>VLOOKUP(A176,Classification!A:B,2,FALSE)</f>
        <v>A</v>
      </c>
      <c r="AB176" s="1">
        <f>VLOOKUP(A176,'SegEnds_NonXtal_Prot#'!A:AL,10,FALSE)-VLOOKUP(A176,'SegEnds_NonXtal_Prot#'!A:AL,4,FALSE)</f>
        <v>29</v>
      </c>
      <c r="AC176" s="1">
        <f>VLOOKUP(A176,'SegEnds_NonXtal_Prot#'!A:AL,10,FALSE)-VLOOKUP(A176,'SegEnds_NonXtal_Prot#'!A:AL,7,FALSE)</f>
        <v>16</v>
      </c>
      <c r="AD176" s="1">
        <f>VLOOKUP(A176,'SegEnds_NonXtal_Prot#'!A:AL,13,FALSE)-VLOOKUP(A176,'SegEnds_NonXtal_Prot#'!A:AL,10,FALSE)</f>
        <v>18</v>
      </c>
      <c r="AE176" s="1">
        <f>VLOOKUP(A176,'SegEnds_NonXtal_Prot#'!A:AL,16,FALSE)-VLOOKUP(A176,'SegEnds_NonXtal_Prot#'!A:AL,10,FALSE)</f>
        <v>50</v>
      </c>
      <c r="AF176" s="1" t="e">
        <f>VLOOKUP(A176,'SegEnds_NonXtal_Prot#'!A:AL,22,FALSE)-VLOOKUP(A176,'SegEnds_NonXtal_Prot#'!A:AL,19,FALSE)</f>
        <v>#VALUE!</v>
      </c>
      <c r="AG176" s="1">
        <f>VLOOKUP(A176,'SegEnds_NonXtal_Prot#'!A:AL,28,FALSE)-VLOOKUP(A176,'SegEnds_NonXtal_Prot#'!A:AL,25,FALSE)</f>
        <v>28</v>
      </c>
      <c r="AH176" s="1">
        <f>VLOOKUP(A176,'SegEnds_NonXtal_Prot#'!A:AL,28,FALSE)-VLOOKUP(A176,'SegEnds_NonXtal_Prot#'!A:AL,22,FALSE)</f>
        <v>53</v>
      </c>
      <c r="AI176" s="1">
        <f>VLOOKUP(A176,'SegEnds_NonXtal_Prot#'!A:AL,31,FALSE)-VLOOKUP(A176,'SegEnds_NonXtal_Prot#'!A:AL,28,FALSE)</f>
        <v>43</v>
      </c>
      <c r="AJ176" s="1">
        <f>VLOOKUP(A176,'SegEnds_NonXtal_Prot#'!A:AL,34,FALSE)-VLOOKUP(A176,'SegEnds_NonXtal_Prot#'!A:AL,31,FALSE)</f>
        <v>45</v>
      </c>
      <c r="AK176" s="1">
        <f>VLOOKUP(A176,'SegEnds_NonXtal_Prot#'!A:AL,37,FALSE)-VLOOKUP(A176,'SegEnds_NonXtal_Prot#'!A:AL,34,FALSE)</f>
        <v>10</v>
      </c>
      <c r="AL176" s="1" t="str">
        <f>IF(ISERROR(MATCH(A176,'SegEnds_Xtal_Prot#'!B:B, 0)), "NoXtal", "Xtal")</f>
        <v>NoXtal</v>
      </c>
    </row>
    <row r="177" spans="1:38" x14ac:dyDescent="0.2">
      <c r="A177" s="1" t="s">
        <v>171</v>
      </c>
      <c r="B177" s="1" t="str">
        <f>VLOOKUP(A177,Xtal_Templ!A:B,2,FALSE)</f>
        <v>ccr5_human</v>
      </c>
      <c r="C177" s="5">
        <f>VLOOKUP($B177&amp;"__wt",'SegEnds_Xtal_BW#'!$A:$Z,3,FALSE)</f>
        <v>24</v>
      </c>
      <c r="D177" s="1">
        <f>VLOOKUP($B177&amp;"__wt",'SegEnds_Xtal_BW#'!$A:$Z,4,FALSE)</f>
        <v>60</v>
      </c>
      <c r="E177" s="1">
        <f>VLOOKUP($B177&amp;"__wt",'SegEnds_Xtal_BW#'!$A:$Z,5,FALSE)</f>
        <v>48</v>
      </c>
      <c r="F177" s="1">
        <f>VLOOKUP($B177&amp;"__wt",'SegEnds_Xtal_BW#'!$A:$Z,6,FALSE)</f>
        <v>51</v>
      </c>
      <c r="G177" s="1">
        <v>37</v>
      </c>
      <c r="H177" s="12">
        <v>66</v>
      </c>
      <c r="I177" s="1">
        <f>VLOOKUP($B177&amp;"__wt",'SegEnds_Xtal_BW#'!$A:$Z,9,FALSE)</f>
        <v>49</v>
      </c>
      <c r="J177" s="1">
        <f>VLOOKUP($B177&amp;"__wt",'SegEnds_Xtal_BW#'!$A:$Z,10,FALSE)</f>
        <v>52</v>
      </c>
      <c r="K177" s="12">
        <v>21</v>
      </c>
      <c r="L177" s="1">
        <f>VLOOKUP($B177&amp;"__wt",'SegEnds_Xtal_BW#'!$A:$Z,12,FALSE)</f>
        <v>56</v>
      </c>
      <c r="M177" s="1">
        <f>VLOOKUP($B177&amp;"__wt",'SegEnds_Xtal_BW#'!$A:$Z,13,FALSE)</f>
        <v>50</v>
      </c>
      <c r="N177" s="12">
        <f>VLOOKUP($B177&amp;"__wt",'SegEnds_Xtal_BW#'!$A:$Z,14,FALSE)</f>
        <v>57</v>
      </c>
      <c r="O177" s="87">
        <f>VLOOKUP($B177&amp;"__wt",'SegEnds_Xtal_BW#'!$A:$Z,15,FALSE)</f>
        <v>38</v>
      </c>
      <c r="P177" s="1">
        <f>VLOOKUP($B177&amp;"__wt",'SegEnds_Xtal_BW#'!$A:$Z,16,FALSE)</f>
        <v>64</v>
      </c>
      <c r="Q177" s="1">
        <f>VLOOKUP($B177&amp;"__wt",'SegEnds_Xtal_BW#'!$A:$Z,17,FALSE)</f>
        <v>50</v>
      </c>
      <c r="R177" s="1">
        <f>VLOOKUP($B177&amp;"__wt",'SegEnds_Xtal_BW#'!$A:$Z,18,FALSE)</f>
        <v>52</v>
      </c>
      <c r="S177" s="1">
        <f>VLOOKUP($B177&amp;"__wt",'SegEnds_Xtal_BW#'!$A:$Z,19,FALSE)</f>
        <v>30</v>
      </c>
      <c r="T177" s="1">
        <f t="array" ref="T177">INDEX(ICL3_classA!$G$2:$G$39,MATCH(MIN(ABS(AI177-ICL3_classA!$F$2:$F$39)),ABS(AI177-ICL3_classA!$F$2:$F$39),0))</f>
        <v>68</v>
      </c>
      <c r="U177" s="1">
        <f t="array" ref="U177">INDEX(ICL3_classA!$H$2:$H$39,MATCH(MIN(ABS(AI177-ICL3_classA!$F$2:$F$39)),ABS(AI177-ICL3_classA!$F$2:$F$39),0))</f>
        <v>30</v>
      </c>
      <c r="V177" s="1">
        <v>65</v>
      </c>
      <c r="W177" s="1">
        <v>24</v>
      </c>
      <c r="X177" s="1">
        <f>VLOOKUP($B177&amp;"__wt",'SegEnds_Xtal_BW#'!$A:$Z,24,FALSE)</f>
        <v>56</v>
      </c>
      <c r="Y177" s="1">
        <f>VLOOKUP($B177&amp;"__wt",'SegEnds_Xtal_BW#'!$A:$Z,25,FALSE)</f>
        <v>47</v>
      </c>
      <c r="Z177" s="1">
        <f>VLOOKUP($B177&amp;"__wt",'SegEnds_Xtal_BW#'!$A:$Z,26,FALSE)</f>
        <v>59</v>
      </c>
      <c r="AA177" s="27" t="str">
        <f>VLOOKUP(A177,Classification!A:B,2,FALSE)</f>
        <v>A</v>
      </c>
      <c r="AB177" s="1">
        <f>VLOOKUP(A177,'SegEnds_NonXtal_Prot#'!A:AL,10,FALSE)-VLOOKUP(A177,'SegEnds_NonXtal_Prot#'!A:AL,4,FALSE)</f>
        <v>28</v>
      </c>
      <c r="AC177" s="1">
        <f>VLOOKUP(A177,'SegEnds_NonXtal_Prot#'!A:AL,10,FALSE)-VLOOKUP(A177,'SegEnds_NonXtal_Prot#'!A:AL,7,FALSE)</f>
        <v>15</v>
      </c>
      <c r="AD177" s="1">
        <f>VLOOKUP(A177,'SegEnds_NonXtal_Prot#'!A:AL,13,FALSE)-VLOOKUP(A177,'SegEnds_NonXtal_Prot#'!A:AL,10,FALSE)</f>
        <v>19</v>
      </c>
      <c r="AE177" s="1">
        <f>VLOOKUP(A177,'SegEnds_NonXtal_Prot#'!A:AL,16,FALSE)-VLOOKUP(A177,'SegEnds_NonXtal_Prot#'!A:AL,10,FALSE)</f>
        <v>51</v>
      </c>
      <c r="AF177" s="1">
        <f>VLOOKUP(A177,'SegEnds_NonXtal_Prot#'!A:AL,22,FALSE)-VLOOKUP(A177,'SegEnds_NonXtal_Prot#'!A:AL,19,FALSE)</f>
        <v>20</v>
      </c>
      <c r="AG177" s="1">
        <f>VLOOKUP(A177,'SegEnds_NonXtal_Prot#'!A:AL,28,FALSE)-VLOOKUP(A177,'SegEnds_NonXtal_Prot#'!A:AL,25,FALSE)</f>
        <v>28</v>
      </c>
      <c r="AH177" s="1">
        <f>VLOOKUP(A177,'SegEnds_NonXtal_Prot#'!A:AL,28,FALSE)-VLOOKUP(A177,'SegEnds_NonXtal_Prot#'!A:AL,22,FALSE)</f>
        <v>53</v>
      </c>
      <c r="AI177" s="1">
        <f>VLOOKUP(A177,'SegEnds_NonXtal_Prot#'!A:AL,31,FALSE)-VLOOKUP(A177,'SegEnds_NonXtal_Prot#'!A:AL,28,FALSE)</f>
        <v>43</v>
      </c>
      <c r="AJ177" s="1">
        <f>VLOOKUP(A177,'SegEnds_NonXtal_Prot#'!A:AL,34,FALSE)-VLOOKUP(A177,'SegEnds_NonXtal_Prot#'!A:AL,31,FALSE)</f>
        <v>44</v>
      </c>
      <c r="AK177" s="1">
        <f>VLOOKUP(A177,'SegEnds_NonXtal_Prot#'!A:AL,37,FALSE)-VLOOKUP(A177,'SegEnds_NonXtal_Prot#'!A:AL,34,FALSE)</f>
        <v>10</v>
      </c>
      <c r="AL177" s="1" t="str">
        <f>IF(ISERROR(MATCH(A177,'SegEnds_Xtal_Prot#'!B:B, 0)), "NoXtal", "Xtal")</f>
        <v>NoXtal</v>
      </c>
    </row>
    <row r="178" spans="1:38" x14ac:dyDescent="0.2">
      <c r="A178" s="1" t="s">
        <v>173</v>
      </c>
      <c r="B178" s="1" t="str">
        <f>VLOOKUP(A178,Xtal_Templ!A:B,2,FALSE)</f>
        <v>ccr5_human</v>
      </c>
      <c r="C178" s="5">
        <f>VLOOKUP($B178&amp;"__wt",'SegEnds_Xtal_BW#'!$A:$Z,3,FALSE)</f>
        <v>24</v>
      </c>
      <c r="D178" s="1">
        <f>VLOOKUP($B178&amp;"__wt",'SegEnds_Xtal_BW#'!$A:$Z,4,FALSE)</f>
        <v>60</v>
      </c>
      <c r="E178" s="1">
        <f>VLOOKUP($B178&amp;"__wt",'SegEnds_Xtal_BW#'!$A:$Z,5,FALSE)</f>
        <v>48</v>
      </c>
      <c r="F178" s="1">
        <f>VLOOKUP($B178&amp;"__wt",'SegEnds_Xtal_BW#'!$A:$Z,6,FALSE)</f>
        <v>51</v>
      </c>
      <c r="G178" s="1">
        <v>37</v>
      </c>
      <c r="H178" s="12">
        <v>66</v>
      </c>
      <c r="I178" s="1">
        <f>VLOOKUP($B178&amp;"__wt",'SegEnds_Xtal_BW#'!$A:$Z,9,FALSE)</f>
        <v>49</v>
      </c>
      <c r="J178" s="1">
        <f>VLOOKUP($B178&amp;"__wt",'SegEnds_Xtal_BW#'!$A:$Z,10,FALSE)</f>
        <v>52</v>
      </c>
      <c r="K178" s="12">
        <v>24</v>
      </c>
      <c r="L178" s="1">
        <f>VLOOKUP($B178&amp;"__wt",'SegEnds_Xtal_BW#'!$A:$Z,12,FALSE)</f>
        <v>56</v>
      </c>
      <c r="M178" s="1">
        <f>VLOOKUP($B178&amp;"__wt",'SegEnds_Xtal_BW#'!$A:$Z,13,FALSE)</f>
        <v>50</v>
      </c>
      <c r="N178" s="12">
        <f>VLOOKUP($B178&amp;"__wt",'SegEnds_Xtal_BW#'!$A:$Z,14,FALSE)</f>
        <v>57</v>
      </c>
      <c r="O178" s="87">
        <f>VLOOKUP($B178&amp;"__wt",'SegEnds_Xtal_BW#'!$A:$Z,15,FALSE)</f>
        <v>38</v>
      </c>
      <c r="P178" s="1">
        <f>VLOOKUP($B178&amp;"__wt",'SegEnds_Xtal_BW#'!$A:$Z,16,FALSE)</f>
        <v>64</v>
      </c>
      <c r="Q178" s="1">
        <f>VLOOKUP($B178&amp;"__wt",'SegEnds_Xtal_BW#'!$A:$Z,17,FALSE)</f>
        <v>50</v>
      </c>
      <c r="R178" s="1">
        <f>VLOOKUP($B178&amp;"__wt",'SegEnds_Xtal_BW#'!$A:$Z,18,FALSE)</f>
        <v>52</v>
      </c>
      <c r="S178" s="1">
        <f>VLOOKUP($B178&amp;"__wt",'SegEnds_Xtal_BW#'!$A:$Z,19,FALSE)</f>
        <v>30</v>
      </c>
      <c r="T178" s="1">
        <f t="array" ref="T178">INDEX(ICL3_classA!$G$2:$G$39,MATCH(MIN(ABS(AI178-ICL3_classA!$F$2:$F$39)),ABS(AI178-ICL3_classA!$F$2:$F$39),0))</f>
        <v>68</v>
      </c>
      <c r="U178" s="1">
        <f t="array" ref="U178">INDEX(ICL3_classA!$H$2:$H$39,MATCH(MIN(ABS(AI178-ICL3_classA!$F$2:$F$39)),ABS(AI178-ICL3_classA!$F$2:$F$39),0))</f>
        <v>28</v>
      </c>
      <c r="V178" s="1">
        <v>65</v>
      </c>
      <c r="W178" s="1">
        <v>24</v>
      </c>
      <c r="X178" s="1">
        <f>VLOOKUP($B178&amp;"__wt",'SegEnds_Xtal_BW#'!$A:$Z,24,FALSE)</f>
        <v>56</v>
      </c>
      <c r="Y178" s="1">
        <f>VLOOKUP($B178&amp;"__wt",'SegEnds_Xtal_BW#'!$A:$Z,25,FALSE)</f>
        <v>47</v>
      </c>
      <c r="Z178" s="1">
        <f>VLOOKUP($B178&amp;"__wt",'SegEnds_Xtal_BW#'!$A:$Z,26,FALSE)</f>
        <v>59</v>
      </c>
      <c r="AA178" s="27" t="str">
        <f>VLOOKUP(A178,Classification!A:B,2,FALSE)</f>
        <v>A</v>
      </c>
      <c r="AB178" s="1">
        <f>VLOOKUP(A178,'SegEnds_NonXtal_Prot#'!A:AL,10,FALSE)-VLOOKUP(A178,'SegEnds_NonXtal_Prot#'!A:AL,4,FALSE)</f>
        <v>28</v>
      </c>
      <c r="AC178" s="1">
        <f>VLOOKUP(A178,'SegEnds_NonXtal_Prot#'!A:AL,10,FALSE)-VLOOKUP(A178,'SegEnds_NonXtal_Prot#'!A:AL,7,FALSE)</f>
        <v>15</v>
      </c>
      <c r="AD178" s="1">
        <f>VLOOKUP(A178,'SegEnds_NonXtal_Prot#'!A:AL,13,FALSE)-VLOOKUP(A178,'SegEnds_NonXtal_Prot#'!A:AL,10,FALSE)</f>
        <v>18</v>
      </c>
      <c r="AE178" s="1">
        <f>VLOOKUP(A178,'SegEnds_NonXtal_Prot#'!A:AL,16,FALSE)-VLOOKUP(A178,'SegEnds_NonXtal_Prot#'!A:AL,10,FALSE)</f>
        <v>50</v>
      </c>
      <c r="AF178" s="1">
        <f>VLOOKUP(A178,'SegEnds_NonXtal_Prot#'!A:AL,22,FALSE)-VLOOKUP(A178,'SegEnds_NonXtal_Prot#'!A:AL,19,FALSE)</f>
        <v>20</v>
      </c>
      <c r="AG178" s="1">
        <f>VLOOKUP(A178,'SegEnds_NonXtal_Prot#'!A:AL,28,FALSE)-VLOOKUP(A178,'SegEnds_NonXtal_Prot#'!A:AL,25,FALSE)</f>
        <v>28</v>
      </c>
      <c r="AH178" s="1">
        <f>VLOOKUP(A178,'SegEnds_NonXtal_Prot#'!A:AL,28,FALSE)-VLOOKUP(A178,'SegEnds_NonXtal_Prot#'!A:AL,22,FALSE)</f>
        <v>53</v>
      </c>
      <c r="AI178" s="1">
        <f>VLOOKUP(A178,'SegEnds_NonXtal_Prot#'!A:AL,31,FALSE)-VLOOKUP(A178,'SegEnds_NonXtal_Prot#'!A:AL,28,FALSE)</f>
        <v>44</v>
      </c>
      <c r="AJ178" s="1">
        <f>VLOOKUP(A178,'SegEnds_NonXtal_Prot#'!A:AL,34,FALSE)-VLOOKUP(A178,'SegEnds_NonXtal_Prot#'!A:AL,31,FALSE)</f>
        <v>44</v>
      </c>
      <c r="AK178" s="1">
        <f>VLOOKUP(A178,'SegEnds_NonXtal_Prot#'!A:AL,37,FALSE)-VLOOKUP(A178,'SegEnds_NonXtal_Prot#'!A:AL,34,FALSE)</f>
        <v>10</v>
      </c>
      <c r="AL178" s="1" t="str">
        <f>IF(ISERROR(MATCH(A178,'SegEnds_Xtal_Prot#'!B:B, 0)), "NoXtal", "Xtal")</f>
        <v>Xtal</v>
      </c>
    </row>
    <row r="179" spans="1:38" x14ac:dyDescent="0.2">
      <c r="A179" s="12" t="s">
        <v>177</v>
      </c>
      <c r="B179" s="12" t="str">
        <f>VLOOKUP(A179,Xtal_Templ!A:B,2,FALSE)</f>
        <v>ccr9_human</v>
      </c>
      <c r="C179" s="13">
        <f>VLOOKUP($B179&amp;"__wt",'SegEnds_Xtal_BW#'!$A:$Z,3,FALSE)</f>
        <v>27</v>
      </c>
      <c r="D179" s="12">
        <f>VLOOKUP($B179&amp;"__wt",'SegEnds_Xtal_BW#'!$A:$Z,4,FALSE)</f>
        <v>60</v>
      </c>
      <c r="E179" s="12">
        <f>VLOOKUP($B179&amp;"__wt",'SegEnds_Xtal_BW#'!$A:$Z,5,FALSE)</f>
        <v>48</v>
      </c>
      <c r="F179" s="12">
        <f>VLOOKUP($B179&amp;"__wt",'SegEnds_Xtal_BW#'!$A:$Z,6,FALSE)</f>
        <v>51</v>
      </c>
      <c r="G179" s="12">
        <v>37</v>
      </c>
      <c r="H179" s="12">
        <v>66</v>
      </c>
      <c r="I179" s="12">
        <f>VLOOKUP($B179&amp;"__wt",'SegEnds_Xtal_BW#'!$A:$Z,9,FALSE)</f>
        <v>49</v>
      </c>
      <c r="J179" s="12">
        <f>VLOOKUP($B179&amp;"__wt",'SegEnds_Xtal_BW#'!$A:$Z,10,FALSE)</f>
        <v>52</v>
      </c>
      <c r="K179" s="12">
        <v>24</v>
      </c>
      <c r="L179" s="12">
        <f>VLOOKUP($B179&amp;"__wt",'SegEnds_Xtal_BW#'!$A:$Z,12,FALSE)</f>
        <v>56</v>
      </c>
      <c r="M179" s="12">
        <f>VLOOKUP($B179&amp;"__wt",'SegEnds_Xtal_BW#'!$A:$Z,13,FALSE)</f>
        <v>50</v>
      </c>
      <c r="N179" s="12">
        <f>VLOOKUP($B179&amp;"__wt",'SegEnds_Xtal_BW#'!$A:$Z,14,FALSE)</f>
        <v>56</v>
      </c>
      <c r="O179" s="87">
        <f>VLOOKUP($B179&amp;"__wt",'SegEnds_Xtal_BW#'!$A:$Z,15,FALSE)</f>
        <v>35</v>
      </c>
      <c r="P179" s="12">
        <f>VLOOKUP($B179&amp;"__wt",'SegEnds_Xtal_BW#'!$A:$Z,16,FALSE)</f>
        <v>64</v>
      </c>
      <c r="Q179" s="12">
        <f>VLOOKUP($B179&amp;"__wt",'SegEnds_Xtal_BW#'!$A:$Z,17,FALSE)</f>
        <v>50</v>
      </c>
      <c r="R179" s="12">
        <f>VLOOKUP($B179&amp;"__wt",'SegEnds_Xtal_BW#'!$A:$Z,18,FALSE)</f>
        <v>52</v>
      </c>
      <c r="S179" s="12">
        <f>VLOOKUP($B179&amp;"__wt",'SegEnds_Xtal_BW#'!$A:$Z,19,FALSE)</f>
        <v>33</v>
      </c>
      <c r="T179" s="12">
        <f t="array" ref="T179">INDEX(ICL3_classA!$G$2:$G$39,MATCH(MIN(ABS(AI179-ICL3_classA!$F$2:$F$39)),ABS(AI179-ICL3_classA!$F$2:$F$39),0))</f>
        <v>68</v>
      </c>
      <c r="U179" s="12">
        <f t="array" ref="U179">INDEX(ICL3_classA!$H$2:$H$39,MATCH(MIN(ABS(AI179-ICL3_classA!$F$2:$F$39)),ABS(AI179-ICL3_classA!$F$2:$F$39),0))</f>
        <v>30</v>
      </c>
      <c r="V179" s="12">
        <v>65</v>
      </c>
      <c r="W179" s="12">
        <v>24</v>
      </c>
      <c r="X179" s="12">
        <f>VLOOKUP($B179&amp;"__wt",'SegEnds_Xtal_BW#'!$A:$Z,24,FALSE)</f>
        <v>56</v>
      </c>
      <c r="Y179" s="12">
        <f>VLOOKUP($B179&amp;"__wt",'SegEnds_Xtal_BW#'!$A:$Z,25,FALSE)</f>
        <v>47</v>
      </c>
      <c r="Z179" s="12">
        <f>VLOOKUP($B179&amp;"__wt",'SegEnds_Xtal_BW#'!$A:$Z,26,FALSE)</f>
        <v>67</v>
      </c>
      <c r="AA179" s="36" t="str">
        <f>VLOOKUP(A179,Classification!A:B,2,FALSE)</f>
        <v>A</v>
      </c>
      <c r="AB179" s="1">
        <f>VLOOKUP(A179,'SegEnds_NonXtal_Prot#'!A:AL,10,FALSE)-VLOOKUP(A179,'SegEnds_NonXtal_Prot#'!A:AL,4,FALSE)</f>
        <v>28</v>
      </c>
      <c r="AC179" s="12">
        <f>VLOOKUP(A179,'SegEnds_NonXtal_Prot#'!A:AL,10,FALSE)-VLOOKUP(A179,'SegEnds_NonXtal_Prot#'!A:AL,7,FALSE)</f>
        <v>15</v>
      </c>
      <c r="AD179" s="12">
        <f>VLOOKUP(A179,'SegEnds_NonXtal_Prot#'!A:AL,13,FALSE)-VLOOKUP(A179,'SegEnds_NonXtal_Prot#'!A:AL,10,FALSE)</f>
        <v>18</v>
      </c>
      <c r="AE179" s="12">
        <f>VLOOKUP(A179,'SegEnds_NonXtal_Prot#'!A:AL,16,FALSE)-VLOOKUP(A179,'SegEnds_NonXtal_Prot#'!A:AL,10,FALSE)</f>
        <v>50</v>
      </c>
      <c r="AF179" s="1">
        <f>VLOOKUP(A179,'SegEnds_NonXtal_Prot#'!A:AL,22,FALSE)-VLOOKUP(A179,'SegEnds_NonXtal_Prot#'!A:AL,19,FALSE)</f>
        <v>22</v>
      </c>
      <c r="AG179" s="12">
        <f>VLOOKUP(A179,'SegEnds_NonXtal_Prot#'!A:AL,28,FALSE)-VLOOKUP(A179,'SegEnds_NonXtal_Prot#'!A:AL,25,FALSE)</f>
        <v>28</v>
      </c>
      <c r="AH179" s="1">
        <f>VLOOKUP(A179,'SegEnds_NonXtal_Prot#'!A:AL,28,FALSE)-VLOOKUP(A179,'SegEnds_NonXtal_Prot#'!A:AL,22,FALSE)</f>
        <v>53</v>
      </c>
      <c r="AI179" s="12">
        <f>VLOOKUP(A179,'SegEnds_NonXtal_Prot#'!A:AL,31,FALSE)-VLOOKUP(A179,'SegEnds_NonXtal_Prot#'!A:AL,28,FALSE)</f>
        <v>43</v>
      </c>
      <c r="AJ179" s="12">
        <f>VLOOKUP(A179,'SegEnds_NonXtal_Prot#'!A:AL,34,FALSE)-VLOOKUP(A179,'SegEnds_NonXtal_Prot#'!A:AL,31,FALSE)</f>
        <v>45</v>
      </c>
      <c r="AK179" s="1">
        <f>VLOOKUP(A179,'SegEnds_NonXtal_Prot#'!A:AL,37,FALSE)-VLOOKUP(A179,'SegEnds_NonXtal_Prot#'!A:AL,34,FALSE)</f>
        <v>10</v>
      </c>
      <c r="AL179" s="12" t="str">
        <f>IF(ISERROR(MATCH(A179,'SegEnds_Xtal_Prot#'!B:B, 0)), "NoXtal", "Xtal")</f>
        <v>Xtal</v>
      </c>
    </row>
    <row r="180" spans="1:38" x14ac:dyDescent="0.2">
      <c r="A180" s="1" t="s">
        <v>179</v>
      </c>
      <c r="B180" s="1" t="str">
        <f>VLOOKUP(A180,Xtal_Templ!A:B,2,FALSE)</f>
        <v>cltr1_human</v>
      </c>
      <c r="C180" s="5">
        <f>VLOOKUP($B180&amp;"__wt",'SegEnds_Xtal_BW#'!$A:$Z,3,FALSE)</f>
        <v>20</v>
      </c>
      <c r="D180" s="1">
        <f>VLOOKUP($B180&amp;"__wt",'SegEnds_Xtal_BW#'!$A:$Z,4,FALSE)</f>
        <v>60</v>
      </c>
      <c r="E180" s="1" t="str">
        <f>VLOOKUP($B180&amp;"__wt",'SegEnds_Xtal_BW#'!$A:$Z,5,FALSE)</f>
        <v>-</v>
      </c>
      <c r="F180" s="1" t="str">
        <f>VLOOKUP($B180&amp;"__wt",'SegEnds_Xtal_BW#'!$A:$Z,6,FALSE)</f>
        <v>-</v>
      </c>
      <c r="G180" s="1">
        <v>37</v>
      </c>
      <c r="H180" s="12">
        <f>VLOOKUP($B180&amp;"__wt",'SegEnds_Xtal_BW#'!$A:$Z,8,FALSE)</f>
        <v>67</v>
      </c>
      <c r="I180" s="1">
        <f>VLOOKUP($B180&amp;"__wt",'SegEnds_Xtal_BW#'!$A:$Z,9,FALSE)</f>
        <v>49</v>
      </c>
      <c r="J180" s="1">
        <f>VLOOKUP($B180&amp;"__wt",'SegEnds_Xtal_BW#'!$A:$Z,10,FALSE)</f>
        <v>52</v>
      </c>
      <c r="K180" s="12">
        <v>18</v>
      </c>
      <c r="L180" s="1">
        <f>VLOOKUP($B180&amp;"__wt",'SegEnds_Xtal_BW#'!$A:$Z,12,FALSE)</f>
        <v>56</v>
      </c>
      <c r="M180" s="1">
        <f>VLOOKUP($B180&amp;"__wt",'SegEnds_Xtal_BW#'!$A:$Z,13,FALSE)</f>
        <v>50</v>
      </c>
      <c r="N180" s="12">
        <v>57</v>
      </c>
      <c r="O180" s="87">
        <f>VLOOKUP($B180&amp;"__wt",'SegEnds_Xtal_BW#'!$A:$Z,15,FALSE)</f>
        <v>38</v>
      </c>
      <c r="P180" s="1">
        <f>VLOOKUP($B180&amp;"__wt",'SegEnds_Xtal_BW#'!$A:$Z,16,FALSE)</f>
        <v>63</v>
      </c>
      <c r="Q180" s="1">
        <f>VLOOKUP($B180&amp;"__wt",'SegEnds_Xtal_BW#'!$A:$Z,17,FALSE)</f>
        <v>50</v>
      </c>
      <c r="R180" s="1">
        <f>VLOOKUP($B180&amp;"__wt",'SegEnds_Xtal_BW#'!$A:$Z,18,FALSE)</f>
        <v>52</v>
      </c>
      <c r="S180" s="1">
        <f>VLOOKUP($B180&amp;"__wt",'SegEnds_Xtal_BW#'!$A:$Z,19,FALSE)</f>
        <v>28</v>
      </c>
      <c r="T180" s="1">
        <f t="array" ref="T180">INDEX(ICL3_classA!$G$2:$G$39,MATCH(MIN(ABS(AI180-ICL3_classA!$F$2:$F$39)),ABS(AI180-ICL3_classA!$F$2:$F$39),0))</f>
        <v>67</v>
      </c>
      <c r="U180" s="1">
        <f t="array" ref="U180">INDEX(ICL3_classA!$H$2:$H$39,MATCH(MIN(ABS(AI180-ICL3_classA!$F$2:$F$39)),ABS(AI180-ICL3_classA!$F$2:$F$39),0))</f>
        <v>26</v>
      </c>
      <c r="V180" s="1">
        <v>64</v>
      </c>
      <c r="W180" s="1">
        <v>24</v>
      </c>
      <c r="X180" s="1">
        <f>VLOOKUP($B180&amp;"__wt",'SegEnds_Xtal_BW#'!$A:$Z,24,FALSE)</f>
        <v>56</v>
      </c>
      <c r="Y180" s="1">
        <f>VLOOKUP($B180&amp;"__wt",'SegEnds_Xtal_BW#'!$A:$Z,25,FALSE)</f>
        <v>47</v>
      </c>
      <c r="Z180" s="1">
        <f>VLOOKUP($B180&amp;"__wt",'SegEnds_Xtal_BW#'!$A:$Z,26,FALSE)</f>
        <v>59</v>
      </c>
      <c r="AA180" s="27" t="str">
        <f>VLOOKUP(A180,Classification!A:B,2,FALSE)</f>
        <v>A</v>
      </c>
      <c r="AB180" s="1">
        <f>VLOOKUP(A180,'SegEnds_NonXtal_Prot#'!A:AL,10,FALSE)-VLOOKUP(A180,'SegEnds_NonXtal_Prot#'!A:AL,4,FALSE)</f>
        <v>28</v>
      </c>
      <c r="AC180" s="1" t="e">
        <f>VLOOKUP(A180,'SegEnds_NonXtal_Prot#'!A:AL,10,FALSE)-VLOOKUP(A180,'SegEnds_NonXtal_Prot#'!A:AL,7,FALSE)</f>
        <v>#VALUE!</v>
      </c>
      <c r="AD180" s="1">
        <f>VLOOKUP(A180,'SegEnds_NonXtal_Prot#'!A:AL,13,FALSE)-VLOOKUP(A180,'SegEnds_NonXtal_Prot#'!A:AL,10,FALSE)</f>
        <v>20</v>
      </c>
      <c r="AE180" s="1">
        <f>VLOOKUP(A180,'SegEnds_NonXtal_Prot#'!A:AL,16,FALSE)-VLOOKUP(A180,'SegEnds_NonXtal_Prot#'!A:AL,10,FALSE)</f>
        <v>52</v>
      </c>
      <c r="AF180" s="1">
        <f>VLOOKUP(A180,'SegEnds_NonXtal_Prot#'!A:AL,22,FALSE)-VLOOKUP(A180,'SegEnds_NonXtal_Prot#'!A:AL,19,FALSE)</f>
        <v>20</v>
      </c>
      <c r="AG180" s="1">
        <f>VLOOKUP(A180,'SegEnds_NonXtal_Prot#'!A:AL,28,FALSE)-VLOOKUP(A180,'SegEnds_NonXtal_Prot#'!A:AL,25,FALSE)</f>
        <v>28</v>
      </c>
      <c r="AH180" s="1">
        <f>VLOOKUP(A180,'SegEnds_NonXtal_Prot#'!A:AL,28,FALSE)-VLOOKUP(A180,'SegEnds_NonXtal_Prot#'!A:AL,22,FALSE)</f>
        <v>53</v>
      </c>
      <c r="AI180" s="1">
        <f>VLOOKUP(A180,'SegEnds_NonXtal_Prot#'!A:AL,31,FALSE)-VLOOKUP(A180,'SegEnds_NonXtal_Prot#'!A:AL,28,FALSE)</f>
        <v>47</v>
      </c>
      <c r="AJ180" s="1">
        <f>VLOOKUP(A180,'SegEnds_NonXtal_Prot#'!A:AL,34,FALSE)-VLOOKUP(A180,'SegEnds_NonXtal_Prot#'!A:AL,31,FALSE)</f>
        <v>44</v>
      </c>
      <c r="AK180" s="1">
        <f>VLOOKUP(A180,'SegEnds_NonXtal_Prot#'!A:AL,37,FALSE)-VLOOKUP(A180,'SegEnds_NonXtal_Prot#'!A:AL,34,FALSE)</f>
        <v>10</v>
      </c>
      <c r="AL180" s="1" t="str">
        <f>IF(ISERROR(MATCH(A180,'SegEnds_Xtal_Prot#'!B:B, 0)), "NoXtal", "Xtal")</f>
        <v>Xtal</v>
      </c>
    </row>
    <row r="181" spans="1:38" x14ac:dyDescent="0.2">
      <c r="A181" s="1" t="s">
        <v>185</v>
      </c>
      <c r="B181" s="1" t="str">
        <f>VLOOKUP(A181,Xtal_Templ!A:B,2,FALSE)</f>
        <v>ccr7_human</v>
      </c>
      <c r="C181" s="5">
        <f>VLOOKUP($B181&amp;"__wt",'SegEnds_Xtal_BW#'!$A:$Z,3,FALSE)</f>
        <v>29</v>
      </c>
      <c r="D181" s="1">
        <f>VLOOKUP($B181&amp;"__wt",'SegEnds_Xtal_BW#'!$A:$Z,4,FALSE)</f>
        <v>60</v>
      </c>
      <c r="E181" s="1">
        <f>VLOOKUP($B181&amp;"__wt",'SegEnds_Xtal_BW#'!$A:$Z,5,FALSE)</f>
        <v>48</v>
      </c>
      <c r="F181" s="1">
        <f>VLOOKUP($B181&amp;"__wt",'SegEnds_Xtal_BW#'!$A:$Z,6,FALSE)</f>
        <v>51</v>
      </c>
      <c r="G181" s="1">
        <v>37</v>
      </c>
      <c r="H181" s="12">
        <v>66</v>
      </c>
      <c r="I181" s="1">
        <f>VLOOKUP($B181&amp;"__wt",'SegEnds_Xtal_BW#'!$A:$Z,9,FALSE)</f>
        <v>49</v>
      </c>
      <c r="J181" s="1">
        <f>VLOOKUP($B181&amp;"__wt",'SegEnds_Xtal_BW#'!$A:$Z,10,FALSE)</f>
        <v>52</v>
      </c>
      <c r="K181" s="12">
        <v>24</v>
      </c>
      <c r="L181" s="1">
        <f>VLOOKUP($B181&amp;"__wt",'SegEnds_Xtal_BW#'!$A:$Z,12,FALSE)</f>
        <v>56</v>
      </c>
      <c r="M181" s="1">
        <f>VLOOKUP($B181&amp;"__wt",'SegEnds_Xtal_BW#'!$A:$Z,13,FALSE)</f>
        <v>50</v>
      </c>
      <c r="N181" s="108">
        <v>56</v>
      </c>
      <c r="O181" s="87">
        <f>VLOOKUP($B181&amp;"__wt",'SegEnds_Xtal_BW#'!$A:$Z,15,FALSE)</f>
        <v>38</v>
      </c>
      <c r="P181" s="1">
        <f>VLOOKUP($B181&amp;"__wt",'SegEnds_Xtal_BW#'!$A:$Z,16,FALSE)</f>
        <v>64</v>
      </c>
      <c r="Q181" s="1">
        <f>VLOOKUP($B181&amp;"__wt",'SegEnds_Xtal_BW#'!$A:$Z,17,FALSE)</f>
        <v>50</v>
      </c>
      <c r="R181" s="1">
        <f>VLOOKUP($B181&amp;"__wt",'SegEnds_Xtal_BW#'!$A:$Z,18,FALSE)</f>
        <v>52</v>
      </c>
      <c r="S181" s="1">
        <f>VLOOKUP($B181&amp;"__wt",'SegEnds_Xtal_BW#'!$A:$Z,19,FALSE)</f>
        <v>33</v>
      </c>
      <c r="T181" s="1">
        <f t="array" ref="T181">INDEX(ICL3_classA!$G$2:$G$39,MATCH(MIN(ABS(AI181-ICL3_classA!$F$2:$F$39)),ABS(AI181-ICL3_classA!$F$2:$F$39),0))</f>
        <v>68</v>
      </c>
      <c r="U181" s="1">
        <f t="array" ref="U181">INDEX(ICL3_classA!$H$2:$H$39,MATCH(MIN(ABS(AI181-ICL3_classA!$F$2:$F$39)),ABS(AI181-ICL3_classA!$F$2:$F$39),0))</f>
        <v>30</v>
      </c>
      <c r="V181" s="1">
        <v>64</v>
      </c>
      <c r="W181" s="1">
        <v>24</v>
      </c>
      <c r="X181" s="1">
        <f>VLOOKUP($B181&amp;"__wt",'SegEnds_Xtal_BW#'!$A:$Z,24,FALSE)</f>
        <v>56</v>
      </c>
      <c r="Y181" s="1">
        <f>VLOOKUP($B181&amp;"__wt",'SegEnds_Xtal_BW#'!$A:$Z,25,FALSE)</f>
        <v>47</v>
      </c>
      <c r="Z181" s="1">
        <f>VLOOKUP($B181&amp;"__wt",'SegEnds_Xtal_BW#'!$A:$Z,26,FALSE)</f>
        <v>59</v>
      </c>
      <c r="AA181" s="27" t="str">
        <f>VLOOKUP(A181,Classification!A:B,2,FALSE)</f>
        <v>A</v>
      </c>
      <c r="AB181" s="1">
        <f>VLOOKUP(A181,'SegEnds_NonXtal_Prot#'!A:AL,10,FALSE)-VLOOKUP(A181,'SegEnds_NonXtal_Prot#'!A:AL,4,FALSE)</f>
        <v>28</v>
      </c>
      <c r="AC181" s="1">
        <f>VLOOKUP(A181,'SegEnds_NonXtal_Prot#'!A:AL,10,FALSE)-VLOOKUP(A181,'SegEnds_NonXtal_Prot#'!A:AL,7,FALSE)</f>
        <v>15</v>
      </c>
      <c r="AD181" s="1">
        <f>VLOOKUP(A181,'SegEnds_NonXtal_Prot#'!A:AL,13,FALSE)-VLOOKUP(A181,'SegEnds_NonXtal_Prot#'!A:AL,10,FALSE)</f>
        <v>18</v>
      </c>
      <c r="AE181" s="1">
        <f>VLOOKUP(A181,'SegEnds_NonXtal_Prot#'!A:AL,16,FALSE)-VLOOKUP(A181,'SegEnds_NonXtal_Prot#'!A:AL,10,FALSE)</f>
        <v>50</v>
      </c>
      <c r="AF181" s="1">
        <f>VLOOKUP(A181,'SegEnds_NonXtal_Prot#'!A:AL,22,FALSE)-VLOOKUP(A181,'SegEnds_NonXtal_Prot#'!A:AL,19,FALSE)</f>
        <v>19</v>
      </c>
      <c r="AG181" s="1">
        <f>VLOOKUP(A181,'SegEnds_NonXtal_Prot#'!A:AL,28,FALSE)-VLOOKUP(A181,'SegEnds_NonXtal_Prot#'!A:AL,25,FALSE)</f>
        <v>27</v>
      </c>
      <c r="AH181" s="1">
        <f>VLOOKUP(A181,'SegEnds_NonXtal_Prot#'!A:AL,28,FALSE)-VLOOKUP(A181,'SegEnds_NonXtal_Prot#'!A:AL,22,FALSE)</f>
        <v>53</v>
      </c>
      <c r="AI181" s="1">
        <f>VLOOKUP(A181,'SegEnds_NonXtal_Prot#'!A:AL,31,FALSE)-VLOOKUP(A181,'SegEnds_NonXtal_Prot#'!A:AL,28,FALSE)</f>
        <v>43</v>
      </c>
      <c r="AJ181" s="1">
        <f>VLOOKUP(A181,'SegEnds_NonXtal_Prot#'!A:AL,34,FALSE)-VLOOKUP(A181,'SegEnds_NonXtal_Prot#'!A:AL,31,FALSE)</f>
        <v>45</v>
      </c>
      <c r="AK181" s="1">
        <f>VLOOKUP(A181,'SegEnds_NonXtal_Prot#'!A:AL,37,FALSE)-VLOOKUP(A181,'SegEnds_NonXtal_Prot#'!A:AL,34,FALSE)</f>
        <v>10</v>
      </c>
      <c r="AL181" s="1" t="str">
        <f>IF(ISERROR(MATCH(A181,'SegEnds_Xtal_Prot#'!B:B, 0)), "NoXtal", "Xtal")</f>
        <v>NoXtal</v>
      </c>
    </row>
    <row r="182" spans="1:38" x14ac:dyDescent="0.2">
      <c r="A182" s="1" t="s">
        <v>186</v>
      </c>
      <c r="B182" s="1" t="str">
        <f>VLOOKUP(A182,Xtal_Templ!A:B,2,FALSE)</f>
        <v>ccr7_human</v>
      </c>
      <c r="C182" s="5">
        <f>VLOOKUP($B182&amp;"__wt",'SegEnds_Xtal_BW#'!$A:$Z,3,FALSE)</f>
        <v>29</v>
      </c>
      <c r="D182" s="1">
        <f>VLOOKUP($B182&amp;"__wt",'SegEnds_Xtal_BW#'!$A:$Z,4,FALSE)</f>
        <v>60</v>
      </c>
      <c r="E182" s="1">
        <f>VLOOKUP($B182&amp;"__wt",'SegEnds_Xtal_BW#'!$A:$Z,5,FALSE)</f>
        <v>48</v>
      </c>
      <c r="F182" s="1">
        <f>VLOOKUP($B182&amp;"__wt",'SegEnds_Xtal_BW#'!$A:$Z,6,FALSE)</f>
        <v>51</v>
      </c>
      <c r="G182" s="1">
        <v>37</v>
      </c>
      <c r="H182" s="12">
        <v>66</v>
      </c>
      <c r="I182" s="1">
        <f>VLOOKUP($B182&amp;"__wt",'SegEnds_Xtal_BW#'!$A:$Z,9,FALSE)</f>
        <v>49</v>
      </c>
      <c r="J182" s="1">
        <f>VLOOKUP($B182&amp;"__wt",'SegEnds_Xtal_BW#'!$A:$Z,10,FALSE)</f>
        <v>52</v>
      </c>
      <c r="K182" s="12">
        <v>24</v>
      </c>
      <c r="L182" s="1">
        <f>VLOOKUP($B182&amp;"__wt",'SegEnds_Xtal_BW#'!$A:$Z,12,FALSE)</f>
        <v>56</v>
      </c>
      <c r="M182" s="1">
        <f>VLOOKUP($B182&amp;"__wt",'SegEnds_Xtal_BW#'!$A:$Z,13,FALSE)</f>
        <v>50</v>
      </c>
      <c r="N182" s="108">
        <v>56</v>
      </c>
      <c r="O182" s="108">
        <v>38</v>
      </c>
      <c r="P182" s="1">
        <f>VLOOKUP($B182&amp;"__wt",'SegEnds_Xtal_BW#'!$A:$Z,16,FALSE)</f>
        <v>64</v>
      </c>
      <c r="Q182" s="1">
        <f>VLOOKUP($B182&amp;"__wt",'SegEnds_Xtal_BW#'!$A:$Z,17,FALSE)</f>
        <v>50</v>
      </c>
      <c r="R182" s="1">
        <f>VLOOKUP($B182&amp;"__wt",'SegEnds_Xtal_BW#'!$A:$Z,18,FALSE)</f>
        <v>52</v>
      </c>
      <c r="S182" s="1">
        <f>VLOOKUP($B182&amp;"__wt",'SegEnds_Xtal_BW#'!$A:$Z,19,FALSE)</f>
        <v>33</v>
      </c>
      <c r="T182" s="1">
        <f t="array" ref="T182">INDEX(ICL3_classA!$G$2:$G$39,MATCH(MIN(ABS(AI182-ICL3_classA!$F$2:$F$39)),ABS(AI182-ICL3_classA!$F$2:$F$39),0))</f>
        <v>68</v>
      </c>
      <c r="U182" s="1">
        <f t="array" ref="U182">INDEX(ICL3_classA!$H$2:$H$39,MATCH(MIN(ABS(AI182-ICL3_classA!$F$2:$F$39)),ABS(AI182-ICL3_classA!$F$2:$F$39),0))</f>
        <v>30</v>
      </c>
      <c r="V182" s="1">
        <v>64</v>
      </c>
      <c r="W182" s="1">
        <v>24</v>
      </c>
      <c r="X182" s="1">
        <f>VLOOKUP($B182&amp;"__wt",'SegEnds_Xtal_BW#'!$A:$Z,24,FALSE)</f>
        <v>56</v>
      </c>
      <c r="Y182" s="1">
        <f>VLOOKUP($B182&amp;"__wt",'SegEnds_Xtal_BW#'!$A:$Z,25,FALSE)</f>
        <v>47</v>
      </c>
      <c r="Z182" s="1">
        <f>VLOOKUP($B182&amp;"__wt",'SegEnds_Xtal_BW#'!$A:$Z,26,FALSE)</f>
        <v>59</v>
      </c>
      <c r="AA182" s="27" t="str">
        <f>VLOOKUP(A182,Classification!A:B,2,FALSE)</f>
        <v>A</v>
      </c>
      <c r="AB182" s="1">
        <f>VLOOKUP(A182,'SegEnds_NonXtal_Prot#'!A:AL,10,FALSE)-VLOOKUP(A182,'SegEnds_NonXtal_Prot#'!A:AL,4,FALSE)</f>
        <v>28</v>
      </c>
      <c r="AC182" s="1">
        <f>VLOOKUP(A182,'SegEnds_NonXtal_Prot#'!A:AL,10,FALSE)-VLOOKUP(A182,'SegEnds_NonXtal_Prot#'!A:AL,7,FALSE)</f>
        <v>15</v>
      </c>
      <c r="AD182" s="1">
        <f>VLOOKUP(A182,'SegEnds_NonXtal_Prot#'!A:AL,13,FALSE)-VLOOKUP(A182,'SegEnds_NonXtal_Prot#'!A:AL,10,FALSE)</f>
        <v>18</v>
      </c>
      <c r="AE182" s="1">
        <f>VLOOKUP(A182,'SegEnds_NonXtal_Prot#'!A:AL,16,FALSE)-VLOOKUP(A182,'SegEnds_NonXtal_Prot#'!A:AL,10,FALSE)</f>
        <v>50</v>
      </c>
      <c r="AF182" s="1">
        <f>VLOOKUP(A182,'SegEnds_NonXtal_Prot#'!A:AL,22,FALSE)-VLOOKUP(A182,'SegEnds_NonXtal_Prot#'!A:AL,19,FALSE)</f>
        <v>19</v>
      </c>
      <c r="AG182" s="1">
        <f>VLOOKUP(A182,'SegEnds_NonXtal_Prot#'!A:AL,28,FALSE)-VLOOKUP(A182,'SegEnds_NonXtal_Prot#'!A:AL,25,FALSE)</f>
        <v>27</v>
      </c>
      <c r="AH182" s="1">
        <f>VLOOKUP(A182,'SegEnds_NonXtal_Prot#'!A:AL,28,FALSE)-VLOOKUP(A182,'SegEnds_NonXtal_Prot#'!A:AL,22,FALSE)</f>
        <v>53</v>
      </c>
      <c r="AI182" s="1">
        <f>VLOOKUP(A182,'SegEnds_NonXtal_Prot#'!A:AL,31,FALSE)-VLOOKUP(A182,'SegEnds_NonXtal_Prot#'!A:AL,28,FALSE)</f>
        <v>43</v>
      </c>
      <c r="AJ182" s="1">
        <f>VLOOKUP(A182,'SegEnds_NonXtal_Prot#'!A:AL,34,FALSE)-VLOOKUP(A182,'SegEnds_NonXtal_Prot#'!A:AL,31,FALSE)</f>
        <v>45</v>
      </c>
      <c r="AK182" s="1">
        <f>VLOOKUP(A182,'SegEnds_NonXtal_Prot#'!A:AL,37,FALSE)-VLOOKUP(A182,'SegEnds_NonXtal_Prot#'!A:AL,34,FALSE)</f>
        <v>10</v>
      </c>
      <c r="AL182" s="1" t="str">
        <f>IF(ISERROR(MATCH(A182,'SegEnds_Xtal_Prot#'!B:B, 0)), "NoXtal", "Xtal")</f>
        <v>NoXtal</v>
      </c>
    </row>
    <row r="183" spans="1:38" x14ac:dyDescent="0.2">
      <c r="A183" s="1" t="s">
        <v>220</v>
      </c>
      <c r="B183" s="1" t="str">
        <f>VLOOKUP(A183,Xtal_Templ!A:B,2,FALSE)</f>
        <v>s1pr1_human</v>
      </c>
      <c r="C183" s="5">
        <f>VLOOKUP($B183&amp;"__wt",'SegEnds_Xtal_BW#'!$A:$Z,3,FALSE)</f>
        <v>29</v>
      </c>
      <c r="D183" s="1">
        <f>VLOOKUP($B183&amp;"__wt",'SegEnds_Xtal_BW#'!$A:$Z,4,FALSE)</f>
        <v>60</v>
      </c>
      <c r="E183" s="1">
        <f>VLOOKUP($B183&amp;"__wt",'SegEnds_Xtal_BW#'!$A:$Z,5,FALSE)</f>
        <v>48</v>
      </c>
      <c r="F183" s="1">
        <f>VLOOKUP($B183&amp;"__wt",'SegEnds_Xtal_BW#'!$A:$Z,6,FALSE)</f>
        <v>51</v>
      </c>
      <c r="G183" s="1">
        <v>37</v>
      </c>
      <c r="H183" s="12">
        <v>67</v>
      </c>
      <c r="I183" s="1">
        <f>VLOOKUP($B183&amp;"__wt",'SegEnds_Xtal_BW#'!$A:$Z,9,FALSE)</f>
        <v>47</v>
      </c>
      <c r="J183" s="1">
        <f>VLOOKUP($B183&amp;"__wt",'SegEnds_Xtal_BW#'!$A:$Z,10,FALSE)</f>
        <v>53</v>
      </c>
      <c r="K183" s="12">
        <v>18</v>
      </c>
      <c r="L183" s="1">
        <f>VLOOKUP($B183&amp;"__wt",'SegEnds_Xtal_BW#'!$A:$Z,12,FALSE)</f>
        <v>56</v>
      </c>
      <c r="M183" s="108" t="s">
        <v>23</v>
      </c>
      <c r="N183" s="12" t="s">
        <v>23</v>
      </c>
      <c r="O183" s="87">
        <f>VLOOKUP($B183&amp;"__wt",'SegEnds_Xtal_BW#'!$A:$Z,15,FALSE)</f>
        <v>38</v>
      </c>
      <c r="P183" s="1">
        <f>VLOOKUP($B183&amp;"__wt",'SegEnds_Xtal_BW#'!$A:$Z,16,FALSE)</f>
        <v>63</v>
      </c>
      <c r="Q183" s="1" t="str">
        <f>VLOOKUP($B183&amp;"__wt",'SegEnds_Xtal_BW#'!$A:$Z,17,FALSE)</f>
        <v>-</v>
      </c>
      <c r="R183" s="1" t="str">
        <f>VLOOKUP($B183&amp;"__wt",'SegEnds_Xtal_BW#'!$A:$Z,18,FALSE)</f>
        <v>-</v>
      </c>
      <c r="S183" s="1">
        <f>VLOOKUP($B183&amp;"__wt",'SegEnds_Xtal_BW#'!$A:$Z,19,FALSE)</f>
        <v>36</v>
      </c>
      <c r="T183" s="1">
        <f t="array" ref="T183">INDEX(ICL3_classA!$G$2:$G$39,MATCH(MIN(ABS(AI183-ICL3_classA!$F$2:$F$39)),ABS(AI183-ICL3_classA!$F$2:$F$39),0))</f>
        <v>76</v>
      </c>
      <c r="U183" s="1">
        <f t="array" ref="U183">INDEX(ICL3_classA!$H$2:$H$39,MATCH(MIN(ABS(AI183-ICL3_classA!$F$2:$F$39)),ABS(AI183-ICL3_classA!$F$2:$F$39),0))</f>
        <v>24</v>
      </c>
      <c r="V183" s="1">
        <v>61</v>
      </c>
      <c r="W183" s="1">
        <v>32</v>
      </c>
      <c r="X183" s="1">
        <f>VLOOKUP($B183&amp;"__wt",'SegEnds_Xtal_BW#'!$A:$Z,24,FALSE)</f>
        <v>56</v>
      </c>
      <c r="Y183" s="1">
        <f>VLOOKUP($B183&amp;"__wt",'SegEnds_Xtal_BW#'!$A:$Z,25,FALSE)</f>
        <v>47</v>
      </c>
      <c r="Z183" s="1">
        <f>VLOOKUP($B183&amp;"__wt",'SegEnds_Xtal_BW#'!$A:$Z,26,FALSE)</f>
        <v>59</v>
      </c>
      <c r="AA183" s="27" t="str">
        <f>VLOOKUP(A183,Classification!A:B,2,FALSE)</f>
        <v>A</v>
      </c>
      <c r="AB183" s="1">
        <f>VLOOKUP(A183,'SegEnds_NonXtal_Prot#'!A:AL,10,FALSE)-VLOOKUP(A183,'SegEnds_NonXtal_Prot#'!A:AL,4,FALSE)</f>
        <v>29</v>
      </c>
      <c r="AC183" s="1" t="e">
        <f>VLOOKUP(A183,'SegEnds_NonXtal_Prot#'!A:AL,10,FALSE)-VLOOKUP(A183,'SegEnds_NonXtal_Prot#'!A:AL,7,FALSE)</f>
        <v>#VALUE!</v>
      </c>
      <c r="AD183" s="1">
        <f>VLOOKUP(A183,'SegEnds_NonXtal_Prot#'!A:AL,13,FALSE)-VLOOKUP(A183,'SegEnds_NonXtal_Prot#'!A:AL,10,FALSE)</f>
        <v>26</v>
      </c>
      <c r="AE183" s="1">
        <f>VLOOKUP(A183,'SegEnds_NonXtal_Prot#'!A:AL,16,FALSE)-VLOOKUP(A183,'SegEnds_NonXtal_Prot#'!A:AL,10,FALSE)</f>
        <v>69</v>
      </c>
      <c r="AF183" s="1" t="e">
        <f>VLOOKUP(A183,'SegEnds_NonXtal_Prot#'!A:AL,22,FALSE)-VLOOKUP(A183,'SegEnds_NonXtal_Prot#'!A:AL,19,FALSE)</f>
        <v>#VALUE!</v>
      </c>
      <c r="AG183" s="1" t="e">
        <f>VLOOKUP(A183,'SegEnds_NonXtal_Prot#'!A:AL,28,FALSE)-VLOOKUP(A183,'SegEnds_NonXtal_Prot#'!A:AL,25,FALSE)</f>
        <v>#VALUE!</v>
      </c>
      <c r="AH183" s="1">
        <f>VLOOKUP(A183,'SegEnds_NonXtal_Prot#'!A:AL,28,FALSE)-VLOOKUP(A183,'SegEnds_NonXtal_Prot#'!A:AL,22,FALSE)</f>
        <v>53</v>
      </c>
      <c r="AI183" s="1">
        <f>VLOOKUP(A183,'SegEnds_NonXtal_Prot#'!A:AL,31,FALSE)-VLOOKUP(A183,'SegEnds_NonXtal_Prot#'!A:AL,28,FALSE)</f>
        <v>114</v>
      </c>
      <c r="AJ183" s="1">
        <f>VLOOKUP(A183,'SegEnds_NonXtal_Prot#'!A:AL,34,FALSE)-VLOOKUP(A183,'SegEnds_NonXtal_Prot#'!A:AL,31,FALSE)</f>
        <v>34</v>
      </c>
      <c r="AK183" s="1">
        <f>VLOOKUP(A183,'SegEnds_NonXtal_Prot#'!A:AL,37,FALSE)-VLOOKUP(A183,'SegEnds_NonXtal_Prot#'!A:AL,34,FALSE)</f>
        <v>10</v>
      </c>
      <c r="AL183" s="1" t="str">
        <f>IF(ISERROR(MATCH(A183,'SegEnds_Xtal_Prot#'!B:B, 0)), "NoXtal", "Xtal")</f>
        <v>NoXtal</v>
      </c>
    </row>
    <row r="184" spans="1:38" x14ac:dyDescent="0.2">
      <c r="A184" s="1" t="s">
        <v>240</v>
      </c>
      <c r="B184" s="1" t="str">
        <f>VLOOKUP(A184,Xtal_Templ!A:B,2,FALSE)</f>
        <v>ccr7_human</v>
      </c>
      <c r="C184" s="5">
        <f>VLOOKUP($B184&amp;"__wt",'SegEnds_Xtal_BW#'!$A:$Z,3,FALSE)</f>
        <v>29</v>
      </c>
      <c r="D184" s="1">
        <f>VLOOKUP($B184&amp;"__wt",'SegEnds_Xtal_BW#'!$A:$Z,4,FALSE)</f>
        <v>60</v>
      </c>
      <c r="E184" s="1">
        <f>VLOOKUP($B184&amp;"__wt",'SegEnds_Xtal_BW#'!$A:$Z,5,FALSE)</f>
        <v>48</v>
      </c>
      <c r="F184" s="1">
        <f>VLOOKUP($B184&amp;"__wt",'SegEnds_Xtal_BW#'!$A:$Z,6,FALSE)</f>
        <v>51</v>
      </c>
      <c r="G184" s="1">
        <v>37</v>
      </c>
      <c r="H184" s="12">
        <v>66</v>
      </c>
      <c r="I184" s="1">
        <f>VLOOKUP($B184&amp;"__wt",'SegEnds_Xtal_BW#'!$A:$Z,9,FALSE)</f>
        <v>49</v>
      </c>
      <c r="J184" s="1">
        <f>VLOOKUP($B184&amp;"__wt",'SegEnds_Xtal_BW#'!$A:$Z,10,FALSE)</f>
        <v>52</v>
      </c>
      <c r="K184" s="12">
        <v>21</v>
      </c>
      <c r="L184" s="1">
        <f>VLOOKUP($B184&amp;"__wt",'SegEnds_Xtal_BW#'!$A:$Z,12,FALSE)</f>
        <v>56</v>
      </c>
      <c r="M184" s="1">
        <f>VLOOKUP($B184&amp;"__wt",'SegEnds_Xtal_BW#'!$A:$Z,13,FALSE)</f>
        <v>50</v>
      </c>
      <c r="N184" s="12">
        <v>57</v>
      </c>
      <c r="O184" s="87">
        <v>38</v>
      </c>
      <c r="P184" s="1">
        <f>VLOOKUP($B184&amp;"__wt",'SegEnds_Xtal_BW#'!$A:$Z,16,FALSE)</f>
        <v>64</v>
      </c>
      <c r="Q184" s="1">
        <f>VLOOKUP($B184&amp;"__wt",'SegEnds_Xtal_BW#'!$A:$Z,17,FALSE)</f>
        <v>50</v>
      </c>
      <c r="R184" s="1">
        <f>VLOOKUP($B184&amp;"__wt",'SegEnds_Xtal_BW#'!$A:$Z,18,FALSE)</f>
        <v>52</v>
      </c>
      <c r="S184" s="1">
        <f>VLOOKUP($B184&amp;"__wt",'SegEnds_Xtal_BW#'!$A:$Z,19,FALSE)</f>
        <v>33</v>
      </c>
      <c r="T184" s="1">
        <f t="array" ref="T184">INDEX(ICL3_classA!$G$2:$G$39,MATCH(MIN(ABS(AI184-ICL3_classA!$F$2:$F$39)),ABS(AI184-ICL3_classA!$F$2:$F$39),0))</f>
        <v>68</v>
      </c>
      <c r="U184" s="1">
        <f t="array" ref="U184">INDEX(ICL3_classA!$H$2:$H$39,MATCH(MIN(ABS(AI184-ICL3_classA!$F$2:$F$39)),ABS(AI184-ICL3_classA!$F$2:$F$39),0))</f>
        <v>24</v>
      </c>
      <c r="V184" s="1">
        <v>61</v>
      </c>
      <c r="W184" s="1">
        <v>31</v>
      </c>
      <c r="X184" s="1">
        <f>VLOOKUP($B184&amp;"__wt",'SegEnds_Xtal_BW#'!$A:$Z,24,FALSE)</f>
        <v>56</v>
      </c>
      <c r="Y184" s="1">
        <f>VLOOKUP($B184&amp;"__wt",'SegEnds_Xtal_BW#'!$A:$Z,25,FALSE)</f>
        <v>47</v>
      </c>
      <c r="Z184" s="1">
        <f>VLOOKUP($B184&amp;"__wt",'SegEnds_Xtal_BW#'!$A:$Z,26,FALSE)</f>
        <v>59</v>
      </c>
      <c r="AA184" s="27" t="str">
        <f>VLOOKUP(A184,Classification!A:B,2,FALSE)</f>
        <v>A</v>
      </c>
      <c r="AB184" s="1">
        <f>VLOOKUP(A184,'SegEnds_NonXtal_Prot#'!A:AL,10,FALSE)-VLOOKUP(A184,'SegEnds_NonXtal_Prot#'!A:AL,4,FALSE)</f>
        <v>28</v>
      </c>
      <c r="AC184" s="1" t="e">
        <f>VLOOKUP(A184,'SegEnds_NonXtal_Prot#'!A:AL,10,FALSE)-VLOOKUP(A184,'SegEnds_NonXtal_Prot#'!A:AL,7,FALSE)</f>
        <v>#VALUE!</v>
      </c>
      <c r="AD184" s="1">
        <f>VLOOKUP(A184,'SegEnds_NonXtal_Prot#'!A:AL,13,FALSE)-VLOOKUP(A184,'SegEnds_NonXtal_Prot#'!A:AL,10,FALSE)</f>
        <v>19</v>
      </c>
      <c r="AE184" s="1">
        <f>VLOOKUP(A184,'SegEnds_NonXtal_Prot#'!A:AL,16,FALSE)-VLOOKUP(A184,'SegEnds_NonXtal_Prot#'!A:AL,10,FALSE)</f>
        <v>51</v>
      </c>
      <c r="AF184" s="1">
        <f>VLOOKUP(A184,'SegEnds_NonXtal_Prot#'!A:AL,22,FALSE)-VLOOKUP(A184,'SegEnds_NonXtal_Prot#'!A:AL,19,FALSE)</f>
        <v>20</v>
      </c>
      <c r="AG184" s="1">
        <f>VLOOKUP(A184,'SegEnds_NonXtal_Prot#'!A:AL,28,FALSE)-VLOOKUP(A184,'SegEnds_NonXtal_Prot#'!A:AL,25,FALSE)</f>
        <v>27</v>
      </c>
      <c r="AH184" s="1">
        <f>VLOOKUP(A184,'SegEnds_NonXtal_Prot#'!A:AL,28,FALSE)-VLOOKUP(A184,'SegEnds_NonXtal_Prot#'!A:AL,22,FALSE)</f>
        <v>53</v>
      </c>
      <c r="AI184" s="1">
        <f>VLOOKUP(A184,'SegEnds_NonXtal_Prot#'!A:AL,31,FALSE)-VLOOKUP(A184,'SegEnds_NonXtal_Prot#'!A:AL,28,FALSE)</f>
        <v>48</v>
      </c>
      <c r="AJ184" s="1">
        <f>VLOOKUP(A184,'SegEnds_NonXtal_Prot#'!A:AL,34,FALSE)-VLOOKUP(A184,'SegEnds_NonXtal_Prot#'!A:AL,31,FALSE)</f>
        <v>36</v>
      </c>
      <c r="AK184" s="1">
        <f>VLOOKUP(A184,'SegEnds_NonXtal_Prot#'!A:AL,37,FALSE)-VLOOKUP(A184,'SegEnds_NonXtal_Prot#'!A:AL,34,FALSE)</f>
        <v>10</v>
      </c>
      <c r="AL184" s="1" t="str">
        <f>IF(ISERROR(MATCH(A184,'SegEnds_Xtal_Prot#'!B:B, 0)), "NoXtal", "Xtal")</f>
        <v>NoXtal</v>
      </c>
    </row>
    <row r="185" spans="1:38" x14ac:dyDescent="0.2">
      <c r="A185" s="1" t="s">
        <v>246</v>
      </c>
      <c r="B185" s="1" t="str">
        <f>VLOOKUP(A185,Xtal_Templ!A:B,2,FALSE)</f>
        <v>drd2_human</v>
      </c>
      <c r="C185" s="5">
        <f>VLOOKUP($B185&amp;"__wt",'SegEnds_Xtal_BW#'!$A:$Z,3,FALSE)</f>
        <v>29</v>
      </c>
      <c r="D185" s="1">
        <f>VLOOKUP($B185&amp;"__wt",'SegEnds_Xtal_BW#'!$A:$Z,4,FALSE)</f>
        <v>60</v>
      </c>
      <c r="E185" s="1">
        <f>VLOOKUP($B185&amp;"__wt",'SegEnds_Xtal_BW#'!$A:$Z,5,FALSE)</f>
        <v>48</v>
      </c>
      <c r="F185" s="1">
        <f>VLOOKUP($B185&amp;"__wt",'SegEnds_Xtal_BW#'!$A:$Z,6,FALSE)</f>
        <v>51</v>
      </c>
      <c r="G185" s="1">
        <v>37</v>
      </c>
      <c r="H185" s="12">
        <f>VLOOKUP($B185&amp;"__wt",'SegEnds_Xtal_BW#'!$A:$Z,8,FALSE)</f>
        <v>68</v>
      </c>
      <c r="I185" s="1">
        <f>VLOOKUP($B185&amp;"__wt",'SegEnds_Xtal_BW#'!$A:$Z,9,FALSE)</f>
        <v>49</v>
      </c>
      <c r="J185" s="1">
        <f>VLOOKUP($B185&amp;"__wt",'SegEnds_Xtal_BW#'!$A:$Z,10,FALSE)</f>
        <v>52</v>
      </c>
      <c r="K185" s="12">
        <v>21</v>
      </c>
      <c r="L185" s="1">
        <f>VLOOKUP($B185&amp;"__wt",'SegEnds_Xtal_BW#'!$A:$Z,12,FALSE)</f>
        <v>56</v>
      </c>
      <c r="M185" s="1">
        <f>VLOOKUP($B185&amp;"__wt",'SegEnds_Xtal_BW#'!$A:$Z,13,FALSE)</f>
        <v>50</v>
      </c>
      <c r="N185" s="12">
        <v>57</v>
      </c>
      <c r="O185" s="87">
        <v>38</v>
      </c>
      <c r="P185" s="1">
        <f>VLOOKUP($B185&amp;"__wt",'SegEnds_Xtal_BW#'!$A:$Z,16,FALSE)</f>
        <v>62</v>
      </c>
      <c r="Q185" s="1">
        <f>VLOOKUP($B185&amp;"__wt",'SegEnds_Xtal_BW#'!$A:$Z,17,FALSE)</f>
        <v>50</v>
      </c>
      <c r="R185" s="1">
        <f>VLOOKUP($B185&amp;"__wt",'SegEnds_Xtal_BW#'!$A:$Z,18,FALSE)</f>
        <v>52</v>
      </c>
      <c r="S185" s="1">
        <v>35</v>
      </c>
      <c r="T185" s="1">
        <f t="array" ref="T185">INDEX(ICL3_classA!$G$2:$G$39,MATCH(MIN(ABS(AI185-ICL3_classA!$F$2:$F$39)),ABS(AI185-ICL3_classA!$F$2:$F$39),0))</f>
        <v>76</v>
      </c>
      <c r="U185" s="1">
        <f t="array" ref="U185">INDEX(ICL3_classA!$H$2:$H$39,MATCH(MIN(ABS(AI185-ICL3_classA!$F$2:$F$39)),ABS(AI185-ICL3_classA!$F$2:$F$39),0))</f>
        <v>24</v>
      </c>
      <c r="V185" s="1">
        <v>61</v>
      </c>
      <c r="W185" s="1">
        <v>31</v>
      </c>
      <c r="X185" s="1">
        <f>VLOOKUP($B185&amp;"__wt",'SegEnds_Xtal_BW#'!$A:$Z,24,FALSE)</f>
        <v>56</v>
      </c>
      <c r="Y185" s="1">
        <f>VLOOKUP($B185&amp;"__wt",'SegEnds_Xtal_BW#'!$A:$Z,25,FALSE)</f>
        <v>47</v>
      </c>
      <c r="Z185" s="1">
        <f>VLOOKUP($B185&amp;"__wt",'SegEnds_Xtal_BW#'!$A:$Z,26,FALSE)</f>
        <v>59</v>
      </c>
      <c r="AA185" s="27" t="str">
        <f>VLOOKUP(A185,Classification!A:B,2,FALSE)</f>
        <v>A</v>
      </c>
      <c r="AB185" s="1">
        <f>VLOOKUP(A185,'SegEnds_NonXtal_Prot#'!A:AL,10,FALSE)-VLOOKUP(A185,'SegEnds_NonXtal_Prot#'!A:AL,4,FALSE)</f>
        <v>29</v>
      </c>
      <c r="AC185" s="1">
        <f>VLOOKUP(A185,'SegEnds_NonXtal_Prot#'!A:AL,10,FALSE)-VLOOKUP(A185,'SegEnds_NonXtal_Prot#'!A:AL,7,FALSE)</f>
        <v>16</v>
      </c>
      <c r="AD185" s="1" t="e">
        <f>VLOOKUP(A185,'SegEnds_NonXtal_Prot#'!A:AL,13,FALSE)-VLOOKUP(A185,'SegEnds_NonXtal_Prot#'!A:AL,10,FALSE)</f>
        <v>#VALUE!</v>
      </c>
      <c r="AE185" s="1">
        <f>VLOOKUP(A185,'SegEnds_NonXtal_Prot#'!A:AL,16,FALSE)-VLOOKUP(A185,'SegEnds_NonXtal_Prot#'!A:AL,10,FALSE)</f>
        <v>52</v>
      </c>
      <c r="AF185" s="1">
        <f>VLOOKUP(A185,'SegEnds_NonXtal_Prot#'!A:AL,22,FALSE)-VLOOKUP(A185,'SegEnds_NonXtal_Prot#'!A:AL,19,FALSE)</f>
        <v>20</v>
      </c>
      <c r="AG185" s="1">
        <f>VLOOKUP(A185,'SegEnds_NonXtal_Prot#'!A:AL,28,FALSE)-VLOOKUP(A185,'SegEnds_NonXtal_Prot#'!A:AL,25,FALSE)</f>
        <v>25</v>
      </c>
      <c r="AH185" s="1">
        <f>VLOOKUP(A185,'SegEnds_NonXtal_Prot#'!A:AL,28,FALSE)-VLOOKUP(A185,'SegEnds_NonXtal_Prot#'!A:AL,22,FALSE)</f>
        <v>53</v>
      </c>
      <c r="AI185" s="1">
        <f>VLOOKUP(A185,'SegEnds_NonXtal_Prot#'!A:AL,31,FALSE)-VLOOKUP(A185,'SegEnds_NonXtal_Prot#'!A:AL,28,FALSE)</f>
        <v>72</v>
      </c>
      <c r="AJ185" s="1">
        <f>VLOOKUP(A185,'SegEnds_NonXtal_Prot#'!A:AL,34,FALSE)-VLOOKUP(A185,'SegEnds_NonXtal_Prot#'!A:AL,31,FALSE)</f>
        <v>35</v>
      </c>
      <c r="AK185" s="1">
        <f>VLOOKUP(A185,'SegEnds_NonXtal_Prot#'!A:AL,37,FALSE)-VLOOKUP(A185,'SegEnds_NonXtal_Prot#'!A:AL,34,FALSE)</f>
        <v>10</v>
      </c>
      <c r="AL185" s="1" t="str">
        <f>IF(ISERROR(MATCH(A185,'SegEnds_Xtal_Prot#'!B:B, 0)), "NoXtal", "Xtal")</f>
        <v>NoXtal</v>
      </c>
    </row>
    <row r="186" spans="1:38" x14ac:dyDescent="0.2">
      <c r="A186" s="1" t="s">
        <v>262</v>
      </c>
      <c r="B186" s="1" t="str">
        <f>VLOOKUP(A186,Xtal_Templ!A:B,2,FALSE)</f>
        <v>ox2r_human</v>
      </c>
      <c r="C186" s="5">
        <f>VLOOKUP($B186&amp;"__wt",'SegEnds_Xtal_BW#'!$A:$Z,3,FALSE)</f>
        <v>31</v>
      </c>
      <c r="D186" s="1">
        <f>VLOOKUP($B186&amp;"__wt",'SegEnds_Xtal_BW#'!$A:$Z,4,FALSE)</f>
        <v>60</v>
      </c>
      <c r="E186" s="1">
        <f>VLOOKUP($B186&amp;"__wt",'SegEnds_Xtal_BW#'!$A:$Z,5,FALSE)</f>
        <v>48</v>
      </c>
      <c r="F186" s="1">
        <f>VLOOKUP($B186&amp;"__wt",'SegEnds_Xtal_BW#'!$A:$Z,6,FALSE)</f>
        <v>51</v>
      </c>
      <c r="G186" s="1">
        <v>37</v>
      </c>
      <c r="H186" s="12">
        <f>VLOOKUP($B186&amp;"__wt",'SegEnds_Xtal_BW#'!$A:$Z,8,FALSE)</f>
        <v>68</v>
      </c>
      <c r="I186" s="1">
        <f>VLOOKUP($B186&amp;"__wt",'SegEnds_Xtal_BW#'!$A:$Z,9,FALSE)</f>
        <v>49</v>
      </c>
      <c r="J186" s="1">
        <f>VLOOKUP($B186&amp;"__wt",'SegEnds_Xtal_BW#'!$A:$Z,10,FALSE)</f>
        <v>52</v>
      </c>
      <c r="K186" s="12">
        <v>18</v>
      </c>
      <c r="L186" s="1">
        <f>VLOOKUP($B186&amp;"__wt",'SegEnds_Xtal_BW#'!$A:$Z,12,FALSE)</f>
        <v>56</v>
      </c>
      <c r="M186" s="1">
        <f>VLOOKUP($B186&amp;"__wt",'SegEnds_Xtal_BW#'!$A:$Z,13,FALSE)</f>
        <v>50</v>
      </c>
      <c r="N186" s="12">
        <v>57</v>
      </c>
      <c r="O186" s="87">
        <f>VLOOKUP($B186&amp;"__wt",'SegEnds_Xtal_BW#'!$A:$Z,15,FALSE)</f>
        <v>38</v>
      </c>
      <c r="P186" s="1">
        <f>VLOOKUP($B186&amp;"__wt",'SegEnds_Xtal_BW#'!$A:$Z,16,FALSE)</f>
        <v>64</v>
      </c>
      <c r="Q186" s="1">
        <f>VLOOKUP($B186&amp;"__wt",'SegEnds_Xtal_BW#'!$A:$Z,17,FALSE)</f>
        <v>50</v>
      </c>
      <c r="R186" s="1">
        <f>VLOOKUP($B186&amp;"__wt",'SegEnds_Xtal_BW#'!$A:$Z,18,FALSE)</f>
        <v>52</v>
      </c>
      <c r="S186" s="1">
        <v>35</v>
      </c>
      <c r="T186" s="1">
        <f t="array" ref="T186">INDEX(ICL3_classA!$G$2:$G$39,MATCH(MIN(ABS(AI186-ICL3_classA!$F$2:$F$39)),ABS(AI186-ICL3_classA!$F$2:$F$39),0))</f>
        <v>76</v>
      </c>
      <c r="U186" s="1">
        <f t="array" ref="U186">INDEX(ICL3_classA!$H$2:$H$39,MATCH(MIN(ABS(AI186-ICL3_classA!$F$2:$F$39)),ABS(AI186-ICL3_classA!$F$2:$F$39),0))</f>
        <v>24</v>
      </c>
      <c r="V186" s="1">
        <v>61</v>
      </c>
      <c r="W186" s="1">
        <v>31</v>
      </c>
      <c r="X186" s="1">
        <f>VLOOKUP($B186&amp;"__wt",'SegEnds_Xtal_BW#'!$A:$Z,24,FALSE)</f>
        <v>56</v>
      </c>
      <c r="Y186" s="1">
        <f>VLOOKUP($B186&amp;"__wt",'SegEnds_Xtal_BW#'!$A:$Z,25,FALSE)</f>
        <v>47</v>
      </c>
      <c r="Z186" s="1">
        <f>VLOOKUP($B186&amp;"__wt",'SegEnds_Xtal_BW#'!$A:$Z,26,FALSE)</f>
        <v>63</v>
      </c>
      <c r="AA186" s="27" t="str">
        <f>VLOOKUP(A186,Classification!A:B,2,FALSE)</f>
        <v>A</v>
      </c>
      <c r="AB186" s="1">
        <f>VLOOKUP(A186,'SegEnds_NonXtal_Prot#'!A:AL,10,FALSE)-VLOOKUP(A186,'SegEnds_NonXtal_Prot#'!A:AL,4,FALSE)</f>
        <v>26</v>
      </c>
      <c r="AC186" s="1" t="e">
        <f>VLOOKUP(A186,'SegEnds_NonXtal_Prot#'!A:AL,10,FALSE)-VLOOKUP(A186,'SegEnds_NonXtal_Prot#'!A:AL,7,FALSE)</f>
        <v>#VALUE!</v>
      </c>
      <c r="AD186" s="1">
        <f>VLOOKUP(A186,'SegEnds_NonXtal_Prot#'!A:AL,13,FALSE)-VLOOKUP(A186,'SegEnds_NonXtal_Prot#'!A:AL,10,FALSE)</f>
        <v>21</v>
      </c>
      <c r="AE186" s="1">
        <f>VLOOKUP(A186,'SegEnds_NonXtal_Prot#'!A:AL,16,FALSE)-VLOOKUP(A186,'SegEnds_NonXtal_Prot#'!A:AL,10,FALSE)</f>
        <v>54</v>
      </c>
      <c r="AF186" s="1">
        <f>VLOOKUP(A186,'SegEnds_NonXtal_Prot#'!A:AL,22,FALSE)-VLOOKUP(A186,'SegEnds_NonXtal_Prot#'!A:AL,19,FALSE)</f>
        <v>20</v>
      </c>
      <c r="AG186" s="1">
        <f>VLOOKUP(A186,'SegEnds_NonXtal_Prot#'!A:AL,28,FALSE)-VLOOKUP(A186,'SegEnds_NonXtal_Prot#'!A:AL,25,FALSE)</f>
        <v>25</v>
      </c>
      <c r="AH186" s="1">
        <f>VLOOKUP(A186,'SegEnds_NonXtal_Prot#'!A:AL,28,FALSE)-VLOOKUP(A186,'SegEnds_NonXtal_Prot#'!A:AL,22,FALSE)</f>
        <v>53</v>
      </c>
      <c r="AI186" s="1">
        <f>VLOOKUP(A186,'SegEnds_NonXtal_Prot#'!A:AL,31,FALSE)-VLOOKUP(A186,'SegEnds_NonXtal_Prot#'!A:AL,28,FALSE)</f>
        <v>82</v>
      </c>
      <c r="AJ186" s="1">
        <f>VLOOKUP(A186,'SegEnds_NonXtal_Prot#'!A:AL,34,FALSE)-VLOOKUP(A186,'SegEnds_NonXtal_Prot#'!A:AL,31,FALSE)</f>
        <v>36</v>
      </c>
      <c r="AK186" s="1">
        <f>VLOOKUP(A186,'SegEnds_NonXtal_Prot#'!A:AL,37,FALSE)-VLOOKUP(A186,'SegEnds_NonXtal_Prot#'!A:AL,34,FALSE)</f>
        <v>10</v>
      </c>
      <c r="AL186" s="1" t="str">
        <f>IF(ISERROR(MATCH(A186,'SegEnds_Xtal_Prot#'!B:B, 0)), "NoXtal", "Xtal")</f>
        <v>NoXtal</v>
      </c>
    </row>
    <row r="187" spans="1:38" x14ac:dyDescent="0.2">
      <c r="A187" s="1" t="s">
        <v>266</v>
      </c>
      <c r="B187" s="1" t="str">
        <f>VLOOKUP(A187,Xtal_Templ!A:B,2,FALSE)</f>
        <v>drd2_human</v>
      </c>
      <c r="C187" s="5">
        <f>VLOOKUP($B187&amp;"__wt",'SegEnds_Xtal_BW#'!$A:$Z,3,FALSE)</f>
        <v>29</v>
      </c>
      <c r="D187" s="1">
        <f>VLOOKUP($B187&amp;"__wt",'SegEnds_Xtal_BW#'!$A:$Z,4,FALSE)</f>
        <v>60</v>
      </c>
      <c r="E187" s="1">
        <f>VLOOKUP($B187&amp;"__wt",'SegEnds_Xtal_BW#'!$A:$Z,5,FALSE)</f>
        <v>48</v>
      </c>
      <c r="F187" s="1">
        <f>VLOOKUP($B187&amp;"__wt",'SegEnds_Xtal_BW#'!$A:$Z,6,FALSE)</f>
        <v>51</v>
      </c>
      <c r="G187" s="1">
        <v>37</v>
      </c>
      <c r="H187" s="12">
        <f>VLOOKUP($B187&amp;"__wt",'SegEnds_Xtal_BW#'!$A:$Z,8,FALSE)</f>
        <v>68</v>
      </c>
      <c r="I187" s="1">
        <f>VLOOKUP($B187&amp;"__wt",'SegEnds_Xtal_BW#'!$A:$Z,9,FALSE)</f>
        <v>49</v>
      </c>
      <c r="J187" s="1">
        <f>VLOOKUP($B187&amp;"__wt",'SegEnds_Xtal_BW#'!$A:$Z,10,FALSE)</f>
        <v>52</v>
      </c>
      <c r="K187" s="12">
        <v>21</v>
      </c>
      <c r="L187" s="1">
        <f>VLOOKUP($B187&amp;"__wt",'SegEnds_Xtal_BW#'!$A:$Z,12,FALSE)</f>
        <v>56</v>
      </c>
      <c r="M187" s="1">
        <f>VLOOKUP($B187&amp;"__wt",'SegEnds_Xtal_BW#'!$A:$Z,13,FALSE)</f>
        <v>50</v>
      </c>
      <c r="N187" s="12">
        <v>57</v>
      </c>
      <c r="O187" s="87">
        <v>38</v>
      </c>
      <c r="P187" s="1">
        <f>VLOOKUP($B187&amp;"__wt",'SegEnds_Xtal_BW#'!$A:$Z,16,FALSE)</f>
        <v>62</v>
      </c>
      <c r="Q187" s="1">
        <f>VLOOKUP($B187&amp;"__wt",'SegEnds_Xtal_BW#'!$A:$Z,17,FALSE)</f>
        <v>50</v>
      </c>
      <c r="R187" s="1">
        <f>VLOOKUP($B187&amp;"__wt",'SegEnds_Xtal_BW#'!$A:$Z,18,FALSE)</f>
        <v>52</v>
      </c>
      <c r="S187" s="1">
        <f>VLOOKUP($B187&amp;"__wt",'SegEnds_Xtal_BW#'!$A:$Z,19,FALSE)</f>
        <v>35</v>
      </c>
      <c r="T187" s="1">
        <f t="array" ref="T187">INDEX(ICL3_classA!$G$2:$G$39,MATCH(MIN(ABS(AI187-ICL3_classA!$F$2:$F$39)),ABS(AI187-ICL3_classA!$F$2:$F$39),0))</f>
        <v>76</v>
      </c>
      <c r="U187" s="1">
        <f t="array" ref="U187">INDEX(ICL3_classA!$H$2:$H$39,MATCH(MIN(ABS(AI187-ICL3_classA!$F$2:$F$39)),ABS(AI187-ICL3_classA!$F$2:$F$39),0))</f>
        <v>24</v>
      </c>
      <c r="V187" s="1">
        <v>61</v>
      </c>
      <c r="W187" s="1">
        <v>31</v>
      </c>
      <c r="X187" s="1">
        <f>VLOOKUP($B187&amp;"__wt",'SegEnds_Xtal_BW#'!$A:$Z,24,FALSE)</f>
        <v>56</v>
      </c>
      <c r="Y187" s="1">
        <f>VLOOKUP($B187&amp;"__wt",'SegEnds_Xtal_BW#'!$A:$Z,25,FALSE)</f>
        <v>47</v>
      </c>
      <c r="Z187" s="1">
        <f>VLOOKUP($B187&amp;"__wt",'SegEnds_Xtal_BW#'!$A:$Z,26,FALSE)</f>
        <v>59</v>
      </c>
      <c r="AA187" s="27" t="str">
        <f>VLOOKUP(A187,Classification!A:B,2,FALSE)</f>
        <v>A</v>
      </c>
      <c r="AB187" s="1">
        <f>VLOOKUP(A187,'SegEnds_NonXtal_Prot#'!A:AL,10,FALSE)-VLOOKUP(A187,'SegEnds_NonXtal_Prot#'!A:AL,4,FALSE)</f>
        <v>29</v>
      </c>
      <c r="AC187" s="1">
        <f>VLOOKUP(A187,'SegEnds_NonXtal_Prot#'!A:AL,10,FALSE)-VLOOKUP(A187,'SegEnds_NonXtal_Prot#'!A:AL,7,FALSE)</f>
        <v>16</v>
      </c>
      <c r="AD187" s="1" t="e">
        <f>VLOOKUP(A187,'SegEnds_NonXtal_Prot#'!A:AL,13,FALSE)-VLOOKUP(A187,'SegEnds_NonXtal_Prot#'!A:AL,10,FALSE)</f>
        <v>#VALUE!</v>
      </c>
      <c r="AE187" s="1">
        <f>VLOOKUP(A187,'SegEnds_NonXtal_Prot#'!A:AL,16,FALSE)-VLOOKUP(A187,'SegEnds_NonXtal_Prot#'!A:AL,10,FALSE)</f>
        <v>52</v>
      </c>
      <c r="AF187" s="1">
        <f>VLOOKUP(A187,'SegEnds_NonXtal_Prot#'!A:AL,22,FALSE)-VLOOKUP(A187,'SegEnds_NonXtal_Prot#'!A:AL,19,FALSE)</f>
        <v>20</v>
      </c>
      <c r="AG187" s="1">
        <f>VLOOKUP(A187,'SegEnds_NonXtal_Prot#'!A:AL,28,FALSE)-VLOOKUP(A187,'SegEnds_NonXtal_Prot#'!A:AL,25,FALSE)</f>
        <v>28</v>
      </c>
      <c r="AH187" s="1">
        <f>VLOOKUP(A187,'SegEnds_NonXtal_Prot#'!A:AL,28,FALSE)-VLOOKUP(A187,'SegEnds_NonXtal_Prot#'!A:AL,22,FALSE)</f>
        <v>53</v>
      </c>
      <c r="AI187" s="1">
        <f>VLOOKUP(A187,'SegEnds_NonXtal_Prot#'!A:AL,31,FALSE)-VLOOKUP(A187,'SegEnds_NonXtal_Prot#'!A:AL,28,FALSE)</f>
        <v>72</v>
      </c>
      <c r="AJ187" s="1">
        <f>VLOOKUP(A187,'SegEnds_NonXtal_Prot#'!A:AL,34,FALSE)-VLOOKUP(A187,'SegEnds_NonXtal_Prot#'!A:AL,31,FALSE)</f>
        <v>35</v>
      </c>
      <c r="AK187" s="1">
        <f>VLOOKUP(A187,'SegEnds_NonXtal_Prot#'!A:AL,37,FALSE)-VLOOKUP(A187,'SegEnds_NonXtal_Prot#'!A:AL,34,FALSE)</f>
        <v>10</v>
      </c>
      <c r="AL187" s="1" t="str">
        <f>IF(ISERROR(MATCH(A187,'SegEnds_Xtal_Prot#'!B:B, 0)), "NoXtal", "Xtal")</f>
        <v>NoXtal</v>
      </c>
    </row>
    <row r="188" spans="1:38" x14ac:dyDescent="0.2">
      <c r="A188" s="1" t="s">
        <v>267</v>
      </c>
      <c r="B188" s="1" t="str">
        <f>VLOOKUP(A188,Xtal_Templ!A:B,2,FALSE)</f>
        <v>oprd_human</v>
      </c>
      <c r="C188" s="5">
        <f>VLOOKUP($B188&amp;"__wt",'SegEnds_Xtal_BW#'!$A:$Z,3,FALSE)</f>
        <v>22</v>
      </c>
      <c r="D188" s="1">
        <f>VLOOKUP($B188&amp;"__wt",'SegEnds_Xtal_BW#'!$A:$Z,4,FALSE)</f>
        <v>60</v>
      </c>
      <c r="E188" s="1">
        <f>VLOOKUP($B188&amp;"__wt",'SegEnds_Xtal_BW#'!$A:$Z,5,FALSE)</f>
        <v>48</v>
      </c>
      <c r="F188" s="1">
        <f>VLOOKUP($B188&amp;"__wt",'SegEnds_Xtal_BW#'!$A:$Z,6,FALSE)</f>
        <v>51</v>
      </c>
      <c r="G188" s="1">
        <v>37</v>
      </c>
      <c r="H188" s="12">
        <v>67</v>
      </c>
      <c r="I188" s="1">
        <f>VLOOKUP($B188&amp;"__wt",'SegEnds_Xtal_BW#'!$A:$Z,9,FALSE)</f>
        <v>49</v>
      </c>
      <c r="J188" s="1">
        <f>VLOOKUP($B188&amp;"__wt",'SegEnds_Xtal_BW#'!$A:$Z,10,FALSE)</f>
        <v>52</v>
      </c>
      <c r="K188" s="12">
        <v>18</v>
      </c>
      <c r="L188" s="1">
        <f>VLOOKUP($B188&amp;"__wt",'SegEnds_Xtal_BW#'!$A:$Z,12,FALSE)</f>
        <v>56</v>
      </c>
      <c r="M188" s="1">
        <f>VLOOKUP($B188&amp;"__wt",'SegEnds_Xtal_BW#'!$A:$Z,13,FALSE)</f>
        <v>50</v>
      </c>
      <c r="N188" s="12">
        <v>57</v>
      </c>
      <c r="O188" s="87">
        <f>VLOOKUP($B188&amp;"__wt",'SegEnds_Xtal_BW#'!$A:$Z,15,FALSE)</f>
        <v>38</v>
      </c>
      <c r="P188" s="1">
        <f>VLOOKUP($B188&amp;"__wt",'SegEnds_Xtal_BW#'!$A:$Z,16,FALSE)</f>
        <v>64</v>
      </c>
      <c r="Q188" s="1">
        <f>VLOOKUP($B188&amp;"__wt",'SegEnds_Xtal_BW#'!$A:$Z,17,FALSE)</f>
        <v>50</v>
      </c>
      <c r="R188" s="1">
        <f>VLOOKUP($B188&amp;"__wt",'SegEnds_Xtal_BW#'!$A:$Z,18,FALSE)</f>
        <v>52</v>
      </c>
      <c r="S188" s="1">
        <f>VLOOKUP($B188&amp;"__wt",'SegEnds_Xtal_BW#'!$A:$Z,19,FALSE)</f>
        <v>31</v>
      </c>
      <c r="T188" s="1">
        <f t="array" ref="T188">INDEX(ICL3_classA!$G$2:$G$39,MATCH(MIN(ABS(AI188-ICL3_classA!$F$2:$F$39)),ABS(AI188-ICL3_classA!$F$2:$F$39),0))</f>
        <v>68</v>
      </c>
      <c r="U188" s="1">
        <f t="array" ref="U188">INDEX(ICL3_classA!$H$2:$H$39,MATCH(MIN(ABS(AI188-ICL3_classA!$F$2:$F$39)),ABS(AI188-ICL3_classA!$F$2:$F$39),0))</f>
        <v>23</v>
      </c>
      <c r="V188" s="1">
        <v>61</v>
      </c>
      <c r="W188" s="1">
        <v>28</v>
      </c>
      <c r="X188" s="1">
        <f>VLOOKUP($B188&amp;"__wt",'SegEnds_Xtal_BW#'!$A:$Z,24,FALSE)</f>
        <v>56</v>
      </c>
      <c r="Y188" s="1">
        <f>VLOOKUP($B188&amp;"__wt",'SegEnds_Xtal_BW#'!$A:$Z,25,FALSE)</f>
        <v>47</v>
      </c>
      <c r="Z188" s="1">
        <f>VLOOKUP($B188&amp;"__wt",'SegEnds_Xtal_BW#'!$A:$Z,26,FALSE)</f>
        <v>60</v>
      </c>
      <c r="AA188" s="27" t="str">
        <f>VLOOKUP(A188,Classification!A:B,2,FALSE)</f>
        <v>A</v>
      </c>
      <c r="AB188" s="1">
        <f>VLOOKUP(A188,'SegEnds_NonXtal_Prot#'!A:AL,10,FALSE)-VLOOKUP(A188,'SegEnds_NonXtal_Prot#'!A:AL,4,FALSE)</f>
        <v>28</v>
      </c>
      <c r="AC188" s="1" t="e">
        <f>VLOOKUP(A188,'SegEnds_NonXtal_Prot#'!A:AL,10,FALSE)-VLOOKUP(A188,'SegEnds_NonXtal_Prot#'!A:AL,7,FALSE)</f>
        <v>#VALUE!</v>
      </c>
      <c r="AD188" s="1">
        <f>VLOOKUP(A188,'SegEnds_NonXtal_Prot#'!A:AL,13,FALSE)-VLOOKUP(A188,'SegEnds_NonXtal_Prot#'!A:AL,10,FALSE)</f>
        <v>20</v>
      </c>
      <c r="AE188" s="1">
        <f>VLOOKUP(A188,'SegEnds_NonXtal_Prot#'!A:AL,16,FALSE)-VLOOKUP(A188,'SegEnds_NonXtal_Prot#'!A:AL,10,FALSE)</f>
        <v>56</v>
      </c>
      <c r="AF188" s="1">
        <f>VLOOKUP(A188,'SegEnds_NonXtal_Prot#'!A:AL,22,FALSE)-VLOOKUP(A188,'SegEnds_NonXtal_Prot#'!A:AL,19,FALSE)</f>
        <v>20</v>
      </c>
      <c r="AG188" s="1" t="e">
        <f>VLOOKUP(A188,'SegEnds_NonXtal_Prot#'!A:AL,28,FALSE)-VLOOKUP(A188,'SegEnds_NonXtal_Prot#'!A:AL,25,FALSE)</f>
        <v>#VALUE!</v>
      </c>
      <c r="AH188" s="1">
        <f>VLOOKUP(A188,'SegEnds_NonXtal_Prot#'!A:AL,28,FALSE)-VLOOKUP(A188,'SegEnds_NonXtal_Prot#'!A:AL,22,FALSE)</f>
        <v>53</v>
      </c>
      <c r="AI188" s="1">
        <f>VLOOKUP(A188,'SegEnds_NonXtal_Prot#'!A:AL,31,FALSE)-VLOOKUP(A188,'SegEnds_NonXtal_Prot#'!A:AL,28,FALSE)</f>
        <v>51</v>
      </c>
      <c r="AJ188" s="1">
        <f>VLOOKUP(A188,'SegEnds_NonXtal_Prot#'!A:AL,34,FALSE)-VLOOKUP(A188,'SegEnds_NonXtal_Prot#'!A:AL,31,FALSE)</f>
        <v>42</v>
      </c>
      <c r="AK188" s="1">
        <f>VLOOKUP(A188,'SegEnds_NonXtal_Prot#'!A:AL,37,FALSE)-VLOOKUP(A188,'SegEnds_NonXtal_Prot#'!A:AL,34,FALSE)</f>
        <v>10</v>
      </c>
      <c r="AL188" s="1" t="str">
        <f>IF(ISERROR(MATCH(A188,'SegEnds_Xtal_Prot#'!B:B, 0)), "NoXtal", "Xtal")</f>
        <v>NoXtal</v>
      </c>
    </row>
    <row r="189" spans="1:38" x14ac:dyDescent="0.2">
      <c r="A189" s="1" t="s">
        <v>287</v>
      </c>
      <c r="B189" s="1" t="str">
        <f>VLOOKUP(A189,Xtal_Templ!A:B,2,FALSE)</f>
        <v>oprk_human</v>
      </c>
      <c r="C189" s="5">
        <f>VLOOKUP($B189&amp;"__wt",'SegEnds_Xtal_BW#'!$A:$Z,3,FALSE)</f>
        <v>30</v>
      </c>
      <c r="D189" s="1">
        <f>VLOOKUP($B189&amp;"__wt",'SegEnds_Xtal_BW#'!$A:$Z,4,FALSE)</f>
        <v>60</v>
      </c>
      <c r="E189" s="1">
        <f>VLOOKUP($B189&amp;"__wt",'SegEnds_Xtal_BW#'!$A:$Z,5,FALSE)</f>
        <v>48</v>
      </c>
      <c r="F189" s="1">
        <f>VLOOKUP($B189&amp;"__wt",'SegEnds_Xtal_BW#'!$A:$Z,6,FALSE)</f>
        <v>51</v>
      </c>
      <c r="G189" s="1">
        <v>37</v>
      </c>
      <c r="H189" s="12">
        <v>66</v>
      </c>
      <c r="I189" s="1">
        <f>VLOOKUP($B189&amp;"__wt",'SegEnds_Xtal_BW#'!$A:$Z,9,FALSE)</f>
        <v>49</v>
      </c>
      <c r="J189" s="1">
        <f>VLOOKUP($B189&amp;"__wt",'SegEnds_Xtal_BW#'!$A:$Z,10,FALSE)</f>
        <v>52</v>
      </c>
      <c r="K189" s="12">
        <v>21</v>
      </c>
      <c r="L189" s="1">
        <f>VLOOKUP($B189&amp;"__wt",'SegEnds_Xtal_BW#'!$A:$Z,12,FALSE)</f>
        <v>56</v>
      </c>
      <c r="M189" s="1">
        <f>VLOOKUP($B189&amp;"__wt",'SegEnds_Xtal_BW#'!$A:$Z,13,FALSE)</f>
        <v>50</v>
      </c>
      <c r="N189" s="12">
        <v>57</v>
      </c>
      <c r="O189" s="87">
        <v>38</v>
      </c>
      <c r="P189" s="1">
        <f>VLOOKUP($B189&amp;"__wt",'SegEnds_Xtal_BW#'!$A:$Z,16,FALSE)</f>
        <v>64</v>
      </c>
      <c r="Q189" s="1">
        <f>VLOOKUP($B189&amp;"__wt",'SegEnds_Xtal_BW#'!$A:$Z,17,FALSE)</f>
        <v>50</v>
      </c>
      <c r="R189" s="1">
        <f>VLOOKUP($B189&amp;"__wt",'SegEnds_Xtal_BW#'!$A:$Z,18,FALSE)</f>
        <v>52</v>
      </c>
      <c r="S189" s="1">
        <f>VLOOKUP($B189&amp;"__wt",'SegEnds_Xtal_BW#'!$A:$Z,19,FALSE)</f>
        <v>30</v>
      </c>
      <c r="T189" s="1">
        <f t="array" ref="T189">INDEX(ICL3_classA!$G$2:$G$39,MATCH(MIN(ABS(AI189-ICL3_classA!$F$2:$F$39)),ABS(AI189-ICL3_classA!$F$2:$F$39),0))</f>
        <v>68</v>
      </c>
      <c r="U189" s="1">
        <f t="array" ref="U189">INDEX(ICL3_classA!$H$2:$H$39,MATCH(MIN(ABS(AI189-ICL3_classA!$F$2:$F$39)),ABS(AI189-ICL3_classA!$F$2:$F$39),0))</f>
        <v>24</v>
      </c>
      <c r="V189" s="1">
        <v>64</v>
      </c>
      <c r="W189" s="1">
        <v>24</v>
      </c>
      <c r="X189" s="1">
        <f>VLOOKUP($B189&amp;"__wt",'SegEnds_Xtal_BW#'!$A:$Z,24,FALSE)</f>
        <v>56</v>
      </c>
      <c r="Y189" s="1">
        <f>VLOOKUP($B189&amp;"__wt",'SegEnds_Xtal_BW#'!$A:$Z,25,FALSE)</f>
        <v>47</v>
      </c>
      <c r="Z189" s="1">
        <f>VLOOKUP($B189&amp;"__wt",'SegEnds_Xtal_BW#'!$A:$Z,26,FALSE)</f>
        <v>59</v>
      </c>
      <c r="AA189" s="27" t="str">
        <f>VLOOKUP(A189,Classification!A:B,2,FALSE)</f>
        <v>A</v>
      </c>
      <c r="AB189" s="1">
        <f>VLOOKUP(A189,'SegEnds_NonXtal_Prot#'!A:AL,10,FALSE)-VLOOKUP(A189,'SegEnds_NonXtal_Prot#'!A:AL,4,FALSE)</f>
        <v>28</v>
      </c>
      <c r="AC189" s="1">
        <f>VLOOKUP(A189,'SegEnds_NonXtal_Prot#'!A:AL,10,FALSE)-VLOOKUP(A189,'SegEnds_NonXtal_Prot#'!A:AL,7,FALSE)</f>
        <v>15</v>
      </c>
      <c r="AD189" s="1">
        <f>VLOOKUP(A189,'SegEnds_NonXtal_Prot#'!A:AL,13,FALSE)-VLOOKUP(A189,'SegEnds_NonXtal_Prot#'!A:AL,10,FALSE)</f>
        <v>19</v>
      </c>
      <c r="AE189" s="1">
        <f>VLOOKUP(A189,'SegEnds_NonXtal_Prot#'!A:AL,16,FALSE)-VLOOKUP(A189,'SegEnds_NonXtal_Prot#'!A:AL,10,FALSE)</f>
        <v>51</v>
      </c>
      <c r="AF189" s="1">
        <f>VLOOKUP(A189,'SegEnds_NonXtal_Prot#'!A:AL,22,FALSE)-VLOOKUP(A189,'SegEnds_NonXtal_Prot#'!A:AL,19,FALSE)</f>
        <v>20</v>
      </c>
      <c r="AG189" s="1">
        <f>VLOOKUP(A189,'SegEnds_NonXtal_Prot#'!A:AL,28,FALSE)-VLOOKUP(A189,'SegEnds_NonXtal_Prot#'!A:AL,25,FALSE)</f>
        <v>28</v>
      </c>
      <c r="AH189" s="1">
        <f>VLOOKUP(A189,'SegEnds_NonXtal_Prot#'!A:AL,28,FALSE)-VLOOKUP(A189,'SegEnds_NonXtal_Prot#'!A:AL,22,FALSE)</f>
        <v>53</v>
      </c>
      <c r="AI189" s="1">
        <f>VLOOKUP(A189,'SegEnds_NonXtal_Prot#'!A:AL,31,FALSE)-VLOOKUP(A189,'SegEnds_NonXtal_Prot#'!A:AL,28,FALSE)</f>
        <v>48</v>
      </c>
      <c r="AJ189" s="1">
        <f>VLOOKUP(A189,'SegEnds_NonXtal_Prot#'!A:AL,34,FALSE)-VLOOKUP(A189,'SegEnds_NonXtal_Prot#'!A:AL,31,FALSE)</f>
        <v>44</v>
      </c>
      <c r="AK189" s="1">
        <f>VLOOKUP(A189,'SegEnds_NonXtal_Prot#'!A:AL,37,FALSE)-VLOOKUP(A189,'SegEnds_NonXtal_Prot#'!A:AL,34,FALSE)</f>
        <v>10</v>
      </c>
      <c r="AL189" s="1" t="str">
        <f>IF(ISERROR(MATCH(A189,'SegEnds_Xtal_Prot#'!B:B, 0)), "NoXtal", "Xtal")</f>
        <v>NoXtal</v>
      </c>
    </row>
    <row r="190" spans="1:38" x14ac:dyDescent="0.2">
      <c r="A190" s="1" t="s">
        <v>313</v>
      </c>
      <c r="B190" s="1" t="str">
        <f>VLOOKUP(A190,Xtal_Templ!A:B,2,FALSE)</f>
        <v>nk1r_human</v>
      </c>
      <c r="C190" s="5">
        <f>VLOOKUP($B190&amp;"__wt",'SegEnds_Xtal_BW#'!$A:$Z,3,FALSE)</f>
        <v>28</v>
      </c>
      <c r="D190" s="1">
        <f>VLOOKUP($B190&amp;"__wt",'SegEnds_Xtal_BW#'!$A:$Z,4,FALSE)</f>
        <v>60</v>
      </c>
      <c r="E190" s="1">
        <f>VLOOKUP($B190&amp;"__wt",'SegEnds_Xtal_BW#'!$A:$Z,5,FALSE)</f>
        <v>48</v>
      </c>
      <c r="F190" s="1">
        <f>VLOOKUP($B190&amp;"__wt",'SegEnds_Xtal_BW#'!$A:$Z,6,FALSE)</f>
        <v>51</v>
      </c>
      <c r="G190" s="1">
        <v>37</v>
      </c>
      <c r="H190" s="12">
        <f>VLOOKUP($B190&amp;"__wt",'SegEnds_Xtal_BW#'!$A:$Z,8,FALSE)</f>
        <v>68</v>
      </c>
      <c r="I190" s="1">
        <f>VLOOKUP($B190&amp;"__wt",'SegEnds_Xtal_BW#'!$A:$Z,9,FALSE)</f>
        <v>49</v>
      </c>
      <c r="J190" s="1">
        <f>VLOOKUP($B190&amp;"__wt",'SegEnds_Xtal_BW#'!$A:$Z,10,FALSE)</f>
        <v>52</v>
      </c>
      <c r="K190" s="12">
        <v>18</v>
      </c>
      <c r="L190" s="1">
        <f>VLOOKUP($B190&amp;"__wt",'SegEnds_Xtal_BW#'!$A:$Z,12,FALSE)</f>
        <v>56</v>
      </c>
      <c r="M190" s="1" t="str">
        <f>VLOOKUP($B190&amp;"__wt",'SegEnds_Xtal_BW#'!$A:$Z,13,FALSE)</f>
        <v>-</v>
      </c>
      <c r="N190" s="12">
        <v>56</v>
      </c>
      <c r="O190" s="87">
        <f>VLOOKUP($B190&amp;"__wt",'SegEnds_Xtal_BW#'!$A:$Z,15,FALSE)</f>
        <v>38</v>
      </c>
      <c r="P190" s="1">
        <f>VLOOKUP($B190&amp;"__wt",'SegEnds_Xtal_BW#'!$A:$Z,16,FALSE)</f>
        <v>64</v>
      </c>
      <c r="Q190" s="1">
        <f>VLOOKUP($B190&amp;"__wt",'SegEnds_Xtal_BW#'!$A:$Z,17,FALSE)</f>
        <v>50</v>
      </c>
      <c r="R190" s="1">
        <f>VLOOKUP($B190&amp;"__wt",'SegEnds_Xtal_BW#'!$A:$Z,18,FALSE)</f>
        <v>52</v>
      </c>
      <c r="S190" s="1">
        <f>VLOOKUP($B190&amp;"__wt",'SegEnds_Xtal_BW#'!$A:$Z,19,FALSE)</f>
        <v>30</v>
      </c>
      <c r="T190" s="1">
        <f t="array" ref="T190">INDEX(ICL3_classA!$G$2:$G$39,MATCH(MIN(ABS(AI190-ICL3_classA!$F$2:$F$39)),ABS(AI190-ICL3_classA!$F$2:$F$39),0))</f>
        <v>73</v>
      </c>
      <c r="U190" s="1">
        <f t="array" ref="U190">INDEX(ICL3_classA!$H$2:$H$39,MATCH(MIN(ABS(AI190-ICL3_classA!$F$2:$F$39)),ABS(AI190-ICL3_classA!$F$2:$F$39),0))</f>
        <v>22</v>
      </c>
      <c r="V190" s="1">
        <v>61</v>
      </c>
      <c r="W190" s="131">
        <f>VLOOKUP($B190&amp;"__wt",'SegEnds_Xtal_BW#'!$A:$Z,23,FALSE)</f>
        <v>30</v>
      </c>
      <c r="X190" s="1">
        <f>VLOOKUP($B190&amp;"__wt",'SegEnds_Xtal_BW#'!$A:$Z,24,FALSE)</f>
        <v>56</v>
      </c>
      <c r="Y190" s="1">
        <f>VLOOKUP($B190&amp;"__wt",'SegEnds_Xtal_BW#'!$A:$Z,25,FALSE)</f>
        <v>47</v>
      </c>
      <c r="Z190" s="1">
        <f>VLOOKUP($B190&amp;"__wt",'SegEnds_Xtal_BW#'!$A:$Z,26,FALSE)</f>
        <v>58</v>
      </c>
      <c r="AA190" s="27" t="str">
        <f>VLOOKUP(A190,Classification!A:B,2,FALSE)</f>
        <v>A</v>
      </c>
      <c r="AB190" s="1">
        <f>VLOOKUP(A190,'SegEnds_NonXtal_Prot#'!A:AL,10,FALSE)-VLOOKUP(A190,'SegEnds_NonXtal_Prot#'!A:AL,4,FALSE)</f>
        <v>28</v>
      </c>
      <c r="AC190" s="1">
        <f>VLOOKUP(A190,'SegEnds_NonXtal_Prot#'!A:AL,10,FALSE)-VLOOKUP(A190,'SegEnds_NonXtal_Prot#'!A:AL,7,FALSE)</f>
        <v>15</v>
      </c>
      <c r="AD190" s="1">
        <f>VLOOKUP(A190,'SegEnds_NonXtal_Prot#'!A:AL,13,FALSE)-VLOOKUP(A190,'SegEnds_NonXtal_Prot#'!A:AL,10,FALSE)</f>
        <v>20</v>
      </c>
      <c r="AE190" s="1">
        <f>VLOOKUP(A190,'SegEnds_NonXtal_Prot#'!A:AL,16,FALSE)-VLOOKUP(A190,'SegEnds_NonXtal_Prot#'!A:AL,10,FALSE)</f>
        <v>52</v>
      </c>
      <c r="AF190" s="1" t="e">
        <f>VLOOKUP(A190,'SegEnds_NonXtal_Prot#'!A:AL,22,FALSE)-VLOOKUP(A190,'SegEnds_NonXtal_Prot#'!A:AL,19,FALSE)</f>
        <v>#VALUE!</v>
      </c>
      <c r="AG190" s="1">
        <f>VLOOKUP(A190,'SegEnds_NonXtal_Prot#'!A:AL,28,FALSE)-VLOOKUP(A190,'SegEnds_NonXtal_Prot#'!A:AL,25,FALSE)</f>
        <v>28</v>
      </c>
      <c r="AH190" s="1">
        <f>VLOOKUP(A190,'SegEnds_NonXtal_Prot#'!A:AL,28,FALSE)-VLOOKUP(A190,'SegEnds_NonXtal_Prot#'!A:AL,22,FALSE)</f>
        <v>53</v>
      </c>
      <c r="AI190" s="1">
        <f>VLOOKUP(A190,'SegEnds_NonXtal_Prot#'!A:AL,31,FALSE)-VLOOKUP(A190,'SegEnds_NonXtal_Prot#'!A:AL,28,FALSE)</f>
        <v>55</v>
      </c>
      <c r="AJ190" s="1">
        <f>VLOOKUP(A190,'SegEnds_NonXtal_Prot#'!A:AL,34,FALSE)-VLOOKUP(A190,'SegEnds_NonXtal_Prot#'!A:AL,31,FALSE)</f>
        <v>39</v>
      </c>
      <c r="AK190" s="1">
        <f>VLOOKUP(A190,'SegEnds_NonXtal_Prot#'!A:AL,37,FALSE)-VLOOKUP(A190,'SegEnds_NonXtal_Prot#'!A:AL,34,FALSE)</f>
        <v>10</v>
      </c>
      <c r="AL190" s="1" t="str">
        <f>IF(ISERROR(MATCH(A190,'SegEnds_Xtal_Prot#'!B:B, 0)), "NoXtal", "Xtal")</f>
        <v>Xtal</v>
      </c>
    </row>
    <row r="191" spans="1:38" x14ac:dyDescent="0.2">
      <c r="A191" s="1" t="s">
        <v>314</v>
      </c>
      <c r="B191" s="1" t="str">
        <f>VLOOKUP(A191,Xtal_Templ!A:B,2,FALSE)</f>
        <v>nk1r_human</v>
      </c>
      <c r="C191" s="5">
        <f>VLOOKUP($B191&amp;"__wt",'SegEnds_Xtal_BW#'!$A:$Z,3,FALSE)</f>
        <v>28</v>
      </c>
      <c r="D191" s="1">
        <f>VLOOKUP($B191&amp;"__wt",'SegEnds_Xtal_BW#'!$A:$Z,4,FALSE)</f>
        <v>60</v>
      </c>
      <c r="E191" s="1">
        <f>VLOOKUP($B191&amp;"__wt",'SegEnds_Xtal_BW#'!$A:$Z,5,FALSE)</f>
        <v>48</v>
      </c>
      <c r="F191" s="1">
        <f>VLOOKUP($B191&amp;"__wt",'SegEnds_Xtal_BW#'!$A:$Z,6,FALSE)</f>
        <v>51</v>
      </c>
      <c r="G191" s="1">
        <v>37</v>
      </c>
      <c r="H191" s="12">
        <f>VLOOKUP($B191&amp;"__wt",'SegEnds_Xtal_BW#'!$A:$Z,8,FALSE)</f>
        <v>68</v>
      </c>
      <c r="I191" s="1">
        <f>VLOOKUP($B191&amp;"__wt",'SegEnds_Xtal_BW#'!$A:$Z,9,FALSE)</f>
        <v>49</v>
      </c>
      <c r="J191" s="1">
        <f>VLOOKUP($B191&amp;"__wt",'SegEnds_Xtal_BW#'!$A:$Z,10,FALSE)</f>
        <v>52</v>
      </c>
      <c r="K191" s="12">
        <v>18</v>
      </c>
      <c r="L191" s="1">
        <f>VLOOKUP($B191&amp;"__wt",'SegEnds_Xtal_BW#'!$A:$Z,12,FALSE)</f>
        <v>56</v>
      </c>
      <c r="M191" s="1" t="str">
        <f>VLOOKUP($B191&amp;"__wt",'SegEnds_Xtal_BW#'!$A:$Z,13,FALSE)</f>
        <v>-</v>
      </c>
      <c r="N191" s="12">
        <v>56</v>
      </c>
      <c r="O191" s="87">
        <f>VLOOKUP($B191&amp;"__wt",'SegEnds_Xtal_BW#'!$A:$Z,15,FALSE)</f>
        <v>38</v>
      </c>
      <c r="P191" s="1">
        <f>VLOOKUP($B191&amp;"__wt",'SegEnds_Xtal_BW#'!$A:$Z,16,FALSE)</f>
        <v>64</v>
      </c>
      <c r="Q191" s="1">
        <f>VLOOKUP($B191&amp;"__wt",'SegEnds_Xtal_BW#'!$A:$Z,17,FALSE)</f>
        <v>50</v>
      </c>
      <c r="R191" s="1">
        <f>VLOOKUP($B191&amp;"__wt",'SegEnds_Xtal_BW#'!$A:$Z,18,FALSE)</f>
        <v>52</v>
      </c>
      <c r="S191" s="1">
        <f>VLOOKUP($B191&amp;"__wt",'SegEnds_Xtal_BW#'!$A:$Z,19,FALSE)</f>
        <v>30</v>
      </c>
      <c r="T191" s="1">
        <f t="array" ref="T191">INDEX(ICL3_classA!$G$2:$G$39,MATCH(MIN(ABS(AI191-ICL3_classA!$F$2:$F$39)),ABS(AI191-ICL3_classA!$F$2:$F$39),0))</f>
        <v>73</v>
      </c>
      <c r="U191" s="1">
        <f t="array" ref="U191">INDEX(ICL3_classA!$H$2:$H$39,MATCH(MIN(ABS(AI191-ICL3_classA!$F$2:$F$39)),ABS(AI191-ICL3_classA!$F$2:$F$39),0))</f>
        <v>22</v>
      </c>
      <c r="V191" s="1">
        <v>61</v>
      </c>
      <c r="W191" s="131">
        <f>VLOOKUP($B191&amp;"__wt",'SegEnds_Xtal_BW#'!$A:$Z,23,FALSE)</f>
        <v>30</v>
      </c>
      <c r="X191" s="1">
        <f>VLOOKUP($B191&amp;"__wt",'SegEnds_Xtal_BW#'!$A:$Z,24,FALSE)</f>
        <v>56</v>
      </c>
      <c r="Y191" s="1">
        <f>VLOOKUP($B191&amp;"__wt",'SegEnds_Xtal_BW#'!$A:$Z,25,FALSE)</f>
        <v>47</v>
      </c>
      <c r="Z191" s="1">
        <f>VLOOKUP($B191&amp;"__wt",'SegEnds_Xtal_BW#'!$A:$Z,26,FALSE)</f>
        <v>58</v>
      </c>
      <c r="AA191" s="27" t="str">
        <f>VLOOKUP(A191,Classification!A:B,2,FALSE)</f>
        <v>A</v>
      </c>
      <c r="AB191" s="1">
        <f>VLOOKUP(A191,'SegEnds_NonXtal_Prot#'!A:AL,10,FALSE)-VLOOKUP(A191,'SegEnds_NonXtal_Prot#'!A:AL,4,FALSE)</f>
        <v>28</v>
      </c>
      <c r="AC191" s="1">
        <f>VLOOKUP(A191,'SegEnds_NonXtal_Prot#'!A:AL,10,FALSE)-VLOOKUP(A191,'SegEnds_NonXtal_Prot#'!A:AL,7,FALSE)</f>
        <v>15</v>
      </c>
      <c r="AD191" s="1">
        <f>VLOOKUP(A191,'SegEnds_NonXtal_Prot#'!A:AL,13,FALSE)-VLOOKUP(A191,'SegEnds_NonXtal_Prot#'!A:AL,10,FALSE)</f>
        <v>20</v>
      </c>
      <c r="AE191" s="1">
        <f>VLOOKUP(A191,'SegEnds_NonXtal_Prot#'!A:AL,16,FALSE)-VLOOKUP(A191,'SegEnds_NonXtal_Prot#'!A:AL,10,FALSE)</f>
        <v>52</v>
      </c>
      <c r="AF191" s="1" t="e">
        <f>VLOOKUP(A191,'SegEnds_NonXtal_Prot#'!A:AL,22,FALSE)-VLOOKUP(A191,'SegEnds_NonXtal_Prot#'!A:AL,19,FALSE)</f>
        <v>#VALUE!</v>
      </c>
      <c r="AG191" s="1">
        <f>VLOOKUP(A191,'SegEnds_NonXtal_Prot#'!A:AL,28,FALSE)-VLOOKUP(A191,'SegEnds_NonXtal_Prot#'!A:AL,25,FALSE)</f>
        <v>28</v>
      </c>
      <c r="AH191" s="1">
        <f>VLOOKUP(A191,'SegEnds_NonXtal_Prot#'!A:AL,28,FALSE)-VLOOKUP(A191,'SegEnds_NonXtal_Prot#'!A:AL,22,FALSE)</f>
        <v>53</v>
      </c>
      <c r="AI191" s="1">
        <f>VLOOKUP(A191,'SegEnds_NonXtal_Prot#'!A:AL,31,FALSE)-VLOOKUP(A191,'SegEnds_NonXtal_Prot#'!A:AL,28,FALSE)</f>
        <v>56</v>
      </c>
      <c r="AJ191" s="1">
        <f>VLOOKUP(A191,'SegEnds_NonXtal_Prot#'!A:AL,34,FALSE)-VLOOKUP(A191,'SegEnds_NonXtal_Prot#'!A:AL,31,FALSE)</f>
        <v>39</v>
      </c>
      <c r="AK191" s="1">
        <f>VLOOKUP(A191,'SegEnds_NonXtal_Prot#'!A:AL,37,FALSE)-VLOOKUP(A191,'SegEnds_NonXtal_Prot#'!A:AL,34,FALSE)</f>
        <v>10</v>
      </c>
      <c r="AL191" s="1" t="str">
        <f>IF(ISERROR(MATCH(A191,'SegEnds_Xtal_Prot#'!B:B, 0)), "NoXtal", "Xtal")</f>
        <v>NoXtal</v>
      </c>
    </row>
    <row r="192" spans="1:38" x14ac:dyDescent="0.2">
      <c r="A192" s="1" t="s">
        <v>320</v>
      </c>
      <c r="B192" s="1" t="str">
        <f>VLOOKUP(A192,Xtal_Templ!A:B,2,FALSE)</f>
        <v>oprd_human</v>
      </c>
      <c r="C192" s="5">
        <f>VLOOKUP($B192&amp;"__wt",'SegEnds_Xtal_BW#'!$A:$Z,3,FALSE)</f>
        <v>22</v>
      </c>
      <c r="D192" s="1">
        <f>VLOOKUP($B192&amp;"__wt",'SegEnds_Xtal_BW#'!$A:$Z,4,FALSE)</f>
        <v>60</v>
      </c>
      <c r="E192" s="1">
        <f>VLOOKUP($B192&amp;"__wt",'SegEnds_Xtal_BW#'!$A:$Z,5,FALSE)</f>
        <v>48</v>
      </c>
      <c r="F192" s="1">
        <f>VLOOKUP($B192&amp;"__wt",'SegEnds_Xtal_BW#'!$A:$Z,6,FALSE)</f>
        <v>51</v>
      </c>
      <c r="G192" s="1">
        <v>37</v>
      </c>
      <c r="H192" s="12">
        <v>66</v>
      </c>
      <c r="I192" s="1">
        <f>VLOOKUP($B192&amp;"__wt",'SegEnds_Xtal_BW#'!$A:$Z,9,FALSE)</f>
        <v>49</v>
      </c>
      <c r="J192" s="1">
        <f>VLOOKUP($B192&amp;"__wt",'SegEnds_Xtal_BW#'!$A:$Z,10,FALSE)</f>
        <v>52</v>
      </c>
      <c r="K192" s="12">
        <v>21</v>
      </c>
      <c r="L192" s="1">
        <f>VLOOKUP($B192&amp;"__wt",'SegEnds_Xtal_BW#'!$A:$Z,12,FALSE)</f>
        <v>56</v>
      </c>
      <c r="M192" s="1">
        <f>VLOOKUP($B192&amp;"__wt",'SegEnds_Xtal_BW#'!$A:$Z,13,FALSE)</f>
        <v>50</v>
      </c>
      <c r="N192" s="12">
        <f>VLOOKUP($B192&amp;"__wt",'SegEnds_Xtal_BW#'!$A:$Z,14,FALSE)</f>
        <v>57</v>
      </c>
      <c r="O192" s="87">
        <v>38</v>
      </c>
      <c r="P192" s="1">
        <f>VLOOKUP($B192&amp;"__wt",'SegEnds_Xtal_BW#'!$A:$Z,16,FALSE)</f>
        <v>64</v>
      </c>
      <c r="Q192" s="1">
        <f>VLOOKUP($B192&amp;"__wt",'SegEnds_Xtal_BW#'!$A:$Z,17,FALSE)</f>
        <v>50</v>
      </c>
      <c r="R192" s="1">
        <f>VLOOKUP($B192&amp;"__wt",'SegEnds_Xtal_BW#'!$A:$Z,18,FALSE)</f>
        <v>52</v>
      </c>
      <c r="S192" s="1">
        <f>VLOOKUP($B192&amp;"__wt",'SegEnds_Xtal_BW#'!$A:$Z,19,FALSE)</f>
        <v>31</v>
      </c>
      <c r="T192" s="1">
        <f t="array" ref="T192">INDEX(ICL3_classA!$G$2:$G$39,MATCH(MIN(ABS(AI192-ICL3_classA!$F$2:$F$39)),ABS(AI192-ICL3_classA!$F$2:$F$39),0))</f>
        <v>68</v>
      </c>
      <c r="U192" s="1">
        <f t="array" ref="U192">INDEX(ICL3_classA!$H$2:$H$39,MATCH(MIN(ABS(AI192-ICL3_classA!$F$2:$F$39)),ABS(AI192-ICL3_classA!$F$2:$F$39),0))</f>
        <v>23</v>
      </c>
      <c r="V192" s="1">
        <v>61</v>
      </c>
      <c r="W192" s="131">
        <f>VLOOKUP($B192&amp;"__wt",'SegEnds_Xtal_BW#'!$A:$Z,23,FALSE)</f>
        <v>28</v>
      </c>
      <c r="X192" s="1">
        <f>VLOOKUP($B192&amp;"__wt",'SegEnds_Xtal_BW#'!$A:$Z,24,FALSE)</f>
        <v>56</v>
      </c>
      <c r="Y192" s="1">
        <f>VLOOKUP($B192&amp;"__wt",'SegEnds_Xtal_BW#'!$A:$Z,25,FALSE)</f>
        <v>47</v>
      </c>
      <c r="Z192" s="1">
        <f>VLOOKUP($B192&amp;"__wt",'SegEnds_Xtal_BW#'!$A:$Z,26,FALSE)</f>
        <v>60</v>
      </c>
      <c r="AA192" s="27" t="str">
        <f>VLOOKUP(A192,Classification!A:B,2,FALSE)</f>
        <v>A</v>
      </c>
      <c r="AB192" s="1">
        <f>VLOOKUP(A192,'SegEnds_NonXtal_Prot#'!A:AL,10,FALSE)-VLOOKUP(A192,'SegEnds_NonXtal_Prot#'!A:AL,4,FALSE)</f>
        <v>28</v>
      </c>
      <c r="AC192" s="1">
        <f>VLOOKUP(A192,'SegEnds_NonXtal_Prot#'!A:AL,10,FALSE)-VLOOKUP(A192,'SegEnds_NonXtal_Prot#'!A:AL,7,FALSE)</f>
        <v>15</v>
      </c>
      <c r="AD192" s="1">
        <f>VLOOKUP(A192,'SegEnds_NonXtal_Prot#'!A:AL,13,FALSE)-VLOOKUP(A192,'SegEnds_NonXtal_Prot#'!A:AL,10,FALSE)</f>
        <v>19</v>
      </c>
      <c r="AE192" s="1">
        <f>VLOOKUP(A192,'SegEnds_NonXtal_Prot#'!A:AL,16,FALSE)-VLOOKUP(A192,'SegEnds_NonXtal_Prot#'!A:AL,10,FALSE)</f>
        <v>51</v>
      </c>
      <c r="AF192" s="1" t="e">
        <f>VLOOKUP(A192,'SegEnds_NonXtal_Prot#'!A:AL,22,FALSE)-VLOOKUP(A192,'SegEnds_NonXtal_Prot#'!A:AL,19,FALSE)</f>
        <v>#VALUE!</v>
      </c>
      <c r="AG192" s="1">
        <f>VLOOKUP(A192,'SegEnds_NonXtal_Prot#'!A:AL,28,FALSE)-VLOOKUP(A192,'SegEnds_NonXtal_Prot#'!A:AL,25,FALSE)</f>
        <v>27</v>
      </c>
      <c r="AH192" s="1">
        <f>VLOOKUP(A192,'SegEnds_NonXtal_Prot#'!A:AL,28,FALSE)-VLOOKUP(A192,'SegEnds_NonXtal_Prot#'!A:AL,22,FALSE)</f>
        <v>53</v>
      </c>
      <c r="AI192" s="1">
        <f>VLOOKUP(A192,'SegEnds_NonXtal_Prot#'!A:AL,31,FALSE)-VLOOKUP(A192,'SegEnds_NonXtal_Prot#'!A:AL,28,FALSE)</f>
        <v>51</v>
      </c>
      <c r="AJ192" s="1">
        <f>VLOOKUP(A192,'SegEnds_NonXtal_Prot#'!A:AL,34,FALSE)-VLOOKUP(A192,'SegEnds_NonXtal_Prot#'!A:AL,31,FALSE)</f>
        <v>38</v>
      </c>
      <c r="AK192" s="1">
        <f>VLOOKUP(A192,'SegEnds_NonXtal_Prot#'!A:AL,37,FALSE)-VLOOKUP(A192,'SegEnds_NonXtal_Prot#'!A:AL,34,FALSE)</f>
        <v>10</v>
      </c>
      <c r="AL192" s="1" t="str">
        <f>IF(ISERROR(MATCH(A192,'SegEnds_Xtal_Prot#'!B:B, 0)), "NoXtal", "Xtal")</f>
        <v>NoXtal</v>
      </c>
    </row>
    <row r="193" spans="1:38" x14ac:dyDescent="0.2">
      <c r="A193" s="1" t="s">
        <v>344</v>
      </c>
      <c r="B193" s="1" t="str">
        <f>VLOOKUP(A193,Xtal_Templ!A:B,2,FALSE)</f>
        <v>p2ry1_human</v>
      </c>
      <c r="C193" s="5">
        <f>VLOOKUP($B193&amp;"__wt",'SegEnds_Xtal_BW#'!$A:$Z,3,FALSE)</f>
        <v>30</v>
      </c>
      <c r="D193" s="1">
        <f>VLOOKUP($B193&amp;"__wt",'SegEnds_Xtal_BW#'!$A:$Z,4,FALSE)</f>
        <v>60</v>
      </c>
      <c r="E193" s="1" t="str">
        <f>VLOOKUP($B193&amp;"__wt",'SegEnds_Xtal_BW#'!$A:$Z,5,FALSE)</f>
        <v>-</v>
      </c>
      <c r="F193" s="1" t="str">
        <f>VLOOKUP($B193&amp;"__wt",'SegEnds_Xtal_BW#'!$A:$Z,6,FALSE)</f>
        <v>-</v>
      </c>
      <c r="G193" s="1">
        <v>37</v>
      </c>
      <c r="H193" s="12">
        <f>VLOOKUP($B193&amp;"__wt",'SegEnds_Xtal_BW#'!$A:$Z,8,FALSE)</f>
        <v>66</v>
      </c>
      <c r="I193" s="1">
        <f>VLOOKUP($B193&amp;"__wt",'SegEnds_Xtal_BW#'!$A:$Z,9,FALSE)</f>
        <v>49</v>
      </c>
      <c r="J193" s="1">
        <f>VLOOKUP($B193&amp;"__wt",'SegEnds_Xtal_BW#'!$A:$Z,10,FALSE)</f>
        <v>52</v>
      </c>
      <c r="K193" s="12">
        <v>18</v>
      </c>
      <c r="L193" s="1">
        <f>VLOOKUP($B193&amp;"__wt",'SegEnds_Xtal_BW#'!$A:$Z,12,FALSE)</f>
        <v>56</v>
      </c>
      <c r="M193" s="1">
        <f>VLOOKUP($B193&amp;"__wt",'SegEnds_Xtal_BW#'!$A:$Z,13,FALSE)</f>
        <v>50</v>
      </c>
      <c r="N193" s="12">
        <f>VLOOKUP($B193&amp;"__wt",'SegEnds_Xtal_BW#'!$A:$Z,14,FALSE)</f>
        <v>57</v>
      </c>
      <c r="O193" s="87">
        <f>VLOOKUP($B193&amp;"__wt",'SegEnds_Xtal_BW#'!$A:$Z,15,FALSE)</f>
        <v>38</v>
      </c>
      <c r="P193" s="1">
        <f>VLOOKUP($B193&amp;"__wt",'SegEnds_Xtal_BW#'!$A:$Z,16,FALSE)</f>
        <v>64</v>
      </c>
      <c r="Q193" s="1">
        <f>VLOOKUP($B193&amp;"__wt",'SegEnds_Xtal_BW#'!$A:$Z,17,FALSE)</f>
        <v>50</v>
      </c>
      <c r="R193" s="1">
        <f>VLOOKUP($B193&amp;"__wt",'SegEnds_Xtal_BW#'!$A:$Z,18,FALSE)</f>
        <v>52</v>
      </c>
      <c r="S193" s="1">
        <f>VLOOKUP($B193&amp;"__wt",'SegEnds_Xtal_BW#'!$A:$Z,19,FALSE)</f>
        <v>32</v>
      </c>
      <c r="T193" s="1">
        <v>68</v>
      </c>
      <c r="U193" s="1">
        <v>28</v>
      </c>
      <c r="V193" s="1">
        <v>64</v>
      </c>
      <c r="W193" s="1">
        <v>24</v>
      </c>
      <c r="X193" s="1">
        <f>VLOOKUP($B193&amp;"__wt",'SegEnds_Xtal_BW#'!$A:$Z,24,FALSE)</f>
        <v>56</v>
      </c>
      <c r="Y193" s="1">
        <f>VLOOKUP($B193&amp;"__wt",'SegEnds_Xtal_BW#'!$A:$Z,25,FALSE)</f>
        <v>47</v>
      </c>
      <c r="Z193" s="1">
        <f>VLOOKUP($B193&amp;"__wt",'SegEnds_Xtal_BW#'!$A:$Z,26,FALSE)</f>
        <v>59</v>
      </c>
      <c r="AA193" s="27" t="str">
        <f>VLOOKUP(A193,Classification!A:B,2,FALSE)</f>
        <v>A</v>
      </c>
      <c r="AB193" s="1">
        <f>VLOOKUP(A193,'SegEnds_NonXtal_Prot#'!A:AL,10,FALSE)-VLOOKUP(A193,'SegEnds_NonXtal_Prot#'!A:AL,4,FALSE)</f>
        <v>28</v>
      </c>
      <c r="AC193" s="1" t="e">
        <f>VLOOKUP(A193,'SegEnds_NonXtal_Prot#'!A:AL,10,FALSE)-VLOOKUP(A193,'SegEnds_NonXtal_Prot#'!A:AL,7,FALSE)</f>
        <v>#VALUE!</v>
      </c>
      <c r="AD193" s="1">
        <f>VLOOKUP(A193,'SegEnds_NonXtal_Prot#'!A:AL,13,FALSE)-VLOOKUP(A193,'SegEnds_NonXtal_Prot#'!A:AL,10,FALSE)</f>
        <v>20</v>
      </c>
      <c r="AE193" s="1">
        <f>VLOOKUP(A193,'SegEnds_NonXtal_Prot#'!A:AL,16,FALSE)-VLOOKUP(A193,'SegEnds_NonXtal_Prot#'!A:AL,10,FALSE)</f>
        <v>52</v>
      </c>
      <c r="AF193" s="1">
        <f>VLOOKUP(A193,'SegEnds_NonXtal_Prot#'!A:AL,22,FALSE)-VLOOKUP(A193,'SegEnds_NonXtal_Prot#'!A:AL,19,FALSE)</f>
        <v>20</v>
      </c>
      <c r="AG193" s="1">
        <f>VLOOKUP(A193,'SegEnds_NonXtal_Prot#'!A:AL,28,FALSE)-VLOOKUP(A193,'SegEnds_NonXtal_Prot#'!A:AL,25,FALSE)</f>
        <v>27</v>
      </c>
      <c r="AH193" s="1">
        <f>VLOOKUP(A193,'SegEnds_NonXtal_Prot#'!A:AL,28,FALSE)-VLOOKUP(A193,'SegEnds_NonXtal_Prot#'!A:AL,22,FALSE)</f>
        <v>53</v>
      </c>
      <c r="AI193" s="1">
        <f>VLOOKUP(A193,'SegEnds_NonXtal_Prot#'!A:AL,31,FALSE)-VLOOKUP(A193,'SegEnds_NonXtal_Prot#'!A:AL,28,FALSE)</f>
        <v>46</v>
      </c>
      <c r="AJ193" s="1">
        <f>VLOOKUP(A193,'SegEnds_NonXtal_Prot#'!A:AL,34,FALSE)-VLOOKUP(A193,'SegEnds_NonXtal_Prot#'!A:AL,31,FALSE)</f>
        <v>46</v>
      </c>
      <c r="AK193" s="1">
        <f>VLOOKUP(A193,'SegEnds_NonXtal_Prot#'!A:AL,37,FALSE)-VLOOKUP(A193,'SegEnds_NonXtal_Prot#'!A:AL,34,FALSE)</f>
        <v>10</v>
      </c>
      <c r="AL193" s="1" t="str">
        <f>IF(ISERROR(MATCH(A193,'SegEnds_Xtal_Prot#'!B:B, 0)), "NoXtal", "Xtal")</f>
        <v>Xtal</v>
      </c>
    </row>
    <row r="194" spans="1:38" x14ac:dyDescent="0.2">
      <c r="A194" s="4" t="s">
        <v>349</v>
      </c>
      <c r="B194" s="4" t="str">
        <f>VLOOKUP(A194,Xtal_Templ!A:B,2,FALSE)</f>
        <v>ptafr_human</v>
      </c>
      <c r="C194" s="5">
        <f>VLOOKUP($B194&amp;"__wt",'SegEnds_Xtal_BW#'!$A:$Z,3,FALSE)</f>
        <v>27</v>
      </c>
      <c r="D194" s="4">
        <f>VLOOKUP($B194&amp;"__wt",'SegEnds_Xtal_BW#'!$A:$Z,4,FALSE)</f>
        <v>61</v>
      </c>
      <c r="E194" s="4" t="str">
        <f>VLOOKUP($B194&amp;"__wt",'SegEnds_Xtal_BW#'!$A:$Z,5,FALSE)</f>
        <v>-</v>
      </c>
      <c r="F194" s="4" t="str">
        <f>VLOOKUP($B194&amp;"__wt",'SegEnds_Xtal_BW#'!$A:$Z,6,FALSE)</f>
        <v>-</v>
      </c>
      <c r="G194" s="4">
        <v>37</v>
      </c>
      <c r="H194" s="11">
        <v>66</v>
      </c>
      <c r="I194" s="4">
        <f>VLOOKUP($B194&amp;"__wt",'SegEnds_Xtal_BW#'!$A:$Z,9,FALSE)</f>
        <v>49</v>
      </c>
      <c r="J194" s="4">
        <f>VLOOKUP($B194&amp;"__wt",'SegEnds_Xtal_BW#'!$A:$Z,10,FALSE)</f>
        <v>52</v>
      </c>
      <c r="K194" s="11">
        <v>21</v>
      </c>
      <c r="L194" s="4">
        <f>VLOOKUP($B194&amp;"__wt",'SegEnds_Xtal_BW#'!$A:$Z,12,FALSE)</f>
        <v>56</v>
      </c>
      <c r="M194" s="4">
        <f>VLOOKUP($B194&amp;"__wt",'SegEnds_Xtal_BW#'!$A:$Z,13,FALSE)</f>
        <v>50</v>
      </c>
      <c r="N194" s="108">
        <v>56</v>
      </c>
      <c r="O194" s="87">
        <f>VLOOKUP($B194&amp;"__wt",'SegEnds_Xtal_BW#'!$A:$Z,15,FALSE)</f>
        <v>38</v>
      </c>
      <c r="P194" s="4">
        <f>VLOOKUP($B194&amp;"__wt",'SegEnds_Xtal_BW#'!$A:$Z,16,FALSE)</f>
        <v>63</v>
      </c>
      <c r="Q194" s="4">
        <f>VLOOKUP($B194&amp;"__wt",'SegEnds_Xtal_BW#'!$A:$Z,17,FALSE)</f>
        <v>50</v>
      </c>
      <c r="R194" s="4">
        <f>VLOOKUP($B194&amp;"__wt",'SegEnds_Xtal_BW#'!$A:$Z,18,FALSE)</f>
        <v>52</v>
      </c>
      <c r="S194" s="4">
        <f>VLOOKUP($B194&amp;"__wt",'SegEnds_Xtal_BW#'!$A:$Z,19,FALSE)</f>
        <v>33</v>
      </c>
      <c r="T194" s="4">
        <f t="array" ref="T194">INDEX(ICL3_classA!$G$2:$G$39,MATCH(MIN(ABS(AI194-ICL3_classA!$F$2:$F$39)),ABS(AI194-ICL3_classA!$F$2:$F$39),0))</f>
        <v>68</v>
      </c>
      <c r="U194" s="4">
        <f t="array" ref="U194">INDEX(ICL3_classA!$H$2:$H$39,MATCH(MIN(ABS(AI194-ICL3_classA!$F$2:$F$39)),ABS(AI194-ICL3_classA!$F$2:$F$39),0))</f>
        <v>24</v>
      </c>
      <c r="V194" s="4">
        <v>64</v>
      </c>
      <c r="W194" s="4">
        <v>24</v>
      </c>
      <c r="X194" s="4">
        <f>VLOOKUP($B194&amp;"__wt",'SegEnds_Xtal_BW#'!$A:$Z,24,FALSE)</f>
        <v>59</v>
      </c>
      <c r="Y194" s="4">
        <f>VLOOKUP($B194&amp;"__wt",'SegEnds_Xtal_BW#'!$A:$Z,25,FALSE)</f>
        <v>50</v>
      </c>
      <c r="Z194" s="4">
        <f>VLOOKUP($B194&amp;"__wt",'SegEnds_Xtal_BW#'!$A:$Z,26,FALSE)</f>
        <v>63</v>
      </c>
      <c r="AA194" s="27" t="str">
        <f>VLOOKUP(A194,Classification!A:B,2,FALSE)</f>
        <v>A</v>
      </c>
      <c r="AB194" s="1">
        <f>VLOOKUP(A194,'SegEnds_NonXtal_Prot#'!A:AL,10,FALSE)-VLOOKUP(A194,'SegEnds_NonXtal_Prot#'!A:AL,4,FALSE)</f>
        <v>28</v>
      </c>
      <c r="AC194" s="4" t="e">
        <f>VLOOKUP(A194,'SegEnds_NonXtal_Prot#'!A:AL,10,FALSE)-VLOOKUP(A194,'SegEnds_NonXtal_Prot#'!A:AL,7,FALSE)</f>
        <v>#VALUE!</v>
      </c>
      <c r="AD194" s="4">
        <f>VLOOKUP(A194,'SegEnds_NonXtal_Prot#'!A:AL,13,FALSE)-VLOOKUP(A194,'SegEnds_NonXtal_Prot#'!A:AL,10,FALSE)</f>
        <v>19</v>
      </c>
      <c r="AE194" s="4">
        <f>VLOOKUP(A194,'SegEnds_NonXtal_Prot#'!A:AL,16,FALSE)-VLOOKUP(A194,'SegEnds_NonXtal_Prot#'!A:AL,10,FALSE)</f>
        <v>51</v>
      </c>
      <c r="AF194" s="1">
        <f>VLOOKUP(A194,'SegEnds_NonXtal_Prot#'!A:AL,22,FALSE)-VLOOKUP(A194,'SegEnds_NonXtal_Prot#'!A:AL,19,FALSE)</f>
        <v>19</v>
      </c>
      <c r="AG194" s="4">
        <f>VLOOKUP(A194,'SegEnds_NonXtal_Prot#'!A:AL,28,FALSE)-VLOOKUP(A194,'SegEnds_NonXtal_Prot#'!A:AL,25,FALSE)</f>
        <v>29</v>
      </c>
      <c r="AH194" s="1">
        <f>VLOOKUP(A194,'SegEnds_NonXtal_Prot#'!A:AL,28,FALSE)-VLOOKUP(A194,'SegEnds_NonXtal_Prot#'!A:AL,22,FALSE)</f>
        <v>53</v>
      </c>
      <c r="AI194" s="4">
        <f>VLOOKUP(A194,'SegEnds_NonXtal_Prot#'!A:AL,31,FALSE)-VLOOKUP(A194,'SegEnds_NonXtal_Prot#'!A:AL,28,FALSE)</f>
        <v>48</v>
      </c>
      <c r="AJ194" s="4">
        <f>VLOOKUP(A194,'SegEnds_NonXtal_Prot#'!A:AL,34,FALSE)-VLOOKUP(A194,'SegEnds_NonXtal_Prot#'!A:AL,31,FALSE)</f>
        <v>44</v>
      </c>
      <c r="AK194" s="1">
        <f>VLOOKUP(A194,'SegEnds_NonXtal_Prot#'!A:AL,37,FALSE)-VLOOKUP(A194,'SegEnds_NonXtal_Prot#'!A:AL,34,FALSE)</f>
        <v>10</v>
      </c>
      <c r="AL194" s="1" t="str">
        <f>IF(ISERROR(MATCH(A194,'SegEnds_Xtal_Prot#'!B:B, 0)), "NoXtal", "Xtal")</f>
        <v>NoXtal</v>
      </c>
    </row>
    <row r="195" spans="1:38" x14ac:dyDescent="0.2">
      <c r="A195" s="1" t="s">
        <v>365</v>
      </c>
      <c r="B195" s="1" t="str">
        <f>VLOOKUP(A195,Xtal_Templ!A:B,2,FALSE)</f>
        <v>pe2r4_human</v>
      </c>
      <c r="C195" s="5">
        <f>VLOOKUP($B195&amp;"__wt",'SegEnds_Xtal_BW#'!$A:$Z,3,FALSE)</f>
        <v>33</v>
      </c>
      <c r="D195" s="1">
        <f>VLOOKUP($B195&amp;"__wt",'SegEnds_Xtal_BW#'!$A:$Z,4,FALSE)</f>
        <v>58</v>
      </c>
      <c r="E195" s="1" t="str">
        <f>VLOOKUP($B195&amp;"__wt",'SegEnds_Xtal_BW#'!$A:$Z,5,FALSE)</f>
        <v>-</v>
      </c>
      <c r="F195" s="1" t="str">
        <f>VLOOKUP($B195&amp;"__wt",'SegEnds_Xtal_BW#'!$A:$Z,6,FALSE)</f>
        <v>-</v>
      </c>
      <c r="G195" s="1">
        <v>37</v>
      </c>
      <c r="H195" s="12">
        <v>67</v>
      </c>
      <c r="I195" s="1">
        <f>VLOOKUP($B195&amp;"__wt",'SegEnds_Xtal_BW#'!$A:$Z,9,FALSE)</f>
        <v>49</v>
      </c>
      <c r="J195" s="1">
        <f>VLOOKUP($B195&amp;"__wt",'SegEnds_Xtal_BW#'!$A:$Z,10,FALSE)</f>
        <v>52</v>
      </c>
      <c r="K195" s="12">
        <v>18</v>
      </c>
      <c r="L195" s="1">
        <f>VLOOKUP($B195&amp;"__wt",'SegEnds_Xtal_BW#'!$A:$Z,12,FALSE)</f>
        <v>56</v>
      </c>
      <c r="M195" s="1">
        <f>VLOOKUP($B195&amp;"__wt",'SegEnds_Xtal_BW#'!$A:$Z,13,FALSE)</f>
        <v>50</v>
      </c>
      <c r="N195" s="12">
        <v>57</v>
      </c>
      <c r="O195" s="87">
        <f>VLOOKUP($B195&amp;"__wt",'SegEnds_Xtal_BW#'!$A:$Z,15,FALSE)</f>
        <v>38</v>
      </c>
      <c r="P195" s="1">
        <f>VLOOKUP($B195&amp;"__wt",'SegEnds_Xtal_BW#'!$A:$Z,16,FALSE)</f>
        <v>63</v>
      </c>
      <c r="Q195" s="1">
        <f>VLOOKUP($B195&amp;"__wt",'SegEnds_Xtal_BW#'!$A:$Z,17,FALSE)</f>
        <v>50</v>
      </c>
      <c r="R195" s="1">
        <f>VLOOKUP($B195&amp;"__wt",'SegEnds_Xtal_BW#'!$A:$Z,18,FALSE)</f>
        <v>52</v>
      </c>
      <c r="S195" s="1">
        <f>VLOOKUP($B195&amp;"__wt",'SegEnds_Xtal_BW#'!$A:$Z,19,FALSE)</f>
        <v>33</v>
      </c>
      <c r="T195" s="1">
        <f t="array" ref="T195">INDEX(ICL3_classA!$G$2:$G$39,MATCH(MIN(ABS(AI195-ICL3_classA!$F$2:$F$39)),ABS(AI195-ICL3_classA!$F$2:$F$39),0))</f>
        <v>73</v>
      </c>
      <c r="U195" s="1">
        <f t="array" ref="U195">INDEX(ICL3_classA!$H$2:$H$39,MATCH(MIN(ABS(AI195-ICL3_classA!$F$2:$F$39)),ABS(AI195-ICL3_classA!$F$2:$F$39),0))</f>
        <v>22</v>
      </c>
      <c r="V195" s="1">
        <v>61</v>
      </c>
      <c r="W195" s="1">
        <v>31</v>
      </c>
      <c r="X195" s="108">
        <v>56</v>
      </c>
      <c r="Y195" s="1">
        <f>VLOOKUP($B195&amp;"__wt",'SegEnds_Xtal_BW#'!$A:$Z,25,FALSE)</f>
        <v>47</v>
      </c>
      <c r="Z195" s="1">
        <f>VLOOKUP($B195&amp;"__wt",'SegEnds_Xtal_BW#'!$A:$Z,26,FALSE)</f>
        <v>60</v>
      </c>
      <c r="AA195" s="27" t="str">
        <f>VLOOKUP(A195,Classification!A:B,2,FALSE)</f>
        <v>A</v>
      </c>
      <c r="AB195" s="1">
        <f>VLOOKUP(A195,'SegEnds_NonXtal_Prot#'!A:AL,10,FALSE)-VLOOKUP(A195,'SegEnds_NonXtal_Prot#'!A:AL,4,FALSE)</f>
        <v>29</v>
      </c>
      <c r="AC195" s="1" t="e">
        <f>VLOOKUP(A195,'SegEnds_NonXtal_Prot#'!A:AL,10,FALSE)-VLOOKUP(A195,'SegEnds_NonXtal_Prot#'!A:AL,7,FALSE)</f>
        <v>#VALUE!</v>
      </c>
      <c r="AD195" s="1" t="e">
        <f>VLOOKUP(A195,'SegEnds_NonXtal_Prot#'!A:AL,13,FALSE)-VLOOKUP(A195,'SegEnds_NonXtal_Prot#'!A:AL,10,FALSE)</f>
        <v>#VALUE!</v>
      </c>
      <c r="AE195" s="1">
        <f>VLOOKUP(A195,'SegEnds_NonXtal_Prot#'!A:AL,16,FALSE)-VLOOKUP(A195,'SegEnds_NonXtal_Prot#'!A:AL,10,FALSE)</f>
        <v>57</v>
      </c>
      <c r="AF195" s="1">
        <f>VLOOKUP(A195,'SegEnds_NonXtal_Prot#'!A:AL,22,FALSE)-VLOOKUP(A195,'SegEnds_NonXtal_Prot#'!A:AL,19,FALSE)</f>
        <v>20</v>
      </c>
      <c r="AG195" s="1">
        <f>VLOOKUP(A195,'SegEnds_NonXtal_Prot#'!A:AL,28,FALSE)-VLOOKUP(A195,'SegEnds_NonXtal_Prot#'!A:AL,25,FALSE)</f>
        <v>27</v>
      </c>
      <c r="AH195" s="1">
        <f>VLOOKUP(A195,'SegEnds_NonXtal_Prot#'!A:AL,28,FALSE)-VLOOKUP(A195,'SegEnds_NonXtal_Prot#'!A:AL,22,FALSE)</f>
        <v>53</v>
      </c>
      <c r="AI195" s="1">
        <f>VLOOKUP(A195,'SegEnds_NonXtal_Prot#'!A:AL,31,FALSE)-VLOOKUP(A195,'SegEnds_NonXtal_Prot#'!A:AL,28,FALSE)</f>
        <v>57</v>
      </c>
      <c r="AJ195" s="1">
        <f>VLOOKUP(A195,'SegEnds_NonXtal_Prot#'!A:AL,34,FALSE)-VLOOKUP(A195,'SegEnds_NonXtal_Prot#'!A:AL,31,FALSE)</f>
        <v>35</v>
      </c>
      <c r="AK195" s="1">
        <f>VLOOKUP(A195,'SegEnds_NonXtal_Prot#'!A:AL,37,FALSE)-VLOOKUP(A195,'SegEnds_NonXtal_Prot#'!A:AL,34,FALSE)</f>
        <v>10</v>
      </c>
      <c r="AL195" s="1" t="str">
        <f>IF(ISERROR(MATCH(A195,'SegEnds_Xtal_Prot#'!B:B, 0)), "NoXtal", "Xtal")</f>
        <v>NoXtal</v>
      </c>
    </row>
    <row r="196" spans="1:38" x14ac:dyDescent="0.2">
      <c r="A196" s="4" t="s">
        <v>368</v>
      </c>
      <c r="B196" s="4" t="str">
        <f>VLOOKUP(A196,Xtal_Templ!A:B,2,FALSE)</f>
        <v>ox2r_human</v>
      </c>
      <c r="C196" s="5">
        <f>VLOOKUP($B196&amp;"__wt",'SegEnds_Xtal_BW#'!$A:$Z,3,FALSE)</f>
        <v>31</v>
      </c>
      <c r="D196" s="4">
        <f>VLOOKUP($B196&amp;"__wt",'SegEnds_Xtal_BW#'!$A:$Z,4,FALSE)</f>
        <v>60</v>
      </c>
      <c r="E196" s="4">
        <f>VLOOKUP($B196&amp;"__wt",'SegEnds_Xtal_BW#'!$A:$Z,5,FALSE)</f>
        <v>48</v>
      </c>
      <c r="F196" s="4">
        <f>VLOOKUP($B196&amp;"__wt",'SegEnds_Xtal_BW#'!$A:$Z,6,FALSE)</f>
        <v>51</v>
      </c>
      <c r="G196" s="4">
        <v>37</v>
      </c>
      <c r="H196" s="11">
        <f>VLOOKUP($B196&amp;"__wt",'SegEnds_Xtal_BW#'!$A:$Z,8,FALSE)</f>
        <v>68</v>
      </c>
      <c r="I196" s="4">
        <f>VLOOKUP($B196&amp;"__wt",'SegEnds_Xtal_BW#'!$A:$Z,9,FALSE)</f>
        <v>49</v>
      </c>
      <c r="J196" s="4">
        <f>VLOOKUP($B196&amp;"__wt",'SegEnds_Xtal_BW#'!$A:$Z,10,FALSE)</f>
        <v>52</v>
      </c>
      <c r="K196" s="11">
        <v>18</v>
      </c>
      <c r="L196" s="4">
        <f>VLOOKUP($B196&amp;"__wt",'SegEnds_Xtal_BW#'!$A:$Z,12,FALSE)</f>
        <v>56</v>
      </c>
      <c r="M196" s="4">
        <f>VLOOKUP($B196&amp;"__wt",'SegEnds_Xtal_BW#'!$A:$Z,13,FALSE)</f>
        <v>50</v>
      </c>
      <c r="N196" s="11">
        <v>53</v>
      </c>
      <c r="O196" s="87">
        <f>VLOOKUP($B196&amp;"__wt",'SegEnds_Xtal_BW#'!$A:$Z,15,FALSE)</f>
        <v>38</v>
      </c>
      <c r="P196" s="4">
        <f>VLOOKUP($B196&amp;"__wt",'SegEnds_Xtal_BW#'!$A:$Z,16,FALSE)</f>
        <v>64</v>
      </c>
      <c r="Q196" s="4">
        <f>VLOOKUP($B196&amp;"__wt",'SegEnds_Xtal_BW#'!$A:$Z,17,FALSE)</f>
        <v>50</v>
      </c>
      <c r="R196" s="4">
        <f>VLOOKUP($B196&amp;"__wt",'SegEnds_Xtal_BW#'!$A:$Z,18,FALSE)</f>
        <v>52</v>
      </c>
      <c r="S196" s="4">
        <f>VLOOKUP($B196&amp;"__wt",'SegEnds_Xtal_BW#'!$A:$Z,19,FALSE)</f>
        <v>33</v>
      </c>
      <c r="T196" s="4">
        <f t="array" ref="T196">INDEX(ICL3_classA!$G$2:$G$39,MATCH(MIN(ABS(AI196-ICL3_classA!$F$2:$F$39)),ABS(AI196-ICL3_classA!$F$2:$F$39),0))</f>
        <v>73</v>
      </c>
      <c r="U196" s="4">
        <f t="array" ref="U196">INDEX(ICL3_classA!$H$2:$H$39,MATCH(MIN(ABS(AI196-ICL3_classA!$F$2:$F$39)),ABS(AI196-ICL3_classA!$F$2:$F$39),0))</f>
        <v>22</v>
      </c>
      <c r="V196" s="4">
        <v>61</v>
      </c>
      <c r="W196" s="131">
        <f>VLOOKUP($B196&amp;"__wt",'SegEnds_Xtal_BW#'!$A:$Z,23,FALSE)</f>
        <v>27</v>
      </c>
      <c r="X196" s="4">
        <f>VLOOKUP($B196&amp;"__wt",'SegEnds_Xtal_BW#'!$A:$Z,24,FALSE)</f>
        <v>56</v>
      </c>
      <c r="Y196" s="4">
        <f>VLOOKUP($B196&amp;"__wt",'SegEnds_Xtal_BW#'!$A:$Z,25,FALSE)</f>
        <v>47</v>
      </c>
      <c r="Z196" s="4">
        <f>VLOOKUP($B196&amp;"__wt",'SegEnds_Xtal_BW#'!$A:$Z,26,FALSE)</f>
        <v>63</v>
      </c>
      <c r="AA196" s="27" t="str">
        <f>VLOOKUP(A196,Classification!A:B,2,FALSE)</f>
        <v>A</v>
      </c>
      <c r="AB196" s="1">
        <f>VLOOKUP(A196,'SegEnds_NonXtal_Prot#'!A:AL,10,FALSE)-VLOOKUP(A196,'SegEnds_NonXtal_Prot#'!A:AL,4,FALSE)</f>
        <v>28</v>
      </c>
      <c r="AC196" s="4">
        <f>VLOOKUP(A196,'SegEnds_NonXtal_Prot#'!A:AL,10,FALSE)-VLOOKUP(A196,'SegEnds_NonXtal_Prot#'!A:AL,7,FALSE)</f>
        <v>15</v>
      </c>
      <c r="AD196" s="4">
        <f>VLOOKUP(A196,'SegEnds_NonXtal_Prot#'!A:AL,13,FALSE)-VLOOKUP(A196,'SegEnds_NonXtal_Prot#'!A:AL,10,FALSE)</f>
        <v>21</v>
      </c>
      <c r="AE196" s="4">
        <f>VLOOKUP(A196,'SegEnds_NonXtal_Prot#'!A:AL,16,FALSE)-VLOOKUP(A196,'SegEnds_NonXtal_Prot#'!A:AL,10,FALSE)</f>
        <v>53</v>
      </c>
      <c r="AF196" s="1">
        <f>VLOOKUP(A196,'SegEnds_NonXtal_Prot#'!A:AL,22,FALSE)-VLOOKUP(A196,'SegEnds_NonXtal_Prot#'!A:AL,19,FALSE)</f>
        <v>18</v>
      </c>
      <c r="AG196" s="4">
        <f>VLOOKUP(A196,'SegEnds_NonXtal_Prot#'!A:AL,28,FALSE)-VLOOKUP(A196,'SegEnds_NonXtal_Prot#'!A:AL,25,FALSE)</f>
        <v>26</v>
      </c>
      <c r="AH196" s="1">
        <f>VLOOKUP(A196,'SegEnds_NonXtal_Prot#'!A:AL,28,FALSE)-VLOOKUP(A196,'SegEnds_NonXtal_Prot#'!A:AL,22,FALSE)</f>
        <v>53</v>
      </c>
      <c r="AI196" s="4">
        <f>VLOOKUP(A196,'SegEnds_NonXtal_Prot#'!A:AL,31,FALSE)-VLOOKUP(A196,'SegEnds_NonXtal_Prot#'!A:AL,28,FALSE)</f>
        <v>56</v>
      </c>
      <c r="AJ196" s="4">
        <f>VLOOKUP(A196,'SegEnds_NonXtal_Prot#'!A:AL,34,FALSE)-VLOOKUP(A196,'SegEnds_NonXtal_Prot#'!A:AL,31,FALSE)</f>
        <v>39</v>
      </c>
      <c r="AK196" s="1">
        <f>VLOOKUP(A196,'SegEnds_NonXtal_Prot#'!A:AL,37,FALSE)-VLOOKUP(A196,'SegEnds_NonXtal_Prot#'!A:AL,34,FALSE)</f>
        <v>10</v>
      </c>
      <c r="AL196" s="1" t="str">
        <f>IF(ISERROR(MATCH(A196,'SegEnds_Xtal_Prot#'!B:B, 0)), "NoXtal", "Xtal")</f>
        <v>NoXtal</v>
      </c>
    </row>
    <row r="197" spans="1:38" x14ac:dyDescent="0.2">
      <c r="A197" s="1" t="s">
        <v>380</v>
      </c>
      <c r="B197" s="1" t="str">
        <f>VLOOKUP(A197,Xtal_Templ!A:B,2,FALSE)</f>
        <v>oprk_human</v>
      </c>
      <c r="C197" s="5">
        <f>VLOOKUP($B197&amp;"__wt",'SegEnds_Xtal_BW#'!$A:$Z,3,FALSE)</f>
        <v>30</v>
      </c>
      <c r="D197" s="1">
        <f>VLOOKUP($B197&amp;"__wt",'SegEnds_Xtal_BW#'!$A:$Z,4,FALSE)</f>
        <v>60</v>
      </c>
      <c r="E197" s="1">
        <f>VLOOKUP($B197&amp;"__wt",'SegEnds_Xtal_BW#'!$A:$Z,5,FALSE)</f>
        <v>48</v>
      </c>
      <c r="F197" s="1">
        <f>VLOOKUP($B197&amp;"__wt",'SegEnds_Xtal_BW#'!$A:$Z,6,FALSE)</f>
        <v>51</v>
      </c>
      <c r="G197" s="1">
        <v>37</v>
      </c>
      <c r="H197" s="12">
        <v>66</v>
      </c>
      <c r="I197" s="1">
        <f>VLOOKUP($B197&amp;"__wt",'SegEnds_Xtal_BW#'!$A:$Z,9,FALSE)</f>
        <v>49</v>
      </c>
      <c r="J197" s="1">
        <f>VLOOKUP($B197&amp;"__wt",'SegEnds_Xtal_BW#'!$A:$Z,10,FALSE)</f>
        <v>52</v>
      </c>
      <c r="K197" s="12">
        <v>21</v>
      </c>
      <c r="L197" s="1">
        <f>VLOOKUP($B197&amp;"__wt",'SegEnds_Xtal_BW#'!$A:$Z,12,FALSE)</f>
        <v>56</v>
      </c>
      <c r="M197" s="1">
        <f>VLOOKUP($B197&amp;"__wt",'SegEnds_Xtal_BW#'!$A:$Z,13,FALSE)</f>
        <v>50</v>
      </c>
      <c r="N197" s="12">
        <v>57</v>
      </c>
      <c r="O197" s="87">
        <v>38</v>
      </c>
      <c r="P197" s="1">
        <f>VLOOKUP($B197&amp;"__wt",'SegEnds_Xtal_BW#'!$A:$Z,16,FALSE)</f>
        <v>64</v>
      </c>
      <c r="Q197" s="1">
        <f>VLOOKUP($B197&amp;"__wt",'SegEnds_Xtal_BW#'!$A:$Z,17,FALSE)</f>
        <v>50</v>
      </c>
      <c r="R197" s="1">
        <f>VLOOKUP($B197&amp;"__wt",'SegEnds_Xtal_BW#'!$A:$Z,18,FALSE)</f>
        <v>52</v>
      </c>
      <c r="S197" s="1">
        <f>VLOOKUP($B197&amp;"__wt",'SegEnds_Xtal_BW#'!$A:$Z,19,FALSE)</f>
        <v>30</v>
      </c>
      <c r="T197" s="1">
        <f t="array" ref="T197">INDEX(ICL3_classA!$G$2:$G$39,MATCH(MIN(ABS(AI197-ICL3_classA!$F$2:$F$39)),ABS(AI197-ICL3_classA!$F$2:$F$39),0))</f>
        <v>68</v>
      </c>
      <c r="U197" s="1">
        <f t="array" ref="U197">INDEX(ICL3_classA!$H$2:$H$39,MATCH(MIN(ABS(AI197-ICL3_classA!$F$2:$F$39)),ABS(AI197-ICL3_classA!$F$2:$F$39),0))</f>
        <v>23</v>
      </c>
      <c r="V197" s="1">
        <v>61</v>
      </c>
      <c r="W197" s="1">
        <v>32</v>
      </c>
      <c r="X197" s="1">
        <f>VLOOKUP($B197&amp;"__wt",'SegEnds_Xtal_BW#'!$A:$Z,24,FALSE)</f>
        <v>56</v>
      </c>
      <c r="Y197" s="1">
        <f>VLOOKUP($B197&amp;"__wt",'SegEnds_Xtal_BW#'!$A:$Z,25,FALSE)</f>
        <v>47</v>
      </c>
      <c r="Z197" s="1">
        <f>VLOOKUP($B197&amp;"__wt",'SegEnds_Xtal_BW#'!$A:$Z,26,FALSE)</f>
        <v>59</v>
      </c>
      <c r="AA197" s="27" t="str">
        <f>VLOOKUP(A197,Classification!A:B,2,FALSE)</f>
        <v>A</v>
      </c>
      <c r="AB197" s="1">
        <f>VLOOKUP(A197,'SegEnds_NonXtal_Prot#'!A:AL,10,FALSE)-VLOOKUP(A197,'SegEnds_NonXtal_Prot#'!A:AL,4,FALSE)</f>
        <v>28</v>
      </c>
      <c r="AC197" s="1">
        <f>VLOOKUP(A197,'SegEnds_NonXtal_Prot#'!A:AL,10,FALSE)-VLOOKUP(A197,'SegEnds_NonXtal_Prot#'!A:AL,7,FALSE)</f>
        <v>15</v>
      </c>
      <c r="AD197" s="1">
        <f>VLOOKUP(A197,'SegEnds_NonXtal_Prot#'!A:AL,13,FALSE)-VLOOKUP(A197,'SegEnds_NonXtal_Prot#'!A:AL,10,FALSE)</f>
        <v>19</v>
      </c>
      <c r="AE197" s="1">
        <f>VLOOKUP(A197,'SegEnds_NonXtal_Prot#'!A:AL,16,FALSE)-VLOOKUP(A197,'SegEnds_NonXtal_Prot#'!A:AL,10,FALSE)</f>
        <v>51</v>
      </c>
      <c r="AF197" s="1">
        <f>VLOOKUP(A197,'SegEnds_NonXtal_Prot#'!A:AL,22,FALSE)-VLOOKUP(A197,'SegEnds_NonXtal_Prot#'!A:AL,19,FALSE)</f>
        <v>20</v>
      </c>
      <c r="AG197" s="1">
        <f>VLOOKUP(A197,'SegEnds_NonXtal_Prot#'!A:AL,28,FALSE)-VLOOKUP(A197,'SegEnds_NonXtal_Prot#'!A:AL,25,FALSE)</f>
        <v>27</v>
      </c>
      <c r="AH197" s="1">
        <f>VLOOKUP(A197,'SegEnds_NonXtal_Prot#'!A:AL,28,FALSE)-VLOOKUP(A197,'SegEnds_NonXtal_Prot#'!A:AL,22,FALSE)</f>
        <v>53</v>
      </c>
      <c r="AI197" s="1">
        <f>VLOOKUP(A197,'SegEnds_NonXtal_Prot#'!A:AL,31,FALSE)-VLOOKUP(A197,'SegEnds_NonXtal_Prot#'!A:AL,28,FALSE)</f>
        <v>51</v>
      </c>
      <c r="AJ197" s="1">
        <f>VLOOKUP(A197,'SegEnds_NonXtal_Prot#'!A:AL,34,FALSE)-VLOOKUP(A197,'SegEnds_NonXtal_Prot#'!A:AL,31,FALSE)</f>
        <v>34</v>
      </c>
      <c r="AK197" s="1">
        <f>VLOOKUP(A197,'SegEnds_NonXtal_Prot#'!A:AL,37,FALSE)-VLOOKUP(A197,'SegEnds_NonXtal_Prot#'!A:AL,34,FALSE)</f>
        <v>10</v>
      </c>
      <c r="AL197" s="1" t="str">
        <f>IF(ISERROR(MATCH(A197,'SegEnds_Xtal_Prot#'!B:B, 0)), "NoXtal", "Xtal")</f>
        <v>NoXtal</v>
      </c>
    </row>
    <row r="198" spans="1:38" x14ac:dyDescent="0.2">
      <c r="A198" s="1" t="s">
        <v>381</v>
      </c>
      <c r="B198" s="1" t="str">
        <f>VLOOKUP(A198,Xtal_Templ!A:B,2,FALSE)</f>
        <v>oprk_human</v>
      </c>
      <c r="C198" s="5">
        <f>VLOOKUP($B198&amp;"__wt",'SegEnds_Xtal_BW#'!$A:$Z,3,FALSE)</f>
        <v>30</v>
      </c>
      <c r="D198" s="1">
        <f>VLOOKUP($B198&amp;"__wt",'SegEnds_Xtal_BW#'!$A:$Z,4,FALSE)</f>
        <v>60</v>
      </c>
      <c r="E198" s="1">
        <f>VLOOKUP($B198&amp;"__wt",'SegEnds_Xtal_BW#'!$A:$Z,5,FALSE)</f>
        <v>48</v>
      </c>
      <c r="F198" s="1">
        <f>VLOOKUP($B198&amp;"__wt",'SegEnds_Xtal_BW#'!$A:$Z,6,FALSE)</f>
        <v>51</v>
      </c>
      <c r="G198" s="1">
        <v>37</v>
      </c>
      <c r="H198" s="12">
        <v>66</v>
      </c>
      <c r="I198" s="1">
        <f>VLOOKUP($B198&amp;"__wt",'SegEnds_Xtal_BW#'!$A:$Z,9,FALSE)</f>
        <v>49</v>
      </c>
      <c r="J198" s="1">
        <f>VLOOKUP($B198&amp;"__wt",'SegEnds_Xtal_BW#'!$A:$Z,10,FALSE)</f>
        <v>52</v>
      </c>
      <c r="K198" s="12">
        <v>21</v>
      </c>
      <c r="L198" s="1">
        <f>VLOOKUP($B198&amp;"__wt",'SegEnds_Xtal_BW#'!$A:$Z,12,FALSE)</f>
        <v>56</v>
      </c>
      <c r="M198" s="1">
        <f>VLOOKUP($B198&amp;"__wt",'SegEnds_Xtal_BW#'!$A:$Z,13,FALSE)</f>
        <v>50</v>
      </c>
      <c r="N198" s="12">
        <v>57</v>
      </c>
      <c r="O198" s="87">
        <v>38</v>
      </c>
      <c r="P198" s="1">
        <f>VLOOKUP($B198&amp;"__wt",'SegEnds_Xtal_BW#'!$A:$Z,16,FALSE)</f>
        <v>64</v>
      </c>
      <c r="Q198" s="1">
        <f>VLOOKUP($B198&amp;"__wt",'SegEnds_Xtal_BW#'!$A:$Z,17,FALSE)</f>
        <v>50</v>
      </c>
      <c r="R198" s="1">
        <f>VLOOKUP($B198&amp;"__wt",'SegEnds_Xtal_BW#'!$A:$Z,18,FALSE)</f>
        <v>52</v>
      </c>
      <c r="S198" s="1">
        <f>VLOOKUP($B198&amp;"__wt",'SegEnds_Xtal_BW#'!$A:$Z,19,FALSE)</f>
        <v>30</v>
      </c>
      <c r="T198" s="1">
        <f t="array" ref="T198">INDEX(ICL3_classA!$G$2:$G$39,MATCH(MIN(ABS(AI198-ICL3_classA!$F$2:$F$39)),ABS(AI198-ICL3_classA!$F$2:$F$39),0))</f>
        <v>68</v>
      </c>
      <c r="U198" s="1">
        <f t="array" ref="U198">INDEX(ICL3_classA!$H$2:$H$39,MATCH(MIN(ABS(AI198-ICL3_classA!$F$2:$F$39)),ABS(AI198-ICL3_classA!$F$2:$F$39),0))</f>
        <v>23</v>
      </c>
      <c r="V198" s="1">
        <v>61</v>
      </c>
      <c r="W198" s="131">
        <f>VLOOKUP($B198&amp;"__wt",'SegEnds_Xtal_BW#'!$A:$Z,23,FALSE)</f>
        <v>28</v>
      </c>
      <c r="X198" s="1">
        <f>VLOOKUP($B198&amp;"__wt",'SegEnds_Xtal_BW#'!$A:$Z,24,FALSE)</f>
        <v>56</v>
      </c>
      <c r="Y198" s="1">
        <f>VLOOKUP($B198&amp;"__wt",'SegEnds_Xtal_BW#'!$A:$Z,25,FALSE)</f>
        <v>47</v>
      </c>
      <c r="Z198" s="1">
        <f>VLOOKUP($B198&amp;"__wt",'SegEnds_Xtal_BW#'!$A:$Z,26,FALSE)</f>
        <v>59</v>
      </c>
      <c r="AA198" s="27" t="str">
        <f>VLOOKUP(A198,Classification!A:B,2,FALSE)</f>
        <v>A</v>
      </c>
      <c r="AB198" s="1">
        <f>VLOOKUP(A198,'SegEnds_NonXtal_Prot#'!A:AL,10,FALSE)-VLOOKUP(A198,'SegEnds_NonXtal_Prot#'!A:AL,4,FALSE)</f>
        <v>28</v>
      </c>
      <c r="AC198" s="1">
        <f>VLOOKUP(A198,'SegEnds_NonXtal_Prot#'!A:AL,10,FALSE)-VLOOKUP(A198,'SegEnds_NonXtal_Prot#'!A:AL,7,FALSE)</f>
        <v>15</v>
      </c>
      <c r="AD198" s="1">
        <f>VLOOKUP(A198,'SegEnds_NonXtal_Prot#'!A:AL,13,FALSE)-VLOOKUP(A198,'SegEnds_NonXtal_Prot#'!A:AL,10,FALSE)</f>
        <v>19</v>
      </c>
      <c r="AE198" s="1">
        <f>VLOOKUP(A198,'SegEnds_NonXtal_Prot#'!A:AL,16,FALSE)-VLOOKUP(A198,'SegEnds_NonXtal_Prot#'!A:AL,10,FALSE)</f>
        <v>51</v>
      </c>
      <c r="AF198" s="1">
        <f>VLOOKUP(A198,'SegEnds_NonXtal_Prot#'!A:AL,22,FALSE)-VLOOKUP(A198,'SegEnds_NonXtal_Prot#'!A:AL,19,FALSE)</f>
        <v>20</v>
      </c>
      <c r="AG198" s="1">
        <f>VLOOKUP(A198,'SegEnds_NonXtal_Prot#'!A:AL,28,FALSE)-VLOOKUP(A198,'SegEnds_NonXtal_Prot#'!A:AL,25,FALSE)</f>
        <v>27</v>
      </c>
      <c r="AH198" s="1">
        <f>VLOOKUP(A198,'SegEnds_NonXtal_Prot#'!A:AL,28,FALSE)-VLOOKUP(A198,'SegEnds_NonXtal_Prot#'!A:AL,22,FALSE)</f>
        <v>53</v>
      </c>
      <c r="AI198" s="1">
        <f>VLOOKUP(A198,'SegEnds_NonXtal_Prot#'!A:AL,31,FALSE)-VLOOKUP(A198,'SegEnds_NonXtal_Prot#'!A:AL,28,FALSE)</f>
        <v>51</v>
      </c>
      <c r="AJ198" s="1">
        <f>VLOOKUP(A198,'SegEnds_NonXtal_Prot#'!A:AL,34,FALSE)-VLOOKUP(A198,'SegEnds_NonXtal_Prot#'!A:AL,31,FALSE)</f>
        <v>38</v>
      </c>
      <c r="AK198" s="1">
        <f>VLOOKUP(A198,'SegEnds_NonXtal_Prot#'!A:AL,37,FALSE)-VLOOKUP(A198,'SegEnds_NonXtal_Prot#'!A:AL,34,FALSE)</f>
        <v>10</v>
      </c>
      <c r="AL198" s="1" t="str">
        <f>IF(ISERROR(MATCH(A198,'SegEnds_Xtal_Prot#'!B:B, 0)), "NoXtal", "Xtal")</f>
        <v>NoXtal</v>
      </c>
    </row>
    <row r="199" spans="1:38" x14ac:dyDescent="0.2">
      <c r="A199" s="1" t="s">
        <v>387</v>
      </c>
      <c r="B199" s="1" t="str">
        <f>VLOOKUP(A199,Xtal_Templ!A:B,2,FALSE)</f>
        <v>adrb2_human</v>
      </c>
      <c r="C199" s="5">
        <f>VLOOKUP($B199&amp;"__wt",'SegEnds_Xtal_BW#'!$A:$Z,3,FALSE)</f>
        <v>25</v>
      </c>
      <c r="D199" s="1">
        <f>VLOOKUP($B199&amp;"__wt",'SegEnds_Xtal_BW#'!$A:$Z,4,FALSE)</f>
        <v>60</v>
      </c>
      <c r="E199" s="1">
        <f>VLOOKUP($B199&amp;"__wt",'SegEnds_Xtal_BW#'!$A:$Z,5,FALSE)</f>
        <v>48</v>
      </c>
      <c r="F199" s="1">
        <f>VLOOKUP($B199&amp;"__wt",'SegEnds_Xtal_BW#'!$A:$Z,6,FALSE)</f>
        <v>51</v>
      </c>
      <c r="G199" s="1">
        <v>37</v>
      </c>
      <c r="H199" s="12">
        <f>VLOOKUP($B199&amp;"__wt",'SegEnds_Xtal_BW#'!$A:$Z,8,FALSE)</f>
        <v>67</v>
      </c>
      <c r="I199" s="1">
        <f>VLOOKUP($B199&amp;"__wt",'SegEnds_Xtal_BW#'!$A:$Z,9,FALSE)</f>
        <v>49</v>
      </c>
      <c r="J199" s="1">
        <f>VLOOKUP($B199&amp;"__wt",'SegEnds_Xtal_BW#'!$A:$Z,10,FALSE)</f>
        <v>52</v>
      </c>
      <c r="K199" s="12">
        <v>18</v>
      </c>
      <c r="L199" s="1">
        <f>VLOOKUP($B199&amp;"__wt",'SegEnds_Xtal_BW#'!$A:$Z,12,FALSE)</f>
        <v>56</v>
      </c>
      <c r="M199" s="1">
        <f>VLOOKUP($B199&amp;"__wt",'SegEnds_Xtal_BW#'!$A:$Z,13,FALSE)</f>
        <v>50</v>
      </c>
      <c r="N199" s="12">
        <v>57</v>
      </c>
      <c r="O199" s="87">
        <f>VLOOKUP($B199&amp;"__wt",'SegEnds_Xtal_BW#'!$A:$Z,15,FALSE)</f>
        <v>38</v>
      </c>
      <c r="P199" s="1">
        <f>VLOOKUP($B199&amp;"__wt",'SegEnds_Xtal_BW#'!$A:$Z,16,FALSE)</f>
        <v>64</v>
      </c>
      <c r="Q199" s="1">
        <f>VLOOKUP($B199&amp;"__wt",'SegEnds_Xtal_BW#'!$A:$Z,17,FALSE)</f>
        <v>50</v>
      </c>
      <c r="R199" s="1">
        <f>VLOOKUP($B199&amp;"__wt",'SegEnds_Xtal_BW#'!$A:$Z,18,FALSE)</f>
        <v>52</v>
      </c>
      <c r="S199" s="1">
        <v>35</v>
      </c>
      <c r="T199" s="1">
        <f t="array" ref="T199">INDEX(ICL3_classA!$G$2:$G$39,MATCH(MIN(ABS(AI199-ICL3_classA!$F$2:$F$39)),ABS(AI199-ICL3_classA!$F$2:$F$39),0))</f>
        <v>73</v>
      </c>
      <c r="U199" s="1">
        <f t="array" ref="U199">INDEX(ICL3_classA!$H$2:$H$39,MATCH(MIN(ABS(AI199-ICL3_classA!$F$2:$F$39)),ABS(AI199-ICL3_classA!$F$2:$F$39),0))</f>
        <v>22</v>
      </c>
      <c r="V199" s="1">
        <v>61</v>
      </c>
      <c r="W199" s="1">
        <v>31</v>
      </c>
      <c r="X199" s="108">
        <v>56</v>
      </c>
      <c r="Y199" s="1">
        <f>VLOOKUP($B199&amp;"__wt",'SegEnds_Xtal_BW#'!$A:$Z,25,FALSE)</f>
        <v>47</v>
      </c>
      <c r="Z199" s="1">
        <f>VLOOKUP($B199&amp;"__wt",'SegEnds_Xtal_BW#'!$A:$Z,26,FALSE)</f>
        <v>59</v>
      </c>
      <c r="AA199" s="27" t="str">
        <f>VLOOKUP(A199,Classification!A:B,2,FALSE)</f>
        <v>A</v>
      </c>
      <c r="AB199" s="1">
        <f>VLOOKUP(A199,'SegEnds_NonXtal_Prot#'!A:AL,10,FALSE)-VLOOKUP(A199,'SegEnds_NonXtal_Prot#'!A:AL,4,FALSE)</f>
        <v>28</v>
      </c>
      <c r="AC199" s="1">
        <f>VLOOKUP(A199,'SegEnds_NonXtal_Prot#'!A:AL,10,FALSE)-VLOOKUP(A199,'SegEnds_NonXtal_Prot#'!A:AL,7,FALSE)</f>
        <v>15</v>
      </c>
      <c r="AD199" s="1">
        <f>VLOOKUP(A199,'SegEnds_NonXtal_Prot#'!A:AL,13,FALSE)-VLOOKUP(A199,'SegEnds_NonXtal_Prot#'!A:AL,10,FALSE)</f>
        <v>20</v>
      </c>
      <c r="AE199" s="1">
        <f>VLOOKUP(A199,'SegEnds_NonXtal_Prot#'!A:AL,16,FALSE)-VLOOKUP(A199,'SegEnds_NonXtal_Prot#'!A:AL,10,FALSE)</f>
        <v>52</v>
      </c>
      <c r="AF199" s="1">
        <f>VLOOKUP(A199,'SegEnds_NonXtal_Prot#'!A:AL,22,FALSE)-VLOOKUP(A199,'SegEnds_NonXtal_Prot#'!A:AL,19,FALSE)</f>
        <v>20</v>
      </c>
      <c r="AG199" s="1">
        <f>VLOOKUP(A199,'SegEnds_NonXtal_Prot#'!A:AL,28,FALSE)-VLOOKUP(A199,'SegEnds_NonXtal_Prot#'!A:AL,25,FALSE)</f>
        <v>20</v>
      </c>
      <c r="AH199" s="1">
        <f>VLOOKUP(A199,'SegEnds_NonXtal_Prot#'!A:AL,28,FALSE)-VLOOKUP(A199,'SegEnds_NonXtal_Prot#'!A:AL,22,FALSE)</f>
        <v>53</v>
      </c>
      <c r="AI199" s="1">
        <f>VLOOKUP(A199,'SegEnds_NonXtal_Prot#'!A:AL,31,FALSE)-VLOOKUP(A199,'SegEnds_NonXtal_Prot#'!A:AL,28,FALSE)</f>
        <v>56</v>
      </c>
      <c r="AJ199" s="1">
        <f>VLOOKUP(A199,'SegEnds_NonXtal_Prot#'!A:AL,34,FALSE)-VLOOKUP(A199,'SegEnds_NonXtal_Prot#'!A:AL,31,FALSE)</f>
        <v>35</v>
      </c>
      <c r="AK199" s="1">
        <f>VLOOKUP(A199,'SegEnds_NonXtal_Prot#'!A:AL,37,FALSE)-VLOOKUP(A199,'SegEnds_NonXtal_Prot#'!A:AL,34,FALSE)</f>
        <v>10</v>
      </c>
      <c r="AL199" s="1" t="str">
        <f>IF(ISERROR(MATCH(A199,'SegEnds_Xtal_Prot#'!B:B, 0)), "NoXtal", "Xtal")</f>
        <v>NoXtal</v>
      </c>
    </row>
    <row r="200" spans="1:38" x14ac:dyDescent="0.2">
      <c r="A200" s="1" t="s">
        <v>388</v>
      </c>
      <c r="B200" s="1" t="str">
        <f>VLOOKUP(A200,Xtal_Templ!A:B,2,FALSE)</f>
        <v>drd2_human</v>
      </c>
      <c r="C200" s="5">
        <f>VLOOKUP($B200&amp;"__wt",'SegEnds_Xtal_BW#'!$A:$Z,3,FALSE)</f>
        <v>29</v>
      </c>
      <c r="D200" s="1">
        <f>VLOOKUP($B200&amp;"__wt",'SegEnds_Xtal_BW#'!$A:$Z,4,FALSE)</f>
        <v>60</v>
      </c>
      <c r="E200" s="1">
        <f>VLOOKUP($B200&amp;"__wt",'SegEnds_Xtal_BW#'!$A:$Z,5,FALSE)</f>
        <v>48</v>
      </c>
      <c r="F200" s="1">
        <f>VLOOKUP($B200&amp;"__wt",'SegEnds_Xtal_BW#'!$A:$Z,6,FALSE)</f>
        <v>51</v>
      </c>
      <c r="G200" s="1">
        <v>37</v>
      </c>
      <c r="H200" s="12">
        <f>VLOOKUP($B200&amp;"__wt",'SegEnds_Xtal_BW#'!$A:$Z,8,FALSE)</f>
        <v>68</v>
      </c>
      <c r="I200" s="1">
        <f>VLOOKUP($B200&amp;"__wt",'SegEnds_Xtal_BW#'!$A:$Z,9,FALSE)</f>
        <v>49</v>
      </c>
      <c r="J200" s="1">
        <f>VLOOKUP($B200&amp;"__wt",'SegEnds_Xtal_BW#'!$A:$Z,10,FALSE)</f>
        <v>52</v>
      </c>
      <c r="K200" s="12">
        <v>18</v>
      </c>
      <c r="L200" s="1">
        <f>VLOOKUP($B200&amp;"__wt",'SegEnds_Xtal_BW#'!$A:$Z,12,FALSE)</f>
        <v>56</v>
      </c>
      <c r="M200" s="1">
        <f>VLOOKUP($B200&amp;"__wt",'SegEnds_Xtal_BW#'!$A:$Z,13,FALSE)</f>
        <v>50</v>
      </c>
      <c r="N200" s="12">
        <v>57</v>
      </c>
      <c r="O200" s="87">
        <f>VLOOKUP($B200&amp;"__wt",'SegEnds_Xtal_BW#'!$A:$Z,15,FALSE)</f>
        <v>38</v>
      </c>
      <c r="P200" s="1">
        <f>VLOOKUP($B200&amp;"__wt",'SegEnds_Xtal_BW#'!$A:$Z,16,FALSE)</f>
        <v>62</v>
      </c>
      <c r="Q200" s="1">
        <f>VLOOKUP($B200&amp;"__wt",'SegEnds_Xtal_BW#'!$A:$Z,17,FALSE)</f>
        <v>50</v>
      </c>
      <c r="R200" s="1">
        <f>VLOOKUP($B200&amp;"__wt",'SegEnds_Xtal_BW#'!$A:$Z,18,FALSE)</f>
        <v>52</v>
      </c>
      <c r="S200" s="1">
        <v>35</v>
      </c>
      <c r="T200" s="1">
        <f t="array" ref="T200">INDEX(ICL3_classA!$G$2:$G$39,MATCH(MIN(ABS(AI200-ICL3_classA!$F$2:$F$39)),ABS(AI200-ICL3_classA!$F$2:$F$39),0))</f>
        <v>74</v>
      </c>
      <c r="U200" s="1">
        <f t="array" ref="U200">INDEX(ICL3_classA!$H$2:$H$39,MATCH(MIN(ABS(AI200-ICL3_classA!$F$2:$F$39)),ABS(AI200-ICL3_classA!$F$2:$F$39),0))</f>
        <v>21</v>
      </c>
      <c r="V200" s="1">
        <v>61</v>
      </c>
      <c r="W200" s="1">
        <v>31</v>
      </c>
      <c r="X200" s="108">
        <v>56</v>
      </c>
      <c r="Y200" s="1">
        <f>VLOOKUP($B200&amp;"__wt",'SegEnds_Xtal_BW#'!$A:$Z,25,FALSE)</f>
        <v>47</v>
      </c>
      <c r="Z200" s="1">
        <f>VLOOKUP($B200&amp;"__wt",'SegEnds_Xtal_BW#'!$A:$Z,26,FALSE)</f>
        <v>59</v>
      </c>
      <c r="AA200" s="27" t="str">
        <f>VLOOKUP(A200,Classification!A:B,2,FALSE)</f>
        <v>A</v>
      </c>
      <c r="AB200" s="1">
        <f>VLOOKUP(A200,'SegEnds_NonXtal_Prot#'!A:AL,10,FALSE)-VLOOKUP(A200,'SegEnds_NonXtal_Prot#'!A:AL,4,FALSE)</f>
        <v>28</v>
      </c>
      <c r="AC200" s="1">
        <f>VLOOKUP(A200,'SegEnds_NonXtal_Prot#'!A:AL,10,FALSE)-VLOOKUP(A200,'SegEnds_NonXtal_Prot#'!A:AL,7,FALSE)</f>
        <v>15</v>
      </c>
      <c r="AD200" s="1">
        <f>VLOOKUP(A200,'SegEnds_NonXtal_Prot#'!A:AL,13,FALSE)-VLOOKUP(A200,'SegEnds_NonXtal_Prot#'!A:AL,10,FALSE)</f>
        <v>20</v>
      </c>
      <c r="AE200" s="1">
        <f>VLOOKUP(A200,'SegEnds_NonXtal_Prot#'!A:AL,16,FALSE)-VLOOKUP(A200,'SegEnds_NonXtal_Prot#'!A:AL,10,FALSE)</f>
        <v>52</v>
      </c>
      <c r="AF200" s="1">
        <f>VLOOKUP(A200,'SegEnds_NonXtal_Prot#'!A:AL,22,FALSE)-VLOOKUP(A200,'SegEnds_NonXtal_Prot#'!A:AL,19,FALSE)</f>
        <v>20</v>
      </c>
      <c r="AG200" s="1">
        <f>VLOOKUP(A200,'SegEnds_NonXtal_Prot#'!A:AL,28,FALSE)-VLOOKUP(A200,'SegEnds_NonXtal_Prot#'!A:AL,25,FALSE)</f>
        <v>20</v>
      </c>
      <c r="AH200" s="1">
        <f>VLOOKUP(A200,'SegEnds_NonXtal_Prot#'!A:AL,28,FALSE)-VLOOKUP(A200,'SegEnds_NonXtal_Prot#'!A:AL,22,FALSE)</f>
        <v>53</v>
      </c>
      <c r="AI200" s="1">
        <f>VLOOKUP(A200,'SegEnds_NonXtal_Prot#'!A:AL,31,FALSE)-VLOOKUP(A200,'SegEnds_NonXtal_Prot#'!A:AL,28,FALSE)</f>
        <v>62</v>
      </c>
      <c r="AJ200" s="1">
        <f>VLOOKUP(A200,'SegEnds_NonXtal_Prot#'!A:AL,34,FALSE)-VLOOKUP(A200,'SegEnds_NonXtal_Prot#'!A:AL,31,FALSE)</f>
        <v>35</v>
      </c>
      <c r="AK200" s="1">
        <f>VLOOKUP(A200,'SegEnds_NonXtal_Prot#'!A:AL,37,FALSE)-VLOOKUP(A200,'SegEnds_NonXtal_Prot#'!A:AL,34,FALSE)</f>
        <v>10</v>
      </c>
      <c r="AL200" s="1" t="str">
        <f>IF(ISERROR(MATCH(A200,'SegEnds_Xtal_Prot#'!B:B, 0)), "NoXtal", "Xtal")</f>
        <v>NoXtal</v>
      </c>
    </row>
    <row r="201" spans="1:38" x14ac:dyDescent="0.2">
      <c r="A201" s="1" t="s">
        <v>393</v>
      </c>
      <c r="B201" s="1" t="str">
        <f>VLOOKUP(A201,Xtal_Templ!A:B,2,FALSE)</f>
        <v>oprx_human</v>
      </c>
      <c r="C201" s="5">
        <f>VLOOKUP($B201&amp;"__wt",'SegEnds_Xtal_BW#'!$A:$Z,3,FALSE)</f>
        <v>29</v>
      </c>
      <c r="D201" s="1">
        <f>VLOOKUP($B201&amp;"__wt",'SegEnds_Xtal_BW#'!$A:$Z,4,FALSE)</f>
        <v>60</v>
      </c>
      <c r="E201" s="1">
        <f>VLOOKUP($B201&amp;"__wt",'SegEnds_Xtal_BW#'!$A:$Z,5,FALSE)</f>
        <v>48</v>
      </c>
      <c r="F201" s="1">
        <f>VLOOKUP($B201&amp;"__wt",'SegEnds_Xtal_BW#'!$A:$Z,6,FALSE)</f>
        <v>51</v>
      </c>
      <c r="G201" s="1">
        <v>37</v>
      </c>
      <c r="H201" s="12">
        <f>VLOOKUP($B201&amp;"__wt",'SegEnds_Xtal_BW#'!$A:$Z,8,FALSE)</f>
        <v>66</v>
      </c>
      <c r="I201" s="1">
        <f>VLOOKUP($B201&amp;"__wt",'SegEnds_Xtal_BW#'!$A:$Z,9,FALSE)</f>
        <v>49</v>
      </c>
      <c r="J201" s="1">
        <f>VLOOKUP($B201&amp;"__wt",'SegEnds_Xtal_BW#'!$A:$Z,10,FALSE)</f>
        <v>52</v>
      </c>
      <c r="K201" s="12">
        <v>18</v>
      </c>
      <c r="L201" s="1">
        <f>VLOOKUP($B201&amp;"__wt",'SegEnds_Xtal_BW#'!$A:$Z,12,FALSE)</f>
        <v>56</v>
      </c>
      <c r="M201" s="1">
        <f>VLOOKUP($B201&amp;"__wt",'SegEnds_Xtal_BW#'!$A:$Z,13,FALSE)</f>
        <v>50</v>
      </c>
      <c r="N201" s="12">
        <v>57</v>
      </c>
      <c r="O201" s="87">
        <f>VLOOKUP($B201&amp;"__wt",'SegEnds_Xtal_BW#'!$A:$Z,15,FALSE)</f>
        <v>38</v>
      </c>
      <c r="P201" s="1">
        <f>VLOOKUP($B201&amp;"__wt",'SegEnds_Xtal_BW#'!$A:$Z,16,FALSE)</f>
        <v>64</v>
      </c>
      <c r="Q201" s="1">
        <f>VLOOKUP($B201&amp;"__wt",'SegEnds_Xtal_BW#'!$A:$Z,17,FALSE)</f>
        <v>50</v>
      </c>
      <c r="R201" s="1">
        <f>VLOOKUP($B201&amp;"__wt",'SegEnds_Xtal_BW#'!$A:$Z,18,FALSE)</f>
        <v>52</v>
      </c>
      <c r="S201" s="1">
        <f>VLOOKUP($B201&amp;"__wt",'SegEnds_Xtal_BW#'!$A:$Z,19,FALSE)</f>
        <v>31</v>
      </c>
      <c r="T201" s="1">
        <f t="array" ref="T201">INDEX(ICL3_classA!$G$2:$G$39,MATCH(MIN(ABS(AI201-ICL3_classA!$F$2:$F$39)),ABS(AI201-ICL3_classA!$F$2:$F$39),0))</f>
        <v>76</v>
      </c>
      <c r="U201" s="1">
        <f t="array" ref="U201">INDEX(ICL3_classA!$H$2:$H$39,MATCH(MIN(ABS(AI201-ICL3_classA!$F$2:$F$39)),ABS(AI201-ICL3_classA!$F$2:$F$39),0))</f>
        <v>24</v>
      </c>
      <c r="V201" s="1">
        <v>61</v>
      </c>
      <c r="W201" s="1">
        <v>31</v>
      </c>
      <c r="X201" s="1">
        <f>VLOOKUP($B201&amp;"__wt",'SegEnds_Xtal_BW#'!$A:$Z,24,FALSE)</f>
        <v>56</v>
      </c>
      <c r="Y201" s="1">
        <f>VLOOKUP($B201&amp;"__wt",'SegEnds_Xtal_BW#'!$A:$Z,25,FALSE)</f>
        <v>47</v>
      </c>
      <c r="Z201" s="1">
        <f>VLOOKUP($B201&amp;"__wt",'SegEnds_Xtal_BW#'!$A:$Z,26,FALSE)</f>
        <v>59</v>
      </c>
      <c r="AA201" s="27" t="str">
        <f>VLOOKUP(A201,Classification!A:B,2,FALSE)</f>
        <v>A</v>
      </c>
      <c r="AB201" s="1">
        <f>VLOOKUP(A201,'SegEnds_NonXtal_Prot#'!A:AL,10,FALSE)-VLOOKUP(A201,'SegEnds_NonXtal_Prot#'!A:AL,4,FALSE)</f>
        <v>28</v>
      </c>
      <c r="AC201" s="1">
        <f>VLOOKUP(A201,'SegEnds_NonXtal_Prot#'!A:AL,10,FALSE)-VLOOKUP(A201,'SegEnds_NonXtal_Prot#'!A:AL,7,FALSE)</f>
        <v>15</v>
      </c>
      <c r="AD201" s="1">
        <f>VLOOKUP(A201,'SegEnds_NonXtal_Prot#'!A:AL,13,FALSE)-VLOOKUP(A201,'SegEnds_NonXtal_Prot#'!A:AL,10,FALSE)</f>
        <v>20</v>
      </c>
      <c r="AE201" s="1">
        <f>VLOOKUP(A201,'SegEnds_NonXtal_Prot#'!A:AL,16,FALSE)-VLOOKUP(A201,'SegEnds_NonXtal_Prot#'!A:AL,10,FALSE)</f>
        <v>52</v>
      </c>
      <c r="AF201" s="1">
        <f>VLOOKUP(A201,'SegEnds_NonXtal_Prot#'!A:AL,22,FALSE)-VLOOKUP(A201,'SegEnds_NonXtal_Prot#'!A:AL,19,FALSE)</f>
        <v>20</v>
      </c>
      <c r="AG201" s="1">
        <f>VLOOKUP(A201,'SegEnds_NonXtal_Prot#'!A:AL,28,FALSE)-VLOOKUP(A201,'SegEnds_NonXtal_Prot#'!A:AL,25,FALSE)</f>
        <v>24</v>
      </c>
      <c r="AH201" s="1">
        <f>VLOOKUP(A201,'SegEnds_NonXtal_Prot#'!A:AL,28,FALSE)-VLOOKUP(A201,'SegEnds_NonXtal_Prot#'!A:AL,22,FALSE)</f>
        <v>53</v>
      </c>
      <c r="AI201" s="1">
        <f>VLOOKUP(A201,'SegEnds_NonXtal_Prot#'!A:AL,31,FALSE)-VLOOKUP(A201,'SegEnds_NonXtal_Prot#'!A:AL,28,FALSE)</f>
        <v>78</v>
      </c>
      <c r="AJ201" s="1">
        <f>VLOOKUP(A201,'SegEnds_NonXtal_Prot#'!A:AL,34,FALSE)-VLOOKUP(A201,'SegEnds_NonXtal_Prot#'!A:AL,31,FALSE)</f>
        <v>36</v>
      </c>
      <c r="AK201" s="1">
        <f>VLOOKUP(A201,'SegEnds_NonXtal_Prot#'!A:AL,37,FALSE)-VLOOKUP(A201,'SegEnds_NonXtal_Prot#'!A:AL,34,FALSE)</f>
        <v>10</v>
      </c>
      <c r="AL201" s="1" t="str">
        <f>IF(ISERROR(MATCH(A201,'SegEnds_Xtal_Prot#'!B:B, 0)), "NoXtal", "Xtal")</f>
        <v>NoXtal</v>
      </c>
    </row>
    <row r="202" spans="1:38" x14ac:dyDescent="0.2">
      <c r="A202" s="1" t="s">
        <v>396</v>
      </c>
      <c r="B202" s="1" t="str">
        <f>VLOOKUP(A202,Xtal_Templ!A:B,2,FALSE)</f>
        <v>ox2r_human</v>
      </c>
      <c r="C202" s="5">
        <f>VLOOKUP($B202&amp;"__wt",'SegEnds_Xtal_BW#'!$A:$Z,3,FALSE)</f>
        <v>31</v>
      </c>
      <c r="D202" s="1">
        <f>VLOOKUP($B202&amp;"__wt",'SegEnds_Xtal_BW#'!$A:$Z,4,FALSE)</f>
        <v>60</v>
      </c>
      <c r="E202" s="1">
        <f>VLOOKUP($B202&amp;"__wt",'SegEnds_Xtal_BW#'!$A:$Z,5,FALSE)</f>
        <v>48</v>
      </c>
      <c r="F202" s="1">
        <f>VLOOKUP($B202&amp;"__wt",'SegEnds_Xtal_BW#'!$A:$Z,6,FALSE)</f>
        <v>51</v>
      </c>
      <c r="G202" s="1">
        <v>37</v>
      </c>
      <c r="H202" s="108">
        <v>66</v>
      </c>
      <c r="I202" s="1">
        <f>VLOOKUP($B202&amp;"__wt",'SegEnds_Xtal_BW#'!$A:$Z,9,FALSE)</f>
        <v>49</v>
      </c>
      <c r="J202" s="1">
        <f>VLOOKUP($B202&amp;"__wt",'SegEnds_Xtal_BW#'!$A:$Z,10,FALSE)</f>
        <v>52</v>
      </c>
      <c r="K202" s="12">
        <v>18</v>
      </c>
      <c r="L202" s="1">
        <f>VLOOKUP($B202&amp;"__wt",'SegEnds_Xtal_BW#'!$A:$Z,12,FALSE)</f>
        <v>56</v>
      </c>
      <c r="M202" s="1">
        <f>VLOOKUP($B202&amp;"__wt",'SegEnds_Xtal_BW#'!$A:$Z,13,FALSE)</f>
        <v>50</v>
      </c>
      <c r="N202" s="108">
        <v>56</v>
      </c>
      <c r="O202" s="87">
        <f>VLOOKUP($B202&amp;"__wt",'SegEnds_Xtal_BW#'!$A:$Z,15,FALSE)</f>
        <v>38</v>
      </c>
      <c r="P202" s="1">
        <f>VLOOKUP($B202&amp;"__wt",'SegEnds_Xtal_BW#'!$A:$Z,16,FALSE)</f>
        <v>64</v>
      </c>
      <c r="Q202" s="1">
        <f>VLOOKUP($B202&amp;"__wt",'SegEnds_Xtal_BW#'!$A:$Z,17,FALSE)</f>
        <v>50</v>
      </c>
      <c r="R202" s="1">
        <f>VLOOKUP($B202&amp;"__wt",'SegEnds_Xtal_BW#'!$A:$Z,18,FALSE)</f>
        <v>52</v>
      </c>
      <c r="S202" s="1">
        <f>VLOOKUP($B202&amp;"__wt",'SegEnds_Xtal_BW#'!$A:$Z,19,FALSE)</f>
        <v>33</v>
      </c>
      <c r="T202" s="1">
        <f t="array" ref="T202">INDEX(ICL3_classA!$G$2:$G$39,MATCH(MIN(ABS(AI202-ICL3_classA!$F$2:$F$39)),ABS(AI202-ICL3_classA!$F$2:$F$39),0))</f>
        <v>76</v>
      </c>
      <c r="U202" s="1">
        <f t="array" ref="U202">INDEX(ICL3_classA!$H$2:$H$39,MATCH(MIN(ABS(AI202-ICL3_classA!$F$2:$F$39)),ABS(AI202-ICL3_classA!$F$2:$F$39),0))</f>
        <v>24</v>
      </c>
      <c r="V202" s="1">
        <v>61</v>
      </c>
      <c r="W202" s="131">
        <f>VLOOKUP($B202&amp;"__wt",'SegEnds_Xtal_BW#'!$A:$Z,23,FALSE)</f>
        <v>27</v>
      </c>
      <c r="X202" s="1">
        <f>VLOOKUP($B202&amp;"__wt",'SegEnds_Xtal_BW#'!$A:$Z,24,FALSE)</f>
        <v>56</v>
      </c>
      <c r="Y202" s="1">
        <f>VLOOKUP($B202&amp;"__wt",'SegEnds_Xtal_BW#'!$A:$Z,25,FALSE)</f>
        <v>47</v>
      </c>
      <c r="Z202" s="1">
        <f>VLOOKUP($B202&amp;"__wt",'SegEnds_Xtal_BW#'!$A:$Z,26,FALSE)</f>
        <v>63</v>
      </c>
      <c r="AA202" s="27" t="str">
        <f>VLOOKUP(A202,Classification!A:B,2,FALSE)</f>
        <v>A</v>
      </c>
      <c r="AB202" s="1">
        <f>VLOOKUP(A202,'SegEnds_NonXtal_Prot#'!A:AL,10,FALSE)-VLOOKUP(A202,'SegEnds_NonXtal_Prot#'!A:AL,4,FALSE)</f>
        <v>28</v>
      </c>
      <c r="AC202" s="1">
        <f>VLOOKUP(A202,'SegEnds_NonXtal_Prot#'!A:AL,10,FALSE)-VLOOKUP(A202,'SegEnds_NonXtal_Prot#'!A:AL,7,FALSE)</f>
        <v>15</v>
      </c>
      <c r="AD202" s="1">
        <f>VLOOKUP(A202,'SegEnds_NonXtal_Prot#'!A:AL,13,FALSE)-VLOOKUP(A202,'SegEnds_NonXtal_Prot#'!A:AL,10,FALSE)</f>
        <v>18</v>
      </c>
      <c r="AE202" s="1">
        <f>VLOOKUP(A202,'SegEnds_NonXtal_Prot#'!A:AL,16,FALSE)-VLOOKUP(A202,'SegEnds_NonXtal_Prot#'!A:AL,10,FALSE)</f>
        <v>52</v>
      </c>
      <c r="AF202" s="1">
        <f>VLOOKUP(A202,'SegEnds_NonXtal_Prot#'!A:AL,22,FALSE)-VLOOKUP(A202,'SegEnds_NonXtal_Prot#'!A:AL,19,FALSE)</f>
        <v>19</v>
      </c>
      <c r="AG202" s="1">
        <f>VLOOKUP(A202,'SegEnds_NonXtal_Prot#'!A:AL,28,FALSE)-VLOOKUP(A202,'SegEnds_NonXtal_Prot#'!A:AL,25,FALSE)</f>
        <v>25</v>
      </c>
      <c r="AH202" s="1">
        <f>VLOOKUP(A202,'SegEnds_NonXtal_Prot#'!A:AL,28,FALSE)-VLOOKUP(A202,'SegEnds_NonXtal_Prot#'!A:AL,22,FALSE)</f>
        <v>53</v>
      </c>
      <c r="AI202" s="1">
        <f>VLOOKUP(A202,'SegEnds_NonXtal_Prot#'!A:AL,31,FALSE)-VLOOKUP(A202,'SegEnds_NonXtal_Prot#'!A:AL,28,FALSE)</f>
        <v>78</v>
      </c>
      <c r="AJ202" s="1">
        <f>VLOOKUP(A202,'SegEnds_NonXtal_Prot#'!A:AL,34,FALSE)-VLOOKUP(A202,'SegEnds_NonXtal_Prot#'!A:AL,31,FALSE)</f>
        <v>39</v>
      </c>
      <c r="AK202" s="1">
        <f>VLOOKUP(A202,'SegEnds_NonXtal_Prot#'!A:AL,37,FALSE)-VLOOKUP(A202,'SegEnds_NonXtal_Prot#'!A:AL,34,FALSE)</f>
        <v>10</v>
      </c>
      <c r="AL202" s="1" t="str">
        <f>IF(ISERROR(MATCH(A202,'SegEnds_Xtal_Prot#'!B:B, 0)), "NoXtal", "Xtal")</f>
        <v>NoXtal</v>
      </c>
    </row>
    <row r="203" spans="1:38" x14ac:dyDescent="0.2">
      <c r="A203" s="1" t="s">
        <v>397</v>
      </c>
      <c r="B203" s="1" t="str">
        <f>VLOOKUP(A203,Xtal_Templ!A:B,2,FALSE)</f>
        <v>ntr1_human</v>
      </c>
      <c r="C203" s="5">
        <f>VLOOKUP($B203&amp;"__wt",'SegEnds_Xtal_BW#'!$A:$Z,3,FALSE)</f>
        <v>28</v>
      </c>
      <c r="D203" s="1">
        <f>VLOOKUP($B203&amp;"__wt",'SegEnds_Xtal_BW#'!$A:$Z,4,FALSE)</f>
        <v>60</v>
      </c>
      <c r="E203" s="1" t="str">
        <f>VLOOKUP($B203&amp;"__wt",'SegEnds_Xtal_BW#'!$A:$Z,5,FALSE)</f>
        <v>-</v>
      </c>
      <c r="F203" s="1" t="str">
        <f>VLOOKUP($B203&amp;"__wt",'SegEnds_Xtal_BW#'!$A:$Z,6,FALSE)</f>
        <v>-</v>
      </c>
      <c r="G203" s="1">
        <v>37</v>
      </c>
      <c r="H203" s="108">
        <v>66</v>
      </c>
      <c r="I203" s="1">
        <f>VLOOKUP($B203&amp;"__wt",'SegEnds_Xtal_BW#'!$A:$Z,9,FALSE)</f>
        <v>49</v>
      </c>
      <c r="J203" s="1">
        <f>VLOOKUP($B203&amp;"__wt",'SegEnds_Xtal_BW#'!$A:$Z,10,FALSE)</f>
        <v>52</v>
      </c>
      <c r="K203" s="12">
        <v>18</v>
      </c>
      <c r="L203" s="1">
        <f>VLOOKUP($B203&amp;"__wt",'SegEnds_Xtal_BW#'!$A:$Z,12,FALSE)</f>
        <v>56</v>
      </c>
      <c r="M203" s="1">
        <f>VLOOKUP($B203&amp;"__wt",'SegEnds_Xtal_BW#'!$A:$Z,13,FALSE)</f>
        <v>50</v>
      </c>
      <c r="N203" s="108">
        <v>56</v>
      </c>
      <c r="O203" s="87">
        <f>VLOOKUP($B203&amp;"__wt",'SegEnds_Xtal_BW#'!$A:$Z,15,FALSE)</f>
        <v>38</v>
      </c>
      <c r="P203" s="1">
        <f>VLOOKUP($B203&amp;"__wt",'SegEnds_Xtal_BW#'!$A:$Z,16,FALSE)</f>
        <v>64</v>
      </c>
      <c r="Q203" s="1">
        <f>VLOOKUP($B203&amp;"__wt",'SegEnds_Xtal_BW#'!$A:$Z,17,FALSE)</f>
        <v>50</v>
      </c>
      <c r="R203" s="1">
        <f>VLOOKUP($B203&amp;"__wt",'SegEnds_Xtal_BW#'!$A:$Z,18,FALSE)</f>
        <v>52</v>
      </c>
      <c r="S203" s="1">
        <f>VLOOKUP($B203&amp;"__wt",'SegEnds_Xtal_BW#'!$A:$Z,19,FALSE)</f>
        <v>31</v>
      </c>
      <c r="T203" s="1">
        <f t="array" ref="T203">INDEX(ICL3_classA!$G$2:$G$39,MATCH(MIN(ABS(AI203-ICL3_classA!$F$2:$F$39)),ABS(AI203-ICL3_classA!$F$2:$F$39),0))</f>
        <v>76</v>
      </c>
      <c r="U203" s="1">
        <f t="array" ref="U203">INDEX(ICL3_classA!$H$2:$H$39,MATCH(MIN(ABS(AI203-ICL3_classA!$F$2:$F$39)),ABS(AI203-ICL3_classA!$F$2:$F$39),0))</f>
        <v>24</v>
      </c>
      <c r="V203" s="1">
        <v>61</v>
      </c>
      <c r="W203" s="131">
        <f>VLOOKUP($B203&amp;"__wt",'SegEnds_Xtal_BW#'!$A:$Z,23,FALSE)</f>
        <v>24</v>
      </c>
      <c r="X203" s="1">
        <f>VLOOKUP($B203&amp;"__wt",'SegEnds_Xtal_BW#'!$A:$Z,24,FALSE)</f>
        <v>56</v>
      </c>
      <c r="Y203" s="1">
        <f>VLOOKUP($B203&amp;"__wt",'SegEnds_Xtal_BW#'!$A:$Z,25,FALSE)</f>
        <v>47</v>
      </c>
      <c r="Z203" s="1">
        <f>VLOOKUP($B203&amp;"__wt",'SegEnds_Xtal_BW#'!$A:$Z,26,FALSE)</f>
        <v>62</v>
      </c>
      <c r="AA203" s="27" t="str">
        <f>VLOOKUP(A203,Classification!A:B,2,FALSE)</f>
        <v>A</v>
      </c>
      <c r="AB203" s="1">
        <f>VLOOKUP(A203,'SegEnds_NonXtal_Prot#'!A:AL,10,FALSE)-VLOOKUP(A203,'SegEnds_NonXtal_Prot#'!A:AL,4,FALSE)</f>
        <v>28</v>
      </c>
      <c r="AC203" s="1">
        <f>VLOOKUP(A203,'SegEnds_NonXtal_Prot#'!A:AL,10,FALSE)-VLOOKUP(A203,'SegEnds_NonXtal_Prot#'!A:AL,7,FALSE)</f>
        <v>15</v>
      </c>
      <c r="AD203" s="1">
        <f>VLOOKUP(A203,'SegEnds_NonXtal_Prot#'!A:AL,13,FALSE)-VLOOKUP(A203,'SegEnds_NonXtal_Prot#'!A:AL,10,FALSE)</f>
        <v>18</v>
      </c>
      <c r="AE203" s="1">
        <f>VLOOKUP(A203,'SegEnds_NonXtal_Prot#'!A:AL,16,FALSE)-VLOOKUP(A203,'SegEnds_NonXtal_Prot#'!A:AL,10,FALSE)</f>
        <v>52</v>
      </c>
      <c r="AF203" s="1">
        <f>VLOOKUP(A203,'SegEnds_NonXtal_Prot#'!A:AL,22,FALSE)-VLOOKUP(A203,'SegEnds_NonXtal_Prot#'!A:AL,19,FALSE)</f>
        <v>19</v>
      </c>
      <c r="AG203" s="1">
        <f>VLOOKUP(A203,'SegEnds_NonXtal_Prot#'!A:AL,28,FALSE)-VLOOKUP(A203,'SegEnds_NonXtal_Prot#'!A:AL,25,FALSE)</f>
        <v>25</v>
      </c>
      <c r="AH203" s="1">
        <f>VLOOKUP(A203,'SegEnds_NonXtal_Prot#'!A:AL,28,FALSE)-VLOOKUP(A203,'SegEnds_NonXtal_Prot#'!A:AL,22,FALSE)</f>
        <v>53</v>
      </c>
      <c r="AI203" s="1">
        <f>VLOOKUP(A203,'SegEnds_NonXtal_Prot#'!A:AL,31,FALSE)-VLOOKUP(A203,'SegEnds_NonXtal_Prot#'!A:AL,28,FALSE)</f>
        <v>85</v>
      </c>
      <c r="AJ203" s="1">
        <f>VLOOKUP(A203,'SegEnds_NonXtal_Prot#'!A:AL,34,FALSE)-VLOOKUP(A203,'SegEnds_NonXtal_Prot#'!A:AL,31,FALSE)</f>
        <v>39</v>
      </c>
      <c r="AK203" s="1">
        <f>VLOOKUP(A203,'SegEnds_NonXtal_Prot#'!A:AL,37,FALSE)-VLOOKUP(A203,'SegEnds_NonXtal_Prot#'!A:AL,34,FALSE)</f>
        <v>10</v>
      </c>
      <c r="AL203" s="1" t="str">
        <f>IF(ISERROR(MATCH(A203,'SegEnds_Xtal_Prot#'!B:B, 0)), "NoXtal", "Xtal")</f>
        <v>NoXtal</v>
      </c>
    </row>
    <row r="204" spans="1:38" x14ac:dyDescent="0.2">
      <c r="A204" s="1" t="s">
        <v>398</v>
      </c>
      <c r="B204" s="1" t="str">
        <f>VLOOKUP(A204,Xtal_Templ!A:B,2,FALSE)</f>
        <v>mtr1b_human</v>
      </c>
      <c r="C204" s="5">
        <f>VLOOKUP($B204&amp;"__wt",'SegEnds_Xtal_BW#'!$A:$Z,3,FALSE)</f>
        <v>30</v>
      </c>
      <c r="D204" s="1">
        <f>VLOOKUP($B204&amp;"__wt",'SegEnds_Xtal_BW#'!$A:$Z,4,FALSE)</f>
        <v>60</v>
      </c>
      <c r="E204" s="1">
        <f>VLOOKUP($B204&amp;"__wt",'SegEnds_Xtal_BW#'!$A:$Z,5,FALSE)</f>
        <v>48</v>
      </c>
      <c r="F204" s="1">
        <f>VLOOKUP($B204&amp;"__wt",'SegEnds_Xtal_BW#'!$A:$Z,6,FALSE)</f>
        <v>51</v>
      </c>
      <c r="G204" s="1">
        <v>37</v>
      </c>
      <c r="H204" s="108">
        <v>66</v>
      </c>
      <c r="I204" s="1">
        <f>VLOOKUP($B204&amp;"__wt",'SegEnds_Xtal_BW#'!$A:$Z,9,FALSE)</f>
        <v>49</v>
      </c>
      <c r="J204" s="1">
        <f>VLOOKUP($B204&amp;"__wt",'SegEnds_Xtal_BW#'!$A:$Z,10,FALSE)</f>
        <v>52</v>
      </c>
      <c r="K204" s="12">
        <v>18</v>
      </c>
      <c r="L204" s="1">
        <f>VLOOKUP($B204&amp;"__wt",'SegEnds_Xtal_BW#'!$A:$Z,12,FALSE)</f>
        <v>56</v>
      </c>
      <c r="M204" s="1">
        <f>VLOOKUP($B204&amp;"__wt",'SegEnds_Xtal_BW#'!$A:$Z,13,FALSE)</f>
        <v>50</v>
      </c>
      <c r="N204" s="12">
        <v>57</v>
      </c>
      <c r="O204" s="87">
        <f>VLOOKUP($B204&amp;"__wt",'SegEnds_Xtal_BW#'!$A:$Z,15,FALSE)</f>
        <v>38</v>
      </c>
      <c r="P204" s="1">
        <f>VLOOKUP($B204&amp;"__wt",'SegEnds_Xtal_BW#'!$A:$Z,16,FALSE)</f>
        <v>64</v>
      </c>
      <c r="Q204" s="1">
        <f>VLOOKUP($B204&amp;"__wt",'SegEnds_Xtal_BW#'!$A:$Z,17,FALSE)</f>
        <v>50</v>
      </c>
      <c r="R204" s="1">
        <f>VLOOKUP($B204&amp;"__wt",'SegEnds_Xtal_BW#'!$A:$Z,18,FALSE)</f>
        <v>52</v>
      </c>
      <c r="S204" s="1">
        <f>VLOOKUP($B204&amp;"__wt",'SegEnds_Xtal_BW#'!$A:$Z,19,FALSE)</f>
        <v>35</v>
      </c>
      <c r="T204" s="1">
        <f t="array" ref="T204">INDEX(ICL3_classA!$G$2:$G$39,MATCH(MIN(ABS(AI204-ICL3_classA!$F$2:$F$39)),ABS(AI204-ICL3_classA!$F$2:$F$39),0))</f>
        <v>76</v>
      </c>
      <c r="U204" s="1">
        <f t="array" ref="U204">INDEX(ICL3_classA!$H$2:$H$39,MATCH(MIN(ABS(AI204-ICL3_classA!$F$2:$F$39)),ABS(AI204-ICL3_classA!$F$2:$F$39),0))</f>
        <v>24</v>
      </c>
      <c r="V204" s="1">
        <v>61</v>
      </c>
      <c r="W204" s="1">
        <v>31</v>
      </c>
      <c r="X204" s="1">
        <f>VLOOKUP($B204&amp;"__wt",'SegEnds_Xtal_BW#'!$A:$Z,24,FALSE)</f>
        <v>56</v>
      </c>
      <c r="Y204" s="1">
        <f>VLOOKUP($B204&amp;"__wt",'SegEnds_Xtal_BW#'!$A:$Z,25,FALSE)</f>
        <v>47</v>
      </c>
      <c r="Z204" s="1">
        <f>VLOOKUP($B204&amp;"__wt",'SegEnds_Xtal_BW#'!$A:$Z,26,FALSE)</f>
        <v>63</v>
      </c>
      <c r="AA204" s="27" t="str">
        <f>VLOOKUP(A204,Classification!A:B,2,FALSE)</f>
        <v>A</v>
      </c>
      <c r="AB204" s="1">
        <f>VLOOKUP(A204,'SegEnds_NonXtal_Prot#'!A:AL,10,FALSE)-VLOOKUP(A204,'SegEnds_NonXtal_Prot#'!A:AL,4,FALSE)</f>
        <v>30</v>
      </c>
      <c r="AC204" s="1">
        <f>VLOOKUP(A204,'SegEnds_NonXtal_Prot#'!A:AL,10,FALSE)-VLOOKUP(A204,'SegEnds_NonXtal_Prot#'!A:AL,7,FALSE)</f>
        <v>16</v>
      </c>
      <c r="AD204" s="1">
        <f>VLOOKUP(A204,'SegEnds_NonXtal_Prot#'!A:AL,13,FALSE)-VLOOKUP(A204,'SegEnds_NonXtal_Prot#'!A:AL,10,FALSE)</f>
        <v>18</v>
      </c>
      <c r="AE204" s="1">
        <f>VLOOKUP(A204,'SegEnds_NonXtal_Prot#'!A:AL,16,FALSE)-VLOOKUP(A204,'SegEnds_NonXtal_Prot#'!A:AL,10,FALSE)</f>
        <v>52</v>
      </c>
      <c r="AF204" s="1">
        <f>VLOOKUP(A204,'SegEnds_NonXtal_Prot#'!A:AL,22,FALSE)-VLOOKUP(A204,'SegEnds_NonXtal_Prot#'!A:AL,19,FALSE)</f>
        <v>20</v>
      </c>
      <c r="AG204" s="1">
        <f>VLOOKUP(A204,'SegEnds_NonXtal_Prot#'!A:AL,28,FALSE)-VLOOKUP(A204,'SegEnds_NonXtal_Prot#'!A:AL,25,FALSE)</f>
        <v>25</v>
      </c>
      <c r="AH204" s="1">
        <f>VLOOKUP(A204,'SegEnds_NonXtal_Prot#'!A:AL,28,FALSE)-VLOOKUP(A204,'SegEnds_NonXtal_Prot#'!A:AL,22,FALSE)</f>
        <v>53</v>
      </c>
      <c r="AI204" s="1">
        <f>VLOOKUP(A204,'SegEnds_NonXtal_Prot#'!A:AL,31,FALSE)-VLOOKUP(A204,'SegEnds_NonXtal_Prot#'!A:AL,28,FALSE)</f>
        <v>69</v>
      </c>
      <c r="AJ204" s="1">
        <f>VLOOKUP(A204,'SegEnds_NonXtal_Prot#'!A:AL,34,FALSE)-VLOOKUP(A204,'SegEnds_NonXtal_Prot#'!A:AL,31,FALSE)</f>
        <v>36</v>
      </c>
      <c r="AK204" s="1">
        <f>VLOOKUP(A204,'SegEnds_NonXtal_Prot#'!A:AL,37,FALSE)-VLOOKUP(A204,'SegEnds_NonXtal_Prot#'!A:AL,34,FALSE)</f>
        <v>10</v>
      </c>
      <c r="AL204" s="1" t="str">
        <f>IF(ISERROR(MATCH(A204,'SegEnds_Xtal_Prot#'!B:B, 0)), "NoXtal", "Xtal")</f>
        <v>NoXtal</v>
      </c>
    </row>
    <row r="205" spans="1:38" x14ac:dyDescent="0.2">
      <c r="A205" s="1" t="s">
        <v>141</v>
      </c>
      <c r="B205" s="1" t="str">
        <f>VLOOKUP(A205,Xtal_Templ!A:B,2,FALSE)</f>
        <v>aa1r_human</v>
      </c>
      <c r="C205" s="5">
        <f>VLOOKUP($B205&amp;"__wt",'SegEnds_Xtal_BW#'!$A:$Z,3,FALSE)</f>
        <v>29</v>
      </c>
      <c r="D205" s="1">
        <f>VLOOKUP($B205&amp;"__wt",'SegEnds_Xtal_BW#'!$A:$Z,4,FALSE)</f>
        <v>60</v>
      </c>
      <c r="E205" s="1">
        <f>VLOOKUP($B205&amp;"__wt",'SegEnds_Xtal_BW#'!$A:$Z,5,FALSE)</f>
        <v>48</v>
      </c>
      <c r="F205" s="1">
        <f>VLOOKUP($B205&amp;"__wt",'SegEnds_Xtal_BW#'!$A:$Z,6,FALSE)</f>
        <v>51</v>
      </c>
      <c r="G205" s="1">
        <v>37</v>
      </c>
      <c r="H205" s="108">
        <v>66</v>
      </c>
      <c r="I205" s="1">
        <f>VLOOKUP($B205&amp;"__wt",'SegEnds_Xtal_BW#'!$A:$Z,9,FALSE)</f>
        <v>50</v>
      </c>
      <c r="J205" s="1">
        <f>VLOOKUP($B205&amp;"__wt",'SegEnds_Xtal_BW#'!$A:$Z,10,FALSE)</f>
        <v>52</v>
      </c>
      <c r="K205" s="12">
        <v>24</v>
      </c>
      <c r="L205" s="1">
        <f>VLOOKUP($B205&amp;"__wt",'SegEnds_Xtal_BW#'!$A:$Z,12,FALSE)</f>
        <v>56</v>
      </c>
      <c r="M205" s="1">
        <f>VLOOKUP($B205&amp;"__wt",'SegEnds_Xtal_BW#'!$A:$Z,13,FALSE)</f>
        <v>50</v>
      </c>
      <c r="N205" s="12">
        <v>57</v>
      </c>
      <c r="O205" s="87">
        <v>38</v>
      </c>
      <c r="P205" s="1">
        <f>VLOOKUP($B205&amp;"__wt",'SegEnds_Xtal_BW#'!$A:$Z,16,FALSE)</f>
        <v>63</v>
      </c>
      <c r="Q205" s="1">
        <f>VLOOKUP($B205&amp;"__wt",'SegEnds_Xtal_BW#'!$A:$Z,17,FALSE)</f>
        <v>50</v>
      </c>
      <c r="R205" s="1">
        <f>VLOOKUP($B205&amp;"__wt",'SegEnds_Xtal_BW#'!$A:$Z,18,FALSE)</f>
        <v>52</v>
      </c>
      <c r="S205" s="1">
        <f>VLOOKUP($B205&amp;"__wt",'SegEnds_Xtal_BW#'!$A:$Z,19,FALSE)</f>
        <v>34</v>
      </c>
      <c r="T205" s="1">
        <f t="array" ref="T205">INDEX(ICL3_classA!$G$2:$G$39,MATCH(MIN(ABS(AI205-ICL3_classA!$F$2:$F$39)),ABS(AI205-ICL3_classA!$F$2:$F$39),0))</f>
        <v>73</v>
      </c>
      <c r="U205" s="1">
        <f t="array" ref="U205">INDEX(ICL3_classA!$H$2:$H$39,MATCH(MIN(ABS(AI205-ICL3_classA!$F$2:$F$39)),ABS(AI205-ICL3_classA!$F$2:$F$39),0))</f>
        <v>22</v>
      </c>
      <c r="V205" s="1">
        <v>61</v>
      </c>
      <c r="W205" s="1">
        <v>32</v>
      </c>
      <c r="X205" s="1">
        <f>VLOOKUP($B205&amp;"__wt",'SegEnds_Xtal_BW#'!$A:$Z,24,FALSE)</f>
        <v>56</v>
      </c>
      <c r="Y205" s="1">
        <f>VLOOKUP($B205&amp;"__wt",'SegEnds_Xtal_BW#'!$A:$Z,25,FALSE)</f>
        <v>47</v>
      </c>
      <c r="Z205" s="1">
        <f>VLOOKUP($B205&amp;"__wt",'SegEnds_Xtal_BW#'!$A:$Z,26,FALSE)</f>
        <v>69</v>
      </c>
      <c r="AA205" s="27" t="str">
        <f>VLOOKUP(A205,Classification!A:B,2,FALSE)</f>
        <v>A</v>
      </c>
      <c r="AB205" s="1">
        <f>VLOOKUP(A205,'SegEnds_NonXtal_Prot#'!A:AL,10,FALSE)-VLOOKUP(A205,'SegEnds_NonXtal_Prot#'!A:AL,4,FALSE)</f>
        <v>28</v>
      </c>
      <c r="AC205" s="1">
        <f>VLOOKUP(A205,'SegEnds_NonXtal_Prot#'!A:AL,10,FALSE)-VLOOKUP(A205,'SegEnds_NonXtal_Prot#'!A:AL,7,FALSE)</f>
        <v>15</v>
      </c>
      <c r="AD205" s="1">
        <f>VLOOKUP(A205,'SegEnds_NonXtal_Prot#'!A:AL,13,FALSE)-VLOOKUP(A205,'SegEnds_NonXtal_Prot#'!A:AL,10,FALSE)</f>
        <v>18</v>
      </c>
      <c r="AE205" s="1">
        <f>VLOOKUP(A205,'SegEnds_NonXtal_Prot#'!A:AL,16,FALSE)-VLOOKUP(A205,'SegEnds_NonXtal_Prot#'!A:AL,10,FALSE)</f>
        <v>50</v>
      </c>
      <c r="AF205" s="1">
        <f>VLOOKUP(A205,'SegEnds_NonXtal_Prot#'!A:AL,22,FALSE)-VLOOKUP(A205,'SegEnds_NonXtal_Prot#'!A:AL,19,FALSE)</f>
        <v>20</v>
      </c>
      <c r="AG205" s="1">
        <f>VLOOKUP(A205,'SegEnds_NonXtal_Prot#'!A:AL,28,FALSE)-VLOOKUP(A205,'SegEnds_NonXtal_Prot#'!A:AL,25,FALSE)</f>
        <v>23</v>
      </c>
      <c r="AH205" s="1">
        <f>VLOOKUP(A205,'SegEnds_NonXtal_Prot#'!A:AL,28,FALSE)-VLOOKUP(A205,'SegEnds_NonXtal_Prot#'!A:AL,22,FALSE)</f>
        <v>54</v>
      </c>
      <c r="AI205" s="1">
        <f>VLOOKUP(A205,'SegEnds_NonXtal_Prot#'!A:AL,31,FALSE)-VLOOKUP(A205,'SegEnds_NonXtal_Prot#'!A:AL,28,FALSE)</f>
        <v>56</v>
      </c>
      <c r="AJ205" s="1">
        <f>VLOOKUP(A205,'SegEnds_NonXtal_Prot#'!A:AL,34,FALSE)-VLOOKUP(A205,'SegEnds_NonXtal_Prot#'!A:AL,31,FALSE)</f>
        <v>34</v>
      </c>
      <c r="AK205" s="1">
        <f>VLOOKUP(A205,'SegEnds_NonXtal_Prot#'!A:AL,37,FALSE)-VLOOKUP(A205,'SegEnds_NonXtal_Prot#'!A:AL,34,FALSE)</f>
        <v>10</v>
      </c>
      <c r="AL205" s="1" t="str">
        <f>IF(ISERROR(MATCH(A205,'SegEnds_Xtal_Prot#'!B:B, 0)), "NoXtal", "Xtal")</f>
        <v>NoXtal</v>
      </c>
    </row>
    <row r="206" spans="1:38" x14ac:dyDescent="0.2">
      <c r="A206" s="1" t="s">
        <v>102</v>
      </c>
      <c r="B206" s="1" t="str">
        <f>VLOOKUP(A206,Xtal_Templ!A:B,2,FALSE)</f>
        <v>adrb2_human</v>
      </c>
      <c r="C206" s="5">
        <f>VLOOKUP($B206&amp;"__wt",'SegEnds_Xtal_BW#'!$A:$Z,3,FALSE)</f>
        <v>25</v>
      </c>
      <c r="D206" s="1">
        <f>VLOOKUP($B206&amp;"__wt",'SegEnds_Xtal_BW#'!$A:$Z,4,FALSE)</f>
        <v>60</v>
      </c>
      <c r="E206" s="1">
        <f>VLOOKUP($B206&amp;"__wt",'SegEnds_Xtal_BW#'!$A:$Z,5,FALSE)</f>
        <v>48</v>
      </c>
      <c r="F206" s="1">
        <f>VLOOKUP($B206&amp;"__wt",'SegEnds_Xtal_BW#'!$A:$Z,6,FALSE)</f>
        <v>51</v>
      </c>
      <c r="G206" s="1">
        <v>37</v>
      </c>
      <c r="H206" s="12">
        <f>VLOOKUP($B206&amp;"__wt",'SegEnds_Xtal_BW#'!$A:$Z,8,FALSE)</f>
        <v>67</v>
      </c>
      <c r="I206" s="1">
        <f>VLOOKUP($B206&amp;"__wt",'SegEnds_Xtal_BW#'!$A:$Z,9,FALSE)</f>
        <v>49</v>
      </c>
      <c r="J206" s="1">
        <f>VLOOKUP($B206&amp;"__wt",'SegEnds_Xtal_BW#'!$A:$Z,10,FALSE)</f>
        <v>52</v>
      </c>
      <c r="K206" s="12">
        <v>18</v>
      </c>
      <c r="L206" s="1">
        <f>VLOOKUP($B206&amp;"__wt",'SegEnds_Xtal_BW#'!$A:$Z,12,FALSE)</f>
        <v>56</v>
      </c>
      <c r="M206" s="1">
        <f>VLOOKUP($B206&amp;"__wt",'SegEnds_Xtal_BW#'!$A:$Z,13,FALSE)</f>
        <v>50</v>
      </c>
      <c r="N206" s="12">
        <v>57</v>
      </c>
      <c r="O206" s="87">
        <v>38</v>
      </c>
      <c r="P206" s="1">
        <f>VLOOKUP($B206&amp;"__wt",'SegEnds_Xtal_BW#'!$A:$Z,16,FALSE)</f>
        <v>64</v>
      </c>
      <c r="Q206" s="1">
        <f>VLOOKUP($B206&amp;"__wt",'SegEnds_Xtal_BW#'!$A:$Z,17,FALSE)</f>
        <v>50</v>
      </c>
      <c r="R206" s="1">
        <f>VLOOKUP($B206&amp;"__wt",'SegEnds_Xtal_BW#'!$A:$Z,18,FALSE)</f>
        <v>52</v>
      </c>
      <c r="S206" s="1">
        <v>35</v>
      </c>
      <c r="T206" s="1">
        <f t="array" ref="T206">INDEX(ICL3_classA!$G$2:$G$39,MATCH(MIN(ABS(AI206-ICL3_classA!$F$2:$F$39)),ABS(AI206-ICL3_classA!$F$2:$F$39),0))</f>
        <v>76</v>
      </c>
      <c r="U206" s="1">
        <f t="array" ref="U206">INDEX(ICL3_classA!$H$2:$H$39,MATCH(MIN(ABS(AI206-ICL3_classA!$F$2:$F$39)),ABS(AI206-ICL3_classA!$F$2:$F$39),0))</f>
        <v>24</v>
      </c>
      <c r="V206" s="1">
        <v>61</v>
      </c>
      <c r="W206" s="1">
        <v>31</v>
      </c>
      <c r="X206" s="124">
        <f>VLOOKUP($B206&amp;"__wt",'SegEnds_Xtal_BW#'!$A:$Z,24,FALSE)</f>
        <v>55</v>
      </c>
      <c r="Y206" s="1">
        <f>VLOOKUP($B206&amp;"__wt",'SegEnds_Xtal_BW#'!$A:$Z,25,FALSE)</f>
        <v>47</v>
      </c>
      <c r="Z206" s="1">
        <f>VLOOKUP($B206&amp;"__wt",'SegEnds_Xtal_BW#'!$A:$Z,26,FALSE)</f>
        <v>59</v>
      </c>
      <c r="AA206" s="27" t="str">
        <f>VLOOKUP(A206,Classification!A:B,2,FALSE)</f>
        <v>A</v>
      </c>
      <c r="AB206" s="1">
        <f>VLOOKUP(A206,'SegEnds_NonXtal_Prot#'!A:AL,10,FALSE)-VLOOKUP(A206,'SegEnds_NonXtal_Prot#'!A:AL,4,FALSE)</f>
        <v>28</v>
      </c>
      <c r="AC206" s="1">
        <f>VLOOKUP(A206,'SegEnds_NonXtal_Prot#'!A:AL,10,FALSE)-VLOOKUP(A206,'SegEnds_NonXtal_Prot#'!A:AL,7,FALSE)</f>
        <v>15</v>
      </c>
      <c r="AD206" s="1">
        <f>VLOOKUP(A206,'SegEnds_NonXtal_Prot#'!A:AL,13,FALSE)-VLOOKUP(A206,'SegEnds_NonXtal_Prot#'!A:AL,10,FALSE)</f>
        <v>20</v>
      </c>
      <c r="AE206" s="1">
        <f>VLOOKUP(A206,'SegEnds_NonXtal_Prot#'!A:AL,16,FALSE)-VLOOKUP(A206,'SegEnds_NonXtal_Prot#'!A:AL,10,FALSE)</f>
        <v>52</v>
      </c>
      <c r="AF206" s="1">
        <f>VLOOKUP(A206,'SegEnds_NonXtal_Prot#'!A:AL,22,FALSE)-VLOOKUP(A206,'SegEnds_NonXtal_Prot#'!A:AL,19,FALSE)</f>
        <v>20</v>
      </c>
      <c r="AG206" s="1">
        <f>VLOOKUP(A206,'SegEnds_NonXtal_Prot#'!A:AL,28,FALSE)-VLOOKUP(A206,'SegEnds_NonXtal_Prot#'!A:AL,25,FALSE)</f>
        <v>20</v>
      </c>
      <c r="AH206" s="1">
        <f>VLOOKUP(A206,'SegEnds_NonXtal_Prot#'!A:AL,28,FALSE)-VLOOKUP(A206,'SegEnds_NonXtal_Prot#'!A:AL,22,FALSE)</f>
        <v>54</v>
      </c>
      <c r="AI206" s="1">
        <f>VLOOKUP(A206,'SegEnds_NonXtal_Prot#'!A:AL,31,FALSE)-VLOOKUP(A206,'SegEnds_NonXtal_Prot#'!A:AL,28,FALSE)</f>
        <v>91</v>
      </c>
      <c r="AJ206" s="1">
        <f>VLOOKUP(A206,'SegEnds_NonXtal_Prot#'!A:AL,34,FALSE)-VLOOKUP(A206,'SegEnds_NonXtal_Prot#'!A:AL,31,FALSE)</f>
        <v>36</v>
      </c>
      <c r="AK206" s="1">
        <f>VLOOKUP(A206,'SegEnds_NonXtal_Prot#'!A:AL,37,FALSE)-VLOOKUP(A206,'SegEnds_NonXtal_Prot#'!A:AL,34,FALSE)</f>
        <v>9</v>
      </c>
      <c r="AL206" s="1" t="str">
        <f>IF(ISERROR(MATCH(A206,'SegEnds_Xtal_Prot#'!B:B, 0)), "NoXtal", "Xtal")</f>
        <v>NoXtal</v>
      </c>
    </row>
    <row r="207" spans="1:38" x14ac:dyDescent="0.2">
      <c r="A207" s="1" t="s">
        <v>158</v>
      </c>
      <c r="B207" s="1" t="str">
        <f>VLOOKUP(A207,Xtal_Templ!A:B,2,FALSE)</f>
        <v>agtr1_human</v>
      </c>
      <c r="C207" s="5">
        <f>VLOOKUP($B207&amp;"__wt",'SegEnds_Xtal_BW#'!$A:$Z,3,FALSE)</f>
        <v>28</v>
      </c>
      <c r="D207" s="1">
        <f>VLOOKUP($B207&amp;"__wt",'SegEnds_Xtal_BW#'!$A:$Z,4,FALSE)</f>
        <v>60</v>
      </c>
      <c r="E207" s="1">
        <f>VLOOKUP($B207&amp;"__wt",'SegEnds_Xtal_BW#'!$A:$Z,5,FALSE)</f>
        <v>48</v>
      </c>
      <c r="F207" s="1">
        <f>VLOOKUP($B207&amp;"__wt",'SegEnds_Xtal_BW#'!$A:$Z,6,FALSE)</f>
        <v>51</v>
      </c>
      <c r="G207" s="1">
        <v>37</v>
      </c>
      <c r="H207" s="12">
        <f>VLOOKUP($B207&amp;"__wt",'SegEnds_Xtal_BW#'!$A:$Z,8,FALSE)</f>
        <v>67</v>
      </c>
      <c r="I207" s="1">
        <f>VLOOKUP($B207&amp;"__wt",'SegEnds_Xtal_BW#'!$A:$Z,9,FALSE)</f>
        <v>49</v>
      </c>
      <c r="J207" s="1">
        <f>VLOOKUP($B207&amp;"__wt",'SegEnds_Xtal_BW#'!$A:$Z,10,FALSE)</f>
        <v>52</v>
      </c>
      <c r="K207" s="12">
        <v>18</v>
      </c>
      <c r="L207" s="1">
        <f>VLOOKUP($B207&amp;"__wt",'SegEnds_Xtal_BW#'!$A:$Z,12,FALSE)</f>
        <v>56</v>
      </c>
      <c r="M207" s="1">
        <f>VLOOKUP($B207&amp;"__wt",'SegEnds_Xtal_BW#'!$A:$Z,13,FALSE)</f>
        <v>50</v>
      </c>
      <c r="N207" s="12">
        <f>VLOOKUP($B207&amp;"__wt",'SegEnds_Xtal_BW#'!$A:$Z,14,FALSE)</f>
        <v>57</v>
      </c>
      <c r="O207" s="87">
        <f>VLOOKUP($B207&amp;"__wt",'SegEnds_Xtal_BW#'!$A:$Z,15,FALSE)</f>
        <v>38</v>
      </c>
      <c r="P207" s="1">
        <f>VLOOKUP($B207&amp;"__wt",'SegEnds_Xtal_BW#'!$A:$Z,16,FALSE)</f>
        <v>64</v>
      </c>
      <c r="Q207" s="1">
        <f>VLOOKUP($B207&amp;"__wt",'SegEnds_Xtal_BW#'!$A:$Z,17,FALSE)</f>
        <v>50</v>
      </c>
      <c r="R207" s="1">
        <f>VLOOKUP($B207&amp;"__wt",'SegEnds_Xtal_BW#'!$A:$Z,18,FALSE)</f>
        <v>52</v>
      </c>
      <c r="S207" s="1">
        <f>VLOOKUP($B207&amp;"__wt",'SegEnds_Xtal_BW#'!$A:$Z,19,FALSE)</f>
        <v>34</v>
      </c>
      <c r="T207" s="1">
        <f t="array" ref="T207">INDEX(ICL3_classA!$G$2:$G$39,MATCH(MIN(ABS(AI207-ICL3_classA!$F$2:$F$39)),ABS(AI207-ICL3_classA!$F$2:$F$39),0))</f>
        <v>68</v>
      </c>
      <c r="U207" s="1">
        <f t="array" ref="U207">INDEX(ICL3_classA!$H$2:$H$39,MATCH(MIN(ABS(AI207-ICL3_classA!$F$2:$F$39)),ABS(AI207-ICL3_classA!$F$2:$F$39),0))</f>
        <v>24</v>
      </c>
      <c r="V207" s="1">
        <v>64</v>
      </c>
      <c r="W207" s="1">
        <v>24</v>
      </c>
      <c r="X207" s="124">
        <f>VLOOKUP($B207&amp;"__wt",'SegEnds_Xtal_BW#'!$A:$Z,24,FALSE)</f>
        <v>56</v>
      </c>
      <c r="Y207" s="1">
        <f>VLOOKUP($B207&amp;"__wt",'SegEnds_Xtal_BW#'!$A:$Z,25,FALSE)</f>
        <v>47</v>
      </c>
      <c r="Z207" s="1">
        <f>VLOOKUP($B207&amp;"__wt",'SegEnds_Xtal_BW#'!$A:$Z,26,FALSE)</f>
        <v>61</v>
      </c>
      <c r="AA207" s="27" t="str">
        <f>VLOOKUP(A207,Classification!A:B,2,FALSE)</f>
        <v>A</v>
      </c>
      <c r="AB207" s="1">
        <f>VLOOKUP(A207,'SegEnds_NonXtal_Prot#'!A:AL,10,FALSE)-VLOOKUP(A207,'SegEnds_NonXtal_Prot#'!A:AL,4,FALSE)</f>
        <v>28</v>
      </c>
      <c r="AC207" s="1">
        <f>VLOOKUP(A207,'SegEnds_NonXtal_Prot#'!A:AL,10,FALSE)-VLOOKUP(A207,'SegEnds_NonXtal_Prot#'!A:AL,7,FALSE)</f>
        <v>15</v>
      </c>
      <c r="AD207" s="1">
        <f>VLOOKUP(A207,'SegEnds_NonXtal_Prot#'!A:AL,13,FALSE)-VLOOKUP(A207,'SegEnds_NonXtal_Prot#'!A:AL,10,FALSE)</f>
        <v>20</v>
      </c>
      <c r="AE207" s="1">
        <f>VLOOKUP(A207,'SegEnds_NonXtal_Prot#'!A:AL,16,FALSE)-VLOOKUP(A207,'SegEnds_NonXtal_Prot#'!A:AL,10,FALSE)</f>
        <v>52</v>
      </c>
      <c r="AF207" s="1">
        <f>VLOOKUP(A207,'SegEnds_NonXtal_Prot#'!A:AL,22,FALSE)-VLOOKUP(A207,'SegEnds_NonXtal_Prot#'!A:AL,19,FALSE)</f>
        <v>20</v>
      </c>
      <c r="AG207" s="1">
        <f>VLOOKUP(A207,'SegEnds_NonXtal_Prot#'!A:AL,28,FALSE)-VLOOKUP(A207,'SegEnds_NonXtal_Prot#'!A:AL,25,FALSE)</f>
        <v>27</v>
      </c>
      <c r="AH207" s="1">
        <f>VLOOKUP(A207,'SegEnds_NonXtal_Prot#'!A:AL,28,FALSE)-VLOOKUP(A207,'SegEnds_NonXtal_Prot#'!A:AL,22,FALSE)</f>
        <v>54</v>
      </c>
      <c r="AI207" s="1">
        <f>VLOOKUP(A207,'SegEnds_NonXtal_Prot#'!A:AL,31,FALSE)-VLOOKUP(A207,'SegEnds_NonXtal_Prot#'!A:AL,28,FALSE)</f>
        <v>48</v>
      </c>
      <c r="AJ207" s="1">
        <f>VLOOKUP(A207,'SegEnds_NonXtal_Prot#'!A:AL,34,FALSE)-VLOOKUP(A207,'SegEnds_NonXtal_Prot#'!A:AL,31,FALSE)</f>
        <v>44</v>
      </c>
      <c r="AK207" s="1">
        <f>VLOOKUP(A207,'SegEnds_NonXtal_Prot#'!A:AL,37,FALSE)-VLOOKUP(A207,'SegEnds_NonXtal_Prot#'!A:AL,34,FALSE)</f>
        <v>10</v>
      </c>
      <c r="AL207" s="1" t="str">
        <f>IF(ISERROR(MATCH(A207,'SegEnds_Xtal_Prot#'!B:B, 0)), "NoXtal", "Xtal")</f>
        <v>Xtal</v>
      </c>
    </row>
    <row r="208" spans="1:38" x14ac:dyDescent="0.2">
      <c r="A208" s="1" t="s">
        <v>162</v>
      </c>
      <c r="B208" s="1" t="str">
        <f>VLOOKUP(A208,Xtal_Templ!A:B,2,FALSE)</f>
        <v>agtr2_human</v>
      </c>
      <c r="C208" s="5">
        <f>VLOOKUP($B208&amp;"__wt",'SegEnds_Xtal_BW#'!$A:$Z,3,FALSE)</f>
        <v>33</v>
      </c>
      <c r="D208" s="1">
        <f>VLOOKUP($B208&amp;"__wt",'SegEnds_Xtal_BW#'!$A:$Z,4,FALSE)</f>
        <v>60</v>
      </c>
      <c r="E208" s="1" t="str">
        <f>VLOOKUP($B208&amp;"__wt",'SegEnds_Xtal_BW#'!$A:$Z,5,FALSE)</f>
        <v>-</v>
      </c>
      <c r="F208" s="1" t="str">
        <f>VLOOKUP($B208&amp;"__wt",'SegEnds_Xtal_BW#'!$A:$Z,6,FALSE)</f>
        <v>-</v>
      </c>
      <c r="G208" s="1">
        <v>37</v>
      </c>
      <c r="H208" s="12">
        <f>VLOOKUP($B208&amp;"__wt",'SegEnds_Xtal_BW#'!$A:$Z,8,FALSE)</f>
        <v>66</v>
      </c>
      <c r="I208" s="1">
        <f>VLOOKUP($B208&amp;"__wt",'SegEnds_Xtal_BW#'!$A:$Z,9,FALSE)</f>
        <v>47</v>
      </c>
      <c r="J208" s="1">
        <f>VLOOKUP($B208&amp;"__wt",'SegEnds_Xtal_BW#'!$A:$Z,10,FALSE)</f>
        <v>52</v>
      </c>
      <c r="K208" s="12">
        <v>18</v>
      </c>
      <c r="L208" s="1">
        <f>VLOOKUP($B208&amp;"__wt",'SegEnds_Xtal_BW#'!$A:$Z,12,FALSE)</f>
        <v>56</v>
      </c>
      <c r="M208" s="1">
        <f>VLOOKUP($B208&amp;"__wt",'SegEnds_Xtal_BW#'!$A:$Z,13,FALSE)</f>
        <v>50</v>
      </c>
      <c r="N208" s="108">
        <v>57</v>
      </c>
      <c r="O208" s="87">
        <f>VLOOKUP($B208&amp;"__wt",'SegEnds_Xtal_BW#'!$A:$Z,15,FALSE)</f>
        <v>38</v>
      </c>
      <c r="P208" s="1">
        <f>VLOOKUP($B208&amp;"__wt",'SegEnds_Xtal_BW#'!$A:$Z,16,FALSE)</f>
        <v>64</v>
      </c>
      <c r="Q208" s="1">
        <f>VLOOKUP($B208&amp;"__wt",'SegEnds_Xtal_BW#'!$A:$Z,17,FALSE)</f>
        <v>50</v>
      </c>
      <c r="R208" s="1">
        <f>VLOOKUP($B208&amp;"__wt",'SegEnds_Xtal_BW#'!$A:$Z,18,FALSE)</f>
        <v>52</v>
      </c>
      <c r="S208" s="1">
        <f>VLOOKUP($B208&amp;"__wt",'SegEnds_Xtal_BW#'!$A:$Z,19,FALSE)</f>
        <v>30</v>
      </c>
      <c r="T208" s="1">
        <f t="array" ref="T208">INDEX(ICL3_classA!$G$2:$G$39,MATCH(MIN(ABS(AI208-ICL3_classA!$F$2:$F$39)),ABS(AI208-ICL3_classA!$F$2:$F$39),0))</f>
        <v>68</v>
      </c>
      <c r="U208" s="1">
        <f t="array" ref="U208">INDEX(ICL3_classA!$H$2:$H$39,MATCH(MIN(ABS(AI208-ICL3_classA!$F$2:$F$39)),ABS(AI208-ICL3_classA!$F$2:$F$39),0))</f>
        <v>24</v>
      </c>
      <c r="V208" s="1">
        <v>64</v>
      </c>
      <c r="W208" s="1">
        <v>24</v>
      </c>
      <c r="X208" s="1">
        <f>VLOOKUP($B208&amp;"__wt",'SegEnds_Xtal_BW#'!$A:$Z,24,FALSE)</f>
        <v>56</v>
      </c>
      <c r="Y208" s="1">
        <f>VLOOKUP($B208&amp;"__wt",'SegEnds_Xtal_BW#'!$A:$Z,25,FALSE)</f>
        <v>47</v>
      </c>
      <c r="Z208" s="1">
        <f>VLOOKUP($B208&amp;"__wt",'SegEnds_Xtal_BW#'!$A:$Z,26,FALSE)</f>
        <v>61</v>
      </c>
      <c r="AA208" s="27" t="str">
        <f>VLOOKUP(A208,Classification!A:B,2,FALSE)</f>
        <v>A</v>
      </c>
      <c r="AB208" s="1">
        <f>VLOOKUP(A208,'SegEnds_NonXtal_Prot#'!A:AL,10,FALSE)-VLOOKUP(A208,'SegEnds_NonXtal_Prot#'!A:AL,4,FALSE)</f>
        <v>28</v>
      </c>
      <c r="AC208" s="1">
        <f>VLOOKUP(A208,'SegEnds_NonXtal_Prot#'!A:AL,10,FALSE)-VLOOKUP(A208,'SegEnds_NonXtal_Prot#'!A:AL,7,FALSE)</f>
        <v>15</v>
      </c>
      <c r="AD208" s="1">
        <f>VLOOKUP(A208,'SegEnds_NonXtal_Prot#'!A:AL,13,FALSE)-VLOOKUP(A208,'SegEnds_NonXtal_Prot#'!A:AL,10,FALSE)</f>
        <v>20</v>
      </c>
      <c r="AE208" s="1">
        <f>VLOOKUP(A208,'SegEnds_NonXtal_Prot#'!A:AL,16,FALSE)-VLOOKUP(A208,'SegEnds_NonXtal_Prot#'!A:AL,10,FALSE)</f>
        <v>52</v>
      </c>
      <c r="AF208" s="1">
        <f>VLOOKUP(A208,'SegEnds_NonXtal_Prot#'!A:AL,22,FALSE)-VLOOKUP(A208,'SegEnds_NonXtal_Prot#'!A:AL,19,FALSE)</f>
        <v>20</v>
      </c>
      <c r="AG208" s="1">
        <f>VLOOKUP(A208,'SegEnds_NonXtal_Prot#'!A:AL,28,FALSE)-VLOOKUP(A208,'SegEnds_NonXtal_Prot#'!A:AL,25,FALSE)</f>
        <v>25</v>
      </c>
      <c r="AH208" s="1">
        <f>VLOOKUP(A208,'SegEnds_NonXtal_Prot#'!A:AL,28,FALSE)-VLOOKUP(A208,'SegEnds_NonXtal_Prot#'!A:AL,22,FALSE)</f>
        <v>54</v>
      </c>
      <c r="AI208" s="1">
        <f>VLOOKUP(A208,'SegEnds_NonXtal_Prot#'!A:AL,31,FALSE)-VLOOKUP(A208,'SegEnds_NonXtal_Prot#'!A:AL,28,FALSE)</f>
        <v>49</v>
      </c>
      <c r="AJ208" s="1">
        <f>VLOOKUP(A208,'SegEnds_NonXtal_Prot#'!A:AL,34,FALSE)-VLOOKUP(A208,'SegEnds_NonXtal_Prot#'!A:AL,31,FALSE)</f>
        <v>44</v>
      </c>
      <c r="AK208" s="1">
        <f>VLOOKUP(A208,'SegEnds_NonXtal_Prot#'!A:AL,37,FALSE)-VLOOKUP(A208,'SegEnds_NonXtal_Prot#'!A:AL,34,FALSE)</f>
        <v>10</v>
      </c>
      <c r="AL208" s="1" t="str">
        <f>IF(ISERROR(MATCH(A208,'SegEnds_Xtal_Prot#'!B:B, 0)), "NoXtal", "Xtal")</f>
        <v>NoXtal</v>
      </c>
    </row>
    <row r="209" spans="1:38" x14ac:dyDescent="0.2">
      <c r="A209" s="12" t="s">
        <v>174</v>
      </c>
      <c r="B209" s="12" t="str">
        <f>VLOOKUP(A209,Xtal_Templ!A:B,2,FALSE)</f>
        <v>ccr7_human</v>
      </c>
      <c r="C209" s="13">
        <f>VLOOKUP($B209&amp;"__wt",'SegEnds_Xtal_BW#'!$A:$Z,3,FALSE)</f>
        <v>29</v>
      </c>
      <c r="D209" s="12">
        <f>VLOOKUP($B209&amp;"__wt",'SegEnds_Xtal_BW#'!$A:$Z,4,FALSE)</f>
        <v>60</v>
      </c>
      <c r="E209" s="12">
        <f>VLOOKUP($B209&amp;"__wt",'SegEnds_Xtal_BW#'!$A:$Z,5,FALSE)</f>
        <v>48</v>
      </c>
      <c r="F209" s="12">
        <f>VLOOKUP($B209&amp;"__wt",'SegEnds_Xtal_BW#'!$A:$Z,6,FALSE)</f>
        <v>51</v>
      </c>
      <c r="G209" s="12">
        <v>37</v>
      </c>
      <c r="H209" s="12">
        <v>66</v>
      </c>
      <c r="I209" s="12">
        <f>VLOOKUP($B209&amp;"__wt",'SegEnds_Xtal_BW#'!$A:$Z,9,FALSE)</f>
        <v>49</v>
      </c>
      <c r="J209" s="12">
        <f>VLOOKUP($B209&amp;"__wt",'SegEnds_Xtal_BW#'!$A:$Z,10,FALSE)</f>
        <v>52</v>
      </c>
      <c r="K209" s="12">
        <v>21</v>
      </c>
      <c r="L209" s="12">
        <f>VLOOKUP($B209&amp;"__wt",'SegEnds_Xtal_BW#'!$A:$Z,12,FALSE)</f>
        <v>56</v>
      </c>
      <c r="M209" s="12">
        <f>VLOOKUP($B209&amp;"__wt",'SegEnds_Xtal_BW#'!$A:$Z,13,FALSE)</f>
        <v>50</v>
      </c>
      <c r="N209" s="12">
        <v>58</v>
      </c>
      <c r="O209" s="87">
        <v>38</v>
      </c>
      <c r="P209" s="12">
        <f>VLOOKUP($B209&amp;"__wt",'SegEnds_Xtal_BW#'!$A:$Z,16,FALSE)</f>
        <v>64</v>
      </c>
      <c r="Q209" s="12">
        <f>VLOOKUP($B209&amp;"__wt",'SegEnds_Xtal_BW#'!$A:$Z,17,FALSE)</f>
        <v>50</v>
      </c>
      <c r="R209" s="12">
        <f>VLOOKUP($B209&amp;"__wt",'SegEnds_Xtal_BW#'!$A:$Z,18,FALSE)</f>
        <v>52</v>
      </c>
      <c r="S209" s="12">
        <f>VLOOKUP($B209&amp;"__wt",'SegEnds_Xtal_BW#'!$A:$Z,19,FALSE)</f>
        <v>33</v>
      </c>
      <c r="T209" s="12">
        <f t="array" ref="T209">INDEX(ICL3_classA!$G$2:$G$39,MATCH(MIN(ABS(AI209-ICL3_classA!$F$2:$F$39)),ABS(AI209-ICL3_classA!$F$2:$F$39),0))</f>
        <v>68</v>
      </c>
      <c r="U209" s="12">
        <f t="array" ref="U209">INDEX(ICL3_classA!$H$2:$H$39,MATCH(MIN(ABS(AI209-ICL3_classA!$F$2:$F$39)),ABS(AI209-ICL3_classA!$F$2:$F$39),0))</f>
        <v>30</v>
      </c>
      <c r="V209" s="12">
        <v>65</v>
      </c>
      <c r="W209" s="12">
        <v>24</v>
      </c>
      <c r="X209" s="12">
        <f>VLOOKUP($B209&amp;"__wt",'SegEnds_Xtal_BW#'!$A:$Z,24,FALSE)</f>
        <v>56</v>
      </c>
      <c r="Y209" s="12">
        <f>VLOOKUP($B209&amp;"__wt",'SegEnds_Xtal_BW#'!$A:$Z,25,FALSE)</f>
        <v>47</v>
      </c>
      <c r="Z209" s="12">
        <f>VLOOKUP($B209&amp;"__wt",'SegEnds_Xtal_BW#'!$A:$Z,26,FALSE)</f>
        <v>59</v>
      </c>
      <c r="AA209" s="36" t="str">
        <f>VLOOKUP(A209,Classification!A:B,2,FALSE)</f>
        <v>A</v>
      </c>
      <c r="AB209" s="1">
        <f>VLOOKUP(A209,'SegEnds_NonXtal_Prot#'!A:AL,10,FALSE)-VLOOKUP(A209,'SegEnds_NonXtal_Prot#'!A:AL,4,FALSE)</f>
        <v>28</v>
      </c>
      <c r="AC209" s="12">
        <f>VLOOKUP(A209,'SegEnds_NonXtal_Prot#'!A:AL,10,FALSE)-VLOOKUP(A209,'SegEnds_NonXtal_Prot#'!A:AL,7,FALSE)</f>
        <v>15</v>
      </c>
      <c r="AD209" s="12">
        <f>VLOOKUP(A209,'SegEnds_NonXtal_Prot#'!A:AL,13,FALSE)-VLOOKUP(A209,'SegEnds_NonXtal_Prot#'!A:AL,10,FALSE)</f>
        <v>19</v>
      </c>
      <c r="AE209" s="12">
        <f>VLOOKUP(A209,'SegEnds_NonXtal_Prot#'!A:AL,16,FALSE)-VLOOKUP(A209,'SegEnds_NonXtal_Prot#'!A:AL,10,FALSE)</f>
        <v>51</v>
      </c>
      <c r="AF209" s="1">
        <f>VLOOKUP(A209,'SegEnds_NonXtal_Prot#'!A:AL,22,FALSE)-VLOOKUP(A209,'SegEnds_NonXtal_Prot#'!A:AL,19,FALSE)</f>
        <v>22</v>
      </c>
      <c r="AG209" s="12">
        <f>VLOOKUP(A209,'SegEnds_NonXtal_Prot#'!A:AL,28,FALSE)-VLOOKUP(A209,'SegEnds_NonXtal_Prot#'!A:AL,25,FALSE)</f>
        <v>29</v>
      </c>
      <c r="AH209" s="1">
        <f>VLOOKUP(A209,'SegEnds_NonXtal_Prot#'!A:AL,28,FALSE)-VLOOKUP(A209,'SegEnds_NonXtal_Prot#'!A:AL,22,FALSE)</f>
        <v>54</v>
      </c>
      <c r="AI209" s="12">
        <f>VLOOKUP(A209,'SegEnds_NonXtal_Prot#'!A:AL,31,FALSE)-VLOOKUP(A209,'SegEnds_NonXtal_Prot#'!A:AL,28,FALSE)</f>
        <v>43</v>
      </c>
      <c r="AJ209" s="12">
        <f>VLOOKUP(A209,'SegEnds_NonXtal_Prot#'!A:AL,34,FALSE)-VLOOKUP(A209,'SegEnds_NonXtal_Prot#'!A:AL,31,FALSE)</f>
        <v>44</v>
      </c>
      <c r="AK209" s="1">
        <f>VLOOKUP(A209,'SegEnds_NonXtal_Prot#'!A:AL,37,FALSE)-VLOOKUP(A209,'SegEnds_NonXtal_Prot#'!A:AL,34,FALSE)</f>
        <v>10</v>
      </c>
      <c r="AL209" s="12" t="str">
        <f>IF(ISERROR(MATCH(A209,'SegEnds_Xtal_Prot#'!B:B, 0)), "NoXtal", "Xtal")</f>
        <v>NoXtal</v>
      </c>
    </row>
    <row r="210" spans="1:38" x14ac:dyDescent="0.2">
      <c r="A210" s="1" t="s">
        <v>333</v>
      </c>
      <c r="B210" s="1" t="str">
        <f>VLOOKUP(A210,Xtal_Templ!A:B,2,FALSE)</f>
        <v>opsd_bovin</v>
      </c>
      <c r="C210" s="5">
        <f>VLOOKUP($B210&amp;"__wt",'SegEnds_Xtal_BW#'!$A:$Z,3,FALSE)</f>
        <v>28</v>
      </c>
      <c r="D210" s="1">
        <f>VLOOKUP($B210&amp;"__wt",'SegEnds_Xtal_BW#'!$A:$Z,4,FALSE)</f>
        <v>60</v>
      </c>
      <c r="E210" s="1">
        <f>VLOOKUP($B210&amp;"__wt",'SegEnds_Xtal_BW#'!$A:$Z,5,FALSE)</f>
        <v>48</v>
      </c>
      <c r="F210" s="1">
        <f>VLOOKUP($B210&amp;"__wt",'SegEnds_Xtal_BW#'!$A:$Z,6,FALSE)</f>
        <v>51</v>
      </c>
      <c r="G210" s="1">
        <v>37</v>
      </c>
      <c r="H210" s="12">
        <f>VLOOKUP($B210&amp;"__wt",'SegEnds_Xtal_BW#'!$A:$Z,8,FALSE)</f>
        <v>67</v>
      </c>
      <c r="I210" s="1">
        <f>VLOOKUP($B210&amp;"__wt",'SegEnds_Xtal_BW#'!$A:$Z,9,FALSE)</f>
        <v>49</v>
      </c>
      <c r="J210" s="1">
        <f>VLOOKUP($B210&amp;"__wt",'SegEnds_Xtal_BW#'!$A:$Z,10,FALSE)</f>
        <v>52</v>
      </c>
      <c r="K210" s="12">
        <v>18</v>
      </c>
      <c r="L210" s="1">
        <f>VLOOKUP($B210&amp;"__wt",'SegEnds_Xtal_BW#'!$A:$Z,12,FALSE)</f>
        <v>56</v>
      </c>
      <c r="M210" s="1">
        <f>VLOOKUP($B210&amp;"__wt",'SegEnds_Xtal_BW#'!$A:$Z,13,FALSE)</f>
        <v>50</v>
      </c>
      <c r="N210" s="108">
        <v>56</v>
      </c>
      <c r="O210" s="87">
        <f>VLOOKUP($B210&amp;"__wt",'SegEnds_Xtal_BW#'!$A:$Z,15,FALSE)</f>
        <v>38</v>
      </c>
      <c r="P210" s="1">
        <f>VLOOKUP($B210&amp;"__wt",'SegEnds_Xtal_BW#'!$A:$Z,16,FALSE)</f>
        <v>62</v>
      </c>
      <c r="Q210" s="1">
        <f>VLOOKUP($B210&amp;"__wt",'SegEnds_Xtal_BW#'!$A:$Z,17,FALSE)</f>
        <v>50</v>
      </c>
      <c r="R210" s="1">
        <f>VLOOKUP($B210&amp;"__wt",'SegEnds_Xtal_BW#'!$A:$Z,18,FALSE)</f>
        <v>52</v>
      </c>
      <c r="S210" s="1">
        <f>VLOOKUP($B210&amp;"__wt",'SegEnds_Xtal_BW#'!$A:$Z,19,FALSE)</f>
        <v>34</v>
      </c>
      <c r="T210" s="1">
        <f t="array" ref="T210">INDEX(ICL3_classA!$G$2:$G$39,MATCH(MIN(ABS(AI210-ICL3_classA!$F$2:$F$39)),ABS(AI210-ICL3_classA!$F$2:$F$39),0))</f>
        <v>73</v>
      </c>
      <c r="U210" s="1">
        <f t="array" ref="U210">INDEX(ICL3_classA!$H$2:$H$39,MATCH(MIN(ABS(AI210-ICL3_classA!$F$2:$F$39)),ABS(AI210-ICL3_classA!$F$2:$F$39),0))</f>
        <v>22</v>
      </c>
      <c r="V210" s="1">
        <v>61</v>
      </c>
      <c r="W210" s="1">
        <v>31</v>
      </c>
      <c r="X210" s="1">
        <f>VLOOKUP($B210&amp;"__wt",'SegEnds_Xtal_BW#'!$A:$Z,24,FALSE)</f>
        <v>56</v>
      </c>
      <c r="Y210" s="1">
        <f>VLOOKUP($B210&amp;"__wt",'SegEnds_Xtal_BW#'!$A:$Z,25,FALSE)</f>
        <v>47</v>
      </c>
      <c r="Z210" s="1">
        <f>VLOOKUP($B210&amp;"__wt",'SegEnds_Xtal_BW#'!$A:$Z,26,FALSE)</f>
        <v>59</v>
      </c>
      <c r="AA210" s="27" t="str">
        <f>VLOOKUP(A210,Classification!A:B,2,FALSE)</f>
        <v>A</v>
      </c>
      <c r="AB210" s="1">
        <f>VLOOKUP(A210,'SegEnds_NonXtal_Prot#'!A:AL,10,FALSE)-VLOOKUP(A210,'SegEnds_NonXtal_Prot#'!A:AL,4,FALSE)</f>
        <v>28</v>
      </c>
      <c r="AC210" s="1">
        <f>VLOOKUP(A210,'SegEnds_NonXtal_Prot#'!A:AL,10,FALSE)-VLOOKUP(A210,'SegEnds_NonXtal_Prot#'!A:AL,7,FALSE)</f>
        <v>14</v>
      </c>
      <c r="AD210" s="1">
        <f>VLOOKUP(A210,'SegEnds_NonXtal_Prot#'!A:AL,13,FALSE)-VLOOKUP(A210,'SegEnds_NonXtal_Prot#'!A:AL,10,FALSE)</f>
        <v>20</v>
      </c>
      <c r="AE210" s="1">
        <f>VLOOKUP(A210,'SegEnds_NonXtal_Prot#'!A:AL,16,FALSE)-VLOOKUP(A210,'SegEnds_NonXtal_Prot#'!A:AL,10,FALSE)</f>
        <v>52</v>
      </c>
      <c r="AF210" s="1">
        <f>VLOOKUP(A210,'SegEnds_NonXtal_Prot#'!A:AL,22,FALSE)-VLOOKUP(A210,'SegEnds_NonXtal_Prot#'!A:AL,19,FALSE)</f>
        <v>19</v>
      </c>
      <c r="AG210" s="1">
        <f>VLOOKUP(A210,'SegEnds_NonXtal_Prot#'!A:AL,28,FALSE)-VLOOKUP(A210,'SegEnds_NonXtal_Prot#'!A:AL,25,FALSE)</f>
        <v>28</v>
      </c>
      <c r="AH210" s="1">
        <f>VLOOKUP(A210,'SegEnds_NonXtal_Prot#'!A:AL,28,FALSE)-VLOOKUP(A210,'SegEnds_NonXtal_Prot#'!A:AL,22,FALSE)</f>
        <v>54</v>
      </c>
      <c r="AI210" s="1">
        <f>VLOOKUP(A210,'SegEnds_NonXtal_Prot#'!A:AL,31,FALSE)-VLOOKUP(A210,'SegEnds_NonXtal_Prot#'!A:AL,28,FALSE)</f>
        <v>56</v>
      </c>
      <c r="AJ210" s="1">
        <f>VLOOKUP(A210,'SegEnds_NonXtal_Prot#'!A:AL,34,FALSE)-VLOOKUP(A210,'SegEnds_NonXtal_Prot#'!A:AL,31,FALSE)</f>
        <v>36</v>
      </c>
      <c r="AK210" s="1">
        <f>VLOOKUP(A210,'SegEnds_NonXtal_Prot#'!A:AL,37,FALSE)-VLOOKUP(A210,'SegEnds_NonXtal_Prot#'!A:AL,34,FALSE)</f>
        <v>10</v>
      </c>
      <c r="AL210" s="1" t="str">
        <f>IF(ISERROR(MATCH(A210,'SegEnds_Xtal_Prot#'!B:B, 0)), "NoXtal", "Xtal")</f>
        <v>NoXtal</v>
      </c>
    </row>
    <row r="211" spans="1:38" x14ac:dyDescent="0.2">
      <c r="A211" s="1" t="s">
        <v>337</v>
      </c>
      <c r="B211" s="1" t="str">
        <f>VLOOKUP(A211,Xtal_Templ!A:B,2,FALSE)</f>
        <v>opsd_human</v>
      </c>
      <c r="C211" s="5">
        <f>VLOOKUP($B211&amp;"__wt",'SegEnds_Xtal_BW#'!$A:$Z,3,FALSE)</f>
        <v>29</v>
      </c>
      <c r="D211" s="1">
        <f>VLOOKUP($B211&amp;"__wt",'SegEnds_Xtal_BW#'!$A:$Z,4,FALSE)</f>
        <v>60</v>
      </c>
      <c r="E211" s="1">
        <f>VLOOKUP($B211&amp;"__wt",'SegEnds_Xtal_BW#'!$A:$Z,5,FALSE)</f>
        <v>48</v>
      </c>
      <c r="F211" s="1">
        <f>VLOOKUP($B211&amp;"__wt",'SegEnds_Xtal_BW#'!$A:$Z,6,FALSE)</f>
        <v>51</v>
      </c>
      <c r="G211" s="1">
        <v>37</v>
      </c>
      <c r="H211" s="12">
        <f>VLOOKUP($B211&amp;"__wt",'SegEnds_Xtal_BW#'!$A:$Z,8,FALSE)</f>
        <v>67</v>
      </c>
      <c r="I211" s="1">
        <f>VLOOKUP($B211&amp;"__wt",'SegEnds_Xtal_BW#'!$A:$Z,9,FALSE)</f>
        <v>49</v>
      </c>
      <c r="J211" s="1">
        <f>VLOOKUP($B211&amp;"__wt",'SegEnds_Xtal_BW#'!$A:$Z,10,FALSE)</f>
        <v>52</v>
      </c>
      <c r="K211" s="12">
        <v>18</v>
      </c>
      <c r="L211" s="1">
        <f>VLOOKUP($B211&amp;"__wt",'SegEnds_Xtal_BW#'!$A:$Z,12,FALSE)</f>
        <v>56</v>
      </c>
      <c r="M211" s="1">
        <f>VLOOKUP($B211&amp;"__wt",'SegEnds_Xtal_BW#'!$A:$Z,13,FALSE)</f>
        <v>50</v>
      </c>
      <c r="N211" s="108">
        <v>56</v>
      </c>
      <c r="O211" s="87">
        <f>VLOOKUP($B211&amp;"__wt",'SegEnds_Xtal_BW#'!$A:$Z,15,FALSE)</f>
        <v>38</v>
      </c>
      <c r="P211" s="1">
        <f>VLOOKUP($B211&amp;"__wt",'SegEnds_Xtal_BW#'!$A:$Z,16,FALSE)</f>
        <v>62</v>
      </c>
      <c r="Q211" s="1">
        <f>VLOOKUP($B211&amp;"__wt",'SegEnds_Xtal_BW#'!$A:$Z,17,FALSE)</f>
        <v>50</v>
      </c>
      <c r="R211" s="1">
        <f>VLOOKUP($B211&amp;"__wt",'SegEnds_Xtal_BW#'!$A:$Z,18,FALSE)</f>
        <v>52</v>
      </c>
      <c r="S211" s="1">
        <f>VLOOKUP($B211&amp;"__wt",'SegEnds_Xtal_BW#'!$A:$Z,19,FALSE)</f>
        <v>34</v>
      </c>
      <c r="T211" s="1">
        <f t="array" ref="T211">INDEX(ICL3_classA!$G$2:$G$39,MATCH(MIN(ABS(AI211-ICL3_classA!$F$2:$F$39)),ABS(AI211-ICL3_classA!$F$2:$F$39),0))</f>
        <v>72</v>
      </c>
      <c r="U211" s="1">
        <f t="array" ref="U211">INDEX(ICL3_classA!$H$2:$H$39,MATCH(MIN(ABS(AI211-ICL3_classA!$F$2:$F$39)),ABS(AI211-ICL3_classA!$F$2:$F$39),0))</f>
        <v>23</v>
      </c>
      <c r="V211" s="1">
        <v>61</v>
      </c>
      <c r="W211" s="1">
        <v>31</v>
      </c>
      <c r="X211" s="1">
        <f>VLOOKUP($B211&amp;"__wt",'SegEnds_Xtal_BW#'!$A:$Z,24,FALSE)</f>
        <v>56</v>
      </c>
      <c r="Y211" s="1">
        <f>VLOOKUP($B211&amp;"__wt",'SegEnds_Xtal_BW#'!$A:$Z,25,FALSE)</f>
        <v>47</v>
      </c>
      <c r="Z211" s="1">
        <f>VLOOKUP($B211&amp;"__wt",'SegEnds_Xtal_BW#'!$A:$Z,26,FALSE)</f>
        <v>59</v>
      </c>
      <c r="AA211" s="27" t="str">
        <f>VLOOKUP(A211,Classification!A:B,2,FALSE)</f>
        <v>A</v>
      </c>
      <c r="AB211" s="1">
        <f>VLOOKUP(A211,'SegEnds_NonXtal_Prot#'!A:AL,10,FALSE)-VLOOKUP(A211,'SegEnds_NonXtal_Prot#'!A:AL,4,FALSE)</f>
        <v>28</v>
      </c>
      <c r="AC211" s="1">
        <f>VLOOKUP(A211,'SegEnds_NonXtal_Prot#'!A:AL,10,FALSE)-VLOOKUP(A211,'SegEnds_NonXtal_Prot#'!A:AL,7,FALSE)</f>
        <v>15</v>
      </c>
      <c r="AD211" s="1">
        <f>VLOOKUP(A211,'SegEnds_NonXtal_Prot#'!A:AL,13,FALSE)-VLOOKUP(A211,'SegEnds_NonXtal_Prot#'!A:AL,10,FALSE)</f>
        <v>20</v>
      </c>
      <c r="AE211" s="1">
        <f>VLOOKUP(A211,'SegEnds_NonXtal_Prot#'!A:AL,16,FALSE)-VLOOKUP(A211,'SegEnds_NonXtal_Prot#'!A:AL,10,FALSE)</f>
        <v>52</v>
      </c>
      <c r="AF211" s="1">
        <f>VLOOKUP(A211,'SegEnds_NonXtal_Prot#'!A:AL,22,FALSE)-VLOOKUP(A211,'SegEnds_NonXtal_Prot#'!A:AL,19,FALSE)</f>
        <v>19</v>
      </c>
      <c r="AG211" s="1">
        <f>VLOOKUP(A211,'SegEnds_NonXtal_Prot#'!A:AL,28,FALSE)-VLOOKUP(A211,'SegEnds_NonXtal_Prot#'!A:AL,25,FALSE)</f>
        <v>28</v>
      </c>
      <c r="AH211" s="1">
        <f>VLOOKUP(A211,'SegEnds_NonXtal_Prot#'!A:AL,28,FALSE)-VLOOKUP(A211,'SegEnds_NonXtal_Prot#'!A:AL,22,FALSE)</f>
        <v>54</v>
      </c>
      <c r="AI211" s="1">
        <f>VLOOKUP(A211,'SegEnds_NonXtal_Prot#'!A:AL,31,FALSE)-VLOOKUP(A211,'SegEnds_NonXtal_Prot#'!A:AL,28,FALSE)</f>
        <v>52</v>
      </c>
      <c r="AJ211" s="1">
        <f>VLOOKUP(A211,'SegEnds_NonXtal_Prot#'!A:AL,34,FALSE)-VLOOKUP(A211,'SegEnds_NonXtal_Prot#'!A:AL,31,FALSE)</f>
        <v>36</v>
      </c>
      <c r="AK211" s="1">
        <f>VLOOKUP(A211,'SegEnds_NonXtal_Prot#'!A:AL,37,FALSE)-VLOOKUP(A211,'SegEnds_NonXtal_Prot#'!A:AL,34,FALSE)</f>
        <v>10</v>
      </c>
      <c r="AL211" s="1" t="str">
        <f>IF(ISERROR(MATCH(A211,'SegEnds_Xtal_Prot#'!B:B, 0)), "NoXtal", "Xtal")</f>
        <v>NoXtal</v>
      </c>
    </row>
    <row r="212" spans="1:38" x14ac:dyDescent="0.2">
      <c r="A212" s="1" t="s">
        <v>913</v>
      </c>
      <c r="B212" s="1" t="str">
        <f>VLOOKUP(A212,Xtal_Templ!A:B,2,FALSE)</f>
        <v>opsd_bovin</v>
      </c>
      <c r="C212" s="5">
        <f>VLOOKUP($B212&amp;"__wt",'SegEnds_Xtal_BW#'!$A:$Z,3,FALSE)</f>
        <v>28</v>
      </c>
      <c r="D212" s="1">
        <f>VLOOKUP($B212&amp;"__wt",'SegEnds_Xtal_BW#'!$A:$Z,4,FALSE)</f>
        <v>60</v>
      </c>
      <c r="E212" s="1">
        <f>VLOOKUP($B212&amp;"__wt",'SegEnds_Xtal_BW#'!$A:$Z,5,FALSE)</f>
        <v>48</v>
      </c>
      <c r="F212" s="1">
        <f>VLOOKUP($B212&amp;"__wt",'SegEnds_Xtal_BW#'!$A:$Z,6,FALSE)</f>
        <v>51</v>
      </c>
      <c r="G212" s="1">
        <v>37</v>
      </c>
      <c r="H212" s="12">
        <f>VLOOKUP($B212&amp;"__wt",'SegEnds_Xtal_BW#'!$A:$Z,8,FALSE)</f>
        <v>67</v>
      </c>
      <c r="I212" s="1">
        <f>VLOOKUP($B212&amp;"__wt",'SegEnds_Xtal_BW#'!$A:$Z,9,FALSE)</f>
        <v>49</v>
      </c>
      <c r="J212" s="1">
        <f>VLOOKUP($B212&amp;"__wt",'SegEnds_Xtal_BW#'!$A:$Z,10,FALSE)</f>
        <v>52</v>
      </c>
      <c r="K212" s="12">
        <v>18</v>
      </c>
      <c r="L212" s="1">
        <f>VLOOKUP($B212&amp;"__wt",'SegEnds_Xtal_BW#'!$A:$Z,12,FALSE)</f>
        <v>56</v>
      </c>
      <c r="M212" s="1">
        <f>VLOOKUP($B212&amp;"__wt",'SegEnds_Xtal_BW#'!$A:$Z,13,FALSE)</f>
        <v>50</v>
      </c>
      <c r="N212" s="108">
        <f>VLOOKUP($B212&amp;"__wt",'SegEnds_Xtal_BW#'!$A:$Z,14,FALSE)</f>
        <v>56</v>
      </c>
      <c r="O212" s="87">
        <f>VLOOKUP($B212&amp;"__wt",'SegEnds_Xtal_BW#'!$A:$Z,15,FALSE)</f>
        <v>38</v>
      </c>
      <c r="P212" s="1">
        <f>VLOOKUP($B212&amp;"__wt",'SegEnds_Xtal_BW#'!$A:$Z,16,FALSE)</f>
        <v>62</v>
      </c>
      <c r="Q212" s="1">
        <f>VLOOKUP($B212&amp;"__wt",'SegEnds_Xtal_BW#'!$A:$Z,17,FALSE)</f>
        <v>50</v>
      </c>
      <c r="R212" s="1">
        <f>VLOOKUP($B212&amp;"__wt",'SegEnds_Xtal_BW#'!$A:$Z,18,FALSE)</f>
        <v>52</v>
      </c>
      <c r="S212" s="1">
        <f>VLOOKUP($B212&amp;"__wt",'SegEnds_Xtal_BW#'!$A:$Z,19,FALSE)</f>
        <v>34</v>
      </c>
      <c r="T212" s="1">
        <f t="array" ref="T212">INDEX(ICL3_classA!$G$2:$G$39,MATCH(MIN(ABS(AI212-ICL3_classA!$F$2:$F$39)),ABS(AI212-ICL3_classA!$F$2:$F$39),0))</f>
        <v>72</v>
      </c>
      <c r="U212" s="1">
        <f t="array" ref="U212">INDEX(ICL3_classA!$H$2:$H$39,MATCH(MIN(ABS(AI212-ICL3_classA!$F$2:$F$39)),ABS(AI212-ICL3_classA!$F$2:$F$39),0))</f>
        <v>23</v>
      </c>
      <c r="V212" s="1">
        <v>61</v>
      </c>
      <c r="W212" s="1">
        <v>31</v>
      </c>
      <c r="X212" s="1">
        <f>VLOOKUP($B212&amp;"__wt",'SegEnds_Xtal_BW#'!$A:$Z,24,FALSE)</f>
        <v>56</v>
      </c>
      <c r="Y212" s="1">
        <f>VLOOKUP($B212&amp;"__wt",'SegEnds_Xtal_BW#'!$A:$Z,25,FALSE)</f>
        <v>47</v>
      </c>
      <c r="Z212" s="1">
        <f>VLOOKUP($B212&amp;"__wt",'SegEnds_Xtal_BW#'!$A:$Z,26,FALSE)</f>
        <v>59</v>
      </c>
      <c r="AA212" s="27" t="str">
        <f>VLOOKUP(A212,Classification!A:B,2,FALSE)</f>
        <v>A</v>
      </c>
      <c r="AB212" s="1">
        <f>VLOOKUP(A212,'SegEnds_NonXtal_Prot#'!A:AL,10,FALSE)-VLOOKUP(A212,'SegEnds_NonXtal_Prot#'!A:AL,4,FALSE)</f>
        <v>28</v>
      </c>
      <c r="AC212" s="1">
        <f>VLOOKUP(A212,'SegEnds_NonXtal_Prot#'!A:AL,10,FALSE)-VLOOKUP(A212,'SegEnds_NonXtal_Prot#'!A:AL,7,FALSE)</f>
        <v>15</v>
      </c>
      <c r="AD212" s="1">
        <f>VLOOKUP(A212,'SegEnds_NonXtal_Prot#'!A:AL,13,FALSE)-VLOOKUP(A212,'SegEnds_NonXtal_Prot#'!A:AL,10,FALSE)</f>
        <v>20</v>
      </c>
      <c r="AE212" s="1">
        <f>VLOOKUP(A212,'SegEnds_NonXtal_Prot#'!A:AL,16,FALSE)-VLOOKUP(A212,'SegEnds_NonXtal_Prot#'!A:AL,10,FALSE)</f>
        <v>52</v>
      </c>
      <c r="AF212" s="1">
        <f>VLOOKUP(A212,'SegEnds_NonXtal_Prot#'!A:AL,22,FALSE)-VLOOKUP(A212,'SegEnds_NonXtal_Prot#'!A:AL,19,FALSE)</f>
        <v>19</v>
      </c>
      <c r="AG212" s="1">
        <f>VLOOKUP(A212,'SegEnds_NonXtal_Prot#'!A:AL,28,FALSE)-VLOOKUP(A212,'SegEnds_NonXtal_Prot#'!A:AL,25,FALSE)</f>
        <v>28</v>
      </c>
      <c r="AH212" s="1">
        <f>VLOOKUP(A212,'SegEnds_NonXtal_Prot#'!A:AL,28,FALSE)-VLOOKUP(A212,'SegEnds_NonXtal_Prot#'!A:AL,22,FALSE)</f>
        <v>54</v>
      </c>
      <c r="AI212" s="1">
        <f>VLOOKUP(A212,'SegEnds_NonXtal_Prot#'!A:AL,31,FALSE)-VLOOKUP(A212,'SegEnds_NonXtal_Prot#'!A:AL,28,FALSE)</f>
        <v>52</v>
      </c>
      <c r="AJ212" s="1">
        <f>VLOOKUP(A212,'SegEnds_NonXtal_Prot#'!A:AL,34,FALSE)-VLOOKUP(A212,'SegEnds_NonXtal_Prot#'!A:AL,31,FALSE)</f>
        <v>36</v>
      </c>
      <c r="AK212" s="1">
        <f>VLOOKUP(A212,'SegEnds_NonXtal_Prot#'!A:AL,37,FALSE)-VLOOKUP(A212,'SegEnds_NonXtal_Prot#'!A:AL,34,FALSE)</f>
        <v>10</v>
      </c>
      <c r="AL212" s="1" t="str">
        <f>IF(ISERROR(MATCH(A212,'SegEnds_Xtal_Prot#'!B:B, 0)), "NoXtal", "Xtal")</f>
        <v>Xtal</v>
      </c>
    </row>
    <row r="213" spans="1:38" x14ac:dyDescent="0.2">
      <c r="A213" s="1" t="s">
        <v>338</v>
      </c>
      <c r="B213" s="1" t="str">
        <f>VLOOKUP(A213,Xtal_Templ!A:B,2,FALSE)</f>
        <v>opsd_human</v>
      </c>
      <c r="C213" s="5">
        <f>VLOOKUP($B213&amp;"__wt",'SegEnds_Xtal_BW#'!$A:$Z,3,FALSE)</f>
        <v>29</v>
      </c>
      <c r="D213" s="1">
        <f>VLOOKUP($B213&amp;"__wt",'SegEnds_Xtal_BW#'!$A:$Z,4,FALSE)</f>
        <v>60</v>
      </c>
      <c r="E213" s="1">
        <f>VLOOKUP($B213&amp;"__wt",'SegEnds_Xtal_BW#'!$A:$Z,5,FALSE)</f>
        <v>48</v>
      </c>
      <c r="F213" s="1">
        <f>VLOOKUP($B213&amp;"__wt",'SegEnds_Xtal_BW#'!$A:$Z,6,FALSE)</f>
        <v>51</v>
      </c>
      <c r="G213" s="1">
        <v>37</v>
      </c>
      <c r="H213" s="12">
        <f>VLOOKUP($B213&amp;"__wt",'SegEnds_Xtal_BW#'!$A:$Z,8,FALSE)</f>
        <v>67</v>
      </c>
      <c r="I213" s="1">
        <f>VLOOKUP($B213&amp;"__wt",'SegEnds_Xtal_BW#'!$A:$Z,9,FALSE)</f>
        <v>49</v>
      </c>
      <c r="J213" s="1">
        <f>VLOOKUP($B213&amp;"__wt",'SegEnds_Xtal_BW#'!$A:$Z,10,FALSE)</f>
        <v>52</v>
      </c>
      <c r="K213" s="12">
        <v>18</v>
      </c>
      <c r="L213" s="1">
        <f>VLOOKUP($B213&amp;"__wt",'SegEnds_Xtal_BW#'!$A:$Z,12,FALSE)</f>
        <v>56</v>
      </c>
      <c r="M213" s="1">
        <f>VLOOKUP($B213&amp;"__wt",'SegEnds_Xtal_BW#'!$A:$Z,13,FALSE)</f>
        <v>50</v>
      </c>
      <c r="N213" s="108">
        <f>VLOOKUP($B213&amp;"__wt",'SegEnds_Xtal_BW#'!$A:$Z,14,FALSE)</f>
        <v>56</v>
      </c>
      <c r="O213" s="87">
        <f>VLOOKUP($B213&amp;"__wt",'SegEnds_Xtal_BW#'!$A:$Z,15,FALSE)</f>
        <v>38</v>
      </c>
      <c r="P213" s="1">
        <f>VLOOKUP($B213&amp;"__wt",'SegEnds_Xtal_BW#'!$A:$Z,16,FALSE)</f>
        <v>62</v>
      </c>
      <c r="Q213" s="1">
        <f>VLOOKUP($B213&amp;"__wt",'SegEnds_Xtal_BW#'!$A:$Z,17,FALSE)</f>
        <v>50</v>
      </c>
      <c r="R213" s="1">
        <f>VLOOKUP($B213&amp;"__wt",'SegEnds_Xtal_BW#'!$A:$Z,18,FALSE)</f>
        <v>52</v>
      </c>
      <c r="S213" s="1">
        <f>VLOOKUP($B213&amp;"__wt",'SegEnds_Xtal_BW#'!$A:$Z,19,FALSE)</f>
        <v>34</v>
      </c>
      <c r="T213" s="1">
        <f t="array" ref="T213">INDEX(ICL3_classA!$G$2:$G$39,MATCH(MIN(ABS(AI213-ICL3_classA!$F$2:$F$39)),ABS(AI213-ICL3_classA!$F$2:$F$39),0))</f>
        <v>72</v>
      </c>
      <c r="U213" s="1">
        <f t="array" ref="U213">INDEX(ICL3_classA!$H$2:$H$39,MATCH(MIN(ABS(AI213-ICL3_classA!$F$2:$F$39)),ABS(AI213-ICL3_classA!$F$2:$F$39),0))</f>
        <v>23</v>
      </c>
      <c r="V213" s="1">
        <v>61</v>
      </c>
      <c r="W213" s="1">
        <v>31</v>
      </c>
      <c r="X213" s="1">
        <f>VLOOKUP($B213&amp;"__wt",'SegEnds_Xtal_BW#'!$A:$Z,24,FALSE)</f>
        <v>56</v>
      </c>
      <c r="Y213" s="1">
        <f>VLOOKUP($B213&amp;"__wt",'SegEnds_Xtal_BW#'!$A:$Z,25,FALSE)</f>
        <v>47</v>
      </c>
      <c r="Z213" s="1">
        <f>VLOOKUP($B213&amp;"__wt",'SegEnds_Xtal_BW#'!$A:$Z,26,FALSE)</f>
        <v>59</v>
      </c>
      <c r="AA213" s="27" t="str">
        <f>VLOOKUP(A213,Classification!A:B,2,FALSE)</f>
        <v>A</v>
      </c>
      <c r="AB213" s="1">
        <f>VLOOKUP(A213,'SegEnds_NonXtal_Prot#'!A:AL,10,FALSE)-VLOOKUP(A213,'SegEnds_NonXtal_Prot#'!A:AL,4,FALSE)</f>
        <v>28</v>
      </c>
      <c r="AC213" s="1">
        <f>VLOOKUP(A213,'SegEnds_NonXtal_Prot#'!A:AL,10,FALSE)-VLOOKUP(A213,'SegEnds_NonXtal_Prot#'!A:AL,7,FALSE)</f>
        <v>15</v>
      </c>
      <c r="AD213" s="1">
        <f>VLOOKUP(A213,'SegEnds_NonXtal_Prot#'!A:AL,13,FALSE)-VLOOKUP(A213,'SegEnds_NonXtal_Prot#'!A:AL,10,FALSE)</f>
        <v>20</v>
      </c>
      <c r="AE213" s="1">
        <f>VLOOKUP(A213,'SegEnds_NonXtal_Prot#'!A:AL,16,FALSE)-VLOOKUP(A213,'SegEnds_NonXtal_Prot#'!A:AL,10,FALSE)</f>
        <v>52</v>
      </c>
      <c r="AF213" s="1">
        <f>VLOOKUP(A213,'SegEnds_NonXtal_Prot#'!A:AL,22,FALSE)-VLOOKUP(A213,'SegEnds_NonXtal_Prot#'!A:AL,19,FALSE)</f>
        <v>19</v>
      </c>
      <c r="AG213" s="1">
        <f>VLOOKUP(A213,'SegEnds_NonXtal_Prot#'!A:AL,28,FALSE)-VLOOKUP(A213,'SegEnds_NonXtal_Prot#'!A:AL,25,FALSE)</f>
        <v>28</v>
      </c>
      <c r="AH213" s="1">
        <f>VLOOKUP(A213,'SegEnds_NonXtal_Prot#'!A:AL,28,FALSE)-VLOOKUP(A213,'SegEnds_NonXtal_Prot#'!A:AL,22,FALSE)</f>
        <v>54</v>
      </c>
      <c r="AI213" s="1">
        <f>VLOOKUP(A213,'SegEnds_NonXtal_Prot#'!A:AL,31,FALSE)-VLOOKUP(A213,'SegEnds_NonXtal_Prot#'!A:AL,28,FALSE)</f>
        <v>52</v>
      </c>
      <c r="AJ213" s="1">
        <f>VLOOKUP(A213,'SegEnds_NonXtal_Prot#'!A:AL,34,FALSE)-VLOOKUP(A213,'SegEnds_NonXtal_Prot#'!A:AL,31,FALSE)</f>
        <v>36</v>
      </c>
      <c r="AK213" s="1">
        <f>VLOOKUP(A213,'SegEnds_NonXtal_Prot#'!A:AL,37,FALSE)-VLOOKUP(A213,'SegEnds_NonXtal_Prot#'!A:AL,34,FALSE)</f>
        <v>10</v>
      </c>
      <c r="AL213" s="1" t="str">
        <f>IF(ISERROR(MATCH(A213,'SegEnds_Xtal_Prot#'!B:B, 0)), "NoXtal", "Xtal")</f>
        <v>Xtal</v>
      </c>
    </row>
    <row r="214" spans="1:38" x14ac:dyDescent="0.2">
      <c r="A214" s="1" t="s">
        <v>339</v>
      </c>
      <c r="B214" s="1" t="str">
        <f>VLOOKUP(A214,Xtal_Templ!A:B,2,FALSE)</f>
        <v>opsd_human</v>
      </c>
      <c r="C214" s="5">
        <f>VLOOKUP($B214&amp;"__wt",'SegEnds_Xtal_BW#'!$A:$Z,3,FALSE)</f>
        <v>29</v>
      </c>
      <c r="D214" s="1">
        <f>VLOOKUP($B214&amp;"__wt",'SegEnds_Xtal_BW#'!$A:$Z,4,FALSE)</f>
        <v>60</v>
      </c>
      <c r="E214" s="1">
        <f>VLOOKUP($B214&amp;"__wt",'SegEnds_Xtal_BW#'!$A:$Z,5,FALSE)</f>
        <v>48</v>
      </c>
      <c r="F214" s="1">
        <f>VLOOKUP($B214&amp;"__wt",'SegEnds_Xtal_BW#'!$A:$Z,6,FALSE)</f>
        <v>51</v>
      </c>
      <c r="G214" s="1">
        <v>37</v>
      </c>
      <c r="H214" s="12">
        <f>VLOOKUP($B214&amp;"__wt",'SegEnds_Xtal_BW#'!$A:$Z,8,FALSE)</f>
        <v>67</v>
      </c>
      <c r="I214" s="1">
        <f>VLOOKUP($B214&amp;"__wt",'SegEnds_Xtal_BW#'!$A:$Z,9,FALSE)</f>
        <v>49</v>
      </c>
      <c r="J214" s="1">
        <f>VLOOKUP($B214&amp;"__wt",'SegEnds_Xtal_BW#'!$A:$Z,10,FALSE)</f>
        <v>52</v>
      </c>
      <c r="K214" s="12">
        <v>18</v>
      </c>
      <c r="L214" s="1">
        <f>VLOOKUP($B214&amp;"__wt",'SegEnds_Xtal_BW#'!$A:$Z,12,FALSE)</f>
        <v>56</v>
      </c>
      <c r="M214" s="1">
        <f>VLOOKUP($B214&amp;"__wt",'SegEnds_Xtal_BW#'!$A:$Z,13,FALSE)</f>
        <v>50</v>
      </c>
      <c r="N214" s="12">
        <f>VLOOKUP($B214&amp;"__wt",'SegEnds_Xtal_BW#'!$A:$Z,14,FALSE)</f>
        <v>56</v>
      </c>
      <c r="O214" s="87">
        <f>VLOOKUP($B214&amp;"__wt",'SegEnds_Xtal_BW#'!$A:$Z,15,FALSE)</f>
        <v>38</v>
      </c>
      <c r="P214" s="1">
        <f>VLOOKUP($B214&amp;"__wt",'SegEnds_Xtal_BW#'!$A:$Z,16,FALSE)</f>
        <v>62</v>
      </c>
      <c r="Q214" s="1">
        <f>VLOOKUP($B214&amp;"__wt",'SegEnds_Xtal_BW#'!$A:$Z,17,FALSE)</f>
        <v>50</v>
      </c>
      <c r="R214" s="1">
        <f>VLOOKUP($B214&amp;"__wt",'SegEnds_Xtal_BW#'!$A:$Z,18,FALSE)</f>
        <v>52</v>
      </c>
      <c r="S214" s="1">
        <f>VLOOKUP($B214&amp;"__wt",'SegEnds_Xtal_BW#'!$A:$Z,19,FALSE)</f>
        <v>34</v>
      </c>
      <c r="T214" s="1">
        <f t="array" ref="T214">INDEX(ICL3_classA!$G$2:$G$39,MATCH(MIN(ABS(AI214-ICL3_classA!$F$2:$F$39)),ABS(AI214-ICL3_classA!$F$2:$F$39),0))</f>
        <v>72</v>
      </c>
      <c r="U214" s="1">
        <f t="array" ref="U214">INDEX(ICL3_classA!$H$2:$H$39,MATCH(MIN(ABS(AI214-ICL3_classA!$F$2:$F$39)),ABS(AI214-ICL3_classA!$F$2:$F$39),0))</f>
        <v>23</v>
      </c>
      <c r="V214" s="1">
        <v>61</v>
      </c>
      <c r="W214" s="1">
        <v>31</v>
      </c>
      <c r="X214" s="1">
        <f>VLOOKUP($B214&amp;"__wt",'SegEnds_Xtal_BW#'!$A:$Z,24,FALSE)</f>
        <v>56</v>
      </c>
      <c r="Y214" s="1">
        <f>VLOOKUP($B214&amp;"__wt",'SegEnds_Xtal_BW#'!$A:$Z,25,FALSE)</f>
        <v>47</v>
      </c>
      <c r="Z214" s="1">
        <f>VLOOKUP($B214&amp;"__wt",'SegEnds_Xtal_BW#'!$A:$Z,26,FALSE)</f>
        <v>59</v>
      </c>
      <c r="AA214" s="27" t="str">
        <f>VLOOKUP(A214,Classification!A:B,2,FALSE)</f>
        <v>A</v>
      </c>
      <c r="AB214" s="1">
        <f>VLOOKUP(A214,'SegEnds_NonXtal_Prot#'!A:AL,10,FALSE)-VLOOKUP(A214,'SegEnds_NonXtal_Prot#'!A:AL,4,FALSE)</f>
        <v>28</v>
      </c>
      <c r="AC214" s="1">
        <f>VLOOKUP(A214,'SegEnds_NonXtal_Prot#'!A:AL,10,FALSE)-VLOOKUP(A214,'SegEnds_NonXtal_Prot#'!A:AL,7,FALSE)</f>
        <v>15</v>
      </c>
      <c r="AD214" s="1">
        <f>VLOOKUP(A214,'SegEnds_NonXtal_Prot#'!A:AL,13,FALSE)-VLOOKUP(A214,'SegEnds_NonXtal_Prot#'!A:AL,10,FALSE)</f>
        <v>20</v>
      </c>
      <c r="AE214" s="1">
        <f>VLOOKUP(A214,'SegEnds_NonXtal_Prot#'!A:AL,16,FALSE)-VLOOKUP(A214,'SegEnds_NonXtal_Prot#'!A:AL,10,FALSE)</f>
        <v>52</v>
      </c>
      <c r="AF214" s="1">
        <f>VLOOKUP(A214,'SegEnds_NonXtal_Prot#'!A:AL,22,FALSE)-VLOOKUP(A214,'SegEnds_NonXtal_Prot#'!A:AL,19,FALSE)</f>
        <v>19</v>
      </c>
      <c r="AG214" s="1">
        <f>VLOOKUP(A214,'SegEnds_NonXtal_Prot#'!A:AL,28,FALSE)-VLOOKUP(A214,'SegEnds_NonXtal_Prot#'!A:AL,25,FALSE)</f>
        <v>28</v>
      </c>
      <c r="AH214" s="1">
        <f>VLOOKUP(A214,'SegEnds_NonXtal_Prot#'!A:AL,28,FALSE)-VLOOKUP(A214,'SegEnds_NonXtal_Prot#'!A:AL,22,FALSE)</f>
        <v>54</v>
      </c>
      <c r="AI214" s="1">
        <f>VLOOKUP(A214,'SegEnds_NonXtal_Prot#'!A:AL,31,FALSE)-VLOOKUP(A214,'SegEnds_NonXtal_Prot#'!A:AL,28,FALSE)</f>
        <v>52</v>
      </c>
      <c r="AJ214" s="1">
        <f>VLOOKUP(A214,'SegEnds_NonXtal_Prot#'!A:AL,34,FALSE)-VLOOKUP(A214,'SegEnds_NonXtal_Prot#'!A:AL,31,FALSE)</f>
        <v>36</v>
      </c>
      <c r="AK214" s="1">
        <f>VLOOKUP(A214,'SegEnds_NonXtal_Prot#'!A:AL,37,FALSE)-VLOOKUP(A214,'SegEnds_NonXtal_Prot#'!A:AL,34,FALSE)</f>
        <v>10</v>
      </c>
      <c r="AL214" s="1" t="str">
        <f>IF(ISERROR(MATCH(A214,'SegEnds_Xtal_Prot#'!B:B, 0)), "NoXtal", "Xtal")</f>
        <v>NoXtal</v>
      </c>
    </row>
    <row r="215" spans="1:38" x14ac:dyDescent="0.2">
      <c r="A215" s="1" t="s">
        <v>340</v>
      </c>
      <c r="B215" s="1" t="str">
        <f>VLOOKUP(A215,Xtal_Templ!A:B,2,FALSE)</f>
        <v>opsd_human</v>
      </c>
      <c r="C215" s="5">
        <f>VLOOKUP($B215&amp;"__wt",'SegEnds_Xtal_BW#'!$A:$Z,3,FALSE)</f>
        <v>29</v>
      </c>
      <c r="D215" s="1">
        <f>VLOOKUP($B215&amp;"__wt",'SegEnds_Xtal_BW#'!$A:$Z,4,FALSE)</f>
        <v>60</v>
      </c>
      <c r="E215" s="1">
        <f>VLOOKUP($B215&amp;"__wt",'SegEnds_Xtal_BW#'!$A:$Z,5,FALSE)</f>
        <v>48</v>
      </c>
      <c r="F215" s="1">
        <f>VLOOKUP($B215&amp;"__wt",'SegEnds_Xtal_BW#'!$A:$Z,6,FALSE)</f>
        <v>51</v>
      </c>
      <c r="G215" s="1">
        <v>37</v>
      </c>
      <c r="H215" s="12">
        <f>VLOOKUP($B215&amp;"__wt",'SegEnds_Xtal_BW#'!$A:$Z,8,FALSE)</f>
        <v>67</v>
      </c>
      <c r="I215" s="1">
        <f>VLOOKUP($B215&amp;"__wt",'SegEnds_Xtal_BW#'!$A:$Z,9,FALSE)</f>
        <v>49</v>
      </c>
      <c r="J215" s="1">
        <f>VLOOKUP($B215&amp;"__wt",'SegEnds_Xtal_BW#'!$A:$Z,10,FALSE)</f>
        <v>52</v>
      </c>
      <c r="K215" s="12">
        <v>18</v>
      </c>
      <c r="L215" s="1">
        <f>VLOOKUP($B215&amp;"__wt",'SegEnds_Xtal_BW#'!$A:$Z,12,FALSE)</f>
        <v>56</v>
      </c>
      <c r="M215" s="1">
        <f>VLOOKUP($B215&amp;"__wt",'SegEnds_Xtal_BW#'!$A:$Z,13,FALSE)</f>
        <v>50</v>
      </c>
      <c r="N215" s="12">
        <f>VLOOKUP($B215&amp;"__wt",'SegEnds_Xtal_BW#'!$A:$Z,14,FALSE)</f>
        <v>56</v>
      </c>
      <c r="O215" s="87">
        <f>VLOOKUP($B215&amp;"__wt",'SegEnds_Xtal_BW#'!$A:$Z,15,FALSE)</f>
        <v>38</v>
      </c>
      <c r="P215" s="1">
        <f>VLOOKUP($B215&amp;"__wt",'SegEnds_Xtal_BW#'!$A:$Z,16,FALSE)</f>
        <v>62</v>
      </c>
      <c r="Q215" s="1">
        <f>VLOOKUP($B215&amp;"__wt",'SegEnds_Xtal_BW#'!$A:$Z,17,FALSE)</f>
        <v>50</v>
      </c>
      <c r="R215" s="1">
        <f>VLOOKUP($B215&amp;"__wt",'SegEnds_Xtal_BW#'!$A:$Z,18,FALSE)</f>
        <v>52</v>
      </c>
      <c r="S215" s="1">
        <f>VLOOKUP($B215&amp;"__wt",'SegEnds_Xtal_BW#'!$A:$Z,19,FALSE)</f>
        <v>34</v>
      </c>
      <c r="T215" s="1">
        <f t="array" ref="T215">INDEX(ICL3_classA!$G$2:$G$39,MATCH(MIN(ABS(AI215-ICL3_classA!$F$2:$F$39)),ABS(AI215-ICL3_classA!$F$2:$F$39),0))</f>
        <v>72</v>
      </c>
      <c r="U215" s="1">
        <f t="array" ref="U215">INDEX(ICL3_classA!$H$2:$H$39,MATCH(MIN(ABS(AI215-ICL3_classA!$F$2:$F$39)),ABS(AI215-ICL3_classA!$F$2:$F$39),0))</f>
        <v>23</v>
      </c>
      <c r="V215" s="1">
        <v>61</v>
      </c>
      <c r="W215" s="1">
        <v>31</v>
      </c>
      <c r="X215" s="1">
        <f>VLOOKUP($B215&amp;"__wt",'SegEnds_Xtal_BW#'!$A:$Z,24,FALSE)</f>
        <v>56</v>
      </c>
      <c r="Y215" s="1">
        <f>VLOOKUP($B215&amp;"__wt",'SegEnds_Xtal_BW#'!$A:$Z,25,FALSE)</f>
        <v>47</v>
      </c>
      <c r="Z215" s="1">
        <f>VLOOKUP($B215&amp;"__wt",'SegEnds_Xtal_BW#'!$A:$Z,26,FALSE)</f>
        <v>59</v>
      </c>
      <c r="AA215" s="27" t="str">
        <f>VLOOKUP(A215,Classification!A:B,2,FALSE)</f>
        <v>A</v>
      </c>
      <c r="AB215" s="1">
        <f>VLOOKUP(A215,'SegEnds_NonXtal_Prot#'!A:AL,10,FALSE)-VLOOKUP(A215,'SegEnds_NonXtal_Prot#'!A:AL,4,FALSE)</f>
        <v>28</v>
      </c>
      <c r="AC215" s="1">
        <f>VLOOKUP(A215,'SegEnds_NonXtal_Prot#'!A:AL,10,FALSE)-VLOOKUP(A215,'SegEnds_NonXtal_Prot#'!A:AL,7,FALSE)</f>
        <v>15</v>
      </c>
      <c r="AD215" s="1">
        <f>VLOOKUP(A215,'SegEnds_NonXtal_Prot#'!A:AL,13,FALSE)-VLOOKUP(A215,'SegEnds_NonXtal_Prot#'!A:AL,10,FALSE)</f>
        <v>19</v>
      </c>
      <c r="AE215" s="1">
        <f>VLOOKUP(A215,'SegEnds_NonXtal_Prot#'!A:AL,16,FALSE)-VLOOKUP(A215,'SegEnds_NonXtal_Prot#'!A:AL,10,FALSE)</f>
        <v>52</v>
      </c>
      <c r="AF215" s="1">
        <f>VLOOKUP(A215,'SegEnds_NonXtal_Prot#'!A:AL,22,FALSE)-VLOOKUP(A215,'SegEnds_NonXtal_Prot#'!A:AL,19,FALSE)</f>
        <v>19</v>
      </c>
      <c r="AG215" s="1">
        <f>VLOOKUP(A215,'SegEnds_NonXtal_Prot#'!A:AL,28,FALSE)-VLOOKUP(A215,'SegEnds_NonXtal_Prot#'!A:AL,25,FALSE)</f>
        <v>28</v>
      </c>
      <c r="AH215" s="1">
        <f>VLOOKUP(A215,'SegEnds_NonXtal_Prot#'!A:AL,28,FALSE)-VLOOKUP(A215,'SegEnds_NonXtal_Prot#'!A:AL,22,FALSE)</f>
        <v>54</v>
      </c>
      <c r="AI215" s="1">
        <f>VLOOKUP(A215,'SegEnds_NonXtal_Prot#'!A:AL,31,FALSE)-VLOOKUP(A215,'SegEnds_NonXtal_Prot#'!A:AL,28,FALSE)</f>
        <v>52</v>
      </c>
      <c r="AJ215" s="1">
        <f>VLOOKUP(A215,'SegEnds_NonXtal_Prot#'!A:AL,34,FALSE)-VLOOKUP(A215,'SegEnds_NonXtal_Prot#'!A:AL,31,FALSE)</f>
        <v>36</v>
      </c>
      <c r="AK215" s="1">
        <f>VLOOKUP(A215,'SegEnds_NonXtal_Prot#'!A:AL,37,FALSE)-VLOOKUP(A215,'SegEnds_NonXtal_Prot#'!A:AL,34,FALSE)</f>
        <v>10</v>
      </c>
      <c r="AL215" s="1" t="str">
        <f>IF(ISERROR(MATCH(A215,'SegEnds_Xtal_Prot#'!B:B, 0)), "NoXtal", "Xtal")</f>
        <v>NoXtal</v>
      </c>
    </row>
    <row r="216" spans="1:38" x14ac:dyDescent="0.2">
      <c r="A216" s="1" t="s">
        <v>360</v>
      </c>
      <c r="B216" s="1" t="str">
        <f>VLOOKUP(A216,Xtal_Templ!A:B,2,FALSE)</f>
        <v>ta2r_human</v>
      </c>
      <c r="C216" s="5">
        <f>VLOOKUP($B216&amp;"__wt",'SegEnds_Xtal_BW#'!$A:$Z,3,FALSE)</f>
        <v>35</v>
      </c>
      <c r="D216" s="108">
        <v>61</v>
      </c>
      <c r="E216" s="1" t="str">
        <f>VLOOKUP($B216&amp;"__wt",'SegEnds_Xtal_BW#'!$A:$Z,5,FALSE)</f>
        <v>-</v>
      </c>
      <c r="F216" s="1" t="str">
        <f>VLOOKUP($B216&amp;"__wt",'SegEnds_Xtal_BW#'!$A:$Z,6,FALSE)</f>
        <v>-</v>
      </c>
      <c r="G216" s="1">
        <v>37</v>
      </c>
      <c r="H216" s="12">
        <v>66</v>
      </c>
      <c r="I216" s="1">
        <f>VLOOKUP($B216&amp;"__wt",'SegEnds_Xtal_BW#'!$A:$Z,9,FALSE)</f>
        <v>49</v>
      </c>
      <c r="J216" s="1">
        <f>VLOOKUP($B216&amp;"__wt",'SegEnds_Xtal_BW#'!$A:$Z,10,FALSE)</f>
        <v>53</v>
      </c>
      <c r="K216" s="12">
        <v>21</v>
      </c>
      <c r="L216" s="1">
        <f>VLOOKUP($B216&amp;"__wt",'SegEnds_Xtal_BW#'!$A:$Z,12,FALSE)</f>
        <v>56</v>
      </c>
      <c r="M216" s="1">
        <f>VLOOKUP($B216&amp;"__wt",'SegEnds_Xtal_BW#'!$A:$Z,13,FALSE)</f>
        <v>50</v>
      </c>
      <c r="N216" s="12">
        <v>57</v>
      </c>
      <c r="O216" s="87">
        <f>VLOOKUP($B216&amp;"__wt",'SegEnds_Xtal_BW#'!$A:$Z,15,FALSE)</f>
        <v>38</v>
      </c>
      <c r="P216" s="1">
        <f>VLOOKUP($B216&amp;"__wt",'SegEnds_Xtal_BW#'!$A:$Z,16,FALSE)</f>
        <v>63</v>
      </c>
      <c r="Q216" s="108">
        <v>50</v>
      </c>
      <c r="R216" s="108">
        <v>52</v>
      </c>
      <c r="S216" s="108">
        <v>31</v>
      </c>
      <c r="T216" s="1">
        <f t="array" ref="T216">INDEX(ICL3_classA!$G$2:$G$39,MATCH(MIN(ABS(AI216-ICL3_classA!$F$2:$F$39)),ABS(AI216-ICL3_classA!$F$2:$F$39),0))</f>
        <v>74</v>
      </c>
      <c r="U216" s="1">
        <f t="array" ref="U216">INDEX(ICL3_classA!$H$2:$H$39,MATCH(MIN(ABS(AI216-ICL3_classA!$F$2:$F$39)),ABS(AI216-ICL3_classA!$F$2:$F$39),0))</f>
        <v>24</v>
      </c>
      <c r="V216" s="1">
        <v>61</v>
      </c>
      <c r="W216" s="1">
        <v>31</v>
      </c>
      <c r="X216" s="1">
        <f>VLOOKUP($B216&amp;"__wt",'SegEnds_Xtal_BW#'!$A:$Z,24,FALSE)</f>
        <v>56</v>
      </c>
      <c r="Y216" s="1">
        <f>VLOOKUP($B216&amp;"__wt",'SegEnds_Xtal_BW#'!$A:$Z,25,FALSE)</f>
        <v>47</v>
      </c>
      <c r="Z216" s="1">
        <f>VLOOKUP($B216&amp;"__wt",'SegEnds_Xtal_BW#'!$A:$Z,26,FALSE)</f>
        <v>66</v>
      </c>
      <c r="AA216" s="27" t="str">
        <f>VLOOKUP(A216,Classification!A:B,2,FALSE)</f>
        <v>A</v>
      </c>
      <c r="AB216" s="1">
        <f>VLOOKUP(A216,'SegEnds_NonXtal_Prot#'!A:AL,10,FALSE)-VLOOKUP(A216,'SegEnds_NonXtal_Prot#'!A:AL,4,FALSE)</f>
        <v>34</v>
      </c>
      <c r="AC216" s="1">
        <f>VLOOKUP(A216,'SegEnds_NonXtal_Prot#'!A:AL,10,FALSE)-VLOOKUP(A216,'SegEnds_NonXtal_Prot#'!A:AL,7,FALSE)</f>
        <v>20</v>
      </c>
      <c r="AD216" s="1">
        <f>VLOOKUP(A216,'SegEnds_NonXtal_Prot#'!A:AL,13,FALSE)-VLOOKUP(A216,'SegEnds_NonXtal_Prot#'!A:AL,10,FALSE)</f>
        <v>20</v>
      </c>
      <c r="AE216" s="1">
        <f>VLOOKUP(A216,'SegEnds_NonXtal_Prot#'!A:AL,16,FALSE)-VLOOKUP(A216,'SegEnds_NonXtal_Prot#'!A:AL,10,FALSE)</f>
        <v>51</v>
      </c>
      <c r="AF216" s="1">
        <f>VLOOKUP(A216,'SegEnds_NonXtal_Prot#'!A:AL,22,FALSE)-VLOOKUP(A216,'SegEnds_NonXtal_Prot#'!A:AL,19,FALSE)</f>
        <v>20</v>
      </c>
      <c r="AG216" s="1">
        <f>VLOOKUP(A216,'SegEnds_NonXtal_Prot#'!A:AL,28,FALSE)-VLOOKUP(A216,'SegEnds_NonXtal_Prot#'!A:AL,25,FALSE)</f>
        <v>28</v>
      </c>
      <c r="AH216" s="1">
        <f>VLOOKUP(A216,'SegEnds_NonXtal_Prot#'!A:AL,28,FALSE)-VLOOKUP(A216,'SegEnds_NonXtal_Prot#'!A:AL,22,FALSE)</f>
        <v>54</v>
      </c>
      <c r="AI216" s="1">
        <f>VLOOKUP(A216,'SegEnds_NonXtal_Prot#'!A:AL,31,FALSE)-VLOOKUP(A216,'SegEnds_NonXtal_Prot#'!A:AL,28,FALSE)</f>
        <v>96</v>
      </c>
      <c r="AJ216" s="1">
        <f>VLOOKUP(A216,'SegEnds_NonXtal_Prot#'!A:AL,34,FALSE)-VLOOKUP(A216,'SegEnds_NonXtal_Prot#'!A:AL,31,FALSE)</f>
        <v>36</v>
      </c>
      <c r="AK216" s="1">
        <f>VLOOKUP(A216,'SegEnds_NonXtal_Prot#'!A:AL,37,FALSE)-VLOOKUP(A216,'SegEnds_NonXtal_Prot#'!A:AL,34,FALSE)</f>
        <v>10</v>
      </c>
      <c r="AL216" s="1" t="str">
        <f>IF(ISERROR(MATCH(A216,'SegEnds_Xtal_Prot#'!B:B, 0)), "NoXtal", "Xtal")</f>
        <v>NoXtal</v>
      </c>
    </row>
    <row r="217" spans="1:38" x14ac:dyDescent="0.2">
      <c r="A217" s="1" t="s">
        <v>364</v>
      </c>
      <c r="B217" s="1" t="str">
        <f>VLOOKUP(A217,Xtal_Templ!A:B,2,FALSE)</f>
        <v>ta2r_human</v>
      </c>
      <c r="C217" s="5">
        <f>VLOOKUP($B217&amp;"__wt",'SegEnds_Xtal_BW#'!$A:$Z,3,FALSE)</f>
        <v>35</v>
      </c>
      <c r="D217" s="108">
        <v>61</v>
      </c>
      <c r="E217" s="1" t="str">
        <f>VLOOKUP($B217&amp;"__wt",'SegEnds_Xtal_BW#'!$A:$Z,5,FALSE)</f>
        <v>-</v>
      </c>
      <c r="F217" s="1" t="str">
        <f>VLOOKUP($B217&amp;"__wt",'SegEnds_Xtal_BW#'!$A:$Z,6,FALSE)</f>
        <v>-</v>
      </c>
      <c r="G217" s="1">
        <v>37</v>
      </c>
      <c r="H217" s="12">
        <f>VLOOKUP($B217&amp;"__wt",'SegEnds_Xtal_BW#'!$A:$Z,8,FALSE)</f>
        <v>67</v>
      </c>
      <c r="I217" s="1">
        <f>VLOOKUP($B217&amp;"__wt",'SegEnds_Xtal_BW#'!$A:$Z,9,FALSE)</f>
        <v>49</v>
      </c>
      <c r="J217" s="1">
        <f>VLOOKUP($B217&amp;"__wt",'SegEnds_Xtal_BW#'!$A:$Z,10,FALSE)</f>
        <v>53</v>
      </c>
      <c r="K217" s="12">
        <v>18</v>
      </c>
      <c r="L217" s="1">
        <f>VLOOKUP($B217&amp;"__wt",'SegEnds_Xtal_BW#'!$A:$Z,12,FALSE)</f>
        <v>56</v>
      </c>
      <c r="M217" s="1">
        <f>VLOOKUP($B217&amp;"__wt",'SegEnds_Xtal_BW#'!$A:$Z,13,FALSE)</f>
        <v>50</v>
      </c>
      <c r="N217" s="12">
        <v>57</v>
      </c>
      <c r="O217" s="87">
        <f>VLOOKUP($B217&amp;"__wt",'SegEnds_Xtal_BW#'!$A:$Z,15,FALSE)</f>
        <v>38</v>
      </c>
      <c r="P217" s="1">
        <f>VLOOKUP($B217&amp;"__wt",'SegEnds_Xtal_BW#'!$A:$Z,16,FALSE)</f>
        <v>63</v>
      </c>
      <c r="Q217" s="108">
        <v>50</v>
      </c>
      <c r="R217" s="108">
        <v>52</v>
      </c>
      <c r="S217" s="1">
        <v>35</v>
      </c>
      <c r="T217" s="1">
        <f t="array" ref="T217">INDEX(ICL3_classA!$G$2:$G$39,MATCH(MIN(ABS(AI217-ICL3_classA!$F$2:$F$39)),ABS(AI217-ICL3_classA!$F$2:$F$39),0))</f>
        <v>72</v>
      </c>
      <c r="U217" s="1">
        <f t="array" ref="U217">INDEX(ICL3_classA!$H$2:$H$39,MATCH(MIN(ABS(AI217-ICL3_classA!$F$2:$F$39)),ABS(AI217-ICL3_classA!$F$2:$F$39),0))</f>
        <v>29</v>
      </c>
      <c r="V217" s="1">
        <v>61</v>
      </c>
      <c r="W217" s="1">
        <v>31</v>
      </c>
      <c r="X217" s="108">
        <v>56</v>
      </c>
      <c r="Y217" s="108">
        <v>47</v>
      </c>
      <c r="Z217" s="1">
        <f>VLOOKUP($B217&amp;"__wt",'SegEnds_Xtal_BW#'!$A:$Z,26,FALSE)</f>
        <v>66</v>
      </c>
      <c r="AA217" s="27" t="str">
        <f>VLOOKUP(A217,Classification!A:B,2,FALSE)</f>
        <v>A</v>
      </c>
      <c r="AB217" s="1">
        <f>VLOOKUP(A217,'SegEnds_NonXtal_Prot#'!A:AL,10,FALSE)-VLOOKUP(A217,'SegEnds_NonXtal_Prot#'!A:AL,4,FALSE)</f>
        <v>33</v>
      </c>
      <c r="AC217" s="1">
        <f>VLOOKUP(A217,'SegEnds_NonXtal_Prot#'!A:AL,10,FALSE)-VLOOKUP(A217,'SegEnds_NonXtal_Prot#'!A:AL,7,FALSE)</f>
        <v>19</v>
      </c>
      <c r="AD217" s="1">
        <f>VLOOKUP(A217,'SegEnds_NonXtal_Prot#'!A:AL,13,FALSE)-VLOOKUP(A217,'SegEnds_NonXtal_Prot#'!A:AL,10,FALSE)</f>
        <v>21</v>
      </c>
      <c r="AE217" s="1">
        <f>VLOOKUP(A217,'SegEnds_NonXtal_Prot#'!A:AL,16,FALSE)-VLOOKUP(A217,'SegEnds_NonXtal_Prot#'!A:AL,10,FALSE)</f>
        <v>56</v>
      </c>
      <c r="AF217" s="1">
        <f>VLOOKUP(A217,'SegEnds_NonXtal_Prot#'!A:AL,22,FALSE)-VLOOKUP(A217,'SegEnds_NonXtal_Prot#'!A:AL,19,FALSE)</f>
        <v>20</v>
      </c>
      <c r="AG217" s="1">
        <f>VLOOKUP(A217,'SegEnds_NonXtal_Prot#'!A:AL,28,FALSE)-VLOOKUP(A217,'SegEnds_NonXtal_Prot#'!A:AL,25,FALSE)</f>
        <v>28</v>
      </c>
      <c r="AH217" s="1">
        <f>VLOOKUP(A217,'SegEnds_NonXtal_Prot#'!A:AL,28,FALSE)-VLOOKUP(A217,'SegEnds_NonXtal_Prot#'!A:AL,22,FALSE)</f>
        <v>54</v>
      </c>
      <c r="AI217" s="1">
        <f>VLOOKUP(A217,'SegEnds_NonXtal_Prot#'!A:AL,31,FALSE)-VLOOKUP(A217,'SegEnds_NonXtal_Prot#'!A:AL,28,FALSE)</f>
        <v>50</v>
      </c>
      <c r="AJ217" s="1">
        <f>VLOOKUP(A217,'SegEnds_NonXtal_Prot#'!A:AL,34,FALSE)-VLOOKUP(A217,'SegEnds_NonXtal_Prot#'!A:AL,31,FALSE)</f>
        <v>37</v>
      </c>
      <c r="AK217" s="1">
        <f>VLOOKUP(A217,'SegEnds_NonXtal_Prot#'!A:AL,37,FALSE)-VLOOKUP(A217,'SegEnds_NonXtal_Prot#'!A:AL,34,FALSE)</f>
        <v>10</v>
      </c>
      <c r="AL217" s="1" t="str">
        <f>IF(ISERROR(MATCH(A217,'SegEnds_Xtal_Prot#'!B:B, 0)), "NoXtal", "Xtal")</f>
        <v>NoXtal</v>
      </c>
    </row>
    <row r="218" spans="1:38" x14ac:dyDescent="0.2">
      <c r="A218" s="1" t="s">
        <v>386</v>
      </c>
      <c r="B218" s="1" t="str">
        <f>VLOOKUP(A218,Xtal_Templ!A:B,2,FALSE)</f>
        <v>drd2_human</v>
      </c>
      <c r="C218" s="5">
        <f>VLOOKUP($B218&amp;"__wt",'SegEnds_Xtal_BW#'!$A:$Z,3,FALSE)</f>
        <v>29</v>
      </c>
      <c r="D218" s="1">
        <f>VLOOKUP($B218&amp;"__wt",'SegEnds_Xtal_BW#'!$A:$Z,4,FALSE)</f>
        <v>60</v>
      </c>
      <c r="E218" s="1">
        <f>VLOOKUP($B218&amp;"__wt",'SegEnds_Xtal_BW#'!$A:$Z,5,FALSE)</f>
        <v>48</v>
      </c>
      <c r="F218" s="1">
        <f>VLOOKUP($B218&amp;"__wt",'SegEnds_Xtal_BW#'!$A:$Z,6,FALSE)</f>
        <v>51</v>
      </c>
      <c r="G218" s="1">
        <v>37</v>
      </c>
      <c r="H218" s="12">
        <f>VLOOKUP($B218&amp;"__wt",'SegEnds_Xtal_BW#'!$A:$Z,8,FALSE)</f>
        <v>68</v>
      </c>
      <c r="I218" s="1">
        <f>VLOOKUP($B218&amp;"__wt",'SegEnds_Xtal_BW#'!$A:$Z,9,FALSE)</f>
        <v>49</v>
      </c>
      <c r="J218" s="1">
        <f>VLOOKUP($B218&amp;"__wt",'SegEnds_Xtal_BW#'!$A:$Z,10,FALSE)</f>
        <v>52</v>
      </c>
      <c r="K218" s="12">
        <v>18</v>
      </c>
      <c r="L218" s="1">
        <f>VLOOKUP($B218&amp;"__wt",'SegEnds_Xtal_BW#'!$A:$Z,12,FALSE)</f>
        <v>56</v>
      </c>
      <c r="M218" s="1">
        <f>VLOOKUP($B218&amp;"__wt",'SegEnds_Xtal_BW#'!$A:$Z,13,FALSE)</f>
        <v>50</v>
      </c>
      <c r="N218" s="12">
        <v>57</v>
      </c>
      <c r="O218" s="87">
        <v>38</v>
      </c>
      <c r="P218" s="1">
        <f>VLOOKUP($B218&amp;"__wt",'SegEnds_Xtal_BW#'!$A:$Z,16,FALSE)</f>
        <v>62</v>
      </c>
      <c r="Q218" s="1">
        <f>VLOOKUP($B218&amp;"__wt",'SegEnds_Xtal_BW#'!$A:$Z,17,FALSE)</f>
        <v>50</v>
      </c>
      <c r="R218" s="1">
        <f>VLOOKUP($B218&amp;"__wt",'SegEnds_Xtal_BW#'!$A:$Z,18,FALSE)</f>
        <v>52</v>
      </c>
      <c r="S218" s="1">
        <v>35</v>
      </c>
      <c r="T218" s="1">
        <f t="array" ref="T218">INDEX(ICL3_classA!$G$2:$G$39,MATCH(MIN(ABS(AI218-ICL3_classA!$F$2:$F$39)),ABS(AI218-ICL3_classA!$F$2:$F$39),0))</f>
        <v>74</v>
      </c>
      <c r="U218" s="1">
        <f t="array" ref="U218">INDEX(ICL3_classA!$H$2:$H$39,MATCH(MIN(ABS(AI218-ICL3_classA!$F$2:$F$39)),ABS(AI218-ICL3_classA!$F$2:$F$39),0))</f>
        <v>21</v>
      </c>
      <c r="V218" s="1">
        <v>61</v>
      </c>
      <c r="W218" s="1">
        <v>31</v>
      </c>
      <c r="X218" s="1">
        <f>VLOOKUP($B218&amp;"__wt",'SegEnds_Xtal_BW#'!$A:$Z,24,FALSE)</f>
        <v>56</v>
      </c>
      <c r="Y218" s="1">
        <f>VLOOKUP($B218&amp;"__wt",'SegEnds_Xtal_BW#'!$A:$Z,25,FALSE)</f>
        <v>47</v>
      </c>
      <c r="Z218" s="1">
        <f>VLOOKUP($B218&amp;"__wt",'SegEnds_Xtal_BW#'!$A:$Z,26,FALSE)</f>
        <v>59</v>
      </c>
      <c r="AA218" s="27" t="str">
        <f>VLOOKUP(A218,Classification!A:B,2,FALSE)</f>
        <v>A</v>
      </c>
      <c r="AB218" s="1">
        <f>VLOOKUP(A218,'SegEnds_NonXtal_Prot#'!A:AL,10,FALSE)-VLOOKUP(A218,'SegEnds_NonXtal_Prot#'!A:AL,4,FALSE)</f>
        <v>28</v>
      </c>
      <c r="AC218" s="1">
        <f>VLOOKUP(A218,'SegEnds_NonXtal_Prot#'!A:AL,10,FALSE)-VLOOKUP(A218,'SegEnds_NonXtal_Prot#'!A:AL,7,FALSE)</f>
        <v>15</v>
      </c>
      <c r="AD218" s="1">
        <f>VLOOKUP(A218,'SegEnds_NonXtal_Prot#'!A:AL,13,FALSE)-VLOOKUP(A218,'SegEnds_NonXtal_Prot#'!A:AL,10,FALSE)</f>
        <v>20</v>
      </c>
      <c r="AE218" s="1">
        <f>VLOOKUP(A218,'SegEnds_NonXtal_Prot#'!A:AL,16,FALSE)-VLOOKUP(A218,'SegEnds_NonXtal_Prot#'!A:AL,10,FALSE)</f>
        <v>52</v>
      </c>
      <c r="AF218" s="1">
        <f>VLOOKUP(A218,'SegEnds_NonXtal_Prot#'!A:AL,22,FALSE)-VLOOKUP(A218,'SegEnds_NonXtal_Prot#'!A:AL,19,FALSE)</f>
        <v>20</v>
      </c>
      <c r="AG218" s="1">
        <f>VLOOKUP(A218,'SegEnds_NonXtal_Prot#'!A:AL,28,FALSE)-VLOOKUP(A218,'SegEnds_NonXtal_Prot#'!A:AL,25,FALSE)</f>
        <v>20</v>
      </c>
      <c r="AH218" s="1">
        <f>VLOOKUP(A218,'SegEnds_NonXtal_Prot#'!A:AL,28,FALSE)-VLOOKUP(A218,'SegEnds_NonXtal_Prot#'!A:AL,22,FALSE)</f>
        <v>54</v>
      </c>
      <c r="AI218" s="1">
        <f>VLOOKUP(A218,'SegEnds_NonXtal_Prot#'!A:AL,31,FALSE)-VLOOKUP(A218,'SegEnds_NonXtal_Prot#'!A:AL,28,FALSE)</f>
        <v>64</v>
      </c>
      <c r="AJ218" s="1">
        <f>VLOOKUP(A218,'SegEnds_NonXtal_Prot#'!A:AL,34,FALSE)-VLOOKUP(A218,'SegEnds_NonXtal_Prot#'!A:AL,31,FALSE)</f>
        <v>35</v>
      </c>
      <c r="AK218" s="1">
        <f>VLOOKUP(A218,'SegEnds_NonXtal_Prot#'!A:AL,37,FALSE)-VLOOKUP(A218,'SegEnds_NonXtal_Prot#'!A:AL,34,FALSE)</f>
        <v>10</v>
      </c>
      <c r="AL218" s="1" t="str">
        <f>IF(ISERROR(MATCH(A218,'SegEnds_Xtal_Prot#'!B:B, 0)), "NoXtal", "Xtal")</f>
        <v>NoXtal</v>
      </c>
    </row>
    <row r="219" spans="1:38" x14ac:dyDescent="0.2">
      <c r="A219" s="1" t="s">
        <v>144</v>
      </c>
      <c r="B219" s="1" t="str">
        <f>VLOOKUP(A219,Xtal_Templ!A:B,2,FALSE)</f>
        <v>ccr7_human</v>
      </c>
      <c r="C219" s="5">
        <f>VLOOKUP($B219&amp;"__wt",'SegEnds_Xtal_BW#'!$A:$Z,3,FALSE)</f>
        <v>29</v>
      </c>
      <c r="D219" s="1">
        <f>VLOOKUP($B219&amp;"__wt",'SegEnds_Xtal_BW#'!$A:$Z,4,FALSE)</f>
        <v>60</v>
      </c>
      <c r="E219" s="1">
        <f>VLOOKUP($B219&amp;"__wt",'SegEnds_Xtal_BW#'!$A:$Z,5,FALSE)</f>
        <v>48</v>
      </c>
      <c r="F219" s="1">
        <f>VLOOKUP($B219&amp;"__wt",'SegEnds_Xtal_BW#'!$A:$Z,6,FALSE)</f>
        <v>51</v>
      </c>
      <c r="G219" s="1">
        <v>37</v>
      </c>
      <c r="H219" s="12">
        <f>VLOOKUP($B219&amp;"__wt",'SegEnds_Xtal_BW#'!$A:$Z,8,FALSE)</f>
        <v>66</v>
      </c>
      <c r="I219" s="1">
        <f>VLOOKUP($B219&amp;"__wt",'SegEnds_Xtal_BW#'!$A:$Z,9,FALSE)</f>
        <v>49</v>
      </c>
      <c r="J219" s="1">
        <f>VLOOKUP($B219&amp;"__wt",'SegEnds_Xtal_BW#'!$A:$Z,10,FALSE)</f>
        <v>52</v>
      </c>
      <c r="K219" s="12">
        <v>21</v>
      </c>
      <c r="L219" s="1">
        <f>VLOOKUP($B219&amp;"__wt",'SegEnds_Xtal_BW#'!$A:$Z,12,FALSE)</f>
        <v>56</v>
      </c>
      <c r="M219" s="1">
        <f>VLOOKUP($B219&amp;"__wt",'SegEnds_Xtal_BW#'!$A:$Z,13,FALSE)</f>
        <v>50</v>
      </c>
      <c r="N219" s="12">
        <f>VLOOKUP($B219&amp;"__wt",'SegEnds_Xtal_BW#'!$A:$Z,14,FALSE)</f>
        <v>58</v>
      </c>
      <c r="O219" s="87">
        <f>VLOOKUP($B219&amp;"__wt",'SegEnds_Xtal_BW#'!$A:$Z,15,FALSE)</f>
        <v>38</v>
      </c>
      <c r="P219" s="1">
        <f>VLOOKUP($B219&amp;"__wt",'SegEnds_Xtal_BW#'!$A:$Z,16,FALSE)</f>
        <v>64</v>
      </c>
      <c r="Q219" s="1">
        <f>VLOOKUP($B219&amp;"__wt",'SegEnds_Xtal_BW#'!$A:$Z,17,FALSE)</f>
        <v>50</v>
      </c>
      <c r="R219" s="1">
        <f>VLOOKUP($B219&amp;"__wt",'SegEnds_Xtal_BW#'!$A:$Z,18,FALSE)</f>
        <v>52</v>
      </c>
      <c r="S219" s="1">
        <f>VLOOKUP($B219&amp;"__wt",'SegEnds_Xtal_BW#'!$A:$Z,19,FALSE)</f>
        <v>33</v>
      </c>
      <c r="T219" s="1">
        <f t="array" ref="T219">INDEX(ICL3_classA!$G$2:$G$39,MATCH(MIN(ABS(AI219-ICL3_classA!$F$2:$F$39)),ABS(AI219-ICL3_classA!$F$2:$F$39),0))</f>
        <v>68</v>
      </c>
      <c r="U219" s="1">
        <f t="array" ref="U219">INDEX(ICL3_classA!$H$2:$H$39,MATCH(MIN(ABS(AI219-ICL3_classA!$F$2:$F$39)),ABS(AI219-ICL3_classA!$F$2:$F$39),0))</f>
        <v>30</v>
      </c>
      <c r="V219" s="1">
        <v>64</v>
      </c>
      <c r="W219" s="1">
        <v>24</v>
      </c>
      <c r="X219" s="1">
        <f>VLOOKUP($B219&amp;"__wt",'SegEnds_Xtal_BW#'!$A:$Z,24,FALSE)</f>
        <v>56</v>
      </c>
      <c r="Y219" s="1">
        <f>VLOOKUP($B219&amp;"__wt",'SegEnds_Xtal_BW#'!$A:$Z,25,FALSE)</f>
        <v>47</v>
      </c>
      <c r="Z219" s="1">
        <f>VLOOKUP($B219&amp;"__wt",'SegEnds_Xtal_BW#'!$A:$Z,26,FALSE)</f>
        <v>59</v>
      </c>
      <c r="AA219" s="27" t="str">
        <f>VLOOKUP(A219,Classification!A:B,2,FALSE)</f>
        <v>A</v>
      </c>
      <c r="AB219" s="1">
        <f>VLOOKUP(A219,'SegEnds_NonXtal_Prot#'!A:AL,10,FALSE)-VLOOKUP(A219,'SegEnds_NonXtal_Prot#'!A:AL,4,FALSE)</f>
        <v>28</v>
      </c>
      <c r="AC219" s="1">
        <f>VLOOKUP(A219,'SegEnds_NonXtal_Prot#'!A:AL,10,FALSE)-VLOOKUP(A219,'SegEnds_NonXtal_Prot#'!A:AL,7,FALSE)</f>
        <v>15</v>
      </c>
      <c r="AD219" s="1">
        <f>VLOOKUP(A219,'SegEnds_NonXtal_Prot#'!A:AL,13,FALSE)-VLOOKUP(A219,'SegEnds_NonXtal_Prot#'!A:AL,10,FALSE)</f>
        <v>20</v>
      </c>
      <c r="AE219" s="1">
        <f>VLOOKUP(A219,'SegEnds_NonXtal_Prot#'!A:AL,16,FALSE)-VLOOKUP(A219,'SegEnds_NonXtal_Prot#'!A:AL,10,FALSE)</f>
        <v>52</v>
      </c>
      <c r="AF219" s="1" t="e">
        <f>VLOOKUP(A219,'SegEnds_NonXtal_Prot#'!A:AL,22,FALSE)-VLOOKUP(A219,'SegEnds_NonXtal_Prot#'!A:AL,19,FALSE)</f>
        <v>#VALUE!</v>
      </c>
      <c r="AG219" s="1">
        <f>VLOOKUP(A219,'SegEnds_NonXtal_Prot#'!A:AL,28,FALSE)-VLOOKUP(A219,'SegEnds_NonXtal_Prot#'!A:AL,25,FALSE)</f>
        <v>28</v>
      </c>
      <c r="AH219" s="1">
        <f>VLOOKUP(A219,'SegEnds_NonXtal_Prot#'!A:AL,28,FALSE)-VLOOKUP(A219,'SegEnds_NonXtal_Prot#'!A:AL,22,FALSE)</f>
        <v>55</v>
      </c>
      <c r="AI219" s="1">
        <f>VLOOKUP(A219,'SegEnds_NonXtal_Prot#'!A:AL,31,FALSE)-VLOOKUP(A219,'SegEnds_NonXtal_Prot#'!A:AL,28,FALSE)</f>
        <v>43</v>
      </c>
      <c r="AJ219" s="1">
        <f>VLOOKUP(A219,'SegEnds_NonXtal_Prot#'!A:AL,34,FALSE)-VLOOKUP(A219,'SegEnds_NonXtal_Prot#'!A:AL,31,FALSE)</f>
        <v>45</v>
      </c>
      <c r="AK219" s="1">
        <f>VLOOKUP(A219,'SegEnds_NonXtal_Prot#'!A:AL,37,FALSE)-VLOOKUP(A219,'SegEnds_NonXtal_Prot#'!A:AL,34,FALSE)</f>
        <v>10</v>
      </c>
      <c r="AL219" s="1" t="str">
        <f>IF(ISERROR(MATCH(A219,'SegEnds_Xtal_Prot#'!B:B, 0)), "NoXtal", "Xtal")</f>
        <v>NoXtal</v>
      </c>
    </row>
    <row r="220" spans="1:38" x14ac:dyDescent="0.2">
      <c r="A220" s="1" t="s">
        <v>159</v>
      </c>
      <c r="B220" s="1" t="str">
        <f>VLOOKUP(A220,Xtal_Templ!A:B,2,FALSE)</f>
        <v>agtr2_human</v>
      </c>
      <c r="C220" s="5">
        <f>VLOOKUP($B220&amp;"__wt",'SegEnds_Xtal_BW#'!$A:$Z,3,FALSE)</f>
        <v>33</v>
      </c>
      <c r="D220" s="1">
        <f>VLOOKUP($B220&amp;"__wt",'SegEnds_Xtal_BW#'!$A:$Z,4,FALSE)</f>
        <v>60</v>
      </c>
      <c r="E220" s="1" t="str">
        <f>VLOOKUP($B220&amp;"__wt",'SegEnds_Xtal_BW#'!$A:$Z,5,FALSE)</f>
        <v>-</v>
      </c>
      <c r="F220" s="1" t="str">
        <f>VLOOKUP($B220&amp;"__wt",'SegEnds_Xtal_BW#'!$A:$Z,6,FALSE)</f>
        <v>-</v>
      </c>
      <c r="G220" s="108">
        <v>38</v>
      </c>
      <c r="H220" s="12">
        <f>VLOOKUP($B220&amp;"__wt",'SegEnds_Xtal_BW#'!$A:$Z,8,FALSE)</f>
        <v>66</v>
      </c>
      <c r="I220" s="1">
        <f>VLOOKUP($B220&amp;"__wt",'SegEnds_Xtal_BW#'!$A:$Z,9,FALSE)</f>
        <v>47</v>
      </c>
      <c r="J220" s="1">
        <f>VLOOKUP($B220&amp;"__wt",'SegEnds_Xtal_BW#'!$A:$Z,10,FALSE)</f>
        <v>52</v>
      </c>
      <c r="K220" s="12">
        <v>21</v>
      </c>
      <c r="L220" s="1">
        <f>VLOOKUP($B220&amp;"__wt",'SegEnds_Xtal_BW#'!$A:$Z,12,FALSE)</f>
        <v>56</v>
      </c>
      <c r="M220" s="1">
        <f>VLOOKUP($B220&amp;"__wt",'SegEnds_Xtal_BW#'!$A:$Z,13,FALSE)</f>
        <v>50</v>
      </c>
      <c r="N220" s="12">
        <f>VLOOKUP($B220&amp;"__wt",'SegEnds_Xtal_BW#'!$A:$Z,14,FALSE)</f>
        <v>56</v>
      </c>
      <c r="O220" s="87">
        <f>VLOOKUP($B220&amp;"__wt",'SegEnds_Xtal_BW#'!$A:$Z,15,FALSE)</f>
        <v>38</v>
      </c>
      <c r="P220" s="1">
        <f>VLOOKUP($B220&amp;"__wt",'SegEnds_Xtal_BW#'!$A:$Z,16,FALSE)</f>
        <v>64</v>
      </c>
      <c r="Q220" s="1">
        <f>VLOOKUP($B220&amp;"__wt",'SegEnds_Xtal_BW#'!$A:$Z,17,FALSE)</f>
        <v>50</v>
      </c>
      <c r="R220" s="1">
        <f>VLOOKUP($B220&amp;"__wt",'SegEnds_Xtal_BW#'!$A:$Z,18,FALSE)</f>
        <v>52</v>
      </c>
      <c r="S220" s="1">
        <f>VLOOKUP($B220&amp;"__wt",'SegEnds_Xtal_BW#'!$A:$Z,19,FALSE)</f>
        <v>30</v>
      </c>
      <c r="T220" s="1">
        <f t="array" ref="T220">INDEX(ICL3_classA!$G$2:$G$39,MATCH(MIN(ABS(AI220-ICL3_classA!$F$2:$F$39)),ABS(AI220-ICL3_classA!$F$2:$F$39),0))</f>
        <v>68</v>
      </c>
      <c r="U220" s="1">
        <f t="array" ref="U220">INDEX(ICL3_classA!$H$2:$H$39,MATCH(MIN(ABS(AI220-ICL3_classA!$F$2:$F$39)),ABS(AI220-ICL3_classA!$F$2:$F$39),0))</f>
        <v>24</v>
      </c>
      <c r="V220" s="1">
        <v>64</v>
      </c>
      <c r="W220" s="1">
        <v>24</v>
      </c>
      <c r="X220" s="1">
        <f>VLOOKUP($B220&amp;"__wt",'SegEnds_Xtal_BW#'!$A:$Z,24,FALSE)</f>
        <v>56</v>
      </c>
      <c r="Y220" s="1">
        <f>VLOOKUP($B220&amp;"__wt",'SegEnds_Xtal_BW#'!$A:$Z,25,FALSE)</f>
        <v>47</v>
      </c>
      <c r="Z220" s="1">
        <f>VLOOKUP($B220&amp;"__wt",'SegEnds_Xtal_BW#'!$A:$Z,26,FALSE)</f>
        <v>61</v>
      </c>
      <c r="AA220" s="27" t="str">
        <f>VLOOKUP(A220,Classification!A:B,2,FALSE)</f>
        <v>A</v>
      </c>
      <c r="AB220" s="1">
        <f>VLOOKUP(A220,'SegEnds_NonXtal_Prot#'!A:AL,10,FALSE)-VLOOKUP(A220,'SegEnds_NonXtal_Prot#'!A:AL,4,FALSE)</f>
        <v>28</v>
      </c>
      <c r="AC220" s="1" t="e">
        <f>VLOOKUP(A220,'SegEnds_NonXtal_Prot#'!A:AL,10,FALSE)-VLOOKUP(A220,'SegEnds_NonXtal_Prot#'!A:AL,7,FALSE)</f>
        <v>#VALUE!</v>
      </c>
      <c r="AD220" s="1">
        <f>VLOOKUP(A220,'SegEnds_NonXtal_Prot#'!A:AL,13,FALSE)-VLOOKUP(A220,'SegEnds_NonXtal_Prot#'!A:AL,10,FALSE)</f>
        <v>20</v>
      </c>
      <c r="AE220" s="1">
        <f>VLOOKUP(A220,'SegEnds_NonXtal_Prot#'!A:AL,16,FALSE)-VLOOKUP(A220,'SegEnds_NonXtal_Prot#'!A:AL,10,FALSE)</f>
        <v>52</v>
      </c>
      <c r="AF220" s="1">
        <f>VLOOKUP(A220,'SegEnds_NonXtal_Prot#'!A:AL,22,FALSE)-VLOOKUP(A220,'SegEnds_NonXtal_Prot#'!A:AL,19,FALSE)</f>
        <v>19</v>
      </c>
      <c r="AG220" s="1">
        <f>VLOOKUP(A220,'SegEnds_NonXtal_Prot#'!A:AL,28,FALSE)-VLOOKUP(A220,'SegEnds_NonXtal_Prot#'!A:AL,25,FALSE)</f>
        <v>28</v>
      </c>
      <c r="AH220" s="1">
        <f>VLOOKUP(A220,'SegEnds_NonXtal_Prot#'!A:AL,28,FALSE)-VLOOKUP(A220,'SegEnds_NonXtal_Prot#'!A:AL,22,FALSE)</f>
        <v>55</v>
      </c>
      <c r="AI220" s="1">
        <f>VLOOKUP(A220,'SegEnds_NonXtal_Prot#'!A:AL,31,FALSE)-VLOOKUP(A220,'SegEnds_NonXtal_Prot#'!A:AL,28,FALSE)</f>
        <v>48</v>
      </c>
      <c r="AJ220" s="1">
        <f>VLOOKUP(A220,'SegEnds_NonXtal_Prot#'!A:AL,34,FALSE)-VLOOKUP(A220,'SegEnds_NonXtal_Prot#'!A:AL,31,FALSE)</f>
        <v>44</v>
      </c>
      <c r="AK220" s="1">
        <f>VLOOKUP(A220,'SegEnds_NonXtal_Prot#'!A:AL,37,FALSE)-VLOOKUP(A220,'SegEnds_NonXtal_Prot#'!A:AL,34,FALSE)</f>
        <v>10</v>
      </c>
      <c r="AL220" s="1" t="str">
        <f>IF(ISERROR(MATCH(A220,'SegEnds_Xtal_Prot#'!B:B, 0)), "NoXtal", "Xtal")</f>
        <v>Xtal</v>
      </c>
    </row>
    <row r="221" spans="1:38" x14ac:dyDescent="0.2">
      <c r="A221" s="1" t="s">
        <v>167</v>
      </c>
      <c r="B221" s="1" t="str">
        <f>VLOOKUP(A221,Xtal_Templ!A:B,2,FALSE)</f>
        <v>ox1r_human</v>
      </c>
      <c r="C221" s="5">
        <f>VLOOKUP($B221&amp;"__wt",'SegEnds_Xtal_BW#'!$A:$Z,3,FALSE)</f>
        <v>32</v>
      </c>
      <c r="D221" s="1">
        <f>VLOOKUP($B221&amp;"__wt",'SegEnds_Xtal_BW#'!$A:$Z,4,FALSE)</f>
        <v>60</v>
      </c>
      <c r="E221" s="1">
        <f>VLOOKUP($B221&amp;"__wt",'SegEnds_Xtal_BW#'!$A:$Z,5,FALSE)</f>
        <v>48</v>
      </c>
      <c r="F221" s="1">
        <f>VLOOKUP($B221&amp;"__wt",'SegEnds_Xtal_BW#'!$A:$Z,6,FALSE)</f>
        <v>51</v>
      </c>
      <c r="G221" s="1">
        <v>37</v>
      </c>
      <c r="H221" s="12">
        <f>VLOOKUP($B221&amp;"__wt",'SegEnds_Xtal_BW#'!$A:$Z,8,FALSE)</f>
        <v>68</v>
      </c>
      <c r="I221" s="1">
        <f>VLOOKUP($B221&amp;"__wt",'SegEnds_Xtal_BW#'!$A:$Z,9,FALSE)</f>
        <v>49</v>
      </c>
      <c r="J221" s="1">
        <f>VLOOKUP($B221&amp;"__wt",'SegEnds_Xtal_BW#'!$A:$Z,10,FALSE)</f>
        <v>52</v>
      </c>
      <c r="K221" s="12">
        <v>18</v>
      </c>
      <c r="L221" s="1">
        <f>VLOOKUP($B221&amp;"__wt",'SegEnds_Xtal_BW#'!$A:$Z,12,FALSE)</f>
        <v>56</v>
      </c>
      <c r="M221" s="1">
        <f>VLOOKUP($B221&amp;"__wt",'SegEnds_Xtal_BW#'!$A:$Z,13,FALSE)</f>
        <v>50</v>
      </c>
      <c r="N221" s="12">
        <v>57</v>
      </c>
      <c r="O221" s="87">
        <f>VLOOKUP($B221&amp;"__wt",'SegEnds_Xtal_BW#'!$A:$Z,15,FALSE)</f>
        <v>38</v>
      </c>
      <c r="P221" s="1">
        <f>VLOOKUP($B221&amp;"__wt",'SegEnds_Xtal_BW#'!$A:$Z,16,FALSE)</f>
        <v>64</v>
      </c>
      <c r="Q221" s="1">
        <f>VLOOKUP($B221&amp;"__wt",'SegEnds_Xtal_BW#'!$A:$Z,17,FALSE)</f>
        <v>50</v>
      </c>
      <c r="R221" s="1">
        <f>VLOOKUP($B221&amp;"__wt",'SegEnds_Xtal_BW#'!$A:$Z,18,FALSE)</f>
        <v>52</v>
      </c>
      <c r="S221" s="1">
        <f>VLOOKUP($B221&amp;"__wt",'SegEnds_Xtal_BW#'!$A:$Z,19,FALSE)</f>
        <v>33</v>
      </c>
      <c r="T221" s="1">
        <f t="array" ref="T221">INDEX(ICL3_classA!$G$2:$G$39,MATCH(MIN(ABS(AI221-ICL3_classA!$F$2:$F$39)),ABS(AI221-ICL3_classA!$F$2:$F$39),0))</f>
        <v>74</v>
      </c>
      <c r="U221" s="1">
        <f t="array" ref="U221">INDEX(ICL3_classA!$H$2:$H$39,MATCH(MIN(ABS(AI221-ICL3_classA!$F$2:$F$39)),ABS(AI221-ICL3_classA!$F$2:$F$39),0))</f>
        <v>24</v>
      </c>
      <c r="V221" s="1">
        <v>61</v>
      </c>
      <c r="W221" s="131">
        <f>VLOOKUP($B221&amp;"__wt",'SegEnds_Xtal_BW#'!$A:$Z,23,FALSE)</f>
        <v>27</v>
      </c>
      <c r="X221" s="1">
        <f>VLOOKUP($B221&amp;"__wt",'SegEnds_Xtal_BW#'!$A:$Z,24,FALSE)</f>
        <v>56</v>
      </c>
      <c r="Y221" s="1">
        <f>VLOOKUP($B221&amp;"__wt",'SegEnds_Xtal_BW#'!$A:$Z,25,FALSE)</f>
        <v>47</v>
      </c>
      <c r="Z221" s="1">
        <f>VLOOKUP($B221&amp;"__wt",'SegEnds_Xtal_BW#'!$A:$Z,26,FALSE)</f>
        <v>63</v>
      </c>
      <c r="AA221" s="27" t="str">
        <f>VLOOKUP(A221,Classification!A:B,2,FALSE)</f>
        <v>A</v>
      </c>
      <c r="AB221" s="1">
        <f>VLOOKUP(A221,'SegEnds_NonXtal_Prot#'!A:AL,10,FALSE)-VLOOKUP(A221,'SegEnds_NonXtal_Prot#'!A:AL,4,FALSE)</f>
        <v>28</v>
      </c>
      <c r="AC221" s="1">
        <f>VLOOKUP(A221,'SegEnds_NonXtal_Prot#'!A:AL,10,FALSE)-VLOOKUP(A221,'SegEnds_NonXtal_Prot#'!A:AL,7,FALSE)</f>
        <v>15</v>
      </c>
      <c r="AD221" s="1">
        <f>VLOOKUP(A221,'SegEnds_NonXtal_Prot#'!A:AL,13,FALSE)-VLOOKUP(A221,'SegEnds_NonXtal_Prot#'!A:AL,10,FALSE)</f>
        <v>20</v>
      </c>
      <c r="AE221" s="1">
        <f>VLOOKUP(A221,'SegEnds_NonXtal_Prot#'!A:AL,16,FALSE)-VLOOKUP(A221,'SegEnds_NonXtal_Prot#'!A:AL,10,FALSE)</f>
        <v>52</v>
      </c>
      <c r="AF221" s="1">
        <f>VLOOKUP(A221,'SegEnds_NonXtal_Prot#'!A:AL,22,FALSE)-VLOOKUP(A221,'SegEnds_NonXtal_Prot#'!A:AL,19,FALSE)</f>
        <v>20</v>
      </c>
      <c r="AG221" s="1">
        <f>VLOOKUP(A221,'SegEnds_NonXtal_Prot#'!A:AL,28,FALSE)-VLOOKUP(A221,'SegEnds_NonXtal_Prot#'!A:AL,25,FALSE)</f>
        <v>25</v>
      </c>
      <c r="AH221" s="1">
        <f>VLOOKUP(A221,'SegEnds_NonXtal_Prot#'!A:AL,28,FALSE)-VLOOKUP(A221,'SegEnds_NonXtal_Prot#'!A:AL,22,FALSE)</f>
        <v>55</v>
      </c>
      <c r="AI221" s="1">
        <f>VLOOKUP(A221,'SegEnds_NonXtal_Prot#'!A:AL,31,FALSE)-VLOOKUP(A221,'SegEnds_NonXtal_Prot#'!A:AL,28,FALSE)</f>
        <v>107</v>
      </c>
      <c r="AJ221" s="1">
        <f>VLOOKUP(A221,'SegEnds_NonXtal_Prot#'!A:AL,34,FALSE)-VLOOKUP(A221,'SegEnds_NonXtal_Prot#'!A:AL,31,FALSE)</f>
        <v>39</v>
      </c>
      <c r="AK221" s="1">
        <f>VLOOKUP(A221,'SegEnds_NonXtal_Prot#'!A:AL,37,FALSE)-VLOOKUP(A221,'SegEnds_NonXtal_Prot#'!A:AL,34,FALSE)</f>
        <v>10</v>
      </c>
      <c r="AL221" s="1" t="str">
        <f>IF(ISERROR(MATCH(A221,'SegEnds_Xtal_Prot#'!B:B, 0)), "NoXtal", "Xtal")</f>
        <v>NoXtal</v>
      </c>
    </row>
    <row r="222" spans="1:38" x14ac:dyDescent="0.2">
      <c r="A222" s="1" t="s">
        <v>214</v>
      </c>
      <c r="B222" s="1" t="str">
        <f>VLOOKUP(A222,Xtal_Templ!A:B,2,FALSE)</f>
        <v>mtr1a_human</v>
      </c>
      <c r="C222" s="5">
        <f>VLOOKUP($B222&amp;"__wt",'SegEnds_Xtal_BW#'!$A:$Z,3,FALSE)</f>
        <v>28</v>
      </c>
      <c r="D222" s="1">
        <f>VLOOKUP($B222&amp;"__wt",'SegEnds_Xtal_BW#'!$A:$Z,4,FALSE)</f>
        <v>60</v>
      </c>
      <c r="E222" s="1">
        <f>VLOOKUP($B222&amp;"__wt",'SegEnds_Xtal_BW#'!$A:$Z,5,FALSE)</f>
        <v>48</v>
      </c>
      <c r="F222" s="1">
        <f>VLOOKUP($B222&amp;"__wt",'SegEnds_Xtal_BW#'!$A:$Z,6,FALSE)</f>
        <v>51</v>
      </c>
      <c r="G222" s="1">
        <v>37</v>
      </c>
      <c r="H222" s="12">
        <f>VLOOKUP($B222&amp;"__wt",'SegEnds_Xtal_BW#'!$A:$Z,8,FALSE)</f>
        <v>68</v>
      </c>
      <c r="I222" s="1">
        <f>VLOOKUP($B222&amp;"__wt",'SegEnds_Xtal_BW#'!$A:$Z,9,FALSE)</f>
        <v>49</v>
      </c>
      <c r="J222" s="1">
        <f>VLOOKUP($B222&amp;"__wt",'SegEnds_Xtal_BW#'!$A:$Z,10,FALSE)</f>
        <v>52</v>
      </c>
      <c r="K222" s="12">
        <v>18</v>
      </c>
      <c r="L222" s="1">
        <f>VLOOKUP($B222&amp;"__wt",'SegEnds_Xtal_BW#'!$A:$Z,12,FALSE)</f>
        <v>56</v>
      </c>
      <c r="M222" s="1">
        <f>VLOOKUP($B222&amp;"__wt",'SegEnds_Xtal_BW#'!$A:$Z,13,FALSE)</f>
        <v>50</v>
      </c>
      <c r="N222" s="12">
        <v>56</v>
      </c>
      <c r="O222" s="87">
        <f>VLOOKUP($B222&amp;"__wt",'SegEnds_Xtal_BW#'!$A:$Z,15,FALSE)</f>
        <v>38</v>
      </c>
      <c r="P222" s="1">
        <f>VLOOKUP($B222&amp;"__wt",'SegEnds_Xtal_BW#'!$A:$Z,16,FALSE)</f>
        <v>64</v>
      </c>
      <c r="Q222" s="1">
        <f>VLOOKUP($B222&amp;"__wt",'SegEnds_Xtal_BW#'!$A:$Z,17,FALSE)</f>
        <v>50</v>
      </c>
      <c r="R222" s="1">
        <f>VLOOKUP($B222&amp;"__wt",'SegEnds_Xtal_BW#'!$A:$Z,18,FALSE)</f>
        <v>52</v>
      </c>
      <c r="S222" s="1">
        <f>VLOOKUP($B222&amp;"__wt",'SegEnds_Xtal_BW#'!$A:$Z,19,FALSE)</f>
        <v>35</v>
      </c>
      <c r="T222" s="1">
        <f t="array" ref="T222">INDEX(ICL3_classA!$G$2:$G$39,MATCH(MIN(ABS(AI222-ICL3_classA!$F$2:$F$39)),ABS(AI222-ICL3_classA!$F$2:$F$39),0))</f>
        <v>73</v>
      </c>
      <c r="U222" s="1">
        <f t="array" ref="U222">INDEX(ICL3_classA!$H$2:$H$39,MATCH(MIN(ABS(AI222-ICL3_classA!$F$2:$F$39)),ABS(AI222-ICL3_classA!$F$2:$F$39),0))</f>
        <v>22</v>
      </c>
      <c r="V222" s="1">
        <v>61</v>
      </c>
      <c r="W222" s="131">
        <f>VLOOKUP($B222&amp;"__wt",'SegEnds_Xtal_BW#'!$A:$Z,23,FALSE)</f>
        <v>31</v>
      </c>
      <c r="X222" s="1">
        <f>VLOOKUP($B222&amp;"__wt",'SegEnds_Xtal_BW#'!$A:$Z,24,FALSE)</f>
        <v>56</v>
      </c>
      <c r="Y222" s="1">
        <f>VLOOKUP($B222&amp;"__wt",'SegEnds_Xtal_BW#'!$A:$Z,25,FALSE)</f>
        <v>47</v>
      </c>
      <c r="Z222" s="1">
        <f>VLOOKUP($B222&amp;"__wt",'SegEnds_Xtal_BW#'!$A:$Z,26,FALSE)</f>
        <v>63</v>
      </c>
      <c r="AA222" s="27" t="str">
        <f>VLOOKUP(A222,Classification!A:B,2,FALSE)</f>
        <v>A</v>
      </c>
      <c r="AB222" s="1">
        <f>VLOOKUP(A222,'SegEnds_NonXtal_Prot#'!A:AL,10,FALSE)-VLOOKUP(A222,'SegEnds_NonXtal_Prot#'!A:AL,4,FALSE)</f>
        <v>28</v>
      </c>
      <c r="AC222" s="1">
        <f>VLOOKUP(A222,'SegEnds_NonXtal_Prot#'!A:AL,10,FALSE)-VLOOKUP(A222,'SegEnds_NonXtal_Prot#'!A:AL,7,FALSE)</f>
        <v>15</v>
      </c>
      <c r="AD222" s="1" t="e">
        <f>VLOOKUP(A222,'SegEnds_NonXtal_Prot#'!A:AL,13,FALSE)-VLOOKUP(A222,'SegEnds_NonXtal_Prot#'!A:AL,10,FALSE)</f>
        <v>#VALUE!</v>
      </c>
      <c r="AE222" s="1">
        <f>VLOOKUP(A222,'SegEnds_NonXtal_Prot#'!A:AL,16,FALSE)-VLOOKUP(A222,'SegEnds_NonXtal_Prot#'!A:AL,10,FALSE)</f>
        <v>60</v>
      </c>
      <c r="AF222" s="1" t="e">
        <f>VLOOKUP(A222,'SegEnds_NonXtal_Prot#'!A:AL,22,FALSE)-VLOOKUP(A222,'SegEnds_NonXtal_Prot#'!A:AL,19,FALSE)</f>
        <v>#VALUE!</v>
      </c>
      <c r="AG222" s="1">
        <f>VLOOKUP(A222,'SegEnds_NonXtal_Prot#'!A:AL,28,FALSE)-VLOOKUP(A222,'SegEnds_NonXtal_Prot#'!A:AL,25,FALSE)</f>
        <v>27</v>
      </c>
      <c r="AH222" s="1">
        <f>VLOOKUP(A222,'SegEnds_NonXtal_Prot#'!A:AL,28,FALSE)-VLOOKUP(A222,'SegEnds_NonXtal_Prot#'!A:AL,22,FALSE)</f>
        <v>55</v>
      </c>
      <c r="AI222" s="1">
        <f>VLOOKUP(A222,'SegEnds_NonXtal_Prot#'!A:AL,31,FALSE)-VLOOKUP(A222,'SegEnds_NonXtal_Prot#'!A:AL,28,FALSE)</f>
        <v>57</v>
      </c>
      <c r="AJ222" s="1">
        <f>VLOOKUP(A222,'SegEnds_NonXtal_Prot#'!A:AL,34,FALSE)-VLOOKUP(A222,'SegEnds_NonXtal_Prot#'!A:AL,31,FALSE)</f>
        <v>38</v>
      </c>
      <c r="AK222" s="1">
        <f>VLOOKUP(A222,'SegEnds_NonXtal_Prot#'!A:AL,37,FALSE)-VLOOKUP(A222,'SegEnds_NonXtal_Prot#'!A:AL,34,FALSE)</f>
        <v>10</v>
      </c>
      <c r="AL222" s="1" t="str">
        <f>IF(ISERROR(MATCH(A222,'SegEnds_Xtal_Prot#'!B:B, 0)), "NoXtal", "Xtal")</f>
        <v>NoXtal</v>
      </c>
    </row>
    <row r="223" spans="1:38" x14ac:dyDescent="0.2">
      <c r="A223" s="1" t="s">
        <v>230</v>
      </c>
      <c r="B223" s="1" t="str">
        <f>VLOOKUP(A223,Xtal_Templ!A:B,2,FALSE)</f>
        <v>p2ry1_human</v>
      </c>
      <c r="C223" s="5">
        <f>VLOOKUP($B223&amp;"__wt",'SegEnds_Xtal_BW#'!$A:$Z,3,FALSE)</f>
        <v>30</v>
      </c>
      <c r="D223" s="1">
        <f>VLOOKUP($B223&amp;"__wt",'SegEnds_Xtal_BW#'!$A:$Z,4,FALSE)</f>
        <v>60</v>
      </c>
      <c r="E223" s="1" t="str">
        <f>VLOOKUP($B223&amp;"__wt",'SegEnds_Xtal_BW#'!$A:$Z,5,FALSE)</f>
        <v>-</v>
      </c>
      <c r="F223" s="1" t="str">
        <f>VLOOKUP($B223&amp;"__wt",'SegEnds_Xtal_BW#'!$A:$Z,6,FALSE)</f>
        <v>-</v>
      </c>
      <c r="G223" s="1">
        <v>37</v>
      </c>
      <c r="H223" s="12">
        <v>66</v>
      </c>
      <c r="I223" s="1">
        <f>VLOOKUP($B223&amp;"__wt",'SegEnds_Xtal_BW#'!$A:$Z,9,FALSE)</f>
        <v>49</v>
      </c>
      <c r="J223" s="1">
        <f>VLOOKUP($B223&amp;"__wt",'SegEnds_Xtal_BW#'!$A:$Z,10,FALSE)</f>
        <v>52</v>
      </c>
      <c r="K223" s="12">
        <v>21</v>
      </c>
      <c r="L223" s="1">
        <f>VLOOKUP($B223&amp;"__wt",'SegEnds_Xtal_BW#'!$A:$Z,12,FALSE)</f>
        <v>56</v>
      </c>
      <c r="M223" s="1">
        <f>VLOOKUP($B223&amp;"__wt",'SegEnds_Xtal_BW#'!$A:$Z,13,FALSE)</f>
        <v>50</v>
      </c>
      <c r="N223" s="108">
        <v>56</v>
      </c>
      <c r="O223" s="87">
        <f>VLOOKUP($B223&amp;"__wt",'SegEnds_Xtal_BW#'!$A:$Z,15,FALSE)</f>
        <v>38</v>
      </c>
      <c r="P223" s="1">
        <f>VLOOKUP($B223&amp;"__wt",'SegEnds_Xtal_BW#'!$A:$Z,16,FALSE)</f>
        <v>64</v>
      </c>
      <c r="Q223" s="1">
        <f>VLOOKUP($B223&amp;"__wt",'SegEnds_Xtal_BW#'!$A:$Z,17,FALSE)</f>
        <v>50</v>
      </c>
      <c r="R223" s="1">
        <f>VLOOKUP($B223&amp;"__wt",'SegEnds_Xtal_BW#'!$A:$Z,18,FALSE)</f>
        <v>52</v>
      </c>
      <c r="S223" s="1">
        <f>VLOOKUP($B223&amp;"__wt",'SegEnds_Xtal_BW#'!$A:$Z,19,FALSE)</f>
        <v>32</v>
      </c>
      <c r="T223" s="1">
        <f t="array" ref="T223">INDEX(ICL3_classA!$G$2:$G$39,MATCH(MIN(ABS(AI223-ICL3_classA!$F$2:$F$39)),ABS(AI223-ICL3_classA!$F$2:$F$39),0))</f>
        <v>68</v>
      </c>
      <c r="U223" s="1">
        <f t="array" ref="U223">INDEX(ICL3_classA!$H$2:$H$39,MATCH(MIN(ABS(AI223-ICL3_classA!$F$2:$F$39)),ABS(AI223-ICL3_classA!$F$2:$F$39),0))</f>
        <v>24</v>
      </c>
      <c r="V223" s="1">
        <v>64</v>
      </c>
      <c r="W223" s="1">
        <v>24</v>
      </c>
      <c r="X223" s="1">
        <f>VLOOKUP($B223&amp;"__wt",'SegEnds_Xtal_BW#'!$A:$Z,24,FALSE)</f>
        <v>56</v>
      </c>
      <c r="Y223" s="1">
        <f>VLOOKUP($B223&amp;"__wt",'SegEnds_Xtal_BW#'!$A:$Z,25,FALSE)</f>
        <v>47</v>
      </c>
      <c r="Z223" s="1">
        <f>VLOOKUP($B223&amp;"__wt",'SegEnds_Xtal_BW#'!$A:$Z,26,FALSE)</f>
        <v>59</v>
      </c>
      <c r="AA223" s="27" t="str">
        <f>VLOOKUP(A223,Classification!A:B,2,FALSE)</f>
        <v>A</v>
      </c>
      <c r="AB223" s="1">
        <f>VLOOKUP(A223,'SegEnds_NonXtal_Prot#'!A:AL,10,FALSE)-VLOOKUP(A223,'SegEnds_NonXtal_Prot#'!A:AL,4,FALSE)</f>
        <v>28</v>
      </c>
      <c r="AC223" s="1" t="e">
        <f>VLOOKUP(A223,'SegEnds_NonXtal_Prot#'!A:AL,10,FALSE)-VLOOKUP(A223,'SegEnds_NonXtal_Prot#'!A:AL,7,FALSE)</f>
        <v>#VALUE!</v>
      </c>
      <c r="AD223" s="1">
        <f>VLOOKUP(A223,'SegEnds_NonXtal_Prot#'!A:AL,13,FALSE)-VLOOKUP(A223,'SegEnds_NonXtal_Prot#'!A:AL,10,FALSE)</f>
        <v>19</v>
      </c>
      <c r="AE223" s="1">
        <f>VLOOKUP(A223,'SegEnds_NonXtal_Prot#'!A:AL,16,FALSE)-VLOOKUP(A223,'SegEnds_NonXtal_Prot#'!A:AL,10,FALSE)</f>
        <v>51</v>
      </c>
      <c r="AF223" s="1">
        <f>VLOOKUP(A223,'SegEnds_NonXtal_Prot#'!A:AL,22,FALSE)-VLOOKUP(A223,'SegEnds_NonXtal_Prot#'!A:AL,19,FALSE)</f>
        <v>19</v>
      </c>
      <c r="AG223" s="1">
        <f>VLOOKUP(A223,'SegEnds_NonXtal_Prot#'!A:AL,28,FALSE)-VLOOKUP(A223,'SegEnds_NonXtal_Prot#'!A:AL,25,FALSE)</f>
        <v>29</v>
      </c>
      <c r="AH223" s="1">
        <f>VLOOKUP(A223,'SegEnds_NonXtal_Prot#'!A:AL,28,FALSE)-VLOOKUP(A223,'SegEnds_NonXtal_Prot#'!A:AL,22,FALSE)</f>
        <v>55</v>
      </c>
      <c r="AI223" s="1">
        <f>VLOOKUP(A223,'SegEnds_NonXtal_Prot#'!A:AL,31,FALSE)-VLOOKUP(A223,'SegEnds_NonXtal_Prot#'!A:AL,28,FALSE)</f>
        <v>48</v>
      </c>
      <c r="AJ223" s="1">
        <f>VLOOKUP(A223,'SegEnds_NonXtal_Prot#'!A:AL,34,FALSE)-VLOOKUP(A223,'SegEnds_NonXtal_Prot#'!A:AL,31,FALSE)</f>
        <v>44</v>
      </c>
      <c r="AK223" s="1">
        <f>VLOOKUP(A223,'SegEnds_NonXtal_Prot#'!A:AL,37,FALSE)-VLOOKUP(A223,'SegEnds_NonXtal_Prot#'!A:AL,34,FALSE)</f>
        <v>10</v>
      </c>
      <c r="AL223" s="1" t="str">
        <f>IF(ISERROR(MATCH(A223,'SegEnds_Xtal_Prot#'!B:B, 0)), "NoXtal", "Xtal")</f>
        <v>NoXtal</v>
      </c>
    </row>
    <row r="224" spans="1:38" x14ac:dyDescent="0.2">
      <c r="A224" s="1" t="s">
        <v>289</v>
      </c>
      <c r="B224" s="1" t="str">
        <f>VLOOKUP(A224,Xtal_Templ!A:B,2,FALSE)</f>
        <v>cltr1_human</v>
      </c>
      <c r="C224" s="5">
        <f>VLOOKUP($B224&amp;"__wt",'SegEnds_Xtal_BW#'!$A:$Z,3,FALSE)</f>
        <v>20</v>
      </c>
      <c r="D224" s="108">
        <v>60</v>
      </c>
      <c r="E224" s="1" t="str">
        <f>VLOOKUP($B224&amp;"__wt",'SegEnds_Xtal_BW#'!$A:$Z,5,FALSE)</f>
        <v>-</v>
      </c>
      <c r="F224" s="1" t="str">
        <f>VLOOKUP($B224&amp;"__wt",'SegEnds_Xtal_BW#'!$A:$Z,6,FALSE)</f>
        <v>-</v>
      </c>
      <c r="G224" s="1">
        <v>37</v>
      </c>
      <c r="H224" s="12">
        <v>66</v>
      </c>
      <c r="I224" s="1">
        <f>VLOOKUP($B224&amp;"__wt",'SegEnds_Xtal_BW#'!$A:$Z,9,FALSE)</f>
        <v>49</v>
      </c>
      <c r="J224" s="1">
        <f>VLOOKUP($B224&amp;"__wt",'SegEnds_Xtal_BW#'!$A:$Z,10,FALSE)</f>
        <v>52</v>
      </c>
      <c r="K224" s="12">
        <v>21</v>
      </c>
      <c r="L224" s="1">
        <f>VLOOKUP($B224&amp;"__wt",'SegEnds_Xtal_BW#'!$A:$Z,12,FALSE)</f>
        <v>56</v>
      </c>
      <c r="M224" s="1">
        <f>VLOOKUP($B224&amp;"__wt",'SegEnds_Xtal_BW#'!$A:$Z,13,FALSE)</f>
        <v>50</v>
      </c>
      <c r="N224" s="12">
        <v>57</v>
      </c>
      <c r="O224" s="87">
        <f>VLOOKUP($B224&amp;"__wt",'SegEnds_Xtal_BW#'!$A:$Z,15,FALSE)</f>
        <v>38</v>
      </c>
      <c r="P224" s="1">
        <f>VLOOKUP($B224&amp;"__wt",'SegEnds_Xtal_BW#'!$A:$Z,16,FALSE)</f>
        <v>63</v>
      </c>
      <c r="Q224" s="1">
        <f>VLOOKUP($B224&amp;"__wt",'SegEnds_Xtal_BW#'!$A:$Z,17,FALSE)</f>
        <v>50</v>
      </c>
      <c r="R224" s="1">
        <f>VLOOKUP($B224&amp;"__wt",'SegEnds_Xtal_BW#'!$A:$Z,18,FALSE)</f>
        <v>52</v>
      </c>
      <c r="S224" s="1">
        <f>VLOOKUP($B224&amp;"__wt",'SegEnds_Xtal_BW#'!$A:$Z,19,FALSE)</f>
        <v>28</v>
      </c>
      <c r="T224" s="1">
        <f t="array" ref="T224">INDEX(ICL3_classA!$G$2:$G$39,MATCH(MIN(ABS(AI224-ICL3_classA!$F$2:$F$39)),ABS(AI224-ICL3_classA!$F$2:$F$39),0))</f>
        <v>68</v>
      </c>
      <c r="U224" s="1">
        <f t="array" ref="U224">INDEX(ICL3_classA!$H$2:$H$39,MATCH(MIN(ABS(AI224-ICL3_classA!$F$2:$F$39)),ABS(AI224-ICL3_classA!$F$2:$F$39),0))</f>
        <v>24</v>
      </c>
      <c r="V224" s="1">
        <v>64</v>
      </c>
      <c r="W224" s="1">
        <v>24</v>
      </c>
      <c r="X224" s="1">
        <f>VLOOKUP($B224&amp;"__wt",'SegEnds_Xtal_BW#'!$A:$Z,24,FALSE)</f>
        <v>56</v>
      </c>
      <c r="Y224" s="1">
        <f>VLOOKUP($B224&amp;"__wt",'SegEnds_Xtal_BW#'!$A:$Z,25,FALSE)</f>
        <v>47</v>
      </c>
      <c r="Z224" s="1">
        <f>VLOOKUP($B224&amp;"__wt",'SegEnds_Xtal_BW#'!$A:$Z,26,FALSE)</f>
        <v>59</v>
      </c>
      <c r="AA224" s="27" t="str">
        <f>VLOOKUP(A224,Classification!A:B,2,FALSE)</f>
        <v>A</v>
      </c>
      <c r="AB224" s="1">
        <f>VLOOKUP(A224,'SegEnds_NonXtal_Prot#'!A:AL,10,FALSE)-VLOOKUP(A224,'SegEnds_NonXtal_Prot#'!A:AL,4,FALSE)</f>
        <v>28</v>
      </c>
      <c r="AC224" s="1">
        <f>VLOOKUP(A224,'SegEnds_NonXtal_Prot#'!A:AL,10,FALSE)-VLOOKUP(A224,'SegEnds_NonXtal_Prot#'!A:AL,7,FALSE)</f>
        <v>15</v>
      </c>
      <c r="AD224" s="1">
        <f>VLOOKUP(A224,'SegEnds_NonXtal_Prot#'!A:AL,13,FALSE)-VLOOKUP(A224,'SegEnds_NonXtal_Prot#'!A:AL,10,FALSE)</f>
        <v>19</v>
      </c>
      <c r="AE224" s="1">
        <f>VLOOKUP(A224,'SegEnds_NonXtal_Prot#'!A:AL,16,FALSE)-VLOOKUP(A224,'SegEnds_NonXtal_Prot#'!A:AL,10,FALSE)</f>
        <v>51</v>
      </c>
      <c r="AF224" s="1">
        <f>VLOOKUP(A224,'SegEnds_NonXtal_Prot#'!A:AL,22,FALSE)-VLOOKUP(A224,'SegEnds_NonXtal_Prot#'!A:AL,19,FALSE)</f>
        <v>20</v>
      </c>
      <c r="AG224" s="1">
        <f>VLOOKUP(A224,'SegEnds_NonXtal_Prot#'!A:AL,28,FALSE)-VLOOKUP(A224,'SegEnds_NonXtal_Prot#'!A:AL,25,FALSE)</f>
        <v>28</v>
      </c>
      <c r="AH224" s="1">
        <f>VLOOKUP(A224,'SegEnds_NonXtal_Prot#'!A:AL,28,FALSE)-VLOOKUP(A224,'SegEnds_NonXtal_Prot#'!A:AL,22,FALSE)</f>
        <v>55</v>
      </c>
      <c r="AI224" s="1">
        <f>VLOOKUP(A224,'SegEnds_NonXtal_Prot#'!A:AL,31,FALSE)-VLOOKUP(A224,'SegEnds_NonXtal_Prot#'!A:AL,28,FALSE)</f>
        <v>48</v>
      </c>
      <c r="AJ224" s="1">
        <f>VLOOKUP(A224,'SegEnds_NonXtal_Prot#'!A:AL,34,FALSE)-VLOOKUP(A224,'SegEnds_NonXtal_Prot#'!A:AL,31,FALSE)</f>
        <v>44</v>
      </c>
      <c r="AK224" s="1">
        <f>VLOOKUP(A224,'SegEnds_NonXtal_Prot#'!A:AL,37,FALSE)-VLOOKUP(A224,'SegEnds_NonXtal_Prot#'!A:AL,34,FALSE)</f>
        <v>10</v>
      </c>
      <c r="AL224" s="1" t="str">
        <f>IF(ISERROR(MATCH(A224,'SegEnds_Xtal_Prot#'!B:B, 0)), "NoXtal", "Xtal")</f>
        <v>NoXtal</v>
      </c>
    </row>
    <row r="225" spans="1:38" x14ac:dyDescent="0.2">
      <c r="A225" s="1" t="s">
        <v>127</v>
      </c>
      <c r="B225" s="1" t="str">
        <f>VLOOKUP(A225,Xtal_Templ!A:B,2,FALSE)</f>
        <v>ntr1_human</v>
      </c>
      <c r="C225" s="5">
        <f>VLOOKUP($B225&amp;"__wt",'SegEnds_Xtal_BW#'!$A:$Z,3,FALSE)</f>
        <v>28</v>
      </c>
      <c r="D225" s="1">
        <f>VLOOKUP($B225&amp;"__wt",'SegEnds_Xtal_BW#'!$A:$Z,4,FALSE)</f>
        <v>60</v>
      </c>
      <c r="E225" s="1" t="str">
        <f>VLOOKUP($B225&amp;"__wt",'SegEnds_Xtal_BW#'!$A:$Z,5,FALSE)</f>
        <v>-</v>
      </c>
      <c r="F225" s="1" t="str">
        <f>VLOOKUP($B225&amp;"__wt",'SegEnds_Xtal_BW#'!$A:$Z,6,FALSE)</f>
        <v>-</v>
      </c>
      <c r="G225" s="1">
        <v>37</v>
      </c>
      <c r="H225" s="12">
        <f>VLOOKUP($B225&amp;"__wt",'SegEnds_Xtal_BW#'!$A:$Z,8,FALSE)</f>
        <v>68</v>
      </c>
      <c r="I225" s="1">
        <f>VLOOKUP($B225&amp;"__wt",'SegEnds_Xtal_BW#'!$A:$Z,9,FALSE)</f>
        <v>49</v>
      </c>
      <c r="J225" s="1">
        <f>VLOOKUP($B225&amp;"__wt",'SegEnds_Xtal_BW#'!$A:$Z,10,FALSE)</f>
        <v>52</v>
      </c>
      <c r="K225" s="12">
        <v>18</v>
      </c>
      <c r="L225" s="1">
        <f>VLOOKUP($B225&amp;"__wt",'SegEnds_Xtal_BW#'!$A:$Z,12,FALSE)</f>
        <v>56</v>
      </c>
      <c r="M225" s="1">
        <f>VLOOKUP($B225&amp;"__wt",'SegEnds_Xtal_BW#'!$A:$Z,13,FALSE)</f>
        <v>50</v>
      </c>
      <c r="N225" s="12">
        <f>VLOOKUP($B225&amp;"__wt",'SegEnds_Xtal_BW#'!$A:$Z,14,FALSE)</f>
        <v>57</v>
      </c>
      <c r="O225" s="87">
        <f>VLOOKUP($B225&amp;"__wt",'SegEnds_Xtal_BW#'!$A:$Z,15,FALSE)</f>
        <v>38</v>
      </c>
      <c r="P225" s="1">
        <f>VLOOKUP($B225&amp;"__wt",'SegEnds_Xtal_BW#'!$A:$Z,16,FALSE)</f>
        <v>64</v>
      </c>
      <c r="Q225" s="1">
        <f>VLOOKUP($B225&amp;"__wt",'SegEnds_Xtal_BW#'!$A:$Z,17,FALSE)</f>
        <v>50</v>
      </c>
      <c r="R225" s="1">
        <f>VLOOKUP($B225&amp;"__wt",'SegEnds_Xtal_BW#'!$A:$Z,18,FALSE)</f>
        <v>52</v>
      </c>
      <c r="S225" s="1">
        <f>VLOOKUP($B225&amp;"__wt",'SegEnds_Xtal_BW#'!$A:$Z,19,FALSE)</f>
        <v>31</v>
      </c>
      <c r="T225" s="1">
        <f t="array" ref="T225">INDEX(ICL3_classA!$G$2:$G$39,MATCH(MIN(ABS(AI225-ICL3_classA!$F$2:$F$39)),ABS(AI225-ICL3_classA!$F$2:$F$39),0))</f>
        <v>76</v>
      </c>
      <c r="U225" s="1">
        <f t="array" ref="U225">INDEX(ICL3_classA!$H$2:$H$39,MATCH(MIN(ABS(AI225-ICL3_classA!$F$2:$F$39)),ABS(AI225-ICL3_classA!$F$2:$F$39),0))</f>
        <v>24</v>
      </c>
      <c r="V225" s="1">
        <v>61</v>
      </c>
      <c r="W225" s="1">
        <v>24</v>
      </c>
      <c r="X225" s="1">
        <f>VLOOKUP($B225&amp;"__wt",'SegEnds_Xtal_BW#'!$A:$Z,24,FALSE)</f>
        <v>56</v>
      </c>
      <c r="Y225" s="1">
        <f>VLOOKUP($B225&amp;"__wt",'SegEnds_Xtal_BW#'!$A:$Z,25,FALSE)</f>
        <v>47</v>
      </c>
      <c r="Z225" s="1">
        <f>VLOOKUP($B225&amp;"__wt",'SegEnds_Xtal_BW#'!$A:$Z,26,FALSE)</f>
        <v>62</v>
      </c>
      <c r="AA225" s="27" t="str">
        <f>VLOOKUP(A225,Classification!A:B,2,FALSE)</f>
        <v>A</v>
      </c>
      <c r="AB225" s="1">
        <f>VLOOKUP(A225,'SegEnds_NonXtal_Prot#'!A:AL,10,FALSE)-VLOOKUP(A225,'SegEnds_NonXtal_Prot#'!A:AL,4,FALSE)</f>
        <v>31</v>
      </c>
      <c r="AC225" s="1" t="e">
        <f>VLOOKUP(A225,'SegEnds_NonXtal_Prot#'!A:AL,10,FALSE)-VLOOKUP(A225,'SegEnds_NonXtal_Prot#'!A:AL,7,FALSE)</f>
        <v>#VALUE!</v>
      </c>
      <c r="AD225" s="1">
        <f>VLOOKUP(A225,'SegEnds_NonXtal_Prot#'!A:AL,13,FALSE)-VLOOKUP(A225,'SegEnds_NonXtal_Prot#'!A:AL,10,FALSE)</f>
        <v>22</v>
      </c>
      <c r="AE225" s="1">
        <f>VLOOKUP(A225,'SegEnds_NonXtal_Prot#'!A:AL,16,FALSE)-VLOOKUP(A225,'SegEnds_NonXtal_Prot#'!A:AL,10,FALSE)</f>
        <v>54</v>
      </c>
      <c r="AF225" s="1">
        <f>VLOOKUP(A225,'SegEnds_NonXtal_Prot#'!A:AL,22,FALSE)-VLOOKUP(A225,'SegEnds_NonXtal_Prot#'!A:AL,19,FALSE)</f>
        <v>20</v>
      </c>
      <c r="AG225" s="1">
        <f>VLOOKUP(A225,'SegEnds_NonXtal_Prot#'!A:AL,28,FALSE)-VLOOKUP(A225,'SegEnds_NonXtal_Prot#'!A:AL,25,FALSE)</f>
        <v>24</v>
      </c>
      <c r="AH225" s="1">
        <f>VLOOKUP(A225,'SegEnds_NonXtal_Prot#'!A:AL,28,FALSE)-VLOOKUP(A225,'SegEnds_NonXtal_Prot#'!A:AL,22,FALSE)</f>
        <v>55</v>
      </c>
      <c r="AI225" s="1">
        <f>VLOOKUP(A225,'SegEnds_NonXtal_Prot#'!A:AL,31,FALSE)-VLOOKUP(A225,'SegEnds_NonXtal_Prot#'!A:AL,28,FALSE)</f>
        <v>70</v>
      </c>
      <c r="AJ225" s="1">
        <f>VLOOKUP(A225,'SegEnds_NonXtal_Prot#'!A:AL,34,FALSE)-VLOOKUP(A225,'SegEnds_NonXtal_Prot#'!A:AL,31,FALSE)</f>
        <v>43</v>
      </c>
      <c r="AK225" s="1">
        <f>VLOOKUP(A225,'SegEnds_NonXtal_Prot#'!A:AL,37,FALSE)-VLOOKUP(A225,'SegEnds_NonXtal_Prot#'!A:AL,34,FALSE)</f>
        <v>10</v>
      </c>
      <c r="AL225" s="1" t="str">
        <f>IF(ISERROR(MATCH(A225,'SegEnds_Xtal_Prot#'!B:B, 0)), "NoXtal", "Xtal")</f>
        <v>Xtal</v>
      </c>
    </row>
    <row r="226" spans="1:38" x14ac:dyDescent="0.2">
      <c r="A226" s="1" t="s">
        <v>907</v>
      </c>
      <c r="B226" s="1" t="str">
        <f>VLOOKUP(A226,Xtal_Templ!A:B,2,FALSE)</f>
        <v>ntr1_rat</v>
      </c>
      <c r="C226" s="5">
        <f>VLOOKUP($B226&amp;"__wt",'SegEnds_Xtal_BW#'!$A:$Z,3,FALSE)</f>
        <v>29</v>
      </c>
      <c r="D226" s="1">
        <f>VLOOKUP($B226&amp;"__wt",'SegEnds_Xtal_BW#'!$A:$Z,4,FALSE)</f>
        <v>60</v>
      </c>
      <c r="E226" s="1" t="str">
        <f>VLOOKUP($B226&amp;"__wt",'SegEnds_Xtal_BW#'!$A:$Z,5,FALSE)</f>
        <v>-</v>
      </c>
      <c r="F226" s="1" t="str">
        <f>VLOOKUP($B226&amp;"__wt",'SegEnds_Xtal_BW#'!$A:$Z,6,FALSE)</f>
        <v>-</v>
      </c>
      <c r="G226" s="1">
        <v>37</v>
      </c>
      <c r="H226" s="12">
        <f>VLOOKUP($B226&amp;"__wt",'SegEnds_Xtal_BW#'!$A:$Z,8,FALSE)</f>
        <v>68</v>
      </c>
      <c r="I226" s="1">
        <f>VLOOKUP($B226&amp;"__wt",'SegEnds_Xtal_BW#'!$A:$Z,9,FALSE)</f>
        <v>49</v>
      </c>
      <c r="J226" s="1">
        <f>VLOOKUP($B226&amp;"__wt",'SegEnds_Xtal_BW#'!$A:$Z,10,FALSE)</f>
        <v>52</v>
      </c>
      <c r="K226" s="12">
        <v>18</v>
      </c>
      <c r="L226" s="1">
        <f>VLOOKUP($B226&amp;"__wt",'SegEnds_Xtal_BW#'!$A:$Z,12,FALSE)</f>
        <v>56</v>
      </c>
      <c r="M226" s="1">
        <f>VLOOKUP($B226&amp;"__wt",'SegEnds_Xtal_BW#'!$A:$Z,13,FALSE)</f>
        <v>50</v>
      </c>
      <c r="N226" s="12">
        <f>VLOOKUP($B226&amp;"__wt",'SegEnds_Xtal_BW#'!$A:$Z,14,FALSE)</f>
        <v>57</v>
      </c>
      <c r="O226" s="87">
        <f>VLOOKUP($B226&amp;"__wt",'SegEnds_Xtal_BW#'!$A:$Z,15,FALSE)</f>
        <v>38</v>
      </c>
      <c r="P226" s="1">
        <f>VLOOKUP($B226&amp;"__wt",'SegEnds_Xtal_BW#'!$A:$Z,16,FALSE)</f>
        <v>64</v>
      </c>
      <c r="Q226" s="1">
        <f>VLOOKUP($B226&amp;"__wt",'SegEnds_Xtal_BW#'!$A:$Z,17,FALSE)</f>
        <v>50</v>
      </c>
      <c r="R226" s="1">
        <f>VLOOKUP($B226&amp;"__wt",'SegEnds_Xtal_BW#'!$A:$Z,18,FALSE)</f>
        <v>52</v>
      </c>
      <c r="S226" s="1">
        <f>VLOOKUP($B226&amp;"__wt",'SegEnds_Xtal_BW#'!$A:$Z,19,FALSE)</f>
        <v>32</v>
      </c>
      <c r="T226" s="1">
        <f t="array" ref="T226">INDEX(ICL3_classA!$G$2:$G$39,MATCH(MIN(ABS(AI226-ICL3_classA!$F$2:$F$39)),ABS(AI226-ICL3_classA!$F$2:$F$39),0))</f>
        <v>76</v>
      </c>
      <c r="U226" s="1">
        <f t="array" ref="U226">INDEX(ICL3_classA!$H$2:$H$39,MATCH(MIN(ABS(AI226-ICL3_classA!$F$2:$F$39)),ABS(AI226-ICL3_classA!$F$2:$F$39),0))</f>
        <v>24</v>
      </c>
      <c r="V226" s="1">
        <v>61</v>
      </c>
      <c r="W226" s="1">
        <v>24</v>
      </c>
      <c r="X226" s="1">
        <f>VLOOKUP($B226&amp;"__wt",'SegEnds_Xtal_BW#'!$A:$Z,24,FALSE)</f>
        <v>56</v>
      </c>
      <c r="Y226" s="1">
        <f>VLOOKUP($B226&amp;"__wt",'SegEnds_Xtal_BW#'!$A:$Z,25,FALSE)</f>
        <v>47</v>
      </c>
      <c r="Z226" s="1">
        <f>VLOOKUP($B226&amp;"__wt",'SegEnds_Xtal_BW#'!$A:$Z,26,FALSE)</f>
        <v>62</v>
      </c>
      <c r="AA226" s="27" t="str">
        <f>VLOOKUP(A226,Classification!A:B,2,FALSE)</f>
        <v>A</v>
      </c>
      <c r="AB226" s="1">
        <f>VLOOKUP(A226,'SegEnds_NonXtal_Prot#'!A:AL,10,FALSE)-VLOOKUP(A226,'SegEnds_NonXtal_Prot#'!A:AL,4,FALSE)</f>
        <v>31</v>
      </c>
      <c r="AC226" s="1" t="e">
        <f>VLOOKUP(A226,'SegEnds_NonXtal_Prot#'!A:AL,10,FALSE)-VLOOKUP(A226,'SegEnds_NonXtal_Prot#'!A:AL,7,FALSE)</f>
        <v>#VALUE!</v>
      </c>
      <c r="AD226" s="1">
        <f>VLOOKUP(A226,'SegEnds_NonXtal_Prot#'!A:AL,13,FALSE)-VLOOKUP(A226,'SegEnds_NonXtal_Prot#'!A:AL,10,FALSE)</f>
        <v>22</v>
      </c>
      <c r="AE226" s="1">
        <f>VLOOKUP(A226,'SegEnds_NonXtal_Prot#'!A:AL,16,FALSE)-VLOOKUP(A226,'SegEnds_NonXtal_Prot#'!A:AL,10,FALSE)</f>
        <v>54</v>
      </c>
      <c r="AF226" s="1">
        <f>VLOOKUP(A226,'SegEnds_NonXtal_Prot#'!A:AL,22,FALSE)-VLOOKUP(A226,'SegEnds_NonXtal_Prot#'!A:AL,19,FALSE)</f>
        <v>20</v>
      </c>
      <c r="AG226" s="1">
        <f>VLOOKUP(A226,'SegEnds_NonXtal_Prot#'!A:AL,28,FALSE)-VLOOKUP(A226,'SegEnds_NonXtal_Prot#'!A:AL,25,FALSE)</f>
        <v>24</v>
      </c>
      <c r="AH226" s="1">
        <f>VLOOKUP(A226,'SegEnds_NonXtal_Prot#'!A:AL,28,FALSE)-VLOOKUP(A226,'SegEnds_NonXtal_Prot#'!A:AL,22,FALSE)</f>
        <v>55</v>
      </c>
      <c r="AI226" s="1">
        <f>VLOOKUP(A226,'SegEnds_NonXtal_Prot#'!A:AL,31,FALSE)-VLOOKUP(A226,'SegEnds_NonXtal_Prot#'!A:AL,28,FALSE)</f>
        <v>74</v>
      </c>
      <c r="AJ226" s="1">
        <f>VLOOKUP(A226,'SegEnds_NonXtal_Prot#'!A:AL,34,FALSE)-VLOOKUP(A226,'SegEnds_NonXtal_Prot#'!A:AL,31,FALSE)</f>
        <v>43</v>
      </c>
      <c r="AK226" s="1">
        <f>VLOOKUP(A226,'SegEnds_NonXtal_Prot#'!A:AL,37,FALSE)-VLOOKUP(A226,'SegEnds_NonXtal_Prot#'!A:AL,34,FALSE)</f>
        <v>10</v>
      </c>
      <c r="AL226" s="1" t="str">
        <f>IF(ISERROR(MATCH(A226,'SegEnds_Xtal_Prot#'!B:B, 0)), "NoXtal", "Xtal")</f>
        <v>Xtal</v>
      </c>
    </row>
    <row r="227" spans="1:38" x14ac:dyDescent="0.2">
      <c r="A227" s="1" t="s">
        <v>335</v>
      </c>
      <c r="B227" s="1" t="str">
        <f>VLOOKUP(A227,Xtal_Templ!A:B,2,FALSE)</f>
        <v>oprk_human</v>
      </c>
      <c r="C227" s="5">
        <f>VLOOKUP($B227&amp;"__wt",'SegEnds_Xtal_BW#'!$A:$Z,3,FALSE)</f>
        <v>30</v>
      </c>
      <c r="D227" s="1">
        <f>VLOOKUP($B227&amp;"__wt",'SegEnds_Xtal_BW#'!$A:$Z,4,FALSE)</f>
        <v>60</v>
      </c>
      <c r="E227" s="1">
        <f>VLOOKUP($B227&amp;"__wt",'SegEnds_Xtal_BW#'!$A:$Z,5,FALSE)</f>
        <v>48</v>
      </c>
      <c r="F227" s="1">
        <f>VLOOKUP($B227&amp;"__wt",'SegEnds_Xtal_BW#'!$A:$Z,6,FALSE)</f>
        <v>51</v>
      </c>
      <c r="G227" s="1">
        <v>37</v>
      </c>
      <c r="H227" s="12">
        <v>66</v>
      </c>
      <c r="I227" s="1">
        <f>VLOOKUP($B227&amp;"__wt",'SegEnds_Xtal_BW#'!$A:$Z,9,FALSE)</f>
        <v>49</v>
      </c>
      <c r="J227" s="1">
        <f>VLOOKUP($B227&amp;"__wt",'SegEnds_Xtal_BW#'!$A:$Z,10,FALSE)</f>
        <v>52</v>
      </c>
      <c r="K227" s="12">
        <f>VLOOKUP($B227&amp;"__wt",'SegEnds_Xtal_BW#'!$A:$Z,11,FALSE)</f>
        <v>21</v>
      </c>
      <c r="L227" s="1">
        <f>VLOOKUP($B227&amp;"__wt",'SegEnds_Xtal_BW#'!$A:$Z,12,FALSE)</f>
        <v>56</v>
      </c>
      <c r="M227" s="1">
        <f>VLOOKUP($B227&amp;"__wt",'SegEnds_Xtal_BW#'!$A:$Z,13,FALSE)</f>
        <v>50</v>
      </c>
      <c r="N227" s="12">
        <f>VLOOKUP($B227&amp;"__wt",'SegEnds_Xtal_BW#'!$A:$Z,14,FALSE)</f>
        <v>57</v>
      </c>
      <c r="O227" s="87">
        <f>VLOOKUP($B227&amp;"__wt",'SegEnds_Xtal_BW#'!$A:$Z,15,FALSE)</f>
        <v>38</v>
      </c>
      <c r="P227" s="1">
        <f>VLOOKUP($B227&amp;"__wt",'SegEnds_Xtal_BW#'!$A:$Z,16,FALSE)</f>
        <v>64</v>
      </c>
      <c r="Q227" s="1">
        <f>VLOOKUP($B227&amp;"__wt",'SegEnds_Xtal_BW#'!$A:$Z,17,FALSE)</f>
        <v>50</v>
      </c>
      <c r="R227" s="1">
        <f>VLOOKUP($B227&amp;"__wt",'SegEnds_Xtal_BW#'!$A:$Z,18,FALSE)</f>
        <v>52</v>
      </c>
      <c r="S227" s="1">
        <f>VLOOKUP($B227&amp;"__wt",'SegEnds_Xtal_BW#'!$A:$Z,19,FALSE)</f>
        <v>30</v>
      </c>
      <c r="T227" s="1">
        <f t="array" ref="T227">INDEX(ICL3_classA!$G$2:$G$39,MATCH(MIN(ABS(AI227-ICL3_classA!$F$2:$F$39)),ABS(AI227-ICL3_classA!$F$2:$F$39),0))</f>
        <v>68</v>
      </c>
      <c r="U227" s="1">
        <f t="array" ref="U227">INDEX(ICL3_classA!$H$2:$H$39,MATCH(MIN(ABS(AI227-ICL3_classA!$F$2:$F$39)),ABS(AI227-ICL3_classA!$F$2:$F$39),0))</f>
        <v>23</v>
      </c>
      <c r="V227" s="1">
        <v>61</v>
      </c>
      <c r="W227" s="131">
        <f>VLOOKUP($B227&amp;"__wt",'SegEnds_Xtal_BW#'!$A:$Z,23,FALSE)</f>
        <v>28</v>
      </c>
      <c r="X227" s="1">
        <f>VLOOKUP($B227&amp;"__wt",'SegEnds_Xtal_BW#'!$A:$Z,24,FALSE)</f>
        <v>56</v>
      </c>
      <c r="Y227" s="1">
        <f>VLOOKUP($B227&amp;"__wt",'SegEnds_Xtal_BW#'!$A:$Z,25,FALSE)</f>
        <v>47</v>
      </c>
      <c r="Z227" s="1">
        <f>VLOOKUP($B227&amp;"__wt",'SegEnds_Xtal_BW#'!$A:$Z,26,FALSE)</f>
        <v>59</v>
      </c>
      <c r="AA227" s="27" t="str">
        <f>VLOOKUP(A227,Classification!A:B,2,FALSE)</f>
        <v>A</v>
      </c>
      <c r="AB227" s="1">
        <f>VLOOKUP(A227,'SegEnds_NonXtal_Prot#'!A:AL,10,FALSE)-VLOOKUP(A227,'SegEnds_NonXtal_Prot#'!A:AL,4,FALSE)</f>
        <v>28</v>
      </c>
      <c r="AC227" s="1">
        <f>VLOOKUP(A227,'SegEnds_NonXtal_Prot#'!A:AL,10,FALSE)-VLOOKUP(A227,'SegEnds_NonXtal_Prot#'!A:AL,7,FALSE)</f>
        <v>15</v>
      </c>
      <c r="AD227" s="1">
        <f>VLOOKUP(A227,'SegEnds_NonXtal_Prot#'!A:AL,13,FALSE)-VLOOKUP(A227,'SegEnds_NonXtal_Prot#'!A:AL,10,FALSE)</f>
        <v>19</v>
      </c>
      <c r="AE227" s="1">
        <f>VLOOKUP(A227,'SegEnds_NonXtal_Prot#'!A:AL,16,FALSE)-VLOOKUP(A227,'SegEnds_NonXtal_Prot#'!A:AL,10,FALSE)</f>
        <v>51</v>
      </c>
      <c r="AF227" s="1">
        <f>VLOOKUP(A227,'SegEnds_NonXtal_Prot#'!A:AL,22,FALSE)-VLOOKUP(A227,'SegEnds_NonXtal_Prot#'!A:AL,19,FALSE)</f>
        <v>20</v>
      </c>
      <c r="AG227" s="1">
        <f>VLOOKUP(A227,'SegEnds_NonXtal_Prot#'!A:AL,28,FALSE)-VLOOKUP(A227,'SegEnds_NonXtal_Prot#'!A:AL,25,FALSE)</f>
        <v>28</v>
      </c>
      <c r="AH227" s="1">
        <f>VLOOKUP(A227,'SegEnds_NonXtal_Prot#'!A:AL,28,FALSE)-VLOOKUP(A227,'SegEnds_NonXtal_Prot#'!A:AL,22,FALSE)</f>
        <v>55</v>
      </c>
      <c r="AI227" s="1">
        <f>VLOOKUP(A227,'SegEnds_NonXtal_Prot#'!A:AL,31,FALSE)-VLOOKUP(A227,'SegEnds_NonXtal_Prot#'!A:AL,28,FALSE)</f>
        <v>51</v>
      </c>
      <c r="AJ227" s="1">
        <f>VLOOKUP(A227,'SegEnds_NonXtal_Prot#'!A:AL,34,FALSE)-VLOOKUP(A227,'SegEnds_NonXtal_Prot#'!A:AL,31,FALSE)</f>
        <v>38</v>
      </c>
      <c r="AK227" s="1">
        <f>VLOOKUP(A227,'SegEnds_NonXtal_Prot#'!A:AL,37,FALSE)-VLOOKUP(A227,'SegEnds_NonXtal_Prot#'!A:AL,34,FALSE)</f>
        <v>10</v>
      </c>
      <c r="AL227" s="1" t="str">
        <f>IF(ISERROR(MATCH(A227,'SegEnds_Xtal_Prot#'!B:B, 0)), "NoXtal", "Xtal")</f>
        <v>Xtal</v>
      </c>
    </row>
    <row r="228" spans="1:38" x14ac:dyDescent="0.2">
      <c r="A228" s="1" t="s">
        <v>354</v>
      </c>
      <c r="B228" s="1" t="str">
        <f>VLOOKUP(A228,Xtal_Templ!A:B,2,FALSE)</f>
        <v>par1_human</v>
      </c>
      <c r="C228" s="5">
        <f>VLOOKUP($B228&amp;"__wt",'SegEnds_Xtal_BW#'!$A:$Z,3,FALSE)</f>
        <v>29</v>
      </c>
      <c r="D228" s="1">
        <f>VLOOKUP($B228&amp;"__wt",'SegEnds_Xtal_BW#'!$A:$Z,4,FALSE)</f>
        <v>60</v>
      </c>
      <c r="E228" s="1">
        <f>VLOOKUP($B228&amp;"__wt",'SegEnds_Xtal_BW#'!$A:$Z,5,FALSE)</f>
        <v>48</v>
      </c>
      <c r="F228" s="1">
        <f>VLOOKUP($B228&amp;"__wt",'SegEnds_Xtal_BW#'!$A:$Z,6,FALSE)</f>
        <v>51</v>
      </c>
      <c r="G228" s="1">
        <v>37</v>
      </c>
      <c r="H228" s="12">
        <f>VLOOKUP($B228&amp;"__wt",'SegEnds_Xtal_BW#'!$A:$Z,8,FALSE)</f>
        <v>66</v>
      </c>
      <c r="I228" s="1">
        <f>VLOOKUP($B228&amp;"__wt",'SegEnds_Xtal_BW#'!$A:$Z,9,FALSE)</f>
        <v>49</v>
      </c>
      <c r="J228" s="1">
        <f>VLOOKUP($B228&amp;"__wt",'SegEnds_Xtal_BW#'!$A:$Z,10,FALSE)</f>
        <v>52</v>
      </c>
      <c r="K228" s="12">
        <v>18</v>
      </c>
      <c r="L228" s="1">
        <f>VLOOKUP($B228&amp;"__wt",'SegEnds_Xtal_BW#'!$A:$Z,12,FALSE)</f>
        <v>56</v>
      </c>
      <c r="M228" s="1">
        <f>VLOOKUP($B228&amp;"__wt",'SegEnds_Xtal_BW#'!$A:$Z,13,FALSE)</f>
        <v>50</v>
      </c>
      <c r="N228" s="12">
        <f>VLOOKUP($B228&amp;"__wt",'SegEnds_Xtal_BW#'!$A:$Z,14,FALSE)</f>
        <v>57</v>
      </c>
      <c r="O228" s="87">
        <f>VLOOKUP($B228&amp;"__wt",'SegEnds_Xtal_BW#'!$A:$Z,15,FALSE)</f>
        <v>38</v>
      </c>
      <c r="P228" s="1">
        <f>VLOOKUP($B228&amp;"__wt",'SegEnds_Xtal_BW#'!$A:$Z,16,FALSE)</f>
        <v>63</v>
      </c>
      <c r="Q228" s="1">
        <f>VLOOKUP($B228&amp;"__wt",'SegEnds_Xtal_BW#'!$A:$Z,17,FALSE)</f>
        <v>50</v>
      </c>
      <c r="R228" s="1">
        <f>VLOOKUP($B228&amp;"__wt",'SegEnds_Xtal_BW#'!$A:$Z,18,FALSE)</f>
        <v>52</v>
      </c>
      <c r="S228" s="1">
        <f>VLOOKUP($B228&amp;"__wt",'SegEnds_Xtal_BW#'!$A:$Z,19,FALSE)</f>
        <v>32</v>
      </c>
      <c r="T228" s="1">
        <f t="array" ref="T228">INDEX(ICL3_classA!$G$2:$G$39,MATCH(MIN(ABS(AI228-ICL3_classA!$F$2:$F$39)),ABS(AI228-ICL3_classA!$F$2:$F$39),0))</f>
        <v>67</v>
      </c>
      <c r="U228" s="1">
        <f t="array" ref="U228">INDEX(ICL3_classA!$H$2:$H$39,MATCH(MIN(ABS(AI228-ICL3_classA!$F$2:$F$39)),ABS(AI228-ICL3_classA!$F$2:$F$39),0))</f>
        <v>26</v>
      </c>
      <c r="V228" s="1">
        <v>62</v>
      </c>
      <c r="W228" s="1">
        <v>28</v>
      </c>
      <c r="X228" s="1">
        <f>VLOOKUP($B228&amp;"__wt",'SegEnds_Xtal_BW#'!$A:$Z,24,FALSE)</f>
        <v>56</v>
      </c>
      <c r="Y228" s="1">
        <f>VLOOKUP($B228&amp;"__wt",'SegEnds_Xtal_BW#'!$A:$Z,25,FALSE)</f>
        <v>47</v>
      </c>
      <c r="Z228" s="1">
        <f>VLOOKUP($B228&amp;"__wt",'SegEnds_Xtal_BW#'!$A:$Z,26,FALSE)</f>
        <v>61</v>
      </c>
      <c r="AA228" s="27" t="str">
        <f>VLOOKUP(A228,Classification!A:B,2,FALSE)</f>
        <v>A</v>
      </c>
      <c r="AB228" s="1">
        <f>VLOOKUP(A228,'SegEnds_NonXtal_Prot#'!A:AL,10,FALSE)-VLOOKUP(A228,'SegEnds_NonXtal_Prot#'!A:AL,4,FALSE)</f>
        <v>28</v>
      </c>
      <c r="AC228" s="1">
        <f>VLOOKUP(A228,'SegEnds_NonXtal_Prot#'!A:AL,10,FALSE)-VLOOKUP(A228,'SegEnds_NonXtal_Prot#'!A:AL,7,FALSE)</f>
        <v>15</v>
      </c>
      <c r="AD228" s="1">
        <f>VLOOKUP(A228,'SegEnds_NonXtal_Prot#'!A:AL,13,FALSE)-VLOOKUP(A228,'SegEnds_NonXtal_Prot#'!A:AL,10,FALSE)</f>
        <v>20</v>
      </c>
      <c r="AE228" s="1">
        <f>VLOOKUP(A228,'SegEnds_NonXtal_Prot#'!A:AL,16,FALSE)-VLOOKUP(A228,'SegEnds_NonXtal_Prot#'!A:AL,10,FALSE)</f>
        <v>52</v>
      </c>
      <c r="AF228" s="1">
        <f>VLOOKUP(A228,'SegEnds_NonXtal_Prot#'!A:AL,22,FALSE)-VLOOKUP(A228,'SegEnds_NonXtal_Prot#'!A:AL,19,FALSE)</f>
        <v>20</v>
      </c>
      <c r="AG228" s="1">
        <f>VLOOKUP(A228,'SegEnds_NonXtal_Prot#'!A:AL,28,FALSE)-VLOOKUP(A228,'SegEnds_NonXtal_Prot#'!A:AL,25,FALSE)</f>
        <v>28</v>
      </c>
      <c r="AH228" s="1">
        <f>VLOOKUP(A228,'SegEnds_NonXtal_Prot#'!A:AL,28,FALSE)-VLOOKUP(A228,'SegEnds_NonXtal_Prot#'!A:AL,22,FALSE)</f>
        <v>55</v>
      </c>
      <c r="AI228" s="1">
        <f>VLOOKUP(A228,'SegEnds_NonXtal_Prot#'!A:AL,31,FALSE)-VLOOKUP(A228,'SegEnds_NonXtal_Prot#'!A:AL,28,FALSE)</f>
        <v>46</v>
      </c>
      <c r="AJ228" s="1">
        <f>VLOOKUP(A228,'SegEnds_NonXtal_Prot#'!A:AL,34,FALSE)-VLOOKUP(A228,'SegEnds_NonXtal_Prot#'!A:AL,31,FALSE)</f>
        <v>40</v>
      </c>
      <c r="AK228" s="1">
        <f>VLOOKUP(A228,'SegEnds_NonXtal_Prot#'!A:AL,37,FALSE)-VLOOKUP(A228,'SegEnds_NonXtal_Prot#'!A:AL,34,FALSE)</f>
        <v>10</v>
      </c>
      <c r="AL228" s="1" t="str">
        <f>IF(ISERROR(MATCH(A228,'SegEnds_Xtal_Prot#'!B:B, 0)), "NoXtal", "Xtal")</f>
        <v>Xtal</v>
      </c>
    </row>
    <row r="229" spans="1:38" x14ac:dyDescent="0.2">
      <c r="A229" s="1" t="s">
        <v>355</v>
      </c>
      <c r="B229" s="1" t="str">
        <f>VLOOKUP(A229,Xtal_Templ!A:B,2,FALSE)</f>
        <v>par2_human</v>
      </c>
      <c r="C229" s="5">
        <f>VLOOKUP($B229&amp;"__wt",'SegEnds_Xtal_BW#'!$A:$Z,3,FALSE)</f>
        <v>28</v>
      </c>
      <c r="D229" s="1">
        <f>VLOOKUP($B229&amp;"__wt",'SegEnds_Xtal_BW#'!$A:$Z,4,FALSE)</f>
        <v>60</v>
      </c>
      <c r="E229" s="1" t="str">
        <f>VLOOKUP($B229&amp;"__wt",'SegEnds_Xtal_BW#'!$A:$Z,5,FALSE)</f>
        <v>-</v>
      </c>
      <c r="F229" s="1" t="str">
        <f>VLOOKUP($B229&amp;"__wt",'SegEnds_Xtal_BW#'!$A:$Z,6,FALSE)</f>
        <v>-</v>
      </c>
      <c r="G229" s="1">
        <v>37</v>
      </c>
      <c r="H229" s="12">
        <f>VLOOKUP($B229&amp;"__wt",'SegEnds_Xtal_BW#'!$A:$Z,8,FALSE)</f>
        <v>66</v>
      </c>
      <c r="I229" s="1">
        <f>VLOOKUP($B229&amp;"__wt",'SegEnds_Xtal_BW#'!$A:$Z,9,FALSE)</f>
        <v>47</v>
      </c>
      <c r="J229" s="1">
        <f>VLOOKUP($B229&amp;"__wt",'SegEnds_Xtal_BW#'!$A:$Z,10,FALSE)</f>
        <v>52</v>
      </c>
      <c r="K229" s="12">
        <v>18</v>
      </c>
      <c r="L229" s="1">
        <f>VLOOKUP($B229&amp;"__wt",'SegEnds_Xtal_BW#'!$A:$Z,12,FALSE)</f>
        <v>56</v>
      </c>
      <c r="M229" s="1">
        <f>VLOOKUP($B229&amp;"__wt",'SegEnds_Xtal_BW#'!$A:$Z,13,FALSE)</f>
        <v>50</v>
      </c>
      <c r="N229" s="12">
        <f>VLOOKUP($B229&amp;"__wt",'SegEnds_Xtal_BW#'!$A:$Z,14,FALSE)</f>
        <v>56</v>
      </c>
      <c r="O229" s="87">
        <f>VLOOKUP($B229&amp;"__wt",'SegEnds_Xtal_BW#'!$A:$Z,15,FALSE)</f>
        <v>38</v>
      </c>
      <c r="P229" s="1">
        <f>VLOOKUP($B229&amp;"__wt",'SegEnds_Xtal_BW#'!$A:$Z,16,FALSE)</f>
        <v>62</v>
      </c>
      <c r="Q229" s="1">
        <f>VLOOKUP($B229&amp;"__wt",'SegEnds_Xtal_BW#'!$A:$Z,17,FALSE)</f>
        <v>50</v>
      </c>
      <c r="R229" s="1">
        <f>VLOOKUP($B229&amp;"__wt",'SegEnds_Xtal_BW#'!$A:$Z,18,FALSE)</f>
        <v>52</v>
      </c>
      <c r="S229" s="1">
        <f>VLOOKUP($B229&amp;"__wt",'SegEnds_Xtal_BW#'!$A:$Z,19,FALSE)</f>
        <v>31</v>
      </c>
      <c r="T229" s="1">
        <f t="array" ref="T229">INDEX(ICL3_classA!$G$2:$G$39,MATCH(MIN(ABS(AI229-ICL3_classA!$F$2:$F$39)),ABS(AI229-ICL3_classA!$F$2:$F$39),0))</f>
        <v>68</v>
      </c>
      <c r="U229" s="1">
        <f t="array" ref="U229">INDEX(ICL3_classA!$H$2:$H$39,MATCH(MIN(ABS(AI229-ICL3_classA!$F$2:$F$39)),ABS(AI229-ICL3_classA!$F$2:$F$39),0))</f>
        <v>24</v>
      </c>
      <c r="V229" s="1">
        <v>62</v>
      </c>
      <c r="W229" s="131">
        <f>VLOOKUP($B229&amp;"__wt",'SegEnds_Xtal_BW#'!$A:$Z,23,FALSE)</f>
        <v>31</v>
      </c>
      <c r="X229" s="1">
        <f>VLOOKUP($B229&amp;"__wt",'SegEnds_Xtal_BW#'!$A:$Z,24,FALSE)</f>
        <v>56</v>
      </c>
      <c r="Y229" s="1">
        <f>VLOOKUP($B229&amp;"__wt",'SegEnds_Xtal_BW#'!$A:$Z,25,FALSE)</f>
        <v>47</v>
      </c>
      <c r="Z229" s="1">
        <f>VLOOKUP($B229&amp;"__wt",'SegEnds_Xtal_BW#'!$A:$Z,26,FALSE)</f>
        <v>61</v>
      </c>
      <c r="AA229" s="27" t="str">
        <f>VLOOKUP(A229,Classification!A:B,2,FALSE)</f>
        <v>A</v>
      </c>
      <c r="AB229" s="1">
        <f>VLOOKUP(A229,'SegEnds_NonXtal_Prot#'!A:AL,10,FALSE)-VLOOKUP(A229,'SegEnds_NonXtal_Prot#'!A:AL,4,FALSE)</f>
        <v>28</v>
      </c>
      <c r="AC229" s="1" t="e">
        <f>VLOOKUP(A229,'SegEnds_NonXtal_Prot#'!A:AL,10,FALSE)-VLOOKUP(A229,'SegEnds_NonXtal_Prot#'!A:AL,7,FALSE)</f>
        <v>#VALUE!</v>
      </c>
      <c r="AD229" s="1">
        <f>VLOOKUP(A229,'SegEnds_NonXtal_Prot#'!A:AL,13,FALSE)-VLOOKUP(A229,'SegEnds_NonXtal_Prot#'!A:AL,10,FALSE)</f>
        <v>20</v>
      </c>
      <c r="AE229" s="1">
        <f>VLOOKUP(A229,'SegEnds_NonXtal_Prot#'!A:AL,16,FALSE)-VLOOKUP(A229,'SegEnds_NonXtal_Prot#'!A:AL,10,FALSE)</f>
        <v>52</v>
      </c>
      <c r="AF229" s="1">
        <f>VLOOKUP(A229,'SegEnds_NonXtal_Prot#'!A:AL,22,FALSE)-VLOOKUP(A229,'SegEnds_NonXtal_Prot#'!A:AL,19,FALSE)</f>
        <v>19</v>
      </c>
      <c r="AG229" s="1">
        <f>VLOOKUP(A229,'SegEnds_NonXtal_Prot#'!A:AL,28,FALSE)-VLOOKUP(A229,'SegEnds_NonXtal_Prot#'!A:AL,25,FALSE)</f>
        <v>28</v>
      </c>
      <c r="AH229" s="1">
        <f>VLOOKUP(A229,'SegEnds_NonXtal_Prot#'!A:AL,28,FALSE)-VLOOKUP(A229,'SegEnds_NonXtal_Prot#'!A:AL,22,FALSE)</f>
        <v>55</v>
      </c>
      <c r="AI229" s="1">
        <f>VLOOKUP(A229,'SegEnds_NonXtal_Prot#'!A:AL,31,FALSE)-VLOOKUP(A229,'SegEnds_NonXtal_Prot#'!A:AL,28,FALSE)</f>
        <v>48</v>
      </c>
      <c r="AJ229" s="1">
        <f>VLOOKUP(A229,'SegEnds_NonXtal_Prot#'!A:AL,34,FALSE)-VLOOKUP(A229,'SegEnds_NonXtal_Prot#'!A:AL,31,FALSE)</f>
        <v>39</v>
      </c>
      <c r="AK229" s="1">
        <f>VLOOKUP(A229,'SegEnds_NonXtal_Prot#'!A:AL,37,FALSE)-VLOOKUP(A229,'SegEnds_NonXtal_Prot#'!A:AL,34,FALSE)</f>
        <v>10</v>
      </c>
      <c r="AL229" s="1" t="str">
        <f>IF(ISERROR(MATCH(A229,'SegEnds_Xtal_Prot#'!B:B, 0)), "NoXtal", "Xtal")</f>
        <v>Xtal</v>
      </c>
    </row>
    <row r="230" spans="1:38" x14ac:dyDescent="0.2">
      <c r="A230" s="1" t="s">
        <v>357</v>
      </c>
      <c r="B230" s="1" t="str">
        <f>VLOOKUP(A230,Xtal_Templ!A:B,2,FALSE)</f>
        <v>par2_human</v>
      </c>
      <c r="C230" s="5">
        <f>VLOOKUP($B230&amp;"__wt",'SegEnds_Xtal_BW#'!$A:$Z,3,FALSE)</f>
        <v>28</v>
      </c>
      <c r="D230" s="1">
        <f>VLOOKUP($B230&amp;"__wt",'SegEnds_Xtal_BW#'!$A:$Z,4,FALSE)</f>
        <v>60</v>
      </c>
      <c r="E230" s="1" t="str">
        <f>VLOOKUP($B230&amp;"__wt",'SegEnds_Xtal_BW#'!$A:$Z,5,FALSE)</f>
        <v>-</v>
      </c>
      <c r="F230" s="1" t="str">
        <f>VLOOKUP($B230&amp;"__wt",'SegEnds_Xtal_BW#'!$A:$Z,6,FALSE)</f>
        <v>-</v>
      </c>
      <c r="G230" s="1">
        <v>37</v>
      </c>
      <c r="H230" s="12">
        <f>VLOOKUP($B230&amp;"__wt",'SegEnds_Xtal_BW#'!$A:$Z,8,FALSE)</f>
        <v>66</v>
      </c>
      <c r="I230" s="1">
        <f>VLOOKUP($B230&amp;"__wt",'SegEnds_Xtal_BW#'!$A:$Z,9,FALSE)</f>
        <v>47</v>
      </c>
      <c r="J230" s="1">
        <f>VLOOKUP($B230&amp;"__wt",'SegEnds_Xtal_BW#'!$A:$Z,10,FALSE)</f>
        <v>52</v>
      </c>
      <c r="K230" s="12">
        <v>18</v>
      </c>
      <c r="L230" s="1">
        <f>VLOOKUP($B230&amp;"__wt",'SegEnds_Xtal_BW#'!$A:$Z,12,FALSE)</f>
        <v>56</v>
      </c>
      <c r="M230" s="1">
        <f>VLOOKUP($B230&amp;"__wt",'SegEnds_Xtal_BW#'!$A:$Z,13,FALSE)</f>
        <v>50</v>
      </c>
      <c r="N230" s="12">
        <v>57</v>
      </c>
      <c r="O230" s="87">
        <f>VLOOKUP($B230&amp;"__wt",'SegEnds_Xtal_BW#'!$A:$Z,15,FALSE)</f>
        <v>38</v>
      </c>
      <c r="P230" s="1">
        <f>VLOOKUP($B230&amp;"__wt",'SegEnds_Xtal_BW#'!$A:$Z,16,FALSE)</f>
        <v>62</v>
      </c>
      <c r="Q230" s="1">
        <f>VLOOKUP($B230&amp;"__wt",'SegEnds_Xtal_BW#'!$A:$Z,17,FALSE)</f>
        <v>50</v>
      </c>
      <c r="R230" s="1">
        <f>VLOOKUP($B230&amp;"__wt",'SegEnds_Xtal_BW#'!$A:$Z,18,FALSE)</f>
        <v>52</v>
      </c>
      <c r="S230" s="1">
        <f>VLOOKUP($B230&amp;"__wt",'SegEnds_Xtal_BW#'!$A:$Z,19,FALSE)</f>
        <v>31</v>
      </c>
      <c r="T230" s="1">
        <f t="array" ref="T230">INDEX(ICL3_classA!$G$2:$G$39,MATCH(MIN(ABS(AI230-ICL3_classA!$F$2:$F$39)),ABS(AI230-ICL3_classA!$F$2:$F$39),0))</f>
        <v>68</v>
      </c>
      <c r="U230" s="1">
        <f t="array" ref="U230">INDEX(ICL3_classA!$H$2:$H$39,MATCH(MIN(ABS(AI230-ICL3_classA!$F$2:$F$39)),ABS(AI230-ICL3_classA!$F$2:$F$39),0))</f>
        <v>30</v>
      </c>
      <c r="V230" s="1">
        <v>62</v>
      </c>
      <c r="W230" s="131">
        <f>VLOOKUP($B230&amp;"__wt",'SegEnds_Xtal_BW#'!$A:$Z,23,FALSE)</f>
        <v>31</v>
      </c>
      <c r="X230" s="1">
        <f>VLOOKUP($B230&amp;"__wt",'SegEnds_Xtal_BW#'!$A:$Z,24,FALSE)</f>
        <v>56</v>
      </c>
      <c r="Y230" s="1">
        <f>VLOOKUP($B230&amp;"__wt",'SegEnds_Xtal_BW#'!$A:$Z,25,FALSE)</f>
        <v>47</v>
      </c>
      <c r="Z230" s="1">
        <f>VLOOKUP($B230&amp;"__wt",'SegEnds_Xtal_BW#'!$A:$Z,26,FALSE)</f>
        <v>61</v>
      </c>
      <c r="AA230" s="27" t="str">
        <f>VLOOKUP(A230,Classification!A:B,2,FALSE)</f>
        <v>A</v>
      </c>
      <c r="AB230" s="1">
        <f>VLOOKUP(A230,'SegEnds_NonXtal_Prot#'!A:AL,10,FALSE)-VLOOKUP(A230,'SegEnds_NonXtal_Prot#'!A:AL,4,FALSE)</f>
        <v>27</v>
      </c>
      <c r="AC230" s="1" t="e">
        <f>VLOOKUP(A230,'SegEnds_NonXtal_Prot#'!A:AL,10,FALSE)-VLOOKUP(A230,'SegEnds_NonXtal_Prot#'!A:AL,7,FALSE)</f>
        <v>#VALUE!</v>
      </c>
      <c r="AD230" s="1">
        <f>VLOOKUP(A230,'SegEnds_NonXtal_Prot#'!A:AL,13,FALSE)-VLOOKUP(A230,'SegEnds_NonXtal_Prot#'!A:AL,10,FALSE)</f>
        <v>20</v>
      </c>
      <c r="AE230" s="1">
        <f>VLOOKUP(A230,'SegEnds_NonXtal_Prot#'!A:AL,16,FALSE)-VLOOKUP(A230,'SegEnds_NonXtal_Prot#'!A:AL,10,FALSE)</f>
        <v>52</v>
      </c>
      <c r="AF230" s="1">
        <f>VLOOKUP(A230,'SegEnds_NonXtal_Prot#'!A:AL,22,FALSE)-VLOOKUP(A230,'SegEnds_NonXtal_Prot#'!A:AL,19,FALSE)</f>
        <v>20</v>
      </c>
      <c r="AG230" s="1">
        <f>VLOOKUP(A230,'SegEnds_NonXtal_Prot#'!A:AL,28,FALSE)-VLOOKUP(A230,'SegEnds_NonXtal_Prot#'!A:AL,25,FALSE)</f>
        <v>28</v>
      </c>
      <c r="AH230" s="1">
        <f>VLOOKUP(A230,'SegEnds_NonXtal_Prot#'!A:AL,28,FALSE)-VLOOKUP(A230,'SegEnds_NonXtal_Prot#'!A:AL,22,FALSE)</f>
        <v>55</v>
      </c>
      <c r="AI230" s="1">
        <f>VLOOKUP(A230,'SegEnds_NonXtal_Prot#'!A:AL,31,FALSE)-VLOOKUP(A230,'SegEnds_NonXtal_Prot#'!A:AL,28,FALSE)</f>
        <v>42</v>
      </c>
      <c r="AJ230" s="1">
        <f>VLOOKUP(A230,'SegEnds_NonXtal_Prot#'!A:AL,34,FALSE)-VLOOKUP(A230,'SegEnds_NonXtal_Prot#'!A:AL,31,FALSE)</f>
        <v>39</v>
      </c>
      <c r="AK230" s="1">
        <f>VLOOKUP(A230,'SegEnds_NonXtal_Prot#'!A:AL,37,FALSE)-VLOOKUP(A230,'SegEnds_NonXtal_Prot#'!A:AL,34,FALSE)</f>
        <v>10</v>
      </c>
      <c r="AL230" s="1" t="str">
        <f>IF(ISERROR(MATCH(A230,'SegEnds_Xtal_Prot#'!B:B, 0)), "NoXtal", "Xtal")</f>
        <v>NoXtal</v>
      </c>
    </row>
    <row r="231" spans="1:38" x14ac:dyDescent="0.2">
      <c r="A231" s="1" t="s">
        <v>358</v>
      </c>
      <c r="B231" s="1" t="str">
        <f>VLOOKUP(A231,Xtal_Templ!A:B,2,FALSE)</f>
        <v>pe2r4_human</v>
      </c>
      <c r="C231" s="5">
        <f>VLOOKUP($B231&amp;"__wt",'SegEnds_Xtal_BW#'!$A:$Z,3,FALSE)</f>
        <v>33</v>
      </c>
      <c r="D231" s="1">
        <f>VLOOKUP($B231&amp;"__wt",'SegEnds_Xtal_BW#'!$A:$Z,4,FALSE)</f>
        <v>58</v>
      </c>
      <c r="E231" s="1" t="str">
        <f>VLOOKUP($B231&amp;"__wt",'SegEnds_Xtal_BW#'!$A:$Z,5,FALSE)</f>
        <v>-</v>
      </c>
      <c r="F231" s="1" t="str">
        <f>VLOOKUP($B231&amp;"__wt",'SegEnds_Xtal_BW#'!$A:$Z,6,FALSE)</f>
        <v>-</v>
      </c>
      <c r="G231" s="1">
        <v>37</v>
      </c>
      <c r="H231" s="12">
        <f>VLOOKUP($B231&amp;"__wt",'SegEnds_Xtal_BW#'!$A:$Z,8,FALSE)</f>
        <v>67</v>
      </c>
      <c r="I231" s="1">
        <f>VLOOKUP($B231&amp;"__wt",'SegEnds_Xtal_BW#'!$A:$Z,9,FALSE)</f>
        <v>49</v>
      </c>
      <c r="J231" s="1">
        <f>VLOOKUP($B231&amp;"__wt",'SegEnds_Xtal_BW#'!$A:$Z,10,FALSE)</f>
        <v>52</v>
      </c>
      <c r="K231" s="12">
        <v>18</v>
      </c>
      <c r="L231" s="1">
        <f>VLOOKUP($B231&amp;"__wt",'SegEnds_Xtal_BW#'!$A:$Z,12,FALSE)</f>
        <v>56</v>
      </c>
      <c r="M231" s="1">
        <f>VLOOKUP($B231&amp;"__wt",'SegEnds_Xtal_BW#'!$A:$Z,13,FALSE)</f>
        <v>50</v>
      </c>
      <c r="N231" s="12">
        <v>57</v>
      </c>
      <c r="O231" s="87">
        <f>VLOOKUP($B231&amp;"__wt",'SegEnds_Xtal_BW#'!$A:$Z,15,FALSE)</f>
        <v>38</v>
      </c>
      <c r="P231" s="1">
        <f>VLOOKUP($B231&amp;"__wt",'SegEnds_Xtal_BW#'!$A:$Z,16,FALSE)</f>
        <v>63</v>
      </c>
      <c r="Q231" s="1">
        <f>VLOOKUP($B231&amp;"__wt",'SegEnds_Xtal_BW#'!$A:$Z,17,FALSE)</f>
        <v>50</v>
      </c>
      <c r="R231" s="1">
        <f>VLOOKUP($B231&amp;"__wt",'SegEnds_Xtal_BW#'!$A:$Z,18,FALSE)</f>
        <v>52</v>
      </c>
      <c r="S231" s="1">
        <f>VLOOKUP($B231&amp;"__wt",'SegEnds_Xtal_BW#'!$A:$Z,19,FALSE)</f>
        <v>33</v>
      </c>
      <c r="T231" s="1">
        <f t="array" ref="T231">INDEX(ICL3_classA!$G$2:$G$39,MATCH(MIN(ABS(AI231-ICL3_classA!$F$2:$F$39)),ABS(AI231-ICL3_classA!$F$2:$F$39),0))</f>
        <v>76</v>
      </c>
      <c r="U231" s="1">
        <f t="array" ref="U231">INDEX(ICL3_classA!$H$2:$H$39,MATCH(MIN(ABS(AI231-ICL3_classA!$F$2:$F$39)),ABS(AI231-ICL3_classA!$F$2:$F$39),0))</f>
        <v>24</v>
      </c>
      <c r="V231" s="1">
        <v>61</v>
      </c>
      <c r="W231" s="1">
        <v>28</v>
      </c>
      <c r="X231" s="124">
        <f>VLOOKUP($B231&amp;"__wt",'SegEnds_Xtal_BW#'!$A:$Z,24,FALSE)</f>
        <v>56</v>
      </c>
      <c r="Y231" s="1">
        <f>VLOOKUP($B231&amp;"__wt",'SegEnds_Xtal_BW#'!$A:$Z,25,FALSE)</f>
        <v>47</v>
      </c>
      <c r="Z231" s="1">
        <f>VLOOKUP($B231&amp;"__wt",'SegEnds_Xtal_BW#'!$A:$Z,26,FALSE)</f>
        <v>60</v>
      </c>
      <c r="AA231" s="27" t="str">
        <f>VLOOKUP(A231,Classification!A:B,2,FALSE)</f>
        <v>A</v>
      </c>
      <c r="AB231" s="1">
        <f>VLOOKUP(A231,'SegEnds_NonXtal_Prot#'!A:AL,10,FALSE)-VLOOKUP(A231,'SegEnds_NonXtal_Prot#'!A:AL,4,FALSE)</f>
        <v>38</v>
      </c>
      <c r="AC231" s="1" t="e">
        <f>VLOOKUP(A231,'SegEnds_NonXtal_Prot#'!A:AL,10,FALSE)-VLOOKUP(A231,'SegEnds_NonXtal_Prot#'!A:AL,7,FALSE)</f>
        <v>#VALUE!</v>
      </c>
      <c r="AD231" s="1" t="e">
        <f>VLOOKUP(A231,'SegEnds_NonXtal_Prot#'!A:AL,13,FALSE)-VLOOKUP(A231,'SegEnds_NonXtal_Prot#'!A:AL,10,FALSE)</f>
        <v>#VALUE!</v>
      </c>
      <c r="AE231" s="1">
        <f>VLOOKUP(A231,'SegEnds_NonXtal_Prot#'!A:AL,16,FALSE)-VLOOKUP(A231,'SegEnds_NonXtal_Prot#'!A:AL,10,FALSE)</f>
        <v>58</v>
      </c>
      <c r="AF231" s="1">
        <f>VLOOKUP(A231,'SegEnds_NonXtal_Prot#'!A:AL,22,FALSE)-VLOOKUP(A231,'SegEnds_NonXtal_Prot#'!A:AL,19,FALSE)</f>
        <v>20</v>
      </c>
      <c r="AG231" s="1">
        <f>VLOOKUP(A231,'SegEnds_NonXtal_Prot#'!A:AL,28,FALSE)-VLOOKUP(A231,'SegEnds_NonXtal_Prot#'!A:AL,25,FALSE)</f>
        <v>29</v>
      </c>
      <c r="AH231" s="1">
        <f>VLOOKUP(A231,'SegEnds_NonXtal_Prot#'!A:AL,28,FALSE)-VLOOKUP(A231,'SegEnds_NonXtal_Prot#'!A:AL,22,FALSE)</f>
        <v>55</v>
      </c>
      <c r="AI231" s="1">
        <f>VLOOKUP(A231,'SegEnds_NonXtal_Prot#'!A:AL,31,FALSE)-VLOOKUP(A231,'SegEnds_NonXtal_Prot#'!A:AL,28,FALSE)</f>
        <v>68</v>
      </c>
      <c r="AJ231" s="1">
        <f>VLOOKUP(A231,'SegEnds_NonXtal_Prot#'!A:AL,34,FALSE)-VLOOKUP(A231,'SegEnds_NonXtal_Prot#'!A:AL,31,FALSE)</f>
        <v>40</v>
      </c>
      <c r="AK231" s="1">
        <f>VLOOKUP(A231,'SegEnds_NonXtal_Prot#'!A:AL,37,FALSE)-VLOOKUP(A231,'SegEnds_NonXtal_Prot#'!A:AL,34,FALSE)</f>
        <v>10</v>
      </c>
      <c r="AL231" s="1" t="str">
        <f>IF(ISERROR(MATCH(A231,'SegEnds_Xtal_Prot#'!B:B, 0)), "NoXtal", "Xtal")</f>
        <v>NoXtal</v>
      </c>
    </row>
    <row r="232" spans="1:38" x14ac:dyDescent="0.2">
      <c r="A232" s="1" t="s">
        <v>1434</v>
      </c>
      <c r="B232" s="1" t="str">
        <f>VLOOKUP(A232,Xtal_Templ!A:B,2,FALSE)</f>
        <v>q08bg4_danre</v>
      </c>
      <c r="C232" s="5">
        <f>VLOOKUP($B232&amp;"__wt",'SegEnds_Xtal_BW#'!$A:$Z,3,FALSE)</f>
        <v>31</v>
      </c>
      <c r="D232" s="1">
        <f>VLOOKUP($B232&amp;"__wt",'SegEnds_Xtal_BW#'!$A:$Z,4,FALSE)</f>
        <v>60</v>
      </c>
      <c r="E232" s="1">
        <f>VLOOKUP($B232&amp;"__wt",'SegEnds_Xtal_BW#'!$A:$Z,5,FALSE)</f>
        <v>48</v>
      </c>
      <c r="F232" s="1">
        <f>VLOOKUP($B232&amp;"__wt",'SegEnds_Xtal_BW#'!$A:$Z,6,FALSE)</f>
        <v>51</v>
      </c>
      <c r="G232" s="1">
        <v>37</v>
      </c>
      <c r="H232" s="12">
        <f>VLOOKUP($B232&amp;"__wt",'SegEnds_Xtal_BW#'!$A:$Z,8,FALSE)</f>
        <v>66</v>
      </c>
      <c r="I232" s="1">
        <f>VLOOKUP($B232&amp;"__wt",'SegEnds_Xtal_BW#'!$A:$Z,9,FALSE)</f>
        <v>49</v>
      </c>
      <c r="J232" s="1">
        <f>VLOOKUP($B232&amp;"__wt",'SegEnds_Xtal_BW#'!$A:$Z,10,FALSE)</f>
        <v>52</v>
      </c>
      <c r="K232" s="12">
        <f>VLOOKUP($B232&amp;"__wt",'SegEnds_Xtal_BW#'!$A:$Z,11,FALSE)</f>
        <v>21</v>
      </c>
      <c r="L232" s="1">
        <f>VLOOKUP($B232&amp;"__wt",'SegEnds_Xtal_BW#'!$A:$Z,12,FALSE)</f>
        <v>56</v>
      </c>
      <c r="M232" s="1">
        <f>VLOOKUP($B232&amp;"__wt",'SegEnds_Xtal_BW#'!$A:$Z,13,FALSE)</f>
        <v>50</v>
      </c>
      <c r="N232" s="108">
        <f>VLOOKUP($B232&amp;"__wt",'SegEnds_Xtal_BW#'!$A:$Z,14,FALSE)</f>
        <v>57</v>
      </c>
      <c r="O232" s="108">
        <f>VLOOKUP($B232&amp;"__wt",'SegEnds_Xtal_BW#'!$A:$Z,15,FALSE)</f>
        <v>38</v>
      </c>
      <c r="P232" s="1">
        <f>VLOOKUP($B232&amp;"__wt",'SegEnds_Xtal_BW#'!$A:$Z,16,FALSE)</f>
        <v>65</v>
      </c>
      <c r="Q232" s="1">
        <f>VLOOKUP($B232&amp;"__wt",'SegEnds_Xtal_BW#'!$A:$Z,17,FALSE)</f>
        <v>50</v>
      </c>
      <c r="R232" s="1">
        <f>VLOOKUP($B232&amp;"__wt",'SegEnds_Xtal_BW#'!$A:$Z,18,FALSE)</f>
        <v>52</v>
      </c>
      <c r="S232" s="1">
        <f>VLOOKUP($B232&amp;"__wt",'SegEnds_Xtal_BW#'!$A:$Z,19,FALSE)</f>
        <v>31</v>
      </c>
      <c r="T232" s="1">
        <f t="array" ref="T232">INDEX(ICL3_classA!$G$2:$G$39,MATCH(MIN(ABS(AI232-ICL3_classA!$F$2:$F$39)),ABS(AI232-ICL3_classA!$F$2:$F$39),0))</f>
        <v>68</v>
      </c>
      <c r="U232" s="1">
        <f t="array" ref="U232">INDEX(ICL3_classA!$H$2:$H$39,MATCH(MIN(ABS(AI232-ICL3_classA!$F$2:$F$39)),ABS(AI232-ICL3_classA!$F$2:$F$39),0))</f>
        <v>24</v>
      </c>
      <c r="V232" s="108">
        <v>64</v>
      </c>
      <c r="W232" s="1">
        <v>24</v>
      </c>
      <c r="X232" s="1">
        <f>VLOOKUP($B232&amp;"__wt",'SegEnds_Xtal_BW#'!$A:$Z,24,FALSE)</f>
        <v>56</v>
      </c>
      <c r="Y232" s="1">
        <f>VLOOKUP($B232&amp;"__wt",'SegEnds_Xtal_BW#'!$A:$Z,25,FALSE)</f>
        <v>47</v>
      </c>
      <c r="Z232" s="1">
        <f>VLOOKUP($B232&amp;"__wt",'SegEnds_Xtal_BW#'!$A:$Z,26,FALSE)</f>
        <v>61</v>
      </c>
      <c r="AA232" s="27" t="str">
        <f>VLOOKUP(A232,Classification!A:B,2,FALSE)</f>
        <v>A</v>
      </c>
      <c r="AB232" s="1">
        <f>VLOOKUP(A232,'SegEnds_NonXtal_Prot#'!A:AL,10,FALSE)-VLOOKUP(A232,'SegEnds_NonXtal_Prot#'!A:AL,4,FALSE)</f>
        <v>28</v>
      </c>
      <c r="AC232" s="1">
        <f>VLOOKUP(A232,'SegEnds_NonXtal_Prot#'!A:AL,10,FALSE)-VLOOKUP(A232,'SegEnds_NonXtal_Prot#'!A:AL,7,FALSE)</f>
        <v>15</v>
      </c>
      <c r="AD232" s="1">
        <f>VLOOKUP(A232,'SegEnds_NonXtal_Prot#'!A:AL,13,FALSE)-VLOOKUP(A232,'SegEnds_NonXtal_Prot#'!A:AL,10,FALSE)</f>
        <v>19</v>
      </c>
      <c r="AE232" s="1">
        <f>VLOOKUP(A232,'SegEnds_NonXtal_Prot#'!A:AL,16,FALSE)-VLOOKUP(A232,'SegEnds_NonXtal_Prot#'!A:AL,10,FALSE)</f>
        <v>51</v>
      </c>
      <c r="AF232" s="1">
        <f>VLOOKUP(A232,'SegEnds_NonXtal_Prot#'!A:AL,22,FALSE)-VLOOKUP(A232,'SegEnds_NonXtal_Prot#'!A:AL,19,FALSE)</f>
        <v>20</v>
      </c>
      <c r="AG232" s="1">
        <f>VLOOKUP(A232,'SegEnds_NonXtal_Prot#'!A:AL,28,FALSE)-VLOOKUP(A232,'SegEnds_NonXtal_Prot#'!A:AL,25,FALSE)</f>
        <v>28</v>
      </c>
      <c r="AH232" s="1">
        <f>VLOOKUP(A232,'SegEnds_NonXtal_Prot#'!A:AL,28,FALSE)-VLOOKUP(A232,'SegEnds_NonXtal_Prot#'!A:AL,22,FALSE)</f>
        <v>55</v>
      </c>
      <c r="AI232" s="1">
        <f>VLOOKUP(A232,'SegEnds_NonXtal_Prot#'!A:AL,31,FALSE)-VLOOKUP(A232,'SegEnds_NonXtal_Prot#'!A:AL,28,FALSE)</f>
        <v>49</v>
      </c>
      <c r="AJ232" s="1">
        <f>VLOOKUP(A232,'SegEnds_NonXtal_Prot#'!A:AL,34,FALSE)-VLOOKUP(A232,'SegEnds_NonXtal_Prot#'!A:AL,31,FALSE)</f>
        <v>44</v>
      </c>
      <c r="AK232" s="1">
        <f>VLOOKUP(A232,'SegEnds_NonXtal_Prot#'!A:AL,37,FALSE)-VLOOKUP(A232,'SegEnds_NonXtal_Prot#'!A:AL,34,FALSE)</f>
        <v>10</v>
      </c>
      <c r="AL232" s="1" t="str">
        <f>IF(ISERROR(MATCH(A232,'SegEnds_Xtal_Prot#'!B:B, 0)), "NoXtal", "Xtal")</f>
        <v>Xtal</v>
      </c>
    </row>
    <row r="233" spans="1:38" x14ac:dyDescent="0.2">
      <c r="A233" s="1" t="s">
        <v>374</v>
      </c>
      <c r="B233" s="1" t="str">
        <f>VLOOKUP(A233,Xtal_Templ!A:B,2,FALSE)</f>
        <v>aa1r_human</v>
      </c>
      <c r="C233" s="5">
        <f>VLOOKUP($B233&amp;"__wt",'SegEnds_Xtal_BW#'!$A:$Z,3,FALSE)</f>
        <v>29</v>
      </c>
      <c r="D233" s="1">
        <f>VLOOKUP($B233&amp;"__wt",'SegEnds_Xtal_BW#'!$A:$Z,4,FALSE)</f>
        <v>60</v>
      </c>
      <c r="E233" s="1">
        <f>VLOOKUP($B233&amp;"__wt",'SegEnds_Xtal_BW#'!$A:$Z,5,FALSE)</f>
        <v>48</v>
      </c>
      <c r="F233" s="1">
        <f>VLOOKUP($B233&amp;"__wt",'SegEnds_Xtal_BW#'!$A:$Z,6,FALSE)</f>
        <v>51</v>
      </c>
      <c r="G233" s="1">
        <v>37</v>
      </c>
      <c r="H233" s="12">
        <f>VLOOKUP($B233&amp;"__wt",'SegEnds_Xtal_BW#'!$A:$Z,8,FALSE)</f>
        <v>67</v>
      </c>
      <c r="I233" s="1">
        <f>VLOOKUP($B233&amp;"__wt",'SegEnds_Xtal_BW#'!$A:$Z,9,FALSE)</f>
        <v>50</v>
      </c>
      <c r="J233" s="1">
        <f>VLOOKUP($B233&amp;"__wt",'SegEnds_Xtal_BW#'!$A:$Z,10,FALSE)</f>
        <v>52</v>
      </c>
      <c r="K233" s="12">
        <v>18</v>
      </c>
      <c r="L233" s="1">
        <f>VLOOKUP($B233&amp;"__wt",'SegEnds_Xtal_BW#'!$A:$Z,12,FALSE)</f>
        <v>56</v>
      </c>
      <c r="M233" s="1">
        <f>VLOOKUP($B233&amp;"__wt",'SegEnds_Xtal_BW#'!$A:$Z,13,FALSE)</f>
        <v>50</v>
      </c>
      <c r="N233" s="108">
        <v>56</v>
      </c>
      <c r="O233" s="87">
        <f>VLOOKUP($B233&amp;"__wt",'SegEnds_Xtal_BW#'!$A:$Z,15,FALSE)</f>
        <v>38</v>
      </c>
      <c r="P233" s="1">
        <f>VLOOKUP($B233&amp;"__wt",'SegEnds_Xtal_BW#'!$A:$Z,16,FALSE)</f>
        <v>63</v>
      </c>
      <c r="Q233" s="1">
        <f>VLOOKUP($B233&amp;"__wt",'SegEnds_Xtal_BW#'!$A:$Z,17,FALSE)</f>
        <v>50</v>
      </c>
      <c r="R233" s="1">
        <f>VLOOKUP($B233&amp;"__wt",'SegEnds_Xtal_BW#'!$A:$Z,18,FALSE)</f>
        <v>52</v>
      </c>
      <c r="S233" s="1">
        <v>35</v>
      </c>
      <c r="T233" s="1">
        <f t="array" ref="T233">INDEX(ICL3_classA!$G$2:$G$39,MATCH(MIN(ABS(AI233-ICL3_classA!$F$2:$F$39)),ABS(AI233-ICL3_classA!$F$2:$F$39),0))</f>
        <v>72</v>
      </c>
      <c r="U233" s="1">
        <f t="array" ref="U233">INDEX(ICL3_classA!$H$2:$H$39,MATCH(MIN(ABS(AI233-ICL3_classA!$F$2:$F$39)),ABS(AI233-ICL3_classA!$F$2:$F$39),0))</f>
        <v>23</v>
      </c>
      <c r="V233" s="1">
        <v>61</v>
      </c>
      <c r="W233" s="1">
        <v>31</v>
      </c>
      <c r="X233" s="1">
        <f>VLOOKUP($B233&amp;"__wt",'SegEnds_Xtal_BW#'!$A:$Z,24,FALSE)</f>
        <v>56</v>
      </c>
      <c r="Y233" s="1">
        <f>VLOOKUP($B233&amp;"__wt",'SegEnds_Xtal_BW#'!$A:$Z,25,FALSE)</f>
        <v>47</v>
      </c>
      <c r="Z233" s="1">
        <f>VLOOKUP($B233&amp;"__wt",'SegEnds_Xtal_BW#'!$A:$Z,26,FALSE)</f>
        <v>69</v>
      </c>
      <c r="AA233" s="27" t="str">
        <f>VLOOKUP(A233,Classification!A:B,2,FALSE)</f>
        <v>A</v>
      </c>
      <c r="AB233" s="1">
        <f>VLOOKUP(A233,'SegEnds_NonXtal_Prot#'!A:AL,10,FALSE)-VLOOKUP(A233,'SegEnds_NonXtal_Prot#'!A:AL,4,FALSE)</f>
        <v>28</v>
      </c>
      <c r="AC233" s="1">
        <f>VLOOKUP(A233,'SegEnds_NonXtal_Prot#'!A:AL,10,FALSE)-VLOOKUP(A233,'SegEnds_NonXtal_Prot#'!A:AL,7,FALSE)</f>
        <v>15</v>
      </c>
      <c r="AD233" s="1" t="e">
        <f>VLOOKUP(A233,'SegEnds_NonXtal_Prot#'!A:AL,13,FALSE)-VLOOKUP(A233,'SegEnds_NonXtal_Prot#'!A:AL,10,FALSE)</f>
        <v>#VALUE!</v>
      </c>
      <c r="AE233" s="1">
        <f>VLOOKUP(A233,'SegEnds_NonXtal_Prot#'!A:AL,16,FALSE)-VLOOKUP(A233,'SegEnds_NonXtal_Prot#'!A:AL,10,FALSE)</f>
        <v>59</v>
      </c>
      <c r="AF233" s="1">
        <f>VLOOKUP(A233,'SegEnds_NonXtal_Prot#'!A:AL,22,FALSE)-VLOOKUP(A233,'SegEnds_NonXtal_Prot#'!A:AL,19,FALSE)</f>
        <v>19</v>
      </c>
      <c r="AG233" s="1">
        <f>VLOOKUP(A233,'SegEnds_NonXtal_Prot#'!A:AL,28,FALSE)-VLOOKUP(A233,'SegEnds_NonXtal_Prot#'!A:AL,25,FALSE)</f>
        <v>28</v>
      </c>
      <c r="AH233" s="1">
        <f>VLOOKUP(A233,'SegEnds_NonXtal_Prot#'!A:AL,28,FALSE)-VLOOKUP(A233,'SegEnds_NonXtal_Prot#'!A:AL,22,FALSE)</f>
        <v>55</v>
      </c>
      <c r="AI233" s="1">
        <f>VLOOKUP(A233,'SegEnds_NonXtal_Prot#'!A:AL,31,FALSE)-VLOOKUP(A233,'SegEnds_NonXtal_Prot#'!A:AL,28,FALSE)</f>
        <v>52</v>
      </c>
      <c r="AJ233" s="1">
        <f>VLOOKUP(A233,'SegEnds_NonXtal_Prot#'!A:AL,34,FALSE)-VLOOKUP(A233,'SegEnds_NonXtal_Prot#'!A:AL,31,FALSE)</f>
        <v>35</v>
      </c>
      <c r="AK233" s="1">
        <f>VLOOKUP(A233,'SegEnds_NonXtal_Prot#'!A:AL,37,FALSE)-VLOOKUP(A233,'SegEnds_NonXtal_Prot#'!A:AL,34,FALSE)</f>
        <v>10</v>
      </c>
      <c r="AL233" s="1" t="str">
        <f>IF(ISERROR(MATCH(A233,'SegEnds_Xtal_Prot#'!B:B, 0)), "NoXtal", "Xtal")</f>
        <v>NoXtal</v>
      </c>
    </row>
    <row r="234" spans="1:38" x14ac:dyDescent="0.2">
      <c r="A234" s="1" t="s">
        <v>375</v>
      </c>
      <c r="B234" s="1" t="str">
        <f>VLOOKUP(A234,Xtal_Templ!A:B,2,FALSE)</f>
        <v>aa1r_human</v>
      </c>
      <c r="C234" s="5">
        <f>VLOOKUP($B234&amp;"__wt",'SegEnds_Xtal_BW#'!$A:$Z,3,FALSE)</f>
        <v>29</v>
      </c>
      <c r="D234" s="1">
        <f>VLOOKUP($B234&amp;"__wt",'SegEnds_Xtal_BW#'!$A:$Z,4,FALSE)</f>
        <v>60</v>
      </c>
      <c r="E234" s="1">
        <f>VLOOKUP($B234&amp;"__wt",'SegEnds_Xtal_BW#'!$A:$Z,5,FALSE)</f>
        <v>48</v>
      </c>
      <c r="F234" s="1">
        <f>VLOOKUP($B234&amp;"__wt",'SegEnds_Xtal_BW#'!$A:$Z,6,FALSE)</f>
        <v>51</v>
      </c>
      <c r="G234" s="1">
        <v>37</v>
      </c>
      <c r="H234" s="12">
        <f>VLOOKUP($B234&amp;"__wt",'SegEnds_Xtal_BW#'!$A:$Z,8,FALSE)</f>
        <v>67</v>
      </c>
      <c r="I234" s="1">
        <f>VLOOKUP($B234&amp;"__wt",'SegEnds_Xtal_BW#'!$A:$Z,9,FALSE)</f>
        <v>50</v>
      </c>
      <c r="J234" s="1">
        <f>VLOOKUP($B234&amp;"__wt",'SegEnds_Xtal_BW#'!$A:$Z,10,FALSE)</f>
        <v>52</v>
      </c>
      <c r="K234" s="12">
        <v>18</v>
      </c>
      <c r="L234" s="1">
        <f>VLOOKUP($B234&amp;"__wt",'SegEnds_Xtal_BW#'!$A:$Z,12,FALSE)</f>
        <v>56</v>
      </c>
      <c r="M234" s="1">
        <f>VLOOKUP($B234&amp;"__wt",'SegEnds_Xtal_BW#'!$A:$Z,13,FALSE)</f>
        <v>50</v>
      </c>
      <c r="N234" s="108">
        <v>56</v>
      </c>
      <c r="O234" s="87">
        <f>VLOOKUP($B234&amp;"__wt",'SegEnds_Xtal_BW#'!$A:$Z,15,FALSE)</f>
        <v>38</v>
      </c>
      <c r="P234" s="1">
        <f>VLOOKUP($B234&amp;"__wt",'SegEnds_Xtal_BW#'!$A:$Z,16,FALSE)</f>
        <v>63</v>
      </c>
      <c r="Q234" s="1">
        <f>VLOOKUP($B234&amp;"__wt",'SegEnds_Xtal_BW#'!$A:$Z,17,FALSE)</f>
        <v>50</v>
      </c>
      <c r="R234" s="1">
        <f>VLOOKUP($B234&amp;"__wt",'SegEnds_Xtal_BW#'!$A:$Z,18,FALSE)</f>
        <v>52</v>
      </c>
      <c r="S234" s="1">
        <v>35</v>
      </c>
      <c r="T234" s="1">
        <f t="array" ref="T234">INDEX(ICL3_classA!$G$2:$G$39,MATCH(MIN(ABS(AI234-ICL3_classA!$F$2:$F$39)),ABS(AI234-ICL3_classA!$F$2:$F$39),0))</f>
        <v>72</v>
      </c>
      <c r="U234" s="1">
        <f t="array" ref="U234">INDEX(ICL3_classA!$H$2:$H$39,MATCH(MIN(ABS(AI234-ICL3_classA!$F$2:$F$39)),ABS(AI234-ICL3_classA!$F$2:$F$39),0))</f>
        <v>23</v>
      </c>
      <c r="V234" s="1">
        <v>61</v>
      </c>
      <c r="W234" s="1">
        <v>31</v>
      </c>
      <c r="X234" s="1">
        <f>VLOOKUP($B234&amp;"__wt",'SegEnds_Xtal_BW#'!$A:$Z,24,FALSE)</f>
        <v>56</v>
      </c>
      <c r="Y234" s="1">
        <f>VLOOKUP($B234&amp;"__wt",'SegEnds_Xtal_BW#'!$A:$Z,25,FALSE)</f>
        <v>47</v>
      </c>
      <c r="Z234" s="1">
        <f>VLOOKUP($B234&amp;"__wt",'SegEnds_Xtal_BW#'!$A:$Z,26,FALSE)</f>
        <v>69</v>
      </c>
      <c r="AA234" s="27" t="str">
        <f>VLOOKUP(A234,Classification!A:B,2,FALSE)</f>
        <v>A</v>
      </c>
      <c r="AB234" s="1">
        <f>VLOOKUP(A234,'SegEnds_NonXtal_Prot#'!A:AL,10,FALSE)-VLOOKUP(A234,'SegEnds_NonXtal_Prot#'!A:AL,4,FALSE)</f>
        <v>28</v>
      </c>
      <c r="AC234" s="1">
        <f>VLOOKUP(A234,'SegEnds_NonXtal_Prot#'!A:AL,10,FALSE)-VLOOKUP(A234,'SegEnds_NonXtal_Prot#'!A:AL,7,FALSE)</f>
        <v>15</v>
      </c>
      <c r="AD234" s="1">
        <f>VLOOKUP(A234,'SegEnds_NonXtal_Prot#'!A:AL,13,FALSE)-VLOOKUP(A234,'SegEnds_NonXtal_Prot#'!A:AL,10,FALSE)</f>
        <v>24</v>
      </c>
      <c r="AE234" s="1">
        <f>VLOOKUP(A234,'SegEnds_NonXtal_Prot#'!A:AL,16,FALSE)-VLOOKUP(A234,'SegEnds_NonXtal_Prot#'!A:AL,10,FALSE)</f>
        <v>59</v>
      </c>
      <c r="AF234" s="1">
        <f>VLOOKUP(A234,'SegEnds_NonXtal_Prot#'!A:AL,22,FALSE)-VLOOKUP(A234,'SegEnds_NonXtal_Prot#'!A:AL,19,FALSE)</f>
        <v>19</v>
      </c>
      <c r="AG234" s="1">
        <f>VLOOKUP(A234,'SegEnds_NonXtal_Prot#'!A:AL,28,FALSE)-VLOOKUP(A234,'SegEnds_NonXtal_Prot#'!A:AL,25,FALSE)</f>
        <v>28</v>
      </c>
      <c r="AH234" s="1">
        <f>VLOOKUP(A234,'SegEnds_NonXtal_Prot#'!A:AL,28,FALSE)-VLOOKUP(A234,'SegEnds_NonXtal_Prot#'!A:AL,22,FALSE)</f>
        <v>55</v>
      </c>
      <c r="AI234" s="1">
        <f>VLOOKUP(A234,'SegEnds_NonXtal_Prot#'!A:AL,31,FALSE)-VLOOKUP(A234,'SegEnds_NonXtal_Prot#'!A:AL,28,FALSE)</f>
        <v>52</v>
      </c>
      <c r="AJ234" s="1">
        <f>VLOOKUP(A234,'SegEnds_NonXtal_Prot#'!A:AL,34,FALSE)-VLOOKUP(A234,'SegEnds_NonXtal_Prot#'!A:AL,31,FALSE)</f>
        <v>35</v>
      </c>
      <c r="AK234" s="1">
        <f>VLOOKUP(A234,'SegEnds_NonXtal_Prot#'!A:AL,37,FALSE)-VLOOKUP(A234,'SegEnds_NonXtal_Prot#'!A:AL,34,FALSE)</f>
        <v>10</v>
      </c>
      <c r="AL234" s="1" t="str">
        <f>IF(ISERROR(MATCH(A234,'SegEnds_Xtal_Prot#'!B:B, 0)), "NoXtal", "Xtal")</f>
        <v>NoXtal</v>
      </c>
    </row>
    <row r="235" spans="1:38" x14ac:dyDescent="0.2">
      <c r="A235" s="1" t="s">
        <v>178</v>
      </c>
      <c r="B235" s="1" t="str">
        <f>VLOOKUP(A235,Xtal_Templ!A:B,2,FALSE)</f>
        <v>ccr5_human</v>
      </c>
      <c r="C235" s="5">
        <f>VLOOKUP($B235&amp;"__wt",'SegEnds_Xtal_BW#'!$A:$Z,3,FALSE)</f>
        <v>24</v>
      </c>
      <c r="D235" s="1">
        <f>VLOOKUP($B235&amp;"__wt",'SegEnds_Xtal_BW#'!$A:$Z,4,FALSE)</f>
        <v>60</v>
      </c>
      <c r="E235" s="1">
        <f>VLOOKUP($B235&amp;"__wt",'SegEnds_Xtal_BW#'!$A:$Z,5,FALSE)</f>
        <v>48</v>
      </c>
      <c r="F235" s="1">
        <f>VLOOKUP($B235&amp;"__wt",'SegEnds_Xtal_BW#'!$A:$Z,6,FALSE)</f>
        <v>51</v>
      </c>
      <c r="G235" s="1">
        <v>37</v>
      </c>
      <c r="H235" s="12">
        <v>63</v>
      </c>
      <c r="I235" s="1">
        <f>VLOOKUP($B235&amp;"__wt",'SegEnds_Xtal_BW#'!$A:$Z,9,FALSE)</f>
        <v>49</v>
      </c>
      <c r="J235" s="1">
        <f>VLOOKUP($B235&amp;"__wt",'SegEnds_Xtal_BW#'!$A:$Z,10,FALSE)</f>
        <v>52</v>
      </c>
      <c r="K235" s="108">
        <v>24</v>
      </c>
      <c r="L235" s="1">
        <f>VLOOKUP($B235&amp;"__wt",'SegEnds_Xtal_BW#'!$A:$Z,12,FALSE)</f>
        <v>56</v>
      </c>
      <c r="M235" s="1">
        <f>VLOOKUP($B235&amp;"__wt",'SegEnds_Xtal_BW#'!$A:$Z,13,FALSE)</f>
        <v>50</v>
      </c>
      <c r="N235" s="12">
        <v>58</v>
      </c>
      <c r="O235" s="87">
        <v>38</v>
      </c>
      <c r="P235" s="1">
        <f>VLOOKUP($B235&amp;"__wt",'SegEnds_Xtal_BW#'!$A:$Z,16,FALSE)</f>
        <v>64</v>
      </c>
      <c r="Q235" s="1">
        <f>VLOOKUP($B235&amp;"__wt",'SegEnds_Xtal_BW#'!$A:$Z,17,FALSE)</f>
        <v>50</v>
      </c>
      <c r="R235" s="1">
        <f>VLOOKUP($B235&amp;"__wt",'SegEnds_Xtal_BW#'!$A:$Z,18,FALSE)</f>
        <v>52</v>
      </c>
      <c r="S235" s="1">
        <f>VLOOKUP($B235&amp;"__wt",'SegEnds_Xtal_BW#'!$A:$Z,19,FALSE)</f>
        <v>30</v>
      </c>
      <c r="T235" s="1">
        <f t="array" ref="T235">INDEX(ICL3_classA!$G$2:$G$39,MATCH(MIN(ABS(AI235-ICL3_classA!$F$2:$F$39)),ABS(AI235-ICL3_classA!$F$2:$F$39),0))</f>
        <v>67</v>
      </c>
      <c r="U235" s="1">
        <f t="array" ref="U235">INDEX(ICL3_classA!$H$2:$H$39,MATCH(MIN(ABS(AI235-ICL3_classA!$F$2:$F$39)),ABS(AI235-ICL3_classA!$F$2:$F$39),0))</f>
        <v>30</v>
      </c>
      <c r="V235" s="1">
        <v>64</v>
      </c>
      <c r="W235" s="1">
        <v>24</v>
      </c>
      <c r="X235" s="1">
        <f>VLOOKUP($B235&amp;"__wt",'SegEnds_Xtal_BW#'!$A:$Z,24,FALSE)</f>
        <v>56</v>
      </c>
      <c r="Y235" s="1">
        <f>VLOOKUP($B235&amp;"__wt",'SegEnds_Xtal_BW#'!$A:$Z,25,FALSE)</f>
        <v>47</v>
      </c>
      <c r="Z235" s="1">
        <f>VLOOKUP($B235&amp;"__wt",'SegEnds_Xtal_BW#'!$A:$Z,26,FALSE)</f>
        <v>59</v>
      </c>
      <c r="AA235" s="27" t="str">
        <f>VLOOKUP(A235,Classification!A:B,2,FALSE)</f>
        <v>A</v>
      </c>
      <c r="AB235" s="1">
        <f>VLOOKUP(A235,'SegEnds_NonXtal_Prot#'!A:AL,10,FALSE)-VLOOKUP(A235,'SegEnds_NonXtal_Prot#'!A:AL,4,FALSE)</f>
        <v>28</v>
      </c>
      <c r="AC235" s="1">
        <f>VLOOKUP(A235,'SegEnds_NonXtal_Prot#'!A:AL,10,FALSE)-VLOOKUP(A235,'SegEnds_NonXtal_Prot#'!A:AL,7,FALSE)</f>
        <v>15</v>
      </c>
      <c r="AD235" s="1" t="e">
        <f>VLOOKUP(A235,'SegEnds_NonXtal_Prot#'!A:AL,13,FALSE)-VLOOKUP(A235,'SegEnds_NonXtal_Prot#'!A:AL,10,FALSE)</f>
        <v>#VALUE!</v>
      </c>
      <c r="AE235" s="1">
        <f>VLOOKUP(A235,'SegEnds_NonXtal_Prot#'!A:AL,16,FALSE)-VLOOKUP(A235,'SegEnds_NonXtal_Prot#'!A:AL,10,FALSE)</f>
        <v>44</v>
      </c>
      <c r="AF235" s="1">
        <f>VLOOKUP(A235,'SegEnds_NonXtal_Prot#'!A:AL,22,FALSE)-VLOOKUP(A235,'SegEnds_NonXtal_Prot#'!A:AL,19,FALSE)</f>
        <v>21</v>
      </c>
      <c r="AG235" s="1">
        <f>VLOOKUP(A235,'SegEnds_NonXtal_Prot#'!A:AL,28,FALSE)-VLOOKUP(A235,'SegEnds_NonXtal_Prot#'!A:AL,25,FALSE)</f>
        <v>31</v>
      </c>
      <c r="AH235" s="1">
        <f>VLOOKUP(A235,'SegEnds_NonXtal_Prot#'!A:AL,28,FALSE)-VLOOKUP(A235,'SegEnds_NonXtal_Prot#'!A:AL,22,FALSE)</f>
        <v>56</v>
      </c>
      <c r="AI235" s="1">
        <f>VLOOKUP(A235,'SegEnds_NonXtal_Prot#'!A:AL,31,FALSE)-VLOOKUP(A235,'SegEnds_NonXtal_Prot#'!A:AL,28,FALSE)</f>
        <v>41</v>
      </c>
      <c r="AJ235" s="1">
        <f>VLOOKUP(A235,'SegEnds_NonXtal_Prot#'!A:AL,34,FALSE)-VLOOKUP(A235,'SegEnds_NonXtal_Prot#'!A:AL,31,FALSE)</f>
        <v>44</v>
      </c>
      <c r="AK235" s="1">
        <f>VLOOKUP(A235,'SegEnds_NonXtal_Prot#'!A:AL,37,FALSE)-VLOOKUP(A235,'SegEnds_NonXtal_Prot#'!A:AL,34,FALSE)</f>
        <v>10</v>
      </c>
      <c r="AL235" s="1" t="str">
        <f>IF(ISERROR(MATCH(A235,'SegEnds_Xtal_Prot#'!B:B, 0)), "NoXtal", "Xtal")</f>
        <v>NoXtal</v>
      </c>
    </row>
    <row r="236" spans="1:38" x14ac:dyDescent="0.2">
      <c r="A236" s="1" t="s">
        <v>188</v>
      </c>
      <c r="B236" s="1" t="str">
        <f>VLOOKUP(A236,Xtal_Templ!A:B,2,FALSE)</f>
        <v>ccr7_human</v>
      </c>
      <c r="C236" s="5">
        <f>VLOOKUP($B236&amp;"__wt",'SegEnds_Xtal_BW#'!$A:$Z,3,FALSE)</f>
        <v>29</v>
      </c>
      <c r="D236" s="1">
        <f>VLOOKUP($B236&amp;"__wt",'SegEnds_Xtal_BW#'!$A:$Z,4,FALSE)</f>
        <v>60</v>
      </c>
      <c r="E236" s="1">
        <f>VLOOKUP($B236&amp;"__wt",'SegEnds_Xtal_BW#'!$A:$Z,5,FALSE)</f>
        <v>48</v>
      </c>
      <c r="F236" s="1">
        <f>VLOOKUP($B236&amp;"__wt",'SegEnds_Xtal_BW#'!$A:$Z,6,FALSE)</f>
        <v>51</v>
      </c>
      <c r="G236" s="1">
        <v>37</v>
      </c>
      <c r="H236" s="12">
        <v>66</v>
      </c>
      <c r="I236" s="1">
        <f>VLOOKUP($B236&amp;"__wt",'SegEnds_Xtal_BW#'!$A:$Z,9,FALSE)</f>
        <v>49</v>
      </c>
      <c r="J236" s="1">
        <f>VLOOKUP($B236&amp;"__wt",'SegEnds_Xtal_BW#'!$A:$Z,10,FALSE)</f>
        <v>52</v>
      </c>
      <c r="K236" s="12">
        <v>24</v>
      </c>
      <c r="L236" s="1">
        <f>VLOOKUP($B236&amp;"__wt",'SegEnds_Xtal_BW#'!$A:$Z,12,FALSE)</f>
        <v>56</v>
      </c>
      <c r="M236" s="1">
        <f>VLOOKUP($B236&amp;"__wt",'SegEnds_Xtal_BW#'!$A:$Z,13,FALSE)</f>
        <v>50</v>
      </c>
      <c r="N236" s="12">
        <v>57</v>
      </c>
      <c r="O236" s="87">
        <v>38</v>
      </c>
      <c r="P236" s="1">
        <f>VLOOKUP($B236&amp;"__wt",'SegEnds_Xtal_BW#'!$A:$Z,16,FALSE)</f>
        <v>64</v>
      </c>
      <c r="Q236" s="1">
        <f>VLOOKUP($B236&amp;"__wt",'SegEnds_Xtal_BW#'!$A:$Z,17,FALSE)</f>
        <v>50</v>
      </c>
      <c r="R236" s="1">
        <f>VLOOKUP($B236&amp;"__wt",'SegEnds_Xtal_BW#'!$A:$Z,18,FALSE)</f>
        <v>52</v>
      </c>
      <c r="S236" s="1">
        <f>VLOOKUP($B236&amp;"__wt",'SegEnds_Xtal_BW#'!$A:$Z,19,FALSE)</f>
        <v>33</v>
      </c>
      <c r="T236" s="1">
        <f t="array" ref="T236">INDEX(ICL3_classA!$G$2:$G$39,MATCH(MIN(ABS(AI236-ICL3_classA!$F$2:$F$39)),ABS(AI236-ICL3_classA!$F$2:$F$39),0))</f>
        <v>68</v>
      </c>
      <c r="U236" s="1">
        <f t="array" ref="U236">INDEX(ICL3_classA!$H$2:$H$39,MATCH(MIN(ABS(AI236-ICL3_classA!$F$2:$F$39)),ABS(AI236-ICL3_classA!$F$2:$F$39),0))</f>
        <v>28</v>
      </c>
      <c r="V236" s="1">
        <v>64</v>
      </c>
      <c r="W236" s="1">
        <v>24</v>
      </c>
      <c r="X236" s="1">
        <f>VLOOKUP($B236&amp;"__wt",'SegEnds_Xtal_BW#'!$A:$Z,24,FALSE)</f>
        <v>56</v>
      </c>
      <c r="Y236" s="1">
        <f>VLOOKUP($B236&amp;"__wt",'SegEnds_Xtal_BW#'!$A:$Z,25,FALSE)</f>
        <v>47</v>
      </c>
      <c r="Z236" s="1">
        <f>VLOOKUP($B236&amp;"__wt",'SegEnds_Xtal_BW#'!$A:$Z,26,FALSE)</f>
        <v>59</v>
      </c>
      <c r="AA236" s="27" t="str">
        <f>VLOOKUP(A236,Classification!A:B,2,FALSE)</f>
        <v>A</v>
      </c>
      <c r="AB236" s="1">
        <f>VLOOKUP(A236,'SegEnds_NonXtal_Prot#'!A:AL,10,FALSE)-VLOOKUP(A236,'SegEnds_NonXtal_Prot#'!A:AL,4,FALSE)</f>
        <v>28</v>
      </c>
      <c r="AC236" s="1">
        <f>VLOOKUP(A236,'SegEnds_NonXtal_Prot#'!A:AL,10,FALSE)-VLOOKUP(A236,'SegEnds_NonXtal_Prot#'!A:AL,7,FALSE)</f>
        <v>15</v>
      </c>
      <c r="AD236" s="1">
        <f>VLOOKUP(A236,'SegEnds_NonXtal_Prot#'!A:AL,13,FALSE)-VLOOKUP(A236,'SegEnds_NonXtal_Prot#'!A:AL,10,FALSE)</f>
        <v>18</v>
      </c>
      <c r="AE236" s="1">
        <f>VLOOKUP(A236,'SegEnds_NonXtal_Prot#'!A:AL,16,FALSE)-VLOOKUP(A236,'SegEnds_NonXtal_Prot#'!A:AL,10,FALSE)</f>
        <v>50</v>
      </c>
      <c r="AF236" s="1">
        <f>VLOOKUP(A236,'SegEnds_NonXtal_Prot#'!A:AL,22,FALSE)-VLOOKUP(A236,'SegEnds_NonXtal_Prot#'!A:AL,19,FALSE)</f>
        <v>20</v>
      </c>
      <c r="AG236" s="1">
        <f>VLOOKUP(A236,'SegEnds_NonXtal_Prot#'!A:AL,28,FALSE)-VLOOKUP(A236,'SegEnds_NonXtal_Prot#'!A:AL,25,FALSE)</f>
        <v>28</v>
      </c>
      <c r="AH236" s="1">
        <f>VLOOKUP(A236,'SegEnds_NonXtal_Prot#'!A:AL,28,FALSE)-VLOOKUP(A236,'SegEnds_NonXtal_Prot#'!A:AL,22,FALSE)</f>
        <v>56</v>
      </c>
      <c r="AI236" s="1">
        <f>VLOOKUP(A236,'SegEnds_NonXtal_Prot#'!A:AL,31,FALSE)-VLOOKUP(A236,'SegEnds_NonXtal_Prot#'!A:AL,28,FALSE)</f>
        <v>44</v>
      </c>
      <c r="AJ236" s="1">
        <f>VLOOKUP(A236,'SegEnds_NonXtal_Prot#'!A:AL,34,FALSE)-VLOOKUP(A236,'SegEnds_NonXtal_Prot#'!A:AL,31,FALSE)</f>
        <v>45</v>
      </c>
      <c r="AK236" s="1">
        <f>VLOOKUP(A236,'SegEnds_NonXtal_Prot#'!A:AL,37,FALSE)-VLOOKUP(A236,'SegEnds_NonXtal_Prot#'!A:AL,34,FALSE)</f>
        <v>10</v>
      </c>
      <c r="AL236" s="1" t="str">
        <f>IF(ISERROR(MATCH(A236,'SegEnds_Xtal_Prot#'!B:B, 0)), "NoXtal", "Xtal")</f>
        <v>NoXtal</v>
      </c>
    </row>
    <row r="237" spans="1:38" x14ac:dyDescent="0.2">
      <c r="A237" s="1" t="s">
        <v>198</v>
      </c>
      <c r="B237" s="1" t="str">
        <f>VLOOKUP(A237,Xtal_Templ!A:B,2,FALSE)</f>
        <v>par1_human</v>
      </c>
      <c r="C237" s="5">
        <f>VLOOKUP($B237&amp;"__wt",'SegEnds_Xtal_BW#'!$A:$Z,3,FALSE)</f>
        <v>29</v>
      </c>
      <c r="D237" s="1">
        <f>VLOOKUP($B237&amp;"__wt",'SegEnds_Xtal_BW#'!$A:$Z,4,FALSE)</f>
        <v>60</v>
      </c>
      <c r="E237" s="1">
        <f>VLOOKUP($B237&amp;"__wt",'SegEnds_Xtal_BW#'!$A:$Z,5,FALSE)</f>
        <v>48</v>
      </c>
      <c r="F237" s="1">
        <f>VLOOKUP($B237&amp;"__wt",'SegEnds_Xtal_BW#'!$A:$Z,6,FALSE)</f>
        <v>51</v>
      </c>
      <c r="G237" s="1">
        <v>37</v>
      </c>
      <c r="H237" s="12">
        <f>VLOOKUP($B237&amp;"__wt",'SegEnds_Xtal_BW#'!$A:$Z,8,FALSE)</f>
        <v>66</v>
      </c>
      <c r="I237" s="1">
        <f>VLOOKUP($B237&amp;"__wt",'SegEnds_Xtal_BW#'!$A:$Z,9,FALSE)</f>
        <v>49</v>
      </c>
      <c r="J237" s="1">
        <f>VLOOKUP($B237&amp;"__wt",'SegEnds_Xtal_BW#'!$A:$Z,10,FALSE)</f>
        <v>52</v>
      </c>
      <c r="K237" s="12">
        <v>18</v>
      </c>
      <c r="L237" s="1">
        <f>VLOOKUP($B237&amp;"__wt",'SegEnds_Xtal_BW#'!$A:$Z,12,FALSE)</f>
        <v>56</v>
      </c>
      <c r="M237" s="1">
        <f>VLOOKUP($B237&amp;"__wt",'SegEnds_Xtal_BW#'!$A:$Z,13,FALSE)</f>
        <v>50</v>
      </c>
      <c r="N237" s="12">
        <v>57</v>
      </c>
      <c r="O237" s="87">
        <f>VLOOKUP($B237&amp;"__wt",'SegEnds_Xtal_BW#'!$A:$Z,15,FALSE)</f>
        <v>38</v>
      </c>
      <c r="P237" s="1">
        <f>VLOOKUP($B237&amp;"__wt",'SegEnds_Xtal_BW#'!$A:$Z,16,FALSE)</f>
        <v>63</v>
      </c>
      <c r="Q237" s="1">
        <f>VLOOKUP($B237&amp;"__wt",'SegEnds_Xtal_BW#'!$A:$Z,17,FALSE)</f>
        <v>50</v>
      </c>
      <c r="R237" s="1">
        <f>VLOOKUP($B237&amp;"__wt",'SegEnds_Xtal_BW#'!$A:$Z,18,FALSE)</f>
        <v>52</v>
      </c>
      <c r="S237" s="1">
        <f>VLOOKUP($B237&amp;"__wt",'SegEnds_Xtal_BW#'!$A:$Z,19,FALSE)</f>
        <v>32</v>
      </c>
      <c r="T237" s="1">
        <f t="array" ref="T237">INDEX(ICL3_classA!$G$2:$G$39,MATCH(MIN(ABS(AI237-ICL3_classA!$F$2:$F$39)),ABS(AI237-ICL3_classA!$F$2:$F$39),0))</f>
        <v>68</v>
      </c>
      <c r="U237" s="1">
        <f t="array" ref="U237">INDEX(ICL3_classA!$H$2:$H$39,MATCH(MIN(ABS(AI237-ICL3_classA!$F$2:$F$39)),ABS(AI237-ICL3_classA!$F$2:$F$39),0))</f>
        <v>28</v>
      </c>
      <c r="V237" s="1">
        <v>61</v>
      </c>
      <c r="W237" s="1">
        <v>33</v>
      </c>
      <c r="X237" s="1">
        <f>VLOOKUP($B237&amp;"__wt",'SegEnds_Xtal_BW#'!$A:$Z,24,FALSE)</f>
        <v>56</v>
      </c>
      <c r="Y237" s="1">
        <f>VLOOKUP($B237&amp;"__wt",'SegEnds_Xtal_BW#'!$A:$Z,25,FALSE)</f>
        <v>47</v>
      </c>
      <c r="Z237" s="1">
        <f>VLOOKUP($B237&amp;"__wt",'SegEnds_Xtal_BW#'!$A:$Z,26,FALSE)</f>
        <v>61</v>
      </c>
      <c r="AA237" s="27" t="str">
        <f>VLOOKUP(A237,Classification!A:B,2,FALSE)</f>
        <v>A</v>
      </c>
      <c r="AB237" s="1">
        <f>VLOOKUP(A237,'SegEnds_NonXtal_Prot#'!A:AL,10,FALSE)-VLOOKUP(A237,'SegEnds_NonXtal_Prot#'!A:AL,4,FALSE)</f>
        <v>29</v>
      </c>
      <c r="AC237" s="1" t="e">
        <f>VLOOKUP(A237,'SegEnds_NonXtal_Prot#'!A:AL,10,FALSE)-VLOOKUP(A237,'SegEnds_NonXtal_Prot#'!A:AL,7,FALSE)</f>
        <v>#VALUE!</v>
      </c>
      <c r="AD237" s="1">
        <f>VLOOKUP(A237,'SegEnds_NonXtal_Prot#'!A:AL,13,FALSE)-VLOOKUP(A237,'SegEnds_NonXtal_Prot#'!A:AL,10,FALSE)</f>
        <v>20</v>
      </c>
      <c r="AE237" s="1">
        <f>VLOOKUP(A237,'SegEnds_NonXtal_Prot#'!A:AL,16,FALSE)-VLOOKUP(A237,'SegEnds_NonXtal_Prot#'!A:AL,10,FALSE)</f>
        <v>52</v>
      </c>
      <c r="AF237" s="1">
        <f>VLOOKUP(A237,'SegEnds_NonXtal_Prot#'!A:AL,22,FALSE)-VLOOKUP(A237,'SegEnds_NonXtal_Prot#'!A:AL,19,FALSE)</f>
        <v>20</v>
      </c>
      <c r="AG237" s="1">
        <f>VLOOKUP(A237,'SegEnds_NonXtal_Prot#'!A:AL,28,FALSE)-VLOOKUP(A237,'SegEnds_NonXtal_Prot#'!A:AL,25,FALSE)</f>
        <v>27</v>
      </c>
      <c r="AH237" s="1">
        <f>VLOOKUP(A237,'SegEnds_NonXtal_Prot#'!A:AL,28,FALSE)-VLOOKUP(A237,'SegEnds_NonXtal_Prot#'!A:AL,22,FALSE)</f>
        <v>56</v>
      </c>
      <c r="AI237" s="1">
        <f>VLOOKUP(A237,'SegEnds_NonXtal_Prot#'!A:AL,31,FALSE)-VLOOKUP(A237,'SegEnds_NonXtal_Prot#'!A:AL,28,FALSE)</f>
        <v>44</v>
      </c>
      <c r="AJ237" s="1">
        <f>VLOOKUP(A237,'SegEnds_NonXtal_Prot#'!A:AL,34,FALSE)-VLOOKUP(A237,'SegEnds_NonXtal_Prot#'!A:AL,31,FALSE)</f>
        <v>33</v>
      </c>
      <c r="AK237" s="1">
        <f>VLOOKUP(A237,'SegEnds_NonXtal_Prot#'!A:AL,37,FALSE)-VLOOKUP(A237,'SegEnds_NonXtal_Prot#'!A:AL,34,FALSE)</f>
        <v>10</v>
      </c>
      <c r="AL237" s="1" t="str">
        <f>IF(ISERROR(MATCH(A237,'SegEnds_Xtal_Prot#'!B:B, 0)), "NoXtal", "Xtal")</f>
        <v>NoXtal</v>
      </c>
    </row>
    <row r="238" spans="1:38" x14ac:dyDescent="0.2">
      <c r="A238" s="4" t="s">
        <v>199</v>
      </c>
      <c r="B238" s="4" t="str">
        <f>VLOOKUP(A238,Xtal_Templ!A:B,2,FALSE)</f>
        <v>ox2r_human</v>
      </c>
      <c r="C238" s="5">
        <f>VLOOKUP($B238&amp;"__wt",'SegEnds_Xtal_BW#'!$A:$Z,3,FALSE)</f>
        <v>31</v>
      </c>
      <c r="D238" s="4">
        <f>VLOOKUP($B238&amp;"__wt",'SegEnds_Xtal_BW#'!$A:$Z,4,FALSE)</f>
        <v>60</v>
      </c>
      <c r="E238" s="4">
        <f>VLOOKUP($B238&amp;"__wt",'SegEnds_Xtal_BW#'!$A:$Z,5,FALSE)</f>
        <v>48</v>
      </c>
      <c r="F238" s="4">
        <f>VLOOKUP($B238&amp;"__wt",'SegEnds_Xtal_BW#'!$A:$Z,6,FALSE)</f>
        <v>51</v>
      </c>
      <c r="G238" s="4">
        <v>37</v>
      </c>
      <c r="H238" s="11">
        <v>66</v>
      </c>
      <c r="I238" s="4">
        <f>VLOOKUP($B238&amp;"__wt",'SegEnds_Xtal_BW#'!$A:$Z,9,FALSE)</f>
        <v>49</v>
      </c>
      <c r="J238" s="4">
        <f>VLOOKUP($B238&amp;"__wt",'SegEnds_Xtal_BW#'!$A:$Z,10,FALSE)</f>
        <v>52</v>
      </c>
      <c r="K238" s="11">
        <v>21</v>
      </c>
      <c r="L238" s="4">
        <f>VLOOKUP($B238&amp;"__wt",'SegEnds_Xtal_BW#'!$A:$Z,12,FALSE)</f>
        <v>56</v>
      </c>
      <c r="M238" s="4">
        <f>VLOOKUP($B238&amp;"__wt",'SegEnds_Xtal_BW#'!$A:$Z,13,FALSE)</f>
        <v>50</v>
      </c>
      <c r="N238" s="11">
        <v>57</v>
      </c>
      <c r="O238" s="87">
        <f>VLOOKUP($B238&amp;"__wt",'SegEnds_Xtal_BW#'!$A:$Z,15,FALSE)</f>
        <v>38</v>
      </c>
      <c r="P238" s="4">
        <f>VLOOKUP($B238&amp;"__wt",'SegEnds_Xtal_BW#'!$A:$Z,16,FALSE)</f>
        <v>64</v>
      </c>
      <c r="Q238" s="4">
        <f>VLOOKUP($B238&amp;"__wt",'SegEnds_Xtal_BW#'!$A:$Z,17,FALSE)</f>
        <v>50</v>
      </c>
      <c r="R238" s="4">
        <f>VLOOKUP($B238&amp;"__wt",'SegEnds_Xtal_BW#'!$A:$Z,18,FALSE)</f>
        <v>52</v>
      </c>
      <c r="S238" s="4">
        <f>VLOOKUP($B238&amp;"__wt",'SegEnds_Xtal_BW#'!$A:$Z,19,FALSE)</f>
        <v>33</v>
      </c>
      <c r="T238" s="4">
        <f t="array" ref="T238">INDEX(ICL3_classA!$G$2:$G$39,MATCH(MIN(ABS(AI238-ICL3_classA!$F$2:$F$39)),ABS(AI238-ICL3_classA!$F$2:$F$39),0))</f>
        <v>76</v>
      </c>
      <c r="U238" s="4">
        <f t="array" ref="U238">INDEX(ICL3_classA!$H$2:$H$39,MATCH(MIN(ABS(AI238-ICL3_classA!$F$2:$F$39)),ABS(AI238-ICL3_classA!$F$2:$F$39),0))</f>
        <v>24</v>
      </c>
      <c r="V238" s="4">
        <v>61</v>
      </c>
      <c r="W238" s="131">
        <f>VLOOKUP($B238&amp;"__wt",'SegEnds_Xtal_BW#'!$A:$Z,23,FALSE)</f>
        <v>27</v>
      </c>
      <c r="X238" s="4">
        <f>VLOOKUP($B238&amp;"__wt",'SegEnds_Xtal_BW#'!$A:$Z,24,FALSE)</f>
        <v>56</v>
      </c>
      <c r="Y238" s="4">
        <f>VLOOKUP($B238&amp;"__wt",'SegEnds_Xtal_BW#'!$A:$Z,25,FALSE)</f>
        <v>47</v>
      </c>
      <c r="Z238" s="4">
        <f>VLOOKUP($B238&amp;"__wt",'SegEnds_Xtal_BW#'!$A:$Z,26,FALSE)</f>
        <v>63</v>
      </c>
      <c r="AA238" s="27" t="str">
        <f>VLOOKUP(A238,Classification!A:B,2,FALSE)</f>
        <v>A</v>
      </c>
      <c r="AB238" s="1">
        <f>VLOOKUP(A238,'SegEnds_NonXtal_Prot#'!A:AL,10,FALSE)-VLOOKUP(A238,'SegEnds_NonXtal_Prot#'!A:AL,4,FALSE)</f>
        <v>27</v>
      </c>
      <c r="AC238" s="4" t="e">
        <f>VLOOKUP(A238,'SegEnds_NonXtal_Prot#'!A:AL,10,FALSE)-VLOOKUP(A238,'SegEnds_NonXtal_Prot#'!A:AL,7,FALSE)</f>
        <v>#VALUE!</v>
      </c>
      <c r="AD238" s="4">
        <f>VLOOKUP(A238,'SegEnds_NonXtal_Prot#'!A:AL,13,FALSE)-VLOOKUP(A238,'SegEnds_NonXtal_Prot#'!A:AL,10,FALSE)</f>
        <v>19</v>
      </c>
      <c r="AE238" s="4">
        <f>VLOOKUP(A238,'SegEnds_NonXtal_Prot#'!A:AL,16,FALSE)-VLOOKUP(A238,'SegEnds_NonXtal_Prot#'!A:AL,10,FALSE)</f>
        <v>51</v>
      </c>
      <c r="AF238" s="1">
        <f>VLOOKUP(A238,'SegEnds_NonXtal_Prot#'!A:AL,22,FALSE)-VLOOKUP(A238,'SegEnds_NonXtal_Prot#'!A:AL,19,FALSE)</f>
        <v>20</v>
      </c>
      <c r="AG238" s="4">
        <f>VLOOKUP(A238,'SegEnds_NonXtal_Prot#'!A:AL,28,FALSE)-VLOOKUP(A238,'SegEnds_NonXtal_Prot#'!A:AL,25,FALSE)</f>
        <v>25</v>
      </c>
      <c r="AH238" s="1">
        <f>VLOOKUP(A238,'SegEnds_NonXtal_Prot#'!A:AL,28,FALSE)-VLOOKUP(A238,'SegEnds_NonXtal_Prot#'!A:AL,22,FALSE)</f>
        <v>56</v>
      </c>
      <c r="AI238" s="4">
        <f>VLOOKUP(A238,'SegEnds_NonXtal_Prot#'!A:AL,31,FALSE)-VLOOKUP(A238,'SegEnds_NonXtal_Prot#'!A:AL,28,FALSE)</f>
        <v>76</v>
      </c>
      <c r="AJ238" s="4">
        <f>VLOOKUP(A238,'SegEnds_NonXtal_Prot#'!A:AL,34,FALSE)-VLOOKUP(A238,'SegEnds_NonXtal_Prot#'!A:AL,31,FALSE)</f>
        <v>39</v>
      </c>
      <c r="AK238" s="1">
        <f>VLOOKUP(A238,'SegEnds_NonXtal_Prot#'!A:AL,37,FALSE)-VLOOKUP(A238,'SegEnds_NonXtal_Prot#'!A:AL,34,FALSE)</f>
        <v>10</v>
      </c>
      <c r="AL238" s="1" t="str">
        <f>IF(ISERROR(MATCH(A238,'SegEnds_Xtal_Prot#'!B:B, 0)), "NoXtal", "Xtal")</f>
        <v>NoXtal</v>
      </c>
    </row>
    <row r="239" spans="1:38" x14ac:dyDescent="0.2">
      <c r="A239" s="1" t="s">
        <v>208</v>
      </c>
      <c r="B239" s="1" t="str">
        <f>VLOOKUP(A239,Xtal_Templ!A:B,2,FALSE)</f>
        <v>ntr1_human</v>
      </c>
      <c r="C239" s="5">
        <f>VLOOKUP($B239&amp;"__wt",'SegEnds_Xtal_BW#'!$A:$Z,3,FALSE)</f>
        <v>28</v>
      </c>
      <c r="D239" s="1">
        <f>VLOOKUP($B239&amp;"__wt",'SegEnds_Xtal_BW#'!$A:$Z,4,FALSE)</f>
        <v>60</v>
      </c>
      <c r="E239" s="1" t="str">
        <f>VLOOKUP($B239&amp;"__wt",'SegEnds_Xtal_BW#'!$A:$Z,5,FALSE)</f>
        <v>-</v>
      </c>
      <c r="F239" s="1" t="str">
        <f>VLOOKUP($B239&amp;"__wt",'SegEnds_Xtal_BW#'!$A:$Z,6,FALSE)</f>
        <v>-</v>
      </c>
      <c r="G239" s="1">
        <v>37</v>
      </c>
      <c r="H239" s="12">
        <v>67</v>
      </c>
      <c r="I239" s="1">
        <f>VLOOKUP($B239&amp;"__wt",'SegEnds_Xtal_BW#'!$A:$Z,9,FALSE)</f>
        <v>49</v>
      </c>
      <c r="J239" s="1">
        <f>VLOOKUP($B239&amp;"__wt",'SegEnds_Xtal_BW#'!$A:$Z,10,FALSE)</f>
        <v>52</v>
      </c>
      <c r="K239" s="12">
        <v>18</v>
      </c>
      <c r="L239" s="1">
        <f>VLOOKUP($B239&amp;"__wt",'SegEnds_Xtal_BW#'!$A:$Z,12,FALSE)</f>
        <v>56</v>
      </c>
      <c r="M239" s="1">
        <f>VLOOKUP($B239&amp;"__wt",'SegEnds_Xtal_BW#'!$A:$Z,13,FALSE)</f>
        <v>50</v>
      </c>
      <c r="N239" s="12">
        <v>57</v>
      </c>
      <c r="O239" s="87">
        <f>VLOOKUP($B239&amp;"__wt",'SegEnds_Xtal_BW#'!$A:$Z,15,FALSE)</f>
        <v>38</v>
      </c>
      <c r="P239" s="1">
        <f>VLOOKUP($B239&amp;"__wt",'SegEnds_Xtal_BW#'!$A:$Z,16,FALSE)</f>
        <v>64</v>
      </c>
      <c r="Q239" s="1">
        <f>VLOOKUP($B239&amp;"__wt",'SegEnds_Xtal_BW#'!$A:$Z,17,FALSE)</f>
        <v>50</v>
      </c>
      <c r="R239" s="1">
        <f>VLOOKUP($B239&amp;"__wt",'SegEnds_Xtal_BW#'!$A:$Z,18,FALSE)</f>
        <v>52</v>
      </c>
      <c r="S239" s="1">
        <f>VLOOKUP($B239&amp;"__wt",'SegEnds_Xtal_BW#'!$A:$Z,19,FALSE)</f>
        <v>31</v>
      </c>
      <c r="T239" s="1">
        <f t="array" ref="T239">INDEX(ICL3_classA!$G$2:$G$39,MATCH(MIN(ABS(AI239-ICL3_classA!$F$2:$F$39)),ABS(AI239-ICL3_classA!$F$2:$F$39),0))</f>
        <v>72</v>
      </c>
      <c r="U239" s="1">
        <f t="array" ref="U239">INDEX(ICL3_classA!$H$2:$H$39,MATCH(MIN(ABS(AI239-ICL3_classA!$F$2:$F$39)),ABS(AI239-ICL3_classA!$F$2:$F$39),0))</f>
        <v>24</v>
      </c>
      <c r="V239" s="1">
        <v>61</v>
      </c>
      <c r="W239" s="1">
        <v>28</v>
      </c>
      <c r="X239" s="1">
        <f>VLOOKUP($B239&amp;"__wt",'SegEnds_Xtal_BW#'!$A:$Z,24,FALSE)</f>
        <v>56</v>
      </c>
      <c r="Y239" s="1">
        <f>VLOOKUP($B239&amp;"__wt",'SegEnds_Xtal_BW#'!$A:$Z,25,FALSE)</f>
        <v>47</v>
      </c>
      <c r="Z239" s="1">
        <f>VLOOKUP($B239&amp;"__wt",'SegEnds_Xtal_BW#'!$A:$Z,26,FALSE)</f>
        <v>62</v>
      </c>
      <c r="AA239" s="27" t="str">
        <f>VLOOKUP(A239,Classification!A:B,2,FALSE)</f>
        <v>A</v>
      </c>
      <c r="AB239" s="1">
        <f>VLOOKUP(A239,'SegEnds_NonXtal_Prot#'!A:AL,10,FALSE)-VLOOKUP(A239,'SegEnds_NonXtal_Prot#'!A:AL,4,FALSE)</f>
        <v>28</v>
      </c>
      <c r="AC239" s="1">
        <f>VLOOKUP(A239,'SegEnds_NonXtal_Prot#'!A:AL,10,FALSE)-VLOOKUP(A239,'SegEnds_NonXtal_Prot#'!A:AL,7,FALSE)</f>
        <v>15</v>
      </c>
      <c r="AD239" s="1">
        <f>VLOOKUP(A239,'SegEnds_NonXtal_Prot#'!A:AL,13,FALSE)-VLOOKUP(A239,'SegEnds_NonXtal_Prot#'!A:AL,10,FALSE)</f>
        <v>20</v>
      </c>
      <c r="AE239" s="1">
        <f>VLOOKUP(A239,'SegEnds_NonXtal_Prot#'!A:AL,16,FALSE)-VLOOKUP(A239,'SegEnds_NonXtal_Prot#'!A:AL,10,FALSE)</f>
        <v>52</v>
      </c>
      <c r="AF239" s="1">
        <f>VLOOKUP(A239,'SegEnds_NonXtal_Prot#'!A:AL,22,FALSE)-VLOOKUP(A239,'SegEnds_NonXtal_Prot#'!A:AL,19,FALSE)</f>
        <v>20</v>
      </c>
      <c r="AG239" s="1">
        <f>VLOOKUP(A239,'SegEnds_NonXtal_Prot#'!A:AL,28,FALSE)-VLOOKUP(A239,'SegEnds_NonXtal_Prot#'!A:AL,25,FALSE)</f>
        <v>26</v>
      </c>
      <c r="AH239" s="1">
        <f>VLOOKUP(A239,'SegEnds_NonXtal_Prot#'!A:AL,28,FALSE)-VLOOKUP(A239,'SegEnds_NonXtal_Prot#'!A:AL,22,FALSE)</f>
        <v>56</v>
      </c>
      <c r="AI239" s="1">
        <f>VLOOKUP(A239,'SegEnds_NonXtal_Prot#'!A:AL,31,FALSE)-VLOOKUP(A239,'SegEnds_NonXtal_Prot#'!A:AL,28,FALSE)</f>
        <v>54</v>
      </c>
      <c r="AJ239" s="1">
        <f>VLOOKUP(A239,'SegEnds_NonXtal_Prot#'!A:AL,34,FALSE)-VLOOKUP(A239,'SegEnds_NonXtal_Prot#'!A:AL,31,FALSE)</f>
        <v>42</v>
      </c>
      <c r="AK239" s="1">
        <f>VLOOKUP(A239,'SegEnds_NonXtal_Prot#'!A:AL,37,FALSE)-VLOOKUP(A239,'SegEnds_NonXtal_Prot#'!A:AL,34,FALSE)</f>
        <v>10</v>
      </c>
      <c r="AL239" s="1" t="str">
        <f>IF(ISERROR(MATCH(A239,'SegEnds_Xtal_Prot#'!B:B, 0)), "NoXtal", "Xtal")</f>
        <v>NoXtal</v>
      </c>
    </row>
    <row r="240" spans="1:38" x14ac:dyDescent="0.2">
      <c r="A240" s="1" t="s">
        <v>216</v>
      </c>
      <c r="B240" s="1" t="str">
        <f>VLOOKUP(A240,Xtal_Templ!A:B,2,FALSE)</f>
        <v>ccr7_human</v>
      </c>
      <c r="C240" s="5">
        <f>VLOOKUP($B240&amp;"__wt",'SegEnds_Xtal_BW#'!$A:$Z,3,FALSE)</f>
        <v>29</v>
      </c>
      <c r="D240" s="1">
        <f>VLOOKUP($B240&amp;"__wt",'SegEnds_Xtal_BW#'!$A:$Z,4,FALSE)</f>
        <v>60</v>
      </c>
      <c r="E240" s="1">
        <f>VLOOKUP($B240&amp;"__wt",'SegEnds_Xtal_BW#'!$A:$Z,5,FALSE)</f>
        <v>48</v>
      </c>
      <c r="F240" s="1">
        <f>VLOOKUP($B240&amp;"__wt",'SegEnds_Xtal_BW#'!$A:$Z,6,FALSE)</f>
        <v>51</v>
      </c>
      <c r="G240" s="1">
        <v>37</v>
      </c>
      <c r="H240" s="12">
        <v>66</v>
      </c>
      <c r="I240" s="1">
        <f>VLOOKUP($B240&amp;"__wt",'SegEnds_Xtal_BW#'!$A:$Z,9,FALSE)</f>
        <v>49</v>
      </c>
      <c r="J240" s="1">
        <f>VLOOKUP($B240&amp;"__wt",'SegEnds_Xtal_BW#'!$A:$Z,10,FALSE)</f>
        <v>52</v>
      </c>
      <c r="K240" s="12">
        <v>21</v>
      </c>
      <c r="L240" s="1">
        <f>VLOOKUP($B240&amp;"__wt",'SegEnds_Xtal_BW#'!$A:$Z,12,FALSE)</f>
        <v>56</v>
      </c>
      <c r="M240" s="1">
        <f>VLOOKUP($B240&amp;"__wt",'SegEnds_Xtal_BW#'!$A:$Z,13,FALSE)</f>
        <v>50</v>
      </c>
      <c r="N240" s="12">
        <v>57</v>
      </c>
      <c r="O240" s="87">
        <v>38</v>
      </c>
      <c r="P240" s="1">
        <f>VLOOKUP($B240&amp;"__wt",'SegEnds_Xtal_BW#'!$A:$Z,16,FALSE)</f>
        <v>64</v>
      </c>
      <c r="Q240" s="1">
        <f>VLOOKUP($B240&amp;"__wt",'SegEnds_Xtal_BW#'!$A:$Z,17,FALSE)</f>
        <v>50</v>
      </c>
      <c r="R240" s="1">
        <f>VLOOKUP($B240&amp;"__wt",'SegEnds_Xtal_BW#'!$A:$Z,18,FALSE)</f>
        <v>52</v>
      </c>
      <c r="S240" s="1">
        <f>VLOOKUP($B240&amp;"__wt",'SegEnds_Xtal_BW#'!$A:$Z,19,FALSE)</f>
        <v>33</v>
      </c>
      <c r="T240" s="1">
        <f t="array" ref="T240">INDEX(ICL3_classA!$G$2:$G$39,MATCH(MIN(ABS(AI240-ICL3_classA!$F$2:$F$39)),ABS(AI240-ICL3_classA!$F$2:$F$39),0))</f>
        <v>68</v>
      </c>
      <c r="U240" s="1">
        <f t="array" ref="U240">INDEX(ICL3_classA!$H$2:$H$39,MATCH(MIN(ABS(AI240-ICL3_classA!$F$2:$F$39)),ABS(AI240-ICL3_classA!$F$2:$F$39),0))</f>
        <v>28</v>
      </c>
      <c r="V240" s="1">
        <v>61</v>
      </c>
      <c r="W240" s="1">
        <v>28</v>
      </c>
      <c r="X240" s="1">
        <f>VLOOKUP($B240&amp;"__wt",'SegEnds_Xtal_BW#'!$A:$Z,24,FALSE)</f>
        <v>56</v>
      </c>
      <c r="Y240" s="1">
        <f>VLOOKUP($B240&amp;"__wt",'SegEnds_Xtal_BW#'!$A:$Z,25,FALSE)</f>
        <v>47</v>
      </c>
      <c r="Z240" s="1">
        <f>VLOOKUP($B240&amp;"__wt",'SegEnds_Xtal_BW#'!$A:$Z,26,FALSE)</f>
        <v>59</v>
      </c>
      <c r="AA240" s="27" t="str">
        <f>VLOOKUP(A240,Classification!A:B,2,FALSE)</f>
        <v>A</v>
      </c>
      <c r="AB240" s="1">
        <f>VLOOKUP(A240,'SegEnds_NonXtal_Prot#'!A:AL,10,FALSE)-VLOOKUP(A240,'SegEnds_NonXtal_Prot#'!A:AL,4,FALSE)</f>
        <v>28</v>
      </c>
      <c r="AC240" s="1">
        <f>VLOOKUP(A240,'SegEnds_NonXtal_Prot#'!A:AL,10,FALSE)-VLOOKUP(A240,'SegEnds_NonXtal_Prot#'!A:AL,7,FALSE)</f>
        <v>15</v>
      </c>
      <c r="AD240" s="1">
        <f>VLOOKUP(A240,'SegEnds_NonXtal_Prot#'!A:AL,13,FALSE)-VLOOKUP(A240,'SegEnds_NonXtal_Prot#'!A:AL,10,FALSE)</f>
        <v>19</v>
      </c>
      <c r="AE240" s="1">
        <f>VLOOKUP(A240,'SegEnds_NonXtal_Prot#'!A:AL,16,FALSE)-VLOOKUP(A240,'SegEnds_NonXtal_Prot#'!A:AL,10,FALSE)</f>
        <v>51</v>
      </c>
      <c r="AF240" s="1">
        <f>VLOOKUP(A240,'SegEnds_NonXtal_Prot#'!A:AL,22,FALSE)-VLOOKUP(A240,'SegEnds_NonXtal_Prot#'!A:AL,19,FALSE)</f>
        <v>20</v>
      </c>
      <c r="AG240" s="1">
        <f>VLOOKUP(A240,'SegEnds_NonXtal_Prot#'!A:AL,28,FALSE)-VLOOKUP(A240,'SegEnds_NonXtal_Prot#'!A:AL,25,FALSE)</f>
        <v>30</v>
      </c>
      <c r="AH240" s="1">
        <f>VLOOKUP(A240,'SegEnds_NonXtal_Prot#'!A:AL,28,FALSE)-VLOOKUP(A240,'SegEnds_NonXtal_Prot#'!A:AL,22,FALSE)</f>
        <v>56</v>
      </c>
      <c r="AI240" s="1">
        <f>VLOOKUP(A240,'SegEnds_NonXtal_Prot#'!A:AL,31,FALSE)-VLOOKUP(A240,'SegEnds_NonXtal_Prot#'!A:AL,28,FALSE)</f>
        <v>44</v>
      </c>
      <c r="AJ240" s="1">
        <f>VLOOKUP(A240,'SegEnds_NonXtal_Prot#'!A:AL,34,FALSE)-VLOOKUP(A240,'SegEnds_NonXtal_Prot#'!A:AL,31,FALSE)</f>
        <v>40</v>
      </c>
      <c r="AK240" s="1">
        <f>VLOOKUP(A240,'SegEnds_NonXtal_Prot#'!A:AL,37,FALSE)-VLOOKUP(A240,'SegEnds_NonXtal_Prot#'!A:AL,34,FALSE)</f>
        <v>11</v>
      </c>
      <c r="AL240" s="1" t="str">
        <f>IF(ISERROR(MATCH(A240,'SegEnds_Xtal_Prot#'!B:B, 0)), "NoXtal", "Xtal")</f>
        <v>NoXtal</v>
      </c>
    </row>
    <row r="241" spans="1:38" x14ac:dyDescent="0.2">
      <c r="A241" s="1" t="s">
        <v>236</v>
      </c>
      <c r="B241" s="1" t="str">
        <f>VLOOKUP(A241,Xtal_Templ!A:B,2,FALSE)</f>
        <v>fpr2_human</v>
      </c>
      <c r="C241" s="5">
        <f>VLOOKUP($B241&amp;"__wt",'SegEnds_Xtal_BW#'!$A:$Z,3,FALSE)</f>
        <v>25</v>
      </c>
      <c r="D241" s="1">
        <f>VLOOKUP($B241&amp;"__wt",'SegEnds_Xtal_BW#'!$A:$Z,4,FALSE)</f>
        <v>61</v>
      </c>
      <c r="E241" s="1" t="str">
        <f>VLOOKUP($B241&amp;"__wt",'SegEnds_Xtal_BW#'!$A:$Z,5,FALSE)</f>
        <v>-</v>
      </c>
      <c r="F241" s="1" t="str">
        <f>VLOOKUP($B241&amp;"__wt",'SegEnds_Xtal_BW#'!$A:$Z,6,FALSE)</f>
        <v>-</v>
      </c>
      <c r="G241" s="1">
        <v>37</v>
      </c>
      <c r="H241" s="12">
        <f>VLOOKUP($B241&amp;"__wt",'SegEnds_Xtal_BW#'!$A:$Z,8,FALSE)</f>
        <v>67</v>
      </c>
      <c r="I241" s="1">
        <f>VLOOKUP($B241&amp;"__wt",'SegEnds_Xtal_BW#'!$A:$Z,9,FALSE)</f>
        <v>49</v>
      </c>
      <c r="J241" s="1">
        <f>VLOOKUP($B241&amp;"__wt",'SegEnds_Xtal_BW#'!$A:$Z,10,FALSE)</f>
        <v>52</v>
      </c>
      <c r="K241" s="12">
        <v>18</v>
      </c>
      <c r="L241" s="1">
        <f>VLOOKUP($B241&amp;"__wt",'SegEnds_Xtal_BW#'!$A:$Z,12,FALSE)</f>
        <v>56</v>
      </c>
      <c r="M241" s="1">
        <f>VLOOKUP($B241&amp;"__wt",'SegEnds_Xtal_BW#'!$A:$Z,13,FALSE)</f>
        <v>50</v>
      </c>
      <c r="N241" s="12">
        <v>57</v>
      </c>
      <c r="O241" s="87">
        <v>38</v>
      </c>
      <c r="P241" s="1">
        <f>VLOOKUP($B241&amp;"__wt",'SegEnds_Xtal_BW#'!$A:$Z,16,FALSE)</f>
        <v>64</v>
      </c>
      <c r="Q241" s="1">
        <f>VLOOKUP($B241&amp;"__wt",'SegEnds_Xtal_BW#'!$A:$Z,17,FALSE)</f>
        <v>50</v>
      </c>
      <c r="R241" s="1">
        <f>VLOOKUP($B241&amp;"__wt",'SegEnds_Xtal_BW#'!$A:$Z,18,FALSE)</f>
        <v>52</v>
      </c>
      <c r="S241" s="1">
        <f>VLOOKUP($B241&amp;"__wt",'SegEnds_Xtal_BW#'!$A:$Z,19,FALSE)</f>
        <v>23</v>
      </c>
      <c r="T241" s="1">
        <f t="array" ref="T241">INDEX(ICL3_classA!$G$2:$G$39,MATCH(MIN(ABS(AI241-ICL3_classA!$F$2:$F$39)),ABS(AI241-ICL3_classA!$F$2:$F$39),0))</f>
        <v>68</v>
      </c>
      <c r="U241" s="1">
        <f t="array" ref="U241">INDEX(ICL3_classA!$H$2:$H$39,MATCH(MIN(ABS(AI241-ICL3_classA!$F$2:$F$39)),ABS(AI241-ICL3_classA!$F$2:$F$39),0))</f>
        <v>30</v>
      </c>
      <c r="V241" s="1">
        <v>61</v>
      </c>
      <c r="W241" s="1">
        <v>28</v>
      </c>
      <c r="X241" s="1">
        <f>VLOOKUP($B241&amp;"__wt",'SegEnds_Xtal_BW#'!$A:$Z,24,FALSE)</f>
        <v>56</v>
      </c>
      <c r="Y241" s="1">
        <f>VLOOKUP($B241&amp;"__wt",'SegEnds_Xtal_BW#'!$A:$Z,25,FALSE)</f>
        <v>47</v>
      </c>
      <c r="Z241" s="1">
        <f>VLOOKUP($B241&amp;"__wt",'SegEnds_Xtal_BW#'!$A:$Z,26,FALSE)</f>
        <v>58</v>
      </c>
      <c r="AA241" s="27" t="str">
        <f>VLOOKUP(A241,Classification!A:B,2,FALSE)</f>
        <v>A</v>
      </c>
      <c r="AB241" s="1">
        <f>VLOOKUP(A241,'SegEnds_NonXtal_Prot#'!A:AL,10,FALSE)-VLOOKUP(A241,'SegEnds_NonXtal_Prot#'!A:AL,4,FALSE)</f>
        <v>27</v>
      </c>
      <c r="AC241" s="1" t="e">
        <f>VLOOKUP(A241,'SegEnds_NonXtal_Prot#'!A:AL,10,FALSE)-VLOOKUP(A241,'SegEnds_NonXtal_Prot#'!A:AL,7,FALSE)</f>
        <v>#VALUE!</v>
      </c>
      <c r="AD241" s="1">
        <f>VLOOKUP(A241,'SegEnds_NonXtal_Prot#'!A:AL,13,FALSE)-VLOOKUP(A241,'SegEnds_NonXtal_Prot#'!A:AL,10,FALSE)</f>
        <v>20</v>
      </c>
      <c r="AE241" s="1">
        <f>VLOOKUP(A241,'SegEnds_NonXtal_Prot#'!A:AL,16,FALSE)-VLOOKUP(A241,'SegEnds_NonXtal_Prot#'!A:AL,10,FALSE)</f>
        <v>52</v>
      </c>
      <c r="AF241" s="1">
        <f>VLOOKUP(A241,'SegEnds_NonXtal_Prot#'!A:AL,22,FALSE)-VLOOKUP(A241,'SegEnds_NonXtal_Prot#'!A:AL,19,FALSE)</f>
        <v>20</v>
      </c>
      <c r="AG241" s="1">
        <f>VLOOKUP(A241,'SegEnds_NonXtal_Prot#'!A:AL,28,FALSE)-VLOOKUP(A241,'SegEnds_NonXtal_Prot#'!A:AL,25,FALSE)</f>
        <v>31</v>
      </c>
      <c r="AH241" s="1">
        <f>VLOOKUP(A241,'SegEnds_NonXtal_Prot#'!A:AL,28,FALSE)-VLOOKUP(A241,'SegEnds_NonXtal_Prot#'!A:AL,22,FALSE)</f>
        <v>56</v>
      </c>
      <c r="AI241" s="1">
        <f>VLOOKUP(A241,'SegEnds_NonXtal_Prot#'!A:AL,31,FALSE)-VLOOKUP(A241,'SegEnds_NonXtal_Prot#'!A:AL,28,FALSE)</f>
        <v>43</v>
      </c>
      <c r="AJ241" s="1">
        <f>VLOOKUP(A241,'SegEnds_NonXtal_Prot#'!A:AL,34,FALSE)-VLOOKUP(A241,'SegEnds_NonXtal_Prot#'!A:AL,31,FALSE)</f>
        <v>40</v>
      </c>
      <c r="AK241" s="1">
        <f>VLOOKUP(A241,'SegEnds_NonXtal_Prot#'!A:AL,37,FALSE)-VLOOKUP(A241,'SegEnds_NonXtal_Prot#'!A:AL,34,FALSE)</f>
        <v>10</v>
      </c>
      <c r="AL241" s="1" t="str">
        <f>IF(ISERROR(MATCH(A241,'SegEnds_Xtal_Prot#'!B:B, 0)), "NoXtal", "Xtal")</f>
        <v>NoXtal</v>
      </c>
    </row>
    <row r="242" spans="1:38" x14ac:dyDescent="0.2">
      <c r="A242" s="1" t="s">
        <v>257</v>
      </c>
      <c r="B242" s="1" t="str">
        <f>VLOOKUP(A242,Xtal_Templ!A:B,2,FALSE)</f>
        <v>par1_human</v>
      </c>
      <c r="C242" s="5">
        <f>VLOOKUP($B242&amp;"__wt",'SegEnds_Xtal_BW#'!$A:$Z,3,FALSE)</f>
        <v>29</v>
      </c>
      <c r="D242" s="1">
        <f>VLOOKUP($B242&amp;"__wt",'SegEnds_Xtal_BW#'!$A:$Z,4,FALSE)</f>
        <v>60</v>
      </c>
      <c r="E242" s="1">
        <f>VLOOKUP($B242&amp;"__wt",'SegEnds_Xtal_BW#'!$A:$Z,5,FALSE)</f>
        <v>48</v>
      </c>
      <c r="F242" s="1">
        <f>VLOOKUP($B242&amp;"__wt",'SegEnds_Xtal_BW#'!$A:$Z,6,FALSE)</f>
        <v>51</v>
      </c>
      <c r="G242" s="1">
        <v>37</v>
      </c>
      <c r="H242" s="12">
        <f>VLOOKUP($B242&amp;"__wt",'SegEnds_Xtal_BW#'!$A:$Z,8,FALSE)</f>
        <v>66</v>
      </c>
      <c r="I242" s="1">
        <f>VLOOKUP($B242&amp;"__wt",'SegEnds_Xtal_BW#'!$A:$Z,9,FALSE)</f>
        <v>49</v>
      </c>
      <c r="J242" s="1">
        <f>VLOOKUP($B242&amp;"__wt",'SegEnds_Xtal_BW#'!$A:$Z,10,FALSE)</f>
        <v>52</v>
      </c>
      <c r="K242" s="12">
        <v>18</v>
      </c>
      <c r="L242" s="1">
        <f>VLOOKUP($B242&amp;"__wt",'SegEnds_Xtal_BW#'!$A:$Z,12,FALSE)</f>
        <v>56</v>
      </c>
      <c r="M242" s="1">
        <f>VLOOKUP($B242&amp;"__wt",'SegEnds_Xtal_BW#'!$A:$Z,13,FALSE)</f>
        <v>50</v>
      </c>
      <c r="N242" s="12">
        <v>57</v>
      </c>
      <c r="O242" s="87">
        <f>VLOOKUP($B242&amp;"__wt",'SegEnds_Xtal_BW#'!$A:$Z,15,FALSE)</f>
        <v>38</v>
      </c>
      <c r="P242" s="1">
        <f>VLOOKUP($B242&amp;"__wt",'SegEnds_Xtal_BW#'!$A:$Z,16,FALSE)</f>
        <v>63</v>
      </c>
      <c r="Q242" s="1">
        <f>VLOOKUP($B242&amp;"__wt",'SegEnds_Xtal_BW#'!$A:$Z,17,FALSE)</f>
        <v>50</v>
      </c>
      <c r="R242" s="1">
        <f>VLOOKUP($B242&amp;"__wt",'SegEnds_Xtal_BW#'!$A:$Z,18,FALSE)</f>
        <v>52</v>
      </c>
      <c r="S242" s="1">
        <f>VLOOKUP($B242&amp;"__wt",'SegEnds_Xtal_BW#'!$A:$Z,19,FALSE)</f>
        <v>32</v>
      </c>
      <c r="T242" s="1">
        <f t="array" ref="T242">INDEX(ICL3_classA!$G$2:$G$39,MATCH(MIN(ABS(AI242-ICL3_classA!$F$2:$F$39)),ABS(AI242-ICL3_classA!$F$2:$F$39),0))</f>
        <v>68</v>
      </c>
      <c r="U242" s="1">
        <f t="array" ref="U242">INDEX(ICL3_classA!$H$2:$H$39,MATCH(MIN(ABS(AI242-ICL3_classA!$F$2:$F$39)),ABS(AI242-ICL3_classA!$F$2:$F$39),0))</f>
        <v>28</v>
      </c>
      <c r="V242" s="1">
        <v>61</v>
      </c>
      <c r="W242" s="1">
        <v>33</v>
      </c>
      <c r="X242" s="1">
        <f>VLOOKUP($B242&amp;"__wt",'SegEnds_Xtal_BW#'!$A:$Z,24,FALSE)</f>
        <v>56</v>
      </c>
      <c r="Y242" s="1">
        <f>VLOOKUP($B242&amp;"__wt",'SegEnds_Xtal_BW#'!$A:$Z,25,FALSE)</f>
        <v>47</v>
      </c>
      <c r="Z242" s="1">
        <f>VLOOKUP($B242&amp;"__wt",'SegEnds_Xtal_BW#'!$A:$Z,26,FALSE)</f>
        <v>61</v>
      </c>
      <c r="AA242" s="27" t="str">
        <f>VLOOKUP(A242,Classification!A:B,2,FALSE)</f>
        <v>A</v>
      </c>
      <c r="AB242" s="1">
        <f>VLOOKUP(A242,'SegEnds_NonXtal_Prot#'!A:AL,10,FALSE)-VLOOKUP(A242,'SegEnds_NonXtal_Prot#'!A:AL,4,FALSE)</f>
        <v>29</v>
      </c>
      <c r="AC242" s="1" t="e">
        <f>VLOOKUP(A242,'SegEnds_NonXtal_Prot#'!A:AL,10,FALSE)-VLOOKUP(A242,'SegEnds_NonXtal_Prot#'!A:AL,7,FALSE)</f>
        <v>#VALUE!</v>
      </c>
      <c r="AD242" s="1">
        <f>VLOOKUP(A242,'SegEnds_NonXtal_Prot#'!A:AL,13,FALSE)-VLOOKUP(A242,'SegEnds_NonXtal_Prot#'!A:AL,10,FALSE)</f>
        <v>20</v>
      </c>
      <c r="AE242" s="1">
        <f>VLOOKUP(A242,'SegEnds_NonXtal_Prot#'!A:AL,16,FALSE)-VLOOKUP(A242,'SegEnds_NonXtal_Prot#'!A:AL,10,FALSE)</f>
        <v>52</v>
      </c>
      <c r="AF242" s="1">
        <f>VLOOKUP(A242,'SegEnds_NonXtal_Prot#'!A:AL,22,FALSE)-VLOOKUP(A242,'SegEnds_NonXtal_Prot#'!A:AL,19,FALSE)</f>
        <v>20</v>
      </c>
      <c r="AG242" s="1">
        <f>VLOOKUP(A242,'SegEnds_NonXtal_Prot#'!A:AL,28,FALSE)-VLOOKUP(A242,'SegEnds_NonXtal_Prot#'!A:AL,25,FALSE)</f>
        <v>27</v>
      </c>
      <c r="AH242" s="1">
        <f>VLOOKUP(A242,'SegEnds_NonXtal_Prot#'!A:AL,28,FALSE)-VLOOKUP(A242,'SegEnds_NonXtal_Prot#'!A:AL,22,FALSE)</f>
        <v>56</v>
      </c>
      <c r="AI242" s="1">
        <f>VLOOKUP(A242,'SegEnds_NonXtal_Prot#'!A:AL,31,FALSE)-VLOOKUP(A242,'SegEnds_NonXtal_Prot#'!A:AL,28,FALSE)</f>
        <v>44</v>
      </c>
      <c r="AJ242" s="1">
        <f>VLOOKUP(A242,'SegEnds_NonXtal_Prot#'!A:AL,34,FALSE)-VLOOKUP(A242,'SegEnds_NonXtal_Prot#'!A:AL,31,FALSE)</f>
        <v>33</v>
      </c>
      <c r="AK242" s="1">
        <f>VLOOKUP(A242,'SegEnds_NonXtal_Prot#'!A:AL,37,FALSE)-VLOOKUP(A242,'SegEnds_NonXtal_Prot#'!A:AL,34,FALSE)</f>
        <v>10</v>
      </c>
      <c r="AL242" s="1" t="str">
        <f>IF(ISERROR(MATCH(A242,'SegEnds_Xtal_Prot#'!B:B, 0)), "NoXtal", "Xtal")</f>
        <v>NoXtal</v>
      </c>
    </row>
    <row r="243" spans="1:38" x14ac:dyDescent="0.2">
      <c r="A243" s="1" t="s">
        <v>316</v>
      </c>
      <c r="B243" s="1" t="str">
        <f>VLOOKUP(A243,Xtal_Templ!A:B,2,FALSE)</f>
        <v>ednrb_human</v>
      </c>
      <c r="C243" s="5">
        <f>VLOOKUP($B243&amp;"__wt",'SegEnds_Xtal_BW#'!$A:$Z,3,FALSE)</f>
        <v>22</v>
      </c>
      <c r="D243" s="1">
        <f>VLOOKUP($B243&amp;"__wt",'SegEnds_Xtal_BW#'!$A:$Z,4,FALSE)</f>
        <v>60</v>
      </c>
      <c r="E243" s="1">
        <f>VLOOKUP($B243&amp;"__wt",'SegEnds_Xtal_BW#'!$A:$Z,5,FALSE)</f>
        <v>48</v>
      </c>
      <c r="F243" s="1">
        <f>VLOOKUP($B243&amp;"__wt",'SegEnds_Xtal_BW#'!$A:$Z,6,FALSE)</f>
        <v>52</v>
      </c>
      <c r="G243" s="1">
        <v>37</v>
      </c>
      <c r="H243" s="12">
        <f>VLOOKUP($B243&amp;"__wt",'SegEnds_Xtal_BW#'!$A:$Z,8,FALSE)</f>
        <v>67</v>
      </c>
      <c r="I243" s="1">
        <f>VLOOKUP($B243&amp;"__wt",'SegEnds_Xtal_BW#'!$A:$Z,9,FALSE)</f>
        <v>49</v>
      </c>
      <c r="J243" s="1">
        <f>VLOOKUP($B243&amp;"__wt",'SegEnds_Xtal_BW#'!$A:$Z,10,FALSE)</f>
        <v>52</v>
      </c>
      <c r="K243" s="12">
        <v>18</v>
      </c>
      <c r="L243" s="1">
        <f>VLOOKUP($B243&amp;"__wt",'SegEnds_Xtal_BW#'!$A:$Z,12,FALSE)</f>
        <v>56</v>
      </c>
      <c r="M243" s="1">
        <f>VLOOKUP($B243&amp;"__wt",'SegEnds_Xtal_BW#'!$A:$Z,13,FALSE)</f>
        <v>50</v>
      </c>
      <c r="N243" s="12">
        <v>57</v>
      </c>
      <c r="O243" s="87">
        <v>38</v>
      </c>
      <c r="P243" s="1">
        <f>VLOOKUP($B243&amp;"__wt",'SegEnds_Xtal_BW#'!$A:$Z,16,FALSE)</f>
        <v>64</v>
      </c>
      <c r="Q243" s="1">
        <f>VLOOKUP($B243&amp;"__wt",'SegEnds_Xtal_BW#'!$A:$Z,17,FALSE)</f>
        <v>50</v>
      </c>
      <c r="R243" s="1">
        <f>VLOOKUP($B243&amp;"__wt",'SegEnds_Xtal_BW#'!$A:$Z,18,FALSE)</f>
        <v>52</v>
      </c>
      <c r="S243" s="1">
        <f>VLOOKUP($B243&amp;"__wt",'SegEnds_Xtal_BW#'!$A:$Z,19,FALSE)</f>
        <v>28</v>
      </c>
      <c r="T243" s="1">
        <f t="array" ref="T243">INDEX(ICL3_classA!$G$2:$G$39,MATCH(MIN(ABS(AI243-ICL3_classA!$F$2:$F$39)),ABS(AI243-ICL3_classA!$F$2:$F$39),0))</f>
        <v>73</v>
      </c>
      <c r="U243" s="1">
        <f t="array" ref="U243">INDEX(ICL3_classA!$H$2:$H$39,MATCH(MIN(ABS(AI243-ICL3_classA!$F$2:$F$39)),ABS(AI243-ICL3_classA!$F$2:$F$39),0))</f>
        <v>22</v>
      </c>
      <c r="V243" s="1">
        <v>61</v>
      </c>
      <c r="W243" s="1">
        <v>28</v>
      </c>
      <c r="X243" s="1">
        <f>VLOOKUP($B243&amp;"__wt",'SegEnds_Xtal_BW#'!$A:$Z,24,FALSE)</f>
        <v>56</v>
      </c>
      <c r="Y243" s="1">
        <f>VLOOKUP($B243&amp;"__wt",'SegEnds_Xtal_BW#'!$A:$Z,25,FALSE)</f>
        <v>47</v>
      </c>
      <c r="Z243" s="1">
        <f>VLOOKUP($B243&amp;"__wt",'SegEnds_Xtal_BW#'!$A:$Z,26,FALSE)</f>
        <v>60</v>
      </c>
      <c r="AA243" s="27" t="str">
        <f>VLOOKUP(A243,Classification!A:B,2,FALSE)</f>
        <v>A</v>
      </c>
      <c r="AB243" s="1">
        <f>VLOOKUP(A243,'SegEnds_NonXtal_Prot#'!A:AL,10,FALSE)-VLOOKUP(A243,'SegEnds_NonXtal_Prot#'!A:AL,4,FALSE)</f>
        <v>28</v>
      </c>
      <c r="AC243" s="1">
        <f>VLOOKUP(A243,'SegEnds_NonXtal_Prot#'!A:AL,10,FALSE)-VLOOKUP(A243,'SegEnds_NonXtal_Prot#'!A:AL,7,FALSE)</f>
        <v>15</v>
      </c>
      <c r="AD243" s="1">
        <f>VLOOKUP(A243,'SegEnds_NonXtal_Prot#'!A:AL,13,FALSE)-VLOOKUP(A243,'SegEnds_NonXtal_Prot#'!A:AL,10,FALSE)</f>
        <v>20</v>
      </c>
      <c r="AE243" s="1">
        <f>VLOOKUP(A243,'SegEnds_NonXtal_Prot#'!A:AL,16,FALSE)-VLOOKUP(A243,'SegEnds_NonXtal_Prot#'!A:AL,10,FALSE)</f>
        <v>52</v>
      </c>
      <c r="AF243" s="1">
        <f>VLOOKUP(A243,'SegEnds_NonXtal_Prot#'!A:AL,22,FALSE)-VLOOKUP(A243,'SegEnds_NonXtal_Prot#'!A:AL,19,FALSE)</f>
        <v>20</v>
      </c>
      <c r="AG243" s="1">
        <f>VLOOKUP(A243,'SegEnds_NonXtal_Prot#'!A:AL,28,FALSE)-VLOOKUP(A243,'SegEnds_NonXtal_Prot#'!A:AL,25,FALSE)</f>
        <v>26</v>
      </c>
      <c r="AH243" s="1">
        <f>VLOOKUP(A243,'SegEnds_NonXtal_Prot#'!A:AL,28,FALSE)-VLOOKUP(A243,'SegEnds_NonXtal_Prot#'!A:AL,22,FALSE)</f>
        <v>56</v>
      </c>
      <c r="AI243" s="1">
        <f>VLOOKUP(A243,'SegEnds_NonXtal_Prot#'!A:AL,31,FALSE)-VLOOKUP(A243,'SegEnds_NonXtal_Prot#'!A:AL,28,FALSE)</f>
        <v>57</v>
      </c>
      <c r="AJ243" s="1">
        <f>VLOOKUP(A243,'SegEnds_NonXtal_Prot#'!A:AL,34,FALSE)-VLOOKUP(A243,'SegEnds_NonXtal_Prot#'!A:AL,31,FALSE)</f>
        <v>40</v>
      </c>
      <c r="AK243" s="1">
        <f>VLOOKUP(A243,'SegEnds_NonXtal_Prot#'!A:AL,37,FALSE)-VLOOKUP(A243,'SegEnds_NonXtal_Prot#'!A:AL,34,FALSE)</f>
        <v>10</v>
      </c>
      <c r="AL243" s="1" t="str">
        <f>IF(ISERROR(MATCH(A243,'SegEnds_Xtal_Prot#'!B:B, 0)), "NoXtal", "Xtal")</f>
        <v>NoXtal</v>
      </c>
    </row>
    <row r="244" spans="1:38" x14ac:dyDescent="0.2">
      <c r="A244" s="1" t="s">
        <v>356</v>
      </c>
      <c r="B244" s="1" t="str">
        <f>VLOOKUP(A244,Xtal_Templ!A:B,2,FALSE)</f>
        <v>par2_human</v>
      </c>
      <c r="C244" s="5">
        <f>VLOOKUP($B244&amp;"__wt",'SegEnds_Xtal_BW#'!$A:$Z,3,FALSE)</f>
        <v>28</v>
      </c>
      <c r="D244" s="1">
        <f>VLOOKUP($B244&amp;"__wt",'SegEnds_Xtal_BW#'!$A:$Z,4,FALSE)</f>
        <v>60</v>
      </c>
      <c r="E244" s="1" t="str">
        <f>VLOOKUP($B244&amp;"__wt",'SegEnds_Xtal_BW#'!$A:$Z,5,FALSE)</f>
        <v>-</v>
      </c>
      <c r="F244" s="1" t="str">
        <f>VLOOKUP($B244&amp;"__wt",'SegEnds_Xtal_BW#'!$A:$Z,6,FALSE)</f>
        <v>-</v>
      </c>
      <c r="G244" s="1">
        <v>37</v>
      </c>
      <c r="H244" s="12">
        <f>VLOOKUP($B244&amp;"__wt",'SegEnds_Xtal_BW#'!$A:$Z,8,FALSE)</f>
        <v>66</v>
      </c>
      <c r="I244" s="1">
        <f>VLOOKUP($B244&amp;"__wt",'SegEnds_Xtal_BW#'!$A:$Z,9,FALSE)</f>
        <v>47</v>
      </c>
      <c r="J244" s="1">
        <f>VLOOKUP($B244&amp;"__wt",'SegEnds_Xtal_BW#'!$A:$Z,10,FALSE)</f>
        <v>52</v>
      </c>
      <c r="K244" s="12">
        <v>18</v>
      </c>
      <c r="L244" s="1">
        <f>VLOOKUP($B244&amp;"__wt",'SegEnds_Xtal_BW#'!$A:$Z,12,FALSE)</f>
        <v>56</v>
      </c>
      <c r="M244" s="1">
        <f>VLOOKUP($B244&amp;"__wt",'SegEnds_Xtal_BW#'!$A:$Z,13,FALSE)</f>
        <v>50</v>
      </c>
      <c r="N244" s="12">
        <v>57</v>
      </c>
      <c r="O244" s="87">
        <f>VLOOKUP($B244&amp;"__wt",'SegEnds_Xtal_BW#'!$A:$Z,15,FALSE)</f>
        <v>38</v>
      </c>
      <c r="P244" s="1">
        <f>VLOOKUP($B244&amp;"__wt",'SegEnds_Xtal_BW#'!$A:$Z,16,FALSE)</f>
        <v>62</v>
      </c>
      <c r="Q244" s="1">
        <f>VLOOKUP($B244&amp;"__wt",'SegEnds_Xtal_BW#'!$A:$Z,17,FALSE)</f>
        <v>50</v>
      </c>
      <c r="R244" s="1">
        <f>VLOOKUP($B244&amp;"__wt",'SegEnds_Xtal_BW#'!$A:$Z,18,FALSE)</f>
        <v>52</v>
      </c>
      <c r="S244" s="1">
        <v>35</v>
      </c>
      <c r="T244" s="1">
        <f t="array" ref="T244">INDEX(ICL3_classA!$G$2:$G$39,MATCH(MIN(ABS(AI244-ICL3_classA!$F$2:$F$39)),ABS(AI244-ICL3_classA!$F$2:$F$39),0))</f>
        <v>68</v>
      </c>
      <c r="U244" s="1">
        <f t="array" ref="U244">INDEX(ICL3_classA!$H$2:$H$39,MATCH(MIN(ABS(AI244-ICL3_classA!$F$2:$F$39)),ABS(AI244-ICL3_classA!$F$2:$F$39),0))</f>
        <v>30</v>
      </c>
      <c r="V244" s="1">
        <v>62</v>
      </c>
      <c r="W244" s="131">
        <f>VLOOKUP($B244&amp;"__wt",'SegEnds_Xtal_BW#'!$A:$Z,23,FALSE)</f>
        <v>31</v>
      </c>
      <c r="X244" s="1">
        <f>VLOOKUP($B244&amp;"__wt",'SegEnds_Xtal_BW#'!$A:$Z,24,FALSE)</f>
        <v>56</v>
      </c>
      <c r="Y244" s="1">
        <f>VLOOKUP($B244&amp;"__wt",'SegEnds_Xtal_BW#'!$A:$Z,25,FALSE)</f>
        <v>47</v>
      </c>
      <c r="Z244" s="1">
        <f>VLOOKUP($B244&amp;"__wt",'SegEnds_Xtal_BW#'!$A:$Z,26,FALSE)</f>
        <v>61</v>
      </c>
      <c r="AA244" s="27" t="str">
        <f>VLOOKUP(A244,Classification!A:B,2,FALSE)</f>
        <v>A</v>
      </c>
      <c r="AB244" s="1">
        <f>VLOOKUP(A244,'SegEnds_NonXtal_Prot#'!A:AL,10,FALSE)-VLOOKUP(A244,'SegEnds_NonXtal_Prot#'!A:AL,4,FALSE)</f>
        <v>27</v>
      </c>
      <c r="AC244" s="1" t="e">
        <f>VLOOKUP(A244,'SegEnds_NonXtal_Prot#'!A:AL,10,FALSE)-VLOOKUP(A244,'SegEnds_NonXtal_Prot#'!A:AL,7,FALSE)</f>
        <v>#VALUE!</v>
      </c>
      <c r="AD244" s="1">
        <f>VLOOKUP(A244,'SegEnds_NonXtal_Prot#'!A:AL,13,FALSE)-VLOOKUP(A244,'SegEnds_NonXtal_Prot#'!A:AL,10,FALSE)</f>
        <v>20</v>
      </c>
      <c r="AE244" s="1">
        <f>VLOOKUP(A244,'SegEnds_NonXtal_Prot#'!A:AL,16,FALSE)-VLOOKUP(A244,'SegEnds_NonXtal_Prot#'!A:AL,10,FALSE)</f>
        <v>52</v>
      </c>
      <c r="AF244" s="1">
        <f>VLOOKUP(A244,'SegEnds_NonXtal_Prot#'!A:AL,22,FALSE)-VLOOKUP(A244,'SegEnds_NonXtal_Prot#'!A:AL,19,FALSE)</f>
        <v>20</v>
      </c>
      <c r="AG244" s="1">
        <f>VLOOKUP(A244,'SegEnds_NonXtal_Prot#'!A:AL,28,FALSE)-VLOOKUP(A244,'SegEnds_NonXtal_Prot#'!A:AL,25,FALSE)</f>
        <v>22</v>
      </c>
      <c r="AH244" s="1">
        <f>VLOOKUP(A244,'SegEnds_NonXtal_Prot#'!A:AL,28,FALSE)-VLOOKUP(A244,'SegEnds_NonXtal_Prot#'!A:AL,22,FALSE)</f>
        <v>56</v>
      </c>
      <c r="AI244" s="1">
        <f>VLOOKUP(A244,'SegEnds_NonXtal_Prot#'!A:AL,31,FALSE)-VLOOKUP(A244,'SegEnds_NonXtal_Prot#'!A:AL,28,FALSE)</f>
        <v>42</v>
      </c>
      <c r="AJ244" s="1">
        <f>VLOOKUP(A244,'SegEnds_NonXtal_Prot#'!A:AL,34,FALSE)-VLOOKUP(A244,'SegEnds_NonXtal_Prot#'!A:AL,31,FALSE)</f>
        <v>39</v>
      </c>
      <c r="AK244" s="1" t="e">
        <f>VLOOKUP(A244,'SegEnds_NonXtal_Prot#'!A:AL,37,FALSE)-VLOOKUP(A244,'SegEnds_NonXtal_Prot#'!A:AL,34,FALSE)</f>
        <v>#VALUE!</v>
      </c>
      <c r="AL244" s="1" t="str">
        <f>IF(ISERROR(MATCH(A244,'SegEnds_Xtal_Prot#'!B:B, 0)), "NoXtal", "Xtal")</f>
        <v>NoXtal</v>
      </c>
    </row>
    <row r="245" spans="1:38" x14ac:dyDescent="0.2">
      <c r="A245" s="1" t="s">
        <v>369</v>
      </c>
      <c r="B245" s="1" t="str">
        <f>VLOOKUP(A245,Xtal_Templ!A:B,2,FALSE)</f>
        <v>ptafr_human</v>
      </c>
      <c r="C245" s="5">
        <f>VLOOKUP($B245&amp;"__wt",'SegEnds_Xtal_BW#'!$A:$Z,3,FALSE)</f>
        <v>27</v>
      </c>
      <c r="D245" s="1">
        <f>VLOOKUP($B245&amp;"__wt",'SegEnds_Xtal_BW#'!$A:$Z,4,FALSE)</f>
        <v>61</v>
      </c>
      <c r="E245" s="1" t="str">
        <f>VLOOKUP($B245&amp;"__wt",'SegEnds_Xtal_BW#'!$A:$Z,5,FALSE)</f>
        <v>-</v>
      </c>
      <c r="F245" s="1" t="str">
        <f>VLOOKUP($B245&amp;"__wt",'SegEnds_Xtal_BW#'!$A:$Z,6,FALSE)</f>
        <v>-</v>
      </c>
      <c r="G245" s="1">
        <v>37</v>
      </c>
      <c r="H245" s="12">
        <f>VLOOKUP($B245&amp;"__wt",'SegEnds_Xtal_BW#'!$A:$Z,8,FALSE)</f>
        <v>67</v>
      </c>
      <c r="I245" s="1">
        <f>VLOOKUP($B245&amp;"__wt",'SegEnds_Xtal_BW#'!$A:$Z,9,FALSE)</f>
        <v>49</v>
      </c>
      <c r="J245" s="1">
        <f>VLOOKUP($B245&amp;"__wt",'SegEnds_Xtal_BW#'!$A:$Z,10,FALSE)</f>
        <v>52</v>
      </c>
      <c r="K245" s="12">
        <v>18</v>
      </c>
      <c r="L245" s="1">
        <f>VLOOKUP($B245&amp;"__wt",'SegEnds_Xtal_BW#'!$A:$Z,12,FALSE)</f>
        <v>56</v>
      </c>
      <c r="M245" s="1">
        <f>VLOOKUP($B245&amp;"__wt",'SegEnds_Xtal_BW#'!$A:$Z,13,FALSE)</f>
        <v>50</v>
      </c>
      <c r="N245" s="12">
        <v>57</v>
      </c>
      <c r="O245" s="87">
        <f>VLOOKUP($B245&amp;"__wt",'SegEnds_Xtal_BW#'!$A:$Z,15,FALSE)</f>
        <v>38</v>
      </c>
      <c r="P245" s="1">
        <f>VLOOKUP($B245&amp;"__wt",'SegEnds_Xtal_BW#'!$A:$Z,16,FALSE)</f>
        <v>63</v>
      </c>
      <c r="Q245" s="1">
        <f>VLOOKUP($B245&amp;"__wt",'SegEnds_Xtal_BW#'!$A:$Z,17,FALSE)</f>
        <v>50</v>
      </c>
      <c r="R245" s="1">
        <f>VLOOKUP($B245&amp;"__wt",'SegEnds_Xtal_BW#'!$A:$Z,18,FALSE)</f>
        <v>52</v>
      </c>
      <c r="S245" s="1">
        <f>VLOOKUP($B245&amp;"__wt",'SegEnds_Xtal_BW#'!$A:$Z,19,FALSE)</f>
        <v>33</v>
      </c>
      <c r="T245" s="1">
        <f t="array" ref="T245">INDEX(ICL3_classA!$G$2:$G$39,MATCH(MIN(ABS(AI245-ICL3_classA!$F$2:$F$39)),ABS(AI245-ICL3_classA!$F$2:$F$39),0))</f>
        <v>67</v>
      </c>
      <c r="U245" s="1">
        <f t="array" ref="U245">INDEX(ICL3_classA!$H$2:$H$39,MATCH(MIN(ABS(AI245-ICL3_classA!$F$2:$F$39)),ABS(AI245-ICL3_classA!$F$2:$F$39),0))</f>
        <v>26</v>
      </c>
      <c r="V245" s="1">
        <v>64</v>
      </c>
      <c r="W245" s="1">
        <v>24</v>
      </c>
      <c r="X245" s="1">
        <f>VLOOKUP($B245&amp;"__wt",'SegEnds_Xtal_BW#'!$A:$Z,24,FALSE)</f>
        <v>59</v>
      </c>
      <c r="Y245" s="1">
        <f>VLOOKUP($B245&amp;"__wt",'SegEnds_Xtal_BW#'!$A:$Z,25,FALSE)</f>
        <v>50</v>
      </c>
      <c r="Z245" s="1">
        <f>VLOOKUP($B245&amp;"__wt",'SegEnds_Xtal_BW#'!$A:$Z,26,FALSE)</f>
        <v>63</v>
      </c>
      <c r="AA245" s="27" t="str">
        <f>VLOOKUP(A245,Classification!A:B,2,FALSE)</f>
        <v>A</v>
      </c>
      <c r="AB245" s="1">
        <f>VLOOKUP(A245,'SegEnds_NonXtal_Prot#'!A:AL,10,FALSE)-VLOOKUP(A245,'SegEnds_NonXtal_Prot#'!A:AL,4,FALSE)</f>
        <v>28</v>
      </c>
      <c r="AC245" s="1" t="e">
        <f>VLOOKUP(A245,'SegEnds_NonXtal_Prot#'!A:AL,10,FALSE)-VLOOKUP(A245,'SegEnds_NonXtal_Prot#'!A:AL,7,FALSE)</f>
        <v>#VALUE!</v>
      </c>
      <c r="AD245" s="1">
        <f>VLOOKUP(A245,'SegEnds_NonXtal_Prot#'!A:AL,13,FALSE)-VLOOKUP(A245,'SegEnds_NonXtal_Prot#'!A:AL,10,FALSE)</f>
        <v>20</v>
      </c>
      <c r="AE245" s="1">
        <f>VLOOKUP(A245,'SegEnds_NonXtal_Prot#'!A:AL,16,FALSE)-VLOOKUP(A245,'SegEnds_NonXtal_Prot#'!A:AL,10,FALSE)</f>
        <v>52</v>
      </c>
      <c r="AF245" s="1">
        <f>VLOOKUP(A245,'SegEnds_NonXtal_Prot#'!A:AL,22,FALSE)-VLOOKUP(A245,'SegEnds_NonXtal_Prot#'!A:AL,19,FALSE)</f>
        <v>20</v>
      </c>
      <c r="AG245" s="1">
        <f>VLOOKUP(A245,'SegEnds_NonXtal_Prot#'!A:AL,28,FALSE)-VLOOKUP(A245,'SegEnds_NonXtal_Prot#'!A:AL,25,FALSE)</f>
        <v>25</v>
      </c>
      <c r="AH245" s="1">
        <f>VLOOKUP(A245,'SegEnds_NonXtal_Prot#'!A:AL,28,FALSE)-VLOOKUP(A245,'SegEnds_NonXtal_Prot#'!A:AL,22,FALSE)</f>
        <v>56</v>
      </c>
      <c r="AI245" s="1">
        <f>VLOOKUP(A245,'SegEnds_NonXtal_Prot#'!A:AL,31,FALSE)-VLOOKUP(A245,'SegEnds_NonXtal_Prot#'!A:AL,28,FALSE)</f>
        <v>46</v>
      </c>
      <c r="AJ245" s="1">
        <f>VLOOKUP(A245,'SegEnds_NonXtal_Prot#'!A:AL,34,FALSE)-VLOOKUP(A245,'SegEnds_NonXtal_Prot#'!A:AL,31,FALSE)</f>
        <v>46</v>
      </c>
      <c r="AK245" s="1">
        <f>VLOOKUP(A245,'SegEnds_NonXtal_Prot#'!A:AL,37,FALSE)-VLOOKUP(A245,'SegEnds_NonXtal_Prot#'!A:AL,34,FALSE)</f>
        <v>10</v>
      </c>
      <c r="AL245" s="1" t="str">
        <f>IF(ISERROR(MATCH(A245,'SegEnds_Xtal_Prot#'!B:B, 0)), "NoXtal", "Xtal")</f>
        <v>NoXtal</v>
      </c>
    </row>
    <row r="246" spans="1:38" x14ac:dyDescent="0.2">
      <c r="A246" s="1" t="s">
        <v>370</v>
      </c>
      <c r="B246" s="1" t="str">
        <f>VLOOKUP(A246,Xtal_Templ!A:B,2,FALSE)</f>
        <v>ptafr_human</v>
      </c>
      <c r="C246" s="5">
        <f>VLOOKUP($B246&amp;"__wt",'SegEnds_Xtal_BW#'!$A:$Z,3,FALSE)</f>
        <v>27</v>
      </c>
      <c r="D246" s="1">
        <f>VLOOKUP($B246&amp;"__wt",'SegEnds_Xtal_BW#'!$A:$Z,4,FALSE)</f>
        <v>61</v>
      </c>
      <c r="E246" s="1" t="str">
        <f>VLOOKUP($B246&amp;"__wt",'SegEnds_Xtal_BW#'!$A:$Z,5,FALSE)</f>
        <v>-</v>
      </c>
      <c r="F246" s="1" t="str">
        <f>VLOOKUP($B246&amp;"__wt",'SegEnds_Xtal_BW#'!$A:$Z,6,FALSE)</f>
        <v>-</v>
      </c>
      <c r="G246" s="108">
        <v>36</v>
      </c>
      <c r="H246" s="12">
        <f>VLOOKUP($B246&amp;"__wt",'SegEnds_Xtal_BW#'!$A:$Z,8,FALSE)</f>
        <v>67</v>
      </c>
      <c r="I246" s="1">
        <f>VLOOKUP($B246&amp;"__wt",'SegEnds_Xtal_BW#'!$A:$Z,9,FALSE)</f>
        <v>49</v>
      </c>
      <c r="J246" s="1">
        <f>VLOOKUP($B246&amp;"__wt",'SegEnds_Xtal_BW#'!$A:$Z,10,FALSE)</f>
        <v>52</v>
      </c>
      <c r="K246" s="12">
        <v>18</v>
      </c>
      <c r="L246" s="1">
        <f>VLOOKUP($B246&amp;"__wt",'SegEnds_Xtal_BW#'!$A:$Z,12,FALSE)</f>
        <v>56</v>
      </c>
      <c r="M246" s="1">
        <f>VLOOKUP($B246&amp;"__wt",'SegEnds_Xtal_BW#'!$A:$Z,13,FALSE)</f>
        <v>50</v>
      </c>
      <c r="N246" s="12">
        <f>VLOOKUP($B246&amp;"__wt",'SegEnds_Xtal_BW#'!$A:$Z,14,FALSE)</f>
        <v>57</v>
      </c>
      <c r="O246" s="87">
        <v>38</v>
      </c>
      <c r="P246" s="1">
        <f>VLOOKUP($B246&amp;"__wt",'SegEnds_Xtal_BW#'!$A:$Z,16,FALSE)</f>
        <v>63</v>
      </c>
      <c r="Q246" s="1">
        <f>VLOOKUP($B246&amp;"__wt",'SegEnds_Xtal_BW#'!$A:$Z,17,FALSE)</f>
        <v>50</v>
      </c>
      <c r="R246" s="1">
        <f>VLOOKUP($B246&amp;"__wt",'SegEnds_Xtal_BW#'!$A:$Z,18,FALSE)</f>
        <v>52</v>
      </c>
      <c r="S246" s="1">
        <f>VLOOKUP($B246&amp;"__wt",'SegEnds_Xtal_BW#'!$A:$Z,19,FALSE)</f>
        <v>33</v>
      </c>
      <c r="T246" s="1">
        <f t="array" ref="T246">INDEX(ICL3_classA!$G$2:$G$39,MATCH(MIN(ABS(AI246-ICL3_classA!$F$2:$F$39)),ABS(AI246-ICL3_classA!$F$2:$F$39),0))</f>
        <v>68</v>
      </c>
      <c r="U246" s="1">
        <f t="array" ref="U246">INDEX(ICL3_classA!$H$2:$H$39,MATCH(MIN(ABS(AI246-ICL3_classA!$F$2:$F$39)),ABS(AI246-ICL3_classA!$F$2:$F$39),0))</f>
        <v>24</v>
      </c>
      <c r="V246" s="108">
        <v>64</v>
      </c>
      <c r="W246" s="1">
        <v>24</v>
      </c>
      <c r="X246" s="1">
        <f>VLOOKUP($B246&amp;"__wt",'SegEnds_Xtal_BW#'!$A:$Z,24,FALSE)</f>
        <v>59</v>
      </c>
      <c r="Y246" s="1">
        <f>VLOOKUP($B246&amp;"__wt",'SegEnds_Xtal_BW#'!$A:$Z,25,FALSE)</f>
        <v>50</v>
      </c>
      <c r="Z246" s="1">
        <f>VLOOKUP($B246&amp;"__wt",'SegEnds_Xtal_BW#'!$A:$Z,26,FALSE)</f>
        <v>63</v>
      </c>
      <c r="AA246" s="27" t="str">
        <f>VLOOKUP(A246,Classification!A:B,2,FALSE)</f>
        <v>A</v>
      </c>
      <c r="AB246" s="1">
        <f>VLOOKUP(A246,'SegEnds_NonXtal_Prot#'!A:AL,10,FALSE)-VLOOKUP(A246,'SegEnds_NonXtal_Prot#'!A:AL,4,FALSE)</f>
        <v>30</v>
      </c>
      <c r="AC246" s="1" t="e">
        <f>VLOOKUP(A246,'SegEnds_NonXtal_Prot#'!A:AL,10,FALSE)-VLOOKUP(A246,'SegEnds_NonXtal_Prot#'!A:AL,7,FALSE)</f>
        <v>#VALUE!</v>
      </c>
      <c r="AD246" s="1">
        <f>VLOOKUP(A246,'SegEnds_NonXtal_Prot#'!A:AL,13,FALSE)-VLOOKUP(A246,'SegEnds_NonXtal_Prot#'!A:AL,10,FALSE)</f>
        <v>20</v>
      </c>
      <c r="AE246" s="1">
        <f>VLOOKUP(A246,'SegEnds_NonXtal_Prot#'!A:AL,16,FALSE)-VLOOKUP(A246,'SegEnds_NonXtal_Prot#'!A:AL,10,FALSE)</f>
        <v>52</v>
      </c>
      <c r="AF246" s="1">
        <f>VLOOKUP(A246,'SegEnds_NonXtal_Prot#'!A:AL,22,FALSE)-VLOOKUP(A246,'SegEnds_NonXtal_Prot#'!A:AL,19,FALSE)</f>
        <v>20</v>
      </c>
      <c r="AG246" s="1">
        <f>VLOOKUP(A246,'SegEnds_NonXtal_Prot#'!A:AL,28,FALSE)-VLOOKUP(A246,'SegEnds_NonXtal_Prot#'!A:AL,25,FALSE)</f>
        <v>25</v>
      </c>
      <c r="AH246" s="1">
        <f>VLOOKUP(A246,'SegEnds_NonXtal_Prot#'!A:AL,28,FALSE)-VLOOKUP(A246,'SegEnds_NonXtal_Prot#'!A:AL,22,FALSE)</f>
        <v>56</v>
      </c>
      <c r="AI246" s="1">
        <f>VLOOKUP(A246,'SegEnds_NonXtal_Prot#'!A:AL,31,FALSE)-VLOOKUP(A246,'SegEnds_NonXtal_Prot#'!A:AL,28,FALSE)</f>
        <v>49</v>
      </c>
      <c r="AJ246" s="1">
        <f>VLOOKUP(A246,'SegEnds_NonXtal_Prot#'!A:AL,34,FALSE)-VLOOKUP(A246,'SegEnds_NonXtal_Prot#'!A:AL,31,FALSE)</f>
        <v>43</v>
      </c>
      <c r="AK246" s="1">
        <f>VLOOKUP(A246,'SegEnds_NonXtal_Prot#'!A:AL,37,FALSE)-VLOOKUP(A246,'SegEnds_NonXtal_Prot#'!A:AL,34,FALSE)</f>
        <v>10</v>
      </c>
      <c r="AL246" s="1" t="str">
        <f>IF(ISERROR(MATCH(A246,'SegEnds_Xtal_Prot#'!B:B, 0)), "NoXtal", "Xtal")</f>
        <v>Xtal</v>
      </c>
    </row>
    <row r="247" spans="1:38" x14ac:dyDescent="0.2">
      <c r="A247" s="1" t="s">
        <v>371</v>
      </c>
      <c r="B247" s="1" t="str">
        <f>VLOOKUP(A247,Xtal_Templ!A:B,2,FALSE)</f>
        <v>ox2r_human</v>
      </c>
      <c r="C247" s="5">
        <f>VLOOKUP($B247&amp;"__wt",'SegEnds_Xtal_BW#'!$A:$Z,3,FALSE)</f>
        <v>31</v>
      </c>
      <c r="D247" s="1">
        <f>VLOOKUP($B247&amp;"__wt",'SegEnds_Xtal_BW#'!$A:$Z,4,FALSE)</f>
        <v>60</v>
      </c>
      <c r="E247" s="1">
        <f>VLOOKUP($B247&amp;"__wt",'SegEnds_Xtal_BW#'!$A:$Z,5,FALSE)</f>
        <v>48</v>
      </c>
      <c r="F247" s="1">
        <f>VLOOKUP($B247&amp;"__wt",'SegEnds_Xtal_BW#'!$A:$Z,6,FALSE)</f>
        <v>51</v>
      </c>
      <c r="G247" s="1">
        <v>37</v>
      </c>
      <c r="H247" s="12">
        <f>VLOOKUP($B247&amp;"__wt",'SegEnds_Xtal_BW#'!$A:$Z,8,FALSE)</f>
        <v>68</v>
      </c>
      <c r="I247" s="1">
        <f>VLOOKUP($B247&amp;"__wt",'SegEnds_Xtal_BW#'!$A:$Z,9,FALSE)</f>
        <v>49</v>
      </c>
      <c r="J247" s="1">
        <f>VLOOKUP($B247&amp;"__wt",'SegEnds_Xtal_BW#'!$A:$Z,10,FALSE)</f>
        <v>52</v>
      </c>
      <c r="K247" s="12">
        <v>18</v>
      </c>
      <c r="L247" s="1">
        <f>VLOOKUP($B247&amp;"__wt",'SegEnds_Xtal_BW#'!$A:$Z,12,FALSE)</f>
        <v>56</v>
      </c>
      <c r="M247" s="1">
        <f>VLOOKUP($B247&amp;"__wt",'SegEnds_Xtal_BW#'!$A:$Z,13,FALSE)</f>
        <v>50</v>
      </c>
      <c r="N247" s="12">
        <v>57</v>
      </c>
      <c r="O247" s="87">
        <f>VLOOKUP($B247&amp;"__wt",'SegEnds_Xtal_BW#'!$A:$Z,15,FALSE)</f>
        <v>38</v>
      </c>
      <c r="P247" s="1">
        <f>VLOOKUP($B247&amp;"__wt",'SegEnds_Xtal_BW#'!$A:$Z,16,FALSE)</f>
        <v>64</v>
      </c>
      <c r="Q247" s="1">
        <f>VLOOKUP($B247&amp;"__wt",'SegEnds_Xtal_BW#'!$A:$Z,17,FALSE)</f>
        <v>50</v>
      </c>
      <c r="R247" s="1">
        <f>VLOOKUP($B247&amp;"__wt",'SegEnds_Xtal_BW#'!$A:$Z,18,FALSE)</f>
        <v>52</v>
      </c>
      <c r="S247" s="1">
        <f>VLOOKUP($B247&amp;"__wt",'SegEnds_Xtal_BW#'!$A:$Z,19,FALSE)</f>
        <v>33</v>
      </c>
      <c r="T247" s="1">
        <f t="array" ref="T247">INDEX(ICL3_classA!$G$2:$G$39,MATCH(MIN(ABS(AI247-ICL3_classA!$F$2:$F$39)),ABS(AI247-ICL3_classA!$F$2:$F$39),0))</f>
        <v>74</v>
      </c>
      <c r="U247" s="1">
        <f t="array" ref="U247">INDEX(ICL3_classA!$H$2:$H$39,MATCH(MIN(ABS(AI247-ICL3_classA!$F$2:$F$39)),ABS(AI247-ICL3_classA!$F$2:$F$39),0))</f>
        <v>21</v>
      </c>
      <c r="V247" s="1">
        <v>61</v>
      </c>
      <c r="W247" s="1">
        <v>28</v>
      </c>
      <c r="X247" s="1">
        <f>VLOOKUP($B247&amp;"__wt",'SegEnds_Xtal_BW#'!$A:$Z,24,FALSE)</f>
        <v>56</v>
      </c>
      <c r="Y247" s="1">
        <f>VLOOKUP($B247&amp;"__wt",'SegEnds_Xtal_BW#'!$A:$Z,25,FALSE)</f>
        <v>47</v>
      </c>
      <c r="Z247" s="1">
        <f>VLOOKUP($B247&amp;"__wt",'SegEnds_Xtal_BW#'!$A:$Z,26,FALSE)</f>
        <v>63</v>
      </c>
      <c r="AA247" s="27" t="str">
        <f>VLOOKUP(A247,Classification!A:B,2,FALSE)</f>
        <v>A</v>
      </c>
      <c r="AB247" s="1">
        <f>VLOOKUP(A247,'SegEnds_NonXtal_Prot#'!A:AL,10,FALSE)-VLOOKUP(A247,'SegEnds_NonXtal_Prot#'!A:AL,4,FALSE)</f>
        <v>28</v>
      </c>
      <c r="AC247" s="1">
        <f>VLOOKUP(A247,'SegEnds_NonXtal_Prot#'!A:AL,10,FALSE)-VLOOKUP(A247,'SegEnds_NonXtal_Prot#'!A:AL,7,FALSE)</f>
        <v>15</v>
      </c>
      <c r="AD247" s="1">
        <f>VLOOKUP(A247,'SegEnds_NonXtal_Prot#'!A:AL,13,FALSE)-VLOOKUP(A247,'SegEnds_NonXtal_Prot#'!A:AL,10,FALSE)</f>
        <v>20</v>
      </c>
      <c r="AE247" s="1">
        <f>VLOOKUP(A247,'SegEnds_NonXtal_Prot#'!A:AL,16,FALSE)-VLOOKUP(A247,'SegEnds_NonXtal_Prot#'!A:AL,10,FALSE)</f>
        <v>52</v>
      </c>
      <c r="AF247" s="1">
        <f>VLOOKUP(A247,'SegEnds_NonXtal_Prot#'!A:AL,22,FALSE)-VLOOKUP(A247,'SegEnds_NonXtal_Prot#'!A:AL,19,FALSE)</f>
        <v>20</v>
      </c>
      <c r="AG247" s="1">
        <f>VLOOKUP(A247,'SegEnds_NonXtal_Prot#'!A:AL,28,FALSE)-VLOOKUP(A247,'SegEnds_NonXtal_Prot#'!A:AL,25,FALSE)</f>
        <v>25</v>
      </c>
      <c r="AH247" s="1">
        <f>VLOOKUP(A247,'SegEnds_NonXtal_Prot#'!A:AL,28,FALSE)-VLOOKUP(A247,'SegEnds_NonXtal_Prot#'!A:AL,22,FALSE)</f>
        <v>56</v>
      </c>
      <c r="AI247" s="1">
        <f>VLOOKUP(A247,'SegEnds_NonXtal_Prot#'!A:AL,31,FALSE)-VLOOKUP(A247,'SegEnds_NonXtal_Prot#'!A:AL,28,FALSE)</f>
        <v>62</v>
      </c>
      <c r="AJ247" s="1">
        <f>VLOOKUP(A247,'SegEnds_NonXtal_Prot#'!A:AL,34,FALSE)-VLOOKUP(A247,'SegEnds_NonXtal_Prot#'!A:AL,31,FALSE)</f>
        <v>41</v>
      </c>
      <c r="AK247" s="1">
        <f>VLOOKUP(A247,'SegEnds_NonXtal_Prot#'!A:AL,37,FALSE)-VLOOKUP(A247,'SegEnds_NonXtal_Prot#'!A:AL,34,FALSE)</f>
        <v>10</v>
      </c>
      <c r="AL247" s="1" t="str">
        <f>IF(ISERROR(MATCH(A247,'SegEnds_Xtal_Prot#'!B:B, 0)), "NoXtal", "Xtal")</f>
        <v>NoXtal</v>
      </c>
    </row>
    <row r="248" spans="1:38" x14ac:dyDescent="0.2">
      <c r="A248" s="1" t="s">
        <v>163</v>
      </c>
      <c r="B248" s="1" t="str">
        <f>VLOOKUP(A248,Xtal_Templ!A:B,2,FALSE)</f>
        <v>ednrb_human</v>
      </c>
      <c r="C248" s="5">
        <f>VLOOKUP($B248&amp;"__wt",'SegEnds_Xtal_BW#'!$A:$Z,3,FALSE)</f>
        <v>22</v>
      </c>
      <c r="D248" s="1">
        <f>VLOOKUP($B248&amp;"__wt",'SegEnds_Xtal_BW#'!$A:$Z,4,FALSE)</f>
        <v>60</v>
      </c>
      <c r="E248" s="1">
        <f>VLOOKUP($B248&amp;"__wt",'SegEnds_Xtal_BW#'!$A:$Z,5,FALSE)</f>
        <v>48</v>
      </c>
      <c r="F248" s="1">
        <f>VLOOKUP($B248&amp;"__wt",'SegEnds_Xtal_BW#'!$A:$Z,6,FALSE)</f>
        <v>52</v>
      </c>
      <c r="G248" s="1">
        <v>37</v>
      </c>
      <c r="H248" s="12">
        <f>VLOOKUP($B248&amp;"__wt",'SegEnds_Xtal_BW#'!$A:$Z,8,FALSE)</f>
        <v>67</v>
      </c>
      <c r="I248" s="1">
        <f>VLOOKUP($B248&amp;"__wt",'SegEnds_Xtal_BW#'!$A:$Z,9,FALSE)</f>
        <v>49</v>
      </c>
      <c r="J248" s="1">
        <f>VLOOKUP($B248&amp;"__wt",'SegEnds_Xtal_BW#'!$A:$Z,10,FALSE)</f>
        <v>52</v>
      </c>
      <c r="K248" s="12">
        <v>18</v>
      </c>
      <c r="L248" s="1">
        <f>VLOOKUP($B248&amp;"__wt",'SegEnds_Xtal_BW#'!$A:$Z,12,FALSE)</f>
        <v>56</v>
      </c>
      <c r="M248" s="1">
        <f>VLOOKUP($B248&amp;"__wt",'SegEnds_Xtal_BW#'!$A:$Z,13,FALSE)</f>
        <v>50</v>
      </c>
      <c r="N248" s="12">
        <v>57</v>
      </c>
      <c r="O248" s="87">
        <v>38</v>
      </c>
      <c r="P248" s="1">
        <f>VLOOKUP($B248&amp;"__wt",'SegEnds_Xtal_BW#'!$A:$Z,16,FALSE)</f>
        <v>64</v>
      </c>
      <c r="Q248" s="1">
        <f>VLOOKUP($B248&amp;"__wt",'SegEnds_Xtal_BW#'!$A:$Z,17,FALSE)</f>
        <v>50</v>
      </c>
      <c r="R248" s="1">
        <f>VLOOKUP($B248&amp;"__wt",'SegEnds_Xtal_BW#'!$A:$Z,18,FALSE)</f>
        <v>52</v>
      </c>
      <c r="S248" s="1">
        <f>VLOOKUP($B248&amp;"__wt",'SegEnds_Xtal_BW#'!$A:$Z,19,FALSE)</f>
        <v>28</v>
      </c>
      <c r="T248" s="1">
        <f t="array" ref="T248">INDEX(ICL3_classA!$G$2:$G$39,MATCH(MIN(ABS(AI248-ICL3_classA!$F$2:$F$39)),ABS(AI248-ICL3_classA!$F$2:$F$39),0))</f>
        <v>73</v>
      </c>
      <c r="U248" s="1">
        <f t="array" ref="U248">INDEX(ICL3_classA!$H$2:$H$39,MATCH(MIN(ABS(AI248-ICL3_classA!$F$2:$F$39)),ABS(AI248-ICL3_classA!$F$2:$F$39),0))</f>
        <v>22</v>
      </c>
      <c r="V248" s="1">
        <v>61</v>
      </c>
      <c r="W248" s="1">
        <v>28</v>
      </c>
      <c r="X248" s="1">
        <f>VLOOKUP($B248&amp;"__wt",'SegEnds_Xtal_BW#'!$A:$Z,24,FALSE)</f>
        <v>56</v>
      </c>
      <c r="Y248" s="1">
        <f>VLOOKUP($B248&amp;"__wt",'SegEnds_Xtal_BW#'!$A:$Z,25,FALSE)</f>
        <v>47</v>
      </c>
      <c r="Z248" s="1">
        <f>VLOOKUP($B248&amp;"__wt",'SegEnds_Xtal_BW#'!$A:$Z,26,FALSE)</f>
        <v>60</v>
      </c>
      <c r="AA248" s="27" t="str">
        <f>VLOOKUP(A248,Classification!A:B,2,FALSE)</f>
        <v>A</v>
      </c>
      <c r="AB248" s="1">
        <f>VLOOKUP(A248,'SegEnds_NonXtal_Prot#'!A:AL,10,FALSE)-VLOOKUP(A248,'SegEnds_NonXtal_Prot#'!A:AL,4,FALSE)</f>
        <v>28</v>
      </c>
      <c r="AC248" s="1">
        <f>VLOOKUP(A248,'SegEnds_NonXtal_Prot#'!A:AL,10,FALSE)-VLOOKUP(A248,'SegEnds_NonXtal_Prot#'!A:AL,7,FALSE)</f>
        <v>15</v>
      </c>
      <c r="AD248" s="1">
        <f>VLOOKUP(A248,'SegEnds_NonXtal_Prot#'!A:AL,13,FALSE)-VLOOKUP(A248,'SegEnds_NonXtal_Prot#'!A:AL,10,FALSE)</f>
        <v>20</v>
      </c>
      <c r="AE248" s="1">
        <f>VLOOKUP(A248,'SegEnds_NonXtal_Prot#'!A:AL,16,FALSE)-VLOOKUP(A248,'SegEnds_NonXtal_Prot#'!A:AL,10,FALSE)</f>
        <v>52</v>
      </c>
      <c r="AF248" s="1">
        <f>VLOOKUP(A248,'SegEnds_NonXtal_Prot#'!A:AL,22,FALSE)-VLOOKUP(A248,'SegEnds_NonXtal_Prot#'!A:AL,19,FALSE)</f>
        <v>20</v>
      </c>
      <c r="AG248" s="1">
        <f>VLOOKUP(A248,'SegEnds_NonXtal_Prot#'!A:AL,28,FALSE)-VLOOKUP(A248,'SegEnds_NonXtal_Prot#'!A:AL,25,FALSE)</f>
        <v>26</v>
      </c>
      <c r="AH248" s="1">
        <f>VLOOKUP(A248,'SegEnds_NonXtal_Prot#'!A:AL,28,FALSE)-VLOOKUP(A248,'SegEnds_NonXtal_Prot#'!A:AL,22,FALSE)</f>
        <v>57</v>
      </c>
      <c r="AI248" s="1">
        <f>VLOOKUP(A248,'SegEnds_NonXtal_Prot#'!A:AL,31,FALSE)-VLOOKUP(A248,'SegEnds_NonXtal_Prot#'!A:AL,28,FALSE)</f>
        <v>57</v>
      </c>
      <c r="AJ248" s="1">
        <f>VLOOKUP(A248,'SegEnds_NonXtal_Prot#'!A:AL,34,FALSE)-VLOOKUP(A248,'SegEnds_NonXtal_Prot#'!A:AL,31,FALSE)</f>
        <v>41</v>
      </c>
      <c r="AK248" s="1">
        <f>VLOOKUP(A248,'SegEnds_NonXtal_Prot#'!A:AL,37,FALSE)-VLOOKUP(A248,'SegEnds_NonXtal_Prot#'!A:AL,34,FALSE)</f>
        <v>10</v>
      </c>
      <c r="AL248" s="1" t="str">
        <f>IF(ISERROR(MATCH(A248,'SegEnds_Xtal_Prot#'!B:B, 0)), "NoXtal", "Xtal")</f>
        <v>NoXtal</v>
      </c>
    </row>
    <row r="249" spans="1:38" x14ac:dyDescent="0.2">
      <c r="A249" s="1" t="s">
        <v>195</v>
      </c>
      <c r="B249" s="1" t="str">
        <f>VLOOKUP(A249,Xtal_Templ!A:B,2,FALSE)</f>
        <v>ednrb_human</v>
      </c>
      <c r="C249" s="5">
        <f>VLOOKUP($B249&amp;"__wt",'SegEnds_Xtal_BW#'!$A:$Z,3,FALSE)</f>
        <v>22</v>
      </c>
      <c r="D249" s="1">
        <f>VLOOKUP($B249&amp;"__wt",'SegEnds_Xtal_BW#'!$A:$Z,4,FALSE)</f>
        <v>60</v>
      </c>
      <c r="E249" s="1">
        <f>VLOOKUP($B249&amp;"__wt",'SegEnds_Xtal_BW#'!$A:$Z,5,FALSE)</f>
        <v>48</v>
      </c>
      <c r="F249" s="1">
        <f>VLOOKUP($B249&amp;"__wt",'SegEnds_Xtal_BW#'!$A:$Z,6,FALSE)</f>
        <v>52</v>
      </c>
      <c r="G249" s="1">
        <v>38</v>
      </c>
      <c r="H249" s="12">
        <v>67</v>
      </c>
      <c r="I249" s="1">
        <f>VLOOKUP($B249&amp;"__wt",'SegEnds_Xtal_BW#'!$A:$Z,9,FALSE)</f>
        <v>49</v>
      </c>
      <c r="J249" s="1">
        <f>VLOOKUP($B249&amp;"__wt",'SegEnds_Xtal_BW#'!$A:$Z,10,FALSE)</f>
        <v>52</v>
      </c>
      <c r="K249" s="9">
        <v>21</v>
      </c>
      <c r="L249" s="1">
        <f>VLOOKUP($B249&amp;"__wt",'SegEnds_Xtal_BW#'!$A:$Z,12,FALSE)</f>
        <v>56</v>
      </c>
      <c r="M249" s="1">
        <f>VLOOKUP($B249&amp;"__wt",'SegEnds_Xtal_BW#'!$A:$Z,13,FALSE)</f>
        <v>50</v>
      </c>
      <c r="N249" s="12">
        <v>57</v>
      </c>
      <c r="O249" s="87">
        <f>VLOOKUP($B249&amp;"__wt",'SegEnds_Xtal_BW#'!$A:$Z,15,FALSE)</f>
        <v>38</v>
      </c>
      <c r="P249" s="1">
        <f>VLOOKUP($B249&amp;"__wt",'SegEnds_Xtal_BW#'!$A:$Z,16,FALSE)</f>
        <v>64</v>
      </c>
      <c r="Q249" s="1">
        <f>VLOOKUP($B249&amp;"__wt",'SegEnds_Xtal_BW#'!$A:$Z,17,FALSE)</f>
        <v>50</v>
      </c>
      <c r="R249" s="1">
        <f>VLOOKUP($B249&amp;"__wt",'SegEnds_Xtal_BW#'!$A:$Z,18,FALSE)</f>
        <v>52</v>
      </c>
      <c r="S249" s="1">
        <f>VLOOKUP($B249&amp;"__wt",'SegEnds_Xtal_BW#'!$A:$Z,19,FALSE)</f>
        <v>28</v>
      </c>
      <c r="T249" s="1">
        <f t="array" ref="T249">INDEX(ICL3_classA!$G$2:$G$39,MATCH(MIN(ABS(AI249-ICL3_classA!$F$2:$F$39)),ABS(AI249-ICL3_classA!$F$2:$F$39),0))</f>
        <v>72</v>
      </c>
      <c r="U249" s="1">
        <f t="array" ref="U249">INDEX(ICL3_classA!$H$2:$H$39,MATCH(MIN(ABS(AI249-ICL3_classA!$F$2:$F$39)),ABS(AI249-ICL3_classA!$F$2:$F$39),0))</f>
        <v>24</v>
      </c>
      <c r="V249" s="1">
        <v>62</v>
      </c>
      <c r="W249" s="1">
        <v>24</v>
      </c>
      <c r="X249" s="1">
        <f>VLOOKUP($B249&amp;"__wt",'SegEnds_Xtal_BW#'!$A:$Z,24,FALSE)</f>
        <v>56</v>
      </c>
      <c r="Y249" s="1">
        <f>VLOOKUP($B249&amp;"__wt",'SegEnds_Xtal_BW#'!$A:$Z,25,FALSE)</f>
        <v>47</v>
      </c>
      <c r="Z249" s="1">
        <f>VLOOKUP($B249&amp;"__wt",'SegEnds_Xtal_BW#'!$A:$Z,26,FALSE)</f>
        <v>60</v>
      </c>
      <c r="AA249" s="27" t="str">
        <f>VLOOKUP(A249,Classification!A:B,2,FALSE)</f>
        <v>A</v>
      </c>
      <c r="AB249" s="1">
        <f>VLOOKUP(A249,'SegEnds_NonXtal_Prot#'!A:AL,10,FALSE)-VLOOKUP(A249,'SegEnds_NonXtal_Prot#'!A:AL,4,FALSE)</f>
        <v>28</v>
      </c>
      <c r="AC249" s="1">
        <f>VLOOKUP(A249,'SegEnds_NonXtal_Prot#'!A:AL,10,FALSE)-VLOOKUP(A249,'SegEnds_NonXtal_Prot#'!A:AL,7,FALSE)</f>
        <v>15</v>
      </c>
      <c r="AD249" s="1">
        <f>VLOOKUP(A249,'SegEnds_NonXtal_Prot#'!A:AL,13,FALSE)-VLOOKUP(A249,'SegEnds_NonXtal_Prot#'!A:AL,10,FALSE)</f>
        <v>20</v>
      </c>
      <c r="AE249" s="1">
        <f>VLOOKUP(A249,'SegEnds_NonXtal_Prot#'!A:AL,16,FALSE)-VLOOKUP(A249,'SegEnds_NonXtal_Prot#'!A:AL,10,FALSE)</f>
        <v>57</v>
      </c>
      <c r="AF249" s="1">
        <f>VLOOKUP(A249,'SegEnds_NonXtal_Prot#'!A:AL,22,FALSE)-VLOOKUP(A249,'SegEnds_NonXtal_Prot#'!A:AL,19,FALSE)</f>
        <v>20</v>
      </c>
      <c r="AG249" s="1">
        <f>VLOOKUP(A249,'SegEnds_NonXtal_Prot#'!A:AL,28,FALSE)-VLOOKUP(A249,'SegEnds_NonXtal_Prot#'!A:AL,25,FALSE)</f>
        <v>28</v>
      </c>
      <c r="AH249" s="1">
        <f>VLOOKUP(A249,'SegEnds_NonXtal_Prot#'!A:AL,28,FALSE)-VLOOKUP(A249,'SegEnds_NonXtal_Prot#'!A:AL,22,FALSE)</f>
        <v>57</v>
      </c>
      <c r="AI249" s="1">
        <f>VLOOKUP(A249,'SegEnds_NonXtal_Prot#'!A:AL,31,FALSE)-VLOOKUP(A249,'SegEnds_NonXtal_Prot#'!A:AL,28,FALSE)</f>
        <v>54</v>
      </c>
      <c r="AJ249" s="1">
        <f>VLOOKUP(A249,'SegEnds_NonXtal_Prot#'!A:AL,34,FALSE)-VLOOKUP(A249,'SegEnds_NonXtal_Prot#'!A:AL,31,FALSE)</f>
        <v>45</v>
      </c>
      <c r="AK249" s="1">
        <f>VLOOKUP(A249,'SegEnds_NonXtal_Prot#'!A:AL,37,FALSE)-VLOOKUP(A249,'SegEnds_NonXtal_Prot#'!A:AL,34,FALSE)</f>
        <v>10</v>
      </c>
      <c r="AL249" s="1" t="str">
        <f>IF(ISERROR(MATCH(A249,'SegEnds_Xtal_Prot#'!B:B, 0)), "NoXtal", "Xtal")</f>
        <v>NoXtal</v>
      </c>
    </row>
    <row r="250" spans="1:38" x14ac:dyDescent="0.2">
      <c r="A250" s="1" t="s">
        <v>197</v>
      </c>
      <c r="B250" s="1" t="str">
        <f>VLOOKUP(A250,Xtal_Templ!A:B,2,FALSE)</f>
        <v>par2_human</v>
      </c>
      <c r="C250" s="5">
        <f>VLOOKUP($B250&amp;"__wt",'SegEnds_Xtal_BW#'!$A:$Z,3,FALSE)</f>
        <v>28</v>
      </c>
      <c r="D250" s="1">
        <f>VLOOKUP($B250&amp;"__wt",'SegEnds_Xtal_BW#'!$A:$Z,4,FALSE)</f>
        <v>60</v>
      </c>
      <c r="E250" s="1" t="str">
        <f>VLOOKUP($B250&amp;"__wt",'SegEnds_Xtal_BW#'!$A:$Z,5,FALSE)</f>
        <v>-</v>
      </c>
      <c r="F250" s="1" t="str">
        <f>VLOOKUP($B250&amp;"__wt",'SegEnds_Xtal_BW#'!$A:$Z,6,FALSE)</f>
        <v>-</v>
      </c>
      <c r="G250" s="1">
        <v>37</v>
      </c>
      <c r="H250" s="12">
        <f>VLOOKUP($B250&amp;"__wt",'SegEnds_Xtal_BW#'!$A:$Z,8,FALSE)</f>
        <v>66</v>
      </c>
      <c r="I250" s="1">
        <f>VLOOKUP($B250&amp;"__wt",'SegEnds_Xtal_BW#'!$A:$Z,9,FALSE)</f>
        <v>47</v>
      </c>
      <c r="J250" s="1">
        <f>VLOOKUP($B250&amp;"__wt",'SegEnds_Xtal_BW#'!$A:$Z,10,FALSE)</f>
        <v>52</v>
      </c>
      <c r="K250" s="12">
        <v>18</v>
      </c>
      <c r="L250" s="1">
        <f>VLOOKUP($B250&amp;"__wt",'SegEnds_Xtal_BW#'!$A:$Z,12,FALSE)</f>
        <v>56</v>
      </c>
      <c r="M250" s="1">
        <f>VLOOKUP($B250&amp;"__wt",'SegEnds_Xtal_BW#'!$A:$Z,13,FALSE)</f>
        <v>50</v>
      </c>
      <c r="N250" s="12">
        <v>57</v>
      </c>
      <c r="O250" s="87">
        <f>VLOOKUP($B250&amp;"__wt",'SegEnds_Xtal_BW#'!$A:$Z,15,FALSE)</f>
        <v>38</v>
      </c>
      <c r="P250" s="1">
        <f>VLOOKUP($B250&amp;"__wt",'SegEnds_Xtal_BW#'!$A:$Z,16,FALSE)</f>
        <v>62</v>
      </c>
      <c r="Q250" s="1">
        <f>VLOOKUP($B250&amp;"__wt",'SegEnds_Xtal_BW#'!$A:$Z,17,FALSE)</f>
        <v>50</v>
      </c>
      <c r="R250" s="1">
        <f>VLOOKUP($B250&amp;"__wt",'SegEnds_Xtal_BW#'!$A:$Z,18,FALSE)</f>
        <v>52</v>
      </c>
      <c r="S250" s="1">
        <f>VLOOKUP($B250&amp;"__wt",'SegEnds_Xtal_BW#'!$A:$Z,19,FALSE)</f>
        <v>31</v>
      </c>
      <c r="T250" s="1">
        <f t="array" ref="T250">INDEX(ICL3_classA!$G$2:$G$39,MATCH(MIN(ABS(AI250-ICL3_classA!$F$2:$F$39)),ABS(AI250-ICL3_classA!$F$2:$F$39),0))</f>
        <v>67</v>
      </c>
      <c r="U250" s="1">
        <f t="array" ref="U250">INDEX(ICL3_classA!$H$2:$H$39,MATCH(MIN(ABS(AI250-ICL3_classA!$F$2:$F$39)),ABS(AI250-ICL3_classA!$F$2:$F$39),0))</f>
        <v>26</v>
      </c>
      <c r="V250" s="1">
        <v>61</v>
      </c>
      <c r="W250" s="1">
        <v>33</v>
      </c>
      <c r="X250" s="1">
        <f>VLOOKUP($B250&amp;"__wt",'SegEnds_Xtal_BW#'!$A:$Z,24,FALSE)</f>
        <v>56</v>
      </c>
      <c r="Y250" s="1">
        <f>VLOOKUP($B250&amp;"__wt",'SegEnds_Xtal_BW#'!$A:$Z,25,FALSE)</f>
        <v>47</v>
      </c>
      <c r="Z250" s="1">
        <f>VLOOKUP($B250&amp;"__wt",'SegEnds_Xtal_BW#'!$A:$Z,26,FALSE)</f>
        <v>61</v>
      </c>
      <c r="AA250" s="27" t="str">
        <f>VLOOKUP(A250,Classification!A:B,2,FALSE)</f>
        <v>A</v>
      </c>
      <c r="AB250" s="1">
        <f>VLOOKUP(A250,'SegEnds_NonXtal_Prot#'!A:AL,10,FALSE)-VLOOKUP(A250,'SegEnds_NonXtal_Prot#'!A:AL,4,FALSE)</f>
        <v>30</v>
      </c>
      <c r="AC250" s="1" t="e">
        <f>VLOOKUP(A250,'SegEnds_NonXtal_Prot#'!A:AL,10,FALSE)-VLOOKUP(A250,'SegEnds_NonXtal_Prot#'!A:AL,7,FALSE)</f>
        <v>#VALUE!</v>
      </c>
      <c r="AD250" s="1">
        <f>VLOOKUP(A250,'SegEnds_NonXtal_Prot#'!A:AL,13,FALSE)-VLOOKUP(A250,'SegEnds_NonXtal_Prot#'!A:AL,10,FALSE)</f>
        <v>20</v>
      </c>
      <c r="AE250" s="1">
        <f>VLOOKUP(A250,'SegEnds_NonXtal_Prot#'!A:AL,16,FALSE)-VLOOKUP(A250,'SegEnds_NonXtal_Prot#'!A:AL,10,FALSE)</f>
        <v>52</v>
      </c>
      <c r="AF250" s="1">
        <f>VLOOKUP(A250,'SegEnds_NonXtal_Prot#'!A:AL,22,FALSE)-VLOOKUP(A250,'SegEnds_NonXtal_Prot#'!A:AL,19,FALSE)</f>
        <v>20</v>
      </c>
      <c r="AG250" s="1">
        <f>VLOOKUP(A250,'SegEnds_NonXtal_Prot#'!A:AL,28,FALSE)-VLOOKUP(A250,'SegEnds_NonXtal_Prot#'!A:AL,25,FALSE)</f>
        <v>27</v>
      </c>
      <c r="AH250" s="1">
        <f>VLOOKUP(A250,'SegEnds_NonXtal_Prot#'!A:AL,28,FALSE)-VLOOKUP(A250,'SegEnds_NonXtal_Prot#'!A:AL,22,FALSE)</f>
        <v>57</v>
      </c>
      <c r="AI250" s="1">
        <f>VLOOKUP(A250,'SegEnds_NonXtal_Prot#'!A:AL,31,FALSE)-VLOOKUP(A250,'SegEnds_NonXtal_Prot#'!A:AL,28,FALSE)</f>
        <v>46</v>
      </c>
      <c r="AJ250" s="1">
        <f>VLOOKUP(A250,'SegEnds_NonXtal_Prot#'!A:AL,34,FALSE)-VLOOKUP(A250,'SegEnds_NonXtal_Prot#'!A:AL,31,FALSE)</f>
        <v>33</v>
      </c>
      <c r="AK250" s="1">
        <f>VLOOKUP(A250,'SegEnds_NonXtal_Prot#'!A:AL,37,FALSE)-VLOOKUP(A250,'SegEnds_NonXtal_Prot#'!A:AL,34,FALSE)</f>
        <v>10</v>
      </c>
      <c r="AL250" s="1" t="str">
        <f>IF(ISERROR(MATCH(A250,'SegEnds_Xtal_Prot#'!B:B, 0)), "NoXtal", "Xtal")</f>
        <v>NoXtal</v>
      </c>
    </row>
    <row r="251" spans="1:38" x14ac:dyDescent="0.2">
      <c r="A251" s="1" t="s">
        <v>268</v>
      </c>
      <c r="B251" s="1" t="str">
        <f>VLOOKUP(A251,Xtal_Templ!A:B,2,FALSE)</f>
        <v>ox2r_human</v>
      </c>
      <c r="C251" s="5">
        <f>VLOOKUP($B251&amp;"__wt",'SegEnds_Xtal_BW#'!$A:$Z,3,FALSE)</f>
        <v>31</v>
      </c>
      <c r="D251" s="1">
        <f>VLOOKUP($B251&amp;"__wt",'SegEnds_Xtal_BW#'!$A:$Z,4,FALSE)</f>
        <v>60</v>
      </c>
      <c r="E251" s="1">
        <f>VLOOKUP($B251&amp;"__wt",'SegEnds_Xtal_BW#'!$A:$Z,5,FALSE)</f>
        <v>48</v>
      </c>
      <c r="F251" s="1">
        <f>VLOOKUP($B251&amp;"__wt",'SegEnds_Xtal_BW#'!$A:$Z,6,FALSE)</f>
        <v>51</v>
      </c>
      <c r="G251" s="1">
        <v>37</v>
      </c>
      <c r="H251" s="12">
        <f>VLOOKUP($B251&amp;"__wt",'SegEnds_Xtal_BW#'!$A:$Z,8,FALSE)</f>
        <v>68</v>
      </c>
      <c r="I251" s="1">
        <f>VLOOKUP($B251&amp;"__wt",'SegEnds_Xtal_BW#'!$A:$Z,9,FALSE)</f>
        <v>49</v>
      </c>
      <c r="J251" s="1">
        <f>VLOOKUP($B251&amp;"__wt",'SegEnds_Xtal_BW#'!$A:$Z,10,FALSE)</f>
        <v>52</v>
      </c>
      <c r="K251" s="12">
        <v>18</v>
      </c>
      <c r="L251" s="1">
        <f>VLOOKUP($B251&amp;"__wt",'SegEnds_Xtal_BW#'!$A:$Z,12,FALSE)</f>
        <v>56</v>
      </c>
      <c r="M251" s="1">
        <f>VLOOKUP($B251&amp;"__wt",'SegEnds_Xtal_BW#'!$A:$Z,13,FALSE)</f>
        <v>50</v>
      </c>
      <c r="N251" s="12">
        <v>56</v>
      </c>
      <c r="O251" s="87">
        <f>VLOOKUP($B251&amp;"__wt",'SegEnds_Xtal_BW#'!$A:$Z,15,FALSE)</f>
        <v>38</v>
      </c>
      <c r="P251" s="1">
        <f>VLOOKUP($B251&amp;"__wt",'SegEnds_Xtal_BW#'!$A:$Z,16,FALSE)</f>
        <v>64</v>
      </c>
      <c r="Q251" s="1">
        <f>VLOOKUP($B251&amp;"__wt",'SegEnds_Xtal_BW#'!$A:$Z,17,FALSE)</f>
        <v>50</v>
      </c>
      <c r="R251" s="1">
        <f>VLOOKUP($B251&amp;"__wt",'SegEnds_Xtal_BW#'!$A:$Z,18,FALSE)</f>
        <v>52</v>
      </c>
      <c r="S251" s="1">
        <f>VLOOKUP($B251&amp;"__wt",'SegEnds_Xtal_BW#'!$A:$Z,19,FALSE)</f>
        <v>33</v>
      </c>
      <c r="T251" s="1">
        <f t="array" ref="T251">INDEX(ICL3_classA!$G$2:$G$39,MATCH(MIN(ABS(AI251-ICL3_classA!$F$2:$F$39)),ABS(AI251-ICL3_classA!$F$2:$F$39),0))</f>
        <v>73</v>
      </c>
      <c r="U251" s="1">
        <f t="array" ref="U251">INDEX(ICL3_classA!$H$2:$H$39,MATCH(MIN(ABS(AI251-ICL3_classA!$F$2:$F$39)),ABS(AI251-ICL3_classA!$F$2:$F$39),0))</f>
        <v>22</v>
      </c>
      <c r="V251" s="1">
        <v>61</v>
      </c>
      <c r="W251" s="1">
        <v>31</v>
      </c>
      <c r="X251" s="1">
        <f>VLOOKUP($B251&amp;"__wt",'SegEnds_Xtal_BW#'!$A:$Z,24,FALSE)</f>
        <v>56</v>
      </c>
      <c r="Y251" s="1">
        <f>VLOOKUP($B251&amp;"__wt",'SegEnds_Xtal_BW#'!$A:$Z,25,FALSE)</f>
        <v>47</v>
      </c>
      <c r="Z251" s="1">
        <f>VLOOKUP($B251&amp;"__wt",'SegEnds_Xtal_BW#'!$A:$Z,26,FALSE)</f>
        <v>63</v>
      </c>
      <c r="AA251" s="27" t="str">
        <f>VLOOKUP(A251,Classification!A:B,2,FALSE)</f>
        <v>A</v>
      </c>
      <c r="AB251" s="1">
        <f>VLOOKUP(A251,'SegEnds_NonXtal_Prot#'!A:AL,10,FALSE)-VLOOKUP(A251,'SegEnds_NonXtal_Prot#'!A:AL,4,FALSE)</f>
        <v>28</v>
      </c>
      <c r="AC251" s="1">
        <f>VLOOKUP(A251,'SegEnds_NonXtal_Prot#'!A:AL,10,FALSE)-VLOOKUP(A251,'SegEnds_NonXtal_Prot#'!A:AL,7,FALSE)</f>
        <v>15</v>
      </c>
      <c r="AD251" s="1">
        <f>VLOOKUP(A251,'SegEnds_NonXtal_Prot#'!A:AL,13,FALSE)-VLOOKUP(A251,'SegEnds_NonXtal_Prot#'!A:AL,10,FALSE)</f>
        <v>20</v>
      </c>
      <c r="AE251" s="1">
        <f>VLOOKUP(A251,'SegEnds_NonXtal_Prot#'!A:AL,16,FALSE)-VLOOKUP(A251,'SegEnds_NonXtal_Prot#'!A:AL,10,FALSE)</f>
        <v>52</v>
      </c>
      <c r="AF251" s="1" t="e">
        <f>VLOOKUP(A251,'SegEnds_NonXtal_Prot#'!A:AL,22,FALSE)-VLOOKUP(A251,'SegEnds_NonXtal_Prot#'!A:AL,19,FALSE)</f>
        <v>#VALUE!</v>
      </c>
      <c r="AG251" s="1">
        <f>VLOOKUP(A251,'SegEnds_NonXtal_Prot#'!A:AL,28,FALSE)-VLOOKUP(A251,'SegEnds_NonXtal_Prot#'!A:AL,25,FALSE)</f>
        <v>27</v>
      </c>
      <c r="AH251" s="1">
        <f>VLOOKUP(A251,'SegEnds_NonXtal_Prot#'!A:AL,28,FALSE)-VLOOKUP(A251,'SegEnds_NonXtal_Prot#'!A:AL,22,FALSE)</f>
        <v>57</v>
      </c>
      <c r="AI251" s="1">
        <f>VLOOKUP(A251,'SegEnds_NonXtal_Prot#'!A:AL,31,FALSE)-VLOOKUP(A251,'SegEnds_NonXtal_Prot#'!A:AL,28,FALSE)</f>
        <v>56</v>
      </c>
      <c r="AJ251" s="1">
        <f>VLOOKUP(A251,'SegEnds_NonXtal_Prot#'!A:AL,34,FALSE)-VLOOKUP(A251,'SegEnds_NonXtal_Prot#'!A:AL,31,FALSE)</f>
        <v>35</v>
      </c>
      <c r="AK251" s="1">
        <f>VLOOKUP(A251,'SegEnds_NonXtal_Prot#'!A:AL,37,FALSE)-VLOOKUP(A251,'SegEnds_NonXtal_Prot#'!A:AL,34,FALSE)</f>
        <v>10</v>
      </c>
      <c r="AL251" s="1" t="str">
        <f>IF(ISERROR(MATCH(A251,'SegEnds_Xtal_Prot#'!B:B, 0)), "NoXtal", "Xtal")</f>
        <v>NoXtal</v>
      </c>
    </row>
    <row r="252" spans="1:38" x14ac:dyDescent="0.2">
      <c r="A252" s="1" t="s">
        <v>273</v>
      </c>
      <c r="B252" s="1" t="str">
        <f>VLOOKUP(A252,Xtal_Templ!A:B,2,FALSE)</f>
        <v>ednrb_human</v>
      </c>
      <c r="C252" s="5">
        <f>VLOOKUP($B252&amp;"__wt",'SegEnds_Xtal_BW#'!$A:$Z,3,FALSE)</f>
        <v>22</v>
      </c>
      <c r="D252" s="1">
        <f>VLOOKUP($B252&amp;"__wt",'SegEnds_Xtal_BW#'!$A:$Z,4,FALSE)</f>
        <v>60</v>
      </c>
      <c r="E252" s="1">
        <f>VLOOKUP($B252&amp;"__wt",'SegEnds_Xtal_BW#'!$A:$Z,5,FALSE)</f>
        <v>48</v>
      </c>
      <c r="F252" s="1">
        <f>VLOOKUP($B252&amp;"__wt",'SegEnds_Xtal_BW#'!$A:$Z,6,FALSE)</f>
        <v>52</v>
      </c>
      <c r="G252" s="1">
        <v>37</v>
      </c>
      <c r="H252" s="12">
        <f>VLOOKUP($B252&amp;"__wt",'SegEnds_Xtal_BW#'!$A:$Z,8,FALSE)</f>
        <v>67</v>
      </c>
      <c r="I252" s="1">
        <f>VLOOKUP($B252&amp;"__wt",'SegEnds_Xtal_BW#'!$A:$Z,9,FALSE)</f>
        <v>49</v>
      </c>
      <c r="J252" s="1">
        <f>VLOOKUP($B252&amp;"__wt",'SegEnds_Xtal_BW#'!$A:$Z,10,FALSE)</f>
        <v>52</v>
      </c>
      <c r="K252" s="12">
        <v>18</v>
      </c>
      <c r="L252" s="1">
        <f>VLOOKUP($B252&amp;"__wt",'SegEnds_Xtal_BW#'!$A:$Z,12,FALSE)</f>
        <v>56</v>
      </c>
      <c r="M252" s="1">
        <f>VLOOKUP($B252&amp;"__wt",'SegEnds_Xtal_BW#'!$A:$Z,13,FALSE)</f>
        <v>50</v>
      </c>
      <c r="N252" s="12">
        <v>57</v>
      </c>
      <c r="O252" s="87">
        <v>38</v>
      </c>
      <c r="P252" s="1">
        <f>VLOOKUP($B252&amp;"__wt",'SegEnds_Xtal_BW#'!$A:$Z,16,FALSE)</f>
        <v>64</v>
      </c>
      <c r="Q252" s="1">
        <f>VLOOKUP($B252&amp;"__wt",'SegEnds_Xtal_BW#'!$A:$Z,17,FALSE)</f>
        <v>50</v>
      </c>
      <c r="R252" s="1">
        <f>VLOOKUP($B252&amp;"__wt",'SegEnds_Xtal_BW#'!$A:$Z,18,FALSE)</f>
        <v>52</v>
      </c>
      <c r="S252" s="1">
        <f>VLOOKUP($B252&amp;"__wt",'SegEnds_Xtal_BW#'!$A:$Z,19,FALSE)</f>
        <v>28</v>
      </c>
      <c r="T252" s="1">
        <f t="array" ref="T252">INDEX(ICL3_classA!$G$2:$G$39,MATCH(MIN(ABS(AI252-ICL3_classA!$F$2:$F$39)),ABS(AI252-ICL3_classA!$F$2:$F$39),0))</f>
        <v>73</v>
      </c>
      <c r="U252" s="1">
        <f t="array" ref="U252">INDEX(ICL3_classA!$H$2:$H$39,MATCH(MIN(ABS(AI252-ICL3_classA!$F$2:$F$39)),ABS(AI252-ICL3_classA!$F$2:$F$39),0))</f>
        <v>22</v>
      </c>
      <c r="V252" s="1">
        <v>61</v>
      </c>
      <c r="W252" s="1">
        <v>28</v>
      </c>
      <c r="X252" s="1">
        <f>VLOOKUP($B252&amp;"__wt",'SegEnds_Xtal_BW#'!$A:$Z,24,FALSE)</f>
        <v>56</v>
      </c>
      <c r="Y252" s="1">
        <f>VLOOKUP($B252&amp;"__wt",'SegEnds_Xtal_BW#'!$A:$Z,25,FALSE)</f>
        <v>47</v>
      </c>
      <c r="Z252" s="1">
        <f>VLOOKUP($B252&amp;"__wt",'SegEnds_Xtal_BW#'!$A:$Z,26,FALSE)</f>
        <v>60</v>
      </c>
      <c r="AA252" s="27" t="str">
        <f>VLOOKUP(A252,Classification!A:B,2,FALSE)</f>
        <v>A</v>
      </c>
      <c r="AB252" s="1">
        <f>VLOOKUP(A252,'SegEnds_NonXtal_Prot#'!A:AL,10,FALSE)-VLOOKUP(A252,'SegEnds_NonXtal_Prot#'!A:AL,4,FALSE)</f>
        <v>28</v>
      </c>
      <c r="AC252" s="1">
        <f>VLOOKUP(A252,'SegEnds_NonXtal_Prot#'!A:AL,10,FALSE)-VLOOKUP(A252,'SegEnds_NonXtal_Prot#'!A:AL,7,FALSE)</f>
        <v>15</v>
      </c>
      <c r="AD252" s="1">
        <f>VLOOKUP(A252,'SegEnds_NonXtal_Prot#'!A:AL,13,FALSE)-VLOOKUP(A252,'SegEnds_NonXtal_Prot#'!A:AL,10,FALSE)</f>
        <v>20</v>
      </c>
      <c r="AE252" s="1">
        <f>VLOOKUP(A252,'SegEnds_NonXtal_Prot#'!A:AL,16,FALSE)-VLOOKUP(A252,'SegEnds_NonXtal_Prot#'!A:AL,10,FALSE)</f>
        <v>52</v>
      </c>
      <c r="AF252" s="1">
        <f>VLOOKUP(A252,'SegEnds_NonXtal_Prot#'!A:AL,22,FALSE)-VLOOKUP(A252,'SegEnds_NonXtal_Prot#'!A:AL,19,FALSE)</f>
        <v>20</v>
      </c>
      <c r="AG252" s="1">
        <f>VLOOKUP(A252,'SegEnds_NonXtal_Prot#'!A:AL,28,FALSE)-VLOOKUP(A252,'SegEnds_NonXtal_Prot#'!A:AL,25,FALSE)</f>
        <v>26</v>
      </c>
      <c r="AH252" s="1">
        <f>VLOOKUP(A252,'SegEnds_NonXtal_Prot#'!A:AL,28,FALSE)-VLOOKUP(A252,'SegEnds_NonXtal_Prot#'!A:AL,22,FALSE)</f>
        <v>57</v>
      </c>
      <c r="AI252" s="1">
        <f>VLOOKUP(A252,'SegEnds_NonXtal_Prot#'!A:AL,31,FALSE)-VLOOKUP(A252,'SegEnds_NonXtal_Prot#'!A:AL,28,FALSE)</f>
        <v>57</v>
      </c>
      <c r="AJ252" s="1">
        <f>VLOOKUP(A252,'SegEnds_NonXtal_Prot#'!A:AL,34,FALSE)-VLOOKUP(A252,'SegEnds_NonXtal_Prot#'!A:AL,31,FALSE)</f>
        <v>40</v>
      </c>
      <c r="AK252" s="1">
        <f>VLOOKUP(A252,'SegEnds_NonXtal_Prot#'!A:AL,37,FALSE)-VLOOKUP(A252,'SegEnds_NonXtal_Prot#'!A:AL,34,FALSE)</f>
        <v>10</v>
      </c>
      <c r="AL252" s="1" t="str">
        <f>IF(ISERROR(MATCH(A252,'SegEnds_Xtal_Prot#'!B:B, 0)), "NoXtal", "Xtal")</f>
        <v>NoXtal</v>
      </c>
    </row>
    <row r="253" spans="1:38" x14ac:dyDescent="0.2">
      <c r="A253" s="1" t="s">
        <v>288</v>
      </c>
      <c r="B253" s="1" t="str">
        <f>VLOOKUP(A253,Xtal_Templ!A:B,2,FALSE)</f>
        <v>cltr2_human</v>
      </c>
      <c r="C253" s="5">
        <f>VLOOKUP($B253&amp;"__wt",'SegEnds_Xtal_BW#'!$A:$Z,3,FALSE)</f>
        <v>25</v>
      </c>
      <c r="D253" s="1">
        <f>VLOOKUP($B253&amp;"__wt",'SegEnds_Xtal_BW#'!$A:$Z,4,FALSE)</f>
        <v>60</v>
      </c>
      <c r="E253" s="1" t="str">
        <f>VLOOKUP($B253&amp;"__wt",'SegEnds_Xtal_BW#'!$A:$Z,5,FALSE)</f>
        <v>-</v>
      </c>
      <c r="F253" s="1" t="str">
        <f>VLOOKUP($B253&amp;"__wt",'SegEnds_Xtal_BW#'!$A:$Z,6,FALSE)</f>
        <v>-</v>
      </c>
      <c r="G253" s="1">
        <v>37</v>
      </c>
      <c r="H253" s="12">
        <v>66</v>
      </c>
      <c r="I253" s="1">
        <f>VLOOKUP($B253&amp;"__wt",'SegEnds_Xtal_BW#'!$A:$Z,9,FALSE)</f>
        <v>49</v>
      </c>
      <c r="J253" s="1">
        <f>VLOOKUP($B253&amp;"__wt",'SegEnds_Xtal_BW#'!$A:$Z,10,FALSE)</f>
        <v>52</v>
      </c>
      <c r="K253" s="12">
        <v>21</v>
      </c>
      <c r="L253" s="1">
        <f>VLOOKUP($B253&amp;"__wt",'SegEnds_Xtal_BW#'!$A:$Z,12,FALSE)</f>
        <v>56</v>
      </c>
      <c r="M253" s="1">
        <f>VLOOKUP($B253&amp;"__wt",'SegEnds_Xtal_BW#'!$A:$Z,13,FALSE)</f>
        <v>50</v>
      </c>
      <c r="N253" s="12">
        <v>57</v>
      </c>
      <c r="O253" s="87">
        <v>38</v>
      </c>
      <c r="P253" s="1">
        <f>VLOOKUP($B253&amp;"__wt",'SegEnds_Xtal_BW#'!$A:$Z,16,FALSE)</f>
        <v>63</v>
      </c>
      <c r="Q253" s="1">
        <f>VLOOKUP($B253&amp;"__wt",'SegEnds_Xtal_BW#'!$A:$Z,17,FALSE)</f>
        <v>50</v>
      </c>
      <c r="R253" s="1">
        <f>VLOOKUP($B253&amp;"__wt",'SegEnds_Xtal_BW#'!$A:$Z,18,FALSE)</f>
        <v>52</v>
      </c>
      <c r="S253" s="1">
        <f>VLOOKUP($B253&amp;"__wt",'SegEnds_Xtal_BW#'!$A:$Z,19,FALSE)</f>
        <v>32</v>
      </c>
      <c r="T253" s="1">
        <f t="array" ref="T253">INDEX(ICL3_classA!$G$2:$G$39,MATCH(MIN(ABS(AI253-ICL3_classA!$F$2:$F$39)),ABS(AI253-ICL3_classA!$F$2:$F$39),0))</f>
        <v>67</v>
      </c>
      <c r="U253" s="1">
        <f t="array" ref="U253">INDEX(ICL3_classA!$H$2:$H$39,MATCH(MIN(ABS(AI253-ICL3_classA!$F$2:$F$39)),ABS(AI253-ICL3_classA!$F$2:$F$39),0))</f>
        <v>26</v>
      </c>
      <c r="V253" s="1">
        <v>64</v>
      </c>
      <c r="W253" s="1">
        <v>24</v>
      </c>
      <c r="X253" s="1">
        <f>VLOOKUP($B253&amp;"__wt",'SegEnds_Xtal_BW#'!$A:$Z,24,FALSE)</f>
        <v>56</v>
      </c>
      <c r="Y253" s="1">
        <f>VLOOKUP($B253&amp;"__wt",'SegEnds_Xtal_BW#'!$A:$Z,25,FALSE)</f>
        <v>47</v>
      </c>
      <c r="Z253" s="1">
        <f>VLOOKUP($B253&amp;"__wt",'SegEnds_Xtal_BW#'!$A:$Z,26,FALSE)</f>
        <v>60</v>
      </c>
      <c r="AA253" s="27" t="str">
        <f>VLOOKUP(A253,Classification!A:B,2,FALSE)</f>
        <v>A</v>
      </c>
      <c r="AB253" s="1">
        <f>VLOOKUP(A253,'SegEnds_NonXtal_Prot#'!A:AL,10,FALSE)-VLOOKUP(A253,'SegEnds_NonXtal_Prot#'!A:AL,4,FALSE)</f>
        <v>28</v>
      </c>
      <c r="AC253" s="1">
        <f>VLOOKUP(A253,'SegEnds_NonXtal_Prot#'!A:AL,10,FALSE)-VLOOKUP(A253,'SegEnds_NonXtal_Prot#'!A:AL,7,FALSE)</f>
        <v>15</v>
      </c>
      <c r="AD253" s="1">
        <f>VLOOKUP(A253,'SegEnds_NonXtal_Prot#'!A:AL,13,FALSE)-VLOOKUP(A253,'SegEnds_NonXtal_Prot#'!A:AL,10,FALSE)</f>
        <v>19</v>
      </c>
      <c r="AE253" s="1">
        <f>VLOOKUP(A253,'SegEnds_NonXtal_Prot#'!A:AL,16,FALSE)-VLOOKUP(A253,'SegEnds_NonXtal_Prot#'!A:AL,10,FALSE)</f>
        <v>51</v>
      </c>
      <c r="AF253" s="1">
        <f>VLOOKUP(A253,'SegEnds_NonXtal_Prot#'!A:AL,22,FALSE)-VLOOKUP(A253,'SegEnds_NonXtal_Prot#'!A:AL,19,FALSE)</f>
        <v>20</v>
      </c>
      <c r="AG253" s="1">
        <f>VLOOKUP(A253,'SegEnds_NonXtal_Prot#'!A:AL,28,FALSE)-VLOOKUP(A253,'SegEnds_NonXtal_Prot#'!A:AL,25,FALSE)</f>
        <v>28</v>
      </c>
      <c r="AH253" s="1">
        <f>VLOOKUP(A253,'SegEnds_NonXtal_Prot#'!A:AL,28,FALSE)-VLOOKUP(A253,'SegEnds_NonXtal_Prot#'!A:AL,22,FALSE)</f>
        <v>57</v>
      </c>
      <c r="AI253" s="1">
        <f>VLOOKUP(A253,'SegEnds_NonXtal_Prot#'!A:AL,31,FALSE)-VLOOKUP(A253,'SegEnds_NonXtal_Prot#'!A:AL,28,FALSE)</f>
        <v>46</v>
      </c>
      <c r="AJ253" s="1">
        <f>VLOOKUP(A253,'SegEnds_NonXtal_Prot#'!A:AL,34,FALSE)-VLOOKUP(A253,'SegEnds_NonXtal_Prot#'!A:AL,31,FALSE)</f>
        <v>45</v>
      </c>
      <c r="AK253" s="1">
        <f>VLOOKUP(A253,'SegEnds_NonXtal_Prot#'!A:AL,37,FALSE)-VLOOKUP(A253,'SegEnds_NonXtal_Prot#'!A:AL,34,FALSE)</f>
        <v>10</v>
      </c>
      <c r="AL253" s="1" t="str">
        <f>IF(ISERROR(MATCH(A253,'SegEnds_Xtal_Prot#'!B:B, 0)), "NoXtal", "Xtal")</f>
        <v>NoXtal</v>
      </c>
    </row>
    <row r="254" spans="1:38" x14ac:dyDescent="0.2">
      <c r="A254" s="4" t="s">
        <v>317</v>
      </c>
      <c r="B254" s="4" t="str">
        <f>VLOOKUP(A254,Xtal_Templ!A:B,2,FALSE)</f>
        <v>ntr1_rat</v>
      </c>
      <c r="C254" s="5">
        <f>VLOOKUP($B254&amp;"__wt",'SegEnds_Xtal_BW#'!$A:$Z,3,FALSE)</f>
        <v>29</v>
      </c>
      <c r="D254" s="4">
        <f>VLOOKUP($B254&amp;"__wt",'SegEnds_Xtal_BW#'!$A:$Z,4,FALSE)</f>
        <v>60</v>
      </c>
      <c r="E254" s="4" t="str">
        <f>VLOOKUP($B254&amp;"__wt",'SegEnds_Xtal_BW#'!$A:$Z,5,FALSE)</f>
        <v>-</v>
      </c>
      <c r="F254" s="4" t="str">
        <f>VLOOKUP($B254&amp;"__wt",'SegEnds_Xtal_BW#'!$A:$Z,6,FALSE)</f>
        <v>-</v>
      </c>
      <c r="G254" s="4">
        <v>37</v>
      </c>
      <c r="H254" s="11">
        <v>66</v>
      </c>
      <c r="I254" s="4">
        <f>VLOOKUP($B254&amp;"__wt",'SegEnds_Xtal_BW#'!$A:$Z,9,FALSE)</f>
        <v>49</v>
      </c>
      <c r="J254" s="4">
        <f>VLOOKUP($B254&amp;"__wt",'SegEnds_Xtal_BW#'!$A:$Z,10,FALSE)</f>
        <v>52</v>
      </c>
      <c r="K254" s="11">
        <v>18</v>
      </c>
      <c r="L254" s="4">
        <f>VLOOKUP($B254&amp;"__wt",'SegEnds_Xtal_BW#'!$A:$Z,12,FALSE)</f>
        <v>56</v>
      </c>
      <c r="M254" s="4">
        <f>VLOOKUP($B254&amp;"__wt",'SegEnds_Xtal_BW#'!$A:$Z,13,FALSE)</f>
        <v>50</v>
      </c>
      <c r="N254" s="11">
        <v>57</v>
      </c>
      <c r="O254" s="87">
        <f>VLOOKUP($B254&amp;"__wt",'SegEnds_Xtal_BW#'!$A:$Z,15,FALSE)</f>
        <v>38</v>
      </c>
      <c r="P254" s="4">
        <f>VLOOKUP($B254&amp;"__wt",'SegEnds_Xtal_BW#'!$A:$Z,16,FALSE)</f>
        <v>64</v>
      </c>
      <c r="Q254" s="4">
        <f>VLOOKUP($B254&amp;"__wt",'SegEnds_Xtal_BW#'!$A:$Z,17,FALSE)</f>
        <v>50</v>
      </c>
      <c r="R254" s="4">
        <f>VLOOKUP($B254&amp;"__wt",'SegEnds_Xtal_BW#'!$A:$Z,18,FALSE)</f>
        <v>52</v>
      </c>
      <c r="S254" s="4">
        <f>VLOOKUP($B254&amp;"__wt",'SegEnds_Xtal_BW#'!$A:$Z,19,FALSE)</f>
        <v>32</v>
      </c>
      <c r="T254" s="4">
        <f t="array" ref="T254">INDEX(ICL3_classA!$G$2:$G$39,MATCH(MIN(ABS(AI254-ICL3_classA!$F$2:$F$39)),ABS(AI254-ICL3_classA!$F$2:$F$39),0))</f>
        <v>76</v>
      </c>
      <c r="U254" s="4">
        <f t="array" ref="U254">INDEX(ICL3_classA!$H$2:$H$39,MATCH(MIN(ABS(AI254-ICL3_classA!$F$2:$F$39)),ABS(AI254-ICL3_classA!$F$2:$F$39),0))</f>
        <v>24</v>
      </c>
      <c r="V254" s="4">
        <v>61</v>
      </c>
      <c r="W254" s="4">
        <v>28</v>
      </c>
      <c r="X254" s="4">
        <f>VLOOKUP($B254&amp;"__wt",'SegEnds_Xtal_BW#'!$A:$Z,24,FALSE)</f>
        <v>56</v>
      </c>
      <c r="Y254" s="4">
        <f>VLOOKUP($B254&amp;"__wt",'SegEnds_Xtal_BW#'!$A:$Z,25,FALSE)</f>
        <v>47</v>
      </c>
      <c r="Z254" s="4">
        <f>VLOOKUP($B254&amp;"__wt",'SegEnds_Xtal_BW#'!$A:$Z,26,FALSE)</f>
        <v>62</v>
      </c>
      <c r="AA254" s="27" t="str">
        <f>VLOOKUP(A254,Classification!A:B,2,FALSE)</f>
        <v>A</v>
      </c>
      <c r="AB254" s="1">
        <f>VLOOKUP(A254,'SegEnds_NonXtal_Prot#'!A:AL,10,FALSE)-VLOOKUP(A254,'SegEnds_NonXtal_Prot#'!A:AL,4,FALSE)</f>
        <v>28</v>
      </c>
      <c r="AC254" s="4">
        <f>VLOOKUP(A254,'SegEnds_NonXtal_Prot#'!A:AL,10,FALSE)-VLOOKUP(A254,'SegEnds_NonXtal_Prot#'!A:AL,7,FALSE)</f>
        <v>15</v>
      </c>
      <c r="AD254" s="4">
        <f>VLOOKUP(A254,'SegEnds_NonXtal_Prot#'!A:AL,13,FALSE)-VLOOKUP(A254,'SegEnds_NonXtal_Prot#'!A:AL,10,FALSE)</f>
        <v>19</v>
      </c>
      <c r="AE254" s="4">
        <f>VLOOKUP(A254,'SegEnds_NonXtal_Prot#'!A:AL,16,FALSE)-VLOOKUP(A254,'SegEnds_NonXtal_Prot#'!A:AL,10,FALSE)</f>
        <v>53</v>
      </c>
      <c r="AF254" s="1">
        <f>VLOOKUP(A254,'SegEnds_NonXtal_Prot#'!A:AL,22,FALSE)-VLOOKUP(A254,'SegEnds_NonXtal_Prot#'!A:AL,19,FALSE)</f>
        <v>20</v>
      </c>
      <c r="AG254" s="4">
        <f>VLOOKUP(A254,'SegEnds_NonXtal_Prot#'!A:AL,28,FALSE)-VLOOKUP(A254,'SegEnds_NonXtal_Prot#'!A:AL,25,FALSE)</f>
        <v>24</v>
      </c>
      <c r="AH254" s="1">
        <f>VLOOKUP(A254,'SegEnds_NonXtal_Prot#'!A:AL,28,FALSE)-VLOOKUP(A254,'SegEnds_NonXtal_Prot#'!A:AL,22,FALSE)</f>
        <v>57</v>
      </c>
      <c r="AI254" s="4">
        <f>VLOOKUP(A254,'SegEnds_NonXtal_Prot#'!A:AL,31,FALSE)-VLOOKUP(A254,'SegEnds_NonXtal_Prot#'!A:AL,28,FALSE)</f>
        <v>69</v>
      </c>
      <c r="AJ254" s="4">
        <f>VLOOKUP(A254,'SegEnds_NonXtal_Prot#'!A:AL,34,FALSE)-VLOOKUP(A254,'SegEnds_NonXtal_Prot#'!A:AL,31,FALSE)</f>
        <v>41</v>
      </c>
      <c r="AK254" s="1">
        <f>VLOOKUP(A254,'SegEnds_NonXtal_Prot#'!A:AL,37,FALSE)-VLOOKUP(A254,'SegEnds_NonXtal_Prot#'!A:AL,34,FALSE)</f>
        <v>10</v>
      </c>
      <c r="AL254" s="1" t="str">
        <f>IF(ISERROR(MATCH(A254,'SegEnds_Xtal_Prot#'!B:B, 0)), "NoXtal", "Xtal")</f>
        <v>NoXtal</v>
      </c>
    </row>
    <row r="255" spans="1:38" x14ac:dyDescent="0.2">
      <c r="A255" s="1" t="s">
        <v>318</v>
      </c>
      <c r="B255" s="1" t="str">
        <f>VLOOKUP(A255,Xtal_Templ!A:B,2,FALSE)</f>
        <v>ntr1_rat</v>
      </c>
      <c r="C255" s="5">
        <f>VLOOKUP($B255&amp;"__wt",'SegEnds_Xtal_BW#'!$A:$Z,3,FALSE)</f>
        <v>29</v>
      </c>
      <c r="D255" s="1">
        <f>VLOOKUP($B255&amp;"__wt",'SegEnds_Xtal_BW#'!$A:$Z,4,FALSE)</f>
        <v>60</v>
      </c>
      <c r="E255" s="1" t="str">
        <f>VLOOKUP($B255&amp;"__wt",'SegEnds_Xtal_BW#'!$A:$Z,5,FALSE)</f>
        <v>-</v>
      </c>
      <c r="F255" s="1" t="str">
        <f>VLOOKUP($B255&amp;"__wt",'SegEnds_Xtal_BW#'!$A:$Z,6,FALSE)</f>
        <v>-</v>
      </c>
      <c r="G255" s="1">
        <v>37</v>
      </c>
      <c r="H255" s="12">
        <v>66</v>
      </c>
      <c r="I255" s="1">
        <f>VLOOKUP($B255&amp;"__wt",'SegEnds_Xtal_BW#'!$A:$Z,9,FALSE)</f>
        <v>49</v>
      </c>
      <c r="J255" s="1">
        <f>VLOOKUP($B255&amp;"__wt",'SegEnds_Xtal_BW#'!$A:$Z,10,FALSE)</f>
        <v>52</v>
      </c>
      <c r="K255" s="12">
        <v>18</v>
      </c>
      <c r="L255" s="1">
        <f>VLOOKUP($B255&amp;"__wt",'SegEnds_Xtal_BW#'!$A:$Z,12,FALSE)</f>
        <v>56</v>
      </c>
      <c r="M255" s="1">
        <f>VLOOKUP($B255&amp;"__wt",'SegEnds_Xtal_BW#'!$A:$Z,13,FALSE)</f>
        <v>50</v>
      </c>
      <c r="N255" s="12">
        <v>57</v>
      </c>
      <c r="O255" s="87">
        <f>VLOOKUP($B255&amp;"__wt",'SegEnds_Xtal_BW#'!$A:$Z,15,FALSE)</f>
        <v>38</v>
      </c>
      <c r="P255" s="1">
        <f>VLOOKUP($B255&amp;"__wt",'SegEnds_Xtal_BW#'!$A:$Z,16,FALSE)</f>
        <v>64</v>
      </c>
      <c r="Q255" s="1">
        <f>VLOOKUP($B255&amp;"__wt",'SegEnds_Xtal_BW#'!$A:$Z,17,FALSE)</f>
        <v>50</v>
      </c>
      <c r="R255" s="1">
        <f>VLOOKUP($B255&amp;"__wt",'SegEnds_Xtal_BW#'!$A:$Z,18,FALSE)</f>
        <v>52</v>
      </c>
      <c r="S255" s="1">
        <f>VLOOKUP($B255&amp;"__wt",'SegEnds_Xtal_BW#'!$A:$Z,19,FALSE)</f>
        <v>32</v>
      </c>
      <c r="T255" s="1">
        <f t="array" ref="T255">INDEX(ICL3_classA!$G$2:$G$39,MATCH(MIN(ABS(AI255-ICL3_classA!$F$2:$F$39)),ABS(AI255-ICL3_classA!$F$2:$F$39),0))</f>
        <v>73</v>
      </c>
      <c r="U255" s="1">
        <f t="array" ref="U255">INDEX(ICL3_classA!$H$2:$H$39,MATCH(MIN(ABS(AI255-ICL3_classA!$F$2:$F$39)),ABS(AI255-ICL3_classA!$F$2:$F$39),0))</f>
        <v>22</v>
      </c>
      <c r="V255" s="1">
        <v>61</v>
      </c>
      <c r="W255" s="1">
        <v>28</v>
      </c>
      <c r="X255" s="1">
        <f>VLOOKUP($B255&amp;"__wt",'SegEnds_Xtal_BW#'!$A:$Z,24,FALSE)</f>
        <v>56</v>
      </c>
      <c r="Y255" s="1">
        <f>VLOOKUP($B255&amp;"__wt",'SegEnds_Xtal_BW#'!$A:$Z,25,FALSE)</f>
        <v>47</v>
      </c>
      <c r="Z255" s="1">
        <f>VLOOKUP($B255&amp;"__wt",'SegEnds_Xtal_BW#'!$A:$Z,26,FALSE)</f>
        <v>62</v>
      </c>
      <c r="AA255" s="27" t="str">
        <f>VLOOKUP(A255,Classification!A:B,2,FALSE)</f>
        <v>A</v>
      </c>
      <c r="AB255" s="1">
        <f>VLOOKUP(A255,'SegEnds_NonXtal_Prot#'!A:AL,10,FALSE)-VLOOKUP(A255,'SegEnds_NonXtal_Prot#'!A:AL,4,FALSE)</f>
        <v>28</v>
      </c>
      <c r="AC255" s="1">
        <f>VLOOKUP(A255,'SegEnds_NonXtal_Prot#'!A:AL,10,FALSE)-VLOOKUP(A255,'SegEnds_NonXtal_Prot#'!A:AL,7,FALSE)</f>
        <v>15</v>
      </c>
      <c r="AD255" s="1">
        <f>VLOOKUP(A255,'SegEnds_NonXtal_Prot#'!A:AL,13,FALSE)-VLOOKUP(A255,'SegEnds_NonXtal_Prot#'!A:AL,10,FALSE)</f>
        <v>19</v>
      </c>
      <c r="AE255" s="1">
        <f>VLOOKUP(A255,'SegEnds_NonXtal_Prot#'!A:AL,16,FALSE)-VLOOKUP(A255,'SegEnds_NonXtal_Prot#'!A:AL,10,FALSE)</f>
        <v>53</v>
      </c>
      <c r="AF255" s="1">
        <f>VLOOKUP(A255,'SegEnds_NonXtal_Prot#'!A:AL,22,FALSE)-VLOOKUP(A255,'SegEnds_NonXtal_Prot#'!A:AL,19,FALSE)</f>
        <v>20</v>
      </c>
      <c r="AG255" s="1">
        <f>VLOOKUP(A255,'SegEnds_NonXtal_Prot#'!A:AL,28,FALSE)-VLOOKUP(A255,'SegEnds_NonXtal_Prot#'!A:AL,25,FALSE)</f>
        <v>24</v>
      </c>
      <c r="AH255" s="1">
        <f>VLOOKUP(A255,'SegEnds_NonXtal_Prot#'!A:AL,28,FALSE)-VLOOKUP(A255,'SegEnds_NonXtal_Prot#'!A:AL,22,FALSE)</f>
        <v>57</v>
      </c>
      <c r="AI255" s="1">
        <f>VLOOKUP(A255,'SegEnds_NonXtal_Prot#'!A:AL,31,FALSE)-VLOOKUP(A255,'SegEnds_NonXtal_Prot#'!A:AL,28,FALSE)</f>
        <v>55</v>
      </c>
      <c r="AJ255" s="1">
        <f>VLOOKUP(A255,'SegEnds_NonXtal_Prot#'!A:AL,34,FALSE)-VLOOKUP(A255,'SegEnds_NonXtal_Prot#'!A:AL,31,FALSE)</f>
        <v>41</v>
      </c>
      <c r="AK255" s="1">
        <f>VLOOKUP(A255,'SegEnds_NonXtal_Prot#'!A:AL,37,FALSE)-VLOOKUP(A255,'SegEnds_NonXtal_Prot#'!A:AL,34,FALSE)</f>
        <v>10</v>
      </c>
      <c r="AL255" s="1" t="str">
        <f>IF(ISERROR(MATCH(A255,'SegEnds_Xtal_Prot#'!B:B, 0)), "NoXtal", "Xtal")</f>
        <v>NoXtal</v>
      </c>
    </row>
    <row r="256" spans="1:38" x14ac:dyDescent="0.2">
      <c r="A256" s="1" t="s">
        <v>348</v>
      </c>
      <c r="B256" s="1" t="str">
        <f>VLOOKUP(A256,Xtal_Templ!A:B,2,FALSE)</f>
        <v>par2_human</v>
      </c>
      <c r="C256" s="5">
        <f>VLOOKUP($B256&amp;"__wt",'SegEnds_Xtal_BW#'!$A:$Z,3,FALSE)</f>
        <v>28</v>
      </c>
      <c r="D256" s="1">
        <f>VLOOKUP($B256&amp;"__wt",'SegEnds_Xtal_BW#'!$A:$Z,4,FALSE)</f>
        <v>60</v>
      </c>
      <c r="E256" s="1" t="str">
        <f>VLOOKUP($B256&amp;"__wt",'SegEnds_Xtal_BW#'!$A:$Z,5,FALSE)</f>
        <v>-</v>
      </c>
      <c r="F256" s="1" t="str">
        <f>VLOOKUP($B256&amp;"__wt",'SegEnds_Xtal_BW#'!$A:$Z,6,FALSE)</f>
        <v>-</v>
      </c>
      <c r="G256" s="1">
        <v>37</v>
      </c>
      <c r="H256" s="12">
        <f>VLOOKUP($B256&amp;"__wt",'SegEnds_Xtal_BW#'!$A:$Z,8,FALSE)</f>
        <v>66</v>
      </c>
      <c r="I256" s="1">
        <f>VLOOKUP($B256&amp;"__wt",'SegEnds_Xtal_BW#'!$A:$Z,9,FALSE)</f>
        <v>47</v>
      </c>
      <c r="J256" s="1">
        <f>VLOOKUP($B256&amp;"__wt",'SegEnds_Xtal_BW#'!$A:$Z,10,FALSE)</f>
        <v>52</v>
      </c>
      <c r="K256" s="12">
        <v>18</v>
      </c>
      <c r="L256" s="1">
        <f>VLOOKUP($B256&amp;"__wt",'SegEnds_Xtal_BW#'!$A:$Z,12,FALSE)</f>
        <v>56</v>
      </c>
      <c r="M256" s="1">
        <f>VLOOKUP($B256&amp;"__wt",'SegEnds_Xtal_BW#'!$A:$Z,13,FALSE)</f>
        <v>50</v>
      </c>
      <c r="N256" s="12">
        <v>57</v>
      </c>
      <c r="O256" s="87">
        <f>VLOOKUP($B256&amp;"__wt",'SegEnds_Xtal_BW#'!$A:$Z,15,FALSE)</f>
        <v>38</v>
      </c>
      <c r="P256" s="1">
        <f>VLOOKUP($B256&amp;"__wt",'SegEnds_Xtal_BW#'!$A:$Z,16,FALSE)</f>
        <v>62</v>
      </c>
      <c r="Q256" s="1">
        <f>VLOOKUP($B256&amp;"__wt",'SegEnds_Xtal_BW#'!$A:$Z,17,FALSE)</f>
        <v>50</v>
      </c>
      <c r="R256" s="1">
        <f>VLOOKUP($B256&amp;"__wt",'SegEnds_Xtal_BW#'!$A:$Z,18,FALSE)</f>
        <v>52</v>
      </c>
      <c r="S256" s="1">
        <f>VLOOKUP($B256&amp;"__wt",'SegEnds_Xtal_BW#'!$A:$Z,19,FALSE)</f>
        <v>31</v>
      </c>
      <c r="T256" s="1">
        <f t="array" ref="T256">INDEX(ICL3_classA!$G$2:$G$39,MATCH(MIN(ABS(AI256-ICL3_classA!$F$2:$F$39)),ABS(AI256-ICL3_classA!$F$2:$F$39),0))</f>
        <v>67</v>
      </c>
      <c r="U256" s="1">
        <f t="array" ref="U256">INDEX(ICL3_classA!$H$2:$H$39,MATCH(MIN(ABS(AI256-ICL3_classA!$F$2:$F$39)),ABS(AI256-ICL3_classA!$F$2:$F$39),0))</f>
        <v>26</v>
      </c>
      <c r="V256" s="1">
        <v>61</v>
      </c>
      <c r="W256" s="131">
        <f>VLOOKUP($B256&amp;"__wt",'SegEnds_Xtal_BW#'!$A:$Z,23,FALSE)</f>
        <v>31</v>
      </c>
      <c r="X256" s="1">
        <f>VLOOKUP($B256&amp;"__wt",'SegEnds_Xtal_BW#'!$A:$Z,24,FALSE)</f>
        <v>56</v>
      </c>
      <c r="Y256" s="1">
        <f>VLOOKUP($B256&amp;"__wt",'SegEnds_Xtal_BW#'!$A:$Z,25,FALSE)</f>
        <v>47</v>
      </c>
      <c r="Z256" s="1">
        <f>VLOOKUP($B256&amp;"__wt",'SegEnds_Xtal_BW#'!$A:$Z,26,FALSE)</f>
        <v>61</v>
      </c>
      <c r="AA256" s="27" t="str">
        <f>VLOOKUP(A256,Classification!A:B,2,FALSE)</f>
        <v>A</v>
      </c>
      <c r="AB256" s="1">
        <f>VLOOKUP(A256,'SegEnds_NonXtal_Prot#'!A:AL,10,FALSE)-VLOOKUP(A256,'SegEnds_NonXtal_Prot#'!A:AL,4,FALSE)</f>
        <v>28</v>
      </c>
      <c r="AC256" s="1" t="e">
        <f>VLOOKUP(A256,'SegEnds_NonXtal_Prot#'!A:AL,10,FALSE)-VLOOKUP(A256,'SegEnds_NonXtal_Prot#'!A:AL,7,FALSE)</f>
        <v>#VALUE!</v>
      </c>
      <c r="AD256" s="1">
        <f>VLOOKUP(A256,'SegEnds_NonXtal_Prot#'!A:AL,13,FALSE)-VLOOKUP(A256,'SegEnds_NonXtal_Prot#'!A:AL,10,FALSE)</f>
        <v>20</v>
      </c>
      <c r="AE256" s="1">
        <f>VLOOKUP(A256,'SegEnds_NonXtal_Prot#'!A:AL,16,FALSE)-VLOOKUP(A256,'SegEnds_NonXtal_Prot#'!A:AL,10,FALSE)</f>
        <v>52</v>
      </c>
      <c r="AF256" s="1">
        <f>VLOOKUP(A256,'SegEnds_NonXtal_Prot#'!A:AL,22,FALSE)-VLOOKUP(A256,'SegEnds_NonXtal_Prot#'!A:AL,19,FALSE)</f>
        <v>20</v>
      </c>
      <c r="AG256" s="1">
        <f>VLOOKUP(A256,'SegEnds_NonXtal_Prot#'!A:AL,28,FALSE)-VLOOKUP(A256,'SegEnds_NonXtal_Prot#'!A:AL,25,FALSE)</f>
        <v>30</v>
      </c>
      <c r="AH256" s="1">
        <f>VLOOKUP(A256,'SegEnds_NonXtal_Prot#'!A:AL,28,FALSE)-VLOOKUP(A256,'SegEnds_NonXtal_Prot#'!A:AL,22,FALSE)</f>
        <v>57</v>
      </c>
      <c r="AI256" s="1">
        <f>VLOOKUP(A256,'SegEnds_NonXtal_Prot#'!A:AL,31,FALSE)-VLOOKUP(A256,'SegEnds_NonXtal_Prot#'!A:AL,28,FALSE)</f>
        <v>47</v>
      </c>
      <c r="AJ256" s="1">
        <f>VLOOKUP(A256,'SegEnds_NonXtal_Prot#'!A:AL,34,FALSE)-VLOOKUP(A256,'SegEnds_NonXtal_Prot#'!A:AL,31,FALSE)</f>
        <v>38</v>
      </c>
      <c r="AK256" s="1">
        <f>VLOOKUP(A256,'SegEnds_NonXtal_Prot#'!A:AL,37,FALSE)-VLOOKUP(A256,'SegEnds_NonXtal_Prot#'!A:AL,34,FALSE)</f>
        <v>10</v>
      </c>
      <c r="AL256" s="1" t="str">
        <f>IF(ISERROR(MATCH(A256,'SegEnds_Xtal_Prot#'!B:B, 0)), "NoXtal", "Xtal")</f>
        <v>NoXtal</v>
      </c>
    </row>
    <row r="257" spans="1:38" x14ac:dyDescent="0.2">
      <c r="A257" s="1" t="s">
        <v>366</v>
      </c>
      <c r="B257" s="1" t="str">
        <f>VLOOKUP(A257,Xtal_Templ!A:B,2,FALSE)</f>
        <v>npy1r_human</v>
      </c>
      <c r="C257" s="5">
        <f>VLOOKUP($B257&amp;"__wt",'SegEnds_Xtal_BW#'!$A:$Z,3,FALSE)</f>
        <v>28</v>
      </c>
      <c r="D257" s="1">
        <f>VLOOKUP($B257&amp;"__wt",'SegEnds_Xtal_BW#'!$A:$Z,4,FALSE)</f>
        <v>60</v>
      </c>
      <c r="E257" s="1">
        <f>VLOOKUP($B257&amp;"__wt",'SegEnds_Xtal_BW#'!$A:$Z,5,FALSE)</f>
        <v>48</v>
      </c>
      <c r="F257" s="1">
        <f>VLOOKUP($B257&amp;"__wt",'SegEnds_Xtal_BW#'!$A:$Z,6,FALSE)</f>
        <v>51</v>
      </c>
      <c r="G257" s="1">
        <v>37</v>
      </c>
      <c r="H257" s="12">
        <f>VLOOKUP($B257&amp;"__wt",'SegEnds_Xtal_BW#'!$A:$Z,8,FALSE)</f>
        <v>68</v>
      </c>
      <c r="I257" s="1">
        <f>VLOOKUP($B257&amp;"__wt",'SegEnds_Xtal_BW#'!$A:$Z,9,FALSE)</f>
        <v>49</v>
      </c>
      <c r="J257" s="1">
        <f>VLOOKUP($B257&amp;"__wt",'SegEnds_Xtal_BW#'!$A:$Z,10,FALSE)</f>
        <v>52</v>
      </c>
      <c r="K257" s="12">
        <v>18</v>
      </c>
      <c r="L257" s="1">
        <f>VLOOKUP($B257&amp;"__wt",'SegEnds_Xtal_BW#'!$A:$Z,12,FALSE)</f>
        <v>56</v>
      </c>
      <c r="M257" s="1" t="str">
        <f>VLOOKUP($B257&amp;"__wt",'SegEnds_Xtal_BW#'!$A:$Z,13,FALSE)</f>
        <v>-</v>
      </c>
      <c r="N257" s="108" t="s">
        <v>23</v>
      </c>
      <c r="O257" s="87">
        <f>VLOOKUP($B257&amp;"__wt",'SegEnds_Xtal_BW#'!$A:$Z,15,FALSE)</f>
        <v>38</v>
      </c>
      <c r="P257" s="1">
        <f>VLOOKUP($B257&amp;"__wt",'SegEnds_Xtal_BW#'!$A:$Z,16,FALSE)</f>
        <v>64</v>
      </c>
      <c r="Q257" s="1">
        <f>VLOOKUP($B257&amp;"__wt",'SegEnds_Xtal_BW#'!$A:$Z,17,FALSE)</f>
        <v>50</v>
      </c>
      <c r="R257" s="1">
        <f>VLOOKUP($B257&amp;"__wt",'SegEnds_Xtal_BW#'!$A:$Z,18,FALSE)</f>
        <v>52</v>
      </c>
      <c r="S257" s="1">
        <f>VLOOKUP($B257&amp;"__wt",'SegEnds_Xtal_BW#'!$A:$Z,19,FALSE)</f>
        <v>31</v>
      </c>
      <c r="T257" s="1">
        <f t="array" ref="T257">INDEX(ICL3_classA!$G$2:$G$39,MATCH(MIN(ABS(AI257-ICL3_classA!$F$2:$F$39)),ABS(AI257-ICL3_classA!$F$2:$F$39),0))</f>
        <v>73</v>
      </c>
      <c r="U257" s="1">
        <f t="array" ref="U257">INDEX(ICL3_classA!$H$2:$H$39,MATCH(MIN(ABS(AI257-ICL3_classA!$F$2:$F$39)),ABS(AI257-ICL3_classA!$F$2:$F$39),0))</f>
        <v>22</v>
      </c>
      <c r="V257" s="1">
        <v>61</v>
      </c>
      <c r="W257" s="1">
        <v>28</v>
      </c>
      <c r="X257" s="1">
        <f>VLOOKUP($B257&amp;"__wt",'SegEnds_Xtal_BW#'!$A:$Z,24,FALSE)</f>
        <v>56</v>
      </c>
      <c r="Y257" s="1">
        <f>VLOOKUP($B257&amp;"__wt",'SegEnds_Xtal_BW#'!$A:$Z,25,FALSE)</f>
        <v>47</v>
      </c>
      <c r="Z257" s="1">
        <f>VLOOKUP($B257&amp;"__wt",'SegEnds_Xtal_BW#'!$A:$Z,26,FALSE)</f>
        <v>58</v>
      </c>
      <c r="AA257" s="27" t="str">
        <f>VLOOKUP(A257,Classification!A:B,2,FALSE)</f>
        <v>A</v>
      </c>
      <c r="AB257" s="1">
        <f>VLOOKUP(A257,'SegEnds_NonXtal_Prot#'!A:AL,10,FALSE)-VLOOKUP(A257,'SegEnds_NonXtal_Prot#'!A:AL,4,FALSE)</f>
        <v>28</v>
      </c>
      <c r="AC257" s="1">
        <f>VLOOKUP(A257,'SegEnds_NonXtal_Prot#'!A:AL,10,FALSE)-VLOOKUP(A257,'SegEnds_NonXtal_Prot#'!A:AL,7,FALSE)</f>
        <v>15</v>
      </c>
      <c r="AD257" s="1">
        <f>VLOOKUP(A257,'SegEnds_NonXtal_Prot#'!A:AL,13,FALSE)-VLOOKUP(A257,'SegEnds_NonXtal_Prot#'!A:AL,10,FALSE)</f>
        <v>22</v>
      </c>
      <c r="AE257" s="1">
        <f>VLOOKUP(A257,'SegEnds_NonXtal_Prot#'!A:AL,16,FALSE)-VLOOKUP(A257,'SegEnds_NonXtal_Prot#'!A:AL,10,FALSE)</f>
        <v>54</v>
      </c>
      <c r="AF257" s="1" t="e">
        <f>VLOOKUP(A257,'SegEnds_NonXtal_Prot#'!A:AL,22,FALSE)-VLOOKUP(A257,'SegEnds_NonXtal_Prot#'!A:AL,19,FALSE)</f>
        <v>#VALUE!</v>
      </c>
      <c r="AG257" s="1">
        <f>VLOOKUP(A257,'SegEnds_NonXtal_Prot#'!A:AL,28,FALSE)-VLOOKUP(A257,'SegEnds_NonXtal_Prot#'!A:AL,25,FALSE)</f>
        <v>27</v>
      </c>
      <c r="AH257" s="1">
        <f>VLOOKUP(A257,'SegEnds_NonXtal_Prot#'!A:AL,28,FALSE)-VLOOKUP(A257,'SegEnds_NonXtal_Prot#'!A:AL,22,FALSE)</f>
        <v>57</v>
      </c>
      <c r="AI257" s="1">
        <f>VLOOKUP(A257,'SegEnds_NonXtal_Prot#'!A:AL,31,FALSE)-VLOOKUP(A257,'SegEnds_NonXtal_Prot#'!A:AL,28,FALSE)</f>
        <v>55</v>
      </c>
      <c r="AJ257" s="1">
        <f>VLOOKUP(A257,'SegEnds_NonXtal_Prot#'!A:AL,34,FALSE)-VLOOKUP(A257,'SegEnds_NonXtal_Prot#'!A:AL,31,FALSE)</f>
        <v>40</v>
      </c>
      <c r="AK257" s="1">
        <f>VLOOKUP(A257,'SegEnds_NonXtal_Prot#'!A:AL,37,FALSE)-VLOOKUP(A257,'SegEnds_NonXtal_Prot#'!A:AL,34,FALSE)</f>
        <v>11</v>
      </c>
      <c r="AL257" s="1" t="str">
        <f>IF(ISERROR(MATCH(A257,'SegEnds_Xtal_Prot#'!B:B, 0)), "NoXtal", "Xtal")</f>
        <v>NoXtal</v>
      </c>
    </row>
    <row r="258" spans="1:38" x14ac:dyDescent="0.2">
      <c r="A258" s="1" t="s">
        <v>367</v>
      </c>
      <c r="B258" s="1" t="str">
        <f>VLOOKUP(A258,Xtal_Templ!A:B,2,FALSE)</f>
        <v>npy1r_human</v>
      </c>
      <c r="C258" s="5">
        <f>VLOOKUP($B258&amp;"__wt",'SegEnds_Xtal_BW#'!$A:$Z,3,FALSE)</f>
        <v>28</v>
      </c>
      <c r="D258" s="1">
        <f>VLOOKUP($B258&amp;"__wt",'SegEnds_Xtal_BW#'!$A:$Z,4,FALSE)</f>
        <v>60</v>
      </c>
      <c r="E258" s="1">
        <f>VLOOKUP($B258&amp;"__wt",'SegEnds_Xtal_BW#'!$A:$Z,5,FALSE)</f>
        <v>48</v>
      </c>
      <c r="F258" s="1">
        <f>VLOOKUP($B258&amp;"__wt",'SegEnds_Xtal_BW#'!$A:$Z,6,FALSE)</f>
        <v>51</v>
      </c>
      <c r="G258" s="1">
        <v>37</v>
      </c>
      <c r="H258" s="12">
        <f>VLOOKUP($B258&amp;"__wt",'SegEnds_Xtal_BW#'!$A:$Z,8,FALSE)</f>
        <v>68</v>
      </c>
      <c r="I258" s="1">
        <f>VLOOKUP($B258&amp;"__wt",'SegEnds_Xtal_BW#'!$A:$Z,9,FALSE)</f>
        <v>49</v>
      </c>
      <c r="J258" s="1">
        <f>VLOOKUP($B258&amp;"__wt",'SegEnds_Xtal_BW#'!$A:$Z,10,FALSE)</f>
        <v>52</v>
      </c>
      <c r="K258" s="12">
        <v>18</v>
      </c>
      <c r="L258" s="1">
        <f>VLOOKUP($B258&amp;"__wt",'SegEnds_Xtal_BW#'!$A:$Z,12,FALSE)</f>
        <v>56</v>
      </c>
      <c r="M258" s="1" t="str">
        <f>VLOOKUP($B258&amp;"__wt",'SegEnds_Xtal_BW#'!$A:$Z,13,FALSE)</f>
        <v>-</v>
      </c>
      <c r="N258" s="108" t="s">
        <v>23</v>
      </c>
      <c r="O258" s="87">
        <f>VLOOKUP($B258&amp;"__wt",'SegEnds_Xtal_BW#'!$A:$Z,15,FALSE)</f>
        <v>38</v>
      </c>
      <c r="P258" s="1">
        <f>VLOOKUP($B258&amp;"__wt",'SegEnds_Xtal_BW#'!$A:$Z,16,FALSE)</f>
        <v>64</v>
      </c>
      <c r="Q258" s="1">
        <f>VLOOKUP($B258&amp;"__wt",'SegEnds_Xtal_BW#'!$A:$Z,17,FALSE)</f>
        <v>50</v>
      </c>
      <c r="R258" s="1">
        <f>VLOOKUP($B258&amp;"__wt",'SegEnds_Xtal_BW#'!$A:$Z,18,FALSE)</f>
        <v>52</v>
      </c>
      <c r="S258" s="1">
        <f>VLOOKUP($B258&amp;"__wt",'SegEnds_Xtal_BW#'!$A:$Z,19,FALSE)</f>
        <v>31</v>
      </c>
      <c r="T258" s="1">
        <f t="array" ref="T258">INDEX(ICL3_classA!$G$2:$G$39,MATCH(MIN(ABS(AI258-ICL3_classA!$F$2:$F$39)),ABS(AI258-ICL3_classA!$F$2:$F$39),0))</f>
        <v>73</v>
      </c>
      <c r="U258" s="1">
        <f t="array" ref="U258">INDEX(ICL3_classA!$H$2:$H$39,MATCH(MIN(ABS(AI258-ICL3_classA!$F$2:$F$39)),ABS(AI258-ICL3_classA!$F$2:$F$39),0))</f>
        <v>22</v>
      </c>
      <c r="V258" s="1">
        <v>61</v>
      </c>
      <c r="W258" s="1">
        <v>28</v>
      </c>
      <c r="X258" s="1">
        <f>VLOOKUP($B258&amp;"__wt",'SegEnds_Xtal_BW#'!$A:$Z,24,FALSE)</f>
        <v>56</v>
      </c>
      <c r="Y258" s="1">
        <f>VLOOKUP($B258&amp;"__wt",'SegEnds_Xtal_BW#'!$A:$Z,25,FALSE)</f>
        <v>47</v>
      </c>
      <c r="Z258" s="1">
        <f>VLOOKUP($B258&amp;"__wt",'SegEnds_Xtal_BW#'!$A:$Z,26,FALSE)</f>
        <v>58</v>
      </c>
      <c r="AA258" s="27" t="str">
        <f>VLOOKUP(A258,Classification!A:B,2,FALSE)</f>
        <v>A</v>
      </c>
      <c r="AB258" s="1">
        <f>VLOOKUP(A258,'SegEnds_NonXtal_Prot#'!A:AL,10,FALSE)-VLOOKUP(A258,'SegEnds_NonXtal_Prot#'!A:AL,4,FALSE)</f>
        <v>28</v>
      </c>
      <c r="AC258" s="1">
        <f>VLOOKUP(A258,'SegEnds_NonXtal_Prot#'!A:AL,10,FALSE)-VLOOKUP(A258,'SegEnds_NonXtal_Prot#'!A:AL,7,FALSE)</f>
        <v>15</v>
      </c>
      <c r="AD258" s="1">
        <f>VLOOKUP(A258,'SegEnds_NonXtal_Prot#'!A:AL,13,FALSE)-VLOOKUP(A258,'SegEnds_NonXtal_Prot#'!A:AL,10,FALSE)</f>
        <v>22</v>
      </c>
      <c r="AE258" s="1">
        <f>VLOOKUP(A258,'SegEnds_NonXtal_Prot#'!A:AL,16,FALSE)-VLOOKUP(A258,'SegEnds_NonXtal_Prot#'!A:AL,10,FALSE)</f>
        <v>54</v>
      </c>
      <c r="AF258" s="1" t="e">
        <f>VLOOKUP(A258,'SegEnds_NonXtal_Prot#'!A:AL,22,FALSE)-VLOOKUP(A258,'SegEnds_NonXtal_Prot#'!A:AL,19,FALSE)</f>
        <v>#VALUE!</v>
      </c>
      <c r="AG258" s="1">
        <f>VLOOKUP(A258,'SegEnds_NonXtal_Prot#'!A:AL,28,FALSE)-VLOOKUP(A258,'SegEnds_NonXtal_Prot#'!A:AL,25,FALSE)</f>
        <v>27</v>
      </c>
      <c r="AH258" s="1">
        <f>VLOOKUP(A258,'SegEnds_NonXtal_Prot#'!A:AL,28,FALSE)-VLOOKUP(A258,'SegEnds_NonXtal_Prot#'!A:AL,22,FALSE)</f>
        <v>57</v>
      </c>
      <c r="AI258" s="1">
        <f>VLOOKUP(A258,'SegEnds_NonXtal_Prot#'!A:AL,31,FALSE)-VLOOKUP(A258,'SegEnds_NonXtal_Prot#'!A:AL,28,FALSE)</f>
        <v>55</v>
      </c>
      <c r="AJ258" s="1">
        <f>VLOOKUP(A258,'SegEnds_NonXtal_Prot#'!A:AL,34,FALSE)-VLOOKUP(A258,'SegEnds_NonXtal_Prot#'!A:AL,31,FALSE)</f>
        <v>40</v>
      </c>
      <c r="AK258" s="1">
        <f>VLOOKUP(A258,'SegEnds_NonXtal_Prot#'!A:AL,37,FALSE)-VLOOKUP(A258,'SegEnds_NonXtal_Prot#'!A:AL,34,FALSE)</f>
        <v>11</v>
      </c>
      <c r="AL258" s="1" t="str">
        <f>IF(ISERROR(MATCH(A258,'SegEnds_Xtal_Prot#'!B:B, 0)), "NoXtal", "Xtal")</f>
        <v>NoXtal</v>
      </c>
    </row>
    <row r="259" spans="1:38" x14ac:dyDescent="0.2">
      <c r="A259" s="1" t="s">
        <v>372</v>
      </c>
      <c r="B259" s="1" t="str">
        <f>VLOOKUP(A259,Xtal_Templ!A:B,2,FALSE)</f>
        <v>agtr1_human</v>
      </c>
      <c r="C259" s="5">
        <f>VLOOKUP($B259&amp;"__wt",'SegEnds_Xtal_BW#'!$A:$Z,3,FALSE)</f>
        <v>28</v>
      </c>
      <c r="D259" s="1">
        <f>VLOOKUP($B259&amp;"__wt",'SegEnds_Xtal_BW#'!$A:$Z,4,FALSE)</f>
        <v>60</v>
      </c>
      <c r="E259" s="1">
        <f>VLOOKUP($B259&amp;"__wt",'SegEnds_Xtal_BW#'!$A:$Z,5,FALSE)</f>
        <v>48</v>
      </c>
      <c r="F259" s="1">
        <f>VLOOKUP($B259&amp;"__wt",'SegEnds_Xtal_BW#'!$A:$Z,6,FALSE)</f>
        <v>51</v>
      </c>
      <c r="G259" s="1">
        <v>37</v>
      </c>
      <c r="H259" s="12">
        <f>VLOOKUP($B259&amp;"__wt",'SegEnds_Xtal_BW#'!$A:$Z,8,FALSE)</f>
        <v>67</v>
      </c>
      <c r="I259" s="1">
        <f>VLOOKUP($B259&amp;"__wt",'SegEnds_Xtal_BW#'!$A:$Z,9,FALSE)</f>
        <v>49</v>
      </c>
      <c r="J259" s="1">
        <f>VLOOKUP($B259&amp;"__wt",'SegEnds_Xtal_BW#'!$A:$Z,10,FALSE)</f>
        <v>52</v>
      </c>
      <c r="K259" s="12">
        <v>18</v>
      </c>
      <c r="L259" s="1">
        <f>VLOOKUP($B259&amp;"__wt",'SegEnds_Xtal_BW#'!$A:$Z,12,FALSE)</f>
        <v>56</v>
      </c>
      <c r="M259" s="1">
        <f>VLOOKUP($B259&amp;"__wt",'SegEnds_Xtal_BW#'!$A:$Z,13,FALSE)</f>
        <v>50</v>
      </c>
      <c r="N259" s="12">
        <v>58</v>
      </c>
      <c r="O259" s="87">
        <f>VLOOKUP($B259&amp;"__wt",'SegEnds_Xtal_BW#'!$A:$Z,15,FALSE)</f>
        <v>38</v>
      </c>
      <c r="P259" s="1">
        <f>VLOOKUP($B259&amp;"__wt",'SegEnds_Xtal_BW#'!$A:$Z,16,FALSE)</f>
        <v>64</v>
      </c>
      <c r="Q259" s="1">
        <f>VLOOKUP($B259&amp;"__wt",'SegEnds_Xtal_BW#'!$A:$Z,17,FALSE)</f>
        <v>50</v>
      </c>
      <c r="R259" s="1">
        <f>VLOOKUP($B259&amp;"__wt",'SegEnds_Xtal_BW#'!$A:$Z,18,FALSE)</f>
        <v>52</v>
      </c>
      <c r="S259" s="1">
        <f>VLOOKUP($B259&amp;"__wt",'SegEnds_Xtal_BW#'!$A:$Z,19,FALSE)</f>
        <v>34</v>
      </c>
      <c r="T259" s="1">
        <f t="array" ref="T259">INDEX(ICL3_classA!$G$2:$G$39,MATCH(MIN(ABS(AI259-ICL3_classA!$F$2:$F$39)),ABS(AI259-ICL3_classA!$F$2:$F$39),0))</f>
        <v>74</v>
      </c>
      <c r="U259" s="1">
        <f t="array" ref="U259">INDEX(ICL3_classA!$H$2:$H$39,MATCH(MIN(ABS(AI259-ICL3_classA!$F$2:$F$39)),ABS(AI259-ICL3_classA!$F$2:$F$39),0))</f>
        <v>21</v>
      </c>
      <c r="V259" s="1">
        <v>64</v>
      </c>
      <c r="W259" s="1">
        <v>24</v>
      </c>
      <c r="X259" s="1">
        <f>VLOOKUP($B259&amp;"__wt",'SegEnds_Xtal_BW#'!$A:$Z,24,FALSE)</f>
        <v>56</v>
      </c>
      <c r="Y259" s="1">
        <f>VLOOKUP($B259&amp;"__wt",'SegEnds_Xtal_BW#'!$A:$Z,25,FALSE)</f>
        <v>47</v>
      </c>
      <c r="Z259" s="1">
        <f>VLOOKUP($B259&amp;"__wt",'SegEnds_Xtal_BW#'!$A:$Z,26,FALSE)</f>
        <v>61</v>
      </c>
      <c r="AA259" s="27" t="str">
        <f>VLOOKUP(A259,Classification!A:B,2,FALSE)</f>
        <v>A</v>
      </c>
      <c r="AB259" s="1">
        <f>VLOOKUP(A259,'SegEnds_NonXtal_Prot#'!A:AL,10,FALSE)-VLOOKUP(A259,'SegEnds_NonXtal_Prot#'!A:AL,4,FALSE)</f>
        <v>29</v>
      </c>
      <c r="AC259" s="1">
        <f>VLOOKUP(A259,'SegEnds_NonXtal_Prot#'!A:AL,10,FALSE)-VLOOKUP(A259,'SegEnds_NonXtal_Prot#'!A:AL,7,FALSE)</f>
        <v>16</v>
      </c>
      <c r="AD259" s="1">
        <f>VLOOKUP(A259,'SegEnds_NonXtal_Prot#'!A:AL,13,FALSE)-VLOOKUP(A259,'SegEnds_NonXtal_Prot#'!A:AL,10,FALSE)</f>
        <v>20</v>
      </c>
      <c r="AE259" s="1">
        <f>VLOOKUP(A259,'SegEnds_NonXtal_Prot#'!A:AL,16,FALSE)-VLOOKUP(A259,'SegEnds_NonXtal_Prot#'!A:AL,10,FALSE)</f>
        <v>52</v>
      </c>
      <c r="AF259" s="1" t="e">
        <f>VLOOKUP(A259,'SegEnds_NonXtal_Prot#'!A:AL,22,FALSE)-VLOOKUP(A259,'SegEnds_NonXtal_Prot#'!A:AL,19,FALSE)</f>
        <v>#VALUE!</v>
      </c>
      <c r="AG259" s="1">
        <f>VLOOKUP(A259,'SegEnds_NonXtal_Prot#'!A:AL,28,FALSE)-VLOOKUP(A259,'SegEnds_NonXtal_Prot#'!A:AL,25,FALSE)</f>
        <v>32</v>
      </c>
      <c r="AH259" s="1">
        <f>VLOOKUP(A259,'SegEnds_NonXtal_Prot#'!A:AL,28,FALSE)-VLOOKUP(A259,'SegEnds_NonXtal_Prot#'!A:AL,22,FALSE)</f>
        <v>57</v>
      </c>
      <c r="AI259" s="1">
        <f>VLOOKUP(A259,'SegEnds_NonXtal_Prot#'!A:AL,31,FALSE)-VLOOKUP(A259,'SegEnds_NonXtal_Prot#'!A:AL,28,FALSE)</f>
        <v>62</v>
      </c>
      <c r="AJ259" s="1">
        <f>VLOOKUP(A259,'SegEnds_NonXtal_Prot#'!A:AL,34,FALSE)-VLOOKUP(A259,'SegEnds_NonXtal_Prot#'!A:AL,31,FALSE)</f>
        <v>45</v>
      </c>
      <c r="AK259" s="1">
        <f>VLOOKUP(A259,'SegEnds_NonXtal_Prot#'!A:AL,37,FALSE)-VLOOKUP(A259,'SegEnds_NonXtal_Prot#'!A:AL,34,FALSE)</f>
        <v>10</v>
      </c>
      <c r="AL259" s="1" t="str">
        <f>IF(ISERROR(MATCH(A259,'SegEnds_Xtal_Prot#'!B:B, 0)), "NoXtal", "Xtal")</f>
        <v>NoXtal</v>
      </c>
    </row>
    <row r="260" spans="1:38" x14ac:dyDescent="0.2">
      <c r="A260" s="1" t="s">
        <v>134</v>
      </c>
      <c r="B260" s="1" t="str">
        <f>VLOOKUP(A260,Xtal_Templ!A:B,2,FALSE)</f>
        <v>adrb2_human</v>
      </c>
      <c r="C260" s="5">
        <f>VLOOKUP($B260&amp;"__wt",'SegEnds_Xtal_BW#'!$A:$Z,3,FALSE)</f>
        <v>25</v>
      </c>
      <c r="D260" s="1">
        <f>VLOOKUP($B260&amp;"__wt",'SegEnds_Xtal_BW#'!$A:$Z,4,FALSE)</f>
        <v>60</v>
      </c>
      <c r="E260" s="1">
        <f>VLOOKUP($B260&amp;"__wt",'SegEnds_Xtal_BW#'!$A:$Z,5,FALSE)</f>
        <v>48</v>
      </c>
      <c r="F260" s="1">
        <f>VLOOKUP($B260&amp;"__wt",'SegEnds_Xtal_BW#'!$A:$Z,6,FALSE)</f>
        <v>51</v>
      </c>
      <c r="G260" s="1">
        <v>37</v>
      </c>
      <c r="H260" s="12">
        <f>VLOOKUP($B260&amp;"__wt",'SegEnds_Xtal_BW#'!$A:$Z,8,FALSE)</f>
        <v>67</v>
      </c>
      <c r="I260" s="1">
        <f>VLOOKUP($B260&amp;"__wt",'SegEnds_Xtal_BW#'!$A:$Z,9,FALSE)</f>
        <v>49</v>
      </c>
      <c r="J260" s="1">
        <f>VLOOKUP($B260&amp;"__wt",'SegEnds_Xtal_BW#'!$A:$Z,10,FALSE)</f>
        <v>52</v>
      </c>
      <c r="K260" s="12">
        <v>18</v>
      </c>
      <c r="L260" s="1">
        <f>VLOOKUP($B260&amp;"__wt",'SegEnds_Xtal_BW#'!$A:$Z,12,FALSE)</f>
        <v>56</v>
      </c>
      <c r="M260" s="1">
        <f>VLOOKUP($B260&amp;"__wt",'SegEnds_Xtal_BW#'!$A:$Z,13,FALSE)</f>
        <v>50</v>
      </c>
      <c r="N260" s="12">
        <v>57</v>
      </c>
      <c r="O260" s="87">
        <v>38</v>
      </c>
      <c r="P260" s="1">
        <f>VLOOKUP($B260&amp;"__wt",'SegEnds_Xtal_BW#'!$A:$Z,16,FALSE)</f>
        <v>64</v>
      </c>
      <c r="Q260" s="1">
        <f>VLOOKUP($B260&amp;"__wt",'SegEnds_Xtal_BW#'!$A:$Z,17,FALSE)</f>
        <v>50</v>
      </c>
      <c r="R260" s="1">
        <f>VLOOKUP($B260&amp;"__wt",'SegEnds_Xtal_BW#'!$A:$Z,18,FALSE)</f>
        <v>52</v>
      </c>
      <c r="S260" s="1">
        <f>VLOOKUP($B260&amp;"__wt",'SegEnds_Xtal_BW#'!$A:$Z,19,FALSE)</f>
        <v>35</v>
      </c>
      <c r="T260" s="1">
        <f t="array" ref="T260">INDEX(ICL3_classA!$G$2:$G$39,MATCH(MIN(ABS(AI260-ICL3_classA!$F$2:$F$39)),ABS(AI260-ICL3_classA!$F$2:$F$39),0))</f>
        <v>76</v>
      </c>
      <c r="U260" s="1">
        <f t="array" ref="U260">INDEX(ICL3_classA!$H$2:$H$39,MATCH(MIN(ABS(AI260-ICL3_classA!$F$2:$F$39)),ABS(AI260-ICL3_classA!$F$2:$F$39),0))</f>
        <v>24</v>
      </c>
      <c r="V260" s="1">
        <v>61</v>
      </c>
      <c r="W260" s="1">
        <v>31</v>
      </c>
      <c r="X260" s="125">
        <v>56</v>
      </c>
      <c r="Y260" s="1">
        <f>VLOOKUP($B260&amp;"__wt",'SegEnds_Xtal_BW#'!$A:$Z,25,FALSE)</f>
        <v>47</v>
      </c>
      <c r="Z260" s="1">
        <f>VLOOKUP($B260&amp;"__wt",'SegEnds_Xtal_BW#'!$A:$Z,26,FALSE)</f>
        <v>59</v>
      </c>
      <c r="AA260" s="27" t="str">
        <f>VLOOKUP(A260,Classification!A:B,2,FALSE)</f>
        <v>A</v>
      </c>
      <c r="AB260" s="1">
        <f>VLOOKUP(A260,'SegEnds_NonXtal_Prot#'!A:AL,10,FALSE)-VLOOKUP(A260,'SegEnds_NonXtal_Prot#'!A:AL,4,FALSE)</f>
        <v>29</v>
      </c>
      <c r="AC260" s="1">
        <f>VLOOKUP(A260,'SegEnds_NonXtal_Prot#'!A:AL,10,FALSE)-VLOOKUP(A260,'SegEnds_NonXtal_Prot#'!A:AL,7,FALSE)</f>
        <v>16</v>
      </c>
      <c r="AD260" s="1">
        <f>VLOOKUP(A260,'SegEnds_NonXtal_Prot#'!A:AL,13,FALSE)-VLOOKUP(A260,'SegEnds_NonXtal_Prot#'!A:AL,10,FALSE)</f>
        <v>20</v>
      </c>
      <c r="AE260" s="1">
        <f>VLOOKUP(A260,'SegEnds_NonXtal_Prot#'!A:AL,16,FALSE)-VLOOKUP(A260,'SegEnds_NonXtal_Prot#'!A:AL,10,FALSE)</f>
        <v>52</v>
      </c>
      <c r="AF260" s="1">
        <f>VLOOKUP(A260,'SegEnds_NonXtal_Prot#'!A:AL,22,FALSE)-VLOOKUP(A260,'SegEnds_NonXtal_Prot#'!A:AL,19,FALSE)</f>
        <v>20</v>
      </c>
      <c r="AG260" s="1">
        <f>VLOOKUP(A260,'SegEnds_NonXtal_Prot#'!A:AL,28,FALSE)-VLOOKUP(A260,'SegEnds_NonXtal_Prot#'!A:AL,25,FALSE)</f>
        <v>20</v>
      </c>
      <c r="AH260" s="1">
        <f>VLOOKUP(A260,'SegEnds_NonXtal_Prot#'!A:AL,28,FALSE)-VLOOKUP(A260,'SegEnds_NonXtal_Prot#'!A:AL,22,FALSE)</f>
        <v>58</v>
      </c>
      <c r="AI260" s="1">
        <f>VLOOKUP(A260,'SegEnds_NonXtal_Prot#'!A:AL,31,FALSE)-VLOOKUP(A260,'SegEnds_NonXtal_Prot#'!A:AL,28,FALSE)</f>
        <v>70</v>
      </c>
      <c r="AJ260" s="1">
        <f>VLOOKUP(A260,'SegEnds_NonXtal_Prot#'!A:AL,34,FALSE)-VLOOKUP(A260,'SegEnds_NonXtal_Prot#'!A:AL,31,FALSE)</f>
        <v>35</v>
      </c>
      <c r="AK260" s="1">
        <f>VLOOKUP(A260,'SegEnds_NonXtal_Prot#'!A:AL,37,FALSE)-VLOOKUP(A260,'SegEnds_NonXtal_Prot#'!A:AL,34,FALSE)</f>
        <v>10</v>
      </c>
      <c r="AL260" s="1" t="str">
        <f>IF(ISERROR(MATCH(A260,'SegEnds_Xtal_Prot#'!B:B, 0)), "NoXtal", "Xtal")</f>
        <v>NoXtal</v>
      </c>
    </row>
    <row r="261" spans="1:38" x14ac:dyDescent="0.2">
      <c r="A261" s="1" t="s">
        <v>190</v>
      </c>
      <c r="B261" s="1" t="str">
        <f>VLOOKUP(A261,Xtal_Templ!A:B,2,FALSE)</f>
        <v>adrb2_human</v>
      </c>
      <c r="C261" s="5">
        <f>VLOOKUP($B261&amp;"__wt",'SegEnds_Xtal_BW#'!$A:$Z,3,FALSE)</f>
        <v>25</v>
      </c>
      <c r="D261" s="1">
        <f>VLOOKUP($B261&amp;"__wt",'SegEnds_Xtal_BW#'!$A:$Z,4,FALSE)</f>
        <v>60</v>
      </c>
      <c r="E261" s="1">
        <f>VLOOKUP($B261&amp;"__wt",'SegEnds_Xtal_BW#'!$A:$Z,5,FALSE)</f>
        <v>48</v>
      </c>
      <c r="F261" s="1">
        <f>VLOOKUP($B261&amp;"__wt",'SegEnds_Xtal_BW#'!$A:$Z,6,FALSE)</f>
        <v>51</v>
      </c>
      <c r="G261" s="1">
        <v>37</v>
      </c>
      <c r="H261" s="12">
        <v>66</v>
      </c>
      <c r="I261" s="1">
        <f>VLOOKUP($B261&amp;"__wt",'SegEnds_Xtal_BW#'!$A:$Z,9,FALSE)</f>
        <v>49</v>
      </c>
      <c r="J261" s="1">
        <f>VLOOKUP($B261&amp;"__wt",'SegEnds_Xtal_BW#'!$A:$Z,10,FALSE)</f>
        <v>52</v>
      </c>
      <c r="K261" s="12">
        <v>21</v>
      </c>
      <c r="L261" s="1">
        <f>VLOOKUP($B261&amp;"__wt",'SegEnds_Xtal_BW#'!$A:$Z,12,FALSE)</f>
        <v>56</v>
      </c>
      <c r="M261" s="1">
        <f>VLOOKUP($B261&amp;"__wt",'SegEnds_Xtal_BW#'!$A:$Z,13,FALSE)</f>
        <v>50</v>
      </c>
      <c r="N261" s="12">
        <v>57</v>
      </c>
      <c r="O261" s="87">
        <v>38</v>
      </c>
      <c r="P261" s="1">
        <f>VLOOKUP($B261&amp;"__wt",'SegEnds_Xtal_BW#'!$A:$Z,16,FALSE)</f>
        <v>64</v>
      </c>
      <c r="Q261" s="1">
        <f>VLOOKUP($B261&amp;"__wt",'SegEnds_Xtal_BW#'!$A:$Z,17,FALSE)</f>
        <v>50</v>
      </c>
      <c r="R261" s="1">
        <f>VLOOKUP($B261&amp;"__wt",'SegEnds_Xtal_BW#'!$A:$Z,18,FALSE)</f>
        <v>52</v>
      </c>
      <c r="S261" s="1">
        <v>35</v>
      </c>
      <c r="T261" s="1">
        <f t="array" ref="T261">INDEX(ICL3_classA!$G$2:$G$39,MATCH(MIN(ABS(AI261-ICL3_classA!$F$2:$F$39)),ABS(AI261-ICL3_classA!$F$2:$F$39),0))</f>
        <v>76</v>
      </c>
      <c r="U261" s="1">
        <f t="array" ref="U261">INDEX(ICL3_classA!$H$2:$H$39,MATCH(MIN(ABS(AI261-ICL3_classA!$F$2:$F$39)),ABS(AI261-ICL3_classA!$F$2:$F$39),0))</f>
        <v>24</v>
      </c>
      <c r="V261" s="1">
        <v>61</v>
      </c>
      <c r="W261" s="1">
        <v>28</v>
      </c>
      <c r="X261" s="1">
        <f>VLOOKUP($B261&amp;"__wt",'SegEnds_Xtal_BW#'!$A:$Z,24,FALSE)</f>
        <v>55</v>
      </c>
      <c r="Y261" s="1">
        <f>VLOOKUP($B261&amp;"__wt",'SegEnds_Xtal_BW#'!$A:$Z,25,FALSE)</f>
        <v>47</v>
      </c>
      <c r="Z261" s="1">
        <f>VLOOKUP($B261&amp;"__wt",'SegEnds_Xtal_BW#'!$A:$Z,26,FALSE)</f>
        <v>59</v>
      </c>
      <c r="AA261" s="27" t="str">
        <f>VLOOKUP(A261,Classification!A:B,2,FALSE)</f>
        <v>A</v>
      </c>
      <c r="AB261" s="1">
        <f>VLOOKUP(A261,'SegEnds_NonXtal_Prot#'!A:AL,10,FALSE)-VLOOKUP(A261,'SegEnds_NonXtal_Prot#'!A:AL,4,FALSE)</f>
        <v>29</v>
      </c>
      <c r="AC261" s="1">
        <f>VLOOKUP(A261,'SegEnds_NonXtal_Prot#'!A:AL,10,FALSE)-VLOOKUP(A261,'SegEnds_NonXtal_Prot#'!A:AL,7,FALSE)</f>
        <v>16</v>
      </c>
      <c r="AD261" s="1">
        <f>VLOOKUP(A261,'SegEnds_NonXtal_Prot#'!A:AL,13,FALSE)-VLOOKUP(A261,'SegEnds_NonXtal_Prot#'!A:AL,10,FALSE)</f>
        <v>20</v>
      </c>
      <c r="AE261" s="1">
        <f>VLOOKUP(A261,'SegEnds_NonXtal_Prot#'!A:AL,16,FALSE)-VLOOKUP(A261,'SegEnds_NonXtal_Prot#'!A:AL,10,FALSE)</f>
        <v>51</v>
      </c>
      <c r="AF261" s="1">
        <f>VLOOKUP(A261,'SegEnds_NonXtal_Prot#'!A:AL,22,FALSE)-VLOOKUP(A261,'SegEnds_NonXtal_Prot#'!A:AL,19,FALSE)</f>
        <v>20</v>
      </c>
      <c r="AG261" s="1">
        <f>VLOOKUP(A261,'SegEnds_NonXtal_Prot#'!A:AL,28,FALSE)-VLOOKUP(A261,'SegEnds_NonXtal_Prot#'!A:AL,25,FALSE)</f>
        <v>20</v>
      </c>
      <c r="AH261" s="1">
        <f>VLOOKUP(A261,'SegEnds_NonXtal_Prot#'!A:AL,28,FALSE)-VLOOKUP(A261,'SegEnds_NonXtal_Prot#'!A:AL,22,FALSE)</f>
        <v>58</v>
      </c>
      <c r="AI261" s="1">
        <f>VLOOKUP(A261,'SegEnds_NonXtal_Prot#'!A:AL,31,FALSE)-VLOOKUP(A261,'SegEnds_NonXtal_Prot#'!A:AL,28,FALSE)</f>
        <v>81</v>
      </c>
      <c r="AJ261" s="1">
        <f>VLOOKUP(A261,'SegEnds_NonXtal_Prot#'!A:AL,34,FALSE)-VLOOKUP(A261,'SegEnds_NonXtal_Prot#'!A:AL,31,FALSE)</f>
        <v>41</v>
      </c>
      <c r="AK261" s="1">
        <f>VLOOKUP(A261,'SegEnds_NonXtal_Prot#'!A:AL,37,FALSE)-VLOOKUP(A261,'SegEnds_NonXtal_Prot#'!A:AL,34,FALSE)</f>
        <v>10</v>
      </c>
      <c r="AL261" s="1" t="str">
        <f>IF(ISERROR(MATCH(A261,'SegEnds_Xtal_Prot#'!B:B, 0)), "NoXtal", "Xtal")</f>
        <v>NoXtal</v>
      </c>
    </row>
    <row r="262" spans="1:38" x14ac:dyDescent="0.2">
      <c r="A262" s="1" t="s">
        <v>244</v>
      </c>
      <c r="B262" s="1" t="str">
        <f>VLOOKUP(A262,Xtal_Templ!A:B,2,FALSE)</f>
        <v>5ht2c_human</v>
      </c>
      <c r="C262" s="5">
        <f>VLOOKUP($B262&amp;"__wt",'SegEnds_Xtal_BW#'!$A:$Z,3,FALSE)</f>
        <v>33</v>
      </c>
      <c r="D262" s="1">
        <f>VLOOKUP($B262&amp;"__wt",'SegEnds_Xtal_BW#'!$A:$Z,4,FALSE)</f>
        <v>60</v>
      </c>
      <c r="E262" s="1">
        <f>VLOOKUP($B262&amp;"__wt",'SegEnds_Xtal_BW#'!$A:$Z,5,FALSE)</f>
        <v>48</v>
      </c>
      <c r="F262" s="1">
        <f>VLOOKUP($B262&amp;"__wt",'SegEnds_Xtal_BW#'!$A:$Z,6,FALSE)</f>
        <v>51</v>
      </c>
      <c r="G262" s="1">
        <v>37</v>
      </c>
      <c r="H262" s="12">
        <f>VLOOKUP($B262&amp;"__wt",'SegEnds_Xtal_BW#'!$A:$Z,8,FALSE)</f>
        <v>68</v>
      </c>
      <c r="I262" s="1">
        <f>VLOOKUP($B262&amp;"__wt",'SegEnds_Xtal_BW#'!$A:$Z,9,FALSE)</f>
        <v>49</v>
      </c>
      <c r="J262" s="1">
        <f>VLOOKUP($B262&amp;"__wt",'SegEnds_Xtal_BW#'!$A:$Z,10,FALSE)</f>
        <v>52</v>
      </c>
      <c r="K262" s="12">
        <v>21</v>
      </c>
      <c r="L262" s="1">
        <f>VLOOKUP($B262&amp;"__wt",'SegEnds_Xtal_BW#'!$A:$Z,12,FALSE)</f>
        <v>56</v>
      </c>
      <c r="M262" s="1">
        <f>VLOOKUP($B262&amp;"__wt",'SegEnds_Xtal_BW#'!$A:$Z,13,FALSE)</f>
        <v>50</v>
      </c>
      <c r="N262" s="12">
        <v>53</v>
      </c>
      <c r="O262" s="87">
        <f>VLOOKUP($B262&amp;"__wt",'SegEnds_Xtal_BW#'!$A:$Z,15,FALSE)</f>
        <v>38</v>
      </c>
      <c r="P262" s="1">
        <v>63</v>
      </c>
      <c r="Q262" s="1">
        <f>VLOOKUP($B262&amp;"__wt",'SegEnds_Xtal_BW#'!$A:$Z,17,FALSE)</f>
        <v>50</v>
      </c>
      <c r="R262" s="1">
        <f>VLOOKUP($B262&amp;"__wt",'SegEnds_Xtal_BW#'!$A:$Z,18,FALSE)</f>
        <v>52</v>
      </c>
      <c r="S262" s="1">
        <v>35</v>
      </c>
      <c r="T262" s="1">
        <f t="array" ref="T262">INDEX(ICL3_classA!$G$2:$G$39,MATCH(MIN(ABS(AI262-ICL3_classA!$F$2:$F$39)),ABS(AI262-ICL3_classA!$F$2:$F$39),0))</f>
        <v>74</v>
      </c>
      <c r="U262" s="1">
        <f t="array" ref="U262">INDEX(ICL3_classA!$H$2:$H$39,MATCH(MIN(ABS(AI262-ICL3_classA!$F$2:$F$39)),ABS(AI262-ICL3_classA!$F$2:$F$39),0))</f>
        <v>24</v>
      </c>
      <c r="V262" s="1">
        <v>61</v>
      </c>
      <c r="W262" s="1">
        <v>31</v>
      </c>
      <c r="X262" s="1">
        <f>VLOOKUP($B262&amp;"__wt",'SegEnds_Xtal_BW#'!$A:$Z,24,FALSE)</f>
        <v>56</v>
      </c>
      <c r="Y262" s="1">
        <f>VLOOKUP($B262&amp;"__wt",'SegEnds_Xtal_BW#'!$A:$Z,25,FALSE)</f>
        <v>47</v>
      </c>
      <c r="Z262" s="1">
        <f>VLOOKUP($B262&amp;"__wt",'SegEnds_Xtal_BW#'!$A:$Z,26,FALSE)</f>
        <v>60</v>
      </c>
      <c r="AA262" s="27" t="str">
        <f>VLOOKUP(A262,Classification!A:B,2,FALSE)</f>
        <v>A</v>
      </c>
      <c r="AB262" s="1">
        <f>VLOOKUP(A262,'SegEnds_NonXtal_Prot#'!A:AL,10,FALSE)-VLOOKUP(A262,'SegEnds_NonXtal_Prot#'!A:AL,4,FALSE)</f>
        <v>29</v>
      </c>
      <c r="AC262" s="1">
        <f>VLOOKUP(A262,'SegEnds_NonXtal_Prot#'!A:AL,10,FALSE)-VLOOKUP(A262,'SegEnds_NonXtal_Prot#'!A:AL,7,FALSE)</f>
        <v>16</v>
      </c>
      <c r="AD262" s="1" t="e">
        <f>VLOOKUP(A262,'SegEnds_NonXtal_Prot#'!A:AL,13,FALSE)-VLOOKUP(A262,'SegEnds_NonXtal_Prot#'!A:AL,10,FALSE)</f>
        <v>#VALUE!</v>
      </c>
      <c r="AE262" s="1">
        <f>VLOOKUP(A262,'SegEnds_NonXtal_Prot#'!A:AL,16,FALSE)-VLOOKUP(A262,'SegEnds_NonXtal_Prot#'!A:AL,10,FALSE)</f>
        <v>52</v>
      </c>
      <c r="AF262" s="1">
        <f>VLOOKUP(A262,'SegEnds_NonXtal_Prot#'!A:AL,22,FALSE)-VLOOKUP(A262,'SegEnds_NonXtal_Prot#'!A:AL,19,FALSE)</f>
        <v>18</v>
      </c>
      <c r="AG262" s="1">
        <f>VLOOKUP(A262,'SegEnds_NonXtal_Prot#'!A:AL,28,FALSE)-VLOOKUP(A262,'SegEnds_NonXtal_Prot#'!A:AL,25,FALSE)</f>
        <v>26</v>
      </c>
      <c r="AH262" s="1">
        <f>VLOOKUP(A262,'SegEnds_NonXtal_Prot#'!A:AL,28,FALSE)-VLOOKUP(A262,'SegEnds_NonXtal_Prot#'!A:AL,22,FALSE)</f>
        <v>58</v>
      </c>
      <c r="AI262" s="1">
        <f>VLOOKUP(A262,'SegEnds_NonXtal_Prot#'!A:AL,31,FALSE)-VLOOKUP(A262,'SegEnds_NonXtal_Prot#'!A:AL,28,FALSE)</f>
        <v>105</v>
      </c>
      <c r="AJ262" s="1">
        <f>VLOOKUP(A262,'SegEnds_NonXtal_Prot#'!A:AL,34,FALSE)-VLOOKUP(A262,'SegEnds_NonXtal_Prot#'!A:AL,31,FALSE)</f>
        <v>36</v>
      </c>
      <c r="AK262" s="1">
        <f>VLOOKUP(A262,'SegEnds_NonXtal_Prot#'!A:AL,37,FALSE)-VLOOKUP(A262,'SegEnds_NonXtal_Prot#'!A:AL,34,FALSE)</f>
        <v>10</v>
      </c>
      <c r="AL262" s="1" t="str">
        <f>IF(ISERROR(MATCH(A262,'SegEnds_Xtal_Prot#'!B:B, 0)), "NoXtal", "Xtal")</f>
        <v>NoXtal</v>
      </c>
    </row>
    <row r="263" spans="1:38" x14ac:dyDescent="0.2">
      <c r="A263" s="1" t="s">
        <v>325</v>
      </c>
      <c r="B263" s="1" t="str">
        <f>VLOOKUP(A263,Xtal_Templ!A:B,2,FALSE)</f>
        <v>ox1r_human</v>
      </c>
      <c r="C263" s="5">
        <f>VLOOKUP($B263&amp;"__wt",'SegEnds_Xtal_BW#'!$A:$Z,3,FALSE)</f>
        <v>32</v>
      </c>
      <c r="D263" s="1">
        <f>VLOOKUP($B263&amp;"__wt",'SegEnds_Xtal_BW#'!$A:$Z,4,FALSE)</f>
        <v>60</v>
      </c>
      <c r="E263" s="1">
        <f>VLOOKUP($B263&amp;"__wt",'SegEnds_Xtal_BW#'!$A:$Z,5,FALSE)</f>
        <v>48</v>
      </c>
      <c r="F263" s="1">
        <f>VLOOKUP($B263&amp;"__wt",'SegEnds_Xtal_BW#'!$A:$Z,6,FALSE)</f>
        <v>51</v>
      </c>
      <c r="G263" s="1">
        <v>37</v>
      </c>
      <c r="H263" s="12">
        <f>VLOOKUP($B263&amp;"__wt",'SegEnds_Xtal_BW#'!$A:$Z,8,FALSE)</f>
        <v>68</v>
      </c>
      <c r="I263" s="1">
        <f>VLOOKUP($B263&amp;"__wt",'SegEnds_Xtal_BW#'!$A:$Z,9,FALSE)</f>
        <v>49</v>
      </c>
      <c r="J263" s="1">
        <f>VLOOKUP($B263&amp;"__wt",'SegEnds_Xtal_BW#'!$A:$Z,10,FALSE)</f>
        <v>52</v>
      </c>
      <c r="K263" s="12">
        <v>18</v>
      </c>
      <c r="L263" s="1">
        <f>VLOOKUP($B263&amp;"__wt",'SegEnds_Xtal_BW#'!$A:$Z,12,FALSE)</f>
        <v>56</v>
      </c>
      <c r="M263" s="1">
        <f>VLOOKUP($B263&amp;"__wt",'SegEnds_Xtal_BW#'!$A:$Z,13,FALSE)</f>
        <v>50</v>
      </c>
      <c r="N263" s="12">
        <v>56</v>
      </c>
      <c r="O263" s="87">
        <f>VLOOKUP($B263&amp;"__wt",'SegEnds_Xtal_BW#'!$A:$Z,15,FALSE)</f>
        <v>38</v>
      </c>
      <c r="P263" s="1">
        <f>VLOOKUP($B263&amp;"__wt",'SegEnds_Xtal_BW#'!$A:$Z,16,FALSE)</f>
        <v>64</v>
      </c>
      <c r="Q263" s="1">
        <f>VLOOKUP($B263&amp;"__wt",'SegEnds_Xtal_BW#'!$A:$Z,17,FALSE)</f>
        <v>50</v>
      </c>
      <c r="R263" s="1">
        <f>VLOOKUP($B263&amp;"__wt",'SegEnds_Xtal_BW#'!$A:$Z,18,FALSE)</f>
        <v>52</v>
      </c>
      <c r="S263" s="1">
        <f>VLOOKUP($B263&amp;"__wt",'SegEnds_Xtal_BW#'!$A:$Z,19,FALSE)</f>
        <v>33</v>
      </c>
      <c r="T263" s="1">
        <f t="array" ref="T263">INDEX(ICL3_classA!$G$2:$G$39,MATCH(MIN(ABS(AI263-ICL3_classA!$F$2:$F$39)),ABS(AI263-ICL3_classA!$F$2:$F$39),0))</f>
        <v>72</v>
      </c>
      <c r="U263" s="1">
        <f t="array" ref="U263">INDEX(ICL3_classA!$H$2:$H$39,MATCH(MIN(ABS(AI263-ICL3_classA!$F$2:$F$39)),ABS(AI263-ICL3_classA!$F$2:$F$39),0))</f>
        <v>23</v>
      </c>
      <c r="V263" s="1">
        <v>61</v>
      </c>
      <c r="W263" s="131">
        <f>VLOOKUP($B263&amp;"__wt",'SegEnds_Xtal_BW#'!$A:$Z,23,FALSE)</f>
        <v>27</v>
      </c>
      <c r="X263" s="1">
        <f>VLOOKUP($B263&amp;"__wt",'SegEnds_Xtal_BW#'!$A:$Z,24,FALSE)</f>
        <v>56</v>
      </c>
      <c r="Y263" s="1">
        <f>VLOOKUP($B263&amp;"__wt",'SegEnds_Xtal_BW#'!$A:$Z,25,FALSE)</f>
        <v>47</v>
      </c>
      <c r="Z263" s="1">
        <f>VLOOKUP($B263&amp;"__wt",'SegEnds_Xtal_BW#'!$A:$Z,26,FALSE)</f>
        <v>63</v>
      </c>
      <c r="AA263" s="27" t="str">
        <f>VLOOKUP(A263,Classification!A:B,2,FALSE)</f>
        <v>A</v>
      </c>
      <c r="AB263" s="1">
        <f>VLOOKUP(A263,'SegEnds_NonXtal_Prot#'!A:AL,10,FALSE)-VLOOKUP(A263,'SegEnds_NonXtal_Prot#'!A:AL,4,FALSE)</f>
        <v>28</v>
      </c>
      <c r="AC263" s="1">
        <f>VLOOKUP(A263,'SegEnds_NonXtal_Prot#'!A:AL,10,FALSE)-VLOOKUP(A263,'SegEnds_NonXtal_Prot#'!A:AL,7,FALSE)</f>
        <v>15</v>
      </c>
      <c r="AD263" s="1">
        <f>VLOOKUP(A263,'SegEnds_NonXtal_Prot#'!A:AL,13,FALSE)-VLOOKUP(A263,'SegEnds_NonXtal_Prot#'!A:AL,10,FALSE)</f>
        <v>20</v>
      </c>
      <c r="AE263" s="1">
        <f>VLOOKUP(A263,'SegEnds_NonXtal_Prot#'!A:AL,16,FALSE)-VLOOKUP(A263,'SegEnds_NonXtal_Prot#'!A:AL,10,FALSE)</f>
        <v>52</v>
      </c>
      <c r="AF263" s="1" t="e">
        <f>VLOOKUP(A263,'SegEnds_NonXtal_Prot#'!A:AL,22,FALSE)-VLOOKUP(A263,'SegEnds_NonXtal_Prot#'!A:AL,19,FALSE)</f>
        <v>#VALUE!</v>
      </c>
      <c r="AG263" s="1">
        <f>VLOOKUP(A263,'SegEnds_NonXtal_Prot#'!A:AL,28,FALSE)-VLOOKUP(A263,'SegEnds_NonXtal_Prot#'!A:AL,25,FALSE)</f>
        <v>28</v>
      </c>
      <c r="AH263" s="1">
        <f>VLOOKUP(A263,'SegEnds_NonXtal_Prot#'!A:AL,28,FALSE)-VLOOKUP(A263,'SegEnds_NonXtal_Prot#'!A:AL,22,FALSE)</f>
        <v>58</v>
      </c>
      <c r="AI263" s="1">
        <f>VLOOKUP(A263,'SegEnds_NonXtal_Prot#'!A:AL,31,FALSE)-VLOOKUP(A263,'SegEnds_NonXtal_Prot#'!A:AL,28,FALSE)</f>
        <v>52</v>
      </c>
      <c r="AJ263" s="1">
        <f>VLOOKUP(A263,'SegEnds_NonXtal_Prot#'!A:AL,34,FALSE)-VLOOKUP(A263,'SegEnds_NonXtal_Prot#'!A:AL,31,FALSE)</f>
        <v>39</v>
      </c>
      <c r="AK263" s="1">
        <f>VLOOKUP(A263,'SegEnds_NonXtal_Prot#'!A:AL,37,FALSE)-VLOOKUP(A263,'SegEnds_NonXtal_Prot#'!A:AL,34,FALSE)</f>
        <v>10</v>
      </c>
      <c r="AL263" s="1" t="str">
        <f>IF(ISERROR(MATCH(A263,'SegEnds_Xtal_Prot#'!B:B, 0)), "NoXtal", "Xtal")</f>
        <v>NoXtal</v>
      </c>
    </row>
    <row r="264" spans="1:38" x14ac:dyDescent="0.2">
      <c r="A264" s="1" t="s">
        <v>329</v>
      </c>
      <c r="B264" s="1" t="str">
        <f>VLOOKUP(A264,Xtal_Templ!A:B,2,FALSE)</f>
        <v>ntr1_rat</v>
      </c>
      <c r="C264" s="5">
        <f>VLOOKUP($B264&amp;"__wt",'SegEnds_Xtal_BW#'!$A:$Z,3,FALSE)</f>
        <v>29</v>
      </c>
      <c r="D264" s="1">
        <f>VLOOKUP($B264&amp;"__wt",'SegEnds_Xtal_BW#'!$A:$Z,4,FALSE)</f>
        <v>60</v>
      </c>
      <c r="E264" s="1" t="str">
        <f>VLOOKUP($B264&amp;"__wt",'SegEnds_Xtal_BW#'!$A:$Z,5,FALSE)</f>
        <v>-</v>
      </c>
      <c r="F264" s="1" t="str">
        <f>VLOOKUP($B264&amp;"__wt",'SegEnds_Xtal_BW#'!$A:$Z,6,FALSE)</f>
        <v>-</v>
      </c>
      <c r="G264" s="1">
        <v>37</v>
      </c>
      <c r="H264" s="12">
        <f>VLOOKUP($B264&amp;"__wt",'SegEnds_Xtal_BW#'!$A:$Z,8,FALSE)</f>
        <v>68</v>
      </c>
      <c r="I264" s="1">
        <f>VLOOKUP($B264&amp;"__wt",'SegEnds_Xtal_BW#'!$A:$Z,9,FALSE)</f>
        <v>49</v>
      </c>
      <c r="J264" s="1">
        <f>VLOOKUP($B264&amp;"__wt",'SegEnds_Xtal_BW#'!$A:$Z,10,FALSE)</f>
        <v>52</v>
      </c>
      <c r="K264" s="12">
        <v>18</v>
      </c>
      <c r="L264" s="1">
        <f>VLOOKUP($B264&amp;"__wt",'SegEnds_Xtal_BW#'!$A:$Z,12,FALSE)</f>
        <v>56</v>
      </c>
      <c r="M264" s="1">
        <f>VLOOKUP($B264&amp;"__wt",'SegEnds_Xtal_BW#'!$A:$Z,13,FALSE)</f>
        <v>50</v>
      </c>
      <c r="N264" s="12">
        <f>VLOOKUP($B264&amp;"__wt",'SegEnds_Xtal_BW#'!$A:$Z,14,FALSE)</f>
        <v>57</v>
      </c>
      <c r="O264" s="87">
        <f>VLOOKUP($B264&amp;"__wt",'SegEnds_Xtal_BW#'!$A:$Z,15,FALSE)</f>
        <v>38</v>
      </c>
      <c r="P264" s="1">
        <f>VLOOKUP($B264&amp;"__wt",'SegEnds_Xtal_BW#'!$A:$Z,16,FALSE)</f>
        <v>64</v>
      </c>
      <c r="Q264" s="1">
        <f>VLOOKUP($B264&amp;"__wt",'SegEnds_Xtal_BW#'!$A:$Z,17,FALSE)</f>
        <v>50</v>
      </c>
      <c r="R264" s="1">
        <f>VLOOKUP($B264&amp;"__wt",'SegEnds_Xtal_BW#'!$A:$Z,18,FALSE)</f>
        <v>52</v>
      </c>
      <c r="S264" s="1">
        <f>VLOOKUP($B264&amp;"__wt",'SegEnds_Xtal_BW#'!$A:$Z,19,FALSE)</f>
        <v>32</v>
      </c>
      <c r="T264" s="1">
        <f t="array" ref="T264">INDEX(ICL3_classA!$G$2:$G$39,MATCH(MIN(ABS(AI264-ICL3_classA!$F$2:$F$39)),ABS(AI264-ICL3_classA!$F$2:$F$39),0))</f>
        <v>74</v>
      </c>
      <c r="U264" s="1">
        <f t="array" ref="U264">INDEX(ICL3_classA!$H$2:$H$39,MATCH(MIN(ABS(AI264-ICL3_classA!$F$2:$F$39)),ABS(AI264-ICL3_classA!$F$2:$F$39),0))</f>
        <v>24</v>
      </c>
      <c r="V264" s="1">
        <v>61</v>
      </c>
      <c r="W264" s="1">
        <v>24</v>
      </c>
      <c r="X264" s="1">
        <f>VLOOKUP($B264&amp;"__wt",'SegEnds_Xtal_BW#'!$A:$Z,24,FALSE)</f>
        <v>56</v>
      </c>
      <c r="Y264" s="1">
        <f>VLOOKUP($B264&amp;"__wt",'SegEnds_Xtal_BW#'!$A:$Z,25,FALSE)</f>
        <v>47</v>
      </c>
      <c r="Z264" s="1">
        <f>VLOOKUP($B264&amp;"__wt",'SegEnds_Xtal_BW#'!$A:$Z,26,FALSE)</f>
        <v>62</v>
      </c>
      <c r="AA264" s="27" t="str">
        <f>VLOOKUP(A264,Classification!A:B,2,FALSE)</f>
        <v>A</v>
      </c>
      <c r="AB264" s="1">
        <f>VLOOKUP(A264,'SegEnds_NonXtal_Prot#'!A:AL,10,FALSE)-VLOOKUP(A264,'SegEnds_NonXtal_Prot#'!A:AL,4,FALSE)</f>
        <v>29</v>
      </c>
      <c r="AC264" s="1" t="e">
        <f>VLOOKUP(A264,'SegEnds_NonXtal_Prot#'!A:AL,10,FALSE)-VLOOKUP(A264,'SegEnds_NonXtal_Prot#'!A:AL,7,FALSE)</f>
        <v>#VALUE!</v>
      </c>
      <c r="AD264" s="1">
        <f>VLOOKUP(A264,'SegEnds_NonXtal_Prot#'!A:AL,13,FALSE)-VLOOKUP(A264,'SegEnds_NonXtal_Prot#'!A:AL,10,FALSE)</f>
        <v>22</v>
      </c>
      <c r="AE264" s="1">
        <f>VLOOKUP(A264,'SegEnds_NonXtal_Prot#'!A:AL,16,FALSE)-VLOOKUP(A264,'SegEnds_NonXtal_Prot#'!A:AL,10,FALSE)</f>
        <v>54</v>
      </c>
      <c r="AF264" s="1">
        <f>VLOOKUP(A264,'SegEnds_NonXtal_Prot#'!A:AL,22,FALSE)-VLOOKUP(A264,'SegEnds_NonXtal_Prot#'!A:AL,19,FALSE)</f>
        <v>20</v>
      </c>
      <c r="AG264" s="1">
        <f>VLOOKUP(A264,'SegEnds_NonXtal_Prot#'!A:AL,28,FALSE)-VLOOKUP(A264,'SegEnds_NonXtal_Prot#'!A:AL,25,FALSE)</f>
        <v>24</v>
      </c>
      <c r="AH264" s="1">
        <f>VLOOKUP(A264,'SegEnds_NonXtal_Prot#'!A:AL,28,FALSE)-VLOOKUP(A264,'SegEnds_NonXtal_Prot#'!A:AL,22,FALSE)</f>
        <v>58</v>
      </c>
      <c r="AI264" s="1">
        <f>VLOOKUP(A264,'SegEnds_NonXtal_Prot#'!A:AL,31,FALSE)-VLOOKUP(A264,'SegEnds_NonXtal_Prot#'!A:AL,28,FALSE)</f>
        <v>94</v>
      </c>
      <c r="AJ264" s="1">
        <f>VLOOKUP(A264,'SegEnds_NonXtal_Prot#'!A:AL,34,FALSE)-VLOOKUP(A264,'SegEnds_NonXtal_Prot#'!A:AL,31,FALSE)</f>
        <v>43</v>
      </c>
      <c r="AK264" s="1">
        <f>VLOOKUP(A264,'SegEnds_NonXtal_Prot#'!A:AL,37,FALSE)-VLOOKUP(A264,'SegEnds_NonXtal_Prot#'!A:AL,34,FALSE)</f>
        <v>10</v>
      </c>
      <c r="AL264" s="1" t="str">
        <f>IF(ISERROR(MATCH(A264,'SegEnds_Xtal_Prot#'!B:B, 0)), "NoXtal", "Xtal")</f>
        <v>NoXtal</v>
      </c>
    </row>
    <row r="265" spans="1:38" x14ac:dyDescent="0.2">
      <c r="A265" s="1" t="s">
        <v>1168</v>
      </c>
      <c r="B265" s="1" t="str">
        <f>VLOOKUP(A265,Xtal_Templ!A:B,2,FALSE)</f>
        <v>ox1r_human</v>
      </c>
      <c r="C265" s="5">
        <f>VLOOKUP($B265&amp;"__wt",'SegEnds_Xtal_BW#'!$A:$Z,3,FALSE)</f>
        <v>32</v>
      </c>
      <c r="D265" s="1">
        <f>VLOOKUP($B265&amp;"__wt",'SegEnds_Xtal_BW#'!$A:$Z,4,FALSE)</f>
        <v>60</v>
      </c>
      <c r="E265" s="1">
        <f>VLOOKUP($B265&amp;"__wt",'SegEnds_Xtal_BW#'!$A:$Z,5,FALSE)</f>
        <v>48</v>
      </c>
      <c r="F265" s="1">
        <f>VLOOKUP($B265&amp;"__wt",'SegEnds_Xtal_BW#'!$A:$Z,6,FALSE)</f>
        <v>51</v>
      </c>
      <c r="G265" s="1">
        <v>37</v>
      </c>
      <c r="H265" s="12">
        <f>VLOOKUP($B265&amp;"__wt",'SegEnds_Xtal_BW#'!$A:$Z,8,FALSE)</f>
        <v>68</v>
      </c>
      <c r="I265" s="1">
        <f>VLOOKUP($B265&amp;"__wt",'SegEnds_Xtal_BW#'!$A:$Z,9,FALSE)</f>
        <v>49</v>
      </c>
      <c r="J265" s="1">
        <f>VLOOKUP($B265&amp;"__wt",'SegEnds_Xtal_BW#'!$A:$Z,10,FALSE)</f>
        <v>52</v>
      </c>
      <c r="K265" s="12">
        <v>18</v>
      </c>
      <c r="L265" s="1">
        <f>VLOOKUP($B265&amp;"__wt",'SegEnds_Xtal_BW#'!$A:$Z,12,FALSE)</f>
        <v>56</v>
      </c>
      <c r="M265" s="1">
        <f>VLOOKUP($B265&amp;"__wt",'SegEnds_Xtal_BW#'!$A:$Z,13,FALSE)</f>
        <v>50</v>
      </c>
      <c r="N265" s="12">
        <f>VLOOKUP($B265&amp;"__wt",'SegEnds_Xtal_BW#'!$A:$Z,14,FALSE)</f>
        <v>53</v>
      </c>
      <c r="O265" s="87">
        <f>VLOOKUP($B265&amp;"__wt",'SegEnds_Xtal_BW#'!$A:$Z,15,FALSE)</f>
        <v>38</v>
      </c>
      <c r="P265" s="1">
        <f>VLOOKUP($B265&amp;"__wt",'SegEnds_Xtal_BW#'!$A:$Z,16,FALSE)</f>
        <v>64</v>
      </c>
      <c r="Q265" s="1">
        <f>VLOOKUP($B265&amp;"__wt",'SegEnds_Xtal_BW#'!$A:$Z,17,FALSE)</f>
        <v>50</v>
      </c>
      <c r="R265" s="1">
        <f>VLOOKUP($B265&amp;"__wt",'SegEnds_Xtal_BW#'!$A:$Z,18,FALSE)</f>
        <v>52</v>
      </c>
      <c r="S265" s="1">
        <f>VLOOKUP($B265&amp;"__wt",'SegEnds_Xtal_BW#'!$A:$Z,19,FALSE)</f>
        <v>33</v>
      </c>
      <c r="T265" s="1">
        <f t="array" ref="T265">INDEX(ICL3_classA!$G$2:$G$39,MATCH(MIN(ABS(AI265-ICL3_classA!$F$2:$F$39)),ABS(AI265-ICL3_classA!$F$2:$F$39),0))</f>
        <v>76</v>
      </c>
      <c r="U265" s="1">
        <v>20</v>
      </c>
      <c r="V265" s="1">
        <v>61</v>
      </c>
      <c r="W265" s="1">
        <v>28</v>
      </c>
      <c r="X265" s="1">
        <f>VLOOKUP($B265&amp;"__wt",'SegEnds_Xtal_BW#'!$A:$Z,24,FALSE)</f>
        <v>56</v>
      </c>
      <c r="Y265" s="1">
        <f>VLOOKUP($B265&amp;"__wt",'SegEnds_Xtal_BW#'!$A:$Z,25,FALSE)</f>
        <v>47</v>
      </c>
      <c r="Z265" s="1">
        <f>VLOOKUP($B265&amp;"__wt",'SegEnds_Xtal_BW#'!$A:$Z,26,FALSE)</f>
        <v>63</v>
      </c>
      <c r="AA265" s="27" t="str">
        <f>VLOOKUP(A265,Classification!A:B,2,FALSE)</f>
        <v>A</v>
      </c>
      <c r="AB265" s="1">
        <f>VLOOKUP(A265,'SegEnds_NonXtal_Prot#'!A:AL,10,FALSE)-VLOOKUP(A265,'SegEnds_NonXtal_Prot#'!A:AL,4,FALSE)</f>
        <v>28</v>
      </c>
      <c r="AC265" s="1">
        <f>VLOOKUP(A265,'SegEnds_NonXtal_Prot#'!A:AL,10,FALSE)-VLOOKUP(A265,'SegEnds_NonXtal_Prot#'!A:AL,7,FALSE)</f>
        <v>15</v>
      </c>
      <c r="AD265" s="1">
        <f>VLOOKUP(A265,'SegEnds_NonXtal_Prot#'!A:AL,13,FALSE)-VLOOKUP(A265,'SegEnds_NonXtal_Prot#'!A:AL,10,FALSE)</f>
        <v>20</v>
      </c>
      <c r="AE265" s="1">
        <f>VLOOKUP(A265,'SegEnds_NonXtal_Prot#'!A:AL,16,FALSE)-VLOOKUP(A265,'SegEnds_NonXtal_Prot#'!A:AL,10,FALSE)</f>
        <v>52</v>
      </c>
      <c r="AF265" s="1">
        <f>VLOOKUP(A265,'SegEnds_NonXtal_Prot#'!A:AL,22,FALSE)-VLOOKUP(A265,'SegEnds_NonXtal_Prot#'!A:AL,19,FALSE)</f>
        <v>18</v>
      </c>
      <c r="AG265" s="1">
        <f>VLOOKUP(A265,'SegEnds_NonXtal_Prot#'!A:AL,28,FALSE)-VLOOKUP(A265,'SegEnds_NonXtal_Prot#'!A:AL,25,FALSE)</f>
        <v>25</v>
      </c>
      <c r="AH265" s="1">
        <f>VLOOKUP(A265,'SegEnds_NonXtal_Prot#'!A:AL,28,FALSE)-VLOOKUP(A265,'SegEnds_NonXtal_Prot#'!A:AL,22,FALSE)</f>
        <v>58</v>
      </c>
      <c r="AI265" s="12">
        <f>VLOOKUP(A265,'SegEnds_NonXtal_Prot#'!A:AL,31,FALSE)-VLOOKUP(A265,'SegEnds_NonXtal_Prot#'!A:AL,28,FALSE)</f>
        <v>86</v>
      </c>
      <c r="AJ265" s="1">
        <f>VLOOKUP(A265,'SegEnds_NonXtal_Prot#'!A:AL,34,FALSE)-VLOOKUP(A265,'SegEnds_NonXtal_Prot#'!A:AL,31,FALSE)</f>
        <v>42</v>
      </c>
      <c r="AK265" s="1">
        <f>VLOOKUP(A265,'SegEnds_NonXtal_Prot#'!A:AL,37,FALSE)-VLOOKUP(A265,'SegEnds_NonXtal_Prot#'!A:AL,34,FALSE)</f>
        <v>10</v>
      </c>
      <c r="AL265" s="12" t="str">
        <f>IF(ISERROR(MATCH(A265,'SegEnds_Xtal_Prot#'!B:B, 0)), "NoXtal", "Xtal")</f>
        <v>Xtal</v>
      </c>
    </row>
    <row r="266" spans="1:38" x14ac:dyDescent="0.2">
      <c r="A266" s="1" t="s">
        <v>1169</v>
      </c>
      <c r="B266" s="1" t="str">
        <f>VLOOKUP(A266,Xtal_Templ!A:B,2,FALSE)</f>
        <v>ox2r_human</v>
      </c>
      <c r="C266" s="5">
        <f>VLOOKUP($B266&amp;"__wt",'SegEnds_Xtal_BW#'!$A:$Z,3,FALSE)</f>
        <v>31</v>
      </c>
      <c r="D266" s="1">
        <f>VLOOKUP($B266&amp;"__wt",'SegEnds_Xtal_BW#'!$A:$Z,4,FALSE)</f>
        <v>60</v>
      </c>
      <c r="E266" s="1">
        <f>VLOOKUP($B266&amp;"__wt",'SegEnds_Xtal_BW#'!$A:$Z,5,FALSE)</f>
        <v>48</v>
      </c>
      <c r="F266" s="1">
        <f>VLOOKUP($B266&amp;"__wt",'SegEnds_Xtal_BW#'!$A:$Z,6,FALSE)</f>
        <v>51</v>
      </c>
      <c r="G266" s="1">
        <v>37</v>
      </c>
      <c r="H266" s="12">
        <f>VLOOKUP($B266&amp;"__wt",'SegEnds_Xtal_BW#'!$A:$Z,8,FALSE)</f>
        <v>68</v>
      </c>
      <c r="I266" s="1">
        <f>VLOOKUP($B266&amp;"__wt",'SegEnds_Xtal_BW#'!$A:$Z,9,FALSE)</f>
        <v>49</v>
      </c>
      <c r="J266" s="1">
        <f>VLOOKUP($B266&amp;"__wt",'SegEnds_Xtal_BW#'!$A:$Z,10,FALSE)</f>
        <v>52</v>
      </c>
      <c r="K266" s="12">
        <v>18</v>
      </c>
      <c r="L266" s="1">
        <f>VLOOKUP($B266&amp;"__wt",'SegEnds_Xtal_BW#'!$A:$Z,12,FALSE)</f>
        <v>56</v>
      </c>
      <c r="M266" s="1">
        <f>VLOOKUP($B266&amp;"__wt",'SegEnds_Xtal_BW#'!$A:$Z,13,FALSE)</f>
        <v>50</v>
      </c>
      <c r="N266" s="12">
        <f>VLOOKUP($B266&amp;"__wt",'SegEnds_Xtal_BW#'!$A:$Z,14,FALSE)</f>
        <v>53</v>
      </c>
      <c r="O266" s="87">
        <f>VLOOKUP($B266&amp;"__wt",'SegEnds_Xtal_BW#'!$A:$Z,15,FALSE)</f>
        <v>38</v>
      </c>
      <c r="P266" s="1">
        <f>VLOOKUP($B266&amp;"__wt",'SegEnds_Xtal_BW#'!$A:$Z,16,FALSE)</f>
        <v>64</v>
      </c>
      <c r="Q266" s="1">
        <f>VLOOKUP($B266&amp;"__wt",'SegEnds_Xtal_BW#'!$A:$Z,17,FALSE)</f>
        <v>50</v>
      </c>
      <c r="R266" s="1">
        <f>VLOOKUP($B266&amp;"__wt",'SegEnds_Xtal_BW#'!$A:$Z,18,FALSE)</f>
        <v>52</v>
      </c>
      <c r="S266" s="1">
        <f>VLOOKUP($B266&amp;"__wt",'SegEnds_Xtal_BW#'!$A:$Z,19,FALSE)</f>
        <v>33</v>
      </c>
      <c r="T266" s="1">
        <f t="array" ref="T266">INDEX(ICL3_classA!$G$2:$G$39,MATCH(MIN(ABS(AI266-ICL3_classA!$F$2:$F$39)),ABS(AI266-ICL3_classA!$F$2:$F$39),0))</f>
        <v>76</v>
      </c>
      <c r="U266" s="1">
        <v>20</v>
      </c>
      <c r="V266" s="1">
        <v>61</v>
      </c>
      <c r="W266" s="108">
        <v>27</v>
      </c>
      <c r="X266" s="1">
        <f>VLOOKUP($B266&amp;"__wt",'SegEnds_Xtal_BW#'!$A:$Z,24,FALSE)</f>
        <v>56</v>
      </c>
      <c r="Y266" s="1">
        <f>VLOOKUP($B266&amp;"__wt",'SegEnds_Xtal_BW#'!$A:$Z,25,FALSE)</f>
        <v>47</v>
      </c>
      <c r="Z266" s="1">
        <f>VLOOKUP($B266&amp;"__wt",'SegEnds_Xtal_BW#'!$A:$Z,26,FALSE)</f>
        <v>63</v>
      </c>
      <c r="AA266" s="27" t="str">
        <f>VLOOKUP(A266,Classification!A:B,2,FALSE)</f>
        <v>A</v>
      </c>
      <c r="AB266" s="1">
        <f>VLOOKUP(A266,'SegEnds_NonXtal_Prot#'!A:AL,10,FALSE)-VLOOKUP(A266,'SegEnds_NonXtal_Prot#'!A:AL,4,FALSE)</f>
        <v>28</v>
      </c>
      <c r="AC266" s="1">
        <f>VLOOKUP(A266,'SegEnds_NonXtal_Prot#'!A:AL,10,FALSE)-VLOOKUP(A266,'SegEnds_NonXtal_Prot#'!A:AL,7,FALSE)</f>
        <v>15</v>
      </c>
      <c r="AD266" s="1">
        <f>VLOOKUP(A266,'SegEnds_NonXtal_Prot#'!A:AL,13,FALSE)-VLOOKUP(A266,'SegEnds_NonXtal_Prot#'!A:AL,10,FALSE)</f>
        <v>20</v>
      </c>
      <c r="AE266" s="1">
        <f>VLOOKUP(A266,'SegEnds_NonXtal_Prot#'!A:AL,16,FALSE)-VLOOKUP(A266,'SegEnds_NonXtal_Prot#'!A:AL,10,FALSE)</f>
        <v>52</v>
      </c>
      <c r="AF266" s="1">
        <f>VLOOKUP(A266,'SegEnds_NonXtal_Prot#'!A:AL,22,FALSE)-VLOOKUP(A266,'SegEnds_NonXtal_Prot#'!A:AL,19,FALSE)</f>
        <v>18</v>
      </c>
      <c r="AG266" s="1">
        <f>VLOOKUP(A266,'SegEnds_NonXtal_Prot#'!A:AL,28,FALSE)-VLOOKUP(A266,'SegEnds_NonXtal_Prot#'!A:AL,25,FALSE)</f>
        <v>25</v>
      </c>
      <c r="AH266" s="1">
        <f>VLOOKUP(A266,'SegEnds_NonXtal_Prot#'!A:AL,28,FALSE)-VLOOKUP(A266,'SegEnds_NonXtal_Prot#'!A:AL,22,FALSE)</f>
        <v>58</v>
      </c>
      <c r="AI266" s="12">
        <f>VLOOKUP(A266,'SegEnds_NonXtal_Prot#'!A:AL,31,FALSE)-VLOOKUP(A266,'SegEnds_NonXtal_Prot#'!A:AL,28,FALSE)</f>
        <v>84</v>
      </c>
      <c r="AJ266" s="1">
        <f>VLOOKUP(A266,'SegEnds_NonXtal_Prot#'!A:AL,34,FALSE)-VLOOKUP(A266,'SegEnds_NonXtal_Prot#'!A:AL,31,FALSE)</f>
        <v>42</v>
      </c>
      <c r="AK266" s="1">
        <f>VLOOKUP(A266,'SegEnds_NonXtal_Prot#'!A:AL,37,FALSE)-VLOOKUP(A266,'SegEnds_NonXtal_Prot#'!A:AL,34,FALSE)</f>
        <v>10</v>
      </c>
      <c r="AL266" s="12" t="str">
        <f>IF(ISERROR(MATCH(A266,'SegEnds_Xtal_Prot#'!B:B, 0)), "NoXtal", "Xtal")</f>
        <v>Xtal</v>
      </c>
    </row>
    <row r="267" spans="1:38" x14ac:dyDescent="0.2">
      <c r="A267" s="1" t="s">
        <v>160</v>
      </c>
      <c r="B267" s="1" t="str">
        <f>VLOOKUP(A267,Xtal_Templ!A:B,2,FALSE)</f>
        <v>apj_human</v>
      </c>
      <c r="C267" s="5">
        <f>VLOOKUP($B267&amp;"__wt",'SegEnds_Xtal_BW#'!$A:$Z,3,FALSE)</f>
        <v>33</v>
      </c>
      <c r="D267" s="1">
        <f>VLOOKUP($B267&amp;"__wt",'SegEnds_Xtal_BW#'!$A:$Z,4,FALSE)</f>
        <v>60</v>
      </c>
      <c r="E267" s="1">
        <f>VLOOKUP($B267&amp;"__wt",'SegEnds_Xtal_BW#'!$A:$Z,5,FALSE)</f>
        <v>48</v>
      </c>
      <c r="F267" s="1">
        <f>VLOOKUP($B267&amp;"__wt",'SegEnds_Xtal_BW#'!$A:$Z,6,FALSE)</f>
        <v>52</v>
      </c>
      <c r="G267" s="1">
        <v>37</v>
      </c>
      <c r="H267" s="12">
        <f>VLOOKUP($B267&amp;"__wt",'SegEnds_Xtal_BW#'!$A:$Z,8,FALSE)</f>
        <v>67</v>
      </c>
      <c r="I267" s="1">
        <f>VLOOKUP($B267&amp;"__wt",'SegEnds_Xtal_BW#'!$A:$Z,9,FALSE)</f>
        <v>49</v>
      </c>
      <c r="J267" s="1">
        <f>VLOOKUP($B267&amp;"__wt",'SegEnds_Xtal_BW#'!$A:$Z,10,FALSE)</f>
        <v>52</v>
      </c>
      <c r="K267" s="12">
        <v>18</v>
      </c>
      <c r="L267" s="1">
        <f>VLOOKUP($B267&amp;"__wt",'SegEnds_Xtal_BW#'!$A:$Z,12,FALSE)</f>
        <v>56</v>
      </c>
      <c r="M267" s="1">
        <f>VLOOKUP($B267&amp;"__wt",'SegEnds_Xtal_BW#'!$A:$Z,13,FALSE)</f>
        <v>50</v>
      </c>
      <c r="N267" s="12">
        <f>VLOOKUP($B267&amp;"__wt",'SegEnds_Xtal_BW#'!$A:$Z,14,FALSE)</f>
        <v>57</v>
      </c>
      <c r="O267" s="87">
        <v>38</v>
      </c>
      <c r="P267" s="1">
        <f>VLOOKUP($B267&amp;"__wt",'SegEnds_Xtal_BW#'!$A:$Z,16,FALSE)</f>
        <v>64</v>
      </c>
      <c r="Q267" s="1">
        <f>VLOOKUP($B267&amp;"__wt",'SegEnds_Xtal_BW#'!$A:$Z,17,FALSE)</f>
        <v>50</v>
      </c>
      <c r="R267" s="1">
        <f>VLOOKUP($B267&amp;"__wt",'SegEnds_Xtal_BW#'!$A:$Z,18,FALSE)</f>
        <v>52</v>
      </c>
      <c r="S267" s="1">
        <f>VLOOKUP($B267&amp;"__wt",'SegEnds_Xtal_BW#'!$A:$Z,19,FALSE)</f>
        <v>30</v>
      </c>
      <c r="T267" s="1">
        <f t="array" ref="T267">INDEX(ICL3_classA!$G$2:$G$39,MATCH(MIN(ABS(AI267-ICL3_classA!$F$2:$F$39)),ABS(AI267-ICL3_classA!$F$2:$F$39),0))</f>
        <v>72</v>
      </c>
      <c r="U267" s="1">
        <f t="array" ref="U267">INDEX(ICL3_classA!$H$2:$H$39,MATCH(MIN(ABS(AI267-ICL3_classA!$F$2:$F$39)),ABS(AI267-ICL3_classA!$F$2:$F$39),0))</f>
        <v>29</v>
      </c>
      <c r="V267" s="108">
        <v>63</v>
      </c>
      <c r="W267" s="1">
        <v>24</v>
      </c>
      <c r="X267" s="1">
        <f>VLOOKUP($B267&amp;"__wt",'SegEnds_Xtal_BW#'!$A:$Z,24,FALSE)</f>
        <v>56</v>
      </c>
      <c r="Y267" s="1">
        <f>VLOOKUP($B267&amp;"__wt",'SegEnds_Xtal_BW#'!$A:$Z,25,FALSE)</f>
        <v>47</v>
      </c>
      <c r="Z267" s="1">
        <f>VLOOKUP($B267&amp;"__wt",'SegEnds_Xtal_BW#'!$A:$Z,26,FALSE)</f>
        <v>61</v>
      </c>
      <c r="AA267" s="27" t="str">
        <f>VLOOKUP(A267,Classification!A:B,2,FALSE)</f>
        <v>A</v>
      </c>
      <c r="AB267" s="1">
        <f>VLOOKUP(A267,'SegEnds_NonXtal_Prot#'!A:AL,10,FALSE)-VLOOKUP(A267,'SegEnds_NonXtal_Prot#'!A:AL,4,FALSE)</f>
        <v>29</v>
      </c>
      <c r="AC267" s="1">
        <f>VLOOKUP(A267,'SegEnds_NonXtal_Prot#'!A:AL,10,FALSE)-VLOOKUP(A267,'SegEnds_NonXtal_Prot#'!A:AL,7,FALSE)</f>
        <v>16</v>
      </c>
      <c r="AD267" s="1">
        <f>VLOOKUP(A267,'SegEnds_NonXtal_Prot#'!A:AL,13,FALSE)-VLOOKUP(A267,'SegEnds_NonXtal_Prot#'!A:AL,10,FALSE)</f>
        <v>20</v>
      </c>
      <c r="AE267" s="1">
        <f>VLOOKUP(A267,'SegEnds_NonXtal_Prot#'!A:AL,16,FALSE)-VLOOKUP(A267,'SegEnds_NonXtal_Prot#'!A:AL,10,FALSE)</f>
        <v>52</v>
      </c>
      <c r="AF267" s="1">
        <f>VLOOKUP(A267,'SegEnds_NonXtal_Prot#'!A:AL,22,FALSE)-VLOOKUP(A267,'SegEnds_NonXtal_Prot#'!A:AL,19,FALSE)</f>
        <v>20</v>
      </c>
      <c r="AG267" s="1">
        <f>VLOOKUP(A267,'SegEnds_NonXtal_Prot#'!A:AL,28,FALSE)-VLOOKUP(A267,'SegEnds_NonXtal_Prot#'!A:AL,25,FALSE)</f>
        <v>32</v>
      </c>
      <c r="AH267" s="1">
        <f>VLOOKUP(A267,'SegEnds_NonXtal_Prot#'!A:AL,28,FALSE)-VLOOKUP(A267,'SegEnds_NonXtal_Prot#'!A:AL,22,FALSE)</f>
        <v>59</v>
      </c>
      <c r="AI267" s="1">
        <f>VLOOKUP(A267,'SegEnds_NonXtal_Prot#'!A:AL,31,FALSE)-VLOOKUP(A267,'SegEnds_NonXtal_Prot#'!A:AL,28,FALSE)</f>
        <v>50</v>
      </c>
      <c r="AJ267" s="1">
        <f>VLOOKUP(A267,'SegEnds_NonXtal_Prot#'!A:AL,34,FALSE)-VLOOKUP(A267,'SegEnds_NonXtal_Prot#'!A:AL,31,FALSE)</f>
        <v>43</v>
      </c>
      <c r="AK267" s="1">
        <f>VLOOKUP(A267,'SegEnds_NonXtal_Prot#'!A:AL,37,FALSE)-VLOOKUP(A267,'SegEnds_NonXtal_Prot#'!A:AL,34,FALSE)</f>
        <v>10</v>
      </c>
      <c r="AL267" s="1" t="str">
        <f>IF(ISERROR(MATCH(A267,'SegEnds_Xtal_Prot#'!B:B, 0)), "NoXtal", "Xtal")</f>
        <v>Xtal</v>
      </c>
    </row>
    <row r="268" spans="1:38" x14ac:dyDescent="0.2">
      <c r="A268" s="1" t="s">
        <v>196</v>
      </c>
      <c r="B268" s="1" t="str">
        <f>VLOOKUP(A268,Xtal_Templ!A:B,2,FALSE)</f>
        <v>ednrb_human</v>
      </c>
      <c r="C268" s="5">
        <f>VLOOKUP($B268&amp;"__wt",'SegEnds_Xtal_BW#'!$A:$Z,3,FALSE)</f>
        <v>22</v>
      </c>
      <c r="D268" s="1">
        <f>VLOOKUP($B268&amp;"__wt",'SegEnds_Xtal_BW#'!$A:$Z,4,FALSE)</f>
        <v>60</v>
      </c>
      <c r="E268" s="1">
        <f>VLOOKUP($B268&amp;"__wt",'SegEnds_Xtal_BW#'!$A:$Z,5,FALSE)</f>
        <v>48</v>
      </c>
      <c r="F268" s="1">
        <f>VLOOKUP($B268&amp;"__wt",'SegEnds_Xtal_BW#'!$A:$Z,6,FALSE)</f>
        <v>52</v>
      </c>
      <c r="G268" s="1">
        <v>38</v>
      </c>
      <c r="H268" s="12">
        <f>VLOOKUP($B268&amp;"__wt",'SegEnds_Xtal_BW#'!$A:$Z,8,FALSE)</f>
        <v>67</v>
      </c>
      <c r="I268" s="1">
        <f>VLOOKUP($B268&amp;"__wt",'SegEnds_Xtal_BW#'!$A:$Z,9,FALSE)</f>
        <v>49</v>
      </c>
      <c r="J268" s="1">
        <f>VLOOKUP($B268&amp;"__wt",'SegEnds_Xtal_BW#'!$A:$Z,10,FALSE)</f>
        <v>52</v>
      </c>
      <c r="K268" s="12">
        <v>21</v>
      </c>
      <c r="L268" s="1">
        <f>VLOOKUP($B268&amp;"__wt",'SegEnds_Xtal_BW#'!$A:$Z,12,FALSE)</f>
        <v>56</v>
      </c>
      <c r="M268" s="1">
        <f>VLOOKUP($B268&amp;"__wt",'SegEnds_Xtal_BW#'!$A:$Z,13,FALSE)</f>
        <v>50</v>
      </c>
      <c r="N268" s="12">
        <f>VLOOKUP($B268&amp;"__wt",'SegEnds_Xtal_BW#'!$A:$Z,14,FALSE)</f>
        <v>57</v>
      </c>
      <c r="O268" s="87">
        <f>VLOOKUP($B268&amp;"__wt",'SegEnds_Xtal_BW#'!$A:$Z,15,FALSE)</f>
        <v>38</v>
      </c>
      <c r="P268" s="1">
        <f>VLOOKUP($B268&amp;"__wt",'SegEnds_Xtal_BW#'!$A:$Z,16,FALSE)</f>
        <v>64</v>
      </c>
      <c r="Q268" s="1">
        <f>VLOOKUP($B268&amp;"__wt",'SegEnds_Xtal_BW#'!$A:$Z,17,FALSE)</f>
        <v>50</v>
      </c>
      <c r="R268" s="1">
        <f>VLOOKUP($B268&amp;"__wt",'SegEnds_Xtal_BW#'!$A:$Z,18,FALSE)</f>
        <v>52</v>
      </c>
      <c r="S268" s="1">
        <f>VLOOKUP($B268&amp;"__wt",'SegEnds_Xtal_BW#'!$A:$Z,19,FALSE)</f>
        <v>28</v>
      </c>
      <c r="T268" s="1">
        <f t="array" ref="T268">INDEX(ICL3_classA!$G$2:$G$39,MATCH(MIN(ABS(AI268-ICL3_classA!$F$2:$F$39)),ABS(AI268-ICL3_classA!$F$2:$F$39),0))</f>
        <v>72</v>
      </c>
      <c r="U268" s="1">
        <f t="array" ref="U268">INDEX(ICL3_classA!$H$2:$H$39,MATCH(MIN(ABS(AI268-ICL3_classA!$F$2:$F$39)),ABS(AI268-ICL3_classA!$F$2:$F$39),0))</f>
        <v>24</v>
      </c>
      <c r="V268" s="1">
        <v>62</v>
      </c>
      <c r="W268" s="1">
        <v>24</v>
      </c>
      <c r="X268" s="1">
        <f>VLOOKUP($B268&amp;"__wt",'SegEnds_Xtal_BW#'!$A:$Z,24,FALSE)</f>
        <v>56</v>
      </c>
      <c r="Y268" s="1">
        <f>VLOOKUP($B268&amp;"__wt",'SegEnds_Xtal_BW#'!$A:$Z,25,FALSE)</f>
        <v>47</v>
      </c>
      <c r="Z268" s="1">
        <f>VLOOKUP($B268&amp;"__wt",'SegEnds_Xtal_BW#'!$A:$Z,26,FALSE)</f>
        <v>60</v>
      </c>
      <c r="AA268" s="27" t="str">
        <f>VLOOKUP(A268,Classification!A:B,2,FALSE)</f>
        <v>A</v>
      </c>
      <c r="AB268" s="1">
        <f>VLOOKUP(A268,'SegEnds_NonXtal_Prot#'!A:AL,10,FALSE)-VLOOKUP(A268,'SegEnds_NonXtal_Prot#'!A:AL,4,FALSE)</f>
        <v>28</v>
      </c>
      <c r="AC268" s="1">
        <f>VLOOKUP(A268,'SegEnds_NonXtal_Prot#'!A:AL,10,FALSE)-VLOOKUP(A268,'SegEnds_NonXtal_Prot#'!A:AL,7,FALSE)</f>
        <v>15</v>
      </c>
      <c r="AD268" s="1">
        <f>VLOOKUP(A268,'SegEnds_NonXtal_Prot#'!A:AL,13,FALSE)-VLOOKUP(A268,'SegEnds_NonXtal_Prot#'!A:AL,10,FALSE)</f>
        <v>20</v>
      </c>
      <c r="AE268" s="1">
        <f>VLOOKUP(A268,'SegEnds_NonXtal_Prot#'!A:AL,16,FALSE)-VLOOKUP(A268,'SegEnds_NonXtal_Prot#'!A:AL,10,FALSE)</f>
        <v>52</v>
      </c>
      <c r="AF268" s="1">
        <f>VLOOKUP(A268,'SegEnds_NonXtal_Prot#'!A:AL,22,FALSE)-VLOOKUP(A268,'SegEnds_NonXtal_Prot#'!A:AL,19,FALSE)</f>
        <v>20</v>
      </c>
      <c r="AG268" s="1">
        <f>VLOOKUP(A268,'SegEnds_NonXtal_Prot#'!A:AL,28,FALSE)-VLOOKUP(A268,'SegEnds_NonXtal_Prot#'!A:AL,25,FALSE)</f>
        <v>30</v>
      </c>
      <c r="AH268" s="1">
        <f>VLOOKUP(A268,'SegEnds_NonXtal_Prot#'!A:AL,28,FALSE)-VLOOKUP(A268,'SegEnds_NonXtal_Prot#'!A:AL,22,FALSE)</f>
        <v>59</v>
      </c>
      <c r="AI268" s="1">
        <f>VLOOKUP(A268,'SegEnds_NonXtal_Prot#'!A:AL,31,FALSE)-VLOOKUP(A268,'SegEnds_NonXtal_Prot#'!A:AL,28,FALSE)</f>
        <v>53</v>
      </c>
      <c r="AJ268" s="1">
        <f>VLOOKUP(A268,'SegEnds_NonXtal_Prot#'!A:AL,34,FALSE)-VLOOKUP(A268,'SegEnds_NonXtal_Prot#'!A:AL,31,FALSE)</f>
        <v>45</v>
      </c>
      <c r="AK268" s="1">
        <f>VLOOKUP(A268,'SegEnds_NonXtal_Prot#'!A:AL,37,FALSE)-VLOOKUP(A268,'SegEnds_NonXtal_Prot#'!A:AL,34,FALSE)</f>
        <v>10</v>
      </c>
      <c r="AL268" s="1" t="str">
        <f>IF(ISERROR(MATCH(A268,'SegEnds_Xtal_Prot#'!B:B, 0)), "NoXtal", "Xtal")</f>
        <v>Xtal</v>
      </c>
    </row>
    <row r="269" spans="1:38" x14ac:dyDescent="0.2">
      <c r="A269" s="1" t="s">
        <v>209</v>
      </c>
      <c r="B269" s="1" t="str">
        <f>VLOOKUP(A269,Xtal_Templ!A:B,2,FALSE)</f>
        <v>apj_human</v>
      </c>
      <c r="C269" s="5">
        <f>VLOOKUP($B269&amp;"__wt",'SegEnds_Xtal_BW#'!$A:$Z,3,FALSE)</f>
        <v>33</v>
      </c>
      <c r="D269" s="1">
        <f>VLOOKUP($B269&amp;"__wt",'SegEnds_Xtal_BW#'!$A:$Z,4,FALSE)</f>
        <v>60</v>
      </c>
      <c r="E269" s="1">
        <f>VLOOKUP($B269&amp;"__wt",'SegEnds_Xtal_BW#'!$A:$Z,5,FALSE)</f>
        <v>48</v>
      </c>
      <c r="F269" s="1">
        <f>VLOOKUP($B269&amp;"__wt",'SegEnds_Xtal_BW#'!$A:$Z,6,FALSE)</f>
        <v>52</v>
      </c>
      <c r="G269" s="1">
        <v>37</v>
      </c>
      <c r="H269" s="12">
        <v>66</v>
      </c>
      <c r="I269" s="1">
        <f>VLOOKUP($B269&amp;"__wt",'SegEnds_Xtal_BW#'!$A:$Z,9,FALSE)</f>
        <v>49</v>
      </c>
      <c r="J269" s="1">
        <f>VLOOKUP($B269&amp;"__wt",'SegEnds_Xtal_BW#'!$A:$Z,10,FALSE)</f>
        <v>52</v>
      </c>
      <c r="K269" s="12">
        <v>21</v>
      </c>
      <c r="L269" s="1">
        <f>VLOOKUP($B269&amp;"__wt",'SegEnds_Xtal_BW#'!$A:$Z,12,FALSE)</f>
        <v>56</v>
      </c>
      <c r="M269" s="1">
        <f>VLOOKUP($B269&amp;"__wt",'SegEnds_Xtal_BW#'!$A:$Z,13,FALSE)</f>
        <v>50</v>
      </c>
      <c r="N269" s="12">
        <v>53</v>
      </c>
      <c r="O269" s="87">
        <v>38</v>
      </c>
      <c r="P269" s="1">
        <f>VLOOKUP($B269&amp;"__wt",'SegEnds_Xtal_BW#'!$A:$Z,16,FALSE)</f>
        <v>64</v>
      </c>
      <c r="Q269" s="1">
        <f>VLOOKUP($B269&amp;"__wt",'SegEnds_Xtal_BW#'!$A:$Z,17,FALSE)</f>
        <v>50</v>
      </c>
      <c r="R269" s="1">
        <f>VLOOKUP($B269&amp;"__wt",'SegEnds_Xtal_BW#'!$A:$Z,18,FALSE)</f>
        <v>52</v>
      </c>
      <c r="S269" s="1">
        <f>VLOOKUP($B269&amp;"__wt",'SegEnds_Xtal_BW#'!$A:$Z,19,FALSE)</f>
        <v>30</v>
      </c>
      <c r="T269" s="1">
        <f t="array" ref="T269">INDEX(ICL3_classA!$G$2:$G$39,MATCH(MIN(ABS(AI269-ICL3_classA!$F$2:$F$39)),ABS(AI269-ICL3_classA!$F$2:$F$39),0))</f>
        <v>74</v>
      </c>
      <c r="U269" s="1">
        <f t="array" ref="U269">INDEX(ICL3_classA!$H$2:$H$39,MATCH(MIN(ABS(AI269-ICL3_classA!$F$2:$F$39)),ABS(AI269-ICL3_classA!$F$2:$F$39),0))</f>
        <v>21</v>
      </c>
      <c r="V269" s="1">
        <v>61</v>
      </c>
      <c r="W269" s="108">
        <v>25</v>
      </c>
      <c r="X269" s="1">
        <f>VLOOKUP($B269&amp;"__wt",'SegEnds_Xtal_BW#'!$A:$Z,24,FALSE)</f>
        <v>56</v>
      </c>
      <c r="Y269" s="1">
        <f>VLOOKUP($B269&amp;"__wt",'SegEnds_Xtal_BW#'!$A:$Z,25,FALSE)</f>
        <v>47</v>
      </c>
      <c r="Z269" s="1">
        <f>VLOOKUP($B269&amp;"__wt",'SegEnds_Xtal_BW#'!$A:$Z,26,FALSE)</f>
        <v>61</v>
      </c>
      <c r="AA269" s="27" t="str">
        <f>VLOOKUP(A269,Classification!A:B,2,FALSE)</f>
        <v>A</v>
      </c>
      <c r="AB269" s="1">
        <f>VLOOKUP(A269,'SegEnds_NonXtal_Prot#'!A:AL,10,FALSE)-VLOOKUP(A269,'SegEnds_NonXtal_Prot#'!A:AL,4,FALSE)</f>
        <v>34</v>
      </c>
      <c r="AC269" s="1">
        <f>VLOOKUP(A269,'SegEnds_NonXtal_Prot#'!A:AL,10,FALSE)-VLOOKUP(A269,'SegEnds_NonXtal_Prot#'!A:AL,7,FALSE)</f>
        <v>14</v>
      </c>
      <c r="AD269" s="1">
        <f>VLOOKUP(A269,'SegEnds_NonXtal_Prot#'!A:AL,13,FALSE)-VLOOKUP(A269,'SegEnds_NonXtal_Prot#'!A:AL,10,FALSE)</f>
        <v>20</v>
      </c>
      <c r="AE269" s="1">
        <f>VLOOKUP(A269,'SegEnds_NonXtal_Prot#'!A:AL,16,FALSE)-VLOOKUP(A269,'SegEnds_NonXtal_Prot#'!A:AL,10,FALSE)</f>
        <v>52</v>
      </c>
      <c r="AF269" s="1">
        <f>VLOOKUP(A269,'SegEnds_NonXtal_Prot#'!A:AL,22,FALSE)-VLOOKUP(A269,'SegEnds_NonXtal_Prot#'!A:AL,19,FALSE)</f>
        <v>18</v>
      </c>
      <c r="AG269" s="1">
        <f>VLOOKUP(A269,'SegEnds_NonXtal_Prot#'!A:AL,28,FALSE)-VLOOKUP(A269,'SegEnds_NonXtal_Prot#'!A:AL,25,FALSE)</f>
        <v>23</v>
      </c>
      <c r="AH269" s="1">
        <f>VLOOKUP(A269,'SegEnds_NonXtal_Prot#'!A:AL,28,FALSE)-VLOOKUP(A269,'SegEnds_NonXtal_Prot#'!A:AL,22,FALSE)</f>
        <v>59</v>
      </c>
      <c r="AI269" s="1">
        <f>VLOOKUP(A269,'SegEnds_NonXtal_Prot#'!A:AL,31,FALSE)-VLOOKUP(A269,'SegEnds_NonXtal_Prot#'!A:AL,28,FALSE)</f>
        <v>59</v>
      </c>
      <c r="AJ269" s="1">
        <f>VLOOKUP(A269,'SegEnds_NonXtal_Prot#'!A:AL,34,FALSE)-VLOOKUP(A269,'SegEnds_NonXtal_Prot#'!A:AL,31,FALSE)</f>
        <v>38</v>
      </c>
      <c r="AK269" s="1" t="e">
        <f>VLOOKUP(A269,'SegEnds_NonXtal_Prot#'!A:AL,37,FALSE)-VLOOKUP(A269,'SegEnds_NonXtal_Prot#'!A:AL,34,FALSE)</f>
        <v>#VALUE!</v>
      </c>
      <c r="AL269" s="1" t="str">
        <f>IF(ISERROR(MATCH(A269,'SegEnds_Xtal_Prot#'!B:B, 0)), "NoXtal", "Xtal")</f>
        <v>NoXtal</v>
      </c>
    </row>
    <row r="270" spans="1:38" x14ac:dyDescent="0.2">
      <c r="A270" s="1" t="s">
        <v>327</v>
      </c>
      <c r="B270" s="1" t="str">
        <f>VLOOKUP(A270,Xtal_Templ!A:B,2,FALSE)</f>
        <v>npy1r_human</v>
      </c>
      <c r="C270" s="5">
        <f>VLOOKUP($B270&amp;"__wt",'SegEnds_Xtal_BW#'!$A:$Z,3,FALSE)</f>
        <v>28</v>
      </c>
      <c r="D270" s="1">
        <f>VLOOKUP($B270&amp;"__wt",'SegEnds_Xtal_BW#'!$A:$Z,4,FALSE)</f>
        <v>60</v>
      </c>
      <c r="E270" s="1">
        <f>VLOOKUP($B270&amp;"__wt",'SegEnds_Xtal_BW#'!$A:$Z,5,FALSE)</f>
        <v>48</v>
      </c>
      <c r="F270" s="1">
        <f>VLOOKUP($B270&amp;"__wt",'SegEnds_Xtal_BW#'!$A:$Z,6,FALSE)</f>
        <v>51</v>
      </c>
      <c r="G270" s="1">
        <v>37</v>
      </c>
      <c r="H270" s="12">
        <f>VLOOKUP($B270&amp;"__wt",'SegEnds_Xtal_BW#'!$A:$Z,8,FALSE)</f>
        <v>68</v>
      </c>
      <c r="I270" s="1">
        <f>VLOOKUP($B270&amp;"__wt",'SegEnds_Xtal_BW#'!$A:$Z,9,FALSE)</f>
        <v>49</v>
      </c>
      <c r="J270" s="1">
        <f>VLOOKUP($B270&amp;"__wt",'SegEnds_Xtal_BW#'!$A:$Z,10,FALSE)</f>
        <v>52</v>
      </c>
      <c r="K270" s="12">
        <v>18</v>
      </c>
      <c r="L270" s="1">
        <f>VLOOKUP($B270&amp;"__wt",'SegEnds_Xtal_BW#'!$A:$Z,12,FALSE)</f>
        <v>56</v>
      </c>
      <c r="M270" s="1" t="str">
        <f>VLOOKUP($B270&amp;"__wt",'SegEnds_Xtal_BW#'!$A:$Z,13,FALSE)</f>
        <v>-</v>
      </c>
      <c r="N270" s="108" t="s">
        <v>23</v>
      </c>
      <c r="O270" s="87">
        <f>VLOOKUP($B270&amp;"__wt",'SegEnds_Xtal_BW#'!$A:$Z,15,FALSE)</f>
        <v>38</v>
      </c>
      <c r="P270" s="1">
        <f>VLOOKUP($B270&amp;"__wt",'SegEnds_Xtal_BW#'!$A:$Z,16,FALSE)</f>
        <v>64</v>
      </c>
      <c r="Q270" s="1">
        <f>VLOOKUP($B270&amp;"__wt",'SegEnds_Xtal_BW#'!$A:$Z,17,FALSE)</f>
        <v>50</v>
      </c>
      <c r="R270" s="1">
        <f>VLOOKUP($B270&amp;"__wt",'SegEnds_Xtal_BW#'!$A:$Z,18,FALSE)</f>
        <v>52</v>
      </c>
      <c r="S270" s="1">
        <f>VLOOKUP($B270&amp;"__wt",'SegEnds_Xtal_BW#'!$A:$Z,19,FALSE)</f>
        <v>31</v>
      </c>
      <c r="T270" s="1">
        <f t="array" ref="T270">INDEX(ICL3_classA!$G$2:$G$39,MATCH(MIN(ABS(AI270-ICL3_classA!$F$2:$F$39)),ABS(AI270-ICL3_classA!$F$2:$F$39),0))</f>
        <v>76</v>
      </c>
      <c r="U270" s="1">
        <f t="array" ref="U270">INDEX(ICL3_classA!$H$2:$H$39,MATCH(MIN(ABS(AI270-ICL3_classA!$F$2:$F$39)),ABS(AI270-ICL3_classA!$F$2:$F$39),0))</f>
        <v>24</v>
      </c>
      <c r="V270" s="1">
        <v>61</v>
      </c>
      <c r="W270" s="131">
        <f>VLOOKUP($B270&amp;"__wt",'SegEnds_Xtal_BW#'!$A:$Z,23,FALSE)</f>
        <v>28</v>
      </c>
      <c r="X270" s="1">
        <f>VLOOKUP($B270&amp;"__wt",'SegEnds_Xtal_BW#'!$A:$Z,24,FALSE)</f>
        <v>56</v>
      </c>
      <c r="Y270" s="1">
        <f>VLOOKUP($B270&amp;"__wt",'SegEnds_Xtal_BW#'!$A:$Z,25,FALSE)</f>
        <v>47</v>
      </c>
      <c r="Z270" s="1">
        <f>VLOOKUP($B270&amp;"__wt",'SegEnds_Xtal_BW#'!$A:$Z,26,FALSE)</f>
        <v>58</v>
      </c>
      <c r="AA270" s="27" t="str">
        <f>VLOOKUP(A270,Classification!A:B,2,FALSE)</f>
        <v>A</v>
      </c>
      <c r="AB270" s="1">
        <f>VLOOKUP(A270,'SegEnds_NonXtal_Prot#'!A:AL,10,FALSE)-VLOOKUP(A270,'SegEnds_NonXtal_Prot#'!A:AL,4,FALSE)</f>
        <v>28</v>
      </c>
      <c r="AC270" s="1">
        <f>VLOOKUP(A270,'SegEnds_NonXtal_Prot#'!A:AL,10,FALSE)-VLOOKUP(A270,'SegEnds_NonXtal_Prot#'!A:AL,7,FALSE)</f>
        <v>15</v>
      </c>
      <c r="AD270" s="1">
        <f>VLOOKUP(A270,'SegEnds_NonXtal_Prot#'!A:AL,13,FALSE)-VLOOKUP(A270,'SegEnds_NonXtal_Prot#'!A:AL,10,FALSE)</f>
        <v>20</v>
      </c>
      <c r="AE270" s="1">
        <f>VLOOKUP(A270,'SegEnds_NonXtal_Prot#'!A:AL,16,FALSE)-VLOOKUP(A270,'SegEnds_NonXtal_Prot#'!A:AL,10,FALSE)</f>
        <v>52</v>
      </c>
      <c r="AF270" s="1" t="e">
        <f>VLOOKUP(A270,'SegEnds_NonXtal_Prot#'!A:AL,22,FALSE)-VLOOKUP(A270,'SegEnds_NonXtal_Prot#'!A:AL,19,FALSE)</f>
        <v>#VALUE!</v>
      </c>
      <c r="AG270" s="1">
        <f>VLOOKUP(A270,'SegEnds_NonXtal_Prot#'!A:AL,28,FALSE)-VLOOKUP(A270,'SegEnds_NonXtal_Prot#'!A:AL,25,FALSE)</f>
        <v>25</v>
      </c>
      <c r="AH270" s="1">
        <f>VLOOKUP(A270,'SegEnds_NonXtal_Prot#'!A:AL,28,FALSE)-VLOOKUP(A270,'SegEnds_NonXtal_Prot#'!A:AL,22,FALSE)</f>
        <v>59</v>
      </c>
      <c r="AI270" s="1">
        <f>VLOOKUP(A270,'SegEnds_NonXtal_Prot#'!A:AL,31,FALSE)-VLOOKUP(A270,'SegEnds_NonXtal_Prot#'!A:AL,28,FALSE)</f>
        <v>160</v>
      </c>
      <c r="AJ270" s="1">
        <f>VLOOKUP(A270,'SegEnds_NonXtal_Prot#'!A:AL,34,FALSE)-VLOOKUP(A270,'SegEnds_NonXtal_Prot#'!A:AL,31,FALSE)</f>
        <v>39</v>
      </c>
      <c r="AK270" s="1">
        <f>VLOOKUP(A270,'SegEnds_NonXtal_Prot#'!A:AL,37,FALSE)-VLOOKUP(A270,'SegEnds_NonXtal_Prot#'!A:AL,34,FALSE)</f>
        <v>10</v>
      </c>
      <c r="AL270" s="1" t="str">
        <f>IF(ISERROR(MATCH(A270,'SegEnds_Xtal_Prot#'!B:B, 0)), "NoXtal", "Xtal")</f>
        <v>NoXtal</v>
      </c>
    </row>
    <row r="271" spans="1:38" x14ac:dyDescent="0.2">
      <c r="A271" s="1" t="s">
        <v>362</v>
      </c>
      <c r="B271" s="1" t="str">
        <f>VLOOKUP(A271,Xtal_Templ!A:B,2,FALSE)</f>
        <v>pe2r3_human</v>
      </c>
      <c r="C271" s="5">
        <f>VLOOKUP($B271&amp;"__wt",'SegEnds_Xtal_BW#'!$A:$Z,3,FALSE)</f>
        <v>36</v>
      </c>
      <c r="D271" s="1">
        <f>VLOOKUP($B271&amp;"__wt",'SegEnds_Xtal_BW#'!$A:$Z,4,FALSE)</f>
        <v>62</v>
      </c>
      <c r="E271" s="1" t="str">
        <f>VLOOKUP($B271&amp;"__wt",'SegEnds_Xtal_BW#'!$A:$Z,5,FALSE)</f>
        <v>-</v>
      </c>
      <c r="F271" s="1" t="str">
        <f>VLOOKUP($B271&amp;"__wt",'SegEnds_Xtal_BW#'!$A:$Z,6,FALSE)</f>
        <v>-</v>
      </c>
      <c r="G271" s="1">
        <v>37</v>
      </c>
      <c r="H271" s="12">
        <f>VLOOKUP($B271&amp;"__wt",'SegEnds_Xtal_BW#'!$A:$Z,8,FALSE)</f>
        <v>68</v>
      </c>
      <c r="I271" s="1">
        <v>49</v>
      </c>
      <c r="J271" s="1">
        <f>VLOOKUP($B271&amp;"__wt",'SegEnds_Xtal_BW#'!$A:$Z,10,FALSE)</f>
        <v>56</v>
      </c>
      <c r="K271" s="12">
        <v>18</v>
      </c>
      <c r="L271" s="1">
        <f>VLOOKUP($B271&amp;"__wt",'SegEnds_Xtal_BW#'!$A:$Z,12,FALSE)</f>
        <v>56</v>
      </c>
      <c r="M271" s="1">
        <f>VLOOKUP($B271&amp;"__wt",'SegEnds_Xtal_BW#'!$A:$Z,13,FALSE)</f>
        <v>50</v>
      </c>
      <c r="N271" s="12">
        <v>57</v>
      </c>
      <c r="O271" s="87">
        <f>VLOOKUP($B271&amp;"__wt",'SegEnds_Xtal_BW#'!$A:$Z,15,FALSE)</f>
        <v>38</v>
      </c>
      <c r="P271" s="1">
        <f>VLOOKUP($B271&amp;"__wt",'SegEnds_Xtal_BW#'!$A:$Z,16,FALSE)</f>
        <v>63</v>
      </c>
      <c r="Q271" s="1">
        <f>VLOOKUP($B271&amp;"__wt",'SegEnds_Xtal_BW#'!$A:$Z,17,FALSE)</f>
        <v>50</v>
      </c>
      <c r="R271" s="1">
        <f>VLOOKUP($B271&amp;"__wt",'SegEnds_Xtal_BW#'!$A:$Z,18,FALSE)</f>
        <v>52</v>
      </c>
      <c r="S271" s="1">
        <f>VLOOKUP($B271&amp;"__wt",'SegEnds_Xtal_BW#'!$A:$Z,19,FALSE)</f>
        <v>34</v>
      </c>
      <c r="T271" s="1">
        <f t="array" ref="T271">INDEX(ICL3_classA!$G$2:$G$39,MATCH(MIN(ABS(AI271-ICL3_classA!$F$2:$F$39)),ABS(AI271-ICL3_classA!$F$2:$F$39),0))</f>
        <v>73</v>
      </c>
      <c r="U271" s="1">
        <f t="array" ref="U271">INDEX(ICL3_classA!$H$2:$H$39,MATCH(MIN(ABS(AI271-ICL3_classA!$F$2:$F$39)),ABS(AI271-ICL3_classA!$F$2:$F$39),0))</f>
        <v>22</v>
      </c>
      <c r="V271" s="1">
        <v>64</v>
      </c>
      <c r="W271" s="1">
        <v>24</v>
      </c>
      <c r="X271" s="1">
        <f>VLOOKUP($B271&amp;"__wt",'SegEnds_Xtal_BW#'!$A:$Z,24,FALSE)</f>
        <v>53</v>
      </c>
      <c r="Y271" s="1">
        <f>VLOOKUP($B271&amp;"__wt",'SegEnds_Xtal_BW#'!$A:$Z,25,FALSE)</f>
        <v>44</v>
      </c>
      <c r="Z271" s="1">
        <f>VLOOKUP($B271&amp;"__wt",'SegEnds_Xtal_BW#'!$A:$Z,26,FALSE)</f>
        <v>66</v>
      </c>
      <c r="AA271" s="27" t="str">
        <f>VLOOKUP(A271,Classification!A:B,2,FALSE)</f>
        <v>A</v>
      </c>
      <c r="AB271" s="1">
        <f>VLOOKUP(A271,'SegEnds_NonXtal_Prot#'!A:AL,10,FALSE)-VLOOKUP(A271,'SegEnds_NonXtal_Prot#'!A:AL,4,FALSE)</f>
        <v>33</v>
      </c>
      <c r="AC271" s="1" t="e">
        <f>VLOOKUP(A271,'SegEnds_NonXtal_Prot#'!A:AL,10,FALSE)-VLOOKUP(A271,'SegEnds_NonXtal_Prot#'!A:AL,7,FALSE)</f>
        <v>#VALUE!</v>
      </c>
      <c r="AD271" s="1">
        <f>VLOOKUP(A271,'SegEnds_NonXtal_Prot#'!A:AL,13,FALSE)-VLOOKUP(A271,'SegEnds_NonXtal_Prot#'!A:AL,10,FALSE)</f>
        <v>21</v>
      </c>
      <c r="AE271" s="1">
        <f>VLOOKUP(A271,'SegEnds_NonXtal_Prot#'!A:AL,16,FALSE)-VLOOKUP(A271,'SegEnds_NonXtal_Prot#'!A:AL,10,FALSE)</f>
        <v>56</v>
      </c>
      <c r="AF271" s="1">
        <f>VLOOKUP(A271,'SegEnds_NonXtal_Prot#'!A:AL,22,FALSE)-VLOOKUP(A271,'SegEnds_NonXtal_Prot#'!A:AL,19,FALSE)</f>
        <v>20</v>
      </c>
      <c r="AG271" s="1">
        <f>VLOOKUP(A271,'SegEnds_NonXtal_Prot#'!A:AL,28,FALSE)-VLOOKUP(A271,'SegEnds_NonXtal_Prot#'!A:AL,25,FALSE)</f>
        <v>33</v>
      </c>
      <c r="AH271" s="1">
        <f>VLOOKUP(A271,'SegEnds_NonXtal_Prot#'!A:AL,28,FALSE)-VLOOKUP(A271,'SegEnds_NonXtal_Prot#'!A:AL,22,FALSE)</f>
        <v>59</v>
      </c>
      <c r="AI271" s="1">
        <f>VLOOKUP(A271,'SegEnds_NonXtal_Prot#'!A:AL,31,FALSE)-VLOOKUP(A271,'SegEnds_NonXtal_Prot#'!A:AL,28,FALSE)</f>
        <v>56</v>
      </c>
      <c r="AJ271" s="1">
        <f>VLOOKUP(A271,'SegEnds_NonXtal_Prot#'!A:AL,34,FALSE)-VLOOKUP(A271,'SegEnds_NonXtal_Prot#'!A:AL,31,FALSE)</f>
        <v>46</v>
      </c>
      <c r="AK271" s="1">
        <f>VLOOKUP(A271,'SegEnds_NonXtal_Prot#'!A:AL,37,FALSE)-VLOOKUP(A271,'SegEnds_NonXtal_Prot#'!A:AL,34,FALSE)</f>
        <v>10</v>
      </c>
      <c r="AL271" s="1" t="str">
        <f>IF(ISERROR(MATCH(A271,'SegEnds_Xtal_Prot#'!B:B, 0)), "NoXtal", "Xtal")</f>
        <v>Xtal</v>
      </c>
    </row>
    <row r="272" spans="1:38" x14ac:dyDescent="0.2">
      <c r="A272" s="1" t="s">
        <v>138</v>
      </c>
      <c r="B272" s="1" t="str">
        <f>VLOOKUP(A272,Xtal_Templ!A:B,2,FALSE)</f>
        <v>aa1r_human</v>
      </c>
      <c r="C272" s="5">
        <f>VLOOKUP($B272&amp;"__wt",'SegEnds_Xtal_BW#'!$A:$Z,3,FALSE)</f>
        <v>29</v>
      </c>
      <c r="D272" s="1">
        <f>VLOOKUP($B272&amp;"__wt",'SegEnds_Xtal_BW#'!$A:$Z,4,FALSE)</f>
        <v>60</v>
      </c>
      <c r="E272" s="1">
        <f>VLOOKUP($B272&amp;"__wt",'SegEnds_Xtal_BW#'!$A:$Z,5,FALSE)</f>
        <v>48</v>
      </c>
      <c r="F272" s="1">
        <f>VLOOKUP($B272&amp;"__wt",'SegEnds_Xtal_BW#'!$A:$Z,6,FALSE)</f>
        <v>51</v>
      </c>
      <c r="G272" s="1">
        <v>37</v>
      </c>
      <c r="H272" s="12">
        <v>66</v>
      </c>
      <c r="I272" s="1">
        <f>VLOOKUP($B272&amp;"__wt",'SegEnds_Xtal_BW#'!$A:$Z,9,FALSE)</f>
        <v>50</v>
      </c>
      <c r="J272" s="1">
        <f>VLOOKUP($B272&amp;"__wt",'SegEnds_Xtal_BW#'!$A:$Z,10,FALSE)</f>
        <v>52</v>
      </c>
      <c r="K272" s="12">
        <v>24</v>
      </c>
      <c r="L272" s="1">
        <f>VLOOKUP($B272&amp;"__wt",'SegEnds_Xtal_BW#'!$A:$Z,12,FALSE)</f>
        <v>56</v>
      </c>
      <c r="M272" s="1">
        <f>VLOOKUP($B272&amp;"__wt",'SegEnds_Xtal_BW#'!$A:$Z,13,FALSE)</f>
        <v>50</v>
      </c>
      <c r="N272" s="12">
        <v>57</v>
      </c>
      <c r="O272" s="87">
        <v>38</v>
      </c>
      <c r="P272" s="1">
        <f>VLOOKUP($B272&amp;"__wt",'SegEnds_Xtal_BW#'!$A:$Z,16,FALSE)</f>
        <v>63</v>
      </c>
      <c r="Q272" s="1">
        <f>VLOOKUP($B272&amp;"__wt",'SegEnds_Xtal_BW#'!$A:$Z,17,FALSE)</f>
        <v>50</v>
      </c>
      <c r="R272" s="1">
        <f>VLOOKUP($B272&amp;"__wt",'SegEnds_Xtal_BW#'!$A:$Z,18,FALSE)</f>
        <v>52</v>
      </c>
      <c r="S272" s="1">
        <f>VLOOKUP($B272&amp;"__wt",'SegEnds_Xtal_BW#'!$A:$Z,19,FALSE)</f>
        <v>34</v>
      </c>
      <c r="T272" s="1">
        <f t="array" ref="T272">INDEX(ICL3_classA!$G$2:$G$39,MATCH(MIN(ABS(AI272-ICL3_classA!$F$2:$F$39)),ABS(AI272-ICL3_classA!$F$2:$F$39),0))</f>
        <v>73</v>
      </c>
      <c r="U272" s="1">
        <f t="array" ref="U272">INDEX(ICL3_classA!$H$2:$H$39,MATCH(MIN(ABS(AI272-ICL3_classA!$F$2:$F$39)),ABS(AI272-ICL3_classA!$F$2:$F$39),0))</f>
        <v>22</v>
      </c>
      <c r="V272" s="1">
        <v>61</v>
      </c>
      <c r="W272" s="1">
        <v>31</v>
      </c>
      <c r="X272" s="1">
        <f>VLOOKUP($B272&amp;"__wt",'SegEnds_Xtal_BW#'!$A:$Z,24,FALSE)</f>
        <v>56</v>
      </c>
      <c r="Y272" s="1">
        <f>VLOOKUP($B272&amp;"__wt",'SegEnds_Xtal_BW#'!$A:$Z,25,FALSE)</f>
        <v>47</v>
      </c>
      <c r="Z272" s="1">
        <f>VLOOKUP($B272&amp;"__wt",'SegEnds_Xtal_BW#'!$A:$Z,26,FALSE)</f>
        <v>69</v>
      </c>
      <c r="AA272" s="27" t="str">
        <f>VLOOKUP(A272,Classification!A:B,2,FALSE)</f>
        <v>A</v>
      </c>
      <c r="AB272" s="1">
        <f>VLOOKUP(A272,'SegEnds_NonXtal_Prot#'!A:AL,10,FALSE)-VLOOKUP(A272,'SegEnds_NonXtal_Prot#'!A:AL,4,FALSE)</f>
        <v>28</v>
      </c>
      <c r="AC272" s="1">
        <f>VLOOKUP(A272,'SegEnds_NonXtal_Prot#'!A:AL,10,FALSE)-VLOOKUP(A272,'SegEnds_NonXtal_Prot#'!A:AL,7,FALSE)</f>
        <v>15</v>
      </c>
      <c r="AD272" s="1">
        <f>VLOOKUP(A272,'SegEnds_NonXtal_Prot#'!A:AL,13,FALSE)-VLOOKUP(A272,'SegEnds_NonXtal_Prot#'!A:AL,10,FALSE)</f>
        <v>18</v>
      </c>
      <c r="AE272" s="1">
        <f>VLOOKUP(A272,'SegEnds_NonXtal_Prot#'!A:AL,16,FALSE)-VLOOKUP(A272,'SegEnds_NonXtal_Prot#'!A:AL,10,FALSE)</f>
        <v>50</v>
      </c>
      <c r="AF272" s="1">
        <f>VLOOKUP(A272,'SegEnds_NonXtal_Prot#'!A:AL,22,FALSE)-VLOOKUP(A272,'SegEnds_NonXtal_Prot#'!A:AL,19,FALSE)</f>
        <v>20</v>
      </c>
      <c r="AG272" s="1">
        <f>VLOOKUP(A272,'SegEnds_NonXtal_Prot#'!A:AL,28,FALSE)-VLOOKUP(A272,'SegEnds_NonXtal_Prot#'!A:AL,25,FALSE)</f>
        <v>23</v>
      </c>
      <c r="AH272" s="1">
        <f>VLOOKUP(A272,'SegEnds_NonXtal_Prot#'!A:AL,28,FALSE)-VLOOKUP(A272,'SegEnds_NonXtal_Prot#'!A:AL,22,FALSE)</f>
        <v>60</v>
      </c>
      <c r="AI272" s="1">
        <f>VLOOKUP(A272,'SegEnds_NonXtal_Prot#'!A:AL,31,FALSE)-VLOOKUP(A272,'SegEnds_NonXtal_Prot#'!A:AL,28,FALSE)</f>
        <v>57</v>
      </c>
      <c r="AJ272" s="1">
        <f>VLOOKUP(A272,'SegEnds_NonXtal_Prot#'!A:AL,34,FALSE)-VLOOKUP(A272,'SegEnds_NonXtal_Prot#'!A:AL,31,FALSE)</f>
        <v>36</v>
      </c>
      <c r="AK272" s="1">
        <f>VLOOKUP(A272,'SegEnds_NonXtal_Prot#'!A:AL,37,FALSE)-VLOOKUP(A272,'SegEnds_NonXtal_Prot#'!A:AL,34,FALSE)</f>
        <v>10</v>
      </c>
      <c r="AL272" s="1" t="str">
        <f>IF(ISERROR(MATCH(A272,'SegEnds_Xtal_Prot#'!B:B, 0)), "NoXtal", "Xtal")</f>
        <v>Xtal</v>
      </c>
    </row>
    <row r="273" spans="1:38" x14ac:dyDescent="0.2">
      <c r="A273" s="1" t="s">
        <v>139</v>
      </c>
      <c r="B273" s="1" t="str">
        <f>VLOOKUP(A273,Xtal_Templ!A:B,2,FALSE)</f>
        <v>aa2ar_human</v>
      </c>
      <c r="C273" s="5">
        <f>VLOOKUP($B273&amp;"__wt",'SegEnds_Xtal_BW#'!$A:$Z,3,FALSE)</f>
        <v>27</v>
      </c>
      <c r="D273" s="1">
        <f>VLOOKUP($B273&amp;"__wt",'SegEnds_Xtal_BW#'!$A:$Z,4,FALSE)</f>
        <v>60</v>
      </c>
      <c r="E273" s="1">
        <f>VLOOKUP($B273&amp;"__wt",'SegEnds_Xtal_BW#'!$A:$Z,5,FALSE)</f>
        <v>48</v>
      </c>
      <c r="F273" s="1">
        <f>VLOOKUP($B273&amp;"__wt",'SegEnds_Xtal_BW#'!$A:$Z,6,FALSE)</f>
        <v>51</v>
      </c>
      <c r="G273" s="1">
        <v>37</v>
      </c>
      <c r="H273" s="12">
        <v>66</v>
      </c>
      <c r="I273" s="1">
        <f>VLOOKUP($B273&amp;"__wt",'SegEnds_Xtal_BW#'!$A:$Z,9,FALSE)</f>
        <v>50</v>
      </c>
      <c r="J273" s="1">
        <f>VLOOKUP($B273&amp;"__wt",'SegEnds_Xtal_BW#'!$A:$Z,10,FALSE)</f>
        <v>52</v>
      </c>
      <c r="K273" s="12">
        <v>24</v>
      </c>
      <c r="L273" s="1">
        <f>VLOOKUP($B273&amp;"__wt",'SegEnds_Xtal_BW#'!$A:$Z,12,FALSE)</f>
        <v>56</v>
      </c>
      <c r="M273" s="1">
        <f>VLOOKUP($B273&amp;"__wt",'SegEnds_Xtal_BW#'!$A:$Z,13,FALSE)</f>
        <v>50</v>
      </c>
      <c r="N273" s="12">
        <f>VLOOKUP($B273&amp;"__wt",'SegEnds_Xtal_BW#'!$A:$Z,14,FALSE)</f>
        <v>57</v>
      </c>
      <c r="O273" s="87">
        <f>VLOOKUP($B273&amp;"__wt",'SegEnds_Xtal_BW#'!$A:$Z,15,FALSE)</f>
        <v>38</v>
      </c>
      <c r="P273" s="1">
        <f>VLOOKUP($B273&amp;"__wt",'SegEnds_Xtal_BW#'!$A:$Z,16,FALSE)</f>
        <v>63</v>
      </c>
      <c r="Q273" s="1">
        <f>VLOOKUP($B273&amp;"__wt",'SegEnds_Xtal_BW#'!$A:$Z,17,FALSE)</f>
        <v>50</v>
      </c>
      <c r="R273" s="1">
        <f>VLOOKUP($B273&amp;"__wt",'SegEnds_Xtal_BW#'!$A:$Z,18,FALSE)</f>
        <v>52</v>
      </c>
      <c r="S273" s="1">
        <f>VLOOKUP($B273&amp;"__wt",'SegEnds_Xtal_BW#'!$A:$Z,19,FALSE)</f>
        <v>34</v>
      </c>
      <c r="T273" s="1">
        <f t="array" ref="T273">INDEX(ICL3_classA!$G$2:$G$39,MATCH(MIN(ABS(AI273-ICL3_classA!$F$2:$F$39)),ABS(AI273-ICL3_classA!$F$2:$F$39),0))</f>
        <v>74</v>
      </c>
      <c r="U273" s="1">
        <f t="array" ref="U273">INDEX(ICL3_classA!$H$2:$H$39,MATCH(MIN(ABS(AI273-ICL3_classA!$F$2:$F$39)),ABS(AI273-ICL3_classA!$F$2:$F$39),0))</f>
        <v>21</v>
      </c>
      <c r="V273" s="1">
        <v>61</v>
      </c>
      <c r="W273" s="1">
        <v>31</v>
      </c>
      <c r="X273" s="1">
        <f>VLOOKUP($B273&amp;"__wt",'SegEnds_Xtal_BW#'!$A:$Z,24,FALSE)</f>
        <v>56</v>
      </c>
      <c r="Y273" s="1">
        <f>VLOOKUP($B273&amp;"__wt",'SegEnds_Xtal_BW#'!$A:$Z,25,FALSE)</f>
        <v>47</v>
      </c>
      <c r="Z273" s="1">
        <f>VLOOKUP($B273&amp;"__wt",'SegEnds_Xtal_BW#'!$A:$Z,26,FALSE)</f>
        <v>69</v>
      </c>
      <c r="AA273" s="27" t="str">
        <f>VLOOKUP(A273,Classification!A:B,2,FALSE)</f>
        <v>A</v>
      </c>
      <c r="AB273" s="1">
        <f>VLOOKUP(A273,'SegEnds_NonXtal_Prot#'!A:AL,10,FALSE)-VLOOKUP(A273,'SegEnds_NonXtal_Prot#'!A:AL,4,FALSE)</f>
        <v>28</v>
      </c>
      <c r="AC273" s="1">
        <f>VLOOKUP(A273,'SegEnds_NonXtal_Prot#'!A:AL,10,FALSE)-VLOOKUP(A273,'SegEnds_NonXtal_Prot#'!A:AL,7,FALSE)</f>
        <v>15</v>
      </c>
      <c r="AD273" s="1">
        <f>VLOOKUP(A273,'SegEnds_NonXtal_Prot#'!A:AL,13,FALSE)-VLOOKUP(A273,'SegEnds_NonXtal_Prot#'!A:AL,10,FALSE)</f>
        <v>18</v>
      </c>
      <c r="AE273" s="1">
        <f>VLOOKUP(A273,'SegEnds_NonXtal_Prot#'!A:AL,16,FALSE)-VLOOKUP(A273,'SegEnds_NonXtal_Prot#'!A:AL,10,FALSE)</f>
        <v>50</v>
      </c>
      <c r="AF273" s="1">
        <f>VLOOKUP(A273,'SegEnds_NonXtal_Prot#'!A:AL,22,FALSE)-VLOOKUP(A273,'SegEnds_NonXtal_Prot#'!A:AL,19,FALSE)</f>
        <v>20</v>
      </c>
      <c r="AG273" s="1">
        <f>VLOOKUP(A273,'SegEnds_NonXtal_Prot#'!A:AL,28,FALSE)-VLOOKUP(A273,'SegEnds_NonXtal_Prot#'!A:AL,25,FALSE)</f>
        <v>23</v>
      </c>
      <c r="AH273" s="1">
        <f>VLOOKUP(A273,'SegEnds_NonXtal_Prot#'!A:AL,28,FALSE)-VLOOKUP(A273,'SegEnds_NonXtal_Prot#'!A:AL,22,FALSE)</f>
        <v>60</v>
      </c>
      <c r="AI273" s="1">
        <f>VLOOKUP(A273,'SegEnds_NonXtal_Prot#'!A:AL,31,FALSE)-VLOOKUP(A273,'SegEnds_NonXtal_Prot#'!A:AL,28,FALSE)</f>
        <v>59</v>
      </c>
      <c r="AJ273" s="1">
        <f>VLOOKUP(A273,'SegEnds_NonXtal_Prot#'!A:AL,34,FALSE)-VLOOKUP(A273,'SegEnds_NonXtal_Prot#'!A:AL,31,FALSE)</f>
        <v>37</v>
      </c>
      <c r="AK273" s="1">
        <f>VLOOKUP(A273,'SegEnds_NonXtal_Prot#'!A:AL,37,FALSE)-VLOOKUP(A273,'SegEnds_NonXtal_Prot#'!A:AL,34,FALSE)</f>
        <v>10</v>
      </c>
      <c r="AL273" s="1" t="str">
        <f>IF(ISERROR(MATCH(A273,'SegEnds_Xtal_Prot#'!B:B, 0)), "NoXtal", "Xtal")</f>
        <v>Xtal</v>
      </c>
    </row>
    <row r="274" spans="1:38" x14ac:dyDescent="0.2">
      <c r="A274" s="1" t="s">
        <v>324</v>
      </c>
      <c r="B274" s="1" t="str">
        <f>VLOOKUP(A274,Xtal_Templ!A:B,2,FALSE)</f>
        <v>npy1r_human</v>
      </c>
      <c r="C274" s="5">
        <f>VLOOKUP($B274&amp;"__wt",'SegEnds_Xtal_BW#'!$A:$Z,3,FALSE)</f>
        <v>28</v>
      </c>
      <c r="D274" s="1">
        <f>VLOOKUP($B274&amp;"__wt",'SegEnds_Xtal_BW#'!$A:$Z,4,FALSE)</f>
        <v>60</v>
      </c>
      <c r="E274" s="1">
        <f>VLOOKUP($B274&amp;"__wt",'SegEnds_Xtal_BW#'!$A:$Z,5,FALSE)</f>
        <v>48</v>
      </c>
      <c r="F274" s="1">
        <f>VLOOKUP($B274&amp;"__wt",'SegEnds_Xtal_BW#'!$A:$Z,6,FALSE)</f>
        <v>51</v>
      </c>
      <c r="G274" s="1">
        <v>37</v>
      </c>
      <c r="H274" s="12">
        <f>VLOOKUP($B274&amp;"__wt",'SegEnds_Xtal_BW#'!$A:$Z,8,FALSE)</f>
        <v>68</v>
      </c>
      <c r="I274" s="1">
        <f>VLOOKUP($B274&amp;"__wt",'SegEnds_Xtal_BW#'!$A:$Z,9,FALSE)</f>
        <v>49</v>
      </c>
      <c r="J274" s="1">
        <f>VLOOKUP($B274&amp;"__wt",'SegEnds_Xtal_BW#'!$A:$Z,10,FALSE)</f>
        <v>52</v>
      </c>
      <c r="K274" s="12">
        <v>18</v>
      </c>
      <c r="L274" s="1">
        <f>VLOOKUP($B274&amp;"__wt",'SegEnds_Xtal_BW#'!$A:$Z,12,FALSE)</f>
        <v>56</v>
      </c>
      <c r="M274" s="1" t="str">
        <f>VLOOKUP($B274&amp;"__wt",'SegEnds_Xtal_BW#'!$A:$Z,13,FALSE)</f>
        <v>-</v>
      </c>
      <c r="N274" s="108" t="s">
        <v>23</v>
      </c>
      <c r="O274" s="87">
        <f>VLOOKUP($B274&amp;"__wt",'SegEnds_Xtal_BW#'!$A:$Z,15,FALSE)</f>
        <v>38</v>
      </c>
      <c r="P274" s="1">
        <f>VLOOKUP($B274&amp;"__wt",'SegEnds_Xtal_BW#'!$A:$Z,16,FALSE)</f>
        <v>64</v>
      </c>
      <c r="Q274" s="1">
        <f>VLOOKUP($B274&amp;"__wt",'SegEnds_Xtal_BW#'!$A:$Z,17,FALSE)</f>
        <v>50</v>
      </c>
      <c r="R274" s="1">
        <f>VLOOKUP($B274&amp;"__wt",'SegEnds_Xtal_BW#'!$A:$Z,18,FALSE)</f>
        <v>52</v>
      </c>
      <c r="S274" s="1">
        <f>VLOOKUP($B274&amp;"__wt",'SegEnds_Xtal_BW#'!$A:$Z,19,FALSE)</f>
        <v>31</v>
      </c>
      <c r="T274" s="1">
        <f t="array" ref="T274">INDEX(ICL3_classA!$G$2:$G$39,MATCH(MIN(ABS(AI274-ICL3_classA!$F$2:$F$39)),ABS(AI274-ICL3_classA!$F$2:$F$39),0))</f>
        <v>73</v>
      </c>
      <c r="U274" s="1">
        <f t="array" ref="U274">INDEX(ICL3_classA!$H$2:$H$39,MATCH(MIN(ABS(AI274-ICL3_classA!$F$2:$F$39)),ABS(AI274-ICL3_classA!$F$2:$F$39),0))</f>
        <v>22</v>
      </c>
      <c r="V274" s="1">
        <v>61</v>
      </c>
      <c r="W274" s="131">
        <f>VLOOKUP($B274&amp;"__wt",'SegEnds_Xtal_BW#'!$A:$Z,23,FALSE)</f>
        <v>28</v>
      </c>
      <c r="X274" s="1">
        <f>VLOOKUP($B274&amp;"__wt",'SegEnds_Xtal_BW#'!$A:$Z,24,FALSE)</f>
        <v>56</v>
      </c>
      <c r="Y274" s="1">
        <f>VLOOKUP($B274&amp;"__wt",'SegEnds_Xtal_BW#'!$A:$Z,25,FALSE)</f>
        <v>47</v>
      </c>
      <c r="Z274" s="1">
        <f>VLOOKUP($B274&amp;"__wt",'SegEnds_Xtal_BW#'!$A:$Z,26,FALSE)</f>
        <v>58</v>
      </c>
      <c r="AA274" s="27" t="str">
        <f>VLOOKUP(A274,Classification!A:B,2,FALSE)</f>
        <v>A</v>
      </c>
      <c r="AB274" s="1">
        <f>VLOOKUP(A274,'SegEnds_NonXtal_Prot#'!A:AL,10,FALSE)-VLOOKUP(A274,'SegEnds_NonXtal_Prot#'!A:AL,4,FALSE)</f>
        <v>28</v>
      </c>
      <c r="AC274" s="1">
        <f>VLOOKUP(A274,'SegEnds_NonXtal_Prot#'!A:AL,10,FALSE)-VLOOKUP(A274,'SegEnds_NonXtal_Prot#'!A:AL,7,FALSE)</f>
        <v>15</v>
      </c>
      <c r="AD274" s="1">
        <f>VLOOKUP(A274,'SegEnds_NonXtal_Prot#'!A:AL,13,FALSE)-VLOOKUP(A274,'SegEnds_NonXtal_Prot#'!A:AL,10,FALSE)</f>
        <v>20</v>
      </c>
      <c r="AE274" s="1">
        <f>VLOOKUP(A274,'SegEnds_NonXtal_Prot#'!A:AL,16,FALSE)-VLOOKUP(A274,'SegEnds_NonXtal_Prot#'!A:AL,10,FALSE)</f>
        <v>52</v>
      </c>
      <c r="AF274" s="1" t="e">
        <f>VLOOKUP(A274,'SegEnds_NonXtal_Prot#'!A:AL,22,FALSE)-VLOOKUP(A274,'SegEnds_NonXtal_Prot#'!A:AL,19,FALSE)</f>
        <v>#VALUE!</v>
      </c>
      <c r="AG274" s="1">
        <f>VLOOKUP(A274,'SegEnds_NonXtal_Prot#'!A:AL,28,FALSE)-VLOOKUP(A274,'SegEnds_NonXtal_Prot#'!A:AL,25,FALSE)</f>
        <v>25</v>
      </c>
      <c r="AH274" s="1">
        <f>VLOOKUP(A274,'SegEnds_NonXtal_Prot#'!A:AL,28,FALSE)-VLOOKUP(A274,'SegEnds_NonXtal_Prot#'!A:AL,22,FALSE)</f>
        <v>60</v>
      </c>
      <c r="AI274" s="1">
        <f>VLOOKUP(A274,'SegEnds_NonXtal_Prot#'!A:AL,31,FALSE)-VLOOKUP(A274,'SegEnds_NonXtal_Prot#'!A:AL,28,FALSE)</f>
        <v>55</v>
      </c>
      <c r="AJ274" s="1">
        <f>VLOOKUP(A274,'SegEnds_NonXtal_Prot#'!A:AL,34,FALSE)-VLOOKUP(A274,'SegEnds_NonXtal_Prot#'!A:AL,31,FALSE)</f>
        <v>39</v>
      </c>
      <c r="AK274" s="1">
        <f>VLOOKUP(A274,'SegEnds_NonXtal_Prot#'!A:AL,37,FALSE)-VLOOKUP(A274,'SegEnds_NonXtal_Prot#'!A:AL,34,FALSE)</f>
        <v>10</v>
      </c>
      <c r="AL274" s="1" t="str">
        <f>IF(ISERROR(MATCH(A274,'SegEnds_Xtal_Prot#'!B:B, 0)), "NoXtal", "Xtal")</f>
        <v>Xtal</v>
      </c>
    </row>
    <row r="275" spans="1:38" x14ac:dyDescent="0.2">
      <c r="A275" s="1" t="s">
        <v>1631</v>
      </c>
      <c r="B275" s="1" t="str">
        <f>VLOOKUP(A275,Xtal_Templ!A:B,2,FALSE)</f>
        <v>aa2ar_human</v>
      </c>
      <c r="C275" s="5">
        <f>VLOOKUP($B275&amp;"__wt",'SegEnds_Xtal_BW#'!$A:$Z,3,FALSE)</f>
        <v>27</v>
      </c>
      <c r="D275" s="1">
        <f>VLOOKUP($B275&amp;"__wt",'SegEnds_Xtal_BW#'!$A:$Z,4,FALSE)</f>
        <v>60</v>
      </c>
      <c r="E275" s="1">
        <f>VLOOKUP($B275&amp;"__wt",'SegEnds_Xtal_BW#'!$A:$Z,5,FALSE)</f>
        <v>48</v>
      </c>
      <c r="F275" s="1">
        <f>VLOOKUP($B275&amp;"__wt",'SegEnds_Xtal_BW#'!$A:$Z,6,FALSE)</f>
        <v>51</v>
      </c>
      <c r="G275" s="1">
        <v>37</v>
      </c>
      <c r="H275" s="108">
        <v>66</v>
      </c>
      <c r="I275" s="1">
        <f>VLOOKUP($B275&amp;"__wt",'SegEnds_Xtal_BW#'!$A:$Z,9,FALSE)</f>
        <v>50</v>
      </c>
      <c r="J275" s="1">
        <f>VLOOKUP($B275&amp;"__wt",'SegEnds_Xtal_BW#'!$A:$Z,10,FALSE)</f>
        <v>52</v>
      </c>
      <c r="K275" s="12">
        <f>VLOOKUP($B275&amp;"__wt",'SegEnds_Xtal_BW#'!$A:$Z,11,FALSE)</f>
        <v>21</v>
      </c>
      <c r="L275" s="1">
        <f>VLOOKUP($B275&amp;"__wt",'SegEnds_Xtal_BW#'!$A:$Z,12,FALSE)</f>
        <v>56</v>
      </c>
      <c r="M275" s="1">
        <f>VLOOKUP($B275&amp;"__wt",'SegEnds_Xtal_BW#'!$A:$Z,13,FALSE)</f>
        <v>50</v>
      </c>
      <c r="N275" s="12">
        <f>VLOOKUP($B275&amp;"__wt",'SegEnds_Xtal_BW#'!$A:$Z,14,FALSE)</f>
        <v>57</v>
      </c>
      <c r="O275" s="87">
        <f>VLOOKUP($B275&amp;"__wt",'SegEnds_Xtal_BW#'!$A:$Z,15,FALSE)</f>
        <v>38</v>
      </c>
      <c r="P275" s="108">
        <v>64</v>
      </c>
      <c r="Q275" s="1">
        <f>VLOOKUP($B275&amp;"__wt",'SegEnds_Xtal_BW#'!$A:$Z,17,FALSE)</f>
        <v>50</v>
      </c>
      <c r="R275" s="1">
        <f>VLOOKUP($B275&amp;"__wt",'SegEnds_Xtal_BW#'!$A:$Z,18,FALSE)</f>
        <v>52</v>
      </c>
      <c r="S275" s="108">
        <v>35</v>
      </c>
      <c r="T275" s="1">
        <f t="array" ref="T275">INDEX(ICL3_classA!$G$2:$G$39,MATCH(MIN(ABS(AI275-ICL3_classA!$F$2:$F$39)),ABS(AI275-ICL3_classA!$F$2:$F$39),0))</f>
        <v>72</v>
      </c>
      <c r="U275" s="1">
        <f t="array" ref="U275">INDEX(ICL3_classA!$H$2:$H$39,MATCH(MIN(ABS(AI275-ICL3_classA!$F$2:$F$39)),ABS(AI275-ICL3_classA!$F$2:$F$39),0))</f>
        <v>23</v>
      </c>
      <c r="V275" s="108">
        <v>54</v>
      </c>
      <c r="W275" s="108">
        <v>32</v>
      </c>
      <c r="X275" s="1">
        <f>VLOOKUP($B275&amp;"__wt",'SegEnds_Xtal_BW#'!$A:$Z,24,FALSE)</f>
        <v>56</v>
      </c>
      <c r="Y275" s="1">
        <f>VLOOKUP($B275&amp;"__wt",'SegEnds_Xtal_BW#'!$A:$Z,25,FALSE)</f>
        <v>47</v>
      </c>
      <c r="Z275" s="1">
        <f>VLOOKUP($B275&amp;"__wt",'SegEnds_Xtal_BW#'!$A:$Z,26,FALSE)</f>
        <v>69</v>
      </c>
      <c r="AA275" s="27" t="str">
        <f>VLOOKUP(A275,Classification!A:B,2,FALSE)</f>
        <v>A</v>
      </c>
      <c r="AB275" s="1">
        <f>VLOOKUP(A275,'SegEnds_NonXtal_Prot#'!A:AL,10,FALSE)-VLOOKUP(A275,'SegEnds_NonXtal_Prot#'!A:AL,4,FALSE)</f>
        <v>28</v>
      </c>
      <c r="AC275" s="1">
        <f>VLOOKUP(A275,'SegEnds_NonXtal_Prot#'!A:AL,10,FALSE)-VLOOKUP(A275,'SegEnds_NonXtal_Prot#'!A:AL,7,FALSE)</f>
        <v>15</v>
      </c>
      <c r="AD275" s="1" t="e">
        <f>VLOOKUP(A275,'SegEnds_NonXtal_Prot#'!A:AL,13,FALSE)-VLOOKUP(A275,'SegEnds_NonXtal_Prot#'!A:AL,10,FALSE)</f>
        <v>#VALUE!</v>
      </c>
      <c r="AE275" s="1">
        <f>VLOOKUP(A275,'SegEnds_NonXtal_Prot#'!A:AL,16,FALSE)-VLOOKUP(A275,'SegEnds_NonXtal_Prot#'!A:AL,10,FALSE)</f>
        <v>52</v>
      </c>
      <c r="AF275" s="1">
        <f>VLOOKUP(A275,'SegEnds_NonXtal_Prot#'!A:AL,22,FALSE)-VLOOKUP(A275,'SegEnds_NonXtal_Prot#'!A:AL,19,FALSE)</f>
        <v>20</v>
      </c>
      <c r="AG275" s="1">
        <f>VLOOKUP(A275,'SegEnds_NonXtal_Prot#'!A:AL,28,FALSE)-VLOOKUP(A275,'SegEnds_NonXtal_Prot#'!A:AL,25,FALSE)</f>
        <v>20</v>
      </c>
      <c r="AH275" s="1">
        <f>VLOOKUP(A275,'SegEnds_NonXtal_Prot#'!A:AL,28,FALSE)-VLOOKUP(A275,'SegEnds_NonXtal_Prot#'!A:AL,22,FALSE)</f>
        <v>60</v>
      </c>
      <c r="AI275" s="1">
        <f>VLOOKUP(A275,'SegEnds_NonXtal_Prot#'!A:AL,31,FALSE)-VLOOKUP(A275,'SegEnds_NonXtal_Prot#'!A:AL,28,FALSE)</f>
        <v>52</v>
      </c>
      <c r="AJ275" s="1">
        <f>VLOOKUP(A275,'SegEnds_NonXtal_Prot#'!A:AL,34,FALSE)-VLOOKUP(A275,'SegEnds_NonXtal_Prot#'!A:AL,31,FALSE)</f>
        <v>24</v>
      </c>
      <c r="AK275" s="1">
        <f>VLOOKUP(A275,'SegEnds_NonXtal_Prot#'!A:AL,37,FALSE)-VLOOKUP(A275,'SegEnds_NonXtal_Prot#'!A:AL,34,FALSE)</f>
        <v>10</v>
      </c>
      <c r="AL275" s="1" t="str">
        <f>IF(ISERROR(MATCH(A275,'SegEnds_Xtal_Prot#'!B:B, 0)), "NoXtal", "Xtal")</f>
        <v>NoXtal</v>
      </c>
    </row>
    <row r="276" spans="1:38" x14ac:dyDescent="0.2">
      <c r="A276" s="1" t="s">
        <v>1636</v>
      </c>
      <c r="B276" s="1" t="str">
        <f>VLOOKUP(A276,Xtal_Templ!A:B,2,FALSE)</f>
        <v>c5ar1_human</v>
      </c>
      <c r="C276" s="5">
        <f>VLOOKUP($B276&amp;"__wt",'SegEnds_Xtal_BW#'!$A:$Z,3,FALSE)</f>
        <v>29</v>
      </c>
      <c r="D276" s="1">
        <f>VLOOKUP($B276&amp;"__wt",'SegEnds_Xtal_BW#'!$A:$Z,4,FALSE)</f>
        <v>60</v>
      </c>
      <c r="E276" s="1" t="str">
        <f>VLOOKUP($B276&amp;"__wt",'SegEnds_Xtal_BW#'!$A:$Z,5,FALSE)</f>
        <v>-</v>
      </c>
      <c r="F276" s="1" t="str">
        <f>VLOOKUP($B276&amp;"__wt",'SegEnds_Xtal_BW#'!$A:$Z,6,FALSE)</f>
        <v>-</v>
      </c>
      <c r="G276" s="1">
        <v>37</v>
      </c>
      <c r="H276" s="108">
        <v>66</v>
      </c>
      <c r="I276" s="1">
        <f>VLOOKUP($B276&amp;"__wt",'SegEnds_Xtal_BW#'!$A:$Z,9,FALSE)</f>
        <v>49</v>
      </c>
      <c r="J276" s="1">
        <f>VLOOKUP($B276&amp;"__wt",'SegEnds_Xtal_BW#'!$A:$Z,10,FALSE)</f>
        <v>52</v>
      </c>
      <c r="K276" s="12">
        <f>VLOOKUP($B276&amp;"__wt",'SegEnds_Xtal_BW#'!$A:$Z,11,FALSE)</f>
        <v>21</v>
      </c>
      <c r="L276" s="1">
        <f>VLOOKUP($B276&amp;"__wt",'SegEnds_Xtal_BW#'!$A:$Z,12,FALSE)</f>
        <v>56</v>
      </c>
      <c r="M276" s="1">
        <f>VLOOKUP($B276&amp;"__wt",'SegEnds_Xtal_BW#'!$A:$Z,13,FALSE)</f>
        <v>50</v>
      </c>
      <c r="N276" s="12">
        <f>VLOOKUP($B276&amp;"__wt",'SegEnds_Xtal_BW#'!$A:$Z,14,FALSE)</f>
        <v>57</v>
      </c>
      <c r="O276" s="87">
        <f>VLOOKUP($B276&amp;"__wt",'SegEnds_Xtal_BW#'!$A:$Z,15,FALSE)</f>
        <v>38</v>
      </c>
      <c r="P276" s="1">
        <f>VLOOKUP($B276&amp;"__wt",'SegEnds_Xtal_BW#'!$A:$Z,16,FALSE)</f>
        <v>64</v>
      </c>
      <c r="Q276" s="1">
        <f>VLOOKUP($B276&amp;"__wt",'SegEnds_Xtal_BW#'!$A:$Z,17,FALSE)</f>
        <v>50</v>
      </c>
      <c r="R276" s="1">
        <f>VLOOKUP($B276&amp;"__wt",'SegEnds_Xtal_BW#'!$A:$Z,18,FALSE)</f>
        <v>52</v>
      </c>
      <c r="S276" s="115">
        <v>35</v>
      </c>
      <c r="T276" s="1">
        <f t="array" ref="T276">INDEX(ICL3_classA!$G$2:$G$39,MATCH(MIN(ABS(AI276-ICL3_classA!$F$2:$F$39)),ABS(AI276-ICL3_classA!$F$2:$F$39),0))</f>
        <v>72</v>
      </c>
      <c r="U276" s="1">
        <f t="array" ref="U276">INDEX(ICL3_classA!$H$2:$H$39,MATCH(MIN(ABS(AI276-ICL3_classA!$F$2:$F$39)),ABS(AI276-ICL3_classA!$F$2:$F$39),0))</f>
        <v>23</v>
      </c>
      <c r="V276" s="108">
        <v>54</v>
      </c>
      <c r="W276" s="108">
        <v>32</v>
      </c>
      <c r="X276" s="1">
        <f>VLOOKUP($B276&amp;"__wt",'SegEnds_Xtal_BW#'!$A:$Z,24,FALSE)</f>
        <v>56</v>
      </c>
      <c r="Y276" s="1">
        <f>VLOOKUP($B276&amp;"__wt",'SegEnds_Xtal_BW#'!$A:$Z,25,FALSE)</f>
        <v>47</v>
      </c>
      <c r="Z276" s="1">
        <f>VLOOKUP($B276&amp;"__wt",'SegEnds_Xtal_BW#'!$A:$Z,26,FALSE)</f>
        <v>56</v>
      </c>
      <c r="AA276" s="27" t="str">
        <f>VLOOKUP(A276,Classification!A:B,2,FALSE)</f>
        <v>A</v>
      </c>
      <c r="AB276" s="1">
        <f>VLOOKUP(A276,'SegEnds_NonXtal_Prot#'!A:AL,10,FALSE)-VLOOKUP(A276,'SegEnds_NonXtal_Prot#'!A:AL,4,FALSE)</f>
        <v>28</v>
      </c>
      <c r="AC276" s="1">
        <f>VLOOKUP(A276,'SegEnds_NonXtal_Prot#'!A:AL,10,FALSE)-VLOOKUP(A276,'SegEnds_NonXtal_Prot#'!A:AL,7,FALSE)</f>
        <v>15</v>
      </c>
      <c r="AD276" s="1" t="e">
        <f>VLOOKUP(A276,'SegEnds_NonXtal_Prot#'!A:AL,13,FALSE)-VLOOKUP(A276,'SegEnds_NonXtal_Prot#'!A:AL,10,FALSE)</f>
        <v>#VALUE!</v>
      </c>
      <c r="AE276" s="1">
        <f>VLOOKUP(A276,'SegEnds_NonXtal_Prot#'!A:AL,16,FALSE)-VLOOKUP(A276,'SegEnds_NonXtal_Prot#'!A:AL,10,FALSE)</f>
        <v>52</v>
      </c>
      <c r="AF276" s="1">
        <f>VLOOKUP(A276,'SegEnds_NonXtal_Prot#'!A:AL,22,FALSE)-VLOOKUP(A276,'SegEnds_NonXtal_Prot#'!A:AL,19,FALSE)</f>
        <v>20</v>
      </c>
      <c r="AG276" s="1">
        <f>VLOOKUP(A276,'SegEnds_NonXtal_Prot#'!A:AL,28,FALSE)-VLOOKUP(A276,'SegEnds_NonXtal_Prot#'!A:AL,25,FALSE)</f>
        <v>21</v>
      </c>
      <c r="AH276" s="1">
        <f>VLOOKUP(A276,'SegEnds_NonXtal_Prot#'!A:AL,28,FALSE)-VLOOKUP(A276,'SegEnds_NonXtal_Prot#'!A:AL,22,FALSE)</f>
        <v>61</v>
      </c>
      <c r="AI276" s="1">
        <f>VLOOKUP(A276,'SegEnds_NonXtal_Prot#'!A:AL,31,FALSE)-VLOOKUP(A276,'SegEnds_NonXtal_Prot#'!A:AL,28,FALSE)</f>
        <v>52</v>
      </c>
      <c r="AJ276" s="1">
        <f>VLOOKUP(A276,'SegEnds_NonXtal_Prot#'!A:AL,34,FALSE)-VLOOKUP(A276,'SegEnds_NonXtal_Prot#'!A:AL,31,FALSE)</f>
        <v>25</v>
      </c>
      <c r="AK276" s="1">
        <f>VLOOKUP(A276,'SegEnds_NonXtal_Prot#'!A:AL,37,FALSE)-VLOOKUP(A276,'SegEnds_NonXtal_Prot#'!A:AL,34,FALSE)</f>
        <v>10</v>
      </c>
      <c r="AL276" s="1" t="str">
        <f>IF(ISERROR(MATCH(A276,'SegEnds_Xtal_Prot#'!B:B, 0)), "NoXtal", "Xtal")</f>
        <v>NoXtal</v>
      </c>
    </row>
    <row r="277" spans="1:38" s="12" customFormat="1" x14ac:dyDescent="0.2">
      <c r="A277" s="1" t="s">
        <v>1634</v>
      </c>
      <c r="B277" s="1" t="str">
        <f>VLOOKUP(A277,Xtal_Templ!A:B,2,FALSE)</f>
        <v>ccr2_human</v>
      </c>
      <c r="C277" s="5">
        <f>VLOOKUP($B277&amp;"__wt",'SegEnds_Xtal_BW#'!$A:$Z,3,FALSE)</f>
        <v>27</v>
      </c>
      <c r="D277" s="1">
        <f>VLOOKUP($B277&amp;"__wt",'SegEnds_Xtal_BW#'!$A:$Z,4,FALSE)</f>
        <v>60</v>
      </c>
      <c r="E277" s="1">
        <f>VLOOKUP($B277&amp;"__wt",'SegEnds_Xtal_BW#'!$A:$Z,5,FALSE)</f>
        <v>48</v>
      </c>
      <c r="F277" s="1">
        <f>VLOOKUP($B277&amp;"__wt",'SegEnds_Xtal_BW#'!$A:$Z,6,FALSE)</f>
        <v>51</v>
      </c>
      <c r="G277" s="1">
        <v>37</v>
      </c>
      <c r="H277" s="108">
        <v>66</v>
      </c>
      <c r="I277" s="1">
        <f>VLOOKUP($B277&amp;"__wt",'SegEnds_Xtal_BW#'!$A:$Z,9,FALSE)</f>
        <v>49</v>
      </c>
      <c r="J277" s="1">
        <f>VLOOKUP($B277&amp;"__wt",'SegEnds_Xtal_BW#'!$A:$Z,10,FALSE)</f>
        <v>52</v>
      </c>
      <c r="K277" s="12">
        <f>VLOOKUP($B277&amp;"__wt",'SegEnds_Xtal_BW#'!$A:$Z,11,FALSE)</f>
        <v>21</v>
      </c>
      <c r="L277" s="1">
        <f>VLOOKUP($B277&amp;"__wt",'SegEnds_Xtal_BW#'!$A:$Z,12,FALSE)</f>
        <v>56</v>
      </c>
      <c r="M277" s="1">
        <f>VLOOKUP($B277&amp;"__wt",'SegEnds_Xtal_BW#'!$A:$Z,13,FALSE)</f>
        <v>50</v>
      </c>
      <c r="N277" s="12">
        <f>VLOOKUP($B277&amp;"__wt",'SegEnds_Xtal_BW#'!$A:$Z,14,FALSE)</f>
        <v>57</v>
      </c>
      <c r="O277" s="87">
        <f>VLOOKUP($B277&amp;"__wt",'SegEnds_Xtal_BW#'!$A:$Z,15,FALSE)</f>
        <v>38</v>
      </c>
      <c r="P277" s="1">
        <f>VLOOKUP($B277&amp;"__wt",'SegEnds_Xtal_BW#'!$A:$Z,16,FALSE)</f>
        <v>64</v>
      </c>
      <c r="Q277" s="1">
        <f>VLOOKUP($B277&amp;"__wt",'SegEnds_Xtal_BW#'!$A:$Z,17,FALSE)</f>
        <v>50</v>
      </c>
      <c r="R277" s="1">
        <f>VLOOKUP($B277&amp;"__wt",'SegEnds_Xtal_BW#'!$A:$Z,18,FALSE)</f>
        <v>52</v>
      </c>
      <c r="S277" s="108">
        <v>35</v>
      </c>
      <c r="T277" s="1">
        <f t="array" ref="T277">INDEX(ICL3_classA!$G$2:$G$39,MATCH(MIN(ABS(AI277-ICL3_classA!$F$2:$F$39)),ABS(AI277-ICL3_classA!$F$2:$F$39),0))</f>
        <v>72</v>
      </c>
      <c r="U277" s="1">
        <f t="array" ref="U277">INDEX(ICL3_classA!$H$2:$H$39,MATCH(MIN(ABS(AI277-ICL3_classA!$F$2:$F$39)),ABS(AI277-ICL3_classA!$F$2:$F$39),0))</f>
        <v>24</v>
      </c>
      <c r="V277" s="108">
        <v>54</v>
      </c>
      <c r="W277" s="108">
        <v>32</v>
      </c>
      <c r="X277" s="1">
        <f>VLOOKUP($B277&amp;"__wt",'SegEnds_Xtal_BW#'!$A:$Z,24,FALSE)</f>
        <v>56</v>
      </c>
      <c r="Y277" s="1">
        <f>VLOOKUP($B277&amp;"__wt",'SegEnds_Xtal_BW#'!$A:$Z,25,FALSE)</f>
        <v>47</v>
      </c>
      <c r="Z277" s="1">
        <f>VLOOKUP($B277&amp;"__wt",'SegEnds_Xtal_BW#'!$A:$Z,26,FALSE)</f>
        <v>58</v>
      </c>
      <c r="AA277" s="27" t="str">
        <f>VLOOKUP(A277,Classification!A:B,2,FALSE)</f>
        <v>A</v>
      </c>
      <c r="AB277" s="1">
        <f>VLOOKUP(A277,'SegEnds_NonXtal_Prot#'!A:AL,10,FALSE)-VLOOKUP(A277,'SegEnds_NonXtal_Prot#'!A:AL,4,FALSE)</f>
        <v>28</v>
      </c>
      <c r="AC277" s="1">
        <f>VLOOKUP(A277,'SegEnds_NonXtal_Prot#'!A:AL,10,FALSE)-VLOOKUP(A277,'SegEnds_NonXtal_Prot#'!A:AL,7,FALSE)</f>
        <v>15</v>
      </c>
      <c r="AD277" s="1" t="e">
        <f>VLOOKUP(A277,'SegEnds_NonXtal_Prot#'!A:AL,13,FALSE)-VLOOKUP(A277,'SegEnds_NonXtal_Prot#'!A:AL,10,FALSE)</f>
        <v>#VALUE!</v>
      </c>
      <c r="AE277" s="1">
        <f>VLOOKUP(A277,'SegEnds_NonXtal_Prot#'!A:AL,16,FALSE)-VLOOKUP(A277,'SegEnds_NonXtal_Prot#'!A:AL,10,FALSE)</f>
        <v>52</v>
      </c>
      <c r="AF277" s="1">
        <f>VLOOKUP(A277,'SegEnds_NonXtal_Prot#'!A:AL,22,FALSE)-VLOOKUP(A277,'SegEnds_NonXtal_Prot#'!A:AL,19,FALSE)</f>
        <v>20</v>
      </c>
      <c r="AG277" s="1">
        <f>VLOOKUP(A277,'SegEnds_NonXtal_Prot#'!A:AL,28,FALSE)-VLOOKUP(A277,'SegEnds_NonXtal_Prot#'!A:AL,25,FALSE)</f>
        <v>21</v>
      </c>
      <c r="AH277" s="1">
        <f>VLOOKUP(A277,'SegEnds_NonXtal_Prot#'!A:AL,28,FALSE)-VLOOKUP(A277,'SegEnds_NonXtal_Prot#'!A:AL,22,FALSE)</f>
        <v>61</v>
      </c>
      <c r="AI277" s="1">
        <f>VLOOKUP(A277,'SegEnds_NonXtal_Prot#'!A:AL,31,FALSE)-VLOOKUP(A277,'SegEnds_NonXtal_Prot#'!A:AL,28,FALSE)</f>
        <v>53</v>
      </c>
      <c r="AJ277" s="1">
        <f>VLOOKUP(A277,'SegEnds_NonXtal_Prot#'!A:AL,34,FALSE)-VLOOKUP(A277,'SegEnds_NonXtal_Prot#'!A:AL,31,FALSE)</f>
        <v>24</v>
      </c>
      <c r="AK277" s="1">
        <f>VLOOKUP(A277,'SegEnds_NonXtal_Prot#'!A:AL,37,FALSE)-VLOOKUP(A277,'SegEnds_NonXtal_Prot#'!A:AL,34,FALSE)</f>
        <v>10</v>
      </c>
      <c r="AL277" s="1" t="str">
        <f>IF(ISERROR(MATCH(A277,'SegEnds_Xtal_Prot#'!B:B, 0)), "NoXtal", "Xtal")</f>
        <v>NoXtal</v>
      </c>
    </row>
    <row r="278" spans="1:38" s="12" customFormat="1" x14ac:dyDescent="0.2">
      <c r="A278" s="1" t="s">
        <v>250</v>
      </c>
      <c r="B278" s="1" t="str">
        <f>VLOOKUP(A278,Xtal_Templ!A:B,2,FALSE)</f>
        <v>fpr2_human</v>
      </c>
      <c r="C278" s="5">
        <f>VLOOKUP($B278&amp;"__wt",'SegEnds_Xtal_BW#'!$A:$Z,3,FALSE)</f>
        <v>25</v>
      </c>
      <c r="D278" s="1">
        <f>VLOOKUP($B278&amp;"__wt",'SegEnds_Xtal_BW#'!$A:$Z,4,FALSE)</f>
        <v>61</v>
      </c>
      <c r="E278" s="1" t="str">
        <f>VLOOKUP($B278&amp;"__wt",'SegEnds_Xtal_BW#'!$A:$Z,5,FALSE)</f>
        <v>-</v>
      </c>
      <c r="F278" s="1" t="str">
        <f>VLOOKUP($B278&amp;"__wt",'SegEnds_Xtal_BW#'!$A:$Z,6,FALSE)</f>
        <v>-</v>
      </c>
      <c r="G278" s="1">
        <v>37</v>
      </c>
      <c r="H278" s="12">
        <v>66</v>
      </c>
      <c r="I278" s="1">
        <f>VLOOKUP($B278&amp;"__wt",'SegEnds_Xtal_BW#'!$A:$Z,9,FALSE)</f>
        <v>49</v>
      </c>
      <c r="J278" s="1">
        <f>VLOOKUP($B278&amp;"__wt",'SegEnds_Xtal_BW#'!$A:$Z,10,FALSE)</f>
        <v>52</v>
      </c>
      <c r="K278" s="12">
        <v>21</v>
      </c>
      <c r="L278" s="1">
        <f>VLOOKUP($B278&amp;"__wt",'SegEnds_Xtal_BW#'!$A:$Z,12,FALSE)</f>
        <v>56</v>
      </c>
      <c r="M278" s="1">
        <f>VLOOKUP($B278&amp;"__wt",'SegEnds_Xtal_BW#'!$A:$Z,13,FALSE)</f>
        <v>50</v>
      </c>
      <c r="N278" s="12">
        <v>57</v>
      </c>
      <c r="O278" s="87">
        <v>38</v>
      </c>
      <c r="P278" s="1">
        <f>VLOOKUP($B278&amp;"__wt",'SegEnds_Xtal_BW#'!$A:$Z,16,FALSE)</f>
        <v>64</v>
      </c>
      <c r="Q278" s="1">
        <f>VLOOKUP($B278&amp;"__wt",'SegEnds_Xtal_BW#'!$A:$Z,17,FALSE)</f>
        <v>50</v>
      </c>
      <c r="R278" s="1">
        <f>VLOOKUP($B278&amp;"__wt",'SegEnds_Xtal_BW#'!$A:$Z,18,FALSE)</f>
        <v>52</v>
      </c>
      <c r="S278" s="1">
        <f>VLOOKUP($B278&amp;"__wt",'SegEnds_Xtal_BW#'!$A:$Z,19,FALSE)</f>
        <v>23</v>
      </c>
      <c r="T278" s="1">
        <f t="array" ref="T278">INDEX(ICL3_classA!$G$2:$G$39,MATCH(MIN(ABS(AI278-ICL3_classA!$F$2:$F$39)),ABS(AI278-ICL3_classA!$F$2:$F$39),0))</f>
        <v>68</v>
      </c>
      <c r="U278" s="1">
        <f t="array" ref="U278">INDEX(ICL3_classA!$H$2:$H$39,MATCH(MIN(ABS(AI278-ICL3_classA!$F$2:$F$39)),ABS(AI278-ICL3_classA!$F$2:$F$39),0))</f>
        <v>30</v>
      </c>
      <c r="V278" s="1">
        <v>61</v>
      </c>
      <c r="W278" s="1">
        <v>28</v>
      </c>
      <c r="X278" s="1">
        <f>VLOOKUP($B278&amp;"__wt",'SegEnds_Xtal_BW#'!$A:$Z,24,FALSE)</f>
        <v>56</v>
      </c>
      <c r="Y278" s="1">
        <f>VLOOKUP($B278&amp;"__wt",'SegEnds_Xtal_BW#'!$A:$Z,25,FALSE)</f>
        <v>47</v>
      </c>
      <c r="Z278" s="1">
        <f>VLOOKUP($B278&amp;"__wt",'SegEnds_Xtal_BW#'!$A:$Z,26,FALSE)</f>
        <v>58</v>
      </c>
      <c r="AA278" s="27" t="str">
        <f>VLOOKUP(A278,Classification!A:B,2,FALSE)</f>
        <v>A</v>
      </c>
      <c r="AB278" s="1">
        <f>VLOOKUP(A278,'SegEnds_NonXtal_Prot#'!A:AL,10,FALSE)-VLOOKUP(A278,'SegEnds_NonXtal_Prot#'!A:AL,4,FALSE)</f>
        <v>27</v>
      </c>
      <c r="AC278" s="1" t="e">
        <f>VLOOKUP(A278,'SegEnds_NonXtal_Prot#'!A:AL,10,FALSE)-VLOOKUP(A278,'SegEnds_NonXtal_Prot#'!A:AL,7,FALSE)</f>
        <v>#VALUE!</v>
      </c>
      <c r="AD278" s="1">
        <f>VLOOKUP(A278,'SegEnds_NonXtal_Prot#'!A:AL,13,FALSE)-VLOOKUP(A278,'SegEnds_NonXtal_Prot#'!A:AL,10,FALSE)</f>
        <v>19</v>
      </c>
      <c r="AE278" s="1">
        <f>VLOOKUP(A278,'SegEnds_NonXtal_Prot#'!A:AL,16,FALSE)-VLOOKUP(A278,'SegEnds_NonXtal_Prot#'!A:AL,10,FALSE)</f>
        <v>51</v>
      </c>
      <c r="AF278" s="1">
        <f>VLOOKUP(A278,'SegEnds_NonXtal_Prot#'!A:AL,22,FALSE)-VLOOKUP(A278,'SegEnds_NonXtal_Prot#'!A:AL,19,FALSE)</f>
        <v>20</v>
      </c>
      <c r="AG278" s="1">
        <f>VLOOKUP(A278,'SegEnds_NonXtal_Prot#'!A:AL,28,FALSE)-VLOOKUP(A278,'SegEnds_NonXtal_Prot#'!A:AL,25,FALSE)</f>
        <v>37</v>
      </c>
      <c r="AH278" s="1">
        <f>VLOOKUP(A278,'SegEnds_NonXtal_Prot#'!A:AL,28,FALSE)-VLOOKUP(A278,'SegEnds_NonXtal_Prot#'!A:AL,22,FALSE)</f>
        <v>62</v>
      </c>
      <c r="AI278" s="1">
        <f>VLOOKUP(A278,'SegEnds_NonXtal_Prot#'!A:AL,31,FALSE)-VLOOKUP(A278,'SegEnds_NonXtal_Prot#'!A:AL,28,FALSE)</f>
        <v>43</v>
      </c>
      <c r="AJ278" s="1">
        <f>VLOOKUP(A278,'SegEnds_NonXtal_Prot#'!A:AL,34,FALSE)-VLOOKUP(A278,'SegEnds_NonXtal_Prot#'!A:AL,31,FALSE)</f>
        <v>42</v>
      </c>
      <c r="AK278" s="1">
        <f>VLOOKUP(A278,'SegEnds_NonXtal_Prot#'!A:AL,37,FALSE)-VLOOKUP(A278,'SegEnds_NonXtal_Prot#'!A:AL,34,FALSE)</f>
        <v>10</v>
      </c>
      <c r="AL278" s="1" t="str">
        <f>IF(ISERROR(MATCH(A278,'SegEnds_Xtal_Prot#'!B:B, 0)), "NoXtal", "Xtal")</f>
        <v>NoXtal</v>
      </c>
    </row>
    <row r="279" spans="1:38" s="12" customFormat="1" x14ac:dyDescent="0.2">
      <c r="A279" s="1" t="s">
        <v>321</v>
      </c>
      <c r="B279" s="1" t="str">
        <f>VLOOKUP(A279,Xtal_Templ!A:B,2,FALSE)</f>
        <v>ox1r_human</v>
      </c>
      <c r="C279" s="5">
        <f>VLOOKUP($B279&amp;"__wt",'SegEnds_Xtal_BW#'!$A:$Z,3,FALSE)</f>
        <v>32</v>
      </c>
      <c r="D279" s="1">
        <f>VLOOKUP($B279&amp;"__wt",'SegEnds_Xtal_BW#'!$A:$Z,4,FALSE)</f>
        <v>60</v>
      </c>
      <c r="E279" s="1">
        <f>VLOOKUP($B279&amp;"__wt",'SegEnds_Xtal_BW#'!$A:$Z,5,FALSE)</f>
        <v>48</v>
      </c>
      <c r="F279" s="1">
        <f>VLOOKUP($B279&amp;"__wt",'SegEnds_Xtal_BW#'!$A:$Z,6,FALSE)</f>
        <v>51</v>
      </c>
      <c r="G279" s="1">
        <v>37</v>
      </c>
      <c r="H279" s="12">
        <f>VLOOKUP($B279&amp;"__wt",'SegEnds_Xtal_BW#'!$A:$Z,8,FALSE)</f>
        <v>68</v>
      </c>
      <c r="I279" s="1">
        <f>VLOOKUP($B279&amp;"__wt",'SegEnds_Xtal_BW#'!$A:$Z,9,FALSE)</f>
        <v>49</v>
      </c>
      <c r="J279" s="1">
        <f>VLOOKUP($B279&amp;"__wt",'SegEnds_Xtal_BW#'!$A:$Z,10,FALSE)</f>
        <v>52</v>
      </c>
      <c r="K279" s="12">
        <v>18</v>
      </c>
      <c r="L279" s="1">
        <f>VLOOKUP($B279&amp;"__wt",'SegEnds_Xtal_BW#'!$A:$Z,12,FALSE)</f>
        <v>56</v>
      </c>
      <c r="M279" s="1">
        <f>VLOOKUP($B279&amp;"__wt",'SegEnds_Xtal_BW#'!$A:$Z,13,FALSE)</f>
        <v>50</v>
      </c>
      <c r="N279" s="12">
        <v>56</v>
      </c>
      <c r="O279" s="87">
        <f>VLOOKUP($B279&amp;"__wt",'SegEnds_Xtal_BW#'!$A:$Z,15,FALSE)</f>
        <v>38</v>
      </c>
      <c r="P279" s="1">
        <f>VLOOKUP($B279&amp;"__wt",'SegEnds_Xtal_BW#'!$A:$Z,16,FALSE)</f>
        <v>64</v>
      </c>
      <c r="Q279" s="1">
        <f>VLOOKUP($B279&amp;"__wt",'SegEnds_Xtal_BW#'!$A:$Z,17,FALSE)</f>
        <v>50</v>
      </c>
      <c r="R279" s="1">
        <f>VLOOKUP($B279&amp;"__wt",'SegEnds_Xtal_BW#'!$A:$Z,18,FALSE)</f>
        <v>52</v>
      </c>
      <c r="S279" s="1">
        <f>VLOOKUP($B279&amp;"__wt",'SegEnds_Xtal_BW#'!$A:$Z,19,FALSE)</f>
        <v>33</v>
      </c>
      <c r="T279" s="1">
        <f t="array" ref="T279">INDEX(ICL3_classA!$G$2:$G$39,MATCH(MIN(ABS(AI279-ICL3_classA!$F$2:$F$39)),ABS(AI279-ICL3_classA!$F$2:$F$39),0))</f>
        <v>73</v>
      </c>
      <c r="U279" s="1">
        <f t="array" ref="U279">INDEX(ICL3_classA!$H$2:$H$39,MATCH(MIN(ABS(AI279-ICL3_classA!$F$2:$F$39)),ABS(AI279-ICL3_classA!$F$2:$F$39),0))</f>
        <v>22</v>
      </c>
      <c r="V279" s="1">
        <v>61</v>
      </c>
      <c r="W279" s="1">
        <v>28</v>
      </c>
      <c r="X279" s="1">
        <f>VLOOKUP($B279&amp;"__wt",'SegEnds_Xtal_BW#'!$A:$Z,24,FALSE)</f>
        <v>56</v>
      </c>
      <c r="Y279" s="1">
        <f>VLOOKUP($B279&amp;"__wt",'SegEnds_Xtal_BW#'!$A:$Z,25,FALSE)</f>
        <v>47</v>
      </c>
      <c r="Z279" s="1">
        <f>VLOOKUP($B279&amp;"__wt",'SegEnds_Xtal_BW#'!$A:$Z,26,FALSE)</f>
        <v>63</v>
      </c>
      <c r="AA279" s="27" t="str">
        <f>VLOOKUP(A279,Classification!A:B,2,FALSE)</f>
        <v>A</v>
      </c>
      <c r="AB279" s="1">
        <f>VLOOKUP(A279,'SegEnds_NonXtal_Prot#'!A:AL,10,FALSE)-VLOOKUP(A279,'SegEnds_NonXtal_Prot#'!A:AL,4,FALSE)</f>
        <v>28</v>
      </c>
      <c r="AC279" s="1">
        <f>VLOOKUP(A279,'SegEnds_NonXtal_Prot#'!A:AL,10,FALSE)-VLOOKUP(A279,'SegEnds_NonXtal_Prot#'!A:AL,7,FALSE)</f>
        <v>15</v>
      </c>
      <c r="AD279" s="1">
        <f>VLOOKUP(A279,'SegEnds_NonXtal_Prot#'!A:AL,13,FALSE)-VLOOKUP(A279,'SegEnds_NonXtal_Prot#'!A:AL,10,FALSE)</f>
        <v>20</v>
      </c>
      <c r="AE279" s="1">
        <f>VLOOKUP(A279,'SegEnds_NonXtal_Prot#'!A:AL,16,FALSE)-VLOOKUP(A279,'SegEnds_NonXtal_Prot#'!A:AL,10,FALSE)</f>
        <v>52</v>
      </c>
      <c r="AF279" s="1" t="e">
        <f>VLOOKUP(A279,'SegEnds_NonXtal_Prot#'!A:AL,22,FALSE)-VLOOKUP(A279,'SegEnds_NonXtal_Prot#'!A:AL,19,FALSE)</f>
        <v>#VALUE!</v>
      </c>
      <c r="AG279" s="1">
        <f>VLOOKUP(A279,'SegEnds_NonXtal_Prot#'!A:AL,28,FALSE)-VLOOKUP(A279,'SegEnds_NonXtal_Prot#'!A:AL,25,FALSE)</f>
        <v>25</v>
      </c>
      <c r="AH279" s="1">
        <f>VLOOKUP(A279,'SegEnds_NonXtal_Prot#'!A:AL,28,FALSE)-VLOOKUP(A279,'SegEnds_NonXtal_Prot#'!A:AL,22,FALSE)</f>
        <v>62</v>
      </c>
      <c r="AI279" s="1">
        <f>VLOOKUP(A279,'SegEnds_NonXtal_Prot#'!A:AL,31,FALSE)-VLOOKUP(A279,'SegEnds_NonXtal_Prot#'!A:AL,28,FALSE)</f>
        <v>57</v>
      </c>
      <c r="AJ279" s="1">
        <f>VLOOKUP(A279,'SegEnds_NonXtal_Prot#'!A:AL,34,FALSE)-VLOOKUP(A279,'SegEnds_NonXtal_Prot#'!A:AL,31,FALSE)</f>
        <v>41</v>
      </c>
      <c r="AK279" s="1">
        <f>VLOOKUP(A279,'SegEnds_NonXtal_Prot#'!A:AL,37,FALSE)-VLOOKUP(A279,'SegEnds_NonXtal_Prot#'!A:AL,34,FALSE)</f>
        <v>10</v>
      </c>
      <c r="AL279" s="1" t="str">
        <f>IF(ISERROR(MATCH(A279,'SegEnds_Xtal_Prot#'!B:B, 0)), "NoXtal", "Xtal")</f>
        <v>NoXtal</v>
      </c>
    </row>
    <row r="280" spans="1:38" s="12" customFormat="1" x14ac:dyDescent="0.2">
      <c r="A280" s="1" t="s">
        <v>326</v>
      </c>
      <c r="B280" s="1" t="str">
        <f>VLOOKUP(A280,Xtal_Templ!A:B,2,FALSE)</f>
        <v>npy1r_human</v>
      </c>
      <c r="C280" s="5">
        <f>VLOOKUP($B280&amp;"__wt",'SegEnds_Xtal_BW#'!$A:$Z,3,FALSE)</f>
        <v>28</v>
      </c>
      <c r="D280" s="1">
        <f>VLOOKUP($B280&amp;"__wt",'SegEnds_Xtal_BW#'!$A:$Z,4,FALSE)</f>
        <v>60</v>
      </c>
      <c r="E280" s="1">
        <f>VLOOKUP($B280&amp;"__wt",'SegEnds_Xtal_BW#'!$A:$Z,5,FALSE)</f>
        <v>48</v>
      </c>
      <c r="F280" s="1">
        <f>VLOOKUP($B280&amp;"__wt",'SegEnds_Xtal_BW#'!$A:$Z,6,FALSE)</f>
        <v>51</v>
      </c>
      <c r="G280" s="1">
        <v>37</v>
      </c>
      <c r="H280" s="12">
        <f>VLOOKUP($B280&amp;"__wt",'SegEnds_Xtal_BW#'!$A:$Z,8,FALSE)</f>
        <v>68</v>
      </c>
      <c r="I280" s="1">
        <f>VLOOKUP($B280&amp;"__wt",'SegEnds_Xtal_BW#'!$A:$Z,9,FALSE)</f>
        <v>49</v>
      </c>
      <c r="J280" s="1">
        <f>VLOOKUP($B280&amp;"__wt",'SegEnds_Xtal_BW#'!$A:$Z,10,FALSE)</f>
        <v>52</v>
      </c>
      <c r="K280" s="12">
        <v>18</v>
      </c>
      <c r="L280" s="1">
        <f>VLOOKUP($B280&amp;"__wt",'SegEnds_Xtal_BW#'!$A:$Z,12,FALSE)</f>
        <v>56</v>
      </c>
      <c r="M280" s="1" t="str">
        <f>VLOOKUP($B280&amp;"__wt",'SegEnds_Xtal_BW#'!$A:$Z,13,FALSE)</f>
        <v>-</v>
      </c>
      <c r="N280" s="108" t="s">
        <v>23</v>
      </c>
      <c r="O280" s="87">
        <f>VLOOKUP($B280&amp;"__wt",'SegEnds_Xtal_BW#'!$A:$Z,15,FALSE)</f>
        <v>38</v>
      </c>
      <c r="P280" s="1">
        <f>VLOOKUP($B280&amp;"__wt",'SegEnds_Xtal_BW#'!$A:$Z,16,FALSE)</f>
        <v>64</v>
      </c>
      <c r="Q280" s="1">
        <f>VLOOKUP($B280&amp;"__wt",'SegEnds_Xtal_BW#'!$A:$Z,17,FALSE)</f>
        <v>50</v>
      </c>
      <c r="R280" s="1">
        <f>VLOOKUP($B280&amp;"__wt",'SegEnds_Xtal_BW#'!$A:$Z,18,FALSE)</f>
        <v>52</v>
      </c>
      <c r="S280" s="1">
        <f>VLOOKUP($B280&amp;"__wt",'SegEnds_Xtal_BW#'!$A:$Z,19,FALSE)</f>
        <v>31</v>
      </c>
      <c r="T280" s="1">
        <f t="array" ref="T280">INDEX(ICL3_classA!$G$2:$G$39,MATCH(MIN(ABS(AI280-ICL3_classA!$F$2:$F$39)),ABS(AI280-ICL3_classA!$F$2:$F$39),0))</f>
        <v>72</v>
      </c>
      <c r="U280" s="1">
        <f t="array" ref="U280">INDEX(ICL3_classA!$H$2:$H$39,MATCH(MIN(ABS(AI280-ICL3_classA!$F$2:$F$39)),ABS(AI280-ICL3_classA!$F$2:$F$39),0))</f>
        <v>24</v>
      </c>
      <c r="V280" s="1">
        <v>61</v>
      </c>
      <c r="W280" s="131">
        <f>VLOOKUP($B280&amp;"__wt",'SegEnds_Xtal_BW#'!$A:$Z,23,FALSE)</f>
        <v>28</v>
      </c>
      <c r="X280" s="1">
        <f>VLOOKUP($B280&amp;"__wt",'SegEnds_Xtal_BW#'!$A:$Z,24,FALSE)</f>
        <v>56</v>
      </c>
      <c r="Y280" s="1">
        <f>VLOOKUP($B280&amp;"__wt",'SegEnds_Xtal_BW#'!$A:$Z,25,FALSE)</f>
        <v>47</v>
      </c>
      <c r="Z280" s="1">
        <f>VLOOKUP($B280&amp;"__wt",'SegEnds_Xtal_BW#'!$A:$Z,26,FALSE)</f>
        <v>58</v>
      </c>
      <c r="AA280" s="27" t="str">
        <f>VLOOKUP(A280,Classification!A:B,2,FALSE)</f>
        <v>A</v>
      </c>
      <c r="AB280" s="1">
        <f>VLOOKUP(A280,'SegEnds_NonXtal_Prot#'!A:AL,10,FALSE)-VLOOKUP(A280,'SegEnds_NonXtal_Prot#'!A:AL,4,FALSE)</f>
        <v>28</v>
      </c>
      <c r="AC280" s="1">
        <f>VLOOKUP(A280,'SegEnds_NonXtal_Prot#'!A:AL,10,FALSE)-VLOOKUP(A280,'SegEnds_NonXtal_Prot#'!A:AL,7,FALSE)</f>
        <v>15</v>
      </c>
      <c r="AD280" s="1">
        <f>VLOOKUP(A280,'SegEnds_NonXtal_Prot#'!A:AL,13,FALSE)-VLOOKUP(A280,'SegEnds_NonXtal_Prot#'!A:AL,10,FALSE)</f>
        <v>20</v>
      </c>
      <c r="AE280" s="1">
        <f>VLOOKUP(A280,'SegEnds_NonXtal_Prot#'!A:AL,16,FALSE)-VLOOKUP(A280,'SegEnds_NonXtal_Prot#'!A:AL,10,FALSE)</f>
        <v>52</v>
      </c>
      <c r="AF280" s="1" t="e">
        <f>VLOOKUP(A280,'SegEnds_NonXtal_Prot#'!A:AL,22,FALSE)-VLOOKUP(A280,'SegEnds_NonXtal_Prot#'!A:AL,19,FALSE)</f>
        <v>#VALUE!</v>
      </c>
      <c r="AG280" s="1">
        <f>VLOOKUP(A280,'SegEnds_NonXtal_Prot#'!A:AL,28,FALSE)-VLOOKUP(A280,'SegEnds_NonXtal_Prot#'!A:AL,25,FALSE)</f>
        <v>25</v>
      </c>
      <c r="AH280" s="1">
        <f>VLOOKUP(A280,'SegEnds_NonXtal_Prot#'!A:AL,28,FALSE)-VLOOKUP(A280,'SegEnds_NonXtal_Prot#'!A:AL,22,FALSE)</f>
        <v>62</v>
      </c>
      <c r="AI280" s="1">
        <f>VLOOKUP(A280,'SegEnds_NonXtal_Prot#'!A:AL,31,FALSE)-VLOOKUP(A280,'SegEnds_NonXtal_Prot#'!A:AL,28,FALSE)</f>
        <v>54</v>
      </c>
      <c r="AJ280" s="1">
        <f>VLOOKUP(A280,'SegEnds_NonXtal_Prot#'!A:AL,34,FALSE)-VLOOKUP(A280,'SegEnds_NonXtal_Prot#'!A:AL,31,FALSE)</f>
        <v>39</v>
      </c>
      <c r="AK280" s="1">
        <f>VLOOKUP(A280,'SegEnds_NonXtal_Prot#'!A:AL,37,FALSE)-VLOOKUP(A280,'SegEnds_NonXtal_Prot#'!A:AL,34,FALSE)</f>
        <v>10</v>
      </c>
      <c r="AL280" s="1" t="str">
        <f>IF(ISERROR(MATCH(A280,'SegEnds_Xtal_Prot#'!B:B, 0)), "NoXtal", "Xtal")</f>
        <v>NoXtal</v>
      </c>
    </row>
    <row r="281" spans="1:38" x14ac:dyDescent="0.2">
      <c r="A281" s="1" t="s">
        <v>328</v>
      </c>
      <c r="B281" s="1" t="str">
        <f>VLOOKUP(A281,Xtal_Templ!A:B,2,FALSE)</f>
        <v>npy1r_human</v>
      </c>
      <c r="C281" s="5">
        <f>VLOOKUP($B281&amp;"__wt",'SegEnds_Xtal_BW#'!$A:$Z,3,FALSE)</f>
        <v>28</v>
      </c>
      <c r="D281" s="1">
        <f>VLOOKUP($B281&amp;"__wt",'SegEnds_Xtal_BW#'!$A:$Z,4,FALSE)</f>
        <v>60</v>
      </c>
      <c r="E281" s="1">
        <f>VLOOKUP($B281&amp;"__wt",'SegEnds_Xtal_BW#'!$A:$Z,5,FALSE)</f>
        <v>48</v>
      </c>
      <c r="F281" s="1">
        <f>VLOOKUP($B281&amp;"__wt",'SegEnds_Xtal_BW#'!$A:$Z,6,FALSE)</f>
        <v>51</v>
      </c>
      <c r="G281" s="1">
        <v>37</v>
      </c>
      <c r="H281" s="12">
        <f>VLOOKUP($B281&amp;"__wt",'SegEnds_Xtal_BW#'!$A:$Z,8,FALSE)</f>
        <v>68</v>
      </c>
      <c r="I281" s="1">
        <f>VLOOKUP($B281&amp;"__wt",'SegEnds_Xtal_BW#'!$A:$Z,9,FALSE)</f>
        <v>49</v>
      </c>
      <c r="J281" s="1">
        <f>VLOOKUP($B281&amp;"__wt",'SegEnds_Xtal_BW#'!$A:$Z,10,FALSE)</f>
        <v>52</v>
      </c>
      <c r="K281" s="12">
        <v>18</v>
      </c>
      <c r="L281" s="1">
        <f>VLOOKUP($B281&amp;"__wt",'SegEnds_Xtal_BW#'!$A:$Z,12,FALSE)</f>
        <v>56</v>
      </c>
      <c r="M281" s="1" t="str">
        <f>VLOOKUP($B281&amp;"__wt",'SegEnds_Xtal_BW#'!$A:$Z,13,FALSE)</f>
        <v>-</v>
      </c>
      <c r="N281" s="12" t="str">
        <f>VLOOKUP($B281&amp;"__wt",'SegEnds_Xtal_BW#'!$A:$Z,14,FALSE)</f>
        <v>-</v>
      </c>
      <c r="O281" s="87">
        <f>VLOOKUP($B281&amp;"__wt",'SegEnds_Xtal_BW#'!$A:$Z,15,FALSE)</f>
        <v>38</v>
      </c>
      <c r="P281" s="1">
        <f>VLOOKUP($B281&amp;"__wt",'SegEnds_Xtal_BW#'!$A:$Z,16,FALSE)</f>
        <v>64</v>
      </c>
      <c r="Q281" s="1">
        <f>VLOOKUP($B281&amp;"__wt",'SegEnds_Xtal_BW#'!$A:$Z,17,FALSE)</f>
        <v>50</v>
      </c>
      <c r="R281" s="1">
        <f>VLOOKUP($B281&amp;"__wt",'SegEnds_Xtal_BW#'!$A:$Z,18,FALSE)</f>
        <v>52</v>
      </c>
      <c r="S281" s="1">
        <f>VLOOKUP($B281&amp;"__wt",'SegEnds_Xtal_BW#'!$A:$Z,19,FALSE)</f>
        <v>31</v>
      </c>
      <c r="T281" s="1">
        <f t="array" ref="T281">INDEX(ICL3_classA!$G$2:$G$39,MATCH(MIN(ABS(AI281-ICL3_classA!$F$2:$F$39)),ABS(AI281-ICL3_classA!$F$2:$F$39),0))</f>
        <v>73</v>
      </c>
      <c r="U281" s="1">
        <f t="array" ref="U281">INDEX(ICL3_classA!$H$2:$H$39,MATCH(MIN(ABS(AI281-ICL3_classA!$F$2:$F$39)),ABS(AI281-ICL3_classA!$F$2:$F$39),0))</f>
        <v>22</v>
      </c>
      <c r="V281" s="1">
        <v>61</v>
      </c>
      <c r="W281" s="1">
        <v>24</v>
      </c>
      <c r="X281" s="1">
        <f>VLOOKUP($B281&amp;"__wt",'SegEnds_Xtal_BW#'!$A:$Z,24,FALSE)</f>
        <v>56</v>
      </c>
      <c r="Y281" s="1">
        <f>VLOOKUP($B281&amp;"__wt",'SegEnds_Xtal_BW#'!$A:$Z,25,FALSE)</f>
        <v>47</v>
      </c>
      <c r="Z281" s="1">
        <f>VLOOKUP($B281&amp;"__wt",'SegEnds_Xtal_BW#'!$A:$Z,26,FALSE)</f>
        <v>58</v>
      </c>
      <c r="AA281" s="27" t="str">
        <f>VLOOKUP(A281,Classification!A:B,2,FALSE)</f>
        <v>A</v>
      </c>
      <c r="AB281" s="1">
        <f>VLOOKUP(A281,'SegEnds_NonXtal_Prot#'!A:AL,10,FALSE)-VLOOKUP(A281,'SegEnds_NonXtal_Prot#'!A:AL,4,FALSE)</f>
        <v>29</v>
      </c>
      <c r="AC281" s="1">
        <f>VLOOKUP(A281,'SegEnds_NonXtal_Prot#'!A:AL,10,FALSE)-VLOOKUP(A281,'SegEnds_NonXtal_Prot#'!A:AL,7,FALSE)</f>
        <v>15</v>
      </c>
      <c r="AD281" s="1">
        <f>VLOOKUP(A281,'SegEnds_NonXtal_Prot#'!A:AL,13,FALSE)-VLOOKUP(A281,'SegEnds_NonXtal_Prot#'!A:AL,10,FALSE)</f>
        <v>20</v>
      </c>
      <c r="AE281" s="1">
        <f>VLOOKUP(A281,'SegEnds_NonXtal_Prot#'!A:AL,16,FALSE)-VLOOKUP(A281,'SegEnds_NonXtal_Prot#'!A:AL,10,FALSE)</f>
        <v>52</v>
      </c>
      <c r="AF281" s="1" t="e">
        <f>VLOOKUP(A281,'SegEnds_NonXtal_Prot#'!A:AL,22,FALSE)-VLOOKUP(A281,'SegEnds_NonXtal_Prot#'!A:AL,19,FALSE)</f>
        <v>#VALUE!</v>
      </c>
      <c r="AG281" s="1" t="e">
        <f>VLOOKUP(A281,'SegEnds_NonXtal_Prot#'!A:AL,28,FALSE)-VLOOKUP(A281,'SegEnds_NonXtal_Prot#'!A:AL,25,FALSE)</f>
        <v>#VALUE!</v>
      </c>
      <c r="AH281" s="1">
        <f>VLOOKUP(A281,'SegEnds_NonXtal_Prot#'!A:AL,28,FALSE)-VLOOKUP(A281,'SegEnds_NonXtal_Prot#'!A:AL,22,FALSE)</f>
        <v>62</v>
      </c>
      <c r="AI281" s="1">
        <f>VLOOKUP(A281,'SegEnds_NonXtal_Prot#'!A:AL,31,FALSE)-VLOOKUP(A281,'SegEnds_NonXtal_Prot#'!A:AL,28,FALSE)</f>
        <v>55</v>
      </c>
      <c r="AJ281" s="1" t="e">
        <f>VLOOKUP(A281,'SegEnds_NonXtal_Prot#'!A:AL,34,FALSE)-VLOOKUP(A281,'SegEnds_NonXtal_Prot#'!A:AL,31,FALSE)</f>
        <v>#VALUE!</v>
      </c>
      <c r="AK281" s="1" t="e">
        <f>VLOOKUP(A281,'SegEnds_NonXtal_Prot#'!A:AL,37,FALSE)-VLOOKUP(A281,'SegEnds_NonXtal_Prot#'!A:AL,34,FALSE)</f>
        <v>#VALUE!</v>
      </c>
      <c r="AL281" s="1" t="str">
        <f>IF(ISERROR(MATCH(A281,'SegEnds_Xtal_Prot#'!B:B, 0)), "NoXtal", "Xtal")</f>
        <v>NoXtal</v>
      </c>
    </row>
    <row r="282" spans="1:38" x14ac:dyDescent="0.2">
      <c r="A282" s="1" t="s">
        <v>359</v>
      </c>
      <c r="B282" s="1" t="str">
        <f>VLOOKUP(A282,Xtal_Templ!A:B,2,FALSE)</f>
        <v>pd2r2_human</v>
      </c>
      <c r="C282" s="5">
        <f>VLOOKUP($B282&amp;"__wt",'SegEnds_Xtal_BW#'!$A:$Z,3,FALSE)</f>
        <v>32</v>
      </c>
      <c r="D282" s="1">
        <f>VLOOKUP($B282&amp;"__wt",'SegEnds_Xtal_BW#'!$A:$Z,4,FALSE)</f>
        <v>60</v>
      </c>
      <c r="E282" s="1" t="str">
        <f>VLOOKUP($B282&amp;"__wt",'SegEnds_Xtal_BW#'!$A:$Z,5,FALSE)</f>
        <v>-</v>
      </c>
      <c r="F282" s="1" t="str">
        <f>VLOOKUP($B282&amp;"__wt",'SegEnds_Xtal_BW#'!$A:$Z,6,FALSE)</f>
        <v>-</v>
      </c>
      <c r="G282" s="1">
        <v>37</v>
      </c>
      <c r="H282" s="12">
        <f>VLOOKUP($B282&amp;"__wt",'SegEnds_Xtal_BW#'!$A:$Z,8,FALSE)</f>
        <v>67</v>
      </c>
      <c r="I282" s="1">
        <f>VLOOKUP($B282&amp;"__wt",'SegEnds_Xtal_BW#'!$A:$Z,9,FALSE)</f>
        <v>49</v>
      </c>
      <c r="J282" s="1">
        <f>VLOOKUP($B282&amp;"__wt",'SegEnds_Xtal_BW#'!$A:$Z,10,FALSE)</f>
        <v>52</v>
      </c>
      <c r="K282" s="12">
        <v>18</v>
      </c>
      <c r="L282" s="1">
        <f>VLOOKUP($B282&amp;"__wt",'SegEnds_Xtal_BW#'!$A:$Z,12,FALSE)</f>
        <v>56</v>
      </c>
      <c r="M282" s="1">
        <f>VLOOKUP($B282&amp;"__wt",'SegEnds_Xtal_BW#'!$A:$Z,13,FALSE)</f>
        <v>50</v>
      </c>
      <c r="N282" s="12">
        <v>57</v>
      </c>
      <c r="O282" s="87">
        <f>VLOOKUP($B282&amp;"__wt",'SegEnds_Xtal_BW#'!$A:$Z,15,FALSE)</f>
        <v>38</v>
      </c>
      <c r="P282" s="1">
        <f>VLOOKUP($B282&amp;"__wt",'SegEnds_Xtal_BW#'!$A:$Z,16,FALSE)</f>
        <v>64</v>
      </c>
      <c r="Q282" s="1">
        <f>VLOOKUP($B282&amp;"__wt",'SegEnds_Xtal_BW#'!$A:$Z,17,FALSE)</f>
        <v>50</v>
      </c>
      <c r="R282" s="1">
        <f>VLOOKUP($B282&amp;"__wt",'SegEnds_Xtal_BW#'!$A:$Z,18,FALSE)</f>
        <v>52</v>
      </c>
      <c r="S282" s="1">
        <f>VLOOKUP($B282&amp;"__wt",'SegEnds_Xtal_BW#'!$A:$Z,19,FALSE)</f>
        <v>26</v>
      </c>
      <c r="T282" s="1">
        <f t="array" ref="T282">INDEX(ICL3_classA!$G$2:$G$39,MATCH(MIN(ABS(AI282-ICL3_classA!$F$2:$F$39)),ABS(AI282-ICL3_classA!$F$2:$F$39),0))</f>
        <v>68</v>
      </c>
      <c r="U282" s="1">
        <f t="array" ref="U282">INDEX(ICL3_classA!$H$2:$H$39,MATCH(MIN(ABS(AI282-ICL3_classA!$F$2:$F$39)),ABS(AI282-ICL3_classA!$F$2:$F$39),0))</f>
        <v>30</v>
      </c>
      <c r="V282" s="1">
        <v>61</v>
      </c>
      <c r="W282" s="108">
        <v>27</v>
      </c>
      <c r="X282" s="124">
        <f>VLOOKUP($B282&amp;"__wt",'SegEnds_Xtal_BW#'!$A:$Z,24,FALSE)</f>
        <v>56</v>
      </c>
      <c r="Y282" s="1">
        <f>VLOOKUP($B282&amp;"__wt",'SegEnds_Xtal_BW#'!$A:$Z,25,FALSE)</f>
        <v>47</v>
      </c>
      <c r="Z282" s="1">
        <f>VLOOKUP($B282&amp;"__wt",'SegEnds_Xtal_BW#'!$A:$Z,26,FALSE)</f>
        <v>64</v>
      </c>
      <c r="AA282" s="27" t="str">
        <f>VLOOKUP(A282,Classification!A:B,2,FALSE)</f>
        <v>A</v>
      </c>
      <c r="AB282" s="1">
        <f>VLOOKUP(A282,'SegEnds_NonXtal_Prot#'!A:AL,10,FALSE)-VLOOKUP(A282,'SegEnds_NonXtal_Prot#'!A:AL,4,FALSE)</f>
        <v>27</v>
      </c>
      <c r="AC282" s="1" t="e">
        <f>VLOOKUP(A282,'SegEnds_NonXtal_Prot#'!A:AL,10,FALSE)-VLOOKUP(A282,'SegEnds_NonXtal_Prot#'!A:AL,7,FALSE)</f>
        <v>#VALUE!</v>
      </c>
      <c r="AD282" s="1">
        <f>VLOOKUP(A282,'SegEnds_NonXtal_Prot#'!A:AL,13,FALSE)-VLOOKUP(A282,'SegEnds_NonXtal_Prot#'!A:AL,10,FALSE)</f>
        <v>20</v>
      </c>
      <c r="AE282" s="1">
        <f>VLOOKUP(A282,'SegEnds_NonXtal_Prot#'!A:AL,16,FALSE)-VLOOKUP(A282,'SegEnds_NonXtal_Prot#'!A:AL,10,FALSE)</f>
        <v>52</v>
      </c>
      <c r="AF282" s="1">
        <f>VLOOKUP(A282,'SegEnds_NonXtal_Prot#'!A:AL,22,FALSE)-VLOOKUP(A282,'SegEnds_NonXtal_Prot#'!A:AL,19,FALSE)</f>
        <v>20</v>
      </c>
      <c r="AG282" s="1">
        <f>VLOOKUP(A282,'SegEnds_NonXtal_Prot#'!A:AL,28,FALSE)-VLOOKUP(A282,'SegEnds_NonXtal_Prot#'!A:AL,25,FALSE)</f>
        <v>36</v>
      </c>
      <c r="AH282" s="1">
        <f>VLOOKUP(A282,'SegEnds_NonXtal_Prot#'!A:AL,28,FALSE)-VLOOKUP(A282,'SegEnds_NonXtal_Prot#'!A:AL,22,FALSE)</f>
        <v>62</v>
      </c>
      <c r="AI282" s="1">
        <f>VLOOKUP(A282,'SegEnds_NonXtal_Prot#'!A:AL,31,FALSE)-VLOOKUP(A282,'SegEnds_NonXtal_Prot#'!A:AL,28,FALSE)</f>
        <v>43</v>
      </c>
      <c r="AJ282" s="1">
        <f>VLOOKUP(A282,'SegEnds_NonXtal_Prot#'!A:AL,34,FALSE)-VLOOKUP(A282,'SegEnds_NonXtal_Prot#'!A:AL,31,FALSE)</f>
        <v>40</v>
      </c>
      <c r="AK282" s="1">
        <f>VLOOKUP(A282,'SegEnds_NonXtal_Prot#'!A:AL,37,FALSE)-VLOOKUP(A282,'SegEnds_NonXtal_Prot#'!A:AL,34,FALSE)</f>
        <v>10</v>
      </c>
      <c r="AL282" s="1" t="str">
        <f>IF(ISERROR(MATCH(A282,'SegEnds_Xtal_Prot#'!B:B, 0)), "NoXtal", "Xtal")</f>
        <v>Xtal</v>
      </c>
    </row>
    <row r="283" spans="1:38" x14ac:dyDescent="0.2">
      <c r="A283" s="1" t="s">
        <v>1166</v>
      </c>
      <c r="B283" s="1" t="str">
        <f>VLOOKUP(A283,Xtal_Templ!A:B,2,FALSE)</f>
        <v>ffar1_human</v>
      </c>
      <c r="C283" s="5">
        <f>VLOOKUP($B283&amp;"__wt",'SegEnds_Xtal_BW#'!$A:$Z,3,FALSE)</f>
        <v>31</v>
      </c>
      <c r="D283" s="1">
        <f>VLOOKUP($B283&amp;"__wt",'SegEnds_Xtal_BW#'!$A:$Z,4,FALSE)</f>
        <v>64</v>
      </c>
      <c r="E283" s="1" t="str">
        <f>VLOOKUP($B283&amp;"__wt",'SegEnds_Xtal_BW#'!$A:$Z,5,FALSE)</f>
        <v>-</v>
      </c>
      <c r="F283" s="1" t="str">
        <f>VLOOKUP($B283&amp;"__wt",'SegEnds_Xtal_BW#'!$A:$Z,6,FALSE)</f>
        <v>-</v>
      </c>
      <c r="G283" s="1">
        <v>37</v>
      </c>
      <c r="H283" s="12">
        <f>VLOOKUP($B283&amp;"__wt",'SegEnds_Xtal_BW#'!$A:$Z,8,FALSE)</f>
        <v>67</v>
      </c>
      <c r="I283" s="1">
        <f>VLOOKUP($B283&amp;"__wt",'SegEnds_Xtal_BW#'!$A:$Z,9,FALSE)</f>
        <v>49</v>
      </c>
      <c r="J283" s="1">
        <f>VLOOKUP($B283&amp;"__wt",'SegEnds_Xtal_BW#'!$A:$Z,10,FALSE)</f>
        <v>52</v>
      </c>
      <c r="K283" s="12">
        <v>18</v>
      </c>
      <c r="L283" s="1">
        <f>VLOOKUP($B283&amp;"__wt",'SegEnds_Xtal_BW#'!$A:$Z,12,FALSE)</f>
        <v>56</v>
      </c>
      <c r="M283" s="1">
        <f>VLOOKUP($B283&amp;"__wt",'SegEnds_Xtal_BW#'!$A:$Z,13,FALSE)</f>
        <v>50</v>
      </c>
      <c r="N283" s="12">
        <f>VLOOKUP($B283&amp;"__wt",'SegEnds_Xtal_BW#'!$A:$Z,14,FALSE)</f>
        <v>57</v>
      </c>
      <c r="O283" s="87">
        <f>VLOOKUP($B283&amp;"__wt",'SegEnds_Xtal_BW#'!$A:$Z,15,FALSE)</f>
        <v>38</v>
      </c>
      <c r="P283" s="1">
        <f>VLOOKUP($B283&amp;"__wt",'SegEnds_Xtal_BW#'!$A:$Z,16,FALSE)</f>
        <v>65</v>
      </c>
      <c r="Q283" s="1">
        <f>VLOOKUP($B283&amp;"__wt",'SegEnds_Xtal_BW#'!$A:$Z,17,FALSE)</f>
        <v>50</v>
      </c>
      <c r="R283" s="1">
        <f>VLOOKUP($B283&amp;"__wt",'SegEnds_Xtal_BW#'!$A:$Z,18,FALSE)</f>
        <v>52</v>
      </c>
      <c r="S283" s="1">
        <f>VLOOKUP($B283&amp;"__wt",'SegEnds_Xtal_BW#'!$A:$Z,19,FALSE)</f>
        <v>31</v>
      </c>
      <c r="T283" s="1">
        <f t="array" ref="T283">INDEX(ICL3_classA!$G$2:$G$39,MATCH(MIN(ABS(AI283-ICL3_classA!$F$2:$F$39)),ABS(AI283-ICL3_classA!$F$2:$F$39),0))</f>
        <v>67</v>
      </c>
      <c r="U283" s="1">
        <f t="array" ref="U283">INDEX(ICL3_classA!$H$2:$H$39,MATCH(MIN(ABS(AI283-ICL3_classA!$F$2:$F$39)),ABS(AI283-ICL3_classA!$F$2:$F$39),0))</f>
        <v>28</v>
      </c>
      <c r="V283" s="1">
        <v>61</v>
      </c>
      <c r="W283" s="1">
        <v>32</v>
      </c>
      <c r="X283" s="1">
        <f>VLOOKUP($B283&amp;"__wt",'SegEnds_Xtal_BW#'!$A:$Z,24,FALSE)</f>
        <v>56</v>
      </c>
      <c r="Y283" s="1">
        <f>VLOOKUP($B283&amp;"__wt",'SegEnds_Xtal_BW#'!$A:$Z,25,FALSE)</f>
        <v>47</v>
      </c>
      <c r="Z283" s="1">
        <f>VLOOKUP($B283&amp;"__wt",'SegEnds_Xtal_BW#'!$A:$Z,26,FALSE)</f>
        <v>61</v>
      </c>
      <c r="AA283" s="27" t="str">
        <f>VLOOKUP(A283,Classification!A:B,2,FALSE)</f>
        <v>A</v>
      </c>
      <c r="AB283" s="1">
        <f>VLOOKUP(A283,'SegEnds_NonXtal_Prot#'!A:AL,10,FALSE)-VLOOKUP(A283,'SegEnds_NonXtal_Prot#'!A:AL,4,FALSE)</f>
        <v>29</v>
      </c>
      <c r="AC283" s="1" t="e">
        <f>VLOOKUP(A283,'SegEnds_NonXtal_Prot#'!A:AL,10,FALSE)-VLOOKUP(A283,'SegEnds_NonXtal_Prot#'!A:AL,7,FALSE)</f>
        <v>#VALUE!</v>
      </c>
      <c r="AD283" s="1">
        <f>VLOOKUP(A283,'SegEnds_NonXtal_Prot#'!A:AL,13,FALSE)-VLOOKUP(A283,'SegEnds_NonXtal_Prot#'!A:AL,10,FALSE)</f>
        <v>20</v>
      </c>
      <c r="AE283" s="1">
        <f>VLOOKUP(A283,'SegEnds_NonXtal_Prot#'!A:AL,16,FALSE)-VLOOKUP(A283,'SegEnds_NonXtal_Prot#'!A:AL,10,FALSE)</f>
        <v>52</v>
      </c>
      <c r="AF283" s="1">
        <f>VLOOKUP(A283,'SegEnds_NonXtal_Prot#'!A:AL,22,FALSE)-VLOOKUP(A283,'SegEnds_NonXtal_Prot#'!A:AL,19,FALSE)</f>
        <v>20</v>
      </c>
      <c r="AG283" s="1">
        <f>VLOOKUP(A283,'SegEnds_NonXtal_Prot#'!A:AL,28,FALSE)-VLOOKUP(A283,'SegEnds_NonXtal_Prot#'!A:AL,25,FALSE)</f>
        <v>24</v>
      </c>
      <c r="AH283" s="1">
        <f>VLOOKUP(A283,'SegEnds_NonXtal_Prot#'!A:AL,28,FALSE)-VLOOKUP(A283,'SegEnds_NonXtal_Prot#'!A:AL,22,FALSE)</f>
        <v>63</v>
      </c>
      <c r="AI283" s="1">
        <f>VLOOKUP(A283,'SegEnds_NonXtal_Prot#'!A:AL,31,FALSE)-VLOOKUP(A283,'SegEnds_NonXtal_Prot#'!A:AL,28,FALSE)</f>
        <v>45</v>
      </c>
      <c r="AJ283" s="1">
        <f>VLOOKUP(A283,'SegEnds_NonXtal_Prot#'!A:AL,34,FALSE)-VLOOKUP(A283,'SegEnds_NonXtal_Prot#'!A:AL,31,FALSE)</f>
        <v>34</v>
      </c>
      <c r="AK283" s="1">
        <f>VLOOKUP(A283,'SegEnds_NonXtal_Prot#'!A:AL,37,FALSE)-VLOOKUP(A283,'SegEnds_NonXtal_Prot#'!A:AL,34,FALSE)</f>
        <v>10</v>
      </c>
      <c r="AL283" s="1" t="str">
        <f>IF(ISERROR(MATCH(A283,'SegEnds_Xtal_Prot#'!B:B, 0)), "NoXtal", "Xtal")</f>
        <v>Xtal</v>
      </c>
    </row>
    <row r="284" spans="1:38" x14ac:dyDescent="0.2">
      <c r="A284" s="1" t="s">
        <v>200</v>
      </c>
      <c r="B284" s="1" t="str">
        <f>VLOOKUP(A284,Xtal_Templ!A:B,2,FALSE)</f>
        <v>fpr2_human</v>
      </c>
      <c r="C284" s="5">
        <f>VLOOKUP($B284&amp;"__wt",'SegEnds_Xtal_BW#'!$A:$Z,3,FALSE)</f>
        <v>25</v>
      </c>
      <c r="D284" s="1">
        <f>VLOOKUP($B284&amp;"__wt",'SegEnds_Xtal_BW#'!$A:$Z,4,FALSE)</f>
        <v>61</v>
      </c>
      <c r="E284" s="1" t="str">
        <f>VLOOKUP($B284&amp;"__wt",'SegEnds_Xtal_BW#'!$A:$Z,5,FALSE)</f>
        <v>-</v>
      </c>
      <c r="F284" s="1" t="str">
        <f>VLOOKUP($B284&amp;"__wt",'SegEnds_Xtal_BW#'!$A:$Z,6,FALSE)</f>
        <v>-</v>
      </c>
      <c r="G284" s="1">
        <v>37</v>
      </c>
      <c r="H284" s="12">
        <f>VLOOKUP($B284&amp;"__wt",'SegEnds_Xtal_BW#'!$A:$Z,8,FALSE)</f>
        <v>67</v>
      </c>
      <c r="I284" s="1">
        <f>VLOOKUP($B284&amp;"__wt",'SegEnds_Xtal_BW#'!$A:$Z,9,FALSE)</f>
        <v>49</v>
      </c>
      <c r="J284" s="1">
        <f>VLOOKUP($B284&amp;"__wt",'SegEnds_Xtal_BW#'!$A:$Z,10,FALSE)</f>
        <v>52</v>
      </c>
      <c r="K284" s="12">
        <v>18</v>
      </c>
      <c r="L284" s="1">
        <f>VLOOKUP($B284&amp;"__wt",'SegEnds_Xtal_BW#'!$A:$Z,12,FALSE)</f>
        <v>56</v>
      </c>
      <c r="M284" s="1">
        <f>VLOOKUP($B284&amp;"__wt",'SegEnds_Xtal_BW#'!$A:$Z,13,FALSE)</f>
        <v>50</v>
      </c>
      <c r="N284" s="12">
        <v>57</v>
      </c>
      <c r="O284" s="87">
        <v>38</v>
      </c>
      <c r="P284" s="1">
        <f>VLOOKUP($B284&amp;"__wt",'SegEnds_Xtal_BW#'!$A:$Z,16,FALSE)</f>
        <v>64</v>
      </c>
      <c r="Q284" s="1">
        <f>VLOOKUP($B284&amp;"__wt",'SegEnds_Xtal_BW#'!$A:$Z,17,FALSE)</f>
        <v>50</v>
      </c>
      <c r="R284" s="1">
        <f>VLOOKUP($B284&amp;"__wt",'SegEnds_Xtal_BW#'!$A:$Z,18,FALSE)</f>
        <v>52</v>
      </c>
      <c r="S284" s="1">
        <f>VLOOKUP($B284&amp;"__wt",'SegEnds_Xtal_BW#'!$A:$Z,19,FALSE)</f>
        <v>23</v>
      </c>
      <c r="T284" s="1">
        <f t="array" ref="T284">INDEX(ICL3_classA!$G$2:$G$39,MATCH(MIN(ABS(AI284-ICL3_classA!$F$2:$F$39)),ABS(AI284-ICL3_classA!$F$2:$F$39),0))</f>
        <v>68</v>
      </c>
      <c r="U284" s="1">
        <f t="array" ref="U284">INDEX(ICL3_classA!$H$2:$H$39,MATCH(MIN(ABS(AI284-ICL3_classA!$F$2:$F$39)),ABS(AI284-ICL3_classA!$F$2:$F$39),0))</f>
        <v>30</v>
      </c>
      <c r="V284" s="1">
        <v>61</v>
      </c>
      <c r="W284" s="1">
        <v>28</v>
      </c>
      <c r="X284" s="1">
        <f>VLOOKUP($B284&amp;"__wt",'SegEnds_Xtal_BW#'!$A:$Z,24,FALSE)</f>
        <v>56</v>
      </c>
      <c r="Y284" s="1">
        <f>VLOOKUP($B284&amp;"__wt",'SegEnds_Xtal_BW#'!$A:$Z,25,FALSE)</f>
        <v>47</v>
      </c>
      <c r="Z284" s="1">
        <f>VLOOKUP($B284&amp;"__wt",'SegEnds_Xtal_BW#'!$A:$Z,26,FALSE)</f>
        <v>58</v>
      </c>
      <c r="AA284" s="27" t="str">
        <f>VLOOKUP(A284,Classification!A:B,2,FALSE)</f>
        <v>A</v>
      </c>
      <c r="AB284" s="1">
        <f>VLOOKUP(A284,'SegEnds_NonXtal_Prot#'!A:AL,10,FALSE)-VLOOKUP(A284,'SegEnds_NonXtal_Prot#'!A:AL,4,FALSE)</f>
        <v>27</v>
      </c>
      <c r="AC284" s="1" t="e">
        <f>VLOOKUP(A284,'SegEnds_NonXtal_Prot#'!A:AL,10,FALSE)-VLOOKUP(A284,'SegEnds_NonXtal_Prot#'!A:AL,7,FALSE)</f>
        <v>#VALUE!</v>
      </c>
      <c r="AD284" s="1">
        <f>VLOOKUP(A284,'SegEnds_NonXtal_Prot#'!A:AL,13,FALSE)-VLOOKUP(A284,'SegEnds_NonXtal_Prot#'!A:AL,10,FALSE)</f>
        <v>20</v>
      </c>
      <c r="AE284" s="1">
        <f>VLOOKUP(A284,'SegEnds_NonXtal_Prot#'!A:AL,16,FALSE)-VLOOKUP(A284,'SegEnds_NonXtal_Prot#'!A:AL,10,FALSE)</f>
        <v>52</v>
      </c>
      <c r="AF284" s="1">
        <f>VLOOKUP(A284,'SegEnds_NonXtal_Prot#'!A:AL,22,FALSE)-VLOOKUP(A284,'SegEnds_NonXtal_Prot#'!A:AL,19,FALSE)</f>
        <v>20</v>
      </c>
      <c r="AG284" s="1">
        <f>VLOOKUP(A284,'SegEnds_NonXtal_Prot#'!A:AL,28,FALSE)-VLOOKUP(A284,'SegEnds_NonXtal_Prot#'!A:AL,25,FALSE)</f>
        <v>37</v>
      </c>
      <c r="AH284" s="1">
        <f>VLOOKUP(A284,'SegEnds_NonXtal_Prot#'!A:AL,28,FALSE)-VLOOKUP(A284,'SegEnds_NonXtal_Prot#'!A:AL,22,FALSE)</f>
        <v>63</v>
      </c>
      <c r="AI284" s="1">
        <f>VLOOKUP(A284,'SegEnds_NonXtal_Prot#'!A:AL,31,FALSE)-VLOOKUP(A284,'SegEnds_NonXtal_Prot#'!A:AL,28,FALSE)</f>
        <v>43</v>
      </c>
      <c r="AJ284" s="1">
        <f>VLOOKUP(A284,'SegEnds_NonXtal_Prot#'!A:AL,34,FALSE)-VLOOKUP(A284,'SegEnds_NonXtal_Prot#'!A:AL,31,FALSE)</f>
        <v>42</v>
      </c>
      <c r="AK284" s="1">
        <f>VLOOKUP(A284,'SegEnds_NonXtal_Prot#'!A:AL,37,FALSE)-VLOOKUP(A284,'SegEnds_NonXtal_Prot#'!A:AL,34,FALSE)</f>
        <v>10</v>
      </c>
      <c r="AL284" s="1" t="str">
        <f>IF(ISERROR(MATCH(A284,'SegEnds_Xtal_Prot#'!B:B, 0)), "NoXtal", "Xtal")</f>
        <v>NoXtal</v>
      </c>
    </row>
    <row r="285" spans="1:38" x14ac:dyDescent="0.2">
      <c r="A285" s="1" t="s">
        <v>201</v>
      </c>
      <c r="B285" s="1" t="str">
        <f>VLOOKUP(A285,Xtal_Templ!A:B,2,FALSE)</f>
        <v>fpr2_human</v>
      </c>
      <c r="C285" s="5">
        <f>VLOOKUP($B285&amp;"__wt",'SegEnds_Xtal_BW#'!$A:$Z,3,FALSE)</f>
        <v>25</v>
      </c>
      <c r="D285" s="1">
        <f>VLOOKUP($B285&amp;"__wt",'SegEnds_Xtal_BW#'!$A:$Z,4,FALSE)</f>
        <v>61</v>
      </c>
      <c r="E285" s="1" t="str">
        <f>VLOOKUP($B285&amp;"__wt",'SegEnds_Xtal_BW#'!$A:$Z,5,FALSE)</f>
        <v>-</v>
      </c>
      <c r="F285" s="1" t="str">
        <f>VLOOKUP($B285&amp;"__wt",'SegEnds_Xtal_BW#'!$A:$Z,6,FALSE)</f>
        <v>-</v>
      </c>
      <c r="G285" s="1">
        <v>37</v>
      </c>
      <c r="H285" s="12">
        <f>VLOOKUP($B285&amp;"__wt",'SegEnds_Xtal_BW#'!$A:$Z,8,FALSE)</f>
        <v>67</v>
      </c>
      <c r="I285" s="1">
        <f>VLOOKUP($B285&amp;"__wt",'SegEnds_Xtal_BW#'!$A:$Z,9,FALSE)</f>
        <v>49</v>
      </c>
      <c r="J285" s="1">
        <f>VLOOKUP($B285&amp;"__wt",'SegEnds_Xtal_BW#'!$A:$Z,10,FALSE)</f>
        <v>52</v>
      </c>
      <c r="K285" s="12">
        <v>18</v>
      </c>
      <c r="L285" s="1">
        <f>VLOOKUP($B285&amp;"__wt",'SegEnds_Xtal_BW#'!$A:$Z,12,FALSE)</f>
        <v>56</v>
      </c>
      <c r="M285" s="1">
        <f>VLOOKUP($B285&amp;"__wt",'SegEnds_Xtal_BW#'!$A:$Z,13,FALSE)</f>
        <v>50</v>
      </c>
      <c r="N285" s="12">
        <f>VLOOKUP($B285&amp;"__wt",'SegEnds_Xtal_BW#'!$A:$Z,14,FALSE)</f>
        <v>57</v>
      </c>
      <c r="O285" s="87">
        <v>38</v>
      </c>
      <c r="P285" s="1">
        <f>VLOOKUP($B285&amp;"__wt",'SegEnds_Xtal_BW#'!$A:$Z,16,FALSE)</f>
        <v>64</v>
      </c>
      <c r="Q285" s="1">
        <f>VLOOKUP($B285&amp;"__wt",'SegEnds_Xtal_BW#'!$A:$Z,17,FALSE)</f>
        <v>50</v>
      </c>
      <c r="R285" s="1">
        <f>VLOOKUP($B285&amp;"__wt",'SegEnds_Xtal_BW#'!$A:$Z,18,FALSE)</f>
        <v>52</v>
      </c>
      <c r="S285" s="1">
        <f>VLOOKUP($B285&amp;"__wt",'SegEnds_Xtal_BW#'!$A:$Z,19,FALSE)</f>
        <v>23</v>
      </c>
      <c r="T285" s="108">
        <v>69</v>
      </c>
      <c r="U285" s="108">
        <v>31</v>
      </c>
      <c r="V285" s="1">
        <v>61</v>
      </c>
      <c r="W285" s="108">
        <f>VLOOKUP($B285&amp;"__wt",'SegEnds_Xtal_BW#'!$A:$Z,23,FALSE)</f>
        <v>28</v>
      </c>
      <c r="X285" s="108">
        <v>56</v>
      </c>
      <c r="Y285" s="1">
        <f>VLOOKUP($B285&amp;"__wt",'SegEnds_Xtal_BW#'!$A:$Z,25,FALSE)</f>
        <v>47</v>
      </c>
      <c r="Z285" s="1">
        <f>VLOOKUP($B285&amp;"__wt",'SegEnds_Xtal_BW#'!$A:$Z,26,FALSE)</f>
        <v>58</v>
      </c>
      <c r="AA285" s="27" t="str">
        <f>VLOOKUP(A285,Classification!A:B,2,FALSE)</f>
        <v>A</v>
      </c>
      <c r="AB285" s="1">
        <f>VLOOKUP(A285,'SegEnds_NonXtal_Prot#'!A:AL,10,FALSE)-VLOOKUP(A285,'SegEnds_NonXtal_Prot#'!A:AL,4,FALSE)</f>
        <v>27</v>
      </c>
      <c r="AC285" s="1" t="e">
        <f>VLOOKUP(A285,'SegEnds_NonXtal_Prot#'!A:AL,10,FALSE)-VLOOKUP(A285,'SegEnds_NonXtal_Prot#'!A:AL,7,FALSE)</f>
        <v>#VALUE!</v>
      </c>
      <c r="AD285" s="1">
        <f>VLOOKUP(A285,'SegEnds_NonXtal_Prot#'!A:AL,13,FALSE)-VLOOKUP(A285,'SegEnds_NonXtal_Prot#'!A:AL,10,FALSE)</f>
        <v>20</v>
      </c>
      <c r="AE285" s="1">
        <f>VLOOKUP(A285,'SegEnds_NonXtal_Prot#'!A:AL,16,FALSE)-VLOOKUP(A285,'SegEnds_NonXtal_Prot#'!A:AL,10,FALSE)</f>
        <v>52</v>
      </c>
      <c r="AF285" s="1">
        <f>VLOOKUP(A285,'SegEnds_NonXtal_Prot#'!A:AL,22,FALSE)-VLOOKUP(A285,'SegEnds_NonXtal_Prot#'!A:AL,19,FALSE)</f>
        <v>20</v>
      </c>
      <c r="AG285" s="1">
        <f>VLOOKUP(A285,'SegEnds_NonXtal_Prot#'!A:AL,28,FALSE)-VLOOKUP(A285,'SegEnds_NonXtal_Prot#'!A:AL,25,FALSE)</f>
        <v>37</v>
      </c>
      <c r="AH285" s="1">
        <f>VLOOKUP(A285,'SegEnds_NonXtal_Prot#'!A:AL,28,FALSE)-VLOOKUP(A285,'SegEnds_NonXtal_Prot#'!A:AL,22,FALSE)</f>
        <v>63</v>
      </c>
      <c r="AI285" s="1">
        <f>VLOOKUP(A285,'SegEnds_NonXtal_Prot#'!A:AL,31,FALSE)-VLOOKUP(A285,'SegEnds_NonXtal_Prot#'!A:AL,28,FALSE)</f>
        <v>43</v>
      </c>
      <c r="AJ285" s="1">
        <f>VLOOKUP(A285,'SegEnds_NonXtal_Prot#'!A:AL,34,FALSE)-VLOOKUP(A285,'SegEnds_NonXtal_Prot#'!A:AL,31,FALSE)</f>
        <v>43</v>
      </c>
      <c r="AK285" s="1">
        <f>VLOOKUP(A285,'SegEnds_NonXtal_Prot#'!A:AL,37,FALSE)-VLOOKUP(A285,'SegEnds_NonXtal_Prot#'!A:AL,34,FALSE)</f>
        <v>10</v>
      </c>
      <c r="AL285" s="1" t="str">
        <f>IF(ISERROR(MATCH(A285,'SegEnds_Xtal_Prot#'!B:B, 0)), "NoXtal", "Xtal")</f>
        <v>Xtal</v>
      </c>
    </row>
    <row r="286" spans="1:38" x14ac:dyDescent="0.2">
      <c r="A286" s="1" t="s">
        <v>202</v>
      </c>
      <c r="B286" s="1" t="str">
        <f>VLOOKUP(A286,Xtal_Templ!A:B,2,FALSE)</f>
        <v>fpr2_human</v>
      </c>
      <c r="C286" s="5">
        <f>VLOOKUP($B286&amp;"__wt",'SegEnds_Xtal_BW#'!$A:$Z,3,FALSE)</f>
        <v>25</v>
      </c>
      <c r="D286" s="1">
        <f>VLOOKUP($B286&amp;"__wt",'SegEnds_Xtal_BW#'!$A:$Z,4,FALSE)</f>
        <v>61</v>
      </c>
      <c r="E286" s="1" t="str">
        <f>VLOOKUP($B286&amp;"__wt",'SegEnds_Xtal_BW#'!$A:$Z,5,FALSE)</f>
        <v>-</v>
      </c>
      <c r="F286" s="1" t="str">
        <f>VLOOKUP($B286&amp;"__wt",'SegEnds_Xtal_BW#'!$A:$Z,6,FALSE)</f>
        <v>-</v>
      </c>
      <c r="G286" s="1">
        <v>37</v>
      </c>
      <c r="H286" s="12">
        <f>VLOOKUP($B286&amp;"__wt",'SegEnds_Xtal_BW#'!$A:$Z,8,FALSE)</f>
        <v>67</v>
      </c>
      <c r="I286" s="1">
        <f>VLOOKUP($B286&amp;"__wt",'SegEnds_Xtal_BW#'!$A:$Z,9,FALSE)</f>
        <v>49</v>
      </c>
      <c r="J286" s="1">
        <f>VLOOKUP($B286&amp;"__wt",'SegEnds_Xtal_BW#'!$A:$Z,10,FALSE)</f>
        <v>52</v>
      </c>
      <c r="K286" s="12">
        <v>18</v>
      </c>
      <c r="L286" s="1">
        <f>VLOOKUP($B286&amp;"__wt",'SegEnds_Xtal_BW#'!$A:$Z,12,FALSE)</f>
        <v>56</v>
      </c>
      <c r="M286" s="1">
        <f>VLOOKUP($B286&amp;"__wt",'SegEnds_Xtal_BW#'!$A:$Z,13,FALSE)</f>
        <v>50</v>
      </c>
      <c r="N286" s="12">
        <f>VLOOKUP($B286&amp;"__wt",'SegEnds_Xtal_BW#'!$A:$Z,14,FALSE)</f>
        <v>57</v>
      </c>
      <c r="O286" s="87">
        <v>38</v>
      </c>
      <c r="P286" s="1">
        <f>VLOOKUP($B286&amp;"__wt",'SegEnds_Xtal_BW#'!$A:$Z,16,FALSE)</f>
        <v>64</v>
      </c>
      <c r="Q286" s="1">
        <f>VLOOKUP($B286&amp;"__wt",'SegEnds_Xtal_BW#'!$A:$Z,17,FALSE)</f>
        <v>50</v>
      </c>
      <c r="R286" s="1">
        <f>VLOOKUP($B286&amp;"__wt",'SegEnds_Xtal_BW#'!$A:$Z,18,FALSE)</f>
        <v>52</v>
      </c>
      <c r="S286" s="1">
        <f>VLOOKUP($B286&amp;"__wt",'SegEnds_Xtal_BW#'!$A:$Z,19,FALSE)</f>
        <v>23</v>
      </c>
      <c r="T286" s="1">
        <f t="array" ref="T286">INDEX(ICL3_classA!$G$2:$G$39,MATCH(MIN(ABS(AI286-ICL3_classA!$F$2:$F$39)),ABS(AI286-ICL3_classA!$F$2:$F$39),0))</f>
        <v>68</v>
      </c>
      <c r="U286" s="1">
        <f t="array" ref="U286">INDEX(ICL3_classA!$H$2:$H$39,MATCH(MIN(ABS(AI286-ICL3_classA!$F$2:$F$39)),ABS(AI286-ICL3_classA!$F$2:$F$39),0))</f>
        <v>30</v>
      </c>
      <c r="V286" s="1">
        <v>61</v>
      </c>
      <c r="W286" s="1">
        <v>24</v>
      </c>
      <c r="X286" s="108">
        <v>56</v>
      </c>
      <c r="Y286" s="1">
        <f>VLOOKUP($B286&amp;"__wt",'SegEnds_Xtal_BW#'!$A:$Z,25,FALSE)</f>
        <v>47</v>
      </c>
      <c r="Z286" s="1">
        <f>VLOOKUP($B286&amp;"__wt",'SegEnds_Xtal_BW#'!$A:$Z,26,FALSE)</f>
        <v>58</v>
      </c>
      <c r="AA286" s="27" t="str">
        <f>VLOOKUP(A286,Classification!A:B,2,FALSE)</f>
        <v>A</v>
      </c>
      <c r="AB286" s="1">
        <f>VLOOKUP(A286,'SegEnds_NonXtal_Prot#'!A:AL,10,FALSE)-VLOOKUP(A286,'SegEnds_NonXtal_Prot#'!A:AL,4,FALSE)</f>
        <v>27</v>
      </c>
      <c r="AC286" s="1" t="e">
        <f>VLOOKUP(A286,'SegEnds_NonXtal_Prot#'!A:AL,10,FALSE)-VLOOKUP(A286,'SegEnds_NonXtal_Prot#'!A:AL,7,FALSE)</f>
        <v>#VALUE!</v>
      </c>
      <c r="AD286" s="1">
        <f>VLOOKUP(A286,'SegEnds_NonXtal_Prot#'!A:AL,13,FALSE)-VLOOKUP(A286,'SegEnds_NonXtal_Prot#'!A:AL,10,FALSE)</f>
        <v>20</v>
      </c>
      <c r="AE286" s="1">
        <f>VLOOKUP(A286,'SegEnds_NonXtal_Prot#'!A:AL,16,FALSE)-VLOOKUP(A286,'SegEnds_NonXtal_Prot#'!A:AL,10,FALSE)</f>
        <v>52</v>
      </c>
      <c r="AF286" s="1">
        <f>VLOOKUP(A286,'SegEnds_NonXtal_Prot#'!A:AL,22,FALSE)-VLOOKUP(A286,'SegEnds_NonXtal_Prot#'!A:AL,19,FALSE)</f>
        <v>20</v>
      </c>
      <c r="AG286" s="1">
        <f>VLOOKUP(A286,'SegEnds_NonXtal_Prot#'!A:AL,28,FALSE)-VLOOKUP(A286,'SegEnds_NonXtal_Prot#'!A:AL,25,FALSE)</f>
        <v>37</v>
      </c>
      <c r="AH286" s="1">
        <f>VLOOKUP(A286,'SegEnds_NonXtal_Prot#'!A:AL,28,FALSE)-VLOOKUP(A286,'SegEnds_NonXtal_Prot#'!A:AL,22,FALSE)</f>
        <v>63</v>
      </c>
      <c r="AI286" s="1">
        <f>VLOOKUP(A286,'SegEnds_NonXtal_Prot#'!A:AL,31,FALSE)-VLOOKUP(A286,'SegEnds_NonXtal_Prot#'!A:AL,28,FALSE)</f>
        <v>43</v>
      </c>
      <c r="AJ286" s="1">
        <f>VLOOKUP(A286,'SegEnds_NonXtal_Prot#'!A:AL,34,FALSE)-VLOOKUP(A286,'SegEnds_NonXtal_Prot#'!A:AL,31,FALSE)</f>
        <v>43</v>
      </c>
      <c r="AK286" s="1">
        <f>VLOOKUP(A286,'SegEnds_NonXtal_Prot#'!A:AL,37,FALSE)-VLOOKUP(A286,'SegEnds_NonXtal_Prot#'!A:AL,34,FALSE)</f>
        <v>10</v>
      </c>
      <c r="AL286" s="1" t="str">
        <f>IF(ISERROR(MATCH(A286,'SegEnds_Xtal_Prot#'!B:B, 0)), "NoXtal", "Xtal")</f>
        <v>NoXtal</v>
      </c>
    </row>
    <row r="287" spans="1:38" x14ac:dyDescent="0.2">
      <c r="A287" s="1" t="s">
        <v>322</v>
      </c>
      <c r="B287" s="1" t="str">
        <f>VLOOKUP(A287,Xtal_Templ!A:B,2,FALSE)</f>
        <v>ox1r_human</v>
      </c>
      <c r="C287" s="5">
        <f>VLOOKUP($B287&amp;"__wt",'SegEnds_Xtal_BW#'!$A:$Z,3,FALSE)</f>
        <v>32</v>
      </c>
      <c r="D287" s="1">
        <f>VLOOKUP($B287&amp;"__wt",'SegEnds_Xtal_BW#'!$A:$Z,4,FALSE)</f>
        <v>60</v>
      </c>
      <c r="E287" s="1">
        <f>VLOOKUP($B287&amp;"__wt",'SegEnds_Xtal_BW#'!$A:$Z,5,FALSE)</f>
        <v>48</v>
      </c>
      <c r="F287" s="1">
        <f>VLOOKUP($B287&amp;"__wt",'SegEnds_Xtal_BW#'!$A:$Z,6,FALSE)</f>
        <v>51</v>
      </c>
      <c r="G287" s="1">
        <v>37</v>
      </c>
      <c r="H287" s="12">
        <f>VLOOKUP($B287&amp;"__wt",'SegEnds_Xtal_BW#'!$A:$Z,8,FALSE)</f>
        <v>68</v>
      </c>
      <c r="I287" s="1">
        <f>VLOOKUP($B287&amp;"__wt",'SegEnds_Xtal_BW#'!$A:$Z,9,FALSE)</f>
        <v>49</v>
      </c>
      <c r="J287" s="1">
        <f>VLOOKUP($B287&amp;"__wt",'SegEnds_Xtal_BW#'!$A:$Z,10,FALSE)</f>
        <v>52</v>
      </c>
      <c r="K287" s="12">
        <v>18</v>
      </c>
      <c r="L287" s="1">
        <f>VLOOKUP($B287&amp;"__wt",'SegEnds_Xtal_BW#'!$A:$Z,12,FALSE)</f>
        <v>56</v>
      </c>
      <c r="M287" s="1">
        <f>VLOOKUP($B287&amp;"__wt",'SegEnds_Xtal_BW#'!$A:$Z,13,FALSE)</f>
        <v>50</v>
      </c>
      <c r="N287" s="12">
        <v>56</v>
      </c>
      <c r="O287" s="87">
        <f>VLOOKUP($B287&amp;"__wt",'SegEnds_Xtal_BW#'!$A:$Z,15,FALSE)</f>
        <v>38</v>
      </c>
      <c r="P287" s="1">
        <f>VLOOKUP($B287&amp;"__wt",'SegEnds_Xtal_BW#'!$A:$Z,16,FALSE)</f>
        <v>64</v>
      </c>
      <c r="Q287" s="1">
        <f>VLOOKUP($B287&amp;"__wt",'SegEnds_Xtal_BW#'!$A:$Z,17,FALSE)</f>
        <v>50</v>
      </c>
      <c r="R287" s="1">
        <f>VLOOKUP($B287&amp;"__wt",'SegEnds_Xtal_BW#'!$A:$Z,18,FALSE)</f>
        <v>52</v>
      </c>
      <c r="S287" s="1">
        <f>VLOOKUP($B287&amp;"__wt",'SegEnds_Xtal_BW#'!$A:$Z,19,FALSE)</f>
        <v>33</v>
      </c>
      <c r="T287" s="1">
        <f t="array" ref="T287">INDEX(ICL3_classA!$G$2:$G$39,MATCH(MIN(ABS(AI287-ICL3_classA!$F$2:$F$39)),ABS(AI287-ICL3_classA!$F$2:$F$39),0))</f>
        <v>73</v>
      </c>
      <c r="U287" s="1">
        <f t="array" ref="U287">INDEX(ICL3_classA!$H$2:$H$39,MATCH(MIN(ABS(AI287-ICL3_classA!$F$2:$F$39)),ABS(AI287-ICL3_classA!$F$2:$F$39),0))</f>
        <v>24</v>
      </c>
      <c r="V287" s="1">
        <v>61</v>
      </c>
      <c r="W287" s="1">
        <v>28</v>
      </c>
      <c r="X287" s="1">
        <f>VLOOKUP($B287&amp;"__wt",'SegEnds_Xtal_BW#'!$A:$Z,24,FALSE)</f>
        <v>56</v>
      </c>
      <c r="Y287" s="1">
        <f>VLOOKUP($B287&amp;"__wt",'SegEnds_Xtal_BW#'!$A:$Z,25,FALSE)</f>
        <v>47</v>
      </c>
      <c r="Z287" s="1">
        <f>VLOOKUP($B287&amp;"__wt",'SegEnds_Xtal_BW#'!$A:$Z,26,FALSE)</f>
        <v>63</v>
      </c>
      <c r="AA287" s="27" t="str">
        <f>VLOOKUP(A287,Classification!A:B,2,FALSE)</f>
        <v>A</v>
      </c>
      <c r="AB287" s="1">
        <f>VLOOKUP(A287,'SegEnds_NonXtal_Prot#'!A:AL,10,FALSE)-VLOOKUP(A287,'SegEnds_NonXtal_Prot#'!A:AL,4,FALSE)</f>
        <v>28</v>
      </c>
      <c r="AC287" s="1">
        <f>VLOOKUP(A287,'SegEnds_NonXtal_Prot#'!A:AL,10,FALSE)-VLOOKUP(A287,'SegEnds_NonXtal_Prot#'!A:AL,7,FALSE)</f>
        <v>15</v>
      </c>
      <c r="AD287" s="1">
        <f>VLOOKUP(A287,'SegEnds_NonXtal_Prot#'!A:AL,13,FALSE)-VLOOKUP(A287,'SegEnds_NonXtal_Prot#'!A:AL,10,FALSE)</f>
        <v>20</v>
      </c>
      <c r="AE287" s="1">
        <f>VLOOKUP(A287,'SegEnds_NonXtal_Prot#'!A:AL,16,FALSE)-VLOOKUP(A287,'SegEnds_NonXtal_Prot#'!A:AL,10,FALSE)</f>
        <v>52</v>
      </c>
      <c r="AF287" s="1" t="e">
        <f>VLOOKUP(A287,'SegEnds_NonXtal_Prot#'!A:AL,22,FALSE)-VLOOKUP(A287,'SegEnds_NonXtal_Prot#'!A:AL,19,FALSE)</f>
        <v>#VALUE!</v>
      </c>
      <c r="AG287" s="1">
        <f>VLOOKUP(A287,'SegEnds_NonXtal_Prot#'!A:AL,28,FALSE)-VLOOKUP(A287,'SegEnds_NonXtal_Prot#'!A:AL,25,FALSE)</f>
        <v>25</v>
      </c>
      <c r="AH287" s="1">
        <f>VLOOKUP(A287,'SegEnds_NonXtal_Prot#'!A:AL,28,FALSE)-VLOOKUP(A287,'SegEnds_NonXtal_Prot#'!A:AL,22,FALSE)</f>
        <v>63</v>
      </c>
      <c r="AI287" s="1">
        <f>VLOOKUP(A287,'SegEnds_NonXtal_Prot#'!A:AL,31,FALSE)-VLOOKUP(A287,'SegEnds_NonXtal_Prot#'!A:AL,28,FALSE)</f>
        <v>58</v>
      </c>
      <c r="AJ287" s="1">
        <f>VLOOKUP(A287,'SegEnds_NonXtal_Prot#'!A:AL,34,FALSE)-VLOOKUP(A287,'SegEnds_NonXtal_Prot#'!A:AL,31,FALSE)</f>
        <v>41</v>
      </c>
      <c r="AK287" s="1">
        <f>VLOOKUP(A287,'SegEnds_NonXtal_Prot#'!A:AL,37,FALSE)-VLOOKUP(A287,'SegEnds_NonXtal_Prot#'!A:AL,34,FALSE)</f>
        <v>10</v>
      </c>
      <c r="AL287" s="1" t="str">
        <f>IF(ISERROR(MATCH(A287,'SegEnds_Xtal_Prot#'!B:B, 0)), "NoXtal", "Xtal")</f>
        <v>NoXtal</v>
      </c>
    </row>
    <row r="288" spans="1:38" x14ac:dyDescent="0.2">
      <c r="A288" s="1" t="s">
        <v>350</v>
      </c>
      <c r="B288" s="1" t="str">
        <f>VLOOKUP(A288,Xtal_Templ!A:B,2,FALSE)</f>
        <v>p2ry1_human</v>
      </c>
      <c r="C288" s="5">
        <f>VLOOKUP($B288&amp;"__wt",'SegEnds_Xtal_BW#'!$A:$Z,3,FALSE)</f>
        <v>30</v>
      </c>
      <c r="D288" s="1">
        <f>VLOOKUP($B288&amp;"__wt",'SegEnds_Xtal_BW#'!$A:$Z,4,FALSE)</f>
        <v>60</v>
      </c>
      <c r="E288" s="1" t="str">
        <f>VLOOKUP($B288&amp;"__wt",'SegEnds_Xtal_BW#'!$A:$Z,5,FALSE)</f>
        <v>-</v>
      </c>
      <c r="F288" s="1" t="str">
        <f>VLOOKUP($B288&amp;"__wt",'SegEnds_Xtal_BW#'!$A:$Z,6,FALSE)</f>
        <v>-</v>
      </c>
      <c r="G288" s="1">
        <v>37</v>
      </c>
      <c r="H288" s="12">
        <f>VLOOKUP($B288&amp;"__wt",'SegEnds_Xtal_BW#'!$A:$Z,8,FALSE)</f>
        <v>66</v>
      </c>
      <c r="I288" s="1">
        <f>VLOOKUP($B288&amp;"__wt",'SegEnds_Xtal_BW#'!$A:$Z,9,FALSE)</f>
        <v>49</v>
      </c>
      <c r="J288" s="1">
        <f>VLOOKUP($B288&amp;"__wt",'SegEnds_Xtal_BW#'!$A:$Z,10,FALSE)</f>
        <v>52</v>
      </c>
      <c r="K288" s="12">
        <v>18</v>
      </c>
      <c r="L288" s="1">
        <f>VLOOKUP($B288&amp;"__wt",'SegEnds_Xtal_BW#'!$A:$Z,12,FALSE)</f>
        <v>56</v>
      </c>
      <c r="M288" s="1">
        <f>VLOOKUP($B288&amp;"__wt",'SegEnds_Xtal_BW#'!$A:$Z,13,FALSE)</f>
        <v>50</v>
      </c>
      <c r="N288" s="12">
        <v>57</v>
      </c>
      <c r="O288" s="87">
        <f>VLOOKUP($B288&amp;"__wt",'SegEnds_Xtal_BW#'!$A:$Z,15,FALSE)</f>
        <v>38</v>
      </c>
      <c r="P288" s="1">
        <f>VLOOKUP($B288&amp;"__wt",'SegEnds_Xtal_BW#'!$A:$Z,16,FALSE)</f>
        <v>64</v>
      </c>
      <c r="Q288" s="1">
        <f>VLOOKUP($B288&amp;"__wt",'SegEnds_Xtal_BW#'!$A:$Z,17,FALSE)</f>
        <v>50</v>
      </c>
      <c r="R288" s="1">
        <f>VLOOKUP($B288&amp;"__wt",'SegEnds_Xtal_BW#'!$A:$Z,18,FALSE)</f>
        <v>52</v>
      </c>
      <c r="S288" s="1">
        <f>VLOOKUP($B288&amp;"__wt",'SegEnds_Xtal_BW#'!$A:$Z,19,FALSE)</f>
        <v>32</v>
      </c>
      <c r="T288" s="1">
        <f t="array" ref="T288">INDEX(ICL3_classA!$G$2:$G$39,MATCH(MIN(ABS(AI288-ICL3_classA!$F$2:$F$39)),ABS(AI288-ICL3_classA!$F$2:$F$39),0))</f>
        <v>67</v>
      </c>
      <c r="U288" s="1">
        <f t="array" ref="U288">INDEX(ICL3_classA!$H$2:$H$39,MATCH(MIN(ABS(AI288-ICL3_classA!$F$2:$F$39)),ABS(AI288-ICL3_classA!$F$2:$F$39),0))</f>
        <v>26</v>
      </c>
      <c r="V288" s="1">
        <v>64</v>
      </c>
      <c r="W288" s="1">
        <v>24</v>
      </c>
      <c r="X288" s="1">
        <f>VLOOKUP($B288&amp;"__wt",'SegEnds_Xtal_BW#'!$A:$Z,24,FALSE)</f>
        <v>56</v>
      </c>
      <c r="Y288" s="1">
        <f>VLOOKUP($B288&amp;"__wt",'SegEnds_Xtal_BW#'!$A:$Z,25,FALSE)</f>
        <v>47</v>
      </c>
      <c r="Z288" s="1">
        <f>VLOOKUP($B288&amp;"__wt",'SegEnds_Xtal_BW#'!$A:$Z,26,FALSE)</f>
        <v>59</v>
      </c>
      <c r="AA288" s="27" t="str">
        <f>VLOOKUP(A288,Classification!A:B,2,FALSE)</f>
        <v>A</v>
      </c>
      <c r="AB288" s="1">
        <f>VLOOKUP(A288,'SegEnds_NonXtal_Prot#'!A:AL,10,FALSE)-VLOOKUP(A288,'SegEnds_NonXtal_Prot#'!A:AL,4,FALSE)</f>
        <v>29</v>
      </c>
      <c r="AC288" s="1" t="e">
        <f>VLOOKUP(A288,'SegEnds_NonXtal_Prot#'!A:AL,10,FALSE)-VLOOKUP(A288,'SegEnds_NonXtal_Prot#'!A:AL,7,FALSE)</f>
        <v>#VALUE!</v>
      </c>
      <c r="AD288" s="1">
        <f>VLOOKUP(A288,'SegEnds_NonXtal_Prot#'!A:AL,13,FALSE)-VLOOKUP(A288,'SegEnds_NonXtal_Prot#'!A:AL,10,FALSE)</f>
        <v>20</v>
      </c>
      <c r="AE288" s="1">
        <f>VLOOKUP(A288,'SegEnds_NonXtal_Prot#'!A:AL,16,FALSE)-VLOOKUP(A288,'SegEnds_NonXtal_Prot#'!A:AL,10,FALSE)</f>
        <v>52</v>
      </c>
      <c r="AF288" s="1">
        <f>VLOOKUP(A288,'SegEnds_NonXtal_Prot#'!A:AL,22,FALSE)-VLOOKUP(A288,'SegEnds_NonXtal_Prot#'!A:AL,19,FALSE)</f>
        <v>20</v>
      </c>
      <c r="AG288" s="1">
        <f>VLOOKUP(A288,'SegEnds_NonXtal_Prot#'!A:AL,28,FALSE)-VLOOKUP(A288,'SegEnds_NonXtal_Prot#'!A:AL,25,FALSE)</f>
        <v>26</v>
      </c>
      <c r="AH288" s="1">
        <f>VLOOKUP(A288,'SegEnds_NonXtal_Prot#'!A:AL,28,FALSE)-VLOOKUP(A288,'SegEnds_NonXtal_Prot#'!A:AL,22,FALSE)</f>
        <v>63</v>
      </c>
      <c r="AI288" s="1">
        <f>VLOOKUP(A288,'SegEnds_NonXtal_Prot#'!A:AL,31,FALSE)-VLOOKUP(A288,'SegEnds_NonXtal_Prot#'!A:AL,28,FALSE)</f>
        <v>46</v>
      </c>
      <c r="AJ288" s="1">
        <f>VLOOKUP(A288,'SegEnds_NonXtal_Prot#'!A:AL,34,FALSE)-VLOOKUP(A288,'SegEnds_NonXtal_Prot#'!A:AL,31,FALSE)</f>
        <v>55</v>
      </c>
      <c r="AK288" s="1">
        <f>VLOOKUP(A288,'SegEnds_NonXtal_Prot#'!A:AL,37,FALSE)-VLOOKUP(A288,'SegEnds_NonXtal_Prot#'!A:AL,34,FALSE)</f>
        <v>10</v>
      </c>
      <c r="AL288" s="1" t="str">
        <f>IF(ISERROR(MATCH(A288,'SegEnds_Xtal_Prot#'!B:B, 0)), "NoXtal", "Xtal")</f>
        <v>NoXtal</v>
      </c>
    </row>
    <row r="289" spans="1:38" x14ac:dyDescent="0.2">
      <c r="A289" s="1" t="s">
        <v>140</v>
      </c>
      <c r="B289" s="1" t="str">
        <f>VLOOKUP(A289,Xtal_Templ!A:B,2,FALSE)</f>
        <v>aa2ar_human</v>
      </c>
      <c r="C289" s="5">
        <f>VLOOKUP($B289&amp;"__wt",'SegEnds_Xtal_BW#'!$A:$Z,3,FALSE)</f>
        <v>27</v>
      </c>
      <c r="D289" s="1">
        <f>VLOOKUP($B289&amp;"__wt",'SegEnds_Xtal_BW#'!$A:$Z,4,FALSE)</f>
        <v>60</v>
      </c>
      <c r="E289" s="1">
        <f>VLOOKUP($B289&amp;"__wt",'SegEnds_Xtal_BW#'!$A:$Z,5,FALSE)</f>
        <v>48</v>
      </c>
      <c r="F289" s="1">
        <f>VLOOKUP($B289&amp;"__wt",'SegEnds_Xtal_BW#'!$A:$Z,6,FALSE)</f>
        <v>51</v>
      </c>
      <c r="G289" s="1">
        <v>37</v>
      </c>
      <c r="H289" s="12">
        <v>66</v>
      </c>
      <c r="I289" s="1">
        <f>VLOOKUP($B289&amp;"__wt",'SegEnds_Xtal_BW#'!$A:$Z,9,FALSE)</f>
        <v>50</v>
      </c>
      <c r="J289" s="1">
        <f>VLOOKUP($B289&amp;"__wt",'SegEnds_Xtal_BW#'!$A:$Z,10,FALSE)</f>
        <v>52</v>
      </c>
      <c r="K289" s="12">
        <v>24</v>
      </c>
      <c r="L289" s="1">
        <f>VLOOKUP($B289&amp;"__wt",'SegEnds_Xtal_BW#'!$A:$Z,12,FALSE)</f>
        <v>56</v>
      </c>
      <c r="M289" s="1">
        <f>VLOOKUP($B289&amp;"__wt",'SegEnds_Xtal_BW#'!$A:$Z,13,FALSE)</f>
        <v>50</v>
      </c>
      <c r="N289" s="12">
        <v>57</v>
      </c>
      <c r="O289" s="87">
        <v>38</v>
      </c>
      <c r="P289" s="1">
        <f>VLOOKUP($B289&amp;"__wt",'SegEnds_Xtal_BW#'!$A:$Z,16,FALSE)</f>
        <v>63</v>
      </c>
      <c r="Q289" s="1">
        <f>VLOOKUP($B289&amp;"__wt",'SegEnds_Xtal_BW#'!$A:$Z,17,FALSE)</f>
        <v>50</v>
      </c>
      <c r="R289" s="1">
        <f>VLOOKUP($B289&amp;"__wt",'SegEnds_Xtal_BW#'!$A:$Z,18,FALSE)</f>
        <v>52</v>
      </c>
      <c r="S289" s="1">
        <f>VLOOKUP($B289&amp;"__wt",'SegEnds_Xtal_BW#'!$A:$Z,19,FALSE)</f>
        <v>34</v>
      </c>
      <c r="T289" s="1">
        <f t="array" ref="T289">INDEX(ICL3_classA!$G$2:$G$39,MATCH(MIN(ABS(AI289-ICL3_classA!$F$2:$F$39)),ABS(AI289-ICL3_classA!$F$2:$F$39),0))</f>
        <v>73</v>
      </c>
      <c r="U289" s="1">
        <f t="array" ref="U289">INDEX(ICL3_classA!$H$2:$H$39,MATCH(MIN(ABS(AI289-ICL3_classA!$F$2:$F$39)),ABS(AI289-ICL3_classA!$F$2:$F$39),0))</f>
        <v>22</v>
      </c>
      <c r="V289" s="1">
        <v>61</v>
      </c>
      <c r="W289" s="131">
        <f>VLOOKUP($B289&amp;"__wt",'SegEnds_Xtal_BW#'!$A:$Z,23,FALSE)</f>
        <v>31</v>
      </c>
      <c r="X289" s="1">
        <f>VLOOKUP($B289&amp;"__wt",'SegEnds_Xtal_BW#'!$A:$Z,24,FALSE)</f>
        <v>56</v>
      </c>
      <c r="Y289" s="1">
        <f>VLOOKUP($B289&amp;"__wt",'SegEnds_Xtal_BW#'!$A:$Z,25,FALSE)</f>
        <v>47</v>
      </c>
      <c r="Z289" s="1">
        <f>VLOOKUP($B289&amp;"__wt",'SegEnds_Xtal_BW#'!$A:$Z,26,FALSE)</f>
        <v>69</v>
      </c>
      <c r="AA289" s="27" t="str">
        <f>VLOOKUP(A289,Classification!A:B,2,FALSE)</f>
        <v>A</v>
      </c>
      <c r="AB289" s="1">
        <f>VLOOKUP(A289,'SegEnds_NonXtal_Prot#'!A:AL,10,FALSE)-VLOOKUP(A289,'SegEnds_NonXtal_Prot#'!A:AL,4,FALSE)</f>
        <v>28</v>
      </c>
      <c r="AC289" s="1">
        <f>VLOOKUP(A289,'SegEnds_NonXtal_Prot#'!A:AL,10,FALSE)-VLOOKUP(A289,'SegEnds_NonXtal_Prot#'!A:AL,7,FALSE)</f>
        <v>15</v>
      </c>
      <c r="AD289" s="1">
        <f>VLOOKUP(A289,'SegEnds_NonXtal_Prot#'!A:AL,13,FALSE)-VLOOKUP(A289,'SegEnds_NonXtal_Prot#'!A:AL,10,FALSE)</f>
        <v>18</v>
      </c>
      <c r="AE289" s="1">
        <f>VLOOKUP(A289,'SegEnds_NonXtal_Prot#'!A:AL,16,FALSE)-VLOOKUP(A289,'SegEnds_NonXtal_Prot#'!A:AL,10,FALSE)</f>
        <v>50</v>
      </c>
      <c r="AF289" s="1">
        <f>VLOOKUP(A289,'SegEnds_NonXtal_Prot#'!A:AL,22,FALSE)-VLOOKUP(A289,'SegEnds_NonXtal_Prot#'!A:AL,19,FALSE)</f>
        <v>20</v>
      </c>
      <c r="AG289" s="1">
        <f>VLOOKUP(A289,'SegEnds_NonXtal_Prot#'!A:AL,28,FALSE)-VLOOKUP(A289,'SegEnds_NonXtal_Prot#'!A:AL,25,FALSE)</f>
        <v>23</v>
      </c>
      <c r="AH289" s="1">
        <f>VLOOKUP(A289,'SegEnds_NonXtal_Prot#'!A:AL,28,FALSE)-VLOOKUP(A289,'SegEnds_NonXtal_Prot#'!A:AL,22,FALSE)</f>
        <v>64</v>
      </c>
      <c r="AI289" s="1">
        <f>VLOOKUP(A289,'SegEnds_NonXtal_Prot#'!A:AL,31,FALSE)-VLOOKUP(A289,'SegEnds_NonXtal_Prot#'!A:AL,28,FALSE)</f>
        <v>55</v>
      </c>
      <c r="AJ289" s="1">
        <f>VLOOKUP(A289,'SegEnds_NonXtal_Prot#'!A:AL,34,FALSE)-VLOOKUP(A289,'SegEnds_NonXtal_Prot#'!A:AL,31,FALSE)</f>
        <v>38</v>
      </c>
      <c r="AK289" s="1">
        <f>VLOOKUP(A289,'SegEnds_NonXtal_Prot#'!A:AL,37,FALSE)-VLOOKUP(A289,'SegEnds_NonXtal_Prot#'!A:AL,34,FALSE)</f>
        <v>10</v>
      </c>
      <c r="AL289" s="1" t="str">
        <f>IF(ISERROR(MATCH(A289,'SegEnds_Xtal_Prot#'!B:B, 0)), "NoXtal", "Xtal")</f>
        <v>NoXtal</v>
      </c>
    </row>
    <row r="290" spans="1:38" x14ac:dyDescent="0.2">
      <c r="A290" s="1" t="s">
        <v>251</v>
      </c>
      <c r="B290" s="1" t="str">
        <f>VLOOKUP(A290,Xtal_Templ!A:B,2,FALSE)</f>
        <v>fpr2_human</v>
      </c>
      <c r="C290" s="5">
        <f>VLOOKUP($B290&amp;"__wt",'SegEnds_Xtal_BW#'!$A:$Z,3,FALSE)</f>
        <v>25</v>
      </c>
      <c r="D290" s="1">
        <f>VLOOKUP($B290&amp;"__wt",'SegEnds_Xtal_BW#'!$A:$Z,4,FALSE)</f>
        <v>61</v>
      </c>
      <c r="E290" s="1" t="str">
        <f>VLOOKUP($B290&amp;"__wt",'SegEnds_Xtal_BW#'!$A:$Z,5,FALSE)</f>
        <v>-</v>
      </c>
      <c r="F290" s="1" t="str">
        <f>VLOOKUP($B290&amp;"__wt",'SegEnds_Xtal_BW#'!$A:$Z,6,FALSE)</f>
        <v>-</v>
      </c>
      <c r="G290" s="1">
        <v>37</v>
      </c>
      <c r="H290" s="12">
        <f>VLOOKUP($B290&amp;"__wt",'SegEnds_Xtal_BW#'!$A:$Z,8,FALSE)</f>
        <v>67</v>
      </c>
      <c r="I290" s="1">
        <f>VLOOKUP($B290&amp;"__wt",'SegEnds_Xtal_BW#'!$A:$Z,9,FALSE)</f>
        <v>49</v>
      </c>
      <c r="J290" s="1">
        <f>VLOOKUP($B290&amp;"__wt",'SegEnds_Xtal_BW#'!$A:$Z,10,FALSE)</f>
        <v>52</v>
      </c>
      <c r="K290" s="12">
        <v>18</v>
      </c>
      <c r="L290" s="1">
        <f>VLOOKUP($B290&amp;"__wt",'SegEnds_Xtal_BW#'!$A:$Z,12,FALSE)</f>
        <v>56</v>
      </c>
      <c r="M290" s="1">
        <f>VLOOKUP($B290&amp;"__wt",'SegEnds_Xtal_BW#'!$A:$Z,13,FALSE)</f>
        <v>50</v>
      </c>
      <c r="N290" s="12">
        <v>57</v>
      </c>
      <c r="O290" s="87">
        <v>38</v>
      </c>
      <c r="P290" s="1">
        <f>VLOOKUP($B290&amp;"__wt",'SegEnds_Xtal_BW#'!$A:$Z,16,FALSE)</f>
        <v>64</v>
      </c>
      <c r="Q290" s="1">
        <f>VLOOKUP($B290&amp;"__wt",'SegEnds_Xtal_BW#'!$A:$Z,17,FALSE)</f>
        <v>50</v>
      </c>
      <c r="R290" s="1">
        <f>VLOOKUP($B290&amp;"__wt",'SegEnds_Xtal_BW#'!$A:$Z,18,FALSE)</f>
        <v>52</v>
      </c>
      <c r="S290" s="1">
        <f>VLOOKUP($B290&amp;"__wt",'SegEnds_Xtal_BW#'!$A:$Z,19,FALSE)</f>
        <v>23</v>
      </c>
      <c r="T290" s="1">
        <f t="array" ref="T290">INDEX(ICL3_classA!$G$2:$G$39,MATCH(MIN(ABS(AI290-ICL3_classA!$F$2:$F$39)),ABS(AI290-ICL3_classA!$F$2:$F$39),0))</f>
        <v>68</v>
      </c>
      <c r="U290" s="1">
        <f t="array" ref="U290">INDEX(ICL3_classA!$H$2:$H$39,MATCH(MIN(ABS(AI290-ICL3_classA!$F$2:$F$39)),ABS(AI290-ICL3_classA!$F$2:$F$39),0))</f>
        <v>30</v>
      </c>
      <c r="V290" s="1">
        <v>61</v>
      </c>
      <c r="W290" s="1">
        <v>31</v>
      </c>
      <c r="X290" s="1">
        <f>VLOOKUP($B290&amp;"__wt",'SegEnds_Xtal_BW#'!$A:$Z,24,FALSE)</f>
        <v>56</v>
      </c>
      <c r="Y290" s="1">
        <f>VLOOKUP($B290&amp;"__wt",'SegEnds_Xtal_BW#'!$A:$Z,25,FALSE)</f>
        <v>47</v>
      </c>
      <c r="Z290" s="1">
        <f>VLOOKUP($B290&amp;"__wt",'SegEnds_Xtal_BW#'!$A:$Z,26,FALSE)</f>
        <v>58</v>
      </c>
      <c r="AA290" s="27" t="str">
        <f>VLOOKUP(A290,Classification!A:B,2,FALSE)</f>
        <v>A</v>
      </c>
      <c r="AB290" s="1">
        <f>VLOOKUP(A290,'SegEnds_NonXtal_Prot#'!A:AL,10,FALSE)-VLOOKUP(A290,'SegEnds_NonXtal_Prot#'!A:AL,4,FALSE)</f>
        <v>27</v>
      </c>
      <c r="AC290" s="1" t="e">
        <f>VLOOKUP(A290,'SegEnds_NonXtal_Prot#'!A:AL,10,FALSE)-VLOOKUP(A290,'SegEnds_NonXtal_Prot#'!A:AL,7,FALSE)</f>
        <v>#VALUE!</v>
      </c>
      <c r="AD290" s="1">
        <f>VLOOKUP(A290,'SegEnds_NonXtal_Prot#'!A:AL,13,FALSE)-VLOOKUP(A290,'SegEnds_NonXtal_Prot#'!A:AL,10,FALSE)</f>
        <v>20</v>
      </c>
      <c r="AE290" s="1">
        <f>VLOOKUP(A290,'SegEnds_NonXtal_Prot#'!A:AL,16,FALSE)-VLOOKUP(A290,'SegEnds_NonXtal_Prot#'!A:AL,10,FALSE)</f>
        <v>52</v>
      </c>
      <c r="AF290" s="1">
        <f>VLOOKUP(A290,'SegEnds_NonXtal_Prot#'!A:AL,22,FALSE)-VLOOKUP(A290,'SegEnds_NonXtal_Prot#'!A:AL,19,FALSE)</f>
        <v>20</v>
      </c>
      <c r="AG290" s="1">
        <f>VLOOKUP(A290,'SegEnds_NonXtal_Prot#'!A:AL,28,FALSE)-VLOOKUP(A290,'SegEnds_NonXtal_Prot#'!A:AL,25,FALSE)</f>
        <v>38</v>
      </c>
      <c r="AH290" s="1">
        <f>VLOOKUP(A290,'SegEnds_NonXtal_Prot#'!A:AL,28,FALSE)-VLOOKUP(A290,'SegEnds_NonXtal_Prot#'!A:AL,22,FALSE)</f>
        <v>64</v>
      </c>
      <c r="AI290" s="1">
        <f>VLOOKUP(A290,'SegEnds_NonXtal_Prot#'!A:AL,31,FALSE)-VLOOKUP(A290,'SegEnds_NonXtal_Prot#'!A:AL,28,FALSE)</f>
        <v>43</v>
      </c>
      <c r="AJ290" s="1">
        <f>VLOOKUP(A290,'SegEnds_NonXtal_Prot#'!A:AL,34,FALSE)-VLOOKUP(A290,'SegEnds_NonXtal_Prot#'!A:AL,31,FALSE)</f>
        <v>36</v>
      </c>
      <c r="AK290" s="1">
        <f>VLOOKUP(A290,'SegEnds_NonXtal_Prot#'!A:AL,37,FALSE)-VLOOKUP(A290,'SegEnds_NonXtal_Prot#'!A:AL,34,FALSE)</f>
        <v>10</v>
      </c>
      <c r="AL290" s="1" t="str">
        <f>IF(ISERROR(MATCH(A290,'SegEnds_Xtal_Prot#'!B:B, 0)), "NoXtal", "Xtal")</f>
        <v>NoXtal</v>
      </c>
    </row>
    <row r="291" spans="1:38" x14ac:dyDescent="0.2">
      <c r="A291" s="1" t="s">
        <v>1676</v>
      </c>
      <c r="B291" s="1" t="str">
        <f>VLOOKUP(A291,Xtal_Templ!A:B,2,FALSE)</f>
        <v>ednrb_human</v>
      </c>
      <c r="C291" s="5">
        <f>VLOOKUP($B291&amp;"__wt",'SegEnds_Xtal_BW#'!$A:$Z,3,FALSE)</f>
        <v>22</v>
      </c>
      <c r="D291" s="1">
        <f>VLOOKUP($B291&amp;"__wt",'SegEnds_Xtal_BW#'!$A:$Z,4,FALSE)</f>
        <v>60</v>
      </c>
      <c r="E291" s="1">
        <f>VLOOKUP($B291&amp;"__wt",'SegEnds_Xtal_BW#'!$A:$Z,5,FALSE)</f>
        <v>48</v>
      </c>
      <c r="F291" s="1">
        <f>VLOOKUP($B291&amp;"__wt",'SegEnds_Xtal_BW#'!$A:$Z,6,FALSE)</f>
        <v>52</v>
      </c>
      <c r="G291" s="1">
        <v>37</v>
      </c>
      <c r="H291" s="12">
        <f>VLOOKUP($B291&amp;"__wt",'SegEnds_Xtal_BW#'!$A:$Z,8,FALSE)</f>
        <v>67</v>
      </c>
      <c r="I291" s="1">
        <f>VLOOKUP($B291&amp;"__wt",'SegEnds_Xtal_BW#'!$A:$Z,9,FALSE)</f>
        <v>49</v>
      </c>
      <c r="J291" s="1">
        <f>VLOOKUP($B291&amp;"__wt",'SegEnds_Xtal_BW#'!$A:$Z,10,FALSE)</f>
        <v>52</v>
      </c>
      <c r="K291" s="12">
        <v>21</v>
      </c>
      <c r="L291" s="1">
        <f>VLOOKUP($B291&amp;"__wt",'SegEnds_Xtal_BW#'!$A:$Z,12,FALSE)</f>
        <v>56</v>
      </c>
      <c r="M291" s="1">
        <f>VLOOKUP($B291&amp;"__wt",'SegEnds_Xtal_BW#'!$A:$Z,13,FALSE)</f>
        <v>50</v>
      </c>
      <c r="N291" s="12">
        <v>57</v>
      </c>
      <c r="O291" s="87">
        <v>38</v>
      </c>
      <c r="P291" s="1">
        <f>VLOOKUP($B291&amp;"__wt",'SegEnds_Xtal_BW#'!$A:$Z,16,FALSE)</f>
        <v>64</v>
      </c>
      <c r="Q291" s="1">
        <f>VLOOKUP($B291&amp;"__wt",'SegEnds_Xtal_BW#'!$A:$Z,17,FALSE)</f>
        <v>50</v>
      </c>
      <c r="R291" s="1">
        <f>VLOOKUP($B291&amp;"__wt",'SegEnds_Xtal_BW#'!$A:$Z,18,FALSE)</f>
        <v>52</v>
      </c>
      <c r="S291" s="1">
        <f>VLOOKUP($B291&amp;"__wt",'SegEnds_Xtal_BW#'!$A:$Z,19,FALSE)</f>
        <v>28</v>
      </c>
      <c r="T291" s="1">
        <f t="array" ref="T291">INDEX(ICL3_classA!$G$2:$G$39,MATCH(MIN(ABS(AI291-ICL3_classA!$F$2:$F$39)),ABS(AI291-ICL3_classA!$F$2:$F$39),0))</f>
        <v>72</v>
      </c>
      <c r="U291" s="1">
        <f t="array" ref="U291">INDEX(ICL3_classA!$H$2:$H$39,MATCH(MIN(ABS(AI291-ICL3_classA!$F$2:$F$39)),ABS(AI291-ICL3_classA!$F$2:$F$39),0))</f>
        <v>24</v>
      </c>
      <c r="V291" s="1">
        <v>61</v>
      </c>
      <c r="W291" s="131">
        <f>VLOOKUP($B291&amp;"__wt",'SegEnds_Xtal_BW#'!$A:$Z,23,FALSE)</f>
        <v>24</v>
      </c>
      <c r="X291" s="1">
        <f>VLOOKUP($B291&amp;"__wt",'SegEnds_Xtal_BW#'!$A:$Z,24,FALSE)</f>
        <v>56</v>
      </c>
      <c r="Y291" s="1">
        <f>VLOOKUP($B291&amp;"__wt",'SegEnds_Xtal_BW#'!$A:$Z,25,FALSE)</f>
        <v>47</v>
      </c>
      <c r="Z291" s="1">
        <f>VLOOKUP($B291&amp;"__wt",'SegEnds_Xtal_BW#'!$A:$Z,26,FALSE)</f>
        <v>60</v>
      </c>
      <c r="AA291" s="27" t="str">
        <f>VLOOKUP(A291,Classification!A:B,2,FALSE)</f>
        <v>A</v>
      </c>
      <c r="AB291" s="1">
        <f>VLOOKUP(A291,'SegEnds_NonXtal_Prot#'!A:AL,10,FALSE)-VLOOKUP(A291,'SegEnds_NonXtal_Prot#'!A:AL,4,FALSE)</f>
        <v>28</v>
      </c>
      <c r="AC291" s="1">
        <f>VLOOKUP(A291,'SegEnds_NonXtal_Prot#'!A:AL,10,FALSE)-VLOOKUP(A291,'SegEnds_NonXtal_Prot#'!A:AL,7,FALSE)</f>
        <v>15</v>
      </c>
      <c r="AD291" s="1" t="e">
        <f>VLOOKUP(A291,'SegEnds_NonXtal_Prot#'!A:AL,13,FALSE)-VLOOKUP(A291,'SegEnds_NonXtal_Prot#'!A:AL,10,FALSE)</f>
        <v>#VALUE!</v>
      </c>
      <c r="AE291" s="1">
        <f>VLOOKUP(A291,'SegEnds_NonXtal_Prot#'!A:AL,16,FALSE)-VLOOKUP(A291,'SegEnds_NonXtal_Prot#'!A:AL,10,FALSE)</f>
        <v>52</v>
      </c>
      <c r="AF291" s="1">
        <f>VLOOKUP(A291,'SegEnds_NonXtal_Prot#'!A:AL,22,FALSE)-VLOOKUP(A291,'SegEnds_NonXtal_Prot#'!A:AL,19,FALSE)</f>
        <v>20</v>
      </c>
      <c r="AG291" s="1">
        <f>VLOOKUP(A291,'SegEnds_NonXtal_Prot#'!A:AL,28,FALSE)-VLOOKUP(A291,'SegEnds_NonXtal_Prot#'!A:AL,25,FALSE)</f>
        <v>35</v>
      </c>
      <c r="AH291" s="1">
        <f>VLOOKUP(A291,'SegEnds_NonXtal_Prot#'!A:AL,28,FALSE)-VLOOKUP(A291,'SegEnds_NonXtal_Prot#'!A:AL,22,FALSE)</f>
        <v>65</v>
      </c>
      <c r="AI291" s="1">
        <f>VLOOKUP(A291,'SegEnds_NonXtal_Prot#'!A:AL,31,FALSE)-VLOOKUP(A291,'SegEnds_NonXtal_Prot#'!A:AL,28,FALSE)</f>
        <v>53</v>
      </c>
      <c r="AJ291" s="1">
        <f>VLOOKUP(A291,'SegEnds_NonXtal_Prot#'!A:AL,34,FALSE)-VLOOKUP(A291,'SegEnds_NonXtal_Prot#'!A:AL,31,FALSE)</f>
        <v>39</v>
      </c>
      <c r="AK291" s="1">
        <f>VLOOKUP(A291,'SegEnds_NonXtal_Prot#'!A:AL,37,FALSE)-VLOOKUP(A291,'SegEnds_NonXtal_Prot#'!A:AL,34,FALSE)</f>
        <v>10</v>
      </c>
      <c r="AL291" s="1" t="str">
        <f>IF(ISERROR(MATCH(A291,'SegEnds_Xtal_Prot#'!B:B, 0)), "NoXtal", "Xtal")</f>
        <v>NoXtal</v>
      </c>
    </row>
    <row r="292" spans="1:38" x14ac:dyDescent="0.2">
      <c r="A292" s="1" t="s">
        <v>254</v>
      </c>
      <c r="B292" s="1" t="str">
        <f>VLOOKUP(A292,Xtal_Templ!A:B,2,FALSE)</f>
        <v>ednrb_human</v>
      </c>
      <c r="C292" s="5">
        <f>VLOOKUP($B292&amp;"__wt",'SegEnds_Xtal_BW#'!$A:$Z,3,FALSE)</f>
        <v>22</v>
      </c>
      <c r="D292" s="1">
        <f>VLOOKUP($B292&amp;"__wt",'SegEnds_Xtal_BW#'!$A:$Z,4,FALSE)</f>
        <v>60</v>
      </c>
      <c r="E292" s="1">
        <f>VLOOKUP($B292&amp;"__wt",'SegEnds_Xtal_BW#'!$A:$Z,5,FALSE)</f>
        <v>48</v>
      </c>
      <c r="F292" s="1">
        <f>VLOOKUP($B292&amp;"__wt",'SegEnds_Xtal_BW#'!$A:$Z,6,FALSE)</f>
        <v>52</v>
      </c>
      <c r="G292" s="1">
        <v>37</v>
      </c>
      <c r="H292" s="12">
        <f>VLOOKUP($B292&amp;"__wt",'SegEnds_Xtal_BW#'!$A:$Z,8,FALSE)</f>
        <v>67</v>
      </c>
      <c r="I292" s="1">
        <f>VLOOKUP($B292&amp;"__wt",'SegEnds_Xtal_BW#'!$A:$Z,9,FALSE)</f>
        <v>49</v>
      </c>
      <c r="J292" s="1">
        <f>VLOOKUP($B292&amp;"__wt",'SegEnds_Xtal_BW#'!$A:$Z,10,FALSE)</f>
        <v>52</v>
      </c>
      <c r="K292" s="12">
        <v>18</v>
      </c>
      <c r="L292" s="1">
        <f>VLOOKUP($B292&amp;"__wt",'SegEnds_Xtal_BW#'!$A:$Z,12,FALSE)</f>
        <v>56</v>
      </c>
      <c r="M292" s="1">
        <f>VLOOKUP($B292&amp;"__wt",'SegEnds_Xtal_BW#'!$A:$Z,13,FALSE)</f>
        <v>50</v>
      </c>
      <c r="N292" s="12">
        <v>57</v>
      </c>
      <c r="O292" s="87">
        <v>38</v>
      </c>
      <c r="P292" s="1">
        <f>VLOOKUP($B292&amp;"__wt",'SegEnds_Xtal_BW#'!$A:$Z,16,FALSE)</f>
        <v>64</v>
      </c>
      <c r="Q292" s="1">
        <f>VLOOKUP($B292&amp;"__wt",'SegEnds_Xtal_BW#'!$A:$Z,17,FALSE)</f>
        <v>50</v>
      </c>
      <c r="R292" s="1">
        <f>VLOOKUP($B292&amp;"__wt",'SegEnds_Xtal_BW#'!$A:$Z,18,FALSE)</f>
        <v>52</v>
      </c>
      <c r="S292" s="1">
        <f>VLOOKUP($B292&amp;"__wt",'SegEnds_Xtal_BW#'!$A:$Z,19,FALSE)</f>
        <v>28</v>
      </c>
      <c r="T292" s="1">
        <f t="array" ref="T292">INDEX(ICL3_classA!$G$2:$G$39,MATCH(MIN(ABS(AI292-ICL3_classA!$F$2:$F$39)),ABS(AI292-ICL3_classA!$F$2:$F$39),0))</f>
        <v>72</v>
      </c>
      <c r="U292" s="1">
        <f t="array" ref="U292">INDEX(ICL3_classA!$H$2:$H$39,MATCH(MIN(ABS(AI292-ICL3_classA!$F$2:$F$39)),ABS(AI292-ICL3_classA!$F$2:$F$39),0))</f>
        <v>24</v>
      </c>
      <c r="V292" s="1">
        <v>61</v>
      </c>
      <c r="W292" s="131">
        <f>VLOOKUP($B292&amp;"__wt",'SegEnds_Xtal_BW#'!$A:$Z,23,FALSE)</f>
        <v>24</v>
      </c>
      <c r="X292" s="1">
        <f>VLOOKUP($B292&amp;"__wt",'SegEnds_Xtal_BW#'!$A:$Z,24,FALSE)</f>
        <v>56</v>
      </c>
      <c r="Y292" s="1">
        <f>VLOOKUP($B292&amp;"__wt",'SegEnds_Xtal_BW#'!$A:$Z,25,FALSE)</f>
        <v>47</v>
      </c>
      <c r="Z292" s="1">
        <f>VLOOKUP($B292&amp;"__wt",'SegEnds_Xtal_BW#'!$A:$Z,26,FALSE)</f>
        <v>60</v>
      </c>
      <c r="AA292" s="27" t="str">
        <f>VLOOKUP(A292,Classification!A:B,2,FALSE)</f>
        <v>A</v>
      </c>
      <c r="AB292" s="1">
        <f>VLOOKUP(A292,'SegEnds_NonXtal_Prot#'!A:AL,10,FALSE)-VLOOKUP(A292,'SegEnds_NonXtal_Prot#'!A:AL,4,FALSE)</f>
        <v>28</v>
      </c>
      <c r="AC292" s="1">
        <f>VLOOKUP(A292,'SegEnds_NonXtal_Prot#'!A:AL,10,FALSE)-VLOOKUP(A292,'SegEnds_NonXtal_Prot#'!A:AL,7,FALSE)</f>
        <v>15</v>
      </c>
      <c r="AD292" s="1">
        <f>VLOOKUP(A292,'SegEnds_NonXtal_Prot#'!A:AL,13,FALSE)-VLOOKUP(A292,'SegEnds_NonXtal_Prot#'!A:AL,10,FALSE)</f>
        <v>20</v>
      </c>
      <c r="AE292" s="1">
        <f>VLOOKUP(A292,'SegEnds_NonXtal_Prot#'!A:AL,16,FALSE)-VLOOKUP(A292,'SegEnds_NonXtal_Prot#'!A:AL,10,FALSE)</f>
        <v>52</v>
      </c>
      <c r="AF292" s="1">
        <f>VLOOKUP(A292,'SegEnds_NonXtal_Prot#'!A:AL,22,FALSE)-VLOOKUP(A292,'SegEnds_NonXtal_Prot#'!A:AL,19,FALSE)</f>
        <v>20</v>
      </c>
      <c r="AG292" s="1">
        <f>VLOOKUP(A292,'SegEnds_NonXtal_Prot#'!A:AL,28,FALSE)-VLOOKUP(A292,'SegEnds_NonXtal_Prot#'!A:AL,25,FALSE)</f>
        <v>35</v>
      </c>
      <c r="AH292" s="1">
        <f>VLOOKUP(A292,'SegEnds_NonXtal_Prot#'!A:AL,28,FALSE)-VLOOKUP(A292,'SegEnds_NonXtal_Prot#'!A:AL,22,FALSE)</f>
        <v>67</v>
      </c>
      <c r="AI292" s="1">
        <f>VLOOKUP(A292,'SegEnds_NonXtal_Prot#'!A:AL,31,FALSE)-VLOOKUP(A292,'SegEnds_NonXtal_Prot#'!A:AL,28,FALSE)</f>
        <v>53</v>
      </c>
      <c r="AJ292" s="1">
        <f>VLOOKUP(A292,'SegEnds_NonXtal_Prot#'!A:AL,34,FALSE)-VLOOKUP(A292,'SegEnds_NonXtal_Prot#'!A:AL,31,FALSE)</f>
        <v>39</v>
      </c>
      <c r="AK292" s="1">
        <f>VLOOKUP(A292,'SegEnds_NonXtal_Prot#'!A:AL,37,FALSE)-VLOOKUP(A292,'SegEnds_NonXtal_Prot#'!A:AL,34,FALSE)</f>
        <v>10</v>
      </c>
      <c r="AL292" s="1" t="str">
        <f>IF(ISERROR(MATCH(A292,'SegEnds_Xtal_Prot#'!B:B, 0)), "NoXtal", "Xtal")</f>
        <v>NoXtal</v>
      </c>
    </row>
    <row r="293" spans="1:38" x14ac:dyDescent="0.2">
      <c r="A293" s="1" t="s">
        <v>181</v>
      </c>
      <c r="B293" s="1" t="str">
        <f>VLOOKUP(A293,Xtal_Templ!A:B,2,FALSE)</f>
        <v>fpr2_human</v>
      </c>
      <c r="C293" s="5">
        <f>VLOOKUP($B293&amp;"__wt",'SegEnds_Xtal_BW#'!$A:$Z,3,FALSE)</f>
        <v>25</v>
      </c>
      <c r="D293" s="1">
        <f>VLOOKUP($B293&amp;"__wt",'SegEnds_Xtal_BW#'!$A:$Z,4,FALSE)</f>
        <v>61</v>
      </c>
      <c r="E293" s="1" t="str">
        <f>VLOOKUP($B293&amp;"__wt",'SegEnds_Xtal_BW#'!$A:$Z,5,FALSE)</f>
        <v>-</v>
      </c>
      <c r="F293" s="1" t="str">
        <f>VLOOKUP($B293&amp;"__wt",'SegEnds_Xtal_BW#'!$A:$Z,6,FALSE)</f>
        <v>-</v>
      </c>
      <c r="G293" s="1">
        <v>37</v>
      </c>
      <c r="H293" s="12">
        <f>VLOOKUP($B293&amp;"__wt",'SegEnds_Xtal_BW#'!$A:$Z,8,FALSE)</f>
        <v>67</v>
      </c>
      <c r="I293" s="1">
        <f>VLOOKUP($B293&amp;"__wt",'SegEnds_Xtal_BW#'!$A:$Z,9,FALSE)</f>
        <v>49</v>
      </c>
      <c r="J293" s="1">
        <f>VLOOKUP($B293&amp;"__wt",'SegEnds_Xtal_BW#'!$A:$Z,10,FALSE)</f>
        <v>52</v>
      </c>
      <c r="K293" s="12">
        <v>18</v>
      </c>
      <c r="L293" s="1">
        <f>VLOOKUP($B293&amp;"__wt",'SegEnds_Xtal_BW#'!$A:$Z,12,FALSE)</f>
        <v>56</v>
      </c>
      <c r="M293" s="1">
        <f>VLOOKUP($B293&amp;"__wt",'SegEnds_Xtal_BW#'!$A:$Z,13,FALSE)</f>
        <v>50</v>
      </c>
      <c r="N293" s="12">
        <v>57</v>
      </c>
      <c r="O293" s="87">
        <v>38</v>
      </c>
      <c r="P293" s="1">
        <f>VLOOKUP($B293&amp;"__wt",'SegEnds_Xtal_BW#'!$A:$Z,16,FALSE)</f>
        <v>64</v>
      </c>
      <c r="Q293" s="1">
        <f>VLOOKUP($B293&amp;"__wt",'SegEnds_Xtal_BW#'!$A:$Z,17,FALSE)</f>
        <v>50</v>
      </c>
      <c r="R293" s="1">
        <f>VLOOKUP($B293&amp;"__wt",'SegEnds_Xtal_BW#'!$A:$Z,18,FALSE)</f>
        <v>52</v>
      </c>
      <c r="S293" s="1">
        <f>VLOOKUP($B293&amp;"__wt",'SegEnds_Xtal_BW#'!$A:$Z,19,FALSE)</f>
        <v>23</v>
      </c>
      <c r="T293" s="1">
        <f t="array" ref="T293">INDEX(ICL3_classA!$G$2:$G$39,MATCH(MIN(ABS(AI293-ICL3_classA!$F$2:$F$39)),ABS(AI293-ICL3_classA!$F$2:$F$39),0))</f>
        <v>68</v>
      </c>
      <c r="U293" s="1">
        <f t="array" ref="U293">INDEX(ICL3_classA!$H$2:$H$39,MATCH(MIN(ABS(AI293-ICL3_classA!$F$2:$F$39)),ABS(AI293-ICL3_classA!$F$2:$F$39),0))</f>
        <v>30</v>
      </c>
      <c r="V293" s="1">
        <v>61</v>
      </c>
      <c r="W293" s="108">
        <v>25</v>
      </c>
      <c r="X293" s="1">
        <f>VLOOKUP($B293&amp;"__wt",'SegEnds_Xtal_BW#'!$A:$Z,24,FALSE)</f>
        <v>56</v>
      </c>
      <c r="Y293" s="1">
        <f>VLOOKUP($B293&amp;"__wt",'SegEnds_Xtal_BW#'!$A:$Z,25,FALSE)</f>
        <v>47</v>
      </c>
      <c r="Z293" s="1">
        <f>VLOOKUP($B293&amp;"__wt",'SegEnds_Xtal_BW#'!$A:$Z,26,FALSE)</f>
        <v>58</v>
      </c>
      <c r="AA293" s="27" t="str">
        <f>VLOOKUP(A293,Classification!A:B,2,FALSE)</f>
        <v>A</v>
      </c>
      <c r="AB293" s="1">
        <f>VLOOKUP(A293,'SegEnds_NonXtal_Prot#'!A:AL,10,FALSE)-VLOOKUP(A293,'SegEnds_NonXtal_Prot#'!A:AL,4,FALSE)</f>
        <v>27</v>
      </c>
      <c r="AC293" s="1" t="e">
        <f>VLOOKUP(A293,'SegEnds_NonXtal_Prot#'!A:AL,10,FALSE)-VLOOKUP(A293,'SegEnds_NonXtal_Prot#'!A:AL,7,FALSE)</f>
        <v>#VALUE!</v>
      </c>
      <c r="AD293" s="1">
        <f>VLOOKUP(A293,'SegEnds_NonXtal_Prot#'!A:AL,13,FALSE)-VLOOKUP(A293,'SegEnds_NonXtal_Prot#'!A:AL,10,FALSE)</f>
        <v>20</v>
      </c>
      <c r="AE293" s="1">
        <f>VLOOKUP(A293,'SegEnds_NonXtal_Prot#'!A:AL,16,FALSE)-VLOOKUP(A293,'SegEnds_NonXtal_Prot#'!A:AL,10,FALSE)</f>
        <v>52</v>
      </c>
      <c r="AF293" s="1">
        <f>VLOOKUP(A293,'SegEnds_NonXtal_Prot#'!A:AL,22,FALSE)-VLOOKUP(A293,'SegEnds_NonXtal_Prot#'!A:AL,19,FALSE)</f>
        <v>20</v>
      </c>
      <c r="AG293" s="1">
        <f>VLOOKUP(A293,'SegEnds_NonXtal_Prot#'!A:AL,28,FALSE)-VLOOKUP(A293,'SegEnds_NonXtal_Prot#'!A:AL,25,FALSE)</f>
        <v>43</v>
      </c>
      <c r="AH293" s="1">
        <f>VLOOKUP(A293,'SegEnds_NonXtal_Prot#'!A:AL,28,FALSE)-VLOOKUP(A293,'SegEnds_NonXtal_Prot#'!A:AL,22,FALSE)</f>
        <v>68</v>
      </c>
      <c r="AI293" s="1">
        <f>VLOOKUP(A293,'SegEnds_NonXtal_Prot#'!A:AL,31,FALSE)-VLOOKUP(A293,'SegEnds_NonXtal_Prot#'!A:AL,28,FALSE)</f>
        <v>43</v>
      </c>
      <c r="AJ293" s="1">
        <f>VLOOKUP(A293,'SegEnds_NonXtal_Prot#'!A:AL,34,FALSE)-VLOOKUP(A293,'SegEnds_NonXtal_Prot#'!A:AL,31,FALSE)</f>
        <v>38</v>
      </c>
      <c r="AK293" s="1">
        <f>VLOOKUP(A293,'SegEnds_NonXtal_Prot#'!A:AL,37,FALSE)-VLOOKUP(A293,'SegEnds_NonXtal_Prot#'!A:AL,34,FALSE)</f>
        <v>10</v>
      </c>
      <c r="AL293" s="1" t="str">
        <f>IF(ISERROR(MATCH(A293,'SegEnds_Xtal_Prot#'!B:B, 0)), "NoXtal", "Xtal")</f>
        <v>NoXtal</v>
      </c>
    </row>
    <row r="294" spans="1:38" x14ac:dyDescent="0.2">
      <c r="A294" s="1" t="s">
        <v>255</v>
      </c>
      <c r="B294" s="1" t="str">
        <f>VLOOKUP(A294,Xtal_Templ!A:B,2,FALSE)</f>
        <v>ntr1_rat</v>
      </c>
      <c r="C294" s="5">
        <f>VLOOKUP($B294&amp;"__wt",'SegEnds_Xtal_BW#'!$A:$Z,3,FALSE)</f>
        <v>29</v>
      </c>
      <c r="D294" s="1">
        <f>VLOOKUP($B294&amp;"__wt",'SegEnds_Xtal_BW#'!$A:$Z,4,FALSE)</f>
        <v>60</v>
      </c>
      <c r="E294" s="1" t="str">
        <f>VLOOKUP($B294&amp;"__wt",'SegEnds_Xtal_BW#'!$A:$Z,5,FALSE)</f>
        <v>-</v>
      </c>
      <c r="F294" s="1" t="str">
        <f>VLOOKUP($B294&amp;"__wt",'SegEnds_Xtal_BW#'!$A:$Z,6,FALSE)</f>
        <v>-</v>
      </c>
      <c r="G294" s="1">
        <v>37</v>
      </c>
      <c r="H294" s="12">
        <f>VLOOKUP($B294&amp;"__wt",'SegEnds_Xtal_BW#'!$A:$Z,8,FALSE)</f>
        <v>68</v>
      </c>
      <c r="I294" s="1">
        <f>VLOOKUP($B294&amp;"__wt",'SegEnds_Xtal_BW#'!$A:$Z,9,FALSE)</f>
        <v>49</v>
      </c>
      <c r="J294" s="1">
        <f>VLOOKUP($B294&amp;"__wt",'SegEnds_Xtal_BW#'!$A:$Z,10,FALSE)</f>
        <v>52</v>
      </c>
      <c r="K294" s="12">
        <v>18</v>
      </c>
      <c r="L294" s="1">
        <f>VLOOKUP($B294&amp;"__wt",'SegEnds_Xtal_BW#'!$A:$Z,12,FALSE)</f>
        <v>56</v>
      </c>
      <c r="M294" s="1">
        <f>VLOOKUP($B294&amp;"__wt",'SegEnds_Xtal_BW#'!$A:$Z,13,FALSE)</f>
        <v>50</v>
      </c>
      <c r="N294" s="12">
        <f>VLOOKUP($B294&amp;"__wt",'SegEnds_Xtal_BW#'!$A:$Z,14,FALSE)</f>
        <v>57</v>
      </c>
      <c r="O294" s="87">
        <f>VLOOKUP($B294&amp;"__wt",'SegEnds_Xtal_BW#'!$A:$Z,15,FALSE)</f>
        <v>38</v>
      </c>
      <c r="P294" s="1">
        <f>VLOOKUP($B294&amp;"__wt",'SegEnds_Xtal_BW#'!$A:$Z,16,FALSE)</f>
        <v>64</v>
      </c>
      <c r="Q294" s="1">
        <f>VLOOKUP($B294&amp;"__wt",'SegEnds_Xtal_BW#'!$A:$Z,17,FALSE)</f>
        <v>50</v>
      </c>
      <c r="R294" s="1">
        <f>VLOOKUP($B294&amp;"__wt",'SegEnds_Xtal_BW#'!$A:$Z,18,FALSE)</f>
        <v>52</v>
      </c>
      <c r="S294" s="1">
        <v>35</v>
      </c>
      <c r="T294" s="1">
        <f t="array" ref="T294">INDEX(ICL3_classA!$G$2:$G$39,MATCH(MIN(ABS(AI294-ICL3_classA!$F$2:$F$39)),ABS(AI294-ICL3_classA!$F$2:$F$39),0))</f>
        <v>76</v>
      </c>
      <c r="U294" s="1">
        <f t="array" ref="U294">INDEX(ICL3_classA!$H$2:$H$39,MATCH(MIN(ABS(AI294-ICL3_classA!$F$2:$F$39)),ABS(AI294-ICL3_classA!$F$2:$F$39),0))</f>
        <v>24</v>
      </c>
      <c r="V294" s="1">
        <v>61</v>
      </c>
      <c r="W294" s="1">
        <v>24</v>
      </c>
      <c r="X294" s="1">
        <f>VLOOKUP($B294&amp;"__wt",'SegEnds_Xtal_BW#'!$A:$Z,24,FALSE)</f>
        <v>56</v>
      </c>
      <c r="Y294" s="1">
        <f>VLOOKUP($B294&amp;"__wt",'SegEnds_Xtal_BW#'!$A:$Z,25,FALSE)</f>
        <v>47</v>
      </c>
      <c r="Z294" s="1">
        <f>VLOOKUP($B294&amp;"__wt",'SegEnds_Xtal_BW#'!$A:$Z,26,FALSE)</f>
        <v>62</v>
      </c>
      <c r="AA294" s="27" t="str">
        <f>VLOOKUP(A294,Classification!A:B,2,FALSE)</f>
        <v>A</v>
      </c>
      <c r="AB294" s="1">
        <f>VLOOKUP(A294,'SegEnds_NonXtal_Prot#'!A:AL,10,FALSE)-VLOOKUP(A294,'SegEnds_NonXtal_Prot#'!A:AL,4,FALSE)</f>
        <v>31</v>
      </c>
      <c r="AC294" s="1" t="e">
        <f>VLOOKUP(A294,'SegEnds_NonXtal_Prot#'!A:AL,10,FALSE)-VLOOKUP(A294,'SegEnds_NonXtal_Prot#'!A:AL,7,FALSE)</f>
        <v>#VALUE!</v>
      </c>
      <c r="AD294" s="1" t="e">
        <f>VLOOKUP(A294,'SegEnds_NonXtal_Prot#'!A:AL,13,FALSE)-VLOOKUP(A294,'SegEnds_NonXtal_Prot#'!A:AL,10,FALSE)</f>
        <v>#VALUE!</v>
      </c>
      <c r="AE294" s="1">
        <f>VLOOKUP(A294,'SegEnds_NonXtal_Prot#'!A:AL,16,FALSE)-VLOOKUP(A294,'SegEnds_NonXtal_Prot#'!A:AL,10,FALSE)</f>
        <v>54</v>
      </c>
      <c r="AF294" s="1">
        <f>VLOOKUP(A294,'SegEnds_NonXtal_Prot#'!A:AL,22,FALSE)-VLOOKUP(A294,'SegEnds_NonXtal_Prot#'!A:AL,19,FALSE)</f>
        <v>20</v>
      </c>
      <c r="AG294" s="1">
        <f>VLOOKUP(A294,'SegEnds_NonXtal_Prot#'!A:AL,28,FALSE)-VLOOKUP(A294,'SegEnds_NonXtal_Prot#'!A:AL,25,FALSE)</f>
        <v>21</v>
      </c>
      <c r="AH294" s="1">
        <f>VLOOKUP(A294,'SegEnds_NonXtal_Prot#'!A:AL,28,FALSE)-VLOOKUP(A294,'SegEnds_NonXtal_Prot#'!A:AL,22,FALSE)</f>
        <v>71</v>
      </c>
      <c r="AI294" s="1">
        <f>VLOOKUP(A294,'SegEnds_NonXtal_Prot#'!A:AL,31,FALSE)-VLOOKUP(A294,'SegEnds_NonXtal_Prot#'!A:AL,28,FALSE)</f>
        <v>67</v>
      </c>
      <c r="AJ294" s="1">
        <f>VLOOKUP(A294,'SegEnds_NonXtal_Prot#'!A:AL,34,FALSE)-VLOOKUP(A294,'SegEnds_NonXtal_Prot#'!A:AL,31,FALSE)</f>
        <v>43</v>
      </c>
      <c r="AK294" s="1">
        <f>VLOOKUP(A294,'SegEnds_NonXtal_Prot#'!A:AL,37,FALSE)-VLOOKUP(A294,'SegEnds_NonXtal_Prot#'!A:AL,34,FALSE)</f>
        <v>10</v>
      </c>
      <c r="AL294" s="1" t="str">
        <f>IF(ISERROR(MATCH(A294,'SegEnds_Xtal_Prot#'!B:B, 0)), "NoXtal", "Xtal")</f>
        <v>NoXtal</v>
      </c>
    </row>
    <row r="295" spans="1:38" x14ac:dyDescent="0.2">
      <c r="A295" s="1" t="s">
        <v>194</v>
      </c>
      <c r="B295" s="1" t="str">
        <f>VLOOKUP(A295,Xtal_Templ!A:B,2,FALSE)</f>
        <v>adrb2_human</v>
      </c>
      <c r="C295" s="5">
        <f>VLOOKUP($B295&amp;"__wt",'SegEnds_Xtal_BW#'!$A:$Z,3,FALSE)</f>
        <v>25</v>
      </c>
      <c r="D295" s="1">
        <f>VLOOKUP($B295&amp;"__wt",'SegEnds_Xtal_BW#'!$A:$Z,4,FALSE)</f>
        <v>60</v>
      </c>
      <c r="E295" s="1">
        <f>VLOOKUP($B295&amp;"__wt",'SegEnds_Xtal_BW#'!$A:$Z,5,FALSE)</f>
        <v>48</v>
      </c>
      <c r="F295" s="1">
        <f>VLOOKUP($B295&amp;"__wt",'SegEnds_Xtal_BW#'!$A:$Z,6,FALSE)</f>
        <v>51</v>
      </c>
      <c r="G295" s="1">
        <v>37</v>
      </c>
      <c r="H295" s="12">
        <v>66</v>
      </c>
      <c r="I295" s="1">
        <f>VLOOKUP($B295&amp;"__wt",'SegEnds_Xtal_BW#'!$A:$Z,9,FALSE)</f>
        <v>49</v>
      </c>
      <c r="J295" s="1">
        <f>VLOOKUP($B295&amp;"__wt",'SegEnds_Xtal_BW#'!$A:$Z,10,FALSE)</f>
        <v>52</v>
      </c>
      <c r="K295" s="12">
        <v>21</v>
      </c>
      <c r="L295" s="1">
        <f>VLOOKUP($B295&amp;"__wt",'SegEnds_Xtal_BW#'!$A:$Z,12,FALSE)</f>
        <v>56</v>
      </c>
      <c r="M295" s="1">
        <f>VLOOKUP($B295&amp;"__wt",'SegEnds_Xtal_BW#'!$A:$Z,13,FALSE)</f>
        <v>50</v>
      </c>
      <c r="N295" s="12">
        <v>57</v>
      </c>
      <c r="O295" s="87">
        <v>38</v>
      </c>
      <c r="P295" s="1">
        <f>VLOOKUP($B295&amp;"__wt",'SegEnds_Xtal_BW#'!$A:$Z,16,FALSE)</f>
        <v>64</v>
      </c>
      <c r="Q295" s="1">
        <f>VLOOKUP($B295&amp;"__wt",'SegEnds_Xtal_BW#'!$A:$Z,17,FALSE)</f>
        <v>50</v>
      </c>
      <c r="R295" s="1">
        <f>VLOOKUP($B295&amp;"__wt",'SegEnds_Xtal_BW#'!$A:$Z,18,FALSE)</f>
        <v>52</v>
      </c>
      <c r="S295" s="1">
        <v>35</v>
      </c>
      <c r="T295" s="1">
        <f t="array" ref="T295">INDEX(ICL3_classA!$G$2:$G$39,MATCH(MIN(ABS(AI295-ICL3_classA!$F$2:$F$39)),ABS(AI295-ICL3_classA!$F$2:$F$39),0))</f>
        <v>76</v>
      </c>
      <c r="U295" s="1">
        <f t="array" ref="U295">INDEX(ICL3_classA!$H$2:$H$39,MATCH(MIN(ABS(AI295-ICL3_classA!$F$2:$F$39)),ABS(AI295-ICL3_classA!$F$2:$F$39),0))</f>
        <v>24</v>
      </c>
      <c r="V295" s="1">
        <v>64</v>
      </c>
      <c r="W295" s="1">
        <v>24</v>
      </c>
      <c r="X295" s="125">
        <v>56</v>
      </c>
      <c r="Y295" s="1">
        <f>VLOOKUP($B295&amp;"__wt",'SegEnds_Xtal_BW#'!$A:$Z,25,FALSE)</f>
        <v>47</v>
      </c>
      <c r="Z295" s="1">
        <f>VLOOKUP($B295&amp;"__wt",'SegEnds_Xtal_BW#'!$A:$Z,26,FALSE)</f>
        <v>59</v>
      </c>
      <c r="AA295" s="27" t="str">
        <f>VLOOKUP(A295,Classification!A:B,2,FALSE)</f>
        <v>A</v>
      </c>
      <c r="AB295" s="1">
        <f>VLOOKUP(A295,'SegEnds_NonXtal_Prot#'!A:AL,10,FALSE)-VLOOKUP(A295,'SegEnds_NonXtal_Prot#'!A:AL,4,FALSE)</f>
        <v>29</v>
      </c>
      <c r="AC295" s="1">
        <f>VLOOKUP(A295,'SegEnds_NonXtal_Prot#'!A:AL,10,FALSE)-VLOOKUP(A295,'SegEnds_NonXtal_Prot#'!A:AL,7,FALSE)</f>
        <v>16</v>
      </c>
      <c r="AD295" s="1">
        <f>VLOOKUP(A295,'SegEnds_NonXtal_Prot#'!A:AL,13,FALSE)-VLOOKUP(A295,'SegEnds_NonXtal_Prot#'!A:AL,10,FALSE)</f>
        <v>20</v>
      </c>
      <c r="AE295" s="1">
        <f>VLOOKUP(A295,'SegEnds_NonXtal_Prot#'!A:AL,16,FALSE)-VLOOKUP(A295,'SegEnds_NonXtal_Prot#'!A:AL,10,FALSE)</f>
        <v>51</v>
      </c>
      <c r="AF295" s="1">
        <f>VLOOKUP(A295,'SegEnds_NonXtal_Prot#'!A:AL,22,FALSE)-VLOOKUP(A295,'SegEnds_NonXtal_Prot#'!A:AL,19,FALSE)</f>
        <v>20</v>
      </c>
      <c r="AG295" s="1">
        <f>VLOOKUP(A295,'SegEnds_NonXtal_Prot#'!A:AL,28,FALSE)-VLOOKUP(A295,'SegEnds_NonXtal_Prot#'!A:AL,25,FALSE)</f>
        <v>20</v>
      </c>
      <c r="AH295" s="1">
        <f>VLOOKUP(A295,'SegEnds_NonXtal_Prot#'!A:AL,28,FALSE)-VLOOKUP(A295,'SegEnds_NonXtal_Prot#'!A:AL,22,FALSE)</f>
        <v>72</v>
      </c>
      <c r="AI295" s="1">
        <f>VLOOKUP(A295,'SegEnds_NonXtal_Prot#'!A:AL,31,FALSE)-VLOOKUP(A295,'SegEnds_NonXtal_Prot#'!A:AL,28,FALSE)</f>
        <v>74</v>
      </c>
      <c r="AJ295" s="1">
        <f>VLOOKUP(A295,'SegEnds_NonXtal_Prot#'!A:AL,34,FALSE)-VLOOKUP(A295,'SegEnds_NonXtal_Prot#'!A:AL,31,FALSE)</f>
        <v>45</v>
      </c>
      <c r="AK295" s="1">
        <f>VLOOKUP(A295,'SegEnds_NonXtal_Prot#'!A:AL,37,FALSE)-VLOOKUP(A295,'SegEnds_NonXtal_Prot#'!A:AL,34,FALSE)</f>
        <v>10</v>
      </c>
      <c r="AL295" s="1" t="str">
        <f>IF(ISERROR(MATCH(A295,'SegEnds_Xtal_Prot#'!B:B, 0)), "NoXtal", "Xtal")</f>
        <v>NoXtal</v>
      </c>
    </row>
    <row r="296" spans="1:38" x14ac:dyDescent="0.2">
      <c r="A296" s="1" t="s">
        <v>272</v>
      </c>
      <c r="B296" s="1" t="str">
        <f>VLOOKUP(A296,Xtal_Templ!A:B,2,FALSE)</f>
        <v>ox1r_human</v>
      </c>
      <c r="C296" s="5">
        <f>VLOOKUP($B296&amp;"__wt",'SegEnds_Xtal_BW#'!$A:$Z,3,FALSE)</f>
        <v>32</v>
      </c>
      <c r="D296" s="1">
        <f>VLOOKUP($B296&amp;"__wt",'SegEnds_Xtal_BW#'!$A:$Z,4,FALSE)</f>
        <v>60</v>
      </c>
      <c r="E296" s="1">
        <f>VLOOKUP($B296&amp;"__wt",'SegEnds_Xtal_BW#'!$A:$Z,5,FALSE)</f>
        <v>48</v>
      </c>
      <c r="F296" s="1">
        <f>VLOOKUP($B296&amp;"__wt",'SegEnds_Xtal_BW#'!$A:$Z,6,FALSE)</f>
        <v>51</v>
      </c>
      <c r="G296" s="1">
        <v>37</v>
      </c>
      <c r="H296" s="12">
        <f>VLOOKUP($B296&amp;"__wt",'SegEnds_Xtal_BW#'!$A:$Z,8,FALSE)</f>
        <v>68</v>
      </c>
      <c r="I296" s="1">
        <f>VLOOKUP($B296&amp;"__wt",'SegEnds_Xtal_BW#'!$A:$Z,9,FALSE)</f>
        <v>49</v>
      </c>
      <c r="J296" s="1">
        <f>VLOOKUP($B296&amp;"__wt",'SegEnds_Xtal_BW#'!$A:$Z,10,FALSE)</f>
        <v>52</v>
      </c>
      <c r="K296" s="12">
        <v>18</v>
      </c>
      <c r="L296" s="1">
        <f>VLOOKUP($B296&amp;"__wt",'SegEnds_Xtal_BW#'!$A:$Z,12,FALSE)</f>
        <v>56</v>
      </c>
      <c r="M296" s="1">
        <f>VLOOKUP($B296&amp;"__wt",'SegEnds_Xtal_BW#'!$A:$Z,13,FALSE)</f>
        <v>50</v>
      </c>
      <c r="N296" s="12">
        <v>57</v>
      </c>
      <c r="O296" s="87">
        <f>VLOOKUP($B296&amp;"__wt",'SegEnds_Xtal_BW#'!$A:$Z,15,FALSE)</f>
        <v>38</v>
      </c>
      <c r="P296" s="1">
        <f>VLOOKUP($B296&amp;"__wt",'SegEnds_Xtal_BW#'!$A:$Z,16,FALSE)</f>
        <v>64</v>
      </c>
      <c r="Q296" s="1">
        <f>VLOOKUP($B296&amp;"__wt",'SegEnds_Xtal_BW#'!$A:$Z,17,FALSE)</f>
        <v>50</v>
      </c>
      <c r="R296" s="1">
        <f>VLOOKUP($B296&amp;"__wt",'SegEnds_Xtal_BW#'!$A:$Z,18,FALSE)</f>
        <v>52</v>
      </c>
      <c r="S296" s="1">
        <v>35</v>
      </c>
      <c r="T296" s="1">
        <f t="array" ref="T296">INDEX(ICL3_classA!$G$2:$G$39,MATCH(MIN(ABS(AI296-ICL3_classA!$F$2:$F$39)),ABS(AI296-ICL3_classA!$F$2:$F$39),0))</f>
        <v>74</v>
      </c>
      <c r="U296" s="1">
        <f t="array" ref="U296">INDEX(ICL3_classA!$H$2:$H$39,MATCH(MIN(ABS(AI296-ICL3_classA!$F$2:$F$39)),ABS(AI296-ICL3_classA!$F$2:$F$39),0))</f>
        <v>21</v>
      </c>
      <c r="V296" s="1">
        <v>61</v>
      </c>
      <c r="W296" s="1">
        <v>32</v>
      </c>
      <c r="X296" s="1">
        <f>VLOOKUP($B296&amp;"__wt",'SegEnds_Xtal_BW#'!$A:$Z,24,FALSE)</f>
        <v>56</v>
      </c>
      <c r="Y296" s="1">
        <f>VLOOKUP($B296&amp;"__wt",'SegEnds_Xtal_BW#'!$A:$Z,25,FALSE)</f>
        <v>47</v>
      </c>
      <c r="Z296" s="1">
        <f>VLOOKUP($B296&amp;"__wt",'SegEnds_Xtal_BW#'!$A:$Z,26,FALSE)</f>
        <v>63</v>
      </c>
      <c r="AA296" s="27" t="str">
        <f>VLOOKUP(A296,Classification!A:B,2,FALSE)</f>
        <v>A</v>
      </c>
      <c r="AB296" s="1">
        <f>VLOOKUP(A296,'SegEnds_NonXtal_Prot#'!A:AL,10,FALSE)-VLOOKUP(A296,'SegEnds_NonXtal_Prot#'!A:AL,4,FALSE)</f>
        <v>28</v>
      </c>
      <c r="AC296" s="1">
        <f>VLOOKUP(A296,'SegEnds_NonXtal_Prot#'!A:AL,10,FALSE)-VLOOKUP(A296,'SegEnds_NonXtal_Prot#'!A:AL,7,FALSE)</f>
        <v>15</v>
      </c>
      <c r="AD296" s="1" t="e">
        <f>VLOOKUP(A296,'SegEnds_NonXtal_Prot#'!A:AL,13,FALSE)-VLOOKUP(A296,'SegEnds_NonXtal_Prot#'!A:AL,10,FALSE)</f>
        <v>#VALUE!</v>
      </c>
      <c r="AE296" s="1">
        <f>VLOOKUP(A296,'SegEnds_NonXtal_Prot#'!A:AL,16,FALSE)-VLOOKUP(A296,'SegEnds_NonXtal_Prot#'!A:AL,10,FALSE)</f>
        <v>61</v>
      </c>
      <c r="AF296" s="1">
        <f>VLOOKUP(A296,'SegEnds_NonXtal_Prot#'!A:AL,22,FALSE)-VLOOKUP(A296,'SegEnds_NonXtal_Prot#'!A:AL,19,FALSE)</f>
        <v>20</v>
      </c>
      <c r="AG296" s="1" t="e">
        <f>VLOOKUP(A296,'SegEnds_NonXtal_Prot#'!A:AL,28,FALSE)-VLOOKUP(A296,'SegEnds_NonXtal_Prot#'!A:AL,25,FALSE)</f>
        <v>#VALUE!</v>
      </c>
      <c r="AH296" s="1">
        <f>VLOOKUP(A296,'SegEnds_NonXtal_Prot#'!A:AL,28,FALSE)-VLOOKUP(A296,'SegEnds_NonXtal_Prot#'!A:AL,22,FALSE)</f>
        <v>72</v>
      </c>
      <c r="AI296" s="1">
        <f>VLOOKUP(A296,'SegEnds_NonXtal_Prot#'!A:AL,31,FALSE)-VLOOKUP(A296,'SegEnds_NonXtal_Prot#'!A:AL,28,FALSE)</f>
        <v>61</v>
      </c>
      <c r="AJ296" s="1">
        <f>VLOOKUP(A296,'SegEnds_NonXtal_Prot#'!A:AL,34,FALSE)-VLOOKUP(A296,'SegEnds_NonXtal_Prot#'!A:AL,31,FALSE)</f>
        <v>34</v>
      </c>
      <c r="AK296" s="1">
        <f>VLOOKUP(A296,'SegEnds_NonXtal_Prot#'!A:AL,37,FALSE)-VLOOKUP(A296,'SegEnds_NonXtal_Prot#'!A:AL,34,FALSE)</f>
        <v>10</v>
      </c>
      <c r="AL296" s="1" t="str">
        <f>IF(ISERROR(MATCH(A296,'SegEnds_Xtal_Prot#'!B:B, 0)), "NoXtal", "Xtal")</f>
        <v>NoXtal</v>
      </c>
    </row>
    <row r="297" spans="1:38" x14ac:dyDescent="0.2">
      <c r="A297" s="1" t="s">
        <v>221</v>
      </c>
      <c r="B297" s="1" t="str">
        <f>VLOOKUP(A297,Xtal_Templ!A:B,2,FALSE)</f>
        <v>cxcr4_human</v>
      </c>
      <c r="C297" s="5">
        <f>VLOOKUP($B297&amp;"__wt",'SegEnds_Xtal_BW#'!$A:$Z,3,FALSE)</f>
        <v>24</v>
      </c>
      <c r="D297" s="1">
        <f>VLOOKUP($B297&amp;"__wt",'SegEnds_Xtal_BW#'!$A:$Z,4,FALSE)</f>
        <v>60</v>
      </c>
      <c r="E297" s="1">
        <f>VLOOKUP($B297&amp;"__wt",'SegEnds_Xtal_BW#'!$A:$Z,5,FALSE)</f>
        <v>48</v>
      </c>
      <c r="F297" s="1">
        <f>VLOOKUP($B297&amp;"__wt",'SegEnds_Xtal_BW#'!$A:$Z,6,FALSE)</f>
        <v>51</v>
      </c>
      <c r="G297" s="1">
        <v>37</v>
      </c>
      <c r="H297" s="12">
        <f>VLOOKUP($B297&amp;"__wt",'SegEnds_Xtal_BW#'!$A:$Z,8,FALSE)</f>
        <v>66</v>
      </c>
      <c r="I297" s="1">
        <f>VLOOKUP($B297&amp;"__wt",'SegEnds_Xtal_BW#'!$A:$Z,9,FALSE)</f>
        <v>49</v>
      </c>
      <c r="J297" s="1">
        <f>VLOOKUP($B297&amp;"__wt",'SegEnds_Xtal_BW#'!$A:$Z,10,FALSE)</f>
        <v>52</v>
      </c>
      <c r="K297" s="12">
        <v>18</v>
      </c>
      <c r="L297" s="1">
        <f>VLOOKUP($B297&amp;"__wt",'SegEnds_Xtal_BW#'!$A:$Z,12,FALSE)</f>
        <v>56</v>
      </c>
      <c r="M297" s="1">
        <f>VLOOKUP($B297&amp;"__wt",'SegEnds_Xtal_BW#'!$A:$Z,13,FALSE)</f>
        <v>50</v>
      </c>
      <c r="N297" s="12">
        <f>VLOOKUP($B297&amp;"__wt",'SegEnds_Xtal_BW#'!$A:$Z,14,FALSE)</f>
        <v>57</v>
      </c>
      <c r="O297" s="87">
        <f>VLOOKUP($B297&amp;"__wt",'SegEnds_Xtal_BW#'!$A:$Z,15,FALSE)</f>
        <v>38</v>
      </c>
      <c r="P297" s="1">
        <f>VLOOKUP($B297&amp;"__wt",'SegEnds_Xtal_BW#'!$A:$Z,16,FALSE)</f>
        <v>64</v>
      </c>
      <c r="Q297" s="1">
        <f>VLOOKUP($B297&amp;"__wt",'SegEnds_Xtal_BW#'!$A:$Z,17,FALSE)</f>
        <v>50</v>
      </c>
      <c r="R297" s="1">
        <f>VLOOKUP($B297&amp;"__wt",'SegEnds_Xtal_BW#'!$A:$Z,18,FALSE)</f>
        <v>52</v>
      </c>
      <c r="S297" s="1">
        <f>VLOOKUP($B297&amp;"__wt",'SegEnds_Xtal_BW#'!$A:$Z,19,FALSE)</f>
        <v>32</v>
      </c>
      <c r="T297" s="1">
        <f t="array" ref="T297">INDEX(ICL3_classA!$G$2:$G$39,MATCH(MIN(ABS(AI297-ICL3_classA!$F$2:$F$39)),ABS(AI297-ICL3_classA!$F$2:$F$39),0))</f>
        <v>74</v>
      </c>
      <c r="U297" s="1">
        <f t="array" ref="U297">INDEX(ICL3_classA!$H$2:$H$39,MATCH(MIN(ABS(AI297-ICL3_classA!$F$2:$F$39)),ABS(AI297-ICL3_classA!$F$2:$F$39),0))</f>
        <v>21</v>
      </c>
      <c r="V297" s="1">
        <v>61</v>
      </c>
      <c r="W297" s="131">
        <f>VLOOKUP($B297&amp;"__wt",'SegEnds_Xtal_BW#'!$A:$Z,23,FALSE)</f>
        <v>24</v>
      </c>
      <c r="X297" s="1">
        <f>VLOOKUP($B297&amp;"__wt",'SegEnds_Xtal_BW#'!$A:$Z,24,FALSE)</f>
        <v>56</v>
      </c>
      <c r="Y297" s="1">
        <f>VLOOKUP($B297&amp;"__wt",'SegEnds_Xtal_BW#'!$A:$Z,25,FALSE)</f>
        <v>47</v>
      </c>
      <c r="Z297" s="1">
        <f>VLOOKUP($B297&amp;"__wt",'SegEnds_Xtal_BW#'!$A:$Z,26,FALSE)</f>
        <v>59</v>
      </c>
      <c r="AA297" s="27" t="str">
        <f>VLOOKUP(A297,Classification!A:B,2,FALSE)</f>
        <v>A</v>
      </c>
      <c r="AB297" s="1">
        <f>VLOOKUP(A297,'SegEnds_NonXtal_Prot#'!A:AL,10,FALSE)-VLOOKUP(A297,'SegEnds_NonXtal_Prot#'!A:AL,4,FALSE)</f>
        <v>33</v>
      </c>
      <c r="AC297" s="1" t="e">
        <f>VLOOKUP(A297,'SegEnds_NonXtal_Prot#'!A:AL,10,FALSE)-VLOOKUP(A297,'SegEnds_NonXtal_Prot#'!A:AL,7,FALSE)</f>
        <v>#VALUE!</v>
      </c>
      <c r="AD297" s="1" t="e">
        <f>VLOOKUP(A297,'SegEnds_NonXtal_Prot#'!A:AL,13,FALSE)-VLOOKUP(A297,'SegEnds_NonXtal_Prot#'!A:AL,10,FALSE)</f>
        <v>#VALUE!</v>
      </c>
      <c r="AE297" s="1">
        <f>VLOOKUP(A297,'SegEnds_NonXtal_Prot#'!A:AL,16,FALSE)-VLOOKUP(A297,'SegEnds_NonXtal_Prot#'!A:AL,10,FALSE)</f>
        <v>54</v>
      </c>
      <c r="AF297" s="1" t="e">
        <f>VLOOKUP(A297,'SegEnds_NonXtal_Prot#'!A:AL,22,FALSE)-VLOOKUP(A297,'SegEnds_NonXtal_Prot#'!A:AL,19,FALSE)</f>
        <v>#VALUE!</v>
      </c>
      <c r="AG297" s="1">
        <f>VLOOKUP(A297,'SegEnds_NonXtal_Prot#'!A:AL,28,FALSE)-VLOOKUP(A297,'SegEnds_NonXtal_Prot#'!A:AL,25,FALSE)</f>
        <v>27</v>
      </c>
      <c r="AH297" s="1">
        <f>VLOOKUP(A297,'SegEnds_NonXtal_Prot#'!A:AL,28,FALSE)-VLOOKUP(A297,'SegEnds_NonXtal_Prot#'!A:AL,22,FALSE)</f>
        <v>75</v>
      </c>
      <c r="AI297" s="1">
        <f>VLOOKUP(A297,'SegEnds_NonXtal_Prot#'!A:AL,31,FALSE)-VLOOKUP(A297,'SegEnds_NonXtal_Prot#'!A:AL,28,FALSE)</f>
        <v>66</v>
      </c>
      <c r="AJ297" s="1">
        <f>VLOOKUP(A297,'SegEnds_NonXtal_Prot#'!A:AL,34,FALSE)-VLOOKUP(A297,'SegEnds_NonXtal_Prot#'!A:AL,31,FALSE)</f>
        <v>39</v>
      </c>
      <c r="AK297" s="1">
        <f>VLOOKUP(A297,'SegEnds_NonXtal_Prot#'!A:AL,37,FALSE)-VLOOKUP(A297,'SegEnds_NonXtal_Prot#'!A:AL,34,FALSE)</f>
        <v>10</v>
      </c>
      <c r="AL297" s="1" t="str">
        <f>IF(ISERROR(MATCH(A297,'SegEnds_Xtal_Prot#'!B:B, 0)), "NoXtal", "Xtal")</f>
        <v>NoXtal</v>
      </c>
    </row>
    <row r="298" spans="1:38" x14ac:dyDescent="0.2">
      <c r="A298" s="1" t="s">
        <v>229</v>
      </c>
      <c r="B298" s="1" t="str">
        <f>VLOOKUP(A298,Xtal_Templ!A:B,2,FALSE)</f>
        <v>5ht2a_human</v>
      </c>
      <c r="C298" s="5">
        <f>VLOOKUP($B298&amp;"__wt",'SegEnds_Xtal_BW#'!$A:$Z,3,FALSE)</f>
        <v>27</v>
      </c>
      <c r="D298" s="1">
        <f>VLOOKUP($B298&amp;"__wt",'SegEnds_Xtal_BW#'!$A:$Z,4,FALSE)</f>
        <v>60</v>
      </c>
      <c r="E298" s="1">
        <f>VLOOKUP($B298&amp;"__wt",'SegEnds_Xtal_BW#'!$A:$Z,5,FALSE)</f>
        <v>48</v>
      </c>
      <c r="F298" s="1">
        <f>VLOOKUP($B298&amp;"__wt",'SegEnds_Xtal_BW#'!$A:$Z,6,FALSE)</f>
        <v>51</v>
      </c>
      <c r="G298" s="1">
        <v>37</v>
      </c>
      <c r="H298" s="12">
        <f>VLOOKUP($B298&amp;"__wt",'SegEnds_Xtal_BW#'!$A:$Z,8,FALSE)</f>
        <v>68</v>
      </c>
      <c r="I298" s="1">
        <f>VLOOKUP($B298&amp;"__wt",'SegEnds_Xtal_BW#'!$A:$Z,9,FALSE)</f>
        <v>49</v>
      </c>
      <c r="J298" s="1">
        <f>VLOOKUP($B298&amp;"__wt",'SegEnds_Xtal_BW#'!$A:$Z,10,FALSE)</f>
        <v>52</v>
      </c>
      <c r="K298" s="12">
        <v>18</v>
      </c>
      <c r="L298" s="1">
        <f>VLOOKUP($B298&amp;"__wt",'SegEnds_Xtal_BW#'!$A:$Z,12,FALSE)</f>
        <v>56</v>
      </c>
      <c r="M298" s="1">
        <f>VLOOKUP($B298&amp;"__wt",'SegEnds_Xtal_BW#'!$A:$Z,13,FALSE)</f>
        <v>50</v>
      </c>
      <c r="N298" s="12">
        <v>57</v>
      </c>
      <c r="O298" s="87">
        <f>VLOOKUP($B298&amp;"__wt",'SegEnds_Xtal_BW#'!$A:$Z,15,FALSE)</f>
        <v>38</v>
      </c>
      <c r="P298" s="1">
        <f>VLOOKUP($B298&amp;"__wt",'SegEnds_Xtal_BW#'!$A:$Z,16,FALSE)</f>
        <v>67</v>
      </c>
      <c r="Q298" s="1">
        <f>VLOOKUP($B298&amp;"__wt",'SegEnds_Xtal_BW#'!$A:$Z,17,FALSE)</f>
        <v>50</v>
      </c>
      <c r="R298" s="1">
        <f>VLOOKUP($B298&amp;"__wt",'SegEnds_Xtal_BW#'!$A:$Z,18,FALSE)</f>
        <v>52</v>
      </c>
      <c r="S298" s="1">
        <v>35</v>
      </c>
      <c r="T298" s="1">
        <f t="array" ref="T298">INDEX(ICL3_classA!$G$2:$G$39,MATCH(MIN(ABS(AI298-ICL3_classA!$F$2:$F$39)),ABS(AI298-ICL3_classA!$F$2:$F$39),0))</f>
        <v>74</v>
      </c>
      <c r="U298" s="1">
        <f t="array" ref="U298">INDEX(ICL3_classA!$H$2:$H$39,MATCH(MIN(ABS(AI298-ICL3_classA!$F$2:$F$39)),ABS(AI298-ICL3_classA!$F$2:$F$39),0))</f>
        <v>21</v>
      </c>
      <c r="V298" s="1">
        <v>61</v>
      </c>
      <c r="W298" s="1">
        <v>31</v>
      </c>
      <c r="X298" s="1">
        <f>VLOOKUP($B298&amp;"__wt",'SegEnds_Xtal_BW#'!$A:$Z,24,FALSE)</f>
        <v>56</v>
      </c>
      <c r="Y298" s="1">
        <f>VLOOKUP($B298&amp;"__wt",'SegEnds_Xtal_BW#'!$A:$Z,25,FALSE)</f>
        <v>47</v>
      </c>
      <c r="Z298" s="1">
        <f>VLOOKUP($B298&amp;"__wt",'SegEnds_Xtal_BW#'!$A:$Z,26,FALSE)</f>
        <v>60</v>
      </c>
      <c r="AA298" s="27" t="str">
        <f>VLOOKUP(A298,Classification!A:B,2,FALSE)</f>
        <v>A</v>
      </c>
      <c r="AB298" s="1">
        <f>VLOOKUP(A298,'SegEnds_NonXtal_Prot#'!A:AL,10,FALSE)-VLOOKUP(A298,'SegEnds_NonXtal_Prot#'!A:AL,4,FALSE)</f>
        <v>28</v>
      </c>
      <c r="AC298" s="1">
        <f>VLOOKUP(A298,'SegEnds_NonXtal_Prot#'!A:AL,10,FALSE)-VLOOKUP(A298,'SegEnds_NonXtal_Prot#'!A:AL,7,FALSE)</f>
        <v>15</v>
      </c>
      <c r="AD298" s="1">
        <f>VLOOKUP(A298,'SegEnds_NonXtal_Prot#'!A:AL,13,FALSE)-VLOOKUP(A298,'SegEnds_NonXtal_Prot#'!A:AL,10,FALSE)</f>
        <v>21</v>
      </c>
      <c r="AE298" s="1">
        <f>VLOOKUP(A298,'SegEnds_NonXtal_Prot#'!A:AL,16,FALSE)-VLOOKUP(A298,'SegEnds_NonXtal_Prot#'!A:AL,10,FALSE)</f>
        <v>53</v>
      </c>
      <c r="AF298" s="1">
        <f>VLOOKUP(A298,'SegEnds_NonXtal_Prot#'!A:AL,22,FALSE)-VLOOKUP(A298,'SegEnds_NonXtal_Prot#'!A:AL,19,FALSE)</f>
        <v>20</v>
      </c>
      <c r="AG298" s="1">
        <f>VLOOKUP(A298,'SegEnds_NonXtal_Prot#'!A:AL,28,FALSE)-VLOOKUP(A298,'SegEnds_NonXtal_Prot#'!A:AL,25,FALSE)</f>
        <v>61</v>
      </c>
      <c r="AH298" s="1">
        <f>VLOOKUP(A298,'SegEnds_NonXtal_Prot#'!A:AL,28,FALSE)-VLOOKUP(A298,'SegEnds_NonXtal_Prot#'!A:AL,22,FALSE)</f>
        <v>87</v>
      </c>
      <c r="AI298" s="1">
        <f>VLOOKUP(A298,'SegEnds_NonXtal_Prot#'!A:AL,31,FALSE)-VLOOKUP(A298,'SegEnds_NonXtal_Prot#'!A:AL,28,FALSE)</f>
        <v>66</v>
      </c>
      <c r="AJ298" s="1">
        <f>VLOOKUP(A298,'SegEnds_NonXtal_Prot#'!A:AL,34,FALSE)-VLOOKUP(A298,'SegEnds_NonXtal_Prot#'!A:AL,31,FALSE)</f>
        <v>36</v>
      </c>
      <c r="AK298" s="1">
        <f>VLOOKUP(A298,'SegEnds_NonXtal_Prot#'!A:AL,37,FALSE)-VLOOKUP(A298,'SegEnds_NonXtal_Prot#'!A:AL,34,FALSE)</f>
        <v>10</v>
      </c>
      <c r="AL298" s="1" t="str">
        <f>IF(ISERROR(MATCH(A298,'SegEnds_Xtal_Prot#'!B:B, 0)), "NoXtal", "Xtal")</f>
        <v>NoXtal</v>
      </c>
    </row>
    <row r="299" spans="1:38" x14ac:dyDescent="0.2">
      <c r="A299" s="1" t="s">
        <v>270</v>
      </c>
      <c r="B299" s="1" t="str">
        <f>VLOOKUP(A299,Xtal_Templ!A:B,2,FALSE)</f>
        <v>5ht2c_human</v>
      </c>
      <c r="C299" s="5">
        <f>VLOOKUP($B299&amp;"__wt",'SegEnds_Xtal_BW#'!$A:$Z,3,FALSE)</f>
        <v>33</v>
      </c>
      <c r="D299" s="1">
        <f>VLOOKUP($B299&amp;"__wt",'SegEnds_Xtal_BW#'!$A:$Z,4,FALSE)</f>
        <v>60</v>
      </c>
      <c r="E299" s="1">
        <f>VLOOKUP($B299&amp;"__wt",'SegEnds_Xtal_BW#'!$A:$Z,5,FALSE)</f>
        <v>48</v>
      </c>
      <c r="F299" s="1">
        <f>VLOOKUP($B299&amp;"__wt",'SegEnds_Xtal_BW#'!$A:$Z,6,FALSE)</f>
        <v>51</v>
      </c>
      <c r="G299" s="1">
        <v>37</v>
      </c>
      <c r="H299" s="12">
        <f>VLOOKUP($B299&amp;"__wt",'SegEnds_Xtal_BW#'!$A:$Z,8,FALSE)</f>
        <v>68</v>
      </c>
      <c r="I299" s="1">
        <f>VLOOKUP($B299&amp;"__wt",'SegEnds_Xtal_BW#'!$A:$Z,9,FALSE)</f>
        <v>49</v>
      </c>
      <c r="J299" s="1">
        <f>VLOOKUP($B299&amp;"__wt",'SegEnds_Xtal_BW#'!$A:$Z,10,FALSE)</f>
        <v>52</v>
      </c>
      <c r="K299" s="12">
        <v>18</v>
      </c>
      <c r="L299" s="1">
        <f>VLOOKUP($B299&amp;"__wt",'SegEnds_Xtal_BW#'!$A:$Z,12,FALSE)</f>
        <v>56</v>
      </c>
      <c r="M299" s="1">
        <f>VLOOKUP($B299&amp;"__wt",'SegEnds_Xtal_BW#'!$A:$Z,13,FALSE)</f>
        <v>50</v>
      </c>
      <c r="N299" s="12">
        <v>57</v>
      </c>
      <c r="O299" s="87">
        <f>VLOOKUP($B299&amp;"__wt",'SegEnds_Xtal_BW#'!$A:$Z,15,FALSE)</f>
        <v>38</v>
      </c>
      <c r="P299" s="1">
        <f>VLOOKUP($B299&amp;"__wt",'SegEnds_Xtal_BW#'!$A:$Z,16,FALSE)</f>
        <v>67</v>
      </c>
      <c r="Q299" s="1">
        <f>VLOOKUP($B299&amp;"__wt",'SegEnds_Xtal_BW#'!$A:$Z,17,FALSE)</f>
        <v>50</v>
      </c>
      <c r="R299" s="1">
        <f>VLOOKUP($B299&amp;"__wt",'SegEnds_Xtal_BW#'!$A:$Z,18,FALSE)</f>
        <v>52</v>
      </c>
      <c r="S299" s="1">
        <v>35</v>
      </c>
      <c r="T299" s="1">
        <f t="array" ref="T299">INDEX(ICL3_classA!$G$2:$G$39,MATCH(MIN(ABS(AI299-ICL3_classA!$F$2:$F$39)),ABS(AI299-ICL3_classA!$F$2:$F$39),0))</f>
        <v>76</v>
      </c>
      <c r="U299" s="1">
        <f t="array" ref="U299">INDEX(ICL3_classA!$H$2:$H$39,MATCH(MIN(ABS(AI299-ICL3_classA!$F$2:$F$39)),ABS(AI299-ICL3_classA!$F$2:$F$39),0))</f>
        <v>24</v>
      </c>
      <c r="V299" s="1">
        <v>61</v>
      </c>
      <c r="W299" s="1">
        <v>31</v>
      </c>
      <c r="X299" s="1">
        <f>VLOOKUP($B299&amp;"__wt",'SegEnds_Xtal_BW#'!$A:$Z,24,FALSE)</f>
        <v>56</v>
      </c>
      <c r="Y299" s="1">
        <f>VLOOKUP($B299&amp;"__wt",'SegEnds_Xtal_BW#'!$A:$Z,25,FALSE)</f>
        <v>47</v>
      </c>
      <c r="Z299" s="1">
        <f>VLOOKUP($B299&amp;"__wt",'SegEnds_Xtal_BW#'!$A:$Z,26,FALSE)</f>
        <v>60</v>
      </c>
      <c r="AA299" s="27" t="str">
        <f>VLOOKUP(A299,Classification!A:B,2,FALSE)</f>
        <v>A</v>
      </c>
      <c r="AB299" s="1">
        <f>VLOOKUP(A299,'SegEnds_NonXtal_Prot#'!A:AL,10,FALSE)-VLOOKUP(A299,'SegEnds_NonXtal_Prot#'!A:AL,4,FALSE)</f>
        <v>28</v>
      </c>
      <c r="AC299" s="1">
        <f>VLOOKUP(A299,'SegEnds_NonXtal_Prot#'!A:AL,10,FALSE)-VLOOKUP(A299,'SegEnds_NonXtal_Prot#'!A:AL,7,FALSE)</f>
        <v>15</v>
      </c>
      <c r="AD299" s="1">
        <f>VLOOKUP(A299,'SegEnds_NonXtal_Prot#'!A:AL,13,FALSE)-VLOOKUP(A299,'SegEnds_NonXtal_Prot#'!A:AL,10,FALSE)</f>
        <v>21</v>
      </c>
      <c r="AE299" s="1">
        <f>VLOOKUP(A299,'SegEnds_NonXtal_Prot#'!A:AL,16,FALSE)-VLOOKUP(A299,'SegEnds_NonXtal_Prot#'!A:AL,10,FALSE)</f>
        <v>53</v>
      </c>
      <c r="AF299" s="1">
        <f>VLOOKUP(A299,'SegEnds_NonXtal_Prot#'!A:AL,22,FALSE)-VLOOKUP(A299,'SegEnds_NonXtal_Prot#'!A:AL,19,FALSE)</f>
        <v>20</v>
      </c>
      <c r="AG299" s="1">
        <f>VLOOKUP(A299,'SegEnds_NonXtal_Prot#'!A:AL,28,FALSE)-VLOOKUP(A299,'SegEnds_NonXtal_Prot#'!A:AL,25,FALSE)</f>
        <v>61</v>
      </c>
      <c r="AH299" s="1">
        <f>VLOOKUP(A299,'SegEnds_NonXtal_Prot#'!A:AL,28,FALSE)-VLOOKUP(A299,'SegEnds_NonXtal_Prot#'!A:AL,22,FALSE)</f>
        <v>87</v>
      </c>
      <c r="AI299" s="1">
        <f>VLOOKUP(A299,'SegEnds_NonXtal_Prot#'!A:AL,31,FALSE)-VLOOKUP(A299,'SegEnds_NonXtal_Prot#'!A:AL,28,FALSE)</f>
        <v>67</v>
      </c>
      <c r="AJ299" s="1">
        <f>VLOOKUP(A299,'SegEnds_NonXtal_Prot#'!A:AL,34,FALSE)-VLOOKUP(A299,'SegEnds_NonXtal_Prot#'!A:AL,31,FALSE)</f>
        <v>36</v>
      </c>
      <c r="AK299" s="1">
        <f>VLOOKUP(A299,'SegEnds_NonXtal_Prot#'!A:AL,37,FALSE)-VLOOKUP(A299,'SegEnds_NonXtal_Prot#'!A:AL,34,FALSE)</f>
        <v>10</v>
      </c>
      <c r="AL299" s="1" t="str">
        <f>IF(ISERROR(MATCH(A299,'SegEnds_Xtal_Prot#'!B:B, 0)), "NoXtal", "Xtal")</f>
        <v>NoXtal</v>
      </c>
    </row>
    <row r="300" spans="1:38" x14ac:dyDescent="0.2">
      <c r="A300" s="1" t="s">
        <v>269</v>
      </c>
      <c r="B300" s="1" t="str">
        <f>VLOOKUP(A300,Xtal_Templ!A:B,2,FALSE)</f>
        <v>ednrb_human</v>
      </c>
      <c r="C300" s="5">
        <f>VLOOKUP($B300&amp;"__wt",'SegEnds_Xtal_BW#'!$A:$Z,3,FALSE)</f>
        <v>22</v>
      </c>
      <c r="D300" s="1">
        <f>VLOOKUP($B300&amp;"__wt",'SegEnds_Xtal_BW#'!$A:$Z,4,FALSE)</f>
        <v>60</v>
      </c>
      <c r="E300" s="1">
        <f>VLOOKUP($B300&amp;"__wt",'SegEnds_Xtal_BW#'!$A:$Z,5,FALSE)</f>
        <v>48</v>
      </c>
      <c r="F300" s="1">
        <f>VLOOKUP($B300&amp;"__wt",'SegEnds_Xtal_BW#'!$A:$Z,6,FALSE)</f>
        <v>52</v>
      </c>
      <c r="G300" s="1">
        <v>37</v>
      </c>
      <c r="H300" s="12">
        <f>VLOOKUP($B300&amp;"__wt",'SegEnds_Xtal_BW#'!$A:$Z,8,FALSE)</f>
        <v>67</v>
      </c>
      <c r="I300" s="1">
        <f>VLOOKUP($B300&amp;"__wt",'SegEnds_Xtal_BW#'!$A:$Z,9,FALSE)</f>
        <v>49</v>
      </c>
      <c r="J300" s="1">
        <f>VLOOKUP($B300&amp;"__wt",'SegEnds_Xtal_BW#'!$A:$Z,10,FALSE)</f>
        <v>52</v>
      </c>
      <c r="K300" s="12">
        <v>21</v>
      </c>
      <c r="L300" s="1">
        <f>VLOOKUP($B300&amp;"__wt",'SegEnds_Xtal_BW#'!$A:$Z,12,FALSE)</f>
        <v>56</v>
      </c>
      <c r="M300" s="1">
        <f>VLOOKUP($B300&amp;"__wt",'SegEnds_Xtal_BW#'!$A:$Z,13,FALSE)</f>
        <v>50</v>
      </c>
      <c r="N300" s="12">
        <v>57</v>
      </c>
      <c r="O300" s="87">
        <v>38</v>
      </c>
      <c r="P300" s="1">
        <f>VLOOKUP($B300&amp;"__wt",'SegEnds_Xtal_BW#'!$A:$Z,16,FALSE)</f>
        <v>64</v>
      </c>
      <c r="Q300" s="1">
        <f>VLOOKUP($B300&amp;"__wt",'SegEnds_Xtal_BW#'!$A:$Z,17,FALSE)</f>
        <v>50</v>
      </c>
      <c r="R300" s="1">
        <f>VLOOKUP($B300&amp;"__wt",'SegEnds_Xtal_BW#'!$A:$Z,18,FALSE)</f>
        <v>52</v>
      </c>
      <c r="S300" s="1">
        <f>VLOOKUP($B300&amp;"__wt",'SegEnds_Xtal_BW#'!$A:$Z,19,FALSE)</f>
        <v>28</v>
      </c>
      <c r="T300" s="1">
        <f t="array" ref="T300">INDEX(ICL3_classA!$G$2:$G$39,MATCH(MIN(ABS(AI300-ICL3_classA!$F$2:$F$39)),ABS(AI300-ICL3_classA!$F$2:$F$39),0))</f>
        <v>74</v>
      </c>
      <c r="U300" s="1">
        <f t="array" ref="U300">INDEX(ICL3_classA!$H$2:$H$39,MATCH(MIN(ABS(AI300-ICL3_classA!$F$2:$F$39)),ABS(AI300-ICL3_classA!$F$2:$F$39),0))</f>
        <v>24</v>
      </c>
      <c r="V300" s="1">
        <v>61</v>
      </c>
      <c r="W300" s="1">
        <v>33</v>
      </c>
      <c r="X300" s="1">
        <f>VLOOKUP($B300&amp;"__wt",'SegEnds_Xtal_BW#'!$A:$Z,24,FALSE)</f>
        <v>56</v>
      </c>
      <c r="Y300" s="1">
        <f>VLOOKUP($B300&amp;"__wt",'SegEnds_Xtal_BW#'!$A:$Z,25,FALSE)</f>
        <v>47</v>
      </c>
      <c r="Z300" s="1">
        <f>VLOOKUP($B300&amp;"__wt",'SegEnds_Xtal_BW#'!$A:$Z,26,FALSE)</f>
        <v>60</v>
      </c>
      <c r="AA300" s="27" t="str">
        <f>VLOOKUP(A300,Classification!A:B,2,FALSE)</f>
        <v>A</v>
      </c>
      <c r="AB300" s="1">
        <f>VLOOKUP(A300,'SegEnds_NonXtal_Prot#'!A:AL,10,FALSE)-VLOOKUP(A300,'SegEnds_NonXtal_Prot#'!A:AL,4,FALSE)</f>
        <v>28</v>
      </c>
      <c r="AC300" s="1">
        <f>VLOOKUP(A300,'SegEnds_NonXtal_Prot#'!A:AL,10,FALSE)-VLOOKUP(A300,'SegEnds_NonXtal_Prot#'!A:AL,7,FALSE)</f>
        <v>15</v>
      </c>
      <c r="AD300" s="1" t="e">
        <f>VLOOKUP(A300,'SegEnds_NonXtal_Prot#'!A:AL,13,FALSE)-VLOOKUP(A300,'SegEnds_NonXtal_Prot#'!A:AL,10,FALSE)</f>
        <v>#VALUE!</v>
      </c>
      <c r="AE300" s="1">
        <f>VLOOKUP(A300,'SegEnds_NonXtal_Prot#'!A:AL,16,FALSE)-VLOOKUP(A300,'SegEnds_NonXtal_Prot#'!A:AL,10,FALSE)</f>
        <v>52</v>
      </c>
      <c r="AF300" s="1">
        <f>VLOOKUP(A300,'SegEnds_NonXtal_Prot#'!A:AL,22,FALSE)-VLOOKUP(A300,'SegEnds_NonXtal_Prot#'!A:AL,19,FALSE)</f>
        <v>20</v>
      </c>
      <c r="AG300" s="1">
        <f>VLOOKUP(A300,'SegEnds_NonXtal_Prot#'!A:AL,28,FALSE)-VLOOKUP(A300,'SegEnds_NonXtal_Prot#'!A:AL,25,FALSE)</f>
        <v>67</v>
      </c>
      <c r="AH300" s="1">
        <f>VLOOKUP(A300,'SegEnds_NonXtal_Prot#'!A:AL,28,FALSE)-VLOOKUP(A300,'SegEnds_NonXtal_Prot#'!A:AL,22,FALSE)</f>
        <v>90</v>
      </c>
      <c r="AI300" s="1">
        <f>VLOOKUP(A300,'SegEnds_NonXtal_Prot#'!A:AL,31,FALSE)-VLOOKUP(A300,'SegEnds_NonXtal_Prot#'!A:AL,28,FALSE)</f>
        <v>99</v>
      </c>
      <c r="AJ300" s="1">
        <f>VLOOKUP(A300,'SegEnds_NonXtal_Prot#'!A:AL,34,FALSE)-VLOOKUP(A300,'SegEnds_NonXtal_Prot#'!A:AL,31,FALSE)</f>
        <v>33</v>
      </c>
      <c r="AK300" s="1">
        <f>VLOOKUP(A300,'SegEnds_NonXtal_Prot#'!A:AL,37,FALSE)-VLOOKUP(A300,'SegEnds_NonXtal_Prot#'!A:AL,34,FALSE)</f>
        <v>10</v>
      </c>
      <c r="AL300" s="1" t="str">
        <f>IF(ISERROR(MATCH(A300,'SegEnds_Xtal_Prot#'!B:B, 0)), "NoXtal", "Xtal")</f>
        <v>NoXtal</v>
      </c>
    </row>
    <row r="301" spans="1:38" x14ac:dyDescent="0.2">
      <c r="A301" s="1" t="s">
        <v>309</v>
      </c>
      <c r="B301" s="1" t="str">
        <f>VLOOKUP(A301,Xtal_Templ!A:B,2,FALSE)</f>
        <v>ntr1_rat</v>
      </c>
      <c r="C301" s="5">
        <f>VLOOKUP($B301&amp;"__wt",'SegEnds_Xtal_BW#'!$A:$Z,3,FALSE)</f>
        <v>29</v>
      </c>
      <c r="D301" s="1">
        <f>VLOOKUP($B301&amp;"__wt",'SegEnds_Xtal_BW#'!$A:$Z,4,FALSE)</f>
        <v>60</v>
      </c>
      <c r="E301" s="1" t="str">
        <f>VLOOKUP($B301&amp;"__wt",'SegEnds_Xtal_BW#'!$A:$Z,5,FALSE)</f>
        <v>-</v>
      </c>
      <c r="F301" s="1" t="str">
        <f>VLOOKUP($B301&amp;"__wt",'SegEnds_Xtal_BW#'!$A:$Z,6,FALSE)</f>
        <v>-</v>
      </c>
      <c r="G301" s="1">
        <v>37</v>
      </c>
      <c r="H301" s="12">
        <v>67</v>
      </c>
      <c r="I301" s="1">
        <f>VLOOKUP($B301&amp;"__wt",'SegEnds_Xtal_BW#'!$A:$Z,9,FALSE)</f>
        <v>49</v>
      </c>
      <c r="J301" s="1">
        <f>VLOOKUP($B301&amp;"__wt",'SegEnds_Xtal_BW#'!$A:$Z,10,FALSE)</f>
        <v>52</v>
      </c>
      <c r="K301" s="12">
        <v>18</v>
      </c>
      <c r="L301" s="1">
        <f>VLOOKUP($B301&amp;"__wt",'SegEnds_Xtal_BW#'!$A:$Z,12,FALSE)</f>
        <v>56</v>
      </c>
      <c r="M301" s="1">
        <f>VLOOKUP($B301&amp;"__wt",'SegEnds_Xtal_BW#'!$A:$Z,13,FALSE)</f>
        <v>50</v>
      </c>
      <c r="N301" s="12">
        <v>57</v>
      </c>
      <c r="O301" s="87">
        <f>VLOOKUP($B301&amp;"__wt",'SegEnds_Xtal_BW#'!$A:$Z,15,FALSE)</f>
        <v>38</v>
      </c>
      <c r="P301" s="1">
        <f>VLOOKUP($B301&amp;"__wt",'SegEnds_Xtal_BW#'!$A:$Z,16,FALSE)</f>
        <v>64</v>
      </c>
      <c r="Q301" s="1">
        <f>VLOOKUP($B301&amp;"__wt",'SegEnds_Xtal_BW#'!$A:$Z,17,FALSE)</f>
        <v>50</v>
      </c>
      <c r="R301" s="1">
        <f>VLOOKUP($B301&amp;"__wt",'SegEnds_Xtal_BW#'!$A:$Z,18,FALSE)</f>
        <v>52</v>
      </c>
      <c r="S301" s="1">
        <f>VLOOKUP($B301&amp;"__wt",'SegEnds_Xtal_BW#'!$A:$Z,19,FALSE)</f>
        <v>32</v>
      </c>
      <c r="T301" s="1">
        <f t="array" ref="T301">INDEX(ICL3_classA!$G$2:$G$39,MATCH(MIN(ABS(AI301-ICL3_classA!$F$2:$F$39)),ABS(AI301-ICL3_classA!$F$2:$F$39),0))</f>
        <v>72</v>
      </c>
      <c r="U301" s="1">
        <f t="array" ref="U301">INDEX(ICL3_classA!$H$2:$H$39,MATCH(MIN(ABS(AI301-ICL3_classA!$F$2:$F$39)),ABS(AI301-ICL3_classA!$F$2:$F$39),0))</f>
        <v>24</v>
      </c>
      <c r="V301" s="1">
        <v>61</v>
      </c>
      <c r="W301" s="131">
        <f>VLOOKUP($B301&amp;"__wt",'SegEnds_Xtal_BW#'!$A:$Z,23,FALSE)</f>
        <v>24</v>
      </c>
      <c r="X301" s="1">
        <f>VLOOKUP($B301&amp;"__wt",'SegEnds_Xtal_BW#'!$A:$Z,24,FALSE)</f>
        <v>56</v>
      </c>
      <c r="Y301" s="1">
        <f>VLOOKUP($B301&amp;"__wt",'SegEnds_Xtal_BW#'!$A:$Z,25,FALSE)</f>
        <v>47</v>
      </c>
      <c r="Z301" s="1">
        <f>VLOOKUP($B301&amp;"__wt",'SegEnds_Xtal_BW#'!$A:$Z,26,FALSE)</f>
        <v>62</v>
      </c>
      <c r="AA301" s="27" t="str">
        <f>VLOOKUP(A301,Classification!A:B,2,FALSE)</f>
        <v>A</v>
      </c>
      <c r="AB301" s="1">
        <f>VLOOKUP(A301,'SegEnds_NonXtal_Prot#'!A:AL,10,FALSE)-VLOOKUP(A301,'SegEnds_NonXtal_Prot#'!A:AL,4,FALSE)</f>
        <v>28</v>
      </c>
      <c r="AC301" s="1">
        <f>VLOOKUP(A301,'SegEnds_NonXtal_Prot#'!A:AL,10,FALSE)-VLOOKUP(A301,'SegEnds_NonXtal_Prot#'!A:AL,7,FALSE)</f>
        <v>15</v>
      </c>
      <c r="AD301" s="1">
        <f>VLOOKUP(A301,'SegEnds_NonXtal_Prot#'!A:AL,13,FALSE)-VLOOKUP(A301,'SegEnds_NonXtal_Prot#'!A:AL,10,FALSE)</f>
        <v>20</v>
      </c>
      <c r="AE301" s="1">
        <f>VLOOKUP(A301,'SegEnds_NonXtal_Prot#'!A:AL,16,FALSE)-VLOOKUP(A301,'SegEnds_NonXtal_Prot#'!A:AL,10,FALSE)</f>
        <v>52</v>
      </c>
      <c r="AF301" s="1">
        <f>VLOOKUP(A301,'SegEnds_NonXtal_Prot#'!A:AL,22,FALSE)-VLOOKUP(A301,'SegEnds_NonXtal_Prot#'!A:AL,19,FALSE)</f>
        <v>20</v>
      </c>
      <c r="AG301" s="1">
        <f>VLOOKUP(A301,'SegEnds_NonXtal_Prot#'!A:AL,28,FALSE)-VLOOKUP(A301,'SegEnds_NonXtal_Prot#'!A:AL,25,FALSE)</f>
        <v>24</v>
      </c>
      <c r="AH301" s="1">
        <f>VLOOKUP(A301,'SegEnds_NonXtal_Prot#'!A:AL,28,FALSE)-VLOOKUP(A301,'SegEnds_NonXtal_Prot#'!A:AL,22,FALSE)</f>
        <v>96</v>
      </c>
      <c r="AI301" s="1">
        <f>VLOOKUP(A301,'SegEnds_NonXtal_Prot#'!A:AL,31,FALSE)-VLOOKUP(A301,'SegEnds_NonXtal_Prot#'!A:AL,28,FALSE)</f>
        <v>54</v>
      </c>
      <c r="AJ301" s="1">
        <f>VLOOKUP(A301,'SegEnds_NonXtal_Prot#'!A:AL,34,FALSE)-VLOOKUP(A301,'SegEnds_NonXtal_Prot#'!A:AL,31,FALSE)</f>
        <v>39</v>
      </c>
      <c r="AK301" s="1">
        <f>VLOOKUP(A301,'SegEnds_NonXtal_Prot#'!A:AL,37,FALSE)-VLOOKUP(A301,'SegEnds_NonXtal_Prot#'!A:AL,34,FALSE)</f>
        <v>10</v>
      </c>
      <c r="AL301" s="1" t="str">
        <f>IF(ISERROR(MATCH(A301,'SegEnds_Xtal_Prot#'!B:B, 0)), "NoXtal", "Xtal")</f>
        <v>NoXtal</v>
      </c>
    </row>
    <row r="302" spans="1:38" x14ac:dyDescent="0.2">
      <c r="A302" s="1" t="s">
        <v>164</v>
      </c>
      <c r="B302" s="1" t="str">
        <f>VLOOKUP(A302,Xtal_Templ!A:B,2,FALSE)</f>
        <v>c5ar1_human</v>
      </c>
      <c r="C302" s="5">
        <f>VLOOKUP($B302&amp;"__wt",'SegEnds_Xtal_BW#'!$A:$Z,3,FALSE)</f>
        <v>29</v>
      </c>
      <c r="D302" s="1">
        <f>VLOOKUP($B302&amp;"__wt",'SegEnds_Xtal_BW#'!$A:$Z,4,FALSE)</f>
        <v>60</v>
      </c>
      <c r="E302" s="1" t="str">
        <f>VLOOKUP($B302&amp;"__wt",'SegEnds_Xtal_BW#'!$A:$Z,5,FALSE)</f>
        <v>-</v>
      </c>
      <c r="F302" s="1" t="str">
        <f>VLOOKUP($B302&amp;"__wt",'SegEnds_Xtal_BW#'!$A:$Z,6,FALSE)</f>
        <v>-</v>
      </c>
      <c r="G302" s="1">
        <v>37</v>
      </c>
      <c r="H302" s="12">
        <f>VLOOKUP($B302&amp;"__wt",'SegEnds_Xtal_BW#'!$A:$Z,8,FALSE)</f>
        <v>67</v>
      </c>
      <c r="I302" s="1">
        <f>VLOOKUP($B302&amp;"__wt",'SegEnds_Xtal_BW#'!$A:$Z,9,FALSE)</f>
        <v>49</v>
      </c>
      <c r="J302" s="1">
        <f>VLOOKUP($B302&amp;"__wt",'SegEnds_Xtal_BW#'!$A:$Z,10,FALSE)</f>
        <v>52</v>
      </c>
      <c r="K302" s="12">
        <v>18</v>
      </c>
      <c r="L302" s="1">
        <f>VLOOKUP($B302&amp;"__wt",'SegEnds_Xtal_BW#'!$A:$Z,12,FALSE)</f>
        <v>56</v>
      </c>
      <c r="M302" s="1">
        <f>VLOOKUP($B302&amp;"__wt",'SegEnds_Xtal_BW#'!$A:$Z,13,FALSE)</f>
        <v>50</v>
      </c>
      <c r="N302" s="12">
        <v>57</v>
      </c>
      <c r="O302" s="87">
        <v>38</v>
      </c>
      <c r="P302" s="1">
        <f>VLOOKUP($B302&amp;"__wt",'SegEnds_Xtal_BW#'!$A:$Z,16,FALSE)</f>
        <v>64</v>
      </c>
      <c r="Q302" s="1">
        <f>VLOOKUP($B302&amp;"__wt",'SegEnds_Xtal_BW#'!$A:$Z,17,FALSE)</f>
        <v>50</v>
      </c>
      <c r="R302" s="1">
        <f>VLOOKUP($B302&amp;"__wt",'SegEnds_Xtal_BW#'!$A:$Z,18,FALSE)</f>
        <v>52</v>
      </c>
      <c r="S302" s="1">
        <f>VLOOKUP($B302&amp;"__wt",'SegEnds_Xtal_BW#'!$A:$Z,19,FALSE)</f>
        <v>31</v>
      </c>
      <c r="T302" s="1">
        <f t="array" ref="T302">INDEX(ICL3_classA!$G$2:$G$39,MATCH(MIN(ABS(AI302-ICL3_classA!$F$2:$F$39)),ABS(AI302-ICL3_classA!$F$2:$F$39),0))</f>
        <v>68</v>
      </c>
      <c r="U302" s="108">
        <v>31</v>
      </c>
      <c r="V302" s="1">
        <v>61</v>
      </c>
      <c r="W302" s="108">
        <v>25</v>
      </c>
      <c r="X302" s="1">
        <f>VLOOKUP($B302&amp;"__wt",'SegEnds_Xtal_BW#'!$A:$Z,24,FALSE)</f>
        <v>56</v>
      </c>
      <c r="Y302" s="1">
        <f>VLOOKUP($B302&amp;"__wt",'SegEnds_Xtal_BW#'!$A:$Z,25,FALSE)</f>
        <v>47</v>
      </c>
      <c r="Z302" s="1">
        <f>VLOOKUP($B302&amp;"__wt",'SegEnds_Xtal_BW#'!$A:$Z,26,FALSE)</f>
        <v>56</v>
      </c>
      <c r="AA302" s="27" t="str">
        <f>VLOOKUP(A302,Classification!A:B,2,FALSE)</f>
        <v>A</v>
      </c>
      <c r="AB302" s="1">
        <f>VLOOKUP(A302,'SegEnds_NonXtal_Prot#'!A:AL,10,FALSE)-VLOOKUP(A302,'SegEnds_NonXtal_Prot#'!A:AL,4,FALSE)</f>
        <v>27</v>
      </c>
      <c r="AC302" s="1" t="e">
        <f>VLOOKUP(A302,'SegEnds_NonXtal_Prot#'!A:AL,10,FALSE)-VLOOKUP(A302,'SegEnds_NonXtal_Prot#'!A:AL,7,FALSE)</f>
        <v>#VALUE!</v>
      </c>
      <c r="AD302" s="1">
        <f>VLOOKUP(A302,'SegEnds_NonXtal_Prot#'!A:AL,13,FALSE)-VLOOKUP(A302,'SegEnds_NonXtal_Prot#'!A:AL,10,FALSE)</f>
        <v>20</v>
      </c>
      <c r="AE302" s="1">
        <f>VLOOKUP(A302,'SegEnds_NonXtal_Prot#'!A:AL,16,FALSE)-VLOOKUP(A302,'SegEnds_NonXtal_Prot#'!A:AL,10,FALSE)</f>
        <v>52</v>
      </c>
      <c r="AF302" s="1">
        <f>VLOOKUP(A302,'SegEnds_NonXtal_Prot#'!A:AL,22,FALSE)-VLOOKUP(A302,'SegEnds_NonXtal_Prot#'!A:AL,19,FALSE)</f>
        <v>20</v>
      </c>
      <c r="AG302" s="1">
        <f>VLOOKUP(A302,'SegEnds_NonXtal_Prot#'!A:AL,28,FALSE)-VLOOKUP(A302,'SegEnds_NonXtal_Prot#'!A:AL,25,FALSE)</f>
        <v>176</v>
      </c>
      <c r="AH302" s="1">
        <f>VLOOKUP(A302,'SegEnds_NonXtal_Prot#'!A:AL,28,FALSE)-VLOOKUP(A302,'SegEnds_NonXtal_Prot#'!A:AL,22,FALSE)</f>
        <v>201</v>
      </c>
      <c r="AI302" s="1">
        <f>VLOOKUP(A302,'SegEnds_NonXtal_Prot#'!A:AL,31,FALSE)-VLOOKUP(A302,'SegEnds_NonXtal_Prot#'!A:AL,28,FALSE)</f>
        <v>44</v>
      </c>
      <c r="AJ302" s="1">
        <f>VLOOKUP(A302,'SegEnds_NonXtal_Prot#'!A:AL,34,FALSE)-VLOOKUP(A302,'SegEnds_NonXtal_Prot#'!A:AL,31,FALSE)</f>
        <v>40</v>
      </c>
      <c r="AK302" s="1">
        <f>VLOOKUP(A302,'SegEnds_NonXtal_Prot#'!A:AL,37,FALSE)-VLOOKUP(A302,'SegEnds_NonXtal_Prot#'!A:AL,34,FALSE)</f>
        <v>10</v>
      </c>
      <c r="AL302" s="1" t="str">
        <f>IF(ISERROR(MATCH(A302,'SegEnds_Xtal_Prot#'!B:B, 0)), "NoXtal", "Xtal")</f>
        <v>NoXtal</v>
      </c>
    </row>
    <row r="303" spans="1:38" s="42" customFormat="1" x14ac:dyDescent="0.2">
      <c r="A303" s="42" t="s">
        <v>400</v>
      </c>
      <c r="B303" s="42" t="str">
        <f>VLOOKUP(A303,Xtal_Templ!A:B,2,FALSE)</f>
        <v>calcr_human</v>
      </c>
      <c r="C303" s="43">
        <f>VLOOKUP($B303&amp;"__wt",'SegEnds_Xtal_BW#'!$A:$Z,3,FALSE)</f>
        <v>19</v>
      </c>
      <c r="D303" s="42">
        <f>VLOOKUP($B303&amp;"__wt",'SegEnds_Xtal_BW#'!$A:$Z,4,FALSE)</f>
        <v>60</v>
      </c>
      <c r="E303" s="42">
        <f>VLOOKUP($B303&amp;"__wt",'SegEnds_Xtal_BW#'!$A:$Z,5,FALSE)</f>
        <v>48</v>
      </c>
      <c r="F303" s="42">
        <f>VLOOKUP($B303&amp;"__wt",'SegEnds_Xtal_BW#'!$A:$Z,6,FALSE)</f>
        <v>51</v>
      </c>
      <c r="G303" s="42">
        <v>37</v>
      </c>
      <c r="H303" s="116">
        <v>64</v>
      </c>
      <c r="I303" s="42" t="str">
        <f>VLOOKUP($B303&amp;"__wt",'SegEnds_Xtal_BW#'!$A:$Z,9,FALSE)</f>
        <v>-</v>
      </c>
      <c r="J303" s="42" t="str">
        <f>VLOOKUP($B303&amp;"__wt",'SegEnds_Xtal_BW#'!$A:$Z,10,FALSE)</f>
        <v>-</v>
      </c>
      <c r="K303" s="116">
        <v>23</v>
      </c>
      <c r="L303" s="42">
        <f>VLOOKUP($B303&amp;"__wt",'SegEnds_Xtal_BW#'!$A:$Z,12,FALSE)</f>
        <v>56</v>
      </c>
      <c r="M303" s="42" t="str">
        <f>VLOOKUP($B303&amp;"__wt",'SegEnds_Xtal_BW#'!$A:$Z,13,FALSE)</f>
        <v>-</v>
      </c>
      <c r="N303" s="101" t="str">
        <f>VLOOKUP($B303&amp;"__wt",'SegEnds_Xtal_BW#'!$A:$Z,14,FALSE)</f>
        <v>-</v>
      </c>
      <c r="O303" s="89">
        <f>VLOOKUP($B303&amp;"__wt",'SegEnds_Xtal_BW#'!$A:$Z,15,FALSE)</f>
        <v>41</v>
      </c>
      <c r="P303" s="42">
        <f>VLOOKUP($B303&amp;"__wt",'SegEnds_Xtal_BW#'!$A:$Z,16,FALSE)</f>
        <v>68</v>
      </c>
      <c r="Q303" s="42">
        <f>VLOOKUP($B303&amp;"__wt",'SegEnds_Xtal_BW#'!$A:$Z,17,FALSE)</f>
        <v>50</v>
      </c>
      <c r="R303" s="42">
        <f>VLOOKUP($B303&amp;"__wt",'SegEnds_Xtal_BW#'!$A:$Z,18,FALSE)</f>
        <v>52</v>
      </c>
      <c r="S303" s="1">
        <f>VLOOKUP($B303&amp;"__wt",'SegEnds_Xtal_BW#'!$A:$Z,19,FALSE)</f>
        <v>40</v>
      </c>
      <c r="T303" s="1">
        <f>VLOOKUP($B303&amp;"__wt",'SegEnds_Xtal_BW#'!$A:$Z,20,FALSE)</f>
        <v>70</v>
      </c>
      <c r="U303" s="1">
        <f>VLOOKUP($B303&amp;"__wt",'SegEnds_Xtal_BW#'!$A:$Z,21,FALSE)</f>
        <v>30</v>
      </c>
      <c r="V303" s="4">
        <f>VLOOKUP($B303&amp;"__wt",'SegEnds_Xtal_BW#'!$A:$Z,22,FALSE)</f>
        <v>53</v>
      </c>
      <c r="W303" s="116">
        <v>28</v>
      </c>
      <c r="X303" s="42">
        <f>VLOOKUP($B303&amp;"__wt",'SegEnds_Xtal_BW#'!$A:$Z,24,FALSE)</f>
        <v>56</v>
      </c>
      <c r="Y303" s="42">
        <f>VLOOKUP($B303&amp;"__wt",'SegEnds_Xtal_BW#'!$A:$Z,25,FALSE)</f>
        <v>47</v>
      </c>
      <c r="Z303" s="42">
        <f>VLOOKUP($B303&amp;"__wt",'SegEnds_Xtal_BW#'!$A:$Z,26,FALSE)</f>
        <v>72</v>
      </c>
      <c r="AA303" s="44" t="str">
        <f>VLOOKUP(A303,Classification!A:B,2,FALSE)</f>
        <v>B1</v>
      </c>
      <c r="AB303" s="1">
        <f>VLOOKUP(A303,'SegEnds_NonXtal_Prot#'!A:AL,10,FALSE)-VLOOKUP(A303,'SegEnds_NonXtal_Prot#'!A:AL,4,FALSE)</f>
        <v>28</v>
      </c>
      <c r="AC303" s="42">
        <f>VLOOKUP(A303,'SegEnds_NonXtal_Prot#'!A:AL,10,FALSE)-VLOOKUP(A303,'SegEnds_NonXtal_Prot#'!A:AL,7,FALSE)</f>
        <v>15</v>
      </c>
      <c r="AD303" s="42" t="e">
        <f>VLOOKUP(A303,'SegEnds_NonXtal_Prot#'!A:AL,13,FALSE)-VLOOKUP(A303,'SegEnds_NonXtal_Prot#'!A:AL,10,FALSE)</f>
        <v>#VALUE!</v>
      </c>
      <c r="AE303" s="42">
        <f>VLOOKUP(A303,'SegEnds_NonXtal_Prot#'!A:AL,16,FALSE)-VLOOKUP(A303,'SegEnds_NonXtal_Prot#'!A:AL,10,FALSE)</f>
        <v>53</v>
      </c>
      <c r="AF303" s="1" t="e">
        <f>VLOOKUP(A303,'SegEnds_NonXtal_Prot#'!A:AL,22,FALSE)-VLOOKUP(A303,'SegEnds_NonXtal_Prot#'!A:AL,19,FALSE)</f>
        <v>#VALUE!</v>
      </c>
      <c r="AG303" s="42">
        <f>VLOOKUP(A303,'SegEnds_NonXtal_Prot#'!A:AL,28,FALSE)-VLOOKUP(A303,'SegEnds_NonXtal_Prot#'!A:AL,25,FALSE)</f>
        <v>19</v>
      </c>
      <c r="AH303" s="1">
        <f>VLOOKUP(A303,'SegEnds_NonXtal_Prot#'!A:AL,28,FALSE)-VLOOKUP(A303,'SegEnds_NonXtal_Prot#'!A:AL,22,FALSE)</f>
        <v>41</v>
      </c>
      <c r="AI303" s="42">
        <f>VLOOKUP(A303,'SegEnds_NonXtal_Prot#'!A:AL,31,FALSE)-VLOOKUP(A303,'SegEnds_NonXtal_Prot#'!A:AL,28,FALSE)</f>
        <v>50</v>
      </c>
      <c r="AJ303" s="42">
        <f>VLOOKUP(A303,'SegEnds_NonXtal_Prot#'!A:AL,34,FALSE)-VLOOKUP(A303,'SegEnds_NonXtal_Prot#'!A:AL,31,FALSE)</f>
        <v>30</v>
      </c>
      <c r="AK303" s="1">
        <f>VLOOKUP(A303,'SegEnds_NonXtal_Prot#'!A:AL,37,FALSE)-VLOOKUP(A303,'SegEnds_NonXtal_Prot#'!A:AL,34,FALSE)</f>
        <v>10</v>
      </c>
      <c r="AL303" s="1" t="str">
        <f>IF(ISERROR(MATCH(A303,'SegEnds_Xtal_Prot#'!B:B, 0)), "NoXtal", "Xtal")</f>
        <v>Xtal</v>
      </c>
    </row>
    <row r="304" spans="1:38" x14ac:dyDescent="0.2">
      <c r="A304" s="1" t="s">
        <v>401</v>
      </c>
      <c r="B304" s="1" t="str">
        <f>VLOOKUP(A304,Xtal_Templ!A:B,2,FALSE)</f>
        <v>calrl_human</v>
      </c>
      <c r="C304" s="5">
        <f>VLOOKUP($B304&amp;"__wt",'SegEnds_Xtal_BW#'!$A:$Z,3,FALSE)</f>
        <v>24</v>
      </c>
      <c r="D304" s="1">
        <f>VLOOKUP($B304&amp;"__wt",'SegEnds_Xtal_BW#'!$A:$Z,4,FALSE)</f>
        <v>60</v>
      </c>
      <c r="E304" s="1">
        <f>VLOOKUP($B304&amp;"__wt",'SegEnds_Xtal_BW#'!$A:$Z,5,FALSE)</f>
        <v>48</v>
      </c>
      <c r="F304" s="1">
        <f>VLOOKUP($B304&amp;"__wt",'SegEnds_Xtal_BW#'!$A:$Z,6,FALSE)</f>
        <v>51</v>
      </c>
      <c r="G304" s="1">
        <v>37</v>
      </c>
      <c r="H304" s="115">
        <v>64</v>
      </c>
      <c r="I304" s="1" t="str">
        <f>VLOOKUP($B304&amp;"__wt",'SegEnds_Xtal_BW#'!$A:$Z,9,FALSE)</f>
        <v>-</v>
      </c>
      <c r="J304" s="1" t="str">
        <f>VLOOKUP($B304&amp;"__wt",'SegEnds_Xtal_BW#'!$A:$Z,10,FALSE)</f>
        <v>-</v>
      </c>
      <c r="K304" s="108">
        <v>23</v>
      </c>
      <c r="L304" s="1">
        <f>VLOOKUP($B304&amp;"__wt",'SegEnds_Xtal_BW#'!$A:$Z,12,FALSE)</f>
        <v>56</v>
      </c>
      <c r="M304" s="1" t="str">
        <f>VLOOKUP($B304&amp;"__wt",'SegEnds_Xtal_BW#'!$A:$Z,13,FALSE)</f>
        <v>-</v>
      </c>
      <c r="N304" s="12" t="str">
        <f>VLOOKUP($B304&amp;"__wt",'SegEnds_Xtal_BW#'!$A:$Z,14,FALSE)</f>
        <v>-</v>
      </c>
      <c r="O304" s="87">
        <f>VLOOKUP($B304&amp;"__wt",'SegEnds_Xtal_BW#'!$A:$Z,15,FALSE)</f>
        <v>41</v>
      </c>
      <c r="P304" s="1">
        <f>VLOOKUP($B304&amp;"__wt",'SegEnds_Xtal_BW#'!$A:$Z,16,FALSE)</f>
        <v>67</v>
      </c>
      <c r="Q304" s="1">
        <f>VLOOKUP($B304&amp;"__wt",'SegEnds_Xtal_BW#'!$A:$Z,17,FALSE)</f>
        <v>50</v>
      </c>
      <c r="R304" s="1">
        <f>VLOOKUP($B304&amp;"__wt",'SegEnds_Xtal_BW#'!$A:$Z,18,FALSE)</f>
        <v>52</v>
      </c>
      <c r="S304" s="1">
        <f>VLOOKUP($B304&amp;"__wt",'SegEnds_Xtal_BW#'!$A:$Z,19,FALSE)</f>
        <v>39</v>
      </c>
      <c r="T304" s="1">
        <f>VLOOKUP($B304&amp;"__wt",'SegEnds_Xtal_BW#'!$A:$Z,20,FALSE)</f>
        <v>70</v>
      </c>
      <c r="U304" s="1">
        <f>VLOOKUP($B304&amp;"__wt",'SegEnds_Xtal_BW#'!$A:$Z,21,FALSE)</f>
        <v>30</v>
      </c>
      <c r="V304" s="1">
        <f>VLOOKUP($B304&amp;"__wt",'SegEnds_Xtal_BW#'!$A:$Z,22,FALSE)</f>
        <v>53</v>
      </c>
      <c r="W304" s="108">
        <v>28</v>
      </c>
      <c r="X304" s="1">
        <f>VLOOKUP($B304&amp;"__wt",'SegEnds_Xtal_BW#'!$A:$Z,24,FALSE)</f>
        <v>56</v>
      </c>
      <c r="Y304" s="1">
        <f>VLOOKUP($B304&amp;"__wt",'SegEnds_Xtal_BW#'!$A:$Z,25,FALSE)</f>
        <v>47</v>
      </c>
      <c r="Z304" s="1">
        <f>VLOOKUP($B304&amp;"__wt",'SegEnds_Xtal_BW#'!$A:$Z,26,FALSE)</f>
        <v>72</v>
      </c>
      <c r="AA304" s="27" t="str">
        <f>VLOOKUP(A304,Classification!A:B,2,FALSE)</f>
        <v>B1</v>
      </c>
      <c r="AB304" s="1">
        <f>VLOOKUP(A304,'SegEnds_NonXtal_Prot#'!A:AL,10,FALSE)-VLOOKUP(A304,'SegEnds_NonXtal_Prot#'!A:AL,4,FALSE)</f>
        <v>28</v>
      </c>
      <c r="AC304" s="1">
        <f>VLOOKUP(A304,'SegEnds_NonXtal_Prot#'!A:AL,10,FALSE)-VLOOKUP(A304,'SegEnds_NonXtal_Prot#'!A:AL,7,FALSE)</f>
        <v>15</v>
      </c>
      <c r="AD304" s="1" t="e">
        <f>VLOOKUP(A304,'SegEnds_NonXtal_Prot#'!A:AL,13,FALSE)-VLOOKUP(A304,'SegEnds_NonXtal_Prot#'!A:AL,10,FALSE)</f>
        <v>#VALUE!</v>
      </c>
      <c r="AE304" s="1">
        <f>VLOOKUP(A304,'SegEnds_NonXtal_Prot#'!A:AL,16,FALSE)-VLOOKUP(A304,'SegEnds_NonXtal_Prot#'!A:AL,10,FALSE)</f>
        <v>53</v>
      </c>
      <c r="AF304" s="1" t="e">
        <f>VLOOKUP(A304,'SegEnds_NonXtal_Prot#'!A:AL,22,FALSE)-VLOOKUP(A304,'SegEnds_NonXtal_Prot#'!A:AL,19,FALSE)</f>
        <v>#VALUE!</v>
      </c>
      <c r="AG304" s="1">
        <f>VLOOKUP(A304,'SegEnds_NonXtal_Prot#'!A:AL,28,FALSE)-VLOOKUP(A304,'SegEnds_NonXtal_Prot#'!A:AL,25,FALSE)</f>
        <v>19</v>
      </c>
      <c r="AH304" s="1">
        <f>VLOOKUP(A304,'SegEnds_NonXtal_Prot#'!A:AL,28,FALSE)-VLOOKUP(A304,'SegEnds_NonXtal_Prot#'!A:AL,22,FALSE)</f>
        <v>41</v>
      </c>
      <c r="AI304" s="1">
        <f>VLOOKUP(A304,'SegEnds_NonXtal_Prot#'!A:AL,31,FALSE)-VLOOKUP(A304,'SegEnds_NonXtal_Prot#'!A:AL,28,FALSE)</f>
        <v>50</v>
      </c>
      <c r="AJ304" s="1">
        <f>VLOOKUP(A304,'SegEnds_NonXtal_Prot#'!A:AL,34,FALSE)-VLOOKUP(A304,'SegEnds_NonXtal_Prot#'!A:AL,31,FALSE)</f>
        <v>30</v>
      </c>
      <c r="AK304" s="1">
        <f>VLOOKUP(A304,'SegEnds_NonXtal_Prot#'!A:AL,37,FALSE)-VLOOKUP(A304,'SegEnds_NonXtal_Prot#'!A:AL,34,FALSE)</f>
        <v>10</v>
      </c>
      <c r="AL304" s="1" t="str">
        <f>IF(ISERROR(MATCH(A304,'SegEnds_Xtal_Prot#'!B:B, 0)), "NoXtal", "Xtal")</f>
        <v>Xtal</v>
      </c>
    </row>
    <row r="305" spans="1:38" x14ac:dyDescent="0.2">
      <c r="A305" s="4" t="s">
        <v>408</v>
      </c>
      <c r="B305" s="4" t="str">
        <f>VLOOKUP(A305,Xtal_Templ!A:B,2,FALSE)</f>
        <v>pth1r_human</v>
      </c>
      <c r="C305" s="5">
        <f>VLOOKUP($B305&amp;"__wt",'SegEnds_Xtal_BW#'!$A:$Z,3,FALSE)</f>
        <v>21</v>
      </c>
      <c r="D305" s="4">
        <f>VLOOKUP($B305&amp;"__wt",'SegEnds_Xtal_BW#'!$A:$Z,4,FALSE)</f>
        <v>60</v>
      </c>
      <c r="E305" s="4">
        <f>VLOOKUP($B305&amp;"__wt",'SegEnds_Xtal_BW#'!$A:$Z,5,FALSE)</f>
        <v>48</v>
      </c>
      <c r="F305" s="4">
        <f>VLOOKUP($B305&amp;"__wt",'SegEnds_Xtal_BW#'!$A:$Z,6,FALSE)</f>
        <v>51</v>
      </c>
      <c r="G305" s="4">
        <v>37</v>
      </c>
      <c r="H305" s="115">
        <v>69</v>
      </c>
      <c r="I305" s="4" t="str">
        <f>VLOOKUP($B305&amp;"__wt",'SegEnds_Xtal_BW#'!$A:$Z,9,FALSE)</f>
        <v>-</v>
      </c>
      <c r="J305" s="4" t="str">
        <f>VLOOKUP($B305&amp;"__wt",'SegEnds_Xtal_BW#'!$A:$Z,10,FALSE)</f>
        <v>-</v>
      </c>
      <c r="K305" s="115">
        <v>21</v>
      </c>
      <c r="L305" s="4">
        <f>VLOOKUP($B305&amp;"__wt",'SegEnds_Xtal_BW#'!$A:$Z,12,FALSE)</f>
        <v>56</v>
      </c>
      <c r="M305" s="4" t="str">
        <f>VLOOKUP($B305&amp;"__wt",'SegEnds_Xtal_BW#'!$A:$Z,13,FALSE)</f>
        <v>-</v>
      </c>
      <c r="N305" s="11" t="str">
        <f>VLOOKUP($B305&amp;"__wt",'SegEnds_Xtal_BW#'!$A:$Z,14,FALSE)</f>
        <v>-</v>
      </c>
      <c r="O305" s="88">
        <f>VLOOKUP($B305&amp;"__wt",'SegEnds_Xtal_BW#'!$A:$Z,15,FALSE)</f>
        <v>37</v>
      </c>
      <c r="P305" s="4">
        <f>VLOOKUP($B305&amp;"__wt",'SegEnds_Xtal_BW#'!$A:$Z,16,FALSE)</f>
        <v>68</v>
      </c>
      <c r="Q305" s="4">
        <f>VLOOKUP($B305&amp;"__wt",'SegEnds_Xtal_BW#'!$A:$Z,17,FALSE)</f>
        <v>50</v>
      </c>
      <c r="R305" s="4">
        <f>VLOOKUP($B305&amp;"__wt",'SegEnds_Xtal_BW#'!$A:$Z,18,FALSE)</f>
        <v>52</v>
      </c>
      <c r="S305" s="1">
        <f>VLOOKUP($B305&amp;"__wt",'SegEnds_Xtal_BW#'!$A:$Z,19,FALSE)</f>
        <v>37</v>
      </c>
      <c r="T305" s="4">
        <v>69</v>
      </c>
      <c r="U305" s="4">
        <v>25</v>
      </c>
      <c r="V305" s="4">
        <f>VLOOKUP($B305&amp;"__wt",'SegEnds_Xtal_BW#'!$A:$Z,22,FALSE)</f>
        <v>54</v>
      </c>
      <c r="W305" s="4">
        <v>28</v>
      </c>
      <c r="X305" s="4">
        <f>VLOOKUP($B305&amp;"__wt",'SegEnds_Xtal_BW#'!$A:$Z,24,FALSE)</f>
        <v>56</v>
      </c>
      <c r="Y305" s="4">
        <f>VLOOKUP($B305&amp;"__wt",'SegEnds_Xtal_BW#'!$A:$Z,25,FALSE)</f>
        <v>47</v>
      </c>
      <c r="Z305" s="4">
        <f>VLOOKUP($B305&amp;"__wt",'SegEnds_Xtal_BW#'!$A:$Z,26,FALSE)</f>
        <v>72</v>
      </c>
      <c r="AA305" s="27" t="str">
        <f>VLOOKUP(A305,Classification!A:B,2,FALSE)</f>
        <v>B1</v>
      </c>
      <c r="AB305" s="1">
        <f>VLOOKUP(A305,'SegEnds_NonXtal_Prot#'!A:AL,10,FALSE)-VLOOKUP(A305,'SegEnds_NonXtal_Prot#'!A:AL,4,FALSE)</f>
        <v>28</v>
      </c>
      <c r="AC305" s="4">
        <f>VLOOKUP(A305,'SegEnds_NonXtal_Prot#'!A:AL,10,FALSE)-VLOOKUP(A305,'SegEnds_NonXtal_Prot#'!A:AL,7,FALSE)</f>
        <v>15</v>
      </c>
      <c r="AD305" s="4" t="e">
        <f>VLOOKUP(A305,'SegEnds_NonXtal_Prot#'!A:AL,13,FALSE)-VLOOKUP(A305,'SegEnds_NonXtal_Prot#'!A:AL,10,FALSE)</f>
        <v>#VALUE!</v>
      </c>
      <c r="AE305" s="4">
        <f>VLOOKUP(A305,'SegEnds_NonXtal_Prot#'!A:AL,16,FALSE)-VLOOKUP(A305,'SegEnds_NonXtal_Prot#'!A:AL,10,FALSE)</f>
        <v>76</v>
      </c>
      <c r="AF305" s="4" t="e">
        <f>VLOOKUP(A305,'SegEnds_NonXtal_Prot#'!A:AL,22,FALSE)-VLOOKUP(A305,'SegEnds_NonXtal_Prot#'!A:AL,19,FALSE)</f>
        <v>#VALUE!</v>
      </c>
      <c r="AG305" s="4">
        <f>VLOOKUP(A305,'SegEnds_NonXtal_Prot#'!A:AL,28,FALSE)-VLOOKUP(A305,'SegEnds_NonXtal_Prot#'!A:AL,25,FALSE)</f>
        <v>19</v>
      </c>
      <c r="AH305" s="4">
        <f>VLOOKUP(A305,'SegEnds_NonXtal_Prot#'!A:AL,28,FALSE)-VLOOKUP(A305,'SegEnds_NonXtal_Prot#'!A:AL,22,FALSE)</f>
        <v>41</v>
      </c>
      <c r="AI305" s="4">
        <f>VLOOKUP(A305,'SegEnds_NonXtal_Prot#'!A:AL,31,FALSE)-VLOOKUP(A305,'SegEnds_NonXtal_Prot#'!A:AL,28,FALSE)</f>
        <v>53</v>
      </c>
      <c r="AJ305" s="4">
        <f>VLOOKUP(A305,'SegEnds_NonXtal_Prot#'!A:AL,34,FALSE)-VLOOKUP(A305,'SegEnds_NonXtal_Prot#'!A:AL,31,FALSE)</f>
        <v>33</v>
      </c>
      <c r="AK305" s="1">
        <f>VLOOKUP(A305,'SegEnds_NonXtal_Prot#'!A:AL,37,FALSE)-VLOOKUP(A305,'SegEnds_NonXtal_Prot#'!A:AL,34,FALSE)</f>
        <v>10</v>
      </c>
      <c r="AL305" s="4" t="str">
        <f>IF(ISERROR(MATCH(A305,'SegEnds_Xtal_Prot#'!B:B, 0)), "NoXtal", "Xtal")</f>
        <v>Xtal</v>
      </c>
    </row>
    <row r="306" spans="1:38" x14ac:dyDescent="0.2">
      <c r="A306" s="4" t="s">
        <v>409</v>
      </c>
      <c r="B306" s="4" t="str">
        <f>VLOOKUP(A306,Xtal_Templ!A:B,2,FALSE)</f>
        <v>pth1r_human</v>
      </c>
      <c r="C306" s="5">
        <f>VLOOKUP($B306&amp;"__wt",'SegEnds_Xtal_BW#'!$A:$Z,3,FALSE)</f>
        <v>21</v>
      </c>
      <c r="D306" s="4">
        <f>VLOOKUP($B306&amp;"__wt",'SegEnds_Xtal_BW#'!$A:$Z,4,FALSE)</f>
        <v>60</v>
      </c>
      <c r="E306" s="4">
        <f>VLOOKUP($B306&amp;"__wt",'SegEnds_Xtal_BW#'!$A:$Z,5,FALSE)</f>
        <v>48</v>
      </c>
      <c r="F306" s="4">
        <f>VLOOKUP($B306&amp;"__wt",'SegEnds_Xtal_BW#'!$A:$Z,6,FALSE)</f>
        <v>51</v>
      </c>
      <c r="G306" s="4">
        <v>37</v>
      </c>
      <c r="H306" s="115">
        <v>69</v>
      </c>
      <c r="I306" s="4" t="str">
        <f>VLOOKUP($B306&amp;"__wt",'SegEnds_Xtal_BW#'!$A:$Z,9,FALSE)</f>
        <v>-</v>
      </c>
      <c r="J306" s="4" t="str">
        <f>VLOOKUP($B306&amp;"__wt",'SegEnds_Xtal_BW#'!$A:$Z,10,FALSE)</f>
        <v>-</v>
      </c>
      <c r="K306" s="115">
        <v>21</v>
      </c>
      <c r="L306" s="4">
        <f>VLOOKUP($B306&amp;"__wt",'SegEnds_Xtal_BW#'!$A:$Z,12,FALSE)</f>
        <v>56</v>
      </c>
      <c r="M306" s="4" t="str">
        <f>VLOOKUP($B306&amp;"__wt",'SegEnds_Xtal_BW#'!$A:$Z,13,FALSE)</f>
        <v>-</v>
      </c>
      <c r="N306" s="11" t="str">
        <f>VLOOKUP($B306&amp;"__wt",'SegEnds_Xtal_BW#'!$A:$Z,14,FALSE)</f>
        <v>-</v>
      </c>
      <c r="O306" s="88">
        <f>VLOOKUP($B306&amp;"__wt",'SegEnds_Xtal_BW#'!$A:$Z,15,FALSE)</f>
        <v>37</v>
      </c>
      <c r="P306" s="4">
        <f>VLOOKUP($B306&amp;"__wt",'SegEnds_Xtal_BW#'!$A:$Z,16,FALSE)</f>
        <v>68</v>
      </c>
      <c r="Q306" s="4">
        <f>VLOOKUP($B306&amp;"__wt",'SegEnds_Xtal_BW#'!$A:$Z,17,FALSE)</f>
        <v>50</v>
      </c>
      <c r="R306" s="4">
        <f>VLOOKUP($B306&amp;"__wt",'SegEnds_Xtal_BW#'!$A:$Z,18,FALSE)</f>
        <v>52</v>
      </c>
      <c r="S306" s="1">
        <f>VLOOKUP($B306&amp;"__wt",'SegEnds_Xtal_BW#'!$A:$Z,19,FALSE)</f>
        <v>37</v>
      </c>
      <c r="T306" s="4">
        <v>69</v>
      </c>
      <c r="U306" s="4">
        <v>25</v>
      </c>
      <c r="V306" s="4">
        <f>VLOOKUP($B306&amp;"__wt",'SegEnds_Xtal_BW#'!$A:$Z,22,FALSE)</f>
        <v>54</v>
      </c>
      <c r="W306" s="4">
        <v>28</v>
      </c>
      <c r="X306" s="4">
        <f>VLOOKUP($B306&amp;"__wt",'SegEnds_Xtal_BW#'!$A:$Z,24,FALSE)</f>
        <v>56</v>
      </c>
      <c r="Y306" s="4">
        <f>VLOOKUP($B306&amp;"__wt",'SegEnds_Xtal_BW#'!$A:$Z,25,FALSE)</f>
        <v>47</v>
      </c>
      <c r="Z306" s="4">
        <f>VLOOKUP($B306&amp;"__wt",'SegEnds_Xtal_BW#'!$A:$Z,26,FALSE)</f>
        <v>72</v>
      </c>
      <c r="AA306" s="27" t="str">
        <f>VLOOKUP(A306,Classification!A:B,2,FALSE)</f>
        <v>B1</v>
      </c>
      <c r="AB306" s="1">
        <f>VLOOKUP(A306,'SegEnds_NonXtal_Prot#'!A:AL,10,FALSE)-VLOOKUP(A306,'SegEnds_NonXtal_Prot#'!A:AL,4,FALSE)</f>
        <v>28</v>
      </c>
      <c r="AC306" s="4">
        <f>VLOOKUP(A306,'SegEnds_NonXtal_Prot#'!A:AL,10,FALSE)-VLOOKUP(A306,'SegEnds_NonXtal_Prot#'!A:AL,7,FALSE)</f>
        <v>15</v>
      </c>
      <c r="AD306" s="4" t="e">
        <f>VLOOKUP(A306,'SegEnds_NonXtal_Prot#'!A:AL,13,FALSE)-VLOOKUP(A306,'SegEnds_NonXtal_Prot#'!A:AL,10,FALSE)</f>
        <v>#VALUE!</v>
      </c>
      <c r="AE306" s="4">
        <f>VLOOKUP(A306,'SegEnds_NonXtal_Prot#'!A:AL,16,FALSE)-VLOOKUP(A306,'SegEnds_NonXtal_Prot#'!A:AL,10,FALSE)</f>
        <v>74</v>
      </c>
      <c r="AF306" s="4" t="e">
        <f>VLOOKUP(A306,'SegEnds_NonXtal_Prot#'!A:AL,22,FALSE)-VLOOKUP(A306,'SegEnds_NonXtal_Prot#'!A:AL,19,FALSE)</f>
        <v>#VALUE!</v>
      </c>
      <c r="AG306" s="4">
        <f>VLOOKUP(A306,'SegEnds_NonXtal_Prot#'!A:AL,28,FALSE)-VLOOKUP(A306,'SegEnds_NonXtal_Prot#'!A:AL,25,FALSE)</f>
        <v>19</v>
      </c>
      <c r="AH306" s="4">
        <f>VLOOKUP(A306,'SegEnds_NonXtal_Prot#'!A:AL,28,FALSE)-VLOOKUP(A306,'SegEnds_NonXtal_Prot#'!A:AL,22,FALSE)</f>
        <v>41</v>
      </c>
      <c r="AI306" s="4">
        <f>VLOOKUP(A306,'SegEnds_NonXtal_Prot#'!A:AL,31,FALSE)-VLOOKUP(A306,'SegEnds_NonXtal_Prot#'!A:AL,28,FALSE)</f>
        <v>53</v>
      </c>
      <c r="AJ306" s="4">
        <f>VLOOKUP(A306,'SegEnds_NonXtal_Prot#'!A:AL,34,FALSE)-VLOOKUP(A306,'SegEnds_NonXtal_Prot#'!A:AL,31,FALSE)</f>
        <v>32</v>
      </c>
      <c r="AK306" s="1">
        <f>VLOOKUP(A306,'SegEnds_NonXtal_Prot#'!A:AL,37,FALSE)-VLOOKUP(A306,'SegEnds_NonXtal_Prot#'!A:AL,34,FALSE)</f>
        <v>10</v>
      </c>
      <c r="AL306" s="4" t="str">
        <f>IF(ISERROR(MATCH(A306,'SegEnds_Xtal_Prot#'!B:B, 0)), "NoXtal", "Xtal")</f>
        <v>NoXtal</v>
      </c>
    </row>
    <row r="307" spans="1:38" x14ac:dyDescent="0.2">
      <c r="A307" s="4" t="s">
        <v>411</v>
      </c>
      <c r="B307" s="4" t="str">
        <f>VLOOKUP(A307,Xtal_Templ!A:B,2,FALSE)</f>
        <v>pacr_human</v>
      </c>
      <c r="C307" s="5">
        <f>VLOOKUP($B307&amp;"__wt",'SegEnds_Xtal_BW#'!$A:$Z,3,FALSE)</f>
        <v>21</v>
      </c>
      <c r="D307" s="4">
        <f>VLOOKUP($B307&amp;"__wt",'SegEnds_Xtal_BW#'!$A:$Z,4,FALSE)</f>
        <v>60</v>
      </c>
      <c r="E307" s="4">
        <f>VLOOKUP($B307&amp;"__wt",'SegEnds_Xtal_BW#'!$A:$Z,5,FALSE)</f>
        <v>48</v>
      </c>
      <c r="F307" s="4">
        <f>VLOOKUP($B307&amp;"__wt",'SegEnds_Xtal_BW#'!$A:$Z,6,FALSE)</f>
        <v>51</v>
      </c>
      <c r="G307" s="4">
        <v>37</v>
      </c>
      <c r="H307" s="115">
        <v>64</v>
      </c>
      <c r="I307" s="4" t="str">
        <f>VLOOKUP($B307&amp;"__wt",'SegEnds_Xtal_BW#'!$A:$Z,9,FALSE)</f>
        <v>-</v>
      </c>
      <c r="J307" s="4" t="str">
        <f>VLOOKUP($B307&amp;"__wt",'SegEnds_Xtal_BW#'!$A:$Z,10,FALSE)</f>
        <v>-</v>
      </c>
      <c r="K307" s="115">
        <v>22</v>
      </c>
      <c r="L307" s="4">
        <f>VLOOKUP($B307&amp;"__wt",'SegEnds_Xtal_BW#'!$A:$Z,12,FALSE)</f>
        <v>56</v>
      </c>
      <c r="M307" s="4" t="str">
        <f>VLOOKUP($B307&amp;"__wt",'SegEnds_Xtal_BW#'!$A:$Z,13,FALSE)</f>
        <v>-</v>
      </c>
      <c r="N307" s="11" t="str">
        <f>VLOOKUP($B307&amp;"__wt",'SegEnds_Xtal_BW#'!$A:$Z,14,FALSE)</f>
        <v>-</v>
      </c>
      <c r="O307" s="88">
        <f>VLOOKUP($B307&amp;"__wt",'SegEnds_Xtal_BW#'!$A:$Z,15,FALSE)</f>
        <v>40</v>
      </c>
      <c r="P307" s="4">
        <f>VLOOKUP($B307&amp;"__wt",'SegEnds_Xtal_BW#'!$A:$Z,16,FALSE)</f>
        <v>68</v>
      </c>
      <c r="Q307" s="4">
        <f>VLOOKUP($B307&amp;"__wt",'SegEnds_Xtal_BW#'!$A:$Z,17,FALSE)</f>
        <v>50</v>
      </c>
      <c r="R307" s="4">
        <f>VLOOKUP($B307&amp;"__wt",'SegEnds_Xtal_BW#'!$A:$Z,18,FALSE)</f>
        <v>52</v>
      </c>
      <c r="S307" s="1">
        <f>VLOOKUP($B307&amp;"__wt",'SegEnds_Xtal_BW#'!$A:$Z,19,FALSE)</f>
        <v>36</v>
      </c>
      <c r="T307" s="4">
        <v>69</v>
      </c>
      <c r="U307" s="4">
        <v>25</v>
      </c>
      <c r="V307" s="1">
        <f>VLOOKUP($B307&amp;"__wt",'SegEnds_Xtal_BW#'!$A:$Z,22,FALSE)</f>
        <v>54</v>
      </c>
      <c r="W307" s="4">
        <v>31</v>
      </c>
      <c r="X307" s="4">
        <f>VLOOKUP($B307&amp;"__wt",'SegEnds_Xtal_BW#'!$A:$Z,24,FALSE)</f>
        <v>56</v>
      </c>
      <c r="Y307" s="4">
        <f>VLOOKUP($B307&amp;"__wt",'SegEnds_Xtal_BW#'!$A:$Z,25,FALSE)</f>
        <v>47</v>
      </c>
      <c r="Z307" s="4">
        <f>VLOOKUP($B307&amp;"__wt",'SegEnds_Xtal_BW#'!$A:$Z,26,FALSE)</f>
        <v>72</v>
      </c>
      <c r="AA307" s="27" t="str">
        <f>VLOOKUP(A307,Classification!A:B,2,FALSE)</f>
        <v>B1</v>
      </c>
      <c r="AB307" s="1">
        <f>VLOOKUP(A307,'SegEnds_NonXtal_Prot#'!A:AL,10,FALSE)-VLOOKUP(A307,'SegEnds_NonXtal_Prot#'!A:AL,4,FALSE)</f>
        <v>28</v>
      </c>
      <c r="AC307" s="4">
        <f>VLOOKUP(A307,'SegEnds_NonXtal_Prot#'!A:AL,10,FALSE)-VLOOKUP(A307,'SegEnds_NonXtal_Prot#'!A:AL,7,FALSE)</f>
        <v>15</v>
      </c>
      <c r="AD307" s="4" t="e">
        <f>VLOOKUP(A307,'SegEnds_NonXtal_Prot#'!A:AL,13,FALSE)-VLOOKUP(A307,'SegEnds_NonXtal_Prot#'!A:AL,10,FALSE)</f>
        <v>#VALUE!</v>
      </c>
      <c r="AE307" s="4">
        <f>VLOOKUP(A307,'SegEnds_NonXtal_Prot#'!A:AL,16,FALSE)-VLOOKUP(A307,'SegEnds_NonXtal_Prot#'!A:AL,10,FALSE)</f>
        <v>55</v>
      </c>
      <c r="AF307" s="1" t="e">
        <f>VLOOKUP(A307,'SegEnds_NonXtal_Prot#'!A:AL,22,FALSE)-VLOOKUP(A307,'SegEnds_NonXtal_Prot#'!A:AL,19,FALSE)</f>
        <v>#VALUE!</v>
      </c>
      <c r="AG307" s="4">
        <f>VLOOKUP(A307,'SegEnds_NonXtal_Prot#'!A:AL,28,FALSE)-VLOOKUP(A307,'SegEnds_NonXtal_Prot#'!A:AL,25,FALSE)</f>
        <v>19</v>
      </c>
      <c r="AH307" s="1">
        <f>VLOOKUP(A307,'SegEnds_NonXtal_Prot#'!A:AL,28,FALSE)-VLOOKUP(A307,'SegEnds_NonXtal_Prot#'!A:AL,22,FALSE)</f>
        <v>41</v>
      </c>
      <c r="AI307" s="4">
        <f>VLOOKUP(A307,'SegEnds_NonXtal_Prot#'!A:AL,31,FALSE)-VLOOKUP(A307,'SegEnds_NonXtal_Prot#'!A:AL,28,FALSE)</f>
        <v>52</v>
      </c>
      <c r="AJ307" s="4">
        <f>VLOOKUP(A307,'SegEnds_NonXtal_Prot#'!A:AL,34,FALSE)-VLOOKUP(A307,'SegEnds_NonXtal_Prot#'!A:AL,31,FALSE)</f>
        <v>29</v>
      </c>
      <c r="AK307" s="1">
        <f>VLOOKUP(A307,'SegEnds_NonXtal_Prot#'!A:AL,37,FALSE)-VLOOKUP(A307,'SegEnds_NonXtal_Prot#'!A:AL,34,FALSE)</f>
        <v>10</v>
      </c>
      <c r="AL307" s="1" t="str">
        <f>IF(ISERROR(MATCH(A307,'SegEnds_Xtal_Prot#'!B:B, 0)), "NoXtal", "Xtal")</f>
        <v>NoXtal</v>
      </c>
    </row>
    <row r="308" spans="1:38" x14ac:dyDescent="0.2">
      <c r="A308" s="4" t="s">
        <v>1414</v>
      </c>
      <c r="B308" s="4" t="str">
        <f>VLOOKUP(A308,Xtal_Templ!A:B,2,FALSE)</f>
        <v>g1sgd4_rabit</v>
      </c>
      <c r="C308" s="5">
        <f>VLOOKUP($B308&amp;"__wt",'SegEnds_Xtal_BW#'!$A:$Z,3,FALSE)</f>
        <v>28</v>
      </c>
      <c r="D308" s="4">
        <f>VLOOKUP($B308&amp;"__wt",'SegEnds_Xtal_BW#'!$A:$Z,4,FALSE)</f>
        <v>60</v>
      </c>
      <c r="E308" s="4">
        <f>VLOOKUP($B308&amp;"__wt",'SegEnds_Xtal_BW#'!$A:$Z,5,FALSE)</f>
        <v>48</v>
      </c>
      <c r="F308" s="4">
        <f>VLOOKUP($B308&amp;"__wt",'SegEnds_Xtal_BW#'!$A:$Z,6,FALSE)</f>
        <v>51</v>
      </c>
      <c r="G308" s="4">
        <v>37</v>
      </c>
      <c r="H308" s="115">
        <v>74</v>
      </c>
      <c r="I308" s="4" t="str">
        <f>VLOOKUP($B308&amp;"__wt",'SegEnds_Xtal_BW#'!$A:$Z,9,FALSE)</f>
        <v>-</v>
      </c>
      <c r="J308" s="4" t="str">
        <f>VLOOKUP($B308&amp;"__wt",'SegEnds_Xtal_BW#'!$A:$Z,10,FALSE)</f>
        <v>-</v>
      </c>
      <c r="K308" s="115">
        <v>23</v>
      </c>
      <c r="L308" s="4">
        <f>VLOOKUP($B308&amp;"__wt",'SegEnds_Xtal_BW#'!$A:$Z,12,FALSE)</f>
        <v>56</v>
      </c>
      <c r="M308" s="4" t="str">
        <f>VLOOKUP($B308&amp;"__wt",'SegEnds_Xtal_BW#'!$A:$Z,13,FALSE)</f>
        <v>-</v>
      </c>
      <c r="N308" s="11" t="str">
        <f>VLOOKUP($B308&amp;"__wt",'SegEnds_Xtal_BW#'!$A:$Z,14,FALSE)</f>
        <v>-</v>
      </c>
      <c r="O308" s="88">
        <f>VLOOKUP($B308&amp;"__wt",'SegEnds_Xtal_BW#'!$A:$Z,15,FALSE)</f>
        <v>37</v>
      </c>
      <c r="P308" s="4">
        <f>VLOOKUP($B308&amp;"__wt",'SegEnds_Xtal_BW#'!$A:$Z,16,FALSE)</f>
        <v>68</v>
      </c>
      <c r="Q308" s="4">
        <f>VLOOKUP($B308&amp;"__wt",'SegEnds_Xtal_BW#'!$A:$Z,17,FALSE)</f>
        <v>50</v>
      </c>
      <c r="R308" s="4">
        <f>VLOOKUP($B308&amp;"__wt",'SegEnds_Xtal_BW#'!$A:$Z,18,FALSE)</f>
        <v>52</v>
      </c>
      <c r="S308" s="1">
        <f>VLOOKUP($B308&amp;"__wt",'SegEnds_Xtal_BW#'!$A:$Z,19,FALSE)</f>
        <v>36</v>
      </c>
      <c r="T308" s="4">
        <f>VLOOKUP($B308&amp;"__wt",'SegEnds_Xtal_BW#'!$A:$Z,20,FALSE)</f>
        <v>71</v>
      </c>
      <c r="U308" s="4">
        <f>VLOOKUP($B308&amp;"__wt",'SegEnds_Xtal_BW#'!$A:$Z,21,FALSE)</f>
        <v>30</v>
      </c>
      <c r="V308" s="4">
        <f>VLOOKUP($B308&amp;"__wt",'SegEnds_Xtal_BW#'!$A:$Z,22,FALSE)</f>
        <v>53</v>
      </c>
      <c r="W308" s="115">
        <v>30</v>
      </c>
      <c r="X308" s="4">
        <f>VLOOKUP($B308&amp;"__wt",'SegEnds_Xtal_BW#'!$A:$Z,24,FALSE)</f>
        <v>56</v>
      </c>
      <c r="Y308" s="4">
        <f>VLOOKUP($B308&amp;"__wt",'SegEnds_Xtal_BW#'!$A:$Z,25,FALSE)</f>
        <v>47</v>
      </c>
      <c r="Z308" s="4">
        <f>VLOOKUP($B308&amp;"__wt",'SegEnds_Xtal_BW#'!$A:$Z,26,FALSE)</f>
        <v>72</v>
      </c>
      <c r="AA308" s="27" t="str">
        <f>VLOOKUP(A308,Classification!A:B,2,FALSE)</f>
        <v>B1</v>
      </c>
      <c r="AB308" s="1">
        <f>VLOOKUP(A308,'SegEnds_NonXtal_Prot#'!A:AL,10,FALSE)-VLOOKUP(A308,'SegEnds_NonXtal_Prot#'!A:AL,4,FALSE)</f>
        <v>28</v>
      </c>
      <c r="AC308" s="4">
        <f>VLOOKUP(A308,'SegEnds_NonXtal_Prot#'!A:AL,10,FALSE)-VLOOKUP(A308,'SegEnds_NonXtal_Prot#'!A:AL,7,FALSE)</f>
        <v>15</v>
      </c>
      <c r="AD308" s="4" t="e">
        <f>VLOOKUP(A308,'SegEnds_NonXtal_Prot#'!A:AL,13,FALSE)-VLOOKUP(A308,'SegEnds_NonXtal_Prot#'!A:AL,10,FALSE)</f>
        <v>#VALUE!</v>
      </c>
      <c r="AE308" s="4">
        <f>VLOOKUP(A308,'SegEnds_NonXtal_Prot#'!A:AL,16,FALSE)-VLOOKUP(A308,'SegEnds_NonXtal_Prot#'!A:AL,10,FALSE)</f>
        <v>64</v>
      </c>
      <c r="AF308" s="4" t="e">
        <f>VLOOKUP(A308,'SegEnds_NonXtal_Prot#'!A:AL,22,FALSE)-VLOOKUP(A308,'SegEnds_NonXtal_Prot#'!A:AL,19,FALSE)</f>
        <v>#VALUE!</v>
      </c>
      <c r="AG308" s="4">
        <f>VLOOKUP(A308,'SegEnds_NonXtal_Prot#'!A:AL,28,FALSE)-VLOOKUP(A308,'SegEnds_NonXtal_Prot#'!A:AL,25,FALSE)</f>
        <v>20</v>
      </c>
      <c r="AH308" s="4">
        <f>VLOOKUP(A308,'SegEnds_NonXtal_Prot#'!A:AL,28,FALSE)-VLOOKUP(A308,'SegEnds_NonXtal_Prot#'!A:AL,22,FALSE)</f>
        <v>42</v>
      </c>
      <c r="AI308" s="4">
        <f>VLOOKUP(A308,'SegEnds_NonXtal_Prot#'!A:AL,31,FALSE)-VLOOKUP(A308,'SegEnds_NonXtal_Prot#'!A:AL,28,FALSE)</f>
        <v>50</v>
      </c>
      <c r="AJ308" s="4">
        <f>VLOOKUP(A308,'SegEnds_NonXtal_Prot#'!A:AL,34,FALSE)-VLOOKUP(A308,'SegEnds_NonXtal_Prot#'!A:AL,31,FALSE)</f>
        <v>33</v>
      </c>
      <c r="AK308" s="1">
        <f>VLOOKUP(A308,'SegEnds_NonXtal_Prot#'!A:AL,37,FALSE)-VLOOKUP(A308,'SegEnds_NonXtal_Prot#'!A:AL,34,FALSE)</f>
        <v>10</v>
      </c>
      <c r="AL308" s="4" t="str">
        <f>IF(ISERROR(MATCH(A308,'SegEnds_Xtal_Prot#'!B:B, 0)), "NoXtal", "Xtal")</f>
        <v>Xtal</v>
      </c>
    </row>
    <row r="309" spans="1:38" x14ac:dyDescent="0.2">
      <c r="A309" s="4" t="s">
        <v>403</v>
      </c>
      <c r="B309" s="4" t="str">
        <f>VLOOKUP(A309,Xtal_Templ!A:B,2,FALSE)</f>
        <v>pacr_human</v>
      </c>
      <c r="C309" s="5">
        <f>VLOOKUP($B309&amp;"__wt",'SegEnds_Xtal_BW#'!$A:$Z,3,FALSE)</f>
        <v>21</v>
      </c>
      <c r="D309" s="4">
        <f>VLOOKUP($B309&amp;"__wt",'SegEnds_Xtal_BW#'!$A:$Z,4,FALSE)</f>
        <v>60</v>
      </c>
      <c r="E309" s="4">
        <f>VLOOKUP($B309&amp;"__wt",'SegEnds_Xtal_BW#'!$A:$Z,5,FALSE)</f>
        <v>48</v>
      </c>
      <c r="F309" s="4">
        <f>VLOOKUP($B309&amp;"__wt",'SegEnds_Xtal_BW#'!$A:$Z,6,FALSE)</f>
        <v>51</v>
      </c>
      <c r="G309" s="4">
        <v>37</v>
      </c>
      <c r="H309" s="115">
        <v>64</v>
      </c>
      <c r="I309" s="4" t="str">
        <f>VLOOKUP($B309&amp;"__wt",'SegEnds_Xtal_BW#'!$A:$Z,9,FALSE)</f>
        <v>-</v>
      </c>
      <c r="J309" s="4" t="str">
        <f>VLOOKUP($B309&amp;"__wt",'SegEnds_Xtal_BW#'!$A:$Z,10,FALSE)</f>
        <v>-</v>
      </c>
      <c r="K309" s="115">
        <v>22</v>
      </c>
      <c r="L309" s="4">
        <f>VLOOKUP($B309&amp;"__wt",'SegEnds_Xtal_BW#'!$A:$Z,12,FALSE)</f>
        <v>56</v>
      </c>
      <c r="M309" s="4" t="str">
        <f>VLOOKUP($B309&amp;"__wt",'SegEnds_Xtal_BW#'!$A:$Z,13,FALSE)</f>
        <v>-</v>
      </c>
      <c r="N309" s="11" t="str">
        <f>VLOOKUP($B309&amp;"__wt",'SegEnds_Xtal_BW#'!$A:$Z,14,FALSE)</f>
        <v>-</v>
      </c>
      <c r="O309" s="88">
        <f>VLOOKUP($B309&amp;"__wt",'SegEnds_Xtal_BW#'!$A:$Z,15,FALSE)</f>
        <v>40</v>
      </c>
      <c r="P309" s="4">
        <f>VLOOKUP($B309&amp;"__wt",'SegEnds_Xtal_BW#'!$A:$Z,16,FALSE)</f>
        <v>68</v>
      </c>
      <c r="Q309" s="4">
        <f>VLOOKUP($B309&amp;"__wt",'SegEnds_Xtal_BW#'!$A:$Z,17,FALSE)</f>
        <v>50</v>
      </c>
      <c r="R309" s="4">
        <f>VLOOKUP($B309&amp;"__wt",'SegEnds_Xtal_BW#'!$A:$Z,18,FALSE)</f>
        <v>52</v>
      </c>
      <c r="S309" s="1">
        <f>VLOOKUP($B309&amp;"__wt",'SegEnds_Xtal_BW#'!$A:$Z,19,FALSE)</f>
        <v>36</v>
      </c>
      <c r="T309" s="4">
        <v>69</v>
      </c>
      <c r="U309" s="4">
        <v>25</v>
      </c>
      <c r="V309" s="4">
        <f>VLOOKUP($B309&amp;"__wt",'SegEnds_Xtal_BW#'!$A:$Z,22,FALSE)</f>
        <v>54</v>
      </c>
      <c r="W309" s="4">
        <v>31</v>
      </c>
      <c r="X309" s="4">
        <f>VLOOKUP($B309&amp;"__wt",'SegEnds_Xtal_BW#'!$A:$Z,24,FALSE)</f>
        <v>56</v>
      </c>
      <c r="Y309" s="4">
        <f>VLOOKUP($B309&amp;"__wt",'SegEnds_Xtal_BW#'!$A:$Z,25,FALSE)</f>
        <v>47</v>
      </c>
      <c r="Z309" s="4">
        <f>VLOOKUP($B309&amp;"__wt",'SegEnds_Xtal_BW#'!$A:$Z,26,FALSE)</f>
        <v>72</v>
      </c>
      <c r="AA309" s="27" t="str">
        <f>VLOOKUP(A309,Classification!A:B,2,FALSE)</f>
        <v>B1</v>
      </c>
      <c r="AB309" s="1">
        <f>VLOOKUP(A309,'SegEnds_NonXtal_Prot#'!A:AL,10,FALSE)-VLOOKUP(A309,'SegEnds_NonXtal_Prot#'!A:AL,4,FALSE)</f>
        <v>28</v>
      </c>
      <c r="AC309" s="4">
        <f>VLOOKUP(A309,'SegEnds_NonXtal_Prot#'!A:AL,10,FALSE)-VLOOKUP(A309,'SegEnds_NonXtal_Prot#'!A:AL,7,FALSE)</f>
        <v>15</v>
      </c>
      <c r="AD309" s="4" t="e">
        <f>VLOOKUP(A309,'SegEnds_NonXtal_Prot#'!A:AL,13,FALSE)-VLOOKUP(A309,'SegEnds_NonXtal_Prot#'!A:AL,10,FALSE)</f>
        <v>#VALUE!</v>
      </c>
      <c r="AE309" s="4">
        <f>VLOOKUP(A309,'SegEnds_NonXtal_Prot#'!A:AL,16,FALSE)-VLOOKUP(A309,'SegEnds_NonXtal_Prot#'!A:AL,10,FALSE)</f>
        <v>55</v>
      </c>
      <c r="AF309" s="1" t="e">
        <f>VLOOKUP(A309,'SegEnds_NonXtal_Prot#'!A:AL,22,FALSE)-VLOOKUP(A309,'SegEnds_NonXtal_Prot#'!A:AL,19,FALSE)</f>
        <v>#VALUE!</v>
      </c>
      <c r="AG309" s="4">
        <f>VLOOKUP(A309,'SegEnds_NonXtal_Prot#'!A:AL,28,FALSE)-VLOOKUP(A309,'SegEnds_NonXtal_Prot#'!A:AL,25,FALSE)</f>
        <v>20</v>
      </c>
      <c r="AH309" s="1">
        <f>VLOOKUP(A309,'SegEnds_NonXtal_Prot#'!A:AL,28,FALSE)-VLOOKUP(A309,'SegEnds_NonXtal_Prot#'!A:AL,22,FALSE)</f>
        <v>42</v>
      </c>
      <c r="AI309" s="4">
        <f>VLOOKUP(A309,'SegEnds_NonXtal_Prot#'!A:AL,31,FALSE)-VLOOKUP(A309,'SegEnds_NonXtal_Prot#'!A:AL,28,FALSE)</f>
        <v>52</v>
      </c>
      <c r="AJ309" s="4">
        <f>VLOOKUP(A309,'SegEnds_NonXtal_Prot#'!A:AL,34,FALSE)-VLOOKUP(A309,'SegEnds_NonXtal_Prot#'!A:AL,31,FALSE)</f>
        <v>29</v>
      </c>
      <c r="AK309" s="1">
        <f>VLOOKUP(A309,'SegEnds_NonXtal_Prot#'!A:AL,37,FALSE)-VLOOKUP(A309,'SegEnds_NonXtal_Prot#'!A:AL,34,FALSE)</f>
        <v>10</v>
      </c>
      <c r="AL309" s="1" t="str">
        <f>IF(ISERROR(MATCH(A309,'SegEnds_Xtal_Prot#'!B:B, 0)), "NoXtal", "Xtal")</f>
        <v>NoXtal</v>
      </c>
    </row>
    <row r="310" spans="1:38" x14ac:dyDescent="0.2">
      <c r="A310" s="4" t="s">
        <v>404</v>
      </c>
      <c r="B310" s="4" t="str">
        <f>VLOOKUP(A310,Xtal_Templ!A:B,2,FALSE)</f>
        <v>glr_human</v>
      </c>
      <c r="C310" s="5">
        <f>VLOOKUP($B310&amp;"__wt",'SegEnds_Xtal_BW#'!$A:$Z,3,FALSE)</f>
        <v>25</v>
      </c>
      <c r="D310" s="4">
        <f>VLOOKUP($B310&amp;"__wt",'SegEnds_Xtal_BW#'!$A:$Z,4,FALSE)</f>
        <v>60</v>
      </c>
      <c r="E310" s="4">
        <f>VLOOKUP($B310&amp;"__wt",'SegEnds_Xtal_BW#'!$A:$Z,5,FALSE)</f>
        <v>48</v>
      </c>
      <c r="F310" s="4">
        <f>VLOOKUP($B310&amp;"__wt",'SegEnds_Xtal_BW#'!$A:$Z,6,FALSE)</f>
        <v>51</v>
      </c>
      <c r="G310" s="4">
        <v>37</v>
      </c>
      <c r="H310" s="115">
        <v>64</v>
      </c>
      <c r="I310" s="4" t="str">
        <f>VLOOKUP($B310&amp;"__wt",'SegEnds_Xtal_BW#'!$A:$Z,9,FALSE)</f>
        <v>-</v>
      </c>
      <c r="J310" s="4" t="str">
        <f>VLOOKUP($B310&amp;"__wt",'SegEnds_Xtal_BW#'!$A:$Z,10,FALSE)</f>
        <v>-</v>
      </c>
      <c r="K310" s="115">
        <v>23</v>
      </c>
      <c r="L310" s="4">
        <f>VLOOKUP($B310&amp;"__wt",'SegEnds_Xtal_BW#'!$A:$Z,12,FALSE)</f>
        <v>56</v>
      </c>
      <c r="M310" s="4" t="str">
        <f>VLOOKUP($B310&amp;"__wt",'SegEnds_Xtal_BW#'!$A:$Z,13,FALSE)</f>
        <v>-</v>
      </c>
      <c r="N310" s="11" t="str">
        <f>VLOOKUP($B310&amp;"__wt",'SegEnds_Xtal_BW#'!$A:$Z,14,FALSE)</f>
        <v>-</v>
      </c>
      <c r="O310" s="88">
        <f>VLOOKUP($B310&amp;"__wt",'SegEnds_Xtal_BW#'!$A:$Z,15,FALSE)</f>
        <v>40</v>
      </c>
      <c r="P310" s="4">
        <f>VLOOKUP($B310&amp;"__wt",'SegEnds_Xtal_BW#'!$A:$Z,16,FALSE)</f>
        <v>68</v>
      </c>
      <c r="Q310" s="4">
        <f>VLOOKUP($B310&amp;"__wt",'SegEnds_Xtal_BW#'!$A:$Z,17,FALSE)</f>
        <v>50</v>
      </c>
      <c r="R310" s="4">
        <f>VLOOKUP($B310&amp;"__wt",'SegEnds_Xtal_BW#'!$A:$Z,18,FALSE)</f>
        <v>52</v>
      </c>
      <c r="S310" s="1">
        <f>VLOOKUP($B310&amp;"__wt",'SegEnds_Xtal_BW#'!$A:$Z,19,FALSE)</f>
        <v>35</v>
      </c>
      <c r="T310" s="4">
        <f>VLOOKUP($B310&amp;"__wt",'SegEnds_Xtal_BW#'!$A:$Z,20,FALSE)</f>
        <v>71</v>
      </c>
      <c r="U310" s="115">
        <v>28</v>
      </c>
      <c r="V310" s="4">
        <f>VLOOKUP($B310&amp;"__wt",'SegEnds_Xtal_BW#'!$A:$Z,22,FALSE)</f>
        <v>53</v>
      </c>
      <c r="W310" s="4">
        <v>28</v>
      </c>
      <c r="X310" s="4">
        <f>VLOOKUP($B310&amp;"__wt",'SegEnds_Xtal_BW#'!$A:$Z,24,FALSE)</f>
        <v>56</v>
      </c>
      <c r="Y310" s="4">
        <f>VLOOKUP($B310&amp;"__wt",'SegEnds_Xtal_BW#'!$A:$Z,25,FALSE)</f>
        <v>47</v>
      </c>
      <c r="Z310" s="4">
        <f>VLOOKUP($B310&amp;"__wt",'SegEnds_Xtal_BW#'!$A:$Z,26,FALSE)</f>
        <v>72</v>
      </c>
      <c r="AA310" s="27" t="str">
        <f>VLOOKUP(A310,Classification!A:B,2,FALSE)</f>
        <v>B1</v>
      </c>
      <c r="AB310" s="1">
        <f>VLOOKUP(A310,'SegEnds_NonXtal_Prot#'!A:AL,10,FALSE)-VLOOKUP(A310,'SegEnds_NonXtal_Prot#'!A:AL,4,FALSE)</f>
        <v>28</v>
      </c>
      <c r="AC310" s="4">
        <f>VLOOKUP(A310,'SegEnds_NonXtal_Prot#'!A:AL,10,FALSE)-VLOOKUP(A310,'SegEnds_NonXtal_Prot#'!A:AL,7,FALSE)</f>
        <v>15</v>
      </c>
      <c r="AD310" s="4" t="e">
        <f>VLOOKUP(A310,'SegEnds_NonXtal_Prot#'!A:AL,13,FALSE)-VLOOKUP(A310,'SegEnds_NonXtal_Prot#'!A:AL,10,FALSE)</f>
        <v>#VALUE!</v>
      </c>
      <c r="AE310" s="4">
        <f>VLOOKUP(A310,'SegEnds_NonXtal_Prot#'!A:AL,16,FALSE)-VLOOKUP(A310,'SegEnds_NonXtal_Prot#'!A:AL,10,FALSE)</f>
        <v>61</v>
      </c>
      <c r="AF310" s="1" t="e">
        <f>VLOOKUP(A310,'SegEnds_NonXtal_Prot#'!A:AL,22,FALSE)-VLOOKUP(A310,'SegEnds_NonXtal_Prot#'!A:AL,19,FALSE)</f>
        <v>#VALUE!</v>
      </c>
      <c r="AG310" s="4">
        <f>VLOOKUP(A310,'SegEnds_NonXtal_Prot#'!A:AL,28,FALSE)-VLOOKUP(A310,'SegEnds_NonXtal_Prot#'!A:AL,25,FALSE)</f>
        <v>20</v>
      </c>
      <c r="AH310" s="1">
        <f>VLOOKUP(A310,'SegEnds_NonXtal_Prot#'!A:AL,28,FALSE)-VLOOKUP(A310,'SegEnds_NonXtal_Prot#'!A:AL,22,FALSE)</f>
        <v>42</v>
      </c>
      <c r="AI310" s="4">
        <f>VLOOKUP(A310,'SegEnds_NonXtal_Prot#'!A:AL,31,FALSE)-VLOOKUP(A310,'SegEnds_NonXtal_Prot#'!A:AL,28,FALSE)</f>
        <v>50</v>
      </c>
      <c r="AJ310" s="4">
        <f>VLOOKUP(A310,'SegEnds_NonXtal_Prot#'!A:AL,34,FALSE)-VLOOKUP(A310,'SegEnds_NonXtal_Prot#'!A:AL,31,FALSE)</f>
        <v>33</v>
      </c>
      <c r="AK310" s="1">
        <f>VLOOKUP(A310,'SegEnds_NonXtal_Prot#'!A:AL,37,FALSE)-VLOOKUP(A310,'SegEnds_NonXtal_Prot#'!A:AL,34,FALSE)</f>
        <v>10</v>
      </c>
      <c r="AL310" s="1" t="str">
        <f>IF(ISERROR(MATCH(A310,'SegEnds_Xtal_Prot#'!B:B, 0)), "NoXtal", "Xtal")</f>
        <v>NoXtal</v>
      </c>
    </row>
    <row r="311" spans="1:38" x14ac:dyDescent="0.2">
      <c r="A311" s="1" t="s">
        <v>405</v>
      </c>
      <c r="B311" s="1" t="str">
        <f>VLOOKUP(A311,Xtal_Templ!A:B,2,FALSE)</f>
        <v>glp1r_human</v>
      </c>
      <c r="C311" s="5">
        <f>VLOOKUP($B311&amp;"__wt",'SegEnds_Xtal_BW#'!$A:$Z,3,FALSE)</f>
        <v>29</v>
      </c>
      <c r="D311" s="1">
        <f>VLOOKUP($B311&amp;"__wt",'SegEnds_Xtal_BW#'!$A:$Z,4,FALSE)</f>
        <v>60</v>
      </c>
      <c r="E311" s="1">
        <f>VLOOKUP($B311&amp;"__wt",'SegEnds_Xtal_BW#'!$A:$Z,5,FALSE)</f>
        <v>48</v>
      </c>
      <c r="F311" s="1">
        <f>VLOOKUP($B311&amp;"__wt",'SegEnds_Xtal_BW#'!$A:$Z,6,FALSE)</f>
        <v>51</v>
      </c>
      <c r="G311" s="1">
        <v>37</v>
      </c>
      <c r="H311" s="108">
        <v>64</v>
      </c>
      <c r="I311" s="1" t="str">
        <f>VLOOKUP($B311&amp;"__wt",'SegEnds_Xtal_BW#'!$A:$Z,9,FALSE)</f>
        <v>-</v>
      </c>
      <c r="J311" s="1" t="str">
        <f>VLOOKUP($B311&amp;"__wt",'SegEnds_Xtal_BW#'!$A:$Z,10,FALSE)</f>
        <v>-</v>
      </c>
      <c r="K311" s="108">
        <v>23</v>
      </c>
      <c r="L311" s="1">
        <f>VLOOKUP($B311&amp;"__wt",'SegEnds_Xtal_BW#'!$A:$Z,12,FALSE)</f>
        <v>56</v>
      </c>
      <c r="M311" s="1" t="str">
        <f>VLOOKUP($B311&amp;"__wt",'SegEnds_Xtal_BW#'!$A:$Z,13,FALSE)</f>
        <v>-</v>
      </c>
      <c r="N311" s="12" t="str">
        <f>VLOOKUP($B311&amp;"__wt",'SegEnds_Xtal_BW#'!$A:$Z,14,FALSE)</f>
        <v>-</v>
      </c>
      <c r="O311" s="87">
        <f>VLOOKUP($B311&amp;"__wt",'SegEnds_Xtal_BW#'!$A:$Z,15,FALSE)</f>
        <v>38</v>
      </c>
      <c r="P311" s="1">
        <f>VLOOKUP($B311&amp;"__wt",'SegEnds_Xtal_BW#'!$A:$Z,16,FALSE)</f>
        <v>68</v>
      </c>
      <c r="Q311" s="1">
        <f>VLOOKUP($B311&amp;"__wt",'SegEnds_Xtal_BW#'!$A:$Z,17,FALSE)</f>
        <v>50</v>
      </c>
      <c r="R311" s="1">
        <f>VLOOKUP($B311&amp;"__wt",'SegEnds_Xtal_BW#'!$A:$Z,18,FALSE)</f>
        <v>52</v>
      </c>
      <c r="S311" s="1">
        <f>VLOOKUP($B311&amp;"__wt",'SegEnds_Xtal_BW#'!$A:$Z,19,FALSE)</f>
        <v>36</v>
      </c>
      <c r="T311" s="1">
        <f>VLOOKUP($B311&amp;"__wt",'SegEnds_Xtal_BW#'!$A:$Z,20,FALSE)</f>
        <v>71</v>
      </c>
      <c r="U311" s="1">
        <f>VLOOKUP($B311&amp;"__wt",'SegEnds_Xtal_BW#'!$A:$Z,21,FALSE)</f>
        <v>28</v>
      </c>
      <c r="V311" s="1">
        <f>VLOOKUP($B311&amp;"__wt",'SegEnds_Xtal_BW#'!$A:$Z,22,FALSE)</f>
        <v>53</v>
      </c>
      <c r="W311" s="1">
        <v>28</v>
      </c>
      <c r="X311" s="1">
        <f>VLOOKUP($B311&amp;"__wt",'SegEnds_Xtal_BW#'!$A:$Z,24,FALSE)</f>
        <v>56</v>
      </c>
      <c r="Y311" s="1">
        <f>VLOOKUP($B311&amp;"__wt",'SegEnds_Xtal_BW#'!$A:$Z,25,FALSE)</f>
        <v>47</v>
      </c>
      <c r="Z311" s="1">
        <f>VLOOKUP($B311&amp;"__wt",'SegEnds_Xtal_BW#'!$A:$Z,26,FALSE)</f>
        <v>72</v>
      </c>
      <c r="AA311" s="27" t="str">
        <f>VLOOKUP(A311,Classification!A:B,2,FALSE)</f>
        <v>B1</v>
      </c>
      <c r="AB311" s="1">
        <f>VLOOKUP(A311,'SegEnds_NonXtal_Prot#'!A:AL,10,FALSE)-VLOOKUP(A311,'SegEnds_NonXtal_Prot#'!A:AL,4,FALSE)</f>
        <v>28</v>
      </c>
      <c r="AC311" s="1">
        <f>VLOOKUP(A311,'SegEnds_NonXtal_Prot#'!A:AL,10,FALSE)-VLOOKUP(A311,'SegEnds_NonXtal_Prot#'!A:AL,7,FALSE)</f>
        <v>15</v>
      </c>
      <c r="AD311" s="1" t="e">
        <f>VLOOKUP(A311,'SegEnds_NonXtal_Prot#'!A:AL,13,FALSE)-VLOOKUP(A311,'SegEnds_NonXtal_Prot#'!A:AL,10,FALSE)</f>
        <v>#VALUE!</v>
      </c>
      <c r="AE311" s="1">
        <f>VLOOKUP(A311,'SegEnds_NonXtal_Prot#'!A:AL,16,FALSE)-VLOOKUP(A311,'SegEnds_NonXtal_Prot#'!A:AL,10,FALSE)</f>
        <v>64</v>
      </c>
      <c r="AF311" s="1" t="e">
        <f>VLOOKUP(A311,'SegEnds_NonXtal_Prot#'!A:AL,22,FALSE)-VLOOKUP(A311,'SegEnds_NonXtal_Prot#'!A:AL,19,FALSE)</f>
        <v>#VALUE!</v>
      </c>
      <c r="AG311" s="1">
        <f>VLOOKUP(A311,'SegEnds_NonXtal_Prot#'!A:AL,28,FALSE)-VLOOKUP(A311,'SegEnds_NonXtal_Prot#'!A:AL,25,FALSE)</f>
        <v>20</v>
      </c>
      <c r="AH311" s="1">
        <f>VLOOKUP(A311,'SegEnds_NonXtal_Prot#'!A:AL,28,FALSE)-VLOOKUP(A311,'SegEnds_NonXtal_Prot#'!A:AL,22,FALSE)</f>
        <v>42</v>
      </c>
      <c r="AI311" s="1">
        <f>VLOOKUP(A311,'SegEnds_NonXtal_Prot#'!A:AL,31,FALSE)-VLOOKUP(A311,'SegEnds_NonXtal_Prot#'!A:AL,28,FALSE)</f>
        <v>50</v>
      </c>
      <c r="AJ311" s="1">
        <f>VLOOKUP(A311,'SegEnds_NonXtal_Prot#'!A:AL,34,FALSE)-VLOOKUP(A311,'SegEnds_NonXtal_Prot#'!A:AL,31,FALSE)</f>
        <v>33</v>
      </c>
      <c r="AK311" s="1">
        <f>VLOOKUP(A311,'SegEnds_NonXtal_Prot#'!A:AL,37,FALSE)-VLOOKUP(A311,'SegEnds_NonXtal_Prot#'!A:AL,34,FALSE)</f>
        <v>10</v>
      </c>
      <c r="AL311" s="1" t="str">
        <f>IF(ISERROR(MATCH(A311,'SegEnds_Xtal_Prot#'!B:B, 0)), "NoXtal", "Xtal")</f>
        <v>Xtal</v>
      </c>
    </row>
    <row r="312" spans="1:38" x14ac:dyDescent="0.2">
      <c r="A312" s="4" t="s">
        <v>406</v>
      </c>
      <c r="B312" s="4" t="str">
        <f>VLOOKUP(A312,Xtal_Templ!A:B,2,FALSE)</f>
        <v>glr_human</v>
      </c>
      <c r="C312" s="5">
        <f>VLOOKUP($B312&amp;"__wt",'SegEnds_Xtal_BW#'!$A:$Z,3,FALSE)</f>
        <v>25</v>
      </c>
      <c r="D312" s="4">
        <f>VLOOKUP($B312&amp;"__wt",'SegEnds_Xtal_BW#'!$A:$Z,4,FALSE)</f>
        <v>60</v>
      </c>
      <c r="E312" s="4">
        <f>VLOOKUP($B312&amp;"__wt",'SegEnds_Xtal_BW#'!$A:$Z,5,FALSE)</f>
        <v>48</v>
      </c>
      <c r="F312" s="4">
        <f>VLOOKUP($B312&amp;"__wt",'SegEnds_Xtal_BW#'!$A:$Z,6,FALSE)</f>
        <v>51</v>
      </c>
      <c r="G312" s="4">
        <v>37</v>
      </c>
      <c r="H312" s="115">
        <v>64</v>
      </c>
      <c r="I312" s="4" t="str">
        <f>VLOOKUP($B312&amp;"__wt",'SegEnds_Xtal_BW#'!$A:$Z,9,FALSE)</f>
        <v>-</v>
      </c>
      <c r="J312" s="4" t="str">
        <f>VLOOKUP($B312&amp;"__wt",'SegEnds_Xtal_BW#'!$A:$Z,10,FALSE)</f>
        <v>-</v>
      </c>
      <c r="K312" s="115">
        <v>23</v>
      </c>
      <c r="L312" s="4">
        <f>VLOOKUP($B312&amp;"__wt",'SegEnds_Xtal_BW#'!$A:$Z,12,FALSE)</f>
        <v>56</v>
      </c>
      <c r="M312" s="4" t="str">
        <f>VLOOKUP($B312&amp;"__wt",'SegEnds_Xtal_BW#'!$A:$Z,13,FALSE)</f>
        <v>-</v>
      </c>
      <c r="N312" s="11" t="str">
        <f>VLOOKUP($B312&amp;"__wt",'SegEnds_Xtal_BW#'!$A:$Z,14,FALSE)</f>
        <v>-</v>
      </c>
      <c r="O312" s="88">
        <f>VLOOKUP($B312&amp;"__wt",'SegEnds_Xtal_BW#'!$A:$Z,15,FALSE)</f>
        <v>40</v>
      </c>
      <c r="P312" s="4">
        <f>VLOOKUP($B312&amp;"__wt",'SegEnds_Xtal_BW#'!$A:$Z,16,FALSE)</f>
        <v>68</v>
      </c>
      <c r="Q312" s="4">
        <f>VLOOKUP($B312&amp;"__wt",'SegEnds_Xtal_BW#'!$A:$Z,17,FALSE)</f>
        <v>50</v>
      </c>
      <c r="R312" s="4">
        <f>VLOOKUP($B312&amp;"__wt",'SegEnds_Xtal_BW#'!$A:$Z,18,FALSE)</f>
        <v>52</v>
      </c>
      <c r="S312" s="1">
        <f>VLOOKUP($B312&amp;"__wt",'SegEnds_Xtal_BW#'!$A:$Z,19,FALSE)</f>
        <v>35</v>
      </c>
      <c r="T312" s="4">
        <f>VLOOKUP($B312&amp;"__wt",'SegEnds_Xtal_BW#'!$A:$Z,20,FALSE)</f>
        <v>71</v>
      </c>
      <c r="U312" s="115">
        <v>28</v>
      </c>
      <c r="V312" s="4">
        <f>VLOOKUP($B312&amp;"__wt",'SegEnds_Xtal_BW#'!$A:$Z,22,FALSE)</f>
        <v>53</v>
      </c>
      <c r="W312" s="4">
        <v>28</v>
      </c>
      <c r="X312" s="4">
        <f>VLOOKUP($B312&amp;"__wt",'SegEnds_Xtal_BW#'!$A:$Z,24,FALSE)</f>
        <v>56</v>
      </c>
      <c r="Y312" s="4">
        <f>VLOOKUP($B312&amp;"__wt",'SegEnds_Xtal_BW#'!$A:$Z,25,FALSE)</f>
        <v>47</v>
      </c>
      <c r="Z312" s="4">
        <f>VLOOKUP($B312&amp;"__wt",'SegEnds_Xtal_BW#'!$A:$Z,26,FALSE)</f>
        <v>72</v>
      </c>
      <c r="AA312" s="27" t="str">
        <f>VLOOKUP(A312,Classification!A:B,2,FALSE)</f>
        <v>B1</v>
      </c>
      <c r="AB312" s="1">
        <f>VLOOKUP(A312,'SegEnds_NonXtal_Prot#'!A:AL,10,FALSE)-VLOOKUP(A312,'SegEnds_NonXtal_Prot#'!A:AL,4,FALSE)</f>
        <v>28</v>
      </c>
      <c r="AC312" s="4">
        <f>VLOOKUP(A312,'SegEnds_NonXtal_Prot#'!A:AL,10,FALSE)-VLOOKUP(A312,'SegEnds_NonXtal_Prot#'!A:AL,7,FALSE)</f>
        <v>15</v>
      </c>
      <c r="AD312" s="4" t="e">
        <f>VLOOKUP(A312,'SegEnds_NonXtal_Prot#'!A:AL,13,FALSE)-VLOOKUP(A312,'SegEnds_NonXtal_Prot#'!A:AL,10,FALSE)</f>
        <v>#VALUE!</v>
      </c>
      <c r="AE312" s="4">
        <f>VLOOKUP(A312,'SegEnds_NonXtal_Prot#'!A:AL,16,FALSE)-VLOOKUP(A312,'SegEnds_NonXtal_Prot#'!A:AL,10,FALSE)</f>
        <v>64</v>
      </c>
      <c r="AF312" s="1" t="e">
        <f>VLOOKUP(A312,'SegEnds_NonXtal_Prot#'!A:AL,22,FALSE)-VLOOKUP(A312,'SegEnds_NonXtal_Prot#'!A:AL,19,FALSE)</f>
        <v>#VALUE!</v>
      </c>
      <c r="AG312" s="4">
        <f>VLOOKUP(A312,'SegEnds_NonXtal_Prot#'!A:AL,28,FALSE)-VLOOKUP(A312,'SegEnds_NonXtal_Prot#'!A:AL,25,FALSE)</f>
        <v>20</v>
      </c>
      <c r="AH312" s="1">
        <f>VLOOKUP(A312,'SegEnds_NonXtal_Prot#'!A:AL,28,FALSE)-VLOOKUP(A312,'SegEnds_NonXtal_Prot#'!A:AL,22,FALSE)</f>
        <v>42</v>
      </c>
      <c r="AI312" s="4">
        <f>VLOOKUP(A312,'SegEnds_NonXtal_Prot#'!A:AL,31,FALSE)-VLOOKUP(A312,'SegEnds_NonXtal_Prot#'!A:AL,28,FALSE)</f>
        <v>50</v>
      </c>
      <c r="AJ312" s="4">
        <f>VLOOKUP(A312,'SegEnds_NonXtal_Prot#'!A:AL,34,FALSE)-VLOOKUP(A312,'SegEnds_NonXtal_Prot#'!A:AL,31,FALSE)</f>
        <v>33</v>
      </c>
      <c r="AK312" s="1">
        <f>VLOOKUP(A312,'SegEnds_NonXtal_Prot#'!A:AL,37,FALSE)-VLOOKUP(A312,'SegEnds_NonXtal_Prot#'!A:AL,34,FALSE)</f>
        <v>10</v>
      </c>
      <c r="AL312" s="1" t="str">
        <f>IF(ISERROR(MATCH(A312,'SegEnds_Xtal_Prot#'!B:B, 0)), "NoXtal", "Xtal")</f>
        <v>NoXtal</v>
      </c>
    </row>
    <row r="313" spans="1:38" x14ac:dyDescent="0.2">
      <c r="A313" s="4" t="s">
        <v>32</v>
      </c>
      <c r="B313" s="4" t="str">
        <f>VLOOKUP(A313,Xtal_Templ!A:B,2,FALSE)</f>
        <v>glr_human</v>
      </c>
      <c r="C313" s="5">
        <f>VLOOKUP($B313&amp;"__wt",'SegEnds_Xtal_BW#'!$A:$Z,3,FALSE)</f>
        <v>25</v>
      </c>
      <c r="D313" s="4">
        <f>VLOOKUP($B313&amp;"__wt",'SegEnds_Xtal_BW#'!$A:$Z,4,FALSE)</f>
        <v>60</v>
      </c>
      <c r="E313" s="4">
        <f>VLOOKUP($B313&amp;"__wt",'SegEnds_Xtal_BW#'!$A:$Z,5,FALSE)</f>
        <v>48</v>
      </c>
      <c r="F313" s="4">
        <f>VLOOKUP($B313&amp;"__wt",'SegEnds_Xtal_BW#'!$A:$Z,6,FALSE)</f>
        <v>51</v>
      </c>
      <c r="G313" s="4">
        <v>37</v>
      </c>
      <c r="H313" s="115">
        <v>69</v>
      </c>
      <c r="I313" s="4" t="str">
        <f>VLOOKUP($B313&amp;"__wt",'SegEnds_Xtal_BW#'!$A:$Z,9,FALSE)</f>
        <v>-</v>
      </c>
      <c r="J313" s="4" t="str">
        <f>VLOOKUP($B313&amp;"__wt",'SegEnds_Xtal_BW#'!$A:$Z,10,FALSE)</f>
        <v>-</v>
      </c>
      <c r="K313" s="115">
        <v>21</v>
      </c>
      <c r="L313" s="4">
        <f>VLOOKUP($B313&amp;"__wt",'SegEnds_Xtal_BW#'!$A:$Z,12,FALSE)</f>
        <v>56</v>
      </c>
      <c r="M313" s="4" t="str">
        <f>VLOOKUP($B313&amp;"__wt",'SegEnds_Xtal_BW#'!$A:$Z,13,FALSE)</f>
        <v>-</v>
      </c>
      <c r="N313" s="11" t="str">
        <f>VLOOKUP($B313&amp;"__wt",'SegEnds_Xtal_BW#'!$A:$Z,14,FALSE)</f>
        <v>-</v>
      </c>
      <c r="O313" s="88">
        <f>VLOOKUP($B313&amp;"__wt",'SegEnds_Xtal_BW#'!$A:$Z,15,FALSE)</f>
        <v>40</v>
      </c>
      <c r="P313" s="4">
        <f>VLOOKUP($B313&amp;"__wt",'SegEnds_Xtal_BW#'!$A:$Z,16,FALSE)</f>
        <v>68</v>
      </c>
      <c r="Q313" s="4">
        <f>VLOOKUP($B313&amp;"__wt",'SegEnds_Xtal_BW#'!$A:$Z,17,FALSE)</f>
        <v>50</v>
      </c>
      <c r="R313" s="4">
        <f>VLOOKUP($B313&amp;"__wt",'SegEnds_Xtal_BW#'!$A:$Z,18,FALSE)</f>
        <v>52</v>
      </c>
      <c r="S313" s="1">
        <f>VLOOKUP($B313&amp;"__wt",'SegEnds_Xtal_BW#'!$A:$Z,19,FALSE)</f>
        <v>35</v>
      </c>
      <c r="T313" s="4">
        <f>VLOOKUP($B313&amp;"__wt",'SegEnds_Xtal_BW#'!$A:$Z,20,FALSE)</f>
        <v>71</v>
      </c>
      <c r="U313" s="4">
        <f>VLOOKUP($B313&amp;"__wt",'SegEnds_Xtal_BW#'!$A:$Z,21,FALSE)</f>
        <v>28</v>
      </c>
      <c r="V313" s="4">
        <f>VLOOKUP($B313&amp;"__wt",'SegEnds_Xtal_BW#'!$A:$Z,22,FALSE)</f>
        <v>53</v>
      </c>
      <c r="W313" s="115">
        <v>27</v>
      </c>
      <c r="X313" s="4">
        <f>VLOOKUP($B313&amp;"__wt",'SegEnds_Xtal_BW#'!$A:$Z,24,FALSE)</f>
        <v>56</v>
      </c>
      <c r="Y313" s="4">
        <f>VLOOKUP($B313&amp;"__wt",'SegEnds_Xtal_BW#'!$A:$Z,25,FALSE)</f>
        <v>47</v>
      </c>
      <c r="Z313" s="4">
        <f>VLOOKUP($B313&amp;"__wt",'SegEnds_Xtal_BW#'!$A:$Z,26,FALSE)</f>
        <v>72</v>
      </c>
      <c r="AA313" s="27" t="str">
        <f>VLOOKUP(A313,Classification!A:B,2,FALSE)</f>
        <v>B1</v>
      </c>
      <c r="AB313" s="1">
        <f>VLOOKUP(A313,'SegEnds_NonXtal_Prot#'!A:AL,10,FALSE)-VLOOKUP(A313,'SegEnds_NonXtal_Prot#'!A:AL,4,FALSE)</f>
        <v>28</v>
      </c>
      <c r="AC313" s="4">
        <f>VLOOKUP(A313,'SegEnds_NonXtal_Prot#'!A:AL,10,FALSE)-VLOOKUP(A313,'SegEnds_NonXtal_Prot#'!A:AL,7,FALSE)</f>
        <v>15</v>
      </c>
      <c r="AD313" s="4" t="e">
        <f>VLOOKUP(A313,'SegEnds_NonXtal_Prot#'!A:AL,13,FALSE)-VLOOKUP(A313,'SegEnds_NonXtal_Prot#'!A:AL,10,FALSE)</f>
        <v>#VALUE!</v>
      </c>
      <c r="AE313" s="4">
        <f>VLOOKUP(A313,'SegEnds_NonXtal_Prot#'!A:AL,16,FALSE)-VLOOKUP(A313,'SegEnds_NonXtal_Prot#'!A:AL,10,FALSE)</f>
        <v>65</v>
      </c>
      <c r="AF313" s="1" t="e">
        <f>VLOOKUP(A313,'SegEnds_NonXtal_Prot#'!A:AL,22,FALSE)-VLOOKUP(A313,'SegEnds_NonXtal_Prot#'!A:AL,19,FALSE)</f>
        <v>#VALUE!</v>
      </c>
      <c r="AG313" s="4">
        <f>VLOOKUP(A313,'SegEnds_NonXtal_Prot#'!A:AL,28,FALSE)-VLOOKUP(A313,'SegEnds_NonXtal_Prot#'!A:AL,25,FALSE)</f>
        <v>20</v>
      </c>
      <c r="AH313" s="1">
        <f>VLOOKUP(A313,'SegEnds_NonXtal_Prot#'!A:AL,28,FALSE)-VLOOKUP(A313,'SegEnds_NonXtal_Prot#'!A:AL,22,FALSE)</f>
        <v>42</v>
      </c>
      <c r="AI313" s="4">
        <f>VLOOKUP(A313,'SegEnds_NonXtal_Prot#'!A:AL,31,FALSE)-VLOOKUP(A313,'SegEnds_NonXtal_Prot#'!A:AL,28,FALSE)</f>
        <v>50</v>
      </c>
      <c r="AJ313" s="4">
        <f>VLOOKUP(A313,'SegEnds_NonXtal_Prot#'!A:AL,34,FALSE)-VLOOKUP(A313,'SegEnds_NonXtal_Prot#'!A:AL,31,FALSE)</f>
        <v>33</v>
      </c>
      <c r="AK313" s="1">
        <f>VLOOKUP(A313,'SegEnds_NonXtal_Prot#'!A:AL,37,FALSE)-VLOOKUP(A313,'SegEnds_NonXtal_Prot#'!A:AL,34,FALSE)</f>
        <v>10</v>
      </c>
      <c r="AL313" s="1" t="str">
        <f>IF(ISERROR(MATCH(A313,'SegEnds_Xtal_Prot#'!B:B, 0)), "NoXtal", "Xtal")</f>
        <v>Xtal</v>
      </c>
    </row>
    <row r="314" spans="1:38" x14ac:dyDescent="0.2">
      <c r="A314" s="1" t="s">
        <v>407</v>
      </c>
      <c r="B314" s="1" t="str">
        <f>VLOOKUP(A314,Xtal_Templ!A:B,2,FALSE)</f>
        <v>pacr_human</v>
      </c>
      <c r="C314" s="5">
        <f>VLOOKUP($B314&amp;"__wt",'SegEnds_Xtal_BW#'!$A:$Z,3,FALSE)</f>
        <v>21</v>
      </c>
      <c r="D314" s="1">
        <f>VLOOKUP($B314&amp;"__wt",'SegEnds_Xtal_BW#'!$A:$Z,4,FALSE)</f>
        <v>60</v>
      </c>
      <c r="E314" s="1">
        <f>VLOOKUP($B314&amp;"__wt",'SegEnds_Xtal_BW#'!$A:$Z,5,FALSE)</f>
        <v>48</v>
      </c>
      <c r="F314" s="1">
        <f>VLOOKUP($B314&amp;"__wt",'SegEnds_Xtal_BW#'!$A:$Z,6,FALSE)</f>
        <v>51</v>
      </c>
      <c r="G314" s="1">
        <v>37</v>
      </c>
      <c r="H314" s="115">
        <v>64</v>
      </c>
      <c r="I314" s="1" t="str">
        <f>VLOOKUP($B314&amp;"__wt",'SegEnds_Xtal_BW#'!$A:$Z,9,FALSE)</f>
        <v>-</v>
      </c>
      <c r="J314" s="1" t="str">
        <f>VLOOKUP($B314&amp;"__wt",'SegEnds_Xtal_BW#'!$A:$Z,10,FALSE)</f>
        <v>-</v>
      </c>
      <c r="K314" s="108">
        <v>22</v>
      </c>
      <c r="L314" s="1">
        <f>VLOOKUP($B314&amp;"__wt",'SegEnds_Xtal_BW#'!$A:$Z,12,FALSE)</f>
        <v>56</v>
      </c>
      <c r="M314" s="1" t="str">
        <f>VLOOKUP($B314&amp;"__wt",'SegEnds_Xtal_BW#'!$A:$Z,13,FALSE)</f>
        <v>-</v>
      </c>
      <c r="N314" s="12" t="str">
        <f>VLOOKUP($B314&amp;"__wt",'SegEnds_Xtal_BW#'!$A:$Z,14,FALSE)</f>
        <v>-</v>
      </c>
      <c r="O314" s="87">
        <f>VLOOKUP($B314&amp;"__wt",'SegEnds_Xtal_BW#'!$A:$Z,15,FALSE)</f>
        <v>40</v>
      </c>
      <c r="P314" s="1">
        <f>VLOOKUP($B314&amp;"__wt",'SegEnds_Xtal_BW#'!$A:$Z,16,FALSE)</f>
        <v>68</v>
      </c>
      <c r="Q314" s="1">
        <f>VLOOKUP($B314&amp;"__wt",'SegEnds_Xtal_BW#'!$A:$Z,17,FALSE)</f>
        <v>50</v>
      </c>
      <c r="R314" s="1">
        <f>VLOOKUP($B314&amp;"__wt",'SegEnds_Xtal_BW#'!$A:$Z,18,FALSE)</f>
        <v>52</v>
      </c>
      <c r="S314" s="1">
        <f>VLOOKUP($B314&amp;"__wt",'SegEnds_Xtal_BW#'!$A:$Z,19,FALSE)</f>
        <v>36</v>
      </c>
      <c r="T314" s="1">
        <v>69</v>
      </c>
      <c r="U314" s="1">
        <v>25</v>
      </c>
      <c r="V314" s="1">
        <f>VLOOKUP($B314&amp;"__wt",'SegEnds_Xtal_BW#'!$A:$Z,22,FALSE)</f>
        <v>54</v>
      </c>
      <c r="W314" s="1">
        <v>31</v>
      </c>
      <c r="X314" s="1">
        <f>VLOOKUP($B314&amp;"__wt",'SegEnds_Xtal_BW#'!$A:$Z,24,FALSE)</f>
        <v>56</v>
      </c>
      <c r="Y314" s="1">
        <f>VLOOKUP($B314&amp;"__wt",'SegEnds_Xtal_BW#'!$A:$Z,25,FALSE)</f>
        <v>47</v>
      </c>
      <c r="Z314" s="1">
        <f>VLOOKUP($B314&amp;"__wt",'SegEnds_Xtal_BW#'!$A:$Z,26,FALSE)</f>
        <v>72</v>
      </c>
      <c r="AA314" s="27" t="str">
        <f>VLOOKUP(A314,Classification!A:B,2,FALSE)</f>
        <v>B1</v>
      </c>
      <c r="AB314" s="1">
        <f>VLOOKUP(A314,'SegEnds_NonXtal_Prot#'!A:AL,10,FALSE)-VLOOKUP(A314,'SegEnds_NonXtal_Prot#'!A:AL,4,FALSE)</f>
        <v>28</v>
      </c>
      <c r="AC314" s="1">
        <f>VLOOKUP(A314,'SegEnds_NonXtal_Prot#'!A:AL,10,FALSE)-VLOOKUP(A314,'SegEnds_NonXtal_Prot#'!A:AL,7,FALSE)</f>
        <v>15</v>
      </c>
      <c r="AD314" s="1" t="e">
        <f>VLOOKUP(A314,'SegEnds_NonXtal_Prot#'!A:AL,13,FALSE)-VLOOKUP(A314,'SegEnds_NonXtal_Prot#'!A:AL,10,FALSE)</f>
        <v>#VALUE!</v>
      </c>
      <c r="AE314" s="1">
        <f>VLOOKUP(A314,'SegEnds_NonXtal_Prot#'!A:AL,16,FALSE)-VLOOKUP(A314,'SegEnds_NonXtal_Prot#'!A:AL,10,FALSE)</f>
        <v>55</v>
      </c>
      <c r="AF314" s="1" t="e">
        <f>VLOOKUP(A314,'SegEnds_NonXtal_Prot#'!A:AL,22,FALSE)-VLOOKUP(A314,'SegEnds_NonXtal_Prot#'!A:AL,19,FALSE)</f>
        <v>#VALUE!</v>
      </c>
      <c r="AG314" s="1">
        <f>VLOOKUP(A314,'SegEnds_NonXtal_Prot#'!A:AL,28,FALSE)-VLOOKUP(A314,'SegEnds_NonXtal_Prot#'!A:AL,25,FALSE)</f>
        <v>20</v>
      </c>
      <c r="AH314" s="1">
        <f>VLOOKUP(A314,'SegEnds_NonXtal_Prot#'!A:AL,28,FALSE)-VLOOKUP(A314,'SegEnds_NonXtal_Prot#'!A:AL,22,FALSE)</f>
        <v>42</v>
      </c>
      <c r="AI314" s="1">
        <f>VLOOKUP(A314,'SegEnds_NonXtal_Prot#'!A:AL,31,FALSE)-VLOOKUP(A314,'SegEnds_NonXtal_Prot#'!A:AL,28,FALSE)</f>
        <v>52</v>
      </c>
      <c r="AJ314" s="1">
        <f>VLOOKUP(A314,'SegEnds_NonXtal_Prot#'!A:AL,34,FALSE)-VLOOKUP(A314,'SegEnds_NonXtal_Prot#'!A:AL,31,FALSE)</f>
        <v>29</v>
      </c>
      <c r="AK314" s="1">
        <f>VLOOKUP(A314,'SegEnds_NonXtal_Prot#'!A:AL,37,FALSE)-VLOOKUP(A314,'SegEnds_NonXtal_Prot#'!A:AL,34,FALSE)</f>
        <v>10</v>
      </c>
      <c r="AL314" s="1" t="str">
        <f>IF(ISERROR(MATCH(A314,'SegEnds_Xtal_Prot#'!B:B, 0)), "NoXtal", "Xtal")</f>
        <v>Xtal</v>
      </c>
    </row>
    <row r="315" spans="1:38" x14ac:dyDescent="0.2">
      <c r="A315" s="4" t="s">
        <v>410</v>
      </c>
      <c r="B315" s="4" t="str">
        <f>VLOOKUP(A315,Xtal_Templ!A:B,2,FALSE)</f>
        <v>pacr_human</v>
      </c>
      <c r="C315" s="5">
        <f>VLOOKUP($B315&amp;"__wt",'SegEnds_Xtal_BW#'!$A:$Z,3,FALSE)</f>
        <v>21</v>
      </c>
      <c r="D315" s="4">
        <f>VLOOKUP($B315&amp;"__wt",'SegEnds_Xtal_BW#'!$A:$Z,4,FALSE)</f>
        <v>60</v>
      </c>
      <c r="E315" s="4">
        <f>VLOOKUP($B315&amp;"__wt",'SegEnds_Xtal_BW#'!$A:$Z,5,FALSE)</f>
        <v>48</v>
      </c>
      <c r="F315" s="4">
        <f>VLOOKUP($B315&amp;"__wt",'SegEnds_Xtal_BW#'!$A:$Z,6,FALSE)</f>
        <v>51</v>
      </c>
      <c r="G315" s="4">
        <v>37</v>
      </c>
      <c r="H315" s="115">
        <v>64</v>
      </c>
      <c r="I315" s="4" t="str">
        <f>VLOOKUP($B315&amp;"__wt",'SegEnds_Xtal_BW#'!$A:$Z,9,FALSE)</f>
        <v>-</v>
      </c>
      <c r="J315" s="4" t="str">
        <f>VLOOKUP($B315&amp;"__wt",'SegEnds_Xtal_BW#'!$A:$Z,10,FALSE)</f>
        <v>-</v>
      </c>
      <c r="K315" s="115">
        <v>22</v>
      </c>
      <c r="L315" s="4">
        <f>VLOOKUP($B315&amp;"__wt",'SegEnds_Xtal_BW#'!$A:$Z,12,FALSE)</f>
        <v>56</v>
      </c>
      <c r="M315" s="4" t="str">
        <f>VLOOKUP($B315&amp;"__wt",'SegEnds_Xtal_BW#'!$A:$Z,13,FALSE)</f>
        <v>-</v>
      </c>
      <c r="N315" s="11" t="str">
        <f>VLOOKUP($B315&amp;"__wt",'SegEnds_Xtal_BW#'!$A:$Z,14,FALSE)</f>
        <v>-</v>
      </c>
      <c r="O315" s="88">
        <f>VLOOKUP($B315&amp;"__wt",'SegEnds_Xtal_BW#'!$A:$Z,15,FALSE)</f>
        <v>40</v>
      </c>
      <c r="P315" s="4">
        <f>VLOOKUP($B315&amp;"__wt",'SegEnds_Xtal_BW#'!$A:$Z,16,FALSE)</f>
        <v>68</v>
      </c>
      <c r="Q315" s="4">
        <f>VLOOKUP($B315&amp;"__wt",'SegEnds_Xtal_BW#'!$A:$Z,17,FALSE)</f>
        <v>50</v>
      </c>
      <c r="R315" s="4">
        <f>VLOOKUP($B315&amp;"__wt",'SegEnds_Xtal_BW#'!$A:$Z,18,FALSE)</f>
        <v>52</v>
      </c>
      <c r="S315" s="1">
        <f>VLOOKUP($B315&amp;"__wt",'SegEnds_Xtal_BW#'!$A:$Z,19,FALSE)</f>
        <v>36</v>
      </c>
      <c r="T315" s="4">
        <v>69</v>
      </c>
      <c r="U315" s="4">
        <v>25</v>
      </c>
      <c r="V315" s="4">
        <f>VLOOKUP($B315&amp;"__wt",'SegEnds_Xtal_BW#'!$A:$Z,22,FALSE)</f>
        <v>54</v>
      </c>
      <c r="W315" s="4">
        <v>31</v>
      </c>
      <c r="X315" s="4">
        <f>VLOOKUP($B315&amp;"__wt",'SegEnds_Xtal_BW#'!$A:$Z,24,FALSE)</f>
        <v>56</v>
      </c>
      <c r="Y315" s="4">
        <f>VLOOKUP($B315&amp;"__wt",'SegEnds_Xtal_BW#'!$A:$Z,25,FALSE)</f>
        <v>47</v>
      </c>
      <c r="Z315" s="4">
        <f>VLOOKUP($B315&amp;"__wt",'SegEnds_Xtal_BW#'!$A:$Z,26,FALSE)</f>
        <v>72</v>
      </c>
      <c r="AA315" s="27" t="str">
        <f>VLOOKUP(A315,Classification!A:B,2,FALSE)</f>
        <v>B1</v>
      </c>
      <c r="AB315" s="1">
        <f>VLOOKUP(A315,'SegEnds_NonXtal_Prot#'!A:AL,10,FALSE)-VLOOKUP(A315,'SegEnds_NonXtal_Prot#'!A:AL,4,FALSE)</f>
        <v>28</v>
      </c>
      <c r="AC315" s="4">
        <f>VLOOKUP(A315,'SegEnds_NonXtal_Prot#'!A:AL,10,FALSE)-VLOOKUP(A315,'SegEnds_NonXtal_Prot#'!A:AL,7,FALSE)</f>
        <v>15</v>
      </c>
      <c r="AD315" s="4" t="e">
        <f>VLOOKUP(A315,'SegEnds_NonXtal_Prot#'!A:AL,13,FALSE)-VLOOKUP(A315,'SegEnds_NonXtal_Prot#'!A:AL,10,FALSE)</f>
        <v>#VALUE!</v>
      </c>
      <c r="AE315" s="4">
        <f>VLOOKUP(A315,'SegEnds_NonXtal_Prot#'!A:AL,16,FALSE)-VLOOKUP(A315,'SegEnds_NonXtal_Prot#'!A:AL,10,FALSE)</f>
        <v>55</v>
      </c>
      <c r="AF315" s="1" t="e">
        <f>VLOOKUP(A315,'SegEnds_NonXtal_Prot#'!A:AL,22,FALSE)-VLOOKUP(A315,'SegEnds_NonXtal_Prot#'!A:AL,19,FALSE)</f>
        <v>#VALUE!</v>
      </c>
      <c r="AG315" s="4">
        <f>VLOOKUP(A315,'SegEnds_NonXtal_Prot#'!A:AL,28,FALSE)-VLOOKUP(A315,'SegEnds_NonXtal_Prot#'!A:AL,25,FALSE)</f>
        <v>20</v>
      </c>
      <c r="AH315" s="1">
        <f>VLOOKUP(A315,'SegEnds_NonXtal_Prot#'!A:AL,28,FALSE)-VLOOKUP(A315,'SegEnds_NonXtal_Prot#'!A:AL,22,FALSE)</f>
        <v>42</v>
      </c>
      <c r="AI315" s="4">
        <f>VLOOKUP(A315,'SegEnds_NonXtal_Prot#'!A:AL,31,FALSE)-VLOOKUP(A315,'SegEnds_NonXtal_Prot#'!A:AL,28,FALSE)</f>
        <v>52</v>
      </c>
      <c r="AJ315" s="4">
        <f>VLOOKUP(A315,'SegEnds_NonXtal_Prot#'!A:AL,34,FALSE)-VLOOKUP(A315,'SegEnds_NonXtal_Prot#'!A:AL,31,FALSE)</f>
        <v>28</v>
      </c>
      <c r="AK315" s="1">
        <f>VLOOKUP(A315,'SegEnds_NonXtal_Prot#'!A:AL,37,FALSE)-VLOOKUP(A315,'SegEnds_NonXtal_Prot#'!A:AL,34,FALSE)</f>
        <v>10</v>
      </c>
      <c r="AL315" s="1" t="str">
        <f>IF(ISERROR(MATCH(A315,'SegEnds_Xtal_Prot#'!B:B, 0)), "NoXtal", "Xtal")</f>
        <v>NoXtal</v>
      </c>
    </row>
    <row r="316" spans="1:38" x14ac:dyDescent="0.2">
      <c r="A316" s="4" t="s">
        <v>412</v>
      </c>
      <c r="B316" s="4" t="str">
        <f>VLOOKUP(A316,Xtal_Templ!A:B,2,FALSE)</f>
        <v>pacr_human</v>
      </c>
      <c r="C316" s="5">
        <f>VLOOKUP($B316&amp;"__wt",'SegEnds_Xtal_BW#'!$A:$Z,3,FALSE)</f>
        <v>21</v>
      </c>
      <c r="D316" s="4">
        <f>VLOOKUP($B316&amp;"__wt",'SegEnds_Xtal_BW#'!$A:$Z,4,FALSE)</f>
        <v>60</v>
      </c>
      <c r="E316" s="4">
        <f>VLOOKUP($B316&amp;"__wt",'SegEnds_Xtal_BW#'!$A:$Z,5,FALSE)</f>
        <v>48</v>
      </c>
      <c r="F316" s="4">
        <f>VLOOKUP($B316&amp;"__wt",'SegEnds_Xtal_BW#'!$A:$Z,6,FALSE)</f>
        <v>51</v>
      </c>
      <c r="G316" s="4">
        <v>37</v>
      </c>
      <c r="H316" s="115">
        <v>64</v>
      </c>
      <c r="I316" s="4" t="str">
        <f>VLOOKUP($B316&amp;"__wt",'SegEnds_Xtal_BW#'!$A:$Z,9,FALSE)</f>
        <v>-</v>
      </c>
      <c r="J316" s="4" t="str">
        <f>VLOOKUP($B316&amp;"__wt",'SegEnds_Xtal_BW#'!$A:$Z,10,FALSE)</f>
        <v>-</v>
      </c>
      <c r="K316" s="115">
        <v>22</v>
      </c>
      <c r="L316" s="4">
        <f>VLOOKUP($B316&amp;"__wt",'SegEnds_Xtal_BW#'!$A:$Z,12,FALSE)</f>
        <v>56</v>
      </c>
      <c r="M316" s="4" t="str">
        <f>VLOOKUP($B316&amp;"__wt",'SegEnds_Xtal_BW#'!$A:$Z,13,FALSE)</f>
        <v>-</v>
      </c>
      <c r="N316" s="11" t="str">
        <f>VLOOKUP($B316&amp;"__wt",'SegEnds_Xtal_BW#'!$A:$Z,14,FALSE)</f>
        <v>-</v>
      </c>
      <c r="O316" s="88">
        <f>VLOOKUP($B316&amp;"__wt",'SegEnds_Xtal_BW#'!$A:$Z,15,FALSE)</f>
        <v>40</v>
      </c>
      <c r="P316" s="4">
        <f>VLOOKUP($B316&amp;"__wt",'SegEnds_Xtal_BW#'!$A:$Z,16,FALSE)</f>
        <v>68</v>
      </c>
      <c r="Q316" s="4">
        <f>VLOOKUP($B316&amp;"__wt",'SegEnds_Xtal_BW#'!$A:$Z,17,FALSE)</f>
        <v>50</v>
      </c>
      <c r="R316" s="4">
        <f>VLOOKUP($B316&amp;"__wt",'SegEnds_Xtal_BW#'!$A:$Z,18,FALSE)</f>
        <v>52</v>
      </c>
      <c r="S316" s="1">
        <f>VLOOKUP($B316&amp;"__wt",'SegEnds_Xtal_BW#'!$A:$Z,19,FALSE)</f>
        <v>36</v>
      </c>
      <c r="T316" s="4">
        <v>69</v>
      </c>
      <c r="U316" s="4">
        <v>25</v>
      </c>
      <c r="V316" s="4">
        <f>VLOOKUP($B316&amp;"__wt",'SegEnds_Xtal_BW#'!$A:$Z,22,FALSE)</f>
        <v>54</v>
      </c>
      <c r="W316" s="4">
        <v>31</v>
      </c>
      <c r="X316" s="4">
        <f>VLOOKUP($B316&amp;"__wt",'SegEnds_Xtal_BW#'!$A:$Z,24,FALSE)</f>
        <v>56</v>
      </c>
      <c r="Y316" s="4">
        <f>VLOOKUP($B316&amp;"__wt",'SegEnds_Xtal_BW#'!$A:$Z,25,FALSE)</f>
        <v>47</v>
      </c>
      <c r="Z316" s="4">
        <f>VLOOKUP($B316&amp;"__wt",'SegEnds_Xtal_BW#'!$A:$Z,26,FALSE)</f>
        <v>72</v>
      </c>
      <c r="AA316" s="27" t="str">
        <f>VLOOKUP(A316,Classification!A:B,2,FALSE)</f>
        <v>B1</v>
      </c>
      <c r="AB316" s="1">
        <f>VLOOKUP(A316,'SegEnds_NonXtal_Prot#'!A:AL,10,FALSE)-VLOOKUP(A316,'SegEnds_NonXtal_Prot#'!A:AL,4,FALSE)</f>
        <v>28</v>
      </c>
      <c r="AC316" s="4">
        <f>VLOOKUP(A316,'SegEnds_NonXtal_Prot#'!A:AL,10,FALSE)-VLOOKUP(A316,'SegEnds_NonXtal_Prot#'!A:AL,7,FALSE)</f>
        <v>15</v>
      </c>
      <c r="AD316" s="4" t="e">
        <f>VLOOKUP(A316,'SegEnds_NonXtal_Prot#'!A:AL,13,FALSE)-VLOOKUP(A316,'SegEnds_NonXtal_Prot#'!A:AL,10,FALSE)</f>
        <v>#VALUE!</v>
      </c>
      <c r="AE316" s="4">
        <f>VLOOKUP(A316,'SegEnds_NonXtal_Prot#'!A:AL,16,FALSE)-VLOOKUP(A316,'SegEnds_NonXtal_Prot#'!A:AL,10,FALSE)</f>
        <v>58</v>
      </c>
      <c r="AF316" s="4" t="e">
        <f>VLOOKUP(A316,'SegEnds_NonXtal_Prot#'!A:AL,22,FALSE)-VLOOKUP(A316,'SegEnds_NonXtal_Prot#'!A:AL,19,FALSE)</f>
        <v>#VALUE!</v>
      </c>
      <c r="AG316" s="4">
        <f>VLOOKUP(A316,'SegEnds_NonXtal_Prot#'!A:AL,28,FALSE)-VLOOKUP(A316,'SegEnds_NonXtal_Prot#'!A:AL,25,FALSE)</f>
        <v>20</v>
      </c>
      <c r="AH316" s="4">
        <f>VLOOKUP(A316,'SegEnds_NonXtal_Prot#'!A:AL,28,FALSE)-VLOOKUP(A316,'SegEnds_NonXtal_Prot#'!A:AL,22,FALSE)</f>
        <v>42</v>
      </c>
      <c r="AI316" s="4">
        <f>VLOOKUP(A316,'SegEnds_NonXtal_Prot#'!A:AL,31,FALSE)-VLOOKUP(A316,'SegEnds_NonXtal_Prot#'!A:AL,28,FALSE)</f>
        <v>52</v>
      </c>
      <c r="AJ316" s="4">
        <f>VLOOKUP(A316,'SegEnds_NonXtal_Prot#'!A:AL,34,FALSE)-VLOOKUP(A316,'SegEnds_NonXtal_Prot#'!A:AL,31,FALSE)</f>
        <v>29</v>
      </c>
      <c r="AK316" s="1">
        <f>VLOOKUP(A316,'SegEnds_NonXtal_Prot#'!A:AL,37,FALSE)-VLOOKUP(A316,'SegEnds_NonXtal_Prot#'!A:AL,34,FALSE)</f>
        <v>10</v>
      </c>
      <c r="AL316" s="4" t="str">
        <f>IF(ISERROR(MATCH(A316,'SegEnds_Xtal_Prot#'!B:B, 0)), "NoXtal", "Xtal")</f>
        <v>NoXtal</v>
      </c>
    </row>
    <row r="317" spans="1:38" s="4" customFormat="1" x14ac:dyDescent="0.2">
      <c r="A317" s="4" t="s">
        <v>38</v>
      </c>
      <c r="B317" s="4" t="str">
        <f>VLOOKUP(A317,Xtal_Templ!A:B,2,FALSE)</f>
        <v>crfr1_human</v>
      </c>
      <c r="C317" s="4">
        <f>VLOOKUP($B317&amp;"__wt",'SegEnds_Xtal_BW#'!$A:$Z,3,FALSE)</f>
        <v>19</v>
      </c>
      <c r="D317" s="4">
        <f>VLOOKUP($B317&amp;"__wt",'SegEnds_Xtal_BW#'!$A:$Z,4,FALSE)</f>
        <v>60</v>
      </c>
      <c r="E317" s="4">
        <f>VLOOKUP($B317&amp;"__wt",'SegEnds_Xtal_BW#'!$A:$Z,5,FALSE)</f>
        <v>48</v>
      </c>
      <c r="F317" s="4">
        <f>VLOOKUP($B317&amp;"__wt",'SegEnds_Xtal_BW#'!$A:$Z,6,FALSE)</f>
        <v>51</v>
      </c>
      <c r="G317" s="4">
        <v>37</v>
      </c>
      <c r="H317" s="11">
        <v>63</v>
      </c>
      <c r="I317" s="4" t="str">
        <f>VLOOKUP($B317&amp;"__wt",'SegEnds_Xtal_BW#'!$A:$Z,9,FALSE)</f>
        <v>-</v>
      </c>
      <c r="J317" s="4" t="str">
        <f>VLOOKUP($B317&amp;"__wt",'SegEnds_Xtal_BW#'!$A:$Z,10,FALSE)</f>
        <v>-</v>
      </c>
      <c r="K317" s="115">
        <v>22</v>
      </c>
      <c r="L317" s="4">
        <f>VLOOKUP($B317&amp;"__wt",'SegEnds_Xtal_BW#'!$A:$Z,12,FALSE)</f>
        <v>56</v>
      </c>
      <c r="M317" s="4" t="str">
        <f>VLOOKUP($B317&amp;"__wt",'SegEnds_Xtal_BW#'!$A:$Z,13,FALSE)</f>
        <v>-</v>
      </c>
      <c r="N317" s="11" t="str">
        <f>VLOOKUP($B317&amp;"__wt",'SegEnds_Xtal_BW#'!$A:$Z,14,FALSE)</f>
        <v>-</v>
      </c>
      <c r="O317" s="88">
        <f>VLOOKUP($B317&amp;"__wt",'SegEnds_Xtal_BW#'!$A:$Z,15,FALSE)</f>
        <v>40</v>
      </c>
      <c r="P317" s="4">
        <f>VLOOKUP($B317&amp;"__wt",'SegEnds_Xtal_BW#'!$A:$Z,16,FALSE)</f>
        <v>68</v>
      </c>
      <c r="Q317" s="4">
        <f>VLOOKUP($B317&amp;"__wt",'SegEnds_Xtal_BW#'!$A:$Z,17,FALSE)</f>
        <v>50</v>
      </c>
      <c r="R317" s="4">
        <f>VLOOKUP($B317&amp;"__wt",'SegEnds_Xtal_BW#'!$A:$Z,18,FALSE)</f>
        <v>52</v>
      </c>
      <c r="S317" s="1">
        <f>VLOOKUP($B317&amp;"__wt",'SegEnds_Xtal_BW#'!$A:$Z,19,FALSE)</f>
        <v>39</v>
      </c>
      <c r="T317" s="4">
        <f>VLOOKUP($B317&amp;"__wt",'SegEnds_Xtal_BW#'!$A:$Z,20,FALSE)</f>
        <v>69</v>
      </c>
      <c r="U317" s="4">
        <f>VLOOKUP($B317&amp;"__wt",'SegEnds_Xtal_BW#'!$A:$Z,21,FALSE)</f>
        <v>25</v>
      </c>
      <c r="V317" s="4">
        <f>VLOOKUP($B317&amp;"__wt",'SegEnds_Xtal_BW#'!$A:$Z,22,FALSE)</f>
        <v>53</v>
      </c>
      <c r="W317" s="4">
        <v>28</v>
      </c>
      <c r="X317" s="4">
        <f>VLOOKUP($B317&amp;"__wt",'SegEnds_Xtal_BW#'!$A:$Z,24,FALSE)</f>
        <v>56</v>
      </c>
      <c r="Y317" s="4">
        <f>VLOOKUP($B317&amp;"__wt",'SegEnds_Xtal_BW#'!$A:$Z,25,FALSE)</f>
        <v>47</v>
      </c>
      <c r="Z317" s="4">
        <f>VLOOKUP($B317&amp;"__wt",'SegEnds_Xtal_BW#'!$A:$Z,26,FALSE)</f>
        <v>72</v>
      </c>
      <c r="AA317" s="50" t="str">
        <f>VLOOKUP(A317,Classification!A:B,2,FALSE)</f>
        <v>B1</v>
      </c>
      <c r="AB317" s="1">
        <f>VLOOKUP(A317,'SegEnds_NonXtal_Prot#'!A:AL,10,FALSE)-VLOOKUP(A317,'SegEnds_NonXtal_Prot#'!A:AL,4,FALSE)</f>
        <v>28</v>
      </c>
      <c r="AC317" s="4">
        <f>VLOOKUP(A317,'SegEnds_NonXtal_Prot#'!A:AL,10,FALSE)-VLOOKUP(A317,'SegEnds_NonXtal_Prot#'!A:AL,7,FALSE)</f>
        <v>15</v>
      </c>
      <c r="AD317" s="4" t="e">
        <f>VLOOKUP(A317,'SegEnds_NonXtal_Prot#'!A:AL,13,FALSE)-VLOOKUP(A317,'SegEnds_NonXtal_Prot#'!A:AL,10,FALSE)</f>
        <v>#VALUE!</v>
      </c>
      <c r="AE317" s="4">
        <f>VLOOKUP(A317,'SegEnds_NonXtal_Prot#'!A:AL,16,FALSE)-VLOOKUP(A317,'SegEnds_NonXtal_Prot#'!A:AL,10,FALSE)</f>
        <v>51</v>
      </c>
      <c r="AF317" s="4" t="e">
        <f>VLOOKUP(A317,'SegEnds_NonXtal_Prot#'!A:AL,22,FALSE)-VLOOKUP(A317,'SegEnds_NonXtal_Prot#'!A:AL,19,FALSE)</f>
        <v>#VALUE!</v>
      </c>
      <c r="AG317" s="4">
        <f>VLOOKUP(A317,'SegEnds_NonXtal_Prot#'!A:AL,28,FALSE)-VLOOKUP(A317,'SegEnds_NonXtal_Prot#'!A:AL,25,FALSE)</f>
        <v>21</v>
      </c>
      <c r="AH317" s="4">
        <f>VLOOKUP(A317,'SegEnds_NonXtal_Prot#'!A:AL,28,FALSE)-VLOOKUP(A317,'SegEnds_NonXtal_Prot#'!A:AL,22,FALSE)</f>
        <v>43</v>
      </c>
      <c r="AI317" s="4">
        <f>VLOOKUP(A317,'SegEnds_NonXtal_Prot#'!A:AL,31,FALSE)-VLOOKUP(A317,'SegEnds_NonXtal_Prot#'!A:AL,28,FALSE)</f>
        <v>50</v>
      </c>
      <c r="AJ317" s="4">
        <f>VLOOKUP(A317,'SegEnds_NonXtal_Prot#'!A:AL,34,FALSE)-VLOOKUP(A317,'SegEnds_NonXtal_Prot#'!A:AL,31,FALSE)</f>
        <v>31</v>
      </c>
      <c r="AK317" s="1">
        <f>VLOOKUP(A317,'SegEnds_NonXtal_Prot#'!A:AL,37,FALSE)-VLOOKUP(A317,'SegEnds_NonXtal_Prot#'!A:AL,34,FALSE)</f>
        <v>10</v>
      </c>
      <c r="AL317" s="4" t="str">
        <f>IF(ISERROR(MATCH(A317,'SegEnds_Xtal_Prot#'!B:B, 0)), "NoXtal", "Xtal")</f>
        <v>Xtal</v>
      </c>
    </row>
    <row r="318" spans="1:38" s="45" customFormat="1" x14ac:dyDescent="0.2">
      <c r="A318" s="45" t="s">
        <v>402</v>
      </c>
      <c r="B318" s="45" t="str">
        <f>VLOOKUP(A318,Xtal_Templ!A:B,2,FALSE)</f>
        <v>crfr2_human</v>
      </c>
      <c r="C318" s="46">
        <f>VLOOKUP($B318&amp;"__wt",'SegEnds_Xtal_BW#'!$A:$Z,3,FALSE)</f>
        <v>19</v>
      </c>
      <c r="D318" s="45">
        <f>VLOOKUP($B318&amp;"__wt",'SegEnds_Xtal_BW#'!$A:$Z,4,FALSE)</f>
        <v>60</v>
      </c>
      <c r="E318" s="45">
        <f>VLOOKUP($B318&amp;"__wt",'SegEnds_Xtal_BW#'!$A:$Z,5,FALSE)</f>
        <v>48</v>
      </c>
      <c r="F318" s="45">
        <f>VLOOKUP($B318&amp;"__wt",'SegEnds_Xtal_BW#'!$A:$Z,6,FALSE)</f>
        <v>51</v>
      </c>
      <c r="G318" s="45">
        <v>37</v>
      </c>
      <c r="H318" s="102">
        <v>63</v>
      </c>
      <c r="I318" s="45" t="str">
        <f>VLOOKUP($B318&amp;"__wt",'SegEnds_Xtal_BW#'!$A:$Z,9,FALSE)</f>
        <v>-</v>
      </c>
      <c r="J318" s="45" t="str">
        <f>VLOOKUP($B318&amp;"__wt",'SegEnds_Xtal_BW#'!$A:$Z,10,FALSE)</f>
        <v>-</v>
      </c>
      <c r="K318" s="115">
        <v>22</v>
      </c>
      <c r="L318" s="45">
        <f>VLOOKUP($B318&amp;"__wt",'SegEnds_Xtal_BW#'!$A:$Z,12,FALSE)</f>
        <v>56</v>
      </c>
      <c r="M318" s="45" t="str">
        <f>VLOOKUP($B318&amp;"__wt",'SegEnds_Xtal_BW#'!$A:$Z,13,FALSE)</f>
        <v>-</v>
      </c>
      <c r="N318" s="102" t="str">
        <f>VLOOKUP($B318&amp;"__wt",'SegEnds_Xtal_BW#'!$A:$Z,14,FALSE)</f>
        <v>-</v>
      </c>
      <c r="O318" s="90">
        <f>VLOOKUP($B318&amp;"__wt",'SegEnds_Xtal_BW#'!$A:$Z,15,FALSE)</f>
        <v>41</v>
      </c>
      <c r="P318" s="45">
        <f>VLOOKUP($B318&amp;"__wt",'SegEnds_Xtal_BW#'!$A:$Z,16,FALSE)</f>
        <v>68</v>
      </c>
      <c r="Q318" s="45">
        <f>VLOOKUP($B318&amp;"__wt",'SegEnds_Xtal_BW#'!$A:$Z,17,FALSE)</f>
        <v>50</v>
      </c>
      <c r="R318" s="45">
        <f>VLOOKUP($B318&amp;"__wt",'SegEnds_Xtal_BW#'!$A:$Z,18,FALSE)</f>
        <v>52</v>
      </c>
      <c r="S318" s="1">
        <f>VLOOKUP($B318&amp;"__wt",'SegEnds_Xtal_BW#'!$A:$Z,19,FALSE)</f>
        <v>39</v>
      </c>
      <c r="T318" s="45">
        <f>VLOOKUP($B318&amp;"__wt",'SegEnds_Xtal_BW#'!$A:$Z,20,FALSE)</f>
        <v>71</v>
      </c>
      <c r="U318" s="45">
        <f>VLOOKUP($B318&amp;"__wt",'SegEnds_Xtal_BW#'!$A:$Z,21,FALSE)</f>
        <v>25</v>
      </c>
      <c r="V318" s="45">
        <f>VLOOKUP($B318&amp;"__wt",'SegEnds_Xtal_BW#'!$A:$Z,22,FALSE)</f>
        <v>53</v>
      </c>
      <c r="W318" s="45">
        <v>28</v>
      </c>
      <c r="X318" s="45">
        <f>VLOOKUP($B318&amp;"__wt",'SegEnds_Xtal_BW#'!$A:$Z,24,FALSE)</f>
        <v>56</v>
      </c>
      <c r="Y318" s="45">
        <f>VLOOKUP($B318&amp;"__wt",'SegEnds_Xtal_BW#'!$A:$Z,25,FALSE)</f>
        <v>47</v>
      </c>
      <c r="Z318" s="45">
        <f>VLOOKUP($B318&amp;"__wt",'SegEnds_Xtal_BW#'!$A:$Z,26,FALSE)</f>
        <v>72</v>
      </c>
      <c r="AA318" s="47" t="str">
        <f>VLOOKUP(A318,Classification!A:B,2,FALSE)</f>
        <v>B1</v>
      </c>
      <c r="AB318" s="1">
        <f>VLOOKUP(A318,'SegEnds_NonXtal_Prot#'!A:AL,10,FALSE)-VLOOKUP(A318,'SegEnds_NonXtal_Prot#'!A:AL,4,FALSE)</f>
        <v>28</v>
      </c>
      <c r="AC318" s="45">
        <f>VLOOKUP(A318,'SegEnds_NonXtal_Prot#'!A:AL,10,FALSE)-VLOOKUP(A318,'SegEnds_NonXtal_Prot#'!A:AL,7,FALSE)</f>
        <v>15</v>
      </c>
      <c r="AD318" s="45" t="e">
        <f>VLOOKUP(A318,'SegEnds_NonXtal_Prot#'!A:AL,13,FALSE)-VLOOKUP(A318,'SegEnds_NonXtal_Prot#'!A:AL,10,FALSE)</f>
        <v>#VALUE!</v>
      </c>
      <c r="AE318" s="45">
        <f>VLOOKUP(A318,'SegEnds_NonXtal_Prot#'!A:AL,16,FALSE)-VLOOKUP(A318,'SegEnds_NonXtal_Prot#'!A:AL,10,FALSE)</f>
        <v>50</v>
      </c>
      <c r="AF318" s="45" t="e">
        <f>VLOOKUP(A318,'SegEnds_NonXtal_Prot#'!A:AL,22,FALSE)-VLOOKUP(A318,'SegEnds_NonXtal_Prot#'!A:AL,19,FALSE)</f>
        <v>#VALUE!</v>
      </c>
      <c r="AG318" s="45">
        <f>VLOOKUP(A318,'SegEnds_NonXtal_Prot#'!A:AL,28,FALSE)-VLOOKUP(A318,'SegEnds_NonXtal_Prot#'!A:AL,25,FALSE)</f>
        <v>21</v>
      </c>
      <c r="AH318" s="45">
        <f>VLOOKUP(A318,'SegEnds_NonXtal_Prot#'!A:AL,28,FALSE)-VLOOKUP(A318,'SegEnds_NonXtal_Prot#'!A:AL,22,FALSE)</f>
        <v>43</v>
      </c>
      <c r="AI318" s="45">
        <f>VLOOKUP(A318,'SegEnds_NonXtal_Prot#'!A:AL,31,FALSE)-VLOOKUP(A318,'SegEnds_NonXtal_Prot#'!A:AL,28,FALSE)</f>
        <v>50</v>
      </c>
      <c r="AJ318" s="45">
        <f>VLOOKUP(A318,'SegEnds_NonXtal_Prot#'!A:AL,34,FALSE)-VLOOKUP(A318,'SegEnds_NonXtal_Prot#'!A:AL,31,FALSE)</f>
        <v>31</v>
      </c>
      <c r="AK318" s="1">
        <f>VLOOKUP(A318,'SegEnds_NonXtal_Prot#'!A:AL,37,FALSE)-VLOOKUP(A318,'SegEnds_NonXtal_Prot#'!A:AL,34,FALSE)</f>
        <v>10</v>
      </c>
      <c r="AL318" s="45" t="str">
        <f>IF(ISERROR(MATCH(A318,'SegEnds_Xtal_Prot#'!B:B, 0)), "NoXtal", "Xtal")</f>
        <v>Xtal</v>
      </c>
    </row>
    <row r="319" spans="1:38" x14ac:dyDescent="0.2">
      <c r="A319" s="1" t="s">
        <v>1180</v>
      </c>
      <c r="B319" s="1" t="str">
        <f>VLOOKUP(A319,Xtal_Templ!A:B,2,FALSE)</f>
        <v>crfr1_human</v>
      </c>
      <c r="C319" s="5">
        <v>23</v>
      </c>
      <c r="D319" s="1">
        <f>VLOOKUP($B319&amp;"__wt",'SegEnds_Xtal_BW#'!$A:$Z,4,FALSE)</f>
        <v>60</v>
      </c>
      <c r="E319" s="1">
        <f>VLOOKUP($B319&amp;"__wt",'SegEnds_Xtal_BW#'!$A:$Z,5,FALSE)</f>
        <v>48</v>
      </c>
      <c r="F319" s="1">
        <f>VLOOKUP($B319&amp;"__wt",'SegEnds_Xtal_BW#'!$A:$Z,6,FALSE)</f>
        <v>51</v>
      </c>
      <c r="G319" s="1">
        <v>37</v>
      </c>
      <c r="H319" s="12">
        <v>63</v>
      </c>
      <c r="I319" s="1" t="str">
        <f>VLOOKUP($B319&amp;"__wt",'SegEnds_Xtal_BW#'!$A:$Z,9,FALSE)</f>
        <v>-</v>
      </c>
      <c r="J319" s="1" t="str">
        <f>VLOOKUP($B319&amp;"__wt",'SegEnds_Xtal_BW#'!$A:$Z,10,FALSE)</f>
        <v>-</v>
      </c>
      <c r="K319" s="12">
        <v>23</v>
      </c>
      <c r="L319" s="1">
        <f>VLOOKUP($B319&amp;"__wt",'SegEnds_Xtal_BW#'!$A:$Z,12,FALSE)</f>
        <v>56</v>
      </c>
      <c r="M319" s="1" t="str">
        <f>VLOOKUP($B319&amp;"__wt",'SegEnds_Xtal_BW#'!$A:$Z,13,FALSE)</f>
        <v>-</v>
      </c>
      <c r="N319" s="12" t="str">
        <f>VLOOKUP($B319&amp;"__wt",'SegEnds_Xtal_BW#'!$A:$Z,14,FALSE)</f>
        <v>-</v>
      </c>
      <c r="O319" s="87">
        <f>VLOOKUP($B319&amp;"__wt",'SegEnds_Xtal_BW#'!$A:$Z,15,FALSE)</f>
        <v>40</v>
      </c>
      <c r="P319" s="1">
        <f>VLOOKUP($B319&amp;"__wt",'SegEnds_Xtal_BW#'!$A:$Z,16,FALSE)</f>
        <v>68</v>
      </c>
      <c r="Q319" s="1">
        <f>VLOOKUP($B319&amp;"__wt",'SegEnds_Xtal_BW#'!$A:$Z,17,FALSE)</f>
        <v>50</v>
      </c>
      <c r="R319" s="1">
        <f>VLOOKUP($B319&amp;"__wt",'SegEnds_Xtal_BW#'!$A:$Z,18,FALSE)</f>
        <v>52</v>
      </c>
      <c r="S319" s="1">
        <v>36</v>
      </c>
      <c r="T319" s="1">
        <v>69</v>
      </c>
      <c r="U319" s="1">
        <v>29</v>
      </c>
      <c r="V319" s="1">
        <f>VLOOKUP($B319&amp;"__wt",'SegEnds_Xtal_BW#'!$A:$Z,22,FALSE)</f>
        <v>53</v>
      </c>
      <c r="W319" s="1">
        <v>28</v>
      </c>
      <c r="X319" s="1">
        <f>VLOOKUP($B319&amp;"__wt",'SegEnds_Xtal_BW#'!$A:$Z,24,FALSE)</f>
        <v>56</v>
      </c>
      <c r="Y319" s="1">
        <f>VLOOKUP($B319&amp;"__wt",'SegEnds_Xtal_BW#'!$A:$Z,25,FALSE)</f>
        <v>47</v>
      </c>
      <c r="Z319" s="1">
        <v>63</v>
      </c>
      <c r="AA319" s="27" t="str">
        <f>VLOOKUP(A319,Classification!A:B,2,FALSE)</f>
        <v>B2</v>
      </c>
      <c r="AB319" s="1">
        <f>VLOOKUP(A319,'SegEnds_NonXtal_Prot#'!A:AL,10,FALSE)-VLOOKUP(A319,'SegEnds_NonXtal_Prot#'!A:AL,4,FALSE)</f>
        <v>28</v>
      </c>
      <c r="AC319" s="1">
        <f>VLOOKUP(A319,'SegEnds_NonXtal_Prot#'!A:AL,10,FALSE)-VLOOKUP(A319,'SegEnds_NonXtal_Prot#'!A:AL,7,FALSE)</f>
        <v>15</v>
      </c>
      <c r="AD319" s="1" t="e">
        <f>VLOOKUP(A319,'SegEnds_NonXtal_Prot#'!A:AL,13,FALSE)-VLOOKUP(A319,'SegEnds_NonXtal_Prot#'!A:AL,10,FALSE)</f>
        <v>#VALUE!</v>
      </c>
      <c r="AE319" s="1">
        <f>VLOOKUP(A319,'SegEnds_NonXtal_Prot#'!A:AL,16,FALSE)-VLOOKUP(A319,'SegEnds_NonXtal_Prot#'!A:AL,10,FALSE)</f>
        <v>45</v>
      </c>
      <c r="AF319" s="1" t="e">
        <f>VLOOKUP(A319,'SegEnds_NonXtal_Prot#'!A:AL,22,FALSE)-VLOOKUP(A319,'SegEnds_NonXtal_Prot#'!A:AL,19,FALSE)</f>
        <v>#VALUE!</v>
      </c>
      <c r="AG319" s="1">
        <f>VLOOKUP(A319,'SegEnds_NonXtal_Prot#'!A:AL,28,FALSE)-VLOOKUP(A319,'SegEnds_NonXtal_Prot#'!A:AL,25,FALSE)</f>
        <v>19</v>
      </c>
      <c r="AH319" s="1">
        <f>VLOOKUP(A319,'SegEnds_NonXtal_Prot#'!A:AL,28,FALSE)-VLOOKUP(A319,'SegEnds_NonXtal_Prot#'!A:AL,22,FALSE)</f>
        <v>42</v>
      </c>
      <c r="AI319" s="1">
        <f>VLOOKUP(A319,'SegEnds_NonXtal_Prot#'!A:AL,31,FALSE)-VLOOKUP(A319,'SegEnds_NonXtal_Prot#'!A:AL,28,FALSE)</f>
        <v>52</v>
      </c>
      <c r="AJ319" s="1">
        <f>VLOOKUP(A319,'SegEnds_NonXtal_Prot#'!A:AL,34,FALSE)-VLOOKUP(A319,'SegEnds_NonXtal_Prot#'!A:AL,31,FALSE)</f>
        <v>32</v>
      </c>
      <c r="AK319" s="1">
        <f>VLOOKUP(A319,'SegEnds_NonXtal_Prot#'!A:AL,37,FALSE)-VLOOKUP(A319,'SegEnds_NonXtal_Prot#'!A:AL,34,FALSE)</f>
        <v>10</v>
      </c>
      <c r="AL319" s="1" t="str">
        <f>IF(ISERROR(MATCH(A319,'SegEnds_Xtal_Prot#'!B:B, 0)), "NoXtal", "Xtal")</f>
        <v>NoXtal</v>
      </c>
    </row>
    <row r="320" spans="1:38" x14ac:dyDescent="0.2">
      <c r="A320" s="4" t="s">
        <v>1171</v>
      </c>
      <c r="B320" s="4" t="str">
        <f>VLOOKUP(A320,Xtal_Templ!A:B,2,FALSE)</f>
        <v>crfr1_human</v>
      </c>
      <c r="C320" s="5">
        <v>23</v>
      </c>
      <c r="D320" s="4">
        <f>VLOOKUP($B320&amp;"__wt",'SegEnds_Xtal_BW#'!$A:$Z,4,FALSE)</f>
        <v>60</v>
      </c>
      <c r="E320" s="4">
        <f>VLOOKUP($B320&amp;"__wt",'SegEnds_Xtal_BW#'!$A:$Z,5,FALSE)</f>
        <v>48</v>
      </c>
      <c r="F320" s="4">
        <f>VLOOKUP($B320&amp;"__wt",'SegEnds_Xtal_BW#'!$A:$Z,6,FALSE)</f>
        <v>51</v>
      </c>
      <c r="G320" s="4">
        <v>37</v>
      </c>
      <c r="H320" s="11">
        <v>63</v>
      </c>
      <c r="I320" s="4" t="str">
        <f>VLOOKUP($B320&amp;"__wt",'SegEnds_Xtal_BW#'!$A:$Z,9,FALSE)</f>
        <v>-</v>
      </c>
      <c r="J320" s="4" t="str">
        <f>VLOOKUP($B320&amp;"__wt",'SegEnds_Xtal_BW#'!$A:$Z,10,FALSE)</f>
        <v>-</v>
      </c>
      <c r="K320" s="11">
        <v>23</v>
      </c>
      <c r="L320" s="4">
        <f>VLOOKUP($B320&amp;"__wt",'SegEnds_Xtal_BW#'!$A:$Z,12,FALSE)</f>
        <v>56</v>
      </c>
      <c r="M320" s="4" t="str">
        <f>VLOOKUP($B320&amp;"__wt",'SegEnds_Xtal_BW#'!$A:$Z,13,FALSE)</f>
        <v>-</v>
      </c>
      <c r="N320" s="11" t="str">
        <f>VLOOKUP($B320&amp;"__wt",'SegEnds_Xtal_BW#'!$A:$Z,14,FALSE)</f>
        <v>-</v>
      </c>
      <c r="O320" s="88">
        <f>VLOOKUP($B320&amp;"__wt",'SegEnds_Xtal_BW#'!$A:$Z,15,FALSE)</f>
        <v>40</v>
      </c>
      <c r="P320" s="4">
        <f>VLOOKUP($B320&amp;"__wt",'SegEnds_Xtal_BW#'!$A:$Z,16,FALSE)</f>
        <v>68</v>
      </c>
      <c r="Q320" s="4">
        <f>VLOOKUP($B320&amp;"__wt",'SegEnds_Xtal_BW#'!$A:$Z,17,FALSE)</f>
        <v>50</v>
      </c>
      <c r="R320" s="4">
        <f>VLOOKUP($B320&amp;"__wt",'SegEnds_Xtal_BW#'!$A:$Z,18,FALSE)</f>
        <v>52</v>
      </c>
      <c r="S320" s="4">
        <v>36</v>
      </c>
      <c r="T320" s="4">
        <v>69</v>
      </c>
      <c r="U320" s="4">
        <v>29</v>
      </c>
      <c r="V320" s="4">
        <f>VLOOKUP($B320&amp;"__wt",'SegEnds_Xtal_BW#'!$A:$Z,22,FALSE)</f>
        <v>53</v>
      </c>
      <c r="W320" s="4">
        <v>29</v>
      </c>
      <c r="X320" s="4">
        <f>VLOOKUP($B320&amp;"__wt",'SegEnds_Xtal_BW#'!$A:$Z,24,FALSE)</f>
        <v>56</v>
      </c>
      <c r="Y320" s="4">
        <f>VLOOKUP($B320&amp;"__wt",'SegEnds_Xtal_BW#'!$A:$Z,25,FALSE)</f>
        <v>47</v>
      </c>
      <c r="Z320" s="4">
        <v>63</v>
      </c>
      <c r="AA320" s="27" t="str">
        <f>VLOOKUP(A320,Classification!A:B,2,FALSE)</f>
        <v>B2</v>
      </c>
      <c r="AB320" s="1">
        <f>VLOOKUP(A320,'SegEnds_NonXtal_Prot#'!A:AL,10,FALSE)-VLOOKUP(A320,'SegEnds_NonXtal_Prot#'!A:AL,4,FALSE)</f>
        <v>26</v>
      </c>
      <c r="AC320" s="4" t="e">
        <f>VLOOKUP(A320,'SegEnds_NonXtal_Prot#'!A:AL,10,FALSE)-VLOOKUP(A320,'SegEnds_NonXtal_Prot#'!A:AL,7,FALSE)</f>
        <v>#VALUE!</v>
      </c>
      <c r="AD320" s="4" t="e">
        <f>VLOOKUP(A320,'SegEnds_NonXtal_Prot#'!A:AL,13,FALSE)-VLOOKUP(A320,'SegEnds_NonXtal_Prot#'!A:AL,10,FALSE)</f>
        <v>#VALUE!</v>
      </c>
      <c r="AE320" s="4">
        <f>VLOOKUP(A320,'SegEnds_NonXtal_Prot#'!A:AL,16,FALSE)-VLOOKUP(A320,'SegEnds_NonXtal_Prot#'!A:AL,10,FALSE)</f>
        <v>47</v>
      </c>
      <c r="AF320" s="1" t="e">
        <f>VLOOKUP(A320,'SegEnds_NonXtal_Prot#'!A:AL,22,FALSE)-VLOOKUP(A320,'SegEnds_NonXtal_Prot#'!A:AL,19,FALSE)</f>
        <v>#VALUE!</v>
      </c>
      <c r="AG320" s="4">
        <f>VLOOKUP(A320,'SegEnds_NonXtal_Prot#'!A:AL,28,FALSE)-VLOOKUP(A320,'SegEnds_NonXtal_Prot#'!A:AL,25,FALSE)</f>
        <v>18</v>
      </c>
      <c r="AH320" s="1">
        <f>VLOOKUP(A320,'SegEnds_NonXtal_Prot#'!A:AL,28,FALSE)-VLOOKUP(A320,'SegEnds_NonXtal_Prot#'!A:AL,22,FALSE)</f>
        <v>43</v>
      </c>
      <c r="AI320" s="4">
        <f>VLOOKUP(A320,'SegEnds_NonXtal_Prot#'!A:AL,31,FALSE)-VLOOKUP(A320,'SegEnds_NonXtal_Prot#'!A:AL,28,FALSE)</f>
        <v>100</v>
      </c>
      <c r="AJ320" s="4">
        <f>VLOOKUP(A320,'SegEnds_NonXtal_Prot#'!A:AL,34,FALSE)-VLOOKUP(A320,'SegEnds_NonXtal_Prot#'!A:AL,31,FALSE)</f>
        <v>31</v>
      </c>
      <c r="AK320" s="1">
        <f>VLOOKUP(A320,'SegEnds_NonXtal_Prot#'!A:AL,37,FALSE)-VLOOKUP(A320,'SegEnds_NonXtal_Prot#'!A:AL,34,FALSE)</f>
        <v>10</v>
      </c>
      <c r="AL320" s="1" t="str">
        <f>IF(ISERROR(MATCH(A320,'SegEnds_Xtal_Prot#'!B:B, 0)), "NoXtal", "Xtal")</f>
        <v>NoXtal</v>
      </c>
    </row>
    <row r="321" spans="1:38" x14ac:dyDescent="0.2">
      <c r="A321" s="1" t="s">
        <v>1175</v>
      </c>
      <c r="B321" s="1" t="str">
        <f>VLOOKUP(A321,Xtal_Templ!A:B,2,FALSE)</f>
        <v>crfr1_human</v>
      </c>
      <c r="C321" s="5">
        <v>23</v>
      </c>
      <c r="D321" s="1">
        <f>VLOOKUP($B321&amp;"__wt",'SegEnds_Xtal_BW#'!$A:$Z,4,FALSE)</f>
        <v>60</v>
      </c>
      <c r="E321" s="1">
        <f>VLOOKUP($B321&amp;"__wt",'SegEnds_Xtal_BW#'!$A:$Z,5,FALSE)</f>
        <v>48</v>
      </c>
      <c r="F321" s="1">
        <f>VLOOKUP($B321&amp;"__wt",'SegEnds_Xtal_BW#'!$A:$Z,6,FALSE)</f>
        <v>51</v>
      </c>
      <c r="G321" s="1">
        <v>37</v>
      </c>
      <c r="H321" s="12">
        <v>63</v>
      </c>
      <c r="I321" s="1" t="str">
        <f>VLOOKUP($B321&amp;"__wt",'SegEnds_Xtal_BW#'!$A:$Z,9,FALSE)</f>
        <v>-</v>
      </c>
      <c r="J321" s="1" t="str">
        <f>VLOOKUP($B321&amp;"__wt",'SegEnds_Xtal_BW#'!$A:$Z,10,FALSE)</f>
        <v>-</v>
      </c>
      <c r="K321" s="12">
        <v>23</v>
      </c>
      <c r="L321" s="1">
        <f>VLOOKUP($B321&amp;"__wt",'SegEnds_Xtal_BW#'!$A:$Z,12,FALSE)</f>
        <v>56</v>
      </c>
      <c r="M321" s="1" t="str">
        <f>VLOOKUP($B321&amp;"__wt",'SegEnds_Xtal_BW#'!$A:$Z,13,FALSE)</f>
        <v>-</v>
      </c>
      <c r="N321" s="12" t="str">
        <f>VLOOKUP($B321&amp;"__wt",'SegEnds_Xtal_BW#'!$A:$Z,14,FALSE)</f>
        <v>-</v>
      </c>
      <c r="O321" s="87">
        <f>VLOOKUP($B321&amp;"__wt",'SegEnds_Xtal_BW#'!$A:$Z,15,FALSE)</f>
        <v>40</v>
      </c>
      <c r="P321" s="1">
        <f>VLOOKUP($B321&amp;"__wt",'SegEnds_Xtal_BW#'!$A:$Z,16,FALSE)</f>
        <v>68</v>
      </c>
      <c r="Q321" s="1">
        <f>VLOOKUP($B321&amp;"__wt",'SegEnds_Xtal_BW#'!$A:$Z,17,FALSE)</f>
        <v>50</v>
      </c>
      <c r="R321" s="1">
        <f>VLOOKUP($B321&amp;"__wt",'SegEnds_Xtal_BW#'!$A:$Z,18,FALSE)</f>
        <v>52</v>
      </c>
      <c r="S321" s="1">
        <v>36</v>
      </c>
      <c r="T321" s="1">
        <v>69</v>
      </c>
      <c r="U321" s="1">
        <v>29</v>
      </c>
      <c r="V321" s="1">
        <f>VLOOKUP($B321&amp;"__wt",'SegEnds_Xtal_BW#'!$A:$Z,22,FALSE)</f>
        <v>53</v>
      </c>
      <c r="W321" s="1">
        <v>31</v>
      </c>
      <c r="X321" s="1">
        <f>VLOOKUP($B321&amp;"__wt",'SegEnds_Xtal_BW#'!$A:$Z,24,FALSE)</f>
        <v>56</v>
      </c>
      <c r="Y321" s="1">
        <f>VLOOKUP($B321&amp;"__wt",'SegEnds_Xtal_BW#'!$A:$Z,25,FALSE)</f>
        <v>47</v>
      </c>
      <c r="Z321" s="1">
        <v>63</v>
      </c>
      <c r="AA321" s="27" t="str">
        <f>VLOOKUP(A321,Classification!A:B,2,FALSE)</f>
        <v>B2</v>
      </c>
      <c r="AB321" s="1">
        <f>VLOOKUP(A321,'SegEnds_NonXtal_Prot#'!A:AL,10,FALSE)-VLOOKUP(A321,'SegEnds_NonXtal_Prot#'!A:AL,4,FALSE)</f>
        <v>31</v>
      </c>
      <c r="AC321" s="1">
        <f>VLOOKUP(A321,'SegEnds_NonXtal_Prot#'!A:AL,10,FALSE)-VLOOKUP(A321,'SegEnds_NonXtal_Prot#'!A:AL,7,FALSE)</f>
        <v>18</v>
      </c>
      <c r="AD321" s="1" t="e">
        <f>VLOOKUP(A321,'SegEnds_NonXtal_Prot#'!A:AL,13,FALSE)-VLOOKUP(A321,'SegEnds_NonXtal_Prot#'!A:AL,10,FALSE)</f>
        <v>#VALUE!</v>
      </c>
      <c r="AE321" s="1">
        <f>VLOOKUP(A321,'SegEnds_NonXtal_Prot#'!A:AL,16,FALSE)-VLOOKUP(A321,'SegEnds_NonXtal_Prot#'!A:AL,10,FALSE)</f>
        <v>45</v>
      </c>
      <c r="AF321" s="1" t="e">
        <f>VLOOKUP(A321,'SegEnds_NonXtal_Prot#'!A:AL,22,FALSE)-VLOOKUP(A321,'SegEnds_NonXtal_Prot#'!A:AL,19,FALSE)</f>
        <v>#VALUE!</v>
      </c>
      <c r="AG321" s="1">
        <f>VLOOKUP(A321,'SegEnds_NonXtal_Prot#'!A:AL,28,FALSE)-VLOOKUP(A321,'SegEnds_NonXtal_Prot#'!A:AL,25,FALSE)</f>
        <v>19</v>
      </c>
      <c r="AH321" s="1">
        <f>VLOOKUP(A321,'SegEnds_NonXtal_Prot#'!A:AL,28,FALSE)-VLOOKUP(A321,'SegEnds_NonXtal_Prot#'!A:AL,22,FALSE)</f>
        <v>43</v>
      </c>
      <c r="AI321" s="1">
        <f>VLOOKUP(A321,'SegEnds_NonXtal_Prot#'!A:AL,31,FALSE)-VLOOKUP(A321,'SegEnds_NonXtal_Prot#'!A:AL,28,FALSE)</f>
        <v>52</v>
      </c>
      <c r="AJ321" s="1">
        <f>VLOOKUP(A321,'SegEnds_NonXtal_Prot#'!A:AL,34,FALSE)-VLOOKUP(A321,'SegEnds_NonXtal_Prot#'!A:AL,31,FALSE)</f>
        <v>28</v>
      </c>
      <c r="AK321" s="1">
        <f>VLOOKUP(A321,'SegEnds_NonXtal_Prot#'!A:AL,37,FALSE)-VLOOKUP(A321,'SegEnds_NonXtal_Prot#'!A:AL,34,FALSE)</f>
        <v>10</v>
      </c>
      <c r="AL321" s="1" t="str">
        <f>IF(ISERROR(MATCH(A321,'SegEnds_Xtal_Prot#'!B:B, 0)), "NoXtal", "Xtal")</f>
        <v>NoXtal</v>
      </c>
    </row>
    <row r="322" spans="1:38" x14ac:dyDescent="0.2">
      <c r="A322" s="1" t="s">
        <v>1176</v>
      </c>
      <c r="B322" s="1" t="str">
        <f>VLOOKUP(A322,Xtal_Templ!A:B,2,FALSE)</f>
        <v>crfr1_human</v>
      </c>
      <c r="C322" s="5">
        <v>23</v>
      </c>
      <c r="D322" s="1">
        <f>VLOOKUP($B322&amp;"__wt",'SegEnds_Xtal_BW#'!$A:$Z,4,FALSE)</f>
        <v>60</v>
      </c>
      <c r="E322" s="1">
        <f>VLOOKUP($B322&amp;"__wt",'SegEnds_Xtal_BW#'!$A:$Z,5,FALSE)</f>
        <v>48</v>
      </c>
      <c r="F322" s="1">
        <f>VLOOKUP($B322&amp;"__wt",'SegEnds_Xtal_BW#'!$A:$Z,6,FALSE)</f>
        <v>51</v>
      </c>
      <c r="G322" s="1">
        <v>37</v>
      </c>
      <c r="H322" s="12">
        <v>63</v>
      </c>
      <c r="I322" s="1" t="str">
        <f>VLOOKUP($B322&amp;"__wt",'SegEnds_Xtal_BW#'!$A:$Z,9,FALSE)</f>
        <v>-</v>
      </c>
      <c r="J322" s="1" t="str">
        <f>VLOOKUP($B322&amp;"__wt",'SegEnds_Xtal_BW#'!$A:$Z,10,FALSE)</f>
        <v>-</v>
      </c>
      <c r="K322" s="12">
        <v>23</v>
      </c>
      <c r="L322" s="1">
        <f>VLOOKUP($B322&amp;"__wt",'SegEnds_Xtal_BW#'!$A:$Z,12,FALSE)</f>
        <v>56</v>
      </c>
      <c r="M322" s="1" t="str">
        <f>VLOOKUP($B322&amp;"__wt",'SegEnds_Xtal_BW#'!$A:$Z,13,FALSE)</f>
        <v>-</v>
      </c>
      <c r="N322" s="12" t="str">
        <f>VLOOKUP($B322&amp;"__wt",'SegEnds_Xtal_BW#'!$A:$Z,14,FALSE)</f>
        <v>-</v>
      </c>
      <c r="O322" s="87">
        <f>VLOOKUP($B322&amp;"__wt",'SegEnds_Xtal_BW#'!$A:$Z,15,FALSE)</f>
        <v>40</v>
      </c>
      <c r="P322" s="1">
        <f>VLOOKUP($B322&amp;"__wt",'SegEnds_Xtal_BW#'!$A:$Z,16,FALSE)</f>
        <v>68</v>
      </c>
      <c r="Q322" s="1">
        <f>VLOOKUP($B322&amp;"__wt",'SegEnds_Xtal_BW#'!$A:$Z,17,FALSE)</f>
        <v>50</v>
      </c>
      <c r="R322" s="1">
        <f>VLOOKUP($B322&amp;"__wt",'SegEnds_Xtal_BW#'!$A:$Z,18,FALSE)</f>
        <v>52</v>
      </c>
      <c r="S322" s="1">
        <v>36</v>
      </c>
      <c r="T322" s="1">
        <v>69</v>
      </c>
      <c r="U322" s="1">
        <v>29</v>
      </c>
      <c r="V322" s="1">
        <v>50</v>
      </c>
      <c r="W322" s="1">
        <v>33</v>
      </c>
      <c r="X322" s="1">
        <f>VLOOKUP($B322&amp;"__wt",'SegEnds_Xtal_BW#'!$A:$Z,24,FALSE)</f>
        <v>56</v>
      </c>
      <c r="Y322" s="1">
        <f>VLOOKUP($B322&amp;"__wt",'SegEnds_Xtal_BW#'!$A:$Z,25,FALSE)</f>
        <v>47</v>
      </c>
      <c r="Z322" s="1">
        <v>63</v>
      </c>
      <c r="AA322" s="27" t="str">
        <f>VLOOKUP(A322,Classification!A:B,2,FALSE)</f>
        <v>B2</v>
      </c>
      <c r="AB322" s="1">
        <f>VLOOKUP(A322,'SegEnds_NonXtal_Prot#'!A:AL,10,FALSE)-VLOOKUP(A322,'SegEnds_NonXtal_Prot#'!A:AL,4,FALSE)</f>
        <v>28</v>
      </c>
      <c r="AC322" s="1" t="e">
        <f>VLOOKUP(A322,'SegEnds_NonXtal_Prot#'!A:AL,10,FALSE)-VLOOKUP(A322,'SegEnds_NonXtal_Prot#'!A:AL,7,FALSE)</f>
        <v>#VALUE!</v>
      </c>
      <c r="AD322" s="1" t="e">
        <f>VLOOKUP(A322,'SegEnds_NonXtal_Prot#'!A:AL,13,FALSE)-VLOOKUP(A322,'SegEnds_NonXtal_Prot#'!A:AL,10,FALSE)</f>
        <v>#VALUE!</v>
      </c>
      <c r="AE322" s="1">
        <f>VLOOKUP(A322,'SegEnds_NonXtal_Prot#'!A:AL,16,FALSE)-VLOOKUP(A322,'SegEnds_NonXtal_Prot#'!A:AL,10,FALSE)</f>
        <v>45</v>
      </c>
      <c r="AF322" s="1" t="e">
        <f>VLOOKUP(A322,'SegEnds_NonXtal_Prot#'!A:AL,22,FALSE)-VLOOKUP(A322,'SegEnds_NonXtal_Prot#'!A:AL,19,FALSE)</f>
        <v>#VALUE!</v>
      </c>
      <c r="AG322" s="1">
        <f>VLOOKUP(A322,'SegEnds_NonXtal_Prot#'!A:AL,28,FALSE)-VLOOKUP(A322,'SegEnds_NonXtal_Prot#'!A:AL,25,FALSE)</f>
        <v>19</v>
      </c>
      <c r="AH322" s="1">
        <f>VLOOKUP(A322,'SegEnds_NonXtal_Prot#'!A:AL,28,FALSE)-VLOOKUP(A322,'SegEnds_NonXtal_Prot#'!A:AL,22,FALSE)</f>
        <v>43</v>
      </c>
      <c r="AI322" s="1">
        <f>VLOOKUP(A322,'SegEnds_NonXtal_Prot#'!A:AL,31,FALSE)-VLOOKUP(A322,'SegEnds_NonXtal_Prot#'!A:AL,28,FALSE)</f>
        <v>66</v>
      </c>
      <c r="AJ322" s="1">
        <f>VLOOKUP(A322,'SegEnds_NonXtal_Prot#'!A:AL,34,FALSE)-VLOOKUP(A322,'SegEnds_NonXtal_Prot#'!A:AL,31,FALSE)</f>
        <v>20</v>
      </c>
      <c r="AK322" s="1">
        <f>VLOOKUP(A322,'SegEnds_NonXtal_Prot#'!A:AL,37,FALSE)-VLOOKUP(A322,'SegEnds_NonXtal_Prot#'!A:AL,34,FALSE)</f>
        <v>10</v>
      </c>
      <c r="AL322" s="1" t="str">
        <f>IF(ISERROR(MATCH(A322,'SegEnds_Xtal_Prot#'!B:B, 0)), "NoXtal", "Xtal")</f>
        <v>NoXtal</v>
      </c>
    </row>
    <row r="323" spans="1:38" x14ac:dyDescent="0.2">
      <c r="A323" s="4" t="s">
        <v>1177</v>
      </c>
      <c r="B323" s="4" t="str">
        <f>VLOOKUP(A323,Xtal_Templ!A:B,2,FALSE)</f>
        <v>pth1r_human</v>
      </c>
      <c r="C323" s="5">
        <v>23</v>
      </c>
      <c r="D323" s="4">
        <f>VLOOKUP($B323&amp;"__wt",'SegEnds_Xtal_BW#'!$A:$Z,4,FALSE)</f>
        <v>60</v>
      </c>
      <c r="E323" s="4">
        <f>VLOOKUP($B323&amp;"__wt",'SegEnds_Xtal_BW#'!$A:$Z,5,FALSE)</f>
        <v>48</v>
      </c>
      <c r="F323" s="4">
        <f>VLOOKUP($B323&amp;"__wt",'SegEnds_Xtal_BW#'!$A:$Z,6,FALSE)</f>
        <v>51</v>
      </c>
      <c r="G323" s="4">
        <v>37</v>
      </c>
      <c r="H323" s="11">
        <v>63</v>
      </c>
      <c r="I323" s="4" t="str">
        <f>VLOOKUP($B323&amp;"__wt",'SegEnds_Xtal_BW#'!$A:$Z,9,FALSE)</f>
        <v>-</v>
      </c>
      <c r="J323" s="4" t="str">
        <f>VLOOKUP($B323&amp;"__wt",'SegEnds_Xtal_BW#'!$A:$Z,10,FALSE)</f>
        <v>-</v>
      </c>
      <c r="K323" s="11">
        <v>23</v>
      </c>
      <c r="L323" s="4">
        <f>VLOOKUP($B323&amp;"__wt",'SegEnds_Xtal_BW#'!$A:$Z,12,FALSE)</f>
        <v>56</v>
      </c>
      <c r="M323" s="4" t="str">
        <f>VLOOKUP($B323&amp;"__wt",'SegEnds_Xtal_BW#'!$A:$Z,13,FALSE)</f>
        <v>-</v>
      </c>
      <c r="N323" s="11" t="str">
        <f>VLOOKUP($B323&amp;"__wt",'SegEnds_Xtal_BW#'!$A:$Z,14,FALSE)</f>
        <v>-</v>
      </c>
      <c r="O323" s="88">
        <f>VLOOKUP($B323&amp;"__wt",'SegEnds_Xtal_BW#'!$A:$Z,15,FALSE)</f>
        <v>37</v>
      </c>
      <c r="P323" s="4">
        <f>VLOOKUP($B323&amp;"__wt",'SegEnds_Xtal_BW#'!$A:$Z,16,FALSE)</f>
        <v>68</v>
      </c>
      <c r="Q323" s="4">
        <f>VLOOKUP($B323&amp;"__wt",'SegEnds_Xtal_BW#'!$A:$Z,17,FALSE)</f>
        <v>50</v>
      </c>
      <c r="R323" s="4">
        <f>VLOOKUP($B323&amp;"__wt",'SegEnds_Xtal_BW#'!$A:$Z,18,FALSE)</f>
        <v>52</v>
      </c>
      <c r="S323" s="4">
        <v>36</v>
      </c>
      <c r="T323" s="4">
        <v>69</v>
      </c>
      <c r="U323" s="4">
        <v>29</v>
      </c>
      <c r="V323" s="4">
        <f>VLOOKUP($B323&amp;"__wt",'SegEnds_Xtal_BW#'!$A:$Z,22,FALSE)</f>
        <v>54</v>
      </c>
      <c r="W323" s="4">
        <v>31</v>
      </c>
      <c r="X323" s="4">
        <f>VLOOKUP($B323&amp;"__wt",'SegEnds_Xtal_BW#'!$A:$Z,24,FALSE)</f>
        <v>56</v>
      </c>
      <c r="Y323" s="4">
        <f>VLOOKUP($B323&amp;"__wt",'SegEnds_Xtal_BW#'!$A:$Z,25,FALSE)</f>
        <v>47</v>
      </c>
      <c r="Z323" s="4">
        <v>63</v>
      </c>
      <c r="AA323" s="27" t="str">
        <f>VLOOKUP(A323,Classification!A:B,2,FALSE)</f>
        <v>B2</v>
      </c>
      <c r="AB323" s="1">
        <f>VLOOKUP(A323,'SegEnds_NonXtal_Prot#'!A:AL,10,FALSE)-VLOOKUP(A323,'SegEnds_NonXtal_Prot#'!A:AL,4,FALSE)</f>
        <v>28</v>
      </c>
      <c r="AC323" s="4" t="e">
        <f>VLOOKUP(A323,'SegEnds_NonXtal_Prot#'!A:AL,10,FALSE)-VLOOKUP(A323,'SegEnds_NonXtal_Prot#'!A:AL,7,FALSE)</f>
        <v>#VALUE!</v>
      </c>
      <c r="AD323" s="4" t="e">
        <f>VLOOKUP(A323,'SegEnds_NonXtal_Prot#'!A:AL,13,FALSE)-VLOOKUP(A323,'SegEnds_NonXtal_Prot#'!A:AL,10,FALSE)</f>
        <v>#VALUE!</v>
      </c>
      <c r="AE323" s="4">
        <f>VLOOKUP(A323,'SegEnds_NonXtal_Prot#'!A:AL,16,FALSE)-VLOOKUP(A323,'SegEnds_NonXtal_Prot#'!A:AL,10,FALSE)</f>
        <v>45</v>
      </c>
      <c r="AF323" s="1" t="e">
        <f>VLOOKUP(A323,'SegEnds_NonXtal_Prot#'!A:AL,22,FALSE)-VLOOKUP(A323,'SegEnds_NonXtal_Prot#'!A:AL,19,FALSE)</f>
        <v>#VALUE!</v>
      </c>
      <c r="AG323" s="4">
        <f>VLOOKUP(A323,'SegEnds_NonXtal_Prot#'!A:AL,28,FALSE)-VLOOKUP(A323,'SegEnds_NonXtal_Prot#'!A:AL,25,FALSE)</f>
        <v>19</v>
      </c>
      <c r="AH323" s="1">
        <f>VLOOKUP(A323,'SegEnds_NonXtal_Prot#'!A:AL,28,FALSE)-VLOOKUP(A323,'SegEnds_NonXtal_Prot#'!A:AL,22,FALSE)</f>
        <v>43</v>
      </c>
      <c r="AI323" s="4">
        <f>VLOOKUP(A323,'SegEnds_NonXtal_Prot#'!A:AL,31,FALSE)-VLOOKUP(A323,'SegEnds_NonXtal_Prot#'!A:AL,28,FALSE)</f>
        <v>52</v>
      </c>
      <c r="AJ323" s="4">
        <f>VLOOKUP(A323,'SegEnds_NonXtal_Prot#'!A:AL,34,FALSE)-VLOOKUP(A323,'SegEnds_NonXtal_Prot#'!A:AL,31,FALSE)</f>
        <v>28</v>
      </c>
      <c r="AK323" s="1">
        <f>VLOOKUP(A323,'SegEnds_NonXtal_Prot#'!A:AL,37,FALSE)-VLOOKUP(A323,'SegEnds_NonXtal_Prot#'!A:AL,34,FALSE)</f>
        <v>10</v>
      </c>
      <c r="AL323" s="1" t="str">
        <f>IF(ISERROR(MATCH(A323,'SegEnds_Xtal_Prot#'!B:B, 0)), "NoXtal", "Xtal")</f>
        <v>NoXtal</v>
      </c>
    </row>
    <row r="324" spans="1:38" x14ac:dyDescent="0.2">
      <c r="A324" s="1" t="s">
        <v>1178</v>
      </c>
      <c r="B324" s="1" t="str">
        <f>VLOOKUP(A324,Xtal_Templ!A:B,2,FALSE)</f>
        <v>glp1r_human</v>
      </c>
      <c r="C324" s="5">
        <v>23</v>
      </c>
      <c r="D324" s="1">
        <f>VLOOKUP($B324&amp;"__wt",'SegEnds_Xtal_BW#'!$A:$Z,4,FALSE)</f>
        <v>60</v>
      </c>
      <c r="E324" s="1">
        <f>VLOOKUP($B324&amp;"__wt",'SegEnds_Xtal_BW#'!$A:$Z,5,FALSE)</f>
        <v>48</v>
      </c>
      <c r="F324" s="1">
        <f>VLOOKUP($B324&amp;"__wt",'SegEnds_Xtal_BW#'!$A:$Z,6,FALSE)</f>
        <v>51</v>
      </c>
      <c r="G324" s="1">
        <v>37</v>
      </c>
      <c r="H324" s="12">
        <v>63</v>
      </c>
      <c r="I324" s="1" t="str">
        <f>VLOOKUP($B324&amp;"__wt",'SegEnds_Xtal_BW#'!$A:$Z,9,FALSE)</f>
        <v>-</v>
      </c>
      <c r="J324" s="1" t="str">
        <f>VLOOKUP($B324&amp;"__wt",'SegEnds_Xtal_BW#'!$A:$Z,10,FALSE)</f>
        <v>-</v>
      </c>
      <c r="K324" s="12">
        <v>23</v>
      </c>
      <c r="L324" s="1">
        <f>VLOOKUP($B324&amp;"__wt",'SegEnds_Xtal_BW#'!$A:$Z,12,FALSE)</f>
        <v>56</v>
      </c>
      <c r="M324" s="1" t="str">
        <f>VLOOKUP($B324&amp;"__wt",'SegEnds_Xtal_BW#'!$A:$Z,13,FALSE)</f>
        <v>-</v>
      </c>
      <c r="N324" s="12" t="str">
        <f>VLOOKUP($B324&amp;"__wt",'SegEnds_Xtal_BW#'!$A:$Z,14,FALSE)</f>
        <v>-</v>
      </c>
      <c r="O324" s="87">
        <f>VLOOKUP($B324&amp;"__wt",'SegEnds_Xtal_BW#'!$A:$Z,15,FALSE)</f>
        <v>38</v>
      </c>
      <c r="P324" s="1">
        <f>VLOOKUP($B324&amp;"__wt",'SegEnds_Xtal_BW#'!$A:$Z,16,FALSE)</f>
        <v>68</v>
      </c>
      <c r="Q324" s="1">
        <f>VLOOKUP($B324&amp;"__wt",'SegEnds_Xtal_BW#'!$A:$Z,17,FALSE)</f>
        <v>50</v>
      </c>
      <c r="R324" s="1">
        <f>VLOOKUP($B324&amp;"__wt",'SegEnds_Xtal_BW#'!$A:$Z,18,FALSE)</f>
        <v>52</v>
      </c>
      <c r="S324" s="1">
        <v>36</v>
      </c>
      <c r="T324" s="1">
        <v>69</v>
      </c>
      <c r="U324" s="1">
        <v>29</v>
      </c>
      <c r="V324" s="1">
        <f>VLOOKUP($B324&amp;"__wt",'SegEnds_Xtal_BW#'!$A:$Z,22,FALSE)</f>
        <v>53</v>
      </c>
      <c r="W324" s="1">
        <v>31</v>
      </c>
      <c r="X324" s="1">
        <f>VLOOKUP($B324&amp;"__wt",'SegEnds_Xtal_BW#'!$A:$Z,24,FALSE)</f>
        <v>56</v>
      </c>
      <c r="Y324" s="1">
        <f>VLOOKUP($B324&amp;"__wt",'SegEnds_Xtal_BW#'!$A:$Z,25,FALSE)</f>
        <v>47</v>
      </c>
      <c r="Z324" s="1">
        <v>63</v>
      </c>
      <c r="AA324" s="27" t="str">
        <f>VLOOKUP(A324,Classification!A:B,2,FALSE)</f>
        <v>B2</v>
      </c>
      <c r="AB324" s="1">
        <f>VLOOKUP(A324,'SegEnds_NonXtal_Prot#'!A:AL,10,FALSE)-VLOOKUP(A324,'SegEnds_NonXtal_Prot#'!A:AL,4,FALSE)</f>
        <v>28</v>
      </c>
      <c r="AC324" s="1">
        <f>VLOOKUP(A324,'SegEnds_NonXtal_Prot#'!A:AL,10,FALSE)-VLOOKUP(A324,'SegEnds_NonXtal_Prot#'!A:AL,7,FALSE)</f>
        <v>15</v>
      </c>
      <c r="AD324" s="1" t="e">
        <f>VLOOKUP(A324,'SegEnds_NonXtal_Prot#'!A:AL,13,FALSE)-VLOOKUP(A324,'SegEnds_NonXtal_Prot#'!A:AL,10,FALSE)</f>
        <v>#VALUE!</v>
      </c>
      <c r="AE324" s="1">
        <f>VLOOKUP(A324,'SegEnds_NonXtal_Prot#'!A:AL,16,FALSE)-VLOOKUP(A324,'SegEnds_NonXtal_Prot#'!A:AL,10,FALSE)</f>
        <v>45</v>
      </c>
      <c r="AF324" s="1" t="e">
        <f>VLOOKUP(A324,'SegEnds_NonXtal_Prot#'!A:AL,22,FALSE)-VLOOKUP(A324,'SegEnds_NonXtal_Prot#'!A:AL,19,FALSE)</f>
        <v>#VALUE!</v>
      </c>
      <c r="AG324" s="1">
        <f>VLOOKUP(A324,'SegEnds_NonXtal_Prot#'!A:AL,28,FALSE)-VLOOKUP(A324,'SegEnds_NonXtal_Prot#'!A:AL,25,FALSE)</f>
        <v>19</v>
      </c>
      <c r="AH324" s="1">
        <f>VLOOKUP(A324,'SegEnds_NonXtal_Prot#'!A:AL,28,FALSE)-VLOOKUP(A324,'SegEnds_NonXtal_Prot#'!A:AL,22,FALSE)</f>
        <v>43</v>
      </c>
      <c r="AI324" s="1">
        <f>VLOOKUP(A324,'SegEnds_NonXtal_Prot#'!A:AL,31,FALSE)-VLOOKUP(A324,'SegEnds_NonXtal_Prot#'!A:AL,28,FALSE)</f>
        <v>52</v>
      </c>
      <c r="AJ324" s="1">
        <f>VLOOKUP(A324,'SegEnds_NonXtal_Prot#'!A:AL,34,FALSE)-VLOOKUP(A324,'SegEnds_NonXtal_Prot#'!A:AL,31,FALSE)</f>
        <v>28</v>
      </c>
      <c r="AK324" s="1">
        <f>VLOOKUP(A324,'SegEnds_NonXtal_Prot#'!A:AL,37,FALSE)-VLOOKUP(A324,'SegEnds_NonXtal_Prot#'!A:AL,34,FALSE)</f>
        <v>10</v>
      </c>
      <c r="AL324" s="1" t="str">
        <f>IF(ISERROR(MATCH(A324,'SegEnds_Xtal_Prot#'!B:B, 0)), "NoXtal", "Xtal")</f>
        <v>NoXtal</v>
      </c>
    </row>
    <row r="325" spans="1:38" x14ac:dyDescent="0.2">
      <c r="A325" s="1" t="s">
        <v>1179</v>
      </c>
      <c r="B325" s="1" t="str">
        <f>VLOOKUP(A325,Xtal_Templ!A:B,2,FALSE)</f>
        <v>crfr1_human</v>
      </c>
      <c r="C325" s="5">
        <v>23</v>
      </c>
      <c r="D325" s="1">
        <f>VLOOKUP($B325&amp;"__wt",'SegEnds_Xtal_BW#'!$A:$Z,4,FALSE)</f>
        <v>60</v>
      </c>
      <c r="E325" s="1">
        <f>VLOOKUP($B325&amp;"__wt",'SegEnds_Xtal_BW#'!$A:$Z,5,FALSE)</f>
        <v>48</v>
      </c>
      <c r="F325" s="1">
        <f>VLOOKUP($B325&amp;"__wt",'SegEnds_Xtal_BW#'!$A:$Z,6,FALSE)</f>
        <v>51</v>
      </c>
      <c r="G325" s="1">
        <v>37</v>
      </c>
      <c r="H325" s="12">
        <v>63</v>
      </c>
      <c r="I325" s="1" t="str">
        <f>VLOOKUP($B325&amp;"__wt",'SegEnds_Xtal_BW#'!$A:$Z,9,FALSE)</f>
        <v>-</v>
      </c>
      <c r="J325" s="1" t="str">
        <f>VLOOKUP($B325&amp;"__wt",'SegEnds_Xtal_BW#'!$A:$Z,10,FALSE)</f>
        <v>-</v>
      </c>
      <c r="K325" s="12">
        <v>23</v>
      </c>
      <c r="L325" s="1">
        <f>VLOOKUP($B325&amp;"__wt",'SegEnds_Xtal_BW#'!$A:$Z,12,FALSE)</f>
        <v>56</v>
      </c>
      <c r="M325" s="1" t="str">
        <f>VLOOKUP($B325&amp;"__wt",'SegEnds_Xtal_BW#'!$A:$Z,13,FALSE)</f>
        <v>-</v>
      </c>
      <c r="N325" s="12" t="str">
        <f>VLOOKUP($B325&amp;"__wt",'SegEnds_Xtal_BW#'!$A:$Z,14,FALSE)</f>
        <v>-</v>
      </c>
      <c r="O325" s="87">
        <f>VLOOKUP($B325&amp;"__wt",'SegEnds_Xtal_BW#'!$A:$Z,15,FALSE)</f>
        <v>40</v>
      </c>
      <c r="P325" s="1">
        <f>VLOOKUP($B325&amp;"__wt",'SegEnds_Xtal_BW#'!$A:$Z,16,FALSE)</f>
        <v>68</v>
      </c>
      <c r="Q325" s="1">
        <f>VLOOKUP($B325&amp;"__wt",'SegEnds_Xtal_BW#'!$A:$Z,17,FALSE)</f>
        <v>50</v>
      </c>
      <c r="R325" s="1">
        <f>VLOOKUP($B325&amp;"__wt",'SegEnds_Xtal_BW#'!$A:$Z,18,FALSE)</f>
        <v>52</v>
      </c>
      <c r="S325" s="1">
        <v>36</v>
      </c>
      <c r="T325" s="1">
        <v>69</v>
      </c>
      <c r="U325" s="1">
        <v>29</v>
      </c>
      <c r="V325" s="1">
        <f>VLOOKUP($B325&amp;"__wt",'SegEnds_Xtal_BW#'!$A:$Z,22,FALSE)</f>
        <v>53</v>
      </c>
      <c r="W325" s="1">
        <v>31</v>
      </c>
      <c r="X325" s="1">
        <f>VLOOKUP($B325&amp;"__wt",'SegEnds_Xtal_BW#'!$A:$Z,24,FALSE)</f>
        <v>56</v>
      </c>
      <c r="Y325" s="1">
        <f>VLOOKUP($B325&amp;"__wt",'SegEnds_Xtal_BW#'!$A:$Z,25,FALSE)</f>
        <v>47</v>
      </c>
      <c r="Z325" s="1">
        <v>63</v>
      </c>
      <c r="AA325" s="27" t="str">
        <f>VLOOKUP(A325,Classification!A:B,2,FALSE)</f>
        <v>B2</v>
      </c>
      <c r="AB325" s="1">
        <f>VLOOKUP(A325,'SegEnds_NonXtal_Prot#'!A:AL,10,FALSE)-VLOOKUP(A325,'SegEnds_NonXtal_Prot#'!A:AL,4,FALSE)</f>
        <v>28</v>
      </c>
      <c r="AC325" s="1">
        <f>VLOOKUP(A325,'SegEnds_NonXtal_Prot#'!A:AL,10,FALSE)-VLOOKUP(A325,'SegEnds_NonXtal_Prot#'!A:AL,7,FALSE)</f>
        <v>15</v>
      </c>
      <c r="AD325" s="1" t="e">
        <f>VLOOKUP(A325,'SegEnds_NonXtal_Prot#'!A:AL,13,FALSE)-VLOOKUP(A325,'SegEnds_NonXtal_Prot#'!A:AL,10,FALSE)</f>
        <v>#VALUE!</v>
      </c>
      <c r="AE325" s="1">
        <f>VLOOKUP(A325,'SegEnds_NonXtal_Prot#'!A:AL,16,FALSE)-VLOOKUP(A325,'SegEnds_NonXtal_Prot#'!A:AL,10,FALSE)</f>
        <v>45</v>
      </c>
      <c r="AF325" s="1" t="e">
        <f>VLOOKUP(A325,'SegEnds_NonXtal_Prot#'!A:AL,22,FALSE)-VLOOKUP(A325,'SegEnds_NonXtal_Prot#'!A:AL,19,FALSE)</f>
        <v>#VALUE!</v>
      </c>
      <c r="AG325" s="1">
        <f>VLOOKUP(A325,'SegEnds_NonXtal_Prot#'!A:AL,28,FALSE)-VLOOKUP(A325,'SegEnds_NonXtal_Prot#'!A:AL,25,FALSE)</f>
        <v>19</v>
      </c>
      <c r="AH325" s="1">
        <f>VLOOKUP(A325,'SegEnds_NonXtal_Prot#'!A:AL,28,FALSE)-VLOOKUP(A325,'SegEnds_NonXtal_Prot#'!A:AL,22,FALSE)</f>
        <v>43</v>
      </c>
      <c r="AI325" s="1">
        <f>VLOOKUP(A325,'SegEnds_NonXtal_Prot#'!A:AL,31,FALSE)-VLOOKUP(A325,'SegEnds_NonXtal_Prot#'!A:AL,28,FALSE)</f>
        <v>52</v>
      </c>
      <c r="AJ325" s="1">
        <f>VLOOKUP(A325,'SegEnds_NonXtal_Prot#'!A:AL,34,FALSE)-VLOOKUP(A325,'SegEnds_NonXtal_Prot#'!A:AL,31,FALSE)</f>
        <v>28</v>
      </c>
      <c r="AK325" s="1">
        <f>VLOOKUP(A325,'SegEnds_NonXtal_Prot#'!A:AL,37,FALSE)-VLOOKUP(A325,'SegEnds_NonXtal_Prot#'!A:AL,34,FALSE)</f>
        <v>10</v>
      </c>
      <c r="AL325" s="1" t="str">
        <f>IF(ISERROR(MATCH(A325,'SegEnds_Xtal_Prot#'!B:B, 0)), "NoXtal", "Xtal")</f>
        <v>NoXtal</v>
      </c>
    </row>
    <row r="326" spans="1:38" x14ac:dyDescent="0.2">
      <c r="A326" s="1" t="s">
        <v>1192</v>
      </c>
      <c r="B326" s="1" t="str">
        <f>VLOOKUP(A326,Xtal_Templ!A:B,2,FALSE)</f>
        <v>crfr2_human</v>
      </c>
      <c r="C326" s="5">
        <v>23</v>
      </c>
      <c r="D326" s="1">
        <f>VLOOKUP($B326&amp;"__wt",'SegEnds_Xtal_BW#'!$A:$Z,4,FALSE)</f>
        <v>60</v>
      </c>
      <c r="E326" s="1">
        <f>VLOOKUP($B326&amp;"__wt",'SegEnds_Xtal_BW#'!$A:$Z,5,FALSE)</f>
        <v>48</v>
      </c>
      <c r="F326" s="1">
        <f>VLOOKUP($B326&amp;"__wt",'SegEnds_Xtal_BW#'!$A:$Z,6,FALSE)</f>
        <v>51</v>
      </c>
      <c r="G326" s="1">
        <v>37</v>
      </c>
      <c r="H326" s="12">
        <v>63</v>
      </c>
      <c r="I326" s="1" t="str">
        <f>VLOOKUP($B326&amp;"__wt",'SegEnds_Xtal_BW#'!$A:$Z,9,FALSE)</f>
        <v>-</v>
      </c>
      <c r="J326" s="1" t="str">
        <f>VLOOKUP($B326&amp;"__wt",'SegEnds_Xtal_BW#'!$A:$Z,10,FALSE)</f>
        <v>-</v>
      </c>
      <c r="K326" s="12">
        <v>23</v>
      </c>
      <c r="L326" s="1">
        <f>VLOOKUP($B326&amp;"__wt",'SegEnds_Xtal_BW#'!$A:$Z,12,FALSE)</f>
        <v>56</v>
      </c>
      <c r="M326" s="1" t="str">
        <f>VLOOKUP($B326&amp;"__wt",'SegEnds_Xtal_BW#'!$A:$Z,13,FALSE)</f>
        <v>-</v>
      </c>
      <c r="N326" s="12" t="str">
        <f>VLOOKUP($B326&amp;"__wt",'SegEnds_Xtal_BW#'!$A:$Z,14,FALSE)</f>
        <v>-</v>
      </c>
      <c r="O326" s="87">
        <f>VLOOKUP($B326&amp;"__wt",'SegEnds_Xtal_BW#'!$A:$Z,15,FALSE)</f>
        <v>41</v>
      </c>
      <c r="P326" s="1">
        <f>VLOOKUP($B326&amp;"__wt",'SegEnds_Xtal_BW#'!$A:$Z,16,FALSE)</f>
        <v>68</v>
      </c>
      <c r="Q326" s="1">
        <f>VLOOKUP($B326&amp;"__wt",'SegEnds_Xtal_BW#'!$A:$Z,17,FALSE)</f>
        <v>50</v>
      </c>
      <c r="R326" s="1">
        <f>VLOOKUP($B326&amp;"__wt",'SegEnds_Xtal_BW#'!$A:$Z,18,FALSE)</f>
        <v>52</v>
      </c>
      <c r="S326" s="1">
        <v>36</v>
      </c>
      <c r="T326" s="1">
        <v>69</v>
      </c>
      <c r="U326" s="1">
        <v>29</v>
      </c>
      <c r="V326" s="1">
        <f>VLOOKUP($B326&amp;"__wt",'SegEnds_Xtal_BW#'!$A:$Z,22,FALSE)</f>
        <v>53</v>
      </c>
      <c r="W326" s="1">
        <v>31</v>
      </c>
      <c r="X326" s="1">
        <f>VLOOKUP($B326&amp;"__wt",'SegEnds_Xtal_BW#'!$A:$Z,24,FALSE)</f>
        <v>56</v>
      </c>
      <c r="Y326" s="1">
        <f>VLOOKUP($B326&amp;"__wt",'SegEnds_Xtal_BW#'!$A:$Z,25,FALSE)</f>
        <v>47</v>
      </c>
      <c r="Z326" s="1">
        <v>63</v>
      </c>
      <c r="AA326" s="27" t="str">
        <f>VLOOKUP(A326,Classification!A:B,2,FALSE)</f>
        <v>B2</v>
      </c>
      <c r="AB326" s="1">
        <f>VLOOKUP(A326,'SegEnds_NonXtal_Prot#'!A:AL,10,FALSE)-VLOOKUP(A326,'SegEnds_NonXtal_Prot#'!A:AL,4,FALSE)</f>
        <v>28</v>
      </c>
      <c r="AC326" s="1">
        <f>VLOOKUP(A326,'SegEnds_NonXtal_Prot#'!A:AL,10,FALSE)-VLOOKUP(A326,'SegEnds_NonXtal_Prot#'!A:AL,7,FALSE)</f>
        <v>15</v>
      </c>
      <c r="AD326" s="1" t="e">
        <f>VLOOKUP(A326,'SegEnds_NonXtal_Prot#'!A:AL,13,FALSE)-VLOOKUP(A326,'SegEnds_NonXtal_Prot#'!A:AL,10,FALSE)</f>
        <v>#VALUE!</v>
      </c>
      <c r="AE326" s="1">
        <f>VLOOKUP(A326,'SegEnds_NonXtal_Prot#'!A:AL,16,FALSE)-VLOOKUP(A326,'SegEnds_NonXtal_Prot#'!A:AL,10,FALSE)</f>
        <v>45</v>
      </c>
      <c r="AF326" s="1" t="e">
        <f>VLOOKUP(A326,'SegEnds_NonXtal_Prot#'!A:AL,22,FALSE)-VLOOKUP(A326,'SegEnds_NonXtal_Prot#'!A:AL,19,FALSE)</f>
        <v>#VALUE!</v>
      </c>
      <c r="AG326" s="1">
        <f>VLOOKUP(A326,'SegEnds_NonXtal_Prot#'!A:AL,28,FALSE)-VLOOKUP(A326,'SegEnds_NonXtal_Prot#'!A:AL,25,FALSE)</f>
        <v>19</v>
      </c>
      <c r="AH326" s="1">
        <f>VLOOKUP(A326,'SegEnds_NonXtal_Prot#'!A:AL,28,FALSE)-VLOOKUP(A326,'SegEnds_NonXtal_Prot#'!A:AL,22,FALSE)</f>
        <v>43</v>
      </c>
      <c r="AI326" s="1">
        <f>VLOOKUP(A326,'SegEnds_NonXtal_Prot#'!A:AL,31,FALSE)-VLOOKUP(A326,'SegEnds_NonXtal_Prot#'!A:AL,28,FALSE)</f>
        <v>52</v>
      </c>
      <c r="AJ326" s="1">
        <f>VLOOKUP(A326,'SegEnds_NonXtal_Prot#'!A:AL,34,FALSE)-VLOOKUP(A326,'SegEnds_NonXtal_Prot#'!A:AL,31,FALSE)</f>
        <v>28</v>
      </c>
      <c r="AK326" s="1">
        <f>VLOOKUP(A326,'SegEnds_NonXtal_Prot#'!A:AL,37,FALSE)-VLOOKUP(A326,'SegEnds_NonXtal_Prot#'!A:AL,34,FALSE)</f>
        <v>10</v>
      </c>
      <c r="AL326" s="1" t="str">
        <f>IF(ISERROR(MATCH(A326,'SegEnds_Xtal_Prot#'!B:B, 0)), "NoXtal", "Xtal")</f>
        <v>NoXtal</v>
      </c>
    </row>
    <row r="327" spans="1:38" x14ac:dyDescent="0.2">
      <c r="A327" s="1" t="s">
        <v>1193</v>
      </c>
      <c r="B327" s="1" t="str">
        <f>VLOOKUP(A327,Xtal_Templ!A:B,2,FALSE)</f>
        <v>crfr2_human</v>
      </c>
      <c r="C327" s="5">
        <v>23</v>
      </c>
      <c r="D327" s="1">
        <f>VLOOKUP($B327&amp;"__wt",'SegEnds_Xtal_BW#'!$A:$Z,4,FALSE)</f>
        <v>60</v>
      </c>
      <c r="E327" s="1">
        <f>VLOOKUP($B327&amp;"__wt",'SegEnds_Xtal_BW#'!$A:$Z,5,FALSE)</f>
        <v>48</v>
      </c>
      <c r="F327" s="1">
        <f>VLOOKUP($B327&amp;"__wt",'SegEnds_Xtal_BW#'!$A:$Z,6,FALSE)</f>
        <v>51</v>
      </c>
      <c r="G327" s="1">
        <v>37</v>
      </c>
      <c r="H327" s="12">
        <v>63</v>
      </c>
      <c r="I327" s="1" t="str">
        <f>VLOOKUP($B327&amp;"__wt",'SegEnds_Xtal_BW#'!$A:$Z,9,FALSE)</f>
        <v>-</v>
      </c>
      <c r="J327" s="1" t="str">
        <f>VLOOKUP($B327&amp;"__wt",'SegEnds_Xtal_BW#'!$A:$Z,10,FALSE)</f>
        <v>-</v>
      </c>
      <c r="K327" s="12">
        <v>23</v>
      </c>
      <c r="L327" s="1">
        <f>VLOOKUP($B327&amp;"__wt",'SegEnds_Xtal_BW#'!$A:$Z,12,FALSE)</f>
        <v>56</v>
      </c>
      <c r="M327" s="1" t="str">
        <f>VLOOKUP($B327&amp;"__wt",'SegEnds_Xtal_BW#'!$A:$Z,13,FALSE)</f>
        <v>-</v>
      </c>
      <c r="N327" s="12" t="str">
        <f>VLOOKUP($B327&amp;"__wt",'SegEnds_Xtal_BW#'!$A:$Z,14,FALSE)</f>
        <v>-</v>
      </c>
      <c r="O327" s="87">
        <f>VLOOKUP($B327&amp;"__wt",'SegEnds_Xtal_BW#'!$A:$Z,15,FALSE)</f>
        <v>41</v>
      </c>
      <c r="P327" s="1">
        <f>VLOOKUP($B327&amp;"__wt",'SegEnds_Xtal_BW#'!$A:$Z,16,FALSE)</f>
        <v>68</v>
      </c>
      <c r="Q327" s="1">
        <f>VLOOKUP($B327&amp;"__wt",'SegEnds_Xtal_BW#'!$A:$Z,17,FALSE)</f>
        <v>50</v>
      </c>
      <c r="R327" s="1">
        <f>VLOOKUP($B327&amp;"__wt",'SegEnds_Xtal_BW#'!$A:$Z,18,FALSE)</f>
        <v>52</v>
      </c>
      <c r="S327" s="1">
        <v>36</v>
      </c>
      <c r="T327" s="1">
        <v>69</v>
      </c>
      <c r="U327" s="1">
        <v>29</v>
      </c>
      <c r="V327" s="1">
        <f>VLOOKUP($B327&amp;"__wt",'SegEnds_Xtal_BW#'!$A:$Z,22,FALSE)</f>
        <v>53</v>
      </c>
      <c r="W327" s="1">
        <v>31</v>
      </c>
      <c r="X327" s="1">
        <f>VLOOKUP($B327&amp;"__wt",'SegEnds_Xtal_BW#'!$A:$Z,24,FALSE)</f>
        <v>56</v>
      </c>
      <c r="Y327" s="1">
        <f>VLOOKUP($B327&amp;"__wt",'SegEnds_Xtal_BW#'!$A:$Z,25,FALSE)</f>
        <v>47</v>
      </c>
      <c r="Z327" s="1">
        <v>63</v>
      </c>
      <c r="AA327" s="27" t="str">
        <f>VLOOKUP(A327,Classification!A:B,2,FALSE)</f>
        <v>B2</v>
      </c>
      <c r="AB327" s="1">
        <f>VLOOKUP(A327,'SegEnds_NonXtal_Prot#'!A:AL,10,FALSE)-VLOOKUP(A327,'SegEnds_NonXtal_Prot#'!A:AL,4,FALSE)</f>
        <v>28</v>
      </c>
      <c r="AC327" s="1" t="e">
        <f>VLOOKUP(A327,'SegEnds_NonXtal_Prot#'!A:AL,10,FALSE)-VLOOKUP(A327,'SegEnds_NonXtal_Prot#'!A:AL,7,FALSE)</f>
        <v>#VALUE!</v>
      </c>
      <c r="AD327" s="1" t="e">
        <f>VLOOKUP(A327,'SegEnds_NonXtal_Prot#'!A:AL,13,FALSE)-VLOOKUP(A327,'SegEnds_NonXtal_Prot#'!A:AL,10,FALSE)</f>
        <v>#VALUE!</v>
      </c>
      <c r="AE327" s="1">
        <f>VLOOKUP(A327,'SegEnds_NonXtal_Prot#'!A:AL,16,FALSE)-VLOOKUP(A327,'SegEnds_NonXtal_Prot#'!A:AL,10,FALSE)</f>
        <v>45</v>
      </c>
      <c r="AF327" s="1" t="e">
        <f>VLOOKUP(A327,'SegEnds_NonXtal_Prot#'!A:AL,22,FALSE)-VLOOKUP(A327,'SegEnds_NonXtal_Prot#'!A:AL,19,FALSE)</f>
        <v>#VALUE!</v>
      </c>
      <c r="AG327" s="1">
        <f>VLOOKUP(A327,'SegEnds_NonXtal_Prot#'!A:AL,28,FALSE)-VLOOKUP(A327,'SegEnds_NonXtal_Prot#'!A:AL,25,FALSE)</f>
        <v>19</v>
      </c>
      <c r="AH327" s="1">
        <f>VLOOKUP(A327,'SegEnds_NonXtal_Prot#'!A:AL,28,FALSE)-VLOOKUP(A327,'SegEnds_NonXtal_Prot#'!A:AL,22,FALSE)</f>
        <v>43</v>
      </c>
      <c r="AI327" s="1">
        <f>VLOOKUP(A327,'SegEnds_NonXtal_Prot#'!A:AL,31,FALSE)-VLOOKUP(A327,'SegEnds_NonXtal_Prot#'!A:AL,28,FALSE)</f>
        <v>52</v>
      </c>
      <c r="AJ327" s="1">
        <f>VLOOKUP(A327,'SegEnds_NonXtal_Prot#'!A:AL,34,FALSE)-VLOOKUP(A327,'SegEnds_NonXtal_Prot#'!A:AL,31,FALSE)</f>
        <v>28</v>
      </c>
      <c r="AK327" s="1">
        <f>VLOOKUP(A327,'SegEnds_NonXtal_Prot#'!A:AL,37,FALSE)-VLOOKUP(A327,'SegEnds_NonXtal_Prot#'!A:AL,34,FALSE)</f>
        <v>10</v>
      </c>
      <c r="AL327" s="1" t="str">
        <f>IF(ISERROR(MATCH(A327,'SegEnds_Xtal_Prot#'!B:B, 0)), "NoXtal", "Xtal")</f>
        <v>NoXtal</v>
      </c>
    </row>
    <row r="328" spans="1:38" x14ac:dyDescent="0.2">
      <c r="A328" s="1" t="s">
        <v>1194</v>
      </c>
      <c r="B328" s="1" t="str">
        <f>VLOOKUP(A328,Xtal_Templ!A:B,2,FALSE)</f>
        <v>crfr2_human</v>
      </c>
      <c r="C328" s="5">
        <v>23</v>
      </c>
      <c r="D328" s="1">
        <f>VLOOKUP($B328&amp;"__wt",'SegEnds_Xtal_BW#'!$A:$Z,4,FALSE)</f>
        <v>60</v>
      </c>
      <c r="E328" s="1">
        <f>VLOOKUP($B328&amp;"__wt",'SegEnds_Xtal_BW#'!$A:$Z,5,FALSE)</f>
        <v>48</v>
      </c>
      <c r="F328" s="1">
        <f>VLOOKUP($B328&amp;"__wt",'SegEnds_Xtal_BW#'!$A:$Z,6,FALSE)</f>
        <v>51</v>
      </c>
      <c r="G328" s="1">
        <v>37</v>
      </c>
      <c r="H328" s="12">
        <v>63</v>
      </c>
      <c r="I328" s="1" t="str">
        <f>VLOOKUP($B328&amp;"__wt",'SegEnds_Xtal_BW#'!$A:$Z,9,FALSE)</f>
        <v>-</v>
      </c>
      <c r="J328" s="1" t="str">
        <f>VLOOKUP($B328&amp;"__wt",'SegEnds_Xtal_BW#'!$A:$Z,10,FALSE)</f>
        <v>-</v>
      </c>
      <c r="K328" s="12">
        <v>23</v>
      </c>
      <c r="L328" s="1">
        <f>VLOOKUP($B328&amp;"__wt",'SegEnds_Xtal_BW#'!$A:$Z,12,FALSE)</f>
        <v>56</v>
      </c>
      <c r="M328" s="1" t="str">
        <f>VLOOKUP($B328&amp;"__wt",'SegEnds_Xtal_BW#'!$A:$Z,13,FALSE)</f>
        <v>-</v>
      </c>
      <c r="N328" s="12" t="str">
        <f>VLOOKUP($B328&amp;"__wt",'SegEnds_Xtal_BW#'!$A:$Z,14,FALSE)</f>
        <v>-</v>
      </c>
      <c r="O328" s="87">
        <f>VLOOKUP($B328&amp;"__wt",'SegEnds_Xtal_BW#'!$A:$Z,15,FALSE)</f>
        <v>41</v>
      </c>
      <c r="P328" s="1">
        <f>VLOOKUP($B328&amp;"__wt",'SegEnds_Xtal_BW#'!$A:$Z,16,FALSE)</f>
        <v>68</v>
      </c>
      <c r="Q328" s="1">
        <f>VLOOKUP($B328&amp;"__wt",'SegEnds_Xtal_BW#'!$A:$Z,17,FALSE)</f>
        <v>50</v>
      </c>
      <c r="R328" s="1">
        <f>VLOOKUP($B328&amp;"__wt",'SegEnds_Xtal_BW#'!$A:$Z,18,FALSE)</f>
        <v>52</v>
      </c>
      <c r="S328" s="1">
        <v>36</v>
      </c>
      <c r="T328" s="1">
        <v>69</v>
      </c>
      <c r="U328" s="1">
        <v>29</v>
      </c>
      <c r="V328" s="1">
        <f>VLOOKUP($B328&amp;"__wt",'SegEnds_Xtal_BW#'!$A:$Z,22,FALSE)</f>
        <v>53</v>
      </c>
      <c r="W328" s="1">
        <v>31</v>
      </c>
      <c r="X328" s="1">
        <f>VLOOKUP($B328&amp;"__wt",'SegEnds_Xtal_BW#'!$A:$Z,24,FALSE)</f>
        <v>56</v>
      </c>
      <c r="Y328" s="1">
        <f>VLOOKUP($B328&amp;"__wt",'SegEnds_Xtal_BW#'!$A:$Z,25,FALSE)</f>
        <v>47</v>
      </c>
      <c r="Z328" s="1">
        <v>63</v>
      </c>
      <c r="AA328" s="27" t="str">
        <f>VLOOKUP(A328,Classification!A:B,2,FALSE)</f>
        <v>B2</v>
      </c>
      <c r="AB328" s="1">
        <f>VLOOKUP(A328,'SegEnds_NonXtal_Prot#'!A:AL,10,FALSE)-VLOOKUP(A328,'SegEnds_NonXtal_Prot#'!A:AL,4,FALSE)</f>
        <v>28</v>
      </c>
      <c r="AC328" s="1">
        <f>VLOOKUP(A328,'SegEnds_NonXtal_Prot#'!A:AL,10,FALSE)-VLOOKUP(A328,'SegEnds_NonXtal_Prot#'!A:AL,7,FALSE)</f>
        <v>15</v>
      </c>
      <c r="AD328" s="1" t="e">
        <f>VLOOKUP(A328,'SegEnds_NonXtal_Prot#'!A:AL,13,FALSE)-VLOOKUP(A328,'SegEnds_NonXtal_Prot#'!A:AL,10,FALSE)</f>
        <v>#VALUE!</v>
      </c>
      <c r="AE328" s="1">
        <f>VLOOKUP(A328,'SegEnds_NonXtal_Prot#'!A:AL,16,FALSE)-VLOOKUP(A328,'SegEnds_NonXtal_Prot#'!A:AL,10,FALSE)</f>
        <v>45</v>
      </c>
      <c r="AF328" s="1" t="e">
        <f>VLOOKUP(A328,'SegEnds_NonXtal_Prot#'!A:AL,22,FALSE)-VLOOKUP(A328,'SegEnds_NonXtal_Prot#'!A:AL,19,FALSE)</f>
        <v>#VALUE!</v>
      </c>
      <c r="AG328" s="1">
        <f>VLOOKUP(A328,'SegEnds_NonXtal_Prot#'!A:AL,28,FALSE)-VLOOKUP(A328,'SegEnds_NonXtal_Prot#'!A:AL,25,FALSE)</f>
        <v>19</v>
      </c>
      <c r="AH328" s="1">
        <f>VLOOKUP(A328,'SegEnds_NonXtal_Prot#'!A:AL,28,FALSE)-VLOOKUP(A328,'SegEnds_NonXtal_Prot#'!A:AL,22,FALSE)</f>
        <v>43</v>
      </c>
      <c r="AI328" s="1">
        <f>VLOOKUP(A328,'SegEnds_NonXtal_Prot#'!A:AL,31,FALSE)-VLOOKUP(A328,'SegEnds_NonXtal_Prot#'!A:AL,28,FALSE)</f>
        <v>52</v>
      </c>
      <c r="AJ328" s="1">
        <f>VLOOKUP(A328,'SegEnds_NonXtal_Prot#'!A:AL,34,FALSE)-VLOOKUP(A328,'SegEnds_NonXtal_Prot#'!A:AL,31,FALSE)</f>
        <v>28</v>
      </c>
      <c r="AK328" s="1">
        <f>VLOOKUP(A328,'SegEnds_NonXtal_Prot#'!A:AL,37,FALSE)-VLOOKUP(A328,'SegEnds_NonXtal_Prot#'!A:AL,34,FALSE)</f>
        <v>10</v>
      </c>
      <c r="AL328" s="1" t="str">
        <f>IF(ISERROR(MATCH(A328,'SegEnds_Xtal_Prot#'!B:B, 0)), "NoXtal", "Xtal")</f>
        <v>NoXtal</v>
      </c>
    </row>
    <row r="329" spans="1:38" x14ac:dyDescent="0.2">
      <c r="A329" s="1" t="s">
        <v>1195</v>
      </c>
      <c r="B329" s="1" t="str">
        <f>VLOOKUP(A329,Xtal_Templ!A:B,2,FALSE)</f>
        <v>crfr1_human</v>
      </c>
      <c r="C329" s="5">
        <v>23</v>
      </c>
      <c r="D329" s="1">
        <f>VLOOKUP($B329&amp;"__wt",'SegEnds_Xtal_BW#'!$A:$Z,4,FALSE)</f>
        <v>60</v>
      </c>
      <c r="E329" s="1">
        <f>VLOOKUP($B329&amp;"__wt",'SegEnds_Xtal_BW#'!$A:$Z,5,FALSE)</f>
        <v>48</v>
      </c>
      <c r="F329" s="1">
        <f>VLOOKUP($B329&amp;"__wt",'SegEnds_Xtal_BW#'!$A:$Z,6,FALSE)</f>
        <v>51</v>
      </c>
      <c r="G329" s="1">
        <v>37</v>
      </c>
      <c r="H329" s="12">
        <v>63</v>
      </c>
      <c r="I329" s="1" t="str">
        <f>VLOOKUP($B329&amp;"__wt",'SegEnds_Xtal_BW#'!$A:$Z,9,FALSE)</f>
        <v>-</v>
      </c>
      <c r="J329" s="1" t="str">
        <f>VLOOKUP($B329&amp;"__wt",'SegEnds_Xtal_BW#'!$A:$Z,10,FALSE)</f>
        <v>-</v>
      </c>
      <c r="K329" s="12">
        <v>23</v>
      </c>
      <c r="L329" s="1">
        <f>VLOOKUP($B329&amp;"__wt",'SegEnds_Xtal_BW#'!$A:$Z,12,FALSE)</f>
        <v>56</v>
      </c>
      <c r="M329" s="1" t="str">
        <f>VLOOKUP($B329&amp;"__wt",'SegEnds_Xtal_BW#'!$A:$Z,13,FALSE)</f>
        <v>-</v>
      </c>
      <c r="N329" s="12" t="str">
        <f>VLOOKUP($B329&amp;"__wt",'SegEnds_Xtal_BW#'!$A:$Z,14,FALSE)</f>
        <v>-</v>
      </c>
      <c r="O329" s="87">
        <f>VLOOKUP($B329&amp;"__wt",'SegEnds_Xtal_BW#'!$A:$Z,15,FALSE)</f>
        <v>40</v>
      </c>
      <c r="P329" s="1">
        <f>VLOOKUP($B329&amp;"__wt",'SegEnds_Xtal_BW#'!$A:$Z,16,FALSE)</f>
        <v>68</v>
      </c>
      <c r="Q329" s="1">
        <f>VLOOKUP($B329&amp;"__wt",'SegEnds_Xtal_BW#'!$A:$Z,17,FALSE)</f>
        <v>50</v>
      </c>
      <c r="R329" s="1">
        <f>VLOOKUP($B329&amp;"__wt",'SegEnds_Xtal_BW#'!$A:$Z,18,FALSE)</f>
        <v>52</v>
      </c>
      <c r="S329" s="1">
        <v>36</v>
      </c>
      <c r="T329" s="1">
        <v>69</v>
      </c>
      <c r="U329" s="1">
        <v>29</v>
      </c>
      <c r="V329" s="1">
        <f>VLOOKUP($B329&amp;"__wt",'SegEnds_Xtal_BW#'!$A:$Z,22,FALSE)</f>
        <v>53</v>
      </c>
      <c r="W329" s="1">
        <v>31</v>
      </c>
      <c r="X329" s="1">
        <f>VLOOKUP($B329&amp;"__wt",'SegEnds_Xtal_BW#'!$A:$Z,24,FALSE)</f>
        <v>56</v>
      </c>
      <c r="Y329" s="1">
        <f>VLOOKUP($B329&amp;"__wt",'SegEnds_Xtal_BW#'!$A:$Z,25,FALSE)</f>
        <v>47</v>
      </c>
      <c r="Z329" s="1">
        <v>63</v>
      </c>
      <c r="AA329" s="27" t="str">
        <f>VLOOKUP(A329,Classification!A:B,2,FALSE)</f>
        <v>B2</v>
      </c>
      <c r="AB329" s="1">
        <f>VLOOKUP(A329,'SegEnds_NonXtal_Prot#'!A:AL,10,FALSE)-VLOOKUP(A329,'SegEnds_NonXtal_Prot#'!A:AL,4,FALSE)</f>
        <v>28</v>
      </c>
      <c r="AC329" s="1" t="e">
        <f>VLOOKUP(A329,'SegEnds_NonXtal_Prot#'!A:AL,10,FALSE)-VLOOKUP(A329,'SegEnds_NonXtal_Prot#'!A:AL,7,FALSE)</f>
        <v>#VALUE!</v>
      </c>
      <c r="AD329" s="1" t="e">
        <f>VLOOKUP(A329,'SegEnds_NonXtal_Prot#'!A:AL,13,FALSE)-VLOOKUP(A329,'SegEnds_NonXtal_Prot#'!A:AL,10,FALSE)</f>
        <v>#VALUE!</v>
      </c>
      <c r="AE329" s="1">
        <f>VLOOKUP(A329,'SegEnds_NonXtal_Prot#'!A:AL,16,FALSE)-VLOOKUP(A329,'SegEnds_NonXtal_Prot#'!A:AL,10,FALSE)</f>
        <v>45</v>
      </c>
      <c r="AF329" s="1" t="e">
        <f>VLOOKUP(A329,'SegEnds_NonXtal_Prot#'!A:AL,22,FALSE)-VLOOKUP(A329,'SegEnds_NonXtal_Prot#'!A:AL,19,FALSE)</f>
        <v>#VALUE!</v>
      </c>
      <c r="AG329" s="1">
        <f>VLOOKUP(A329,'SegEnds_NonXtal_Prot#'!A:AL,28,FALSE)-VLOOKUP(A329,'SegEnds_NonXtal_Prot#'!A:AL,25,FALSE)</f>
        <v>19</v>
      </c>
      <c r="AH329" s="1">
        <f>VLOOKUP(A329,'SegEnds_NonXtal_Prot#'!A:AL,28,FALSE)-VLOOKUP(A329,'SegEnds_NonXtal_Prot#'!A:AL,22,FALSE)</f>
        <v>43</v>
      </c>
      <c r="AI329" s="1">
        <f>VLOOKUP(A329,'SegEnds_NonXtal_Prot#'!A:AL,31,FALSE)-VLOOKUP(A329,'SegEnds_NonXtal_Prot#'!A:AL,28,FALSE)</f>
        <v>52</v>
      </c>
      <c r="AJ329" s="1">
        <f>VLOOKUP(A329,'SegEnds_NonXtal_Prot#'!A:AL,34,FALSE)-VLOOKUP(A329,'SegEnds_NonXtal_Prot#'!A:AL,31,FALSE)</f>
        <v>28</v>
      </c>
      <c r="AK329" s="1">
        <f>VLOOKUP(A329,'SegEnds_NonXtal_Prot#'!A:AL,37,FALSE)-VLOOKUP(A329,'SegEnds_NonXtal_Prot#'!A:AL,34,FALSE)</f>
        <v>10</v>
      </c>
      <c r="AL329" s="1" t="str">
        <f>IF(ISERROR(MATCH(A329,'SegEnds_Xtal_Prot#'!B:B, 0)), "NoXtal", "Xtal")</f>
        <v>NoXtal</v>
      </c>
    </row>
    <row r="330" spans="1:38" x14ac:dyDescent="0.2">
      <c r="A330" s="4" t="s">
        <v>1675</v>
      </c>
      <c r="B330" s="4" t="str">
        <f>VLOOKUP(A330,Xtal_Templ!A:B,2,FALSE)</f>
        <v>glp1r_human</v>
      </c>
      <c r="C330" s="5">
        <v>23</v>
      </c>
      <c r="D330" s="4">
        <f>VLOOKUP($B330&amp;"__wt",'SegEnds_Xtal_BW#'!$A:$Z,4,FALSE)</f>
        <v>60</v>
      </c>
      <c r="E330" s="4">
        <f>VLOOKUP($B330&amp;"__wt",'SegEnds_Xtal_BW#'!$A:$Z,5,FALSE)</f>
        <v>48</v>
      </c>
      <c r="F330" s="4">
        <f>VLOOKUP($B330&amp;"__wt",'SegEnds_Xtal_BW#'!$A:$Z,6,FALSE)</f>
        <v>51</v>
      </c>
      <c r="G330" s="4">
        <v>37</v>
      </c>
      <c r="H330" s="11">
        <v>63</v>
      </c>
      <c r="I330" s="4" t="str">
        <f>VLOOKUP($B330&amp;"__wt",'SegEnds_Xtal_BW#'!$A:$Z,9,FALSE)</f>
        <v>-</v>
      </c>
      <c r="J330" s="4" t="str">
        <f>VLOOKUP($B330&amp;"__wt",'SegEnds_Xtal_BW#'!$A:$Z,10,FALSE)</f>
        <v>-</v>
      </c>
      <c r="K330" s="11">
        <v>23</v>
      </c>
      <c r="L330" s="4">
        <f>VLOOKUP($B330&amp;"__wt",'SegEnds_Xtal_BW#'!$A:$Z,12,FALSE)</f>
        <v>56</v>
      </c>
      <c r="M330" s="4" t="str">
        <f>VLOOKUP($B330&amp;"__wt",'SegEnds_Xtal_BW#'!$A:$Z,13,FALSE)</f>
        <v>-</v>
      </c>
      <c r="N330" s="11" t="str">
        <f>VLOOKUP($B330&amp;"__wt",'SegEnds_Xtal_BW#'!$A:$Z,14,FALSE)</f>
        <v>-</v>
      </c>
      <c r="O330" s="88">
        <f>VLOOKUP($B330&amp;"__wt",'SegEnds_Xtal_BW#'!$A:$Z,15,FALSE)</f>
        <v>38</v>
      </c>
      <c r="P330" s="4">
        <f>VLOOKUP($B330&amp;"__wt",'SegEnds_Xtal_BW#'!$A:$Z,16,FALSE)</f>
        <v>68</v>
      </c>
      <c r="Q330" s="4">
        <f>VLOOKUP($B330&amp;"__wt",'SegEnds_Xtal_BW#'!$A:$Z,17,FALSE)</f>
        <v>50</v>
      </c>
      <c r="R330" s="4">
        <f>VLOOKUP($B330&amp;"__wt",'SegEnds_Xtal_BW#'!$A:$Z,18,FALSE)</f>
        <v>52</v>
      </c>
      <c r="S330" s="4">
        <v>36</v>
      </c>
      <c r="T330" s="4">
        <v>69</v>
      </c>
      <c r="U330" s="4">
        <v>29</v>
      </c>
      <c r="V330" s="4">
        <f>VLOOKUP($B330&amp;"__wt",'SegEnds_Xtal_BW#'!$A:$Z,22,FALSE)</f>
        <v>53</v>
      </c>
      <c r="W330" s="4">
        <v>31</v>
      </c>
      <c r="X330" s="4">
        <f>VLOOKUP($B330&amp;"__wt",'SegEnds_Xtal_BW#'!$A:$Z,24,FALSE)</f>
        <v>56</v>
      </c>
      <c r="Y330" s="4">
        <f>VLOOKUP($B330&amp;"__wt",'SegEnds_Xtal_BW#'!$A:$Z,25,FALSE)</f>
        <v>47</v>
      </c>
      <c r="Z330" s="4">
        <v>63</v>
      </c>
      <c r="AA330" s="27" t="str">
        <f>VLOOKUP(A330,Classification!A:B,2,FALSE)</f>
        <v>B2</v>
      </c>
      <c r="AB330" s="1">
        <f>VLOOKUP(A330,'SegEnds_NonXtal_Prot#'!A:AL,10,FALSE)-VLOOKUP(A330,'SegEnds_NonXtal_Prot#'!A:AL,4,FALSE)</f>
        <v>28</v>
      </c>
      <c r="AC330" s="4" t="e">
        <f>VLOOKUP(A330,'SegEnds_NonXtal_Prot#'!A:AL,10,FALSE)-VLOOKUP(A330,'SegEnds_NonXtal_Prot#'!A:AL,7,FALSE)</f>
        <v>#VALUE!</v>
      </c>
      <c r="AD330" s="4" t="e">
        <f>VLOOKUP(A330,'SegEnds_NonXtal_Prot#'!A:AL,13,FALSE)-VLOOKUP(A330,'SegEnds_NonXtal_Prot#'!A:AL,10,FALSE)</f>
        <v>#VALUE!</v>
      </c>
      <c r="AE330" s="4">
        <f>VLOOKUP(A330,'SegEnds_NonXtal_Prot#'!A:AL,16,FALSE)-VLOOKUP(A330,'SegEnds_NonXtal_Prot#'!A:AL,10,FALSE)</f>
        <v>47</v>
      </c>
      <c r="AF330" s="1" t="e">
        <f>VLOOKUP(A330,'SegEnds_NonXtal_Prot#'!A:AL,22,FALSE)-VLOOKUP(A330,'SegEnds_NonXtal_Prot#'!A:AL,19,FALSE)</f>
        <v>#VALUE!</v>
      </c>
      <c r="AG330" s="4">
        <f>VLOOKUP(A330,'SegEnds_NonXtal_Prot#'!A:AL,28,FALSE)-VLOOKUP(A330,'SegEnds_NonXtal_Prot#'!A:AL,25,FALSE)</f>
        <v>19</v>
      </c>
      <c r="AH330" s="1">
        <f>VLOOKUP(A330,'SegEnds_NonXtal_Prot#'!A:AL,28,FALSE)-VLOOKUP(A330,'SegEnds_NonXtal_Prot#'!A:AL,22,FALSE)</f>
        <v>43</v>
      </c>
      <c r="AI330" s="4">
        <f>VLOOKUP(A330,'SegEnds_NonXtal_Prot#'!A:AL,31,FALSE)-VLOOKUP(A330,'SegEnds_NonXtal_Prot#'!A:AL,28,FALSE)</f>
        <v>52</v>
      </c>
      <c r="AJ330" s="4">
        <f>VLOOKUP(A330,'SegEnds_NonXtal_Prot#'!A:AL,34,FALSE)-VLOOKUP(A330,'SegEnds_NonXtal_Prot#'!A:AL,31,FALSE)</f>
        <v>28</v>
      </c>
      <c r="AK330" s="1">
        <f>VLOOKUP(A330,'SegEnds_NonXtal_Prot#'!A:AL,37,FALSE)-VLOOKUP(A330,'SegEnds_NonXtal_Prot#'!A:AL,34,FALSE)</f>
        <v>10</v>
      </c>
      <c r="AL330" s="1" t="str">
        <f>IF(ISERROR(MATCH(A330,'SegEnds_Xtal_Prot#'!B:B, 0)), "NoXtal", "Xtal")</f>
        <v>NoXtal</v>
      </c>
    </row>
    <row r="331" spans="1:38" x14ac:dyDescent="0.2">
      <c r="A331" s="1" t="s">
        <v>413</v>
      </c>
      <c r="B331" s="1" t="str">
        <f>VLOOKUP(A331,Xtal_Templ!A:B,2,FALSE)</f>
        <v>calcr_human</v>
      </c>
      <c r="C331" s="5">
        <v>23</v>
      </c>
      <c r="D331" s="1">
        <f>VLOOKUP($B331&amp;"__wt",'SegEnds_Xtal_BW#'!$A:$Z,4,FALSE)</f>
        <v>60</v>
      </c>
      <c r="E331" s="1">
        <f>VLOOKUP($B331&amp;"__wt",'SegEnds_Xtal_BW#'!$A:$Z,5,FALSE)</f>
        <v>48</v>
      </c>
      <c r="F331" s="1">
        <f>VLOOKUP($B331&amp;"__wt",'SegEnds_Xtal_BW#'!$A:$Z,6,FALSE)</f>
        <v>51</v>
      </c>
      <c r="G331" s="1">
        <v>37</v>
      </c>
      <c r="H331" s="12">
        <v>63</v>
      </c>
      <c r="I331" s="1" t="str">
        <f>VLOOKUP($B331&amp;"__wt",'SegEnds_Xtal_BW#'!$A:$Z,9,FALSE)</f>
        <v>-</v>
      </c>
      <c r="J331" s="1" t="str">
        <f>VLOOKUP($B331&amp;"__wt",'SegEnds_Xtal_BW#'!$A:$Z,10,FALSE)</f>
        <v>-</v>
      </c>
      <c r="K331" s="12">
        <v>23</v>
      </c>
      <c r="L331" s="1">
        <f>VLOOKUP($B331&amp;"__wt",'SegEnds_Xtal_BW#'!$A:$Z,12,FALSE)</f>
        <v>56</v>
      </c>
      <c r="M331" s="1" t="str">
        <f>VLOOKUP($B331&amp;"__wt",'SegEnds_Xtal_BW#'!$A:$Z,13,FALSE)</f>
        <v>-</v>
      </c>
      <c r="N331" s="12" t="str">
        <f>VLOOKUP($B331&amp;"__wt",'SegEnds_Xtal_BW#'!$A:$Z,14,FALSE)</f>
        <v>-</v>
      </c>
      <c r="O331" s="87">
        <f>VLOOKUP($B331&amp;"__wt",'SegEnds_Xtal_BW#'!$A:$Z,15,FALSE)</f>
        <v>41</v>
      </c>
      <c r="P331" s="1">
        <f>VLOOKUP($B331&amp;"__wt",'SegEnds_Xtal_BW#'!$A:$Z,16,FALSE)</f>
        <v>68</v>
      </c>
      <c r="Q331" s="1">
        <f>VLOOKUP($B331&amp;"__wt",'SegEnds_Xtal_BW#'!$A:$Z,17,FALSE)</f>
        <v>50</v>
      </c>
      <c r="R331" s="1">
        <f>VLOOKUP($B331&amp;"__wt",'SegEnds_Xtal_BW#'!$A:$Z,18,FALSE)</f>
        <v>52</v>
      </c>
      <c r="S331" s="1">
        <v>36</v>
      </c>
      <c r="T331" s="1">
        <v>69</v>
      </c>
      <c r="U331" s="1">
        <v>29</v>
      </c>
      <c r="V331" s="1">
        <f>VLOOKUP($B331&amp;"__wt",'SegEnds_Xtal_BW#'!$A:$Z,22,FALSE)</f>
        <v>53</v>
      </c>
      <c r="W331" s="1">
        <v>31</v>
      </c>
      <c r="X331" s="1">
        <f>VLOOKUP($B331&amp;"__wt",'SegEnds_Xtal_BW#'!$A:$Z,24,FALSE)</f>
        <v>56</v>
      </c>
      <c r="Y331" s="1">
        <f>VLOOKUP($B331&amp;"__wt",'SegEnds_Xtal_BW#'!$A:$Z,25,FALSE)</f>
        <v>47</v>
      </c>
      <c r="Z331" s="1">
        <v>63</v>
      </c>
      <c r="AA331" s="27" t="str">
        <f>VLOOKUP(A331,Classification!A:B,2,FALSE)</f>
        <v>B2</v>
      </c>
      <c r="AB331" s="1">
        <f>VLOOKUP(A331,'SegEnds_NonXtal_Prot#'!A:AL,10,FALSE)-VLOOKUP(A331,'SegEnds_NonXtal_Prot#'!A:AL,4,FALSE)</f>
        <v>28</v>
      </c>
      <c r="AC331" s="1">
        <f>VLOOKUP(A331,'SegEnds_NonXtal_Prot#'!A:AL,10,FALSE)-VLOOKUP(A331,'SegEnds_NonXtal_Prot#'!A:AL,7,FALSE)</f>
        <v>15</v>
      </c>
      <c r="AD331" s="1" t="e">
        <f>VLOOKUP(A331,'SegEnds_NonXtal_Prot#'!A:AL,13,FALSE)-VLOOKUP(A331,'SegEnds_NonXtal_Prot#'!A:AL,10,FALSE)</f>
        <v>#VALUE!</v>
      </c>
      <c r="AE331" s="1">
        <f>VLOOKUP(A331,'SegEnds_NonXtal_Prot#'!A:AL,16,FALSE)-VLOOKUP(A331,'SegEnds_NonXtal_Prot#'!A:AL,10,FALSE)</f>
        <v>45</v>
      </c>
      <c r="AF331" s="1" t="e">
        <f>VLOOKUP(A331,'SegEnds_NonXtal_Prot#'!A:AL,22,FALSE)-VLOOKUP(A331,'SegEnds_NonXtal_Prot#'!A:AL,19,FALSE)</f>
        <v>#VALUE!</v>
      </c>
      <c r="AG331" s="1">
        <f>VLOOKUP(A331,'SegEnds_NonXtal_Prot#'!A:AL,28,FALSE)-VLOOKUP(A331,'SegEnds_NonXtal_Prot#'!A:AL,25,FALSE)</f>
        <v>19</v>
      </c>
      <c r="AH331" s="1">
        <f>VLOOKUP(A331,'SegEnds_NonXtal_Prot#'!A:AL,28,FALSE)-VLOOKUP(A331,'SegEnds_NonXtal_Prot#'!A:AL,22,FALSE)</f>
        <v>43</v>
      </c>
      <c r="AI331" s="1">
        <f>VLOOKUP(A331,'SegEnds_NonXtal_Prot#'!A:AL,31,FALSE)-VLOOKUP(A331,'SegEnds_NonXtal_Prot#'!A:AL,28,FALSE)</f>
        <v>48</v>
      </c>
      <c r="AJ331" s="1">
        <f>VLOOKUP(A331,'SegEnds_NonXtal_Prot#'!A:AL,34,FALSE)-VLOOKUP(A331,'SegEnds_NonXtal_Prot#'!A:AL,31,FALSE)</f>
        <v>28</v>
      </c>
      <c r="AK331" s="1">
        <f>VLOOKUP(A331,'SegEnds_NonXtal_Prot#'!A:AL,37,FALSE)-VLOOKUP(A331,'SegEnds_NonXtal_Prot#'!A:AL,34,FALSE)</f>
        <v>10</v>
      </c>
      <c r="AL331" s="1" t="str">
        <f>IF(ISERROR(MATCH(A331,'SegEnds_Xtal_Prot#'!B:B, 0)), "NoXtal", "Xtal")</f>
        <v>NoXtal</v>
      </c>
    </row>
    <row r="332" spans="1:38" x14ac:dyDescent="0.2">
      <c r="A332" s="4" t="s">
        <v>414</v>
      </c>
      <c r="B332" s="4" t="str">
        <f>VLOOKUP(A332,Xtal_Templ!A:B,2,FALSE)</f>
        <v>calrl_human</v>
      </c>
      <c r="C332" s="5">
        <v>23</v>
      </c>
      <c r="D332" s="4">
        <f>VLOOKUP($B332&amp;"__wt",'SegEnds_Xtal_BW#'!$A:$Z,4,FALSE)</f>
        <v>60</v>
      </c>
      <c r="E332" s="4">
        <f>VLOOKUP($B332&amp;"__wt",'SegEnds_Xtal_BW#'!$A:$Z,5,FALSE)</f>
        <v>48</v>
      </c>
      <c r="F332" s="4">
        <f>VLOOKUP($B332&amp;"__wt",'SegEnds_Xtal_BW#'!$A:$Z,6,FALSE)</f>
        <v>51</v>
      </c>
      <c r="G332" s="4">
        <v>37</v>
      </c>
      <c r="H332" s="11">
        <v>63</v>
      </c>
      <c r="I332" s="4" t="str">
        <f>VLOOKUP($B332&amp;"__wt",'SegEnds_Xtal_BW#'!$A:$Z,9,FALSE)</f>
        <v>-</v>
      </c>
      <c r="J332" s="4" t="str">
        <f>VLOOKUP($B332&amp;"__wt",'SegEnds_Xtal_BW#'!$A:$Z,10,FALSE)</f>
        <v>-</v>
      </c>
      <c r="K332" s="11">
        <v>23</v>
      </c>
      <c r="L332" s="4">
        <f>VLOOKUP($B332&amp;"__wt",'SegEnds_Xtal_BW#'!$A:$Z,12,FALSE)</f>
        <v>56</v>
      </c>
      <c r="M332" s="4" t="str">
        <f>VLOOKUP($B332&amp;"__wt",'SegEnds_Xtal_BW#'!$A:$Z,13,FALSE)</f>
        <v>-</v>
      </c>
      <c r="N332" s="11" t="str">
        <f>VLOOKUP($B332&amp;"__wt",'SegEnds_Xtal_BW#'!$A:$Z,14,FALSE)</f>
        <v>-</v>
      </c>
      <c r="O332" s="88">
        <f>VLOOKUP($B332&amp;"__wt",'SegEnds_Xtal_BW#'!$A:$Z,15,FALSE)</f>
        <v>41</v>
      </c>
      <c r="P332" s="4">
        <f>VLOOKUP($B332&amp;"__wt",'SegEnds_Xtal_BW#'!$A:$Z,16,FALSE)</f>
        <v>67</v>
      </c>
      <c r="Q332" s="4">
        <f>VLOOKUP($B332&amp;"__wt",'SegEnds_Xtal_BW#'!$A:$Z,17,FALSE)</f>
        <v>50</v>
      </c>
      <c r="R332" s="4">
        <f>VLOOKUP($B332&amp;"__wt",'SegEnds_Xtal_BW#'!$A:$Z,18,FALSE)</f>
        <v>52</v>
      </c>
      <c r="S332" s="4">
        <v>36</v>
      </c>
      <c r="T332" s="4">
        <v>69</v>
      </c>
      <c r="U332" s="4">
        <v>29</v>
      </c>
      <c r="V332" s="4">
        <f>VLOOKUP($B332&amp;"__wt",'SegEnds_Xtal_BW#'!$A:$Z,22,FALSE)</f>
        <v>53</v>
      </c>
      <c r="W332" s="4">
        <v>31</v>
      </c>
      <c r="X332" s="4">
        <f>VLOOKUP($B332&amp;"__wt",'SegEnds_Xtal_BW#'!$A:$Z,24,FALSE)</f>
        <v>56</v>
      </c>
      <c r="Y332" s="4">
        <f>VLOOKUP($B332&amp;"__wt",'SegEnds_Xtal_BW#'!$A:$Z,25,FALSE)</f>
        <v>47</v>
      </c>
      <c r="Z332" s="4">
        <v>63</v>
      </c>
      <c r="AA332" s="27" t="str">
        <f>VLOOKUP(A332,Classification!A:B,2,FALSE)</f>
        <v>B2</v>
      </c>
      <c r="AB332" s="1">
        <f>VLOOKUP(A332,'SegEnds_NonXtal_Prot#'!A:AL,10,FALSE)-VLOOKUP(A332,'SegEnds_NonXtal_Prot#'!A:AL,4,FALSE)</f>
        <v>28</v>
      </c>
      <c r="AC332" s="4">
        <f>VLOOKUP(A332,'SegEnds_NonXtal_Prot#'!A:AL,10,FALSE)-VLOOKUP(A332,'SegEnds_NonXtal_Prot#'!A:AL,7,FALSE)</f>
        <v>15</v>
      </c>
      <c r="AD332" s="4" t="e">
        <f>VLOOKUP(A332,'SegEnds_NonXtal_Prot#'!A:AL,13,FALSE)-VLOOKUP(A332,'SegEnds_NonXtal_Prot#'!A:AL,10,FALSE)</f>
        <v>#VALUE!</v>
      </c>
      <c r="AE332" s="4">
        <f>VLOOKUP(A332,'SegEnds_NonXtal_Prot#'!A:AL,16,FALSE)-VLOOKUP(A332,'SegEnds_NonXtal_Prot#'!A:AL,10,FALSE)</f>
        <v>45</v>
      </c>
      <c r="AF332" s="1" t="e">
        <f>VLOOKUP(A332,'SegEnds_NonXtal_Prot#'!A:AL,22,FALSE)-VLOOKUP(A332,'SegEnds_NonXtal_Prot#'!A:AL,19,FALSE)</f>
        <v>#VALUE!</v>
      </c>
      <c r="AG332" s="4">
        <f>VLOOKUP(A332,'SegEnds_NonXtal_Prot#'!A:AL,28,FALSE)-VLOOKUP(A332,'SegEnds_NonXtal_Prot#'!A:AL,25,FALSE)</f>
        <v>19</v>
      </c>
      <c r="AH332" s="1">
        <f>VLOOKUP(A332,'SegEnds_NonXtal_Prot#'!A:AL,28,FALSE)-VLOOKUP(A332,'SegEnds_NonXtal_Prot#'!A:AL,22,FALSE)</f>
        <v>43</v>
      </c>
      <c r="AI332" s="4">
        <f>VLOOKUP(A332,'SegEnds_NonXtal_Prot#'!A:AL,31,FALSE)-VLOOKUP(A332,'SegEnds_NonXtal_Prot#'!A:AL,28,FALSE)</f>
        <v>48</v>
      </c>
      <c r="AJ332" s="4">
        <f>VLOOKUP(A332,'SegEnds_NonXtal_Prot#'!A:AL,34,FALSE)-VLOOKUP(A332,'SegEnds_NonXtal_Prot#'!A:AL,31,FALSE)</f>
        <v>28</v>
      </c>
      <c r="AK332" s="1">
        <f>VLOOKUP(A332,'SegEnds_NonXtal_Prot#'!A:AL,37,FALSE)-VLOOKUP(A332,'SegEnds_NonXtal_Prot#'!A:AL,34,FALSE)</f>
        <v>10</v>
      </c>
      <c r="AL332" s="1" t="str">
        <f>IF(ISERROR(MATCH(A332,'SegEnds_Xtal_Prot#'!B:B, 0)), "NoXtal", "Xtal")</f>
        <v>NoXtal</v>
      </c>
    </row>
    <row r="333" spans="1:38" x14ac:dyDescent="0.2">
      <c r="A333" s="1" t="s">
        <v>415</v>
      </c>
      <c r="B333" s="1" t="str">
        <f>VLOOKUP(A333,Xtal_Templ!A:B,2,FALSE)</f>
        <v>crfr2_human</v>
      </c>
      <c r="C333" s="5">
        <v>23</v>
      </c>
      <c r="D333" s="1">
        <f>VLOOKUP($B333&amp;"__wt",'SegEnds_Xtal_BW#'!$A:$Z,4,FALSE)</f>
        <v>60</v>
      </c>
      <c r="E333" s="1">
        <f>VLOOKUP($B333&amp;"__wt",'SegEnds_Xtal_BW#'!$A:$Z,5,FALSE)</f>
        <v>48</v>
      </c>
      <c r="F333" s="1">
        <f>VLOOKUP($B333&amp;"__wt",'SegEnds_Xtal_BW#'!$A:$Z,6,FALSE)</f>
        <v>51</v>
      </c>
      <c r="G333" s="1">
        <v>37</v>
      </c>
      <c r="H333" s="12">
        <v>63</v>
      </c>
      <c r="I333" s="1" t="str">
        <f>VLOOKUP($B333&amp;"__wt",'SegEnds_Xtal_BW#'!$A:$Z,9,FALSE)</f>
        <v>-</v>
      </c>
      <c r="J333" s="1" t="str">
        <f>VLOOKUP($B333&amp;"__wt",'SegEnds_Xtal_BW#'!$A:$Z,10,FALSE)</f>
        <v>-</v>
      </c>
      <c r="K333" s="12">
        <v>23</v>
      </c>
      <c r="L333" s="1">
        <f>VLOOKUP($B333&amp;"__wt",'SegEnds_Xtal_BW#'!$A:$Z,12,FALSE)</f>
        <v>56</v>
      </c>
      <c r="M333" s="1" t="str">
        <f>VLOOKUP($B333&amp;"__wt",'SegEnds_Xtal_BW#'!$A:$Z,13,FALSE)</f>
        <v>-</v>
      </c>
      <c r="N333" s="12" t="str">
        <f>VLOOKUP($B333&amp;"__wt",'SegEnds_Xtal_BW#'!$A:$Z,14,FALSE)</f>
        <v>-</v>
      </c>
      <c r="O333" s="87">
        <f>VLOOKUP($B333&amp;"__wt",'SegEnds_Xtal_BW#'!$A:$Z,15,FALSE)</f>
        <v>41</v>
      </c>
      <c r="P333" s="1">
        <f>VLOOKUP($B333&amp;"__wt",'SegEnds_Xtal_BW#'!$A:$Z,16,FALSE)</f>
        <v>68</v>
      </c>
      <c r="Q333" s="1">
        <f>VLOOKUP($B333&amp;"__wt",'SegEnds_Xtal_BW#'!$A:$Z,17,FALSE)</f>
        <v>50</v>
      </c>
      <c r="R333" s="1">
        <f>VLOOKUP($B333&amp;"__wt",'SegEnds_Xtal_BW#'!$A:$Z,18,FALSE)</f>
        <v>52</v>
      </c>
      <c r="S333" s="1">
        <v>36</v>
      </c>
      <c r="T333" s="1">
        <v>69</v>
      </c>
      <c r="U333" s="1">
        <v>29</v>
      </c>
      <c r="V333" s="1">
        <f>VLOOKUP($B333&amp;"__wt",'SegEnds_Xtal_BW#'!$A:$Z,22,FALSE)</f>
        <v>53</v>
      </c>
      <c r="W333" s="1">
        <v>31</v>
      </c>
      <c r="X333" s="1">
        <f>VLOOKUP($B333&amp;"__wt",'SegEnds_Xtal_BW#'!$A:$Z,24,FALSE)</f>
        <v>56</v>
      </c>
      <c r="Y333" s="1">
        <f>VLOOKUP($B333&amp;"__wt",'SegEnds_Xtal_BW#'!$A:$Z,25,FALSE)</f>
        <v>47</v>
      </c>
      <c r="Z333" s="1">
        <v>63</v>
      </c>
      <c r="AA333" s="27" t="str">
        <f>VLOOKUP(A333,Classification!A:B,2,FALSE)</f>
        <v>B2</v>
      </c>
      <c r="AB333" s="1">
        <f>VLOOKUP(A333,'SegEnds_NonXtal_Prot#'!A:AL,10,FALSE)-VLOOKUP(A333,'SegEnds_NonXtal_Prot#'!A:AL,4,FALSE)</f>
        <v>28</v>
      </c>
      <c r="AC333" s="1">
        <f>VLOOKUP(A333,'SegEnds_NonXtal_Prot#'!A:AL,10,FALSE)-VLOOKUP(A333,'SegEnds_NonXtal_Prot#'!A:AL,7,FALSE)</f>
        <v>15</v>
      </c>
      <c r="AD333" s="1" t="e">
        <f>VLOOKUP(A333,'SegEnds_NonXtal_Prot#'!A:AL,13,FALSE)-VLOOKUP(A333,'SegEnds_NonXtal_Prot#'!A:AL,10,FALSE)</f>
        <v>#VALUE!</v>
      </c>
      <c r="AE333" s="1">
        <f>VLOOKUP(A333,'SegEnds_NonXtal_Prot#'!A:AL,16,FALSE)-VLOOKUP(A333,'SegEnds_NonXtal_Prot#'!A:AL,10,FALSE)</f>
        <v>45</v>
      </c>
      <c r="AF333" s="1" t="e">
        <f>VLOOKUP(A333,'SegEnds_NonXtal_Prot#'!A:AL,22,FALSE)-VLOOKUP(A333,'SegEnds_NonXtal_Prot#'!A:AL,19,FALSE)</f>
        <v>#VALUE!</v>
      </c>
      <c r="AG333" s="1">
        <f>VLOOKUP(A333,'SegEnds_NonXtal_Prot#'!A:AL,28,FALSE)-VLOOKUP(A333,'SegEnds_NonXtal_Prot#'!A:AL,25,FALSE)</f>
        <v>19</v>
      </c>
      <c r="AH333" s="1">
        <f>VLOOKUP(A333,'SegEnds_NonXtal_Prot#'!A:AL,28,FALSE)-VLOOKUP(A333,'SegEnds_NonXtal_Prot#'!A:AL,22,FALSE)</f>
        <v>43</v>
      </c>
      <c r="AI333" s="1">
        <f>VLOOKUP(A333,'SegEnds_NonXtal_Prot#'!A:AL,31,FALSE)-VLOOKUP(A333,'SegEnds_NonXtal_Prot#'!A:AL,28,FALSE)</f>
        <v>47</v>
      </c>
      <c r="AJ333" s="1">
        <f>VLOOKUP(A333,'SegEnds_NonXtal_Prot#'!A:AL,34,FALSE)-VLOOKUP(A333,'SegEnds_NonXtal_Prot#'!A:AL,31,FALSE)</f>
        <v>28</v>
      </c>
      <c r="AK333" s="1">
        <f>VLOOKUP(A333,'SegEnds_NonXtal_Prot#'!A:AL,37,FALSE)-VLOOKUP(A333,'SegEnds_NonXtal_Prot#'!A:AL,34,FALSE)</f>
        <v>10</v>
      </c>
      <c r="AL333" s="1" t="str">
        <f>IF(ISERROR(MATCH(A333,'SegEnds_Xtal_Prot#'!B:B, 0)), "NoXtal", "Xtal")</f>
        <v>NoXtal</v>
      </c>
    </row>
    <row r="334" spans="1:38" x14ac:dyDescent="0.2">
      <c r="A334" s="1" t="s">
        <v>1173</v>
      </c>
      <c r="B334" s="1" t="str">
        <f>VLOOKUP(A334,Xtal_Templ!A:B,2,FALSE)</f>
        <v>crfr1_human</v>
      </c>
      <c r="C334" s="5">
        <v>23</v>
      </c>
      <c r="D334" s="1">
        <f>VLOOKUP($B334&amp;"__wt",'SegEnds_Xtal_BW#'!$A:$Z,4,FALSE)</f>
        <v>60</v>
      </c>
      <c r="E334" s="1">
        <f>VLOOKUP($B334&amp;"__wt",'SegEnds_Xtal_BW#'!$A:$Z,5,FALSE)</f>
        <v>48</v>
      </c>
      <c r="F334" s="1">
        <f>VLOOKUP($B334&amp;"__wt",'SegEnds_Xtal_BW#'!$A:$Z,6,FALSE)</f>
        <v>51</v>
      </c>
      <c r="G334" s="1">
        <v>37</v>
      </c>
      <c r="H334" s="12">
        <v>63</v>
      </c>
      <c r="I334" s="1" t="str">
        <f>VLOOKUP($B334&amp;"__wt",'SegEnds_Xtal_BW#'!$A:$Z,9,FALSE)</f>
        <v>-</v>
      </c>
      <c r="J334" s="1" t="str">
        <f>VLOOKUP($B334&amp;"__wt",'SegEnds_Xtal_BW#'!$A:$Z,10,FALSE)</f>
        <v>-</v>
      </c>
      <c r="K334" s="12">
        <v>23</v>
      </c>
      <c r="L334" s="1">
        <f>VLOOKUP($B334&amp;"__wt",'SegEnds_Xtal_BW#'!$A:$Z,12,FALSE)</f>
        <v>56</v>
      </c>
      <c r="M334" s="1" t="str">
        <f>VLOOKUP($B334&amp;"__wt",'SegEnds_Xtal_BW#'!$A:$Z,13,FALSE)</f>
        <v>-</v>
      </c>
      <c r="N334" s="12" t="str">
        <f>VLOOKUP($B334&amp;"__wt",'SegEnds_Xtal_BW#'!$A:$Z,14,FALSE)</f>
        <v>-</v>
      </c>
      <c r="O334" s="87">
        <f>VLOOKUP($B334&amp;"__wt",'SegEnds_Xtal_BW#'!$A:$Z,15,FALSE)</f>
        <v>40</v>
      </c>
      <c r="P334" s="1">
        <f>VLOOKUP($B334&amp;"__wt",'SegEnds_Xtal_BW#'!$A:$Z,16,FALSE)</f>
        <v>68</v>
      </c>
      <c r="Q334" s="1">
        <f>VLOOKUP($B334&amp;"__wt",'SegEnds_Xtal_BW#'!$A:$Z,17,FALSE)</f>
        <v>50</v>
      </c>
      <c r="R334" s="1">
        <f>VLOOKUP($B334&amp;"__wt",'SegEnds_Xtal_BW#'!$A:$Z,18,FALSE)</f>
        <v>52</v>
      </c>
      <c r="S334" s="1">
        <v>36</v>
      </c>
      <c r="T334" s="1">
        <v>69</v>
      </c>
      <c r="U334" s="1">
        <v>29</v>
      </c>
      <c r="V334" s="1">
        <f>VLOOKUP($B334&amp;"__wt",'SegEnds_Xtal_BW#'!$A:$Z,22,FALSE)</f>
        <v>53</v>
      </c>
      <c r="W334" s="1">
        <v>31</v>
      </c>
      <c r="X334" s="1">
        <f>VLOOKUP($B334&amp;"__wt",'SegEnds_Xtal_BW#'!$A:$Z,24,FALSE)</f>
        <v>56</v>
      </c>
      <c r="Y334" s="1">
        <f>VLOOKUP($B334&amp;"__wt",'SegEnds_Xtal_BW#'!$A:$Z,25,FALSE)</f>
        <v>47</v>
      </c>
      <c r="Z334" s="1">
        <v>63</v>
      </c>
      <c r="AA334" s="27" t="str">
        <f>VLOOKUP(A334,Classification!A:B,2,FALSE)</f>
        <v>B2</v>
      </c>
      <c r="AB334" s="1">
        <f>VLOOKUP(A334,'SegEnds_NonXtal_Prot#'!A:AL,10,FALSE)-VLOOKUP(A334,'SegEnds_NonXtal_Prot#'!A:AL,4,FALSE)</f>
        <v>29</v>
      </c>
      <c r="AC334" s="1" t="e">
        <f>VLOOKUP(A334,'SegEnds_NonXtal_Prot#'!A:AL,10,FALSE)-VLOOKUP(A334,'SegEnds_NonXtal_Prot#'!A:AL,7,FALSE)</f>
        <v>#VALUE!</v>
      </c>
      <c r="AD334" s="1" t="e">
        <f>VLOOKUP(A334,'SegEnds_NonXtal_Prot#'!A:AL,13,FALSE)-VLOOKUP(A334,'SegEnds_NonXtal_Prot#'!A:AL,10,FALSE)</f>
        <v>#VALUE!</v>
      </c>
      <c r="AE334" s="1">
        <f>VLOOKUP(A334,'SegEnds_NonXtal_Prot#'!A:AL,16,FALSE)-VLOOKUP(A334,'SegEnds_NonXtal_Prot#'!A:AL,10,FALSE)</f>
        <v>45</v>
      </c>
      <c r="AF334" s="1" t="e">
        <f>VLOOKUP(A334,'SegEnds_NonXtal_Prot#'!A:AL,22,FALSE)-VLOOKUP(A334,'SegEnds_NonXtal_Prot#'!A:AL,19,FALSE)</f>
        <v>#VALUE!</v>
      </c>
      <c r="AG334" s="1">
        <f>VLOOKUP(A334,'SegEnds_NonXtal_Prot#'!A:AL,28,FALSE)-VLOOKUP(A334,'SegEnds_NonXtal_Prot#'!A:AL,25,FALSE)</f>
        <v>19</v>
      </c>
      <c r="AH334" s="1">
        <f>VLOOKUP(A334,'SegEnds_NonXtal_Prot#'!A:AL,28,FALSE)-VLOOKUP(A334,'SegEnds_NonXtal_Prot#'!A:AL,22,FALSE)</f>
        <v>44</v>
      </c>
      <c r="AI334" s="1">
        <f>VLOOKUP(A334,'SegEnds_NonXtal_Prot#'!A:AL,31,FALSE)-VLOOKUP(A334,'SegEnds_NonXtal_Prot#'!A:AL,28,FALSE)</f>
        <v>83</v>
      </c>
      <c r="AJ334" s="1">
        <f>VLOOKUP(A334,'SegEnds_NonXtal_Prot#'!A:AL,34,FALSE)-VLOOKUP(A334,'SegEnds_NonXtal_Prot#'!A:AL,31,FALSE)</f>
        <v>29</v>
      </c>
      <c r="AK334" s="1">
        <f>VLOOKUP(A334,'SegEnds_NonXtal_Prot#'!A:AL,37,FALSE)-VLOOKUP(A334,'SegEnds_NonXtal_Prot#'!A:AL,34,FALSE)</f>
        <v>10</v>
      </c>
      <c r="AL334" s="1" t="str">
        <f>IF(ISERROR(MATCH(A334,'SegEnds_Xtal_Prot#'!B:B, 0)), "NoXtal", "Xtal")</f>
        <v>NoXtal</v>
      </c>
    </row>
    <row r="335" spans="1:38" x14ac:dyDescent="0.2">
      <c r="A335" s="1" t="s">
        <v>1174</v>
      </c>
      <c r="B335" s="1" t="str">
        <f>VLOOKUP(A335,Xtal_Templ!A:B,2,FALSE)</f>
        <v>crfr1_human</v>
      </c>
      <c r="C335" s="5">
        <v>23</v>
      </c>
      <c r="D335" s="1">
        <f>VLOOKUP($B335&amp;"__wt",'SegEnds_Xtal_BW#'!$A:$Z,4,FALSE)</f>
        <v>60</v>
      </c>
      <c r="E335" s="1">
        <f>VLOOKUP($B335&amp;"__wt",'SegEnds_Xtal_BW#'!$A:$Z,5,FALSE)</f>
        <v>48</v>
      </c>
      <c r="F335" s="1">
        <f>VLOOKUP($B335&amp;"__wt",'SegEnds_Xtal_BW#'!$A:$Z,6,FALSE)</f>
        <v>51</v>
      </c>
      <c r="G335" s="1">
        <v>37</v>
      </c>
      <c r="H335" s="12">
        <v>63</v>
      </c>
      <c r="I335" s="1" t="str">
        <f>VLOOKUP($B335&amp;"__wt",'SegEnds_Xtal_BW#'!$A:$Z,9,FALSE)</f>
        <v>-</v>
      </c>
      <c r="J335" s="1" t="str">
        <f>VLOOKUP($B335&amp;"__wt",'SegEnds_Xtal_BW#'!$A:$Z,10,FALSE)</f>
        <v>-</v>
      </c>
      <c r="K335" s="12">
        <v>23</v>
      </c>
      <c r="L335" s="1">
        <f>VLOOKUP($B335&amp;"__wt",'SegEnds_Xtal_BW#'!$A:$Z,12,FALSE)</f>
        <v>56</v>
      </c>
      <c r="M335" s="1" t="str">
        <f>VLOOKUP($B335&amp;"__wt",'SegEnds_Xtal_BW#'!$A:$Z,13,FALSE)</f>
        <v>-</v>
      </c>
      <c r="N335" s="12" t="str">
        <f>VLOOKUP($B335&amp;"__wt",'SegEnds_Xtal_BW#'!$A:$Z,14,FALSE)</f>
        <v>-</v>
      </c>
      <c r="O335" s="87">
        <f>VLOOKUP($B335&amp;"__wt",'SegEnds_Xtal_BW#'!$A:$Z,15,FALSE)</f>
        <v>40</v>
      </c>
      <c r="P335" s="1">
        <f>VLOOKUP($B335&amp;"__wt",'SegEnds_Xtal_BW#'!$A:$Z,16,FALSE)</f>
        <v>68</v>
      </c>
      <c r="Q335" s="1">
        <f>VLOOKUP($B335&amp;"__wt",'SegEnds_Xtal_BW#'!$A:$Z,17,FALSE)</f>
        <v>50</v>
      </c>
      <c r="R335" s="1">
        <f>VLOOKUP($B335&amp;"__wt",'SegEnds_Xtal_BW#'!$A:$Z,18,FALSE)</f>
        <v>52</v>
      </c>
      <c r="S335" s="1">
        <v>36</v>
      </c>
      <c r="T335" s="1">
        <v>69</v>
      </c>
      <c r="U335" s="1">
        <v>29</v>
      </c>
      <c r="V335" s="1">
        <f>VLOOKUP($B335&amp;"__wt",'SegEnds_Xtal_BW#'!$A:$Z,22,FALSE)</f>
        <v>53</v>
      </c>
      <c r="W335" s="1">
        <v>31</v>
      </c>
      <c r="X335" s="1">
        <f>VLOOKUP($B335&amp;"__wt",'SegEnds_Xtal_BW#'!$A:$Z,24,FALSE)</f>
        <v>56</v>
      </c>
      <c r="Y335" s="1">
        <f>VLOOKUP($B335&amp;"__wt",'SegEnds_Xtal_BW#'!$A:$Z,25,FALSE)</f>
        <v>47</v>
      </c>
      <c r="Z335" s="1">
        <v>63</v>
      </c>
      <c r="AA335" s="27" t="str">
        <f>VLOOKUP(A335,Classification!A:B,2,FALSE)</f>
        <v>B2</v>
      </c>
      <c r="AB335" s="1">
        <f>VLOOKUP(A335,'SegEnds_NonXtal_Prot#'!A:AL,10,FALSE)-VLOOKUP(A335,'SegEnds_NonXtal_Prot#'!A:AL,4,FALSE)</f>
        <v>29</v>
      </c>
      <c r="AC335" s="1" t="e">
        <f>VLOOKUP(A335,'SegEnds_NonXtal_Prot#'!A:AL,10,FALSE)-VLOOKUP(A335,'SegEnds_NonXtal_Prot#'!A:AL,7,FALSE)</f>
        <v>#VALUE!</v>
      </c>
      <c r="AD335" s="1" t="e">
        <f>VLOOKUP(A335,'SegEnds_NonXtal_Prot#'!A:AL,13,FALSE)-VLOOKUP(A335,'SegEnds_NonXtal_Prot#'!A:AL,10,FALSE)</f>
        <v>#VALUE!</v>
      </c>
      <c r="AE335" s="1">
        <f>VLOOKUP(A335,'SegEnds_NonXtal_Prot#'!A:AL,16,FALSE)-VLOOKUP(A335,'SegEnds_NonXtal_Prot#'!A:AL,10,FALSE)</f>
        <v>45</v>
      </c>
      <c r="AF335" s="1" t="e">
        <f>VLOOKUP(A335,'SegEnds_NonXtal_Prot#'!A:AL,22,FALSE)-VLOOKUP(A335,'SegEnds_NonXtal_Prot#'!A:AL,19,FALSE)</f>
        <v>#VALUE!</v>
      </c>
      <c r="AG335" s="1">
        <f>VLOOKUP(A335,'SegEnds_NonXtal_Prot#'!A:AL,28,FALSE)-VLOOKUP(A335,'SegEnds_NonXtal_Prot#'!A:AL,25,FALSE)</f>
        <v>19</v>
      </c>
      <c r="AH335" s="1">
        <f>VLOOKUP(A335,'SegEnds_NonXtal_Prot#'!A:AL,28,FALSE)-VLOOKUP(A335,'SegEnds_NonXtal_Prot#'!A:AL,22,FALSE)</f>
        <v>44</v>
      </c>
      <c r="AI335" s="1">
        <f>VLOOKUP(A335,'SegEnds_NonXtal_Prot#'!A:AL,31,FALSE)-VLOOKUP(A335,'SegEnds_NonXtal_Prot#'!A:AL,28,FALSE)</f>
        <v>83</v>
      </c>
      <c r="AJ335" s="1">
        <f>VLOOKUP(A335,'SegEnds_NonXtal_Prot#'!A:AL,34,FALSE)-VLOOKUP(A335,'SegEnds_NonXtal_Prot#'!A:AL,31,FALSE)</f>
        <v>29</v>
      </c>
      <c r="AK335" s="1">
        <f>VLOOKUP(A335,'SegEnds_NonXtal_Prot#'!A:AL,37,FALSE)-VLOOKUP(A335,'SegEnds_NonXtal_Prot#'!A:AL,34,FALSE)</f>
        <v>10</v>
      </c>
      <c r="AL335" s="1" t="str">
        <f>IF(ISERROR(MATCH(A335,'SegEnds_Xtal_Prot#'!B:B, 0)), "NoXtal", "Xtal")</f>
        <v>NoXtal</v>
      </c>
    </row>
    <row r="336" spans="1:38" x14ac:dyDescent="0.2">
      <c r="A336" s="1" t="s">
        <v>1673</v>
      </c>
      <c r="B336" s="1" t="str">
        <f>VLOOKUP(A336,Xtal_Templ!A:B,2,FALSE)</f>
        <v>crfr1_human</v>
      </c>
      <c r="C336" s="5">
        <v>23</v>
      </c>
      <c r="D336" s="1">
        <f>VLOOKUP($B336&amp;"__wt",'SegEnds_Xtal_BW#'!$A:$Z,4,FALSE)</f>
        <v>60</v>
      </c>
      <c r="E336" s="1">
        <f>VLOOKUP($B336&amp;"__wt",'SegEnds_Xtal_BW#'!$A:$Z,5,FALSE)</f>
        <v>48</v>
      </c>
      <c r="F336" s="1">
        <f>VLOOKUP($B336&amp;"__wt",'SegEnds_Xtal_BW#'!$A:$Z,6,FALSE)</f>
        <v>51</v>
      </c>
      <c r="G336" s="1">
        <v>37</v>
      </c>
      <c r="H336" s="12">
        <v>63</v>
      </c>
      <c r="I336" s="1" t="str">
        <f>VLOOKUP($B336&amp;"__wt",'SegEnds_Xtal_BW#'!$A:$Z,9,FALSE)</f>
        <v>-</v>
      </c>
      <c r="J336" s="1" t="str">
        <f>VLOOKUP($B336&amp;"__wt",'SegEnds_Xtal_BW#'!$A:$Z,10,FALSE)</f>
        <v>-</v>
      </c>
      <c r="K336" s="12">
        <v>23</v>
      </c>
      <c r="L336" s="1">
        <f>VLOOKUP($B336&amp;"__wt",'SegEnds_Xtal_BW#'!$A:$Z,12,FALSE)</f>
        <v>56</v>
      </c>
      <c r="M336" s="1" t="str">
        <f>VLOOKUP($B336&amp;"__wt",'SegEnds_Xtal_BW#'!$A:$Z,13,FALSE)</f>
        <v>-</v>
      </c>
      <c r="N336" s="12" t="str">
        <f>VLOOKUP($B336&amp;"__wt",'SegEnds_Xtal_BW#'!$A:$Z,14,FALSE)</f>
        <v>-</v>
      </c>
      <c r="O336" s="87">
        <f>VLOOKUP($B336&amp;"__wt",'SegEnds_Xtal_BW#'!$A:$Z,15,FALSE)</f>
        <v>40</v>
      </c>
      <c r="P336" s="1">
        <f>VLOOKUP($B336&amp;"__wt",'SegEnds_Xtal_BW#'!$A:$Z,16,FALSE)</f>
        <v>68</v>
      </c>
      <c r="Q336" s="1">
        <f>VLOOKUP($B336&amp;"__wt",'SegEnds_Xtal_BW#'!$A:$Z,17,FALSE)</f>
        <v>50</v>
      </c>
      <c r="R336" s="1">
        <f>VLOOKUP($B336&amp;"__wt",'SegEnds_Xtal_BW#'!$A:$Z,18,FALSE)</f>
        <v>52</v>
      </c>
      <c r="S336" s="1">
        <v>36</v>
      </c>
      <c r="T336" s="1">
        <v>69</v>
      </c>
      <c r="U336" s="1">
        <v>29</v>
      </c>
      <c r="V336" s="1">
        <f>VLOOKUP($B336&amp;"__wt",'SegEnds_Xtal_BW#'!$A:$Z,22,FALSE)</f>
        <v>53</v>
      </c>
      <c r="W336" s="1">
        <v>31</v>
      </c>
      <c r="X336" s="1">
        <f>VLOOKUP($B336&amp;"__wt",'SegEnds_Xtal_BW#'!$A:$Z,24,FALSE)</f>
        <v>56</v>
      </c>
      <c r="Y336" s="1">
        <f>VLOOKUP($B336&amp;"__wt",'SegEnds_Xtal_BW#'!$A:$Z,25,FALSE)</f>
        <v>47</v>
      </c>
      <c r="Z336" s="1">
        <v>63</v>
      </c>
      <c r="AA336" s="27" t="str">
        <f>VLOOKUP(A336,Classification!A:B,2,FALSE)</f>
        <v>B2</v>
      </c>
      <c r="AB336" s="1">
        <f>VLOOKUP(A336,'SegEnds_NonXtal_Prot#'!A:AL,10,FALSE)-VLOOKUP(A336,'SegEnds_NonXtal_Prot#'!A:AL,4,FALSE)</f>
        <v>29</v>
      </c>
      <c r="AC336" s="1" t="e">
        <f>VLOOKUP(A336,'SegEnds_NonXtal_Prot#'!A:AL,10,FALSE)-VLOOKUP(A336,'SegEnds_NonXtal_Prot#'!A:AL,7,FALSE)</f>
        <v>#VALUE!</v>
      </c>
      <c r="AD336" s="1" t="e">
        <f>VLOOKUP(A336,'SegEnds_NonXtal_Prot#'!A:AL,13,FALSE)-VLOOKUP(A336,'SegEnds_NonXtal_Prot#'!A:AL,10,FALSE)</f>
        <v>#VALUE!</v>
      </c>
      <c r="AE336" s="1">
        <f>VLOOKUP(A336,'SegEnds_NonXtal_Prot#'!A:AL,16,FALSE)-VLOOKUP(A336,'SegEnds_NonXtal_Prot#'!A:AL,10,FALSE)</f>
        <v>45</v>
      </c>
      <c r="AF336" s="1" t="e">
        <f>VLOOKUP(A336,'SegEnds_NonXtal_Prot#'!A:AL,22,FALSE)-VLOOKUP(A336,'SegEnds_NonXtal_Prot#'!A:AL,19,FALSE)</f>
        <v>#VALUE!</v>
      </c>
      <c r="AG336" s="1">
        <f>VLOOKUP(A336,'SegEnds_NonXtal_Prot#'!A:AL,28,FALSE)-VLOOKUP(A336,'SegEnds_NonXtal_Prot#'!A:AL,25,FALSE)</f>
        <v>19</v>
      </c>
      <c r="AH336" s="1">
        <f>VLOOKUP(A336,'SegEnds_NonXtal_Prot#'!A:AL,28,FALSE)-VLOOKUP(A336,'SegEnds_NonXtal_Prot#'!A:AL,22,FALSE)</f>
        <v>44</v>
      </c>
      <c r="AI336" s="1">
        <f>VLOOKUP(A336,'SegEnds_NonXtal_Prot#'!A:AL,31,FALSE)-VLOOKUP(A336,'SegEnds_NonXtal_Prot#'!A:AL,28,FALSE)</f>
        <v>50</v>
      </c>
      <c r="AJ336" s="1">
        <f>VLOOKUP(A336,'SegEnds_NonXtal_Prot#'!A:AL,34,FALSE)-VLOOKUP(A336,'SegEnds_NonXtal_Prot#'!A:AL,31,FALSE)</f>
        <v>29</v>
      </c>
      <c r="AK336" s="1">
        <f>VLOOKUP(A336,'SegEnds_NonXtal_Prot#'!A:AL,37,FALSE)-VLOOKUP(A336,'SegEnds_NonXtal_Prot#'!A:AL,34,FALSE)</f>
        <v>10</v>
      </c>
      <c r="AL336" s="1" t="str">
        <f>IF(ISERROR(MATCH(A336,'SegEnds_Xtal_Prot#'!B:B, 0)), "NoXtal", "Xtal")</f>
        <v>NoXtal</v>
      </c>
    </row>
    <row r="337" spans="1:38" x14ac:dyDescent="0.2">
      <c r="A337" s="1" t="s">
        <v>1172</v>
      </c>
      <c r="B337" s="1" t="str">
        <f>VLOOKUP(A337,Xtal_Templ!A:B,2,FALSE)</f>
        <v>crfr2_human</v>
      </c>
      <c r="C337" s="5">
        <v>23</v>
      </c>
      <c r="D337" s="1">
        <f>VLOOKUP($B337&amp;"__wt",'SegEnds_Xtal_BW#'!$A:$Z,4,FALSE)</f>
        <v>60</v>
      </c>
      <c r="E337" s="1">
        <f>VLOOKUP($B337&amp;"__wt",'SegEnds_Xtal_BW#'!$A:$Z,5,FALSE)</f>
        <v>48</v>
      </c>
      <c r="F337" s="1">
        <f>VLOOKUP($B337&amp;"__wt",'SegEnds_Xtal_BW#'!$A:$Z,6,FALSE)</f>
        <v>51</v>
      </c>
      <c r="G337" s="1">
        <v>37</v>
      </c>
      <c r="H337" s="12">
        <v>63</v>
      </c>
      <c r="I337" s="1" t="str">
        <f>VLOOKUP($B337&amp;"__wt",'SegEnds_Xtal_BW#'!$A:$Z,9,FALSE)</f>
        <v>-</v>
      </c>
      <c r="J337" s="1" t="str">
        <f>VLOOKUP($B337&amp;"__wt",'SegEnds_Xtal_BW#'!$A:$Z,10,FALSE)</f>
        <v>-</v>
      </c>
      <c r="K337" s="12">
        <v>23</v>
      </c>
      <c r="L337" s="1">
        <f>VLOOKUP($B337&amp;"__wt",'SegEnds_Xtal_BW#'!$A:$Z,12,FALSE)</f>
        <v>56</v>
      </c>
      <c r="M337" s="1" t="str">
        <f>VLOOKUP($B337&amp;"__wt",'SegEnds_Xtal_BW#'!$A:$Z,13,FALSE)</f>
        <v>-</v>
      </c>
      <c r="N337" s="12" t="str">
        <f>VLOOKUP($B337&amp;"__wt",'SegEnds_Xtal_BW#'!$A:$Z,14,FALSE)</f>
        <v>-</v>
      </c>
      <c r="O337" s="87">
        <f>VLOOKUP($B337&amp;"__wt",'SegEnds_Xtal_BW#'!$A:$Z,15,FALSE)</f>
        <v>41</v>
      </c>
      <c r="P337" s="1">
        <f>VLOOKUP($B337&amp;"__wt",'SegEnds_Xtal_BW#'!$A:$Z,16,FALSE)</f>
        <v>68</v>
      </c>
      <c r="Q337" s="1">
        <f>VLOOKUP($B337&amp;"__wt",'SegEnds_Xtal_BW#'!$A:$Z,17,FALSE)</f>
        <v>50</v>
      </c>
      <c r="R337" s="1">
        <f>VLOOKUP($B337&amp;"__wt",'SegEnds_Xtal_BW#'!$A:$Z,18,FALSE)</f>
        <v>52</v>
      </c>
      <c r="S337" s="1">
        <v>36</v>
      </c>
      <c r="T337" s="1">
        <v>69</v>
      </c>
      <c r="U337" s="1">
        <v>29</v>
      </c>
      <c r="V337" s="1">
        <f>VLOOKUP($B337&amp;"__wt",'SegEnds_Xtal_BW#'!$A:$Z,22,FALSE)</f>
        <v>53</v>
      </c>
      <c r="W337" s="1">
        <v>29</v>
      </c>
      <c r="X337" s="1">
        <f>VLOOKUP($B337&amp;"__wt",'SegEnds_Xtal_BW#'!$A:$Z,24,FALSE)</f>
        <v>56</v>
      </c>
      <c r="Y337" s="1">
        <f>VLOOKUP($B337&amp;"__wt",'SegEnds_Xtal_BW#'!$A:$Z,25,FALSE)</f>
        <v>47</v>
      </c>
      <c r="Z337" s="1">
        <v>63</v>
      </c>
      <c r="AA337" s="27" t="str">
        <f>VLOOKUP(A337,Classification!A:B,2,FALSE)</f>
        <v>B2</v>
      </c>
      <c r="AB337" s="1">
        <f>VLOOKUP(A337,'SegEnds_NonXtal_Prot#'!A:AL,10,FALSE)-VLOOKUP(A337,'SegEnds_NonXtal_Prot#'!A:AL,4,FALSE)</f>
        <v>26</v>
      </c>
      <c r="AC337" s="1" t="e">
        <f>VLOOKUP(A337,'SegEnds_NonXtal_Prot#'!A:AL,10,FALSE)-VLOOKUP(A337,'SegEnds_NonXtal_Prot#'!A:AL,7,FALSE)</f>
        <v>#VALUE!</v>
      </c>
      <c r="AD337" s="1" t="e">
        <f>VLOOKUP(A337,'SegEnds_NonXtal_Prot#'!A:AL,13,FALSE)-VLOOKUP(A337,'SegEnds_NonXtal_Prot#'!A:AL,10,FALSE)</f>
        <v>#VALUE!</v>
      </c>
      <c r="AE337" s="1">
        <f>VLOOKUP(A337,'SegEnds_NonXtal_Prot#'!A:AL,16,FALSE)-VLOOKUP(A337,'SegEnds_NonXtal_Prot#'!A:AL,10,FALSE)</f>
        <v>47</v>
      </c>
      <c r="AF337" s="1" t="e">
        <f>VLOOKUP(A337,'SegEnds_NonXtal_Prot#'!A:AL,22,FALSE)-VLOOKUP(A337,'SegEnds_NonXtal_Prot#'!A:AL,19,FALSE)</f>
        <v>#VALUE!</v>
      </c>
      <c r="AG337" s="1">
        <f>VLOOKUP(A337,'SegEnds_NonXtal_Prot#'!A:AL,28,FALSE)-VLOOKUP(A337,'SegEnds_NonXtal_Prot#'!A:AL,25,FALSE)</f>
        <v>18</v>
      </c>
      <c r="AH337" s="1">
        <f>VLOOKUP(A337,'SegEnds_NonXtal_Prot#'!A:AL,28,FALSE)-VLOOKUP(A337,'SegEnds_NonXtal_Prot#'!A:AL,22,FALSE)</f>
        <v>45</v>
      </c>
      <c r="AI337" s="1">
        <f>VLOOKUP(A337,'SegEnds_NonXtal_Prot#'!A:AL,31,FALSE)-VLOOKUP(A337,'SegEnds_NonXtal_Prot#'!A:AL,28,FALSE)</f>
        <v>85</v>
      </c>
      <c r="AJ337" s="1">
        <f>VLOOKUP(A337,'SegEnds_NonXtal_Prot#'!A:AL,34,FALSE)-VLOOKUP(A337,'SegEnds_NonXtal_Prot#'!A:AL,31,FALSE)</f>
        <v>31</v>
      </c>
      <c r="AK337" s="1">
        <f>VLOOKUP(A337,'SegEnds_NonXtal_Prot#'!A:AL,37,FALSE)-VLOOKUP(A337,'SegEnds_NonXtal_Prot#'!A:AL,34,FALSE)</f>
        <v>10</v>
      </c>
      <c r="AL337" s="1" t="str">
        <f>IF(ISERROR(MATCH(A337,'SegEnds_Xtal_Prot#'!B:B, 0)), "NoXtal", "Xtal")</f>
        <v>NoXtal</v>
      </c>
    </row>
    <row r="338" spans="1:38" x14ac:dyDescent="0.2">
      <c r="A338" s="1" t="s">
        <v>1183</v>
      </c>
      <c r="B338" s="1" t="str">
        <f>VLOOKUP(A338,Xtal_Templ!A:B,2,FALSE)</f>
        <v>calrl_human</v>
      </c>
      <c r="C338" s="5">
        <v>23</v>
      </c>
      <c r="D338" s="1">
        <f>VLOOKUP($B338&amp;"__wt",'SegEnds_Xtal_BW#'!$A:$Z,4,FALSE)</f>
        <v>60</v>
      </c>
      <c r="E338" s="1">
        <f>VLOOKUP($B338&amp;"__wt",'SegEnds_Xtal_BW#'!$A:$Z,5,FALSE)</f>
        <v>48</v>
      </c>
      <c r="F338" s="1">
        <f>VLOOKUP($B338&amp;"__wt",'SegEnds_Xtal_BW#'!$A:$Z,6,FALSE)</f>
        <v>51</v>
      </c>
      <c r="G338" s="1">
        <v>37</v>
      </c>
      <c r="H338" s="12">
        <v>63</v>
      </c>
      <c r="I338" s="1" t="str">
        <f>VLOOKUP($B338&amp;"__wt",'SegEnds_Xtal_BW#'!$A:$Z,9,FALSE)</f>
        <v>-</v>
      </c>
      <c r="J338" s="1" t="str">
        <f>VLOOKUP($B338&amp;"__wt",'SegEnds_Xtal_BW#'!$A:$Z,10,FALSE)</f>
        <v>-</v>
      </c>
      <c r="K338" s="12">
        <v>23</v>
      </c>
      <c r="L338" s="1">
        <f>VLOOKUP($B338&amp;"__wt",'SegEnds_Xtal_BW#'!$A:$Z,12,FALSE)</f>
        <v>56</v>
      </c>
      <c r="M338" s="1" t="str">
        <f>VLOOKUP($B338&amp;"__wt",'SegEnds_Xtal_BW#'!$A:$Z,13,FALSE)</f>
        <v>-</v>
      </c>
      <c r="N338" s="12" t="str">
        <f>VLOOKUP($B338&amp;"__wt",'SegEnds_Xtal_BW#'!$A:$Z,14,FALSE)</f>
        <v>-</v>
      </c>
      <c r="O338" s="87">
        <f>VLOOKUP($B338&amp;"__wt",'SegEnds_Xtal_BW#'!$A:$Z,15,FALSE)</f>
        <v>41</v>
      </c>
      <c r="P338" s="1">
        <f>VLOOKUP($B338&amp;"__wt",'SegEnds_Xtal_BW#'!$A:$Z,16,FALSE)</f>
        <v>67</v>
      </c>
      <c r="Q338" s="1">
        <f>VLOOKUP($B338&amp;"__wt",'SegEnds_Xtal_BW#'!$A:$Z,17,FALSE)</f>
        <v>50</v>
      </c>
      <c r="R338" s="1">
        <f>VLOOKUP($B338&amp;"__wt",'SegEnds_Xtal_BW#'!$A:$Z,18,FALSE)</f>
        <v>52</v>
      </c>
      <c r="S338" s="1">
        <v>36</v>
      </c>
      <c r="T338" s="1">
        <v>69</v>
      </c>
      <c r="U338" s="1">
        <v>29</v>
      </c>
      <c r="V338" s="1">
        <f>VLOOKUP($B338&amp;"__wt",'SegEnds_Xtal_BW#'!$A:$Z,22,FALSE)</f>
        <v>53</v>
      </c>
      <c r="W338" s="1">
        <v>31</v>
      </c>
      <c r="X338" s="1">
        <f>VLOOKUP($B338&amp;"__wt",'SegEnds_Xtal_BW#'!$A:$Z,24,FALSE)</f>
        <v>56</v>
      </c>
      <c r="Y338" s="1">
        <f>VLOOKUP($B338&amp;"__wt",'SegEnds_Xtal_BW#'!$A:$Z,25,FALSE)</f>
        <v>47</v>
      </c>
      <c r="Z338" s="1">
        <v>63</v>
      </c>
      <c r="AA338" s="27" t="str">
        <f>VLOOKUP(A338,Classification!A:B,2,FALSE)</f>
        <v>B2</v>
      </c>
      <c r="AB338" s="1">
        <f>VLOOKUP(A338,'SegEnds_NonXtal_Prot#'!A:AL,10,FALSE)-VLOOKUP(A338,'SegEnds_NonXtal_Prot#'!A:AL,4,FALSE)</f>
        <v>31</v>
      </c>
      <c r="AC338" s="1" t="e">
        <f>VLOOKUP(A338,'SegEnds_NonXtal_Prot#'!A:AL,10,FALSE)-VLOOKUP(A338,'SegEnds_NonXtal_Prot#'!A:AL,7,FALSE)</f>
        <v>#VALUE!</v>
      </c>
      <c r="AD338" s="1" t="e">
        <f>VLOOKUP(A338,'SegEnds_NonXtal_Prot#'!A:AL,13,FALSE)-VLOOKUP(A338,'SegEnds_NonXtal_Prot#'!A:AL,10,FALSE)</f>
        <v>#VALUE!</v>
      </c>
      <c r="AE338" s="1">
        <f>VLOOKUP(A338,'SegEnds_NonXtal_Prot#'!A:AL,16,FALSE)-VLOOKUP(A338,'SegEnds_NonXtal_Prot#'!A:AL,10,FALSE)</f>
        <v>50</v>
      </c>
      <c r="AF338" s="1" t="e">
        <f>VLOOKUP(A338,'SegEnds_NonXtal_Prot#'!A:AL,22,FALSE)-VLOOKUP(A338,'SegEnds_NonXtal_Prot#'!A:AL,19,FALSE)</f>
        <v>#VALUE!</v>
      </c>
      <c r="AG338" s="1">
        <f>VLOOKUP(A338,'SegEnds_NonXtal_Prot#'!A:AL,28,FALSE)-VLOOKUP(A338,'SegEnds_NonXtal_Prot#'!A:AL,25,FALSE)</f>
        <v>19</v>
      </c>
      <c r="AH338" s="1">
        <f>VLOOKUP(A338,'SegEnds_NonXtal_Prot#'!A:AL,28,FALSE)-VLOOKUP(A338,'SegEnds_NonXtal_Prot#'!A:AL,22,FALSE)</f>
        <v>45</v>
      </c>
      <c r="AI338" s="1">
        <f>VLOOKUP(A338,'SegEnds_NonXtal_Prot#'!A:AL,31,FALSE)-VLOOKUP(A338,'SegEnds_NonXtal_Prot#'!A:AL,28,FALSE)</f>
        <v>52</v>
      </c>
      <c r="AJ338" s="1">
        <f>VLOOKUP(A338,'SegEnds_NonXtal_Prot#'!A:AL,34,FALSE)-VLOOKUP(A338,'SegEnds_NonXtal_Prot#'!A:AL,31,FALSE)</f>
        <v>29</v>
      </c>
      <c r="AK338" s="1">
        <f>VLOOKUP(A338,'SegEnds_NonXtal_Prot#'!A:AL,37,FALSE)-VLOOKUP(A338,'SegEnds_NonXtal_Prot#'!A:AL,34,FALSE)</f>
        <v>10</v>
      </c>
      <c r="AL338" s="1" t="str">
        <f>IF(ISERROR(MATCH(A338,'SegEnds_Xtal_Prot#'!B:B, 0)), "NoXtal", "Xtal")</f>
        <v>NoXtal</v>
      </c>
    </row>
    <row r="339" spans="1:38" x14ac:dyDescent="0.2">
      <c r="A339" s="1" t="s">
        <v>1170</v>
      </c>
      <c r="B339" s="1" t="str">
        <f>VLOOKUP(A339,Xtal_Templ!A:B,2,FALSE)</f>
        <v>pacr_human</v>
      </c>
      <c r="C339" s="5">
        <v>23</v>
      </c>
      <c r="D339" s="1">
        <f>VLOOKUP($B339&amp;"__wt",'SegEnds_Xtal_BW#'!$A:$Z,4,FALSE)</f>
        <v>60</v>
      </c>
      <c r="E339" s="1">
        <f>VLOOKUP($B339&amp;"__wt",'SegEnds_Xtal_BW#'!$A:$Z,5,FALSE)</f>
        <v>48</v>
      </c>
      <c r="F339" s="1">
        <f>VLOOKUP($B339&amp;"__wt",'SegEnds_Xtal_BW#'!$A:$Z,6,FALSE)</f>
        <v>51</v>
      </c>
      <c r="G339" s="1">
        <v>37</v>
      </c>
      <c r="H339" s="12">
        <v>63</v>
      </c>
      <c r="I339" s="1" t="str">
        <f>VLOOKUP($B339&amp;"__wt",'SegEnds_Xtal_BW#'!$A:$Z,9,FALSE)</f>
        <v>-</v>
      </c>
      <c r="J339" s="1" t="str">
        <f>VLOOKUP($B339&amp;"__wt",'SegEnds_Xtal_BW#'!$A:$Z,10,FALSE)</f>
        <v>-</v>
      </c>
      <c r="K339" s="12">
        <v>23</v>
      </c>
      <c r="L339" s="1">
        <f>VLOOKUP($B339&amp;"__wt",'SegEnds_Xtal_BW#'!$A:$Z,12,FALSE)</f>
        <v>56</v>
      </c>
      <c r="M339" s="1" t="str">
        <f>VLOOKUP($B339&amp;"__wt",'SegEnds_Xtal_BW#'!$A:$Z,13,FALSE)</f>
        <v>-</v>
      </c>
      <c r="N339" s="12" t="str">
        <f>VLOOKUP($B339&amp;"__wt",'SegEnds_Xtal_BW#'!$A:$Z,14,FALSE)</f>
        <v>-</v>
      </c>
      <c r="O339" s="87">
        <f>VLOOKUP($B339&amp;"__wt",'SegEnds_Xtal_BW#'!$A:$Z,15,FALSE)</f>
        <v>40</v>
      </c>
      <c r="P339" s="1">
        <f>VLOOKUP($B339&amp;"__wt",'SegEnds_Xtal_BW#'!$A:$Z,16,FALSE)</f>
        <v>68</v>
      </c>
      <c r="Q339" s="1">
        <f>VLOOKUP($B339&amp;"__wt",'SegEnds_Xtal_BW#'!$A:$Z,17,FALSE)</f>
        <v>50</v>
      </c>
      <c r="R339" s="1">
        <f>VLOOKUP($B339&amp;"__wt",'SegEnds_Xtal_BW#'!$A:$Z,18,FALSE)</f>
        <v>52</v>
      </c>
      <c r="S339" s="1">
        <v>36</v>
      </c>
      <c r="T339" s="1">
        <v>69</v>
      </c>
      <c r="U339" s="1">
        <v>29</v>
      </c>
      <c r="V339" s="1">
        <f>VLOOKUP($B339&amp;"__wt",'SegEnds_Xtal_BW#'!$A:$Z,22,FALSE)</f>
        <v>54</v>
      </c>
      <c r="W339" s="1">
        <v>29</v>
      </c>
      <c r="X339" s="1">
        <f>VLOOKUP($B339&amp;"__wt",'SegEnds_Xtal_BW#'!$A:$Z,24,FALSE)</f>
        <v>56</v>
      </c>
      <c r="Y339" s="1">
        <f>VLOOKUP($B339&amp;"__wt",'SegEnds_Xtal_BW#'!$A:$Z,25,FALSE)</f>
        <v>47</v>
      </c>
      <c r="Z339" s="1">
        <v>63</v>
      </c>
      <c r="AA339" s="27" t="str">
        <f>VLOOKUP(A339,Classification!A:B,2,FALSE)</f>
        <v>B2</v>
      </c>
      <c r="AB339" s="1">
        <f>VLOOKUP(A339,'SegEnds_NonXtal_Prot#'!A:AL,10,FALSE)-VLOOKUP(A339,'SegEnds_NonXtal_Prot#'!A:AL,4,FALSE)</f>
        <v>26</v>
      </c>
      <c r="AC339" s="1" t="e">
        <f>VLOOKUP(A339,'SegEnds_NonXtal_Prot#'!A:AL,10,FALSE)-VLOOKUP(A339,'SegEnds_NonXtal_Prot#'!A:AL,7,FALSE)</f>
        <v>#VALUE!</v>
      </c>
      <c r="AD339" s="1" t="e">
        <f>VLOOKUP(A339,'SegEnds_NonXtal_Prot#'!A:AL,13,FALSE)-VLOOKUP(A339,'SegEnds_NonXtal_Prot#'!A:AL,10,FALSE)</f>
        <v>#VALUE!</v>
      </c>
      <c r="AE339" s="1">
        <f>VLOOKUP(A339,'SegEnds_NonXtal_Prot#'!A:AL,16,FALSE)-VLOOKUP(A339,'SegEnds_NonXtal_Prot#'!A:AL,10,FALSE)</f>
        <v>47</v>
      </c>
      <c r="AF339" s="1" t="e">
        <f>VLOOKUP(A339,'SegEnds_NonXtal_Prot#'!A:AL,22,FALSE)-VLOOKUP(A339,'SegEnds_NonXtal_Prot#'!A:AL,19,FALSE)</f>
        <v>#VALUE!</v>
      </c>
      <c r="AG339" s="1">
        <f>VLOOKUP(A339,'SegEnds_NonXtal_Prot#'!A:AL,28,FALSE)-VLOOKUP(A339,'SegEnds_NonXtal_Prot#'!A:AL,25,FALSE)</f>
        <v>18</v>
      </c>
      <c r="AH339" s="1">
        <f>VLOOKUP(A339,'SegEnds_NonXtal_Prot#'!A:AL,28,FALSE)-VLOOKUP(A339,'SegEnds_NonXtal_Prot#'!A:AL,22,FALSE)</f>
        <v>46</v>
      </c>
      <c r="AI339" s="1">
        <f>VLOOKUP(A339,'SegEnds_NonXtal_Prot#'!A:AL,31,FALSE)-VLOOKUP(A339,'SegEnds_NonXtal_Prot#'!A:AL,28,FALSE)</f>
        <v>86</v>
      </c>
      <c r="AJ339" s="1">
        <f>VLOOKUP(A339,'SegEnds_NonXtal_Prot#'!A:AL,34,FALSE)-VLOOKUP(A339,'SegEnds_NonXtal_Prot#'!A:AL,31,FALSE)</f>
        <v>31</v>
      </c>
      <c r="AK339" s="1">
        <f>VLOOKUP(A339,'SegEnds_NonXtal_Prot#'!A:AL,37,FALSE)-VLOOKUP(A339,'SegEnds_NonXtal_Prot#'!A:AL,34,FALSE)</f>
        <v>10</v>
      </c>
      <c r="AL339" s="1" t="str">
        <f>IF(ISERROR(MATCH(A339,'SegEnds_Xtal_Prot#'!B:B, 0)), "NoXtal", "Xtal")</f>
        <v>NoXtal</v>
      </c>
    </row>
    <row r="340" spans="1:38" x14ac:dyDescent="0.2">
      <c r="A340" s="1" t="s">
        <v>1182</v>
      </c>
      <c r="B340" s="1" t="str">
        <f>VLOOKUP(A340,Xtal_Templ!A:B,2,FALSE)</f>
        <v>calrl_human</v>
      </c>
      <c r="C340" s="5">
        <v>23</v>
      </c>
      <c r="D340" s="1">
        <f>VLOOKUP($B340&amp;"__wt",'SegEnds_Xtal_BW#'!$A:$Z,4,FALSE)</f>
        <v>60</v>
      </c>
      <c r="E340" s="1">
        <f>VLOOKUP($B340&amp;"__wt",'SegEnds_Xtal_BW#'!$A:$Z,5,FALSE)</f>
        <v>48</v>
      </c>
      <c r="F340" s="1">
        <f>VLOOKUP($B340&amp;"__wt",'SegEnds_Xtal_BW#'!$A:$Z,6,FALSE)</f>
        <v>51</v>
      </c>
      <c r="G340" s="1">
        <v>37</v>
      </c>
      <c r="H340" s="12">
        <v>63</v>
      </c>
      <c r="I340" s="1" t="str">
        <f>VLOOKUP($B340&amp;"__wt",'SegEnds_Xtal_BW#'!$A:$Z,9,FALSE)</f>
        <v>-</v>
      </c>
      <c r="J340" s="1" t="str">
        <f>VLOOKUP($B340&amp;"__wt",'SegEnds_Xtal_BW#'!$A:$Z,10,FALSE)</f>
        <v>-</v>
      </c>
      <c r="K340" s="12">
        <v>23</v>
      </c>
      <c r="L340" s="1">
        <f>VLOOKUP($B340&amp;"__wt",'SegEnds_Xtal_BW#'!$A:$Z,12,FALSE)</f>
        <v>56</v>
      </c>
      <c r="M340" s="1" t="str">
        <f>VLOOKUP($B340&amp;"__wt",'SegEnds_Xtal_BW#'!$A:$Z,13,FALSE)</f>
        <v>-</v>
      </c>
      <c r="N340" s="12" t="str">
        <f>VLOOKUP($B340&amp;"__wt",'SegEnds_Xtal_BW#'!$A:$Z,14,FALSE)</f>
        <v>-</v>
      </c>
      <c r="O340" s="87">
        <f>VLOOKUP($B340&amp;"__wt",'SegEnds_Xtal_BW#'!$A:$Z,15,FALSE)</f>
        <v>41</v>
      </c>
      <c r="P340" s="1">
        <f>VLOOKUP($B340&amp;"__wt",'SegEnds_Xtal_BW#'!$A:$Z,16,FALSE)</f>
        <v>67</v>
      </c>
      <c r="Q340" s="1">
        <f>VLOOKUP($B340&amp;"__wt",'SegEnds_Xtal_BW#'!$A:$Z,17,FALSE)</f>
        <v>50</v>
      </c>
      <c r="R340" s="1">
        <f>VLOOKUP($B340&amp;"__wt",'SegEnds_Xtal_BW#'!$A:$Z,18,FALSE)</f>
        <v>52</v>
      </c>
      <c r="S340" s="1">
        <v>36</v>
      </c>
      <c r="T340" s="1">
        <v>69</v>
      </c>
      <c r="U340" s="1">
        <v>29</v>
      </c>
      <c r="V340" s="108">
        <v>50</v>
      </c>
      <c r="W340" s="1">
        <v>31</v>
      </c>
      <c r="X340" s="1">
        <f>VLOOKUP($B340&amp;"__wt",'SegEnds_Xtal_BW#'!$A:$Z,24,FALSE)</f>
        <v>56</v>
      </c>
      <c r="Y340" s="1">
        <f>VLOOKUP($B340&amp;"__wt",'SegEnds_Xtal_BW#'!$A:$Z,25,FALSE)</f>
        <v>47</v>
      </c>
      <c r="Z340" s="1">
        <v>63</v>
      </c>
      <c r="AA340" s="27" t="str">
        <f>VLOOKUP(A340,Classification!A:B,2,FALSE)</f>
        <v>B2</v>
      </c>
      <c r="AB340" s="1">
        <f>VLOOKUP(A340,'SegEnds_NonXtal_Prot#'!A:AL,10,FALSE)-VLOOKUP(A340,'SegEnds_NonXtal_Prot#'!A:AL,4,FALSE)</f>
        <v>31</v>
      </c>
      <c r="AC340" s="1" t="e">
        <f>VLOOKUP(A340,'SegEnds_NonXtal_Prot#'!A:AL,10,FALSE)-VLOOKUP(A340,'SegEnds_NonXtal_Prot#'!A:AL,7,FALSE)</f>
        <v>#VALUE!</v>
      </c>
      <c r="AD340" s="1" t="e">
        <f>VLOOKUP(A340,'SegEnds_NonXtal_Prot#'!A:AL,13,FALSE)-VLOOKUP(A340,'SegEnds_NonXtal_Prot#'!A:AL,10,FALSE)</f>
        <v>#VALUE!</v>
      </c>
      <c r="AE340" s="1">
        <f>VLOOKUP(A340,'SegEnds_NonXtal_Prot#'!A:AL,16,FALSE)-VLOOKUP(A340,'SegEnds_NonXtal_Prot#'!A:AL,10,FALSE)</f>
        <v>51</v>
      </c>
      <c r="AF340" s="1" t="e">
        <f>VLOOKUP(A340,'SegEnds_NonXtal_Prot#'!A:AL,22,FALSE)-VLOOKUP(A340,'SegEnds_NonXtal_Prot#'!A:AL,19,FALSE)</f>
        <v>#VALUE!</v>
      </c>
      <c r="AG340" s="1">
        <f>VLOOKUP(A340,'SegEnds_NonXtal_Prot#'!A:AL,28,FALSE)-VLOOKUP(A340,'SegEnds_NonXtal_Prot#'!A:AL,25,FALSE)</f>
        <v>20</v>
      </c>
      <c r="AH340" s="1">
        <f>VLOOKUP(A340,'SegEnds_NonXtal_Prot#'!A:AL,28,FALSE)-VLOOKUP(A340,'SegEnds_NonXtal_Prot#'!A:AL,22,FALSE)</f>
        <v>46</v>
      </c>
      <c r="AI340" s="1">
        <f>VLOOKUP(A340,'SegEnds_NonXtal_Prot#'!A:AL,31,FALSE)-VLOOKUP(A340,'SegEnds_NonXtal_Prot#'!A:AL,28,FALSE)</f>
        <v>57</v>
      </c>
      <c r="AJ340" s="1">
        <f>VLOOKUP(A340,'SegEnds_NonXtal_Prot#'!A:AL,34,FALSE)-VLOOKUP(A340,'SegEnds_NonXtal_Prot#'!A:AL,31,FALSE)</f>
        <v>23</v>
      </c>
      <c r="AK340" s="1" t="e">
        <f>VLOOKUP(A340,'SegEnds_NonXtal_Prot#'!A:AL,37,FALSE)-VLOOKUP(A340,'SegEnds_NonXtal_Prot#'!A:AL,34,FALSE)</f>
        <v>#VALUE!</v>
      </c>
      <c r="AL340" s="1" t="str">
        <f>IF(ISERROR(MATCH(A340,'SegEnds_Xtal_Prot#'!B:B, 0)), "NoXtal", "Xtal")</f>
        <v>NoXtal</v>
      </c>
    </row>
    <row r="341" spans="1:38" x14ac:dyDescent="0.2">
      <c r="A341" s="1" t="s">
        <v>1184</v>
      </c>
      <c r="B341" s="1" t="str">
        <f>VLOOKUP(A341,Xtal_Templ!A:B,2,FALSE)</f>
        <v>crfr1_human</v>
      </c>
      <c r="C341" s="5">
        <v>23</v>
      </c>
      <c r="D341" s="1">
        <f>VLOOKUP($B341&amp;"__wt",'SegEnds_Xtal_BW#'!$A:$Z,4,FALSE)</f>
        <v>60</v>
      </c>
      <c r="E341" s="1">
        <f>VLOOKUP($B341&amp;"__wt",'SegEnds_Xtal_BW#'!$A:$Z,5,FALSE)</f>
        <v>48</v>
      </c>
      <c r="F341" s="1">
        <f>VLOOKUP($B341&amp;"__wt",'SegEnds_Xtal_BW#'!$A:$Z,6,FALSE)</f>
        <v>51</v>
      </c>
      <c r="G341" s="1">
        <v>37</v>
      </c>
      <c r="H341" s="12">
        <v>63</v>
      </c>
      <c r="I341" s="1" t="str">
        <f>VLOOKUP($B341&amp;"__wt",'SegEnds_Xtal_BW#'!$A:$Z,9,FALSE)</f>
        <v>-</v>
      </c>
      <c r="J341" s="1" t="str">
        <f>VLOOKUP($B341&amp;"__wt",'SegEnds_Xtal_BW#'!$A:$Z,10,FALSE)</f>
        <v>-</v>
      </c>
      <c r="K341" s="12">
        <v>23</v>
      </c>
      <c r="L341" s="1">
        <f>VLOOKUP($B341&amp;"__wt",'SegEnds_Xtal_BW#'!$A:$Z,12,FALSE)</f>
        <v>56</v>
      </c>
      <c r="M341" s="1" t="str">
        <f>VLOOKUP($B341&amp;"__wt",'SegEnds_Xtal_BW#'!$A:$Z,13,FALSE)</f>
        <v>-</v>
      </c>
      <c r="N341" s="12" t="str">
        <f>VLOOKUP($B341&amp;"__wt",'SegEnds_Xtal_BW#'!$A:$Z,14,FALSE)</f>
        <v>-</v>
      </c>
      <c r="O341" s="87">
        <f>VLOOKUP($B341&amp;"__wt",'SegEnds_Xtal_BW#'!$A:$Z,15,FALSE)</f>
        <v>40</v>
      </c>
      <c r="P341" s="1">
        <f>VLOOKUP($B341&amp;"__wt",'SegEnds_Xtal_BW#'!$A:$Z,16,FALSE)</f>
        <v>68</v>
      </c>
      <c r="Q341" s="1">
        <f>VLOOKUP($B341&amp;"__wt",'SegEnds_Xtal_BW#'!$A:$Z,17,FALSE)</f>
        <v>50</v>
      </c>
      <c r="R341" s="1">
        <f>VLOOKUP($B341&amp;"__wt",'SegEnds_Xtal_BW#'!$A:$Z,18,FALSE)</f>
        <v>52</v>
      </c>
      <c r="S341" s="1">
        <v>36</v>
      </c>
      <c r="T341" s="1">
        <v>69</v>
      </c>
      <c r="U341" s="1">
        <v>29</v>
      </c>
      <c r="V341" s="1">
        <f>VLOOKUP($B341&amp;"__wt",'SegEnds_Xtal_BW#'!$A:$Z,22,FALSE)</f>
        <v>53</v>
      </c>
      <c r="W341" s="1">
        <v>31</v>
      </c>
      <c r="X341" s="1">
        <f>VLOOKUP($B341&amp;"__wt",'SegEnds_Xtal_BW#'!$A:$Z,24,FALSE)</f>
        <v>56</v>
      </c>
      <c r="Y341" s="1">
        <f>VLOOKUP($B341&amp;"__wt",'SegEnds_Xtal_BW#'!$A:$Z,25,FALSE)</f>
        <v>47</v>
      </c>
      <c r="Z341" s="1">
        <v>63</v>
      </c>
      <c r="AA341" s="27" t="str">
        <f>VLOOKUP(A341,Classification!A:B,2,FALSE)</f>
        <v>B2</v>
      </c>
      <c r="AB341" s="1">
        <f>VLOOKUP(A341,'SegEnds_NonXtal_Prot#'!A:AL,10,FALSE)-VLOOKUP(A341,'SegEnds_NonXtal_Prot#'!A:AL,4,FALSE)</f>
        <v>31</v>
      </c>
      <c r="AC341" s="1" t="e">
        <f>VLOOKUP(A341,'SegEnds_NonXtal_Prot#'!A:AL,10,FALSE)-VLOOKUP(A341,'SegEnds_NonXtal_Prot#'!A:AL,7,FALSE)</f>
        <v>#VALUE!</v>
      </c>
      <c r="AD341" s="1" t="e">
        <f>VLOOKUP(A341,'SegEnds_NonXtal_Prot#'!A:AL,13,FALSE)-VLOOKUP(A341,'SegEnds_NonXtal_Prot#'!A:AL,10,FALSE)</f>
        <v>#VALUE!</v>
      </c>
      <c r="AE341" s="1">
        <f>VLOOKUP(A341,'SegEnds_NonXtal_Prot#'!A:AL,16,FALSE)-VLOOKUP(A341,'SegEnds_NonXtal_Prot#'!A:AL,10,FALSE)</f>
        <v>51</v>
      </c>
      <c r="AF341" s="1" t="e">
        <f>VLOOKUP(A341,'SegEnds_NonXtal_Prot#'!A:AL,22,FALSE)-VLOOKUP(A341,'SegEnds_NonXtal_Prot#'!A:AL,19,FALSE)</f>
        <v>#VALUE!</v>
      </c>
      <c r="AG341" s="1">
        <f>VLOOKUP(A341,'SegEnds_NonXtal_Prot#'!A:AL,28,FALSE)-VLOOKUP(A341,'SegEnds_NonXtal_Prot#'!A:AL,25,FALSE)</f>
        <v>20</v>
      </c>
      <c r="AH341" s="1">
        <f>VLOOKUP(A341,'SegEnds_NonXtal_Prot#'!A:AL,28,FALSE)-VLOOKUP(A341,'SegEnds_NonXtal_Prot#'!A:AL,22,FALSE)</f>
        <v>46</v>
      </c>
      <c r="AI341" s="1">
        <f>VLOOKUP(A341,'SegEnds_NonXtal_Prot#'!A:AL,31,FALSE)-VLOOKUP(A341,'SegEnds_NonXtal_Prot#'!A:AL,28,FALSE)</f>
        <v>51</v>
      </c>
      <c r="AJ341" s="1">
        <f>VLOOKUP(A341,'SegEnds_NonXtal_Prot#'!A:AL,34,FALSE)-VLOOKUP(A341,'SegEnds_NonXtal_Prot#'!A:AL,31,FALSE)</f>
        <v>29</v>
      </c>
      <c r="AK341" s="1">
        <f>VLOOKUP(A341,'SegEnds_NonXtal_Prot#'!A:AL,37,FALSE)-VLOOKUP(A341,'SegEnds_NonXtal_Prot#'!A:AL,34,FALSE)</f>
        <v>10</v>
      </c>
      <c r="AL341" s="1" t="str">
        <f>IF(ISERROR(MATCH(A341,'SegEnds_Xtal_Prot#'!B:B, 0)), "NoXtal", "Xtal")</f>
        <v>NoXtal</v>
      </c>
    </row>
    <row r="342" spans="1:38" x14ac:dyDescent="0.2">
      <c r="A342" s="1" t="s">
        <v>1185</v>
      </c>
      <c r="B342" s="1" t="str">
        <f>VLOOKUP(A342,Xtal_Templ!A:B,2,FALSE)</f>
        <v>crfr1_human</v>
      </c>
      <c r="C342" s="5">
        <v>23</v>
      </c>
      <c r="D342" s="1">
        <f>VLOOKUP($B342&amp;"__wt",'SegEnds_Xtal_BW#'!$A:$Z,4,FALSE)</f>
        <v>60</v>
      </c>
      <c r="E342" s="1">
        <f>VLOOKUP($B342&amp;"__wt",'SegEnds_Xtal_BW#'!$A:$Z,5,FALSE)</f>
        <v>48</v>
      </c>
      <c r="F342" s="1">
        <f>VLOOKUP($B342&amp;"__wt",'SegEnds_Xtal_BW#'!$A:$Z,6,FALSE)</f>
        <v>51</v>
      </c>
      <c r="G342" s="1">
        <v>37</v>
      </c>
      <c r="H342" s="12">
        <v>63</v>
      </c>
      <c r="I342" s="1" t="str">
        <f>VLOOKUP($B342&amp;"__wt",'SegEnds_Xtal_BW#'!$A:$Z,9,FALSE)</f>
        <v>-</v>
      </c>
      <c r="J342" s="1" t="str">
        <f>VLOOKUP($B342&amp;"__wt",'SegEnds_Xtal_BW#'!$A:$Z,10,FALSE)</f>
        <v>-</v>
      </c>
      <c r="K342" s="12">
        <v>23</v>
      </c>
      <c r="L342" s="1">
        <f>VLOOKUP($B342&amp;"__wt",'SegEnds_Xtal_BW#'!$A:$Z,12,FALSE)</f>
        <v>56</v>
      </c>
      <c r="M342" s="1" t="str">
        <f>VLOOKUP($B342&amp;"__wt",'SegEnds_Xtal_BW#'!$A:$Z,13,FALSE)</f>
        <v>-</v>
      </c>
      <c r="N342" s="12" t="str">
        <f>VLOOKUP($B342&amp;"__wt",'SegEnds_Xtal_BW#'!$A:$Z,14,FALSE)</f>
        <v>-</v>
      </c>
      <c r="O342" s="87">
        <f>VLOOKUP($B342&amp;"__wt",'SegEnds_Xtal_BW#'!$A:$Z,15,FALSE)</f>
        <v>40</v>
      </c>
      <c r="P342" s="1">
        <f>VLOOKUP($B342&amp;"__wt",'SegEnds_Xtal_BW#'!$A:$Z,16,FALSE)</f>
        <v>68</v>
      </c>
      <c r="Q342" s="1">
        <f>VLOOKUP($B342&amp;"__wt",'SegEnds_Xtal_BW#'!$A:$Z,17,FALSE)</f>
        <v>50</v>
      </c>
      <c r="R342" s="1">
        <f>VLOOKUP($B342&amp;"__wt",'SegEnds_Xtal_BW#'!$A:$Z,18,FALSE)</f>
        <v>52</v>
      </c>
      <c r="S342" s="1">
        <v>36</v>
      </c>
      <c r="T342" s="1">
        <v>69</v>
      </c>
      <c r="U342" s="1">
        <v>29</v>
      </c>
      <c r="V342" s="1">
        <f>VLOOKUP($B342&amp;"__wt",'SegEnds_Xtal_BW#'!$A:$Z,22,FALSE)</f>
        <v>53</v>
      </c>
      <c r="W342" s="1">
        <v>31</v>
      </c>
      <c r="X342" s="1">
        <f>VLOOKUP($B342&amp;"__wt",'SegEnds_Xtal_BW#'!$A:$Z,24,FALSE)</f>
        <v>56</v>
      </c>
      <c r="Y342" s="1">
        <f>VLOOKUP($B342&amp;"__wt",'SegEnds_Xtal_BW#'!$A:$Z,25,FALSE)</f>
        <v>47</v>
      </c>
      <c r="Z342" s="1">
        <v>63</v>
      </c>
      <c r="AA342" s="27" t="str">
        <f>VLOOKUP(A342,Classification!A:B,2,FALSE)</f>
        <v>B2</v>
      </c>
      <c r="AB342" s="1">
        <f>VLOOKUP(A342,'SegEnds_NonXtal_Prot#'!A:AL,10,FALSE)-VLOOKUP(A342,'SegEnds_NonXtal_Prot#'!A:AL,4,FALSE)</f>
        <v>31</v>
      </c>
      <c r="AC342" s="1">
        <f>VLOOKUP(A342,'SegEnds_NonXtal_Prot#'!A:AL,10,FALSE)-VLOOKUP(A342,'SegEnds_NonXtal_Prot#'!A:AL,7,FALSE)</f>
        <v>17</v>
      </c>
      <c r="AD342" s="1" t="e">
        <f>VLOOKUP(A342,'SegEnds_NonXtal_Prot#'!A:AL,13,FALSE)-VLOOKUP(A342,'SegEnds_NonXtal_Prot#'!A:AL,10,FALSE)</f>
        <v>#VALUE!</v>
      </c>
      <c r="AE342" s="1">
        <f>VLOOKUP(A342,'SegEnds_NonXtal_Prot#'!A:AL,16,FALSE)-VLOOKUP(A342,'SegEnds_NonXtal_Prot#'!A:AL,10,FALSE)</f>
        <v>53</v>
      </c>
      <c r="AF342" s="1" t="e">
        <f>VLOOKUP(A342,'SegEnds_NonXtal_Prot#'!A:AL,22,FALSE)-VLOOKUP(A342,'SegEnds_NonXtal_Prot#'!A:AL,19,FALSE)</f>
        <v>#VALUE!</v>
      </c>
      <c r="AG342" s="1">
        <f>VLOOKUP(A342,'SegEnds_NonXtal_Prot#'!A:AL,28,FALSE)-VLOOKUP(A342,'SegEnds_NonXtal_Prot#'!A:AL,25,FALSE)</f>
        <v>20</v>
      </c>
      <c r="AH342" s="1">
        <f>VLOOKUP(A342,'SegEnds_NonXtal_Prot#'!A:AL,28,FALSE)-VLOOKUP(A342,'SegEnds_NonXtal_Prot#'!A:AL,22,FALSE)</f>
        <v>46</v>
      </c>
      <c r="AI342" s="1">
        <f>VLOOKUP(A342,'SegEnds_NonXtal_Prot#'!A:AL,31,FALSE)-VLOOKUP(A342,'SegEnds_NonXtal_Prot#'!A:AL,28,FALSE)</f>
        <v>52</v>
      </c>
      <c r="AJ342" s="1">
        <f>VLOOKUP(A342,'SegEnds_NonXtal_Prot#'!A:AL,34,FALSE)-VLOOKUP(A342,'SegEnds_NonXtal_Prot#'!A:AL,31,FALSE)</f>
        <v>29</v>
      </c>
      <c r="AK342" s="1">
        <f>VLOOKUP(A342,'SegEnds_NonXtal_Prot#'!A:AL,37,FALSE)-VLOOKUP(A342,'SegEnds_NonXtal_Prot#'!A:AL,34,FALSE)</f>
        <v>10</v>
      </c>
      <c r="AL342" s="1" t="str">
        <f>IF(ISERROR(MATCH(A342,'SegEnds_Xtal_Prot#'!B:B, 0)), "NoXtal", "Xtal")</f>
        <v>NoXtal</v>
      </c>
    </row>
    <row r="343" spans="1:38" x14ac:dyDescent="0.2">
      <c r="A343" s="1" t="s">
        <v>1181</v>
      </c>
      <c r="B343" s="1" t="str">
        <f>VLOOKUP(A343,Xtal_Templ!A:B,2,FALSE)</f>
        <v>pth1r_human</v>
      </c>
      <c r="C343" s="5">
        <v>23</v>
      </c>
      <c r="D343" s="1">
        <f>VLOOKUP($B343&amp;"__wt",'SegEnds_Xtal_BW#'!$A:$Z,4,FALSE)</f>
        <v>60</v>
      </c>
      <c r="E343" s="1">
        <f>VLOOKUP($B343&amp;"__wt",'SegEnds_Xtal_BW#'!$A:$Z,5,FALSE)</f>
        <v>48</v>
      </c>
      <c r="F343" s="1">
        <f>VLOOKUP($B343&amp;"__wt",'SegEnds_Xtal_BW#'!$A:$Z,6,FALSE)</f>
        <v>51</v>
      </c>
      <c r="G343" s="1">
        <v>37</v>
      </c>
      <c r="H343" s="12">
        <v>63</v>
      </c>
      <c r="I343" s="1" t="str">
        <f>VLOOKUP($B343&amp;"__wt",'SegEnds_Xtal_BW#'!$A:$Z,9,FALSE)</f>
        <v>-</v>
      </c>
      <c r="J343" s="1" t="str">
        <f>VLOOKUP($B343&amp;"__wt",'SegEnds_Xtal_BW#'!$A:$Z,10,FALSE)</f>
        <v>-</v>
      </c>
      <c r="K343" s="12">
        <v>23</v>
      </c>
      <c r="L343" s="1">
        <f>VLOOKUP($B343&amp;"__wt",'SegEnds_Xtal_BW#'!$A:$Z,12,FALSE)</f>
        <v>56</v>
      </c>
      <c r="M343" s="1" t="str">
        <f>VLOOKUP($B343&amp;"__wt",'SegEnds_Xtal_BW#'!$A:$Z,13,FALSE)</f>
        <v>-</v>
      </c>
      <c r="N343" s="12" t="str">
        <f>VLOOKUP($B343&amp;"__wt",'SegEnds_Xtal_BW#'!$A:$Z,14,FALSE)</f>
        <v>-</v>
      </c>
      <c r="O343" s="87">
        <f>VLOOKUP($B343&amp;"__wt",'SegEnds_Xtal_BW#'!$A:$Z,15,FALSE)</f>
        <v>37</v>
      </c>
      <c r="P343" s="1">
        <f>VLOOKUP($B343&amp;"__wt",'SegEnds_Xtal_BW#'!$A:$Z,16,FALSE)</f>
        <v>68</v>
      </c>
      <c r="Q343" s="1">
        <f>VLOOKUP($B343&amp;"__wt",'SegEnds_Xtal_BW#'!$A:$Z,17,FALSE)</f>
        <v>50</v>
      </c>
      <c r="R343" s="1">
        <f>VLOOKUP($B343&amp;"__wt",'SegEnds_Xtal_BW#'!$A:$Z,18,FALSE)</f>
        <v>52</v>
      </c>
      <c r="S343" s="1">
        <v>36</v>
      </c>
      <c r="T343" s="1">
        <v>69</v>
      </c>
      <c r="U343" s="1">
        <v>29</v>
      </c>
      <c r="V343" s="1">
        <f>VLOOKUP($B343&amp;"__wt",'SegEnds_Xtal_BW#'!$A:$Z,22,FALSE)</f>
        <v>54</v>
      </c>
      <c r="W343" s="1">
        <v>31</v>
      </c>
      <c r="X343" s="1">
        <f>VLOOKUP($B343&amp;"__wt",'SegEnds_Xtal_BW#'!$A:$Z,24,FALSE)</f>
        <v>56</v>
      </c>
      <c r="Y343" s="1">
        <f>VLOOKUP($B343&amp;"__wt",'SegEnds_Xtal_BW#'!$A:$Z,25,FALSE)</f>
        <v>47</v>
      </c>
      <c r="Z343" s="1">
        <v>63</v>
      </c>
      <c r="AA343" s="27" t="str">
        <f>VLOOKUP(A343,Classification!A:B,2,FALSE)</f>
        <v>B2</v>
      </c>
      <c r="AB343" s="1">
        <f>VLOOKUP(A343,'SegEnds_NonXtal_Prot#'!A:AL,10,FALSE)-VLOOKUP(A343,'SegEnds_NonXtal_Prot#'!A:AL,4,FALSE)</f>
        <v>31</v>
      </c>
      <c r="AC343" s="1" t="e">
        <f>VLOOKUP(A343,'SegEnds_NonXtal_Prot#'!A:AL,10,FALSE)-VLOOKUP(A343,'SegEnds_NonXtal_Prot#'!A:AL,7,FALSE)</f>
        <v>#VALUE!</v>
      </c>
      <c r="AD343" s="1" t="e">
        <f>VLOOKUP(A343,'SegEnds_NonXtal_Prot#'!A:AL,13,FALSE)-VLOOKUP(A343,'SegEnds_NonXtal_Prot#'!A:AL,10,FALSE)</f>
        <v>#VALUE!</v>
      </c>
      <c r="AE343" s="1">
        <f>VLOOKUP(A343,'SegEnds_NonXtal_Prot#'!A:AL,16,FALSE)-VLOOKUP(A343,'SegEnds_NonXtal_Prot#'!A:AL,10,FALSE)</f>
        <v>51</v>
      </c>
      <c r="AF343" s="1" t="e">
        <f>VLOOKUP(A343,'SegEnds_NonXtal_Prot#'!A:AL,22,FALSE)-VLOOKUP(A343,'SegEnds_NonXtal_Prot#'!A:AL,19,FALSE)</f>
        <v>#VALUE!</v>
      </c>
      <c r="AG343" s="1">
        <f>VLOOKUP(A343,'SegEnds_NonXtal_Prot#'!A:AL,28,FALSE)-VLOOKUP(A343,'SegEnds_NonXtal_Prot#'!A:AL,25,FALSE)</f>
        <v>21</v>
      </c>
      <c r="AH343" s="1">
        <f>VLOOKUP(A343,'SegEnds_NonXtal_Prot#'!A:AL,28,FALSE)-VLOOKUP(A343,'SegEnds_NonXtal_Prot#'!A:AL,22,FALSE)</f>
        <v>47</v>
      </c>
      <c r="AI343" s="1">
        <f>VLOOKUP(A343,'SegEnds_NonXtal_Prot#'!A:AL,31,FALSE)-VLOOKUP(A343,'SegEnds_NonXtal_Prot#'!A:AL,28,FALSE)</f>
        <v>52</v>
      </c>
      <c r="AJ343" s="1">
        <f>VLOOKUP(A343,'SegEnds_NonXtal_Prot#'!A:AL,34,FALSE)-VLOOKUP(A343,'SegEnds_NonXtal_Prot#'!A:AL,31,FALSE)</f>
        <v>29</v>
      </c>
      <c r="AK343" s="1">
        <f>VLOOKUP(A343,'SegEnds_NonXtal_Prot#'!A:AL,37,FALSE)-VLOOKUP(A343,'SegEnds_NonXtal_Prot#'!A:AL,34,FALSE)</f>
        <v>10</v>
      </c>
      <c r="AL343" s="1" t="str">
        <f>IF(ISERROR(MATCH(A343,'SegEnds_Xtal_Prot#'!B:B, 0)), "NoXtal", "Xtal")</f>
        <v>NoXtal</v>
      </c>
    </row>
    <row r="344" spans="1:38" x14ac:dyDescent="0.2">
      <c r="A344" s="4" t="s">
        <v>1189</v>
      </c>
      <c r="B344" s="4" t="str">
        <f>VLOOKUP(A344,Xtal_Templ!A:B,2,FALSE)</f>
        <v>pth1r_human</v>
      </c>
      <c r="C344" s="5">
        <v>23</v>
      </c>
      <c r="D344" s="4">
        <f>VLOOKUP($B344&amp;"__wt",'SegEnds_Xtal_BW#'!$A:$Z,4,FALSE)</f>
        <v>60</v>
      </c>
      <c r="E344" s="4">
        <f>VLOOKUP($B344&amp;"__wt",'SegEnds_Xtal_BW#'!$A:$Z,5,FALSE)</f>
        <v>48</v>
      </c>
      <c r="F344" s="4">
        <f>VLOOKUP($B344&amp;"__wt",'SegEnds_Xtal_BW#'!$A:$Z,6,FALSE)</f>
        <v>51</v>
      </c>
      <c r="G344" s="4">
        <v>37</v>
      </c>
      <c r="H344" s="11">
        <v>63</v>
      </c>
      <c r="I344" s="4" t="str">
        <f>VLOOKUP($B344&amp;"__wt",'SegEnds_Xtal_BW#'!$A:$Z,9,FALSE)</f>
        <v>-</v>
      </c>
      <c r="J344" s="4" t="str">
        <f>VLOOKUP($B344&amp;"__wt",'SegEnds_Xtal_BW#'!$A:$Z,10,FALSE)</f>
        <v>-</v>
      </c>
      <c r="K344" s="11">
        <v>23</v>
      </c>
      <c r="L344" s="4">
        <f>VLOOKUP($B344&amp;"__wt",'SegEnds_Xtal_BW#'!$A:$Z,12,FALSE)</f>
        <v>56</v>
      </c>
      <c r="M344" s="4" t="str">
        <f>VLOOKUP($B344&amp;"__wt",'SegEnds_Xtal_BW#'!$A:$Z,13,FALSE)</f>
        <v>-</v>
      </c>
      <c r="N344" s="11" t="str">
        <f>VLOOKUP($B344&amp;"__wt",'SegEnds_Xtal_BW#'!$A:$Z,14,FALSE)</f>
        <v>-</v>
      </c>
      <c r="O344" s="88">
        <f>VLOOKUP($B344&amp;"__wt",'SegEnds_Xtal_BW#'!$A:$Z,15,FALSE)</f>
        <v>37</v>
      </c>
      <c r="P344" s="4">
        <f>VLOOKUP($B344&amp;"__wt",'SegEnds_Xtal_BW#'!$A:$Z,16,FALSE)</f>
        <v>68</v>
      </c>
      <c r="Q344" s="4">
        <f>VLOOKUP($B344&amp;"__wt",'SegEnds_Xtal_BW#'!$A:$Z,17,FALSE)</f>
        <v>50</v>
      </c>
      <c r="R344" s="4">
        <f>VLOOKUP($B344&amp;"__wt",'SegEnds_Xtal_BW#'!$A:$Z,18,FALSE)</f>
        <v>52</v>
      </c>
      <c r="S344" s="4">
        <v>36</v>
      </c>
      <c r="T344" s="4">
        <v>69</v>
      </c>
      <c r="U344" s="4">
        <v>29</v>
      </c>
      <c r="V344" s="4">
        <f>VLOOKUP($B344&amp;"__wt",'SegEnds_Xtal_BW#'!$A:$Z,22,FALSE)</f>
        <v>54</v>
      </c>
      <c r="W344" s="4">
        <v>31</v>
      </c>
      <c r="X344" s="4">
        <f>VLOOKUP($B344&amp;"__wt",'SegEnds_Xtal_BW#'!$A:$Z,24,FALSE)</f>
        <v>56</v>
      </c>
      <c r="Y344" s="4">
        <f>VLOOKUP($B344&amp;"__wt",'SegEnds_Xtal_BW#'!$A:$Z,25,FALSE)</f>
        <v>47</v>
      </c>
      <c r="Z344" s="4">
        <v>63</v>
      </c>
      <c r="AA344" s="27" t="str">
        <f>VLOOKUP(A344,Classification!A:B,2,FALSE)</f>
        <v>B2</v>
      </c>
      <c r="AB344" s="1">
        <f>VLOOKUP(A344,'SegEnds_NonXtal_Prot#'!A:AL,10,FALSE)-VLOOKUP(A344,'SegEnds_NonXtal_Prot#'!A:AL,4,FALSE)</f>
        <v>29</v>
      </c>
      <c r="AC344" s="4" t="e">
        <f>VLOOKUP(A344,'SegEnds_NonXtal_Prot#'!A:AL,10,FALSE)-VLOOKUP(A344,'SegEnds_NonXtal_Prot#'!A:AL,7,FALSE)</f>
        <v>#VALUE!</v>
      </c>
      <c r="AD344" s="4" t="e">
        <f>VLOOKUP(A344,'SegEnds_NonXtal_Prot#'!A:AL,13,FALSE)-VLOOKUP(A344,'SegEnds_NonXtal_Prot#'!A:AL,10,FALSE)</f>
        <v>#VALUE!</v>
      </c>
      <c r="AE344" s="4">
        <f>VLOOKUP(A344,'SegEnds_NonXtal_Prot#'!A:AL,16,FALSE)-VLOOKUP(A344,'SegEnds_NonXtal_Prot#'!A:AL,10,FALSE)</f>
        <v>47</v>
      </c>
      <c r="AF344" s="1" t="e">
        <f>VLOOKUP(A344,'SegEnds_NonXtal_Prot#'!A:AL,22,FALSE)-VLOOKUP(A344,'SegEnds_NonXtal_Prot#'!A:AL,19,FALSE)</f>
        <v>#VALUE!</v>
      </c>
      <c r="AG344" s="4">
        <f>VLOOKUP(A344,'SegEnds_NonXtal_Prot#'!A:AL,28,FALSE)-VLOOKUP(A344,'SegEnds_NonXtal_Prot#'!A:AL,25,FALSE)</f>
        <v>19</v>
      </c>
      <c r="AH344" s="1">
        <f>VLOOKUP(A344,'SegEnds_NonXtal_Prot#'!A:AL,28,FALSE)-VLOOKUP(A344,'SegEnds_NonXtal_Prot#'!A:AL,22,FALSE)</f>
        <v>47</v>
      </c>
      <c r="AI344" s="4">
        <f>VLOOKUP(A344,'SegEnds_NonXtal_Prot#'!A:AL,31,FALSE)-VLOOKUP(A344,'SegEnds_NonXtal_Prot#'!A:AL,28,FALSE)</f>
        <v>50</v>
      </c>
      <c r="AJ344" s="4">
        <f>VLOOKUP(A344,'SegEnds_NonXtal_Prot#'!A:AL,34,FALSE)-VLOOKUP(A344,'SegEnds_NonXtal_Prot#'!A:AL,31,FALSE)</f>
        <v>28</v>
      </c>
      <c r="AK344" s="1">
        <f>VLOOKUP(A344,'SegEnds_NonXtal_Prot#'!A:AL,37,FALSE)-VLOOKUP(A344,'SegEnds_NonXtal_Prot#'!A:AL,34,FALSE)</f>
        <v>10</v>
      </c>
      <c r="AL344" s="1" t="str">
        <f>IF(ISERROR(MATCH(A344,'SegEnds_Xtal_Prot#'!B:B, 0)), "NoXtal", "Xtal")</f>
        <v>NoXtal</v>
      </c>
    </row>
    <row r="345" spans="1:38" x14ac:dyDescent="0.2">
      <c r="A345" s="1" t="s">
        <v>1188</v>
      </c>
      <c r="B345" s="1" t="str">
        <f>VLOOKUP(A345,Xtal_Templ!A:B,2,FALSE)</f>
        <v>pth1r_human</v>
      </c>
      <c r="C345" s="5">
        <v>23</v>
      </c>
      <c r="D345" s="1">
        <f>VLOOKUP($B345&amp;"__wt",'SegEnds_Xtal_BW#'!$A:$Z,4,FALSE)</f>
        <v>60</v>
      </c>
      <c r="E345" s="1">
        <f>VLOOKUP($B345&amp;"__wt",'SegEnds_Xtal_BW#'!$A:$Z,5,FALSE)</f>
        <v>48</v>
      </c>
      <c r="F345" s="1">
        <f>VLOOKUP($B345&amp;"__wt",'SegEnds_Xtal_BW#'!$A:$Z,6,FALSE)</f>
        <v>51</v>
      </c>
      <c r="G345" s="1">
        <v>37</v>
      </c>
      <c r="H345" s="12">
        <v>63</v>
      </c>
      <c r="I345" s="1" t="str">
        <f>VLOOKUP($B345&amp;"__wt",'SegEnds_Xtal_BW#'!$A:$Z,9,FALSE)</f>
        <v>-</v>
      </c>
      <c r="J345" s="1" t="str">
        <f>VLOOKUP($B345&amp;"__wt",'SegEnds_Xtal_BW#'!$A:$Z,10,FALSE)</f>
        <v>-</v>
      </c>
      <c r="K345" s="12">
        <v>23</v>
      </c>
      <c r="L345" s="1">
        <f>VLOOKUP($B345&amp;"__wt",'SegEnds_Xtal_BW#'!$A:$Z,12,FALSE)</f>
        <v>56</v>
      </c>
      <c r="M345" s="1" t="str">
        <f>VLOOKUP($B345&amp;"__wt",'SegEnds_Xtal_BW#'!$A:$Z,13,FALSE)</f>
        <v>-</v>
      </c>
      <c r="N345" s="12" t="str">
        <f>VLOOKUP($B345&amp;"__wt",'SegEnds_Xtal_BW#'!$A:$Z,14,FALSE)</f>
        <v>-</v>
      </c>
      <c r="O345" s="87">
        <f>VLOOKUP($B345&amp;"__wt",'SegEnds_Xtal_BW#'!$A:$Z,15,FALSE)</f>
        <v>37</v>
      </c>
      <c r="P345" s="1">
        <f>VLOOKUP($B345&amp;"__wt",'SegEnds_Xtal_BW#'!$A:$Z,16,FALSE)</f>
        <v>68</v>
      </c>
      <c r="Q345" s="1">
        <f>VLOOKUP($B345&amp;"__wt",'SegEnds_Xtal_BW#'!$A:$Z,17,FALSE)</f>
        <v>50</v>
      </c>
      <c r="R345" s="1">
        <f>VLOOKUP($B345&amp;"__wt",'SegEnds_Xtal_BW#'!$A:$Z,18,FALSE)</f>
        <v>52</v>
      </c>
      <c r="S345" s="1">
        <v>36</v>
      </c>
      <c r="T345" s="1">
        <v>69</v>
      </c>
      <c r="U345" s="1">
        <v>29</v>
      </c>
      <c r="V345" s="1">
        <v>50</v>
      </c>
      <c r="W345" s="1">
        <v>31</v>
      </c>
      <c r="X345" s="1">
        <f>VLOOKUP($B345&amp;"__wt",'SegEnds_Xtal_BW#'!$A:$Z,24,FALSE)</f>
        <v>56</v>
      </c>
      <c r="Y345" s="1">
        <f>VLOOKUP($B345&amp;"__wt",'SegEnds_Xtal_BW#'!$A:$Z,25,FALSE)</f>
        <v>47</v>
      </c>
      <c r="Z345" s="1">
        <v>63</v>
      </c>
      <c r="AA345" s="27" t="str">
        <f>VLOOKUP(A345,Classification!A:B,2,FALSE)</f>
        <v>B2</v>
      </c>
      <c r="AB345" s="1">
        <f>VLOOKUP(A345,'SegEnds_NonXtal_Prot#'!A:AL,10,FALSE)-VLOOKUP(A345,'SegEnds_NonXtal_Prot#'!A:AL,4,FALSE)</f>
        <v>33</v>
      </c>
      <c r="AC345" s="1" t="e">
        <f>VLOOKUP(A345,'SegEnds_NonXtal_Prot#'!A:AL,10,FALSE)-VLOOKUP(A345,'SegEnds_NonXtal_Prot#'!A:AL,7,FALSE)</f>
        <v>#VALUE!</v>
      </c>
      <c r="AD345" s="1" t="e">
        <f>VLOOKUP(A345,'SegEnds_NonXtal_Prot#'!A:AL,13,FALSE)-VLOOKUP(A345,'SegEnds_NonXtal_Prot#'!A:AL,10,FALSE)</f>
        <v>#VALUE!</v>
      </c>
      <c r="AE345" s="1">
        <f>VLOOKUP(A345,'SegEnds_NonXtal_Prot#'!A:AL,16,FALSE)-VLOOKUP(A345,'SegEnds_NonXtal_Prot#'!A:AL,10,FALSE)</f>
        <v>47</v>
      </c>
      <c r="AF345" s="1" t="e">
        <f>VLOOKUP(A345,'SegEnds_NonXtal_Prot#'!A:AL,22,FALSE)-VLOOKUP(A345,'SegEnds_NonXtal_Prot#'!A:AL,19,FALSE)</f>
        <v>#VALUE!</v>
      </c>
      <c r="AG345" s="1">
        <f>VLOOKUP(A345,'SegEnds_NonXtal_Prot#'!A:AL,28,FALSE)-VLOOKUP(A345,'SegEnds_NonXtal_Prot#'!A:AL,25,FALSE)</f>
        <v>18</v>
      </c>
      <c r="AH345" s="1">
        <f>VLOOKUP(A345,'SegEnds_NonXtal_Prot#'!A:AL,28,FALSE)-VLOOKUP(A345,'SegEnds_NonXtal_Prot#'!A:AL,22,FALSE)</f>
        <v>51</v>
      </c>
      <c r="AI345" s="1">
        <f>VLOOKUP(A345,'SegEnds_NonXtal_Prot#'!A:AL,31,FALSE)-VLOOKUP(A345,'SegEnds_NonXtal_Prot#'!A:AL,28,FALSE)</f>
        <v>54</v>
      </c>
      <c r="AJ345" s="1">
        <f>VLOOKUP(A345,'SegEnds_NonXtal_Prot#'!A:AL,34,FALSE)-VLOOKUP(A345,'SegEnds_NonXtal_Prot#'!A:AL,31,FALSE)</f>
        <v>26</v>
      </c>
      <c r="AK345" s="1">
        <f>VLOOKUP(A345,'SegEnds_NonXtal_Prot#'!A:AL,37,FALSE)-VLOOKUP(A345,'SegEnds_NonXtal_Prot#'!A:AL,34,FALSE)</f>
        <v>10</v>
      </c>
      <c r="AL345" s="1" t="str">
        <f>IF(ISERROR(MATCH(A345,'SegEnds_Xtal_Prot#'!B:B, 0)), "NoXtal", "Xtal")</f>
        <v>NoXtal</v>
      </c>
    </row>
    <row r="346" spans="1:38" x14ac:dyDescent="0.2">
      <c r="A346" s="1" t="s">
        <v>1407</v>
      </c>
      <c r="B346" s="1" t="str">
        <f>VLOOKUP(A346,Xtal_Templ!A:B,2,FALSE)</f>
        <v>crfr2_human</v>
      </c>
      <c r="C346" s="5">
        <v>23</v>
      </c>
      <c r="D346" s="1">
        <f>VLOOKUP($B346&amp;"__wt",'SegEnds_Xtal_BW#'!$A:$Z,4,FALSE)</f>
        <v>60</v>
      </c>
      <c r="E346" s="1">
        <f>VLOOKUP($B346&amp;"__wt",'SegEnds_Xtal_BW#'!$A:$Z,5,FALSE)</f>
        <v>48</v>
      </c>
      <c r="F346" s="1">
        <f>VLOOKUP($B346&amp;"__wt",'SegEnds_Xtal_BW#'!$A:$Z,6,FALSE)</f>
        <v>51</v>
      </c>
      <c r="G346" s="1">
        <v>37</v>
      </c>
      <c r="H346" s="12">
        <v>63</v>
      </c>
      <c r="I346" s="1" t="str">
        <f>VLOOKUP($B346&amp;"__wt",'SegEnds_Xtal_BW#'!$A:$Z,9,FALSE)</f>
        <v>-</v>
      </c>
      <c r="J346" s="1" t="str">
        <f>VLOOKUP($B346&amp;"__wt",'SegEnds_Xtal_BW#'!$A:$Z,10,FALSE)</f>
        <v>-</v>
      </c>
      <c r="K346" s="12">
        <v>23</v>
      </c>
      <c r="L346" s="1">
        <f>VLOOKUP($B346&amp;"__wt",'SegEnds_Xtal_BW#'!$A:$Z,12,FALSE)</f>
        <v>56</v>
      </c>
      <c r="M346" s="1" t="str">
        <f>VLOOKUP($B346&amp;"__wt",'SegEnds_Xtal_BW#'!$A:$Z,13,FALSE)</f>
        <v>-</v>
      </c>
      <c r="N346" s="12" t="str">
        <f>VLOOKUP($B346&amp;"__wt",'SegEnds_Xtal_BW#'!$A:$Z,14,FALSE)</f>
        <v>-</v>
      </c>
      <c r="O346" s="87">
        <f>VLOOKUP($B346&amp;"__wt",'SegEnds_Xtal_BW#'!$A:$Z,15,FALSE)</f>
        <v>41</v>
      </c>
      <c r="P346" s="1">
        <f>VLOOKUP($B346&amp;"__wt",'SegEnds_Xtal_BW#'!$A:$Z,16,FALSE)</f>
        <v>68</v>
      </c>
      <c r="Q346" s="1">
        <f>VLOOKUP($B346&amp;"__wt",'SegEnds_Xtal_BW#'!$A:$Z,17,FALSE)</f>
        <v>50</v>
      </c>
      <c r="R346" s="1">
        <f>VLOOKUP($B346&amp;"__wt",'SegEnds_Xtal_BW#'!$A:$Z,18,FALSE)</f>
        <v>52</v>
      </c>
      <c r="S346" s="1">
        <v>36</v>
      </c>
      <c r="T346" s="1">
        <v>69</v>
      </c>
      <c r="U346" s="1">
        <v>29</v>
      </c>
      <c r="V346" s="1">
        <f>VLOOKUP($B346&amp;"__wt",'SegEnds_Xtal_BW#'!$A:$Z,22,FALSE)</f>
        <v>53</v>
      </c>
      <c r="W346" s="1">
        <v>31</v>
      </c>
      <c r="X346" s="1">
        <f>VLOOKUP($B346&amp;"__wt",'SegEnds_Xtal_BW#'!$A:$Z,24,FALSE)</f>
        <v>56</v>
      </c>
      <c r="Y346" s="1">
        <f>VLOOKUP($B346&amp;"__wt",'SegEnds_Xtal_BW#'!$A:$Z,25,FALSE)</f>
        <v>47</v>
      </c>
      <c r="Z346" s="1">
        <v>63</v>
      </c>
      <c r="AA346" s="27" t="str">
        <f>VLOOKUP(A346,Classification!A:B,2,FALSE)</f>
        <v>B2</v>
      </c>
      <c r="AB346" s="1">
        <f>VLOOKUP(A346,'SegEnds_NonXtal_Prot#'!A:AL,10,FALSE)-VLOOKUP(A346,'SegEnds_NonXtal_Prot#'!A:AL,4,FALSE)</f>
        <v>29</v>
      </c>
      <c r="AC346" s="1">
        <f>VLOOKUP(A346,'SegEnds_NonXtal_Prot#'!A:AL,10,FALSE)-VLOOKUP(A346,'SegEnds_NonXtal_Prot#'!A:AL,7,FALSE)</f>
        <v>16</v>
      </c>
      <c r="AD346" s="1" t="e">
        <f>VLOOKUP(A346,'SegEnds_NonXtal_Prot#'!A:AL,13,FALSE)-VLOOKUP(A346,'SegEnds_NonXtal_Prot#'!A:AL,10,FALSE)</f>
        <v>#VALUE!</v>
      </c>
      <c r="AE346" s="1">
        <f>VLOOKUP(A346,'SegEnds_NonXtal_Prot#'!A:AL,16,FALSE)-VLOOKUP(A346,'SegEnds_NonXtal_Prot#'!A:AL,10,FALSE)</f>
        <v>47</v>
      </c>
      <c r="AF346" s="1" t="e">
        <f>VLOOKUP(A346,'SegEnds_NonXtal_Prot#'!A:AL,22,FALSE)-VLOOKUP(A346,'SegEnds_NonXtal_Prot#'!A:AL,19,FALSE)</f>
        <v>#VALUE!</v>
      </c>
      <c r="AG346" s="1">
        <f>VLOOKUP(A346,'SegEnds_NonXtal_Prot#'!A:AL,28,FALSE)-VLOOKUP(A346,'SegEnds_NonXtal_Prot#'!A:AL,25,FALSE)</f>
        <v>19</v>
      </c>
      <c r="AH346" s="1">
        <f>VLOOKUP(A346,'SegEnds_NonXtal_Prot#'!A:AL,28,FALSE)-VLOOKUP(A346,'SegEnds_NonXtal_Prot#'!A:AL,22,FALSE)</f>
        <v>53</v>
      </c>
      <c r="AI346" s="1">
        <f>VLOOKUP(A346,'SegEnds_NonXtal_Prot#'!A:AL,31,FALSE)-VLOOKUP(A346,'SegEnds_NonXtal_Prot#'!A:AL,28,FALSE)</f>
        <v>51</v>
      </c>
      <c r="AJ346" s="1">
        <f>VLOOKUP(A346,'SegEnds_NonXtal_Prot#'!A:AL,34,FALSE)-VLOOKUP(A346,'SegEnds_NonXtal_Prot#'!A:AL,31,FALSE)</f>
        <v>28</v>
      </c>
      <c r="AK346" s="1">
        <f>VLOOKUP(A346,'SegEnds_NonXtal_Prot#'!A:AL,37,FALSE)-VLOOKUP(A346,'SegEnds_NonXtal_Prot#'!A:AL,34,FALSE)</f>
        <v>10</v>
      </c>
      <c r="AL346" s="1" t="str">
        <f>IF(ISERROR(MATCH(A346,'SegEnds_Xtal_Prot#'!B:B, 0)), "NoXtal", "Xtal")</f>
        <v>NoXtal</v>
      </c>
    </row>
    <row r="347" spans="1:38" x14ac:dyDescent="0.2">
      <c r="A347" s="4" t="s">
        <v>1187</v>
      </c>
      <c r="B347" s="4" t="str">
        <f>VLOOKUP(A347,Xtal_Templ!A:B,2,FALSE)</f>
        <v>pacr_human</v>
      </c>
      <c r="C347" s="5">
        <v>23</v>
      </c>
      <c r="D347" s="4">
        <f>VLOOKUP($B347&amp;"__wt",'SegEnds_Xtal_BW#'!$A:$Z,4,FALSE)</f>
        <v>60</v>
      </c>
      <c r="E347" s="4">
        <f>VLOOKUP($B347&amp;"__wt",'SegEnds_Xtal_BW#'!$A:$Z,5,FALSE)</f>
        <v>48</v>
      </c>
      <c r="F347" s="4">
        <f>VLOOKUP($B347&amp;"__wt",'SegEnds_Xtal_BW#'!$A:$Z,6,FALSE)</f>
        <v>51</v>
      </c>
      <c r="G347" s="4">
        <v>37</v>
      </c>
      <c r="H347" s="11">
        <v>63</v>
      </c>
      <c r="I347" s="4" t="str">
        <f>VLOOKUP($B347&amp;"__wt",'SegEnds_Xtal_BW#'!$A:$Z,9,FALSE)</f>
        <v>-</v>
      </c>
      <c r="J347" s="4" t="str">
        <f>VLOOKUP($B347&amp;"__wt",'SegEnds_Xtal_BW#'!$A:$Z,10,FALSE)</f>
        <v>-</v>
      </c>
      <c r="K347" s="11">
        <v>23</v>
      </c>
      <c r="L347" s="4">
        <f>VLOOKUP($B347&amp;"__wt",'SegEnds_Xtal_BW#'!$A:$Z,12,FALSE)</f>
        <v>56</v>
      </c>
      <c r="M347" s="4" t="str">
        <f>VLOOKUP($B347&amp;"__wt",'SegEnds_Xtal_BW#'!$A:$Z,13,FALSE)</f>
        <v>-</v>
      </c>
      <c r="N347" s="11" t="str">
        <f>VLOOKUP($B347&amp;"__wt",'SegEnds_Xtal_BW#'!$A:$Z,14,FALSE)</f>
        <v>-</v>
      </c>
      <c r="O347" s="88">
        <f>VLOOKUP($B347&amp;"__wt",'SegEnds_Xtal_BW#'!$A:$Z,15,FALSE)</f>
        <v>40</v>
      </c>
      <c r="P347" s="4">
        <f>VLOOKUP($B347&amp;"__wt",'SegEnds_Xtal_BW#'!$A:$Z,16,FALSE)</f>
        <v>68</v>
      </c>
      <c r="Q347" s="4">
        <f>VLOOKUP($B347&amp;"__wt",'SegEnds_Xtal_BW#'!$A:$Z,17,FALSE)</f>
        <v>50</v>
      </c>
      <c r="R347" s="4">
        <f>VLOOKUP($B347&amp;"__wt",'SegEnds_Xtal_BW#'!$A:$Z,18,FALSE)</f>
        <v>52</v>
      </c>
      <c r="S347" s="4">
        <v>36</v>
      </c>
      <c r="T347" s="4">
        <v>69</v>
      </c>
      <c r="U347" s="4">
        <v>29</v>
      </c>
      <c r="V347" s="4">
        <f>VLOOKUP($B347&amp;"__wt",'SegEnds_Xtal_BW#'!$A:$Z,22,FALSE)</f>
        <v>54</v>
      </c>
      <c r="W347" s="4">
        <v>31</v>
      </c>
      <c r="X347" s="4">
        <f>VLOOKUP($B347&amp;"__wt",'SegEnds_Xtal_BW#'!$A:$Z,24,FALSE)</f>
        <v>56</v>
      </c>
      <c r="Y347" s="4">
        <f>VLOOKUP($B347&amp;"__wt",'SegEnds_Xtal_BW#'!$A:$Z,25,FALSE)</f>
        <v>47</v>
      </c>
      <c r="Z347" s="4">
        <v>63</v>
      </c>
      <c r="AA347" s="27" t="str">
        <f>VLOOKUP(A347,Classification!A:B,2,FALSE)</f>
        <v>B2</v>
      </c>
      <c r="AB347" s="1">
        <f>VLOOKUP(A347,'SegEnds_NonXtal_Prot#'!A:AL,10,FALSE)-VLOOKUP(A347,'SegEnds_NonXtal_Prot#'!A:AL,4,FALSE)</f>
        <v>29</v>
      </c>
      <c r="AC347" s="4" t="e">
        <f>VLOOKUP(A347,'SegEnds_NonXtal_Prot#'!A:AL,10,FALSE)-VLOOKUP(A347,'SegEnds_NonXtal_Prot#'!A:AL,7,FALSE)</f>
        <v>#VALUE!</v>
      </c>
      <c r="AD347" s="4" t="e">
        <f>VLOOKUP(A347,'SegEnds_NonXtal_Prot#'!A:AL,13,FALSE)-VLOOKUP(A347,'SegEnds_NonXtal_Prot#'!A:AL,10,FALSE)</f>
        <v>#VALUE!</v>
      </c>
      <c r="AE347" s="4">
        <f>VLOOKUP(A347,'SegEnds_NonXtal_Prot#'!A:AL,16,FALSE)-VLOOKUP(A347,'SegEnds_NonXtal_Prot#'!A:AL,10,FALSE)</f>
        <v>47</v>
      </c>
      <c r="AF347" s="1" t="e">
        <f>VLOOKUP(A347,'SegEnds_NonXtal_Prot#'!A:AL,22,FALSE)-VLOOKUP(A347,'SegEnds_NonXtal_Prot#'!A:AL,19,FALSE)</f>
        <v>#VALUE!</v>
      </c>
      <c r="AG347" s="4">
        <f>VLOOKUP(A347,'SegEnds_NonXtal_Prot#'!A:AL,28,FALSE)-VLOOKUP(A347,'SegEnds_NonXtal_Prot#'!A:AL,25,FALSE)</f>
        <v>19</v>
      </c>
      <c r="AH347" s="1">
        <f>VLOOKUP(A347,'SegEnds_NonXtal_Prot#'!A:AL,28,FALSE)-VLOOKUP(A347,'SegEnds_NonXtal_Prot#'!A:AL,22,FALSE)</f>
        <v>54</v>
      </c>
      <c r="AI347" s="4">
        <f>VLOOKUP(A347,'SegEnds_NonXtal_Prot#'!A:AL,31,FALSE)-VLOOKUP(A347,'SegEnds_NonXtal_Prot#'!A:AL,28,FALSE)</f>
        <v>51</v>
      </c>
      <c r="AJ347" s="4">
        <f>VLOOKUP(A347,'SegEnds_NonXtal_Prot#'!A:AL,34,FALSE)-VLOOKUP(A347,'SegEnds_NonXtal_Prot#'!A:AL,31,FALSE)</f>
        <v>28</v>
      </c>
      <c r="AK347" s="1">
        <f>VLOOKUP(A347,'SegEnds_NonXtal_Prot#'!A:AL,37,FALSE)-VLOOKUP(A347,'SegEnds_NonXtal_Prot#'!A:AL,34,FALSE)</f>
        <v>10</v>
      </c>
      <c r="AL347" s="1" t="str">
        <f>IF(ISERROR(MATCH(A347,'SegEnds_Xtal_Prot#'!B:B, 0)), "NoXtal", "Xtal")</f>
        <v>NoXtal</v>
      </c>
    </row>
    <row r="348" spans="1:38" x14ac:dyDescent="0.2">
      <c r="A348" s="1" t="s">
        <v>1674</v>
      </c>
      <c r="B348" s="1" t="str">
        <f>VLOOKUP(A348,Xtal_Templ!A:B,2,FALSE)</f>
        <v>crfr1_human</v>
      </c>
      <c r="C348" s="5">
        <v>23</v>
      </c>
      <c r="D348" s="1">
        <f>VLOOKUP($B348&amp;"__wt",'SegEnds_Xtal_BW#'!$A:$Z,4,FALSE)</f>
        <v>60</v>
      </c>
      <c r="E348" s="1">
        <f>VLOOKUP($B348&amp;"__wt",'SegEnds_Xtal_BW#'!$A:$Z,5,FALSE)</f>
        <v>48</v>
      </c>
      <c r="F348" s="1">
        <f>VLOOKUP($B348&amp;"__wt",'SegEnds_Xtal_BW#'!$A:$Z,6,FALSE)</f>
        <v>51</v>
      </c>
      <c r="G348" s="1">
        <v>37</v>
      </c>
      <c r="H348" s="12">
        <v>63</v>
      </c>
      <c r="I348" s="1" t="str">
        <f>VLOOKUP($B348&amp;"__wt",'SegEnds_Xtal_BW#'!$A:$Z,9,FALSE)</f>
        <v>-</v>
      </c>
      <c r="J348" s="1" t="str">
        <f>VLOOKUP($B348&amp;"__wt",'SegEnds_Xtal_BW#'!$A:$Z,10,FALSE)</f>
        <v>-</v>
      </c>
      <c r="K348" s="12">
        <v>23</v>
      </c>
      <c r="L348" s="1">
        <f>VLOOKUP($B348&amp;"__wt",'SegEnds_Xtal_BW#'!$A:$Z,12,FALSE)</f>
        <v>56</v>
      </c>
      <c r="M348" s="1" t="str">
        <f>VLOOKUP($B348&amp;"__wt",'SegEnds_Xtal_BW#'!$A:$Z,13,FALSE)</f>
        <v>-</v>
      </c>
      <c r="N348" s="12" t="str">
        <f>VLOOKUP($B348&amp;"__wt",'SegEnds_Xtal_BW#'!$A:$Z,14,FALSE)</f>
        <v>-</v>
      </c>
      <c r="O348" s="87">
        <f>VLOOKUP($B348&amp;"__wt",'SegEnds_Xtal_BW#'!$A:$Z,15,FALSE)</f>
        <v>40</v>
      </c>
      <c r="P348" s="1">
        <f>VLOOKUP($B348&amp;"__wt",'SegEnds_Xtal_BW#'!$A:$Z,16,FALSE)</f>
        <v>68</v>
      </c>
      <c r="Q348" s="1">
        <f>VLOOKUP($B348&amp;"__wt",'SegEnds_Xtal_BW#'!$A:$Z,17,FALSE)</f>
        <v>50</v>
      </c>
      <c r="R348" s="1">
        <f>VLOOKUP($B348&amp;"__wt",'SegEnds_Xtal_BW#'!$A:$Z,18,FALSE)</f>
        <v>52</v>
      </c>
      <c r="S348" s="1">
        <v>36</v>
      </c>
      <c r="T348" s="1">
        <v>69</v>
      </c>
      <c r="U348" s="1">
        <v>29</v>
      </c>
      <c r="V348" s="1">
        <f>VLOOKUP($B348&amp;"__wt",'SegEnds_Xtal_BW#'!$A:$Z,22,FALSE)</f>
        <v>53</v>
      </c>
      <c r="W348" s="1">
        <v>31</v>
      </c>
      <c r="X348" s="1">
        <f>VLOOKUP($B348&amp;"__wt",'SegEnds_Xtal_BW#'!$A:$Z,24,FALSE)</f>
        <v>56</v>
      </c>
      <c r="Y348" s="1">
        <f>VLOOKUP($B348&amp;"__wt",'SegEnds_Xtal_BW#'!$A:$Z,25,FALSE)</f>
        <v>47</v>
      </c>
      <c r="Z348" s="1">
        <v>63</v>
      </c>
      <c r="AA348" s="27" t="str">
        <f>VLOOKUP(A348,Classification!A:B,2,FALSE)</f>
        <v>B2</v>
      </c>
      <c r="AB348" s="1">
        <f>VLOOKUP(A348,'SegEnds_NonXtal_Prot#'!A:AL,10,FALSE)-VLOOKUP(A348,'SegEnds_NonXtal_Prot#'!A:AL,4,FALSE)</f>
        <v>26</v>
      </c>
      <c r="AC348" s="1" t="e">
        <f>VLOOKUP(A348,'SegEnds_NonXtal_Prot#'!A:AL,10,FALSE)-VLOOKUP(A348,'SegEnds_NonXtal_Prot#'!A:AL,7,FALSE)</f>
        <v>#VALUE!</v>
      </c>
      <c r="AD348" s="1" t="e">
        <f>VLOOKUP(A348,'SegEnds_NonXtal_Prot#'!A:AL,13,FALSE)-VLOOKUP(A348,'SegEnds_NonXtal_Prot#'!A:AL,10,FALSE)</f>
        <v>#VALUE!</v>
      </c>
      <c r="AE348" s="1">
        <f>VLOOKUP(A348,'SegEnds_NonXtal_Prot#'!A:AL,16,FALSE)-VLOOKUP(A348,'SegEnds_NonXtal_Prot#'!A:AL,10,FALSE)</f>
        <v>47</v>
      </c>
      <c r="AF348" s="1" t="e">
        <f>VLOOKUP(A348,'SegEnds_NonXtal_Prot#'!A:AL,22,FALSE)-VLOOKUP(A348,'SegEnds_NonXtal_Prot#'!A:AL,19,FALSE)</f>
        <v>#VALUE!</v>
      </c>
      <c r="AG348" s="1">
        <f>VLOOKUP(A348,'SegEnds_NonXtal_Prot#'!A:AL,28,FALSE)-VLOOKUP(A348,'SegEnds_NonXtal_Prot#'!A:AL,25,FALSE)</f>
        <v>20</v>
      </c>
      <c r="AH348" s="1">
        <f>VLOOKUP(A348,'SegEnds_NonXtal_Prot#'!A:AL,28,FALSE)-VLOOKUP(A348,'SegEnds_NonXtal_Prot#'!A:AL,22,FALSE)</f>
        <v>54</v>
      </c>
      <c r="AI348" s="1">
        <f>VLOOKUP(A348,'SegEnds_NonXtal_Prot#'!A:AL,31,FALSE)-VLOOKUP(A348,'SegEnds_NonXtal_Prot#'!A:AL,28,FALSE)</f>
        <v>49</v>
      </c>
      <c r="AJ348" s="1">
        <f>VLOOKUP(A348,'SegEnds_NonXtal_Prot#'!A:AL,34,FALSE)-VLOOKUP(A348,'SegEnds_NonXtal_Prot#'!A:AL,31,FALSE)</f>
        <v>28</v>
      </c>
      <c r="AK348" s="1">
        <f>VLOOKUP(A348,'SegEnds_NonXtal_Prot#'!A:AL,37,FALSE)-VLOOKUP(A348,'SegEnds_NonXtal_Prot#'!A:AL,34,FALSE)</f>
        <v>10</v>
      </c>
      <c r="AL348" s="1" t="str">
        <f>IF(ISERROR(MATCH(A348,'SegEnds_Xtal_Prot#'!B:B, 0)), "NoXtal", "Xtal")</f>
        <v>NoXtal</v>
      </c>
    </row>
    <row r="349" spans="1:38" x14ac:dyDescent="0.2">
      <c r="A349" s="4" t="s">
        <v>1186</v>
      </c>
      <c r="B349" s="4" t="str">
        <f>VLOOKUP(A349,Xtal_Templ!A:B,2,FALSE)</f>
        <v>glr_human</v>
      </c>
      <c r="C349" s="5">
        <v>23</v>
      </c>
      <c r="D349" s="4">
        <f>VLOOKUP($B349&amp;"__wt",'SegEnds_Xtal_BW#'!$A:$Z,4,FALSE)</f>
        <v>60</v>
      </c>
      <c r="E349" s="4">
        <f>VLOOKUP($B349&amp;"__wt",'SegEnds_Xtal_BW#'!$A:$Z,5,FALSE)</f>
        <v>48</v>
      </c>
      <c r="F349" s="4">
        <f>VLOOKUP($B349&amp;"__wt",'SegEnds_Xtal_BW#'!$A:$Z,6,FALSE)</f>
        <v>51</v>
      </c>
      <c r="G349" s="4">
        <v>37</v>
      </c>
      <c r="H349" s="11">
        <v>63</v>
      </c>
      <c r="I349" s="4" t="str">
        <f>VLOOKUP($B349&amp;"__wt",'SegEnds_Xtal_BW#'!$A:$Z,9,FALSE)</f>
        <v>-</v>
      </c>
      <c r="J349" s="4" t="str">
        <f>VLOOKUP($B349&amp;"__wt",'SegEnds_Xtal_BW#'!$A:$Z,10,FALSE)</f>
        <v>-</v>
      </c>
      <c r="K349" s="11">
        <v>23</v>
      </c>
      <c r="L349" s="4">
        <f>VLOOKUP($B349&amp;"__wt",'SegEnds_Xtal_BW#'!$A:$Z,12,FALSE)</f>
        <v>56</v>
      </c>
      <c r="M349" s="4" t="str">
        <f>VLOOKUP($B349&amp;"__wt",'SegEnds_Xtal_BW#'!$A:$Z,13,FALSE)</f>
        <v>-</v>
      </c>
      <c r="N349" s="11" t="str">
        <f>VLOOKUP($B349&amp;"__wt",'SegEnds_Xtal_BW#'!$A:$Z,14,FALSE)</f>
        <v>-</v>
      </c>
      <c r="O349" s="88">
        <f>VLOOKUP($B349&amp;"__wt",'SegEnds_Xtal_BW#'!$A:$Z,15,FALSE)</f>
        <v>40</v>
      </c>
      <c r="P349" s="4">
        <f>VLOOKUP($B349&amp;"__wt",'SegEnds_Xtal_BW#'!$A:$Z,16,FALSE)</f>
        <v>68</v>
      </c>
      <c r="Q349" s="4">
        <f>VLOOKUP($B349&amp;"__wt",'SegEnds_Xtal_BW#'!$A:$Z,17,FALSE)</f>
        <v>50</v>
      </c>
      <c r="R349" s="4">
        <f>VLOOKUP($B349&amp;"__wt",'SegEnds_Xtal_BW#'!$A:$Z,18,FALSE)</f>
        <v>52</v>
      </c>
      <c r="S349" s="4">
        <v>36</v>
      </c>
      <c r="T349" s="4">
        <v>69</v>
      </c>
      <c r="U349" s="4">
        <v>29</v>
      </c>
      <c r="V349" s="4">
        <f>VLOOKUP($B349&amp;"__wt",'SegEnds_Xtal_BW#'!$A:$Z,22,FALSE)</f>
        <v>53</v>
      </c>
      <c r="W349" s="115">
        <v>28</v>
      </c>
      <c r="X349" s="4">
        <f>VLOOKUP($B349&amp;"__wt",'SegEnds_Xtal_BW#'!$A:$Z,24,FALSE)</f>
        <v>56</v>
      </c>
      <c r="Y349" s="4">
        <f>VLOOKUP($B349&amp;"__wt",'SegEnds_Xtal_BW#'!$A:$Z,25,FALSE)</f>
        <v>47</v>
      </c>
      <c r="Z349" s="4">
        <v>63</v>
      </c>
      <c r="AA349" s="27" t="str">
        <f>VLOOKUP(A349,Classification!A:B,2,FALSE)</f>
        <v>B2</v>
      </c>
      <c r="AB349" s="1">
        <f>VLOOKUP(A349,'SegEnds_NonXtal_Prot#'!A:AL,10,FALSE)-VLOOKUP(A349,'SegEnds_NonXtal_Prot#'!A:AL,4,FALSE)</f>
        <v>35</v>
      </c>
      <c r="AC349" s="4">
        <f>VLOOKUP(A349,'SegEnds_NonXtal_Prot#'!A:AL,10,FALSE)-VLOOKUP(A349,'SegEnds_NonXtal_Prot#'!A:AL,7,FALSE)</f>
        <v>21</v>
      </c>
      <c r="AD349" s="4" t="e">
        <f>VLOOKUP(A349,'SegEnds_NonXtal_Prot#'!A:AL,13,FALSE)-VLOOKUP(A349,'SegEnds_NonXtal_Prot#'!A:AL,10,FALSE)</f>
        <v>#VALUE!</v>
      </c>
      <c r="AE349" s="4">
        <f>VLOOKUP(A349,'SegEnds_NonXtal_Prot#'!A:AL,16,FALSE)-VLOOKUP(A349,'SegEnds_NonXtal_Prot#'!A:AL,10,FALSE)</f>
        <v>47</v>
      </c>
      <c r="AF349" s="1" t="e">
        <f>VLOOKUP(A349,'SegEnds_NonXtal_Prot#'!A:AL,22,FALSE)-VLOOKUP(A349,'SegEnds_NonXtal_Prot#'!A:AL,19,FALSE)</f>
        <v>#VALUE!</v>
      </c>
      <c r="AG349" s="4">
        <f>VLOOKUP(A349,'SegEnds_NonXtal_Prot#'!A:AL,28,FALSE)-VLOOKUP(A349,'SegEnds_NonXtal_Prot#'!A:AL,25,FALSE)</f>
        <v>19</v>
      </c>
      <c r="AH349" s="1">
        <f>VLOOKUP(A349,'SegEnds_NonXtal_Prot#'!A:AL,28,FALSE)-VLOOKUP(A349,'SegEnds_NonXtal_Prot#'!A:AL,22,FALSE)</f>
        <v>57</v>
      </c>
      <c r="AI349" s="4">
        <f>VLOOKUP(A349,'SegEnds_NonXtal_Prot#'!A:AL,31,FALSE)-VLOOKUP(A349,'SegEnds_NonXtal_Prot#'!A:AL,28,FALSE)</f>
        <v>44</v>
      </c>
      <c r="AJ349" s="4">
        <f>VLOOKUP(A349,'SegEnds_NonXtal_Prot#'!A:AL,34,FALSE)-VLOOKUP(A349,'SegEnds_NonXtal_Prot#'!A:AL,31,FALSE)</f>
        <v>30</v>
      </c>
      <c r="AK349" s="1">
        <f>VLOOKUP(A349,'SegEnds_NonXtal_Prot#'!A:AL,37,FALSE)-VLOOKUP(A349,'SegEnds_NonXtal_Prot#'!A:AL,34,FALSE)</f>
        <v>10</v>
      </c>
      <c r="AL349" s="1" t="str">
        <f>IF(ISERROR(MATCH(A349,'SegEnds_Xtal_Prot#'!B:B, 0)), "NoXtal", "Xtal")</f>
        <v>NoXtal</v>
      </c>
    </row>
    <row r="350" spans="1:38" x14ac:dyDescent="0.2">
      <c r="A350" s="1" t="s">
        <v>1190</v>
      </c>
      <c r="B350" s="1" t="str">
        <f>VLOOKUP(A350,Xtal_Templ!A:B,2,FALSE)</f>
        <v>pth1r_human</v>
      </c>
      <c r="C350" s="5">
        <v>23</v>
      </c>
      <c r="D350" s="1">
        <f>VLOOKUP($B350&amp;"__wt",'SegEnds_Xtal_BW#'!$A:$Z,4,FALSE)</f>
        <v>60</v>
      </c>
      <c r="E350" s="1">
        <f>VLOOKUP($B350&amp;"__wt",'SegEnds_Xtal_BW#'!$A:$Z,5,FALSE)</f>
        <v>48</v>
      </c>
      <c r="F350" s="1">
        <f>VLOOKUP($B350&amp;"__wt",'SegEnds_Xtal_BW#'!$A:$Z,6,FALSE)</f>
        <v>51</v>
      </c>
      <c r="G350" s="1">
        <v>37</v>
      </c>
      <c r="H350" s="12">
        <v>63</v>
      </c>
      <c r="I350" s="1" t="str">
        <f>VLOOKUP($B350&amp;"__wt",'SegEnds_Xtal_BW#'!$A:$Z,9,FALSE)</f>
        <v>-</v>
      </c>
      <c r="J350" s="1" t="str">
        <f>VLOOKUP($B350&amp;"__wt",'SegEnds_Xtal_BW#'!$A:$Z,10,FALSE)</f>
        <v>-</v>
      </c>
      <c r="K350" s="12">
        <v>23</v>
      </c>
      <c r="L350" s="1">
        <f>VLOOKUP($B350&amp;"__wt",'SegEnds_Xtal_BW#'!$A:$Z,12,FALSE)</f>
        <v>56</v>
      </c>
      <c r="M350" s="1" t="str">
        <f>VLOOKUP($B350&amp;"__wt",'SegEnds_Xtal_BW#'!$A:$Z,13,FALSE)</f>
        <v>-</v>
      </c>
      <c r="N350" s="12" t="str">
        <f>VLOOKUP($B350&amp;"__wt",'SegEnds_Xtal_BW#'!$A:$Z,14,FALSE)</f>
        <v>-</v>
      </c>
      <c r="O350" s="87">
        <f>VLOOKUP($B350&amp;"__wt",'SegEnds_Xtal_BW#'!$A:$Z,15,FALSE)</f>
        <v>37</v>
      </c>
      <c r="P350" s="1">
        <f>VLOOKUP($B350&amp;"__wt",'SegEnds_Xtal_BW#'!$A:$Z,16,FALSE)</f>
        <v>68</v>
      </c>
      <c r="Q350" s="1">
        <f>VLOOKUP($B350&amp;"__wt",'SegEnds_Xtal_BW#'!$A:$Z,17,FALSE)</f>
        <v>50</v>
      </c>
      <c r="R350" s="1">
        <f>VLOOKUP($B350&amp;"__wt",'SegEnds_Xtal_BW#'!$A:$Z,18,FALSE)</f>
        <v>52</v>
      </c>
      <c r="S350" s="1">
        <v>36</v>
      </c>
      <c r="T350" s="1">
        <v>69</v>
      </c>
      <c r="U350" s="1">
        <v>29</v>
      </c>
      <c r="V350" s="1">
        <f>VLOOKUP($B350&amp;"__wt",'SegEnds_Xtal_BW#'!$A:$Z,22,FALSE)</f>
        <v>54</v>
      </c>
      <c r="W350" s="1">
        <v>31</v>
      </c>
      <c r="X350" s="1">
        <f>VLOOKUP($B350&amp;"__wt",'SegEnds_Xtal_BW#'!$A:$Z,24,FALSE)</f>
        <v>56</v>
      </c>
      <c r="Y350" s="1">
        <f>VLOOKUP($B350&amp;"__wt",'SegEnds_Xtal_BW#'!$A:$Z,25,FALSE)</f>
        <v>47</v>
      </c>
      <c r="Z350" s="1">
        <v>63</v>
      </c>
      <c r="AA350" s="27" t="str">
        <f>VLOOKUP(A350,Classification!A:B,2,FALSE)</f>
        <v>B2</v>
      </c>
      <c r="AB350" s="1">
        <f>VLOOKUP(A350,'SegEnds_NonXtal_Prot#'!A:AL,10,FALSE)-VLOOKUP(A350,'SegEnds_NonXtal_Prot#'!A:AL,4,FALSE)</f>
        <v>28</v>
      </c>
      <c r="AC350" s="1" t="e">
        <f>VLOOKUP(A350,'SegEnds_NonXtal_Prot#'!A:AL,10,FALSE)-VLOOKUP(A350,'SegEnds_NonXtal_Prot#'!A:AL,7,FALSE)</f>
        <v>#VALUE!</v>
      </c>
      <c r="AD350" s="1" t="e">
        <f>VLOOKUP(A350,'SegEnds_NonXtal_Prot#'!A:AL,13,FALSE)-VLOOKUP(A350,'SegEnds_NonXtal_Prot#'!A:AL,10,FALSE)</f>
        <v>#VALUE!</v>
      </c>
      <c r="AE350" s="1">
        <f>VLOOKUP(A350,'SegEnds_NonXtal_Prot#'!A:AL,16,FALSE)-VLOOKUP(A350,'SegEnds_NonXtal_Prot#'!A:AL,10,FALSE)</f>
        <v>48</v>
      </c>
      <c r="AF350" s="1" t="e">
        <f>VLOOKUP(A350,'SegEnds_NonXtal_Prot#'!A:AL,22,FALSE)-VLOOKUP(A350,'SegEnds_NonXtal_Prot#'!A:AL,19,FALSE)</f>
        <v>#VALUE!</v>
      </c>
      <c r="AG350" s="1">
        <f>VLOOKUP(A350,'SegEnds_NonXtal_Prot#'!A:AL,28,FALSE)-VLOOKUP(A350,'SegEnds_NonXtal_Prot#'!A:AL,25,FALSE)</f>
        <v>19</v>
      </c>
      <c r="AH350" s="1">
        <f>VLOOKUP(A350,'SegEnds_NonXtal_Prot#'!A:AL,28,FALSE)-VLOOKUP(A350,'SegEnds_NonXtal_Prot#'!A:AL,22,FALSE)</f>
        <v>60</v>
      </c>
      <c r="AI350" s="1">
        <f>VLOOKUP(A350,'SegEnds_NonXtal_Prot#'!A:AL,31,FALSE)-VLOOKUP(A350,'SegEnds_NonXtal_Prot#'!A:AL,28,FALSE)</f>
        <v>49</v>
      </c>
      <c r="AJ350" s="1">
        <f>VLOOKUP(A350,'SegEnds_NonXtal_Prot#'!A:AL,34,FALSE)-VLOOKUP(A350,'SegEnds_NonXtal_Prot#'!A:AL,31,FALSE)</f>
        <v>28</v>
      </c>
      <c r="AK350" s="1">
        <f>VLOOKUP(A350,'SegEnds_NonXtal_Prot#'!A:AL,37,FALSE)-VLOOKUP(A350,'SegEnds_NonXtal_Prot#'!A:AL,34,FALSE)</f>
        <v>10</v>
      </c>
      <c r="AL350" s="1" t="str">
        <f>IF(ISERROR(MATCH(A350,'SegEnds_Xtal_Prot#'!B:B, 0)), "NoXtal", "Xtal")</f>
        <v>NoXtal</v>
      </c>
    </row>
    <row r="351" spans="1:38" x14ac:dyDescent="0.2">
      <c r="A351" s="1" t="s">
        <v>1191</v>
      </c>
      <c r="B351" s="1" t="str">
        <f>VLOOKUP(A351,Xtal_Templ!A:B,2,FALSE)</f>
        <v>pth1r_human</v>
      </c>
      <c r="C351" s="5">
        <v>23</v>
      </c>
      <c r="D351" s="1">
        <f>VLOOKUP($B351&amp;"__wt",'SegEnds_Xtal_BW#'!$A:$Z,4,FALSE)</f>
        <v>60</v>
      </c>
      <c r="E351" s="1">
        <f>VLOOKUP($B351&amp;"__wt",'SegEnds_Xtal_BW#'!$A:$Z,5,FALSE)</f>
        <v>48</v>
      </c>
      <c r="F351" s="1">
        <f>VLOOKUP($B351&amp;"__wt",'SegEnds_Xtal_BW#'!$A:$Z,6,FALSE)</f>
        <v>51</v>
      </c>
      <c r="G351" s="1">
        <v>37</v>
      </c>
      <c r="H351" s="12">
        <v>65</v>
      </c>
      <c r="I351" s="1" t="str">
        <f>VLOOKUP($B351&amp;"__wt",'SegEnds_Xtal_BW#'!$A:$Z,9,FALSE)</f>
        <v>-</v>
      </c>
      <c r="J351" s="1" t="str">
        <f>VLOOKUP($B351&amp;"__wt",'SegEnds_Xtal_BW#'!$A:$Z,10,FALSE)</f>
        <v>-</v>
      </c>
      <c r="K351" s="12">
        <v>18</v>
      </c>
      <c r="L351" s="1">
        <f>VLOOKUP($B351&amp;"__wt",'SegEnds_Xtal_BW#'!$A:$Z,12,FALSE)</f>
        <v>56</v>
      </c>
      <c r="M351" s="1" t="str">
        <f>VLOOKUP($B351&amp;"__wt",'SegEnds_Xtal_BW#'!$A:$Z,13,FALSE)</f>
        <v>-</v>
      </c>
      <c r="N351" s="12" t="str">
        <f>VLOOKUP($B351&amp;"__wt",'SegEnds_Xtal_BW#'!$A:$Z,14,FALSE)</f>
        <v>-</v>
      </c>
      <c r="O351" s="87">
        <f>VLOOKUP($B351&amp;"__wt",'SegEnds_Xtal_BW#'!$A:$Z,15,FALSE)</f>
        <v>37</v>
      </c>
      <c r="P351" s="1">
        <f>VLOOKUP($B351&amp;"__wt",'SegEnds_Xtal_BW#'!$A:$Z,16,FALSE)</f>
        <v>68</v>
      </c>
      <c r="Q351" s="1">
        <f>VLOOKUP($B351&amp;"__wt",'SegEnds_Xtal_BW#'!$A:$Z,17,FALSE)</f>
        <v>50</v>
      </c>
      <c r="R351" s="1">
        <f>VLOOKUP($B351&amp;"__wt",'SegEnds_Xtal_BW#'!$A:$Z,18,FALSE)</f>
        <v>52</v>
      </c>
      <c r="S351" s="1">
        <v>36</v>
      </c>
      <c r="T351" s="1">
        <v>69</v>
      </c>
      <c r="U351" s="1">
        <v>29</v>
      </c>
      <c r="V351" s="1">
        <f>VLOOKUP($B351&amp;"__wt",'SegEnds_Xtal_BW#'!$A:$Z,22,FALSE)</f>
        <v>54</v>
      </c>
      <c r="W351" s="1">
        <v>29</v>
      </c>
      <c r="X351" s="1">
        <f>VLOOKUP($B351&amp;"__wt",'SegEnds_Xtal_BW#'!$A:$Z,24,FALSE)</f>
        <v>56</v>
      </c>
      <c r="Y351" s="1">
        <f>VLOOKUP($B351&amp;"__wt",'SegEnds_Xtal_BW#'!$A:$Z,25,FALSE)</f>
        <v>47</v>
      </c>
      <c r="Z351" s="1">
        <v>63</v>
      </c>
      <c r="AA351" s="27" t="str">
        <f>VLOOKUP(A351,Classification!A:B,2,FALSE)</f>
        <v>B2</v>
      </c>
      <c r="AB351" s="1">
        <f>VLOOKUP(A351,'SegEnds_NonXtal_Prot#'!A:AL,10,FALSE)-VLOOKUP(A351,'SegEnds_NonXtal_Prot#'!A:AL,4,FALSE)</f>
        <v>29</v>
      </c>
      <c r="AC351" s="1" t="e">
        <f>VLOOKUP(A351,'SegEnds_NonXtal_Prot#'!A:AL,10,FALSE)-VLOOKUP(A351,'SegEnds_NonXtal_Prot#'!A:AL,7,FALSE)</f>
        <v>#VALUE!</v>
      </c>
      <c r="AD351" s="1" t="e">
        <f>VLOOKUP(A351,'SegEnds_NonXtal_Prot#'!A:AL,13,FALSE)-VLOOKUP(A351,'SegEnds_NonXtal_Prot#'!A:AL,10,FALSE)</f>
        <v>#VALUE!</v>
      </c>
      <c r="AE351" s="1">
        <f>VLOOKUP(A351,'SegEnds_NonXtal_Prot#'!A:AL,16,FALSE)-VLOOKUP(A351,'SegEnds_NonXtal_Prot#'!A:AL,10,FALSE)</f>
        <v>73</v>
      </c>
      <c r="AF351" s="1" t="e">
        <f>VLOOKUP(A351,'SegEnds_NonXtal_Prot#'!A:AL,22,FALSE)-VLOOKUP(A351,'SegEnds_NonXtal_Prot#'!A:AL,19,FALSE)</f>
        <v>#VALUE!</v>
      </c>
      <c r="AG351" s="1">
        <f>VLOOKUP(A351,'SegEnds_NonXtal_Prot#'!A:AL,28,FALSE)-VLOOKUP(A351,'SegEnds_NonXtal_Prot#'!A:AL,25,FALSE)</f>
        <v>26</v>
      </c>
      <c r="AH351" s="1">
        <f>VLOOKUP(A351,'SegEnds_NonXtal_Prot#'!A:AL,28,FALSE)-VLOOKUP(A351,'SegEnds_NonXtal_Prot#'!A:AL,22,FALSE)</f>
        <v>60</v>
      </c>
      <c r="AI351" s="1">
        <f>VLOOKUP(A351,'SegEnds_NonXtal_Prot#'!A:AL,31,FALSE)-VLOOKUP(A351,'SegEnds_NonXtal_Prot#'!A:AL,28,FALSE)</f>
        <v>51</v>
      </c>
      <c r="AJ351" s="1">
        <f>VLOOKUP(A351,'SegEnds_NonXtal_Prot#'!A:AL,34,FALSE)-VLOOKUP(A351,'SegEnds_NonXtal_Prot#'!A:AL,31,FALSE)</f>
        <v>31</v>
      </c>
      <c r="AK351" s="1">
        <f>VLOOKUP(A351,'SegEnds_NonXtal_Prot#'!A:AL,37,FALSE)-VLOOKUP(A351,'SegEnds_NonXtal_Prot#'!A:AL,34,FALSE)</f>
        <v>10</v>
      </c>
      <c r="AL351" s="1" t="str">
        <f>IF(ISERROR(MATCH(A351,'SegEnds_Xtal_Prot#'!B:B, 0)), "NoXtal", "Xtal")</f>
        <v>NoXtal</v>
      </c>
    </row>
    <row r="352" spans="1:38" s="42" customFormat="1" x14ac:dyDescent="0.2">
      <c r="A352" s="42" t="s">
        <v>111</v>
      </c>
      <c r="B352" s="42" t="str">
        <f>VLOOKUP(A352,Xtal_Templ!A:B,2,FALSE)</f>
        <v>grm1_human</v>
      </c>
      <c r="C352" s="43">
        <f>VLOOKUP($B352&amp;"__wt",'SegEnds_Xtal_BW#'!$A:$Z,3,FALSE)</f>
        <v>34</v>
      </c>
      <c r="D352" s="42">
        <f>VLOOKUP($B352&amp;"__wt",'SegEnds_Xtal_BW#'!$A:$Z,4,FALSE)</f>
        <v>60</v>
      </c>
      <c r="E352" s="42">
        <f>VLOOKUP($B352&amp;"__wt",'SegEnds_Xtal_BW#'!$A:$Z,5,FALSE)</f>
        <v>47</v>
      </c>
      <c r="F352" s="42">
        <f>VLOOKUP($B352&amp;"__wt",'SegEnds_Xtal_BW#'!$A:$Z,6,FALSE)</f>
        <v>53</v>
      </c>
      <c r="G352" s="42">
        <v>39</v>
      </c>
      <c r="H352" s="101">
        <f>VLOOKUP($B352&amp;"__wt",'SegEnds_Xtal_BW#'!$A:$Z,8,FALSE)</f>
        <v>61</v>
      </c>
      <c r="I352" s="42" t="str">
        <f>VLOOKUP($B352&amp;"__wt",'SegEnds_Xtal_BW#'!$A:$Z,9,FALSE)</f>
        <v>-</v>
      </c>
      <c r="J352" s="42" t="str">
        <f>VLOOKUP($B352&amp;"__wt",'SegEnds_Xtal_BW#'!$A:$Z,10,FALSE)</f>
        <v>-</v>
      </c>
      <c r="K352" s="101">
        <f>VLOOKUP($B352&amp;"__wt",'SegEnds_Xtal_BW#'!$A:$Z,11,FALSE)</f>
        <v>22</v>
      </c>
      <c r="L352" s="42">
        <f>VLOOKUP($B352&amp;"__wt",'SegEnds_Xtal_BW#'!$A:$Z,12,FALSE)</f>
        <v>54</v>
      </c>
      <c r="M352" s="42" t="str">
        <f>VLOOKUP($B352&amp;"__wt",'SegEnds_Xtal_BW#'!$A:$Z,13,FALSE)</f>
        <v>-</v>
      </c>
      <c r="N352" s="101" t="str">
        <f>VLOOKUP($B352&amp;"__wt",'SegEnds_Xtal_BW#'!$A:$Z,14,FALSE)</f>
        <v>-</v>
      </c>
      <c r="O352" s="89">
        <f>VLOOKUP($B352&amp;"__wt",'SegEnds_Xtal_BW#'!$A:$Z,15,FALSE)</f>
        <v>38</v>
      </c>
      <c r="P352" s="42">
        <f>VLOOKUP($B352&amp;"__wt",'SegEnds_Xtal_BW#'!$A:$Z,16,FALSE)</f>
        <v>64</v>
      </c>
      <c r="Q352" s="42">
        <f>VLOOKUP($B352&amp;"__wt",'SegEnds_Xtal_BW#'!$A:$Z,17,FALSE)</f>
        <v>50</v>
      </c>
      <c r="R352" s="42">
        <f>VLOOKUP($B352&amp;"__wt",'SegEnds_Xtal_BW#'!$A:$Z,18,FALSE)</f>
        <v>52</v>
      </c>
      <c r="S352" s="42">
        <f>VLOOKUP($B352&amp;"__wt",'SegEnds_Xtal_BW#'!$A:$Z,19,FALSE)</f>
        <v>36</v>
      </c>
      <c r="T352" s="42">
        <f>VLOOKUP($B352&amp;"__wt",'SegEnds_Xtal_BW#'!$A:$Z,20,FALSE)</f>
        <v>61</v>
      </c>
      <c r="U352" s="42">
        <f>VLOOKUP($B352&amp;"__wt",'SegEnds_Xtal_BW#'!$A:$Z,21,FALSE)</f>
        <v>33</v>
      </c>
      <c r="V352" s="42">
        <f>VLOOKUP($B352&amp;"__wt",'SegEnds_Xtal_BW#'!$A:$Z,22,FALSE)</f>
        <v>57</v>
      </c>
      <c r="W352" s="42">
        <f>VLOOKUP($B352&amp;"__wt",'SegEnds_Xtal_BW#'!$A:$Z,23,FALSE)</f>
        <v>33</v>
      </c>
      <c r="X352" s="42">
        <f>VLOOKUP($B352&amp;"__wt",'SegEnds_Xtal_BW#'!$A:$Z,24,FALSE)</f>
        <v>64</v>
      </c>
      <c r="Y352" s="42">
        <f>VLOOKUP($B352&amp;"__wt",'SegEnds_Xtal_BW#'!$A:$Z,25,FALSE)</f>
        <v>46</v>
      </c>
      <c r="Z352" s="42">
        <f>VLOOKUP($B352&amp;"__wt",'SegEnds_Xtal_BW#'!$A:$Z,26,FALSE)</f>
        <v>57</v>
      </c>
      <c r="AA352" s="44" t="str">
        <f>VLOOKUP(A352,Classification!A:B,2,FALSE)</f>
        <v>C</v>
      </c>
      <c r="AB352" s="1">
        <f>VLOOKUP(A352,'SegEnds_NonXtal_Prot#'!A:AL,10,FALSE)-VLOOKUP(A352,'SegEnds_NonXtal_Prot#'!A:AL,4,FALSE)</f>
        <v>33</v>
      </c>
      <c r="AC352" s="42">
        <f>VLOOKUP(A352,'SegEnds_NonXtal_Prot#'!A:AL,10,FALSE)-VLOOKUP(A352,'SegEnds_NonXtal_Prot#'!A:AL,7,FALSE)</f>
        <v>19</v>
      </c>
      <c r="AD352" s="42" t="e">
        <f>VLOOKUP(A352,'SegEnds_NonXtal_Prot#'!A:AL,13,FALSE)-VLOOKUP(A352,'SegEnds_NonXtal_Prot#'!A:AL,10,FALSE)</f>
        <v>#VALUE!</v>
      </c>
      <c r="AE352" s="42">
        <f>VLOOKUP(A352,'SegEnds_NonXtal_Prot#'!A:AL,16,FALSE)-VLOOKUP(A352,'SegEnds_NonXtal_Prot#'!A:AL,10,FALSE)</f>
        <v>44</v>
      </c>
      <c r="AF352" s="1" t="e">
        <f>VLOOKUP(A352,'SegEnds_NonXtal_Prot#'!A:AL,22,FALSE)-VLOOKUP(A352,'SegEnds_NonXtal_Prot#'!A:AL,19,FALSE)</f>
        <v>#VALUE!</v>
      </c>
      <c r="AG352" s="42">
        <f>VLOOKUP(A352,'SegEnds_NonXtal_Prot#'!A:AL,28,FALSE)-VLOOKUP(A352,'SegEnds_NonXtal_Prot#'!A:AL,25,FALSE)</f>
        <v>17</v>
      </c>
      <c r="AH352" s="1">
        <f>VLOOKUP(A352,'SegEnds_NonXtal_Prot#'!A:AL,28,FALSE)-VLOOKUP(A352,'SegEnds_NonXtal_Prot#'!A:AL,22,FALSE)</f>
        <v>40</v>
      </c>
      <c r="AI352" s="42">
        <f>VLOOKUP(A352,'SegEnds_NonXtal_Prot#'!A:AL,31,FALSE)-VLOOKUP(A352,'SegEnds_NonXtal_Prot#'!A:AL,28,FALSE)</f>
        <v>39</v>
      </c>
      <c r="AJ352" s="42">
        <f>VLOOKUP(A352,'SegEnds_NonXtal_Prot#'!A:AL,34,FALSE)-VLOOKUP(A352,'SegEnds_NonXtal_Prot#'!A:AL,31,FALSE)</f>
        <v>35</v>
      </c>
      <c r="AK352" s="1">
        <f>VLOOKUP(A352,'SegEnds_NonXtal_Prot#'!A:AL,37,FALSE)-VLOOKUP(A352,'SegEnds_NonXtal_Prot#'!A:AL,34,FALSE)</f>
        <v>20</v>
      </c>
      <c r="AL352" s="1" t="str">
        <f>IF(ISERROR(MATCH(A352,'SegEnds_Xtal_Prot#'!B:B, 0)), "NoXtal", "Xtal")</f>
        <v>NoXtal</v>
      </c>
    </row>
    <row r="353" spans="1:38" x14ac:dyDescent="0.2">
      <c r="A353" s="4" t="s">
        <v>113</v>
      </c>
      <c r="B353" s="4" t="str">
        <f>VLOOKUP(A353,Xtal_Templ!A:B,2,FALSE)</f>
        <v>grm1_human</v>
      </c>
      <c r="C353" s="5">
        <f>VLOOKUP($B353&amp;"__wt",'SegEnds_Xtal_BW#'!$A:$Z,3,FALSE)</f>
        <v>34</v>
      </c>
      <c r="D353" s="4">
        <f>VLOOKUP($B353&amp;"__wt",'SegEnds_Xtal_BW#'!$A:$Z,4,FALSE)</f>
        <v>60</v>
      </c>
      <c r="E353" s="4">
        <f>VLOOKUP($B353&amp;"__wt",'SegEnds_Xtal_BW#'!$A:$Z,5,FALSE)</f>
        <v>47</v>
      </c>
      <c r="F353" s="4">
        <f>VLOOKUP($B353&amp;"__wt",'SegEnds_Xtal_BW#'!$A:$Z,6,FALSE)</f>
        <v>53</v>
      </c>
      <c r="G353" s="4">
        <v>39</v>
      </c>
      <c r="H353" s="11">
        <f>VLOOKUP($B353&amp;"__wt",'SegEnds_Xtal_BW#'!$A:$Z,8,FALSE)</f>
        <v>61</v>
      </c>
      <c r="I353" s="4" t="str">
        <f>VLOOKUP($B353&amp;"__wt",'SegEnds_Xtal_BW#'!$A:$Z,9,FALSE)</f>
        <v>-</v>
      </c>
      <c r="J353" s="4" t="str">
        <f>VLOOKUP($B353&amp;"__wt",'SegEnds_Xtal_BW#'!$A:$Z,10,FALSE)</f>
        <v>-</v>
      </c>
      <c r="K353" s="11">
        <f>VLOOKUP($B353&amp;"__wt",'SegEnds_Xtal_BW#'!$A:$Z,11,FALSE)</f>
        <v>22</v>
      </c>
      <c r="L353" s="4">
        <f>VLOOKUP($B353&amp;"__wt",'SegEnds_Xtal_BW#'!$A:$Z,12,FALSE)</f>
        <v>54</v>
      </c>
      <c r="M353" s="4" t="str">
        <f>VLOOKUP($B353&amp;"__wt",'SegEnds_Xtal_BW#'!$A:$Z,13,FALSE)</f>
        <v>-</v>
      </c>
      <c r="N353" s="11" t="str">
        <f>VLOOKUP($B353&amp;"__wt",'SegEnds_Xtal_BW#'!$A:$Z,14,FALSE)</f>
        <v>-</v>
      </c>
      <c r="O353" s="88">
        <f>VLOOKUP($B353&amp;"__wt",'SegEnds_Xtal_BW#'!$A:$Z,15,FALSE)</f>
        <v>38</v>
      </c>
      <c r="P353" s="4">
        <f>VLOOKUP($B353&amp;"__wt",'SegEnds_Xtal_BW#'!$A:$Z,16,FALSE)</f>
        <v>64</v>
      </c>
      <c r="Q353" s="4">
        <f>VLOOKUP($B353&amp;"__wt",'SegEnds_Xtal_BW#'!$A:$Z,17,FALSE)</f>
        <v>50</v>
      </c>
      <c r="R353" s="4">
        <f>VLOOKUP($B353&amp;"__wt",'SegEnds_Xtal_BW#'!$A:$Z,18,FALSE)</f>
        <v>52</v>
      </c>
      <c r="S353" s="4">
        <f>VLOOKUP($B353&amp;"__wt",'SegEnds_Xtal_BW#'!$A:$Z,19,FALSE)</f>
        <v>36</v>
      </c>
      <c r="T353" s="4">
        <f>VLOOKUP($B353&amp;"__wt",'SegEnds_Xtal_BW#'!$A:$Z,20,FALSE)</f>
        <v>61</v>
      </c>
      <c r="U353" s="4">
        <f>VLOOKUP($B353&amp;"__wt",'SegEnds_Xtal_BW#'!$A:$Z,21,FALSE)</f>
        <v>33</v>
      </c>
      <c r="V353" s="4">
        <f>VLOOKUP($B353&amp;"__wt",'SegEnds_Xtal_BW#'!$A:$Z,22,FALSE)</f>
        <v>57</v>
      </c>
      <c r="W353" s="4">
        <f>VLOOKUP($B353&amp;"__wt",'SegEnds_Xtal_BW#'!$A:$Z,23,FALSE)</f>
        <v>33</v>
      </c>
      <c r="X353" s="4">
        <f>VLOOKUP($B353&amp;"__wt",'SegEnds_Xtal_BW#'!$A:$Z,24,FALSE)</f>
        <v>64</v>
      </c>
      <c r="Y353" s="4">
        <f>VLOOKUP($B353&amp;"__wt",'SegEnds_Xtal_BW#'!$A:$Z,25,FALSE)</f>
        <v>46</v>
      </c>
      <c r="Z353" s="4">
        <f>VLOOKUP($B353&amp;"__wt",'SegEnds_Xtal_BW#'!$A:$Z,26,FALSE)</f>
        <v>57</v>
      </c>
      <c r="AA353" s="27" t="str">
        <f>VLOOKUP(A353,Classification!A:B,2,FALSE)</f>
        <v>C</v>
      </c>
      <c r="AB353" s="1">
        <f>VLOOKUP(A353,'SegEnds_NonXtal_Prot#'!A:AL,10,FALSE)-VLOOKUP(A353,'SegEnds_NonXtal_Prot#'!A:AL,4,FALSE)</f>
        <v>33</v>
      </c>
      <c r="AC353" s="4">
        <f>VLOOKUP(A353,'SegEnds_NonXtal_Prot#'!A:AL,10,FALSE)-VLOOKUP(A353,'SegEnds_NonXtal_Prot#'!A:AL,7,FALSE)</f>
        <v>19</v>
      </c>
      <c r="AD353" s="4" t="e">
        <f>VLOOKUP(A353,'SegEnds_NonXtal_Prot#'!A:AL,13,FALSE)-VLOOKUP(A353,'SegEnds_NonXtal_Prot#'!A:AL,10,FALSE)</f>
        <v>#VALUE!</v>
      </c>
      <c r="AE353" s="4">
        <f>VLOOKUP(A353,'SegEnds_NonXtal_Prot#'!A:AL,16,FALSE)-VLOOKUP(A353,'SegEnds_NonXtal_Prot#'!A:AL,10,FALSE)</f>
        <v>44</v>
      </c>
      <c r="AF353" s="1" t="e">
        <f>VLOOKUP(A353,'SegEnds_NonXtal_Prot#'!A:AL,22,FALSE)-VLOOKUP(A353,'SegEnds_NonXtal_Prot#'!A:AL,19,FALSE)</f>
        <v>#VALUE!</v>
      </c>
      <c r="AG353" s="4">
        <f>VLOOKUP(A353,'SegEnds_NonXtal_Prot#'!A:AL,28,FALSE)-VLOOKUP(A353,'SegEnds_NonXtal_Prot#'!A:AL,25,FALSE)</f>
        <v>16</v>
      </c>
      <c r="AH353" s="1">
        <f>VLOOKUP(A353,'SegEnds_NonXtal_Prot#'!A:AL,28,FALSE)-VLOOKUP(A353,'SegEnds_NonXtal_Prot#'!A:AL,22,FALSE)</f>
        <v>43</v>
      </c>
      <c r="AI353" s="4">
        <f>VLOOKUP(A353,'SegEnds_NonXtal_Prot#'!A:AL,31,FALSE)-VLOOKUP(A353,'SegEnds_NonXtal_Prot#'!A:AL,28,FALSE)</f>
        <v>39</v>
      </c>
      <c r="AJ353" s="4">
        <f>VLOOKUP(A353,'SegEnds_NonXtal_Prot#'!A:AL,34,FALSE)-VLOOKUP(A353,'SegEnds_NonXtal_Prot#'!A:AL,31,FALSE)</f>
        <v>35</v>
      </c>
      <c r="AK353" s="1">
        <f>VLOOKUP(A353,'SegEnds_NonXtal_Prot#'!A:AL,37,FALSE)-VLOOKUP(A353,'SegEnds_NonXtal_Prot#'!A:AL,34,FALSE)</f>
        <v>21</v>
      </c>
      <c r="AL353" s="1" t="str">
        <f>IF(ISERROR(MATCH(A353,'SegEnds_Xtal_Prot#'!B:B, 0)), "NoXtal", "Xtal")</f>
        <v>NoXtal</v>
      </c>
    </row>
    <row r="354" spans="1:38" x14ac:dyDescent="0.2">
      <c r="A354" s="1" t="s">
        <v>121</v>
      </c>
      <c r="B354" s="1" t="str">
        <f>VLOOKUP(A354,Xtal_Templ!A:B,2,FALSE)</f>
        <v>grm1_human</v>
      </c>
      <c r="C354" s="5">
        <f>VLOOKUP($B354&amp;"__wt",'SegEnds_Xtal_BW#'!$A:$Z,3,FALSE)</f>
        <v>34</v>
      </c>
      <c r="D354" s="1">
        <f>VLOOKUP($B354&amp;"__wt",'SegEnds_Xtal_BW#'!$A:$Z,4,FALSE)</f>
        <v>60</v>
      </c>
      <c r="E354" s="1">
        <f>VLOOKUP($B354&amp;"__wt",'SegEnds_Xtal_BW#'!$A:$Z,5,FALSE)</f>
        <v>47</v>
      </c>
      <c r="F354" s="1">
        <f>VLOOKUP($B354&amp;"__wt",'SegEnds_Xtal_BW#'!$A:$Z,6,FALSE)</f>
        <v>53</v>
      </c>
      <c r="G354" s="1">
        <v>39</v>
      </c>
      <c r="H354" s="12">
        <f>VLOOKUP($B354&amp;"__wt",'SegEnds_Xtal_BW#'!$A:$Z,8,FALSE)</f>
        <v>61</v>
      </c>
      <c r="I354" s="1" t="str">
        <f>VLOOKUP($B354&amp;"__wt",'SegEnds_Xtal_BW#'!$A:$Z,9,FALSE)</f>
        <v>-</v>
      </c>
      <c r="J354" s="1" t="str">
        <f>VLOOKUP($B354&amp;"__wt",'SegEnds_Xtal_BW#'!$A:$Z,10,FALSE)</f>
        <v>-</v>
      </c>
      <c r="K354" s="12">
        <f>VLOOKUP($B354&amp;"__wt",'SegEnds_Xtal_BW#'!$A:$Z,11,FALSE)</f>
        <v>22</v>
      </c>
      <c r="L354" s="1">
        <f>VLOOKUP($B354&amp;"__wt",'SegEnds_Xtal_BW#'!$A:$Z,12,FALSE)</f>
        <v>54</v>
      </c>
      <c r="M354" s="1" t="str">
        <f>VLOOKUP($B354&amp;"__wt",'SegEnds_Xtal_BW#'!$A:$Z,13,FALSE)</f>
        <v>-</v>
      </c>
      <c r="N354" s="12" t="str">
        <f>VLOOKUP($B354&amp;"__wt",'SegEnds_Xtal_BW#'!$A:$Z,14,FALSE)</f>
        <v>-</v>
      </c>
      <c r="O354" s="87">
        <f>VLOOKUP($B354&amp;"__wt",'SegEnds_Xtal_BW#'!$A:$Z,15,FALSE)</f>
        <v>38</v>
      </c>
      <c r="P354" s="1">
        <f>VLOOKUP($B354&amp;"__wt",'SegEnds_Xtal_BW#'!$A:$Z,16,FALSE)</f>
        <v>64</v>
      </c>
      <c r="Q354" s="1">
        <f>VLOOKUP($B354&amp;"__wt",'SegEnds_Xtal_BW#'!$A:$Z,17,FALSE)</f>
        <v>50</v>
      </c>
      <c r="R354" s="1">
        <f>VLOOKUP($B354&amp;"__wt",'SegEnds_Xtal_BW#'!$A:$Z,18,FALSE)</f>
        <v>52</v>
      </c>
      <c r="S354" s="1">
        <f>VLOOKUP($B354&amp;"__wt",'SegEnds_Xtal_BW#'!$A:$Z,19,FALSE)</f>
        <v>36</v>
      </c>
      <c r="T354" s="1">
        <f>VLOOKUP($B354&amp;"__wt",'SegEnds_Xtal_BW#'!$A:$Z,20,FALSE)</f>
        <v>61</v>
      </c>
      <c r="U354" s="1">
        <f>VLOOKUP($B354&amp;"__wt",'SegEnds_Xtal_BW#'!$A:$Z,21,FALSE)</f>
        <v>33</v>
      </c>
      <c r="V354" s="1">
        <f>VLOOKUP($B354&amp;"__wt",'SegEnds_Xtal_BW#'!$A:$Z,22,FALSE)</f>
        <v>57</v>
      </c>
      <c r="W354" s="1">
        <f>VLOOKUP($B354&amp;"__wt",'SegEnds_Xtal_BW#'!$A:$Z,23,FALSE)</f>
        <v>33</v>
      </c>
      <c r="X354" s="1">
        <f>VLOOKUP($B354&amp;"__wt",'SegEnds_Xtal_BW#'!$A:$Z,24,FALSE)</f>
        <v>64</v>
      </c>
      <c r="Y354" s="1">
        <f>VLOOKUP($B354&amp;"__wt",'SegEnds_Xtal_BW#'!$A:$Z,25,FALSE)</f>
        <v>46</v>
      </c>
      <c r="Z354" s="1">
        <f>VLOOKUP($B354&amp;"__wt",'SegEnds_Xtal_BW#'!$A:$Z,26,FALSE)</f>
        <v>57</v>
      </c>
      <c r="AA354" s="27" t="str">
        <f>VLOOKUP(A354,Classification!A:B,2,FALSE)</f>
        <v>C</v>
      </c>
      <c r="AB354" s="1">
        <f>VLOOKUP(A354,'SegEnds_NonXtal_Prot#'!A:AL,10,FALSE)-VLOOKUP(A354,'SegEnds_NonXtal_Prot#'!A:AL,4,FALSE)</f>
        <v>33</v>
      </c>
      <c r="AC354" s="1">
        <f>VLOOKUP(A354,'SegEnds_NonXtal_Prot#'!A:AL,10,FALSE)-VLOOKUP(A354,'SegEnds_NonXtal_Prot#'!A:AL,7,FALSE)</f>
        <v>19</v>
      </c>
      <c r="AD354" s="1" t="e">
        <f>VLOOKUP(A354,'SegEnds_NonXtal_Prot#'!A:AL,13,FALSE)-VLOOKUP(A354,'SegEnds_NonXtal_Prot#'!A:AL,10,FALSE)</f>
        <v>#VALUE!</v>
      </c>
      <c r="AE354" s="1">
        <f>VLOOKUP(A354,'SegEnds_NonXtal_Prot#'!A:AL,16,FALSE)-VLOOKUP(A354,'SegEnds_NonXtal_Prot#'!A:AL,10,FALSE)</f>
        <v>44</v>
      </c>
      <c r="AF354" s="1" t="e">
        <f>VLOOKUP(A354,'SegEnds_NonXtal_Prot#'!A:AL,22,FALSE)-VLOOKUP(A354,'SegEnds_NonXtal_Prot#'!A:AL,19,FALSE)</f>
        <v>#VALUE!</v>
      </c>
      <c r="AG354" s="1" t="e">
        <f>VLOOKUP(A354,'SegEnds_NonXtal_Prot#'!A:AL,28,FALSE)-VLOOKUP(A354,'SegEnds_NonXtal_Prot#'!A:AL,25,FALSE)</f>
        <v>#VALUE!</v>
      </c>
      <c r="AH354" s="1">
        <f>VLOOKUP(A354,'SegEnds_NonXtal_Prot#'!A:AL,28,FALSE)-VLOOKUP(A354,'SegEnds_NonXtal_Prot#'!A:AL,22,FALSE)</f>
        <v>45</v>
      </c>
      <c r="AI354" s="1">
        <f>VLOOKUP(A354,'SegEnds_NonXtal_Prot#'!A:AL,31,FALSE)-VLOOKUP(A354,'SegEnds_NonXtal_Prot#'!A:AL,28,FALSE)</f>
        <v>39</v>
      </c>
      <c r="AJ354" s="1">
        <f>VLOOKUP(A354,'SegEnds_NonXtal_Prot#'!A:AL,34,FALSE)-VLOOKUP(A354,'SegEnds_NonXtal_Prot#'!A:AL,31,FALSE)</f>
        <v>31</v>
      </c>
      <c r="AK354" s="1">
        <f>VLOOKUP(A354,'SegEnds_NonXtal_Prot#'!A:AL,37,FALSE)-VLOOKUP(A354,'SegEnds_NonXtal_Prot#'!A:AL,34,FALSE)</f>
        <v>21</v>
      </c>
      <c r="AL354" s="1" t="str">
        <f>IF(ISERROR(MATCH(A354,'SegEnds_Xtal_Prot#'!B:B, 0)), "NoXtal", "Xtal")</f>
        <v>NoXtal</v>
      </c>
    </row>
    <row r="355" spans="1:38" x14ac:dyDescent="0.2">
      <c r="A355" s="4" t="s">
        <v>40</v>
      </c>
      <c r="B355" s="4" t="str">
        <f>VLOOKUP(A355,Xtal_Templ!A:B,2,FALSE)</f>
        <v>grm1_human</v>
      </c>
      <c r="C355" s="5">
        <f>VLOOKUP($B355&amp;"__wt",'SegEnds_Xtal_BW#'!$A:$Z,3,FALSE)</f>
        <v>34</v>
      </c>
      <c r="D355" s="4">
        <f>VLOOKUP($B355&amp;"__wt",'SegEnds_Xtal_BW#'!$A:$Z,4,FALSE)</f>
        <v>60</v>
      </c>
      <c r="E355" s="4">
        <f>VLOOKUP($B355&amp;"__wt",'SegEnds_Xtal_BW#'!$A:$Z,5,FALSE)</f>
        <v>47</v>
      </c>
      <c r="F355" s="4">
        <f>VLOOKUP($B355&amp;"__wt",'SegEnds_Xtal_BW#'!$A:$Z,6,FALSE)</f>
        <v>53</v>
      </c>
      <c r="G355" s="4">
        <v>39</v>
      </c>
      <c r="H355" s="11">
        <f>VLOOKUP($B355&amp;"__wt",'SegEnds_Xtal_BW#'!$A:$Z,8,FALSE)</f>
        <v>61</v>
      </c>
      <c r="I355" s="4" t="str">
        <f>VLOOKUP($B355&amp;"__wt",'SegEnds_Xtal_BW#'!$A:$Z,9,FALSE)</f>
        <v>-</v>
      </c>
      <c r="J355" s="4" t="str">
        <f>VLOOKUP($B355&amp;"__wt",'SegEnds_Xtal_BW#'!$A:$Z,10,FALSE)</f>
        <v>-</v>
      </c>
      <c r="K355" s="11">
        <f>VLOOKUP($B355&amp;"__wt",'SegEnds_Xtal_BW#'!$A:$Z,11,FALSE)</f>
        <v>22</v>
      </c>
      <c r="L355" s="4">
        <f>VLOOKUP($B355&amp;"__wt",'SegEnds_Xtal_BW#'!$A:$Z,12,FALSE)</f>
        <v>54</v>
      </c>
      <c r="M355" s="4" t="str">
        <f>VLOOKUP($B355&amp;"__wt",'SegEnds_Xtal_BW#'!$A:$Z,13,FALSE)</f>
        <v>-</v>
      </c>
      <c r="N355" s="11" t="str">
        <f>VLOOKUP($B355&amp;"__wt",'SegEnds_Xtal_BW#'!$A:$Z,14,FALSE)</f>
        <v>-</v>
      </c>
      <c r="O355" s="88">
        <f>VLOOKUP($B355&amp;"__wt",'SegEnds_Xtal_BW#'!$A:$Z,15,FALSE)</f>
        <v>38</v>
      </c>
      <c r="P355" s="4">
        <f>VLOOKUP($B355&amp;"__wt",'SegEnds_Xtal_BW#'!$A:$Z,16,FALSE)</f>
        <v>64</v>
      </c>
      <c r="Q355" s="4">
        <f>VLOOKUP($B355&amp;"__wt",'SegEnds_Xtal_BW#'!$A:$Z,17,FALSE)</f>
        <v>50</v>
      </c>
      <c r="R355" s="4">
        <f>VLOOKUP($B355&amp;"__wt",'SegEnds_Xtal_BW#'!$A:$Z,18,FALSE)</f>
        <v>52</v>
      </c>
      <c r="S355" s="4">
        <f>VLOOKUP($B355&amp;"__wt",'SegEnds_Xtal_BW#'!$A:$Z,19,FALSE)</f>
        <v>36</v>
      </c>
      <c r="T355" s="4">
        <f>VLOOKUP($B355&amp;"__wt",'SegEnds_Xtal_BW#'!$A:$Z,20,FALSE)</f>
        <v>61</v>
      </c>
      <c r="U355" s="4">
        <f>VLOOKUP($B355&amp;"__wt",'SegEnds_Xtal_BW#'!$A:$Z,21,FALSE)</f>
        <v>33</v>
      </c>
      <c r="V355" s="4">
        <f>VLOOKUP($B355&amp;"__wt",'SegEnds_Xtal_BW#'!$A:$Z,22,FALSE)</f>
        <v>57</v>
      </c>
      <c r="W355" s="4">
        <f>VLOOKUP($B355&amp;"__wt",'SegEnds_Xtal_BW#'!$A:$Z,23,FALSE)</f>
        <v>33</v>
      </c>
      <c r="X355" s="4">
        <f>VLOOKUP($B355&amp;"__wt",'SegEnds_Xtal_BW#'!$A:$Z,24,FALSE)</f>
        <v>64</v>
      </c>
      <c r="Y355" s="4">
        <f>VLOOKUP($B355&amp;"__wt",'SegEnds_Xtal_BW#'!$A:$Z,25,FALSE)</f>
        <v>46</v>
      </c>
      <c r="Z355" s="4">
        <f>VLOOKUP($B355&amp;"__wt",'SegEnds_Xtal_BW#'!$A:$Z,26,FALSE)</f>
        <v>57</v>
      </c>
      <c r="AA355" s="27" t="str">
        <f>VLOOKUP(A355,Classification!A:B,2,FALSE)</f>
        <v>C</v>
      </c>
      <c r="AB355" s="1">
        <f>VLOOKUP(A355,'SegEnds_NonXtal_Prot#'!A:AL,10,FALSE)-VLOOKUP(A355,'SegEnds_NonXtal_Prot#'!A:AL,4,FALSE)</f>
        <v>31</v>
      </c>
      <c r="AC355" s="4">
        <f>VLOOKUP(A355,'SegEnds_NonXtal_Prot#'!A:AL,10,FALSE)-VLOOKUP(A355,'SegEnds_NonXtal_Prot#'!A:AL,7,FALSE)</f>
        <v>15</v>
      </c>
      <c r="AD355" s="4" t="e">
        <f>VLOOKUP(A355,'SegEnds_NonXtal_Prot#'!A:AL,13,FALSE)-VLOOKUP(A355,'SegEnds_NonXtal_Prot#'!A:AL,10,FALSE)</f>
        <v>#VALUE!</v>
      </c>
      <c r="AE355" s="4">
        <f>VLOOKUP(A355,'SegEnds_NonXtal_Prot#'!A:AL,16,FALSE)-VLOOKUP(A355,'SegEnds_NonXtal_Prot#'!A:AL,10,FALSE)</f>
        <v>44</v>
      </c>
      <c r="AF355" s="1" t="e">
        <f>VLOOKUP(A355,'SegEnds_NonXtal_Prot#'!A:AL,22,FALSE)-VLOOKUP(A355,'SegEnds_NonXtal_Prot#'!A:AL,19,FALSE)</f>
        <v>#VALUE!</v>
      </c>
      <c r="AG355" s="4">
        <f>VLOOKUP(A355,'SegEnds_NonXtal_Prot#'!A:AL,28,FALSE)-VLOOKUP(A355,'SegEnds_NonXtal_Prot#'!A:AL,25,FALSE)</f>
        <v>17</v>
      </c>
      <c r="AH355" s="1">
        <f>VLOOKUP(A355,'SegEnds_NonXtal_Prot#'!A:AL,28,FALSE)-VLOOKUP(A355,'SegEnds_NonXtal_Prot#'!A:AL,22,FALSE)</f>
        <v>49</v>
      </c>
      <c r="AI355" s="4">
        <f>VLOOKUP(A355,'SegEnds_NonXtal_Prot#'!A:AL,31,FALSE)-VLOOKUP(A355,'SegEnds_NonXtal_Prot#'!A:AL,28,FALSE)</f>
        <v>37</v>
      </c>
      <c r="AJ355" s="4">
        <f>VLOOKUP(A355,'SegEnds_NonXtal_Prot#'!A:AL,34,FALSE)-VLOOKUP(A355,'SegEnds_NonXtal_Prot#'!A:AL,31,FALSE)</f>
        <v>27</v>
      </c>
      <c r="AK355" s="1">
        <f>VLOOKUP(A355,'SegEnds_NonXtal_Prot#'!A:AL,37,FALSE)-VLOOKUP(A355,'SegEnds_NonXtal_Prot#'!A:AL,34,FALSE)</f>
        <v>19</v>
      </c>
      <c r="AL355" s="1" t="str">
        <f>IF(ISERROR(MATCH(A355,'SegEnds_Xtal_Prot#'!B:B, 0)), "NoXtal", "Xtal")</f>
        <v>Xtal</v>
      </c>
    </row>
    <row r="356" spans="1:38" x14ac:dyDescent="0.2">
      <c r="A356" s="1" t="s">
        <v>41</v>
      </c>
      <c r="B356" s="1" t="str">
        <f>VLOOKUP(A356,Xtal_Templ!A:B,2,FALSE)</f>
        <v>grm5_human</v>
      </c>
      <c r="C356" s="5">
        <f>VLOOKUP($B356&amp;"__wt",'SegEnds_Xtal_BW#'!$A:$Z,3,FALSE)</f>
        <v>34</v>
      </c>
      <c r="D356" s="1">
        <f>VLOOKUP($B356&amp;"__wt",'SegEnds_Xtal_BW#'!$A:$Z,4,FALSE)</f>
        <v>60</v>
      </c>
      <c r="E356" s="1">
        <f>VLOOKUP($B356&amp;"__wt",'SegEnds_Xtal_BW#'!$A:$Z,5,FALSE)</f>
        <v>47</v>
      </c>
      <c r="F356" s="1">
        <f>VLOOKUP($B356&amp;"__wt",'SegEnds_Xtal_BW#'!$A:$Z,6,FALSE)</f>
        <v>53</v>
      </c>
      <c r="G356" s="1">
        <v>39</v>
      </c>
      <c r="H356" s="12">
        <f>VLOOKUP($B356&amp;"__wt",'SegEnds_Xtal_BW#'!$A:$Z,8,FALSE)</f>
        <v>61</v>
      </c>
      <c r="I356" s="1" t="str">
        <f>VLOOKUP($B356&amp;"__wt",'SegEnds_Xtal_BW#'!$A:$Z,9,FALSE)</f>
        <v>-</v>
      </c>
      <c r="J356" s="1" t="str">
        <f>VLOOKUP($B356&amp;"__wt",'SegEnds_Xtal_BW#'!$A:$Z,10,FALSE)</f>
        <v>-</v>
      </c>
      <c r="K356" s="12">
        <f>VLOOKUP($B356&amp;"__wt",'SegEnds_Xtal_BW#'!$A:$Z,11,FALSE)</f>
        <v>21</v>
      </c>
      <c r="L356" s="1">
        <f>VLOOKUP($B356&amp;"__wt",'SegEnds_Xtal_BW#'!$A:$Z,12,FALSE)</f>
        <v>54</v>
      </c>
      <c r="M356" s="1" t="str">
        <f>VLOOKUP($B356&amp;"__wt",'SegEnds_Xtal_BW#'!$A:$Z,13,FALSE)</f>
        <v>-</v>
      </c>
      <c r="N356" s="12" t="str">
        <f>VLOOKUP($B356&amp;"__wt",'SegEnds_Xtal_BW#'!$A:$Z,14,FALSE)</f>
        <v>-</v>
      </c>
      <c r="O356" s="87">
        <f>VLOOKUP($B356&amp;"__wt",'SegEnds_Xtal_BW#'!$A:$Z,15,FALSE)</f>
        <v>38</v>
      </c>
      <c r="P356" s="1">
        <f>VLOOKUP($B356&amp;"__wt",'SegEnds_Xtal_BW#'!$A:$Z,16,FALSE)</f>
        <v>64</v>
      </c>
      <c r="Q356" s="1">
        <f>VLOOKUP($B356&amp;"__wt",'SegEnds_Xtal_BW#'!$A:$Z,17,FALSE)</f>
        <v>50</v>
      </c>
      <c r="R356" s="1">
        <f>VLOOKUP($B356&amp;"__wt",'SegEnds_Xtal_BW#'!$A:$Z,18,FALSE)</f>
        <v>52</v>
      </c>
      <c r="S356" s="1">
        <f>VLOOKUP($B356&amp;"__wt",'SegEnds_Xtal_BW#'!$A:$Z,19,FALSE)</f>
        <v>36</v>
      </c>
      <c r="T356" s="1">
        <f>VLOOKUP($B356&amp;"__wt",'SegEnds_Xtal_BW#'!$A:$Z,20,FALSE)</f>
        <v>61</v>
      </c>
      <c r="U356" s="1">
        <f>VLOOKUP($B356&amp;"__wt",'SegEnds_Xtal_BW#'!$A:$Z,21,FALSE)</f>
        <v>33</v>
      </c>
      <c r="V356" s="1">
        <f>VLOOKUP($B356&amp;"__wt",'SegEnds_Xtal_BW#'!$A:$Z,22,FALSE)</f>
        <v>57</v>
      </c>
      <c r="W356" s="1">
        <f>VLOOKUP($B356&amp;"__wt",'SegEnds_Xtal_BW#'!$A:$Z,23,FALSE)</f>
        <v>33</v>
      </c>
      <c r="X356" s="1">
        <f>VLOOKUP($B356&amp;"__wt",'SegEnds_Xtal_BW#'!$A:$Z,24,FALSE)</f>
        <v>64</v>
      </c>
      <c r="Y356" s="1">
        <f>VLOOKUP($B356&amp;"__wt",'SegEnds_Xtal_BW#'!$A:$Z,25,FALSE)</f>
        <v>46</v>
      </c>
      <c r="Z356" s="1">
        <f>VLOOKUP($B356&amp;"__wt",'SegEnds_Xtal_BW#'!$A:$Z,26,FALSE)</f>
        <v>57</v>
      </c>
      <c r="AA356" s="27" t="str">
        <f>VLOOKUP(A356,Classification!A:B,2,FALSE)</f>
        <v>C</v>
      </c>
      <c r="AB356" s="1">
        <f>VLOOKUP(A356,'SegEnds_NonXtal_Prot#'!A:AL,10,FALSE)-VLOOKUP(A356,'SegEnds_NonXtal_Prot#'!A:AL,4,FALSE)</f>
        <v>31</v>
      </c>
      <c r="AC356" s="1">
        <f>VLOOKUP(A356,'SegEnds_NonXtal_Prot#'!A:AL,10,FALSE)-VLOOKUP(A356,'SegEnds_NonXtal_Prot#'!A:AL,7,FALSE)</f>
        <v>15</v>
      </c>
      <c r="AD356" s="1" t="e">
        <f>VLOOKUP(A356,'SegEnds_NonXtal_Prot#'!A:AL,13,FALSE)-VLOOKUP(A356,'SegEnds_NonXtal_Prot#'!A:AL,10,FALSE)</f>
        <v>#VALUE!</v>
      </c>
      <c r="AE356" s="1">
        <f>VLOOKUP(A356,'SegEnds_NonXtal_Prot#'!A:AL,16,FALSE)-VLOOKUP(A356,'SegEnds_NonXtal_Prot#'!A:AL,10,FALSE)</f>
        <v>44</v>
      </c>
      <c r="AF356" s="1" t="e">
        <f>VLOOKUP(A356,'SegEnds_NonXtal_Prot#'!A:AL,22,FALSE)-VLOOKUP(A356,'SegEnds_NonXtal_Prot#'!A:AL,19,FALSE)</f>
        <v>#VALUE!</v>
      </c>
      <c r="AG356" s="1">
        <f>VLOOKUP(A356,'SegEnds_NonXtal_Prot#'!A:AL,28,FALSE)-VLOOKUP(A356,'SegEnds_NonXtal_Prot#'!A:AL,25,FALSE)</f>
        <v>17</v>
      </c>
      <c r="AH356" s="1">
        <f>VLOOKUP(A356,'SegEnds_NonXtal_Prot#'!A:AL,28,FALSE)-VLOOKUP(A356,'SegEnds_NonXtal_Prot#'!A:AL,22,FALSE)</f>
        <v>49</v>
      </c>
      <c r="AI356" s="1">
        <f>VLOOKUP(A356,'SegEnds_NonXtal_Prot#'!A:AL,31,FALSE)-VLOOKUP(A356,'SegEnds_NonXtal_Prot#'!A:AL,28,FALSE)</f>
        <v>37</v>
      </c>
      <c r="AJ356" s="1">
        <f>VLOOKUP(A356,'SegEnds_NonXtal_Prot#'!A:AL,34,FALSE)-VLOOKUP(A356,'SegEnds_NonXtal_Prot#'!A:AL,31,FALSE)</f>
        <v>27</v>
      </c>
      <c r="AK356" s="1">
        <f>VLOOKUP(A356,'SegEnds_NonXtal_Prot#'!A:AL,37,FALSE)-VLOOKUP(A356,'SegEnds_NonXtal_Prot#'!A:AL,34,FALSE)</f>
        <v>19</v>
      </c>
      <c r="AL356" s="1" t="str">
        <f>IF(ISERROR(MATCH(A356,'SegEnds_Xtal_Prot#'!B:B, 0)), "NoXtal", "Xtal")</f>
        <v>Xtal</v>
      </c>
    </row>
    <row r="357" spans="1:38" x14ac:dyDescent="0.2">
      <c r="A357" s="4" t="s">
        <v>114</v>
      </c>
      <c r="B357" s="4" t="str">
        <f>VLOOKUP(A357,Xtal_Templ!A:B,2,FALSE)</f>
        <v>grm1_human</v>
      </c>
      <c r="C357" s="5">
        <f>VLOOKUP($B357&amp;"__wt",'SegEnds_Xtal_BW#'!$A:$Z,3,FALSE)</f>
        <v>34</v>
      </c>
      <c r="D357" s="4">
        <f>VLOOKUP($B357&amp;"__wt",'SegEnds_Xtal_BW#'!$A:$Z,4,FALSE)</f>
        <v>60</v>
      </c>
      <c r="E357" s="4">
        <f>VLOOKUP($B357&amp;"__wt",'SegEnds_Xtal_BW#'!$A:$Z,5,FALSE)</f>
        <v>47</v>
      </c>
      <c r="F357" s="4">
        <f>VLOOKUP($B357&amp;"__wt",'SegEnds_Xtal_BW#'!$A:$Z,6,FALSE)</f>
        <v>53</v>
      </c>
      <c r="G357" s="4">
        <v>39</v>
      </c>
      <c r="H357" s="11">
        <f>VLOOKUP($B357&amp;"__wt",'SegEnds_Xtal_BW#'!$A:$Z,8,FALSE)</f>
        <v>61</v>
      </c>
      <c r="I357" s="4" t="str">
        <f>VLOOKUP($B357&amp;"__wt",'SegEnds_Xtal_BW#'!$A:$Z,9,FALSE)</f>
        <v>-</v>
      </c>
      <c r="J357" s="4" t="str">
        <f>VLOOKUP($B357&amp;"__wt",'SegEnds_Xtal_BW#'!$A:$Z,10,FALSE)</f>
        <v>-</v>
      </c>
      <c r="K357" s="11">
        <f>VLOOKUP($B357&amp;"__wt",'SegEnds_Xtal_BW#'!$A:$Z,11,FALSE)</f>
        <v>22</v>
      </c>
      <c r="L357" s="4">
        <f>VLOOKUP($B357&amp;"__wt",'SegEnds_Xtal_BW#'!$A:$Z,12,FALSE)</f>
        <v>54</v>
      </c>
      <c r="M357" s="4" t="str">
        <f>VLOOKUP($B357&amp;"__wt",'SegEnds_Xtal_BW#'!$A:$Z,13,FALSE)</f>
        <v>-</v>
      </c>
      <c r="N357" s="11" t="str">
        <f>VLOOKUP($B357&amp;"__wt",'SegEnds_Xtal_BW#'!$A:$Z,14,FALSE)</f>
        <v>-</v>
      </c>
      <c r="O357" s="88">
        <f>VLOOKUP($B357&amp;"__wt",'SegEnds_Xtal_BW#'!$A:$Z,15,FALSE)</f>
        <v>38</v>
      </c>
      <c r="P357" s="4">
        <f>VLOOKUP($B357&amp;"__wt",'SegEnds_Xtal_BW#'!$A:$Z,16,FALSE)</f>
        <v>64</v>
      </c>
      <c r="Q357" s="4">
        <f>VLOOKUP($B357&amp;"__wt",'SegEnds_Xtal_BW#'!$A:$Z,17,FALSE)</f>
        <v>50</v>
      </c>
      <c r="R357" s="4">
        <f>VLOOKUP($B357&amp;"__wt",'SegEnds_Xtal_BW#'!$A:$Z,18,FALSE)</f>
        <v>52</v>
      </c>
      <c r="S357" s="4">
        <f>VLOOKUP($B357&amp;"__wt",'SegEnds_Xtal_BW#'!$A:$Z,19,FALSE)</f>
        <v>36</v>
      </c>
      <c r="T357" s="4">
        <f>VLOOKUP($B357&amp;"__wt",'SegEnds_Xtal_BW#'!$A:$Z,20,FALSE)</f>
        <v>61</v>
      </c>
      <c r="U357" s="4">
        <f>VLOOKUP($B357&amp;"__wt",'SegEnds_Xtal_BW#'!$A:$Z,21,FALSE)</f>
        <v>33</v>
      </c>
      <c r="V357" s="4">
        <f>VLOOKUP($B357&amp;"__wt",'SegEnds_Xtal_BW#'!$A:$Z,22,FALSE)</f>
        <v>57</v>
      </c>
      <c r="W357" s="4">
        <f>VLOOKUP($B357&amp;"__wt",'SegEnds_Xtal_BW#'!$A:$Z,23,FALSE)</f>
        <v>33</v>
      </c>
      <c r="X357" s="4">
        <f>VLOOKUP($B357&amp;"__wt",'SegEnds_Xtal_BW#'!$A:$Z,24,FALSE)</f>
        <v>64</v>
      </c>
      <c r="Y357" s="4">
        <f>VLOOKUP($B357&amp;"__wt",'SegEnds_Xtal_BW#'!$A:$Z,25,FALSE)</f>
        <v>46</v>
      </c>
      <c r="Z357" s="4">
        <f>VLOOKUP($B357&amp;"__wt",'SegEnds_Xtal_BW#'!$A:$Z,26,FALSE)</f>
        <v>57</v>
      </c>
      <c r="AA357" s="27" t="str">
        <f>VLOOKUP(A357,Classification!A:B,2,FALSE)</f>
        <v>C</v>
      </c>
      <c r="AB357" s="1">
        <f>VLOOKUP(A357,'SegEnds_NonXtal_Prot#'!A:AL,10,FALSE)-VLOOKUP(A357,'SegEnds_NonXtal_Prot#'!A:AL,4,FALSE)</f>
        <v>32</v>
      </c>
      <c r="AC357" s="4">
        <f>VLOOKUP(A357,'SegEnds_NonXtal_Prot#'!A:AL,10,FALSE)-VLOOKUP(A357,'SegEnds_NonXtal_Prot#'!A:AL,7,FALSE)</f>
        <v>16</v>
      </c>
      <c r="AD357" s="4" t="e">
        <f>VLOOKUP(A357,'SegEnds_NonXtal_Prot#'!A:AL,13,FALSE)-VLOOKUP(A357,'SegEnds_NonXtal_Prot#'!A:AL,10,FALSE)</f>
        <v>#VALUE!</v>
      </c>
      <c r="AE357" s="4">
        <f>VLOOKUP(A357,'SegEnds_NonXtal_Prot#'!A:AL,16,FALSE)-VLOOKUP(A357,'SegEnds_NonXtal_Prot#'!A:AL,10,FALSE)</f>
        <v>44</v>
      </c>
      <c r="AF357" s="1" t="e">
        <f>VLOOKUP(A357,'SegEnds_NonXtal_Prot#'!A:AL,22,FALSE)-VLOOKUP(A357,'SegEnds_NonXtal_Prot#'!A:AL,19,FALSE)</f>
        <v>#VALUE!</v>
      </c>
      <c r="AG357" s="4">
        <f>VLOOKUP(A357,'SegEnds_NonXtal_Prot#'!A:AL,28,FALSE)-VLOOKUP(A357,'SegEnds_NonXtal_Prot#'!A:AL,25,FALSE)</f>
        <v>18</v>
      </c>
      <c r="AH357" s="1">
        <f>VLOOKUP(A357,'SegEnds_NonXtal_Prot#'!A:AL,28,FALSE)-VLOOKUP(A357,'SegEnds_NonXtal_Prot#'!A:AL,22,FALSE)</f>
        <v>50</v>
      </c>
      <c r="AI357" s="4">
        <f>VLOOKUP(A357,'SegEnds_NonXtal_Prot#'!A:AL,31,FALSE)-VLOOKUP(A357,'SegEnds_NonXtal_Prot#'!A:AL,28,FALSE)</f>
        <v>35</v>
      </c>
      <c r="AJ357" s="4">
        <f>VLOOKUP(A357,'SegEnds_NonXtal_Prot#'!A:AL,34,FALSE)-VLOOKUP(A357,'SegEnds_NonXtal_Prot#'!A:AL,31,FALSE)</f>
        <v>29</v>
      </c>
      <c r="AK357" s="1">
        <f>VLOOKUP(A357,'SegEnds_NonXtal_Prot#'!A:AL,37,FALSE)-VLOOKUP(A357,'SegEnds_NonXtal_Prot#'!A:AL,34,FALSE)</f>
        <v>19</v>
      </c>
      <c r="AL357" s="1" t="str">
        <f>IF(ISERROR(MATCH(A357,'SegEnds_Xtal_Prot#'!B:B, 0)), "NoXtal", "Xtal")</f>
        <v>NoXtal</v>
      </c>
    </row>
    <row r="358" spans="1:38" x14ac:dyDescent="0.2">
      <c r="A358" s="4" t="s">
        <v>105</v>
      </c>
      <c r="B358" s="4" t="str">
        <f>VLOOKUP(A358,Xtal_Templ!A:B,2,FALSE)</f>
        <v>grm5_human</v>
      </c>
      <c r="C358" s="5">
        <f>VLOOKUP($B358&amp;"__wt",'SegEnds_Xtal_BW#'!$A:$Z,3,FALSE)</f>
        <v>34</v>
      </c>
      <c r="D358" s="4">
        <f>VLOOKUP($B358&amp;"__wt",'SegEnds_Xtal_BW#'!$A:$Z,4,FALSE)</f>
        <v>60</v>
      </c>
      <c r="E358" s="4">
        <f>VLOOKUP($B358&amp;"__wt",'SegEnds_Xtal_BW#'!$A:$Z,5,FALSE)</f>
        <v>47</v>
      </c>
      <c r="F358" s="4">
        <f>VLOOKUP($B358&amp;"__wt",'SegEnds_Xtal_BW#'!$A:$Z,6,FALSE)</f>
        <v>53</v>
      </c>
      <c r="G358" s="4">
        <v>39</v>
      </c>
      <c r="H358" s="11">
        <f>VLOOKUP($B358&amp;"__wt",'SegEnds_Xtal_BW#'!$A:$Z,8,FALSE)</f>
        <v>61</v>
      </c>
      <c r="I358" s="4" t="str">
        <f>VLOOKUP($B358&amp;"__wt",'SegEnds_Xtal_BW#'!$A:$Z,9,FALSE)</f>
        <v>-</v>
      </c>
      <c r="J358" s="4" t="str">
        <f>VLOOKUP($B358&amp;"__wt",'SegEnds_Xtal_BW#'!$A:$Z,10,FALSE)</f>
        <v>-</v>
      </c>
      <c r="K358" s="11">
        <f>VLOOKUP($B358&amp;"__wt",'SegEnds_Xtal_BW#'!$A:$Z,11,FALSE)</f>
        <v>21</v>
      </c>
      <c r="L358" s="4">
        <f>VLOOKUP($B358&amp;"__wt",'SegEnds_Xtal_BW#'!$A:$Z,12,FALSE)</f>
        <v>54</v>
      </c>
      <c r="M358" s="4" t="str">
        <f>VLOOKUP($B358&amp;"__wt",'SegEnds_Xtal_BW#'!$A:$Z,13,FALSE)</f>
        <v>-</v>
      </c>
      <c r="N358" s="11" t="str">
        <f>VLOOKUP($B358&amp;"__wt",'SegEnds_Xtal_BW#'!$A:$Z,14,FALSE)</f>
        <v>-</v>
      </c>
      <c r="O358" s="88">
        <f>VLOOKUP($B358&amp;"__wt",'SegEnds_Xtal_BW#'!$A:$Z,15,FALSE)</f>
        <v>38</v>
      </c>
      <c r="P358" s="4">
        <f>VLOOKUP($B358&amp;"__wt",'SegEnds_Xtal_BW#'!$A:$Z,16,FALSE)</f>
        <v>64</v>
      </c>
      <c r="Q358" s="4">
        <f>VLOOKUP($B358&amp;"__wt",'SegEnds_Xtal_BW#'!$A:$Z,17,FALSE)</f>
        <v>50</v>
      </c>
      <c r="R358" s="4">
        <f>VLOOKUP($B358&amp;"__wt",'SegEnds_Xtal_BW#'!$A:$Z,18,FALSE)</f>
        <v>52</v>
      </c>
      <c r="S358" s="4">
        <f>VLOOKUP($B358&amp;"__wt",'SegEnds_Xtal_BW#'!$A:$Z,19,FALSE)</f>
        <v>36</v>
      </c>
      <c r="T358" s="4">
        <f>VLOOKUP($B358&amp;"__wt",'SegEnds_Xtal_BW#'!$A:$Z,20,FALSE)</f>
        <v>61</v>
      </c>
      <c r="U358" s="4">
        <f>VLOOKUP($B358&amp;"__wt",'SegEnds_Xtal_BW#'!$A:$Z,21,FALSE)</f>
        <v>33</v>
      </c>
      <c r="V358" s="4">
        <f>VLOOKUP($B358&amp;"__wt",'SegEnds_Xtal_BW#'!$A:$Z,22,FALSE)</f>
        <v>57</v>
      </c>
      <c r="W358" s="4">
        <f>VLOOKUP($B358&amp;"__wt",'SegEnds_Xtal_BW#'!$A:$Z,23,FALSE)</f>
        <v>33</v>
      </c>
      <c r="X358" s="4">
        <f>VLOOKUP($B358&amp;"__wt",'SegEnds_Xtal_BW#'!$A:$Z,24,FALSE)</f>
        <v>64</v>
      </c>
      <c r="Y358" s="4">
        <f>VLOOKUP($B358&amp;"__wt",'SegEnds_Xtal_BW#'!$A:$Z,25,FALSE)</f>
        <v>46</v>
      </c>
      <c r="Z358" s="4">
        <f>VLOOKUP($B358&amp;"__wt",'SegEnds_Xtal_BW#'!$A:$Z,26,FALSE)</f>
        <v>57</v>
      </c>
      <c r="AA358" s="27" t="str">
        <f>VLOOKUP(A358,Classification!A:B,2,FALSE)</f>
        <v>C</v>
      </c>
      <c r="AB358" s="1">
        <f>VLOOKUP(A358,'SegEnds_NonXtal_Prot#'!A:AL,10,FALSE)-VLOOKUP(A358,'SegEnds_NonXtal_Prot#'!A:AL,4,FALSE)</f>
        <v>31</v>
      </c>
      <c r="AC358" s="4">
        <f>VLOOKUP(A358,'SegEnds_NonXtal_Prot#'!A:AL,10,FALSE)-VLOOKUP(A358,'SegEnds_NonXtal_Prot#'!A:AL,7,FALSE)</f>
        <v>15</v>
      </c>
      <c r="AD358" s="4" t="e">
        <f>VLOOKUP(A358,'SegEnds_NonXtal_Prot#'!A:AL,13,FALSE)-VLOOKUP(A358,'SegEnds_NonXtal_Prot#'!A:AL,10,FALSE)</f>
        <v>#VALUE!</v>
      </c>
      <c r="AE358" s="4">
        <f>VLOOKUP(A358,'SegEnds_NonXtal_Prot#'!A:AL,16,FALSE)-VLOOKUP(A358,'SegEnds_NonXtal_Prot#'!A:AL,10,FALSE)</f>
        <v>44</v>
      </c>
      <c r="AF358" s="1" t="e">
        <f>VLOOKUP(A358,'SegEnds_NonXtal_Prot#'!A:AL,22,FALSE)-VLOOKUP(A358,'SegEnds_NonXtal_Prot#'!A:AL,19,FALSE)</f>
        <v>#VALUE!</v>
      </c>
      <c r="AG358" s="4">
        <f>VLOOKUP(A358,'SegEnds_NonXtal_Prot#'!A:AL,28,FALSE)-VLOOKUP(A358,'SegEnds_NonXtal_Prot#'!A:AL,25,FALSE)</f>
        <v>18</v>
      </c>
      <c r="AH358" s="1">
        <f>VLOOKUP(A358,'SegEnds_NonXtal_Prot#'!A:AL,28,FALSE)-VLOOKUP(A358,'SegEnds_NonXtal_Prot#'!A:AL,22,FALSE)</f>
        <v>51</v>
      </c>
      <c r="AI358" s="4">
        <f>VLOOKUP(A358,'SegEnds_NonXtal_Prot#'!A:AL,31,FALSE)-VLOOKUP(A358,'SegEnds_NonXtal_Prot#'!A:AL,28,FALSE)</f>
        <v>37</v>
      </c>
      <c r="AJ358" s="4">
        <f>VLOOKUP(A358,'SegEnds_NonXtal_Prot#'!A:AL,34,FALSE)-VLOOKUP(A358,'SegEnds_NonXtal_Prot#'!A:AL,31,FALSE)</f>
        <v>29</v>
      </c>
      <c r="AK358" s="1">
        <f>VLOOKUP(A358,'SegEnds_NonXtal_Prot#'!A:AL,37,FALSE)-VLOOKUP(A358,'SegEnds_NonXtal_Prot#'!A:AL,34,FALSE)</f>
        <v>19</v>
      </c>
      <c r="AL358" s="1" t="str">
        <f>IF(ISERROR(MATCH(A358,'SegEnds_Xtal_Prot#'!B:B, 0)), "NoXtal", "Xtal")</f>
        <v>NoXtal</v>
      </c>
    </row>
    <row r="359" spans="1:38" x14ac:dyDescent="0.2">
      <c r="A359" s="1" t="s">
        <v>115</v>
      </c>
      <c r="B359" s="1" t="str">
        <f>VLOOKUP(A359,Xtal_Templ!A:B,2,FALSE)</f>
        <v>grm1_human</v>
      </c>
      <c r="C359" s="5">
        <f>VLOOKUP($B359&amp;"__wt",'SegEnds_Xtal_BW#'!$A:$Z,3,FALSE)</f>
        <v>34</v>
      </c>
      <c r="D359" s="1">
        <f>VLOOKUP($B359&amp;"__wt",'SegEnds_Xtal_BW#'!$A:$Z,4,FALSE)</f>
        <v>60</v>
      </c>
      <c r="E359" s="1">
        <f>VLOOKUP($B359&amp;"__wt",'SegEnds_Xtal_BW#'!$A:$Z,5,FALSE)</f>
        <v>47</v>
      </c>
      <c r="F359" s="1">
        <f>VLOOKUP($B359&amp;"__wt",'SegEnds_Xtal_BW#'!$A:$Z,6,FALSE)</f>
        <v>53</v>
      </c>
      <c r="G359" s="1">
        <v>39</v>
      </c>
      <c r="H359" s="12">
        <f>VLOOKUP($B359&amp;"__wt",'SegEnds_Xtal_BW#'!$A:$Z,8,FALSE)</f>
        <v>61</v>
      </c>
      <c r="I359" s="1" t="str">
        <f>VLOOKUP($B359&amp;"__wt",'SegEnds_Xtal_BW#'!$A:$Z,9,FALSE)</f>
        <v>-</v>
      </c>
      <c r="J359" s="1" t="str">
        <f>VLOOKUP($B359&amp;"__wt",'SegEnds_Xtal_BW#'!$A:$Z,10,FALSE)</f>
        <v>-</v>
      </c>
      <c r="K359" s="12">
        <f>VLOOKUP($B359&amp;"__wt",'SegEnds_Xtal_BW#'!$A:$Z,11,FALSE)</f>
        <v>22</v>
      </c>
      <c r="L359" s="1">
        <f>VLOOKUP($B359&amp;"__wt",'SegEnds_Xtal_BW#'!$A:$Z,12,FALSE)</f>
        <v>54</v>
      </c>
      <c r="M359" s="1" t="str">
        <f>VLOOKUP($B359&amp;"__wt",'SegEnds_Xtal_BW#'!$A:$Z,13,FALSE)</f>
        <v>-</v>
      </c>
      <c r="N359" s="12" t="str">
        <f>VLOOKUP($B359&amp;"__wt",'SegEnds_Xtal_BW#'!$A:$Z,14,FALSE)</f>
        <v>-</v>
      </c>
      <c r="O359" s="87">
        <f>VLOOKUP($B359&amp;"__wt",'SegEnds_Xtal_BW#'!$A:$Z,15,FALSE)</f>
        <v>38</v>
      </c>
      <c r="P359" s="1">
        <f>VLOOKUP($B359&amp;"__wt",'SegEnds_Xtal_BW#'!$A:$Z,16,FALSE)</f>
        <v>64</v>
      </c>
      <c r="Q359" s="1">
        <f>VLOOKUP($B359&amp;"__wt",'SegEnds_Xtal_BW#'!$A:$Z,17,FALSE)</f>
        <v>50</v>
      </c>
      <c r="R359" s="1">
        <f>VLOOKUP($B359&amp;"__wt",'SegEnds_Xtal_BW#'!$A:$Z,18,FALSE)</f>
        <v>52</v>
      </c>
      <c r="S359" s="1">
        <f>VLOOKUP($B359&amp;"__wt",'SegEnds_Xtal_BW#'!$A:$Z,19,FALSE)</f>
        <v>36</v>
      </c>
      <c r="T359" s="1">
        <f>VLOOKUP($B359&amp;"__wt",'SegEnds_Xtal_BW#'!$A:$Z,20,FALSE)</f>
        <v>61</v>
      </c>
      <c r="U359" s="1">
        <f>VLOOKUP($B359&amp;"__wt",'SegEnds_Xtal_BW#'!$A:$Z,21,FALSE)</f>
        <v>33</v>
      </c>
      <c r="V359" s="1">
        <f>VLOOKUP($B359&amp;"__wt",'SegEnds_Xtal_BW#'!$A:$Z,22,FALSE)</f>
        <v>57</v>
      </c>
      <c r="W359" s="1">
        <f>VLOOKUP($B359&amp;"__wt",'SegEnds_Xtal_BW#'!$A:$Z,23,FALSE)</f>
        <v>33</v>
      </c>
      <c r="X359" s="1">
        <f>VLOOKUP($B359&amp;"__wt",'SegEnds_Xtal_BW#'!$A:$Z,24,FALSE)</f>
        <v>64</v>
      </c>
      <c r="Y359" s="1">
        <f>VLOOKUP($B359&amp;"__wt",'SegEnds_Xtal_BW#'!$A:$Z,25,FALSE)</f>
        <v>46</v>
      </c>
      <c r="Z359" s="1">
        <f>VLOOKUP($B359&amp;"__wt",'SegEnds_Xtal_BW#'!$A:$Z,26,FALSE)</f>
        <v>57</v>
      </c>
      <c r="AA359" s="27" t="str">
        <f>VLOOKUP(A359,Classification!A:B,2,FALSE)</f>
        <v>C</v>
      </c>
      <c r="AB359" s="1">
        <f>VLOOKUP(A359,'SegEnds_NonXtal_Prot#'!A:AL,10,FALSE)-VLOOKUP(A359,'SegEnds_NonXtal_Prot#'!A:AL,4,FALSE)</f>
        <v>31</v>
      </c>
      <c r="AC359" s="1">
        <f>VLOOKUP(A359,'SegEnds_NonXtal_Prot#'!A:AL,10,FALSE)-VLOOKUP(A359,'SegEnds_NonXtal_Prot#'!A:AL,7,FALSE)</f>
        <v>15</v>
      </c>
      <c r="AD359" s="1" t="e">
        <f>VLOOKUP(A359,'SegEnds_NonXtal_Prot#'!A:AL,13,FALSE)-VLOOKUP(A359,'SegEnds_NonXtal_Prot#'!A:AL,10,FALSE)</f>
        <v>#VALUE!</v>
      </c>
      <c r="AE359" s="1">
        <f>VLOOKUP(A359,'SegEnds_NonXtal_Prot#'!A:AL,16,FALSE)-VLOOKUP(A359,'SegEnds_NonXtal_Prot#'!A:AL,10,FALSE)</f>
        <v>44</v>
      </c>
      <c r="AF359" s="1" t="e">
        <f>VLOOKUP(A359,'SegEnds_NonXtal_Prot#'!A:AL,22,FALSE)-VLOOKUP(A359,'SegEnds_NonXtal_Prot#'!A:AL,19,FALSE)</f>
        <v>#VALUE!</v>
      </c>
      <c r="AG359" s="1">
        <f>VLOOKUP(A359,'SegEnds_NonXtal_Prot#'!A:AL,28,FALSE)-VLOOKUP(A359,'SegEnds_NonXtal_Prot#'!A:AL,25,FALSE)</f>
        <v>17</v>
      </c>
      <c r="AH359" s="1">
        <f>VLOOKUP(A359,'SegEnds_NonXtal_Prot#'!A:AL,28,FALSE)-VLOOKUP(A359,'SegEnds_NonXtal_Prot#'!A:AL,22,FALSE)</f>
        <v>51</v>
      </c>
      <c r="AI359" s="1">
        <f>VLOOKUP(A359,'SegEnds_NonXtal_Prot#'!A:AL,31,FALSE)-VLOOKUP(A359,'SegEnds_NonXtal_Prot#'!A:AL,28,FALSE)</f>
        <v>37</v>
      </c>
      <c r="AJ359" s="1">
        <f>VLOOKUP(A359,'SegEnds_NonXtal_Prot#'!A:AL,34,FALSE)-VLOOKUP(A359,'SegEnds_NonXtal_Prot#'!A:AL,31,FALSE)</f>
        <v>31</v>
      </c>
      <c r="AK359" s="1">
        <f>VLOOKUP(A359,'SegEnds_NonXtal_Prot#'!A:AL,37,FALSE)-VLOOKUP(A359,'SegEnds_NonXtal_Prot#'!A:AL,34,FALSE)</f>
        <v>19</v>
      </c>
      <c r="AL359" s="1" t="str">
        <f>IF(ISERROR(MATCH(A359,'SegEnds_Xtal_Prot#'!B:B, 0)), "NoXtal", "Xtal")</f>
        <v>NoXtal</v>
      </c>
    </row>
    <row r="360" spans="1:38" x14ac:dyDescent="0.2">
      <c r="A360" s="1" t="s">
        <v>116</v>
      </c>
      <c r="B360" s="1" t="str">
        <f>VLOOKUP(A360,Xtal_Templ!A:B,2,FALSE)</f>
        <v>grm5_human</v>
      </c>
      <c r="C360" s="5">
        <f>VLOOKUP($B360&amp;"__wt",'SegEnds_Xtal_BW#'!$A:$Z,3,FALSE)</f>
        <v>34</v>
      </c>
      <c r="D360" s="1">
        <f>VLOOKUP($B360&amp;"__wt",'SegEnds_Xtal_BW#'!$A:$Z,4,FALSE)</f>
        <v>60</v>
      </c>
      <c r="E360" s="1">
        <f>VLOOKUP($B360&amp;"__wt",'SegEnds_Xtal_BW#'!$A:$Z,5,FALSE)</f>
        <v>47</v>
      </c>
      <c r="F360" s="1">
        <f>VLOOKUP($B360&amp;"__wt",'SegEnds_Xtal_BW#'!$A:$Z,6,FALSE)</f>
        <v>53</v>
      </c>
      <c r="G360" s="1">
        <v>39</v>
      </c>
      <c r="H360" s="12">
        <f>VLOOKUP($B360&amp;"__wt",'SegEnds_Xtal_BW#'!$A:$Z,8,FALSE)</f>
        <v>61</v>
      </c>
      <c r="I360" s="1" t="str">
        <f>VLOOKUP($B360&amp;"__wt",'SegEnds_Xtal_BW#'!$A:$Z,9,FALSE)</f>
        <v>-</v>
      </c>
      <c r="J360" s="1" t="str">
        <f>VLOOKUP($B360&amp;"__wt",'SegEnds_Xtal_BW#'!$A:$Z,10,FALSE)</f>
        <v>-</v>
      </c>
      <c r="K360" s="12">
        <f>VLOOKUP($B360&amp;"__wt",'SegEnds_Xtal_BW#'!$A:$Z,11,FALSE)</f>
        <v>21</v>
      </c>
      <c r="L360" s="1">
        <f>VLOOKUP($B360&amp;"__wt",'SegEnds_Xtal_BW#'!$A:$Z,12,FALSE)</f>
        <v>54</v>
      </c>
      <c r="M360" s="1" t="str">
        <f>VLOOKUP($B360&amp;"__wt",'SegEnds_Xtal_BW#'!$A:$Z,13,FALSE)</f>
        <v>-</v>
      </c>
      <c r="N360" s="12" t="str">
        <f>VLOOKUP($B360&amp;"__wt",'SegEnds_Xtal_BW#'!$A:$Z,14,FALSE)</f>
        <v>-</v>
      </c>
      <c r="O360" s="87">
        <f>VLOOKUP($B360&amp;"__wt",'SegEnds_Xtal_BW#'!$A:$Z,15,FALSE)</f>
        <v>38</v>
      </c>
      <c r="P360" s="1">
        <f>VLOOKUP($B360&amp;"__wt",'SegEnds_Xtal_BW#'!$A:$Z,16,FALSE)</f>
        <v>64</v>
      </c>
      <c r="Q360" s="1">
        <f>VLOOKUP($B360&amp;"__wt",'SegEnds_Xtal_BW#'!$A:$Z,17,FALSE)</f>
        <v>50</v>
      </c>
      <c r="R360" s="1">
        <f>VLOOKUP($B360&amp;"__wt",'SegEnds_Xtal_BW#'!$A:$Z,18,FALSE)</f>
        <v>52</v>
      </c>
      <c r="S360" s="1">
        <f>VLOOKUP($B360&amp;"__wt",'SegEnds_Xtal_BW#'!$A:$Z,19,FALSE)</f>
        <v>36</v>
      </c>
      <c r="T360" s="1">
        <f>VLOOKUP($B360&amp;"__wt",'SegEnds_Xtal_BW#'!$A:$Z,20,FALSE)</f>
        <v>61</v>
      </c>
      <c r="U360" s="1">
        <f>VLOOKUP($B360&amp;"__wt",'SegEnds_Xtal_BW#'!$A:$Z,21,FALSE)</f>
        <v>33</v>
      </c>
      <c r="V360" s="1">
        <f>VLOOKUP($B360&amp;"__wt",'SegEnds_Xtal_BW#'!$A:$Z,22,FALSE)</f>
        <v>57</v>
      </c>
      <c r="W360" s="1">
        <f>VLOOKUP($B360&amp;"__wt",'SegEnds_Xtal_BW#'!$A:$Z,23,FALSE)</f>
        <v>33</v>
      </c>
      <c r="X360" s="1">
        <f>VLOOKUP($B360&amp;"__wt",'SegEnds_Xtal_BW#'!$A:$Z,24,FALSE)</f>
        <v>64</v>
      </c>
      <c r="Y360" s="1">
        <f>VLOOKUP($B360&amp;"__wt",'SegEnds_Xtal_BW#'!$A:$Z,25,FALSE)</f>
        <v>46</v>
      </c>
      <c r="Z360" s="1">
        <f>VLOOKUP($B360&amp;"__wt",'SegEnds_Xtal_BW#'!$A:$Z,26,FALSE)</f>
        <v>57</v>
      </c>
      <c r="AA360" s="27" t="str">
        <f>VLOOKUP(A360,Classification!A:B,2,FALSE)</f>
        <v>C</v>
      </c>
      <c r="AB360" s="1">
        <f>VLOOKUP(A360,'SegEnds_NonXtal_Prot#'!A:AL,10,FALSE)-VLOOKUP(A360,'SegEnds_NonXtal_Prot#'!A:AL,4,FALSE)</f>
        <v>31</v>
      </c>
      <c r="AC360" s="1">
        <f>VLOOKUP(A360,'SegEnds_NonXtal_Prot#'!A:AL,10,FALSE)-VLOOKUP(A360,'SegEnds_NonXtal_Prot#'!A:AL,7,FALSE)</f>
        <v>15</v>
      </c>
      <c r="AD360" s="1" t="e">
        <f>VLOOKUP(A360,'SegEnds_NonXtal_Prot#'!A:AL,13,FALSE)-VLOOKUP(A360,'SegEnds_NonXtal_Prot#'!A:AL,10,FALSE)</f>
        <v>#VALUE!</v>
      </c>
      <c r="AE360" s="1">
        <f>VLOOKUP(A360,'SegEnds_NonXtal_Prot#'!A:AL,16,FALSE)-VLOOKUP(A360,'SegEnds_NonXtal_Prot#'!A:AL,10,FALSE)</f>
        <v>44</v>
      </c>
      <c r="AF360" s="1" t="e">
        <f>VLOOKUP(A360,'SegEnds_NonXtal_Prot#'!A:AL,22,FALSE)-VLOOKUP(A360,'SegEnds_NonXtal_Prot#'!A:AL,19,FALSE)</f>
        <v>#VALUE!</v>
      </c>
      <c r="AG360" s="1">
        <f>VLOOKUP(A360,'SegEnds_NonXtal_Prot#'!A:AL,28,FALSE)-VLOOKUP(A360,'SegEnds_NonXtal_Prot#'!A:AL,25,FALSE)</f>
        <v>17</v>
      </c>
      <c r="AH360" s="1">
        <f>VLOOKUP(A360,'SegEnds_NonXtal_Prot#'!A:AL,28,FALSE)-VLOOKUP(A360,'SegEnds_NonXtal_Prot#'!A:AL,22,FALSE)</f>
        <v>51</v>
      </c>
      <c r="AI360" s="1">
        <f>VLOOKUP(A360,'SegEnds_NonXtal_Prot#'!A:AL,31,FALSE)-VLOOKUP(A360,'SegEnds_NonXtal_Prot#'!A:AL,28,FALSE)</f>
        <v>37</v>
      </c>
      <c r="AJ360" s="1">
        <f>VLOOKUP(A360,'SegEnds_NonXtal_Prot#'!A:AL,34,FALSE)-VLOOKUP(A360,'SegEnds_NonXtal_Prot#'!A:AL,31,FALSE)</f>
        <v>31</v>
      </c>
      <c r="AK360" s="1">
        <f>VLOOKUP(A360,'SegEnds_NonXtal_Prot#'!A:AL,37,FALSE)-VLOOKUP(A360,'SegEnds_NonXtal_Prot#'!A:AL,34,FALSE)</f>
        <v>19</v>
      </c>
      <c r="AL360" s="1" t="str">
        <f>IF(ISERROR(MATCH(A360,'SegEnds_Xtal_Prot#'!B:B, 0)), "NoXtal", "Xtal")</f>
        <v>NoXtal</v>
      </c>
    </row>
    <row r="361" spans="1:38" x14ac:dyDescent="0.2">
      <c r="A361" s="1" t="s">
        <v>122</v>
      </c>
      <c r="B361" s="1" t="str">
        <f>VLOOKUP(A361,Xtal_Templ!A:B,2,FALSE)</f>
        <v>grm1_human</v>
      </c>
      <c r="C361" s="5">
        <f>VLOOKUP($B361&amp;"__wt",'SegEnds_Xtal_BW#'!$A:$Z,3,FALSE)</f>
        <v>34</v>
      </c>
      <c r="D361" s="1">
        <f>VLOOKUP($B361&amp;"__wt",'SegEnds_Xtal_BW#'!$A:$Z,4,FALSE)</f>
        <v>60</v>
      </c>
      <c r="E361" s="1">
        <f>VLOOKUP($B361&amp;"__wt",'SegEnds_Xtal_BW#'!$A:$Z,5,FALSE)</f>
        <v>47</v>
      </c>
      <c r="F361" s="1">
        <f>VLOOKUP($B361&amp;"__wt",'SegEnds_Xtal_BW#'!$A:$Z,6,FALSE)</f>
        <v>53</v>
      </c>
      <c r="G361" s="1">
        <v>39</v>
      </c>
      <c r="H361" s="12">
        <f>VLOOKUP($B361&amp;"__wt",'SegEnds_Xtal_BW#'!$A:$Z,8,FALSE)</f>
        <v>61</v>
      </c>
      <c r="I361" s="1" t="str">
        <f>VLOOKUP($B361&amp;"__wt",'SegEnds_Xtal_BW#'!$A:$Z,9,FALSE)</f>
        <v>-</v>
      </c>
      <c r="J361" s="1" t="str">
        <f>VLOOKUP($B361&amp;"__wt",'SegEnds_Xtal_BW#'!$A:$Z,10,FALSE)</f>
        <v>-</v>
      </c>
      <c r="K361" s="12">
        <f>VLOOKUP($B361&amp;"__wt",'SegEnds_Xtal_BW#'!$A:$Z,11,FALSE)</f>
        <v>22</v>
      </c>
      <c r="L361" s="1">
        <f>VLOOKUP($B361&amp;"__wt",'SegEnds_Xtal_BW#'!$A:$Z,12,FALSE)</f>
        <v>54</v>
      </c>
      <c r="M361" s="1" t="str">
        <f>VLOOKUP($B361&amp;"__wt",'SegEnds_Xtal_BW#'!$A:$Z,13,FALSE)</f>
        <v>-</v>
      </c>
      <c r="N361" s="12" t="str">
        <f>VLOOKUP($B361&amp;"__wt",'SegEnds_Xtal_BW#'!$A:$Z,14,FALSE)</f>
        <v>-</v>
      </c>
      <c r="O361" s="87">
        <f>VLOOKUP($B361&amp;"__wt",'SegEnds_Xtal_BW#'!$A:$Z,15,FALSE)</f>
        <v>38</v>
      </c>
      <c r="P361" s="1">
        <f>VLOOKUP($B361&amp;"__wt",'SegEnds_Xtal_BW#'!$A:$Z,16,FALSE)</f>
        <v>64</v>
      </c>
      <c r="Q361" s="1">
        <f>VLOOKUP($B361&amp;"__wt",'SegEnds_Xtal_BW#'!$A:$Z,17,FALSE)</f>
        <v>50</v>
      </c>
      <c r="R361" s="1">
        <f>VLOOKUP($B361&amp;"__wt",'SegEnds_Xtal_BW#'!$A:$Z,18,FALSE)</f>
        <v>52</v>
      </c>
      <c r="S361" s="1">
        <f>VLOOKUP($B361&amp;"__wt",'SegEnds_Xtal_BW#'!$A:$Z,19,FALSE)</f>
        <v>36</v>
      </c>
      <c r="T361" s="1">
        <f>VLOOKUP($B361&amp;"__wt",'SegEnds_Xtal_BW#'!$A:$Z,20,FALSE)</f>
        <v>61</v>
      </c>
      <c r="U361" s="1">
        <f>VLOOKUP($B361&amp;"__wt",'SegEnds_Xtal_BW#'!$A:$Z,21,FALSE)</f>
        <v>33</v>
      </c>
      <c r="V361" s="1">
        <f>VLOOKUP($B361&amp;"__wt",'SegEnds_Xtal_BW#'!$A:$Z,22,FALSE)</f>
        <v>57</v>
      </c>
      <c r="W361" s="1">
        <f>VLOOKUP($B361&amp;"__wt",'SegEnds_Xtal_BW#'!$A:$Z,23,FALSE)</f>
        <v>33</v>
      </c>
      <c r="X361" s="1">
        <f>VLOOKUP($B361&amp;"__wt",'SegEnds_Xtal_BW#'!$A:$Z,24,FALSE)</f>
        <v>64</v>
      </c>
      <c r="Y361" s="1">
        <f>VLOOKUP($B361&amp;"__wt",'SegEnds_Xtal_BW#'!$A:$Z,25,FALSE)</f>
        <v>46</v>
      </c>
      <c r="Z361" s="1">
        <f>VLOOKUP($B361&amp;"__wt",'SegEnds_Xtal_BW#'!$A:$Z,26,FALSE)</f>
        <v>57</v>
      </c>
      <c r="AA361" s="27" t="str">
        <f>VLOOKUP(A361,Classification!A:B,2,FALSE)</f>
        <v>C</v>
      </c>
      <c r="AB361" s="1">
        <f>VLOOKUP(A361,'SegEnds_NonXtal_Prot#'!A:AL,10,FALSE)-VLOOKUP(A361,'SegEnds_NonXtal_Prot#'!A:AL,4,FALSE)</f>
        <v>31</v>
      </c>
      <c r="AC361" s="1">
        <f>VLOOKUP(A361,'SegEnds_NonXtal_Prot#'!A:AL,10,FALSE)-VLOOKUP(A361,'SegEnds_NonXtal_Prot#'!A:AL,7,FALSE)</f>
        <v>15</v>
      </c>
      <c r="AD361" s="1" t="e">
        <f>VLOOKUP(A361,'SegEnds_NonXtal_Prot#'!A:AL,13,FALSE)-VLOOKUP(A361,'SegEnds_NonXtal_Prot#'!A:AL,10,FALSE)</f>
        <v>#VALUE!</v>
      </c>
      <c r="AE361" s="1">
        <f>VLOOKUP(A361,'SegEnds_NonXtal_Prot#'!A:AL,16,FALSE)-VLOOKUP(A361,'SegEnds_NonXtal_Prot#'!A:AL,10,FALSE)</f>
        <v>44</v>
      </c>
      <c r="AF361" s="1" t="e">
        <f>VLOOKUP(A361,'SegEnds_NonXtal_Prot#'!A:AL,22,FALSE)-VLOOKUP(A361,'SegEnds_NonXtal_Prot#'!A:AL,19,FALSE)</f>
        <v>#VALUE!</v>
      </c>
      <c r="AG361" s="1">
        <f>VLOOKUP(A361,'SegEnds_NonXtal_Prot#'!A:AL,28,FALSE)-VLOOKUP(A361,'SegEnds_NonXtal_Prot#'!A:AL,25,FALSE)</f>
        <v>18</v>
      </c>
      <c r="AH361" s="1">
        <f>VLOOKUP(A361,'SegEnds_NonXtal_Prot#'!A:AL,28,FALSE)-VLOOKUP(A361,'SegEnds_NonXtal_Prot#'!A:AL,22,FALSE)</f>
        <v>51</v>
      </c>
      <c r="AI361" s="1">
        <f>VLOOKUP(A361,'SegEnds_NonXtal_Prot#'!A:AL,31,FALSE)-VLOOKUP(A361,'SegEnds_NonXtal_Prot#'!A:AL,28,FALSE)</f>
        <v>37</v>
      </c>
      <c r="AJ361" s="1">
        <f>VLOOKUP(A361,'SegEnds_NonXtal_Prot#'!A:AL,34,FALSE)-VLOOKUP(A361,'SegEnds_NonXtal_Prot#'!A:AL,31,FALSE)</f>
        <v>29</v>
      </c>
      <c r="AK361" s="1">
        <f>VLOOKUP(A361,'SegEnds_NonXtal_Prot#'!A:AL,37,FALSE)-VLOOKUP(A361,'SegEnds_NonXtal_Prot#'!A:AL,34,FALSE)</f>
        <v>19</v>
      </c>
      <c r="AL361" s="1" t="str">
        <f>IF(ISERROR(MATCH(A361,'SegEnds_Xtal_Prot#'!B:B, 0)), "NoXtal", "Xtal")</f>
        <v>NoXtal</v>
      </c>
    </row>
    <row r="362" spans="1:38" x14ac:dyDescent="0.2">
      <c r="A362" s="1" t="s">
        <v>124</v>
      </c>
      <c r="B362" s="1" t="str">
        <f>VLOOKUP(A362,Xtal_Templ!A:B,2,FALSE)</f>
        <v>grm1_human</v>
      </c>
      <c r="C362" s="5">
        <f>VLOOKUP($B362&amp;"__wt",'SegEnds_Xtal_BW#'!$A:$Z,3,FALSE)</f>
        <v>34</v>
      </c>
      <c r="D362" s="1">
        <f>VLOOKUP($B362&amp;"__wt",'SegEnds_Xtal_BW#'!$A:$Z,4,FALSE)</f>
        <v>60</v>
      </c>
      <c r="E362" s="1">
        <f>VLOOKUP($B362&amp;"__wt",'SegEnds_Xtal_BW#'!$A:$Z,5,FALSE)</f>
        <v>47</v>
      </c>
      <c r="F362" s="1">
        <f>VLOOKUP($B362&amp;"__wt",'SegEnds_Xtal_BW#'!$A:$Z,6,FALSE)</f>
        <v>53</v>
      </c>
      <c r="G362" s="1">
        <v>39</v>
      </c>
      <c r="H362" s="12">
        <f>VLOOKUP($B362&amp;"__wt",'SegEnds_Xtal_BW#'!$A:$Z,8,FALSE)</f>
        <v>61</v>
      </c>
      <c r="I362" s="1" t="str">
        <f>VLOOKUP($B362&amp;"__wt",'SegEnds_Xtal_BW#'!$A:$Z,9,FALSE)</f>
        <v>-</v>
      </c>
      <c r="J362" s="1" t="str">
        <f>VLOOKUP($B362&amp;"__wt",'SegEnds_Xtal_BW#'!$A:$Z,10,FALSE)</f>
        <v>-</v>
      </c>
      <c r="K362" s="12">
        <f>VLOOKUP($B362&amp;"__wt",'SegEnds_Xtal_BW#'!$A:$Z,11,FALSE)</f>
        <v>22</v>
      </c>
      <c r="L362" s="1">
        <f>VLOOKUP($B362&amp;"__wt",'SegEnds_Xtal_BW#'!$A:$Z,12,FALSE)</f>
        <v>54</v>
      </c>
      <c r="M362" s="1" t="str">
        <f>VLOOKUP($B362&amp;"__wt",'SegEnds_Xtal_BW#'!$A:$Z,13,FALSE)</f>
        <v>-</v>
      </c>
      <c r="N362" s="12" t="str">
        <f>VLOOKUP($B362&amp;"__wt",'SegEnds_Xtal_BW#'!$A:$Z,14,FALSE)</f>
        <v>-</v>
      </c>
      <c r="O362" s="87">
        <f>VLOOKUP($B362&amp;"__wt",'SegEnds_Xtal_BW#'!$A:$Z,15,FALSE)</f>
        <v>38</v>
      </c>
      <c r="P362" s="1">
        <f>VLOOKUP($B362&amp;"__wt",'SegEnds_Xtal_BW#'!$A:$Z,16,FALSE)</f>
        <v>64</v>
      </c>
      <c r="Q362" s="1">
        <f>VLOOKUP($B362&amp;"__wt",'SegEnds_Xtal_BW#'!$A:$Z,17,FALSE)</f>
        <v>50</v>
      </c>
      <c r="R362" s="1">
        <f>VLOOKUP($B362&amp;"__wt",'SegEnds_Xtal_BW#'!$A:$Z,18,FALSE)</f>
        <v>52</v>
      </c>
      <c r="S362" s="1">
        <f>VLOOKUP($B362&amp;"__wt",'SegEnds_Xtal_BW#'!$A:$Z,19,FALSE)</f>
        <v>36</v>
      </c>
      <c r="T362" s="1">
        <f>VLOOKUP($B362&amp;"__wt",'SegEnds_Xtal_BW#'!$A:$Z,20,FALSE)</f>
        <v>61</v>
      </c>
      <c r="U362" s="1">
        <f>VLOOKUP($B362&amp;"__wt",'SegEnds_Xtal_BW#'!$A:$Z,21,FALSE)</f>
        <v>33</v>
      </c>
      <c r="V362" s="1">
        <f>VLOOKUP($B362&amp;"__wt",'SegEnds_Xtal_BW#'!$A:$Z,22,FALSE)</f>
        <v>57</v>
      </c>
      <c r="W362" s="1">
        <f>VLOOKUP($B362&amp;"__wt",'SegEnds_Xtal_BW#'!$A:$Z,23,FALSE)</f>
        <v>33</v>
      </c>
      <c r="X362" s="1">
        <f>VLOOKUP($B362&amp;"__wt",'SegEnds_Xtal_BW#'!$A:$Z,24,FALSE)</f>
        <v>64</v>
      </c>
      <c r="Y362" s="1">
        <f>VLOOKUP($B362&amp;"__wt",'SegEnds_Xtal_BW#'!$A:$Z,25,FALSE)</f>
        <v>46</v>
      </c>
      <c r="Z362" s="1">
        <f>VLOOKUP($B362&amp;"__wt",'SegEnds_Xtal_BW#'!$A:$Z,26,FALSE)</f>
        <v>57</v>
      </c>
      <c r="AA362" s="27" t="str">
        <f>VLOOKUP(A362,Classification!A:B,2,FALSE)</f>
        <v>C</v>
      </c>
      <c r="AB362" s="1">
        <f>VLOOKUP(A362,'SegEnds_NonXtal_Prot#'!A:AL,10,FALSE)-VLOOKUP(A362,'SegEnds_NonXtal_Prot#'!A:AL,4,FALSE)</f>
        <v>31</v>
      </c>
      <c r="AC362" s="1">
        <f>VLOOKUP(A362,'SegEnds_NonXtal_Prot#'!A:AL,10,FALSE)-VLOOKUP(A362,'SegEnds_NonXtal_Prot#'!A:AL,7,FALSE)</f>
        <v>15</v>
      </c>
      <c r="AD362" s="1" t="e">
        <f>VLOOKUP(A362,'SegEnds_NonXtal_Prot#'!A:AL,13,FALSE)-VLOOKUP(A362,'SegEnds_NonXtal_Prot#'!A:AL,10,FALSE)</f>
        <v>#VALUE!</v>
      </c>
      <c r="AE362" s="1">
        <f>VLOOKUP(A362,'SegEnds_NonXtal_Prot#'!A:AL,16,FALSE)-VLOOKUP(A362,'SegEnds_NonXtal_Prot#'!A:AL,10,FALSE)</f>
        <v>44</v>
      </c>
      <c r="AF362" s="1" t="e">
        <f>VLOOKUP(A362,'SegEnds_NonXtal_Prot#'!A:AL,22,FALSE)-VLOOKUP(A362,'SegEnds_NonXtal_Prot#'!A:AL,19,FALSE)</f>
        <v>#VALUE!</v>
      </c>
      <c r="AG362" s="1">
        <f>VLOOKUP(A362,'SegEnds_NonXtal_Prot#'!A:AL,28,FALSE)-VLOOKUP(A362,'SegEnds_NonXtal_Prot#'!A:AL,25,FALSE)</f>
        <v>18</v>
      </c>
      <c r="AH362" s="1">
        <f>VLOOKUP(A362,'SegEnds_NonXtal_Prot#'!A:AL,28,FALSE)-VLOOKUP(A362,'SegEnds_NonXtal_Prot#'!A:AL,22,FALSE)</f>
        <v>51</v>
      </c>
      <c r="AI362" s="1">
        <f>VLOOKUP(A362,'SegEnds_NonXtal_Prot#'!A:AL,31,FALSE)-VLOOKUP(A362,'SegEnds_NonXtal_Prot#'!A:AL,28,FALSE)</f>
        <v>37</v>
      </c>
      <c r="AJ362" s="1">
        <f>VLOOKUP(A362,'SegEnds_NonXtal_Prot#'!A:AL,34,FALSE)-VLOOKUP(A362,'SegEnds_NonXtal_Prot#'!A:AL,31,FALSE)</f>
        <v>29</v>
      </c>
      <c r="AK362" s="1">
        <f>VLOOKUP(A362,'SegEnds_NonXtal_Prot#'!A:AL,37,FALSE)-VLOOKUP(A362,'SegEnds_NonXtal_Prot#'!A:AL,34,FALSE)</f>
        <v>19</v>
      </c>
      <c r="AL362" s="1" t="str">
        <f>IF(ISERROR(MATCH(A362,'SegEnds_Xtal_Prot#'!B:B, 0)), "NoXtal", "Xtal")</f>
        <v>NoXtal</v>
      </c>
    </row>
    <row r="363" spans="1:38" x14ac:dyDescent="0.2">
      <c r="A363" s="1" t="s">
        <v>123</v>
      </c>
      <c r="B363" s="1" t="str">
        <f>VLOOKUP(A363,Xtal_Templ!A:B,2,FALSE)</f>
        <v>grm1_human</v>
      </c>
      <c r="C363" s="5">
        <f>VLOOKUP($B363&amp;"__wt",'SegEnds_Xtal_BW#'!$A:$Z,3,FALSE)</f>
        <v>34</v>
      </c>
      <c r="D363" s="1">
        <f>VLOOKUP($B363&amp;"__wt",'SegEnds_Xtal_BW#'!$A:$Z,4,FALSE)</f>
        <v>60</v>
      </c>
      <c r="E363" s="1">
        <f>VLOOKUP($B363&amp;"__wt",'SegEnds_Xtal_BW#'!$A:$Z,5,FALSE)</f>
        <v>47</v>
      </c>
      <c r="F363" s="1">
        <f>VLOOKUP($B363&amp;"__wt",'SegEnds_Xtal_BW#'!$A:$Z,6,FALSE)</f>
        <v>53</v>
      </c>
      <c r="G363" s="1">
        <v>39</v>
      </c>
      <c r="H363" s="12">
        <f>VLOOKUP($B363&amp;"__wt",'SegEnds_Xtal_BW#'!$A:$Z,8,FALSE)</f>
        <v>61</v>
      </c>
      <c r="I363" s="1" t="str">
        <f>VLOOKUP($B363&amp;"__wt",'SegEnds_Xtal_BW#'!$A:$Z,9,FALSE)</f>
        <v>-</v>
      </c>
      <c r="J363" s="1" t="str">
        <f>VLOOKUP($B363&amp;"__wt",'SegEnds_Xtal_BW#'!$A:$Z,10,FALSE)</f>
        <v>-</v>
      </c>
      <c r="K363" s="12">
        <f>VLOOKUP($B363&amp;"__wt",'SegEnds_Xtal_BW#'!$A:$Z,11,FALSE)</f>
        <v>22</v>
      </c>
      <c r="L363" s="1">
        <f>VLOOKUP($B363&amp;"__wt",'SegEnds_Xtal_BW#'!$A:$Z,12,FALSE)</f>
        <v>54</v>
      </c>
      <c r="M363" s="1" t="str">
        <f>VLOOKUP($B363&amp;"__wt",'SegEnds_Xtal_BW#'!$A:$Z,13,FALSE)</f>
        <v>-</v>
      </c>
      <c r="N363" s="12" t="str">
        <f>VLOOKUP($B363&amp;"__wt",'SegEnds_Xtal_BW#'!$A:$Z,14,FALSE)</f>
        <v>-</v>
      </c>
      <c r="O363" s="87">
        <f>VLOOKUP($B363&amp;"__wt",'SegEnds_Xtal_BW#'!$A:$Z,15,FALSE)</f>
        <v>38</v>
      </c>
      <c r="P363" s="1">
        <f>VLOOKUP($B363&amp;"__wt",'SegEnds_Xtal_BW#'!$A:$Z,16,FALSE)</f>
        <v>64</v>
      </c>
      <c r="Q363" s="1">
        <f>VLOOKUP($B363&amp;"__wt",'SegEnds_Xtal_BW#'!$A:$Z,17,FALSE)</f>
        <v>50</v>
      </c>
      <c r="R363" s="1">
        <f>VLOOKUP($B363&amp;"__wt",'SegEnds_Xtal_BW#'!$A:$Z,18,FALSE)</f>
        <v>52</v>
      </c>
      <c r="S363" s="1">
        <f>VLOOKUP($B363&amp;"__wt",'SegEnds_Xtal_BW#'!$A:$Z,19,FALSE)</f>
        <v>36</v>
      </c>
      <c r="T363" s="1">
        <f>VLOOKUP($B363&amp;"__wt",'SegEnds_Xtal_BW#'!$A:$Z,20,FALSE)</f>
        <v>61</v>
      </c>
      <c r="U363" s="1">
        <f>VLOOKUP($B363&amp;"__wt",'SegEnds_Xtal_BW#'!$A:$Z,21,FALSE)</f>
        <v>33</v>
      </c>
      <c r="V363" s="1">
        <f>VLOOKUP($B363&amp;"__wt",'SegEnds_Xtal_BW#'!$A:$Z,22,FALSE)</f>
        <v>57</v>
      </c>
      <c r="W363" s="1">
        <f>VLOOKUP($B363&amp;"__wt",'SegEnds_Xtal_BW#'!$A:$Z,23,FALSE)</f>
        <v>33</v>
      </c>
      <c r="X363" s="1">
        <f>VLOOKUP($B363&amp;"__wt",'SegEnds_Xtal_BW#'!$A:$Z,24,FALSE)</f>
        <v>64</v>
      </c>
      <c r="Y363" s="1">
        <f>VLOOKUP($B363&amp;"__wt",'SegEnds_Xtal_BW#'!$A:$Z,25,FALSE)</f>
        <v>46</v>
      </c>
      <c r="Z363" s="1">
        <f>VLOOKUP($B363&amp;"__wt",'SegEnds_Xtal_BW#'!$A:$Z,26,FALSE)</f>
        <v>57</v>
      </c>
      <c r="AA363" s="27" t="str">
        <f>VLOOKUP(A363,Classification!A:B,2,FALSE)</f>
        <v>C</v>
      </c>
      <c r="AB363" s="1">
        <f>VLOOKUP(A363,'SegEnds_NonXtal_Prot#'!A:AL,10,FALSE)-VLOOKUP(A363,'SegEnds_NonXtal_Prot#'!A:AL,4,FALSE)</f>
        <v>31</v>
      </c>
      <c r="AC363" s="1">
        <f>VLOOKUP(A363,'SegEnds_NonXtal_Prot#'!A:AL,10,FALSE)-VLOOKUP(A363,'SegEnds_NonXtal_Prot#'!A:AL,7,FALSE)</f>
        <v>15</v>
      </c>
      <c r="AD363" s="1" t="e">
        <f>VLOOKUP(A363,'SegEnds_NonXtal_Prot#'!A:AL,13,FALSE)-VLOOKUP(A363,'SegEnds_NonXtal_Prot#'!A:AL,10,FALSE)</f>
        <v>#VALUE!</v>
      </c>
      <c r="AE363" s="1">
        <f>VLOOKUP(A363,'SegEnds_NonXtal_Prot#'!A:AL,16,FALSE)-VLOOKUP(A363,'SegEnds_NonXtal_Prot#'!A:AL,10,FALSE)</f>
        <v>44</v>
      </c>
      <c r="AF363" s="1" t="e">
        <f>VLOOKUP(A363,'SegEnds_NonXtal_Prot#'!A:AL,22,FALSE)-VLOOKUP(A363,'SegEnds_NonXtal_Prot#'!A:AL,19,FALSE)</f>
        <v>#VALUE!</v>
      </c>
      <c r="AG363" s="1">
        <f>VLOOKUP(A363,'SegEnds_NonXtal_Prot#'!A:AL,28,FALSE)-VLOOKUP(A363,'SegEnds_NonXtal_Prot#'!A:AL,25,FALSE)</f>
        <v>18</v>
      </c>
      <c r="AH363" s="1">
        <f>VLOOKUP(A363,'SegEnds_NonXtal_Prot#'!A:AL,28,FALSE)-VLOOKUP(A363,'SegEnds_NonXtal_Prot#'!A:AL,22,FALSE)</f>
        <v>52</v>
      </c>
      <c r="AI363" s="1">
        <f>VLOOKUP(A363,'SegEnds_NonXtal_Prot#'!A:AL,31,FALSE)-VLOOKUP(A363,'SegEnds_NonXtal_Prot#'!A:AL,28,FALSE)</f>
        <v>37</v>
      </c>
      <c r="AJ363" s="1">
        <f>VLOOKUP(A363,'SegEnds_NonXtal_Prot#'!A:AL,34,FALSE)-VLOOKUP(A363,'SegEnds_NonXtal_Prot#'!A:AL,31,FALSE)</f>
        <v>29</v>
      </c>
      <c r="AK363" s="1">
        <f>VLOOKUP(A363,'SegEnds_NonXtal_Prot#'!A:AL,37,FALSE)-VLOOKUP(A363,'SegEnds_NonXtal_Prot#'!A:AL,34,FALSE)</f>
        <v>19</v>
      </c>
      <c r="AL363" s="1" t="str">
        <f>IF(ISERROR(MATCH(A363,'SegEnds_Xtal_Prot#'!B:B, 0)), "NoXtal", "Xtal")</f>
        <v>NoXtal</v>
      </c>
    </row>
    <row r="364" spans="1:38" x14ac:dyDescent="0.2">
      <c r="A364" s="1" t="s">
        <v>112</v>
      </c>
      <c r="B364" s="1" t="str">
        <f>VLOOKUP(A364,Xtal_Templ!A:B,2,FALSE)</f>
        <v>grm1_human</v>
      </c>
      <c r="C364" s="5">
        <f>VLOOKUP($B364&amp;"__wt",'SegEnds_Xtal_BW#'!$A:$Z,3,FALSE)</f>
        <v>34</v>
      </c>
      <c r="D364" s="1">
        <f>VLOOKUP($B364&amp;"__wt",'SegEnds_Xtal_BW#'!$A:$Z,4,FALSE)</f>
        <v>60</v>
      </c>
      <c r="E364" s="1">
        <f>VLOOKUP($B364&amp;"__wt",'SegEnds_Xtal_BW#'!$A:$Z,5,FALSE)</f>
        <v>47</v>
      </c>
      <c r="F364" s="1">
        <f>VLOOKUP($B364&amp;"__wt",'SegEnds_Xtal_BW#'!$A:$Z,6,FALSE)</f>
        <v>53</v>
      </c>
      <c r="G364" s="1">
        <v>39</v>
      </c>
      <c r="H364" s="12">
        <f>VLOOKUP($B364&amp;"__wt",'SegEnds_Xtal_BW#'!$A:$Z,8,FALSE)</f>
        <v>61</v>
      </c>
      <c r="I364" s="1" t="str">
        <f>VLOOKUP($B364&amp;"__wt",'SegEnds_Xtal_BW#'!$A:$Z,9,FALSE)</f>
        <v>-</v>
      </c>
      <c r="J364" s="1" t="str">
        <f>VLOOKUP($B364&amp;"__wt",'SegEnds_Xtal_BW#'!$A:$Z,10,FALSE)</f>
        <v>-</v>
      </c>
      <c r="K364" s="12">
        <f>VLOOKUP($B364&amp;"__wt",'SegEnds_Xtal_BW#'!$A:$Z,11,FALSE)</f>
        <v>22</v>
      </c>
      <c r="L364" s="1">
        <f>VLOOKUP($B364&amp;"__wt",'SegEnds_Xtal_BW#'!$A:$Z,12,FALSE)</f>
        <v>54</v>
      </c>
      <c r="M364" s="1" t="str">
        <f>VLOOKUP($B364&amp;"__wt",'SegEnds_Xtal_BW#'!$A:$Z,13,FALSE)</f>
        <v>-</v>
      </c>
      <c r="N364" s="12" t="str">
        <f>VLOOKUP($B364&amp;"__wt",'SegEnds_Xtal_BW#'!$A:$Z,14,FALSE)</f>
        <v>-</v>
      </c>
      <c r="O364" s="87">
        <f>VLOOKUP($B364&amp;"__wt",'SegEnds_Xtal_BW#'!$A:$Z,15,FALSE)</f>
        <v>38</v>
      </c>
      <c r="P364" s="1">
        <f>VLOOKUP($B364&amp;"__wt",'SegEnds_Xtal_BW#'!$A:$Z,16,FALSE)</f>
        <v>64</v>
      </c>
      <c r="Q364" s="1">
        <f>VLOOKUP($B364&amp;"__wt",'SegEnds_Xtal_BW#'!$A:$Z,17,FALSE)</f>
        <v>50</v>
      </c>
      <c r="R364" s="1">
        <f>VLOOKUP($B364&amp;"__wt",'SegEnds_Xtal_BW#'!$A:$Z,18,FALSE)</f>
        <v>52</v>
      </c>
      <c r="S364" s="1">
        <f>VLOOKUP($B364&amp;"__wt",'SegEnds_Xtal_BW#'!$A:$Z,19,FALSE)</f>
        <v>36</v>
      </c>
      <c r="T364" s="1">
        <f>VLOOKUP($B364&amp;"__wt",'SegEnds_Xtal_BW#'!$A:$Z,20,FALSE)</f>
        <v>61</v>
      </c>
      <c r="U364" s="1">
        <f>VLOOKUP($B364&amp;"__wt",'SegEnds_Xtal_BW#'!$A:$Z,21,FALSE)</f>
        <v>33</v>
      </c>
      <c r="V364" s="1">
        <f>VLOOKUP($B364&amp;"__wt",'SegEnds_Xtal_BW#'!$A:$Z,22,FALSE)</f>
        <v>57</v>
      </c>
      <c r="W364" s="1">
        <f>VLOOKUP($B364&amp;"__wt",'SegEnds_Xtal_BW#'!$A:$Z,23,FALSE)</f>
        <v>33</v>
      </c>
      <c r="X364" s="1">
        <f>VLOOKUP($B364&amp;"__wt",'SegEnds_Xtal_BW#'!$A:$Z,24,FALSE)</f>
        <v>64</v>
      </c>
      <c r="Y364" s="1">
        <f>VLOOKUP($B364&amp;"__wt",'SegEnds_Xtal_BW#'!$A:$Z,25,FALSE)</f>
        <v>46</v>
      </c>
      <c r="Z364" s="1">
        <f>VLOOKUP($B364&amp;"__wt",'SegEnds_Xtal_BW#'!$A:$Z,26,FALSE)</f>
        <v>57</v>
      </c>
      <c r="AA364" s="27" t="str">
        <f>VLOOKUP(A364,Classification!A:B,2,FALSE)</f>
        <v>C</v>
      </c>
      <c r="AB364" s="1">
        <f>VLOOKUP(A364,'SegEnds_NonXtal_Prot#'!A:AL,10,FALSE)-VLOOKUP(A364,'SegEnds_NonXtal_Prot#'!A:AL,4,FALSE)</f>
        <v>33</v>
      </c>
      <c r="AC364" s="1">
        <f>VLOOKUP(A364,'SegEnds_NonXtal_Prot#'!A:AL,10,FALSE)-VLOOKUP(A364,'SegEnds_NonXtal_Prot#'!A:AL,7,FALSE)</f>
        <v>19</v>
      </c>
      <c r="AD364" s="1" t="e">
        <f>VLOOKUP(A364,'SegEnds_NonXtal_Prot#'!A:AL,13,FALSE)-VLOOKUP(A364,'SegEnds_NonXtal_Prot#'!A:AL,10,FALSE)</f>
        <v>#VALUE!</v>
      </c>
      <c r="AE364" s="1">
        <f>VLOOKUP(A364,'SegEnds_NonXtal_Prot#'!A:AL,16,FALSE)-VLOOKUP(A364,'SegEnds_NonXtal_Prot#'!A:AL,10,FALSE)</f>
        <v>44</v>
      </c>
      <c r="AF364" s="1" t="e">
        <f>VLOOKUP(A364,'SegEnds_NonXtal_Prot#'!A:AL,22,FALSE)-VLOOKUP(A364,'SegEnds_NonXtal_Prot#'!A:AL,19,FALSE)</f>
        <v>#VALUE!</v>
      </c>
      <c r="AG364" s="1">
        <f>VLOOKUP(A364,'SegEnds_NonXtal_Prot#'!A:AL,28,FALSE)-VLOOKUP(A364,'SegEnds_NonXtal_Prot#'!A:AL,25,FALSE)</f>
        <v>17</v>
      </c>
      <c r="AH364" s="1">
        <f>VLOOKUP(A364,'SegEnds_NonXtal_Prot#'!A:AL,28,FALSE)-VLOOKUP(A364,'SegEnds_NonXtal_Prot#'!A:AL,22,FALSE)</f>
        <v>55</v>
      </c>
      <c r="AI364" s="1">
        <f>VLOOKUP(A364,'SegEnds_NonXtal_Prot#'!A:AL,31,FALSE)-VLOOKUP(A364,'SegEnds_NonXtal_Prot#'!A:AL,28,FALSE)</f>
        <v>39</v>
      </c>
      <c r="AJ364" s="1">
        <f>VLOOKUP(A364,'SegEnds_NonXtal_Prot#'!A:AL,34,FALSE)-VLOOKUP(A364,'SegEnds_NonXtal_Prot#'!A:AL,31,FALSE)</f>
        <v>34</v>
      </c>
      <c r="AK364" s="1">
        <f>VLOOKUP(A364,'SegEnds_NonXtal_Prot#'!A:AL,37,FALSE)-VLOOKUP(A364,'SegEnds_NonXtal_Prot#'!A:AL,34,FALSE)</f>
        <v>20</v>
      </c>
      <c r="AL364" s="1" t="str">
        <f>IF(ISERROR(MATCH(A364,'SegEnds_Xtal_Prot#'!B:B, 0)), "NoXtal", "Xtal")</f>
        <v>NoXtal</v>
      </c>
    </row>
    <row r="365" spans="1:38" x14ac:dyDescent="0.2">
      <c r="A365" s="1" t="s">
        <v>117</v>
      </c>
      <c r="B365" s="1" t="str">
        <f>VLOOKUP(A365,Xtal_Templ!A:B,2,FALSE)</f>
        <v>grm5_human</v>
      </c>
      <c r="C365" s="5">
        <f>VLOOKUP($B365&amp;"__wt",'SegEnds_Xtal_BW#'!$A:$Z,3,FALSE)</f>
        <v>34</v>
      </c>
      <c r="D365" s="1">
        <f>VLOOKUP($B365&amp;"__wt",'SegEnds_Xtal_BW#'!$A:$Z,4,FALSE)</f>
        <v>60</v>
      </c>
      <c r="E365" s="1">
        <f>VLOOKUP($B365&amp;"__wt",'SegEnds_Xtal_BW#'!$A:$Z,5,FALSE)</f>
        <v>47</v>
      </c>
      <c r="F365" s="1">
        <f>VLOOKUP($B365&amp;"__wt",'SegEnds_Xtal_BW#'!$A:$Z,6,FALSE)</f>
        <v>53</v>
      </c>
      <c r="G365" s="1">
        <v>39</v>
      </c>
      <c r="H365" s="12">
        <f>VLOOKUP($B365&amp;"__wt",'SegEnds_Xtal_BW#'!$A:$Z,8,FALSE)</f>
        <v>61</v>
      </c>
      <c r="I365" s="1" t="str">
        <f>VLOOKUP($B365&amp;"__wt",'SegEnds_Xtal_BW#'!$A:$Z,9,FALSE)</f>
        <v>-</v>
      </c>
      <c r="J365" s="1" t="str">
        <f>VLOOKUP($B365&amp;"__wt",'SegEnds_Xtal_BW#'!$A:$Z,10,FALSE)</f>
        <v>-</v>
      </c>
      <c r="K365" s="12">
        <f>VLOOKUP($B365&amp;"__wt",'SegEnds_Xtal_BW#'!$A:$Z,11,FALSE)</f>
        <v>21</v>
      </c>
      <c r="L365" s="1">
        <f>VLOOKUP($B365&amp;"__wt",'SegEnds_Xtal_BW#'!$A:$Z,12,FALSE)</f>
        <v>54</v>
      </c>
      <c r="M365" s="1" t="str">
        <f>VLOOKUP($B365&amp;"__wt",'SegEnds_Xtal_BW#'!$A:$Z,13,FALSE)</f>
        <v>-</v>
      </c>
      <c r="N365" s="12" t="str">
        <f>VLOOKUP($B365&amp;"__wt",'SegEnds_Xtal_BW#'!$A:$Z,14,FALSE)</f>
        <v>-</v>
      </c>
      <c r="O365" s="87">
        <f>VLOOKUP($B365&amp;"__wt",'SegEnds_Xtal_BW#'!$A:$Z,15,FALSE)</f>
        <v>38</v>
      </c>
      <c r="P365" s="1">
        <f>VLOOKUP($B365&amp;"__wt",'SegEnds_Xtal_BW#'!$A:$Z,16,FALSE)</f>
        <v>64</v>
      </c>
      <c r="Q365" s="1">
        <f>VLOOKUP($B365&amp;"__wt",'SegEnds_Xtal_BW#'!$A:$Z,17,FALSE)</f>
        <v>50</v>
      </c>
      <c r="R365" s="1">
        <f>VLOOKUP($B365&amp;"__wt",'SegEnds_Xtal_BW#'!$A:$Z,18,FALSE)</f>
        <v>52</v>
      </c>
      <c r="S365" s="1">
        <f>VLOOKUP($B365&amp;"__wt",'SegEnds_Xtal_BW#'!$A:$Z,19,FALSE)</f>
        <v>36</v>
      </c>
      <c r="T365" s="1">
        <f>VLOOKUP($B365&amp;"__wt",'SegEnds_Xtal_BW#'!$A:$Z,20,FALSE)</f>
        <v>61</v>
      </c>
      <c r="U365" s="1">
        <f>VLOOKUP($B365&amp;"__wt",'SegEnds_Xtal_BW#'!$A:$Z,21,FALSE)</f>
        <v>33</v>
      </c>
      <c r="V365" s="1">
        <f>VLOOKUP($B365&amp;"__wt",'SegEnds_Xtal_BW#'!$A:$Z,22,FALSE)</f>
        <v>57</v>
      </c>
      <c r="W365" s="1">
        <f>VLOOKUP($B365&amp;"__wt",'SegEnds_Xtal_BW#'!$A:$Z,23,FALSE)</f>
        <v>33</v>
      </c>
      <c r="X365" s="1">
        <f>VLOOKUP($B365&amp;"__wt",'SegEnds_Xtal_BW#'!$A:$Z,24,FALSE)</f>
        <v>64</v>
      </c>
      <c r="Y365" s="1">
        <f>VLOOKUP($B365&amp;"__wt",'SegEnds_Xtal_BW#'!$A:$Z,25,FALSE)</f>
        <v>46</v>
      </c>
      <c r="Z365" s="1">
        <f>VLOOKUP($B365&amp;"__wt",'SegEnds_Xtal_BW#'!$A:$Z,26,FALSE)</f>
        <v>57</v>
      </c>
      <c r="AA365" s="27" t="str">
        <f>VLOOKUP(A365,Classification!A:B,2,FALSE)</f>
        <v>C</v>
      </c>
      <c r="AB365" s="1">
        <f>VLOOKUP(A365,'SegEnds_NonXtal_Prot#'!A:AL,10,FALSE)-VLOOKUP(A365,'SegEnds_NonXtal_Prot#'!A:AL,4,FALSE)</f>
        <v>31</v>
      </c>
      <c r="AC365" s="1">
        <f>VLOOKUP(A365,'SegEnds_NonXtal_Prot#'!A:AL,10,FALSE)-VLOOKUP(A365,'SegEnds_NonXtal_Prot#'!A:AL,7,FALSE)</f>
        <v>15</v>
      </c>
      <c r="AD365" s="1" t="e">
        <f>VLOOKUP(A365,'SegEnds_NonXtal_Prot#'!A:AL,13,FALSE)-VLOOKUP(A365,'SegEnds_NonXtal_Prot#'!A:AL,10,FALSE)</f>
        <v>#VALUE!</v>
      </c>
      <c r="AE365" s="1">
        <f>VLOOKUP(A365,'SegEnds_NonXtal_Prot#'!A:AL,16,FALSE)-VLOOKUP(A365,'SegEnds_NonXtal_Prot#'!A:AL,10,FALSE)</f>
        <v>44</v>
      </c>
      <c r="AF365" s="1" t="e">
        <f>VLOOKUP(A365,'SegEnds_NonXtal_Prot#'!A:AL,22,FALSE)-VLOOKUP(A365,'SegEnds_NonXtal_Prot#'!A:AL,19,FALSE)</f>
        <v>#VALUE!</v>
      </c>
      <c r="AG365" s="1">
        <f>VLOOKUP(A365,'SegEnds_NonXtal_Prot#'!A:AL,28,FALSE)-VLOOKUP(A365,'SegEnds_NonXtal_Prot#'!A:AL,25,FALSE)</f>
        <v>17</v>
      </c>
      <c r="AH365" s="1">
        <f>VLOOKUP(A365,'SegEnds_NonXtal_Prot#'!A:AL,28,FALSE)-VLOOKUP(A365,'SegEnds_NonXtal_Prot#'!A:AL,22,FALSE)</f>
        <v>56</v>
      </c>
      <c r="AI365" s="1">
        <f>VLOOKUP(A365,'SegEnds_NonXtal_Prot#'!A:AL,31,FALSE)-VLOOKUP(A365,'SegEnds_NonXtal_Prot#'!A:AL,28,FALSE)</f>
        <v>37</v>
      </c>
      <c r="AJ365" s="1">
        <f>VLOOKUP(A365,'SegEnds_NonXtal_Prot#'!A:AL,34,FALSE)-VLOOKUP(A365,'SegEnds_NonXtal_Prot#'!A:AL,31,FALSE)</f>
        <v>34</v>
      </c>
      <c r="AK365" s="1">
        <f>VLOOKUP(A365,'SegEnds_NonXtal_Prot#'!A:AL,37,FALSE)-VLOOKUP(A365,'SegEnds_NonXtal_Prot#'!A:AL,34,FALSE)</f>
        <v>19</v>
      </c>
      <c r="AL365" s="1" t="str">
        <f>IF(ISERROR(MATCH(A365,'SegEnds_Xtal_Prot#'!B:B, 0)), "NoXtal", "Xtal")</f>
        <v>NoXtal</v>
      </c>
    </row>
    <row r="366" spans="1:38" x14ac:dyDescent="0.2">
      <c r="A366" s="1" t="s">
        <v>118</v>
      </c>
      <c r="B366" s="1" t="str">
        <f>VLOOKUP(A366,Xtal_Templ!A:B,2,FALSE)</f>
        <v>grm5_human</v>
      </c>
      <c r="C366" s="5">
        <f>VLOOKUP($B366&amp;"__wt",'SegEnds_Xtal_BW#'!$A:$Z,3,FALSE)</f>
        <v>34</v>
      </c>
      <c r="D366" s="1">
        <f>VLOOKUP($B366&amp;"__wt",'SegEnds_Xtal_BW#'!$A:$Z,4,FALSE)</f>
        <v>60</v>
      </c>
      <c r="E366" s="1">
        <f>VLOOKUP($B366&amp;"__wt",'SegEnds_Xtal_BW#'!$A:$Z,5,FALSE)</f>
        <v>47</v>
      </c>
      <c r="F366" s="1">
        <f>VLOOKUP($B366&amp;"__wt",'SegEnds_Xtal_BW#'!$A:$Z,6,FALSE)</f>
        <v>53</v>
      </c>
      <c r="G366" s="1">
        <v>39</v>
      </c>
      <c r="H366" s="12">
        <f>VLOOKUP($B366&amp;"__wt",'SegEnds_Xtal_BW#'!$A:$Z,8,FALSE)</f>
        <v>61</v>
      </c>
      <c r="I366" s="1" t="str">
        <f>VLOOKUP($B366&amp;"__wt",'SegEnds_Xtal_BW#'!$A:$Z,9,FALSE)</f>
        <v>-</v>
      </c>
      <c r="J366" s="1" t="str">
        <f>VLOOKUP($B366&amp;"__wt",'SegEnds_Xtal_BW#'!$A:$Z,10,FALSE)</f>
        <v>-</v>
      </c>
      <c r="K366" s="12">
        <f>VLOOKUP($B366&amp;"__wt",'SegEnds_Xtal_BW#'!$A:$Z,11,FALSE)</f>
        <v>21</v>
      </c>
      <c r="L366" s="1">
        <f>VLOOKUP($B366&amp;"__wt",'SegEnds_Xtal_BW#'!$A:$Z,12,FALSE)</f>
        <v>54</v>
      </c>
      <c r="M366" s="1" t="str">
        <f>VLOOKUP($B366&amp;"__wt",'SegEnds_Xtal_BW#'!$A:$Z,13,FALSE)</f>
        <v>-</v>
      </c>
      <c r="N366" s="12" t="str">
        <f>VLOOKUP($B366&amp;"__wt",'SegEnds_Xtal_BW#'!$A:$Z,14,FALSE)</f>
        <v>-</v>
      </c>
      <c r="O366" s="87">
        <f>VLOOKUP($B366&amp;"__wt",'SegEnds_Xtal_BW#'!$A:$Z,15,FALSE)</f>
        <v>38</v>
      </c>
      <c r="P366" s="1">
        <f>VLOOKUP($B366&amp;"__wt",'SegEnds_Xtal_BW#'!$A:$Z,16,FALSE)</f>
        <v>64</v>
      </c>
      <c r="Q366" s="1">
        <f>VLOOKUP($B366&amp;"__wt",'SegEnds_Xtal_BW#'!$A:$Z,17,FALSE)</f>
        <v>50</v>
      </c>
      <c r="R366" s="1">
        <f>VLOOKUP($B366&amp;"__wt",'SegEnds_Xtal_BW#'!$A:$Z,18,FALSE)</f>
        <v>52</v>
      </c>
      <c r="S366" s="1">
        <f>VLOOKUP($B366&amp;"__wt",'SegEnds_Xtal_BW#'!$A:$Z,19,FALSE)</f>
        <v>36</v>
      </c>
      <c r="T366" s="1">
        <f>VLOOKUP($B366&amp;"__wt",'SegEnds_Xtal_BW#'!$A:$Z,20,FALSE)</f>
        <v>61</v>
      </c>
      <c r="U366" s="1">
        <f>VLOOKUP($B366&amp;"__wt",'SegEnds_Xtal_BW#'!$A:$Z,21,FALSE)</f>
        <v>33</v>
      </c>
      <c r="V366" s="1">
        <f>VLOOKUP($B366&amp;"__wt",'SegEnds_Xtal_BW#'!$A:$Z,22,FALSE)</f>
        <v>57</v>
      </c>
      <c r="W366" s="1">
        <f>VLOOKUP($B366&amp;"__wt",'SegEnds_Xtal_BW#'!$A:$Z,23,FALSE)</f>
        <v>33</v>
      </c>
      <c r="X366" s="1">
        <f>VLOOKUP($B366&amp;"__wt",'SegEnds_Xtal_BW#'!$A:$Z,24,FALSE)</f>
        <v>64</v>
      </c>
      <c r="Y366" s="1">
        <f>VLOOKUP($B366&amp;"__wt",'SegEnds_Xtal_BW#'!$A:$Z,25,FALSE)</f>
        <v>46</v>
      </c>
      <c r="Z366" s="1">
        <f>VLOOKUP($B366&amp;"__wt",'SegEnds_Xtal_BW#'!$A:$Z,26,FALSE)</f>
        <v>57</v>
      </c>
      <c r="AA366" s="27" t="str">
        <f>VLOOKUP(A366,Classification!A:B,2,FALSE)</f>
        <v>C</v>
      </c>
      <c r="AB366" s="1">
        <f>VLOOKUP(A366,'SegEnds_NonXtal_Prot#'!A:AL,10,FALSE)-VLOOKUP(A366,'SegEnds_NonXtal_Prot#'!A:AL,4,FALSE)</f>
        <v>31</v>
      </c>
      <c r="AC366" s="1">
        <f>VLOOKUP(A366,'SegEnds_NonXtal_Prot#'!A:AL,10,FALSE)-VLOOKUP(A366,'SegEnds_NonXtal_Prot#'!A:AL,7,FALSE)</f>
        <v>15</v>
      </c>
      <c r="AD366" s="1" t="e">
        <f>VLOOKUP(A366,'SegEnds_NonXtal_Prot#'!A:AL,13,FALSE)-VLOOKUP(A366,'SegEnds_NonXtal_Prot#'!A:AL,10,FALSE)</f>
        <v>#VALUE!</v>
      </c>
      <c r="AE366" s="1">
        <f>VLOOKUP(A366,'SegEnds_NonXtal_Prot#'!A:AL,16,FALSE)-VLOOKUP(A366,'SegEnds_NonXtal_Prot#'!A:AL,10,FALSE)</f>
        <v>44</v>
      </c>
      <c r="AF366" s="1" t="e">
        <f>VLOOKUP(A366,'SegEnds_NonXtal_Prot#'!A:AL,22,FALSE)-VLOOKUP(A366,'SegEnds_NonXtal_Prot#'!A:AL,19,FALSE)</f>
        <v>#VALUE!</v>
      </c>
      <c r="AG366" s="1">
        <f>VLOOKUP(A366,'SegEnds_NonXtal_Prot#'!A:AL,28,FALSE)-VLOOKUP(A366,'SegEnds_NonXtal_Prot#'!A:AL,25,FALSE)</f>
        <v>17</v>
      </c>
      <c r="AH366" s="1">
        <f>VLOOKUP(A366,'SegEnds_NonXtal_Prot#'!A:AL,28,FALSE)-VLOOKUP(A366,'SegEnds_NonXtal_Prot#'!A:AL,22,FALSE)</f>
        <v>56</v>
      </c>
      <c r="AI366" s="1">
        <f>VLOOKUP(A366,'SegEnds_NonXtal_Prot#'!A:AL,31,FALSE)-VLOOKUP(A366,'SegEnds_NonXtal_Prot#'!A:AL,28,FALSE)</f>
        <v>37</v>
      </c>
      <c r="AJ366" s="1">
        <f>VLOOKUP(A366,'SegEnds_NonXtal_Prot#'!A:AL,34,FALSE)-VLOOKUP(A366,'SegEnds_NonXtal_Prot#'!A:AL,31,FALSE)</f>
        <v>34</v>
      </c>
      <c r="AK366" s="1">
        <f>VLOOKUP(A366,'SegEnds_NonXtal_Prot#'!A:AL,37,FALSE)-VLOOKUP(A366,'SegEnds_NonXtal_Prot#'!A:AL,34,FALSE)</f>
        <v>19</v>
      </c>
      <c r="AL366" s="1" t="str">
        <f>IF(ISERROR(MATCH(A366,'SegEnds_Xtal_Prot#'!B:B, 0)), "NoXtal", "Xtal")</f>
        <v>NoXtal</v>
      </c>
    </row>
    <row r="367" spans="1:38" x14ac:dyDescent="0.2">
      <c r="A367" s="1" t="s">
        <v>119</v>
      </c>
      <c r="B367" s="1" t="str">
        <f>VLOOKUP(A367,Xtal_Templ!A:B,2,FALSE)</f>
        <v>grm5_human</v>
      </c>
      <c r="C367" s="5">
        <f>VLOOKUP($B367&amp;"__wt",'SegEnds_Xtal_BW#'!$A:$Z,3,FALSE)</f>
        <v>34</v>
      </c>
      <c r="D367" s="1">
        <f>VLOOKUP($B367&amp;"__wt",'SegEnds_Xtal_BW#'!$A:$Z,4,FALSE)</f>
        <v>60</v>
      </c>
      <c r="E367" s="1">
        <f>VLOOKUP($B367&amp;"__wt",'SegEnds_Xtal_BW#'!$A:$Z,5,FALSE)</f>
        <v>47</v>
      </c>
      <c r="F367" s="1">
        <f>VLOOKUP($B367&amp;"__wt",'SegEnds_Xtal_BW#'!$A:$Z,6,FALSE)</f>
        <v>53</v>
      </c>
      <c r="G367" s="1">
        <v>39</v>
      </c>
      <c r="H367" s="12">
        <f>VLOOKUP($B367&amp;"__wt",'SegEnds_Xtal_BW#'!$A:$Z,8,FALSE)</f>
        <v>61</v>
      </c>
      <c r="I367" s="1" t="str">
        <f>VLOOKUP($B367&amp;"__wt",'SegEnds_Xtal_BW#'!$A:$Z,9,FALSE)</f>
        <v>-</v>
      </c>
      <c r="J367" s="1" t="str">
        <f>VLOOKUP($B367&amp;"__wt",'SegEnds_Xtal_BW#'!$A:$Z,10,FALSE)</f>
        <v>-</v>
      </c>
      <c r="K367" s="12">
        <f>VLOOKUP($B367&amp;"__wt",'SegEnds_Xtal_BW#'!$A:$Z,11,FALSE)</f>
        <v>21</v>
      </c>
      <c r="L367" s="1">
        <f>VLOOKUP($B367&amp;"__wt",'SegEnds_Xtal_BW#'!$A:$Z,12,FALSE)</f>
        <v>54</v>
      </c>
      <c r="M367" s="1" t="str">
        <f>VLOOKUP($B367&amp;"__wt",'SegEnds_Xtal_BW#'!$A:$Z,13,FALSE)</f>
        <v>-</v>
      </c>
      <c r="N367" s="12" t="str">
        <f>VLOOKUP($B367&amp;"__wt",'SegEnds_Xtal_BW#'!$A:$Z,14,FALSE)</f>
        <v>-</v>
      </c>
      <c r="O367" s="87">
        <f>VLOOKUP($B367&amp;"__wt",'SegEnds_Xtal_BW#'!$A:$Z,15,FALSE)</f>
        <v>38</v>
      </c>
      <c r="P367" s="1">
        <f>VLOOKUP($B367&amp;"__wt",'SegEnds_Xtal_BW#'!$A:$Z,16,FALSE)</f>
        <v>64</v>
      </c>
      <c r="Q367" s="1">
        <f>VLOOKUP($B367&amp;"__wt",'SegEnds_Xtal_BW#'!$A:$Z,17,FALSE)</f>
        <v>50</v>
      </c>
      <c r="R367" s="1">
        <f>VLOOKUP($B367&amp;"__wt",'SegEnds_Xtal_BW#'!$A:$Z,18,FALSE)</f>
        <v>52</v>
      </c>
      <c r="S367" s="1">
        <f>VLOOKUP($B367&amp;"__wt",'SegEnds_Xtal_BW#'!$A:$Z,19,FALSE)</f>
        <v>36</v>
      </c>
      <c r="T367" s="1">
        <f>VLOOKUP($B367&amp;"__wt",'SegEnds_Xtal_BW#'!$A:$Z,20,FALSE)</f>
        <v>61</v>
      </c>
      <c r="U367" s="1">
        <f>VLOOKUP($B367&amp;"__wt",'SegEnds_Xtal_BW#'!$A:$Z,21,FALSE)</f>
        <v>33</v>
      </c>
      <c r="V367" s="1">
        <f>VLOOKUP($B367&amp;"__wt",'SegEnds_Xtal_BW#'!$A:$Z,22,FALSE)</f>
        <v>57</v>
      </c>
      <c r="W367" s="1">
        <f>VLOOKUP($B367&amp;"__wt",'SegEnds_Xtal_BW#'!$A:$Z,23,FALSE)</f>
        <v>33</v>
      </c>
      <c r="X367" s="1">
        <f>VLOOKUP($B367&amp;"__wt",'SegEnds_Xtal_BW#'!$A:$Z,24,FALSE)</f>
        <v>64</v>
      </c>
      <c r="Y367" s="1">
        <f>VLOOKUP($B367&amp;"__wt",'SegEnds_Xtal_BW#'!$A:$Z,25,FALSE)</f>
        <v>46</v>
      </c>
      <c r="Z367" s="1">
        <f>VLOOKUP($B367&amp;"__wt",'SegEnds_Xtal_BW#'!$A:$Z,26,FALSE)</f>
        <v>57</v>
      </c>
      <c r="AA367" s="27" t="str">
        <f>VLOOKUP(A367,Classification!A:B,2,FALSE)</f>
        <v>C</v>
      </c>
      <c r="AB367" s="1">
        <f>VLOOKUP(A367,'SegEnds_NonXtal_Prot#'!A:AL,10,FALSE)-VLOOKUP(A367,'SegEnds_NonXtal_Prot#'!A:AL,4,FALSE)</f>
        <v>31</v>
      </c>
      <c r="AC367" s="1">
        <f>VLOOKUP(A367,'SegEnds_NonXtal_Prot#'!A:AL,10,FALSE)-VLOOKUP(A367,'SegEnds_NonXtal_Prot#'!A:AL,7,FALSE)</f>
        <v>15</v>
      </c>
      <c r="AD367" s="1" t="e">
        <f>VLOOKUP(A367,'SegEnds_NonXtal_Prot#'!A:AL,13,FALSE)-VLOOKUP(A367,'SegEnds_NonXtal_Prot#'!A:AL,10,FALSE)</f>
        <v>#VALUE!</v>
      </c>
      <c r="AE367" s="1">
        <f>VLOOKUP(A367,'SegEnds_NonXtal_Prot#'!A:AL,16,FALSE)-VLOOKUP(A367,'SegEnds_NonXtal_Prot#'!A:AL,10,FALSE)</f>
        <v>44</v>
      </c>
      <c r="AF367" s="1" t="e">
        <f>VLOOKUP(A367,'SegEnds_NonXtal_Prot#'!A:AL,22,FALSE)-VLOOKUP(A367,'SegEnds_NonXtal_Prot#'!A:AL,19,FALSE)</f>
        <v>#VALUE!</v>
      </c>
      <c r="AG367" s="1">
        <f>VLOOKUP(A367,'SegEnds_NonXtal_Prot#'!A:AL,28,FALSE)-VLOOKUP(A367,'SegEnds_NonXtal_Prot#'!A:AL,25,FALSE)</f>
        <v>17</v>
      </c>
      <c r="AH367" s="1">
        <f>VLOOKUP(A367,'SegEnds_NonXtal_Prot#'!A:AL,28,FALSE)-VLOOKUP(A367,'SegEnds_NonXtal_Prot#'!A:AL,22,FALSE)</f>
        <v>56</v>
      </c>
      <c r="AI367" s="1">
        <f>VLOOKUP(A367,'SegEnds_NonXtal_Prot#'!A:AL,31,FALSE)-VLOOKUP(A367,'SegEnds_NonXtal_Prot#'!A:AL,28,FALSE)</f>
        <v>37</v>
      </c>
      <c r="AJ367" s="1">
        <f>VLOOKUP(A367,'SegEnds_NonXtal_Prot#'!A:AL,34,FALSE)-VLOOKUP(A367,'SegEnds_NonXtal_Prot#'!A:AL,31,FALSE)</f>
        <v>34</v>
      </c>
      <c r="AK367" s="1">
        <f>VLOOKUP(A367,'SegEnds_NonXtal_Prot#'!A:AL,37,FALSE)-VLOOKUP(A367,'SegEnds_NonXtal_Prot#'!A:AL,34,FALSE)</f>
        <v>19</v>
      </c>
      <c r="AL367" s="1" t="str">
        <f>IF(ISERROR(MATCH(A367,'SegEnds_Xtal_Prot#'!B:B, 0)), "NoXtal", "Xtal")</f>
        <v>NoXtal</v>
      </c>
    </row>
    <row r="368" spans="1:38" x14ac:dyDescent="0.2">
      <c r="A368" s="1" t="s">
        <v>120</v>
      </c>
      <c r="B368" s="1" t="str">
        <f>VLOOKUP(A368,Xtal_Templ!A:B,2,FALSE)</f>
        <v>grm5_human</v>
      </c>
      <c r="C368" s="5">
        <f>VLOOKUP($B368&amp;"__wt",'SegEnds_Xtal_BW#'!$A:$Z,3,FALSE)</f>
        <v>34</v>
      </c>
      <c r="D368" s="1">
        <f>VLOOKUP($B368&amp;"__wt",'SegEnds_Xtal_BW#'!$A:$Z,4,FALSE)</f>
        <v>60</v>
      </c>
      <c r="E368" s="1">
        <f>VLOOKUP($B368&amp;"__wt",'SegEnds_Xtal_BW#'!$A:$Z,5,FALSE)</f>
        <v>47</v>
      </c>
      <c r="F368" s="1">
        <f>VLOOKUP($B368&amp;"__wt",'SegEnds_Xtal_BW#'!$A:$Z,6,FALSE)</f>
        <v>53</v>
      </c>
      <c r="G368" s="1">
        <v>39</v>
      </c>
      <c r="H368" s="12">
        <f>VLOOKUP($B368&amp;"__wt",'SegEnds_Xtal_BW#'!$A:$Z,8,FALSE)</f>
        <v>61</v>
      </c>
      <c r="I368" s="1" t="str">
        <f>VLOOKUP($B368&amp;"__wt",'SegEnds_Xtal_BW#'!$A:$Z,9,FALSE)</f>
        <v>-</v>
      </c>
      <c r="J368" s="1" t="str">
        <f>VLOOKUP($B368&amp;"__wt",'SegEnds_Xtal_BW#'!$A:$Z,10,FALSE)</f>
        <v>-</v>
      </c>
      <c r="K368" s="12">
        <f>VLOOKUP($B368&amp;"__wt",'SegEnds_Xtal_BW#'!$A:$Z,11,FALSE)</f>
        <v>21</v>
      </c>
      <c r="L368" s="1">
        <f>VLOOKUP($B368&amp;"__wt",'SegEnds_Xtal_BW#'!$A:$Z,12,FALSE)</f>
        <v>54</v>
      </c>
      <c r="M368" s="1" t="str">
        <f>VLOOKUP($B368&amp;"__wt",'SegEnds_Xtal_BW#'!$A:$Z,13,FALSE)</f>
        <v>-</v>
      </c>
      <c r="N368" s="12" t="str">
        <f>VLOOKUP($B368&amp;"__wt",'SegEnds_Xtal_BW#'!$A:$Z,14,FALSE)</f>
        <v>-</v>
      </c>
      <c r="O368" s="87">
        <f>VLOOKUP($B368&amp;"__wt",'SegEnds_Xtal_BW#'!$A:$Z,15,FALSE)</f>
        <v>38</v>
      </c>
      <c r="P368" s="1">
        <f>VLOOKUP($B368&amp;"__wt",'SegEnds_Xtal_BW#'!$A:$Z,16,FALSE)</f>
        <v>64</v>
      </c>
      <c r="Q368" s="1">
        <f>VLOOKUP($B368&amp;"__wt",'SegEnds_Xtal_BW#'!$A:$Z,17,FALSE)</f>
        <v>50</v>
      </c>
      <c r="R368" s="1">
        <f>VLOOKUP($B368&amp;"__wt",'SegEnds_Xtal_BW#'!$A:$Z,18,FALSE)</f>
        <v>52</v>
      </c>
      <c r="S368" s="1">
        <f>VLOOKUP($B368&amp;"__wt",'SegEnds_Xtal_BW#'!$A:$Z,19,FALSE)</f>
        <v>36</v>
      </c>
      <c r="T368" s="1">
        <f>VLOOKUP($B368&amp;"__wt",'SegEnds_Xtal_BW#'!$A:$Z,20,FALSE)</f>
        <v>61</v>
      </c>
      <c r="U368" s="1">
        <f>VLOOKUP($B368&amp;"__wt",'SegEnds_Xtal_BW#'!$A:$Z,21,FALSE)</f>
        <v>33</v>
      </c>
      <c r="V368" s="1">
        <f>VLOOKUP($B368&amp;"__wt",'SegEnds_Xtal_BW#'!$A:$Z,22,FALSE)</f>
        <v>57</v>
      </c>
      <c r="W368" s="1">
        <f>VLOOKUP($B368&amp;"__wt",'SegEnds_Xtal_BW#'!$A:$Z,23,FALSE)</f>
        <v>33</v>
      </c>
      <c r="X368" s="1">
        <f>VLOOKUP($B368&amp;"__wt",'SegEnds_Xtal_BW#'!$A:$Z,24,FALSE)</f>
        <v>64</v>
      </c>
      <c r="Y368" s="1">
        <f>VLOOKUP($B368&amp;"__wt",'SegEnds_Xtal_BW#'!$A:$Z,25,FALSE)</f>
        <v>46</v>
      </c>
      <c r="Z368" s="1">
        <f>VLOOKUP($B368&amp;"__wt",'SegEnds_Xtal_BW#'!$A:$Z,26,FALSE)</f>
        <v>57</v>
      </c>
      <c r="AA368" s="27" t="str">
        <f>VLOOKUP(A368,Classification!A:B,2,FALSE)</f>
        <v>C</v>
      </c>
      <c r="AB368" s="1">
        <f>VLOOKUP(A368,'SegEnds_NonXtal_Prot#'!A:AL,10,FALSE)-VLOOKUP(A368,'SegEnds_NonXtal_Prot#'!A:AL,4,FALSE)</f>
        <v>31</v>
      </c>
      <c r="AC368" s="1">
        <f>VLOOKUP(A368,'SegEnds_NonXtal_Prot#'!A:AL,10,FALSE)-VLOOKUP(A368,'SegEnds_NonXtal_Prot#'!A:AL,7,FALSE)</f>
        <v>15</v>
      </c>
      <c r="AD368" s="1" t="e">
        <f>VLOOKUP(A368,'SegEnds_NonXtal_Prot#'!A:AL,13,FALSE)-VLOOKUP(A368,'SegEnds_NonXtal_Prot#'!A:AL,10,FALSE)</f>
        <v>#VALUE!</v>
      </c>
      <c r="AE368" s="1">
        <f>VLOOKUP(A368,'SegEnds_NonXtal_Prot#'!A:AL,16,FALSE)-VLOOKUP(A368,'SegEnds_NonXtal_Prot#'!A:AL,10,FALSE)</f>
        <v>44</v>
      </c>
      <c r="AF368" s="1" t="e">
        <f>VLOOKUP(A368,'SegEnds_NonXtal_Prot#'!A:AL,22,FALSE)-VLOOKUP(A368,'SegEnds_NonXtal_Prot#'!A:AL,19,FALSE)</f>
        <v>#VALUE!</v>
      </c>
      <c r="AG368" s="1">
        <f>VLOOKUP(A368,'SegEnds_NonXtal_Prot#'!A:AL,28,FALSE)-VLOOKUP(A368,'SegEnds_NonXtal_Prot#'!A:AL,25,FALSE)</f>
        <v>17</v>
      </c>
      <c r="AH368" s="1">
        <f>VLOOKUP(A368,'SegEnds_NonXtal_Prot#'!A:AL,28,FALSE)-VLOOKUP(A368,'SegEnds_NonXtal_Prot#'!A:AL,22,FALSE)</f>
        <v>56</v>
      </c>
      <c r="AI368" s="1">
        <f>VLOOKUP(A368,'SegEnds_NonXtal_Prot#'!A:AL,31,FALSE)-VLOOKUP(A368,'SegEnds_NonXtal_Prot#'!A:AL,28,FALSE)</f>
        <v>37</v>
      </c>
      <c r="AJ368" s="1">
        <f>VLOOKUP(A368,'SegEnds_NonXtal_Prot#'!A:AL,34,FALSE)-VLOOKUP(A368,'SegEnds_NonXtal_Prot#'!A:AL,31,FALSE)</f>
        <v>34</v>
      </c>
      <c r="AK368" s="1">
        <f>VLOOKUP(A368,'SegEnds_NonXtal_Prot#'!A:AL,37,FALSE)-VLOOKUP(A368,'SegEnds_NonXtal_Prot#'!A:AL,34,FALSE)</f>
        <v>19</v>
      </c>
      <c r="AL368" s="1" t="str">
        <f>IF(ISERROR(MATCH(A368,'SegEnds_Xtal_Prot#'!B:B, 0)), "NoXtal", "Xtal")</f>
        <v>NoXtal</v>
      </c>
    </row>
    <row r="369" spans="1:38" x14ac:dyDescent="0.2">
      <c r="A369" s="4" t="s">
        <v>106</v>
      </c>
      <c r="B369" s="4" t="str">
        <f>VLOOKUP(A369,Xtal_Templ!A:B,2,FALSE)</f>
        <v>grm5_human</v>
      </c>
      <c r="C369" s="5">
        <f>VLOOKUP($B369&amp;"__wt",'SegEnds_Xtal_BW#'!$A:$Z,3,FALSE)</f>
        <v>34</v>
      </c>
      <c r="D369" s="4">
        <f>VLOOKUP($B369&amp;"__wt",'SegEnds_Xtal_BW#'!$A:$Z,4,FALSE)</f>
        <v>60</v>
      </c>
      <c r="E369" s="4">
        <f>VLOOKUP($B369&amp;"__wt",'SegEnds_Xtal_BW#'!$A:$Z,5,FALSE)</f>
        <v>47</v>
      </c>
      <c r="F369" s="4">
        <f>VLOOKUP($B369&amp;"__wt",'SegEnds_Xtal_BW#'!$A:$Z,6,FALSE)</f>
        <v>53</v>
      </c>
      <c r="G369" s="4">
        <v>39</v>
      </c>
      <c r="H369" s="11">
        <f>VLOOKUP($B369&amp;"__wt",'SegEnds_Xtal_BW#'!$A:$Z,8,FALSE)</f>
        <v>61</v>
      </c>
      <c r="I369" s="4" t="str">
        <f>VLOOKUP($B369&amp;"__wt",'SegEnds_Xtal_BW#'!$A:$Z,9,FALSE)</f>
        <v>-</v>
      </c>
      <c r="J369" s="4" t="str">
        <f>VLOOKUP($B369&amp;"__wt",'SegEnds_Xtal_BW#'!$A:$Z,10,FALSE)</f>
        <v>-</v>
      </c>
      <c r="K369" s="11">
        <f>VLOOKUP($B369&amp;"__wt",'SegEnds_Xtal_BW#'!$A:$Z,11,FALSE)</f>
        <v>21</v>
      </c>
      <c r="L369" s="4">
        <f>VLOOKUP($B369&amp;"__wt",'SegEnds_Xtal_BW#'!$A:$Z,12,FALSE)</f>
        <v>54</v>
      </c>
      <c r="M369" s="4" t="str">
        <f>VLOOKUP($B369&amp;"__wt",'SegEnds_Xtal_BW#'!$A:$Z,13,FALSE)</f>
        <v>-</v>
      </c>
      <c r="N369" s="11" t="str">
        <f>VLOOKUP($B369&amp;"__wt",'SegEnds_Xtal_BW#'!$A:$Z,14,FALSE)</f>
        <v>-</v>
      </c>
      <c r="O369" s="88">
        <f>VLOOKUP($B369&amp;"__wt",'SegEnds_Xtal_BW#'!$A:$Z,15,FALSE)</f>
        <v>38</v>
      </c>
      <c r="P369" s="4">
        <f>VLOOKUP($B369&amp;"__wt",'SegEnds_Xtal_BW#'!$A:$Z,16,FALSE)</f>
        <v>64</v>
      </c>
      <c r="Q369" s="4">
        <f>VLOOKUP($B369&amp;"__wt",'SegEnds_Xtal_BW#'!$A:$Z,17,FALSE)</f>
        <v>50</v>
      </c>
      <c r="R369" s="4">
        <f>VLOOKUP($B369&amp;"__wt",'SegEnds_Xtal_BW#'!$A:$Z,18,FALSE)</f>
        <v>52</v>
      </c>
      <c r="S369" s="4">
        <f>VLOOKUP($B369&amp;"__wt",'SegEnds_Xtal_BW#'!$A:$Z,19,FALSE)</f>
        <v>36</v>
      </c>
      <c r="T369" s="4">
        <f>VLOOKUP($B369&amp;"__wt",'SegEnds_Xtal_BW#'!$A:$Z,20,FALSE)</f>
        <v>61</v>
      </c>
      <c r="U369" s="4">
        <f>VLOOKUP($B369&amp;"__wt",'SegEnds_Xtal_BW#'!$A:$Z,21,FALSE)</f>
        <v>33</v>
      </c>
      <c r="V369" s="4">
        <f>VLOOKUP($B369&amp;"__wt",'SegEnds_Xtal_BW#'!$A:$Z,22,FALSE)</f>
        <v>57</v>
      </c>
      <c r="W369" s="4">
        <f>VLOOKUP($B369&amp;"__wt",'SegEnds_Xtal_BW#'!$A:$Z,23,FALSE)</f>
        <v>33</v>
      </c>
      <c r="X369" s="4">
        <f>VLOOKUP($B369&amp;"__wt",'SegEnds_Xtal_BW#'!$A:$Z,24,FALSE)</f>
        <v>64</v>
      </c>
      <c r="Y369" s="4">
        <f>VLOOKUP($B369&amp;"__wt",'SegEnds_Xtal_BW#'!$A:$Z,25,FALSE)</f>
        <v>46</v>
      </c>
      <c r="Z369" s="4">
        <f>VLOOKUP($B369&amp;"__wt",'SegEnds_Xtal_BW#'!$A:$Z,26,FALSE)</f>
        <v>57</v>
      </c>
      <c r="AA369" s="27" t="str">
        <f>VLOOKUP(A369,Classification!A:B,2,FALSE)</f>
        <v>C</v>
      </c>
      <c r="AB369" s="1">
        <f>VLOOKUP(A369,'SegEnds_NonXtal_Prot#'!A:AL,10,FALSE)-VLOOKUP(A369,'SegEnds_NonXtal_Prot#'!A:AL,4,FALSE)</f>
        <v>31</v>
      </c>
      <c r="AC369" s="4">
        <f>VLOOKUP(A369,'SegEnds_NonXtal_Prot#'!A:AL,10,FALSE)-VLOOKUP(A369,'SegEnds_NonXtal_Prot#'!A:AL,7,FALSE)</f>
        <v>15</v>
      </c>
      <c r="AD369" s="4" t="e">
        <f>VLOOKUP(A369,'SegEnds_NonXtal_Prot#'!A:AL,13,FALSE)-VLOOKUP(A369,'SegEnds_NonXtal_Prot#'!A:AL,10,FALSE)</f>
        <v>#VALUE!</v>
      </c>
      <c r="AE369" s="4">
        <f>VLOOKUP(A369,'SegEnds_NonXtal_Prot#'!A:AL,16,FALSE)-VLOOKUP(A369,'SegEnds_NonXtal_Prot#'!A:AL,10,FALSE)</f>
        <v>51</v>
      </c>
      <c r="AF369" s="1" t="e">
        <f>VLOOKUP(A369,'SegEnds_NonXtal_Prot#'!A:AL,22,FALSE)-VLOOKUP(A369,'SegEnds_NonXtal_Prot#'!A:AL,19,FALSE)</f>
        <v>#VALUE!</v>
      </c>
      <c r="AG369" s="4">
        <f>VLOOKUP(A369,'SegEnds_NonXtal_Prot#'!A:AL,28,FALSE)-VLOOKUP(A369,'SegEnds_NonXtal_Prot#'!A:AL,25,FALSE)</f>
        <v>19</v>
      </c>
      <c r="AH369" s="1">
        <f>VLOOKUP(A369,'SegEnds_NonXtal_Prot#'!A:AL,28,FALSE)-VLOOKUP(A369,'SegEnds_NonXtal_Prot#'!A:AL,22,FALSE)</f>
        <v>62</v>
      </c>
      <c r="AI369" s="4">
        <f>VLOOKUP(A369,'SegEnds_NonXtal_Prot#'!A:AL,31,FALSE)-VLOOKUP(A369,'SegEnds_NonXtal_Prot#'!A:AL,28,FALSE)</f>
        <v>38</v>
      </c>
      <c r="AJ369" s="4">
        <f>VLOOKUP(A369,'SegEnds_NonXtal_Prot#'!A:AL,34,FALSE)-VLOOKUP(A369,'SegEnds_NonXtal_Prot#'!A:AL,31,FALSE)</f>
        <v>31</v>
      </c>
      <c r="AK369" s="1">
        <f>VLOOKUP(A369,'SegEnds_NonXtal_Prot#'!A:AL,37,FALSE)-VLOOKUP(A369,'SegEnds_NonXtal_Prot#'!A:AL,34,FALSE)</f>
        <v>19</v>
      </c>
      <c r="AL369" s="1" t="str">
        <f>IF(ISERROR(MATCH(A369,'SegEnds_Xtal_Prot#'!B:B, 0)), "NoXtal", "Xtal")</f>
        <v>NoXtal</v>
      </c>
    </row>
    <row r="370" spans="1:38" x14ac:dyDescent="0.2">
      <c r="A370" s="1" t="s">
        <v>107</v>
      </c>
      <c r="B370" s="1" t="str">
        <f>VLOOKUP(A370,Xtal_Templ!A:B,2,FALSE)</f>
        <v>grm5_human</v>
      </c>
      <c r="C370" s="5">
        <f>VLOOKUP($B370&amp;"__wt",'SegEnds_Xtal_BW#'!$A:$Z,3,FALSE)</f>
        <v>34</v>
      </c>
      <c r="D370" s="1">
        <f>VLOOKUP($B370&amp;"__wt",'SegEnds_Xtal_BW#'!$A:$Z,4,FALSE)</f>
        <v>60</v>
      </c>
      <c r="E370" s="1">
        <f>VLOOKUP($B370&amp;"__wt",'SegEnds_Xtal_BW#'!$A:$Z,5,FALSE)</f>
        <v>47</v>
      </c>
      <c r="F370" s="1">
        <f>VLOOKUP($B370&amp;"__wt",'SegEnds_Xtal_BW#'!$A:$Z,6,FALSE)</f>
        <v>53</v>
      </c>
      <c r="G370" s="1">
        <v>39</v>
      </c>
      <c r="H370" s="12">
        <f>VLOOKUP($B370&amp;"__wt",'SegEnds_Xtal_BW#'!$A:$Z,8,FALSE)</f>
        <v>61</v>
      </c>
      <c r="I370" s="1" t="str">
        <f>VLOOKUP($B370&amp;"__wt",'SegEnds_Xtal_BW#'!$A:$Z,9,FALSE)</f>
        <v>-</v>
      </c>
      <c r="J370" s="1" t="str">
        <f>VLOOKUP($B370&amp;"__wt",'SegEnds_Xtal_BW#'!$A:$Z,10,FALSE)</f>
        <v>-</v>
      </c>
      <c r="K370" s="12">
        <f>VLOOKUP($B370&amp;"__wt",'SegEnds_Xtal_BW#'!$A:$Z,11,FALSE)</f>
        <v>21</v>
      </c>
      <c r="L370" s="1">
        <f>VLOOKUP($B370&amp;"__wt",'SegEnds_Xtal_BW#'!$A:$Z,12,FALSE)</f>
        <v>54</v>
      </c>
      <c r="M370" s="1" t="str">
        <f>VLOOKUP($B370&amp;"__wt",'SegEnds_Xtal_BW#'!$A:$Z,13,FALSE)</f>
        <v>-</v>
      </c>
      <c r="N370" s="12" t="str">
        <f>VLOOKUP($B370&amp;"__wt",'SegEnds_Xtal_BW#'!$A:$Z,14,FALSE)</f>
        <v>-</v>
      </c>
      <c r="O370" s="87">
        <f>VLOOKUP($B370&amp;"__wt",'SegEnds_Xtal_BW#'!$A:$Z,15,FALSE)</f>
        <v>38</v>
      </c>
      <c r="P370" s="1">
        <f>VLOOKUP($B370&amp;"__wt",'SegEnds_Xtal_BW#'!$A:$Z,16,FALSE)</f>
        <v>64</v>
      </c>
      <c r="Q370" s="1">
        <f>VLOOKUP($B370&amp;"__wt",'SegEnds_Xtal_BW#'!$A:$Z,17,FALSE)</f>
        <v>50</v>
      </c>
      <c r="R370" s="1">
        <f>VLOOKUP($B370&amp;"__wt",'SegEnds_Xtal_BW#'!$A:$Z,18,FALSE)</f>
        <v>52</v>
      </c>
      <c r="S370" s="1">
        <f>VLOOKUP($B370&amp;"__wt",'SegEnds_Xtal_BW#'!$A:$Z,19,FALSE)</f>
        <v>36</v>
      </c>
      <c r="T370" s="1">
        <f>VLOOKUP($B370&amp;"__wt",'SegEnds_Xtal_BW#'!$A:$Z,20,FALSE)</f>
        <v>61</v>
      </c>
      <c r="U370" s="1">
        <f>VLOOKUP($B370&amp;"__wt",'SegEnds_Xtal_BW#'!$A:$Z,21,FALSE)</f>
        <v>33</v>
      </c>
      <c r="V370" s="1">
        <f>VLOOKUP($B370&amp;"__wt",'SegEnds_Xtal_BW#'!$A:$Z,22,FALSE)</f>
        <v>57</v>
      </c>
      <c r="W370" s="1">
        <f>VLOOKUP($B370&amp;"__wt",'SegEnds_Xtal_BW#'!$A:$Z,23,FALSE)</f>
        <v>33</v>
      </c>
      <c r="X370" s="1">
        <f>VLOOKUP($B370&amp;"__wt",'SegEnds_Xtal_BW#'!$A:$Z,24,FALSE)</f>
        <v>64</v>
      </c>
      <c r="Y370" s="1">
        <f>VLOOKUP($B370&amp;"__wt",'SegEnds_Xtal_BW#'!$A:$Z,25,FALSE)</f>
        <v>46</v>
      </c>
      <c r="Z370" s="1">
        <f>VLOOKUP($B370&amp;"__wt",'SegEnds_Xtal_BW#'!$A:$Z,26,FALSE)</f>
        <v>57</v>
      </c>
      <c r="AA370" s="27" t="str">
        <f>VLOOKUP(A370,Classification!A:B,2,FALSE)</f>
        <v>C</v>
      </c>
      <c r="AB370" s="1">
        <f>VLOOKUP(A370,'SegEnds_NonXtal_Prot#'!A:AL,10,FALSE)-VLOOKUP(A370,'SegEnds_NonXtal_Prot#'!A:AL,4,FALSE)</f>
        <v>31</v>
      </c>
      <c r="AC370" s="1">
        <f>VLOOKUP(A370,'SegEnds_NonXtal_Prot#'!A:AL,10,FALSE)-VLOOKUP(A370,'SegEnds_NonXtal_Prot#'!A:AL,7,FALSE)</f>
        <v>15</v>
      </c>
      <c r="AD370" s="1" t="e">
        <f>VLOOKUP(A370,'SegEnds_NonXtal_Prot#'!A:AL,13,FALSE)-VLOOKUP(A370,'SegEnds_NonXtal_Prot#'!A:AL,10,FALSE)</f>
        <v>#VALUE!</v>
      </c>
      <c r="AE370" s="1">
        <f>VLOOKUP(A370,'SegEnds_NonXtal_Prot#'!A:AL,16,FALSE)-VLOOKUP(A370,'SegEnds_NonXtal_Prot#'!A:AL,10,FALSE)</f>
        <v>51</v>
      </c>
      <c r="AF370" s="1" t="e">
        <f>VLOOKUP(A370,'SegEnds_NonXtal_Prot#'!A:AL,22,FALSE)-VLOOKUP(A370,'SegEnds_NonXtal_Prot#'!A:AL,19,FALSE)</f>
        <v>#VALUE!</v>
      </c>
      <c r="AG370" s="1">
        <f>VLOOKUP(A370,'SegEnds_NonXtal_Prot#'!A:AL,28,FALSE)-VLOOKUP(A370,'SegEnds_NonXtal_Prot#'!A:AL,25,FALSE)</f>
        <v>19</v>
      </c>
      <c r="AH370" s="1">
        <f>VLOOKUP(A370,'SegEnds_NonXtal_Prot#'!A:AL,28,FALSE)-VLOOKUP(A370,'SegEnds_NonXtal_Prot#'!A:AL,22,FALSE)</f>
        <v>62</v>
      </c>
      <c r="AI370" s="1">
        <f>VLOOKUP(A370,'SegEnds_NonXtal_Prot#'!A:AL,31,FALSE)-VLOOKUP(A370,'SegEnds_NonXtal_Prot#'!A:AL,28,FALSE)</f>
        <v>38</v>
      </c>
      <c r="AJ370" s="1">
        <f>VLOOKUP(A370,'SegEnds_NonXtal_Prot#'!A:AL,34,FALSE)-VLOOKUP(A370,'SegEnds_NonXtal_Prot#'!A:AL,31,FALSE)</f>
        <v>31</v>
      </c>
      <c r="AK370" s="1">
        <f>VLOOKUP(A370,'SegEnds_NonXtal_Prot#'!A:AL,37,FALSE)-VLOOKUP(A370,'SegEnds_NonXtal_Prot#'!A:AL,34,FALSE)</f>
        <v>19</v>
      </c>
      <c r="AL370" s="1" t="str">
        <f>IF(ISERROR(MATCH(A370,'SegEnds_Xtal_Prot#'!B:B, 0)), "NoXtal", "Xtal")</f>
        <v>NoXtal</v>
      </c>
    </row>
    <row r="371" spans="1:38" x14ac:dyDescent="0.2">
      <c r="A371" s="1" t="s">
        <v>108</v>
      </c>
      <c r="B371" s="1" t="str">
        <f>VLOOKUP(A371,Xtal_Templ!A:B,2,FALSE)</f>
        <v>grm1_human</v>
      </c>
      <c r="C371" s="5">
        <f>VLOOKUP($B371&amp;"__wt",'SegEnds_Xtal_BW#'!$A:$Z,3,FALSE)</f>
        <v>34</v>
      </c>
      <c r="D371" s="1">
        <f>VLOOKUP($B371&amp;"__wt",'SegEnds_Xtal_BW#'!$A:$Z,4,FALSE)</f>
        <v>60</v>
      </c>
      <c r="E371" s="1">
        <f>VLOOKUP($B371&amp;"__wt",'SegEnds_Xtal_BW#'!$A:$Z,5,FALSE)</f>
        <v>47</v>
      </c>
      <c r="F371" s="1">
        <f>VLOOKUP($B371&amp;"__wt",'SegEnds_Xtal_BW#'!$A:$Z,6,FALSE)</f>
        <v>53</v>
      </c>
      <c r="G371" s="1">
        <v>39</v>
      </c>
      <c r="H371" s="12">
        <f>VLOOKUP($B371&amp;"__wt",'SegEnds_Xtal_BW#'!$A:$Z,8,FALSE)</f>
        <v>61</v>
      </c>
      <c r="I371" s="1" t="str">
        <f>VLOOKUP($B371&amp;"__wt",'SegEnds_Xtal_BW#'!$A:$Z,9,FALSE)</f>
        <v>-</v>
      </c>
      <c r="J371" s="1" t="str">
        <f>VLOOKUP($B371&amp;"__wt",'SegEnds_Xtal_BW#'!$A:$Z,10,FALSE)</f>
        <v>-</v>
      </c>
      <c r="K371" s="12">
        <f>VLOOKUP($B371&amp;"__wt",'SegEnds_Xtal_BW#'!$A:$Z,11,FALSE)</f>
        <v>22</v>
      </c>
      <c r="L371" s="1">
        <f>VLOOKUP($B371&amp;"__wt",'SegEnds_Xtal_BW#'!$A:$Z,12,FALSE)</f>
        <v>54</v>
      </c>
      <c r="M371" s="1" t="str">
        <f>VLOOKUP($B371&amp;"__wt",'SegEnds_Xtal_BW#'!$A:$Z,13,FALSE)</f>
        <v>-</v>
      </c>
      <c r="N371" s="12" t="str">
        <f>VLOOKUP($B371&amp;"__wt",'SegEnds_Xtal_BW#'!$A:$Z,14,FALSE)</f>
        <v>-</v>
      </c>
      <c r="O371" s="87">
        <f>VLOOKUP($B371&amp;"__wt",'SegEnds_Xtal_BW#'!$A:$Z,15,FALSE)</f>
        <v>38</v>
      </c>
      <c r="P371" s="1">
        <f>VLOOKUP($B371&amp;"__wt",'SegEnds_Xtal_BW#'!$A:$Z,16,FALSE)</f>
        <v>64</v>
      </c>
      <c r="Q371" s="1">
        <f>VLOOKUP($B371&amp;"__wt",'SegEnds_Xtal_BW#'!$A:$Z,17,FALSE)</f>
        <v>50</v>
      </c>
      <c r="R371" s="1">
        <f>VLOOKUP($B371&amp;"__wt",'SegEnds_Xtal_BW#'!$A:$Z,18,FALSE)</f>
        <v>52</v>
      </c>
      <c r="S371" s="1">
        <f>VLOOKUP($B371&amp;"__wt",'SegEnds_Xtal_BW#'!$A:$Z,19,FALSE)</f>
        <v>36</v>
      </c>
      <c r="T371" s="1">
        <f>VLOOKUP($B371&amp;"__wt",'SegEnds_Xtal_BW#'!$A:$Z,20,FALSE)</f>
        <v>61</v>
      </c>
      <c r="U371" s="1">
        <f>VLOOKUP($B371&amp;"__wt",'SegEnds_Xtal_BW#'!$A:$Z,21,FALSE)</f>
        <v>33</v>
      </c>
      <c r="V371" s="1">
        <f>VLOOKUP($B371&amp;"__wt",'SegEnds_Xtal_BW#'!$A:$Z,22,FALSE)</f>
        <v>57</v>
      </c>
      <c r="W371" s="1">
        <f>VLOOKUP($B371&amp;"__wt",'SegEnds_Xtal_BW#'!$A:$Z,23,FALSE)</f>
        <v>33</v>
      </c>
      <c r="X371" s="1">
        <f>VLOOKUP($B371&amp;"__wt",'SegEnds_Xtal_BW#'!$A:$Z,24,FALSE)</f>
        <v>64</v>
      </c>
      <c r="Y371" s="1">
        <f>VLOOKUP($B371&amp;"__wt",'SegEnds_Xtal_BW#'!$A:$Z,25,FALSE)</f>
        <v>46</v>
      </c>
      <c r="Z371" s="1">
        <f>VLOOKUP($B371&amp;"__wt",'SegEnds_Xtal_BW#'!$A:$Z,26,FALSE)</f>
        <v>57</v>
      </c>
      <c r="AA371" s="27" t="str">
        <f>VLOOKUP(A371,Classification!A:B,2,FALSE)</f>
        <v>C</v>
      </c>
      <c r="AB371" s="1">
        <f>VLOOKUP(A371,'SegEnds_NonXtal_Prot#'!A:AL,10,FALSE)-VLOOKUP(A371,'SegEnds_NonXtal_Prot#'!A:AL,4,FALSE)</f>
        <v>31</v>
      </c>
      <c r="AC371" s="1">
        <f>VLOOKUP(A371,'SegEnds_NonXtal_Prot#'!A:AL,10,FALSE)-VLOOKUP(A371,'SegEnds_NonXtal_Prot#'!A:AL,7,FALSE)</f>
        <v>15</v>
      </c>
      <c r="AD371" s="1" t="e">
        <f>VLOOKUP(A371,'SegEnds_NonXtal_Prot#'!A:AL,13,FALSE)-VLOOKUP(A371,'SegEnds_NonXtal_Prot#'!A:AL,10,FALSE)</f>
        <v>#VALUE!</v>
      </c>
      <c r="AE371" s="1">
        <f>VLOOKUP(A371,'SegEnds_NonXtal_Prot#'!A:AL,16,FALSE)-VLOOKUP(A371,'SegEnds_NonXtal_Prot#'!A:AL,10,FALSE)</f>
        <v>50</v>
      </c>
      <c r="AF371" s="1" t="e">
        <f>VLOOKUP(A371,'SegEnds_NonXtal_Prot#'!A:AL,22,FALSE)-VLOOKUP(A371,'SegEnds_NonXtal_Prot#'!A:AL,19,FALSE)</f>
        <v>#VALUE!</v>
      </c>
      <c r="AG371" s="1">
        <f>VLOOKUP(A371,'SegEnds_NonXtal_Prot#'!A:AL,28,FALSE)-VLOOKUP(A371,'SegEnds_NonXtal_Prot#'!A:AL,25,FALSE)</f>
        <v>19</v>
      </c>
      <c r="AH371" s="1">
        <f>VLOOKUP(A371,'SegEnds_NonXtal_Prot#'!A:AL,28,FALSE)-VLOOKUP(A371,'SegEnds_NonXtal_Prot#'!A:AL,22,FALSE)</f>
        <v>62</v>
      </c>
      <c r="AI371" s="1">
        <f>VLOOKUP(A371,'SegEnds_NonXtal_Prot#'!A:AL,31,FALSE)-VLOOKUP(A371,'SegEnds_NonXtal_Prot#'!A:AL,28,FALSE)</f>
        <v>39</v>
      </c>
      <c r="AJ371" s="1">
        <f>VLOOKUP(A371,'SegEnds_NonXtal_Prot#'!A:AL,34,FALSE)-VLOOKUP(A371,'SegEnds_NonXtal_Prot#'!A:AL,31,FALSE)</f>
        <v>30</v>
      </c>
      <c r="AK371" s="1">
        <f>VLOOKUP(A371,'SegEnds_NonXtal_Prot#'!A:AL,37,FALSE)-VLOOKUP(A371,'SegEnds_NonXtal_Prot#'!A:AL,34,FALSE)</f>
        <v>19</v>
      </c>
      <c r="AL371" s="1" t="str">
        <f>IF(ISERROR(MATCH(A371,'SegEnds_Xtal_Prot#'!B:B, 0)), "NoXtal", "Xtal")</f>
        <v>NoXtal</v>
      </c>
    </row>
    <row r="372" spans="1:38" x14ac:dyDescent="0.2">
      <c r="A372" s="4" t="s">
        <v>109</v>
      </c>
      <c r="B372" s="4" t="str">
        <f>VLOOKUP(A372,Xtal_Templ!A:B,2,FALSE)</f>
        <v>grm1_human</v>
      </c>
      <c r="C372" s="5">
        <f>VLOOKUP($B372&amp;"__wt",'SegEnds_Xtal_BW#'!$A:$Z,3,FALSE)</f>
        <v>34</v>
      </c>
      <c r="D372" s="4">
        <f>VLOOKUP($B372&amp;"__wt",'SegEnds_Xtal_BW#'!$A:$Z,4,FALSE)</f>
        <v>60</v>
      </c>
      <c r="E372" s="4">
        <f>VLOOKUP($B372&amp;"__wt",'SegEnds_Xtal_BW#'!$A:$Z,5,FALSE)</f>
        <v>47</v>
      </c>
      <c r="F372" s="4">
        <f>VLOOKUP($B372&amp;"__wt",'SegEnds_Xtal_BW#'!$A:$Z,6,FALSE)</f>
        <v>53</v>
      </c>
      <c r="G372" s="4">
        <v>39</v>
      </c>
      <c r="H372" s="11">
        <f>VLOOKUP($B372&amp;"__wt",'SegEnds_Xtal_BW#'!$A:$Z,8,FALSE)</f>
        <v>61</v>
      </c>
      <c r="I372" s="4" t="str">
        <f>VLOOKUP($B372&amp;"__wt",'SegEnds_Xtal_BW#'!$A:$Z,9,FALSE)</f>
        <v>-</v>
      </c>
      <c r="J372" s="4" t="str">
        <f>VLOOKUP($B372&amp;"__wt",'SegEnds_Xtal_BW#'!$A:$Z,10,FALSE)</f>
        <v>-</v>
      </c>
      <c r="K372" s="11">
        <f>VLOOKUP($B372&amp;"__wt",'SegEnds_Xtal_BW#'!$A:$Z,11,FALSE)</f>
        <v>22</v>
      </c>
      <c r="L372" s="4">
        <f>VLOOKUP($B372&amp;"__wt",'SegEnds_Xtal_BW#'!$A:$Z,12,FALSE)</f>
        <v>54</v>
      </c>
      <c r="M372" s="4" t="str">
        <f>VLOOKUP($B372&amp;"__wt",'SegEnds_Xtal_BW#'!$A:$Z,13,FALSE)</f>
        <v>-</v>
      </c>
      <c r="N372" s="11" t="str">
        <f>VLOOKUP($B372&amp;"__wt",'SegEnds_Xtal_BW#'!$A:$Z,14,FALSE)</f>
        <v>-</v>
      </c>
      <c r="O372" s="88">
        <f>VLOOKUP($B372&amp;"__wt",'SegEnds_Xtal_BW#'!$A:$Z,15,FALSE)</f>
        <v>38</v>
      </c>
      <c r="P372" s="4">
        <f>VLOOKUP($B372&amp;"__wt",'SegEnds_Xtal_BW#'!$A:$Z,16,FALSE)</f>
        <v>64</v>
      </c>
      <c r="Q372" s="4">
        <f>VLOOKUP($B372&amp;"__wt",'SegEnds_Xtal_BW#'!$A:$Z,17,FALSE)</f>
        <v>50</v>
      </c>
      <c r="R372" s="4">
        <f>VLOOKUP($B372&amp;"__wt",'SegEnds_Xtal_BW#'!$A:$Z,18,FALSE)</f>
        <v>52</v>
      </c>
      <c r="S372" s="4">
        <f>VLOOKUP($B372&amp;"__wt",'SegEnds_Xtal_BW#'!$A:$Z,19,FALSE)</f>
        <v>36</v>
      </c>
      <c r="T372" s="4">
        <f>VLOOKUP($B372&amp;"__wt",'SegEnds_Xtal_BW#'!$A:$Z,20,FALSE)</f>
        <v>61</v>
      </c>
      <c r="U372" s="4">
        <f>VLOOKUP($B372&amp;"__wt",'SegEnds_Xtal_BW#'!$A:$Z,21,FALSE)</f>
        <v>33</v>
      </c>
      <c r="V372" s="4">
        <f>VLOOKUP($B372&amp;"__wt",'SegEnds_Xtal_BW#'!$A:$Z,22,FALSE)</f>
        <v>57</v>
      </c>
      <c r="W372" s="4">
        <f>VLOOKUP($B372&amp;"__wt",'SegEnds_Xtal_BW#'!$A:$Z,23,FALSE)</f>
        <v>33</v>
      </c>
      <c r="X372" s="4">
        <f>VLOOKUP($B372&amp;"__wt",'SegEnds_Xtal_BW#'!$A:$Z,24,FALSE)</f>
        <v>64</v>
      </c>
      <c r="Y372" s="4">
        <f>VLOOKUP($B372&amp;"__wt",'SegEnds_Xtal_BW#'!$A:$Z,25,FALSE)</f>
        <v>46</v>
      </c>
      <c r="Z372" s="4">
        <f>VLOOKUP($B372&amp;"__wt",'SegEnds_Xtal_BW#'!$A:$Z,26,FALSE)</f>
        <v>57</v>
      </c>
      <c r="AA372" s="27" t="str">
        <f>VLOOKUP(A372,Classification!A:B,2,FALSE)</f>
        <v>C</v>
      </c>
      <c r="AB372" s="1">
        <f>VLOOKUP(A372,'SegEnds_NonXtal_Prot#'!A:AL,10,FALSE)-VLOOKUP(A372,'SegEnds_NonXtal_Prot#'!A:AL,4,FALSE)</f>
        <v>31</v>
      </c>
      <c r="AC372" s="4">
        <f>VLOOKUP(A372,'SegEnds_NonXtal_Prot#'!A:AL,10,FALSE)-VLOOKUP(A372,'SegEnds_NonXtal_Prot#'!A:AL,7,FALSE)</f>
        <v>15</v>
      </c>
      <c r="AD372" s="4" t="e">
        <f>VLOOKUP(A372,'SegEnds_NonXtal_Prot#'!A:AL,13,FALSE)-VLOOKUP(A372,'SegEnds_NonXtal_Prot#'!A:AL,10,FALSE)</f>
        <v>#VALUE!</v>
      </c>
      <c r="AE372" s="4">
        <f>VLOOKUP(A372,'SegEnds_NonXtal_Prot#'!A:AL,16,FALSE)-VLOOKUP(A372,'SegEnds_NonXtal_Prot#'!A:AL,10,FALSE)</f>
        <v>44</v>
      </c>
      <c r="AF372" s="1" t="e">
        <f>VLOOKUP(A372,'SegEnds_NonXtal_Prot#'!A:AL,22,FALSE)-VLOOKUP(A372,'SegEnds_NonXtal_Prot#'!A:AL,19,FALSE)</f>
        <v>#VALUE!</v>
      </c>
      <c r="AG372" s="4">
        <f>VLOOKUP(A372,'SegEnds_NonXtal_Prot#'!A:AL,28,FALSE)-VLOOKUP(A372,'SegEnds_NonXtal_Prot#'!A:AL,25,FALSE)</f>
        <v>16</v>
      </c>
      <c r="AH372" s="1">
        <f>VLOOKUP(A372,'SegEnds_NonXtal_Prot#'!A:AL,28,FALSE)-VLOOKUP(A372,'SegEnds_NonXtal_Prot#'!A:AL,22,FALSE)</f>
        <v>65</v>
      </c>
      <c r="AI372" s="4">
        <f>VLOOKUP(A372,'SegEnds_NonXtal_Prot#'!A:AL,31,FALSE)-VLOOKUP(A372,'SegEnds_NonXtal_Prot#'!A:AL,28,FALSE)</f>
        <v>37</v>
      </c>
      <c r="AJ372" s="4">
        <f>VLOOKUP(A372,'SegEnds_NonXtal_Prot#'!A:AL,34,FALSE)-VLOOKUP(A372,'SegEnds_NonXtal_Prot#'!A:AL,31,FALSE)</f>
        <v>33</v>
      </c>
      <c r="AK372" s="1">
        <f>VLOOKUP(A372,'SegEnds_NonXtal_Prot#'!A:AL,37,FALSE)-VLOOKUP(A372,'SegEnds_NonXtal_Prot#'!A:AL,34,FALSE)</f>
        <v>19</v>
      </c>
      <c r="AL372" s="1" t="str">
        <f>IF(ISERROR(MATCH(A372,'SegEnds_Xtal_Prot#'!B:B, 0)), "NoXtal", "Xtal")</f>
        <v>NoXtal</v>
      </c>
    </row>
    <row r="373" spans="1:38" x14ac:dyDescent="0.2">
      <c r="A373" s="1" t="s">
        <v>110</v>
      </c>
      <c r="B373" s="1" t="str">
        <f>VLOOKUP(A373,Xtal_Templ!A:B,2,FALSE)</f>
        <v>grm1_human</v>
      </c>
      <c r="C373" s="5">
        <f>VLOOKUP($B373&amp;"__wt",'SegEnds_Xtal_BW#'!$A:$Z,3,FALSE)</f>
        <v>34</v>
      </c>
      <c r="D373" s="1">
        <f>VLOOKUP($B373&amp;"__wt",'SegEnds_Xtal_BW#'!$A:$Z,4,FALSE)</f>
        <v>60</v>
      </c>
      <c r="E373" s="1">
        <f>VLOOKUP($B373&amp;"__wt",'SegEnds_Xtal_BW#'!$A:$Z,5,FALSE)</f>
        <v>47</v>
      </c>
      <c r="F373" s="1">
        <f>VLOOKUP($B373&amp;"__wt",'SegEnds_Xtal_BW#'!$A:$Z,6,FALSE)</f>
        <v>53</v>
      </c>
      <c r="G373" s="1">
        <v>39</v>
      </c>
      <c r="H373" s="12">
        <f>VLOOKUP($B373&amp;"__wt",'SegEnds_Xtal_BW#'!$A:$Z,8,FALSE)</f>
        <v>61</v>
      </c>
      <c r="I373" s="1" t="str">
        <f>VLOOKUP($B373&amp;"__wt",'SegEnds_Xtal_BW#'!$A:$Z,9,FALSE)</f>
        <v>-</v>
      </c>
      <c r="J373" s="1" t="str">
        <f>VLOOKUP($B373&amp;"__wt",'SegEnds_Xtal_BW#'!$A:$Z,10,FALSE)</f>
        <v>-</v>
      </c>
      <c r="K373" s="12">
        <f>VLOOKUP($B373&amp;"__wt",'SegEnds_Xtal_BW#'!$A:$Z,11,FALSE)</f>
        <v>22</v>
      </c>
      <c r="L373" s="1">
        <f>VLOOKUP($B373&amp;"__wt",'SegEnds_Xtal_BW#'!$A:$Z,12,FALSE)</f>
        <v>54</v>
      </c>
      <c r="M373" s="1" t="str">
        <f>VLOOKUP($B373&amp;"__wt",'SegEnds_Xtal_BW#'!$A:$Z,13,FALSE)</f>
        <v>-</v>
      </c>
      <c r="N373" s="12" t="str">
        <f>VLOOKUP($B373&amp;"__wt",'SegEnds_Xtal_BW#'!$A:$Z,14,FALSE)</f>
        <v>-</v>
      </c>
      <c r="O373" s="87">
        <f>VLOOKUP($B373&amp;"__wt",'SegEnds_Xtal_BW#'!$A:$Z,15,FALSE)</f>
        <v>38</v>
      </c>
      <c r="P373" s="1">
        <f>VLOOKUP($B373&amp;"__wt",'SegEnds_Xtal_BW#'!$A:$Z,16,FALSE)</f>
        <v>64</v>
      </c>
      <c r="Q373" s="1">
        <f>VLOOKUP($B373&amp;"__wt",'SegEnds_Xtal_BW#'!$A:$Z,17,FALSE)</f>
        <v>50</v>
      </c>
      <c r="R373" s="1">
        <f>VLOOKUP($B373&amp;"__wt",'SegEnds_Xtal_BW#'!$A:$Z,18,FALSE)</f>
        <v>52</v>
      </c>
      <c r="S373" s="1">
        <f>VLOOKUP($B373&amp;"__wt",'SegEnds_Xtal_BW#'!$A:$Z,19,FALSE)</f>
        <v>36</v>
      </c>
      <c r="T373" s="1">
        <f>VLOOKUP($B373&amp;"__wt",'SegEnds_Xtal_BW#'!$A:$Z,20,FALSE)</f>
        <v>61</v>
      </c>
      <c r="U373" s="1">
        <f>VLOOKUP($B373&amp;"__wt",'SegEnds_Xtal_BW#'!$A:$Z,21,FALSE)</f>
        <v>33</v>
      </c>
      <c r="V373" s="1">
        <f>VLOOKUP($B373&amp;"__wt",'SegEnds_Xtal_BW#'!$A:$Z,22,FALSE)</f>
        <v>57</v>
      </c>
      <c r="W373" s="1">
        <f>VLOOKUP($B373&amp;"__wt",'SegEnds_Xtal_BW#'!$A:$Z,23,FALSE)</f>
        <v>33</v>
      </c>
      <c r="X373" s="1">
        <f>VLOOKUP($B373&amp;"__wt",'SegEnds_Xtal_BW#'!$A:$Z,24,FALSE)</f>
        <v>64</v>
      </c>
      <c r="Y373" s="1">
        <f>VLOOKUP($B373&amp;"__wt",'SegEnds_Xtal_BW#'!$A:$Z,25,FALSE)</f>
        <v>46</v>
      </c>
      <c r="Z373" s="1">
        <f>VLOOKUP($B373&amp;"__wt",'SegEnds_Xtal_BW#'!$A:$Z,26,FALSE)</f>
        <v>57</v>
      </c>
      <c r="AA373" s="27" t="str">
        <f>VLOOKUP(A373,Classification!A:B,2,FALSE)</f>
        <v>C</v>
      </c>
      <c r="AB373" s="1">
        <f>VLOOKUP(A373,'SegEnds_NonXtal_Prot#'!A:AL,10,FALSE)-VLOOKUP(A373,'SegEnds_NonXtal_Prot#'!A:AL,4,FALSE)</f>
        <v>31</v>
      </c>
      <c r="AC373" s="1">
        <f>VLOOKUP(A373,'SegEnds_NonXtal_Prot#'!A:AL,10,FALSE)-VLOOKUP(A373,'SegEnds_NonXtal_Prot#'!A:AL,7,FALSE)</f>
        <v>15</v>
      </c>
      <c r="AD373" s="1" t="e">
        <f>VLOOKUP(A373,'SegEnds_NonXtal_Prot#'!A:AL,13,FALSE)-VLOOKUP(A373,'SegEnds_NonXtal_Prot#'!A:AL,10,FALSE)</f>
        <v>#VALUE!</v>
      </c>
      <c r="AE373" s="1">
        <f>VLOOKUP(A373,'SegEnds_NonXtal_Prot#'!A:AL,16,FALSE)-VLOOKUP(A373,'SegEnds_NonXtal_Prot#'!A:AL,10,FALSE)</f>
        <v>44</v>
      </c>
      <c r="AF373" s="1" t="e">
        <f>VLOOKUP(A373,'SegEnds_NonXtal_Prot#'!A:AL,22,FALSE)-VLOOKUP(A373,'SegEnds_NonXtal_Prot#'!A:AL,19,FALSE)</f>
        <v>#VALUE!</v>
      </c>
      <c r="AG373" s="1">
        <f>VLOOKUP(A373,'SegEnds_NonXtal_Prot#'!A:AL,28,FALSE)-VLOOKUP(A373,'SegEnds_NonXtal_Prot#'!A:AL,25,FALSE)</f>
        <v>16</v>
      </c>
      <c r="AH373" s="1">
        <f>VLOOKUP(A373,'SegEnds_NonXtal_Prot#'!A:AL,28,FALSE)-VLOOKUP(A373,'SegEnds_NonXtal_Prot#'!A:AL,22,FALSE)</f>
        <v>65</v>
      </c>
      <c r="AI373" s="1">
        <f>VLOOKUP(A373,'SegEnds_NonXtal_Prot#'!A:AL,31,FALSE)-VLOOKUP(A373,'SegEnds_NonXtal_Prot#'!A:AL,28,FALSE)</f>
        <v>37</v>
      </c>
      <c r="AJ373" s="1">
        <f>VLOOKUP(A373,'SegEnds_NonXtal_Prot#'!A:AL,34,FALSE)-VLOOKUP(A373,'SegEnds_NonXtal_Prot#'!A:AL,31,FALSE)</f>
        <v>33</v>
      </c>
      <c r="AK373" s="1">
        <f>VLOOKUP(A373,'SegEnds_NonXtal_Prot#'!A:AL,37,FALSE)-VLOOKUP(A373,'SegEnds_NonXtal_Prot#'!A:AL,34,FALSE)</f>
        <v>19</v>
      </c>
      <c r="AL373" s="1" t="str">
        <f>IF(ISERROR(MATCH(A373,'SegEnds_Xtal_Prot#'!B:B, 0)), "NoXtal", "Xtal")</f>
        <v>NoXtal</v>
      </c>
    </row>
    <row r="374" spans="1:38" x14ac:dyDescent="0.2">
      <c r="A374" s="1" t="s">
        <v>440</v>
      </c>
      <c r="B374" s="1" t="str">
        <f>VLOOKUP(A374,Xtal_Templ!A:B,2,FALSE)</f>
        <v>fzd4_human</v>
      </c>
      <c r="C374" s="5">
        <f>VLOOKUP($B374&amp;"__wt",'SegEnds_Xtal_BW#'!$A:$Z,3,FALSE)</f>
        <v>28</v>
      </c>
      <c r="D374" s="1">
        <f>VLOOKUP($B374&amp;"__wt",'SegEnds_Xtal_BW#'!$A:$Z,4,FALSE)</f>
        <v>60</v>
      </c>
      <c r="E374" s="1">
        <f>VLOOKUP($B374&amp;"__wt",'SegEnds_Xtal_BW#'!$A:$Z,5,FALSE)</f>
        <v>47</v>
      </c>
      <c r="F374" s="1">
        <f>VLOOKUP($B374&amp;"__wt",'SegEnds_Xtal_BW#'!$A:$Z,6,FALSE)</f>
        <v>51</v>
      </c>
      <c r="G374" s="1">
        <v>39</v>
      </c>
      <c r="H374" s="12">
        <f>VLOOKUP($B374&amp;"__wt",'SegEnds_Xtal_BW#'!$A:$Z,8,FALSE)</f>
        <v>66</v>
      </c>
      <c r="I374" s="1" t="str">
        <f>VLOOKUP($B374&amp;"__wt",'SegEnds_Xtal_BW#'!$A:$Z,9,FALSE)</f>
        <v>-</v>
      </c>
      <c r="J374" s="1" t="str">
        <f>VLOOKUP($B374&amp;"__wt",'SegEnds_Xtal_BW#'!$A:$Z,10,FALSE)</f>
        <v>-</v>
      </c>
      <c r="K374" s="12">
        <f>VLOOKUP($B374&amp;"__wt",'SegEnds_Xtal_BW#'!$A:$Z,11,FALSE)</f>
        <v>22</v>
      </c>
      <c r="L374" s="1">
        <f>VLOOKUP($B374&amp;"__wt",'SegEnds_Xtal_BW#'!$A:$Z,12,FALSE)</f>
        <v>55</v>
      </c>
      <c r="M374" s="1" t="str">
        <f>VLOOKUP($B374&amp;"__wt",'SegEnds_Xtal_BW#'!$A:$Z,13,FALSE)</f>
        <v>-</v>
      </c>
      <c r="N374" s="12" t="str">
        <f>VLOOKUP($B374&amp;"__wt",'SegEnds_Xtal_BW#'!$A:$Z,14,FALSE)</f>
        <v>-</v>
      </c>
      <c r="O374" s="87">
        <f>VLOOKUP($B374&amp;"__wt",'SegEnds_Xtal_BW#'!$A:$Z,15,FALSE)</f>
        <v>41</v>
      </c>
      <c r="P374" s="1">
        <f>VLOOKUP($B374&amp;"__wt",'SegEnds_Xtal_BW#'!$A:$Z,16,FALSE)</f>
        <v>64</v>
      </c>
      <c r="Q374" s="1">
        <f>VLOOKUP($B374&amp;"__wt",'SegEnds_Xtal_BW#'!$A:$Z,17,FALSE)</f>
        <v>50</v>
      </c>
      <c r="R374" s="1">
        <f>VLOOKUP($B374&amp;"__wt",'SegEnds_Xtal_BW#'!$A:$Z,18,FALSE)</f>
        <v>52</v>
      </c>
      <c r="S374" s="1">
        <f>VLOOKUP($B374&amp;"__wt",'SegEnds_Xtal_BW#'!$A:$Z,19,FALSE)</f>
        <v>35</v>
      </c>
      <c r="T374" s="1">
        <f>VLOOKUP($B374&amp;"__wt",'SegEnds_Xtal_BW#'!$A:$Z,20,FALSE)</f>
        <v>72</v>
      </c>
      <c r="U374" s="1">
        <f>VLOOKUP($B374&amp;"__wt",'SegEnds_Xtal_BW#'!$A:$Z,21,FALSE)</f>
        <v>28</v>
      </c>
      <c r="V374" s="108">
        <v>78</v>
      </c>
      <c r="W374" s="1">
        <f>VLOOKUP($B374&amp;"__wt",'SegEnds_Xtal_BW#'!$A:$Z,23,FALSE)</f>
        <v>34</v>
      </c>
      <c r="X374" s="1">
        <f>VLOOKUP($B374&amp;"__wt",'SegEnds_Xtal_BW#'!$A:$Z,24,FALSE)</f>
        <v>57</v>
      </c>
      <c r="Y374" s="1">
        <f>VLOOKUP($B374&amp;"__wt",'SegEnds_Xtal_BW#'!$A:$Z,25,FALSE)</f>
        <v>47</v>
      </c>
      <c r="Z374" s="1">
        <f>VLOOKUP($B374&amp;"__wt",'SegEnds_Xtal_BW#'!$A:$Z,26,FALSE)</f>
        <v>62</v>
      </c>
      <c r="AA374" s="27" t="str">
        <f>VLOOKUP(A374,Classification!A:B,2,FALSE)</f>
        <v>F</v>
      </c>
      <c r="AB374" s="1">
        <f>VLOOKUP(A374,'SegEnds_NonXtal_Prot#'!A:AL,10,FALSE)-VLOOKUP(A374,'SegEnds_NonXtal_Prot#'!A:AL,4,FALSE)</f>
        <v>26</v>
      </c>
      <c r="AC374" s="1">
        <f>VLOOKUP(A374,'SegEnds_NonXtal_Prot#'!A:AL,10,FALSE)-VLOOKUP(A374,'SegEnds_NonXtal_Prot#'!A:AL,7,FALSE)</f>
        <v>12</v>
      </c>
      <c r="AD374" s="1" t="e">
        <f>VLOOKUP(A374,'SegEnds_NonXtal_Prot#'!A:AL,13,FALSE)-VLOOKUP(A374,'SegEnds_NonXtal_Prot#'!A:AL,10,FALSE)</f>
        <v>#VALUE!</v>
      </c>
      <c r="AE374" s="1">
        <f>VLOOKUP(A374,'SegEnds_NonXtal_Prot#'!A:AL,16,FALSE)-VLOOKUP(A374,'SegEnds_NonXtal_Prot#'!A:AL,10,FALSE)</f>
        <v>67</v>
      </c>
      <c r="AF374" s="1" t="e">
        <f>VLOOKUP(A374,'SegEnds_NonXtal_Prot#'!A:AL,22,FALSE)-VLOOKUP(A374,'SegEnds_NonXtal_Prot#'!A:AL,19,FALSE)</f>
        <v>#VALUE!</v>
      </c>
      <c r="AG374" s="1">
        <f>VLOOKUP(A374,'SegEnds_NonXtal_Prot#'!A:AL,28,FALSE)-VLOOKUP(A374,'SegEnds_NonXtal_Prot#'!A:AL,25,FALSE)</f>
        <v>21</v>
      </c>
      <c r="AH374" s="1">
        <f>VLOOKUP(A374,'SegEnds_NonXtal_Prot#'!A:AL,28,FALSE)-VLOOKUP(A374,'SegEnds_NonXtal_Prot#'!A:AL,22,FALSE)</f>
        <v>46</v>
      </c>
      <c r="AI374" s="1">
        <f>VLOOKUP(A374,'SegEnds_NonXtal_Prot#'!A:AL,31,FALSE)-VLOOKUP(A374,'SegEnds_NonXtal_Prot#'!A:AL,28,FALSE)</f>
        <v>55</v>
      </c>
      <c r="AJ374" s="1">
        <f>VLOOKUP(A374,'SegEnds_NonXtal_Prot#'!A:AL,34,FALSE)-VLOOKUP(A374,'SegEnds_NonXtal_Prot#'!A:AL,31,FALSE)</f>
        <v>62</v>
      </c>
      <c r="AK374" s="1">
        <f>VLOOKUP(A374,'SegEnds_NonXtal_Prot#'!A:AL,37,FALSE)-VLOOKUP(A374,'SegEnds_NonXtal_Prot#'!A:AL,34,FALSE)</f>
        <v>11</v>
      </c>
      <c r="AL374" s="1" t="str">
        <f>IF(ISERROR(MATCH(A374,'SegEnds_Xtal_Prot#'!B:B, 0)), "NoXtal", "Xtal")</f>
        <v>NoXtal</v>
      </c>
    </row>
    <row r="375" spans="1:38" x14ac:dyDescent="0.2">
      <c r="A375" s="1" t="s">
        <v>441</v>
      </c>
      <c r="B375" s="1" t="str">
        <f>VLOOKUP(A375,Xtal_Templ!A:B,2,FALSE)</f>
        <v>fzd4_human</v>
      </c>
      <c r="C375" s="5">
        <f>VLOOKUP($B375&amp;"__wt",'SegEnds_Xtal_BW#'!$A:$Z,3,FALSE)</f>
        <v>28</v>
      </c>
      <c r="D375" s="1">
        <f>VLOOKUP($B375&amp;"__wt",'SegEnds_Xtal_BW#'!$A:$Z,4,FALSE)</f>
        <v>60</v>
      </c>
      <c r="E375" s="1">
        <f>VLOOKUP($B375&amp;"__wt",'SegEnds_Xtal_BW#'!$A:$Z,5,FALSE)</f>
        <v>47</v>
      </c>
      <c r="F375" s="1">
        <f>VLOOKUP($B375&amp;"__wt",'SegEnds_Xtal_BW#'!$A:$Z,6,FALSE)</f>
        <v>51</v>
      </c>
      <c r="G375" s="1">
        <v>39</v>
      </c>
      <c r="H375" s="12">
        <f>VLOOKUP($B375&amp;"__wt",'SegEnds_Xtal_BW#'!$A:$Z,8,FALSE)</f>
        <v>66</v>
      </c>
      <c r="I375" s="1" t="str">
        <f>VLOOKUP($B375&amp;"__wt",'SegEnds_Xtal_BW#'!$A:$Z,9,FALSE)</f>
        <v>-</v>
      </c>
      <c r="J375" s="1" t="str">
        <f>VLOOKUP($B375&amp;"__wt",'SegEnds_Xtal_BW#'!$A:$Z,10,FALSE)</f>
        <v>-</v>
      </c>
      <c r="K375" s="12">
        <f>VLOOKUP($B375&amp;"__wt",'SegEnds_Xtal_BW#'!$A:$Z,11,FALSE)</f>
        <v>22</v>
      </c>
      <c r="L375" s="1">
        <f>VLOOKUP($B375&amp;"__wt",'SegEnds_Xtal_BW#'!$A:$Z,12,FALSE)</f>
        <v>55</v>
      </c>
      <c r="M375" s="1" t="str">
        <f>VLOOKUP($B375&amp;"__wt",'SegEnds_Xtal_BW#'!$A:$Z,13,FALSE)</f>
        <v>-</v>
      </c>
      <c r="N375" s="12" t="str">
        <f>VLOOKUP($B375&amp;"__wt",'SegEnds_Xtal_BW#'!$A:$Z,14,FALSE)</f>
        <v>-</v>
      </c>
      <c r="O375" s="87">
        <f>VLOOKUP($B375&amp;"__wt",'SegEnds_Xtal_BW#'!$A:$Z,15,FALSE)</f>
        <v>41</v>
      </c>
      <c r="P375" s="1">
        <f>VLOOKUP($B375&amp;"__wt",'SegEnds_Xtal_BW#'!$A:$Z,16,FALSE)</f>
        <v>64</v>
      </c>
      <c r="Q375" s="1">
        <f>VLOOKUP($B375&amp;"__wt",'SegEnds_Xtal_BW#'!$A:$Z,17,FALSE)</f>
        <v>50</v>
      </c>
      <c r="R375" s="1">
        <f>VLOOKUP($B375&amp;"__wt",'SegEnds_Xtal_BW#'!$A:$Z,18,FALSE)</f>
        <v>52</v>
      </c>
      <c r="S375" s="1">
        <f>VLOOKUP($B375&amp;"__wt",'SegEnds_Xtal_BW#'!$A:$Z,19,FALSE)</f>
        <v>35</v>
      </c>
      <c r="T375" s="1">
        <f>VLOOKUP($B375&amp;"__wt",'SegEnds_Xtal_BW#'!$A:$Z,20,FALSE)</f>
        <v>72</v>
      </c>
      <c r="U375" s="1">
        <f>VLOOKUP($B375&amp;"__wt",'SegEnds_Xtal_BW#'!$A:$Z,21,FALSE)</f>
        <v>28</v>
      </c>
      <c r="V375" s="108">
        <v>78</v>
      </c>
      <c r="W375" s="1">
        <f>VLOOKUP($B375&amp;"__wt",'SegEnds_Xtal_BW#'!$A:$Z,23,FALSE)</f>
        <v>34</v>
      </c>
      <c r="X375" s="1">
        <f>VLOOKUP($B375&amp;"__wt",'SegEnds_Xtal_BW#'!$A:$Z,24,FALSE)</f>
        <v>57</v>
      </c>
      <c r="Y375" s="1">
        <f>VLOOKUP($B375&amp;"__wt",'SegEnds_Xtal_BW#'!$A:$Z,25,FALSE)</f>
        <v>47</v>
      </c>
      <c r="Z375" s="1">
        <f>VLOOKUP($B375&amp;"__wt",'SegEnds_Xtal_BW#'!$A:$Z,26,FALSE)</f>
        <v>62</v>
      </c>
      <c r="AA375" s="27" t="str">
        <f>VLOOKUP(A375,Classification!A:B,2,FALSE)</f>
        <v>F</v>
      </c>
      <c r="AB375" s="1">
        <f>VLOOKUP(A375,'SegEnds_NonXtal_Prot#'!A:AL,10,FALSE)-VLOOKUP(A375,'SegEnds_NonXtal_Prot#'!A:AL,4,FALSE)</f>
        <v>26</v>
      </c>
      <c r="AC375" s="1">
        <f>VLOOKUP(A375,'SegEnds_NonXtal_Prot#'!A:AL,10,FALSE)-VLOOKUP(A375,'SegEnds_NonXtal_Prot#'!A:AL,7,FALSE)</f>
        <v>12</v>
      </c>
      <c r="AD375" s="1" t="e">
        <f>VLOOKUP(A375,'SegEnds_NonXtal_Prot#'!A:AL,13,FALSE)-VLOOKUP(A375,'SegEnds_NonXtal_Prot#'!A:AL,10,FALSE)</f>
        <v>#VALUE!</v>
      </c>
      <c r="AE375" s="1">
        <f>VLOOKUP(A375,'SegEnds_NonXtal_Prot#'!A:AL,16,FALSE)-VLOOKUP(A375,'SegEnds_NonXtal_Prot#'!A:AL,10,FALSE)</f>
        <v>66</v>
      </c>
      <c r="AF375" s="1" t="e">
        <f>VLOOKUP(A375,'SegEnds_NonXtal_Prot#'!A:AL,22,FALSE)-VLOOKUP(A375,'SegEnds_NonXtal_Prot#'!A:AL,19,FALSE)</f>
        <v>#VALUE!</v>
      </c>
      <c r="AG375" s="1">
        <f>VLOOKUP(A375,'SegEnds_NonXtal_Prot#'!A:AL,28,FALSE)-VLOOKUP(A375,'SegEnds_NonXtal_Prot#'!A:AL,25,FALSE)</f>
        <v>21</v>
      </c>
      <c r="AH375" s="1">
        <f>VLOOKUP(A375,'SegEnds_NonXtal_Prot#'!A:AL,28,FALSE)-VLOOKUP(A375,'SegEnds_NonXtal_Prot#'!A:AL,22,FALSE)</f>
        <v>46</v>
      </c>
      <c r="AI375" s="1">
        <f>VLOOKUP(A375,'SegEnds_NonXtal_Prot#'!A:AL,31,FALSE)-VLOOKUP(A375,'SegEnds_NonXtal_Prot#'!A:AL,28,FALSE)</f>
        <v>55</v>
      </c>
      <c r="AJ375" s="1">
        <f>VLOOKUP(A375,'SegEnds_NonXtal_Prot#'!A:AL,34,FALSE)-VLOOKUP(A375,'SegEnds_NonXtal_Prot#'!A:AL,31,FALSE)</f>
        <v>56</v>
      </c>
      <c r="AK375" s="1">
        <f>VLOOKUP(A375,'SegEnds_NonXtal_Prot#'!A:AL,37,FALSE)-VLOOKUP(A375,'SegEnds_NonXtal_Prot#'!A:AL,34,FALSE)</f>
        <v>11</v>
      </c>
      <c r="AL375" s="1" t="str">
        <f>IF(ISERROR(MATCH(A375,'SegEnds_Xtal_Prot#'!B:B, 0)), "NoXtal", "Xtal")</f>
        <v>NoXtal</v>
      </c>
    </row>
    <row r="376" spans="1:38" x14ac:dyDescent="0.2">
      <c r="A376" s="1" t="s">
        <v>442</v>
      </c>
      <c r="B376" s="1" t="str">
        <f>VLOOKUP(A376,Xtal_Templ!A:B,2,FALSE)</f>
        <v>fzd4_human</v>
      </c>
      <c r="C376" s="5">
        <f>VLOOKUP($B376&amp;"__wt",'SegEnds_Xtal_BW#'!$A:$Z,3,FALSE)</f>
        <v>28</v>
      </c>
      <c r="D376" s="1">
        <f>VLOOKUP($B376&amp;"__wt",'SegEnds_Xtal_BW#'!$A:$Z,4,FALSE)</f>
        <v>60</v>
      </c>
      <c r="E376" s="1">
        <f>VLOOKUP($B376&amp;"__wt",'SegEnds_Xtal_BW#'!$A:$Z,5,FALSE)</f>
        <v>47</v>
      </c>
      <c r="F376" s="1">
        <f>VLOOKUP($B376&amp;"__wt",'SegEnds_Xtal_BW#'!$A:$Z,6,FALSE)</f>
        <v>51</v>
      </c>
      <c r="G376" s="1">
        <v>39</v>
      </c>
      <c r="H376" s="12">
        <f>VLOOKUP($B376&amp;"__wt",'SegEnds_Xtal_BW#'!$A:$Z,8,FALSE)</f>
        <v>66</v>
      </c>
      <c r="I376" s="1" t="str">
        <f>VLOOKUP($B376&amp;"__wt",'SegEnds_Xtal_BW#'!$A:$Z,9,FALSE)</f>
        <v>-</v>
      </c>
      <c r="J376" s="1" t="str">
        <f>VLOOKUP($B376&amp;"__wt",'SegEnds_Xtal_BW#'!$A:$Z,10,FALSE)</f>
        <v>-</v>
      </c>
      <c r="K376" s="12">
        <f>VLOOKUP($B376&amp;"__wt",'SegEnds_Xtal_BW#'!$A:$Z,11,FALSE)</f>
        <v>22</v>
      </c>
      <c r="L376" s="1">
        <f>VLOOKUP($B376&amp;"__wt",'SegEnds_Xtal_BW#'!$A:$Z,12,FALSE)</f>
        <v>55</v>
      </c>
      <c r="M376" s="1" t="str">
        <f>VLOOKUP($B376&amp;"__wt",'SegEnds_Xtal_BW#'!$A:$Z,13,FALSE)</f>
        <v>-</v>
      </c>
      <c r="N376" s="12" t="str">
        <f>VLOOKUP($B376&amp;"__wt",'SegEnds_Xtal_BW#'!$A:$Z,14,FALSE)</f>
        <v>-</v>
      </c>
      <c r="O376" s="87">
        <f>VLOOKUP($B376&amp;"__wt",'SegEnds_Xtal_BW#'!$A:$Z,15,FALSE)</f>
        <v>41</v>
      </c>
      <c r="P376" s="1">
        <f>VLOOKUP($B376&amp;"__wt",'SegEnds_Xtal_BW#'!$A:$Z,16,FALSE)</f>
        <v>64</v>
      </c>
      <c r="Q376" s="1">
        <f>VLOOKUP($B376&amp;"__wt",'SegEnds_Xtal_BW#'!$A:$Z,17,FALSE)</f>
        <v>50</v>
      </c>
      <c r="R376" s="1">
        <f>VLOOKUP($B376&amp;"__wt",'SegEnds_Xtal_BW#'!$A:$Z,18,FALSE)</f>
        <v>52</v>
      </c>
      <c r="S376" s="1">
        <f>VLOOKUP($B376&amp;"__wt",'SegEnds_Xtal_BW#'!$A:$Z,19,FALSE)</f>
        <v>35</v>
      </c>
      <c r="T376" s="1">
        <f>VLOOKUP($B376&amp;"__wt",'SegEnds_Xtal_BW#'!$A:$Z,20,FALSE)</f>
        <v>72</v>
      </c>
      <c r="U376" s="1">
        <f>VLOOKUP($B376&amp;"__wt",'SegEnds_Xtal_BW#'!$A:$Z,21,FALSE)</f>
        <v>28</v>
      </c>
      <c r="V376" s="108">
        <v>78</v>
      </c>
      <c r="W376" s="1">
        <f>VLOOKUP($B376&amp;"__wt",'SegEnds_Xtal_BW#'!$A:$Z,23,FALSE)</f>
        <v>34</v>
      </c>
      <c r="X376" s="1">
        <f>VLOOKUP($B376&amp;"__wt",'SegEnds_Xtal_BW#'!$A:$Z,24,FALSE)</f>
        <v>57</v>
      </c>
      <c r="Y376" s="1">
        <f>VLOOKUP($B376&amp;"__wt",'SegEnds_Xtal_BW#'!$A:$Z,25,FALSE)</f>
        <v>47</v>
      </c>
      <c r="Z376" s="1">
        <f>VLOOKUP($B376&amp;"__wt",'SegEnds_Xtal_BW#'!$A:$Z,26,FALSE)</f>
        <v>62</v>
      </c>
      <c r="AA376" s="27" t="str">
        <f>VLOOKUP(A376,Classification!A:B,2,FALSE)</f>
        <v>F</v>
      </c>
      <c r="AB376" s="1">
        <f>VLOOKUP(A376,'SegEnds_NonXtal_Prot#'!A:AL,10,FALSE)-VLOOKUP(A376,'SegEnds_NonXtal_Prot#'!A:AL,4,FALSE)</f>
        <v>26</v>
      </c>
      <c r="AC376" s="1">
        <f>VLOOKUP(A376,'SegEnds_NonXtal_Prot#'!A:AL,10,FALSE)-VLOOKUP(A376,'SegEnds_NonXtal_Prot#'!A:AL,7,FALSE)</f>
        <v>12</v>
      </c>
      <c r="AD376" s="1" t="e">
        <f>VLOOKUP(A376,'SegEnds_NonXtal_Prot#'!A:AL,13,FALSE)-VLOOKUP(A376,'SegEnds_NonXtal_Prot#'!A:AL,10,FALSE)</f>
        <v>#VALUE!</v>
      </c>
      <c r="AE376" s="1">
        <f>VLOOKUP(A376,'SegEnds_NonXtal_Prot#'!A:AL,16,FALSE)-VLOOKUP(A376,'SegEnds_NonXtal_Prot#'!A:AL,10,FALSE)</f>
        <v>67</v>
      </c>
      <c r="AF376" s="1" t="e">
        <f>VLOOKUP(A376,'SegEnds_NonXtal_Prot#'!A:AL,22,FALSE)-VLOOKUP(A376,'SegEnds_NonXtal_Prot#'!A:AL,19,FALSE)</f>
        <v>#VALUE!</v>
      </c>
      <c r="AG376" s="1">
        <f>VLOOKUP(A376,'SegEnds_NonXtal_Prot#'!A:AL,28,FALSE)-VLOOKUP(A376,'SegEnds_NonXtal_Prot#'!A:AL,25,FALSE)</f>
        <v>21</v>
      </c>
      <c r="AH376" s="1">
        <f>VLOOKUP(A376,'SegEnds_NonXtal_Prot#'!A:AL,28,FALSE)-VLOOKUP(A376,'SegEnds_NonXtal_Prot#'!A:AL,22,FALSE)</f>
        <v>46</v>
      </c>
      <c r="AI376" s="1">
        <f>VLOOKUP(A376,'SegEnds_NonXtal_Prot#'!A:AL,31,FALSE)-VLOOKUP(A376,'SegEnds_NonXtal_Prot#'!A:AL,28,FALSE)</f>
        <v>55</v>
      </c>
      <c r="AJ376" s="1">
        <f>VLOOKUP(A376,'SegEnds_NonXtal_Prot#'!A:AL,34,FALSE)-VLOOKUP(A376,'SegEnds_NonXtal_Prot#'!A:AL,31,FALSE)</f>
        <v>55</v>
      </c>
      <c r="AK376" s="1">
        <f>VLOOKUP(A376,'SegEnds_NonXtal_Prot#'!A:AL,37,FALSE)-VLOOKUP(A376,'SegEnds_NonXtal_Prot#'!A:AL,34,FALSE)</f>
        <v>11</v>
      </c>
      <c r="AL376" s="1" t="str">
        <f>IF(ISERROR(MATCH(A376,'SegEnds_Xtal_Prot#'!B:B, 0)), "NoXtal", "Xtal")</f>
        <v>NoXtal</v>
      </c>
    </row>
    <row r="377" spans="1:38" x14ac:dyDescent="0.2">
      <c r="A377" s="1" t="s">
        <v>443</v>
      </c>
      <c r="B377" s="1" t="str">
        <f>VLOOKUP(A377,Xtal_Templ!A:B,2,FALSE)</f>
        <v>fzd4_human</v>
      </c>
      <c r="C377" s="5">
        <f>VLOOKUP($B377&amp;"__wt",'SegEnds_Xtal_BW#'!$A:$Z,3,FALSE)</f>
        <v>28</v>
      </c>
      <c r="D377" s="1">
        <f>VLOOKUP($B377&amp;"__wt",'SegEnds_Xtal_BW#'!$A:$Z,4,FALSE)</f>
        <v>60</v>
      </c>
      <c r="E377" s="1">
        <f>VLOOKUP($B377&amp;"__wt",'SegEnds_Xtal_BW#'!$A:$Z,5,FALSE)</f>
        <v>47</v>
      </c>
      <c r="F377" s="1">
        <f>VLOOKUP($B377&amp;"__wt",'SegEnds_Xtal_BW#'!$A:$Z,6,FALSE)</f>
        <v>51</v>
      </c>
      <c r="G377" s="1">
        <v>39</v>
      </c>
      <c r="H377" s="12">
        <f>VLOOKUP($B377&amp;"__wt",'SegEnds_Xtal_BW#'!$A:$Z,8,FALSE)</f>
        <v>66</v>
      </c>
      <c r="I377" s="1" t="str">
        <f>VLOOKUP($B377&amp;"__wt",'SegEnds_Xtal_BW#'!$A:$Z,9,FALSE)</f>
        <v>-</v>
      </c>
      <c r="J377" s="1" t="str">
        <f>VLOOKUP($B377&amp;"__wt",'SegEnds_Xtal_BW#'!$A:$Z,10,FALSE)</f>
        <v>-</v>
      </c>
      <c r="K377" s="12">
        <f>VLOOKUP($B377&amp;"__wt",'SegEnds_Xtal_BW#'!$A:$Z,11,FALSE)</f>
        <v>22</v>
      </c>
      <c r="L377" s="1">
        <f>VLOOKUP($B377&amp;"__wt",'SegEnds_Xtal_BW#'!$A:$Z,12,FALSE)</f>
        <v>55</v>
      </c>
      <c r="M377" s="1" t="str">
        <f>VLOOKUP($B377&amp;"__wt",'SegEnds_Xtal_BW#'!$A:$Z,13,FALSE)</f>
        <v>-</v>
      </c>
      <c r="N377" s="12" t="str">
        <f>VLOOKUP($B377&amp;"__wt",'SegEnds_Xtal_BW#'!$A:$Z,14,FALSE)</f>
        <v>-</v>
      </c>
      <c r="O377" s="87">
        <f>VLOOKUP($B377&amp;"__wt",'SegEnds_Xtal_BW#'!$A:$Z,15,FALSE)</f>
        <v>41</v>
      </c>
      <c r="P377" s="1">
        <f>VLOOKUP($B377&amp;"__wt",'SegEnds_Xtal_BW#'!$A:$Z,16,FALSE)</f>
        <v>64</v>
      </c>
      <c r="Q377" s="1">
        <f>VLOOKUP($B377&amp;"__wt",'SegEnds_Xtal_BW#'!$A:$Z,17,FALSE)</f>
        <v>50</v>
      </c>
      <c r="R377" s="1">
        <f>VLOOKUP($B377&amp;"__wt",'SegEnds_Xtal_BW#'!$A:$Z,18,FALSE)</f>
        <v>52</v>
      </c>
      <c r="S377" s="1">
        <f>VLOOKUP($B377&amp;"__wt",'SegEnds_Xtal_BW#'!$A:$Z,19,FALSE)</f>
        <v>35</v>
      </c>
      <c r="T377" s="1">
        <f>VLOOKUP($B377&amp;"__wt",'SegEnds_Xtal_BW#'!$A:$Z,20,FALSE)</f>
        <v>72</v>
      </c>
      <c r="U377" s="1">
        <f>VLOOKUP($B377&amp;"__wt",'SegEnds_Xtal_BW#'!$A:$Z,21,FALSE)</f>
        <v>28</v>
      </c>
      <c r="V377" s="108">
        <v>78</v>
      </c>
      <c r="W377" s="1">
        <f>VLOOKUP($B377&amp;"__wt",'SegEnds_Xtal_BW#'!$A:$Z,23,FALSE)</f>
        <v>34</v>
      </c>
      <c r="X377" s="1">
        <f>VLOOKUP($B377&amp;"__wt",'SegEnds_Xtal_BW#'!$A:$Z,24,FALSE)</f>
        <v>57</v>
      </c>
      <c r="Y377" s="1">
        <f>VLOOKUP($B377&amp;"__wt",'SegEnds_Xtal_BW#'!$A:$Z,25,FALSE)</f>
        <v>47</v>
      </c>
      <c r="Z377" s="1">
        <f>VLOOKUP($B377&amp;"__wt",'SegEnds_Xtal_BW#'!$A:$Z,26,FALSE)</f>
        <v>62</v>
      </c>
      <c r="AA377" s="27" t="str">
        <f>VLOOKUP(A377,Classification!A:B,2,FALSE)</f>
        <v>F</v>
      </c>
      <c r="AB377" s="1">
        <f>VLOOKUP(A377,'SegEnds_NonXtal_Prot#'!A:AL,10,FALSE)-VLOOKUP(A377,'SegEnds_NonXtal_Prot#'!A:AL,4,FALSE)</f>
        <v>26</v>
      </c>
      <c r="AC377" s="1">
        <f>VLOOKUP(A377,'SegEnds_NonXtal_Prot#'!A:AL,10,FALSE)-VLOOKUP(A377,'SegEnds_NonXtal_Prot#'!A:AL,7,FALSE)</f>
        <v>12</v>
      </c>
      <c r="AD377" s="1" t="e">
        <f>VLOOKUP(A377,'SegEnds_NonXtal_Prot#'!A:AL,13,FALSE)-VLOOKUP(A377,'SegEnds_NonXtal_Prot#'!A:AL,10,FALSE)</f>
        <v>#VALUE!</v>
      </c>
      <c r="AE377" s="1">
        <f>VLOOKUP(A377,'SegEnds_NonXtal_Prot#'!A:AL,16,FALSE)-VLOOKUP(A377,'SegEnds_NonXtal_Prot#'!A:AL,10,FALSE)</f>
        <v>68</v>
      </c>
      <c r="AF377" s="1" t="e">
        <f>VLOOKUP(A377,'SegEnds_NonXtal_Prot#'!A:AL,22,FALSE)-VLOOKUP(A377,'SegEnds_NonXtal_Prot#'!A:AL,19,FALSE)</f>
        <v>#VALUE!</v>
      </c>
      <c r="AG377" s="1">
        <f>VLOOKUP(A377,'SegEnds_NonXtal_Prot#'!A:AL,28,FALSE)-VLOOKUP(A377,'SegEnds_NonXtal_Prot#'!A:AL,25,FALSE)</f>
        <v>21</v>
      </c>
      <c r="AH377" s="1">
        <f>VLOOKUP(A377,'SegEnds_NonXtal_Prot#'!A:AL,28,FALSE)-VLOOKUP(A377,'SegEnds_NonXtal_Prot#'!A:AL,22,FALSE)</f>
        <v>46</v>
      </c>
      <c r="AI377" s="1">
        <f>VLOOKUP(A377,'SegEnds_NonXtal_Prot#'!A:AL,31,FALSE)-VLOOKUP(A377,'SegEnds_NonXtal_Prot#'!A:AL,28,FALSE)</f>
        <v>55</v>
      </c>
      <c r="AJ377" s="1">
        <f>VLOOKUP(A377,'SegEnds_NonXtal_Prot#'!A:AL,34,FALSE)-VLOOKUP(A377,'SegEnds_NonXtal_Prot#'!A:AL,31,FALSE)</f>
        <v>55</v>
      </c>
      <c r="AK377" s="1">
        <f>VLOOKUP(A377,'SegEnds_NonXtal_Prot#'!A:AL,37,FALSE)-VLOOKUP(A377,'SegEnds_NonXtal_Prot#'!A:AL,34,FALSE)</f>
        <v>11</v>
      </c>
      <c r="AL377" s="1" t="str">
        <f>IF(ISERROR(MATCH(A377,'SegEnds_Xtal_Prot#'!B:B, 0)), "NoXtal", "Xtal")</f>
        <v>NoXtal</v>
      </c>
    </row>
    <row r="378" spans="1:38" x14ac:dyDescent="0.2">
      <c r="A378" s="1" t="s">
        <v>444</v>
      </c>
      <c r="B378" s="1" t="str">
        <f>VLOOKUP(A378,Xtal_Templ!A:B,2,FALSE)</f>
        <v>fzd4_human</v>
      </c>
      <c r="C378" s="5">
        <f>VLOOKUP($B378&amp;"__wt",'SegEnds_Xtal_BW#'!$A:$Z,3,FALSE)</f>
        <v>28</v>
      </c>
      <c r="D378" s="1">
        <f>VLOOKUP($B378&amp;"__wt",'SegEnds_Xtal_BW#'!$A:$Z,4,FALSE)</f>
        <v>60</v>
      </c>
      <c r="E378" s="1">
        <f>VLOOKUP($B378&amp;"__wt",'SegEnds_Xtal_BW#'!$A:$Z,5,FALSE)</f>
        <v>47</v>
      </c>
      <c r="F378" s="1">
        <f>VLOOKUP($B378&amp;"__wt",'SegEnds_Xtal_BW#'!$A:$Z,6,FALSE)</f>
        <v>51</v>
      </c>
      <c r="G378" s="1">
        <v>39</v>
      </c>
      <c r="H378" s="12">
        <f>VLOOKUP($B378&amp;"__wt",'SegEnds_Xtal_BW#'!$A:$Z,8,FALSE)</f>
        <v>66</v>
      </c>
      <c r="I378" s="1" t="str">
        <f>VLOOKUP($B378&amp;"__wt",'SegEnds_Xtal_BW#'!$A:$Z,9,FALSE)</f>
        <v>-</v>
      </c>
      <c r="J378" s="1" t="str">
        <f>VLOOKUP($B378&amp;"__wt",'SegEnds_Xtal_BW#'!$A:$Z,10,FALSE)</f>
        <v>-</v>
      </c>
      <c r="K378" s="12">
        <f>VLOOKUP($B378&amp;"__wt",'SegEnds_Xtal_BW#'!$A:$Z,11,FALSE)</f>
        <v>22</v>
      </c>
      <c r="L378" s="1">
        <f>VLOOKUP($B378&amp;"__wt",'SegEnds_Xtal_BW#'!$A:$Z,12,FALSE)</f>
        <v>55</v>
      </c>
      <c r="M378" s="1" t="str">
        <f>VLOOKUP($B378&amp;"__wt",'SegEnds_Xtal_BW#'!$A:$Z,13,FALSE)</f>
        <v>-</v>
      </c>
      <c r="N378" s="12" t="str">
        <f>VLOOKUP($B378&amp;"__wt",'SegEnds_Xtal_BW#'!$A:$Z,14,FALSE)</f>
        <v>-</v>
      </c>
      <c r="O378" s="87">
        <f>VLOOKUP($B378&amp;"__wt",'SegEnds_Xtal_BW#'!$A:$Z,15,FALSE)</f>
        <v>41</v>
      </c>
      <c r="P378" s="1">
        <f>VLOOKUP($B378&amp;"__wt",'SegEnds_Xtal_BW#'!$A:$Z,16,FALSE)</f>
        <v>64</v>
      </c>
      <c r="Q378" s="1">
        <f>VLOOKUP($B378&amp;"__wt",'SegEnds_Xtal_BW#'!$A:$Z,17,FALSE)</f>
        <v>50</v>
      </c>
      <c r="R378" s="1">
        <f>VLOOKUP($B378&amp;"__wt",'SegEnds_Xtal_BW#'!$A:$Z,18,FALSE)</f>
        <v>52</v>
      </c>
      <c r="S378" s="1">
        <f>VLOOKUP($B378&amp;"__wt",'SegEnds_Xtal_BW#'!$A:$Z,19,FALSE)</f>
        <v>35</v>
      </c>
      <c r="T378" s="1">
        <f>VLOOKUP($B378&amp;"__wt",'SegEnds_Xtal_BW#'!$A:$Z,20,FALSE)</f>
        <v>72</v>
      </c>
      <c r="U378" s="1">
        <f>VLOOKUP($B378&amp;"__wt",'SegEnds_Xtal_BW#'!$A:$Z,21,FALSE)</f>
        <v>28</v>
      </c>
      <c r="V378" s="1">
        <f>VLOOKUP($B378&amp;"__wt",'SegEnds_Xtal_BW#'!$A:$Z,22,FALSE)</f>
        <v>58</v>
      </c>
      <c r="W378" s="1">
        <f>VLOOKUP($B378&amp;"__wt",'SegEnds_Xtal_BW#'!$A:$Z,23,FALSE)</f>
        <v>34</v>
      </c>
      <c r="X378" s="1">
        <f>VLOOKUP($B378&amp;"__wt",'SegEnds_Xtal_BW#'!$A:$Z,24,FALSE)</f>
        <v>57</v>
      </c>
      <c r="Y378" s="1">
        <f>VLOOKUP($B378&amp;"__wt",'SegEnds_Xtal_BW#'!$A:$Z,25,FALSE)</f>
        <v>47</v>
      </c>
      <c r="Z378" s="1">
        <f>VLOOKUP($B378&amp;"__wt",'SegEnds_Xtal_BW#'!$A:$Z,26,FALSE)</f>
        <v>62</v>
      </c>
      <c r="AA378" s="27" t="str">
        <f>VLOOKUP(A378,Classification!A:B,2,FALSE)</f>
        <v>F</v>
      </c>
      <c r="AB378" s="1">
        <f>VLOOKUP(A378,'SegEnds_NonXtal_Prot#'!A:AL,10,FALSE)-VLOOKUP(A378,'SegEnds_NonXtal_Prot#'!A:AL,4,FALSE)</f>
        <v>26</v>
      </c>
      <c r="AC378" s="1">
        <f>VLOOKUP(A378,'SegEnds_NonXtal_Prot#'!A:AL,10,FALSE)-VLOOKUP(A378,'SegEnds_NonXtal_Prot#'!A:AL,7,FALSE)</f>
        <v>12</v>
      </c>
      <c r="AD378" s="1" t="e">
        <f>VLOOKUP(A378,'SegEnds_NonXtal_Prot#'!A:AL,13,FALSE)-VLOOKUP(A378,'SegEnds_NonXtal_Prot#'!A:AL,10,FALSE)</f>
        <v>#VALUE!</v>
      </c>
      <c r="AE378" s="1">
        <f>VLOOKUP(A378,'SegEnds_NonXtal_Prot#'!A:AL,16,FALSE)-VLOOKUP(A378,'SegEnds_NonXtal_Prot#'!A:AL,10,FALSE)</f>
        <v>67</v>
      </c>
      <c r="AF378" s="1" t="e">
        <f>VLOOKUP(A378,'SegEnds_NonXtal_Prot#'!A:AL,22,FALSE)-VLOOKUP(A378,'SegEnds_NonXtal_Prot#'!A:AL,19,FALSE)</f>
        <v>#VALUE!</v>
      </c>
      <c r="AG378" s="1">
        <f>VLOOKUP(A378,'SegEnds_NonXtal_Prot#'!A:AL,28,FALSE)-VLOOKUP(A378,'SegEnds_NonXtal_Prot#'!A:AL,25,FALSE)</f>
        <v>21</v>
      </c>
      <c r="AH378" s="1">
        <f>VLOOKUP(A378,'SegEnds_NonXtal_Prot#'!A:AL,28,FALSE)-VLOOKUP(A378,'SegEnds_NonXtal_Prot#'!A:AL,22,FALSE)</f>
        <v>46</v>
      </c>
      <c r="AI378" s="1">
        <f>VLOOKUP(A378,'SegEnds_NonXtal_Prot#'!A:AL,31,FALSE)-VLOOKUP(A378,'SegEnds_NonXtal_Prot#'!A:AL,28,FALSE)</f>
        <v>55</v>
      </c>
      <c r="AJ378" s="1">
        <f>VLOOKUP(A378,'SegEnds_NonXtal_Prot#'!A:AL,34,FALSE)-VLOOKUP(A378,'SegEnds_NonXtal_Prot#'!A:AL,31,FALSE)</f>
        <v>36</v>
      </c>
      <c r="AK378" s="1">
        <f>VLOOKUP(A378,'SegEnds_NonXtal_Prot#'!A:AL,37,FALSE)-VLOOKUP(A378,'SegEnds_NonXtal_Prot#'!A:AL,34,FALSE)</f>
        <v>11</v>
      </c>
      <c r="AL378" s="1" t="str">
        <f>IF(ISERROR(MATCH(A378,'SegEnds_Xtal_Prot#'!B:B, 0)), "NoXtal", "Xtal")</f>
        <v>Xtal</v>
      </c>
    </row>
    <row r="379" spans="1:38" x14ac:dyDescent="0.2">
      <c r="A379" s="1" t="s">
        <v>445</v>
      </c>
      <c r="B379" s="1" t="str">
        <f>VLOOKUP(A379,Xtal_Templ!A:B,2,FALSE)</f>
        <v>fzd4_human</v>
      </c>
      <c r="C379" s="5">
        <f>VLOOKUP($B379&amp;"__wt",'SegEnds_Xtal_BW#'!$A:$Z,3,FALSE)</f>
        <v>28</v>
      </c>
      <c r="D379" s="1">
        <f>VLOOKUP($B379&amp;"__wt",'SegEnds_Xtal_BW#'!$A:$Z,4,FALSE)</f>
        <v>60</v>
      </c>
      <c r="E379" s="1">
        <f>VLOOKUP($B379&amp;"__wt",'SegEnds_Xtal_BW#'!$A:$Z,5,FALSE)</f>
        <v>47</v>
      </c>
      <c r="F379" s="1">
        <f>VLOOKUP($B379&amp;"__wt",'SegEnds_Xtal_BW#'!$A:$Z,6,FALSE)</f>
        <v>51</v>
      </c>
      <c r="G379" s="1">
        <v>39</v>
      </c>
      <c r="H379" s="12">
        <f>VLOOKUP($B379&amp;"__wt",'SegEnds_Xtal_BW#'!$A:$Z,8,FALSE)</f>
        <v>66</v>
      </c>
      <c r="I379" s="1" t="str">
        <f>VLOOKUP($B379&amp;"__wt",'SegEnds_Xtal_BW#'!$A:$Z,9,FALSE)</f>
        <v>-</v>
      </c>
      <c r="J379" s="1" t="str">
        <f>VLOOKUP($B379&amp;"__wt",'SegEnds_Xtal_BW#'!$A:$Z,10,FALSE)</f>
        <v>-</v>
      </c>
      <c r="K379" s="12">
        <f>VLOOKUP($B379&amp;"__wt",'SegEnds_Xtal_BW#'!$A:$Z,11,FALSE)</f>
        <v>22</v>
      </c>
      <c r="L379" s="1">
        <f>VLOOKUP($B379&amp;"__wt",'SegEnds_Xtal_BW#'!$A:$Z,12,FALSE)</f>
        <v>55</v>
      </c>
      <c r="M379" s="1" t="str">
        <f>VLOOKUP($B379&amp;"__wt",'SegEnds_Xtal_BW#'!$A:$Z,13,FALSE)</f>
        <v>-</v>
      </c>
      <c r="N379" s="12" t="str">
        <f>VLOOKUP($B379&amp;"__wt",'SegEnds_Xtal_BW#'!$A:$Z,14,FALSE)</f>
        <v>-</v>
      </c>
      <c r="O379" s="87">
        <f>VLOOKUP($B379&amp;"__wt",'SegEnds_Xtal_BW#'!$A:$Z,15,FALSE)</f>
        <v>41</v>
      </c>
      <c r="P379" s="1">
        <f>VLOOKUP($B379&amp;"__wt",'SegEnds_Xtal_BW#'!$A:$Z,16,FALSE)</f>
        <v>64</v>
      </c>
      <c r="Q379" s="1">
        <f>VLOOKUP($B379&amp;"__wt",'SegEnds_Xtal_BW#'!$A:$Z,17,FALSE)</f>
        <v>50</v>
      </c>
      <c r="R379" s="1">
        <f>VLOOKUP($B379&amp;"__wt",'SegEnds_Xtal_BW#'!$A:$Z,18,FALSE)</f>
        <v>52</v>
      </c>
      <c r="S379" s="1">
        <f>VLOOKUP($B379&amp;"__wt",'SegEnds_Xtal_BW#'!$A:$Z,19,FALSE)</f>
        <v>35</v>
      </c>
      <c r="T379" s="1">
        <f>VLOOKUP($B379&amp;"__wt",'SegEnds_Xtal_BW#'!$A:$Z,20,FALSE)</f>
        <v>72</v>
      </c>
      <c r="U379" s="1">
        <f>VLOOKUP($B379&amp;"__wt",'SegEnds_Xtal_BW#'!$A:$Z,21,FALSE)</f>
        <v>28</v>
      </c>
      <c r="V379" s="108">
        <v>78</v>
      </c>
      <c r="W379" s="1">
        <f>VLOOKUP($B379&amp;"__wt",'SegEnds_Xtal_BW#'!$A:$Z,23,FALSE)</f>
        <v>34</v>
      </c>
      <c r="X379" s="1">
        <f>VLOOKUP($B379&amp;"__wt",'SegEnds_Xtal_BW#'!$A:$Z,24,FALSE)</f>
        <v>57</v>
      </c>
      <c r="Y379" s="1">
        <f>VLOOKUP($B379&amp;"__wt",'SegEnds_Xtal_BW#'!$A:$Z,25,FALSE)</f>
        <v>47</v>
      </c>
      <c r="Z379" s="1">
        <f>VLOOKUP($B379&amp;"__wt",'SegEnds_Xtal_BW#'!$A:$Z,26,FALSE)</f>
        <v>62</v>
      </c>
      <c r="AA379" s="27" t="str">
        <f>VLOOKUP(A379,Classification!A:B,2,FALSE)</f>
        <v>F</v>
      </c>
      <c r="AB379" s="1">
        <f>VLOOKUP(A379,'SegEnds_NonXtal_Prot#'!A:AL,10,FALSE)-VLOOKUP(A379,'SegEnds_NonXtal_Prot#'!A:AL,4,FALSE)</f>
        <v>26</v>
      </c>
      <c r="AC379" s="1">
        <f>VLOOKUP(A379,'SegEnds_NonXtal_Prot#'!A:AL,10,FALSE)-VLOOKUP(A379,'SegEnds_NonXtal_Prot#'!A:AL,7,FALSE)</f>
        <v>12</v>
      </c>
      <c r="AD379" s="1" t="e">
        <f>VLOOKUP(A379,'SegEnds_NonXtal_Prot#'!A:AL,13,FALSE)-VLOOKUP(A379,'SegEnds_NonXtal_Prot#'!A:AL,10,FALSE)</f>
        <v>#VALUE!</v>
      </c>
      <c r="AE379" s="1">
        <f>VLOOKUP(A379,'SegEnds_NonXtal_Prot#'!A:AL,16,FALSE)-VLOOKUP(A379,'SegEnds_NonXtal_Prot#'!A:AL,10,FALSE)</f>
        <v>64</v>
      </c>
      <c r="AF379" s="1" t="e">
        <f>VLOOKUP(A379,'SegEnds_NonXtal_Prot#'!A:AL,22,FALSE)-VLOOKUP(A379,'SegEnds_NonXtal_Prot#'!A:AL,19,FALSE)</f>
        <v>#VALUE!</v>
      </c>
      <c r="AG379" s="1">
        <f>VLOOKUP(A379,'SegEnds_NonXtal_Prot#'!A:AL,28,FALSE)-VLOOKUP(A379,'SegEnds_NonXtal_Prot#'!A:AL,25,FALSE)</f>
        <v>21</v>
      </c>
      <c r="AH379" s="1">
        <f>VLOOKUP(A379,'SegEnds_NonXtal_Prot#'!A:AL,28,FALSE)-VLOOKUP(A379,'SegEnds_NonXtal_Prot#'!A:AL,22,FALSE)</f>
        <v>46</v>
      </c>
      <c r="AI379" s="1">
        <f>VLOOKUP(A379,'SegEnds_NonXtal_Prot#'!A:AL,31,FALSE)-VLOOKUP(A379,'SegEnds_NonXtal_Prot#'!A:AL,28,FALSE)</f>
        <v>55</v>
      </c>
      <c r="AJ379" s="1">
        <f>VLOOKUP(A379,'SegEnds_NonXtal_Prot#'!A:AL,34,FALSE)-VLOOKUP(A379,'SegEnds_NonXtal_Prot#'!A:AL,31,FALSE)</f>
        <v>49</v>
      </c>
      <c r="AK379" s="1">
        <f>VLOOKUP(A379,'SegEnds_NonXtal_Prot#'!A:AL,37,FALSE)-VLOOKUP(A379,'SegEnds_NonXtal_Prot#'!A:AL,34,FALSE)</f>
        <v>11</v>
      </c>
      <c r="AL379" s="1" t="str">
        <f>IF(ISERROR(MATCH(A379,'SegEnds_Xtal_Prot#'!B:B, 0)), "NoXtal", "Xtal")</f>
        <v>NoXtal</v>
      </c>
    </row>
    <row r="380" spans="1:38" x14ac:dyDescent="0.2">
      <c r="A380" s="1" t="s">
        <v>446</v>
      </c>
      <c r="B380" s="1" t="str">
        <f>VLOOKUP(A380,Xtal_Templ!A:B,2,FALSE)</f>
        <v>fzd4_human</v>
      </c>
      <c r="C380" s="5">
        <f>VLOOKUP($B380&amp;"__wt",'SegEnds_Xtal_BW#'!$A:$Z,3,FALSE)</f>
        <v>28</v>
      </c>
      <c r="D380" s="1">
        <f>VLOOKUP($B380&amp;"__wt",'SegEnds_Xtal_BW#'!$A:$Z,4,FALSE)</f>
        <v>60</v>
      </c>
      <c r="E380" s="1">
        <f>VLOOKUP($B380&amp;"__wt",'SegEnds_Xtal_BW#'!$A:$Z,5,FALSE)</f>
        <v>47</v>
      </c>
      <c r="F380" s="1">
        <f>VLOOKUP($B380&amp;"__wt",'SegEnds_Xtal_BW#'!$A:$Z,6,FALSE)</f>
        <v>51</v>
      </c>
      <c r="G380" s="1">
        <v>39</v>
      </c>
      <c r="H380" s="12">
        <f>VLOOKUP($B380&amp;"__wt",'SegEnds_Xtal_BW#'!$A:$Z,8,FALSE)</f>
        <v>66</v>
      </c>
      <c r="I380" s="1" t="str">
        <f>VLOOKUP($B380&amp;"__wt",'SegEnds_Xtal_BW#'!$A:$Z,9,FALSE)</f>
        <v>-</v>
      </c>
      <c r="J380" s="1" t="str">
        <f>VLOOKUP($B380&amp;"__wt",'SegEnds_Xtal_BW#'!$A:$Z,10,FALSE)</f>
        <v>-</v>
      </c>
      <c r="K380" s="12">
        <f>VLOOKUP($B380&amp;"__wt",'SegEnds_Xtal_BW#'!$A:$Z,11,FALSE)</f>
        <v>22</v>
      </c>
      <c r="L380" s="1">
        <f>VLOOKUP($B380&amp;"__wt",'SegEnds_Xtal_BW#'!$A:$Z,12,FALSE)</f>
        <v>55</v>
      </c>
      <c r="M380" s="1" t="str">
        <f>VLOOKUP($B380&amp;"__wt",'SegEnds_Xtal_BW#'!$A:$Z,13,FALSE)</f>
        <v>-</v>
      </c>
      <c r="N380" s="12" t="str">
        <f>VLOOKUP($B380&amp;"__wt",'SegEnds_Xtal_BW#'!$A:$Z,14,FALSE)</f>
        <v>-</v>
      </c>
      <c r="O380" s="87">
        <f>VLOOKUP($B380&amp;"__wt",'SegEnds_Xtal_BW#'!$A:$Z,15,FALSE)</f>
        <v>41</v>
      </c>
      <c r="P380" s="1">
        <f>VLOOKUP($B380&amp;"__wt",'SegEnds_Xtal_BW#'!$A:$Z,16,FALSE)</f>
        <v>64</v>
      </c>
      <c r="Q380" s="1">
        <f>VLOOKUP($B380&amp;"__wt",'SegEnds_Xtal_BW#'!$A:$Z,17,FALSE)</f>
        <v>50</v>
      </c>
      <c r="R380" s="1">
        <f>VLOOKUP($B380&amp;"__wt",'SegEnds_Xtal_BW#'!$A:$Z,18,FALSE)</f>
        <v>52</v>
      </c>
      <c r="S380" s="1">
        <f>VLOOKUP($B380&amp;"__wt",'SegEnds_Xtal_BW#'!$A:$Z,19,FALSE)</f>
        <v>35</v>
      </c>
      <c r="T380" s="1">
        <f>VLOOKUP($B380&amp;"__wt",'SegEnds_Xtal_BW#'!$A:$Z,20,FALSE)</f>
        <v>72</v>
      </c>
      <c r="U380" s="1">
        <f>VLOOKUP($B380&amp;"__wt",'SegEnds_Xtal_BW#'!$A:$Z,21,FALSE)</f>
        <v>28</v>
      </c>
      <c r="V380" s="108">
        <v>78</v>
      </c>
      <c r="W380" s="1">
        <f>VLOOKUP($B380&amp;"__wt",'SegEnds_Xtal_BW#'!$A:$Z,23,FALSE)</f>
        <v>34</v>
      </c>
      <c r="X380" s="1">
        <f>VLOOKUP($B380&amp;"__wt",'SegEnds_Xtal_BW#'!$A:$Z,24,FALSE)</f>
        <v>57</v>
      </c>
      <c r="Y380" s="1">
        <f>VLOOKUP($B380&amp;"__wt",'SegEnds_Xtal_BW#'!$A:$Z,25,FALSE)</f>
        <v>47</v>
      </c>
      <c r="Z380" s="1">
        <f>VLOOKUP($B380&amp;"__wt",'SegEnds_Xtal_BW#'!$A:$Z,26,FALSE)</f>
        <v>62</v>
      </c>
      <c r="AA380" s="27" t="str">
        <f>VLOOKUP(A380,Classification!A:B,2,FALSE)</f>
        <v>F</v>
      </c>
      <c r="AB380" s="1">
        <f>VLOOKUP(A380,'SegEnds_NonXtal_Prot#'!A:AL,10,FALSE)-VLOOKUP(A380,'SegEnds_NonXtal_Prot#'!A:AL,4,FALSE)</f>
        <v>26</v>
      </c>
      <c r="AC380" s="1">
        <f>VLOOKUP(A380,'SegEnds_NonXtal_Prot#'!A:AL,10,FALSE)-VLOOKUP(A380,'SegEnds_NonXtal_Prot#'!A:AL,7,FALSE)</f>
        <v>12</v>
      </c>
      <c r="AD380" s="1" t="e">
        <f>VLOOKUP(A380,'SegEnds_NonXtal_Prot#'!A:AL,13,FALSE)-VLOOKUP(A380,'SegEnds_NonXtal_Prot#'!A:AL,10,FALSE)</f>
        <v>#VALUE!</v>
      </c>
      <c r="AE380" s="1">
        <f>VLOOKUP(A380,'SegEnds_NonXtal_Prot#'!A:AL,16,FALSE)-VLOOKUP(A380,'SegEnds_NonXtal_Prot#'!A:AL,10,FALSE)</f>
        <v>68</v>
      </c>
      <c r="AF380" s="1" t="e">
        <f>VLOOKUP(A380,'SegEnds_NonXtal_Prot#'!A:AL,22,FALSE)-VLOOKUP(A380,'SegEnds_NonXtal_Prot#'!A:AL,19,FALSE)</f>
        <v>#VALUE!</v>
      </c>
      <c r="AG380" s="1">
        <f>VLOOKUP(A380,'SegEnds_NonXtal_Prot#'!A:AL,28,FALSE)-VLOOKUP(A380,'SegEnds_NonXtal_Prot#'!A:AL,25,FALSE)</f>
        <v>21</v>
      </c>
      <c r="AH380" s="1">
        <f>VLOOKUP(A380,'SegEnds_NonXtal_Prot#'!A:AL,28,FALSE)-VLOOKUP(A380,'SegEnds_NonXtal_Prot#'!A:AL,22,FALSE)</f>
        <v>46</v>
      </c>
      <c r="AI380" s="1">
        <f>VLOOKUP(A380,'SegEnds_NonXtal_Prot#'!A:AL,31,FALSE)-VLOOKUP(A380,'SegEnds_NonXtal_Prot#'!A:AL,28,FALSE)</f>
        <v>55</v>
      </c>
      <c r="AJ380" s="1">
        <f>VLOOKUP(A380,'SegEnds_NonXtal_Prot#'!A:AL,34,FALSE)-VLOOKUP(A380,'SegEnds_NonXtal_Prot#'!A:AL,31,FALSE)</f>
        <v>55</v>
      </c>
      <c r="AK380" s="1">
        <f>VLOOKUP(A380,'SegEnds_NonXtal_Prot#'!A:AL,37,FALSE)-VLOOKUP(A380,'SegEnds_NonXtal_Prot#'!A:AL,34,FALSE)</f>
        <v>11</v>
      </c>
      <c r="AL380" s="1" t="str">
        <f>IF(ISERROR(MATCH(A380,'SegEnds_Xtal_Prot#'!B:B, 0)), "NoXtal", "Xtal")</f>
        <v>NoXtal</v>
      </c>
    </row>
    <row r="381" spans="1:38" x14ac:dyDescent="0.2">
      <c r="A381" s="1" t="s">
        <v>447</v>
      </c>
      <c r="B381" s="1" t="str">
        <f>VLOOKUP(A381,Xtal_Templ!A:B,2,FALSE)</f>
        <v>fzd4_human</v>
      </c>
      <c r="C381" s="5">
        <f>VLOOKUP($B381&amp;"__wt",'SegEnds_Xtal_BW#'!$A:$Z,3,FALSE)</f>
        <v>28</v>
      </c>
      <c r="D381" s="1">
        <f>VLOOKUP($B381&amp;"__wt",'SegEnds_Xtal_BW#'!$A:$Z,4,FALSE)</f>
        <v>60</v>
      </c>
      <c r="E381" s="1">
        <f>VLOOKUP($B381&amp;"__wt",'SegEnds_Xtal_BW#'!$A:$Z,5,FALSE)</f>
        <v>47</v>
      </c>
      <c r="F381" s="1">
        <f>VLOOKUP($B381&amp;"__wt",'SegEnds_Xtal_BW#'!$A:$Z,6,FALSE)</f>
        <v>51</v>
      </c>
      <c r="G381" s="1">
        <v>39</v>
      </c>
      <c r="H381" s="12">
        <f>VLOOKUP($B381&amp;"__wt",'SegEnds_Xtal_BW#'!$A:$Z,8,FALSE)</f>
        <v>66</v>
      </c>
      <c r="I381" s="1" t="str">
        <f>VLOOKUP($B381&amp;"__wt",'SegEnds_Xtal_BW#'!$A:$Z,9,FALSE)</f>
        <v>-</v>
      </c>
      <c r="J381" s="1" t="str">
        <f>VLOOKUP($B381&amp;"__wt",'SegEnds_Xtal_BW#'!$A:$Z,10,FALSE)</f>
        <v>-</v>
      </c>
      <c r="K381" s="12">
        <f>VLOOKUP($B381&amp;"__wt",'SegEnds_Xtal_BW#'!$A:$Z,11,FALSE)</f>
        <v>22</v>
      </c>
      <c r="L381" s="1">
        <f>VLOOKUP($B381&amp;"__wt",'SegEnds_Xtal_BW#'!$A:$Z,12,FALSE)</f>
        <v>55</v>
      </c>
      <c r="M381" s="1" t="str">
        <f>VLOOKUP($B381&amp;"__wt",'SegEnds_Xtal_BW#'!$A:$Z,13,FALSE)</f>
        <v>-</v>
      </c>
      <c r="N381" s="12" t="str">
        <f>VLOOKUP($B381&amp;"__wt",'SegEnds_Xtal_BW#'!$A:$Z,14,FALSE)</f>
        <v>-</v>
      </c>
      <c r="O381" s="87">
        <f>VLOOKUP($B381&amp;"__wt",'SegEnds_Xtal_BW#'!$A:$Z,15,FALSE)</f>
        <v>41</v>
      </c>
      <c r="P381" s="1">
        <f>VLOOKUP($B381&amp;"__wt",'SegEnds_Xtal_BW#'!$A:$Z,16,FALSE)</f>
        <v>64</v>
      </c>
      <c r="Q381" s="1">
        <f>VLOOKUP($B381&amp;"__wt",'SegEnds_Xtal_BW#'!$A:$Z,17,FALSE)</f>
        <v>50</v>
      </c>
      <c r="R381" s="1">
        <f>VLOOKUP($B381&amp;"__wt",'SegEnds_Xtal_BW#'!$A:$Z,18,FALSE)</f>
        <v>52</v>
      </c>
      <c r="S381" s="1">
        <f>VLOOKUP($B381&amp;"__wt",'SegEnds_Xtal_BW#'!$A:$Z,19,FALSE)</f>
        <v>35</v>
      </c>
      <c r="T381" s="1">
        <f>VLOOKUP($B381&amp;"__wt",'SegEnds_Xtal_BW#'!$A:$Z,20,FALSE)</f>
        <v>72</v>
      </c>
      <c r="U381" s="1">
        <f>VLOOKUP($B381&amp;"__wt",'SegEnds_Xtal_BW#'!$A:$Z,21,FALSE)</f>
        <v>28</v>
      </c>
      <c r="V381" s="108">
        <v>78</v>
      </c>
      <c r="W381" s="1">
        <f>VLOOKUP($B381&amp;"__wt",'SegEnds_Xtal_BW#'!$A:$Z,23,FALSE)</f>
        <v>34</v>
      </c>
      <c r="X381" s="1">
        <f>VLOOKUP($B381&amp;"__wt",'SegEnds_Xtal_BW#'!$A:$Z,24,FALSE)</f>
        <v>57</v>
      </c>
      <c r="Y381" s="1">
        <f>VLOOKUP($B381&amp;"__wt",'SegEnds_Xtal_BW#'!$A:$Z,25,FALSE)</f>
        <v>47</v>
      </c>
      <c r="Z381" s="1">
        <f>VLOOKUP($B381&amp;"__wt",'SegEnds_Xtal_BW#'!$A:$Z,26,FALSE)</f>
        <v>62</v>
      </c>
      <c r="AA381" s="27" t="str">
        <f>VLOOKUP(A381,Classification!A:B,2,FALSE)</f>
        <v>F</v>
      </c>
      <c r="AB381" s="1">
        <f>VLOOKUP(A381,'SegEnds_NonXtal_Prot#'!A:AL,10,FALSE)-VLOOKUP(A381,'SegEnds_NonXtal_Prot#'!A:AL,4,FALSE)</f>
        <v>26</v>
      </c>
      <c r="AC381" s="1">
        <f>VLOOKUP(A381,'SegEnds_NonXtal_Prot#'!A:AL,10,FALSE)-VLOOKUP(A381,'SegEnds_NonXtal_Prot#'!A:AL,7,FALSE)</f>
        <v>12</v>
      </c>
      <c r="AD381" s="1" t="e">
        <f>VLOOKUP(A381,'SegEnds_NonXtal_Prot#'!A:AL,13,FALSE)-VLOOKUP(A381,'SegEnds_NonXtal_Prot#'!A:AL,10,FALSE)</f>
        <v>#VALUE!</v>
      </c>
      <c r="AE381" s="1">
        <f>VLOOKUP(A381,'SegEnds_NonXtal_Prot#'!A:AL,16,FALSE)-VLOOKUP(A381,'SegEnds_NonXtal_Prot#'!A:AL,10,FALSE)</f>
        <v>67</v>
      </c>
      <c r="AF381" s="1" t="e">
        <f>VLOOKUP(A381,'SegEnds_NonXtal_Prot#'!A:AL,22,FALSE)-VLOOKUP(A381,'SegEnds_NonXtal_Prot#'!A:AL,19,FALSE)</f>
        <v>#VALUE!</v>
      </c>
      <c r="AG381" s="1">
        <f>VLOOKUP(A381,'SegEnds_NonXtal_Prot#'!A:AL,28,FALSE)-VLOOKUP(A381,'SegEnds_NonXtal_Prot#'!A:AL,25,FALSE)</f>
        <v>21</v>
      </c>
      <c r="AH381" s="1">
        <f>VLOOKUP(A381,'SegEnds_NonXtal_Prot#'!A:AL,28,FALSE)-VLOOKUP(A381,'SegEnds_NonXtal_Prot#'!A:AL,22,FALSE)</f>
        <v>46</v>
      </c>
      <c r="AI381" s="1">
        <f>VLOOKUP(A381,'SegEnds_NonXtal_Prot#'!A:AL,31,FALSE)-VLOOKUP(A381,'SegEnds_NonXtal_Prot#'!A:AL,28,FALSE)</f>
        <v>55</v>
      </c>
      <c r="AJ381" s="1">
        <f>VLOOKUP(A381,'SegEnds_NonXtal_Prot#'!A:AL,34,FALSE)-VLOOKUP(A381,'SegEnds_NonXtal_Prot#'!A:AL,31,FALSE)</f>
        <v>55</v>
      </c>
      <c r="AK381" s="1">
        <f>VLOOKUP(A381,'SegEnds_NonXtal_Prot#'!A:AL,37,FALSE)-VLOOKUP(A381,'SegEnds_NonXtal_Prot#'!A:AL,34,FALSE)</f>
        <v>11</v>
      </c>
      <c r="AL381" s="1" t="str">
        <f>IF(ISERROR(MATCH(A381,'SegEnds_Xtal_Prot#'!B:B, 0)), "NoXtal", "Xtal")</f>
        <v>NoXtal</v>
      </c>
    </row>
    <row r="382" spans="1:38" x14ac:dyDescent="0.2">
      <c r="A382" s="1" t="s">
        <v>448</v>
      </c>
      <c r="B382" s="1" t="str">
        <f>VLOOKUP(A382,Xtal_Templ!A:B,2,FALSE)</f>
        <v>fzd4_human</v>
      </c>
      <c r="C382" s="5">
        <f>VLOOKUP($B382&amp;"__wt",'SegEnds_Xtal_BW#'!$A:$Z,3,FALSE)</f>
        <v>28</v>
      </c>
      <c r="D382" s="1">
        <f>VLOOKUP($B382&amp;"__wt",'SegEnds_Xtal_BW#'!$A:$Z,4,FALSE)</f>
        <v>60</v>
      </c>
      <c r="E382" s="1">
        <f>VLOOKUP($B382&amp;"__wt",'SegEnds_Xtal_BW#'!$A:$Z,5,FALSE)</f>
        <v>47</v>
      </c>
      <c r="F382" s="1">
        <f>VLOOKUP($B382&amp;"__wt",'SegEnds_Xtal_BW#'!$A:$Z,6,FALSE)</f>
        <v>51</v>
      </c>
      <c r="G382" s="1">
        <v>39</v>
      </c>
      <c r="H382" s="12">
        <f>VLOOKUP($B382&amp;"__wt",'SegEnds_Xtal_BW#'!$A:$Z,8,FALSE)</f>
        <v>66</v>
      </c>
      <c r="I382" s="1" t="str">
        <f>VLOOKUP($B382&amp;"__wt",'SegEnds_Xtal_BW#'!$A:$Z,9,FALSE)</f>
        <v>-</v>
      </c>
      <c r="J382" s="1" t="str">
        <f>VLOOKUP($B382&amp;"__wt",'SegEnds_Xtal_BW#'!$A:$Z,10,FALSE)</f>
        <v>-</v>
      </c>
      <c r="K382" s="12">
        <f>VLOOKUP($B382&amp;"__wt",'SegEnds_Xtal_BW#'!$A:$Z,11,FALSE)</f>
        <v>22</v>
      </c>
      <c r="L382" s="1">
        <f>VLOOKUP($B382&amp;"__wt",'SegEnds_Xtal_BW#'!$A:$Z,12,FALSE)</f>
        <v>55</v>
      </c>
      <c r="M382" s="1" t="str">
        <f>VLOOKUP($B382&amp;"__wt",'SegEnds_Xtal_BW#'!$A:$Z,13,FALSE)</f>
        <v>-</v>
      </c>
      <c r="N382" s="12" t="str">
        <f>VLOOKUP($B382&amp;"__wt",'SegEnds_Xtal_BW#'!$A:$Z,14,FALSE)</f>
        <v>-</v>
      </c>
      <c r="O382" s="87">
        <f>VLOOKUP($B382&amp;"__wt",'SegEnds_Xtal_BW#'!$A:$Z,15,FALSE)</f>
        <v>41</v>
      </c>
      <c r="P382" s="1">
        <f>VLOOKUP($B382&amp;"__wt",'SegEnds_Xtal_BW#'!$A:$Z,16,FALSE)</f>
        <v>64</v>
      </c>
      <c r="Q382" s="1">
        <f>VLOOKUP($B382&amp;"__wt",'SegEnds_Xtal_BW#'!$A:$Z,17,FALSE)</f>
        <v>50</v>
      </c>
      <c r="R382" s="1">
        <f>VLOOKUP($B382&amp;"__wt",'SegEnds_Xtal_BW#'!$A:$Z,18,FALSE)</f>
        <v>52</v>
      </c>
      <c r="S382" s="1">
        <f>VLOOKUP($B382&amp;"__wt",'SegEnds_Xtal_BW#'!$A:$Z,19,FALSE)</f>
        <v>35</v>
      </c>
      <c r="T382" s="1">
        <f>VLOOKUP($B382&amp;"__wt",'SegEnds_Xtal_BW#'!$A:$Z,20,FALSE)</f>
        <v>72</v>
      </c>
      <c r="U382" s="1">
        <f>VLOOKUP($B382&amp;"__wt",'SegEnds_Xtal_BW#'!$A:$Z,21,FALSE)</f>
        <v>28</v>
      </c>
      <c r="V382" s="108">
        <v>78</v>
      </c>
      <c r="W382" s="1">
        <f>VLOOKUP($B382&amp;"__wt",'SegEnds_Xtal_BW#'!$A:$Z,23,FALSE)</f>
        <v>34</v>
      </c>
      <c r="X382" s="1">
        <f>VLOOKUP($B382&amp;"__wt",'SegEnds_Xtal_BW#'!$A:$Z,24,FALSE)</f>
        <v>57</v>
      </c>
      <c r="Y382" s="1">
        <f>VLOOKUP($B382&amp;"__wt",'SegEnds_Xtal_BW#'!$A:$Z,25,FALSE)</f>
        <v>47</v>
      </c>
      <c r="Z382" s="1">
        <f>VLOOKUP($B382&amp;"__wt",'SegEnds_Xtal_BW#'!$A:$Z,26,FALSE)</f>
        <v>62</v>
      </c>
      <c r="AA382" s="27" t="str">
        <f>VLOOKUP(A382,Classification!A:B,2,FALSE)</f>
        <v>F</v>
      </c>
      <c r="AB382" s="1">
        <f>VLOOKUP(A382,'SegEnds_NonXtal_Prot#'!A:AL,10,FALSE)-VLOOKUP(A382,'SegEnds_NonXtal_Prot#'!A:AL,4,FALSE)</f>
        <v>26</v>
      </c>
      <c r="AC382" s="1">
        <f>VLOOKUP(A382,'SegEnds_NonXtal_Prot#'!A:AL,10,FALSE)-VLOOKUP(A382,'SegEnds_NonXtal_Prot#'!A:AL,7,FALSE)</f>
        <v>12</v>
      </c>
      <c r="AD382" s="1" t="e">
        <f>VLOOKUP(A382,'SegEnds_NonXtal_Prot#'!A:AL,13,FALSE)-VLOOKUP(A382,'SegEnds_NonXtal_Prot#'!A:AL,10,FALSE)</f>
        <v>#VALUE!</v>
      </c>
      <c r="AE382" s="1">
        <f>VLOOKUP(A382,'SegEnds_NonXtal_Prot#'!A:AL,16,FALSE)-VLOOKUP(A382,'SegEnds_NonXtal_Prot#'!A:AL,10,FALSE)</f>
        <v>103</v>
      </c>
      <c r="AF382" s="1" t="e">
        <f>VLOOKUP(A382,'SegEnds_NonXtal_Prot#'!A:AL,22,FALSE)-VLOOKUP(A382,'SegEnds_NonXtal_Prot#'!A:AL,19,FALSE)</f>
        <v>#VALUE!</v>
      </c>
      <c r="AG382" s="1">
        <f>VLOOKUP(A382,'SegEnds_NonXtal_Prot#'!A:AL,28,FALSE)-VLOOKUP(A382,'SegEnds_NonXtal_Prot#'!A:AL,25,FALSE)</f>
        <v>21</v>
      </c>
      <c r="AH382" s="1">
        <f>VLOOKUP(A382,'SegEnds_NonXtal_Prot#'!A:AL,28,FALSE)-VLOOKUP(A382,'SegEnds_NonXtal_Prot#'!A:AL,22,FALSE)</f>
        <v>46</v>
      </c>
      <c r="AI382" s="1">
        <f>VLOOKUP(A382,'SegEnds_NonXtal_Prot#'!A:AL,31,FALSE)-VLOOKUP(A382,'SegEnds_NonXtal_Prot#'!A:AL,28,FALSE)</f>
        <v>57</v>
      </c>
      <c r="AJ382" s="1">
        <f>VLOOKUP(A382,'SegEnds_NonXtal_Prot#'!A:AL,34,FALSE)-VLOOKUP(A382,'SegEnds_NonXtal_Prot#'!A:AL,31,FALSE)</f>
        <v>49</v>
      </c>
      <c r="AK382" s="1">
        <f>VLOOKUP(A382,'SegEnds_NonXtal_Prot#'!A:AL,37,FALSE)-VLOOKUP(A382,'SegEnds_NonXtal_Prot#'!A:AL,34,FALSE)</f>
        <v>11</v>
      </c>
      <c r="AL382" s="1" t="str">
        <f>IF(ISERROR(MATCH(A382,'SegEnds_Xtal_Prot#'!B:B, 0)), "NoXtal", "Xtal")</f>
        <v>NoXtal</v>
      </c>
    </row>
    <row r="383" spans="1:38" x14ac:dyDescent="0.2">
      <c r="A383" s="1" t="s">
        <v>449</v>
      </c>
      <c r="B383" s="1" t="str">
        <f>VLOOKUP(A383,Xtal_Templ!A:B,2,FALSE)</f>
        <v>fzd4_human</v>
      </c>
      <c r="C383" s="5">
        <f>VLOOKUP($B383&amp;"__wt",'SegEnds_Xtal_BW#'!$A:$Z,3,FALSE)</f>
        <v>28</v>
      </c>
      <c r="D383" s="1">
        <f>VLOOKUP($B383&amp;"__wt",'SegEnds_Xtal_BW#'!$A:$Z,4,FALSE)</f>
        <v>60</v>
      </c>
      <c r="E383" s="1">
        <f>VLOOKUP($B383&amp;"__wt",'SegEnds_Xtal_BW#'!$A:$Z,5,FALSE)</f>
        <v>47</v>
      </c>
      <c r="F383" s="1">
        <f>VLOOKUP($B383&amp;"__wt",'SegEnds_Xtal_BW#'!$A:$Z,6,FALSE)</f>
        <v>51</v>
      </c>
      <c r="G383" s="1">
        <v>39</v>
      </c>
      <c r="H383" s="12">
        <f>VLOOKUP($B383&amp;"__wt",'SegEnds_Xtal_BW#'!$A:$Z,8,FALSE)</f>
        <v>66</v>
      </c>
      <c r="I383" s="1" t="str">
        <f>VLOOKUP($B383&amp;"__wt",'SegEnds_Xtal_BW#'!$A:$Z,9,FALSE)</f>
        <v>-</v>
      </c>
      <c r="J383" s="1" t="str">
        <f>VLOOKUP($B383&amp;"__wt",'SegEnds_Xtal_BW#'!$A:$Z,10,FALSE)</f>
        <v>-</v>
      </c>
      <c r="K383" s="12">
        <f>VLOOKUP($B383&amp;"__wt",'SegEnds_Xtal_BW#'!$A:$Z,11,FALSE)</f>
        <v>22</v>
      </c>
      <c r="L383" s="1">
        <f>VLOOKUP($B383&amp;"__wt",'SegEnds_Xtal_BW#'!$A:$Z,12,FALSE)</f>
        <v>55</v>
      </c>
      <c r="M383" s="1" t="str">
        <f>VLOOKUP($B383&amp;"__wt",'SegEnds_Xtal_BW#'!$A:$Z,13,FALSE)</f>
        <v>-</v>
      </c>
      <c r="N383" s="12" t="str">
        <f>VLOOKUP($B383&amp;"__wt",'SegEnds_Xtal_BW#'!$A:$Z,14,FALSE)</f>
        <v>-</v>
      </c>
      <c r="O383" s="87">
        <f>VLOOKUP($B383&amp;"__wt",'SegEnds_Xtal_BW#'!$A:$Z,15,FALSE)</f>
        <v>41</v>
      </c>
      <c r="P383" s="1">
        <f>VLOOKUP($B383&amp;"__wt",'SegEnds_Xtal_BW#'!$A:$Z,16,FALSE)</f>
        <v>64</v>
      </c>
      <c r="Q383" s="1">
        <f>VLOOKUP($B383&amp;"__wt",'SegEnds_Xtal_BW#'!$A:$Z,17,FALSE)</f>
        <v>50</v>
      </c>
      <c r="R383" s="1">
        <f>VLOOKUP($B383&amp;"__wt",'SegEnds_Xtal_BW#'!$A:$Z,18,FALSE)</f>
        <v>52</v>
      </c>
      <c r="S383" s="1">
        <f>VLOOKUP($B383&amp;"__wt",'SegEnds_Xtal_BW#'!$A:$Z,19,FALSE)</f>
        <v>35</v>
      </c>
      <c r="T383" s="1">
        <f>VLOOKUP($B383&amp;"__wt",'SegEnds_Xtal_BW#'!$A:$Z,20,FALSE)</f>
        <v>72</v>
      </c>
      <c r="U383" s="1">
        <f>VLOOKUP($B383&amp;"__wt",'SegEnds_Xtal_BW#'!$A:$Z,21,FALSE)</f>
        <v>28</v>
      </c>
      <c r="V383" s="108">
        <v>78</v>
      </c>
      <c r="W383" s="1">
        <f>VLOOKUP($B383&amp;"__wt",'SegEnds_Xtal_BW#'!$A:$Z,23,FALSE)</f>
        <v>34</v>
      </c>
      <c r="X383" s="1">
        <f>VLOOKUP($B383&amp;"__wt",'SegEnds_Xtal_BW#'!$A:$Z,24,FALSE)</f>
        <v>57</v>
      </c>
      <c r="Y383" s="1">
        <f>VLOOKUP($B383&amp;"__wt",'SegEnds_Xtal_BW#'!$A:$Z,25,FALSE)</f>
        <v>47</v>
      </c>
      <c r="Z383" s="1">
        <f>VLOOKUP($B383&amp;"__wt",'SegEnds_Xtal_BW#'!$A:$Z,26,FALSE)</f>
        <v>62</v>
      </c>
      <c r="AA383" s="27" t="str">
        <f>VLOOKUP(A383,Classification!A:B,2,FALSE)</f>
        <v>F</v>
      </c>
      <c r="AB383" s="1">
        <f>VLOOKUP(A383,'SegEnds_NonXtal_Prot#'!A:AL,10,FALSE)-VLOOKUP(A383,'SegEnds_NonXtal_Prot#'!A:AL,4,FALSE)</f>
        <v>26</v>
      </c>
      <c r="AC383" s="1">
        <f>VLOOKUP(A383,'SegEnds_NonXtal_Prot#'!A:AL,10,FALSE)-VLOOKUP(A383,'SegEnds_NonXtal_Prot#'!A:AL,7,FALSE)</f>
        <v>12</v>
      </c>
      <c r="AD383" s="1" t="e">
        <f>VLOOKUP(A383,'SegEnds_NonXtal_Prot#'!A:AL,13,FALSE)-VLOOKUP(A383,'SegEnds_NonXtal_Prot#'!A:AL,10,FALSE)</f>
        <v>#VALUE!</v>
      </c>
      <c r="AE383" s="1">
        <f>VLOOKUP(A383,'SegEnds_NonXtal_Prot#'!A:AL,16,FALSE)-VLOOKUP(A383,'SegEnds_NonXtal_Prot#'!A:AL,10,FALSE)</f>
        <v>66</v>
      </c>
      <c r="AF383" s="1" t="e">
        <f>VLOOKUP(A383,'SegEnds_NonXtal_Prot#'!A:AL,22,FALSE)-VLOOKUP(A383,'SegEnds_NonXtal_Prot#'!A:AL,19,FALSE)</f>
        <v>#VALUE!</v>
      </c>
      <c r="AG383" s="1">
        <f>VLOOKUP(A383,'SegEnds_NonXtal_Prot#'!A:AL,28,FALSE)-VLOOKUP(A383,'SegEnds_NonXtal_Prot#'!A:AL,25,FALSE)</f>
        <v>21</v>
      </c>
      <c r="AH383" s="1">
        <f>VLOOKUP(A383,'SegEnds_NonXtal_Prot#'!A:AL,28,FALSE)-VLOOKUP(A383,'SegEnds_NonXtal_Prot#'!A:AL,22,FALSE)</f>
        <v>46</v>
      </c>
      <c r="AI383" s="1">
        <f>VLOOKUP(A383,'SegEnds_NonXtal_Prot#'!A:AL,31,FALSE)-VLOOKUP(A383,'SegEnds_NonXtal_Prot#'!A:AL,28,FALSE)</f>
        <v>55</v>
      </c>
      <c r="AJ383" s="1">
        <f>VLOOKUP(A383,'SegEnds_NonXtal_Prot#'!A:AL,34,FALSE)-VLOOKUP(A383,'SegEnds_NonXtal_Prot#'!A:AL,31,FALSE)</f>
        <v>58</v>
      </c>
      <c r="AK383" s="1">
        <f>VLOOKUP(A383,'SegEnds_NonXtal_Prot#'!A:AL,37,FALSE)-VLOOKUP(A383,'SegEnds_NonXtal_Prot#'!A:AL,34,FALSE)</f>
        <v>11</v>
      </c>
      <c r="AL383" s="1" t="str">
        <f>IF(ISERROR(MATCH(A383,'SegEnds_Xtal_Prot#'!B:B, 0)), "NoXtal", "Xtal")</f>
        <v>NoXtal</v>
      </c>
    </row>
    <row r="384" spans="1:38" x14ac:dyDescent="0.2">
      <c r="A384" s="121" t="s">
        <v>1489</v>
      </c>
      <c r="B384" s="1" t="str">
        <f>VLOOKUP(A384,Xtal_Templ!A:B,2,FALSE)</f>
        <v>q98sw5_xenla</v>
      </c>
      <c r="C384" s="5">
        <f>VLOOKUP($B384&amp;"__wt",'SegEnds_Xtal_BW#'!$A:$Z,3,FALSE)</f>
        <v>28</v>
      </c>
      <c r="D384" s="1">
        <f>VLOOKUP($B384&amp;"__wt",'SegEnds_Xtal_BW#'!$A:$Z,4,FALSE)</f>
        <v>60</v>
      </c>
      <c r="E384" s="1">
        <f>VLOOKUP($B384&amp;"__wt",'SegEnds_Xtal_BW#'!$A:$Z,5,FALSE)</f>
        <v>47</v>
      </c>
      <c r="F384" s="1">
        <f>VLOOKUP($B384&amp;"__wt",'SegEnds_Xtal_BW#'!$A:$Z,6,FALSE)</f>
        <v>51</v>
      </c>
      <c r="G384" s="1">
        <v>40</v>
      </c>
      <c r="H384" s="12">
        <f>VLOOKUP($B384&amp;"__wt",'SegEnds_Xtal_BW#'!$A:$Z,8,FALSE)</f>
        <v>61</v>
      </c>
      <c r="I384" s="1" t="str">
        <f>VLOOKUP($B384&amp;"__wt",'SegEnds_Xtal_BW#'!$A:$Z,9,FALSE)</f>
        <v>-</v>
      </c>
      <c r="J384" s="1" t="str">
        <f>VLOOKUP($B384&amp;"__wt",'SegEnds_Xtal_BW#'!$A:$Z,10,FALSE)</f>
        <v>-</v>
      </c>
      <c r="K384" s="12">
        <f>VLOOKUP($B384&amp;"__wt",'SegEnds_Xtal_BW#'!$A:$Z,11,FALSE)</f>
        <v>23</v>
      </c>
      <c r="L384" s="1">
        <f>VLOOKUP($B384&amp;"__wt",'SegEnds_Xtal_BW#'!$A:$Z,12,FALSE)</f>
        <v>59</v>
      </c>
      <c r="M384" s="1" t="str">
        <f>VLOOKUP($B384&amp;"__wt",'SegEnds_Xtal_BW#'!$A:$Z,13,FALSE)</f>
        <v>-</v>
      </c>
      <c r="N384" s="12" t="str">
        <f>VLOOKUP($B384&amp;"__wt",'SegEnds_Xtal_BW#'!$A:$Z,14,FALSE)</f>
        <v>-</v>
      </c>
      <c r="O384" s="87">
        <f>VLOOKUP($B384&amp;"__wt",'SegEnds_Xtal_BW#'!$A:$Z,15,FALSE)</f>
        <v>38</v>
      </c>
      <c r="P384" s="1">
        <f>VLOOKUP($B384&amp;"__wt",'SegEnds_Xtal_BW#'!$A:$Z,16,FALSE)</f>
        <v>63</v>
      </c>
      <c r="Q384" s="1">
        <f>VLOOKUP($B384&amp;"__wt",'SegEnds_Xtal_BW#'!$A:$Z,17,FALSE)</f>
        <v>50</v>
      </c>
      <c r="R384" s="1">
        <f>VLOOKUP($B384&amp;"__wt",'SegEnds_Xtal_BW#'!$A:$Z,18,FALSE)</f>
        <v>52</v>
      </c>
      <c r="S384" s="1">
        <f>VLOOKUP($B384&amp;"__wt",'SegEnds_Xtal_BW#'!$A:$Z,19,FALSE)</f>
        <v>35</v>
      </c>
      <c r="T384" s="1">
        <f>VLOOKUP($B384&amp;"__wt",'SegEnds_Xtal_BW#'!$A:$Z,20,FALSE)</f>
        <v>72</v>
      </c>
      <c r="U384" s="1">
        <f>VLOOKUP($B384&amp;"__wt",'SegEnds_Xtal_BW#'!$A:$Z,21,FALSE)</f>
        <v>24</v>
      </c>
      <c r="V384" s="1">
        <f>VLOOKUP($B384&amp;"__wt",'SegEnds_Xtal_BW#'!$A:$Z,22,FALSE)</f>
        <v>81</v>
      </c>
      <c r="W384" s="1">
        <f>VLOOKUP($B384&amp;"__wt",'SegEnds_Xtal_BW#'!$A:$Z,23,FALSE)</f>
        <v>34</v>
      </c>
      <c r="X384" s="1">
        <f>VLOOKUP($B384&amp;"__wt",'SegEnds_Xtal_BW#'!$A:$Z,24,FALSE)</f>
        <v>57</v>
      </c>
      <c r="Y384" s="1">
        <f>VLOOKUP($B384&amp;"__wt",'SegEnds_Xtal_BW#'!$A:$Z,25,FALSE)</f>
        <v>47</v>
      </c>
      <c r="Z384" s="1">
        <f>VLOOKUP($B384&amp;"__wt",'SegEnds_Xtal_BW#'!$A:$Z,26,FALSE)</f>
        <v>62</v>
      </c>
      <c r="AA384" s="27" t="str">
        <f>VLOOKUP(A384,Classification!A:B,2,FALSE)</f>
        <v>F</v>
      </c>
      <c r="AB384" s="1">
        <f>VLOOKUP(A384,'SegEnds_NonXtal_Prot#'!A:AL,10,FALSE)-VLOOKUP(A384,'SegEnds_NonXtal_Prot#'!A:AL,4,FALSE)</f>
        <v>27</v>
      </c>
      <c r="AC384" s="1">
        <f>VLOOKUP(A384,'SegEnds_NonXtal_Prot#'!A:AL,10,FALSE)-VLOOKUP(A384,'SegEnds_NonXtal_Prot#'!A:AL,7,FALSE)</f>
        <v>13</v>
      </c>
      <c r="AD384" s="1" t="e">
        <f>VLOOKUP(A384,'SegEnds_NonXtal_Prot#'!A:AL,13,FALSE)-VLOOKUP(A384,'SegEnds_NonXtal_Prot#'!A:AL,10,FALSE)</f>
        <v>#VALUE!</v>
      </c>
      <c r="AE384" s="1">
        <f>VLOOKUP(A384,'SegEnds_NonXtal_Prot#'!A:AL,16,FALSE)-VLOOKUP(A384,'SegEnds_NonXtal_Prot#'!A:AL,10,FALSE)</f>
        <v>67</v>
      </c>
      <c r="AF384" s="1" t="e">
        <f>VLOOKUP(A384,'SegEnds_NonXtal_Prot#'!A:AL,22,FALSE)-VLOOKUP(A384,'SegEnds_NonXtal_Prot#'!A:AL,19,FALSE)</f>
        <v>#VALUE!</v>
      </c>
      <c r="AG384" s="1">
        <f>VLOOKUP(A384,'SegEnds_NonXtal_Prot#'!A:AL,28,FALSE)-VLOOKUP(A384,'SegEnds_NonXtal_Prot#'!A:AL,25,FALSE)</f>
        <v>21</v>
      </c>
      <c r="AH384" s="1">
        <f>VLOOKUP(A384,'SegEnds_NonXtal_Prot#'!A:AL,28,FALSE)-VLOOKUP(A384,'SegEnds_NonXtal_Prot#'!A:AL,22,FALSE)</f>
        <v>46</v>
      </c>
      <c r="AI384" s="1">
        <f>VLOOKUP(A384,'SegEnds_NonXtal_Prot#'!A:AL,31,FALSE)-VLOOKUP(A384,'SegEnds_NonXtal_Prot#'!A:AL,28,FALSE)</f>
        <v>57</v>
      </c>
      <c r="AJ384" s="1">
        <f>VLOOKUP(A384,'SegEnds_NonXtal_Prot#'!A:AL,34,FALSE)-VLOOKUP(A384,'SegEnds_NonXtal_Prot#'!A:AL,31,FALSE)</f>
        <v>62</v>
      </c>
      <c r="AK384" s="1">
        <f>VLOOKUP(A384,'SegEnds_NonXtal_Prot#'!A:AL,37,FALSE)-VLOOKUP(A384,'SegEnds_NonXtal_Prot#'!A:AL,34,FALSE)</f>
        <v>11</v>
      </c>
      <c r="AL384" s="1" t="str">
        <f>IF(ISERROR(MATCH(A384,'SegEnds_Xtal_Prot#'!B:B, 0)), "NoXtal", "Xtal")</f>
        <v>Xtal</v>
      </c>
    </row>
    <row r="385" spans="1:38" x14ac:dyDescent="0.2">
      <c r="A385" s="1" t="s">
        <v>33</v>
      </c>
      <c r="B385" s="1" t="str">
        <f>VLOOKUP(A385,Xtal_Templ!A:B,2,FALSE)</f>
        <v>smo_human</v>
      </c>
      <c r="C385" s="5">
        <f>VLOOKUP($B385&amp;"__wt",'SegEnds_Xtal_BW#'!$A:$Z,3,FALSE)</f>
        <v>28</v>
      </c>
      <c r="D385" s="1">
        <f>VLOOKUP($B385&amp;"__wt",'SegEnds_Xtal_BW#'!$A:$Z,4,FALSE)</f>
        <v>60</v>
      </c>
      <c r="E385" s="1">
        <f>VLOOKUP($B385&amp;"__wt",'SegEnds_Xtal_BW#'!$A:$Z,5,FALSE)</f>
        <v>47</v>
      </c>
      <c r="F385" s="1">
        <f>VLOOKUP($B385&amp;"__wt",'SegEnds_Xtal_BW#'!$A:$Z,6,FALSE)</f>
        <v>51</v>
      </c>
      <c r="G385" s="1">
        <v>40</v>
      </c>
      <c r="H385" s="12">
        <f>VLOOKUP($B385&amp;"__wt",'SegEnds_Xtal_BW#'!$A:$Z,8,FALSE)</f>
        <v>63</v>
      </c>
      <c r="I385" s="1" t="str">
        <f>VLOOKUP($B385&amp;"__wt",'SegEnds_Xtal_BW#'!$A:$Z,9,FALSE)</f>
        <v>-</v>
      </c>
      <c r="J385" s="1" t="str">
        <f>VLOOKUP($B385&amp;"__wt",'SegEnds_Xtal_BW#'!$A:$Z,10,FALSE)</f>
        <v>-</v>
      </c>
      <c r="K385" s="12">
        <f>VLOOKUP($B385&amp;"__wt",'SegEnds_Xtal_BW#'!$A:$Z,11,FALSE)</f>
        <v>23</v>
      </c>
      <c r="L385" s="1">
        <f>VLOOKUP($B385&amp;"__wt",'SegEnds_Xtal_BW#'!$A:$Z,12,FALSE)</f>
        <v>56</v>
      </c>
      <c r="M385" s="1" t="str">
        <f>VLOOKUP($B385&amp;"__wt",'SegEnds_Xtal_BW#'!$A:$Z,13,FALSE)</f>
        <v>-</v>
      </c>
      <c r="N385" s="12" t="str">
        <f>VLOOKUP($B385&amp;"__wt",'SegEnds_Xtal_BW#'!$A:$Z,14,FALSE)</f>
        <v>-</v>
      </c>
      <c r="O385" s="87">
        <f>VLOOKUP($B385&amp;"__wt",'SegEnds_Xtal_BW#'!$A:$Z,15,FALSE)</f>
        <v>41</v>
      </c>
      <c r="P385" s="1">
        <f>VLOOKUP($B385&amp;"__wt",'SegEnds_Xtal_BW#'!$A:$Z,16,FALSE)</f>
        <v>64</v>
      </c>
      <c r="Q385" s="1">
        <f>VLOOKUP($B385&amp;"__wt",'SegEnds_Xtal_BW#'!$A:$Z,17,FALSE)</f>
        <v>50</v>
      </c>
      <c r="R385" s="1">
        <f>VLOOKUP($B385&amp;"__wt",'SegEnds_Xtal_BW#'!$A:$Z,18,FALSE)</f>
        <v>52</v>
      </c>
      <c r="S385" s="1">
        <f>VLOOKUP($B385&amp;"__wt",'SegEnds_Xtal_BW#'!$A:$Z,19,FALSE)</f>
        <v>35</v>
      </c>
      <c r="T385" s="1">
        <f>VLOOKUP($B385&amp;"__wt",'SegEnds_Xtal_BW#'!$A:$Z,20,FALSE)</f>
        <v>72</v>
      </c>
      <c r="U385" s="1">
        <f>VLOOKUP($B385&amp;"__wt",'SegEnds_Xtal_BW#'!$A:$Z,21,FALSE)</f>
        <v>20</v>
      </c>
      <c r="V385" s="1">
        <f>VLOOKUP($B385&amp;"__wt",'SegEnds_Xtal_BW#'!$A:$Z,22,FALSE)</f>
        <v>78</v>
      </c>
      <c r="W385" s="1">
        <f>VLOOKUP($B385&amp;"__wt",'SegEnds_Xtal_BW#'!$A:$Z,23,FALSE)</f>
        <v>34</v>
      </c>
      <c r="X385" s="1">
        <f>VLOOKUP($B385&amp;"__wt",'SegEnds_Xtal_BW#'!$A:$Z,24,FALSE)</f>
        <v>57</v>
      </c>
      <c r="Y385" s="1">
        <f>VLOOKUP($B385&amp;"__wt",'SegEnds_Xtal_BW#'!$A:$Z,25,FALSE)</f>
        <v>47</v>
      </c>
      <c r="Z385" s="1">
        <f>VLOOKUP($B385&amp;"__wt",'SegEnds_Xtal_BW#'!$A:$Z,26,FALSE)</f>
        <v>62</v>
      </c>
      <c r="AA385" s="27" t="str">
        <f>VLOOKUP(A385,Classification!A:B,2,FALSE)</f>
        <v>F</v>
      </c>
      <c r="AB385" s="1">
        <f>VLOOKUP(A385,'SegEnds_NonXtal_Prot#'!A:AL,10,FALSE)-VLOOKUP(A385,'SegEnds_NonXtal_Prot#'!A:AL,4,FALSE)</f>
        <v>27</v>
      </c>
      <c r="AC385" s="1">
        <f>VLOOKUP(A385,'SegEnds_NonXtal_Prot#'!A:AL,10,FALSE)-VLOOKUP(A385,'SegEnds_NonXtal_Prot#'!A:AL,7,FALSE)</f>
        <v>13</v>
      </c>
      <c r="AD385" s="1" t="e">
        <f>VLOOKUP(A385,'SegEnds_NonXtal_Prot#'!A:AL,13,FALSE)-VLOOKUP(A385,'SegEnds_NonXtal_Prot#'!A:AL,10,FALSE)</f>
        <v>#VALUE!</v>
      </c>
      <c r="AE385" s="1">
        <f>VLOOKUP(A385,'SegEnds_NonXtal_Prot#'!A:AL,16,FALSE)-VLOOKUP(A385,'SegEnds_NonXtal_Prot#'!A:AL,10,FALSE)</f>
        <v>67</v>
      </c>
      <c r="AF385" s="1" t="e">
        <f>VLOOKUP(A385,'SegEnds_NonXtal_Prot#'!A:AL,22,FALSE)-VLOOKUP(A385,'SegEnds_NonXtal_Prot#'!A:AL,19,FALSE)</f>
        <v>#VALUE!</v>
      </c>
      <c r="AG385" s="1">
        <f>VLOOKUP(A385,'SegEnds_NonXtal_Prot#'!A:AL,28,FALSE)-VLOOKUP(A385,'SegEnds_NonXtal_Prot#'!A:AL,25,FALSE)</f>
        <v>21</v>
      </c>
      <c r="AH385" s="1">
        <f>VLOOKUP(A385,'SegEnds_NonXtal_Prot#'!A:AL,28,FALSE)-VLOOKUP(A385,'SegEnds_NonXtal_Prot#'!A:AL,22,FALSE)</f>
        <v>46</v>
      </c>
      <c r="AI385" s="1">
        <f>VLOOKUP(A385,'SegEnds_NonXtal_Prot#'!A:AL,31,FALSE)-VLOOKUP(A385,'SegEnds_NonXtal_Prot#'!A:AL,28,FALSE)</f>
        <v>57</v>
      </c>
      <c r="AJ385" s="1">
        <f>VLOOKUP(A385,'SegEnds_NonXtal_Prot#'!A:AL,34,FALSE)-VLOOKUP(A385,'SegEnds_NonXtal_Prot#'!A:AL,31,FALSE)</f>
        <v>62</v>
      </c>
      <c r="AK385" s="1">
        <f>VLOOKUP(A385,'SegEnds_NonXtal_Prot#'!A:AL,37,FALSE)-VLOOKUP(A385,'SegEnds_NonXtal_Prot#'!A:AL,34,FALSE)</f>
        <v>11</v>
      </c>
      <c r="AL385" s="1" t="str">
        <f>IF(ISERROR(MATCH(A385,'SegEnds_Xtal_Prot#'!B:B, 0)), "NoXtal", "Xtal")</f>
        <v>Xtal</v>
      </c>
    </row>
    <row r="386" spans="1:38" x14ac:dyDescent="0.2">
      <c r="A386" s="1" t="s">
        <v>1588</v>
      </c>
      <c r="B386" s="1" t="str">
        <f>VLOOKUP(A386,Xtal_Templ!A:B,2,FALSE)</f>
        <v>smo_mouse</v>
      </c>
      <c r="C386" s="5">
        <f>VLOOKUP($B386&amp;"__wt",'SegEnds_Xtal_BW#'!$A:$Z,3,FALSE)</f>
        <v>28</v>
      </c>
      <c r="D386" s="1">
        <f>VLOOKUP($B386&amp;"__wt",'SegEnds_Xtal_BW#'!$A:$Z,4,FALSE)</f>
        <v>60</v>
      </c>
      <c r="E386" s="1">
        <f>VLOOKUP($B386&amp;"__wt",'SegEnds_Xtal_BW#'!$A:$Z,5,FALSE)</f>
        <v>47</v>
      </c>
      <c r="F386" s="1">
        <f>VLOOKUP($B386&amp;"__wt",'SegEnds_Xtal_BW#'!$A:$Z,6,FALSE)</f>
        <v>51</v>
      </c>
      <c r="G386" s="1">
        <v>41</v>
      </c>
      <c r="H386" s="12">
        <f>VLOOKUP($B386&amp;"__wt",'SegEnds_Xtal_BW#'!$A:$Z,8,FALSE)</f>
        <v>63</v>
      </c>
      <c r="I386" s="1" t="str">
        <f>VLOOKUP($B386&amp;"__wt",'SegEnds_Xtal_BW#'!$A:$Z,9,FALSE)</f>
        <v>-</v>
      </c>
      <c r="J386" s="1" t="str">
        <f>VLOOKUP($B386&amp;"__wt",'SegEnds_Xtal_BW#'!$A:$Z,10,FALSE)</f>
        <v>-</v>
      </c>
      <c r="K386" s="12">
        <f>VLOOKUP($B386&amp;"__wt",'SegEnds_Xtal_BW#'!$A:$Z,11,FALSE)</f>
        <v>23</v>
      </c>
      <c r="L386" s="1">
        <f>VLOOKUP($B386&amp;"__wt",'SegEnds_Xtal_BW#'!$A:$Z,12,FALSE)</f>
        <v>56</v>
      </c>
      <c r="M386" s="1" t="str">
        <f>VLOOKUP($B386&amp;"__wt",'SegEnds_Xtal_BW#'!$A:$Z,13,FALSE)</f>
        <v>-</v>
      </c>
      <c r="N386" s="12" t="str">
        <f>VLOOKUP($B386&amp;"__wt",'SegEnds_Xtal_BW#'!$A:$Z,14,FALSE)</f>
        <v>-</v>
      </c>
      <c r="O386" s="87">
        <f>VLOOKUP($B386&amp;"__wt",'SegEnds_Xtal_BW#'!$A:$Z,15,FALSE)</f>
        <v>41</v>
      </c>
      <c r="P386" s="1">
        <f>VLOOKUP($B386&amp;"__wt",'SegEnds_Xtal_BW#'!$A:$Z,16,FALSE)</f>
        <v>64</v>
      </c>
      <c r="Q386" s="1">
        <f>VLOOKUP($B386&amp;"__wt",'SegEnds_Xtal_BW#'!$A:$Z,17,FALSE)</f>
        <v>50</v>
      </c>
      <c r="R386" s="1">
        <f>VLOOKUP($B386&amp;"__wt",'SegEnds_Xtal_BW#'!$A:$Z,18,FALSE)</f>
        <v>52</v>
      </c>
      <c r="S386" s="1">
        <f>VLOOKUP($B386&amp;"__wt",'SegEnds_Xtal_BW#'!$A:$Z,19,FALSE)</f>
        <v>35</v>
      </c>
      <c r="T386" s="1">
        <f>VLOOKUP($B386&amp;"__wt",'SegEnds_Xtal_BW#'!$A:$Z,20,FALSE)</f>
        <v>72</v>
      </c>
      <c r="U386" s="1">
        <f>VLOOKUP($B386&amp;"__wt",'SegEnds_Xtal_BW#'!$A:$Z,21,FALSE)</f>
        <v>20</v>
      </c>
      <c r="V386" s="1">
        <f>VLOOKUP($B386&amp;"__wt",'SegEnds_Xtal_BW#'!$A:$Z,22,FALSE)</f>
        <v>78</v>
      </c>
      <c r="W386" s="1">
        <f>VLOOKUP($B386&amp;"__wt",'SegEnds_Xtal_BW#'!$A:$Z,23,FALSE)</f>
        <v>34</v>
      </c>
      <c r="X386" s="1">
        <f>VLOOKUP($B386&amp;"__wt",'SegEnds_Xtal_BW#'!$A:$Z,24,FALSE)</f>
        <v>57</v>
      </c>
      <c r="Y386" s="1">
        <f>VLOOKUP($B386&amp;"__wt",'SegEnds_Xtal_BW#'!$A:$Z,25,FALSE)</f>
        <v>47</v>
      </c>
      <c r="Z386" s="1">
        <f>VLOOKUP($B386&amp;"__wt",'SegEnds_Xtal_BW#'!$A:$Z,26,FALSE)</f>
        <v>62</v>
      </c>
      <c r="AA386" s="27" t="str">
        <f>VLOOKUP(A386,Classification!A:B,2,FALSE)</f>
        <v>F</v>
      </c>
      <c r="AB386" s="1">
        <f>VLOOKUP(A386,'SegEnds_NonXtal_Prot#'!A:AL,10,FALSE)-VLOOKUP(A386,'SegEnds_NonXtal_Prot#'!A:AL,4,FALSE)</f>
        <v>27</v>
      </c>
      <c r="AC386" s="1">
        <f>VLOOKUP(A386,'SegEnds_NonXtal_Prot#'!A:AL,10,FALSE)-VLOOKUP(A386,'SegEnds_NonXtal_Prot#'!A:AL,7,FALSE)</f>
        <v>13</v>
      </c>
      <c r="AD386" s="1" t="e">
        <f>VLOOKUP(A386,'SegEnds_NonXtal_Prot#'!A:AL,13,FALSE)-VLOOKUP(A386,'SegEnds_NonXtal_Prot#'!A:AL,10,FALSE)</f>
        <v>#VALUE!</v>
      </c>
      <c r="AE386" s="1">
        <f>VLOOKUP(A386,'SegEnds_NonXtal_Prot#'!A:AL,16,FALSE)-VLOOKUP(A386,'SegEnds_NonXtal_Prot#'!A:AL,10,FALSE)</f>
        <v>67</v>
      </c>
      <c r="AF386" s="1" t="e">
        <f>VLOOKUP(A386,'SegEnds_NonXtal_Prot#'!A:AL,22,FALSE)-VLOOKUP(A386,'SegEnds_NonXtal_Prot#'!A:AL,19,FALSE)</f>
        <v>#VALUE!</v>
      </c>
      <c r="AG386" s="1">
        <f>VLOOKUP(A386,'SegEnds_NonXtal_Prot#'!A:AL,28,FALSE)-VLOOKUP(A386,'SegEnds_NonXtal_Prot#'!A:AL,25,FALSE)</f>
        <v>21</v>
      </c>
      <c r="AH386" s="1">
        <f>VLOOKUP(A386,'SegEnds_NonXtal_Prot#'!A:AL,28,FALSE)-VLOOKUP(A386,'SegEnds_NonXtal_Prot#'!A:AL,22,FALSE)</f>
        <v>46</v>
      </c>
      <c r="AI386" s="1">
        <f>VLOOKUP(A386,'SegEnds_NonXtal_Prot#'!A:AL,31,FALSE)-VLOOKUP(A386,'SegEnds_NonXtal_Prot#'!A:AL,28,FALSE)</f>
        <v>57</v>
      </c>
      <c r="AJ386" s="1">
        <f>VLOOKUP(A386,'SegEnds_NonXtal_Prot#'!A:AL,34,FALSE)-VLOOKUP(A386,'SegEnds_NonXtal_Prot#'!A:AL,31,FALSE)</f>
        <v>62</v>
      </c>
      <c r="AK386" s="1">
        <f>VLOOKUP(A386,'SegEnds_NonXtal_Prot#'!A:AL,37,FALSE)-VLOOKUP(A386,'SegEnds_NonXtal_Prot#'!A:AL,34,FALSE)</f>
        <v>11</v>
      </c>
      <c r="AL386" s="1" t="str">
        <f>IF(ISERROR(MATCH(A386,'SegEnds_Xtal_Prot#'!B:B, 0)), "NoXtal", "Xtal")</f>
        <v>Xtal</v>
      </c>
    </row>
    <row r="387" spans="1:38" x14ac:dyDescent="0.2">
      <c r="A387" s="1" t="s">
        <v>478</v>
      </c>
      <c r="B387" s="1" t="str">
        <f>VLOOKUP(A387,Xtal_Templ!A:B,2,FALSE)</f>
        <v>pe2r4_human</v>
      </c>
      <c r="C387" s="5">
        <f>VLOOKUP($B387&amp;"__wt",'SegEnds_Xtal_BW#'!$A:$Z,3,FALSE)</f>
        <v>33</v>
      </c>
      <c r="D387" s="1">
        <v>60</v>
      </c>
      <c r="E387" s="1" t="s">
        <v>23</v>
      </c>
      <c r="F387" s="1" t="s">
        <v>23</v>
      </c>
      <c r="G387" s="1">
        <v>39</v>
      </c>
      <c r="H387" s="12">
        <v>63</v>
      </c>
      <c r="I387" s="1" t="s">
        <v>23</v>
      </c>
      <c r="J387" s="1" t="s">
        <v>23</v>
      </c>
      <c r="K387" s="12">
        <v>23</v>
      </c>
      <c r="L387" s="1">
        <v>56</v>
      </c>
      <c r="M387" s="1" t="s">
        <v>23</v>
      </c>
      <c r="N387" s="12" t="s">
        <v>23</v>
      </c>
      <c r="O387" s="87">
        <v>40</v>
      </c>
      <c r="P387" s="108">
        <v>61</v>
      </c>
      <c r="Q387" s="1" t="s">
        <v>23</v>
      </c>
      <c r="R387" s="1" t="s">
        <v>23</v>
      </c>
      <c r="S387" s="108">
        <v>40</v>
      </c>
      <c r="T387" s="1">
        <v>61</v>
      </c>
      <c r="U387" s="1">
        <v>29</v>
      </c>
      <c r="V387" s="1">
        <v>53</v>
      </c>
      <c r="W387" s="1">
        <v>35</v>
      </c>
      <c r="X387" s="1">
        <v>56</v>
      </c>
      <c r="Y387" s="1">
        <v>47</v>
      </c>
      <c r="Z387" s="1">
        <v>57</v>
      </c>
      <c r="AA387" s="27" t="str">
        <f>VLOOKUP(A387,Classification!A:B,2,FALSE)</f>
        <v>O</v>
      </c>
      <c r="AB387" s="1">
        <f>VLOOKUP(A387,'SegEnds_NonXtal_Prot#'!A:AL,10,FALSE)-VLOOKUP(A387,'SegEnds_NonXtal_Prot#'!A:AL,4,FALSE)</f>
        <v>32</v>
      </c>
      <c r="AC387" s="1" t="e">
        <f>VLOOKUP(A387,'SegEnds_NonXtal_Prot#'!A:AL,10,FALSE)-VLOOKUP(A387,'SegEnds_NonXtal_Prot#'!A:AL,7,FALSE)</f>
        <v>#VALUE!</v>
      </c>
      <c r="AD387" s="1" t="e">
        <f>VLOOKUP(A387,'SegEnds_NonXtal_Prot#'!A:AL,13,FALSE)-VLOOKUP(A387,'SegEnds_NonXtal_Prot#'!A:AL,10,FALSE)</f>
        <v>#VALUE!</v>
      </c>
      <c r="AE387" s="1">
        <f>VLOOKUP(A387,'SegEnds_NonXtal_Prot#'!A:AL,16,FALSE)-VLOOKUP(A387,'SegEnds_NonXtal_Prot#'!A:AL,10,FALSE)</f>
        <v>45</v>
      </c>
      <c r="AF387" s="1" t="e">
        <f>VLOOKUP(A387,'SegEnds_NonXtal_Prot#'!A:AL,22,FALSE)-VLOOKUP(A387,'SegEnds_NonXtal_Prot#'!A:AL,19,FALSE)</f>
        <v>#VALUE!</v>
      </c>
      <c r="AG387" s="1" t="e">
        <f>VLOOKUP(A387,'SegEnds_NonXtal_Prot#'!A:AL,28,FALSE)-VLOOKUP(A387,'SegEnds_NonXtal_Prot#'!A:AL,25,FALSE)</f>
        <v>#VALUE!</v>
      </c>
      <c r="AH387" s="1">
        <f>VLOOKUP(A387,'SegEnds_NonXtal_Prot#'!A:AL,28,FALSE)-VLOOKUP(A387,'SegEnds_NonXtal_Prot#'!A:AL,22,FALSE)</f>
        <v>25</v>
      </c>
      <c r="AI387" s="1">
        <f>VLOOKUP(A387,'SegEnds_NonXtal_Prot#'!A:AL,31,FALSE)-VLOOKUP(A387,'SegEnds_NonXtal_Prot#'!A:AL,28,FALSE)</f>
        <v>76</v>
      </c>
      <c r="AJ387" s="1">
        <f>VLOOKUP(A387,'SegEnds_NonXtal_Prot#'!A:AL,34,FALSE)-VLOOKUP(A387,'SegEnds_NonXtal_Prot#'!A:AL,31,FALSE)</f>
        <v>36</v>
      </c>
      <c r="AK387" s="1">
        <f>VLOOKUP(A387,'SegEnds_NonXtal_Prot#'!A:AL,37,FALSE)-VLOOKUP(A387,'SegEnds_NonXtal_Prot#'!A:AL,34,FALSE)</f>
        <v>24</v>
      </c>
      <c r="AL387" s="1" t="str">
        <f>IF(ISERROR(MATCH(A387,'SegEnds_Xtal_Prot#'!B:B, 0)), "NoXtal", "Xtal")</f>
        <v>NoXtal</v>
      </c>
    </row>
    <row r="388" spans="1:38" x14ac:dyDescent="0.2">
      <c r="A388" s="1" t="s">
        <v>480</v>
      </c>
      <c r="B388" s="1" t="str">
        <f>VLOOKUP(A388,Xtal_Templ!A:B,2,FALSE)</f>
        <v>5ht2c_human</v>
      </c>
      <c r="C388" s="5">
        <f>VLOOKUP($B388&amp;"__wt",'SegEnds_Xtal_BW#'!$A:$Z,3,FALSE)</f>
        <v>33</v>
      </c>
      <c r="D388" s="1">
        <v>60</v>
      </c>
      <c r="E388" s="1" t="s">
        <v>23</v>
      </c>
      <c r="F388" s="1" t="s">
        <v>23</v>
      </c>
      <c r="G388" s="1">
        <v>39</v>
      </c>
      <c r="H388" s="12">
        <v>63</v>
      </c>
      <c r="I388" s="1" t="s">
        <v>23</v>
      </c>
      <c r="J388" s="1" t="s">
        <v>23</v>
      </c>
      <c r="K388" s="12">
        <v>23</v>
      </c>
      <c r="L388" s="1">
        <v>56</v>
      </c>
      <c r="M388" s="1" t="s">
        <v>23</v>
      </c>
      <c r="N388" s="12" t="s">
        <v>23</v>
      </c>
      <c r="O388" s="87">
        <v>40</v>
      </c>
      <c r="P388" s="1">
        <v>64</v>
      </c>
      <c r="Q388" s="1" t="s">
        <v>23</v>
      </c>
      <c r="R388" s="1" t="s">
        <v>23</v>
      </c>
      <c r="S388" s="1">
        <v>39</v>
      </c>
      <c r="T388" s="1">
        <v>61</v>
      </c>
      <c r="U388" s="1">
        <v>29</v>
      </c>
      <c r="V388" s="1">
        <v>53</v>
      </c>
      <c r="W388" s="1">
        <v>35</v>
      </c>
      <c r="X388" s="1">
        <v>56</v>
      </c>
      <c r="Y388" s="1">
        <v>47</v>
      </c>
      <c r="Z388" s="1">
        <v>57</v>
      </c>
      <c r="AA388" s="27" t="str">
        <f>VLOOKUP(A388,Classification!A:B,2,FALSE)</f>
        <v>O</v>
      </c>
      <c r="AB388" s="1">
        <f>VLOOKUP(A388,'SegEnds_NonXtal_Prot#'!A:AL,10,FALSE)-VLOOKUP(A388,'SegEnds_NonXtal_Prot#'!A:AL,4,FALSE)</f>
        <v>28</v>
      </c>
      <c r="AC388" s="1" t="e">
        <f>VLOOKUP(A388,'SegEnds_NonXtal_Prot#'!A:AL,10,FALSE)-VLOOKUP(A388,'SegEnds_NonXtal_Prot#'!A:AL,7,FALSE)</f>
        <v>#VALUE!</v>
      </c>
      <c r="AD388" s="1" t="e">
        <f>VLOOKUP(A388,'SegEnds_NonXtal_Prot#'!A:AL,13,FALSE)-VLOOKUP(A388,'SegEnds_NonXtal_Prot#'!A:AL,10,FALSE)</f>
        <v>#VALUE!</v>
      </c>
      <c r="AE388" s="1">
        <f>VLOOKUP(A388,'SegEnds_NonXtal_Prot#'!A:AL,16,FALSE)-VLOOKUP(A388,'SegEnds_NonXtal_Prot#'!A:AL,10,FALSE)</f>
        <v>47</v>
      </c>
      <c r="AF388" s="1" t="e">
        <f>VLOOKUP(A388,'SegEnds_NonXtal_Prot#'!A:AL,22,FALSE)-VLOOKUP(A388,'SegEnds_NonXtal_Prot#'!A:AL,19,FALSE)</f>
        <v>#VALUE!</v>
      </c>
      <c r="AG388" s="1" t="e">
        <f>VLOOKUP(A388,'SegEnds_NonXtal_Prot#'!A:AL,28,FALSE)-VLOOKUP(A388,'SegEnds_NonXtal_Prot#'!A:AL,25,FALSE)</f>
        <v>#VALUE!</v>
      </c>
      <c r="AH388" s="1">
        <f>VLOOKUP(A388,'SegEnds_NonXtal_Prot#'!A:AL,28,FALSE)-VLOOKUP(A388,'SegEnds_NonXtal_Prot#'!A:AL,22,FALSE)</f>
        <v>29</v>
      </c>
      <c r="AI388" s="1">
        <f>VLOOKUP(A388,'SegEnds_NonXtal_Prot#'!A:AL,31,FALSE)-VLOOKUP(A388,'SegEnds_NonXtal_Prot#'!A:AL,28,FALSE)</f>
        <v>67</v>
      </c>
      <c r="AJ388" s="1">
        <f>VLOOKUP(A388,'SegEnds_NonXtal_Prot#'!A:AL,34,FALSE)-VLOOKUP(A388,'SegEnds_NonXtal_Prot#'!A:AL,31,FALSE)</f>
        <v>45</v>
      </c>
      <c r="AK388" s="1">
        <f>VLOOKUP(A388,'SegEnds_NonXtal_Prot#'!A:AL,37,FALSE)-VLOOKUP(A388,'SegEnds_NonXtal_Prot#'!A:AL,34,FALSE)</f>
        <v>18</v>
      </c>
      <c r="AL388" s="1" t="str">
        <f>IF(ISERROR(MATCH(A388,'SegEnds_Xtal_Prot#'!B:B, 0)), "NoXtal", "Xtal")</f>
        <v>NoXtal</v>
      </c>
    </row>
    <row r="389" spans="1:38" x14ac:dyDescent="0.2">
      <c r="A389" s="4" t="s">
        <v>479</v>
      </c>
      <c r="B389" s="4" t="str">
        <f>VLOOKUP(A389,Xtal_Templ!A:B,2,FALSE)</f>
        <v>aa2ar_human</v>
      </c>
      <c r="C389" s="5">
        <f>VLOOKUP($B389&amp;"__wt",'SegEnds_Xtal_BW#'!$A:$Z,3,FALSE)</f>
        <v>27</v>
      </c>
      <c r="D389" s="4">
        <v>60</v>
      </c>
      <c r="E389" s="4" t="s">
        <v>23</v>
      </c>
      <c r="F389" s="4" t="s">
        <v>23</v>
      </c>
      <c r="G389" s="4">
        <v>39</v>
      </c>
      <c r="H389" s="11">
        <v>63</v>
      </c>
      <c r="I389" s="4" t="s">
        <v>23</v>
      </c>
      <c r="J389" s="4" t="s">
        <v>23</v>
      </c>
      <c r="K389" s="11">
        <v>23</v>
      </c>
      <c r="L389" s="4">
        <v>56</v>
      </c>
      <c r="M389" s="4" t="s">
        <v>23</v>
      </c>
      <c r="N389" s="11" t="s">
        <v>23</v>
      </c>
      <c r="O389" s="88">
        <v>40</v>
      </c>
      <c r="P389" s="4">
        <v>64</v>
      </c>
      <c r="Q389" s="4" t="s">
        <v>23</v>
      </c>
      <c r="R389" s="4" t="s">
        <v>23</v>
      </c>
      <c r="S389" s="4">
        <v>39</v>
      </c>
      <c r="T389" s="4">
        <v>61</v>
      </c>
      <c r="U389" s="4">
        <v>29</v>
      </c>
      <c r="V389" s="4">
        <v>53</v>
      </c>
      <c r="W389" s="4">
        <v>35</v>
      </c>
      <c r="X389" s="4">
        <v>56</v>
      </c>
      <c r="Y389" s="4">
        <v>47</v>
      </c>
      <c r="Z389" s="4">
        <v>57</v>
      </c>
      <c r="AA389" s="27" t="str">
        <f>VLOOKUP(A389,Classification!A:B,2,FALSE)</f>
        <v>O</v>
      </c>
      <c r="AB389" s="1">
        <f>VLOOKUP(A389,'SegEnds_NonXtal_Prot#'!A:AL,10,FALSE)-VLOOKUP(A389,'SegEnds_NonXtal_Prot#'!A:AL,4,FALSE)</f>
        <v>36</v>
      </c>
      <c r="AC389" s="4" t="e">
        <f>VLOOKUP(A389,'SegEnds_NonXtal_Prot#'!A:AL,10,FALSE)-VLOOKUP(A389,'SegEnds_NonXtal_Prot#'!A:AL,7,FALSE)</f>
        <v>#VALUE!</v>
      </c>
      <c r="AD389" s="4" t="e">
        <f>VLOOKUP(A389,'SegEnds_NonXtal_Prot#'!A:AL,13,FALSE)-VLOOKUP(A389,'SegEnds_NonXtal_Prot#'!A:AL,10,FALSE)</f>
        <v>#VALUE!</v>
      </c>
      <c r="AE389" s="4">
        <f>VLOOKUP(A389,'SegEnds_NonXtal_Prot#'!A:AL,16,FALSE)-VLOOKUP(A389,'SegEnds_NonXtal_Prot#'!A:AL,10,FALSE)</f>
        <v>63</v>
      </c>
      <c r="AF389" s="1" t="e">
        <f>VLOOKUP(A389,'SegEnds_NonXtal_Prot#'!A:AL,22,FALSE)-VLOOKUP(A389,'SegEnds_NonXtal_Prot#'!A:AL,19,FALSE)</f>
        <v>#VALUE!</v>
      </c>
      <c r="AG389" s="4" t="e">
        <f>VLOOKUP(A389,'SegEnds_NonXtal_Prot#'!A:AL,28,FALSE)-VLOOKUP(A389,'SegEnds_NonXtal_Prot#'!A:AL,25,FALSE)</f>
        <v>#VALUE!</v>
      </c>
      <c r="AH389" s="1">
        <f>VLOOKUP(A389,'SegEnds_NonXtal_Prot#'!A:AL,28,FALSE)-VLOOKUP(A389,'SegEnds_NonXtal_Prot#'!A:AL,22,FALSE)</f>
        <v>39</v>
      </c>
      <c r="AI389" s="4">
        <f>VLOOKUP(A389,'SegEnds_NonXtal_Prot#'!A:AL,31,FALSE)-VLOOKUP(A389,'SegEnds_NonXtal_Prot#'!A:AL,28,FALSE)</f>
        <v>58</v>
      </c>
      <c r="AJ389" s="4">
        <f>VLOOKUP(A389,'SegEnds_NonXtal_Prot#'!A:AL,34,FALSE)-VLOOKUP(A389,'SegEnds_NonXtal_Prot#'!A:AL,31,FALSE)</f>
        <v>49</v>
      </c>
      <c r="AK389" s="1">
        <f>VLOOKUP(A389,'SegEnds_NonXtal_Prot#'!A:AL,37,FALSE)-VLOOKUP(A389,'SegEnds_NonXtal_Prot#'!A:AL,34,FALSE)</f>
        <v>10</v>
      </c>
      <c r="AL389" s="1" t="str">
        <f>IF(ISERROR(MATCH(A389,'SegEnds_Xtal_Prot#'!B:B, 0)), "NoXtal", "Xtal")</f>
        <v>NoXtal</v>
      </c>
    </row>
    <row r="390" spans="1:38" x14ac:dyDescent="0.2">
      <c r="A390" s="1" t="s">
        <v>476</v>
      </c>
      <c r="B390" s="1" t="str">
        <f>VLOOKUP(A390,Xtal_Templ!A:B,2,FALSE)</f>
        <v>ste2_yeast</v>
      </c>
      <c r="C390" s="5" t="e">
        <f>VLOOKUP($B390&amp;"__wt",'SegEnds_Xtal_BW#'!$A:$Z,3,FALSE)</f>
        <v>#N/A</v>
      </c>
      <c r="D390" s="1">
        <v>60</v>
      </c>
      <c r="E390" s="1" t="s">
        <v>23</v>
      </c>
      <c r="F390" s="1" t="s">
        <v>23</v>
      </c>
      <c r="G390" s="1">
        <v>39</v>
      </c>
      <c r="H390" s="12">
        <v>63</v>
      </c>
      <c r="I390" s="1" t="s">
        <v>23</v>
      </c>
      <c r="J390" s="1" t="s">
        <v>23</v>
      </c>
      <c r="K390" s="12">
        <v>23</v>
      </c>
      <c r="L390" s="1">
        <v>56</v>
      </c>
      <c r="M390" s="1" t="s">
        <v>23</v>
      </c>
      <c r="N390" s="12" t="s">
        <v>23</v>
      </c>
      <c r="O390" s="87">
        <v>40</v>
      </c>
      <c r="P390" s="1">
        <v>64</v>
      </c>
      <c r="Q390" s="1" t="s">
        <v>23</v>
      </c>
      <c r="R390" s="1" t="s">
        <v>23</v>
      </c>
      <c r="S390" s="1">
        <v>39</v>
      </c>
      <c r="T390" s="1">
        <v>61</v>
      </c>
      <c r="U390" s="1">
        <v>29</v>
      </c>
      <c r="V390" s="1">
        <v>53</v>
      </c>
      <c r="W390" s="1">
        <v>35</v>
      </c>
      <c r="X390" s="1">
        <v>56</v>
      </c>
      <c r="Y390" s="1">
        <v>47</v>
      </c>
      <c r="Z390" s="1">
        <v>57</v>
      </c>
      <c r="AA390" s="27" t="str">
        <f>VLOOKUP(A390,Classification!A:B,2,FALSE)</f>
        <v>O</v>
      </c>
      <c r="AB390" s="1">
        <f>VLOOKUP(A390,'SegEnds_NonXtal_Prot#'!A:AL,10,FALSE)-VLOOKUP(A390,'SegEnds_NonXtal_Prot#'!A:AL,4,FALSE)</f>
        <v>49</v>
      </c>
      <c r="AC390" s="1" t="e">
        <f>VLOOKUP(A390,'SegEnds_NonXtal_Prot#'!A:AL,10,FALSE)-VLOOKUP(A390,'SegEnds_NonXtal_Prot#'!A:AL,7,FALSE)</f>
        <v>#VALUE!</v>
      </c>
      <c r="AD390" s="1" t="e">
        <f>VLOOKUP(A390,'SegEnds_NonXtal_Prot#'!A:AL,13,FALSE)-VLOOKUP(A390,'SegEnds_NonXtal_Prot#'!A:AL,10,FALSE)</f>
        <v>#VALUE!</v>
      </c>
      <c r="AE390" s="1">
        <f>VLOOKUP(A390,'SegEnds_NonXtal_Prot#'!A:AL,16,FALSE)-VLOOKUP(A390,'SegEnds_NonXtal_Prot#'!A:AL,10,FALSE)</f>
        <v>74</v>
      </c>
      <c r="AF390" s="1" t="e">
        <f>VLOOKUP(A390,'SegEnds_NonXtal_Prot#'!A:AL,22,FALSE)-VLOOKUP(A390,'SegEnds_NonXtal_Prot#'!A:AL,19,FALSE)</f>
        <v>#VALUE!</v>
      </c>
      <c r="AG390" s="1" t="e">
        <f>VLOOKUP(A390,'SegEnds_NonXtal_Prot#'!A:AL,28,FALSE)-VLOOKUP(A390,'SegEnds_NonXtal_Prot#'!A:AL,25,FALSE)</f>
        <v>#VALUE!</v>
      </c>
      <c r="AH390" s="1">
        <f>VLOOKUP(A390,'SegEnds_NonXtal_Prot#'!A:AL,28,FALSE)-VLOOKUP(A390,'SegEnds_NonXtal_Prot#'!A:AL,22,FALSE)</f>
        <v>81</v>
      </c>
      <c r="AI390" s="1">
        <f>VLOOKUP(A390,'SegEnds_NonXtal_Prot#'!A:AL,31,FALSE)-VLOOKUP(A390,'SegEnds_NonXtal_Prot#'!A:AL,28,FALSE)</f>
        <v>37</v>
      </c>
      <c r="AJ390" s="1">
        <f>VLOOKUP(A390,'SegEnds_NonXtal_Prot#'!A:AL,34,FALSE)-VLOOKUP(A390,'SegEnds_NonXtal_Prot#'!A:AL,31,FALSE)</f>
        <v>44</v>
      </c>
      <c r="AK390" s="1">
        <f>VLOOKUP(A390,'SegEnds_NonXtal_Prot#'!A:AL,37,FALSE)-VLOOKUP(A390,'SegEnds_NonXtal_Prot#'!A:AL,34,FALSE)</f>
        <v>11</v>
      </c>
      <c r="AL390" s="1" t="str">
        <f>IF(ISERROR(MATCH(A390,'SegEnds_Xtal_Prot#'!B:B, 0)), "NoXtal", "Xtal")</f>
        <v>NoXtal</v>
      </c>
    </row>
    <row r="391" spans="1:38" x14ac:dyDescent="0.2">
      <c r="A391" s="1" t="s">
        <v>475</v>
      </c>
      <c r="B391" s="1" t="str">
        <f>VLOOKUP(A391,Xtal_Templ!A:B,2,FALSE)</f>
        <v>fpr2_human</v>
      </c>
      <c r="C391" s="5">
        <f>VLOOKUP($B391&amp;"__wt",'SegEnds_Xtal_BW#'!$A:$Z,3,FALSE)</f>
        <v>25</v>
      </c>
      <c r="D391" s="1">
        <v>60</v>
      </c>
      <c r="E391" s="1" t="s">
        <v>23</v>
      </c>
      <c r="F391" s="1" t="s">
        <v>23</v>
      </c>
      <c r="G391" s="1">
        <v>39</v>
      </c>
      <c r="H391" s="12">
        <v>63</v>
      </c>
      <c r="I391" s="1" t="s">
        <v>23</v>
      </c>
      <c r="J391" s="1" t="s">
        <v>23</v>
      </c>
      <c r="K391" s="12">
        <v>23</v>
      </c>
      <c r="L391" s="1">
        <v>56</v>
      </c>
      <c r="M391" s="1" t="s">
        <v>23</v>
      </c>
      <c r="N391" s="12" t="s">
        <v>23</v>
      </c>
      <c r="O391" s="87">
        <v>40</v>
      </c>
      <c r="P391" s="1">
        <f>VLOOKUP($B391&amp;"__wt",'SegEnds_Xtal_BW#'!$A:$Z,16,FALSE)</f>
        <v>64</v>
      </c>
      <c r="Q391" s="1" t="s">
        <v>23</v>
      </c>
      <c r="R391" s="1" t="s">
        <v>23</v>
      </c>
      <c r="S391" s="1">
        <v>39</v>
      </c>
      <c r="T391" s="1">
        <v>61</v>
      </c>
      <c r="U391" s="1">
        <v>29</v>
      </c>
      <c r="V391" s="1">
        <v>53</v>
      </c>
      <c r="W391" s="1">
        <v>35</v>
      </c>
      <c r="X391" s="1">
        <v>56</v>
      </c>
      <c r="Y391" s="1">
        <v>47</v>
      </c>
      <c r="Z391" s="1">
        <v>57</v>
      </c>
      <c r="AA391" s="27" t="str">
        <f>VLOOKUP(A391,Classification!A:B,2,FALSE)</f>
        <v>O</v>
      </c>
      <c r="AB391" s="1">
        <f>VLOOKUP(A391,'SegEnds_NonXtal_Prot#'!A:AL,10,FALSE)-VLOOKUP(A391,'SegEnds_NonXtal_Prot#'!A:AL,4,FALSE)</f>
        <v>18</v>
      </c>
      <c r="AC391" s="1" t="e">
        <f>VLOOKUP(A391,'SegEnds_NonXtal_Prot#'!A:AL,10,FALSE)-VLOOKUP(A391,'SegEnds_NonXtal_Prot#'!A:AL,7,FALSE)</f>
        <v>#VALUE!</v>
      </c>
      <c r="AD391" s="1" t="e">
        <f>VLOOKUP(A391,'SegEnds_NonXtal_Prot#'!A:AL,13,FALSE)-VLOOKUP(A391,'SegEnds_NonXtal_Prot#'!A:AL,10,FALSE)</f>
        <v>#VALUE!</v>
      </c>
      <c r="AE391" s="1">
        <f>VLOOKUP(A391,'SegEnds_NonXtal_Prot#'!A:AL,16,FALSE)-VLOOKUP(A391,'SegEnds_NonXtal_Prot#'!A:AL,10,FALSE)</f>
        <v>81</v>
      </c>
      <c r="AF391" s="1" t="e">
        <f>VLOOKUP(A391,'SegEnds_NonXtal_Prot#'!A:AL,22,FALSE)-VLOOKUP(A391,'SegEnds_NonXtal_Prot#'!A:AL,19,FALSE)</f>
        <v>#VALUE!</v>
      </c>
      <c r="AG391" s="1" t="e">
        <f>VLOOKUP(A391,'SegEnds_NonXtal_Prot#'!A:AL,28,FALSE)-VLOOKUP(A391,'SegEnds_NonXtal_Prot#'!A:AL,25,FALSE)</f>
        <v>#VALUE!</v>
      </c>
      <c r="AH391" s="1">
        <f>VLOOKUP(A391,'SegEnds_NonXtal_Prot#'!A:AL,28,FALSE)-VLOOKUP(A391,'SegEnds_NonXtal_Prot#'!A:AL,22,FALSE)</f>
        <v>83</v>
      </c>
      <c r="AI391" s="1">
        <f>VLOOKUP(A391,'SegEnds_NonXtal_Prot#'!A:AL,31,FALSE)-VLOOKUP(A391,'SegEnds_NonXtal_Prot#'!A:AL,28,FALSE)</f>
        <v>79</v>
      </c>
      <c r="AJ391" s="1">
        <f>VLOOKUP(A391,'SegEnds_NonXtal_Prot#'!A:AL,34,FALSE)-VLOOKUP(A391,'SegEnds_NonXtal_Prot#'!A:AL,31,FALSE)</f>
        <v>33</v>
      </c>
      <c r="AK391" s="1">
        <f>VLOOKUP(A391,'SegEnds_NonXtal_Prot#'!A:AL,37,FALSE)-VLOOKUP(A391,'SegEnds_NonXtal_Prot#'!A:AL,34,FALSE)</f>
        <v>10</v>
      </c>
      <c r="AL391" s="1" t="str">
        <f>IF(ISERROR(MATCH(A391,'SegEnds_Xtal_Prot#'!B:B, 0)), "NoXtal", "Xtal")</f>
        <v>NoXtal</v>
      </c>
    </row>
    <row r="392" spans="1:38" x14ac:dyDescent="0.2">
      <c r="A392" s="1" t="s">
        <v>471</v>
      </c>
      <c r="B392" s="1" t="str">
        <f>VLOOKUP(A392,Xtal_Templ!A:B,2,FALSE)</f>
        <v>hrh1_human</v>
      </c>
      <c r="C392" s="5">
        <v>32</v>
      </c>
      <c r="D392" s="1">
        <v>62</v>
      </c>
      <c r="E392" s="1">
        <f>VLOOKUP($B392&amp;"__wt",'SegEnds_Xtal_BW#'!$A:$Z,5,FALSE)</f>
        <v>48</v>
      </c>
      <c r="F392" s="1">
        <f>VLOOKUP($B392&amp;"__wt",'SegEnds_Xtal_BW#'!$A:$Z,6,FALSE)</f>
        <v>51</v>
      </c>
      <c r="G392" s="1">
        <v>39</v>
      </c>
      <c r="H392" s="12">
        <v>66</v>
      </c>
      <c r="I392" s="1" t="s">
        <v>23</v>
      </c>
      <c r="J392" s="1" t="s">
        <v>23</v>
      </c>
      <c r="K392" s="12">
        <v>24</v>
      </c>
      <c r="L392" s="1">
        <f>VLOOKUP($B392&amp;"__wt",'SegEnds_Xtal_BW#'!$A:$Z,12,FALSE)</f>
        <v>56</v>
      </c>
      <c r="M392" s="1">
        <f>VLOOKUP($B392&amp;"__wt",'SegEnds_Xtal_BW#'!$A:$Z,13,FALSE)</f>
        <v>50</v>
      </c>
      <c r="N392" s="12">
        <f>VLOOKUP($B392&amp;"__wt",'SegEnds_Xtal_BW#'!$A:$Z,14,FALSE)</f>
        <v>57</v>
      </c>
      <c r="O392" s="87">
        <v>38</v>
      </c>
      <c r="P392" s="1">
        <f>VLOOKUP($B392&amp;"__wt",'SegEnds_Xtal_BW#'!$A:$Z,16,FALSE)</f>
        <v>62</v>
      </c>
      <c r="Q392" s="1">
        <f>VLOOKUP($B392&amp;"__wt",'SegEnds_Xtal_BW#'!$A:$Z,17,FALSE)</f>
        <v>50</v>
      </c>
      <c r="R392" s="1">
        <f>VLOOKUP($B392&amp;"__wt",'SegEnds_Xtal_BW#'!$A:$Z,18,FALSE)</f>
        <v>52</v>
      </c>
      <c r="S392" s="1">
        <v>32</v>
      </c>
      <c r="T392" s="1">
        <v>72</v>
      </c>
      <c r="U392" s="1">
        <v>29</v>
      </c>
      <c r="V392" s="1">
        <v>61</v>
      </c>
      <c r="W392" s="1">
        <v>31</v>
      </c>
      <c r="X392" s="1">
        <f>VLOOKUP($B392&amp;"__wt",'SegEnds_Xtal_BW#'!$A:$Z,24,FALSE)</f>
        <v>56</v>
      </c>
      <c r="Y392" s="1">
        <f>VLOOKUP($B392&amp;"__wt",'SegEnds_Xtal_BW#'!$A:$Z,25,FALSE)</f>
        <v>47</v>
      </c>
      <c r="Z392" s="1">
        <v>60</v>
      </c>
      <c r="AA392" s="27" t="str">
        <f>VLOOKUP(A392,Classification!A:B,2,FALSE)</f>
        <v>T</v>
      </c>
      <c r="AB392" s="1">
        <f>VLOOKUP(A392,'SegEnds_NonXtal_Prot#'!A:AL,10,FALSE)-VLOOKUP(A392,'SegEnds_NonXtal_Prot#'!A:AL,4,FALSE)</f>
        <v>31</v>
      </c>
      <c r="AC392" s="1">
        <f>VLOOKUP(A392,'SegEnds_NonXtal_Prot#'!A:AL,10,FALSE)-VLOOKUP(A392,'SegEnds_NonXtal_Prot#'!A:AL,7,FALSE)</f>
        <v>16</v>
      </c>
      <c r="AD392" s="1" t="e">
        <f>VLOOKUP(A392,'SegEnds_NonXtal_Prot#'!A:AL,13,FALSE)-VLOOKUP(A392,'SegEnds_NonXtal_Prot#'!A:AL,10,FALSE)</f>
        <v>#VALUE!</v>
      </c>
      <c r="AE392" s="1">
        <f>VLOOKUP(A392,'SegEnds_NonXtal_Prot#'!A:AL,16,FALSE)-VLOOKUP(A392,'SegEnds_NonXtal_Prot#'!A:AL,10,FALSE)</f>
        <v>48</v>
      </c>
      <c r="AF392" s="1">
        <f>VLOOKUP(A392,'SegEnds_NonXtal_Prot#'!A:AL,22,FALSE)-VLOOKUP(A392,'SegEnds_NonXtal_Prot#'!A:AL,19,FALSE)</f>
        <v>20</v>
      </c>
      <c r="AG392" s="1" t="e">
        <f>VLOOKUP(A392,'SegEnds_NonXtal_Prot#'!A:AL,28,FALSE)-VLOOKUP(A392,'SegEnds_NonXtal_Prot#'!A:AL,25,FALSE)</f>
        <v>#VALUE!</v>
      </c>
      <c r="AH392" s="1">
        <f>VLOOKUP(A392,'SegEnds_NonXtal_Prot#'!A:AL,28,FALSE)-VLOOKUP(A392,'SegEnds_NonXtal_Prot#'!A:AL,22,FALSE)</f>
        <v>48</v>
      </c>
      <c r="AI392" s="1">
        <f>VLOOKUP(A392,'SegEnds_NonXtal_Prot#'!A:AL,31,FALSE)-VLOOKUP(A392,'SegEnds_NonXtal_Prot#'!A:AL,28,FALSE)</f>
        <v>53</v>
      </c>
      <c r="AJ392" s="1">
        <f>VLOOKUP(A392,'SegEnds_NonXtal_Prot#'!A:AL,34,FALSE)-VLOOKUP(A392,'SegEnds_NonXtal_Prot#'!A:AL,31,FALSE)</f>
        <v>36</v>
      </c>
      <c r="AK392" s="1">
        <f>VLOOKUP(A392,'SegEnds_NonXtal_Prot#'!A:AL,37,FALSE)-VLOOKUP(A392,'SegEnds_NonXtal_Prot#'!A:AL,34,FALSE)</f>
        <v>10</v>
      </c>
      <c r="AL392" s="1" t="str">
        <f>IF(ISERROR(MATCH(A392,'SegEnds_Xtal_Prot#'!B:B, 0)), "NoXtal", "Xtal")</f>
        <v>NoXtal</v>
      </c>
    </row>
    <row r="393" spans="1:38" x14ac:dyDescent="0.2">
      <c r="A393" s="1" t="s">
        <v>450</v>
      </c>
      <c r="B393" s="1" t="str">
        <f>VLOOKUP(A393,Xtal_Templ!A:B,2,FALSE)</f>
        <v>drd2_human</v>
      </c>
      <c r="C393" s="5">
        <v>32</v>
      </c>
      <c r="D393" s="1">
        <v>62</v>
      </c>
      <c r="E393" s="1">
        <f>VLOOKUP($B393&amp;"__wt",'SegEnds_Xtal_BW#'!$A:$Z,5,FALSE)</f>
        <v>48</v>
      </c>
      <c r="F393" s="1">
        <f>VLOOKUP($B393&amp;"__wt",'SegEnds_Xtal_BW#'!$A:$Z,6,FALSE)</f>
        <v>51</v>
      </c>
      <c r="G393" s="1">
        <v>39</v>
      </c>
      <c r="H393" s="12">
        <v>67</v>
      </c>
      <c r="I393" s="1" t="s">
        <v>23</v>
      </c>
      <c r="J393" s="1" t="s">
        <v>23</v>
      </c>
      <c r="K393" s="12">
        <v>21</v>
      </c>
      <c r="L393" s="1">
        <f>VLOOKUP($B393&amp;"__wt",'SegEnds_Xtal_BW#'!$A:$Z,12,FALSE)</f>
        <v>56</v>
      </c>
      <c r="M393" s="1">
        <f>VLOOKUP($B393&amp;"__wt",'SegEnds_Xtal_BW#'!$A:$Z,13,FALSE)</f>
        <v>50</v>
      </c>
      <c r="N393" s="12">
        <f>VLOOKUP($B393&amp;"__wt",'SegEnds_Xtal_BW#'!$A:$Z,14,FALSE)</f>
        <v>58</v>
      </c>
      <c r="O393" s="88">
        <v>38</v>
      </c>
      <c r="P393" s="1">
        <f>VLOOKUP($B393&amp;"__wt",'SegEnds_Xtal_BW#'!$A:$Z,16,FALSE)</f>
        <v>62</v>
      </c>
      <c r="Q393" s="1">
        <f>VLOOKUP($B393&amp;"__wt",'SegEnds_Xtal_BW#'!$A:$Z,17,FALSE)</f>
        <v>50</v>
      </c>
      <c r="R393" s="1">
        <f>VLOOKUP($B393&amp;"__wt",'SegEnds_Xtal_BW#'!$A:$Z,18,FALSE)</f>
        <v>52</v>
      </c>
      <c r="S393" s="1">
        <v>32</v>
      </c>
      <c r="T393" s="1">
        <v>72</v>
      </c>
      <c r="U393" s="1">
        <v>29</v>
      </c>
      <c r="V393" s="1">
        <v>61</v>
      </c>
      <c r="W393" s="1">
        <v>31</v>
      </c>
      <c r="X393" s="1">
        <f>VLOOKUP($B393&amp;"__wt",'SegEnds_Xtal_BW#'!$A:$Z,24,FALSE)</f>
        <v>56</v>
      </c>
      <c r="Y393" s="1">
        <f>VLOOKUP($B393&amp;"__wt",'SegEnds_Xtal_BW#'!$A:$Z,25,FALSE)</f>
        <v>47</v>
      </c>
      <c r="Z393" s="1">
        <v>60</v>
      </c>
      <c r="AA393" s="27" t="str">
        <f>VLOOKUP(A393,Classification!A:B,2,FALSE)</f>
        <v>T</v>
      </c>
      <c r="AB393" s="1">
        <f>VLOOKUP(A393,'SegEnds_NonXtal_Prot#'!A:AL,10,FALSE)-VLOOKUP(A393,'SegEnds_NonXtal_Prot#'!A:AL,4,FALSE)</f>
        <v>30</v>
      </c>
      <c r="AC393" s="1">
        <f>VLOOKUP(A393,'SegEnds_NonXtal_Prot#'!A:AL,10,FALSE)-VLOOKUP(A393,'SegEnds_NonXtal_Prot#'!A:AL,7,FALSE)</f>
        <v>15</v>
      </c>
      <c r="AD393" s="1" t="e">
        <f>VLOOKUP(A393,'SegEnds_NonXtal_Prot#'!A:AL,13,FALSE)-VLOOKUP(A393,'SegEnds_NonXtal_Prot#'!A:AL,10,FALSE)</f>
        <v>#VALUE!</v>
      </c>
      <c r="AE393" s="1">
        <f>VLOOKUP(A393,'SegEnds_NonXtal_Prot#'!A:AL,16,FALSE)-VLOOKUP(A393,'SegEnds_NonXtal_Prot#'!A:AL,10,FALSE)</f>
        <v>52</v>
      </c>
      <c r="AF393" s="1">
        <f>VLOOKUP(A393,'SegEnds_NonXtal_Prot#'!A:AL,22,FALSE)-VLOOKUP(A393,'SegEnds_NonXtal_Prot#'!A:AL,19,FALSE)</f>
        <v>20</v>
      </c>
      <c r="AG393" s="1" t="e">
        <f>VLOOKUP(A393,'SegEnds_NonXtal_Prot#'!A:AL,28,FALSE)-VLOOKUP(A393,'SegEnds_NonXtal_Prot#'!A:AL,25,FALSE)</f>
        <v>#VALUE!</v>
      </c>
      <c r="AH393" s="1">
        <f>VLOOKUP(A393,'SegEnds_NonXtal_Prot#'!A:AL,28,FALSE)-VLOOKUP(A393,'SegEnds_NonXtal_Prot#'!A:AL,22,FALSE)</f>
        <v>50</v>
      </c>
      <c r="AI393" s="1">
        <f>VLOOKUP(A393,'SegEnds_NonXtal_Prot#'!A:AL,31,FALSE)-VLOOKUP(A393,'SegEnds_NonXtal_Prot#'!A:AL,28,FALSE)</f>
        <v>53</v>
      </c>
      <c r="AJ393" s="1">
        <f>VLOOKUP(A393,'SegEnds_NonXtal_Prot#'!A:AL,34,FALSE)-VLOOKUP(A393,'SegEnds_NonXtal_Prot#'!A:AL,31,FALSE)</f>
        <v>36</v>
      </c>
      <c r="AK393" s="1">
        <f>VLOOKUP(A393,'SegEnds_NonXtal_Prot#'!A:AL,37,FALSE)-VLOOKUP(A393,'SegEnds_NonXtal_Prot#'!A:AL,34,FALSE)</f>
        <v>10</v>
      </c>
      <c r="AL393" s="1" t="str">
        <f>IF(ISERROR(MATCH(A393,'SegEnds_Xtal_Prot#'!B:B, 0)), "NoXtal", "Xtal")</f>
        <v>NoXtal</v>
      </c>
    </row>
    <row r="394" spans="1:38" x14ac:dyDescent="0.2">
      <c r="A394" s="1" t="s">
        <v>454</v>
      </c>
      <c r="B394" s="1" t="str">
        <f>VLOOKUP(A394,Xtal_Templ!A:B,2,FALSE)</f>
        <v>5ht2c_human</v>
      </c>
      <c r="C394" s="5">
        <v>32</v>
      </c>
      <c r="D394" s="1">
        <v>62</v>
      </c>
      <c r="E394" s="1">
        <f>VLOOKUP($B394&amp;"__wt",'SegEnds_Xtal_BW#'!$A:$Z,5,FALSE)</f>
        <v>48</v>
      </c>
      <c r="F394" s="1">
        <f>VLOOKUP($B394&amp;"__wt",'SegEnds_Xtal_BW#'!$A:$Z,6,FALSE)</f>
        <v>51</v>
      </c>
      <c r="G394" s="1">
        <v>39</v>
      </c>
      <c r="H394" s="12">
        <v>66</v>
      </c>
      <c r="I394" s="1" t="s">
        <v>23</v>
      </c>
      <c r="J394" s="1" t="s">
        <v>23</v>
      </c>
      <c r="K394" s="12">
        <v>21</v>
      </c>
      <c r="L394" s="1">
        <f>VLOOKUP($B394&amp;"__wt",'SegEnds_Xtal_BW#'!$A:$Z,12,FALSE)</f>
        <v>56</v>
      </c>
      <c r="M394" s="1">
        <f>VLOOKUP($B394&amp;"__wt",'SegEnds_Xtal_BW#'!$A:$Z,13,FALSE)</f>
        <v>50</v>
      </c>
      <c r="N394" s="12">
        <v>57</v>
      </c>
      <c r="O394" s="88">
        <v>38</v>
      </c>
      <c r="P394" s="1">
        <f>VLOOKUP($B394&amp;"__wt",'SegEnds_Xtal_BW#'!$A:$Z,16,FALSE)</f>
        <v>67</v>
      </c>
      <c r="Q394" s="1">
        <f>VLOOKUP($B394&amp;"__wt",'SegEnds_Xtal_BW#'!$A:$Z,17,FALSE)</f>
        <v>50</v>
      </c>
      <c r="R394" s="1">
        <f>VLOOKUP($B394&amp;"__wt",'SegEnds_Xtal_BW#'!$A:$Z,18,FALSE)</f>
        <v>52</v>
      </c>
      <c r="S394" s="1">
        <v>32</v>
      </c>
      <c r="T394" s="1">
        <v>72</v>
      </c>
      <c r="U394" s="1">
        <v>29</v>
      </c>
      <c r="V394" s="1">
        <v>61</v>
      </c>
      <c r="W394" s="1">
        <v>31</v>
      </c>
      <c r="X394" s="1">
        <f>VLOOKUP($B394&amp;"__wt",'SegEnds_Xtal_BW#'!$A:$Z,24,FALSE)</f>
        <v>56</v>
      </c>
      <c r="Y394" s="1">
        <f>VLOOKUP($B394&amp;"__wt",'SegEnds_Xtal_BW#'!$A:$Z,25,FALSE)</f>
        <v>47</v>
      </c>
      <c r="Z394" s="1">
        <v>60</v>
      </c>
      <c r="AA394" s="27" t="str">
        <f>VLOOKUP(A394,Classification!A:B,2,FALSE)</f>
        <v>T</v>
      </c>
      <c r="AB394" s="1">
        <f>VLOOKUP(A394,'SegEnds_NonXtal_Prot#'!A:AL,10,FALSE)-VLOOKUP(A394,'SegEnds_NonXtal_Prot#'!A:AL,4,FALSE)</f>
        <v>31</v>
      </c>
      <c r="AC394" s="1">
        <f>VLOOKUP(A394,'SegEnds_NonXtal_Prot#'!A:AL,10,FALSE)-VLOOKUP(A394,'SegEnds_NonXtal_Prot#'!A:AL,7,FALSE)</f>
        <v>16</v>
      </c>
      <c r="AD394" s="1" t="e">
        <f>VLOOKUP(A394,'SegEnds_NonXtal_Prot#'!A:AL,13,FALSE)-VLOOKUP(A394,'SegEnds_NonXtal_Prot#'!A:AL,10,FALSE)</f>
        <v>#VALUE!</v>
      </c>
      <c r="AE394" s="1">
        <f>VLOOKUP(A394,'SegEnds_NonXtal_Prot#'!A:AL,16,FALSE)-VLOOKUP(A394,'SegEnds_NonXtal_Prot#'!A:AL,10,FALSE)</f>
        <v>51</v>
      </c>
      <c r="AF394" s="1">
        <f>VLOOKUP(A394,'SegEnds_NonXtal_Prot#'!A:AL,22,FALSE)-VLOOKUP(A394,'SegEnds_NonXtal_Prot#'!A:AL,19,FALSE)</f>
        <v>20</v>
      </c>
      <c r="AG394" s="1" t="e">
        <f>VLOOKUP(A394,'SegEnds_NonXtal_Prot#'!A:AL,28,FALSE)-VLOOKUP(A394,'SegEnds_NonXtal_Prot#'!A:AL,25,FALSE)</f>
        <v>#VALUE!</v>
      </c>
      <c r="AH394" s="1">
        <f>VLOOKUP(A394,'SegEnds_NonXtal_Prot#'!A:AL,28,FALSE)-VLOOKUP(A394,'SegEnds_NonXtal_Prot#'!A:AL,22,FALSE)</f>
        <v>52</v>
      </c>
      <c r="AI394" s="1">
        <f>VLOOKUP(A394,'SegEnds_NonXtal_Prot#'!A:AL,31,FALSE)-VLOOKUP(A394,'SegEnds_NonXtal_Prot#'!A:AL,28,FALSE)</f>
        <v>53</v>
      </c>
      <c r="AJ394" s="1">
        <f>VLOOKUP(A394,'SegEnds_NonXtal_Prot#'!A:AL,34,FALSE)-VLOOKUP(A394,'SegEnds_NonXtal_Prot#'!A:AL,31,FALSE)</f>
        <v>36</v>
      </c>
      <c r="AK394" s="1">
        <f>VLOOKUP(A394,'SegEnds_NonXtal_Prot#'!A:AL,37,FALSE)-VLOOKUP(A394,'SegEnds_NonXtal_Prot#'!A:AL,34,FALSE)</f>
        <v>10</v>
      </c>
      <c r="AL394" s="1" t="str">
        <f>IF(ISERROR(MATCH(A394,'SegEnds_Xtal_Prot#'!B:B, 0)), "NoXtal", "Xtal")</f>
        <v>NoXtal</v>
      </c>
    </row>
    <row r="395" spans="1:38" x14ac:dyDescent="0.2">
      <c r="A395" s="1" t="s">
        <v>455</v>
      </c>
      <c r="B395" s="1" t="str">
        <f>VLOOKUP(A395,Xtal_Templ!A:B,2,FALSE)</f>
        <v>5ht2c_human</v>
      </c>
      <c r="C395" s="5">
        <v>32</v>
      </c>
      <c r="D395" s="1">
        <v>62</v>
      </c>
      <c r="E395" s="1">
        <f>VLOOKUP($B395&amp;"__wt",'SegEnds_Xtal_BW#'!$A:$Z,5,FALSE)</f>
        <v>48</v>
      </c>
      <c r="F395" s="1">
        <f>VLOOKUP($B395&amp;"__wt",'SegEnds_Xtal_BW#'!$A:$Z,6,FALSE)</f>
        <v>51</v>
      </c>
      <c r="G395" s="1">
        <v>39</v>
      </c>
      <c r="H395" s="12">
        <v>66</v>
      </c>
      <c r="I395" s="1" t="s">
        <v>23</v>
      </c>
      <c r="J395" s="1" t="s">
        <v>23</v>
      </c>
      <c r="K395" s="12">
        <v>21</v>
      </c>
      <c r="L395" s="1">
        <f>VLOOKUP($B395&amp;"__wt",'SegEnds_Xtal_BW#'!$A:$Z,12,FALSE)</f>
        <v>56</v>
      </c>
      <c r="M395" s="1">
        <f>VLOOKUP($B395&amp;"__wt",'SegEnds_Xtal_BW#'!$A:$Z,13,FALSE)</f>
        <v>50</v>
      </c>
      <c r="N395" s="12">
        <v>57</v>
      </c>
      <c r="O395" s="87">
        <v>38</v>
      </c>
      <c r="P395" s="1">
        <f>VLOOKUP($B395&amp;"__wt",'SegEnds_Xtal_BW#'!$A:$Z,16,FALSE)</f>
        <v>67</v>
      </c>
      <c r="Q395" s="1">
        <f>VLOOKUP($B395&amp;"__wt",'SegEnds_Xtal_BW#'!$A:$Z,17,FALSE)</f>
        <v>50</v>
      </c>
      <c r="R395" s="1">
        <f>VLOOKUP($B395&amp;"__wt",'SegEnds_Xtal_BW#'!$A:$Z,18,FALSE)</f>
        <v>52</v>
      </c>
      <c r="S395" s="1">
        <v>32</v>
      </c>
      <c r="T395" s="1">
        <v>72</v>
      </c>
      <c r="U395" s="1">
        <v>29</v>
      </c>
      <c r="V395" s="1">
        <v>61</v>
      </c>
      <c r="W395" s="1">
        <v>31</v>
      </c>
      <c r="X395" s="1">
        <f>VLOOKUP($B395&amp;"__wt",'SegEnds_Xtal_BW#'!$A:$Z,24,FALSE)</f>
        <v>56</v>
      </c>
      <c r="Y395" s="1">
        <f>VLOOKUP($B395&amp;"__wt",'SegEnds_Xtal_BW#'!$A:$Z,25,FALSE)</f>
        <v>47</v>
      </c>
      <c r="Z395" s="1">
        <v>60</v>
      </c>
      <c r="AA395" s="27" t="str">
        <f>VLOOKUP(A395,Classification!A:B,2,FALSE)</f>
        <v>T</v>
      </c>
      <c r="AB395" s="1">
        <f>VLOOKUP(A395,'SegEnds_NonXtal_Prot#'!A:AL,10,FALSE)-VLOOKUP(A395,'SegEnds_NonXtal_Prot#'!A:AL,4,FALSE)</f>
        <v>31</v>
      </c>
      <c r="AC395" s="1">
        <f>VLOOKUP(A395,'SegEnds_NonXtal_Prot#'!A:AL,10,FALSE)-VLOOKUP(A395,'SegEnds_NonXtal_Prot#'!A:AL,7,FALSE)</f>
        <v>16</v>
      </c>
      <c r="AD395" s="1" t="e">
        <f>VLOOKUP(A395,'SegEnds_NonXtal_Prot#'!A:AL,13,FALSE)-VLOOKUP(A395,'SegEnds_NonXtal_Prot#'!A:AL,10,FALSE)</f>
        <v>#VALUE!</v>
      </c>
      <c r="AE395" s="1">
        <f>VLOOKUP(A395,'SegEnds_NonXtal_Prot#'!A:AL,16,FALSE)-VLOOKUP(A395,'SegEnds_NonXtal_Prot#'!A:AL,10,FALSE)</f>
        <v>51</v>
      </c>
      <c r="AF395" s="1">
        <f>VLOOKUP(A395,'SegEnds_NonXtal_Prot#'!A:AL,22,FALSE)-VLOOKUP(A395,'SegEnds_NonXtal_Prot#'!A:AL,19,FALSE)</f>
        <v>20</v>
      </c>
      <c r="AG395" s="1" t="e">
        <f>VLOOKUP(A395,'SegEnds_NonXtal_Prot#'!A:AL,28,FALSE)-VLOOKUP(A395,'SegEnds_NonXtal_Prot#'!A:AL,25,FALSE)</f>
        <v>#VALUE!</v>
      </c>
      <c r="AH395" s="1">
        <f>VLOOKUP(A395,'SegEnds_NonXtal_Prot#'!A:AL,28,FALSE)-VLOOKUP(A395,'SegEnds_NonXtal_Prot#'!A:AL,22,FALSE)</f>
        <v>52</v>
      </c>
      <c r="AI395" s="1">
        <f>VLOOKUP(A395,'SegEnds_NonXtal_Prot#'!A:AL,31,FALSE)-VLOOKUP(A395,'SegEnds_NonXtal_Prot#'!A:AL,28,FALSE)</f>
        <v>53</v>
      </c>
      <c r="AJ395" s="1">
        <f>VLOOKUP(A395,'SegEnds_NonXtal_Prot#'!A:AL,34,FALSE)-VLOOKUP(A395,'SegEnds_NonXtal_Prot#'!A:AL,31,FALSE)</f>
        <v>36</v>
      </c>
      <c r="AK395" s="1">
        <f>VLOOKUP(A395,'SegEnds_NonXtal_Prot#'!A:AL,37,FALSE)-VLOOKUP(A395,'SegEnds_NonXtal_Prot#'!A:AL,34,FALSE)</f>
        <v>10</v>
      </c>
      <c r="AL395" s="1" t="str">
        <f>IF(ISERROR(MATCH(A395,'SegEnds_Xtal_Prot#'!B:B, 0)), "NoXtal", "Xtal")</f>
        <v>NoXtal</v>
      </c>
    </row>
    <row r="396" spans="1:38" x14ac:dyDescent="0.2">
      <c r="A396" s="1" t="s">
        <v>456</v>
      </c>
      <c r="B396" s="1" t="str">
        <f>VLOOKUP(A396,Xtal_Templ!A:B,2,FALSE)</f>
        <v>5ht2c_human</v>
      </c>
      <c r="C396" s="5">
        <v>32</v>
      </c>
      <c r="D396" s="1">
        <v>62</v>
      </c>
      <c r="E396" s="1">
        <f>VLOOKUP($B396&amp;"__wt",'SegEnds_Xtal_BW#'!$A:$Z,5,FALSE)</f>
        <v>48</v>
      </c>
      <c r="F396" s="1">
        <f>VLOOKUP($B396&amp;"__wt",'SegEnds_Xtal_BW#'!$A:$Z,6,FALSE)</f>
        <v>51</v>
      </c>
      <c r="G396" s="1">
        <v>39</v>
      </c>
      <c r="H396" s="12">
        <v>66</v>
      </c>
      <c r="I396" s="1" t="s">
        <v>23</v>
      </c>
      <c r="J396" s="1" t="s">
        <v>23</v>
      </c>
      <c r="K396" s="12">
        <v>21</v>
      </c>
      <c r="L396" s="1">
        <f>VLOOKUP($B396&amp;"__wt",'SegEnds_Xtal_BW#'!$A:$Z,12,FALSE)</f>
        <v>56</v>
      </c>
      <c r="M396" s="1">
        <f>VLOOKUP($B396&amp;"__wt",'SegEnds_Xtal_BW#'!$A:$Z,13,FALSE)</f>
        <v>50</v>
      </c>
      <c r="N396" s="12">
        <v>57</v>
      </c>
      <c r="O396" s="88">
        <v>38</v>
      </c>
      <c r="P396" s="1">
        <f>VLOOKUP($B396&amp;"__wt",'SegEnds_Xtal_BW#'!$A:$Z,16,FALSE)</f>
        <v>67</v>
      </c>
      <c r="Q396" s="1">
        <f>VLOOKUP($B396&amp;"__wt",'SegEnds_Xtal_BW#'!$A:$Z,17,FALSE)</f>
        <v>50</v>
      </c>
      <c r="R396" s="1">
        <f>VLOOKUP($B396&amp;"__wt",'SegEnds_Xtal_BW#'!$A:$Z,18,FALSE)</f>
        <v>52</v>
      </c>
      <c r="S396" s="1">
        <v>32</v>
      </c>
      <c r="T396" s="1">
        <v>72</v>
      </c>
      <c r="U396" s="1">
        <v>29</v>
      </c>
      <c r="V396" s="1">
        <v>61</v>
      </c>
      <c r="W396" s="1">
        <v>31</v>
      </c>
      <c r="X396" s="1">
        <f>VLOOKUP($B396&amp;"__wt",'SegEnds_Xtal_BW#'!$A:$Z,24,FALSE)</f>
        <v>56</v>
      </c>
      <c r="Y396" s="1">
        <f>VLOOKUP($B396&amp;"__wt",'SegEnds_Xtal_BW#'!$A:$Z,25,FALSE)</f>
        <v>47</v>
      </c>
      <c r="Z396" s="1">
        <v>60</v>
      </c>
      <c r="AA396" s="27" t="str">
        <f>VLOOKUP(A396,Classification!A:B,2,FALSE)</f>
        <v>T</v>
      </c>
      <c r="AB396" s="1">
        <f>VLOOKUP(A396,'SegEnds_NonXtal_Prot#'!A:AL,10,FALSE)-VLOOKUP(A396,'SegEnds_NonXtal_Prot#'!A:AL,4,FALSE)</f>
        <v>31</v>
      </c>
      <c r="AC396" s="1">
        <f>VLOOKUP(A396,'SegEnds_NonXtal_Prot#'!A:AL,10,FALSE)-VLOOKUP(A396,'SegEnds_NonXtal_Prot#'!A:AL,7,FALSE)</f>
        <v>16</v>
      </c>
      <c r="AD396" s="1" t="e">
        <f>VLOOKUP(A396,'SegEnds_NonXtal_Prot#'!A:AL,13,FALSE)-VLOOKUP(A396,'SegEnds_NonXtal_Prot#'!A:AL,10,FALSE)</f>
        <v>#VALUE!</v>
      </c>
      <c r="AE396" s="1">
        <f>VLOOKUP(A396,'SegEnds_NonXtal_Prot#'!A:AL,16,FALSE)-VLOOKUP(A396,'SegEnds_NonXtal_Prot#'!A:AL,10,FALSE)</f>
        <v>51</v>
      </c>
      <c r="AF396" s="1">
        <f>VLOOKUP(A396,'SegEnds_NonXtal_Prot#'!A:AL,22,FALSE)-VLOOKUP(A396,'SegEnds_NonXtal_Prot#'!A:AL,19,FALSE)</f>
        <v>20</v>
      </c>
      <c r="AG396" s="1" t="e">
        <f>VLOOKUP(A396,'SegEnds_NonXtal_Prot#'!A:AL,28,FALSE)-VLOOKUP(A396,'SegEnds_NonXtal_Prot#'!A:AL,25,FALSE)</f>
        <v>#VALUE!</v>
      </c>
      <c r="AH396" s="1">
        <f>VLOOKUP(A396,'SegEnds_NonXtal_Prot#'!A:AL,28,FALSE)-VLOOKUP(A396,'SegEnds_NonXtal_Prot#'!A:AL,22,FALSE)</f>
        <v>52</v>
      </c>
      <c r="AI396" s="1">
        <f>VLOOKUP(A396,'SegEnds_NonXtal_Prot#'!A:AL,31,FALSE)-VLOOKUP(A396,'SegEnds_NonXtal_Prot#'!A:AL,28,FALSE)</f>
        <v>53</v>
      </c>
      <c r="AJ396" s="1">
        <f>VLOOKUP(A396,'SegEnds_NonXtal_Prot#'!A:AL,34,FALSE)-VLOOKUP(A396,'SegEnds_NonXtal_Prot#'!A:AL,31,FALSE)</f>
        <v>36</v>
      </c>
      <c r="AK396" s="1">
        <f>VLOOKUP(A396,'SegEnds_NonXtal_Prot#'!A:AL,37,FALSE)-VLOOKUP(A396,'SegEnds_NonXtal_Prot#'!A:AL,34,FALSE)</f>
        <v>10</v>
      </c>
      <c r="AL396" s="1" t="str">
        <f>IF(ISERROR(MATCH(A396,'SegEnds_Xtal_Prot#'!B:B, 0)), "NoXtal", "Xtal")</f>
        <v>NoXtal</v>
      </c>
    </row>
    <row r="397" spans="1:38" x14ac:dyDescent="0.2">
      <c r="A397" s="1" t="s">
        <v>457</v>
      </c>
      <c r="B397" s="1" t="str">
        <f>VLOOKUP(A397,Xtal_Templ!A:B,2,FALSE)</f>
        <v>agtr1_human</v>
      </c>
      <c r="C397" s="5">
        <v>32</v>
      </c>
      <c r="D397" s="1">
        <v>62</v>
      </c>
      <c r="E397" s="1">
        <f>VLOOKUP($B397&amp;"__wt",'SegEnds_Xtal_BW#'!$A:$Z,5,FALSE)</f>
        <v>48</v>
      </c>
      <c r="F397" s="1">
        <f>VLOOKUP($B397&amp;"__wt",'SegEnds_Xtal_BW#'!$A:$Z,6,FALSE)</f>
        <v>51</v>
      </c>
      <c r="G397" s="1">
        <v>39</v>
      </c>
      <c r="H397" s="12">
        <v>66</v>
      </c>
      <c r="I397" s="1" t="s">
        <v>23</v>
      </c>
      <c r="J397" s="1" t="s">
        <v>23</v>
      </c>
      <c r="K397" s="12">
        <v>21</v>
      </c>
      <c r="L397" s="1">
        <f>VLOOKUP($B397&amp;"__wt",'SegEnds_Xtal_BW#'!$A:$Z,12,FALSE)</f>
        <v>56</v>
      </c>
      <c r="M397" s="1">
        <f>VLOOKUP($B397&amp;"__wt",'SegEnds_Xtal_BW#'!$A:$Z,13,FALSE)</f>
        <v>50</v>
      </c>
      <c r="N397" s="12">
        <v>57</v>
      </c>
      <c r="O397" s="87">
        <v>38</v>
      </c>
      <c r="P397" s="1">
        <f>VLOOKUP($B397&amp;"__wt",'SegEnds_Xtal_BW#'!$A:$Z,16,FALSE)</f>
        <v>64</v>
      </c>
      <c r="Q397" s="1">
        <f>VLOOKUP($B397&amp;"__wt",'SegEnds_Xtal_BW#'!$A:$Z,17,FALSE)</f>
        <v>50</v>
      </c>
      <c r="R397" s="1">
        <f>VLOOKUP($B397&amp;"__wt",'SegEnds_Xtal_BW#'!$A:$Z,18,FALSE)</f>
        <v>52</v>
      </c>
      <c r="S397" s="1">
        <v>32</v>
      </c>
      <c r="T397" s="1">
        <v>72</v>
      </c>
      <c r="U397" s="1">
        <v>29</v>
      </c>
      <c r="V397" s="1">
        <v>61</v>
      </c>
      <c r="W397" s="1">
        <v>31</v>
      </c>
      <c r="X397" s="1">
        <f>VLOOKUP($B397&amp;"__wt",'SegEnds_Xtal_BW#'!$A:$Z,24,FALSE)</f>
        <v>56</v>
      </c>
      <c r="Y397" s="1">
        <f>VLOOKUP($B397&amp;"__wt",'SegEnds_Xtal_BW#'!$A:$Z,25,FALSE)</f>
        <v>47</v>
      </c>
      <c r="Z397" s="1">
        <v>60</v>
      </c>
      <c r="AA397" s="27" t="str">
        <f>VLOOKUP(A397,Classification!A:B,2,FALSE)</f>
        <v>T</v>
      </c>
      <c r="AB397" s="1">
        <f>VLOOKUP(A397,'SegEnds_NonXtal_Prot#'!A:AL,10,FALSE)-VLOOKUP(A397,'SegEnds_NonXtal_Prot#'!A:AL,4,FALSE)</f>
        <v>31</v>
      </c>
      <c r="AC397" s="1">
        <f>VLOOKUP(A397,'SegEnds_NonXtal_Prot#'!A:AL,10,FALSE)-VLOOKUP(A397,'SegEnds_NonXtal_Prot#'!A:AL,7,FALSE)</f>
        <v>16</v>
      </c>
      <c r="AD397" s="1" t="e">
        <f>VLOOKUP(A397,'SegEnds_NonXtal_Prot#'!A:AL,13,FALSE)-VLOOKUP(A397,'SegEnds_NonXtal_Prot#'!A:AL,10,FALSE)</f>
        <v>#VALUE!</v>
      </c>
      <c r="AE397" s="1">
        <f>VLOOKUP(A397,'SegEnds_NonXtal_Prot#'!A:AL,16,FALSE)-VLOOKUP(A397,'SegEnds_NonXtal_Prot#'!A:AL,10,FALSE)</f>
        <v>51</v>
      </c>
      <c r="AF397" s="1">
        <f>VLOOKUP(A397,'SegEnds_NonXtal_Prot#'!A:AL,22,FALSE)-VLOOKUP(A397,'SegEnds_NonXtal_Prot#'!A:AL,19,FALSE)</f>
        <v>20</v>
      </c>
      <c r="AG397" s="1" t="e">
        <f>VLOOKUP(A397,'SegEnds_NonXtal_Prot#'!A:AL,28,FALSE)-VLOOKUP(A397,'SegEnds_NonXtal_Prot#'!A:AL,25,FALSE)</f>
        <v>#VALUE!</v>
      </c>
      <c r="AH397" s="1">
        <f>VLOOKUP(A397,'SegEnds_NonXtal_Prot#'!A:AL,28,FALSE)-VLOOKUP(A397,'SegEnds_NonXtal_Prot#'!A:AL,22,FALSE)</f>
        <v>52</v>
      </c>
      <c r="AI397" s="1">
        <f>VLOOKUP(A397,'SegEnds_NonXtal_Prot#'!A:AL,31,FALSE)-VLOOKUP(A397,'SegEnds_NonXtal_Prot#'!A:AL,28,FALSE)</f>
        <v>53</v>
      </c>
      <c r="AJ397" s="1">
        <f>VLOOKUP(A397,'SegEnds_NonXtal_Prot#'!A:AL,34,FALSE)-VLOOKUP(A397,'SegEnds_NonXtal_Prot#'!A:AL,31,FALSE)</f>
        <v>36</v>
      </c>
      <c r="AK397" s="1">
        <f>VLOOKUP(A397,'SegEnds_NonXtal_Prot#'!A:AL,37,FALSE)-VLOOKUP(A397,'SegEnds_NonXtal_Prot#'!A:AL,34,FALSE)</f>
        <v>10</v>
      </c>
      <c r="AL397" s="1" t="str">
        <f>IF(ISERROR(MATCH(A397,'SegEnds_Xtal_Prot#'!B:B, 0)), "NoXtal", "Xtal")</f>
        <v>NoXtal</v>
      </c>
    </row>
    <row r="398" spans="1:38" x14ac:dyDescent="0.2">
      <c r="A398" s="1" t="s">
        <v>463</v>
      </c>
      <c r="B398" s="1" t="str">
        <f>VLOOKUP(A398,Xtal_Templ!A:B,2,FALSE)</f>
        <v>drd2_human</v>
      </c>
      <c r="C398" s="5">
        <v>32</v>
      </c>
      <c r="D398" s="1">
        <v>62</v>
      </c>
      <c r="E398" s="1">
        <f>VLOOKUP($B398&amp;"__wt",'SegEnds_Xtal_BW#'!$A:$Z,5,FALSE)</f>
        <v>48</v>
      </c>
      <c r="F398" s="1">
        <f>VLOOKUP($B398&amp;"__wt",'SegEnds_Xtal_BW#'!$A:$Z,6,FALSE)</f>
        <v>51</v>
      </c>
      <c r="G398" s="1">
        <v>39</v>
      </c>
      <c r="H398" s="12">
        <v>66</v>
      </c>
      <c r="I398" s="1" t="s">
        <v>23</v>
      </c>
      <c r="J398" s="1" t="s">
        <v>23</v>
      </c>
      <c r="K398" s="12">
        <v>21</v>
      </c>
      <c r="L398" s="1">
        <f>VLOOKUP($B398&amp;"__wt",'SegEnds_Xtal_BW#'!$A:$Z,12,FALSE)</f>
        <v>56</v>
      </c>
      <c r="M398" s="1">
        <f>VLOOKUP($B398&amp;"__wt",'SegEnds_Xtal_BW#'!$A:$Z,13,FALSE)</f>
        <v>50</v>
      </c>
      <c r="N398" s="12">
        <v>57</v>
      </c>
      <c r="O398" s="88">
        <v>38</v>
      </c>
      <c r="P398" s="1">
        <f>VLOOKUP($B398&amp;"__wt",'SegEnds_Xtal_BW#'!$A:$Z,16,FALSE)</f>
        <v>62</v>
      </c>
      <c r="Q398" s="1">
        <f>VLOOKUP($B398&amp;"__wt",'SegEnds_Xtal_BW#'!$A:$Z,17,FALSE)</f>
        <v>50</v>
      </c>
      <c r="R398" s="1">
        <f>VLOOKUP($B398&amp;"__wt",'SegEnds_Xtal_BW#'!$A:$Z,18,FALSE)</f>
        <v>52</v>
      </c>
      <c r="S398" s="1">
        <v>32</v>
      </c>
      <c r="T398" s="1">
        <v>72</v>
      </c>
      <c r="U398" s="1">
        <v>29</v>
      </c>
      <c r="V398" s="1">
        <v>61</v>
      </c>
      <c r="W398" s="1">
        <v>31</v>
      </c>
      <c r="X398" s="1">
        <f>VLOOKUP($B398&amp;"__wt",'SegEnds_Xtal_BW#'!$A:$Z,24,FALSE)</f>
        <v>56</v>
      </c>
      <c r="Y398" s="1">
        <f>VLOOKUP($B398&amp;"__wt",'SegEnds_Xtal_BW#'!$A:$Z,25,FALSE)</f>
        <v>47</v>
      </c>
      <c r="Z398" s="1">
        <v>60</v>
      </c>
      <c r="AA398" s="27" t="str">
        <f>VLOOKUP(A398,Classification!A:B,2,FALSE)</f>
        <v>T</v>
      </c>
      <c r="AB398" s="1">
        <f>VLOOKUP(A398,'SegEnds_NonXtal_Prot#'!A:AL,10,FALSE)-VLOOKUP(A398,'SegEnds_NonXtal_Prot#'!A:AL,4,FALSE)</f>
        <v>31</v>
      </c>
      <c r="AC398" s="1">
        <f>VLOOKUP(A398,'SegEnds_NonXtal_Prot#'!A:AL,10,FALSE)-VLOOKUP(A398,'SegEnds_NonXtal_Prot#'!A:AL,7,FALSE)</f>
        <v>16</v>
      </c>
      <c r="AD398" s="1" t="e">
        <f>VLOOKUP(A398,'SegEnds_NonXtal_Prot#'!A:AL,13,FALSE)-VLOOKUP(A398,'SegEnds_NonXtal_Prot#'!A:AL,10,FALSE)</f>
        <v>#VALUE!</v>
      </c>
      <c r="AE398" s="1">
        <f>VLOOKUP(A398,'SegEnds_NonXtal_Prot#'!A:AL,16,FALSE)-VLOOKUP(A398,'SegEnds_NonXtal_Prot#'!A:AL,10,FALSE)</f>
        <v>51</v>
      </c>
      <c r="AF398" s="1">
        <f>VLOOKUP(A398,'SegEnds_NonXtal_Prot#'!A:AL,22,FALSE)-VLOOKUP(A398,'SegEnds_NonXtal_Prot#'!A:AL,19,FALSE)</f>
        <v>20</v>
      </c>
      <c r="AG398" s="1" t="e">
        <f>VLOOKUP(A398,'SegEnds_NonXtal_Prot#'!A:AL,28,FALSE)-VLOOKUP(A398,'SegEnds_NonXtal_Prot#'!A:AL,25,FALSE)</f>
        <v>#VALUE!</v>
      </c>
      <c r="AH398" s="1">
        <f>VLOOKUP(A398,'SegEnds_NonXtal_Prot#'!A:AL,28,FALSE)-VLOOKUP(A398,'SegEnds_NonXtal_Prot#'!A:AL,22,FALSE)</f>
        <v>52</v>
      </c>
      <c r="AI398" s="1">
        <f>VLOOKUP(A398,'SegEnds_NonXtal_Prot#'!A:AL,31,FALSE)-VLOOKUP(A398,'SegEnds_NonXtal_Prot#'!A:AL,28,FALSE)</f>
        <v>53</v>
      </c>
      <c r="AJ398" s="1">
        <f>VLOOKUP(A398,'SegEnds_NonXtal_Prot#'!A:AL,34,FALSE)-VLOOKUP(A398,'SegEnds_NonXtal_Prot#'!A:AL,31,FALSE)</f>
        <v>36</v>
      </c>
      <c r="AK398" s="1">
        <f>VLOOKUP(A398,'SegEnds_NonXtal_Prot#'!A:AL,37,FALSE)-VLOOKUP(A398,'SegEnds_NonXtal_Prot#'!A:AL,34,FALSE)</f>
        <v>10</v>
      </c>
      <c r="AL398" s="1" t="str">
        <f>IF(ISERROR(MATCH(A398,'SegEnds_Xtal_Prot#'!B:B, 0)), "NoXtal", "Xtal")</f>
        <v>NoXtal</v>
      </c>
    </row>
    <row r="399" spans="1:38" x14ac:dyDescent="0.2">
      <c r="A399" s="1" t="s">
        <v>923</v>
      </c>
      <c r="B399" s="1" t="str">
        <f>VLOOKUP(A399,Xtal_Templ!A:B,2,FALSE)</f>
        <v>5ht2c_human</v>
      </c>
      <c r="C399" s="5">
        <v>32</v>
      </c>
      <c r="D399" s="1">
        <v>62</v>
      </c>
      <c r="E399" s="1">
        <f>VLOOKUP($B399&amp;"__wt",'SegEnds_Xtal_BW#'!$A:$Z,5,FALSE)</f>
        <v>48</v>
      </c>
      <c r="F399" s="1">
        <f>VLOOKUP($B399&amp;"__wt",'SegEnds_Xtal_BW#'!$A:$Z,6,FALSE)</f>
        <v>51</v>
      </c>
      <c r="G399" s="1">
        <v>39</v>
      </c>
      <c r="H399" s="12">
        <v>66</v>
      </c>
      <c r="I399" s="1" t="s">
        <v>23</v>
      </c>
      <c r="J399" s="1" t="s">
        <v>23</v>
      </c>
      <c r="K399" s="12">
        <v>21</v>
      </c>
      <c r="L399" s="1">
        <f>VLOOKUP($B399&amp;"__wt",'SegEnds_Xtal_BW#'!$A:$Z,12,FALSE)</f>
        <v>56</v>
      </c>
      <c r="M399" s="1">
        <f>VLOOKUP($B399&amp;"__wt",'SegEnds_Xtal_BW#'!$A:$Z,13,FALSE)</f>
        <v>50</v>
      </c>
      <c r="N399" s="12">
        <v>57</v>
      </c>
      <c r="O399" s="88">
        <v>38</v>
      </c>
      <c r="P399" s="1">
        <f>VLOOKUP($B399&amp;"__wt",'SegEnds_Xtal_BW#'!$A:$Z,16,FALSE)</f>
        <v>67</v>
      </c>
      <c r="Q399" s="1">
        <f>VLOOKUP($B399&amp;"__wt",'SegEnds_Xtal_BW#'!$A:$Z,17,FALSE)</f>
        <v>50</v>
      </c>
      <c r="R399" s="1">
        <f>VLOOKUP($B399&amp;"__wt",'SegEnds_Xtal_BW#'!$A:$Z,18,FALSE)</f>
        <v>52</v>
      </c>
      <c r="S399" s="1">
        <v>32</v>
      </c>
      <c r="T399" s="1">
        <v>72</v>
      </c>
      <c r="U399" s="1">
        <v>29</v>
      </c>
      <c r="V399" s="1">
        <v>61</v>
      </c>
      <c r="W399" s="1">
        <v>33</v>
      </c>
      <c r="X399" s="1">
        <f>VLOOKUP($B399&amp;"__wt",'SegEnds_Xtal_BW#'!$A:$Z,24,FALSE)</f>
        <v>56</v>
      </c>
      <c r="Y399" s="1">
        <f>VLOOKUP($B399&amp;"__wt",'SegEnds_Xtal_BW#'!$A:$Z,25,FALSE)</f>
        <v>47</v>
      </c>
      <c r="Z399" s="1">
        <v>60</v>
      </c>
      <c r="AA399" s="27" t="str">
        <f>VLOOKUP(A399,Classification!A:B,2,FALSE)</f>
        <v>T</v>
      </c>
      <c r="AB399" s="1">
        <f>VLOOKUP(A399,'SegEnds_NonXtal_Prot#'!A:AL,10,FALSE)-VLOOKUP(A399,'SegEnds_NonXtal_Prot#'!A:AL,4,FALSE)</f>
        <v>31</v>
      </c>
      <c r="AC399" s="1">
        <f>VLOOKUP(A399,'SegEnds_NonXtal_Prot#'!A:AL,10,FALSE)-VLOOKUP(A399,'SegEnds_NonXtal_Prot#'!A:AL,7,FALSE)</f>
        <v>16</v>
      </c>
      <c r="AD399" s="1" t="e">
        <f>VLOOKUP(A399,'SegEnds_NonXtal_Prot#'!A:AL,13,FALSE)-VLOOKUP(A399,'SegEnds_NonXtal_Prot#'!A:AL,10,FALSE)</f>
        <v>#VALUE!</v>
      </c>
      <c r="AE399" s="1">
        <f>VLOOKUP(A399,'SegEnds_NonXtal_Prot#'!A:AL,16,FALSE)-VLOOKUP(A399,'SegEnds_NonXtal_Prot#'!A:AL,10,FALSE)</f>
        <v>51</v>
      </c>
      <c r="AF399" s="1">
        <f>VLOOKUP(A399,'SegEnds_NonXtal_Prot#'!A:AL,22,FALSE)-VLOOKUP(A399,'SegEnds_NonXtal_Prot#'!A:AL,19,FALSE)</f>
        <v>20</v>
      </c>
      <c r="AG399" s="1" t="e">
        <f>VLOOKUP(A399,'SegEnds_NonXtal_Prot#'!A:AL,28,FALSE)-VLOOKUP(A399,'SegEnds_NonXtal_Prot#'!A:AL,25,FALSE)</f>
        <v>#VALUE!</v>
      </c>
      <c r="AH399" s="1">
        <f>VLOOKUP(A399,'SegEnds_NonXtal_Prot#'!A:AL,28,FALSE)-VLOOKUP(A399,'SegEnds_NonXtal_Prot#'!A:AL,22,FALSE)</f>
        <v>52</v>
      </c>
      <c r="AI399" s="1">
        <f>VLOOKUP(A399,'SegEnds_NonXtal_Prot#'!A:AL,31,FALSE)-VLOOKUP(A399,'SegEnds_NonXtal_Prot#'!A:AL,28,FALSE)</f>
        <v>56</v>
      </c>
      <c r="AJ399" s="1">
        <f>VLOOKUP(A399,'SegEnds_NonXtal_Prot#'!A:AL,34,FALSE)-VLOOKUP(A399,'SegEnds_NonXtal_Prot#'!A:AL,31,FALSE)</f>
        <v>33</v>
      </c>
      <c r="AK399" s="1">
        <f>VLOOKUP(A399,'SegEnds_NonXtal_Prot#'!A:AL,37,FALSE)-VLOOKUP(A399,'SegEnds_NonXtal_Prot#'!A:AL,34,FALSE)</f>
        <v>10</v>
      </c>
      <c r="AL399" s="1" t="str">
        <f>IF(ISERROR(MATCH(A399,'SegEnds_Xtal_Prot#'!B:B, 0)), "NoXtal", "Xtal")</f>
        <v>NoXtal</v>
      </c>
    </row>
    <row r="400" spans="1:38" x14ac:dyDescent="0.2">
      <c r="A400" s="1" t="s">
        <v>464</v>
      </c>
      <c r="B400" s="1" t="str">
        <f>VLOOKUP(A400,Xtal_Templ!A:B,2,FALSE)</f>
        <v>5ht2c_human</v>
      </c>
      <c r="C400" s="5">
        <v>32</v>
      </c>
      <c r="D400" s="1">
        <v>62</v>
      </c>
      <c r="E400" s="1">
        <f>VLOOKUP($B400&amp;"__wt",'SegEnds_Xtal_BW#'!$A:$Z,5,FALSE)</f>
        <v>48</v>
      </c>
      <c r="F400" s="1">
        <f>VLOOKUP($B400&amp;"__wt",'SegEnds_Xtal_BW#'!$A:$Z,6,FALSE)</f>
        <v>51</v>
      </c>
      <c r="G400" s="1">
        <v>39</v>
      </c>
      <c r="H400" s="12">
        <v>66</v>
      </c>
      <c r="I400" s="1" t="s">
        <v>23</v>
      </c>
      <c r="J400" s="1" t="s">
        <v>23</v>
      </c>
      <c r="K400" s="12">
        <v>21</v>
      </c>
      <c r="L400" s="1">
        <f>VLOOKUP($B400&amp;"__wt",'SegEnds_Xtal_BW#'!$A:$Z,12,FALSE)</f>
        <v>56</v>
      </c>
      <c r="M400" s="1">
        <f>VLOOKUP($B400&amp;"__wt",'SegEnds_Xtal_BW#'!$A:$Z,13,FALSE)</f>
        <v>50</v>
      </c>
      <c r="N400" s="12">
        <v>57</v>
      </c>
      <c r="O400" s="87">
        <v>38</v>
      </c>
      <c r="P400" s="1">
        <f>VLOOKUP($B400&amp;"__wt",'SegEnds_Xtal_BW#'!$A:$Z,16,FALSE)</f>
        <v>67</v>
      </c>
      <c r="Q400" s="1">
        <f>VLOOKUP($B400&amp;"__wt",'SegEnds_Xtal_BW#'!$A:$Z,17,FALSE)</f>
        <v>50</v>
      </c>
      <c r="R400" s="1">
        <f>VLOOKUP($B400&amp;"__wt",'SegEnds_Xtal_BW#'!$A:$Z,18,FALSE)</f>
        <v>52</v>
      </c>
      <c r="S400" s="1">
        <v>32</v>
      </c>
      <c r="T400" s="1">
        <v>72</v>
      </c>
      <c r="U400" s="1">
        <v>29</v>
      </c>
      <c r="V400" s="1">
        <v>61</v>
      </c>
      <c r="W400" s="1">
        <v>31</v>
      </c>
      <c r="X400" s="1">
        <f>VLOOKUP($B400&amp;"__wt",'SegEnds_Xtal_BW#'!$A:$Z,24,FALSE)</f>
        <v>56</v>
      </c>
      <c r="Y400" s="1">
        <f>VLOOKUP($B400&amp;"__wt",'SegEnds_Xtal_BW#'!$A:$Z,25,FALSE)</f>
        <v>47</v>
      </c>
      <c r="Z400" s="1">
        <v>60</v>
      </c>
      <c r="AA400" s="27" t="str">
        <f>VLOOKUP(A400,Classification!A:B,2,FALSE)</f>
        <v>T</v>
      </c>
      <c r="AB400" s="1">
        <f>VLOOKUP(A400,'SegEnds_NonXtal_Prot#'!A:AL,10,FALSE)-VLOOKUP(A400,'SegEnds_NonXtal_Prot#'!A:AL,4,FALSE)</f>
        <v>31</v>
      </c>
      <c r="AC400" s="1">
        <f>VLOOKUP(A400,'SegEnds_NonXtal_Prot#'!A:AL,10,FALSE)-VLOOKUP(A400,'SegEnds_NonXtal_Prot#'!A:AL,7,FALSE)</f>
        <v>16</v>
      </c>
      <c r="AD400" s="1" t="e">
        <f>VLOOKUP(A400,'SegEnds_NonXtal_Prot#'!A:AL,13,FALSE)-VLOOKUP(A400,'SegEnds_NonXtal_Prot#'!A:AL,10,FALSE)</f>
        <v>#VALUE!</v>
      </c>
      <c r="AE400" s="1">
        <f>VLOOKUP(A400,'SegEnds_NonXtal_Prot#'!A:AL,16,FALSE)-VLOOKUP(A400,'SegEnds_NonXtal_Prot#'!A:AL,10,FALSE)</f>
        <v>51</v>
      </c>
      <c r="AF400" s="1">
        <f>VLOOKUP(A400,'SegEnds_NonXtal_Prot#'!A:AL,22,FALSE)-VLOOKUP(A400,'SegEnds_NonXtal_Prot#'!A:AL,19,FALSE)</f>
        <v>20</v>
      </c>
      <c r="AG400" s="1" t="e">
        <f>VLOOKUP(A400,'SegEnds_NonXtal_Prot#'!A:AL,28,FALSE)-VLOOKUP(A400,'SegEnds_NonXtal_Prot#'!A:AL,25,FALSE)</f>
        <v>#VALUE!</v>
      </c>
      <c r="AH400" s="1">
        <f>VLOOKUP(A400,'SegEnds_NonXtal_Prot#'!A:AL,28,FALSE)-VLOOKUP(A400,'SegEnds_NonXtal_Prot#'!A:AL,22,FALSE)</f>
        <v>52</v>
      </c>
      <c r="AI400" s="1">
        <f>VLOOKUP(A400,'SegEnds_NonXtal_Prot#'!A:AL,31,FALSE)-VLOOKUP(A400,'SegEnds_NonXtal_Prot#'!A:AL,28,FALSE)</f>
        <v>53</v>
      </c>
      <c r="AJ400" s="1">
        <f>VLOOKUP(A400,'SegEnds_NonXtal_Prot#'!A:AL,34,FALSE)-VLOOKUP(A400,'SegEnds_NonXtal_Prot#'!A:AL,31,FALSE)</f>
        <v>36</v>
      </c>
      <c r="AK400" s="1">
        <f>VLOOKUP(A400,'SegEnds_NonXtal_Prot#'!A:AL,37,FALSE)-VLOOKUP(A400,'SegEnds_NonXtal_Prot#'!A:AL,34,FALSE)</f>
        <v>10</v>
      </c>
      <c r="AL400" s="1" t="str">
        <f>IF(ISERROR(MATCH(A400,'SegEnds_Xtal_Prot#'!B:B, 0)), "NoXtal", "Xtal")</f>
        <v>NoXtal</v>
      </c>
    </row>
    <row r="401" spans="1:38" x14ac:dyDescent="0.2">
      <c r="A401" s="1" t="s">
        <v>465</v>
      </c>
      <c r="B401" s="1" t="str">
        <f>VLOOKUP(A401,Xtal_Templ!A:B,2,FALSE)</f>
        <v>drd2_human</v>
      </c>
      <c r="C401" s="5">
        <v>32</v>
      </c>
      <c r="D401" s="1">
        <v>62</v>
      </c>
      <c r="E401" s="1">
        <f>VLOOKUP($B401&amp;"__wt",'SegEnds_Xtal_BW#'!$A:$Z,5,FALSE)</f>
        <v>48</v>
      </c>
      <c r="F401" s="1">
        <f>VLOOKUP($B401&amp;"__wt",'SegEnds_Xtal_BW#'!$A:$Z,6,FALSE)</f>
        <v>51</v>
      </c>
      <c r="G401" s="1">
        <v>39</v>
      </c>
      <c r="H401" s="12">
        <v>66</v>
      </c>
      <c r="I401" s="1" t="s">
        <v>23</v>
      </c>
      <c r="J401" s="1" t="s">
        <v>23</v>
      </c>
      <c r="K401" s="12">
        <v>21</v>
      </c>
      <c r="L401" s="1">
        <f>VLOOKUP($B401&amp;"__wt",'SegEnds_Xtal_BW#'!$A:$Z,12,FALSE)</f>
        <v>56</v>
      </c>
      <c r="M401" s="1">
        <f>VLOOKUP($B401&amp;"__wt",'SegEnds_Xtal_BW#'!$A:$Z,13,FALSE)</f>
        <v>50</v>
      </c>
      <c r="N401" s="12">
        <v>57</v>
      </c>
      <c r="O401" s="88">
        <v>38</v>
      </c>
      <c r="P401" s="1">
        <f>VLOOKUP($B401&amp;"__wt",'SegEnds_Xtal_BW#'!$A:$Z,16,FALSE)</f>
        <v>62</v>
      </c>
      <c r="Q401" s="1">
        <f>VLOOKUP($B401&amp;"__wt",'SegEnds_Xtal_BW#'!$A:$Z,17,FALSE)</f>
        <v>50</v>
      </c>
      <c r="R401" s="1">
        <f>VLOOKUP($B401&amp;"__wt",'SegEnds_Xtal_BW#'!$A:$Z,18,FALSE)</f>
        <v>52</v>
      </c>
      <c r="S401" s="1">
        <v>32</v>
      </c>
      <c r="T401" s="1">
        <v>72</v>
      </c>
      <c r="U401" s="1">
        <v>29</v>
      </c>
      <c r="V401" s="1">
        <v>61</v>
      </c>
      <c r="W401" s="1">
        <v>31</v>
      </c>
      <c r="X401" s="1">
        <f>VLOOKUP($B401&amp;"__wt",'SegEnds_Xtal_BW#'!$A:$Z,24,FALSE)</f>
        <v>56</v>
      </c>
      <c r="Y401" s="1">
        <f>VLOOKUP($B401&amp;"__wt",'SegEnds_Xtal_BW#'!$A:$Z,25,FALSE)</f>
        <v>47</v>
      </c>
      <c r="Z401" s="1">
        <v>60</v>
      </c>
      <c r="AA401" s="27" t="str">
        <f>VLOOKUP(A401,Classification!A:B,2,FALSE)</f>
        <v>T</v>
      </c>
      <c r="AB401" s="1">
        <f>VLOOKUP(A401,'SegEnds_NonXtal_Prot#'!A:AL,10,FALSE)-VLOOKUP(A401,'SegEnds_NonXtal_Prot#'!A:AL,4,FALSE)</f>
        <v>31</v>
      </c>
      <c r="AC401" s="1">
        <f>VLOOKUP(A401,'SegEnds_NonXtal_Prot#'!A:AL,10,FALSE)-VLOOKUP(A401,'SegEnds_NonXtal_Prot#'!A:AL,7,FALSE)</f>
        <v>16</v>
      </c>
      <c r="AD401" s="1" t="e">
        <f>VLOOKUP(A401,'SegEnds_NonXtal_Prot#'!A:AL,13,FALSE)-VLOOKUP(A401,'SegEnds_NonXtal_Prot#'!A:AL,10,FALSE)</f>
        <v>#VALUE!</v>
      </c>
      <c r="AE401" s="1">
        <f>VLOOKUP(A401,'SegEnds_NonXtal_Prot#'!A:AL,16,FALSE)-VLOOKUP(A401,'SegEnds_NonXtal_Prot#'!A:AL,10,FALSE)</f>
        <v>51</v>
      </c>
      <c r="AF401" s="1">
        <f>VLOOKUP(A401,'SegEnds_NonXtal_Prot#'!A:AL,22,FALSE)-VLOOKUP(A401,'SegEnds_NonXtal_Prot#'!A:AL,19,FALSE)</f>
        <v>20</v>
      </c>
      <c r="AG401" s="1" t="e">
        <f>VLOOKUP(A401,'SegEnds_NonXtal_Prot#'!A:AL,28,FALSE)-VLOOKUP(A401,'SegEnds_NonXtal_Prot#'!A:AL,25,FALSE)</f>
        <v>#VALUE!</v>
      </c>
      <c r="AH401" s="1">
        <f>VLOOKUP(A401,'SegEnds_NonXtal_Prot#'!A:AL,28,FALSE)-VLOOKUP(A401,'SegEnds_NonXtal_Prot#'!A:AL,22,FALSE)</f>
        <v>52</v>
      </c>
      <c r="AI401" s="1">
        <f>VLOOKUP(A401,'SegEnds_NonXtal_Prot#'!A:AL,31,FALSE)-VLOOKUP(A401,'SegEnds_NonXtal_Prot#'!A:AL,28,FALSE)</f>
        <v>53</v>
      </c>
      <c r="AJ401" s="1">
        <f>VLOOKUP(A401,'SegEnds_NonXtal_Prot#'!A:AL,34,FALSE)-VLOOKUP(A401,'SegEnds_NonXtal_Prot#'!A:AL,31,FALSE)</f>
        <v>36</v>
      </c>
      <c r="AK401" s="1">
        <f>VLOOKUP(A401,'SegEnds_NonXtal_Prot#'!A:AL,37,FALSE)-VLOOKUP(A401,'SegEnds_NonXtal_Prot#'!A:AL,34,FALSE)</f>
        <v>10</v>
      </c>
      <c r="AL401" s="1" t="str">
        <f>IF(ISERROR(MATCH(A401,'SegEnds_Xtal_Prot#'!B:B, 0)), "NoXtal", "Xtal")</f>
        <v>NoXtal</v>
      </c>
    </row>
    <row r="402" spans="1:38" x14ac:dyDescent="0.2">
      <c r="A402" s="1" t="s">
        <v>470</v>
      </c>
      <c r="B402" s="1" t="str">
        <f>VLOOKUP(A402,Xtal_Templ!A:B,2,FALSE)</f>
        <v>5ht1b_human</v>
      </c>
      <c r="C402" s="5">
        <v>32</v>
      </c>
      <c r="D402" s="1">
        <v>62</v>
      </c>
      <c r="E402" s="1">
        <f>VLOOKUP($B402&amp;"__wt",'SegEnds_Xtal_BW#'!$A:$Z,5,FALSE)</f>
        <v>48</v>
      </c>
      <c r="F402" s="1">
        <f>VLOOKUP($B402&amp;"__wt",'SegEnds_Xtal_BW#'!$A:$Z,6,FALSE)</f>
        <v>51</v>
      </c>
      <c r="G402" s="1">
        <v>39</v>
      </c>
      <c r="H402" s="12">
        <v>66</v>
      </c>
      <c r="I402" s="1" t="s">
        <v>23</v>
      </c>
      <c r="J402" s="1" t="s">
        <v>23</v>
      </c>
      <c r="K402" s="12">
        <v>21</v>
      </c>
      <c r="L402" s="1">
        <f>VLOOKUP($B402&amp;"__wt",'SegEnds_Xtal_BW#'!$A:$Z,12,FALSE)</f>
        <v>56</v>
      </c>
      <c r="M402" s="1">
        <f>VLOOKUP($B402&amp;"__wt",'SegEnds_Xtal_BW#'!$A:$Z,13,FALSE)</f>
        <v>50</v>
      </c>
      <c r="N402" s="12">
        <v>57</v>
      </c>
      <c r="O402" s="87">
        <v>38</v>
      </c>
      <c r="P402" s="1">
        <f>VLOOKUP($B402&amp;"__wt",'SegEnds_Xtal_BW#'!$A:$Z,16,FALSE)</f>
        <v>63</v>
      </c>
      <c r="Q402" s="1">
        <f>VLOOKUP($B402&amp;"__wt",'SegEnds_Xtal_BW#'!$A:$Z,17,FALSE)</f>
        <v>50</v>
      </c>
      <c r="R402" s="1">
        <f>VLOOKUP($B402&amp;"__wt",'SegEnds_Xtal_BW#'!$A:$Z,18,FALSE)</f>
        <v>52</v>
      </c>
      <c r="S402" s="1">
        <v>32</v>
      </c>
      <c r="T402" s="1">
        <v>72</v>
      </c>
      <c r="U402" s="1">
        <v>29</v>
      </c>
      <c r="V402" s="1">
        <v>61</v>
      </c>
      <c r="W402" s="1">
        <v>31</v>
      </c>
      <c r="X402" s="1">
        <f>VLOOKUP($B402&amp;"__wt",'SegEnds_Xtal_BW#'!$A:$Z,24,FALSE)</f>
        <v>56</v>
      </c>
      <c r="Y402" s="1">
        <f>VLOOKUP($B402&amp;"__wt",'SegEnds_Xtal_BW#'!$A:$Z,25,FALSE)</f>
        <v>47</v>
      </c>
      <c r="Z402" s="1">
        <v>60</v>
      </c>
      <c r="AA402" s="27" t="str">
        <f>VLOOKUP(A402,Classification!A:B,2,FALSE)</f>
        <v>T</v>
      </c>
      <c r="AB402" s="1">
        <f>VLOOKUP(A402,'SegEnds_NonXtal_Prot#'!A:AL,10,FALSE)-VLOOKUP(A402,'SegEnds_NonXtal_Prot#'!A:AL,4,FALSE)</f>
        <v>31</v>
      </c>
      <c r="AC402" s="1">
        <f>VLOOKUP(A402,'SegEnds_NonXtal_Prot#'!A:AL,10,FALSE)-VLOOKUP(A402,'SegEnds_NonXtal_Prot#'!A:AL,7,FALSE)</f>
        <v>16</v>
      </c>
      <c r="AD402" s="1" t="e">
        <f>VLOOKUP(A402,'SegEnds_NonXtal_Prot#'!A:AL,13,FALSE)-VLOOKUP(A402,'SegEnds_NonXtal_Prot#'!A:AL,10,FALSE)</f>
        <v>#VALUE!</v>
      </c>
      <c r="AE402" s="1">
        <f>VLOOKUP(A402,'SegEnds_NonXtal_Prot#'!A:AL,16,FALSE)-VLOOKUP(A402,'SegEnds_NonXtal_Prot#'!A:AL,10,FALSE)</f>
        <v>51</v>
      </c>
      <c r="AF402" s="1">
        <f>VLOOKUP(A402,'SegEnds_NonXtal_Prot#'!A:AL,22,FALSE)-VLOOKUP(A402,'SegEnds_NonXtal_Prot#'!A:AL,19,FALSE)</f>
        <v>20</v>
      </c>
      <c r="AG402" s="1" t="e">
        <f>VLOOKUP(A402,'SegEnds_NonXtal_Prot#'!A:AL,28,FALSE)-VLOOKUP(A402,'SegEnds_NonXtal_Prot#'!A:AL,25,FALSE)</f>
        <v>#VALUE!</v>
      </c>
      <c r="AH402" s="1">
        <f>VLOOKUP(A402,'SegEnds_NonXtal_Prot#'!A:AL,28,FALSE)-VLOOKUP(A402,'SegEnds_NonXtal_Prot#'!A:AL,22,FALSE)</f>
        <v>53</v>
      </c>
      <c r="AI402" s="1">
        <f>VLOOKUP(A402,'SegEnds_NonXtal_Prot#'!A:AL,31,FALSE)-VLOOKUP(A402,'SegEnds_NonXtal_Prot#'!A:AL,28,FALSE)</f>
        <v>53</v>
      </c>
      <c r="AJ402" s="1">
        <f>VLOOKUP(A402,'SegEnds_NonXtal_Prot#'!A:AL,34,FALSE)-VLOOKUP(A402,'SegEnds_NonXtal_Prot#'!A:AL,31,FALSE)</f>
        <v>36</v>
      </c>
      <c r="AK402" s="1">
        <f>VLOOKUP(A402,'SegEnds_NonXtal_Prot#'!A:AL,37,FALSE)-VLOOKUP(A402,'SegEnds_NonXtal_Prot#'!A:AL,34,FALSE)</f>
        <v>10</v>
      </c>
      <c r="AL402" s="1" t="str">
        <f>IF(ISERROR(MATCH(A402,'SegEnds_Xtal_Prot#'!B:B, 0)), "NoXtal", "Xtal")</f>
        <v>NoXtal</v>
      </c>
    </row>
    <row r="403" spans="1:38" x14ac:dyDescent="0.2">
      <c r="A403" s="1" t="s">
        <v>451</v>
      </c>
      <c r="B403" s="1" t="str">
        <f>VLOOKUP(A403,Xtal_Templ!A:B,2,FALSE)</f>
        <v>5ht2a_human</v>
      </c>
      <c r="C403" s="5">
        <v>32</v>
      </c>
      <c r="D403" s="1">
        <v>62</v>
      </c>
      <c r="E403" s="1">
        <f>VLOOKUP($B403&amp;"__wt",'SegEnds_Xtal_BW#'!$A:$Z,5,FALSE)</f>
        <v>48</v>
      </c>
      <c r="F403" s="1">
        <f>VLOOKUP($B403&amp;"__wt",'SegEnds_Xtal_BW#'!$A:$Z,6,FALSE)</f>
        <v>51</v>
      </c>
      <c r="G403" s="1">
        <v>39</v>
      </c>
      <c r="H403" s="12">
        <v>67</v>
      </c>
      <c r="I403" s="1" t="s">
        <v>23</v>
      </c>
      <c r="J403" s="1" t="s">
        <v>23</v>
      </c>
      <c r="K403" s="12">
        <v>21</v>
      </c>
      <c r="L403" s="1">
        <f>VLOOKUP($B403&amp;"__wt",'SegEnds_Xtal_BW#'!$A:$Z,12,FALSE)</f>
        <v>56</v>
      </c>
      <c r="M403" s="1">
        <f>VLOOKUP($B403&amp;"__wt",'SegEnds_Xtal_BW#'!$A:$Z,13,FALSE)</f>
        <v>50</v>
      </c>
      <c r="N403" s="12">
        <v>57</v>
      </c>
      <c r="O403" s="87">
        <v>38</v>
      </c>
      <c r="P403" s="1">
        <f>VLOOKUP($B403&amp;"__wt",'SegEnds_Xtal_BW#'!$A:$Z,16,FALSE)</f>
        <v>67</v>
      </c>
      <c r="Q403" s="1">
        <f>VLOOKUP($B403&amp;"__wt",'SegEnds_Xtal_BW#'!$A:$Z,17,FALSE)</f>
        <v>50</v>
      </c>
      <c r="R403" s="1">
        <f>VLOOKUP($B403&amp;"__wt",'SegEnds_Xtal_BW#'!$A:$Z,18,FALSE)</f>
        <v>52</v>
      </c>
      <c r="S403" s="1">
        <v>32</v>
      </c>
      <c r="T403" s="1">
        <v>72</v>
      </c>
      <c r="U403" s="1">
        <v>29</v>
      </c>
      <c r="V403" s="1">
        <v>61</v>
      </c>
      <c r="W403" s="1">
        <v>31</v>
      </c>
      <c r="X403" s="1">
        <f>VLOOKUP($B403&amp;"__wt",'SegEnds_Xtal_BW#'!$A:$Z,24,FALSE)</f>
        <v>56</v>
      </c>
      <c r="Y403" s="1">
        <f>VLOOKUP($B403&amp;"__wt",'SegEnds_Xtal_BW#'!$A:$Z,25,FALSE)</f>
        <v>47</v>
      </c>
      <c r="Z403" s="1">
        <v>60</v>
      </c>
      <c r="AA403" s="27" t="str">
        <f>VLOOKUP(A403,Classification!A:B,2,FALSE)</f>
        <v>T</v>
      </c>
      <c r="AB403" s="1">
        <f>VLOOKUP(A403,'SegEnds_NonXtal_Prot#'!A:AL,10,FALSE)-VLOOKUP(A403,'SegEnds_NonXtal_Prot#'!A:AL,4,FALSE)</f>
        <v>31</v>
      </c>
      <c r="AC403" s="1">
        <f>VLOOKUP(A403,'SegEnds_NonXtal_Prot#'!A:AL,10,FALSE)-VLOOKUP(A403,'SegEnds_NonXtal_Prot#'!A:AL,7,FALSE)</f>
        <v>16</v>
      </c>
      <c r="AD403" s="1" t="e">
        <f>VLOOKUP(A403,'SegEnds_NonXtal_Prot#'!A:AL,13,FALSE)-VLOOKUP(A403,'SegEnds_NonXtal_Prot#'!A:AL,10,FALSE)</f>
        <v>#VALUE!</v>
      </c>
      <c r="AE403" s="1">
        <f>VLOOKUP(A403,'SegEnds_NonXtal_Prot#'!A:AL,16,FALSE)-VLOOKUP(A403,'SegEnds_NonXtal_Prot#'!A:AL,10,FALSE)</f>
        <v>52</v>
      </c>
      <c r="AF403" s="1">
        <f>VLOOKUP(A403,'SegEnds_NonXtal_Prot#'!A:AL,22,FALSE)-VLOOKUP(A403,'SegEnds_NonXtal_Prot#'!A:AL,19,FALSE)</f>
        <v>20</v>
      </c>
      <c r="AG403" s="1" t="e">
        <f>VLOOKUP(A403,'SegEnds_NonXtal_Prot#'!A:AL,28,FALSE)-VLOOKUP(A403,'SegEnds_NonXtal_Prot#'!A:AL,25,FALSE)</f>
        <v>#VALUE!</v>
      </c>
      <c r="AH403" s="1">
        <f>VLOOKUP(A403,'SegEnds_NonXtal_Prot#'!A:AL,28,FALSE)-VLOOKUP(A403,'SegEnds_NonXtal_Prot#'!A:AL,22,FALSE)</f>
        <v>54</v>
      </c>
      <c r="AI403" s="1">
        <f>VLOOKUP(A403,'SegEnds_NonXtal_Prot#'!A:AL,31,FALSE)-VLOOKUP(A403,'SegEnds_NonXtal_Prot#'!A:AL,28,FALSE)</f>
        <v>53</v>
      </c>
      <c r="AJ403" s="1">
        <f>VLOOKUP(A403,'SegEnds_NonXtal_Prot#'!A:AL,34,FALSE)-VLOOKUP(A403,'SegEnds_NonXtal_Prot#'!A:AL,31,FALSE)</f>
        <v>35</v>
      </c>
      <c r="AK403" s="1">
        <f>VLOOKUP(A403,'SegEnds_NonXtal_Prot#'!A:AL,37,FALSE)-VLOOKUP(A403,'SegEnds_NonXtal_Prot#'!A:AL,34,FALSE)</f>
        <v>10</v>
      </c>
      <c r="AL403" s="1" t="str">
        <f>IF(ISERROR(MATCH(A403,'SegEnds_Xtal_Prot#'!B:B, 0)), "NoXtal", "Xtal")</f>
        <v>NoXtal</v>
      </c>
    </row>
    <row r="404" spans="1:38" x14ac:dyDescent="0.2">
      <c r="A404" s="1" t="s">
        <v>452</v>
      </c>
      <c r="B404" s="1" t="str">
        <f>VLOOKUP(A404,Xtal_Templ!A:B,2,FALSE)</f>
        <v>5ht2c_human</v>
      </c>
      <c r="C404" s="5">
        <v>32</v>
      </c>
      <c r="D404" s="1">
        <v>62</v>
      </c>
      <c r="E404" s="1">
        <f>VLOOKUP($B404&amp;"__wt",'SegEnds_Xtal_BW#'!$A:$Z,5,FALSE)</f>
        <v>48</v>
      </c>
      <c r="F404" s="1">
        <f>VLOOKUP($B404&amp;"__wt",'SegEnds_Xtal_BW#'!$A:$Z,6,FALSE)</f>
        <v>51</v>
      </c>
      <c r="G404" s="1">
        <v>39</v>
      </c>
      <c r="H404" s="12">
        <v>67</v>
      </c>
      <c r="I404" s="1" t="s">
        <v>23</v>
      </c>
      <c r="J404" s="1" t="s">
        <v>23</v>
      </c>
      <c r="K404" s="12">
        <v>21</v>
      </c>
      <c r="L404" s="1">
        <f>VLOOKUP($B404&amp;"__wt",'SegEnds_Xtal_BW#'!$A:$Z,12,FALSE)</f>
        <v>56</v>
      </c>
      <c r="M404" s="1">
        <f>VLOOKUP($B404&amp;"__wt",'SegEnds_Xtal_BW#'!$A:$Z,13,FALSE)</f>
        <v>50</v>
      </c>
      <c r="N404" s="12">
        <v>57</v>
      </c>
      <c r="O404" s="87">
        <v>38</v>
      </c>
      <c r="P404" s="1">
        <f>VLOOKUP($B404&amp;"__wt",'SegEnds_Xtal_BW#'!$A:$Z,16,FALSE)</f>
        <v>67</v>
      </c>
      <c r="Q404" s="1">
        <f>VLOOKUP($B404&amp;"__wt",'SegEnds_Xtal_BW#'!$A:$Z,17,FALSE)</f>
        <v>50</v>
      </c>
      <c r="R404" s="1">
        <f>VLOOKUP($B404&amp;"__wt",'SegEnds_Xtal_BW#'!$A:$Z,18,FALSE)</f>
        <v>52</v>
      </c>
      <c r="S404" s="1">
        <v>32</v>
      </c>
      <c r="T404" s="1">
        <v>72</v>
      </c>
      <c r="U404" s="1">
        <v>29</v>
      </c>
      <c r="V404" s="1">
        <v>61</v>
      </c>
      <c r="W404" s="1">
        <v>31</v>
      </c>
      <c r="X404" s="1">
        <f>VLOOKUP($B404&amp;"__wt",'SegEnds_Xtal_BW#'!$A:$Z,24,FALSE)</f>
        <v>56</v>
      </c>
      <c r="Y404" s="1">
        <f>VLOOKUP($B404&amp;"__wt",'SegEnds_Xtal_BW#'!$A:$Z,25,FALSE)</f>
        <v>47</v>
      </c>
      <c r="Z404" s="1">
        <v>60</v>
      </c>
      <c r="AA404" s="27" t="str">
        <f>VLOOKUP(A404,Classification!A:B,2,FALSE)</f>
        <v>T</v>
      </c>
      <c r="AB404" s="1">
        <f>VLOOKUP(A404,'SegEnds_NonXtal_Prot#'!A:AL,10,FALSE)-VLOOKUP(A404,'SegEnds_NonXtal_Prot#'!A:AL,4,FALSE)</f>
        <v>31</v>
      </c>
      <c r="AC404" s="1">
        <f>VLOOKUP(A404,'SegEnds_NonXtal_Prot#'!A:AL,10,FALSE)-VLOOKUP(A404,'SegEnds_NonXtal_Prot#'!A:AL,7,FALSE)</f>
        <v>16</v>
      </c>
      <c r="AD404" s="1" t="e">
        <f>VLOOKUP(A404,'SegEnds_NonXtal_Prot#'!A:AL,13,FALSE)-VLOOKUP(A404,'SegEnds_NonXtal_Prot#'!A:AL,10,FALSE)</f>
        <v>#VALUE!</v>
      </c>
      <c r="AE404" s="1">
        <f>VLOOKUP(A404,'SegEnds_NonXtal_Prot#'!A:AL,16,FALSE)-VLOOKUP(A404,'SegEnds_NonXtal_Prot#'!A:AL,10,FALSE)</f>
        <v>52</v>
      </c>
      <c r="AF404" s="1">
        <f>VLOOKUP(A404,'SegEnds_NonXtal_Prot#'!A:AL,22,FALSE)-VLOOKUP(A404,'SegEnds_NonXtal_Prot#'!A:AL,19,FALSE)</f>
        <v>20</v>
      </c>
      <c r="AG404" s="1" t="e">
        <f>VLOOKUP(A404,'SegEnds_NonXtal_Prot#'!A:AL,28,FALSE)-VLOOKUP(A404,'SegEnds_NonXtal_Prot#'!A:AL,25,FALSE)</f>
        <v>#VALUE!</v>
      </c>
      <c r="AH404" s="1">
        <f>VLOOKUP(A404,'SegEnds_NonXtal_Prot#'!A:AL,28,FALSE)-VLOOKUP(A404,'SegEnds_NonXtal_Prot#'!A:AL,22,FALSE)</f>
        <v>54</v>
      </c>
      <c r="AI404" s="1">
        <f>VLOOKUP(A404,'SegEnds_NonXtal_Prot#'!A:AL,31,FALSE)-VLOOKUP(A404,'SegEnds_NonXtal_Prot#'!A:AL,28,FALSE)</f>
        <v>52</v>
      </c>
      <c r="AJ404" s="1">
        <f>VLOOKUP(A404,'SegEnds_NonXtal_Prot#'!A:AL,34,FALSE)-VLOOKUP(A404,'SegEnds_NonXtal_Prot#'!A:AL,31,FALSE)</f>
        <v>35</v>
      </c>
      <c r="AK404" s="1">
        <f>VLOOKUP(A404,'SegEnds_NonXtal_Prot#'!A:AL,37,FALSE)-VLOOKUP(A404,'SegEnds_NonXtal_Prot#'!A:AL,34,FALSE)</f>
        <v>10</v>
      </c>
      <c r="AL404" s="1" t="str">
        <f>IF(ISERROR(MATCH(A404,'SegEnds_Xtal_Prot#'!B:B, 0)), "NoXtal", "Xtal")</f>
        <v>NoXtal</v>
      </c>
    </row>
    <row r="405" spans="1:38" x14ac:dyDescent="0.2">
      <c r="A405" s="4" t="s">
        <v>468</v>
      </c>
      <c r="B405" s="4" t="str">
        <f>VLOOKUP(A405,Xtal_Templ!A:B,2,FALSE)</f>
        <v>cxcr4_human</v>
      </c>
      <c r="C405" s="5">
        <v>32</v>
      </c>
      <c r="D405" s="4">
        <v>62</v>
      </c>
      <c r="E405" s="4">
        <f>VLOOKUP($B405&amp;"__wt",'SegEnds_Xtal_BW#'!$A:$Z,5,FALSE)</f>
        <v>48</v>
      </c>
      <c r="F405" s="4">
        <f>VLOOKUP($B405&amp;"__wt",'SegEnds_Xtal_BW#'!$A:$Z,6,FALSE)</f>
        <v>51</v>
      </c>
      <c r="G405" s="4">
        <v>39</v>
      </c>
      <c r="H405" s="11">
        <v>66</v>
      </c>
      <c r="I405" s="4" t="s">
        <v>23</v>
      </c>
      <c r="J405" s="4" t="s">
        <v>23</v>
      </c>
      <c r="K405" s="11">
        <v>24</v>
      </c>
      <c r="L405" s="4">
        <f>VLOOKUP($B405&amp;"__wt",'SegEnds_Xtal_BW#'!$A:$Z,12,FALSE)</f>
        <v>56</v>
      </c>
      <c r="M405" s="4">
        <f>VLOOKUP($B405&amp;"__wt",'SegEnds_Xtal_BW#'!$A:$Z,13,FALSE)</f>
        <v>50</v>
      </c>
      <c r="N405" s="11">
        <v>57</v>
      </c>
      <c r="O405" s="88">
        <v>38</v>
      </c>
      <c r="P405" s="4">
        <f>VLOOKUP($B405&amp;"__wt",'SegEnds_Xtal_BW#'!$A:$Z,16,FALSE)</f>
        <v>64</v>
      </c>
      <c r="Q405" s="4">
        <f>VLOOKUP($B405&amp;"__wt",'SegEnds_Xtal_BW#'!$A:$Z,17,FALSE)</f>
        <v>50</v>
      </c>
      <c r="R405" s="4">
        <f>VLOOKUP($B405&amp;"__wt",'SegEnds_Xtal_BW#'!$A:$Z,18,FALSE)</f>
        <v>52</v>
      </c>
      <c r="S405" s="4">
        <v>32</v>
      </c>
      <c r="T405" s="4">
        <v>72</v>
      </c>
      <c r="U405" s="4">
        <v>29</v>
      </c>
      <c r="V405" s="4">
        <v>61</v>
      </c>
      <c r="W405" s="4">
        <v>31</v>
      </c>
      <c r="X405" s="4">
        <f>VLOOKUP($B405&amp;"__wt",'SegEnds_Xtal_BW#'!$A:$Z,24,FALSE)</f>
        <v>56</v>
      </c>
      <c r="Y405" s="4">
        <f>VLOOKUP($B405&amp;"__wt",'SegEnds_Xtal_BW#'!$A:$Z,25,FALSE)</f>
        <v>47</v>
      </c>
      <c r="Z405" s="4">
        <v>60</v>
      </c>
      <c r="AA405" s="27" t="str">
        <f>VLOOKUP(A405,Classification!A:B,2,FALSE)</f>
        <v>T</v>
      </c>
      <c r="AB405" s="1">
        <f>VLOOKUP(A405,'SegEnds_NonXtal_Prot#'!A:AL,10,FALSE)-VLOOKUP(A405,'SegEnds_NonXtal_Prot#'!A:AL,4,FALSE)</f>
        <v>31</v>
      </c>
      <c r="AC405" s="4">
        <f>VLOOKUP(A405,'SegEnds_NonXtal_Prot#'!A:AL,10,FALSE)-VLOOKUP(A405,'SegEnds_NonXtal_Prot#'!A:AL,7,FALSE)</f>
        <v>16</v>
      </c>
      <c r="AD405" s="4" t="e">
        <f>VLOOKUP(A405,'SegEnds_NonXtal_Prot#'!A:AL,13,FALSE)-VLOOKUP(A405,'SegEnds_NonXtal_Prot#'!A:AL,10,FALSE)</f>
        <v>#VALUE!</v>
      </c>
      <c r="AE405" s="4">
        <f>VLOOKUP(A405,'SegEnds_NonXtal_Prot#'!A:AL,16,FALSE)-VLOOKUP(A405,'SegEnds_NonXtal_Prot#'!A:AL,10,FALSE)</f>
        <v>48</v>
      </c>
      <c r="AF405" s="1">
        <f>VLOOKUP(A405,'SegEnds_NonXtal_Prot#'!A:AL,22,FALSE)-VLOOKUP(A405,'SegEnds_NonXtal_Prot#'!A:AL,19,FALSE)</f>
        <v>20</v>
      </c>
      <c r="AG405" s="4" t="e">
        <f>VLOOKUP(A405,'SegEnds_NonXtal_Prot#'!A:AL,28,FALSE)-VLOOKUP(A405,'SegEnds_NonXtal_Prot#'!A:AL,25,FALSE)</f>
        <v>#VALUE!</v>
      </c>
      <c r="AH405" s="1">
        <f>VLOOKUP(A405,'SegEnds_NonXtal_Prot#'!A:AL,28,FALSE)-VLOOKUP(A405,'SegEnds_NonXtal_Prot#'!A:AL,22,FALSE)</f>
        <v>54</v>
      </c>
      <c r="AI405" s="4">
        <f>VLOOKUP(A405,'SegEnds_NonXtal_Prot#'!A:AL,31,FALSE)-VLOOKUP(A405,'SegEnds_NonXtal_Prot#'!A:AL,28,FALSE)</f>
        <v>53</v>
      </c>
      <c r="AJ405" s="4">
        <f>VLOOKUP(A405,'SegEnds_NonXtal_Prot#'!A:AL,34,FALSE)-VLOOKUP(A405,'SegEnds_NonXtal_Prot#'!A:AL,31,FALSE)</f>
        <v>35</v>
      </c>
      <c r="AK405" s="1">
        <f>VLOOKUP(A405,'SegEnds_NonXtal_Prot#'!A:AL,37,FALSE)-VLOOKUP(A405,'SegEnds_NonXtal_Prot#'!A:AL,34,FALSE)</f>
        <v>10</v>
      </c>
      <c r="AL405" s="1" t="str">
        <f>IF(ISERROR(MATCH(A405,'SegEnds_Xtal_Prot#'!B:B, 0)), "NoXtal", "Xtal")</f>
        <v>NoXtal</v>
      </c>
    </row>
    <row r="406" spans="1:38" x14ac:dyDescent="0.2">
      <c r="A406" s="1" t="s">
        <v>474</v>
      </c>
      <c r="B406" s="1" t="str">
        <f>VLOOKUP(A406,Xtal_Templ!A:B,2,FALSE)</f>
        <v>agtr1_human</v>
      </c>
      <c r="C406" s="5">
        <v>32</v>
      </c>
      <c r="D406" s="1">
        <v>62</v>
      </c>
      <c r="E406" s="1">
        <f>VLOOKUP($B406&amp;"__wt",'SegEnds_Xtal_BW#'!$A:$Z,5,FALSE)</f>
        <v>48</v>
      </c>
      <c r="F406" s="1">
        <f>VLOOKUP($B406&amp;"__wt",'SegEnds_Xtal_BW#'!$A:$Z,6,FALSE)</f>
        <v>51</v>
      </c>
      <c r="G406" s="1">
        <v>39</v>
      </c>
      <c r="H406" s="12">
        <v>66</v>
      </c>
      <c r="I406" s="1" t="s">
        <v>23</v>
      </c>
      <c r="J406" s="1" t="s">
        <v>23</v>
      </c>
      <c r="K406" s="12">
        <v>18</v>
      </c>
      <c r="L406" s="1">
        <f>VLOOKUP($B406&amp;"__wt",'SegEnds_Xtal_BW#'!$A:$Z,12,FALSE)</f>
        <v>56</v>
      </c>
      <c r="M406" s="1">
        <f>VLOOKUP($B406&amp;"__wt",'SegEnds_Xtal_BW#'!$A:$Z,13,FALSE)</f>
        <v>50</v>
      </c>
      <c r="N406" s="12">
        <v>57</v>
      </c>
      <c r="O406" s="88">
        <v>38</v>
      </c>
      <c r="P406" s="1">
        <f>VLOOKUP($B406&amp;"__wt",'SegEnds_Xtal_BW#'!$A:$Z,16,FALSE)</f>
        <v>64</v>
      </c>
      <c r="Q406" s="1">
        <f>VLOOKUP($B406&amp;"__wt",'SegEnds_Xtal_BW#'!$A:$Z,17,FALSE)</f>
        <v>50</v>
      </c>
      <c r="R406" s="1">
        <f>VLOOKUP($B406&amp;"__wt",'SegEnds_Xtal_BW#'!$A:$Z,18,FALSE)</f>
        <v>52</v>
      </c>
      <c r="S406" s="1">
        <v>32</v>
      </c>
      <c r="T406" s="1">
        <v>72</v>
      </c>
      <c r="U406" s="1">
        <v>29</v>
      </c>
      <c r="V406" s="1">
        <v>61</v>
      </c>
      <c r="W406" s="1">
        <v>31</v>
      </c>
      <c r="X406" s="1">
        <f>VLOOKUP($B406&amp;"__wt",'SegEnds_Xtal_BW#'!$A:$Z,24,FALSE)</f>
        <v>56</v>
      </c>
      <c r="Y406" s="1">
        <f>VLOOKUP($B406&amp;"__wt",'SegEnds_Xtal_BW#'!$A:$Z,25,FALSE)</f>
        <v>47</v>
      </c>
      <c r="Z406" s="1">
        <v>60</v>
      </c>
      <c r="AA406" s="27" t="str">
        <f>VLOOKUP(A406,Classification!A:B,2,FALSE)</f>
        <v>T</v>
      </c>
      <c r="AB406" s="1">
        <f>VLOOKUP(A406,'SegEnds_NonXtal_Prot#'!A:AL,10,FALSE)-VLOOKUP(A406,'SegEnds_NonXtal_Prot#'!A:AL,4,FALSE)</f>
        <v>31</v>
      </c>
      <c r="AC406" s="1">
        <f>VLOOKUP(A406,'SegEnds_NonXtal_Prot#'!A:AL,10,FALSE)-VLOOKUP(A406,'SegEnds_NonXtal_Prot#'!A:AL,7,FALSE)</f>
        <v>16</v>
      </c>
      <c r="AD406" s="1" t="e">
        <f>VLOOKUP(A406,'SegEnds_NonXtal_Prot#'!A:AL,13,FALSE)-VLOOKUP(A406,'SegEnds_NonXtal_Prot#'!A:AL,10,FALSE)</f>
        <v>#VALUE!</v>
      </c>
      <c r="AE406" s="1">
        <f>VLOOKUP(A406,'SegEnds_NonXtal_Prot#'!A:AL,16,FALSE)-VLOOKUP(A406,'SegEnds_NonXtal_Prot#'!A:AL,10,FALSE)</f>
        <v>52</v>
      </c>
      <c r="AF406" s="1">
        <f>VLOOKUP(A406,'SegEnds_NonXtal_Prot#'!A:AL,22,FALSE)-VLOOKUP(A406,'SegEnds_NonXtal_Prot#'!A:AL,19,FALSE)</f>
        <v>20</v>
      </c>
      <c r="AG406" s="1" t="e">
        <f>VLOOKUP(A406,'SegEnds_NonXtal_Prot#'!A:AL,28,FALSE)-VLOOKUP(A406,'SegEnds_NonXtal_Prot#'!A:AL,25,FALSE)</f>
        <v>#VALUE!</v>
      </c>
      <c r="AH406" s="1">
        <f>VLOOKUP(A406,'SegEnds_NonXtal_Prot#'!A:AL,28,FALSE)-VLOOKUP(A406,'SegEnds_NonXtal_Prot#'!A:AL,22,FALSE)</f>
        <v>54</v>
      </c>
      <c r="AI406" s="1">
        <f>VLOOKUP(A406,'SegEnds_NonXtal_Prot#'!A:AL,31,FALSE)-VLOOKUP(A406,'SegEnds_NonXtal_Prot#'!A:AL,28,FALSE)</f>
        <v>53</v>
      </c>
      <c r="AJ406" s="1">
        <f>VLOOKUP(A406,'SegEnds_NonXtal_Prot#'!A:AL,34,FALSE)-VLOOKUP(A406,'SegEnds_NonXtal_Prot#'!A:AL,31,FALSE)</f>
        <v>36</v>
      </c>
      <c r="AK406" s="1">
        <f>VLOOKUP(A406,'SegEnds_NonXtal_Prot#'!A:AL,37,FALSE)-VLOOKUP(A406,'SegEnds_NonXtal_Prot#'!A:AL,34,FALSE)</f>
        <v>10</v>
      </c>
      <c r="AL406" s="1" t="str">
        <f>IF(ISERROR(MATCH(A406,'SegEnds_Xtal_Prot#'!B:B, 0)), "NoXtal", "Xtal")</f>
        <v>NoXtal</v>
      </c>
    </row>
    <row r="407" spans="1:38" x14ac:dyDescent="0.2">
      <c r="A407" s="1" t="s">
        <v>453</v>
      </c>
      <c r="B407" s="1" t="str">
        <f>VLOOKUP(A407,Xtal_Templ!A:B,2,FALSE)</f>
        <v>pd2r2_human</v>
      </c>
      <c r="C407" s="5">
        <v>32</v>
      </c>
      <c r="D407" s="1">
        <v>62</v>
      </c>
      <c r="E407" s="1" t="str">
        <f>VLOOKUP($B407&amp;"__wt",'SegEnds_Xtal_BW#'!$A:$Z,5,FALSE)</f>
        <v>-</v>
      </c>
      <c r="F407" s="1" t="str">
        <f>VLOOKUP($B407&amp;"__wt",'SegEnds_Xtal_BW#'!$A:$Z,6,FALSE)</f>
        <v>-</v>
      </c>
      <c r="G407" s="1">
        <v>39</v>
      </c>
      <c r="H407" s="12">
        <v>66</v>
      </c>
      <c r="I407" s="1" t="s">
        <v>23</v>
      </c>
      <c r="J407" s="1" t="s">
        <v>23</v>
      </c>
      <c r="K407" s="12">
        <v>24</v>
      </c>
      <c r="L407" s="1">
        <f>VLOOKUP($B407&amp;"__wt",'SegEnds_Xtal_BW#'!$A:$Z,12,FALSE)</f>
        <v>56</v>
      </c>
      <c r="M407" s="1">
        <f>VLOOKUP($B407&amp;"__wt",'SegEnds_Xtal_BW#'!$A:$Z,13,FALSE)</f>
        <v>50</v>
      </c>
      <c r="N407" s="12">
        <v>57</v>
      </c>
      <c r="O407" s="87">
        <v>38</v>
      </c>
      <c r="P407" s="1">
        <f>VLOOKUP($B407&amp;"__wt",'SegEnds_Xtal_BW#'!$A:$Z,16,FALSE)</f>
        <v>64</v>
      </c>
      <c r="Q407" s="1">
        <f>VLOOKUP($B407&amp;"__wt",'SegEnds_Xtal_BW#'!$A:$Z,17,FALSE)</f>
        <v>50</v>
      </c>
      <c r="R407" s="1">
        <f>VLOOKUP($B407&amp;"__wt",'SegEnds_Xtal_BW#'!$A:$Z,18,FALSE)</f>
        <v>52</v>
      </c>
      <c r="S407" s="1">
        <v>32</v>
      </c>
      <c r="T407" s="1">
        <v>72</v>
      </c>
      <c r="U407" s="1">
        <v>29</v>
      </c>
      <c r="V407" s="1">
        <v>61</v>
      </c>
      <c r="W407" s="1">
        <v>31</v>
      </c>
      <c r="X407" s="1">
        <f>VLOOKUP($B407&amp;"__wt",'SegEnds_Xtal_BW#'!$A:$Z,24,FALSE)</f>
        <v>56</v>
      </c>
      <c r="Y407" s="1">
        <f>VLOOKUP($B407&amp;"__wt",'SegEnds_Xtal_BW#'!$A:$Z,25,FALSE)</f>
        <v>47</v>
      </c>
      <c r="Z407" s="1">
        <v>60</v>
      </c>
      <c r="AA407" s="27" t="str">
        <f>VLOOKUP(A407,Classification!A:B,2,FALSE)</f>
        <v>T</v>
      </c>
      <c r="AB407" s="1">
        <f>VLOOKUP(A407,'SegEnds_NonXtal_Prot#'!A:AL,10,FALSE)-VLOOKUP(A407,'SegEnds_NonXtal_Prot#'!A:AL,4,FALSE)</f>
        <v>31</v>
      </c>
      <c r="AC407" s="1">
        <f>VLOOKUP(A407,'SegEnds_NonXtal_Prot#'!A:AL,10,FALSE)-VLOOKUP(A407,'SegEnds_NonXtal_Prot#'!A:AL,7,FALSE)</f>
        <v>16</v>
      </c>
      <c r="AD407" s="1" t="e">
        <f>VLOOKUP(A407,'SegEnds_NonXtal_Prot#'!A:AL,13,FALSE)-VLOOKUP(A407,'SegEnds_NonXtal_Prot#'!A:AL,10,FALSE)</f>
        <v>#VALUE!</v>
      </c>
      <c r="AE407" s="1">
        <f>VLOOKUP(A407,'SegEnds_NonXtal_Prot#'!A:AL,16,FALSE)-VLOOKUP(A407,'SegEnds_NonXtal_Prot#'!A:AL,10,FALSE)</f>
        <v>47</v>
      </c>
      <c r="AF407" s="1">
        <f>VLOOKUP(A407,'SegEnds_NonXtal_Prot#'!A:AL,22,FALSE)-VLOOKUP(A407,'SegEnds_NonXtal_Prot#'!A:AL,19,FALSE)</f>
        <v>20</v>
      </c>
      <c r="AG407" s="1" t="e">
        <f>VLOOKUP(A407,'SegEnds_NonXtal_Prot#'!A:AL,28,FALSE)-VLOOKUP(A407,'SegEnds_NonXtal_Prot#'!A:AL,25,FALSE)</f>
        <v>#VALUE!</v>
      </c>
      <c r="AH407" s="1">
        <f>VLOOKUP(A407,'SegEnds_NonXtal_Prot#'!A:AL,28,FALSE)-VLOOKUP(A407,'SegEnds_NonXtal_Prot#'!A:AL,22,FALSE)</f>
        <v>56</v>
      </c>
      <c r="AI407" s="1">
        <f>VLOOKUP(A407,'SegEnds_NonXtal_Prot#'!A:AL,31,FALSE)-VLOOKUP(A407,'SegEnds_NonXtal_Prot#'!A:AL,28,FALSE)</f>
        <v>50</v>
      </c>
      <c r="AJ407" s="1">
        <f>VLOOKUP(A407,'SegEnds_NonXtal_Prot#'!A:AL,34,FALSE)-VLOOKUP(A407,'SegEnds_NonXtal_Prot#'!A:AL,31,FALSE)</f>
        <v>35</v>
      </c>
      <c r="AK407" s="1">
        <f>VLOOKUP(A407,'SegEnds_NonXtal_Prot#'!A:AL,37,FALSE)-VLOOKUP(A407,'SegEnds_NonXtal_Prot#'!A:AL,34,FALSE)</f>
        <v>10</v>
      </c>
      <c r="AL407" s="1" t="str">
        <f>IF(ISERROR(MATCH(A407,'SegEnds_Xtal_Prot#'!B:B, 0)), "NoXtal", "Xtal")</f>
        <v>NoXtal</v>
      </c>
    </row>
    <row r="408" spans="1:38" x14ac:dyDescent="0.2">
      <c r="A408" s="1" t="s">
        <v>459</v>
      </c>
      <c r="B408" s="1" t="str">
        <f>VLOOKUP(A408,Xtal_Templ!A:B,2,FALSE)</f>
        <v>agtr1_human</v>
      </c>
      <c r="C408" s="5">
        <v>32</v>
      </c>
      <c r="D408" s="1">
        <v>62</v>
      </c>
      <c r="E408" s="1">
        <f>VLOOKUP($B408&amp;"__wt",'SegEnds_Xtal_BW#'!$A:$Z,5,FALSE)</f>
        <v>48</v>
      </c>
      <c r="F408" s="1">
        <f>VLOOKUP($B408&amp;"__wt",'SegEnds_Xtal_BW#'!$A:$Z,6,FALSE)</f>
        <v>51</v>
      </c>
      <c r="G408" s="1">
        <v>39</v>
      </c>
      <c r="H408" s="12">
        <v>66</v>
      </c>
      <c r="I408" s="1" t="s">
        <v>23</v>
      </c>
      <c r="J408" s="1" t="s">
        <v>23</v>
      </c>
      <c r="K408" s="12">
        <v>18</v>
      </c>
      <c r="L408" s="1">
        <f>VLOOKUP($B408&amp;"__wt",'SegEnds_Xtal_BW#'!$A:$Z,12,FALSE)</f>
        <v>56</v>
      </c>
      <c r="M408" s="1">
        <f>VLOOKUP($B408&amp;"__wt",'SegEnds_Xtal_BW#'!$A:$Z,13,FALSE)</f>
        <v>50</v>
      </c>
      <c r="N408" s="12">
        <v>57</v>
      </c>
      <c r="O408" s="88">
        <v>38</v>
      </c>
      <c r="P408" s="1">
        <f>VLOOKUP($B408&amp;"__wt",'SegEnds_Xtal_BW#'!$A:$Z,16,FALSE)</f>
        <v>64</v>
      </c>
      <c r="Q408" s="1">
        <f>VLOOKUP($B408&amp;"__wt",'SegEnds_Xtal_BW#'!$A:$Z,17,FALSE)</f>
        <v>50</v>
      </c>
      <c r="R408" s="1">
        <f>VLOOKUP($B408&amp;"__wt",'SegEnds_Xtal_BW#'!$A:$Z,18,FALSE)</f>
        <v>52</v>
      </c>
      <c r="S408" s="1">
        <v>32</v>
      </c>
      <c r="T408" s="1">
        <v>72</v>
      </c>
      <c r="U408" s="1">
        <v>29</v>
      </c>
      <c r="V408" s="1">
        <v>61</v>
      </c>
      <c r="W408" s="1">
        <v>31</v>
      </c>
      <c r="X408" s="1">
        <f>VLOOKUP($B408&amp;"__wt",'SegEnds_Xtal_BW#'!$A:$Z,24,FALSE)</f>
        <v>56</v>
      </c>
      <c r="Y408" s="1">
        <f>VLOOKUP($B408&amp;"__wt",'SegEnds_Xtal_BW#'!$A:$Z,25,FALSE)</f>
        <v>47</v>
      </c>
      <c r="Z408" s="1">
        <v>60</v>
      </c>
      <c r="AA408" s="27" t="str">
        <f>VLOOKUP(A408,Classification!A:B,2,FALSE)</f>
        <v>T</v>
      </c>
      <c r="AB408" s="1">
        <f>VLOOKUP(A408,'SegEnds_NonXtal_Prot#'!A:AL,10,FALSE)-VLOOKUP(A408,'SegEnds_NonXtal_Prot#'!A:AL,4,FALSE)</f>
        <v>31</v>
      </c>
      <c r="AC408" s="1">
        <f>VLOOKUP(A408,'SegEnds_NonXtal_Prot#'!A:AL,10,FALSE)-VLOOKUP(A408,'SegEnds_NonXtal_Prot#'!A:AL,7,FALSE)</f>
        <v>16</v>
      </c>
      <c r="AD408" s="1" t="e">
        <f>VLOOKUP(A408,'SegEnds_NonXtal_Prot#'!A:AL,13,FALSE)-VLOOKUP(A408,'SegEnds_NonXtal_Prot#'!A:AL,10,FALSE)</f>
        <v>#VALUE!</v>
      </c>
      <c r="AE408" s="1">
        <f>VLOOKUP(A408,'SegEnds_NonXtal_Prot#'!A:AL,16,FALSE)-VLOOKUP(A408,'SegEnds_NonXtal_Prot#'!A:AL,10,FALSE)</f>
        <v>52</v>
      </c>
      <c r="AF408" s="1">
        <f>VLOOKUP(A408,'SegEnds_NonXtal_Prot#'!A:AL,22,FALSE)-VLOOKUP(A408,'SegEnds_NonXtal_Prot#'!A:AL,19,FALSE)</f>
        <v>20</v>
      </c>
      <c r="AG408" s="1" t="e">
        <f>VLOOKUP(A408,'SegEnds_NonXtal_Prot#'!A:AL,28,FALSE)-VLOOKUP(A408,'SegEnds_NonXtal_Prot#'!A:AL,25,FALSE)</f>
        <v>#VALUE!</v>
      </c>
      <c r="AH408" s="1">
        <f>VLOOKUP(A408,'SegEnds_NonXtal_Prot#'!A:AL,28,FALSE)-VLOOKUP(A408,'SegEnds_NonXtal_Prot#'!A:AL,22,FALSE)</f>
        <v>56</v>
      </c>
      <c r="AI408" s="1">
        <f>VLOOKUP(A408,'SegEnds_NonXtal_Prot#'!A:AL,31,FALSE)-VLOOKUP(A408,'SegEnds_NonXtal_Prot#'!A:AL,28,FALSE)</f>
        <v>53</v>
      </c>
      <c r="AJ408" s="1">
        <f>VLOOKUP(A408,'SegEnds_NonXtal_Prot#'!A:AL,34,FALSE)-VLOOKUP(A408,'SegEnds_NonXtal_Prot#'!A:AL,31,FALSE)</f>
        <v>35</v>
      </c>
      <c r="AK408" s="1">
        <f>VLOOKUP(A408,'SegEnds_NonXtal_Prot#'!A:AL,37,FALSE)-VLOOKUP(A408,'SegEnds_NonXtal_Prot#'!A:AL,34,FALSE)</f>
        <v>10</v>
      </c>
      <c r="AL408" s="1" t="str">
        <f>IF(ISERROR(MATCH(A408,'SegEnds_Xtal_Prot#'!B:B, 0)), "NoXtal", "Xtal")</f>
        <v>NoXtal</v>
      </c>
    </row>
    <row r="409" spans="1:38" x14ac:dyDescent="0.2">
      <c r="A409" s="1" t="s">
        <v>461</v>
      </c>
      <c r="B409" s="1" t="str">
        <f>VLOOKUP(A409,Xtal_Templ!A:B,2,FALSE)</f>
        <v>drd2_human</v>
      </c>
      <c r="C409" s="5">
        <v>32</v>
      </c>
      <c r="D409" s="1">
        <v>62</v>
      </c>
      <c r="E409" s="1">
        <f>VLOOKUP($B409&amp;"__wt",'SegEnds_Xtal_BW#'!$A:$Z,5,FALSE)</f>
        <v>48</v>
      </c>
      <c r="F409" s="1">
        <f>VLOOKUP($B409&amp;"__wt",'SegEnds_Xtal_BW#'!$A:$Z,6,FALSE)</f>
        <v>51</v>
      </c>
      <c r="G409" s="1">
        <v>39</v>
      </c>
      <c r="H409" s="12">
        <v>67</v>
      </c>
      <c r="I409" s="1" t="s">
        <v>23</v>
      </c>
      <c r="J409" s="1" t="s">
        <v>23</v>
      </c>
      <c r="K409" s="12">
        <v>21</v>
      </c>
      <c r="L409" s="1">
        <f>VLOOKUP($B409&amp;"__wt",'SegEnds_Xtal_BW#'!$A:$Z,12,FALSE)</f>
        <v>56</v>
      </c>
      <c r="M409" s="1">
        <f>VLOOKUP($B409&amp;"__wt",'SegEnds_Xtal_BW#'!$A:$Z,13,FALSE)</f>
        <v>50</v>
      </c>
      <c r="N409" s="12">
        <v>57</v>
      </c>
      <c r="O409" s="88">
        <v>38</v>
      </c>
      <c r="P409" s="1">
        <f>VLOOKUP($B409&amp;"__wt",'SegEnds_Xtal_BW#'!$A:$Z,16,FALSE)</f>
        <v>62</v>
      </c>
      <c r="Q409" s="1">
        <f>VLOOKUP($B409&amp;"__wt",'SegEnds_Xtal_BW#'!$A:$Z,17,FALSE)</f>
        <v>50</v>
      </c>
      <c r="R409" s="1">
        <f>VLOOKUP($B409&amp;"__wt",'SegEnds_Xtal_BW#'!$A:$Z,18,FALSE)</f>
        <v>52</v>
      </c>
      <c r="S409" s="1">
        <v>32</v>
      </c>
      <c r="T409" s="1">
        <v>72</v>
      </c>
      <c r="U409" s="1">
        <v>29</v>
      </c>
      <c r="V409" s="1">
        <v>61</v>
      </c>
      <c r="W409" s="1">
        <v>31</v>
      </c>
      <c r="X409" s="1">
        <f>VLOOKUP($B409&amp;"__wt",'SegEnds_Xtal_BW#'!$A:$Z,24,FALSE)</f>
        <v>56</v>
      </c>
      <c r="Y409" s="1">
        <f>VLOOKUP($B409&amp;"__wt",'SegEnds_Xtal_BW#'!$A:$Z,25,FALSE)</f>
        <v>47</v>
      </c>
      <c r="Z409" s="1">
        <v>60</v>
      </c>
      <c r="AA409" s="27" t="str">
        <f>VLOOKUP(A409,Classification!A:B,2,FALSE)</f>
        <v>T</v>
      </c>
      <c r="AB409" s="1">
        <f>VLOOKUP(A409,'SegEnds_NonXtal_Prot#'!A:AL,10,FALSE)-VLOOKUP(A409,'SegEnds_NonXtal_Prot#'!A:AL,4,FALSE)</f>
        <v>31</v>
      </c>
      <c r="AC409" s="1">
        <f>VLOOKUP(A409,'SegEnds_NonXtal_Prot#'!A:AL,10,FALSE)-VLOOKUP(A409,'SegEnds_NonXtal_Prot#'!A:AL,7,FALSE)</f>
        <v>16</v>
      </c>
      <c r="AD409" s="1" t="e">
        <f>VLOOKUP(A409,'SegEnds_NonXtal_Prot#'!A:AL,13,FALSE)-VLOOKUP(A409,'SegEnds_NonXtal_Prot#'!A:AL,10,FALSE)</f>
        <v>#VALUE!</v>
      </c>
      <c r="AE409" s="1">
        <f>VLOOKUP(A409,'SegEnds_NonXtal_Prot#'!A:AL,16,FALSE)-VLOOKUP(A409,'SegEnds_NonXtal_Prot#'!A:AL,10,FALSE)</f>
        <v>52</v>
      </c>
      <c r="AF409" s="1">
        <f>VLOOKUP(A409,'SegEnds_NonXtal_Prot#'!A:AL,22,FALSE)-VLOOKUP(A409,'SegEnds_NonXtal_Prot#'!A:AL,19,FALSE)</f>
        <v>20</v>
      </c>
      <c r="AG409" s="1" t="e">
        <f>VLOOKUP(A409,'SegEnds_NonXtal_Prot#'!A:AL,28,FALSE)-VLOOKUP(A409,'SegEnds_NonXtal_Prot#'!A:AL,25,FALSE)</f>
        <v>#VALUE!</v>
      </c>
      <c r="AH409" s="1">
        <f>VLOOKUP(A409,'SegEnds_NonXtal_Prot#'!A:AL,28,FALSE)-VLOOKUP(A409,'SegEnds_NonXtal_Prot#'!A:AL,22,FALSE)</f>
        <v>56</v>
      </c>
      <c r="AI409" s="1">
        <f>VLOOKUP(A409,'SegEnds_NonXtal_Prot#'!A:AL,31,FALSE)-VLOOKUP(A409,'SegEnds_NonXtal_Prot#'!A:AL,28,FALSE)</f>
        <v>53</v>
      </c>
      <c r="AJ409" s="1">
        <f>VLOOKUP(A409,'SegEnds_NonXtal_Prot#'!A:AL,34,FALSE)-VLOOKUP(A409,'SegEnds_NonXtal_Prot#'!A:AL,31,FALSE)</f>
        <v>35</v>
      </c>
      <c r="AK409" s="1">
        <f>VLOOKUP(A409,'SegEnds_NonXtal_Prot#'!A:AL,37,FALSE)-VLOOKUP(A409,'SegEnds_NonXtal_Prot#'!A:AL,34,FALSE)</f>
        <v>10</v>
      </c>
      <c r="AL409" s="1" t="str">
        <f>IF(ISERROR(MATCH(A409,'SegEnds_Xtal_Prot#'!B:B, 0)), "NoXtal", "Xtal")</f>
        <v>NoXtal</v>
      </c>
    </row>
    <row r="410" spans="1:38" x14ac:dyDescent="0.2">
      <c r="A410" s="1" t="s">
        <v>462</v>
      </c>
      <c r="B410" s="1" t="str">
        <f>VLOOKUP(A410,Xtal_Templ!A:B,2,FALSE)</f>
        <v>hrh1_human</v>
      </c>
      <c r="C410" s="5">
        <v>32</v>
      </c>
      <c r="D410" s="1">
        <v>62</v>
      </c>
      <c r="E410" s="1">
        <f>VLOOKUP($B410&amp;"__wt",'SegEnds_Xtal_BW#'!$A:$Z,5,FALSE)</f>
        <v>48</v>
      </c>
      <c r="F410" s="1">
        <f>VLOOKUP($B410&amp;"__wt",'SegEnds_Xtal_BW#'!$A:$Z,6,FALSE)</f>
        <v>51</v>
      </c>
      <c r="G410" s="1">
        <v>39</v>
      </c>
      <c r="H410" s="12">
        <v>67</v>
      </c>
      <c r="I410" s="1" t="s">
        <v>23</v>
      </c>
      <c r="J410" s="1" t="s">
        <v>23</v>
      </c>
      <c r="K410" s="12">
        <v>21</v>
      </c>
      <c r="L410" s="1">
        <f>VLOOKUP($B410&amp;"__wt",'SegEnds_Xtal_BW#'!$A:$Z,12,FALSE)</f>
        <v>56</v>
      </c>
      <c r="M410" s="1">
        <f>VLOOKUP($B410&amp;"__wt",'SegEnds_Xtal_BW#'!$A:$Z,13,FALSE)</f>
        <v>50</v>
      </c>
      <c r="N410" s="12">
        <v>57</v>
      </c>
      <c r="O410" s="87">
        <v>38</v>
      </c>
      <c r="P410" s="1">
        <f>VLOOKUP($B410&amp;"__wt",'SegEnds_Xtal_BW#'!$A:$Z,16,FALSE)</f>
        <v>62</v>
      </c>
      <c r="Q410" s="1">
        <f>VLOOKUP($B410&amp;"__wt",'SegEnds_Xtal_BW#'!$A:$Z,17,FALSE)</f>
        <v>50</v>
      </c>
      <c r="R410" s="1">
        <f>VLOOKUP($B410&amp;"__wt",'SegEnds_Xtal_BW#'!$A:$Z,18,FALSE)</f>
        <v>52</v>
      </c>
      <c r="S410" s="1">
        <v>32</v>
      </c>
      <c r="T410" s="1">
        <v>72</v>
      </c>
      <c r="U410" s="1">
        <v>29</v>
      </c>
      <c r="V410" s="1">
        <v>61</v>
      </c>
      <c r="W410" s="1">
        <v>31</v>
      </c>
      <c r="X410" s="1">
        <f>VLOOKUP($B410&amp;"__wt",'SegEnds_Xtal_BW#'!$A:$Z,24,FALSE)</f>
        <v>56</v>
      </c>
      <c r="Y410" s="1">
        <f>VLOOKUP($B410&amp;"__wt",'SegEnds_Xtal_BW#'!$A:$Z,25,FALSE)</f>
        <v>47</v>
      </c>
      <c r="Z410" s="1">
        <v>60</v>
      </c>
      <c r="AA410" s="27" t="str">
        <f>VLOOKUP(A410,Classification!A:B,2,FALSE)</f>
        <v>T</v>
      </c>
      <c r="AB410" s="1">
        <f>VLOOKUP(A410,'SegEnds_NonXtal_Prot#'!A:AL,10,FALSE)-VLOOKUP(A410,'SegEnds_NonXtal_Prot#'!A:AL,4,FALSE)</f>
        <v>31</v>
      </c>
      <c r="AC410" s="1">
        <f>VLOOKUP(A410,'SegEnds_NonXtal_Prot#'!A:AL,10,FALSE)-VLOOKUP(A410,'SegEnds_NonXtal_Prot#'!A:AL,7,FALSE)</f>
        <v>16</v>
      </c>
      <c r="AD410" s="1" t="e">
        <f>VLOOKUP(A410,'SegEnds_NonXtal_Prot#'!A:AL,13,FALSE)-VLOOKUP(A410,'SegEnds_NonXtal_Prot#'!A:AL,10,FALSE)</f>
        <v>#VALUE!</v>
      </c>
      <c r="AE410" s="1">
        <f>VLOOKUP(A410,'SegEnds_NonXtal_Prot#'!A:AL,16,FALSE)-VLOOKUP(A410,'SegEnds_NonXtal_Prot#'!A:AL,10,FALSE)</f>
        <v>52</v>
      </c>
      <c r="AF410" s="1">
        <f>VLOOKUP(A410,'SegEnds_NonXtal_Prot#'!A:AL,22,FALSE)-VLOOKUP(A410,'SegEnds_NonXtal_Prot#'!A:AL,19,FALSE)</f>
        <v>20</v>
      </c>
      <c r="AG410" s="1" t="e">
        <f>VLOOKUP(A410,'SegEnds_NonXtal_Prot#'!A:AL,28,FALSE)-VLOOKUP(A410,'SegEnds_NonXtal_Prot#'!A:AL,25,FALSE)</f>
        <v>#VALUE!</v>
      </c>
      <c r="AH410" s="1">
        <f>VLOOKUP(A410,'SegEnds_NonXtal_Prot#'!A:AL,28,FALSE)-VLOOKUP(A410,'SegEnds_NonXtal_Prot#'!A:AL,22,FALSE)</f>
        <v>56</v>
      </c>
      <c r="AI410" s="1">
        <f>VLOOKUP(A410,'SegEnds_NonXtal_Prot#'!A:AL,31,FALSE)-VLOOKUP(A410,'SegEnds_NonXtal_Prot#'!A:AL,28,FALSE)</f>
        <v>53</v>
      </c>
      <c r="AJ410" s="1">
        <f>VLOOKUP(A410,'SegEnds_NonXtal_Prot#'!A:AL,34,FALSE)-VLOOKUP(A410,'SegEnds_NonXtal_Prot#'!A:AL,31,FALSE)</f>
        <v>36</v>
      </c>
      <c r="AK410" s="1">
        <f>VLOOKUP(A410,'SegEnds_NonXtal_Prot#'!A:AL,37,FALSE)-VLOOKUP(A410,'SegEnds_NonXtal_Prot#'!A:AL,34,FALSE)</f>
        <v>10</v>
      </c>
      <c r="AL410" s="1" t="str">
        <f>IF(ISERROR(MATCH(A410,'SegEnds_Xtal_Prot#'!B:B, 0)), "NoXtal", "Xtal")</f>
        <v>NoXtal</v>
      </c>
    </row>
    <row r="411" spans="1:38" x14ac:dyDescent="0.2">
      <c r="A411" s="1" t="s">
        <v>469</v>
      </c>
      <c r="B411" s="1" t="str">
        <f>VLOOKUP(A411,Xtal_Templ!A:B,2,FALSE)</f>
        <v>cxcr4_human</v>
      </c>
      <c r="C411" s="5">
        <v>32</v>
      </c>
      <c r="D411" s="1">
        <v>62</v>
      </c>
      <c r="E411" s="1">
        <f>VLOOKUP($B411&amp;"__wt",'SegEnds_Xtal_BW#'!$A:$Z,5,FALSE)</f>
        <v>48</v>
      </c>
      <c r="F411" s="1">
        <f>VLOOKUP($B411&amp;"__wt",'SegEnds_Xtal_BW#'!$A:$Z,6,FALSE)</f>
        <v>51</v>
      </c>
      <c r="G411" s="1">
        <v>39</v>
      </c>
      <c r="H411" s="12">
        <v>67</v>
      </c>
      <c r="I411" s="1" t="s">
        <v>23</v>
      </c>
      <c r="J411" s="1" t="s">
        <v>23</v>
      </c>
      <c r="K411" s="12">
        <v>21</v>
      </c>
      <c r="L411" s="1">
        <f>VLOOKUP($B411&amp;"__wt",'SegEnds_Xtal_BW#'!$A:$Z,12,FALSE)</f>
        <v>56</v>
      </c>
      <c r="M411" s="1">
        <f>VLOOKUP($B411&amp;"__wt",'SegEnds_Xtal_BW#'!$A:$Z,13,FALSE)</f>
        <v>50</v>
      </c>
      <c r="N411" s="12">
        <v>57</v>
      </c>
      <c r="O411" s="87">
        <v>38</v>
      </c>
      <c r="P411" s="1">
        <f>VLOOKUP($B411&amp;"__wt",'SegEnds_Xtal_BW#'!$A:$Z,16,FALSE)</f>
        <v>64</v>
      </c>
      <c r="Q411" s="1">
        <f>VLOOKUP($B411&amp;"__wt",'SegEnds_Xtal_BW#'!$A:$Z,17,FALSE)</f>
        <v>50</v>
      </c>
      <c r="R411" s="1">
        <f>VLOOKUP($B411&amp;"__wt",'SegEnds_Xtal_BW#'!$A:$Z,18,FALSE)</f>
        <v>52</v>
      </c>
      <c r="S411" s="1">
        <v>32</v>
      </c>
      <c r="T411" s="1">
        <v>72</v>
      </c>
      <c r="U411" s="1">
        <v>29</v>
      </c>
      <c r="V411" s="1">
        <v>61</v>
      </c>
      <c r="W411" s="1">
        <v>31</v>
      </c>
      <c r="X411" s="1">
        <f>VLOOKUP($B411&amp;"__wt",'SegEnds_Xtal_BW#'!$A:$Z,24,FALSE)</f>
        <v>56</v>
      </c>
      <c r="Y411" s="1">
        <f>VLOOKUP($B411&amp;"__wt",'SegEnds_Xtal_BW#'!$A:$Z,25,FALSE)</f>
        <v>47</v>
      </c>
      <c r="Z411" s="1">
        <v>60</v>
      </c>
      <c r="AA411" s="27" t="str">
        <f>VLOOKUP(A411,Classification!A:B,2,FALSE)</f>
        <v>T</v>
      </c>
      <c r="AB411" s="1">
        <f>VLOOKUP(A411,'SegEnds_NonXtal_Prot#'!A:AL,10,FALSE)-VLOOKUP(A411,'SegEnds_NonXtal_Prot#'!A:AL,4,FALSE)</f>
        <v>31</v>
      </c>
      <c r="AC411" s="1">
        <f>VLOOKUP(A411,'SegEnds_NonXtal_Prot#'!A:AL,10,FALSE)-VLOOKUP(A411,'SegEnds_NonXtal_Prot#'!A:AL,7,FALSE)</f>
        <v>16</v>
      </c>
      <c r="AD411" s="1" t="e">
        <f>VLOOKUP(A411,'SegEnds_NonXtal_Prot#'!A:AL,13,FALSE)-VLOOKUP(A411,'SegEnds_NonXtal_Prot#'!A:AL,10,FALSE)</f>
        <v>#VALUE!</v>
      </c>
      <c r="AE411" s="1">
        <f>VLOOKUP(A411,'SegEnds_NonXtal_Prot#'!A:AL,16,FALSE)-VLOOKUP(A411,'SegEnds_NonXtal_Prot#'!A:AL,10,FALSE)</f>
        <v>52</v>
      </c>
      <c r="AF411" s="1">
        <f>VLOOKUP(A411,'SegEnds_NonXtal_Prot#'!A:AL,22,FALSE)-VLOOKUP(A411,'SegEnds_NonXtal_Prot#'!A:AL,19,FALSE)</f>
        <v>20</v>
      </c>
      <c r="AG411" s="1" t="e">
        <f>VLOOKUP(A411,'SegEnds_NonXtal_Prot#'!A:AL,28,FALSE)-VLOOKUP(A411,'SegEnds_NonXtal_Prot#'!A:AL,25,FALSE)</f>
        <v>#VALUE!</v>
      </c>
      <c r="AH411" s="1">
        <f>VLOOKUP(A411,'SegEnds_NonXtal_Prot#'!A:AL,28,FALSE)-VLOOKUP(A411,'SegEnds_NonXtal_Prot#'!A:AL,22,FALSE)</f>
        <v>56</v>
      </c>
      <c r="AI411" s="1">
        <f>VLOOKUP(A411,'SegEnds_NonXtal_Prot#'!A:AL,31,FALSE)-VLOOKUP(A411,'SegEnds_NonXtal_Prot#'!A:AL,28,FALSE)</f>
        <v>53</v>
      </c>
      <c r="AJ411" s="1">
        <f>VLOOKUP(A411,'SegEnds_NonXtal_Prot#'!A:AL,34,FALSE)-VLOOKUP(A411,'SegEnds_NonXtal_Prot#'!A:AL,31,FALSE)</f>
        <v>36</v>
      </c>
      <c r="AK411" s="1">
        <f>VLOOKUP(A411,'SegEnds_NonXtal_Prot#'!A:AL,37,FALSE)-VLOOKUP(A411,'SegEnds_NonXtal_Prot#'!A:AL,34,FALSE)</f>
        <v>10</v>
      </c>
      <c r="AL411" s="1" t="str">
        <f>IF(ISERROR(MATCH(A411,'SegEnds_Xtal_Prot#'!B:B, 0)), "NoXtal", "Xtal")</f>
        <v>NoXtal</v>
      </c>
    </row>
    <row r="412" spans="1:38" x14ac:dyDescent="0.2">
      <c r="A412" s="1" t="s">
        <v>460</v>
      </c>
      <c r="B412" s="1" t="str">
        <f>VLOOKUP(A412,Xtal_Templ!A:B,2,FALSE)</f>
        <v>5ht2a_human</v>
      </c>
      <c r="C412" s="5">
        <v>32</v>
      </c>
      <c r="D412" s="1">
        <v>62</v>
      </c>
      <c r="E412" s="1">
        <f>VLOOKUP($B412&amp;"__wt",'SegEnds_Xtal_BW#'!$A:$Z,5,FALSE)</f>
        <v>48</v>
      </c>
      <c r="F412" s="1">
        <f>VLOOKUP($B412&amp;"__wt",'SegEnds_Xtal_BW#'!$A:$Z,6,FALSE)</f>
        <v>51</v>
      </c>
      <c r="G412" s="1">
        <v>39</v>
      </c>
      <c r="H412" s="12">
        <v>66</v>
      </c>
      <c r="I412" s="1" t="s">
        <v>23</v>
      </c>
      <c r="J412" s="1" t="s">
        <v>23</v>
      </c>
      <c r="K412" s="12">
        <v>18</v>
      </c>
      <c r="L412" s="1">
        <f>VLOOKUP($B412&amp;"__wt",'SegEnds_Xtal_BW#'!$A:$Z,12,FALSE)</f>
        <v>56</v>
      </c>
      <c r="M412" s="1">
        <f>VLOOKUP($B412&amp;"__wt",'SegEnds_Xtal_BW#'!$A:$Z,13,FALSE)</f>
        <v>50</v>
      </c>
      <c r="N412" s="12">
        <v>57</v>
      </c>
      <c r="O412" s="87">
        <v>38</v>
      </c>
      <c r="P412" s="1">
        <f>VLOOKUP($B412&amp;"__wt",'SegEnds_Xtal_BW#'!$A:$Z,16,FALSE)</f>
        <v>67</v>
      </c>
      <c r="Q412" s="1">
        <f>VLOOKUP($B412&amp;"__wt",'SegEnds_Xtal_BW#'!$A:$Z,17,FALSE)</f>
        <v>50</v>
      </c>
      <c r="R412" s="1">
        <f>VLOOKUP($B412&amp;"__wt",'SegEnds_Xtal_BW#'!$A:$Z,18,FALSE)</f>
        <v>52</v>
      </c>
      <c r="S412" s="1">
        <v>32</v>
      </c>
      <c r="T412" s="1">
        <v>72</v>
      </c>
      <c r="U412" s="1">
        <v>29</v>
      </c>
      <c r="V412" s="1">
        <v>61</v>
      </c>
      <c r="W412" s="1">
        <v>31</v>
      </c>
      <c r="X412" s="1">
        <f>VLOOKUP($B412&amp;"__wt",'SegEnds_Xtal_BW#'!$A:$Z,24,FALSE)</f>
        <v>56</v>
      </c>
      <c r="Y412" s="1">
        <f>VLOOKUP($B412&amp;"__wt",'SegEnds_Xtal_BW#'!$A:$Z,25,FALSE)</f>
        <v>47</v>
      </c>
      <c r="Z412" s="1">
        <v>60</v>
      </c>
      <c r="AA412" s="27" t="str">
        <f>VLOOKUP(A412,Classification!A:B,2,FALSE)</f>
        <v>T</v>
      </c>
      <c r="AB412" s="1">
        <f>VLOOKUP(A412,'SegEnds_NonXtal_Prot#'!A:AL,10,FALSE)-VLOOKUP(A412,'SegEnds_NonXtal_Prot#'!A:AL,4,FALSE)</f>
        <v>31</v>
      </c>
      <c r="AC412" s="1">
        <f>VLOOKUP(A412,'SegEnds_NonXtal_Prot#'!A:AL,10,FALSE)-VLOOKUP(A412,'SegEnds_NonXtal_Prot#'!A:AL,7,FALSE)</f>
        <v>16</v>
      </c>
      <c r="AD412" s="1" t="e">
        <f>VLOOKUP(A412,'SegEnds_NonXtal_Prot#'!A:AL,13,FALSE)-VLOOKUP(A412,'SegEnds_NonXtal_Prot#'!A:AL,10,FALSE)</f>
        <v>#VALUE!</v>
      </c>
      <c r="AE412" s="1">
        <f>VLOOKUP(A412,'SegEnds_NonXtal_Prot#'!A:AL,16,FALSE)-VLOOKUP(A412,'SegEnds_NonXtal_Prot#'!A:AL,10,FALSE)</f>
        <v>52</v>
      </c>
      <c r="AF412" s="1">
        <f>VLOOKUP(A412,'SegEnds_NonXtal_Prot#'!A:AL,22,FALSE)-VLOOKUP(A412,'SegEnds_NonXtal_Prot#'!A:AL,19,FALSE)</f>
        <v>20</v>
      </c>
      <c r="AG412" s="1" t="e">
        <f>VLOOKUP(A412,'SegEnds_NonXtal_Prot#'!A:AL,28,FALSE)-VLOOKUP(A412,'SegEnds_NonXtal_Prot#'!A:AL,25,FALSE)</f>
        <v>#VALUE!</v>
      </c>
      <c r="AH412" s="1">
        <f>VLOOKUP(A412,'SegEnds_NonXtal_Prot#'!A:AL,28,FALSE)-VLOOKUP(A412,'SegEnds_NonXtal_Prot#'!A:AL,22,FALSE)</f>
        <v>57</v>
      </c>
      <c r="AI412" s="1">
        <f>VLOOKUP(A412,'SegEnds_NonXtal_Prot#'!A:AL,31,FALSE)-VLOOKUP(A412,'SegEnds_NonXtal_Prot#'!A:AL,28,FALSE)</f>
        <v>53</v>
      </c>
      <c r="AJ412" s="1">
        <f>VLOOKUP(A412,'SegEnds_NonXtal_Prot#'!A:AL,34,FALSE)-VLOOKUP(A412,'SegEnds_NonXtal_Prot#'!A:AL,31,FALSE)</f>
        <v>35</v>
      </c>
      <c r="AK412" s="1">
        <f>VLOOKUP(A412,'SegEnds_NonXtal_Prot#'!A:AL,37,FALSE)-VLOOKUP(A412,'SegEnds_NonXtal_Prot#'!A:AL,34,FALSE)</f>
        <v>10</v>
      </c>
      <c r="AL412" s="1" t="str">
        <f>IF(ISERROR(MATCH(A412,'SegEnds_Xtal_Prot#'!B:B, 0)), "NoXtal", "Xtal")</f>
        <v>NoXtal</v>
      </c>
    </row>
    <row r="413" spans="1:38" x14ac:dyDescent="0.2">
      <c r="A413" s="1" t="s">
        <v>472</v>
      </c>
      <c r="B413" s="1" t="str">
        <f>VLOOKUP(A413,Xtal_Templ!A:B,2,FALSE)</f>
        <v>drd2_human</v>
      </c>
      <c r="C413" s="5">
        <v>32</v>
      </c>
      <c r="D413" s="1">
        <v>62</v>
      </c>
      <c r="E413" s="1">
        <f>VLOOKUP($B413&amp;"__wt",'SegEnds_Xtal_BW#'!$A:$Z,5,FALSE)</f>
        <v>48</v>
      </c>
      <c r="F413" s="1">
        <f>VLOOKUP($B413&amp;"__wt",'SegEnds_Xtal_BW#'!$A:$Z,6,FALSE)</f>
        <v>51</v>
      </c>
      <c r="G413" s="1">
        <v>39</v>
      </c>
      <c r="H413" s="12">
        <v>67</v>
      </c>
      <c r="I413" s="1" t="s">
        <v>23</v>
      </c>
      <c r="J413" s="1" t="s">
        <v>23</v>
      </c>
      <c r="K413" s="12">
        <v>21</v>
      </c>
      <c r="L413" s="1">
        <f>VLOOKUP($B413&amp;"__wt",'SegEnds_Xtal_BW#'!$A:$Z,12,FALSE)</f>
        <v>56</v>
      </c>
      <c r="M413" s="1">
        <f>VLOOKUP($B413&amp;"__wt",'SegEnds_Xtal_BW#'!$A:$Z,13,FALSE)</f>
        <v>50</v>
      </c>
      <c r="N413" s="12">
        <v>57</v>
      </c>
      <c r="O413" s="88">
        <v>38</v>
      </c>
      <c r="P413" s="1">
        <f>VLOOKUP($B413&amp;"__wt",'SegEnds_Xtal_BW#'!$A:$Z,16,FALSE)</f>
        <v>62</v>
      </c>
      <c r="Q413" s="1">
        <f>VLOOKUP($B413&amp;"__wt",'SegEnds_Xtal_BW#'!$A:$Z,17,FALSE)</f>
        <v>50</v>
      </c>
      <c r="R413" s="1">
        <f>VLOOKUP($B413&amp;"__wt",'SegEnds_Xtal_BW#'!$A:$Z,18,FALSE)</f>
        <v>52</v>
      </c>
      <c r="S413" s="1">
        <v>32</v>
      </c>
      <c r="T413" s="1">
        <v>72</v>
      </c>
      <c r="U413" s="1">
        <v>29</v>
      </c>
      <c r="V413" s="1">
        <v>61</v>
      </c>
      <c r="W413" s="1">
        <v>31</v>
      </c>
      <c r="X413" s="1">
        <f>VLOOKUP($B413&amp;"__wt",'SegEnds_Xtal_BW#'!$A:$Z,24,FALSE)</f>
        <v>56</v>
      </c>
      <c r="Y413" s="1">
        <f>VLOOKUP($B413&amp;"__wt",'SegEnds_Xtal_BW#'!$A:$Z,25,FALSE)</f>
        <v>47</v>
      </c>
      <c r="Z413" s="1">
        <v>60</v>
      </c>
      <c r="AA413" s="27" t="str">
        <f>VLOOKUP(A413,Classification!A:B,2,FALSE)</f>
        <v>T</v>
      </c>
      <c r="AB413" s="1">
        <f>VLOOKUP(A413,'SegEnds_NonXtal_Prot#'!A:AL,10,FALSE)-VLOOKUP(A413,'SegEnds_NonXtal_Prot#'!A:AL,4,FALSE)</f>
        <v>31</v>
      </c>
      <c r="AC413" s="1">
        <f>VLOOKUP(A413,'SegEnds_NonXtal_Prot#'!A:AL,10,FALSE)-VLOOKUP(A413,'SegEnds_NonXtal_Prot#'!A:AL,7,FALSE)</f>
        <v>16</v>
      </c>
      <c r="AD413" s="1" t="e">
        <f>VLOOKUP(A413,'SegEnds_NonXtal_Prot#'!A:AL,13,FALSE)-VLOOKUP(A413,'SegEnds_NonXtal_Prot#'!A:AL,10,FALSE)</f>
        <v>#VALUE!</v>
      </c>
      <c r="AE413" s="1">
        <f>VLOOKUP(A413,'SegEnds_NonXtal_Prot#'!A:AL,16,FALSE)-VLOOKUP(A413,'SegEnds_NonXtal_Prot#'!A:AL,10,FALSE)</f>
        <v>52</v>
      </c>
      <c r="AF413" s="1">
        <f>VLOOKUP(A413,'SegEnds_NonXtal_Prot#'!A:AL,22,FALSE)-VLOOKUP(A413,'SegEnds_NonXtal_Prot#'!A:AL,19,FALSE)</f>
        <v>20</v>
      </c>
      <c r="AG413" s="1" t="e">
        <f>VLOOKUP(A413,'SegEnds_NonXtal_Prot#'!A:AL,28,FALSE)-VLOOKUP(A413,'SegEnds_NonXtal_Prot#'!A:AL,25,FALSE)</f>
        <v>#VALUE!</v>
      </c>
      <c r="AH413" s="1">
        <f>VLOOKUP(A413,'SegEnds_NonXtal_Prot#'!A:AL,28,FALSE)-VLOOKUP(A413,'SegEnds_NonXtal_Prot#'!A:AL,22,FALSE)</f>
        <v>57</v>
      </c>
      <c r="AI413" s="1">
        <f>VLOOKUP(A413,'SegEnds_NonXtal_Prot#'!A:AL,31,FALSE)-VLOOKUP(A413,'SegEnds_NonXtal_Prot#'!A:AL,28,FALSE)</f>
        <v>53</v>
      </c>
      <c r="AJ413" s="1">
        <f>VLOOKUP(A413,'SegEnds_NonXtal_Prot#'!A:AL,34,FALSE)-VLOOKUP(A413,'SegEnds_NonXtal_Prot#'!A:AL,31,FALSE)</f>
        <v>36</v>
      </c>
      <c r="AK413" s="1">
        <f>VLOOKUP(A413,'SegEnds_NonXtal_Prot#'!A:AL,37,FALSE)-VLOOKUP(A413,'SegEnds_NonXtal_Prot#'!A:AL,34,FALSE)</f>
        <v>10</v>
      </c>
      <c r="AL413" s="1" t="str">
        <f>IF(ISERROR(MATCH(A413,'SegEnds_Xtal_Prot#'!B:B, 0)), "NoXtal", "Xtal")</f>
        <v>NoXtal</v>
      </c>
    </row>
    <row r="414" spans="1:38" x14ac:dyDescent="0.2">
      <c r="A414" s="1" t="s">
        <v>473</v>
      </c>
      <c r="B414" s="1" t="str">
        <f>VLOOKUP(A414,Xtal_Templ!A:B,2,FALSE)</f>
        <v>drd2_human</v>
      </c>
      <c r="C414" s="5">
        <v>32</v>
      </c>
      <c r="D414" s="1">
        <v>62</v>
      </c>
      <c r="E414" s="1">
        <f>VLOOKUP($B414&amp;"__wt",'SegEnds_Xtal_BW#'!$A:$Z,5,FALSE)</f>
        <v>48</v>
      </c>
      <c r="F414" s="1">
        <f>VLOOKUP($B414&amp;"__wt",'SegEnds_Xtal_BW#'!$A:$Z,6,FALSE)</f>
        <v>51</v>
      </c>
      <c r="G414" s="1">
        <v>39</v>
      </c>
      <c r="H414" s="12">
        <v>66</v>
      </c>
      <c r="I414" s="1" t="s">
        <v>23</v>
      </c>
      <c r="J414" s="1" t="s">
        <v>23</v>
      </c>
      <c r="K414" s="12">
        <v>18</v>
      </c>
      <c r="L414" s="1">
        <f>VLOOKUP($B414&amp;"__wt",'SegEnds_Xtal_BW#'!$A:$Z,12,FALSE)</f>
        <v>56</v>
      </c>
      <c r="M414" s="1">
        <f>VLOOKUP($B414&amp;"__wt",'SegEnds_Xtal_BW#'!$A:$Z,13,FALSE)</f>
        <v>50</v>
      </c>
      <c r="N414" s="12">
        <v>57</v>
      </c>
      <c r="O414" s="87">
        <v>38</v>
      </c>
      <c r="P414" s="1">
        <f>VLOOKUP($B414&amp;"__wt",'SegEnds_Xtal_BW#'!$A:$Z,16,FALSE)</f>
        <v>62</v>
      </c>
      <c r="Q414" s="1">
        <f>VLOOKUP($B414&amp;"__wt",'SegEnds_Xtal_BW#'!$A:$Z,17,FALSE)</f>
        <v>50</v>
      </c>
      <c r="R414" s="1">
        <f>VLOOKUP($B414&amp;"__wt",'SegEnds_Xtal_BW#'!$A:$Z,18,FALSE)</f>
        <v>52</v>
      </c>
      <c r="S414" s="1">
        <v>32</v>
      </c>
      <c r="T414" s="1">
        <v>72</v>
      </c>
      <c r="U414" s="1">
        <v>29</v>
      </c>
      <c r="V414" s="1">
        <v>61</v>
      </c>
      <c r="W414" s="1">
        <v>31</v>
      </c>
      <c r="X414" s="1">
        <f>VLOOKUP($B414&amp;"__wt",'SegEnds_Xtal_BW#'!$A:$Z,24,FALSE)</f>
        <v>56</v>
      </c>
      <c r="Y414" s="1">
        <f>VLOOKUP($B414&amp;"__wt",'SegEnds_Xtal_BW#'!$A:$Z,25,FALSE)</f>
        <v>47</v>
      </c>
      <c r="Z414" s="1">
        <v>60</v>
      </c>
      <c r="AA414" s="27" t="str">
        <f>VLOOKUP(A414,Classification!A:B,2,FALSE)</f>
        <v>T</v>
      </c>
      <c r="AB414" s="1">
        <f>VLOOKUP(A414,'SegEnds_NonXtal_Prot#'!A:AL,10,FALSE)-VLOOKUP(A414,'SegEnds_NonXtal_Prot#'!A:AL,4,FALSE)</f>
        <v>31</v>
      </c>
      <c r="AC414" s="1">
        <f>VLOOKUP(A414,'SegEnds_NonXtal_Prot#'!A:AL,10,FALSE)-VLOOKUP(A414,'SegEnds_NonXtal_Prot#'!A:AL,7,FALSE)</f>
        <v>16</v>
      </c>
      <c r="AD414" s="1" t="e">
        <f>VLOOKUP(A414,'SegEnds_NonXtal_Prot#'!A:AL,13,FALSE)-VLOOKUP(A414,'SegEnds_NonXtal_Prot#'!A:AL,10,FALSE)</f>
        <v>#VALUE!</v>
      </c>
      <c r="AE414" s="1">
        <f>VLOOKUP(A414,'SegEnds_NonXtal_Prot#'!A:AL,16,FALSE)-VLOOKUP(A414,'SegEnds_NonXtal_Prot#'!A:AL,10,FALSE)</f>
        <v>52</v>
      </c>
      <c r="AF414" s="1">
        <f>VLOOKUP(A414,'SegEnds_NonXtal_Prot#'!A:AL,22,FALSE)-VLOOKUP(A414,'SegEnds_NonXtal_Prot#'!A:AL,19,FALSE)</f>
        <v>20</v>
      </c>
      <c r="AG414" s="1" t="e">
        <f>VLOOKUP(A414,'SegEnds_NonXtal_Prot#'!A:AL,28,FALSE)-VLOOKUP(A414,'SegEnds_NonXtal_Prot#'!A:AL,25,FALSE)</f>
        <v>#VALUE!</v>
      </c>
      <c r="AH414" s="1">
        <f>VLOOKUP(A414,'SegEnds_NonXtal_Prot#'!A:AL,28,FALSE)-VLOOKUP(A414,'SegEnds_NonXtal_Prot#'!A:AL,22,FALSE)</f>
        <v>57</v>
      </c>
      <c r="AI414" s="1">
        <f>VLOOKUP(A414,'SegEnds_NonXtal_Prot#'!A:AL,31,FALSE)-VLOOKUP(A414,'SegEnds_NonXtal_Prot#'!A:AL,28,FALSE)</f>
        <v>53</v>
      </c>
      <c r="AJ414" s="1">
        <f>VLOOKUP(A414,'SegEnds_NonXtal_Prot#'!A:AL,34,FALSE)-VLOOKUP(A414,'SegEnds_NonXtal_Prot#'!A:AL,31,FALSE)</f>
        <v>36</v>
      </c>
      <c r="AK414" s="1">
        <f>VLOOKUP(A414,'SegEnds_NonXtal_Prot#'!A:AL,37,FALSE)-VLOOKUP(A414,'SegEnds_NonXtal_Prot#'!A:AL,34,FALSE)</f>
        <v>10</v>
      </c>
      <c r="AL414" s="1" t="str">
        <f>IF(ISERROR(MATCH(A414,'SegEnds_Xtal_Prot#'!B:B, 0)), "NoXtal", "Xtal")</f>
        <v>NoXtal</v>
      </c>
    </row>
    <row r="415" spans="1:38" x14ac:dyDescent="0.2">
      <c r="A415" s="1" t="s">
        <v>466</v>
      </c>
      <c r="B415" s="1" t="str">
        <f>VLOOKUP(A415,Xtal_Templ!A:B,2,FALSE)</f>
        <v>oprk_human</v>
      </c>
      <c r="C415" s="5">
        <v>32</v>
      </c>
      <c r="D415" s="1">
        <v>62</v>
      </c>
      <c r="E415" s="1">
        <f>VLOOKUP($B415&amp;"__wt",'SegEnds_Xtal_BW#'!$A:$Z,5,FALSE)</f>
        <v>48</v>
      </c>
      <c r="F415" s="1">
        <f>VLOOKUP($B415&amp;"__wt",'SegEnds_Xtal_BW#'!$A:$Z,6,FALSE)</f>
        <v>51</v>
      </c>
      <c r="G415" s="1">
        <v>39</v>
      </c>
      <c r="H415" s="12">
        <v>66</v>
      </c>
      <c r="I415" s="1" t="s">
        <v>23</v>
      </c>
      <c r="J415" s="1" t="s">
        <v>23</v>
      </c>
      <c r="K415" s="12">
        <v>18</v>
      </c>
      <c r="L415" s="1">
        <f>VLOOKUP($B415&amp;"__wt",'SegEnds_Xtal_BW#'!$A:$Z,12,FALSE)</f>
        <v>56</v>
      </c>
      <c r="M415" s="1">
        <f>VLOOKUP($B415&amp;"__wt",'SegEnds_Xtal_BW#'!$A:$Z,13,FALSE)</f>
        <v>50</v>
      </c>
      <c r="N415" s="12">
        <v>57</v>
      </c>
      <c r="O415" s="88">
        <v>38</v>
      </c>
      <c r="P415" s="1">
        <f>VLOOKUP($B415&amp;"__wt",'SegEnds_Xtal_BW#'!$A:$Z,16,FALSE)</f>
        <v>64</v>
      </c>
      <c r="Q415" s="1">
        <f>VLOOKUP($B415&amp;"__wt",'SegEnds_Xtal_BW#'!$A:$Z,17,FALSE)</f>
        <v>50</v>
      </c>
      <c r="R415" s="1">
        <f>VLOOKUP($B415&amp;"__wt",'SegEnds_Xtal_BW#'!$A:$Z,18,FALSE)</f>
        <v>52</v>
      </c>
      <c r="S415" s="1">
        <v>32</v>
      </c>
      <c r="T415" s="1">
        <v>72</v>
      </c>
      <c r="U415" s="1">
        <v>29</v>
      </c>
      <c r="V415" s="1">
        <v>61</v>
      </c>
      <c r="W415" s="1">
        <v>31</v>
      </c>
      <c r="X415" s="1">
        <f>VLOOKUP($B415&amp;"__wt",'SegEnds_Xtal_BW#'!$A:$Z,24,FALSE)</f>
        <v>56</v>
      </c>
      <c r="Y415" s="1">
        <f>VLOOKUP($B415&amp;"__wt",'SegEnds_Xtal_BW#'!$A:$Z,25,FALSE)</f>
        <v>47</v>
      </c>
      <c r="Z415" s="1">
        <v>60</v>
      </c>
      <c r="AA415" s="27" t="str">
        <f>VLOOKUP(A415,Classification!A:B,2,FALSE)</f>
        <v>T</v>
      </c>
      <c r="AB415" s="1">
        <f>VLOOKUP(A415,'SegEnds_NonXtal_Prot#'!A:AL,10,FALSE)-VLOOKUP(A415,'SegEnds_NonXtal_Prot#'!A:AL,4,FALSE)</f>
        <v>31</v>
      </c>
      <c r="AC415" s="1">
        <f>VLOOKUP(A415,'SegEnds_NonXtal_Prot#'!A:AL,10,FALSE)-VLOOKUP(A415,'SegEnds_NonXtal_Prot#'!A:AL,7,FALSE)</f>
        <v>16</v>
      </c>
      <c r="AD415" s="1" t="e">
        <f>VLOOKUP(A415,'SegEnds_NonXtal_Prot#'!A:AL,13,FALSE)-VLOOKUP(A415,'SegEnds_NonXtal_Prot#'!A:AL,10,FALSE)</f>
        <v>#VALUE!</v>
      </c>
      <c r="AE415" s="1">
        <f>VLOOKUP(A415,'SegEnds_NonXtal_Prot#'!A:AL,16,FALSE)-VLOOKUP(A415,'SegEnds_NonXtal_Prot#'!A:AL,10,FALSE)</f>
        <v>52</v>
      </c>
      <c r="AF415" s="1">
        <f>VLOOKUP(A415,'SegEnds_NonXtal_Prot#'!A:AL,22,FALSE)-VLOOKUP(A415,'SegEnds_NonXtal_Prot#'!A:AL,19,FALSE)</f>
        <v>20</v>
      </c>
      <c r="AG415" s="1" t="e">
        <f>VLOOKUP(A415,'SegEnds_NonXtal_Prot#'!A:AL,28,FALSE)-VLOOKUP(A415,'SegEnds_NonXtal_Prot#'!A:AL,25,FALSE)</f>
        <v>#VALUE!</v>
      </c>
      <c r="AH415" s="1">
        <f>VLOOKUP(A415,'SegEnds_NonXtal_Prot#'!A:AL,28,FALSE)-VLOOKUP(A415,'SegEnds_NonXtal_Prot#'!A:AL,22,FALSE)</f>
        <v>58</v>
      </c>
      <c r="AI415" s="1">
        <f>VLOOKUP(A415,'SegEnds_NonXtal_Prot#'!A:AL,31,FALSE)-VLOOKUP(A415,'SegEnds_NonXtal_Prot#'!A:AL,28,FALSE)</f>
        <v>53</v>
      </c>
      <c r="AJ415" s="1">
        <f>VLOOKUP(A415,'SegEnds_NonXtal_Prot#'!A:AL,34,FALSE)-VLOOKUP(A415,'SegEnds_NonXtal_Prot#'!A:AL,31,FALSE)</f>
        <v>35</v>
      </c>
      <c r="AK415" s="1">
        <f>VLOOKUP(A415,'SegEnds_NonXtal_Prot#'!A:AL,37,FALSE)-VLOOKUP(A415,'SegEnds_NonXtal_Prot#'!A:AL,34,FALSE)</f>
        <v>10</v>
      </c>
      <c r="AL415" s="1" t="str">
        <f>IF(ISERROR(MATCH(A415,'SegEnds_Xtal_Prot#'!B:B, 0)), "NoXtal", "Xtal")</f>
        <v>NoXtal</v>
      </c>
    </row>
    <row r="416" spans="1:38" x14ac:dyDescent="0.2">
      <c r="A416" s="1" t="s">
        <v>458</v>
      </c>
      <c r="B416" s="1" t="str">
        <f>VLOOKUP(A416,Xtal_Templ!A:B,2,FALSE)</f>
        <v>agtr1_human</v>
      </c>
      <c r="C416" s="5">
        <v>32</v>
      </c>
      <c r="D416" s="1">
        <v>62</v>
      </c>
      <c r="E416" s="1">
        <f>VLOOKUP($B416&amp;"__wt",'SegEnds_Xtal_BW#'!$A:$Z,5,FALSE)</f>
        <v>48</v>
      </c>
      <c r="F416" s="1">
        <f>VLOOKUP($B416&amp;"__wt",'SegEnds_Xtal_BW#'!$A:$Z,6,FALSE)</f>
        <v>51</v>
      </c>
      <c r="G416" s="1">
        <v>39</v>
      </c>
      <c r="H416" s="12">
        <v>67</v>
      </c>
      <c r="I416" s="1" t="s">
        <v>23</v>
      </c>
      <c r="J416" s="1" t="s">
        <v>23</v>
      </c>
      <c r="K416" s="12">
        <v>18</v>
      </c>
      <c r="L416" s="1">
        <f>VLOOKUP($B416&amp;"__wt",'SegEnds_Xtal_BW#'!$A:$Z,12,FALSE)</f>
        <v>56</v>
      </c>
      <c r="M416" s="1">
        <f>VLOOKUP($B416&amp;"__wt",'SegEnds_Xtal_BW#'!$A:$Z,13,FALSE)</f>
        <v>50</v>
      </c>
      <c r="N416" s="12">
        <v>57</v>
      </c>
      <c r="O416" s="87">
        <v>38</v>
      </c>
      <c r="P416" s="1">
        <f>VLOOKUP($B416&amp;"__wt",'SegEnds_Xtal_BW#'!$A:$Z,16,FALSE)</f>
        <v>64</v>
      </c>
      <c r="Q416" s="1">
        <f>VLOOKUP($B416&amp;"__wt",'SegEnds_Xtal_BW#'!$A:$Z,17,FALSE)</f>
        <v>50</v>
      </c>
      <c r="R416" s="1">
        <f>VLOOKUP($B416&amp;"__wt",'SegEnds_Xtal_BW#'!$A:$Z,18,FALSE)</f>
        <v>52</v>
      </c>
      <c r="S416" s="1">
        <v>32</v>
      </c>
      <c r="T416" s="1">
        <v>72</v>
      </c>
      <c r="U416" s="1">
        <v>29</v>
      </c>
      <c r="V416" s="1">
        <v>61</v>
      </c>
      <c r="W416" s="1">
        <v>31</v>
      </c>
      <c r="X416" s="1">
        <f>VLOOKUP($B416&amp;"__wt",'SegEnds_Xtal_BW#'!$A:$Z,24,FALSE)</f>
        <v>56</v>
      </c>
      <c r="Y416" s="1">
        <f>VLOOKUP($B416&amp;"__wt",'SegEnds_Xtal_BW#'!$A:$Z,25,FALSE)</f>
        <v>47</v>
      </c>
      <c r="Z416" s="1">
        <v>60</v>
      </c>
      <c r="AA416" s="27" t="str">
        <f>VLOOKUP(A416,Classification!A:B,2,FALSE)</f>
        <v>T</v>
      </c>
      <c r="AB416" s="1">
        <f>VLOOKUP(A416,'SegEnds_NonXtal_Prot#'!A:AL,10,FALSE)-VLOOKUP(A416,'SegEnds_NonXtal_Prot#'!A:AL,4,FALSE)</f>
        <v>31</v>
      </c>
      <c r="AC416" s="1">
        <f>VLOOKUP(A416,'SegEnds_NonXtal_Prot#'!A:AL,10,FALSE)-VLOOKUP(A416,'SegEnds_NonXtal_Prot#'!A:AL,7,FALSE)</f>
        <v>16</v>
      </c>
      <c r="AD416" s="1" t="e">
        <f>VLOOKUP(A416,'SegEnds_NonXtal_Prot#'!A:AL,13,FALSE)-VLOOKUP(A416,'SegEnds_NonXtal_Prot#'!A:AL,10,FALSE)</f>
        <v>#VALUE!</v>
      </c>
      <c r="AE416" s="1">
        <f>VLOOKUP(A416,'SegEnds_NonXtal_Prot#'!A:AL,16,FALSE)-VLOOKUP(A416,'SegEnds_NonXtal_Prot#'!A:AL,10,FALSE)</f>
        <v>53</v>
      </c>
      <c r="AF416" s="1">
        <f>VLOOKUP(A416,'SegEnds_NonXtal_Prot#'!A:AL,22,FALSE)-VLOOKUP(A416,'SegEnds_NonXtal_Prot#'!A:AL,19,FALSE)</f>
        <v>20</v>
      </c>
      <c r="AG416" s="1" t="e">
        <f>VLOOKUP(A416,'SegEnds_NonXtal_Prot#'!A:AL,28,FALSE)-VLOOKUP(A416,'SegEnds_NonXtal_Prot#'!A:AL,25,FALSE)</f>
        <v>#VALUE!</v>
      </c>
      <c r="AH416" s="1">
        <f>VLOOKUP(A416,'SegEnds_NonXtal_Prot#'!A:AL,28,FALSE)-VLOOKUP(A416,'SegEnds_NonXtal_Prot#'!A:AL,22,FALSE)</f>
        <v>59</v>
      </c>
      <c r="AI416" s="1">
        <f>VLOOKUP(A416,'SegEnds_NonXtal_Prot#'!A:AL,31,FALSE)-VLOOKUP(A416,'SegEnds_NonXtal_Prot#'!A:AL,28,FALSE)</f>
        <v>53</v>
      </c>
      <c r="AJ416" s="1">
        <f>VLOOKUP(A416,'SegEnds_NonXtal_Prot#'!A:AL,34,FALSE)-VLOOKUP(A416,'SegEnds_NonXtal_Prot#'!A:AL,31,FALSE)</f>
        <v>36</v>
      </c>
      <c r="AK416" s="1">
        <f>VLOOKUP(A416,'SegEnds_NonXtal_Prot#'!A:AL,37,FALSE)-VLOOKUP(A416,'SegEnds_NonXtal_Prot#'!A:AL,34,FALSE)</f>
        <v>10</v>
      </c>
      <c r="AL416" s="1" t="str">
        <f>IF(ISERROR(MATCH(A416,'SegEnds_Xtal_Prot#'!B:B, 0)), "NoXtal", "Xtal")</f>
        <v>NoXtal</v>
      </c>
    </row>
  </sheetData>
  <sortState xmlns:xlrd2="http://schemas.microsoft.com/office/spreadsheetml/2017/richdata2" ref="A2:AL416">
    <sortCondition ref="AA2:AA416"/>
    <sortCondition ref="AH2:AH416"/>
    <sortCondition ref="A2:A416"/>
  </sortState>
  <customSheetViews>
    <customSheetView guid="{3E3401AF-8459-8641-BD70-AD04F80E86ED}" scale="135">
      <pane ySplit="1" topLeftCell="A2" activePane="bottomLeft" state="frozenSplit"/>
      <selection pane="bottomLeft" activeCell="S7" sqref="S7"/>
      <pageMargins left="0.7" right="0.7" top="0.75" bottom="0.75" header="0.3" footer="0.3"/>
      <pageSetup paperSize="9" orientation="portrait" horizontalDpi="0" verticalDpi="0"/>
    </customSheetView>
  </customSheetViews>
  <conditionalFormatting sqref="AI1:AI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:AL1048576">
    <cfRule type="cellIs" dxfId="25" priority="2" operator="equal">
      <formula>"Xtal"</formula>
    </cfRule>
  </conditionalFormatting>
  <conditionalFormatting sqref="AF1:AF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00"/>
  </sheetPr>
  <dimension ref="A1:BH418"/>
  <sheetViews>
    <sheetView zoomScale="120" zoomScaleNormal="120" zoomScalePageLayoutView="120" workbookViewId="0">
      <pane ySplit="1" topLeftCell="A2" activePane="bottomLeft" state="frozenSplit"/>
      <selection pane="bottomLeft" activeCell="A101" sqref="A101"/>
    </sheetView>
  </sheetViews>
  <sheetFormatPr baseColWidth="10" defaultColWidth="10.83203125" defaultRowHeight="16" x14ac:dyDescent="0.2"/>
  <cols>
    <col min="1" max="1" width="12.83203125" style="1" customWidth="1"/>
    <col min="2" max="2" width="11.6640625" style="1" customWidth="1"/>
    <col min="3" max="8" width="5.1640625" style="1" customWidth="1"/>
    <col min="9" max="9" width="3.6640625" style="1" customWidth="1"/>
    <col min="10" max="11" width="5.1640625" style="1" customWidth="1"/>
    <col min="12" max="14" width="4.1640625" style="1" customWidth="1"/>
    <col min="15" max="17" width="5.1640625" style="1" customWidth="1"/>
    <col min="18" max="19" width="4.1640625" style="1" customWidth="1"/>
    <col min="20" max="20" width="5" style="87" customWidth="1"/>
    <col min="21" max="21" width="5.1640625" style="12" customWidth="1"/>
    <col min="22" max="38" width="5.1640625" style="1" customWidth="1"/>
    <col min="39" max="39" width="3.1640625" style="27" bestFit="1" customWidth="1"/>
    <col min="40" max="40" width="8" style="5" customWidth="1"/>
    <col min="41" max="41" width="6.83203125" style="1" customWidth="1"/>
    <col min="42" max="43" width="6.33203125" style="1" customWidth="1"/>
    <col min="44" max="45" width="6.83203125" style="1" customWidth="1"/>
    <col min="46" max="47" width="6.33203125" style="1" customWidth="1"/>
    <col min="48" max="49" width="6.83203125" style="1" customWidth="1"/>
    <col min="50" max="50" width="5.83203125" style="1" bestFit="1" customWidth="1"/>
    <col min="51" max="52" width="5.83203125" style="1" customWidth="1"/>
    <col min="53" max="53" width="6.83203125" style="1" customWidth="1"/>
    <col min="54" max="54" width="5" style="5" bestFit="1" customWidth="1"/>
    <col min="55" max="55" width="5.5" style="12" customWidth="1"/>
    <col min="56" max="58" width="5" style="1" customWidth="1"/>
    <col min="59" max="59" width="3" style="1" customWidth="1"/>
    <col min="60" max="16384" width="10.83203125" style="1"/>
  </cols>
  <sheetData>
    <row r="1" spans="1:59" s="8" customFormat="1" x14ac:dyDescent="0.2">
      <c r="A1" s="8" t="s">
        <v>31</v>
      </c>
      <c r="B1" s="35" t="s">
        <v>1197</v>
      </c>
      <c r="C1" s="8" t="s">
        <v>1054</v>
      </c>
      <c r="D1" s="41" t="s">
        <v>1075</v>
      </c>
      <c r="E1" s="8" t="s">
        <v>1055</v>
      </c>
      <c r="F1" s="41" t="s">
        <v>1071</v>
      </c>
      <c r="G1" s="41" t="s">
        <v>1076</v>
      </c>
      <c r="H1" s="41" t="s">
        <v>1072</v>
      </c>
      <c r="I1" s="41" t="s">
        <v>1056</v>
      </c>
      <c r="J1" s="41" t="s">
        <v>1077</v>
      </c>
      <c r="K1" s="8" t="s">
        <v>1057</v>
      </c>
      <c r="L1" s="8" t="s">
        <v>1073</v>
      </c>
      <c r="M1" s="41" t="s">
        <v>1078</v>
      </c>
      <c r="N1" s="8" t="s">
        <v>1074</v>
      </c>
      <c r="O1" s="8" t="s">
        <v>1058</v>
      </c>
      <c r="P1" s="41" t="s">
        <v>1079</v>
      </c>
      <c r="Q1" s="8" t="s">
        <v>1059</v>
      </c>
      <c r="R1" s="8" t="s">
        <v>1086</v>
      </c>
      <c r="S1" s="41" t="s">
        <v>1085</v>
      </c>
      <c r="T1" s="86" t="s">
        <v>1087</v>
      </c>
      <c r="U1" s="99" t="s">
        <v>1060</v>
      </c>
      <c r="V1" s="41" t="s">
        <v>1080</v>
      </c>
      <c r="W1" s="8" t="s">
        <v>1061</v>
      </c>
      <c r="X1" s="8" t="s">
        <v>1089</v>
      </c>
      <c r="Y1" s="41" t="s">
        <v>1088</v>
      </c>
      <c r="Z1" s="8" t="s">
        <v>1090</v>
      </c>
      <c r="AA1" s="8" t="s">
        <v>1062</v>
      </c>
      <c r="AB1" s="41" t="s">
        <v>1081</v>
      </c>
      <c r="AC1" s="8" t="s">
        <v>1063</v>
      </c>
      <c r="AD1" s="8" t="s">
        <v>1064</v>
      </c>
      <c r="AE1" s="41" t="s">
        <v>1082</v>
      </c>
      <c r="AF1" s="8" t="s">
        <v>1065</v>
      </c>
      <c r="AG1" s="8" t="s">
        <v>1066</v>
      </c>
      <c r="AH1" s="41" t="s">
        <v>1083</v>
      </c>
      <c r="AI1" s="8" t="s">
        <v>1067</v>
      </c>
      <c r="AJ1" s="8" t="s">
        <v>1068</v>
      </c>
      <c r="AK1" s="41" t="s">
        <v>1084</v>
      </c>
      <c r="AL1" s="8" t="s">
        <v>1069</v>
      </c>
      <c r="AM1" s="26" t="s">
        <v>99</v>
      </c>
      <c r="AN1" s="26" t="s">
        <v>1160</v>
      </c>
      <c r="AO1" s="8" t="s">
        <v>1220</v>
      </c>
      <c r="AP1" s="8" t="s">
        <v>1222</v>
      </c>
      <c r="AQ1" s="8" t="s">
        <v>1223</v>
      </c>
      <c r="AR1" s="8" t="s">
        <v>1224</v>
      </c>
      <c r="AS1" s="8" t="s">
        <v>1225</v>
      </c>
      <c r="AT1" s="8" t="s">
        <v>1226</v>
      </c>
      <c r="AU1" s="8" t="s">
        <v>1227</v>
      </c>
      <c r="AV1" s="8" t="s">
        <v>1228</v>
      </c>
      <c r="AW1" s="8" t="s">
        <v>1229</v>
      </c>
      <c r="AX1" s="8" t="s">
        <v>1230</v>
      </c>
      <c r="AY1" s="8" t="s">
        <v>1231</v>
      </c>
      <c r="AZ1" s="8" t="s">
        <v>1232</v>
      </c>
      <c r="BA1" s="8" t="s">
        <v>1299</v>
      </c>
      <c r="BB1" s="26" t="s">
        <v>1234</v>
      </c>
      <c r="BC1" s="99" t="s">
        <v>1269</v>
      </c>
      <c r="BD1" s="8" t="s">
        <v>1234</v>
      </c>
      <c r="BE1" s="8" t="s">
        <v>1236</v>
      </c>
      <c r="BF1" s="8" t="s">
        <v>1233</v>
      </c>
      <c r="BG1" s="8" t="s">
        <v>1300</v>
      </c>
    </row>
    <row r="2" spans="1:59" s="3" customFormat="1" x14ac:dyDescent="0.2">
      <c r="A2" s="3" t="s">
        <v>209</v>
      </c>
      <c r="B2" s="3" t="str">
        <f>LOWER(VLOOKUP(A2,Xtal_Templ!A:B,2,FALSE))</f>
        <v>apj_human</v>
      </c>
      <c r="C2" s="3">
        <f>VLOOKUP($A2,'SegEnds_NonXtal_BW#'!$A:$Z,3,FALSE)+D2-50</f>
        <v>36</v>
      </c>
      <c r="D2" s="3">
        <v>53</v>
      </c>
      <c r="E2" s="3">
        <f>IF(ISERROR(VLOOKUP($A2,'SegEnds_NonXtal_BW#'!$A:$Z,4,FALSE)+VLOOKUP($A2,A:AL,4,FALSE)-50),"-",(VLOOKUP($A2,'SegEnds_NonXtal_BW#'!$A:$Z,4,FALSE)+VLOOKUP($A2,A:AL,4,FALSE)-50))</f>
        <v>63</v>
      </c>
      <c r="F2" s="3">
        <f>G2-2</f>
        <v>71</v>
      </c>
      <c r="G2" s="3">
        <v>73</v>
      </c>
      <c r="H2" s="3">
        <f t="shared" ref="H2:I4" si="0">G2+1</f>
        <v>74</v>
      </c>
      <c r="I2" s="3">
        <f t="shared" si="0"/>
        <v>75</v>
      </c>
      <c r="J2" s="105">
        <v>87</v>
      </c>
      <c r="K2" s="3">
        <f>VLOOKUP($A2,'SegEnds_NonXtal_BW#'!$A:$Z,8,FALSE)+VLOOKUP($A2,A:AL,10,FALSE)-50</f>
        <v>103</v>
      </c>
      <c r="L2" s="3">
        <f>M2-1</f>
        <v>106</v>
      </c>
      <c r="M2" s="3">
        <v>107</v>
      </c>
      <c r="N2" s="3">
        <f>M2+2</f>
        <v>109</v>
      </c>
      <c r="O2" s="3">
        <f>N2+1</f>
        <v>110</v>
      </c>
      <c r="P2" s="3">
        <v>139</v>
      </c>
      <c r="Q2" s="3">
        <f>VLOOKUP($A2,'SegEnds_NonXtal_BW#'!$A:$Z,12,FALSE)+VLOOKUP($A2,A:AL,16,FALSE)-50</f>
        <v>145</v>
      </c>
      <c r="R2" s="3">
        <f>IF(ISERROR(VLOOKUP($A2,'SegEnds_NonXtal_BW#'!$A:$Z,13,FALSE)+VLOOKUP($A2,A:AL,19,FALSE)-50),"-",VLOOKUP($A2,'SegEnds_NonXtal_BW#'!$A:$Z,13,FALSE)+VLOOKUP($A2,A:AL,19,FALSE)-50)</f>
        <v>146</v>
      </c>
      <c r="S2" s="3">
        <v>146</v>
      </c>
      <c r="T2" s="100">
        <f>IF(ISERROR(VLOOKUP($A2,'SegEnds_NonXtal_BW#'!$A:$Z,14,FALSE)+VLOOKUP($A2,A:AL,19,FALSE)-50),"-",(VLOOKUP($A2,'SegEnds_NonXtal_BW#'!$A:$Z,14,FALSE)+VLOOKUP($A2,A:AL,19,FALSE)-50))</f>
        <v>149</v>
      </c>
      <c r="U2" s="9">
        <f>IF(ISERROR(VLOOKUP($A2,'SegEnds_NonXtal_BW#'!$A:$Z,15,FALSE)+VLOOKUP($A2,A:AL,22,FALSE)-50),"-",VLOOKUP($A2,'SegEnds_NonXtal_BW#'!$A:$Z,15,FALSE)+VLOOKUP($A2,A:AL,22,FALSE)-50)</f>
        <v>152</v>
      </c>
      <c r="V2" s="3">
        <v>164</v>
      </c>
      <c r="W2" s="3">
        <f>IF(ISERROR(VLOOKUP($A2,'SegEnds_NonXtal_BW#'!$A:$Z,16,FALSE)+VLOOKUP($A2,A:AL,22,FALSE)-50),"-",(VLOOKUP($A2,'SegEnds_NonXtal_BW#'!$A:$Z,16,FALSE)+VLOOKUP($A2,A:AL,22,FALSE)-50))</f>
        <v>178</v>
      </c>
      <c r="X2" s="3">
        <f>IF(ISERROR(VLOOKUP($A2,'SegEnds_NonXtal_BW#'!$A:$Z,17,FALSE)+VLOOKUP($A2,A:AL,25,FALSE)-50),"-",(VLOOKUP($A2,'SegEnds_NonXtal_BW#'!$A:$Z,17,FALSE)+VLOOKUP($A2,A:AL,25,FALSE)-50))</f>
        <v>200</v>
      </c>
      <c r="Y2" s="3">
        <v>200</v>
      </c>
      <c r="Z2" s="3">
        <f t="shared" ref="Z2:Z11" si="1">Y2+2</f>
        <v>202</v>
      </c>
      <c r="AA2" s="3">
        <f>IF(ISERROR(VLOOKUP($A2,'SegEnds_NonXtal_BW#'!$A:$Z,19,FALSE)+VLOOKUP($A2,A:AL,28,FALSE)-50),"-",(VLOOKUP($A2,'SegEnds_NonXtal_BW#'!$A:$Z,19,FALSE)+VLOOKUP($A2,A:AL,28,FALSE)-50))</f>
        <v>203</v>
      </c>
      <c r="AB2" s="3">
        <v>223</v>
      </c>
      <c r="AC2" s="3">
        <f>IF(ISERROR((VLOOKUP($A2,'SegEnds_NonXtal_BW#'!$A:$Z,20,FALSE)+VLOOKUP($A2,A:AL,28,FALSE)-50)),"-",(VLOOKUP($A2,'SegEnds_NonXtal_BW#'!$A:$Z,20,FALSE)+VLOOKUP($A2,A:AL,28,FALSE)-50))</f>
        <v>247</v>
      </c>
      <c r="AD2" s="3">
        <f>IF(ISERROR(VLOOKUP($A2,'SegEnds_NonXtal_BW#'!$A:$Z,21,FALSE)+VLOOKUP($A2,A:AL,31,FALSE)-50),"-",(VLOOKUP($A2,'SegEnds_NonXtal_BW#'!$A:$Z,21,FALSE)+VLOOKUP($A2,A:AL,31,FALSE)-50))</f>
        <v>253</v>
      </c>
      <c r="AE2" s="3">
        <v>282</v>
      </c>
      <c r="AF2" s="3">
        <f>IF(ISERROR((VLOOKUP($A2,'SegEnds_NonXtal_BW#'!$A:$Z,22,FALSE)+VLOOKUP($A2,A:AL,31,FALSE)-50)),"-",(VLOOKUP($A2,'SegEnds_NonXtal_BW#'!$A:$Z,22,FALSE)+VLOOKUP($A2,A:AL,31,FALSE)-50))</f>
        <v>293</v>
      </c>
      <c r="AG2" s="3">
        <f>IF(ISERROR(VLOOKUP($A2,'SegEnds_NonXtal_BW#'!$A:$Z,23,FALSE)+VLOOKUP($A2,A:AL,34,FALSE)-50),"-",(VLOOKUP($A2,'SegEnds_NonXtal_BW#'!$A:$Z,23,FALSE)+VLOOKUP($A2,A:AL,34,FALSE)-50))</f>
        <v>295</v>
      </c>
      <c r="AH2" s="3">
        <v>320</v>
      </c>
      <c r="AI2" s="3">
        <f>IF(ISERROR((VLOOKUP($A2,'SegEnds_NonXtal_BW#'!$A:$Z,24,FALSE)+VLOOKUP($A2,A:AL,34,FALSE)-50)),"-",(VLOOKUP($A2,'SegEnds_NonXtal_BW#'!$A:$Z,24,FALSE)+VLOOKUP($A2,A:AL,34,FALSE)-50))</f>
        <v>326</v>
      </c>
      <c r="AJ2" s="3" t="str">
        <f>IF(ISERROR(VLOOKUP($A2,'SegEnds_NonXtal_BW#'!$A:$Z,25,FALSE)+VLOOKUP($A2,A:AL,37,FALSE)-50),"-",(VLOOKUP($A2,'SegEnds_NonXtal_BW#'!$A:$Z,25,FALSE)+VLOOKUP($A2,A:AL,37,FALSE)-50))</f>
        <v>-</v>
      </c>
      <c r="AK2" s="3" t="s">
        <v>23</v>
      </c>
      <c r="AL2" s="3" t="str">
        <f>IF(ISERROR((VLOOKUP($A2,'SegEnds_NonXtal_BW#'!$A:$Z,26,FALSE)+VLOOKUP($A2,A:AL,37,FALSE)-50)),"-",(VLOOKUP($A2,'SegEnds_NonXtal_BW#'!$A:$Z,26,FALSE)+VLOOKUP($A2,A:AL,37,FALSE)-50))</f>
        <v>-</v>
      </c>
      <c r="AM2" s="28" t="str">
        <f>VLOOKUP(A2,Classification!A:B,2,FALSE)</f>
        <v>A</v>
      </c>
      <c r="AN2" s="28" t="b">
        <f>AND(IF(Y2="-",IF(AA2-W2&gt;3,TRUE,FALSE),TRUE),IF(M2="-",IF(O2-K2&gt;3,TRUE,FALSE),TRUE),IF(AG2-AF2&gt;1,TRUE,FALSE),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    <v>1</v>
      </c>
      <c r="AO2" s="3" t="str">
        <f>IF(ISERROR(MATCH(A2,'SegEnds_Xtal_Prot#'!B:B, 0)), "NoXtal", "Xtal")</f>
        <v>NoXtal</v>
      </c>
      <c r="AP2" s="3">
        <f t="shared" ref="AP2:AP67" si="2">IF(ISERROR(F2-E2),"-",F2-E2)</f>
        <v>8</v>
      </c>
      <c r="AQ2" s="3">
        <f t="shared" ref="AQ2:AQ67" si="3">IF(ISERROR(I2-H2),"-",I2-H2)</f>
        <v>1</v>
      </c>
      <c r="AR2" s="3">
        <f t="shared" ref="AR2:AR67" si="4">IF(ISERROR(L2-K2),"-",L2-K2)</f>
        <v>3</v>
      </c>
      <c r="AS2" s="3">
        <f t="shared" ref="AS2:AS67" si="5">IF(ISERROR(O2-N2),"-",O2-N2)</f>
        <v>1</v>
      </c>
      <c r="AT2" s="3">
        <f t="shared" ref="AT2:AT67" si="6">IF(ISERROR(R2-Q2),"-",R2-Q2)</f>
        <v>1</v>
      </c>
      <c r="AU2" s="3">
        <f t="shared" ref="AU2:AU67" si="7">IF(ISERROR(U2-T2),"-",U2-T2)</f>
        <v>3</v>
      </c>
      <c r="AV2" s="3">
        <f t="shared" ref="AV2:AV67" si="8">IF(ISERROR(X2-W2),"-",X2-W2)</f>
        <v>22</v>
      </c>
      <c r="AW2" s="3">
        <f t="shared" ref="AW2:AW67" si="9">IF(ISERROR(AA2-Z2),"-",AA2-Z2)</f>
        <v>1</v>
      </c>
      <c r="AX2" s="3">
        <f t="shared" ref="AX2:AX67" si="10">IF(ISERROR(AD2-AC2),"-",AD2-AC2)</f>
        <v>6</v>
      </c>
      <c r="AY2" s="3">
        <f t="shared" ref="AY2:AY67" si="11">IF(ISERROR(AG2-AF2),"-",AG2-AF2)</f>
        <v>2</v>
      </c>
      <c r="AZ2" s="3" t="str">
        <f t="shared" ref="AZ2:AZ67" si="12">IF(ISERROR(AJ2-AI2),"-",AJ2-AI2)</f>
        <v>-</v>
      </c>
      <c r="BA2" s="3" t="str">
        <f>IF(ISERROR(LEN(VLOOKUP(A2,Seqs!A:E,2,FALSE))-AL2),"-",LEN(VLOOKUP(A2,Seqs!A:E,2,FALSE))-AL2)</f>
        <v>-</v>
      </c>
      <c r="BB2" s="16">
        <f t="shared" ref="BB2:BB67" si="13">J2-D2</f>
        <v>34</v>
      </c>
      <c r="BC2" s="9">
        <f t="shared" ref="BC2:BC67" si="14">IF(ISERROR(V2-S2),"-",V2-S2)</f>
        <v>18</v>
      </c>
      <c r="BD2" s="3">
        <f t="shared" ref="BD2:BD67" si="15">J2-D2</f>
        <v>34</v>
      </c>
      <c r="BE2" s="3">
        <f t="shared" ref="BE2:BE67" si="16">AE2-AB2</f>
        <v>59</v>
      </c>
    </row>
    <row r="3" spans="1:59" s="3" customFormat="1" x14ac:dyDescent="0.2">
      <c r="A3" s="3" t="s">
        <v>241</v>
      </c>
      <c r="B3" s="3" t="str">
        <f>LOWER(VLOOKUP(A3,Xtal_Templ!A:B,2,FALSE))</f>
        <v>ox2r_human</v>
      </c>
      <c r="C3" s="3">
        <f>VLOOKUP($A3,'SegEnds_NonXtal_BW#'!$A:$Z,3,FALSE)+D3-50</f>
        <v>64</v>
      </c>
      <c r="D3" s="3">
        <v>83</v>
      </c>
      <c r="E3" s="3">
        <f>IF(ISERROR(VLOOKUP($A3,'SegEnds_NonXtal_BW#'!$A:$Z,4,FALSE)+VLOOKUP($A3,A:AL,4,FALSE)-50),"-",(VLOOKUP($A3,'SegEnds_NonXtal_BW#'!$A:$Z,4,FALSE)+VLOOKUP($A3,A:AL,4,FALSE)-50))</f>
        <v>93</v>
      </c>
      <c r="F3" s="3">
        <f>G3-2</f>
        <v>94</v>
      </c>
      <c r="G3" s="3">
        <v>96</v>
      </c>
      <c r="H3" s="3">
        <f t="shared" si="0"/>
        <v>97</v>
      </c>
      <c r="I3" s="3">
        <f t="shared" si="0"/>
        <v>98</v>
      </c>
      <c r="J3" s="3">
        <v>111</v>
      </c>
      <c r="K3" s="3">
        <f>VLOOKUP($A3,'SegEnds_NonXtal_BW#'!$A:$Z,8,FALSE)+VLOOKUP($A3,A:AL,10,FALSE)-50</f>
        <v>129</v>
      </c>
      <c r="L3" s="3">
        <f>M3-1</f>
        <v>130</v>
      </c>
      <c r="M3" s="3">
        <v>131</v>
      </c>
      <c r="N3" s="3">
        <f>M3+2</f>
        <v>133</v>
      </c>
      <c r="O3" s="3">
        <f>N3+1</f>
        <v>134</v>
      </c>
      <c r="P3" s="3">
        <v>163</v>
      </c>
      <c r="Q3" s="3">
        <f>VLOOKUP($A3,'SegEnds_NonXtal_BW#'!$A:$Z,12,FALSE)+VLOOKUP($A3,A:AL,16,FALSE)-50</f>
        <v>169</v>
      </c>
      <c r="R3" s="3">
        <f>IF(ISERROR(VLOOKUP($A3,'SegEnds_NonXtal_BW#'!$A:$Z,13,FALSE)+VLOOKUP($A3,A:AL,19,FALSE)-50),"-",VLOOKUP($A3,'SegEnds_NonXtal_BW#'!$A:$Z,13,FALSE)+VLOOKUP($A3,A:AL,19,FALSE)-50)</f>
        <v>170</v>
      </c>
      <c r="S3" s="3">
        <v>170</v>
      </c>
      <c r="T3" s="100">
        <f>IF(ISERROR(VLOOKUP($A3,'SegEnds_NonXtal_BW#'!$A:$Z,14,FALSE)+VLOOKUP($A3,A:AL,19,FALSE)-50),"-",(VLOOKUP($A3,'SegEnds_NonXtal_BW#'!$A:$Z,14,FALSE)+VLOOKUP($A3,A:AL,19,FALSE)-50))</f>
        <v>173</v>
      </c>
      <c r="U3" s="9">
        <f>IF(ISERROR(VLOOKUP($A3,'SegEnds_NonXtal_BW#'!$A:$Z,15,FALSE)+VLOOKUP($A3,A:AL,22,FALSE)-50),"-",VLOOKUP($A3,'SegEnds_NonXtal_BW#'!$A:$Z,15,FALSE)+VLOOKUP($A3,A:AL,22,FALSE)-50)</f>
        <v>176</v>
      </c>
      <c r="V3" s="3">
        <v>188</v>
      </c>
      <c r="W3" s="3">
        <f>IF(ISERROR(VLOOKUP($A3,'SegEnds_NonXtal_BW#'!$A:$Z,16,FALSE)+VLOOKUP($A3,A:AL,22,FALSE)-50),"-",(VLOOKUP($A3,'SegEnds_NonXtal_BW#'!$A:$Z,16,FALSE)+VLOOKUP($A3,A:AL,22,FALSE)-50))</f>
        <v>202</v>
      </c>
      <c r="X3" s="3">
        <f>IF(ISERROR(VLOOKUP($A3,'SegEnds_NonXtal_BW#'!$A:$Z,17,FALSE)+VLOOKUP($A3,A:AL,25,FALSE)-50),"-",(VLOOKUP($A3,'SegEnds_NonXtal_BW#'!$A:$Z,17,FALSE)+VLOOKUP($A3,A:AL,25,FALSE)-50))</f>
        <v>210</v>
      </c>
      <c r="Y3" s="3">
        <v>210</v>
      </c>
      <c r="Z3" s="3">
        <f t="shared" si="1"/>
        <v>212</v>
      </c>
      <c r="AA3" s="3">
        <f>IF(ISERROR(VLOOKUP($A3,'SegEnds_NonXtal_BW#'!$A:$Z,19,FALSE)+VLOOKUP($A3,A:AL,28,FALSE)-50),"-",(VLOOKUP($A3,'SegEnds_NonXtal_BW#'!$A:$Z,19,FALSE)+VLOOKUP($A3,A:AL,28,FALSE)-50))</f>
        <v>218</v>
      </c>
      <c r="AB3" s="3">
        <v>235</v>
      </c>
      <c r="AC3" s="3">
        <f>IF(ISERROR((VLOOKUP($A3,'SegEnds_NonXtal_BW#'!$A:$Z,20,FALSE)+VLOOKUP($A3,A:AL,28,FALSE)-50)),"-",(VLOOKUP($A3,'SegEnds_NonXtal_BW#'!$A:$Z,20,FALSE)+VLOOKUP($A3,A:AL,28,FALSE)-50))</f>
        <v>258</v>
      </c>
      <c r="AD3" s="3">
        <f>IF(ISERROR(VLOOKUP($A3,'SegEnds_NonXtal_BW#'!$A:$Z,21,FALSE)+VLOOKUP($A3,A:AL,31,FALSE)-50),"-",(VLOOKUP($A3,'SegEnds_NonXtal_BW#'!$A:$Z,21,FALSE)+VLOOKUP($A3,A:AL,31,FALSE)-50))</f>
        <v>263</v>
      </c>
      <c r="AE3" s="3">
        <v>291</v>
      </c>
      <c r="AF3" s="3">
        <f>IF(ISERROR((VLOOKUP($A3,'SegEnds_NonXtal_BW#'!$A:$Z,22,FALSE)+VLOOKUP($A3,A:AL,31,FALSE)-50)),"-",(VLOOKUP($A3,'SegEnds_NonXtal_BW#'!$A:$Z,22,FALSE)+VLOOKUP($A3,A:AL,31,FALSE)-50))</f>
        <v>302</v>
      </c>
      <c r="AG3" s="3">
        <f>IF(ISERROR(VLOOKUP($A3,'SegEnds_NonXtal_BW#'!$A:$Z,23,FALSE)+VLOOKUP($A3,A:AL,34,FALSE)-50),"-",(VLOOKUP($A3,'SegEnds_NonXtal_BW#'!$A:$Z,23,FALSE)+VLOOKUP($A3,A:AL,34,FALSE)-50))</f>
        <v>308</v>
      </c>
      <c r="AH3" s="3">
        <v>327</v>
      </c>
      <c r="AI3" s="3">
        <f>IF(ISERROR((VLOOKUP($A3,'SegEnds_NonXtal_BW#'!$A:$Z,24,FALSE)+VLOOKUP($A3,A:AL,34,FALSE)-50)),"-",(VLOOKUP($A3,'SegEnds_NonXtal_BW#'!$A:$Z,24,FALSE)+VLOOKUP($A3,A:AL,34,FALSE)-50))</f>
        <v>333</v>
      </c>
      <c r="AJ3" s="3">
        <f>IF(ISERROR(VLOOKUP($A3,'SegEnds_NonXtal_BW#'!$A:$Z,25,FALSE)+VLOOKUP($A3,A:AL,37,FALSE)-50),"-",(VLOOKUP($A3,'SegEnds_NonXtal_BW#'!$A:$Z,25,FALSE)+VLOOKUP($A3,A:AL,37,FALSE)-50))</f>
        <v>334</v>
      </c>
      <c r="AK3" s="3">
        <v>337</v>
      </c>
      <c r="AL3" s="3">
        <f>IF(ISERROR((VLOOKUP($A3,'SegEnds_NonXtal_BW#'!$A:$Z,26,FALSE)+VLOOKUP($A3,A:AL,37,FALSE)-50)),"-",(VLOOKUP($A3,'SegEnds_NonXtal_BW#'!$A:$Z,26,FALSE)+VLOOKUP($A3,A:AL,37,FALSE)-50))</f>
        <v>350</v>
      </c>
      <c r="AM3" s="28" t="str">
        <f>VLOOKUP(A3,Classification!A:B,2,FALSE)</f>
        <v>A</v>
      </c>
      <c r="AN3" s="28" t="b">
        <f t="shared" ref="AN3:AN68" si="17">AND(IF(Y3="-",IF(AA3-W3&gt;3,TRUE,FALSE),TRUE),IF(M3="-",IF(O3-K3&gt;3,TRUE,FALSE),TRUE),IF(AG3-AF3&gt;1,TRUE,FALSE),C3&lt;E3,OR(E3&lt;F3,F3="-"),OR(F3&lt;H3,F3="-"),OR(H3&lt;I3,H3="-"),I3&lt;K3,OR(K3&lt;L3,L3="-"),OR(L3&lt;N3,L3="-"),OR(N3&lt;O3,N3="-"),O3&lt;Q3,OR(Q3&lt;R3,R3="-"),OR(R3&lt;T3,R3="-"),OR(T3&lt;U3,T3="-"),U3&lt;W3,OR(W3&lt;X3,X3="-"),OR(X3&lt;Z3,X3="-"),OR(Z3&lt;AA3,Z3="-"),AA3&lt;AC3,AC3&lt;AD3,AD3&lt;AF3,AF3&lt;AG3,AG3&lt;AI3,OR(AI3&lt;AJ3,AJ3="-"),OR(AJ3&lt;AL3,AJ3="-"))</f>
        <v>1</v>
      </c>
      <c r="AO3" s="3" t="str">
        <f>IF(ISERROR(MATCH(A3,'SegEnds_Xtal_Prot#'!B:B, 0)), "NoXtal", "Xtal")</f>
        <v>NoXtal</v>
      </c>
      <c r="AP3" s="3">
        <f t="shared" si="2"/>
        <v>1</v>
      </c>
      <c r="AQ3" s="3">
        <f t="shared" si="3"/>
        <v>1</v>
      </c>
      <c r="AR3" s="3">
        <f t="shared" si="4"/>
        <v>1</v>
      </c>
      <c r="AS3" s="3">
        <f t="shared" si="5"/>
        <v>1</v>
      </c>
      <c r="AT3" s="3">
        <f t="shared" si="6"/>
        <v>1</v>
      </c>
      <c r="AU3" s="3">
        <f t="shared" si="7"/>
        <v>3</v>
      </c>
      <c r="AV3" s="3">
        <f t="shared" si="8"/>
        <v>8</v>
      </c>
      <c r="AW3" s="3">
        <f t="shared" si="9"/>
        <v>6</v>
      </c>
      <c r="AX3" s="3">
        <f t="shared" si="10"/>
        <v>5</v>
      </c>
      <c r="AY3" s="3">
        <f t="shared" si="11"/>
        <v>6</v>
      </c>
      <c r="AZ3" s="3">
        <f t="shared" si="12"/>
        <v>1</v>
      </c>
      <c r="BA3" s="3">
        <f>IF(ISERROR(LEN(VLOOKUP(A3,Seqs!A:E,2,FALSE))-AL3),"-",LEN(VLOOKUP(A3,Seqs!A:E,2,FALSE))-AL3)</f>
        <v>65</v>
      </c>
      <c r="BB3" s="16">
        <f t="shared" si="13"/>
        <v>28</v>
      </c>
      <c r="BC3" s="9">
        <f t="shared" si="14"/>
        <v>18</v>
      </c>
      <c r="BD3" s="3">
        <f t="shared" si="15"/>
        <v>28</v>
      </c>
      <c r="BE3" s="3">
        <f t="shared" si="16"/>
        <v>56</v>
      </c>
    </row>
    <row r="4" spans="1:59" s="3" customFormat="1" x14ac:dyDescent="0.2">
      <c r="A4" s="3" t="s">
        <v>244</v>
      </c>
      <c r="B4" s="3" t="str">
        <f>LOWER(VLOOKUP(A4,Xtal_Templ!A:B,2,FALSE))</f>
        <v>5ht2c_human</v>
      </c>
      <c r="C4" s="3">
        <f>VLOOKUP($A4,'SegEnds_NonXtal_BW#'!$A:$Z,3,FALSE)+D4-50</f>
        <v>42</v>
      </c>
      <c r="D4" s="3">
        <v>59</v>
      </c>
      <c r="E4" s="3">
        <f>IF(ISERROR(VLOOKUP($A4,'SegEnds_NonXtal_BW#'!$A:$Z,4,FALSE)+VLOOKUP($A4,A:AL,4,FALSE)-50),"-",(VLOOKUP($A4,'SegEnds_NonXtal_BW#'!$A:$Z,4,FALSE)+VLOOKUP($A4,A:AL,4,FALSE)-50))</f>
        <v>69</v>
      </c>
      <c r="F4" s="3">
        <f>G4-2</f>
        <v>70</v>
      </c>
      <c r="G4" s="3">
        <v>72</v>
      </c>
      <c r="H4" s="3">
        <f t="shared" si="0"/>
        <v>73</v>
      </c>
      <c r="I4" s="3">
        <f t="shared" si="0"/>
        <v>74</v>
      </c>
      <c r="J4" s="3">
        <v>88</v>
      </c>
      <c r="K4" s="3">
        <f>VLOOKUP($A4,'SegEnds_NonXtal_BW#'!$A:$Z,8,FALSE)+VLOOKUP($A4,A:AL,10,FALSE)-50</f>
        <v>106</v>
      </c>
      <c r="L4" s="3" t="str">
        <f>IF(ISERROR(VLOOKUP($A4,'SegEnds_NonXtal_BW#'!$A:$Z,9,FALSE)+VLOOKUP($A4,A:AL,13,FALSE)-50),"-",(VLOOKUP($A4,'SegEnds_NonXtal_BW#'!$A:$Z,9,FALSE)+VLOOKUP($A4,A:AL,13,FALSE)-50))</f>
        <v>-</v>
      </c>
      <c r="M4" s="3" t="s">
        <v>23</v>
      </c>
      <c r="N4" s="3" t="str">
        <f>IF(ISERROR(VLOOKUP($A4,'SegEnds_NonXtal_BW#'!$A:$Z,10,FALSE)+VLOOKUP($A4,A:AL,13,FALSE)-50),"-",(VLOOKUP($A4,'SegEnds_NonXtal_BW#'!$A:$Z,10,FALSE)+VLOOKUP($A4,A:AL,13,FALSE)-50))</f>
        <v>-</v>
      </c>
      <c r="O4" s="3">
        <f>VLOOKUP($A4,'SegEnds_NonXtal_BW#'!$A:$Z,11,FALSE)+VLOOKUP($A4,A:AL,16,FALSE)-50</f>
        <v>111</v>
      </c>
      <c r="P4" s="3">
        <v>140</v>
      </c>
      <c r="Q4" s="3">
        <f>VLOOKUP($A4,'SegEnds_NonXtal_BW#'!$A:$Z,12,FALSE)+VLOOKUP($A4,A:AL,16,FALSE)-50</f>
        <v>146</v>
      </c>
      <c r="R4" s="3">
        <f>IF(ISERROR(VLOOKUP($A4,'SegEnds_NonXtal_BW#'!$A:$Z,13,FALSE)+VLOOKUP($A4,A:AL,19,FALSE)-50),"-",VLOOKUP($A4,'SegEnds_NonXtal_BW#'!$A:$Z,13,FALSE)+VLOOKUP($A4,A:AL,19,FALSE)-50)</f>
        <v>147</v>
      </c>
      <c r="S4" s="3">
        <v>147</v>
      </c>
      <c r="T4" s="100">
        <f>IF(ISERROR(VLOOKUP($A4,'SegEnds_NonXtal_BW#'!$A:$Z,14,FALSE)+VLOOKUP($A4,A:AL,19,FALSE)-50),"-",(VLOOKUP($A4,'SegEnds_NonXtal_BW#'!$A:$Z,14,FALSE)+VLOOKUP($A4,A:AL,19,FALSE)-50))</f>
        <v>150</v>
      </c>
      <c r="U4" s="9">
        <f>IF(ISERROR(VLOOKUP($A4,'SegEnds_NonXtal_BW#'!$A:$Z,15,FALSE)+VLOOKUP($A4,A:AL,22,FALSE)-50),"-",VLOOKUP($A4,'SegEnds_NonXtal_BW#'!$A:$Z,15,FALSE)+VLOOKUP($A4,A:AL,22,FALSE)-50)</f>
        <v>153</v>
      </c>
      <c r="V4" s="3">
        <v>165</v>
      </c>
      <c r="W4" s="3">
        <f>IF(ISERROR(VLOOKUP($A4,'SegEnds_NonXtal_BW#'!$A:$Z,16,FALSE)+VLOOKUP($A4,A:AL,22,FALSE)-50),"-",(VLOOKUP($A4,'SegEnds_NonXtal_BW#'!$A:$Z,16,FALSE)+VLOOKUP($A4,A:AL,22,FALSE)-50))</f>
        <v>178</v>
      </c>
      <c r="X4" s="3">
        <f>IF(ISERROR(VLOOKUP($A4,'SegEnds_NonXtal_BW#'!$A:$Z,17,FALSE)+VLOOKUP($A4,A:AL,25,FALSE)-50),"-",(VLOOKUP($A4,'SegEnds_NonXtal_BW#'!$A:$Z,17,FALSE)+VLOOKUP($A4,A:AL,25,FALSE)-50))</f>
        <v>197</v>
      </c>
      <c r="Y4" s="3">
        <v>197</v>
      </c>
      <c r="Z4" s="3">
        <f t="shared" si="1"/>
        <v>199</v>
      </c>
      <c r="AA4" s="3">
        <f>IF(ISERROR(VLOOKUP($A4,'SegEnds_NonXtal_BW#'!$A:$Z,19,FALSE)+VLOOKUP($A4,A:AL,28,FALSE)-50),"-",(VLOOKUP($A4,'SegEnds_NonXtal_BW#'!$A:$Z,19,FALSE)+VLOOKUP($A4,A:AL,28,FALSE)-50))</f>
        <v>208</v>
      </c>
      <c r="AB4" s="3">
        <v>223</v>
      </c>
      <c r="AC4" s="3">
        <f>IF(ISERROR((VLOOKUP($A4,'SegEnds_NonXtal_BW#'!$A:$Z,20,FALSE)+VLOOKUP($A4,A:AL,28,FALSE)-50)),"-",(VLOOKUP($A4,'SegEnds_NonXtal_BW#'!$A:$Z,20,FALSE)+VLOOKUP($A4,A:AL,28,FALSE)-50))</f>
        <v>247</v>
      </c>
      <c r="AD4" s="3">
        <f>IF(ISERROR(VLOOKUP($A4,'SegEnds_NonXtal_BW#'!$A:$Z,21,FALSE)+VLOOKUP($A4,A:AL,31,FALSE)-50),"-",(VLOOKUP($A4,'SegEnds_NonXtal_BW#'!$A:$Z,21,FALSE)+VLOOKUP($A4,A:AL,31,FALSE)-50))</f>
        <v>302</v>
      </c>
      <c r="AE4" s="3">
        <v>328</v>
      </c>
      <c r="AF4" s="3">
        <f>IF(ISERROR((VLOOKUP($A4,'SegEnds_NonXtal_BW#'!$A:$Z,22,FALSE)+VLOOKUP($A4,A:AL,31,FALSE)-50)),"-",(VLOOKUP($A4,'SegEnds_NonXtal_BW#'!$A:$Z,22,FALSE)+VLOOKUP($A4,A:AL,31,FALSE)-50))</f>
        <v>339</v>
      </c>
      <c r="AG4" s="3">
        <f>IF(ISERROR(VLOOKUP($A4,'SegEnds_NonXtal_BW#'!$A:$Z,23,FALSE)+VLOOKUP($A4,A:AL,34,FALSE)-50),"-",(VLOOKUP($A4,'SegEnds_NonXtal_BW#'!$A:$Z,23,FALSE)+VLOOKUP($A4,A:AL,34,FALSE)-50))</f>
        <v>345</v>
      </c>
      <c r="AH4" s="3">
        <v>364</v>
      </c>
      <c r="AI4" s="3">
        <f>IF(ISERROR((VLOOKUP($A4,'SegEnds_NonXtal_BW#'!$A:$Z,24,FALSE)+VLOOKUP($A4,A:AL,34,FALSE)-50)),"-",(VLOOKUP($A4,'SegEnds_NonXtal_BW#'!$A:$Z,24,FALSE)+VLOOKUP($A4,A:AL,34,FALSE)-50))</f>
        <v>370</v>
      </c>
      <c r="AJ4" s="3">
        <f>IF(ISERROR(VLOOKUP($A4,'SegEnds_NonXtal_BW#'!$A:$Z,25,FALSE)+VLOOKUP($A4,A:AL,37,FALSE)-50),"-",(VLOOKUP($A4,'SegEnds_NonXtal_BW#'!$A:$Z,25,FALSE)+VLOOKUP($A4,A:AL,37,FALSE)-50))</f>
        <v>371</v>
      </c>
      <c r="AK4" s="3">
        <v>374</v>
      </c>
      <c r="AL4" s="3">
        <f>IF(ISERROR((VLOOKUP($A4,'SegEnds_NonXtal_BW#'!$A:$Z,26,FALSE)+VLOOKUP($A4,A:AL,37,FALSE)-50)),"-",(VLOOKUP($A4,'SegEnds_NonXtal_BW#'!$A:$Z,26,FALSE)+VLOOKUP($A4,A:AL,37,FALSE)-50))</f>
        <v>384</v>
      </c>
      <c r="AM4" s="28" t="str">
        <f>VLOOKUP(A4,Classification!A:B,2,FALSE)</f>
        <v>A</v>
      </c>
      <c r="AN4" s="28" t="b">
        <f t="shared" si="17"/>
        <v>1</v>
      </c>
      <c r="AO4" s="3" t="str">
        <f>IF(ISERROR(MATCH(A4,'SegEnds_Xtal_Prot#'!B:B, 0)), "NoXtal", "Xtal")</f>
        <v>NoXtal</v>
      </c>
      <c r="AP4" s="3">
        <f t="shared" si="2"/>
        <v>1</v>
      </c>
      <c r="AQ4" s="3">
        <f t="shared" si="3"/>
        <v>1</v>
      </c>
      <c r="AR4" s="3" t="str">
        <f t="shared" si="4"/>
        <v>-</v>
      </c>
      <c r="AS4" s="3" t="str">
        <f t="shared" si="5"/>
        <v>-</v>
      </c>
      <c r="AT4" s="3">
        <f t="shared" si="6"/>
        <v>1</v>
      </c>
      <c r="AU4" s="3">
        <f t="shared" si="7"/>
        <v>3</v>
      </c>
      <c r="AV4" s="3">
        <f t="shared" si="8"/>
        <v>19</v>
      </c>
      <c r="AW4" s="3">
        <f t="shared" si="9"/>
        <v>9</v>
      </c>
      <c r="AX4" s="3">
        <f t="shared" si="10"/>
        <v>55</v>
      </c>
      <c r="AY4" s="3">
        <f t="shared" si="11"/>
        <v>6</v>
      </c>
      <c r="AZ4" s="3">
        <f t="shared" si="12"/>
        <v>1</v>
      </c>
      <c r="BA4" s="3">
        <f>IF(ISERROR(LEN(VLOOKUP(A4,Seqs!A:E,2,FALSE))-AL4),"-",LEN(VLOOKUP(A4,Seqs!A:E,2,FALSE))-AL4)</f>
        <v>49</v>
      </c>
      <c r="BB4" s="16">
        <f t="shared" si="13"/>
        <v>29</v>
      </c>
      <c r="BC4" s="9">
        <f t="shared" si="14"/>
        <v>18</v>
      </c>
      <c r="BD4" s="3">
        <f t="shared" si="15"/>
        <v>29</v>
      </c>
      <c r="BE4" s="3">
        <f t="shared" si="16"/>
        <v>105</v>
      </c>
    </row>
    <row r="5" spans="1:59" s="3" customFormat="1" x14ac:dyDescent="0.2">
      <c r="A5" s="3" t="s">
        <v>323</v>
      </c>
      <c r="B5" s="3" t="str">
        <f>LOWER(VLOOKUP(A5,Xtal_Templ!A:B,2,FALSE))</f>
        <v>5ht2c_human</v>
      </c>
      <c r="C5" s="3">
        <f>VLOOKUP($A5,'SegEnds_NonXtal_BW#'!$A:$Z,3,FALSE)+D5-50</f>
        <v>50</v>
      </c>
      <c r="D5" s="3">
        <v>67</v>
      </c>
      <c r="E5" s="3">
        <f>IF(ISERROR(VLOOKUP($A5,'SegEnds_NonXtal_BW#'!$A:$Z,4,FALSE)+VLOOKUP($A5,A:AL,4,FALSE)-50),"-",(VLOOKUP($A5,'SegEnds_NonXtal_BW#'!$A:$Z,4,FALSE)+VLOOKUP($A5,A:AL,4,FALSE)-50))</f>
        <v>77</v>
      </c>
      <c r="F5" s="3" t="str">
        <f>IF(ISERROR(VLOOKUP($A5,'SegEnds_NonXtal_BW#'!$A:$Z,5,FALSE)+VLOOKUP($A5,A:AL,7,FALSE)-50),"-",(VLOOKUP($A5,'SegEnds_NonXtal_BW#'!$A:$Z,5,FALSE)+VLOOKUP($A5,A:AL,7,FALSE)-50))</f>
        <v>-</v>
      </c>
      <c r="G5" s="3" t="s">
        <v>23</v>
      </c>
      <c r="H5" s="3" t="str">
        <f>IF(ISERROR(VLOOKUP($A5,'SegEnds_NonXtal_BW#'!$A:$Z,6,FALSE)+VLOOKUP($A5,A:AL,7,FALSE)-50),"-",(VLOOKUP($A5,'SegEnds_NonXtal_BW#'!$A:$Z,6,FALSE)+VLOOKUP($A5,A:AL,7,FALSE)-50))</f>
        <v>-</v>
      </c>
      <c r="I5" s="3">
        <f>VLOOKUP($A5,'SegEnds_NonXtal_BW#'!$A:$Z,7,FALSE)+J5-50</f>
        <v>81</v>
      </c>
      <c r="J5" s="3">
        <v>94</v>
      </c>
      <c r="K5" s="3">
        <f>VLOOKUP($A5,'SegEnds_NonXtal_BW#'!$A:$Z,8,FALSE)+VLOOKUP($A5,A:AL,10,FALSE)-50</f>
        <v>112</v>
      </c>
      <c r="L5" s="3">
        <f t="shared" ref="L5:L11" si="18">M5-1</f>
        <v>113</v>
      </c>
      <c r="M5" s="3">
        <v>114</v>
      </c>
      <c r="N5" s="3">
        <f t="shared" ref="N5:N11" si="19">M5+2</f>
        <v>116</v>
      </c>
      <c r="O5" s="3">
        <f t="shared" ref="O5:O11" si="20">N5+1</f>
        <v>117</v>
      </c>
      <c r="P5" s="3">
        <v>146</v>
      </c>
      <c r="Q5" s="3">
        <f>VLOOKUP($A5,'SegEnds_NonXtal_BW#'!$A:$Z,12,FALSE)+VLOOKUP($A5,A:AL,16,FALSE)-50</f>
        <v>152</v>
      </c>
      <c r="R5" s="3">
        <f>IF(ISERROR(VLOOKUP($A5,'SegEnds_NonXtal_BW#'!$A:$Z,13,FALSE)+VLOOKUP($A5,A:AL,19,FALSE)-50),"-",VLOOKUP($A5,'SegEnds_NonXtal_BW#'!$A:$Z,13,FALSE)+VLOOKUP($A5,A:AL,19,FALSE)-50)</f>
        <v>153</v>
      </c>
      <c r="S5" s="3">
        <v>153</v>
      </c>
      <c r="T5" s="100">
        <f>IF(ISERROR(VLOOKUP($A5,'SegEnds_NonXtal_BW#'!$A:$Z,14,FALSE)+VLOOKUP($A5,A:AL,19,FALSE)-50),"-",(VLOOKUP($A5,'SegEnds_NonXtal_BW#'!$A:$Z,14,FALSE)+VLOOKUP($A5,A:AL,19,FALSE)-50))</f>
        <v>156</v>
      </c>
      <c r="U5" s="9">
        <f>IF(ISERROR(VLOOKUP($A5,'SegEnds_NonXtal_BW#'!$A:$Z,15,FALSE)+VLOOKUP($A5,A:AL,22,FALSE)-50),"-",VLOOKUP($A5,'SegEnds_NonXtal_BW#'!$A:$Z,15,FALSE)+VLOOKUP($A5,A:AL,22,FALSE)-50)</f>
        <v>159</v>
      </c>
      <c r="V5" s="3">
        <v>171</v>
      </c>
      <c r="W5" s="3">
        <f>IF(ISERROR(VLOOKUP($A5,'SegEnds_NonXtal_BW#'!$A:$Z,16,FALSE)+VLOOKUP($A5,A:AL,22,FALSE)-50),"-",(VLOOKUP($A5,'SegEnds_NonXtal_BW#'!$A:$Z,16,FALSE)+VLOOKUP($A5,A:AL,22,FALSE)-50))</f>
        <v>188</v>
      </c>
      <c r="X5" s="3">
        <f>IF(ISERROR(VLOOKUP($A5,'SegEnds_NonXtal_BW#'!$A:$Z,17,FALSE)+VLOOKUP($A5,A:AL,25,FALSE)-50),"-",(VLOOKUP($A5,'SegEnds_NonXtal_BW#'!$A:$Z,17,FALSE)+VLOOKUP($A5,A:AL,25,FALSE)-50))</f>
        <v>197</v>
      </c>
      <c r="Y5" s="3">
        <v>197</v>
      </c>
      <c r="Z5" s="3">
        <f t="shared" si="1"/>
        <v>199</v>
      </c>
      <c r="AA5" s="3">
        <f>IF(ISERROR(VLOOKUP($A5,'SegEnds_NonXtal_BW#'!$A:$Z,19,FALSE)+VLOOKUP($A5,A:AL,28,FALSE)-50),"-",(VLOOKUP($A5,'SegEnds_NonXtal_BW#'!$A:$Z,19,FALSE)+VLOOKUP($A5,A:AL,28,FALSE)-50))</f>
        <v>207</v>
      </c>
      <c r="AB5" s="3">
        <v>222</v>
      </c>
      <c r="AC5" s="3">
        <f>IF(ISERROR((VLOOKUP($A5,'SegEnds_NonXtal_BW#'!$A:$Z,20,FALSE)+VLOOKUP($A5,A:AL,28,FALSE)-50)),"-",(VLOOKUP($A5,'SegEnds_NonXtal_BW#'!$A:$Z,20,FALSE)+VLOOKUP($A5,A:AL,28,FALSE)-50))</f>
        <v>248</v>
      </c>
      <c r="AD5" s="3">
        <f>IF(ISERROR(VLOOKUP($A5,'SegEnds_NonXtal_BW#'!$A:$Z,21,FALSE)+VLOOKUP($A5,A:AL,31,FALSE)-50),"-",(VLOOKUP($A5,'SegEnds_NonXtal_BW#'!$A:$Z,21,FALSE)+VLOOKUP($A5,A:AL,31,FALSE)-50))</f>
        <v>263</v>
      </c>
      <c r="AE5" s="3">
        <v>289</v>
      </c>
      <c r="AF5" s="3">
        <f>IF(ISERROR((VLOOKUP($A5,'SegEnds_NonXtal_BW#'!$A:$Z,22,FALSE)+VLOOKUP($A5,A:AL,31,FALSE)-50)),"-",(VLOOKUP($A5,'SegEnds_NonXtal_BW#'!$A:$Z,22,FALSE)+VLOOKUP($A5,A:AL,31,FALSE)-50))</f>
        <v>300</v>
      </c>
      <c r="AG5" s="3">
        <f>IF(ISERROR(VLOOKUP($A5,'SegEnds_NonXtal_BW#'!$A:$Z,23,FALSE)+VLOOKUP($A5,A:AL,34,FALSE)-50),"-",(VLOOKUP($A5,'SegEnds_NonXtal_BW#'!$A:$Z,23,FALSE)+VLOOKUP($A5,A:AL,34,FALSE)-50))</f>
        <v>304</v>
      </c>
      <c r="AH5" s="3">
        <v>327</v>
      </c>
      <c r="AI5" s="3">
        <f>IF(ISERROR((VLOOKUP($A5,'SegEnds_NonXtal_BW#'!$A:$Z,24,FALSE)+VLOOKUP($A5,A:AL,34,FALSE)-50)),"-",(VLOOKUP($A5,'SegEnds_NonXtal_BW#'!$A:$Z,24,FALSE)+VLOOKUP($A5,A:AL,34,FALSE)-50))</f>
        <v>333</v>
      </c>
      <c r="AJ5" s="3">
        <f>IF(ISERROR(VLOOKUP($A5,'SegEnds_NonXtal_BW#'!$A:$Z,25,FALSE)+VLOOKUP($A5,A:AL,37,FALSE)-50),"-",(VLOOKUP($A5,'SegEnds_NonXtal_BW#'!$A:$Z,25,FALSE)+VLOOKUP($A5,A:AL,37,FALSE)-50))</f>
        <v>334</v>
      </c>
      <c r="AK5" s="3">
        <v>337</v>
      </c>
      <c r="AL5" s="3">
        <f>IF(ISERROR((VLOOKUP($A5,'SegEnds_NonXtal_BW#'!$A:$Z,26,FALSE)+VLOOKUP($A5,A:AL,37,FALSE)-50)),"-",(VLOOKUP($A5,'SegEnds_NonXtal_BW#'!$A:$Z,26,FALSE)+VLOOKUP($A5,A:AL,37,FALSE)-50))</f>
        <v>347</v>
      </c>
      <c r="AM5" s="28" t="str">
        <f>VLOOKUP(A5,Classification!A:B,2,FALSE)</f>
        <v>A</v>
      </c>
      <c r="AN5" s="28" t="b">
        <f t="shared" si="17"/>
        <v>1</v>
      </c>
      <c r="AO5" s="3" t="str">
        <f>IF(ISERROR(MATCH(A5,'SegEnds_Xtal_Prot#'!B:B, 0)), "NoXtal", "Xtal")</f>
        <v>NoXtal</v>
      </c>
      <c r="AP5" s="3" t="str">
        <f t="shared" si="2"/>
        <v>-</v>
      </c>
      <c r="AQ5" s="3" t="str">
        <f t="shared" si="3"/>
        <v>-</v>
      </c>
      <c r="AR5" s="3">
        <f t="shared" si="4"/>
        <v>1</v>
      </c>
      <c r="AS5" s="3">
        <f t="shared" si="5"/>
        <v>1</v>
      </c>
      <c r="AT5" s="3">
        <f t="shared" si="6"/>
        <v>1</v>
      </c>
      <c r="AU5" s="3">
        <f t="shared" si="7"/>
        <v>3</v>
      </c>
      <c r="AV5" s="3">
        <f t="shared" si="8"/>
        <v>9</v>
      </c>
      <c r="AW5" s="3">
        <f t="shared" si="9"/>
        <v>8</v>
      </c>
      <c r="AX5" s="3">
        <f t="shared" si="10"/>
        <v>15</v>
      </c>
      <c r="AY5" s="3">
        <f t="shared" si="11"/>
        <v>4</v>
      </c>
      <c r="AZ5" s="3">
        <f t="shared" si="12"/>
        <v>1</v>
      </c>
      <c r="BA5" s="3">
        <f>IF(ISERROR(LEN(VLOOKUP(A5,Seqs!A:E,2,FALSE))-AL5),"-",LEN(VLOOKUP(A5,Seqs!A:E,2,FALSE))-AL5)</f>
        <v>24</v>
      </c>
      <c r="BB5" s="16">
        <f t="shared" si="13"/>
        <v>27</v>
      </c>
      <c r="BC5" s="9">
        <f t="shared" si="14"/>
        <v>18</v>
      </c>
      <c r="BD5" s="3">
        <f t="shared" si="15"/>
        <v>27</v>
      </c>
      <c r="BE5" s="3">
        <f t="shared" si="16"/>
        <v>67</v>
      </c>
      <c r="BF5" s="3">
        <f>AH5-AE5</f>
        <v>38</v>
      </c>
    </row>
    <row r="6" spans="1:59" s="3" customFormat="1" x14ac:dyDescent="0.2">
      <c r="A6" s="3" t="s">
        <v>1168</v>
      </c>
      <c r="B6" s="3" t="str">
        <f>LOWER(VLOOKUP(A6,Xtal_Templ!A:B,2,FALSE))</f>
        <v>ox1r_human</v>
      </c>
      <c r="C6" s="3">
        <f>VLOOKUP($A6,'SegEnds_NonXtal_BW#'!$A:$Z,3,FALSE)+D6-50</f>
        <v>46</v>
      </c>
      <c r="D6" s="3">
        <v>64</v>
      </c>
      <c r="E6" s="3">
        <f>IF(ISERROR(VLOOKUP($A6,'SegEnds_NonXtal_BW#'!$A:$Z,4,FALSE)+VLOOKUP($A6,A:AL,4,FALSE)-50),"-",(VLOOKUP($A6,'SegEnds_NonXtal_BW#'!$A:$Z,4,FALSE)+VLOOKUP($A6,A:AL,4,FALSE)-50))</f>
        <v>74</v>
      </c>
      <c r="F6" s="3">
        <f>G6-2</f>
        <v>75</v>
      </c>
      <c r="G6" s="3">
        <v>77</v>
      </c>
      <c r="H6" s="3">
        <f t="shared" ref="H6:I8" si="21">G6+1</f>
        <v>78</v>
      </c>
      <c r="I6" s="3">
        <f t="shared" si="21"/>
        <v>79</v>
      </c>
      <c r="J6" s="3">
        <v>92</v>
      </c>
      <c r="K6" s="3">
        <f>VLOOKUP($A6,'SegEnds_NonXtal_BW#'!$A:$Z,8,FALSE)+VLOOKUP($A6,A:AL,10,FALSE)-50</f>
        <v>110</v>
      </c>
      <c r="L6" s="3">
        <f t="shared" si="18"/>
        <v>111</v>
      </c>
      <c r="M6" s="3">
        <v>112</v>
      </c>
      <c r="N6" s="3">
        <f t="shared" si="19"/>
        <v>114</v>
      </c>
      <c r="O6" s="3">
        <f t="shared" si="20"/>
        <v>115</v>
      </c>
      <c r="P6" s="3">
        <v>144</v>
      </c>
      <c r="Q6" s="3">
        <f>VLOOKUP($A6,'SegEnds_NonXtal_BW#'!$A:$Z,12,FALSE)+VLOOKUP($A6,A:AL,16,FALSE)-50</f>
        <v>150</v>
      </c>
      <c r="R6" s="3">
        <f>IF(ISERROR(VLOOKUP($A6,'SegEnds_NonXtal_BW#'!$A:$Z,13,FALSE)+VLOOKUP($A6,A:AL,19,FALSE)-50),"-",VLOOKUP($A6,'SegEnds_NonXtal_BW#'!$A:$Z,13,FALSE)+VLOOKUP($A6,A:AL,19,FALSE)-50)</f>
        <v>151</v>
      </c>
      <c r="S6" s="3">
        <v>151</v>
      </c>
      <c r="T6" s="100">
        <f>IF(ISERROR(VLOOKUP($A6,'SegEnds_NonXtal_BW#'!$A:$Z,14,FALSE)+VLOOKUP($A6,A:AL,19,FALSE)-50),"-",(VLOOKUP($A6,'SegEnds_NonXtal_BW#'!$A:$Z,14,FALSE)+VLOOKUP($A6,A:AL,19,FALSE)-50))</f>
        <v>154</v>
      </c>
      <c r="U6" s="9">
        <f>IF(ISERROR(VLOOKUP($A6,'SegEnds_NonXtal_BW#'!$A:$Z,15,FALSE)+VLOOKUP($A6,A:AL,22,FALSE)-50),"-",VLOOKUP($A6,'SegEnds_NonXtal_BW#'!$A:$Z,15,FALSE)+VLOOKUP($A6,A:AL,22,FALSE)-50)</f>
        <v>157</v>
      </c>
      <c r="V6" s="3">
        <v>169</v>
      </c>
      <c r="W6" s="3">
        <f>IF(ISERROR(VLOOKUP($A6,'SegEnds_NonXtal_BW#'!$A:$Z,16,FALSE)+VLOOKUP($A6,A:AL,22,FALSE)-50),"-",(VLOOKUP($A6,'SegEnds_NonXtal_BW#'!$A:$Z,16,FALSE)+VLOOKUP($A6,A:AL,22,FALSE)-50))</f>
        <v>183</v>
      </c>
      <c r="X6" s="3">
        <f>IF(ISERROR(VLOOKUP($A6,'SegEnds_NonXtal_BW#'!$A:$Z,17,FALSE)+VLOOKUP($A6,A:AL,25,FALSE)-50),"-",(VLOOKUP($A6,'SegEnds_NonXtal_BW#'!$A:$Z,17,FALSE)+VLOOKUP($A6,A:AL,25,FALSE)-50))</f>
        <v>202</v>
      </c>
      <c r="Y6" s="3">
        <v>202</v>
      </c>
      <c r="Z6" s="3">
        <f t="shared" si="1"/>
        <v>204</v>
      </c>
      <c r="AA6" s="3">
        <f>IF(ISERROR(VLOOKUP($A6,'SegEnds_NonXtal_BW#'!$A:$Z,19,FALSE)+VLOOKUP($A6,A:AL,28,FALSE)-50),"-",(VLOOKUP($A6,'SegEnds_NonXtal_BW#'!$A:$Z,19,FALSE)+VLOOKUP($A6,A:AL,28,FALSE)-50))</f>
        <v>210</v>
      </c>
      <c r="AB6" s="3">
        <v>227</v>
      </c>
      <c r="AC6" s="3">
        <v>248</v>
      </c>
      <c r="AD6" s="3">
        <f>IF(ISERROR(VLOOKUP($A6,'SegEnds_NonXtal_BW#'!$A:$Z,21,FALSE)+VLOOKUP($A6,A:AL,31,FALSE)-50),"-",(VLOOKUP($A6,'SegEnds_NonXtal_BW#'!$A:$Z,21,FALSE)+VLOOKUP($A6,A:AL,31,FALSE)-50))</f>
        <v>283</v>
      </c>
      <c r="AE6" s="3">
        <v>313</v>
      </c>
      <c r="AF6" s="3">
        <f>IF(ISERROR((VLOOKUP($A6,'SegEnds_NonXtal_BW#'!$A:$Z,22,FALSE)+VLOOKUP($A6,A:AL,31,FALSE)-50)),"-",(VLOOKUP($A6,'SegEnds_NonXtal_BW#'!$A:$Z,22,FALSE)+VLOOKUP($A6,A:AL,31,FALSE)-50))</f>
        <v>324</v>
      </c>
      <c r="AG6" s="3">
        <f>IF(ISERROR(VLOOKUP($A6,'SegEnds_NonXtal_BW#'!$A:$Z,23,FALSE)+VLOOKUP($A6,A:AL,34,FALSE)-50),"-",(VLOOKUP($A6,'SegEnds_NonXtal_BW#'!$A:$Z,23,FALSE)+VLOOKUP($A6,A:AL,34,FALSE)-50))</f>
        <v>333</v>
      </c>
      <c r="AH6" s="3">
        <v>355</v>
      </c>
      <c r="AI6" s="3">
        <f>IF(ISERROR((VLOOKUP($A6,'SegEnds_NonXtal_BW#'!$A:$Z,24,FALSE)+VLOOKUP($A6,A:AL,34,FALSE)-50)),"-",(VLOOKUP($A6,'SegEnds_NonXtal_BW#'!$A:$Z,24,FALSE)+VLOOKUP($A6,A:AL,34,FALSE)-50))</f>
        <v>361</v>
      </c>
      <c r="AJ6" s="3">
        <f>IF(ISERROR(VLOOKUP($A6,'SegEnds_NonXtal_BW#'!$A:$Z,25,FALSE)+VLOOKUP($A6,A:AL,37,FALSE)-50),"-",(VLOOKUP($A6,'SegEnds_NonXtal_BW#'!$A:$Z,25,FALSE)+VLOOKUP($A6,A:AL,37,FALSE)-50))</f>
        <v>362</v>
      </c>
      <c r="AK6" s="3">
        <v>365</v>
      </c>
      <c r="AL6" s="3">
        <f>IF(ISERROR((VLOOKUP($A6,'SegEnds_NonXtal_BW#'!$A:$Z,26,FALSE)+VLOOKUP($A6,A:AL,37,FALSE)-50)),"-",(VLOOKUP($A6,'SegEnds_NonXtal_BW#'!$A:$Z,26,FALSE)+VLOOKUP($A6,A:AL,37,FALSE)-50))</f>
        <v>378</v>
      </c>
      <c r="AM6" s="28" t="str">
        <f>VLOOKUP(A6,Classification!A:B,2,FALSE)</f>
        <v>A</v>
      </c>
      <c r="AN6" s="28" t="b">
        <f t="shared" si="17"/>
        <v>1</v>
      </c>
      <c r="AO6" s="3" t="str">
        <f>IF(ISERROR(MATCH(A6,'SegEnds_Xtal_Prot#'!B:B, 0)), "NoXtal", "Xtal")</f>
        <v>Xtal</v>
      </c>
      <c r="AP6" s="3">
        <f t="shared" si="2"/>
        <v>1</v>
      </c>
      <c r="AQ6" s="3">
        <f t="shared" si="3"/>
        <v>1</v>
      </c>
      <c r="AR6" s="3">
        <f t="shared" si="4"/>
        <v>1</v>
      </c>
      <c r="AS6" s="3">
        <f t="shared" si="5"/>
        <v>1</v>
      </c>
      <c r="AT6" s="3">
        <f t="shared" si="6"/>
        <v>1</v>
      </c>
      <c r="AU6" s="3">
        <f t="shared" si="7"/>
        <v>3</v>
      </c>
      <c r="AV6" s="3">
        <f t="shared" si="8"/>
        <v>19</v>
      </c>
      <c r="AW6" s="3">
        <f t="shared" si="9"/>
        <v>6</v>
      </c>
      <c r="AX6" s="3">
        <f t="shared" si="10"/>
        <v>35</v>
      </c>
      <c r="AY6" s="3">
        <f t="shared" si="11"/>
        <v>9</v>
      </c>
      <c r="AZ6" s="3">
        <f t="shared" si="12"/>
        <v>1</v>
      </c>
      <c r="BA6" s="3">
        <f>IF(ISERROR(LEN(VLOOKUP(A6,Seqs!A:E,2,FALSE))-AL6),"-",LEN(VLOOKUP(A6,Seqs!A:E,2,FALSE))-AL6)</f>
        <v>47</v>
      </c>
      <c r="BB6" s="16">
        <f t="shared" si="13"/>
        <v>28</v>
      </c>
      <c r="BC6" s="9">
        <f t="shared" si="14"/>
        <v>18</v>
      </c>
      <c r="BD6" s="3">
        <f t="shared" si="15"/>
        <v>28</v>
      </c>
      <c r="BE6" s="3">
        <f t="shared" si="16"/>
        <v>86</v>
      </c>
    </row>
    <row r="7" spans="1:59" s="3" customFormat="1" x14ac:dyDescent="0.2">
      <c r="A7" s="3" t="s">
        <v>1169</v>
      </c>
      <c r="B7" s="3" t="str">
        <f>LOWER(VLOOKUP(A7,Xtal_Templ!A:B,2,FALSE))</f>
        <v>ox2r_human</v>
      </c>
      <c r="C7" s="3">
        <f>VLOOKUP($A7,'SegEnds_NonXtal_BW#'!$A:$Z,3,FALSE)+D7-50</f>
        <v>53</v>
      </c>
      <c r="D7" s="3">
        <v>72</v>
      </c>
      <c r="E7" s="3">
        <f>IF(ISERROR(VLOOKUP($A7,'SegEnds_NonXtal_BW#'!$A:$Z,4,FALSE)+VLOOKUP($A7,A:AL,4,FALSE)-50),"-",(VLOOKUP($A7,'SegEnds_NonXtal_BW#'!$A:$Z,4,FALSE)+VLOOKUP($A7,A:AL,4,FALSE)-50))</f>
        <v>82</v>
      </c>
      <c r="F7" s="3">
        <f>G7-2</f>
        <v>83</v>
      </c>
      <c r="G7" s="3">
        <v>85</v>
      </c>
      <c r="H7" s="3">
        <f t="shared" si="21"/>
        <v>86</v>
      </c>
      <c r="I7" s="3">
        <f t="shared" si="21"/>
        <v>87</v>
      </c>
      <c r="J7" s="3">
        <v>100</v>
      </c>
      <c r="K7" s="3">
        <f>VLOOKUP($A7,'SegEnds_NonXtal_BW#'!$A:$Z,8,FALSE)+VLOOKUP($A7,A:AL,10,FALSE)-50</f>
        <v>118</v>
      </c>
      <c r="L7" s="3">
        <f t="shared" si="18"/>
        <v>119</v>
      </c>
      <c r="M7" s="3">
        <v>120</v>
      </c>
      <c r="N7" s="3">
        <f t="shared" si="19"/>
        <v>122</v>
      </c>
      <c r="O7" s="3">
        <f t="shared" si="20"/>
        <v>123</v>
      </c>
      <c r="P7" s="3">
        <v>152</v>
      </c>
      <c r="Q7" s="3">
        <f>VLOOKUP($A7,'SegEnds_NonXtal_BW#'!$A:$Z,12,FALSE)+VLOOKUP($A7,A:AL,16,FALSE)-50</f>
        <v>158</v>
      </c>
      <c r="R7" s="3">
        <f>IF(ISERROR(VLOOKUP($A7,'SegEnds_NonXtal_BW#'!$A:$Z,13,FALSE)+VLOOKUP($A7,A:AL,19,FALSE)-50),"-",VLOOKUP($A7,'SegEnds_NonXtal_BW#'!$A:$Z,13,FALSE)+VLOOKUP($A7,A:AL,19,FALSE)-50)</f>
        <v>159</v>
      </c>
      <c r="S7" s="3">
        <v>159</v>
      </c>
      <c r="T7" s="100">
        <f>IF(ISERROR(VLOOKUP($A7,'SegEnds_NonXtal_BW#'!$A:$Z,14,FALSE)+VLOOKUP($A7,A:AL,19,FALSE)-50),"-",(VLOOKUP($A7,'SegEnds_NonXtal_BW#'!$A:$Z,14,FALSE)+VLOOKUP($A7,A:AL,19,FALSE)-50))</f>
        <v>162</v>
      </c>
      <c r="U7" s="9">
        <f>IF(ISERROR(VLOOKUP($A7,'SegEnds_NonXtal_BW#'!$A:$Z,15,FALSE)+VLOOKUP($A7,A:AL,22,FALSE)-50),"-",VLOOKUP($A7,'SegEnds_NonXtal_BW#'!$A:$Z,15,FALSE)+VLOOKUP($A7,A:AL,22,FALSE)-50)</f>
        <v>165</v>
      </c>
      <c r="V7" s="3">
        <v>177</v>
      </c>
      <c r="W7" s="3">
        <f>IF(ISERROR(VLOOKUP($A7,'SegEnds_NonXtal_BW#'!$A:$Z,16,FALSE)+VLOOKUP($A7,A:AL,22,FALSE)-50),"-",(VLOOKUP($A7,'SegEnds_NonXtal_BW#'!$A:$Z,16,FALSE)+VLOOKUP($A7,A:AL,22,FALSE)-50))</f>
        <v>191</v>
      </c>
      <c r="X7" s="3">
        <f>IF(ISERROR(VLOOKUP($A7,'SegEnds_NonXtal_BW#'!$A:$Z,17,FALSE)+VLOOKUP($A7,A:AL,25,FALSE)-50),"-",(VLOOKUP($A7,'SegEnds_NonXtal_BW#'!$A:$Z,17,FALSE)+VLOOKUP($A7,A:AL,25,FALSE)-50))</f>
        <v>210</v>
      </c>
      <c r="Y7" s="3">
        <v>210</v>
      </c>
      <c r="Z7" s="3">
        <f t="shared" si="1"/>
        <v>212</v>
      </c>
      <c r="AA7" s="3">
        <f>IF(ISERROR(VLOOKUP($A7,'SegEnds_NonXtal_BW#'!$A:$Z,19,FALSE)+VLOOKUP($A7,A:AL,28,FALSE)-50),"-",(VLOOKUP($A7,'SegEnds_NonXtal_BW#'!$A:$Z,19,FALSE)+VLOOKUP($A7,A:AL,28,FALSE)-50))</f>
        <v>218</v>
      </c>
      <c r="AB7" s="3">
        <v>235</v>
      </c>
      <c r="AC7" s="3">
        <v>256</v>
      </c>
      <c r="AD7" s="3">
        <f>IF(ISERROR(VLOOKUP($A7,'SegEnds_NonXtal_BW#'!$A:$Z,21,FALSE)+VLOOKUP($A7,A:AL,31,FALSE)-50),"-",(VLOOKUP($A7,'SegEnds_NonXtal_BW#'!$A:$Z,21,FALSE)+VLOOKUP($A7,A:AL,31,FALSE)-50))</f>
        <v>289</v>
      </c>
      <c r="AE7" s="3">
        <v>319</v>
      </c>
      <c r="AF7" s="3">
        <f>IF(ISERROR((VLOOKUP($A7,'SegEnds_NonXtal_BW#'!$A:$Z,22,FALSE)+VLOOKUP($A7,A:AL,31,FALSE)-50)),"-",(VLOOKUP($A7,'SegEnds_NonXtal_BW#'!$A:$Z,22,FALSE)+VLOOKUP($A7,A:AL,31,FALSE)-50))</f>
        <v>330</v>
      </c>
      <c r="AG7" s="3">
        <f>IF(ISERROR(VLOOKUP($A7,'SegEnds_NonXtal_BW#'!$A:$Z,23,FALSE)+VLOOKUP($A7,A:AL,34,FALSE)-50),"-",(VLOOKUP($A7,'SegEnds_NonXtal_BW#'!$A:$Z,23,FALSE)+VLOOKUP($A7,A:AL,34,FALSE)-50))</f>
        <v>338</v>
      </c>
      <c r="AH7" s="3">
        <v>361</v>
      </c>
      <c r="AI7" s="3">
        <f>IF(ISERROR((VLOOKUP($A7,'SegEnds_NonXtal_BW#'!$A:$Z,24,FALSE)+VLOOKUP($A7,A:AL,34,FALSE)-50)),"-",(VLOOKUP($A7,'SegEnds_NonXtal_BW#'!$A:$Z,24,FALSE)+VLOOKUP($A7,A:AL,34,FALSE)-50))</f>
        <v>367</v>
      </c>
      <c r="AJ7" s="3">
        <f>IF(ISERROR(VLOOKUP($A7,'SegEnds_NonXtal_BW#'!$A:$Z,25,FALSE)+VLOOKUP($A7,A:AL,37,FALSE)-50),"-",(VLOOKUP($A7,'SegEnds_NonXtal_BW#'!$A:$Z,25,FALSE)+VLOOKUP($A7,A:AL,37,FALSE)-50))</f>
        <v>368</v>
      </c>
      <c r="AK7" s="3">
        <v>371</v>
      </c>
      <c r="AL7" s="3">
        <f>IF(ISERROR((VLOOKUP($A7,'SegEnds_NonXtal_BW#'!$A:$Z,26,FALSE)+VLOOKUP($A7,A:AL,37,FALSE)-50)),"-",(VLOOKUP($A7,'SegEnds_NonXtal_BW#'!$A:$Z,26,FALSE)+VLOOKUP($A7,A:AL,37,FALSE)-50))</f>
        <v>384</v>
      </c>
      <c r="AM7" s="28" t="str">
        <f>VLOOKUP(A7,Classification!A:B,2,FALSE)</f>
        <v>A</v>
      </c>
      <c r="AN7" s="28" t="b">
        <f t="shared" si="17"/>
        <v>1</v>
      </c>
      <c r="AO7" s="3" t="str">
        <f>IF(ISERROR(MATCH(A7,'SegEnds_Xtal_Prot#'!B:B, 0)), "NoXtal", "Xtal")</f>
        <v>Xtal</v>
      </c>
      <c r="AP7" s="3">
        <f t="shared" si="2"/>
        <v>1</v>
      </c>
      <c r="AQ7" s="3">
        <f t="shared" si="3"/>
        <v>1</v>
      </c>
      <c r="AR7" s="3">
        <f t="shared" si="4"/>
        <v>1</v>
      </c>
      <c r="AS7" s="3">
        <f t="shared" si="5"/>
        <v>1</v>
      </c>
      <c r="AT7" s="3">
        <f t="shared" si="6"/>
        <v>1</v>
      </c>
      <c r="AU7" s="3">
        <f t="shared" si="7"/>
        <v>3</v>
      </c>
      <c r="AV7" s="3">
        <f t="shared" si="8"/>
        <v>19</v>
      </c>
      <c r="AW7" s="3">
        <f t="shared" si="9"/>
        <v>6</v>
      </c>
      <c r="AX7" s="3">
        <f t="shared" si="10"/>
        <v>33</v>
      </c>
      <c r="AY7" s="3">
        <f t="shared" si="11"/>
        <v>8</v>
      </c>
      <c r="AZ7" s="3">
        <f t="shared" si="12"/>
        <v>1</v>
      </c>
      <c r="BA7" s="3">
        <f>IF(ISERROR(LEN(VLOOKUP(A7,Seqs!A:E,2,FALSE))-AL7),"-",LEN(VLOOKUP(A7,Seqs!A:E,2,FALSE))-AL7)</f>
        <v>60</v>
      </c>
      <c r="BB7" s="16">
        <f t="shared" si="13"/>
        <v>28</v>
      </c>
      <c r="BC7" s="9">
        <f t="shared" si="14"/>
        <v>18</v>
      </c>
      <c r="BD7" s="3">
        <f t="shared" si="15"/>
        <v>28</v>
      </c>
      <c r="BE7" s="3">
        <f t="shared" si="16"/>
        <v>84</v>
      </c>
    </row>
    <row r="8" spans="1:59" s="3" customFormat="1" x14ac:dyDescent="0.2">
      <c r="A8" s="3" t="s">
        <v>368</v>
      </c>
      <c r="B8" s="3" t="str">
        <f>LOWER(VLOOKUP(A8,Xtal_Templ!A:B,2,FALSE))</f>
        <v>ox2r_human</v>
      </c>
      <c r="C8" s="3">
        <f>VLOOKUP($A8,'SegEnds_NonXtal_BW#'!$A:$Z,3,FALSE)+D8-50</f>
        <v>59</v>
      </c>
      <c r="D8" s="3">
        <v>78</v>
      </c>
      <c r="E8" s="3">
        <f>IF(ISERROR(VLOOKUP($A8,'SegEnds_NonXtal_BW#'!$A:$Z,4,FALSE)+VLOOKUP($A8,A:AL,4,FALSE)-50),"-",(VLOOKUP($A8,'SegEnds_NonXtal_BW#'!$A:$Z,4,FALSE)+VLOOKUP($A8,A:AL,4,FALSE)-50))</f>
        <v>88</v>
      </c>
      <c r="F8" s="3">
        <f>G8-2</f>
        <v>89</v>
      </c>
      <c r="G8" s="3">
        <v>91</v>
      </c>
      <c r="H8" s="3">
        <f t="shared" si="21"/>
        <v>92</v>
      </c>
      <c r="I8" s="3">
        <f t="shared" si="21"/>
        <v>93</v>
      </c>
      <c r="J8" s="3">
        <v>106</v>
      </c>
      <c r="K8" s="3">
        <f>VLOOKUP($A8,'SegEnds_NonXtal_BW#'!$A:$Z,8,FALSE)+VLOOKUP($A8,A:AL,10,FALSE)-50</f>
        <v>124</v>
      </c>
      <c r="L8" s="3">
        <f t="shared" si="18"/>
        <v>126</v>
      </c>
      <c r="M8" s="3">
        <v>127</v>
      </c>
      <c r="N8" s="3">
        <f t="shared" si="19"/>
        <v>129</v>
      </c>
      <c r="O8" s="3">
        <f t="shared" si="20"/>
        <v>130</v>
      </c>
      <c r="P8" s="3">
        <v>159</v>
      </c>
      <c r="Q8" s="3">
        <f>VLOOKUP($A8,'SegEnds_NonXtal_BW#'!$A:$Z,12,FALSE)+VLOOKUP($A8,A:AL,16,FALSE)-50</f>
        <v>165</v>
      </c>
      <c r="R8" s="3">
        <f>IF(ISERROR(VLOOKUP($A8,'SegEnds_NonXtal_BW#'!$A:$Z,13,FALSE)+VLOOKUP($A8,A:AL,19,FALSE)-50),"-",VLOOKUP($A8,'SegEnds_NonXtal_BW#'!$A:$Z,13,FALSE)+VLOOKUP($A8,A:AL,19,FALSE)-50)</f>
        <v>166</v>
      </c>
      <c r="S8" s="3">
        <v>166</v>
      </c>
      <c r="T8" s="100">
        <f>IF(ISERROR(VLOOKUP($A8,'SegEnds_NonXtal_BW#'!$A:$Z,14,FALSE)+VLOOKUP($A8,A:AL,19,FALSE)-50),"-",(VLOOKUP($A8,'SegEnds_NonXtal_BW#'!$A:$Z,14,FALSE)+VLOOKUP($A8,A:AL,19,FALSE)-50))</f>
        <v>169</v>
      </c>
      <c r="U8" s="9">
        <f>IF(ISERROR(VLOOKUP($A8,'SegEnds_NonXtal_BW#'!$A:$Z,15,FALSE)+VLOOKUP($A8,A:AL,22,FALSE)-50),"-",VLOOKUP($A8,'SegEnds_NonXtal_BW#'!$A:$Z,15,FALSE)+VLOOKUP($A8,A:AL,22,FALSE)-50)</f>
        <v>172</v>
      </c>
      <c r="V8" s="3">
        <v>184</v>
      </c>
      <c r="W8" s="3">
        <f>IF(ISERROR(VLOOKUP($A8,'SegEnds_NonXtal_BW#'!$A:$Z,16,FALSE)+VLOOKUP($A8,A:AL,22,FALSE)-50),"-",(VLOOKUP($A8,'SegEnds_NonXtal_BW#'!$A:$Z,16,FALSE)+VLOOKUP($A8,A:AL,22,FALSE)-50))</f>
        <v>198</v>
      </c>
      <c r="X8" s="3">
        <f>IF(ISERROR(VLOOKUP($A8,'SegEnds_NonXtal_BW#'!$A:$Z,17,FALSE)+VLOOKUP($A8,A:AL,25,FALSE)-50),"-",(VLOOKUP($A8,'SegEnds_NonXtal_BW#'!$A:$Z,17,FALSE)+VLOOKUP($A8,A:AL,25,FALSE)-50))</f>
        <v>211</v>
      </c>
      <c r="Y8" s="3">
        <v>211</v>
      </c>
      <c r="Z8" s="3">
        <f t="shared" si="1"/>
        <v>213</v>
      </c>
      <c r="AA8" s="3">
        <f>IF(ISERROR(VLOOKUP($A8,'SegEnds_NonXtal_BW#'!$A:$Z,19,FALSE)+VLOOKUP($A8,A:AL,28,FALSE)-50),"-",(VLOOKUP($A8,'SegEnds_NonXtal_BW#'!$A:$Z,19,FALSE)+VLOOKUP($A8,A:AL,28,FALSE)-50))</f>
        <v>220</v>
      </c>
      <c r="AB8" s="3">
        <v>237</v>
      </c>
      <c r="AC8" s="3">
        <f>IF(ISERROR((VLOOKUP($A8,'SegEnds_NonXtal_BW#'!$A:$Z,20,FALSE)+VLOOKUP($A8,A:AL,28,FALSE)-50)),"-",(VLOOKUP($A8,'SegEnds_NonXtal_BW#'!$A:$Z,20,FALSE)+VLOOKUP($A8,A:AL,28,FALSE)-50))</f>
        <v>260</v>
      </c>
      <c r="AD8" s="3">
        <f>IF(ISERROR(VLOOKUP($A8,'SegEnds_NonXtal_BW#'!$A:$Z,21,FALSE)+VLOOKUP($A8,A:AL,31,FALSE)-50),"-",(VLOOKUP($A8,'SegEnds_NonXtal_BW#'!$A:$Z,21,FALSE)+VLOOKUP($A8,A:AL,31,FALSE)-50))</f>
        <v>265</v>
      </c>
      <c r="AE8" s="3">
        <v>293</v>
      </c>
      <c r="AF8" s="3">
        <f>IF(ISERROR((VLOOKUP($A8,'SegEnds_NonXtal_BW#'!$A:$Z,22,FALSE)+VLOOKUP($A8,A:AL,31,FALSE)-50)),"-",(VLOOKUP($A8,'SegEnds_NonXtal_BW#'!$A:$Z,22,FALSE)+VLOOKUP($A8,A:AL,31,FALSE)-50))</f>
        <v>304</v>
      </c>
      <c r="AG8" s="3">
        <f>IF(ISERROR(VLOOKUP($A8,'SegEnds_NonXtal_BW#'!$A:$Z,23,FALSE)+VLOOKUP($A8,A:AL,34,FALSE)-50),"-",(VLOOKUP($A8,'SegEnds_NonXtal_BW#'!$A:$Z,23,FALSE)+VLOOKUP($A8,A:AL,34,FALSE)-50))</f>
        <v>309</v>
      </c>
      <c r="AH8" s="3">
        <v>332</v>
      </c>
      <c r="AI8" s="3">
        <f>IF(ISERROR((VLOOKUP($A8,'SegEnds_NonXtal_BW#'!$A:$Z,24,FALSE)+VLOOKUP($A8,A:AL,34,FALSE)-50)),"-",(VLOOKUP($A8,'SegEnds_NonXtal_BW#'!$A:$Z,24,FALSE)+VLOOKUP($A8,A:AL,34,FALSE)-50))</f>
        <v>338</v>
      </c>
      <c r="AJ8" s="3">
        <f>IF(ISERROR(VLOOKUP($A8,'SegEnds_NonXtal_BW#'!$A:$Z,25,FALSE)+VLOOKUP($A8,A:AL,37,FALSE)-50),"-",(VLOOKUP($A8,'SegEnds_NonXtal_BW#'!$A:$Z,25,FALSE)+VLOOKUP($A8,A:AL,37,FALSE)-50))</f>
        <v>339</v>
      </c>
      <c r="AK8" s="3">
        <v>342</v>
      </c>
      <c r="AL8" s="3">
        <f>IF(ISERROR((VLOOKUP($A8,'SegEnds_NonXtal_BW#'!$A:$Z,26,FALSE)+VLOOKUP($A8,A:AL,37,FALSE)-50)),"-",(VLOOKUP($A8,'SegEnds_NonXtal_BW#'!$A:$Z,26,FALSE)+VLOOKUP($A8,A:AL,37,FALSE)-50))</f>
        <v>355</v>
      </c>
      <c r="AM8" s="28" t="str">
        <f>VLOOKUP(A8,Classification!A:B,2,FALSE)</f>
        <v>A</v>
      </c>
      <c r="AN8" s="28" t="b">
        <f t="shared" si="17"/>
        <v>1</v>
      </c>
      <c r="AO8" s="3" t="str">
        <f>IF(ISERROR(MATCH(A8,'SegEnds_Xtal_Prot#'!B:B, 0)), "NoXtal", "Xtal")</f>
        <v>NoXtal</v>
      </c>
      <c r="AP8" s="3">
        <f t="shared" si="2"/>
        <v>1</v>
      </c>
      <c r="AQ8" s="3">
        <f t="shared" si="3"/>
        <v>1</v>
      </c>
      <c r="AR8" s="3">
        <f t="shared" si="4"/>
        <v>2</v>
      </c>
      <c r="AS8" s="3">
        <f t="shared" si="5"/>
        <v>1</v>
      </c>
      <c r="AT8" s="3">
        <f t="shared" si="6"/>
        <v>1</v>
      </c>
      <c r="AU8" s="3">
        <f t="shared" si="7"/>
        <v>3</v>
      </c>
      <c r="AV8" s="3">
        <f t="shared" si="8"/>
        <v>13</v>
      </c>
      <c r="AW8" s="3">
        <f t="shared" si="9"/>
        <v>7</v>
      </c>
      <c r="AX8" s="3">
        <f t="shared" si="10"/>
        <v>5</v>
      </c>
      <c r="AY8" s="3">
        <f t="shared" si="11"/>
        <v>5</v>
      </c>
      <c r="AZ8" s="3">
        <f t="shared" si="12"/>
        <v>1</v>
      </c>
      <c r="BA8" s="3">
        <f>IF(ISERROR(LEN(VLOOKUP(A8,Seqs!A:E,2,FALSE))-AL8),"-",LEN(VLOOKUP(A8,Seqs!A:E,2,FALSE))-AL8)</f>
        <v>15</v>
      </c>
      <c r="BB8" s="16">
        <f t="shared" si="13"/>
        <v>28</v>
      </c>
      <c r="BC8" s="9">
        <f t="shared" si="14"/>
        <v>18</v>
      </c>
      <c r="BD8" s="3">
        <f t="shared" si="15"/>
        <v>28</v>
      </c>
      <c r="BE8" s="3">
        <f t="shared" si="16"/>
        <v>56</v>
      </c>
      <c r="BF8" s="3">
        <f>AH8-AE8</f>
        <v>39</v>
      </c>
    </row>
    <row r="9" spans="1:59" s="3" customFormat="1" x14ac:dyDescent="0.2">
      <c r="A9" s="3" t="s">
        <v>159</v>
      </c>
      <c r="B9" s="3" t="str">
        <f>LOWER(VLOOKUP(A9,Xtal_Templ!A:B,2,FALSE))</f>
        <v>agtr2_human</v>
      </c>
      <c r="C9" s="3">
        <f>VLOOKUP($A9,'SegEnds_NonXtal_BW#'!$A:$Z,3,FALSE)+D9-50</f>
        <v>45</v>
      </c>
      <c r="D9" s="3">
        <v>62</v>
      </c>
      <c r="E9" s="3">
        <f>IF(ISERROR(VLOOKUP($A9,'SegEnds_NonXtal_BW#'!$A:$Z,4,FALSE)+VLOOKUP($A9,A:AL,4,FALSE)-50),"-",(VLOOKUP($A9,'SegEnds_NonXtal_BW#'!$A:$Z,4,FALSE)+VLOOKUP($A9,A:AL,4,FALSE)-50))</f>
        <v>72</v>
      </c>
      <c r="F9" s="3" t="str">
        <f>IF(ISERROR(VLOOKUP($A9,'SegEnds_NonXtal_BW#'!$A:$Z,5,FALSE)+VLOOKUP($A9,A:AL,7,FALSE)-50),"-",(VLOOKUP($A9,'SegEnds_NonXtal_BW#'!$A:$Z,5,FALSE)+VLOOKUP($A9,A:AL,7,FALSE)-50))</f>
        <v>-</v>
      </c>
      <c r="G9" s="3" t="s">
        <v>23</v>
      </c>
      <c r="H9" s="3" t="str">
        <f>IF(ISERROR(VLOOKUP($A9,'SegEnds_NonXtal_BW#'!$A:$Z,6,FALSE)+VLOOKUP($A9,A:AL,7,FALSE)-50),"-",(VLOOKUP($A9,'SegEnds_NonXtal_BW#'!$A:$Z,6,FALSE)+VLOOKUP($A9,A:AL,7,FALSE)-50))</f>
        <v>-</v>
      </c>
      <c r="I9" s="3">
        <f>VLOOKUP($A9,'SegEnds_NonXtal_BW#'!$A:$Z,7,FALSE)+J9-50</f>
        <v>78</v>
      </c>
      <c r="J9" s="3">
        <v>90</v>
      </c>
      <c r="K9" s="3">
        <f>VLOOKUP($A9,'SegEnds_NonXtal_BW#'!$A:$Z,8,FALSE)+VLOOKUP($A9,A:AL,10,FALSE)-50</f>
        <v>106</v>
      </c>
      <c r="L9" s="3">
        <f t="shared" si="18"/>
        <v>109</v>
      </c>
      <c r="M9" s="3">
        <v>110</v>
      </c>
      <c r="N9" s="3">
        <f t="shared" si="19"/>
        <v>112</v>
      </c>
      <c r="O9" s="3">
        <f t="shared" si="20"/>
        <v>113</v>
      </c>
      <c r="P9" s="3">
        <v>142</v>
      </c>
      <c r="Q9" s="3">
        <f>VLOOKUP($A9,'SegEnds_NonXtal_BW#'!$A:$Z,12,FALSE)+VLOOKUP($A9,A:AL,16,FALSE)-50</f>
        <v>148</v>
      </c>
      <c r="R9" s="3">
        <f>IF(ISERROR(VLOOKUP($A9,'SegEnds_NonXtal_BW#'!$A:$Z,13,FALSE)+VLOOKUP($A9,A:AL,19,FALSE)-50),"-",VLOOKUP($A9,'SegEnds_NonXtal_BW#'!$A:$Z,13,FALSE)+VLOOKUP($A9,A:AL,19,FALSE)-50)</f>
        <v>149</v>
      </c>
      <c r="S9" s="3">
        <v>149</v>
      </c>
      <c r="T9" s="100">
        <f>IF(ISERROR(VLOOKUP($A9,'SegEnds_NonXtal_BW#'!$A:$Z,14,FALSE)+VLOOKUP($A9,A:AL,19,FALSE)-50),"-",(VLOOKUP($A9,'SegEnds_NonXtal_BW#'!$A:$Z,14,FALSE)+VLOOKUP($A9,A:AL,19,FALSE)-50))</f>
        <v>155</v>
      </c>
      <c r="U9" s="9">
        <f>IF(ISERROR(VLOOKUP($A9,'SegEnds_NonXtal_BW#'!$A:$Z,15,FALSE)+VLOOKUP($A9,A:AL,22,FALSE)-50),"-",VLOOKUP($A9,'SegEnds_NonXtal_BW#'!$A:$Z,15,FALSE)+VLOOKUP($A9,A:AL,22,FALSE)-50)</f>
        <v>156</v>
      </c>
      <c r="V9" s="3">
        <v>168</v>
      </c>
      <c r="W9" s="3">
        <f>IF(ISERROR(VLOOKUP($A9,'SegEnds_NonXtal_BW#'!$A:$Z,16,FALSE)+VLOOKUP($A9,A:AL,22,FALSE)-50),"-",(VLOOKUP($A9,'SegEnds_NonXtal_BW#'!$A:$Z,16,FALSE)+VLOOKUP($A9,A:AL,22,FALSE)-50))</f>
        <v>182</v>
      </c>
      <c r="X9" s="3">
        <f>IF(ISERROR(VLOOKUP($A9,'SegEnds_NonXtal_BW#'!$A:$Z,17,FALSE)+VLOOKUP($A9,A:AL,25,FALSE)-50),"-",(VLOOKUP($A9,'SegEnds_NonXtal_BW#'!$A:$Z,17,FALSE)+VLOOKUP($A9,A:AL,25,FALSE)-50))</f>
        <v>195</v>
      </c>
      <c r="Y9" s="3">
        <v>195</v>
      </c>
      <c r="Z9" s="3">
        <f t="shared" si="1"/>
        <v>197</v>
      </c>
      <c r="AA9" s="3">
        <f>IF(ISERROR(VLOOKUP($A9,'SegEnds_NonXtal_BW#'!$A:$Z,19,FALSE)+VLOOKUP($A9,A:AL,28,FALSE)-50),"-",(VLOOKUP($A9,'SegEnds_NonXtal_BW#'!$A:$Z,19,FALSE)+VLOOKUP($A9,A:AL,28,FALSE)-50))</f>
        <v>203</v>
      </c>
      <c r="AB9" s="3">
        <v>223</v>
      </c>
      <c r="AC9" s="3">
        <f>IF(ISERROR((VLOOKUP($A9,'SegEnds_NonXtal_BW#'!$A:$Z,20,FALSE)+VLOOKUP($A9,A:AL,28,FALSE)-50)),"-",(VLOOKUP($A9,'SegEnds_NonXtal_BW#'!$A:$Z,20,FALSE)+VLOOKUP($A9,A:AL,28,FALSE)-50))</f>
        <v>241</v>
      </c>
      <c r="AD9" s="3">
        <f>IF(ISERROR(VLOOKUP($A9,'SegEnds_NonXtal_BW#'!$A:$Z,21,FALSE)+VLOOKUP($A9,A:AL,31,FALSE)-50),"-",(VLOOKUP($A9,'SegEnds_NonXtal_BW#'!$A:$Z,21,FALSE)+VLOOKUP($A9,A:AL,31,FALSE)-50))</f>
        <v>245</v>
      </c>
      <c r="AE9" s="3">
        <v>271</v>
      </c>
      <c r="AF9" s="3">
        <f>IF(ISERROR((VLOOKUP($A9,'SegEnds_NonXtal_BW#'!$A:$Z,22,FALSE)+VLOOKUP($A9,A:AL,31,FALSE)-50)),"-",(VLOOKUP($A9,'SegEnds_NonXtal_BW#'!$A:$Z,22,FALSE)+VLOOKUP($A9,A:AL,31,FALSE)-50))</f>
        <v>285</v>
      </c>
      <c r="AG9" s="3">
        <f>IF(ISERROR(VLOOKUP($A9,'SegEnds_NonXtal_BW#'!$A:$Z,23,FALSE)+VLOOKUP($A9,A:AL,34,FALSE)-50),"-",(VLOOKUP($A9,'SegEnds_NonXtal_BW#'!$A:$Z,23,FALSE)+VLOOKUP($A9,A:AL,34,FALSE)-50))</f>
        <v>289</v>
      </c>
      <c r="AH9" s="3">
        <v>315</v>
      </c>
      <c r="AI9" s="3">
        <f>IF(ISERROR((VLOOKUP($A9,'SegEnds_NonXtal_BW#'!$A:$Z,24,FALSE)+VLOOKUP($A9,A:AL,34,FALSE)-50)),"-",(VLOOKUP($A9,'SegEnds_NonXtal_BW#'!$A:$Z,24,FALSE)+VLOOKUP($A9,A:AL,34,FALSE)-50))</f>
        <v>321</v>
      </c>
      <c r="AJ9" s="3">
        <f>IF(ISERROR(VLOOKUP($A9,'SegEnds_NonXtal_BW#'!$A:$Z,25,FALSE)+VLOOKUP($A9,A:AL,37,FALSE)-50),"-",(VLOOKUP($A9,'SegEnds_NonXtal_BW#'!$A:$Z,25,FALSE)+VLOOKUP($A9,A:AL,37,FALSE)-50))</f>
        <v>322</v>
      </c>
      <c r="AK9" s="3">
        <v>325</v>
      </c>
      <c r="AL9" s="3">
        <f>IF(ISERROR((VLOOKUP($A9,'SegEnds_NonXtal_BW#'!$A:$Z,26,FALSE)+VLOOKUP($A9,A:AL,37,FALSE)-50)),"-",(VLOOKUP($A9,'SegEnds_NonXtal_BW#'!$A:$Z,26,FALSE)+VLOOKUP($A9,A:AL,37,FALSE)-50))</f>
        <v>336</v>
      </c>
      <c r="AM9" s="28" t="str">
        <f>VLOOKUP(A9,Classification!A:B,2,FALSE)</f>
        <v>A</v>
      </c>
      <c r="AN9" s="28" t="b">
        <f t="shared" si="17"/>
        <v>1</v>
      </c>
      <c r="AO9" s="3" t="str">
        <f>IF(ISERROR(MATCH(A9,'SegEnds_Xtal_Prot#'!B:B, 0)), "NoXtal", "Xtal")</f>
        <v>Xtal</v>
      </c>
      <c r="AP9" s="3" t="str">
        <f t="shared" si="2"/>
        <v>-</v>
      </c>
      <c r="AQ9" s="3" t="str">
        <f t="shared" si="3"/>
        <v>-</v>
      </c>
      <c r="AR9" s="3">
        <f t="shared" si="4"/>
        <v>3</v>
      </c>
      <c r="AS9" s="3">
        <f t="shared" si="5"/>
        <v>1</v>
      </c>
      <c r="AT9" s="3">
        <f t="shared" si="6"/>
        <v>1</v>
      </c>
      <c r="AU9" s="3">
        <f t="shared" si="7"/>
        <v>1</v>
      </c>
      <c r="AV9" s="3">
        <f t="shared" si="8"/>
        <v>13</v>
      </c>
      <c r="AW9" s="3">
        <f t="shared" si="9"/>
        <v>6</v>
      </c>
      <c r="AX9" s="3">
        <f t="shared" si="10"/>
        <v>4</v>
      </c>
      <c r="AY9" s="3">
        <f t="shared" si="11"/>
        <v>4</v>
      </c>
      <c r="AZ9" s="3">
        <f t="shared" si="12"/>
        <v>1</v>
      </c>
      <c r="BA9" s="3">
        <f>IF(ISERROR(LEN(VLOOKUP(A9,Seqs!A:E,2,FALSE))-AL9),"-",LEN(VLOOKUP(A9,Seqs!A:E,2,FALSE))-AL9)</f>
        <v>27</v>
      </c>
      <c r="BB9" s="16">
        <f t="shared" si="13"/>
        <v>28</v>
      </c>
      <c r="BC9" s="9">
        <f t="shared" si="14"/>
        <v>19</v>
      </c>
      <c r="BD9" s="3">
        <f t="shared" si="15"/>
        <v>28</v>
      </c>
      <c r="BE9" s="3">
        <f t="shared" si="16"/>
        <v>48</v>
      </c>
      <c r="BF9" s="3">
        <f>AH9-AE9</f>
        <v>44</v>
      </c>
    </row>
    <row r="10" spans="1:59" s="3" customFormat="1" x14ac:dyDescent="0.2">
      <c r="A10" s="3" t="s">
        <v>185</v>
      </c>
      <c r="B10" s="3" t="str">
        <f>LOWER(VLOOKUP(A10,Xtal_Templ!A:B,2,FALSE))</f>
        <v>ccr7_human</v>
      </c>
      <c r="C10" s="3">
        <f>VLOOKUP($A10,'SegEnds_NonXtal_BW#'!$A:$Z,3,FALSE)+D10-50</f>
        <v>36</v>
      </c>
      <c r="D10" s="3">
        <v>57</v>
      </c>
      <c r="E10" s="3">
        <f>IF(ISERROR(VLOOKUP($A10,'SegEnds_NonXtal_BW#'!$A:$Z,4,FALSE)+VLOOKUP($A10,A:AL,4,FALSE)-50),"-",(VLOOKUP($A10,'SegEnds_NonXtal_BW#'!$A:$Z,4,FALSE)+VLOOKUP($A10,A:AL,4,FALSE)-50))</f>
        <v>67</v>
      </c>
      <c r="F10" s="3">
        <f>G10-2</f>
        <v>68</v>
      </c>
      <c r="G10" s="3">
        <v>70</v>
      </c>
      <c r="H10" s="3">
        <f>G10+1</f>
        <v>71</v>
      </c>
      <c r="I10" s="3">
        <f>H10+1</f>
        <v>72</v>
      </c>
      <c r="J10" s="3">
        <v>85</v>
      </c>
      <c r="K10" s="3">
        <f>VLOOKUP($A10,'SegEnds_NonXtal_BW#'!$A:$Z,8,FALSE)+VLOOKUP($A10,A:AL,10,FALSE)-50</f>
        <v>101</v>
      </c>
      <c r="L10" s="3">
        <f t="shared" si="18"/>
        <v>102</v>
      </c>
      <c r="M10" s="3">
        <v>103</v>
      </c>
      <c r="N10" s="3">
        <f t="shared" si="19"/>
        <v>105</v>
      </c>
      <c r="O10" s="3">
        <f t="shared" si="20"/>
        <v>106</v>
      </c>
      <c r="P10" s="3">
        <v>135</v>
      </c>
      <c r="Q10" s="3">
        <f>VLOOKUP($A10,'SegEnds_NonXtal_BW#'!$A:$Z,12,FALSE)+VLOOKUP($A10,A:AL,16,FALSE)-50</f>
        <v>141</v>
      </c>
      <c r="R10" s="3">
        <f>IF(ISERROR(VLOOKUP($A10,'SegEnds_NonXtal_BW#'!$A:$Z,13,FALSE)+VLOOKUP($A10,A:AL,19,FALSE)-50),"-",VLOOKUP($A10,'SegEnds_NonXtal_BW#'!$A:$Z,13,FALSE)+VLOOKUP($A10,A:AL,19,FALSE)-50)</f>
        <v>142</v>
      </c>
      <c r="S10" s="3">
        <v>142</v>
      </c>
      <c r="T10" s="100">
        <f>IF(ISERROR(VLOOKUP($A10,'SegEnds_NonXtal_BW#'!$A:$Z,14,FALSE)+VLOOKUP($A10,A:AL,19,FALSE)-50),"-",(VLOOKUP($A10,'SegEnds_NonXtal_BW#'!$A:$Z,14,FALSE)+VLOOKUP($A10,A:AL,19,FALSE)-50))</f>
        <v>148</v>
      </c>
      <c r="U10" s="9">
        <f>IF(ISERROR(VLOOKUP($A10,'SegEnds_NonXtal_BW#'!$A:$Z,15,FALSE)+VLOOKUP($A10,A:AL,22,FALSE)-50),"-",VLOOKUP($A10,'SegEnds_NonXtal_BW#'!$A:$Z,15,FALSE)+VLOOKUP($A10,A:AL,22,FALSE)-50)</f>
        <v>149</v>
      </c>
      <c r="V10" s="3">
        <v>161</v>
      </c>
      <c r="W10" s="3">
        <f>IF(ISERROR(VLOOKUP($A10,'SegEnds_NonXtal_BW#'!$A:$Z,16,FALSE)+VLOOKUP($A10,A:AL,22,FALSE)-50),"-",(VLOOKUP($A10,'SegEnds_NonXtal_BW#'!$A:$Z,16,FALSE)+VLOOKUP($A10,A:AL,22,FALSE)-50))</f>
        <v>175</v>
      </c>
      <c r="X10" s="3">
        <f>IF(ISERROR(VLOOKUP($A10,'SegEnds_NonXtal_BW#'!$A:$Z,17,FALSE)+VLOOKUP($A10,A:AL,25,FALSE)-50),"-",(VLOOKUP($A10,'SegEnds_NonXtal_BW#'!$A:$Z,17,FALSE)+VLOOKUP($A10,A:AL,25,FALSE)-50))</f>
        <v>187</v>
      </c>
      <c r="Y10" s="3">
        <v>187</v>
      </c>
      <c r="Z10" s="3">
        <f t="shared" si="1"/>
        <v>189</v>
      </c>
      <c r="AA10" s="3">
        <f>IF(ISERROR(VLOOKUP($A10,'SegEnds_NonXtal_BW#'!$A:$Z,19,FALSE)+VLOOKUP($A10,A:AL,28,FALSE)-50),"-",(VLOOKUP($A10,'SegEnds_NonXtal_BW#'!$A:$Z,19,FALSE)+VLOOKUP($A10,A:AL,28,FALSE)-50))</f>
        <v>197</v>
      </c>
      <c r="AB10" s="3">
        <v>214</v>
      </c>
      <c r="AC10" s="3">
        <f>IF(ISERROR((VLOOKUP($A10,'SegEnds_NonXtal_BW#'!$A:$Z,20,FALSE)+VLOOKUP($A10,A:AL,28,FALSE)-50)),"-",(VLOOKUP($A10,'SegEnds_NonXtal_BW#'!$A:$Z,20,FALSE)+VLOOKUP($A10,A:AL,28,FALSE)-50))</f>
        <v>232</v>
      </c>
      <c r="AD10" s="3">
        <f>IF(ISERROR(VLOOKUP($A10,'SegEnds_NonXtal_BW#'!$A:$Z,21,FALSE)+VLOOKUP($A10,A:AL,31,FALSE)-50),"-",(VLOOKUP($A10,'SegEnds_NonXtal_BW#'!$A:$Z,21,FALSE)+VLOOKUP($A10,A:AL,31,FALSE)-50))</f>
        <v>237</v>
      </c>
      <c r="AE10" s="3">
        <v>257</v>
      </c>
      <c r="AF10" s="3">
        <f>IF(ISERROR((VLOOKUP($A10,'SegEnds_NonXtal_BW#'!$A:$Z,22,FALSE)+VLOOKUP($A10,A:AL,31,FALSE)-50)),"-",(VLOOKUP($A10,'SegEnds_NonXtal_BW#'!$A:$Z,22,FALSE)+VLOOKUP($A10,A:AL,31,FALSE)-50))</f>
        <v>271</v>
      </c>
      <c r="AG10" s="3">
        <f>IF(ISERROR(VLOOKUP($A10,'SegEnds_NonXtal_BW#'!$A:$Z,23,FALSE)+VLOOKUP($A10,A:AL,34,FALSE)-50),"-",(VLOOKUP($A10,'SegEnds_NonXtal_BW#'!$A:$Z,23,FALSE)+VLOOKUP($A10,A:AL,34,FALSE)-50))</f>
        <v>276</v>
      </c>
      <c r="AH10" s="3">
        <v>302</v>
      </c>
      <c r="AI10" s="3">
        <f>IF(ISERROR((VLOOKUP($A10,'SegEnds_NonXtal_BW#'!$A:$Z,24,FALSE)+VLOOKUP($A10,A:AL,34,FALSE)-50)),"-",(VLOOKUP($A10,'SegEnds_NonXtal_BW#'!$A:$Z,24,FALSE)+VLOOKUP($A10,A:AL,34,FALSE)-50))</f>
        <v>308</v>
      </c>
      <c r="AJ10" s="3">
        <f>IF(ISERROR(VLOOKUP($A10,'SegEnds_NonXtal_BW#'!$A:$Z,25,FALSE)+VLOOKUP($A10,A:AL,37,FALSE)-50),"-",(VLOOKUP($A10,'SegEnds_NonXtal_BW#'!$A:$Z,25,FALSE)+VLOOKUP($A10,A:AL,37,FALSE)-50))</f>
        <v>309</v>
      </c>
      <c r="AK10" s="3">
        <v>312</v>
      </c>
      <c r="AL10" s="3">
        <f>IF(ISERROR((VLOOKUP($A10,'SegEnds_NonXtal_BW#'!$A:$Z,26,FALSE)+VLOOKUP($A10,A:AL,37,FALSE)-50)),"-",(VLOOKUP($A10,'SegEnds_NonXtal_BW#'!$A:$Z,26,FALSE)+VLOOKUP($A10,A:AL,37,FALSE)-50))</f>
        <v>321</v>
      </c>
      <c r="AM10" s="28" t="str">
        <f>VLOOKUP(A10,Classification!A:B,2,FALSE)</f>
        <v>A</v>
      </c>
      <c r="AN10" s="28" t="b">
        <f t="shared" si="17"/>
        <v>1</v>
      </c>
      <c r="AO10" s="3" t="str">
        <f>IF(ISERROR(MATCH(A10,'SegEnds_Xtal_Prot#'!B:B, 0)), "NoXtal", "Xtal")</f>
        <v>NoXtal</v>
      </c>
      <c r="AP10" s="3">
        <f t="shared" si="2"/>
        <v>1</v>
      </c>
      <c r="AQ10" s="3">
        <f t="shared" si="3"/>
        <v>1</v>
      </c>
      <c r="AR10" s="3">
        <f t="shared" si="4"/>
        <v>1</v>
      </c>
      <c r="AS10" s="3">
        <f t="shared" si="5"/>
        <v>1</v>
      </c>
      <c r="AT10" s="3">
        <f t="shared" si="6"/>
        <v>1</v>
      </c>
      <c r="AU10" s="3">
        <f t="shared" si="7"/>
        <v>1</v>
      </c>
      <c r="AV10" s="3">
        <f t="shared" si="8"/>
        <v>12</v>
      </c>
      <c r="AW10" s="3">
        <f t="shared" si="9"/>
        <v>8</v>
      </c>
      <c r="AX10" s="3">
        <f t="shared" si="10"/>
        <v>5</v>
      </c>
      <c r="AY10" s="3">
        <f t="shared" si="11"/>
        <v>5</v>
      </c>
      <c r="AZ10" s="3">
        <f t="shared" si="12"/>
        <v>1</v>
      </c>
      <c r="BA10" s="3">
        <f>IF(ISERROR(LEN(VLOOKUP(A10,Seqs!A:E,2,FALSE))-AL10),"-",LEN(VLOOKUP(A10,Seqs!A:E,2,FALSE))-AL10)</f>
        <v>29</v>
      </c>
      <c r="BB10" s="16">
        <f t="shared" si="13"/>
        <v>28</v>
      </c>
      <c r="BC10" s="9">
        <f t="shared" si="14"/>
        <v>19</v>
      </c>
      <c r="BD10" s="3">
        <f t="shared" si="15"/>
        <v>28</v>
      </c>
      <c r="BE10" s="3">
        <f t="shared" si="16"/>
        <v>43</v>
      </c>
      <c r="BF10" s="3">
        <f>AH10-AE10</f>
        <v>45</v>
      </c>
    </row>
    <row r="11" spans="1:59" s="3" customFormat="1" x14ac:dyDescent="0.2">
      <c r="A11" s="3" t="s">
        <v>186</v>
      </c>
      <c r="B11" s="3" t="str">
        <f>LOWER(VLOOKUP(A11,Xtal_Templ!A:B,2,FALSE))</f>
        <v>ccr7_human</v>
      </c>
      <c r="C11" s="3">
        <f>VLOOKUP($A11,'SegEnds_NonXtal_BW#'!$A:$Z,3,FALSE)+D11-50</f>
        <v>45</v>
      </c>
      <c r="D11" s="3">
        <v>66</v>
      </c>
      <c r="E11" s="3">
        <f>IF(ISERROR(VLOOKUP($A11,'SegEnds_NonXtal_BW#'!$A:$Z,4,FALSE)+VLOOKUP($A11,A:AL,4,FALSE)-50),"-",(VLOOKUP($A11,'SegEnds_NonXtal_BW#'!$A:$Z,4,FALSE)+VLOOKUP($A11,A:AL,4,FALSE)-50))</f>
        <v>76</v>
      </c>
      <c r="F11" s="3">
        <f>G11-2</f>
        <v>77</v>
      </c>
      <c r="G11" s="3">
        <v>79</v>
      </c>
      <c r="H11" s="3">
        <f>G11+1</f>
        <v>80</v>
      </c>
      <c r="I11" s="3">
        <f>H11+1</f>
        <v>81</v>
      </c>
      <c r="J11" s="3">
        <v>94</v>
      </c>
      <c r="K11" s="3">
        <f>VLOOKUP($A11,'SegEnds_NonXtal_BW#'!$A:$Z,8,FALSE)+VLOOKUP($A11,A:AL,10,FALSE)-50</f>
        <v>110</v>
      </c>
      <c r="L11" s="3">
        <f t="shared" si="18"/>
        <v>111</v>
      </c>
      <c r="M11" s="3">
        <v>112</v>
      </c>
      <c r="N11" s="3">
        <f t="shared" si="19"/>
        <v>114</v>
      </c>
      <c r="O11" s="3">
        <f t="shared" si="20"/>
        <v>115</v>
      </c>
      <c r="P11" s="3">
        <v>144</v>
      </c>
      <c r="Q11" s="3">
        <f>VLOOKUP($A11,'SegEnds_NonXtal_BW#'!$A:$Z,12,FALSE)+VLOOKUP($A11,A:AL,16,FALSE)-50</f>
        <v>150</v>
      </c>
      <c r="R11" s="3">
        <f>IF(ISERROR(VLOOKUP($A11,'SegEnds_NonXtal_BW#'!$A:$Z,13,FALSE)+VLOOKUP($A11,A:AL,19,FALSE)-50),"-",VLOOKUP($A11,'SegEnds_NonXtal_BW#'!$A:$Z,13,FALSE)+VLOOKUP($A11,A:AL,19,FALSE)-50)</f>
        <v>151</v>
      </c>
      <c r="S11" s="3">
        <v>151</v>
      </c>
      <c r="T11" s="100">
        <f>IF(ISERROR(VLOOKUP($A11,'SegEnds_NonXtal_BW#'!$A:$Z,14,FALSE)+VLOOKUP($A11,A:AL,19,FALSE)-50),"-",(VLOOKUP($A11,'SegEnds_NonXtal_BW#'!$A:$Z,14,FALSE)+VLOOKUP($A11,A:AL,19,FALSE)-50))</f>
        <v>157</v>
      </c>
      <c r="U11" s="9">
        <f>IF(ISERROR(VLOOKUP($A11,'SegEnds_NonXtal_BW#'!$A:$Z,15,FALSE)+VLOOKUP($A11,A:AL,22,FALSE)-50),"-",VLOOKUP($A11,'SegEnds_NonXtal_BW#'!$A:$Z,15,FALSE)+VLOOKUP($A11,A:AL,22,FALSE)-50)</f>
        <v>158</v>
      </c>
      <c r="V11" s="3">
        <v>170</v>
      </c>
      <c r="W11" s="3">
        <f>IF(ISERROR(VLOOKUP($A11,'SegEnds_NonXtal_BW#'!$A:$Z,16,FALSE)+VLOOKUP($A11,A:AL,22,FALSE)-50),"-",(VLOOKUP($A11,'SegEnds_NonXtal_BW#'!$A:$Z,16,FALSE)+VLOOKUP($A11,A:AL,22,FALSE)-50))</f>
        <v>184</v>
      </c>
      <c r="X11" s="3">
        <f>IF(ISERROR(VLOOKUP($A11,'SegEnds_NonXtal_BW#'!$A:$Z,17,FALSE)+VLOOKUP($A11,A:AL,25,FALSE)-50),"-",(VLOOKUP($A11,'SegEnds_NonXtal_BW#'!$A:$Z,17,FALSE)+VLOOKUP($A11,A:AL,25,FALSE)-50))</f>
        <v>196</v>
      </c>
      <c r="Y11" s="3">
        <v>196</v>
      </c>
      <c r="Z11" s="3">
        <f t="shared" si="1"/>
        <v>198</v>
      </c>
      <c r="AA11" s="3">
        <f>IF(ISERROR(VLOOKUP($A11,'SegEnds_NonXtal_BW#'!$A:$Z,19,FALSE)+VLOOKUP($A11,A:AL,28,FALSE)-50),"-",(VLOOKUP($A11,'SegEnds_NonXtal_BW#'!$A:$Z,19,FALSE)+VLOOKUP($A11,A:AL,28,FALSE)-50))</f>
        <v>206</v>
      </c>
      <c r="AB11" s="3">
        <v>223</v>
      </c>
      <c r="AC11" s="3">
        <f>IF(ISERROR((VLOOKUP($A11,'SegEnds_NonXtal_BW#'!$A:$Z,20,FALSE)+VLOOKUP($A11,A:AL,28,FALSE)-50)),"-",(VLOOKUP($A11,'SegEnds_NonXtal_BW#'!$A:$Z,20,FALSE)+VLOOKUP($A11,A:AL,28,FALSE)-50))</f>
        <v>241</v>
      </c>
      <c r="AD11" s="3">
        <f>IF(ISERROR(VLOOKUP($A11,'SegEnds_NonXtal_BW#'!$A:$Z,21,FALSE)+VLOOKUP($A11,A:AL,31,FALSE)-50),"-",(VLOOKUP($A11,'SegEnds_NonXtal_BW#'!$A:$Z,21,FALSE)+VLOOKUP($A11,A:AL,31,FALSE)-50))</f>
        <v>246</v>
      </c>
      <c r="AE11" s="3">
        <v>266</v>
      </c>
      <c r="AF11" s="3">
        <f>IF(ISERROR((VLOOKUP($A11,'SegEnds_NonXtal_BW#'!$A:$Z,22,FALSE)+VLOOKUP($A11,A:AL,31,FALSE)-50)),"-",(VLOOKUP($A11,'SegEnds_NonXtal_BW#'!$A:$Z,22,FALSE)+VLOOKUP($A11,A:AL,31,FALSE)-50))</f>
        <v>280</v>
      </c>
      <c r="AG11" s="3">
        <f>IF(ISERROR(VLOOKUP($A11,'SegEnds_NonXtal_BW#'!$A:$Z,23,FALSE)+VLOOKUP($A11,A:AL,34,FALSE)-50),"-",(VLOOKUP($A11,'SegEnds_NonXtal_BW#'!$A:$Z,23,FALSE)+VLOOKUP($A11,A:AL,34,FALSE)-50))</f>
        <v>285</v>
      </c>
      <c r="AH11" s="3">
        <v>311</v>
      </c>
      <c r="AI11" s="3">
        <f>IF(ISERROR((VLOOKUP($A11,'SegEnds_NonXtal_BW#'!$A:$Z,24,FALSE)+VLOOKUP($A11,A:AL,34,FALSE)-50)),"-",(VLOOKUP($A11,'SegEnds_NonXtal_BW#'!$A:$Z,24,FALSE)+VLOOKUP($A11,A:AL,34,FALSE)-50))</f>
        <v>317</v>
      </c>
      <c r="AJ11" s="3">
        <f>IF(ISERROR(VLOOKUP($A11,'SegEnds_NonXtal_BW#'!$A:$Z,25,FALSE)+VLOOKUP($A11,A:AL,37,FALSE)-50),"-",(VLOOKUP($A11,'SegEnds_NonXtal_BW#'!$A:$Z,25,FALSE)+VLOOKUP($A11,A:AL,37,FALSE)-50))</f>
        <v>318</v>
      </c>
      <c r="AK11" s="3">
        <v>321</v>
      </c>
      <c r="AL11" s="3">
        <f>IF(ISERROR((VLOOKUP($A11,'SegEnds_NonXtal_BW#'!$A:$Z,26,FALSE)+VLOOKUP($A11,A:AL,37,FALSE)-50)),"-",(VLOOKUP($A11,'SegEnds_NonXtal_BW#'!$A:$Z,26,FALSE)+VLOOKUP($A11,A:AL,37,FALSE)-50))</f>
        <v>330</v>
      </c>
      <c r="AM11" s="28" t="str">
        <f>VLOOKUP(A11,Classification!A:B,2,FALSE)</f>
        <v>A</v>
      </c>
      <c r="AN11" s="28" t="b">
        <f t="shared" si="17"/>
        <v>1</v>
      </c>
      <c r="AO11" s="3" t="str">
        <f>IF(ISERROR(MATCH(A11,'SegEnds_Xtal_Prot#'!B:B, 0)), "NoXtal", "Xtal")</f>
        <v>NoXtal</v>
      </c>
      <c r="AP11" s="3">
        <f t="shared" si="2"/>
        <v>1</v>
      </c>
      <c r="AQ11" s="3">
        <f t="shared" si="3"/>
        <v>1</v>
      </c>
      <c r="AR11" s="3">
        <f t="shared" si="4"/>
        <v>1</v>
      </c>
      <c r="AS11" s="3">
        <f t="shared" si="5"/>
        <v>1</v>
      </c>
      <c r="AT11" s="3">
        <f t="shared" si="6"/>
        <v>1</v>
      </c>
      <c r="AU11" s="3">
        <f t="shared" si="7"/>
        <v>1</v>
      </c>
      <c r="AV11" s="3">
        <f t="shared" si="8"/>
        <v>12</v>
      </c>
      <c r="AW11" s="3">
        <f t="shared" si="9"/>
        <v>8</v>
      </c>
      <c r="AX11" s="3">
        <f t="shared" si="10"/>
        <v>5</v>
      </c>
      <c r="AY11" s="3">
        <f t="shared" si="11"/>
        <v>5</v>
      </c>
      <c r="AZ11" s="3">
        <f t="shared" si="12"/>
        <v>1</v>
      </c>
      <c r="BA11" s="3">
        <f>IF(ISERROR(LEN(VLOOKUP(A11,Seqs!A:E,2,FALSE))-AL11),"-",LEN(VLOOKUP(A11,Seqs!A:E,2,FALSE))-AL11)</f>
        <v>30</v>
      </c>
      <c r="BB11" s="16">
        <f t="shared" si="13"/>
        <v>28</v>
      </c>
      <c r="BC11" s="9">
        <f t="shared" si="14"/>
        <v>19</v>
      </c>
      <c r="BD11" s="3">
        <f t="shared" si="15"/>
        <v>28</v>
      </c>
      <c r="BE11" s="3">
        <f t="shared" si="16"/>
        <v>43</v>
      </c>
    </row>
    <row r="12" spans="1:59" s="3" customFormat="1" x14ac:dyDescent="0.2">
      <c r="A12" s="3" t="s">
        <v>215</v>
      </c>
      <c r="B12" s="3" t="str">
        <f>LOWER(VLOOKUP(A12,Xtal_Templ!A:B,2,FALSE))</f>
        <v>5ht2c_human</v>
      </c>
      <c r="C12" s="3">
        <f>VLOOKUP($A12,'SegEnds_NonXtal_BW#'!$A:$Z,3,FALSE)+D12-50</f>
        <v>27</v>
      </c>
      <c r="D12" s="3">
        <v>44</v>
      </c>
      <c r="E12" s="3">
        <f>IF(ISERROR(VLOOKUP($A12,'SegEnds_NonXtal_BW#'!$A:$Z,4,FALSE)+VLOOKUP($A12,A:AL,4,FALSE)-50),"-",(VLOOKUP($A12,'SegEnds_NonXtal_BW#'!$A:$Z,4,FALSE)+VLOOKUP($A12,A:AL,4,FALSE)-50))</f>
        <v>54</v>
      </c>
      <c r="F12" s="3" t="str">
        <f>IF(ISERROR(VLOOKUP($A12,'SegEnds_NonXtal_BW#'!$A:$Z,5,FALSE)+VLOOKUP($A12,A:AL,7,FALSE)-50),"-",(VLOOKUP($A12,'SegEnds_NonXtal_BW#'!$A:$Z,5,FALSE)+VLOOKUP($A12,A:AL,7,FALSE)-50))</f>
        <v>-</v>
      </c>
      <c r="G12" s="3" t="s">
        <v>23</v>
      </c>
      <c r="H12" s="3" t="str">
        <f>IF(ISERROR(VLOOKUP($A12,'SegEnds_NonXtal_BW#'!$A:$Z,6,FALSE)+VLOOKUP($A12,A:AL,7,FALSE)-50),"-",(VLOOKUP($A12,'SegEnds_NonXtal_BW#'!$A:$Z,6,FALSE)+VLOOKUP($A12,A:AL,7,FALSE)-50))</f>
        <v>-</v>
      </c>
      <c r="I12" s="3">
        <f>VLOOKUP($A12,'SegEnds_NonXtal_BW#'!$A:$Z,7,FALSE)+J12-50</f>
        <v>60</v>
      </c>
      <c r="J12" s="3">
        <v>73</v>
      </c>
      <c r="K12" s="3">
        <f>VLOOKUP($A12,'SegEnds_NonXtal_BW#'!$A:$Z,8,FALSE)+VLOOKUP($A12,A:AL,10,FALSE)-50</f>
        <v>90</v>
      </c>
      <c r="L12" s="3" t="s">
        <v>23</v>
      </c>
      <c r="M12" s="3" t="s">
        <v>23</v>
      </c>
      <c r="N12" s="3" t="s">
        <v>23</v>
      </c>
      <c r="O12" s="3">
        <f>VLOOKUP($A12,'SegEnds_NonXtal_BW#'!$A:$Z,11,FALSE)+VLOOKUP($A12,A:AL,16,FALSE)-50</f>
        <v>94</v>
      </c>
      <c r="P12" s="3">
        <v>126</v>
      </c>
      <c r="Q12" s="3">
        <f>VLOOKUP($A12,'SegEnds_NonXtal_BW#'!$A:$Z,12,FALSE)+VLOOKUP($A12,A:AL,16,FALSE)-50</f>
        <v>132</v>
      </c>
      <c r="R12" s="3">
        <f>IF(ISERROR(VLOOKUP($A12,'SegEnds_NonXtal_BW#'!$A:$Z,13,FALSE)+VLOOKUP($A12,A:AL,19,FALSE)-50),"-",VLOOKUP($A12,'SegEnds_NonXtal_BW#'!$A:$Z,13,FALSE)+VLOOKUP($A12,A:AL,19,FALSE)-50)</f>
        <v>133</v>
      </c>
      <c r="S12" s="3">
        <v>133</v>
      </c>
      <c r="T12" s="100">
        <f>IF(ISERROR(VLOOKUP($A12,'SegEnds_NonXtal_BW#'!$A:$Z,14,FALSE)+VLOOKUP($A12,A:AL,19,FALSE)-50),"-",(VLOOKUP($A12,'SegEnds_NonXtal_BW#'!$A:$Z,14,FALSE)+VLOOKUP($A12,A:AL,19,FALSE)-50))</f>
        <v>139</v>
      </c>
      <c r="U12" s="9">
        <f>IF(ISERROR(VLOOKUP($A12,'SegEnds_NonXtal_BW#'!$A:$Z,15,FALSE)+VLOOKUP($A12,A:AL,22,FALSE)-50),"-",VLOOKUP($A12,'SegEnds_NonXtal_BW#'!$A:$Z,15,FALSE)+VLOOKUP($A12,A:AL,22,FALSE)-50)</f>
        <v>140</v>
      </c>
      <c r="V12" s="3">
        <v>152</v>
      </c>
      <c r="W12" s="3">
        <f>IF(ISERROR(VLOOKUP($A12,'SegEnds_NonXtal_BW#'!$A:$Z,16,FALSE)+VLOOKUP($A12,A:AL,22,FALSE)-50),"-",(VLOOKUP($A12,'SegEnds_NonXtal_BW#'!$A:$Z,16,FALSE)+VLOOKUP($A12,A:AL,22,FALSE)-50))</f>
        <v>169</v>
      </c>
      <c r="X12" s="3" t="str">
        <f>IF(ISERROR(VLOOKUP($A12,'SegEnds_NonXtal_BW#'!$A:$Z,17,FALSE)+VLOOKUP($A12,A:AL,25,FALSE)-50),"-",(VLOOKUP($A12,'SegEnds_NonXtal_BW#'!$A:$Z,17,FALSE)+VLOOKUP($A12,A:AL,25,FALSE)-50))</f>
        <v>-</v>
      </c>
      <c r="Y12" s="3" t="s">
        <v>23</v>
      </c>
      <c r="Z12" s="3" t="str">
        <f>IF(ISERROR(VLOOKUP($A12,'SegEnds_NonXtal_BW#'!$A:$Z,18,FALSE)+VLOOKUP($A12,A:AL,25,FALSE)-50),"-",(VLOOKUP($A12,'SegEnds_NonXtal_BW#'!$A:$Z,18,FALSE)+VLOOKUP($A12,A:AL,25,FALSE)-50))</f>
        <v>-</v>
      </c>
      <c r="AA12" s="3">
        <f>IF(ISERROR(VLOOKUP($A12,'SegEnds_NonXtal_BW#'!$A:$Z,19,FALSE)+VLOOKUP($A12,A:AL,28,FALSE)-50),"-",(VLOOKUP($A12,'SegEnds_NonXtal_BW#'!$A:$Z,19,FALSE)+VLOOKUP($A12,A:AL,28,FALSE)-50))</f>
        <v>180</v>
      </c>
      <c r="AB12" s="3">
        <v>195</v>
      </c>
      <c r="AC12" s="3">
        <f>IF(ISERROR((VLOOKUP($A12,'SegEnds_NonXtal_BW#'!$A:$Z,20,FALSE)+VLOOKUP($A12,A:AL,28,FALSE)-50)),"-",(VLOOKUP($A12,'SegEnds_NonXtal_BW#'!$A:$Z,20,FALSE)+VLOOKUP($A12,A:AL,28,FALSE)-50))</f>
        <v>213</v>
      </c>
      <c r="AD12" s="3">
        <f>IF(ISERROR(VLOOKUP($A12,'SegEnds_NonXtal_BW#'!$A:$Z,21,FALSE)+VLOOKUP($A12,A:AL,31,FALSE)-50),"-",(VLOOKUP($A12,'SegEnds_NonXtal_BW#'!$A:$Z,21,FALSE)+VLOOKUP($A12,A:AL,31,FALSE)-50))</f>
        <v>217</v>
      </c>
      <c r="AE12" s="3">
        <v>243</v>
      </c>
      <c r="AF12" s="3">
        <f>IF(ISERROR((VLOOKUP($A12,'SegEnds_NonXtal_BW#'!$A:$Z,22,FALSE)+VLOOKUP($A12,A:AL,31,FALSE)-50)),"-",(VLOOKUP($A12,'SegEnds_NonXtal_BW#'!$A:$Z,22,FALSE)+VLOOKUP($A12,A:AL,31,FALSE)-50))</f>
        <v>254</v>
      </c>
      <c r="AG12" s="3">
        <f>IF(ISERROR(VLOOKUP($A12,'SegEnds_NonXtal_BW#'!$A:$Z,23,FALSE)+VLOOKUP($A12,A:AL,34,FALSE)-50),"-",(VLOOKUP($A12,'SegEnds_NonXtal_BW#'!$A:$Z,23,FALSE)+VLOOKUP($A12,A:AL,34,FALSE)-50))</f>
        <v>259</v>
      </c>
      <c r="AH12" s="3">
        <v>282</v>
      </c>
      <c r="AI12" s="3">
        <f>IF(ISERROR((VLOOKUP($A12,'SegEnds_NonXtal_BW#'!$A:$Z,24,FALSE)+VLOOKUP($A12,A:AL,34,FALSE)-50)),"-",(VLOOKUP($A12,'SegEnds_NonXtal_BW#'!$A:$Z,24,FALSE)+VLOOKUP($A12,A:AL,34,FALSE)-50))</f>
        <v>288</v>
      </c>
      <c r="AJ12" s="3">
        <f>IF(ISERROR(VLOOKUP($A12,'SegEnds_NonXtal_BW#'!$A:$Z,25,FALSE)+VLOOKUP($A12,A:AL,37,FALSE)-50),"-",(VLOOKUP($A12,'SegEnds_NonXtal_BW#'!$A:$Z,25,FALSE)+VLOOKUP($A12,A:AL,37,FALSE)-50))</f>
        <v>289</v>
      </c>
      <c r="AK12" s="3">
        <v>292</v>
      </c>
      <c r="AL12" s="3">
        <f>IF(ISERROR((VLOOKUP($A12,'SegEnds_NonXtal_BW#'!$A:$Z,26,FALSE)+VLOOKUP($A12,A:AL,37,FALSE)-50)),"-",(VLOOKUP($A12,'SegEnds_NonXtal_BW#'!$A:$Z,26,FALSE)+VLOOKUP($A12,A:AL,37,FALSE)-50))</f>
        <v>302</v>
      </c>
      <c r="AM12" s="28" t="str">
        <f>VLOOKUP(A12,Classification!A:B,2,FALSE)</f>
        <v>A</v>
      </c>
      <c r="AN12" s="28" t="b">
        <f t="shared" si="17"/>
        <v>1</v>
      </c>
      <c r="AO12" s="3" t="str">
        <f>IF(ISERROR(MATCH(A12,'SegEnds_Xtal_Prot#'!B:B, 0)), "NoXtal", "Xtal")</f>
        <v>NoXtal</v>
      </c>
      <c r="AP12" s="3" t="str">
        <f t="shared" si="2"/>
        <v>-</v>
      </c>
      <c r="AQ12" s="3" t="str">
        <f t="shared" si="3"/>
        <v>-</v>
      </c>
      <c r="AR12" s="3" t="str">
        <f t="shared" si="4"/>
        <v>-</v>
      </c>
      <c r="AS12" s="3" t="str">
        <f t="shared" si="5"/>
        <v>-</v>
      </c>
      <c r="AT12" s="3">
        <f t="shared" si="6"/>
        <v>1</v>
      </c>
      <c r="AU12" s="3">
        <f t="shared" si="7"/>
        <v>1</v>
      </c>
      <c r="AV12" s="3" t="str">
        <f t="shared" si="8"/>
        <v>-</v>
      </c>
      <c r="AW12" s="3" t="str">
        <f t="shared" si="9"/>
        <v>-</v>
      </c>
      <c r="AX12" s="3">
        <f t="shared" si="10"/>
        <v>4</v>
      </c>
      <c r="AY12" s="3">
        <f t="shared" si="11"/>
        <v>5</v>
      </c>
      <c r="AZ12" s="3">
        <f t="shared" si="12"/>
        <v>1</v>
      </c>
      <c r="BA12" s="3">
        <f>IF(ISERROR(LEN(VLOOKUP(A12,Seqs!A:E,2,FALSE))-AL12),"-",LEN(VLOOKUP(A12,Seqs!A:E,2,FALSE))-AL12)</f>
        <v>51</v>
      </c>
      <c r="BB12" s="16">
        <f t="shared" si="13"/>
        <v>29</v>
      </c>
      <c r="BC12" s="9">
        <f t="shared" si="14"/>
        <v>19</v>
      </c>
      <c r="BD12" s="3">
        <f t="shared" si="15"/>
        <v>29</v>
      </c>
      <c r="BE12" s="3">
        <f t="shared" si="16"/>
        <v>48</v>
      </c>
    </row>
    <row r="13" spans="1:59" s="3" customFormat="1" x14ac:dyDescent="0.2">
      <c r="A13" s="3" t="s">
        <v>217</v>
      </c>
      <c r="B13" s="3" t="str">
        <f>LOWER(VLOOKUP(A13,Xtal_Templ!A:B,2,FALSE))</f>
        <v>5ht2a_human</v>
      </c>
      <c r="C13" s="3">
        <f>VLOOKUP($A13,'SegEnds_NonXtal_BW#'!$A:$Z,3,FALSE)+D13-50</f>
        <v>151</v>
      </c>
      <c r="D13" s="3">
        <v>174</v>
      </c>
      <c r="E13" s="3">
        <f>IF(ISERROR(VLOOKUP($A13,'SegEnds_NonXtal_BW#'!$A:$Z,4,FALSE)+VLOOKUP($A13,A:AL,4,FALSE)-50),"-",(VLOOKUP($A13,'SegEnds_NonXtal_BW#'!$A:$Z,4,FALSE)+VLOOKUP($A13,A:AL,4,FALSE)-50))</f>
        <v>184</v>
      </c>
      <c r="F13" s="3" t="str">
        <f>IF(ISERROR(VLOOKUP($A13,'SegEnds_NonXtal_BW#'!$A:$Z,5,FALSE)+VLOOKUP($A13,A:AL,7,FALSE)-50),"-",(VLOOKUP($A13,'SegEnds_NonXtal_BW#'!$A:$Z,5,FALSE)+VLOOKUP($A13,A:AL,7,FALSE)-50))</f>
        <v>-</v>
      </c>
      <c r="G13" s="3" t="s">
        <v>23</v>
      </c>
      <c r="H13" s="3" t="str">
        <f>IF(ISERROR(VLOOKUP($A13,'SegEnds_NonXtal_BW#'!$A:$Z,6,FALSE)+VLOOKUP($A13,A:AL,7,FALSE)-50),"-",(VLOOKUP($A13,'SegEnds_NonXtal_BW#'!$A:$Z,6,FALSE)+VLOOKUP($A13,A:AL,7,FALSE)-50))</f>
        <v>-</v>
      </c>
      <c r="I13" s="3">
        <f>VLOOKUP($A13,'SegEnds_NonXtal_BW#'!$A:$Z,7,FALSE)+J13-50</f>
        <v>190</v>
      </c>
      <c r="J13" s="3">
        <v>203</v>
      </c>
      <c r="K13" s="3">
        <f>VLOOKUP($A13,'SegEnds_NonXtal_BW#'!$A:$Z,8,FALSE)+VLOOKUP($A13,A:AL,10,FALSE)-50</f>
        <v>220</v>
      </c>
      <c r="L13" s="3" t="str">
        <f>IF(ISERROR(VLOOKUP($A13,'SegEnds_NonXtal_BW#'!$A:$Z,9,FALSE)+VLOOKUP($A13,A:AL,13,FALSE)-50),"-",(VLOOKUP($A13,'SegEnds_NonXtal_BW#'!$A:$Z,9,FALSE)+VLOOKUP($A13,A:AL,13,FALSE)-50))</f>
        <v>-</v>
      </c>
      <c r="M13" s="3" t="s">
        <v>23</v>
      </c>
      <c r="N13" s="3" t="str">
        <f>IF(ISERROR(VLOOKUP($A13,'SegEnds_NonXtal_BW#'!$A:$Z,10,FALSE)+VLOOKUP($A13,A:AL,13,FALSE)-50),"-",(VLOOKUP($A13,'SegEnds_NonXtal_BW#'!$A:$Z,10,FALSE)+VLOOKUP($A13,A:AL,13,FALSE)-50))</f>
        <v>-</v>
      </c>
      <c r="O13" s="3">
        <f>VLOOKUP($A13,'SegEnds_NonXtal_BW#'!$A:$Z,11,FALSE)+VLOOKUP($A13,A:AL,16,FALSE)-50</f>
        <v>224</v>
      </c>
      <c r="P13" s="3">
        <v>256</v>
      </c>
      <c r="Q13" s="3">
        <f>VLOOKUP($A13,'SegEnds_NonXtal_BW#'!$A:$Z,12,FALSE)+VLOOKUP($A13,A:AL,16,FALSE)-50</f>
        <v>262</v>
      </c>
      <c r="R13" s="3">
        <f>IF(ISERROR(VLOOKUP($A13,'SegEnds_NonXtal_BW#'!$A:$Z,13,FALSE)+VLOOKUP($A13,A:AL,19,FALSE)-50),"-",VLOOKUP($A13,'SegEnds_NonXtal_BW#'!$A:$Z,13,FALSE)+VLOOKUP($A13,A:AL,19,FALSE)-50)</f>
        <v>263</v>
      </c>
      <c r="S13" s="3">
        <v>263</v>
      </c>
      <c r="T13" s="100">
        <f>IF(ISERROR(VLOOKUP($A13,'SegEnds_NonXtal_BW#'!$A:$Z,14,FALSE)+VLOOKUP($A13,A:AL,19,FALSE)-50),"-",(VLOOKUP($A13,'SegEnds_NonXtal_BW#'!$A:$Z,14,FALSE)+VLOOKUP($A13,A:AL,19,FALSE)-50))</f>
        <v>269</v>
      </c>
      <c r="U13" s="9">
        <f>IF(ISERROR(VLOOKUP($A13,'SegEnds_NonXtal_BW#'!$A:$Z,15,FALSE)+VLOOKUP($A13,A:AL,22,FALSE)-50),"-",VLOOKUP($A13,'SegEnds_NonXtal_BW#'!$A:$Z,15,FALSE)+VLOOKUP($A13,A:AL,22,FALSE)-50)</f>
        <v>270</v>
      </c>
      <c r="V13" s="3">
        <v>282</v>
      </c>
      <c r="W13" s="3">
        <f>IF(ISERROR(VLOOKUP($A13,'SegEnds_NonXtal_BW#'!$A:$Z,16,FALSE)+VLOOKUP($A13,A:AL,22,FALSE)-50),"-",(VLOOKUP($A13,'SegEnds_NonXtal_BW#'!$A:$Z,16,FALSE)+VLOOKUP($A13,A:AL,22,FALSE)-50))</f>
        <v>299</v>
      </c>
      <c r="X13" s="3" t="str">
        <f>IF(ISERROR(VLOOKUP($A13,'SegEnds_NonXtal_BW#'!$A:$Z,17,FALSE)+VLOOKUP($A13,A:AL,25,FALSE)-50),"-",(VLOOKUP($A13,'SegEnds_NonXtal_BW#'!$A:$Z,17,FALSE)+VLOOKUP($A13,A:AL,25,FALSE)-50))</f>
        <v>-</v>
      </c>
      <c r="Y13" s="3" t="s">
        <v>23</v>
      </c>
      <c r="Z13" s="3" t="str">
        <f>IF(ISERROR(VLOOKUP($A13,'SegEnds_NonXtal_BW#'!$A:$Z,18,FALSE)+VLOOKUP($A13,A:AL,25,FALSE)-50),"-",(VLOOKUP($A13,'SegEnds_NonXtal_BW#'!$A:$Z,18,FALSE)+VLOOKUP($A13,A:AL,25,FALSE)-50))</f>
        <v>-</v>
      </c>
      <c r="AA13" s="3">
        <f>IF(ISERROR(VLOOKUP($A13,'SegEnds_NonXtal_BW#'!$A:$Z,19,FALSE)+VLOOKUP($A13,A:AL,28,FALSE)-50),"-",(VLOOKUP($A13,'SegEnds_NonXtal_BW#'!$A:$Z,19,FALSE)+VLOOKUP($A13,A:AL,28,FALSE)-50))</f>
        <v>310</v>
      </c>
      <c r="AB13" s="3">
        <v>325</v>
      </c>
      <c r="AC13" s="3">
        <f>IF(ISERROR((VLOOKUP($A13,'SegEnds_NonXtal_BW#'!$A:$Z,20,FALSE)+VLOOKUP($A13,A:AL,28,FALSE)-50)),"-",(VLOOKUP($A13,'SegEnds_NonXtal_BW#'!$A:$Z,20,FALSE)+VLOOKUP($A13,A:AL,28,FALSE)-50))</f>
        <v>342</v>
      </c>
      <c r="AD13" s="3">
        <f>IF(ISERROR(VLOOKUP($A13,'SegEnds_NonXtal_BW#'!$A:$Z,21,FALSE)+VLOOKUP($A13,A:AL,31,FALSE)-50),"-",(VLOOKUP($A13,'SegEnds_NonXtal_BW#'!$A:$Z,21,FALSE)+VLOOKUP($A13,A:AL,31,FALSE)-50))</f>
        <v>348</v>
      </c>
      <c r="AE13" s="3">
        <v>372</v>
      </c>
      <c r="AF13" s="3">
        <f>IF(ISERROR((VLOOKUP($A13,'SegEnds_NonXtal_BW#'!$A:$Z,22,FALSE)+VLOOKUP($A13,A:AL,31,FALSE)-50)),"-",(VLOOKUP($A13,'SegEnds_NonXtal_BW#'!$A:$Z,22,FALSE)+VLOOKUP($A13,A:AL,31,FALSE)-50))</f>
        <v>383</v>
      </c>
      <c r="AG13" s="3">
        <f>IF(ISERROR(VLOOKUP($A13,'SegEnds_NonXtal_BW#'!$A:$Z,23,FALSE)+VLOOKUP($A13,A:AL,34,FALSE)-50),"-",(VLOOKUP($A13,'SegEnds_NonXtal_BW#'!$A:$Z,23,FALSE)+VLOOKUP($A13,A:AL,34,FALSE)-50))</f>
        <v>388</v>
      </c>
      <c r="AH13" s="3">
        <v>411</v>
      </c>
      <c r="AI13" s="3">
        <f>IF(ISERROR((VLOOKUP($A13,'SegEnds_NonXtal_BW#'!$A:$Z,24,FALSE)+VLOOKUP($A13,A:AL,34,FALSE)-50)),"-",(VLOOKUP($A13,'SegEnds_NonXtal_BW#'!$A:$Z,24,FALSE)+VLOOKUP($A13,A:AL,34,FALSE)-50))</f>
        <v>417</v>
      </c>
      <c r="AJ13" s="3">
        <f>IF(ISERROR(VLOOKUP($A13,'SegEnds_NonXtal_BW#'!$A:$Z,25,FALSE)+VLOOKUP($A13,A:AL,37,FALSE)-50),"-",(VLOOKUP($A13,'SegEnds_NonXtal_BW#'!$A:$Z,25,FALSE)+VLOOKUP($A13,A:AL,37,FALSE)-50))</f>
        <v>418</v>
      </c>
      <c r="AK13" s="3">
        <v>421</v>
      </c>
      <c r="AL13" s="3">
        <f>IF(ISERROR((VLOOKUP($A13,'SegEnds_NonXtal_BW#'!$A:$Z,26,FALSE)+VLOOKUP($A13,A:AL,37,FALSE)-50)),"-",(VLOOKUP($A13,'SegEnds_NonXtal_BW#'!$A:$Z,26,FALSE)+VLOOKUP($A13,A:AL,37,FALSE)-50))</f>
        <v>431</v>
      </c>
      <c r="AM13" s="28" t="str">
        <f>VLOOKUP(A13,Classification!A:B,2,FALSE)</f>
        <v>A</v>
      </c>
      <c r="AN13" s="28" t="b">
        <f t="shared" si="17"/>
        <v>1</v>
      </c>
      <c r="AO13" s="3" t="str">
        <f>IF(ISERROR(MATCH(A13,'SegEnds_Xtal_Prot#'!B:B, 0)), "NoXtal", "Xtal")</f>
        <v>NoXtal</v>
      </c>
      <c r="AP13" s="3" t="str">
        <f t="shared" si="2"/>
        <v>-</v>
      </c>
      <c r="AQ13" s="3" t="str">
        <f t="shared" si="3"/>
        <v>-</v>
      </c>
      <c r="AR13" s="3" t="str">
        <f t="shared" si="4"/>
        <v>-</v>
      </c>
      <c r="AS13" s="3" t="str">
        <f t="shared" si="5"/>
        <v>-</v>
      </c>
      <c r="AT13" s="3">
        <f t="shared" si="6"/>
        <v>1</v>
      </c>
      <c r="AU13" s="3">
        <f t="shared" si="7"/>
        <v>1</v>
      </c>
      <c r="AV13" s="3" t="str">
        <f t="shared" si="8"/>
        <v>-</v>
      </c>
      <c r="AW13" s="3" t="str">
        <f t="shared" si="9"/>
        <v>-</v>
      </c>
      <c r="AX13" s="3">
        <f t="shared" si="10"/>
        <v>6</v>
      </c>
      <c r="AY13" s="3">
        <f t="shared" si="11"/>
        <v>5</v>
      </c>
      <c r="AZ13" s="3">
        <f t="shared" si="12"/>
        <v>1</v>
      </c>
      <c r="BA13" s="3">
        <f>IF(ISERROR(LEN(VLOOKUP(A13,Seqs!A:E,2,FALSE))-AL13),"-",LEN(VLOOKUP(A13,Seqs!A:E,2,FALSE))-AL13)</f>
        <v>31</v>
      </c>
      <c r="BB13" s="16">
        <f t="shared" si="13"/>
        <v>29</v>
      </c>
      <c r="BC13" s="9">
        <f t="shared" si="14"/>
        <v>19</v>
      </c>
      <c r="BD13" s="3">
        <f t="shared" si="15"/>
        <v>29</v>
      </c>
      <c r="BE13" s="3">
        <f t="shared" si="16"/>
        <v>47</v>
      </c>
    </row>
    <row r="14" spans="1:59" s="3" customFormat="1" x14ac:dyDescent="0.2">
      <c r="A14" s="3" t="s">
        <v>222</v>
      </c>
      <c r="B14" s="3" t="str">
        <f>LOWER(VLOOKUP(A14,Xtal_Templ!A:B,2,FALSE))</f>
        <v>agtr2_human</v>
      </c>
      <c r="C14" s="3">
        <f>VLOOKUP($A14,'SegEnds_NonXtal_BW#'!$A:$Z,3,FALSE)+D14-50</f>
        <v>37</v>
      </c>
      <c r="D14" s="3">
        <v>54</v>
      </c>
      <c r="E14" s="3">
        <f>IF(ISERROR(VLOOKUP($A14,'SegEnds_NonXtal_BW#'!$A:$Z,4,FALSE)+VLOOKUP($A14,A:AL,4,FALSE)-50),"-",(VLOOKUP($A14,'SegEnds_NonXtal_BW#'!$A:$Z,4,FALSE)+VLOOKUP($A14,A:AL,4,FALSE)-50))</f>
        <v>64</v>
      </c>
      <c r="F14" s="3" t="str">
        <f>IF(ISERROR(VLOOKUP($A14,'SegEnds_NonXtal_BW#'!$A:$Z,5,FALSE)+VLOOKUP($A14,A:AL,7,FALSE)-50),"-",(VLOOKUP($A14,'SegEnds_NonXtal_BW#'!$A:$Z,5,FALSE)+VLOOKUP($A14,A:AL,7,FALSE)-50))</f>
        <v>-</v>
      </c>
      <c r="G14" s="3" t="s">
        <v>23</v>
      </c>
      <c r="H14" s="3" t="str">
        <f>IF(ISERROR(VLOOKUP($A14,'SegEnds_NonXtal_BW#'!$A:$Z,6,FALSE)+VLOOKUP($A14,A:AL,7,FALSE)-50),"-",(VLOOKUP($A14,'SegEnds_NonXtal_BW#'!$A:$Z,6,FALSE)+VLOOKUP($A14,A:AL,7,FALSE)-50))</f>
        <v>-</v>
      </c>
      <c r="I14" s="3">
        <f>VLOOKUP($A14,'SegEnds_NonXtal_BW#'!$A:$Z,7,FALSE)+J14-50</f>
        <v>71</v>
      </c>
      <c r="J14" s="3">
        <v>84</v>
      </c>
      <c r="K14" s="3">
        <f>VLOOKUP($A14,'SegEnds_NonXtal_BW#'!$A:$Z,8,FALSE)+VLOOKUP($A14,A:AL,10,FALSE)-50</f>
        <v>100</v>
      </c>
      <c r="L14" s="3">
        <f>M14-1</f>
        <v>103</v>
      </c>
      <c r="M14" s="3">
        <v>104</v>
      </c>
      <c r="N14" s="3">
        <f>M14+2</f>
        <v>106</v>
      </c>
      <c r="O14" s="3">
        <f t="shared" ref="O14:O28" si="22">N14+1</f>
        <v>107</v>
      </c>
      <c r="P14" s="3">
        <v>136</v>
      </c>
      <c r="Q14" s="3">
        <f>VLOOKUP($A14,'SegEnds_NonXtal_BW#'!$A:$Z,12,FALSE)+VLOOKUP($A14,A:AL,16,FALSE)-50</f>
        <v>142</v>
      </c>
      <c r="R14" s="3">
        <f>IF(ISERROR(VLOOKUP($A14,'SegEnds_NonXtal_BW#'!$A:$Z,13,FALSE)+VLOOKUP($A14,A:AL,19,FALSE)-50),"-",VLOOKUP($A14,'SegEnds_NonXtal_BW#'!$A:$Z,13,FALSE)+VLOOKUP($A14,A:AL,19,FALSE)-50)</f>
        <v>143</v>
      </c>
      <c r="S14" s="3">
        <v>143</v>
      </c>
      <c r="T14" s="100">
        <f>IF(ISERROR(VLOOKUP($A14,'SegEnds_NonXtal_BW#'!$A:$Z,14,FALSE)+VLOOKUP($A14,A:AL,19,FALSE)-50),"-",(VLOOKUP($A14,'SegEnds_NonXtal_BW#'!$A:$Z,14,FALSE)+VLOOKUP($A14,A:AL,19,FALSE)-50))</f>
        <v>149</v>
      </c>
      <c r="U14" s="9">
        <f>IF(ISERROR(VLOOKUP($A14,'SegEnds_NonXtal_BW#'!$A:$Z,15,FALSE)+VLOOKUP($A14,A:AL,22,FALSE)-50),"-",VLOOKUP($A14,'SegEnds_NonXtal_BW#'!$A:$Z,15,FALSE)+VLOOKUP($A14,A:AL,22,FALSE)-50)</f>
        <v>150</v>
      </c>
      <c r="V14" s="3">
        <v>162</v>
      </c>
      <c r="W14" s="3">
        <f>IF(ISERROR(VLOOKUP($A14,'SegEnds_NonXtal_BW#'!$A:$Z,16,FALSE)+VLOOKUP($A14,A:AL,22,FALSE)-50),"-",(VLOOKUP($A14,'SegEnds_NonXtal_BW#'!$A:$Z,16,FALSE)+VLOOKUP($A14,A:AL,22,FALSE)-50))</f>
        <v>176</v>
      </c>
      <c r="X14" s="3">
        <f>IF(ISERROR(VLOOKUP($A14,'SegEnds_NonXtal_BW#'!$A:$Z,17,FALSE)+VLOOKUP($A14,A:AL,25,FALSE)-50),"-",(VLOOKUP($A14,'SegEnds_NonXtal_BW#'!$A:$Z,17,FALSE)+VLOOKUP($A14,A:AL,25,FALSE)-50))</f>
        <v>187</v>
      </c>
      <c r="Y14" s="3">
        <v>187</v>
      </c>
      <c r="Z14" s="3">
        <f>Y14+2</f>
        <v>189</v>
      </c>
      <c r="AA14" s="3">
        <f>IF(ISERROR(VLOOKUP($A14,'SegEnds_NonXtal_BW#'!$A:$Z,19,FALSE)+VLOOKUP($A14,A:AL,28,FALSE)-50),"-",(VLOOKUP($A14,'SegEnds_NonXtal_BW#'!$A:$Z,19,FALSE)+VLOOKUP($A14,A:AL,28,FALSE)-50))</f>
        <v>194</v>
      </c>
      <c r="AB14" s="3">
        <v>214</v>
      </c>
      <c r="AC14" s="3">
        <f>IF(ISERROR((VLOOKUP($A14,'SegEnds_NonXtal_BW#'!$A:$Z,20,FALSE)+VLOOKUP($A14,A:AL,28,FALSE)-50)),"-",(VLOOKUP($A14,'SegEnds_NonXtal_BW#'!$A:$Z,20,FALSE)+VLOOKUP($A14,A:AL,28,FALSE)-50))</f>
        <v>232</v>
      </c>
      <c r="AD14" s="3">
        <f>IF(ISERROR(VLOOKUP($A14,'SegEnds_NonXtal_BW#'!$A:$Z,21,FALSE)+VLOOKUP($A14,A:AL,31,FALSE)-50),"-",(VLOOKUP($A14,'SegEnds_NonXtal_BW#'!$A:$Z,21,FALSE)+VLOOKUP($A14,A:AL,31,FALSE)-50))</f>
        <v>238</v>
      </c>
      <c r="AE14" s="3">
        <v>265</v>
      </c>
      <c r="AF14" s="3">
        <f>IF(ISERROR((VLOOKUP($A14,'SegEnds_NonXtal_BW#'!$A:$Z,22,FALSE)+VLOOKUP($A14,A:AL,31,FALSE)-50)),"-",(VLOOKUP($A14,'SegEnds_NonXtal_BW#'!$A:$Z,22,FALSE)+VLOOKUP($A14,A:AL,31,FALSE)-50))</f>
        <v>276</v>
      </c>
      <c r="AG14" s="3">
        <f>IF(ISERROR(VLOOKUP($A14,'SegEnds_NonXtal_BW#'!$A:$Z,23,FALSE)+VLOOKUP($A14,A:AL,34,FALSE)-50),"-",(VLOOKUP($A14,'SegEnds_NonXtal_BW#'!$A:$Z,23,FALSE)+VLOOKUP($A14,A:AL,34,FALSE)-50))</f>
        <v>278</v>
      </c>
      <c r="AH14" s="3">
        <v>303</v>
      </c>
      <c r="AI14" s="3">
        <f>IF(ISERROR((VLOOKUP($A14,'SegEnds_NonXtal_BW#'!$A:$Z,24,FALSE)+VLOOKUP($A14,A:AL,34,FALSE)-50)),"-",(VLOOKUP($A14,'SegEnds_NonXtal_BW#'!$A:$Z,24,FALSE)+VLOOKUP($A14,A:AL,34,FALSE)-50))</f>
        <v>309</v>
      </c>
      <c r="AJ14" s="3">
        <f>IF(ISERROR(VLOOKUP($A14,'SegEnds_NonXtal_BW#'!$A:$Z,25,FALSE)+VLOOKUP($A14,A:AL,37,FALSE)-50),"-",(VLOOKUP($A14,'SegEnds_NonXtal_BW#'!$A:$Z,25,FALSE)+VLOOKUP($A14,A:AL,37,FALSE)-50))</f>
        <v>310</v>
      </c>
      <c r="AK14" s="3">
        <v>313</v>
      </c>
      <c r="AL14" s="3">
        <f>IF(ISERROR((VLOOKUP($A14,'SegEnds_NonXtal_BW#'!$A:$Z,26,FALSE)+VLOOKUP($A14,A:AL,37,FALSE)-50)),"-",(VLOOKUP($A14,'SegEnds_NonXtal_BW#'!$A:$Z,26,FALSE)+VLOOKUP($A14,A:AL,37,FALSE)-50))</f>
        <v>324</v>
      </c>
      <c r="AM14" s="28" t="str">
        <f>VLOOKUP(A14,Classification!A:B,2,FALSE)</f>
        <v>A</v>
      </c>
      <c r="AN14" s="28" t="b">
        <f t="shared" si="17"/>
        <v>1</v>
      </c>
      <c r="AO14" s="3" t="str">
        <f>IF(ISERROR(MATCH(A14,'SegEnds_Xtal_Prot#'!B:B, 0)), "NoXtal", "Xtal")</f>
        <v>NoXtal</v>
      </c>
      <c r="AP14" s="3" t="str">
        <f t="shared" si="2"/>
        <v>-</v>
      </c>
      <c r="AQ14" s="3" t="str">
        <f t="shared" si="3"/>
        <v>-</v>
      </c>
      <c r="AR14" s="3">
        <f t="shared" si="4"/>
        <v>3</v>
      </c>
      <c r="AS14" s="3">
        <f t="shared" si="5"/>
        <v>1</v>
      </c>
      <c r="AT14" s="3">
        <f t="shared" si="6"/>
        <v>1</v>
      </c>
      <c r="AU14" s="3">
        <f t="shared" si="7"/>
        <v>1</v>
      </c>
      <c r="AV14" s="3">
        <f t="shared" si="8"/>
        <v>11</v>
      </c>
      <c r="AW14" s="3">
        <f t="shared" si="9"/>
        <v>5</v>
      </c>
      <c r="AX14" s="3">
        <f t="shared" si="10"/>
        <v>6</v>
      </c>
      <c r="AY14" s="3">
        <f t="shared" si="11"/>
        <v>2</v>
      </c>
      <c r="AZ14" s="3">
        <f t="shared" si="12"/>
        <v>1</v>
      </c>
      <c r="BA14" s="3">
        <f>IF(ISERROR(LEN(VLOOKUP(A14,Seqs!A:E,2,FALSE))-AL14),"-",LEN(VLOOKUP(A14,Seqs!A:E,2,FALSE))-AL14)</f>
        <v>95</v>
      </c>
      <c r="BB14" s="16">
        <f t="shared" si="13"/>
        <v>30</v>
      </c>
      <c r="BC14" s="9">
        <f t="shared" si="14"/>
        <v>19</v>
      </c>
      <c r="BD14" s="3">
        <f t="shared" si="15"/>
        <v>30</v>
      </c>
      <c r="BE14" s="3">
        <f t="shared" si="16"/>
        <v>51</v>
      </c>
    </row>
    <row r="15" spans="1:59" s="3" customFormat="1" x14ac:dyDescent="0.2">
      <c r="A15" s="3" t="s">
        <v>230</v>
      </c>
      <c r="B15" s="3" t="str">
        <f>LOWER(VLOOKUP(A15,Xtal_Templ!A:B,2,FALSE))</f>
        <v>p2ry1_human</v>
      </c>
      <c r="C15" s="3">
        <f>VLOOKUP($A15,'SegEnds_NonXtal_BW#'!$A:$Z,3,FALSE)+D15-50</f>
        <v>17</v>
      </c>
      <c r="D15" s="3">
        <v>37</v>
      </c>
      <c r="E15" s="3">
        <f>IF(ISERROR(VLOOKUP($A15,'SegEnds_NonXtal_BW#'!$A:$Z,4,FALSE)+VLOOKUP($A15,A:AL,4,FALSE)-50),"-",(VLOOKUP($A15,'SegEnds_NonXtal_BW#'!$A:$Z,4,FALSE)+VLOOKUP($A15,A:AL,4,FALSE)-50))</f>
        <v>47</v>
      </c>
      <c r="F15" s="3" t="str">
        <f>IF(ISERROR(VLOOKUP($A15,'SegEnds_NonXtal_BW#'!$A:$Z,5,FALSE)+VLOOKUP($A15,A:AL,7,FALSE)-50),"-",(VLOOKUP($A15,'SegEnds_NonXtal_BW#'!$A:$Z,5,FALSE)+VLOOKUP($A15,A:AL,7,FALSE)-50))</f>
        <v>-</v>
      </c>
      <c r="G15" s="3" t="s">
        <v>23</v>
      </c>
      <c r="H15" s="3" t="str">
        <f>IF(ISERROR(VLOOKUP($A15,'SegEnds_NonXtal_BW#'!$A:$Z,6,FALSE)+VLOOKUP($A15,A:AL,7,FALSE)-50),"-",(VLOOKUP($A15,'SegEnds_NonXtal_BW#'!$A:$Z,6,FALSE)+VLOOKUP($A15,A:AL,7,FALSE)-50))</f>
        <v>-</v>
      </c>
      <c r="I15" s="3">
        <f>VLOOKUP($A15,'SegEnds_NonXtal_BW#'!$A:$Z,7,FALSE)+J15-50</f>
        <v>52</v>
      </c>
      <c r="J15" s="3">
        <v>65</v>
      </c>
      <c r="K15" s="3">
        <f>VLOOKUP($A15,'SegEnds_NonXtal_BW#'!$A:$Z,8,FALSE)+VLOOKUP($A15,A:AL,10,FALSE)-50</f>
        <v>81</v>
      </c>
      <c r="L15" s="3">
        <f>M15-1</f>
        <v>83</v>
      </c>
      <c r="M15" s="3">
        <v>84</v>
      </c>
      <c r="N15" s="3">
        <f>M15+2</f>
        <v>86</v>
      </c>
      <c r="O15" s="3">
        <f t="shared" si="22"/>
        <v>87</v>
      </c>
      <c r="P15" s="3">
        <v>116</v>
      </c>
      <c r="Q15" s="3">
        <f>VLOOKUP($A15,'SegEnds_NonXtal_BW#'!$A:$Z,12,FALSE)+VLOOKUP($A15,A:AL,16,FALSE)-50</f>
        <v>122</v>
      </c>
      <c r="R15" s="3">
        <f>IF(ISERROR(VLOOKUP($A15,'SegEnds_NonXtal_BW#'!$A:$Z,13,FALSE)+VLOOKUP($A15,A:AL,19,FALSE)-50),"-",VLOOKUP($A15,'SegEnds_NonXtal_BW#'!$A:$Z,13,FALSE)+VLOOKUP($A15,A:AL,19,FALSE)-50)</f>
        <v>123</v>
      </c>
      <c r="S15" s="3">
        <v>123</v>
      </c>
      <c r="T15" s="100">
        <f>IF(ISERROR(VLOOKUP($A15,'SegEnds_NonXtal_BW#'!$A:$Z,14,FALSE)+VLOOKUP($A15,A:AL,19,FALSE)-50),"-",(VLOOKUP($A15,'SegEnds_NonXtal_BW#'!$A:$Z,14,FALSE)+VLOOKUP($A15,A:AL,19,FALSE)-50))</f>
        <v>129</v>
      </c>
      <c r="U15" s="9">
        <f>IF(ISERROR(VLOOKUP($A15,'SegEnds_NonXtal_BW#'!$A:$Z,15,FALSE)+VLOOKUP($A15,A:AL,22,FALSE)-50),"-",VLOOKUP($A15,'SegEnds_NonXtal_BW#'!$A:$Z,15,FALSE)+VLOOKUP($A15,A:AL,22,FALSE)-50)</f>
        <v>130</v>
      </c>
      <c r="V15" s="3">
        <v>142</v>
      </c>
      <c r="W15" s="3">
        <f>IF(ISERROR(VLOOKUP($A15,'SegEnds_NonXtal_BW#'!$A:$Z,16,FALSE)+VLOOKUP($A15,A:AL,22,FALSE)-50),"-",(VLOOKUP($A15,'SegEnds_NonXtal_BW#'!$A:$Z,16,FALSE)+VLOOKUP($A15,A:AL,22,FALSE)-50))</f>
        <v>156</v>
      </c>
      <c r="X15" s="3">
        <f>IF(ISERROR(VLOOKUP($A15,'SegEnds_NonXtal_BW#'!$A:$Z,17,FALSE)+VLOOKUP($A15,A:AL,25,FALSE)-50),"-",(VLOOKUP($A15,'SegEnds_NonXtal_BW#'!$A:$Z,17,FALSE)+VLOOKUP($A15,A:AL,25,FALSE)-50))</f>
        <v>168</v>
      </c>
      <c r="Y15" s="3">
        <v>168</v>
      </c>
      <c r="Z15" s="3">
        <f>Y15+2</f>
        <v>170</v>
      </c>
      <c r="AA15" s="3">
        <f>IF(ISERROR(VLOOKUP($A15,'SegEnds_NonXtal_BW#'!$A:$Z,19,FALSE)+VLOOKUP($A15,A:AL,28,FALSE)-50),"-",(VLOOKUP($A15,'SegEnds_NonXtal_BW#'!$A:$Z,19,FALSE)+VLOOKUP($A15,A:AL,28,FALSE)-50))</f>
        <v>179</v>
      </c>
      <c r="AB15" s="3">
        <v>197</v>
      </c>
      <c r="AC15" s="3">
        <f>IF(ISERROR((VLOOKUP($A15,'SegEnds_NonXtal_BW#'!$A:$Z,20,FALSE)+VLOOKUP($A15,A:AL,28,FALSE)-50)),"-",(VLOOKUP($A15,'SegEnds_NonXtal_BW#'!$A:$Z,20,FALSE)+VLOOKUP($A15,A:AL,28,FALSE)-50))</f>
        <v>215</v>
      </c>
      <c r="AD15" s="3">
        <f>IF(ISERROR(VLOOKUP($A15,'SegEnds_NonXtal_BW#'!$A:$Z,21,FALSE)+VLOOKUP($A15,A:AL,31,FALSE)-50),"-",(VLOOKUP($A15,'SegEnds_NonXtal_BW#'!$A:$Z,21,FALSE)+VLOOKUP($A15,A:AL,31,FALSE)-50))</f>
        <v>219</v>
      </c>
      <c r="AE15" s="3">
        <v>245</v>
      </c>
      <c r="AF15" s="3">
        <f>IF(ISERROR((VLOOKUP($A15,'SegEnds_NonXtal_BW#'!$A:$Z,22,FALSE)+VLOOKUP($A15,A:AL,31,FALSE)-50)),"-",(VLOOKUP($A15,'SegEnds_NonXtal_BW#'!$A:$Z,22,FALSE)+VLOOKUP($A15,A:AL,31,FALSE)-50))</f>
        <v>259</v>
      </c>
      <c r="AG15" s="3">
        <f>IF(ISERROR(VLOOKUP($A15,'SegEnds_NonXtal_BW#'!$A:$Z,23,FALSE)+VLOOKUP($A15,A:AL,34,FALSE)-50),"-",(VLOOKUP($A15,'SegEnds_NonXtal_BW#'!$A:$Z,23,FALSE)+VLOOKUP($A15,A:AL,34,FALSE)-50))</f>
        <v>263</v>
      </c>
      <c r="AH15" s="3">
        <v>289</v>
      </c>
      <c r="AI15" s="3">
        <f>IF(ISERROR((VLOOKUP($A15,'SegEnds_NonXtal_BW#'!$A:$Z,24,FALSE)+VLOOKUP($A15,A:AL,34,FALSE)-50)),"-",(VLOOKUP($A15,'SegEnds_NonXtal_BW#'!$A:$Z,24,FALSE)+VLOOKUP($A15,A:AL,34,FALSE)-50))</f>
        <v>295</v>
      </c>
      <c r="AJ15" s="3">
        <f>IF(ISERROR(VLOOKUP($A15,'SegEnds_NonXtal_BW#'!$A:$Z,25,FALSE)+VLOOKUP($A15,A:AL,37,FALSE)-50),"-",(VLOOKUP($A15,'SegEnds_NonXtal_BW#'!$A:$Z,25,FALSE)+VLOOKUP($A15,A:AL,37,FALSE)-50))</f>
        <v>296</v>
      </c>
      <c r="AK15" s="3">
        <v>299</v>
      </c>
      <c r="AL15" s="3">
        <f>IF(ISERROR((VLOOKUP($A15,'SegEnds_NonXtal_BW#'!$A:$Z,26,FALSE)+VLOOKUP($A15,A:AL,37,FALSE)-50)),"-",(VLOOKUP($A15,'SegEnds_NonXtal_BW#'!$A:$Z,26,FALSE)+VLOOKUP($A15,A:AL,37,FALSE)-50))</f>
        <v>308</v>
      </c>
      <c r="AM15" s="28" t="str">
        <f>VLOOKUP(A15,Classification!A:B,2,FALSE)</f>
        <v>A</v>
      </c>
      <c r="AN15" s="28" t="b">
        <f t="shared" si="17"/>
        <v>1</v>
      </c>
      <c r="AO15" s="3" t="str">
        <f>IF(ISERROR(MATCH(A15,'SegEnds_Xtal_Prot#'!B:B, 0)), "NoXtal", "Xtal")</f>
        <v>NoXtal</v>
      </c>
      <c r="AP15" s="3" t="str">
        <f t="shared" si="2"/>
        <v>-</v>
      </c>
      <c r="AQ15" s="3" t="str">
        <f t="shared" si="3"/>
        <v>-</v>
      </c>
      <c r="AR15" s="3">
        <f t="shared" si="4"/>
        <v>2</v>
      </c>
      <c r="AS15" s="3">
        <f t="shared" si="5"/>
        <v>1</v>
      </c>
      <c r="AT15" s="3">
        <f t="shared" si="6"/>
        <v>1</v>
      </c>
      <c r="AU15" s="3">
        <f t="shared" si="7"/>
        <v>1</v>
      </c>
      <c r="AV15" s="3">
        <f t="shared" si="8"/>
        <v>12</v>
      </c>
      <c r="AW15" s="3">
        <f t="shared" si="9"/>
        <v>9</v>
      </c>
      <c r="AX15" s="3">
        <f t="shared" si="10"/>
        <v>4</v>
      </c>
      <c r="AY15" s="3">
        <f t="shared" si="11"/>
        <v>4</v>
      </c>
      <c r="AZ15" s="3">
        <f t="shared" si="12"/>
        <v>1</v>
      </c>
      <c r="BA15" s="3">
        <f>IF(ISERROR(LEN(VLOOKUP(A15,Seqs!A:E,2,FALSE))-AL15),"-",LEN(VLOOKUP(A15,Seqs!A:E,2,FALSE))-AL15)</f>
        <v>25</v>
      </c>
      <c r="BB15" s="16">
        <f t="shared" si="13"/>
        <v>28</v>
      </c>
      <c r="BC15" s="9">
        <f t="shared" si="14"/>
        <v>19</v>
      </c>
      <c r="BD15" s="3">
        <f t="shared" si="15"/>
        <v>28</v>
      </c>
      <c r="BE15" s="3">
        <f t="shared" si="16"/>
        <v>48</v>
      </c>
      <c r="BF15" s="3">
        <f>AH15-AE15</f>
        <v>44</v>
      </c>
    </row>
    <row r="16" spans="1:59" s="3" customFormat="1" x14ac:dyDescent="0.2">
      <c r="A16" s="3" t="s">
        <v>103</v>
      </c>
      <c r="B16" s="3" t="str">
        <f>LOWER(VLOOKUP(A16,Xtal_Templ!A:B,2,FALSE))</f>
        <v>lpar1_human</v>
      </c>
      <c r="C16" s="3">
        <f>VLOOKUP($A16,'SegEnds_NonXtal_BW#'!$A:$Z,3,FALSE)+D16-50</f>
        <v>47</v>
      </c>
      <c r="D16" s="3">
        <v>67</v>
      </c>
      <c r="E16" s="3">
        <f>IF(ISERROR(VLOOKUP($A16,'SegEnds_NonXtal_BW#'!$A:$Z,4,FALSE)+VLOOKUP($A16,A:AL,4,FALSE)-50),"-",(VLOOKUP($A16,'SegEnds_NonXtal_BW#'!$A:$Z,4,FALSE)+VLOOKUP($A16,A:AL,4,FALSE)-50))</f>
        <v>77</v>
      </c>
      <c r="F16" s="3">
        <f t="shared" ref="F16:F26" si="23">G16-2</f>
        <v>78</v>
      </c>
      <c r="G16" s="3">
        <v>80</v>
      </c>
      <c r="H16" s="3">
        <f t="shared" ref="H16:I26" si="24">G16+1</f>
        <v>81</v>
      </c>
      <c r="I16" s="3">
        <f t="shared" si="24"/>
        <v>82</v>
      </c>
      <c r="J16" s="3">
        <v>95</v>
      </c>
      <c r="K16" s="3">
        <f>VLOOKUP($A16,'SegEnds_NonXtal_BW#'!$A:$Z,8,FALSE)+VLOOKUP($A16,A:AL,10,FALSE)-50</f>
        <v>108</v>
      </c>
      <c r="L16" s="3">
        <f>M16-3</f>
        <v>110</v>
      </c>
      <c r="M16" s="3">
        <v>113</v>
      </c>
      <c r="N16" s="3">
        <f>M16+3</f>
        <v>116</v>
      </c>
      <c r="O16" s="3">
        <f t="shared" si="22"/>
        <v>117</v>
      </c>
      <c r="P16" s="3">
        <v>146</v>
      </c>
      <c r="Q16" s="3">
        <f>VLOOKUP($A16,'SegEnds_NonXtal_BW#'!$A:$Z,12,FALSE)+VLOOKUP($A16,A:AL,16,FALSE)-50</f>
        <v>152</v>
      </c>
      <c r="R16" s="3">
        <f>IF(ISERROR(VLOOKUP($A16,'SegEnds_NonXtal_BW#'!$A:$Z,13,FALSE)+VLOOKUP($A16,A:AL,19,FALSE)-50),"-",VLOOKUP($A16,'SegEnds_NonXtal_BW#'!$A:$Z,13,FALSE)+VLOOKUP($A16,A:AL,19,FALSE)-50)</f>
        <v>153</v>
      </c>
      <c r="S16" s="3">
        <v>153</v>
      </c>
      <c r="T16" s="100">
        <f>IF(ISERROR(VLOOKUP($A16,'SegEnds_NonXtal_BW#'!$A:$Z,14,FALSE)+VLOOKUP($A16,A:AL,19,FALSE)-50),"-",(VLOOKUP($A16,'SegEnds_NonXtal_BW#'!$A:$Z,14,FALSE)+VLOOKUP($A16,A:AL,19,FALSE)-50))</f>
        <v>159</v>
      </c>
      <c r="U16" s="9">
        <f>IF(ISERROR(VLOOKUP($A16,'SegEnds_NonXtal_BW#'!$A:$Z,15,FALSE)+VLOOKUP($A16,A:AL,22,FALSE)-50),"-",VLOOKUP($A16,'SegEnds_NonXtal_BW#'!$A:$Z,15,FALSE)+VLOOKUP($A16,A:AL,22,FALSE)-50)</f>
        <v>160</v>
      </c>
      <c r="V16" s="3">
        <v>172</v>
      </c>
      <c r="W16" s="3">
        <f>IF(ISERROR(VLOOKUP($A16,'SegEnds_NonXtal_BW#'!$A:$Z,16,FALSE)+VLOOKUP($A16,A:AL,22,FALSE)-50),"-",(VLOOKUP($A16,'SegEnds_NonXtal_BW#'!$A:$Z,16,FALSE)+VLOOKUP($A16,A:AL,22,FALSE)-50))</f>
        <v>185</v>
      </c>
      <c r="X16" s="3" t="str">
        <f>IF(ISERROR(VLOOKUP($A16,'SegEnds_NonXtal_BW#'!$A:$Z,17,FALSE)+VLOOKUP($A16,A:AL,25,FALSE)-50),"-",(VLOOKUP($A16,'SegEnds_NonXtal_BW#'!$A:$Z,17,FALSE)+VLOOKUP($A16,A:AL,25,FALSE)-50))</f>
        <v>-</v>
      </c>
      <c r="Y16" s="3" t="s">
        <v>23</v>
      </c>
      <c r="Z16" s="3" t="str">
        <f>IF(ISERROR(VLOOKUP($A16,'SegEnds_NonXtal_BW#'!$A:$Z,18,FALSE)+VLOOKUP($A16,A:AL,25,FALSE)-50),"-",(VLOOKUP($A16,'SegEnds_NonXtal_BW#'!$A:$Z,18,FALSE)+VLOOKUP($A16,A:AL,25,FALSE)-50))</f>
        <v>-</v>
      </c>
      <c r="AA16" s="3">
        <f>IF(ISERROR(VLOOKUP($A16,'SegEnds_NonXtal_BW#'!$A:$Z,19,FALSE)+VLOOKUP($A16,A:AL,28,FALSE)-50),"-",(VLOOKUP($A16,'SegEnds_NonXtal_BW#'!$A:$Z,19,FALSE)+VLOOKUP($A16,A:AL,28,FALSE)-50))</f>
        <v>203</v>
      </c>
      <c r="AB16" s="3">
        <v>217</v>
      </c>
      <c r="AC16" s="3">
        <f>IF(ISERROR((VLOOKUP($A16,'SegEnds_NonXtal_BW#'!$A:$Z,20,FALSE)+VLOOKUP($A16,A:AL,28,FALSE)-50)),"-",(VLOOKUP($A16,'SegEnds_NonXtal_BW#'!$A:$Z,20,FALSE)+VLOOKUP($A16,A:AL,28,FALSE)-50))</f>
        <v>240</v>
      </c>
      <c r="AD16" s="3">
        <f>IF(ISERROR(VLOOKUP($A16,'SegEnds_NonXtal_BW#'!$A:$Z,21,FALSE)+VLOOKUP($A16,A:AL,31,FALSE)-50),"-",(VLOOKUP($A16,'SegEnds_NonXtal_BW#'!$A:$Z,21,FALSE)+VLOOKUP($A16,A:AL,31,FALSE)-50))</f>
        <v>245</v>
      </c>
      <c r="AE16" s="3">
        <v>273</v>
      </c>
      <c r="AF16" s="3">
        <f>IF(ISERROR((VLOOKUP($A16,'SegEnds_NonXtal_BW#'!$A:$Z,22,FALSE)+VLOOKUP($A16,A:AL,31,FALSE)-50)),"-",(VLOOKUP($A16,'SegEnds_NonXtal_BW#'!$A:$Z,22,FALSE)+VLOOKUP($A16,A:AL,31,FALSE)-50))</f>
        <v>284</v>
      </c>
      <c r="AG16" s="3">
        <f>IF(ISERROR(VLOOKUP($A16,'SegEnds_NonXtal_BW#'!$A:$Z,23,FALSE)+VLOOKUP($A16,A:AL,34,FALSE)-50),"-",(VLOOKUP($A16,'SegEnds_NonXtal_BW#'!$A:$Z,23,FALSE)+VLOOKUP($A16,A:AL,34,FALSE)-50))</f>
        <v>288</v>
      </c>
      <c r="AH16" s="3">
        <v>308</v>
      </c>
      <c r="AI16" s="3">
        <f>IF(ISERROR((VLOOKUP($A16,'SegEnds_NonXtal_BW#'!$A:$Z,24,FALSE)+VLOOKUP($A16,A:AL,34,FALSE)-50)),"-",(VLOOKUP($A16,'SegEnds_NonXtal_BW#'!$A:$Z,24,FALSE)+VLOOKUP($A16,A:AL,34,FALSE)-50))</f>
        <v>314</v>
      </c>
      <c r="AJ16" s="3">
        <f>IF(ISERROR(VLOOKUP($A16,'SegEnds_NonXtal_BW#'!$A:$Z,25,FALSE)+VLOOKUP($A16,A:AL,37,FALSE)-50),"-",(VLOOKUP($A16,'SegEnds_NonXtal_BW#'!$A:$Z,25,FALSE)+VLOOKUP($A16,A:AL,37,FALSE)-50))</f>
        <v>315</v>
      </c>
      <c r="AK16" s="3">
        <v>318</v>
      </c>
      <c r="AL16" s="3">
        <f>IF(ISERROR((VLOOKUP($A16,'SegEnds_NonXtal_BW#'!$A:$Z,26,FALSE)+VLOOKUP($A16,A:AL,37,FALSE)-50)),"-",(VLOOKUP($A16,'SegEnds_NonXtal_BW#'!$A:$Z,26,FALSE)+VLOOKUP($A16,A:AL,37,FALSE)-50))</f>
        <v>327</v>
      </c>
      <c r="AM16" s="28" t="str">
        <f>VLOOKUP(A16,Classification!A:B,2,FALSE)</f>
        <v>A</v>
      </c>
      <c r="AN16" s="28" t="b">
        <f t="shared" si="17"/>
        <v>1</v>
      </c>
      <c r="AO16" s="3" t="str">
        <f>IF(ISERROR(MATCH(A16,'SegEnds_Xtal_Prot#'!B:B, 0)), "NoXtal", "Xtal")</f>
        <v>Xtal</v>
      </c>
      <c r="AP16" s="3">
        <f t="shared" si="2"/>
        <v>1</v>
      </c>
      <c r="AQ16" s="3">
        <f t="shared" si="3"/>
        <v>1</v>
      </c>
      <c r="AR16" s="3">
        <f t="shared" si="4"/>
        <v>2</v>
      </c>
      <c r="AS16" s="3">
        <f t="shared" si="5"/>
        <v>1</v>
      </c>
      <c r="AT16" s="3">
        <f t="shared" si="6"/>
        <v>1</v>
      </c>
      <c r="AU16" s="3">
        <f t="shared" si="7"/>
        <v>1</v>
      </c>
      <c r="AV16" s="3" t="str">
        <f t="shared" si="8"/>
        <v>-</v>
      </c>
      <c r="AW16" s="3" t="str">
        <f t="shared" si="9"/>
        <v>-</v>
      </c>
      <c r="AX16" s="3">
        <f t="shared" si="10"/>
        <v>5</v>
      </c>
      <c r="AY16" s="3">
        <f t="shared" si="11"/>
        <v>4</v>
      </c>
      <c r="AZ16" s="3">
        <f t="shared" si="12"/>
        <v>1</v>
      </c>
      <c r="BA16" s="3">
        <f>IF(ISERROR(LEN(VLOOKUP(A16,Seqs!A:E,2,FALSE))-AL16),"-",LEN(VLOOKUP(A16,Seqs!A:E,2,FALSE))-AL16)</f>
        <v>37</v>
      </c>
      <c r="BB16" s="16">
        <f t="shared" si="13"/>
        <v>28</v>
      </c>
      <c r="BC16" s="9">
        <f t="shared" si="14"/>
        <v>19</v>
      </c>
      <c r="BD16" s="3">
        <f t="shared" si="15"/>
        <v>28</v>
      </c>
      <c r="BE16" s="3">
        <f t="shared" si="16"/>
        <v>56</v>
      </c>
    </row>
    <row r="17" spans="1:60" s="3" customFormat="1" x14ac:dyDescent="0.2">
      <c r="A17" s="3" t="s">
        <v>285</v>
      </c>
      <c r="B17" s="3" t="str">
        <f>LOWER(VLOOKUP(A17,Xtal_Templ!A:B,2,FALSE))</f>
        <v>lpar1_human</v>
      </c>
      <c r="C17" s="3">
        <f>VLOOKUP($A17,'SegEnds_NonXtal_BW#'!$A:$Z,3,FALSE)+D17-50</f>
        <v>30</v>
      </c>
      <c r="D17" s="3">
        <v>50</v>
      </c>
      <c r="E17" s="3">
        <f>IF(ISERROR(VLOOKUP($A17,'SegEnds_NonXtal_BW#'!$A:$Z,4,FALSE)+VLOOKUP($A17,A:AL,4,FALSE)-50),"-",(VLOOKUP($A17,'SegEnds_NonXtal_BW#'!$A:$Z,4,FALSE)+VLOOKUP($A17,A:AL,4,FALSE)-50))</f>
        <v>60</v>
      </c>
      <c r="F17" s="3">
        <f t="shared" si="23"/>
        <v>61</v>
      </c>
      <c r="G17" s="3">
        <v>63</v>
      </c>
      <c r="H17" s="3">
        <f t="shared" si="24"/>
        <v>64</v>
      </c>
      <c r="I17" s="3">
        <f t="shared" si="24"/>
        <v>65</v>
      </c>
      <c r="J17" s="3">
        <v>78</v>
      </c>
      <c r="K17" s="3">
        <f>VLOOKUP($A17,'SegEnds_NonXtal_BW#'!$A:$Z,8,FALSE)+VLOOKUP($A17,A:AL,10,FALSE)-50</f>
        <v>91</v>
      </c>
      <c r="L17" s="3">
        <f>M17-3</f>
        <v>93</v>
      </c>
      <c r="M17" s="3">
        <v>96</v>
      </c>
      <c r="N17" s="3">
        <f>M17+3</f>
        <v>99</v>
      </c>
      <c r="O17" s="3">
        <f t="shared" si="22"/>
        <v>100</v>
      </c>
      <c r="P17" s="3">
        <v>129</v>
      </c>
      <c r="Q17" s="3">
        <f>VLOOKUP($A17,'SegEnds_NonXtal_BW#'!$A:$Z,12,FALSE)+VLOOKUP($A17,A:AL,16,FALSE)-50</f>
        <v>135</v>
      </c>
      <c r="R17" s="3">
        <f>IF(ISERROR(VLOOKUP($A17,'SegEnds_NonXtal_BW#'!$A:$Z,13,FALSE)+VLOOKUP($A17,A:AL,19,FALSE)-50),"-",VLOOKUP($A17,'SegEnds_NonXtal_BW#'!$A:$Z,13,FALSE)+VLOOKUP($A17,A:AL,19,FALSE)-50)</f>
        <v>136</v>
      </c>
      <c r="S17" s="3">
        <v>136</v>
      </c>
      <c r="T17" s="100">
        <f>IF(ISERROR(VLOOKUP($A17,'SegEnds_NonXtal_BW#'!$A:$Z,14,FALSE)+VLOOKUP($A17,A:AL,19,FALSE)-50),"-",(VLOOKUP($A17,'SegEnds_NonXtal_BW#'!$A:$Z,14,FALSE)+VLOOKUP($A17,A:AL,19,FALSE)-50))</f>
        <v>142</v>
      </c>
      <c r="U17" s="9">
        <f>IF(ISERROR(VLOOKUP($A17,'SegEnds_NonXtal_BW#'!$A:$Z,15,FALSE)+VLOOKUP($A17,A:AL,22,FALSE)-50),"-",VLOOKUP($A17,'SegEnds_NonXtal_BW#'!$A:$Z,15,FALSE)+VLOOKUP($A17,A:AL,22,FALSE)-50)</f>
        <v>143</v>
      </c>
      <c r="V17" s="3">
        <v>155</v>
      </c>
      <c r="W17" s="3">
        <f>IF(ISERROR(VLOOKUP($A17,'SegEnds_NonXtal_BW#'!$A:$Z,16,FALSE)+VLOOKUP($A17,A:AL,22,FALSE)-50),"-",(VLOOKUP($A17,'SegEnds_NonXtal_BW#'!$A:$Z,16,FALSE)+VLOOKUP($A17,A:AL,22,FALSE)-50))</f>
        <v>168</v>
      </c>
      <c r="X17" s="3" t="str">
        <f>IF(ISERROR(VLOOKUP($A17,'SegEnds_NonXtal_BW#'!$A:$Z,17,FALSE)+VLOOKUP($A17,A:AL,25,FALSE)-50),"-",(VLOOKUP($A17,'SegEnds_NonXtal_BW#'!$A:$Z,17,FALSE)+VLOOKUP($A17,A:AL,25,FALSE)-50))</f>
        <v>-</v>
      </c>
      <c r="Y17" s="3" t="s">
        <v>23</v>
      </c>
      <c r="Z17" s="3" t="str">
        <f>IF(ISERROR(VLOOKUP($A17,'SegEnds_NonXtal_BW#'!$A:$Z,18,FALSE)+VLOOKUP($A17,A:AL,25,FALSE)-50),"-",(VLOOKUP($A17,'SegEnds_NonXtal_BW#'!$A:$Z,18,FALSE)+VLOOKUP($A17,A:AL,25,FALSE)-50))</f>
        <v>-</v>
      </c>
      <c r="AA17" s="3">
        <f>IF(ISERROR(VLOOKUP($A17,'SegEnds_NonXtal_BW#'!$A:$Z,19,FALSE)+VLOOKUP($A17,A:AL,28,FALSE)-50),"-",(VLOOKUP($A17,'SegEnds_NonXtal_BW#'!$A:$Z,19,FALSE)+VLOOKUP($A17,A:AL,28,FALSE)-50))</f>
        <v>186</v>
      </c>
      <c r="AB17" s="3">
        <v>200</v>
      </c>
      <c r="AC17" s="3">
        <f>IF(ISERROR((VLOOKUP($A17,'SegEnds_NonXtal_BW#'!$A:$Z,20,FALSE)+VLOOKUP($A17,A:AL,28,FALSE)-50)),"-",(VLOOKUP($A17,'SegEnds_NonXtal_BW#'!$A:$Z,20,FALSE)+VLOOKUP($A17,A:AL,28,FALSE)-50))</f>
        <v>223</v>
      </c>
      <c r="AD17" s="3">
        <f>IF(ISERROR(VLOOKUP($A17,'SegEnds_NonXtal_BW#'!$A:$Z,21,FALSE)+VLOOKUP($A17,A:AL,31,FALSE)-50),"-",(VLOOKUP($A17,'SegEnds_NonXtal_BW#'!$A:$Z,21,FALSE)+VLOOKUP($A17,A:AL,31,FALSE)-50))</f>
        <v>228</v>
      </c>
      <c r="AE17" s="3">
        <v>256</v>
      </c>
      <c r="AF17" s="3">
        <f>IF(ISERROR((VLOOKUP($A17,'SegEnds_NonXtal_BW#'!$A:$Z,22,FALSE)+VLOOKUP($A17,A:AL,31,FALSE)-50)),"-",(VLOOKUP($A17,'SegEnds_NonXtal_BW#'!$A:$Z,22,FALSE)+VLOOKUP($A17,A:AL,31,FALSE)-50))</f>
        <v>267</v>
      </c>
      <c r="AG17" s="3">
        <f>IF(ISERROR(VLOOKUP($A17,'SegEnds_NonXtal_BW#'!$A:$Z,23,FALSE)+VLOOKUP($A17,A:AL,34,FALSE)-50),"-",(VLOOKUP($A17,'SegEnds_NonXtal_BW#'!$A:$Z,23,FALSE)+VLOOKUP($A17,A:AL,34,FALSE)-50))</f>
        <v>272</v>
      </c>
      <c r="AH17" s="3">
        <v>292</v>
      </c>
      <c r="AI17" s="3">
        <f>IF(ISERROR((VLOOKUP($A17,'SegEnds_NonXtal_BW#'!$A:$Z,24,FALSE)+VLOOKUP($A17,A:AL,34,FALSE)-50)),"-",(VLOOKUP($A17,'SegEnds_NonXtal_BW#'!$A:$Z,24,FALSE)+VLOOKUP($A17,A:AL,34,FALSE)-50))</f>
        <v>298</v>
      </c>
      <c r="AJ17" s="3">
        <f>IF(ISERROR(VLOOKUP($A17,'SegEnds_NonXtal_BW#'!$A:$Z,25,FALSE)+VLOOKUP($A17,A:AL,37,FALSE)-50),"-",(VLOOKUP($A17,'SegEnds_NonXtal_BW#'!$A:$Z,25,FALSE)+VLOOKUP($A17,A:AL,37,FALSE)-50))</f>
        <v>299</v>
      </c>
      <c r="AK17" s="3">
        <v>302</v>
      </c>
      <c r="AL17" s="3">
        <f>IF(ISERROR((VLOOKUP($A17,'SegEnds_NonXtal_BW#'!$A:$Z,26,FALSE)+VLOOKUP($A17,A:AL,37,FALSE)-50)),"-",(VLOOKUP($A17,'SegEnds_NonXtal_BW#'!$A:$Z,26,FALSE)+VLOOKUP($A17,A:AL,37,FALSE)-50))</f>
        <v>311</v>
      </c>
      <c r="AM17" s="28" t="str">
        <f>VLOOKUP(A17,Classification!A:B,2,FALSE)</f>
        <v>A</v>
      </c>
      <c r="AN17" s="28" t="b">
        <f t="shared" si="17"/>
        <v>1</v>
      </c>
      <c r="AO17" s="3" t="str">
        <f>IF(ISERROR(MATCH(A17,'SegEnds_Xtal_Prot#'!B:B, 0)), "NoXtal", "Xtal")</f>
        <v>NoXtal</v>
      </c>
      <c r="AP17" s="3">
        <f t="shared" si="2"/>
        <v>1</v>
      </c>
      <c r="AQ17" s="3">
        <f t="shared" si="3"/>
        <v>1</v>
      </c>
      <c r="AR17" s="3">
        <f t="shared" si="4"/>
        <v>2</v>
      </c>
      <c r="AS17" s="3">
        <f t="shared" si="5"/>
        <v>1</v>
      </c>
      <c r="AT17" s="3">
        <f t="shared" si="6"/>
        <v>1</v>
      </c>
      <c r="AU17" s="3">
        <f t="shared" si="7"/>
        <v>1</v>
      </c>
      <c r="AV17" s="3" t="str">
        <f t="shared" si="8"/>
        <v>-</v>
      </c>
      <c r="AW17" s="3" t="str">
        <f t="shared" si="9"/>
        <v>-</v>
      </c>
      <c r="AX17" s="3">
        <f t="shared" si="10"/>
        <v>5</v>
      </c>
      <c r="AY17" s="3">
        <f t="shared" si="11"/>
        <v>5</v>
      </c>
      <c r="AZ17" s="3">
        <f t="shared" si="12"/>
        <v>1</v>
      </c>
      <c r="BA17" s="3">
        <f>IF(ISERROR(LEN(VLOOKUP(A17,Seqs!A:E,2,FALSE))-AL17),"-",LEN(VLOOKUP(A17,Seqs!A:E,2,FALSE))-AL17)</f>
        <v>40</v>
      </c>
      <c r="BB17" s="16">
        <f t="shared" si="13"/>
        <v>28</v>
      </c>
      <c r="BC17" s="9">
        <f t="shared" si="14"/>
        <v>19</v>
      </c>
      <c r="BD17" s="3">
        <f t="shared" si="15"/>
        <v>28</v>
      </c>
      <c r="BE17" s="3">
        <f t="shared" si="16"/>
        <v>56</v>
      </c>
    </row>
    <row r="18" spans="1:60" s="3" customFormat="1" x14ac:dyDescent="0.2">
      <c r="A18" s="3" t="s">
        <v>286</v>
      </c>
      <c r="B18" s="3" t="str">
        <f>LOWER(VLOOKUP(A18,Xtal_Templ!A:B,2,FALSE))</f>
        <v>lpar1_human</v>
      </c>
      <c r="C18" s="3">
        <f>VLOOKUP($A18,'SegEnds_NonXtal_BW#'!$A:$Z,3,FALSE)+D18-50</f>
        <v>28</v>
      </c>
      <c r="D18" s="3">
        <v>48</v>
      </c>
      <c r="E18" s="3">
        <f>IF(ISERROR(VLOOKUP($A18,'SegEnds_NonXtal_BW#'!$A:$Z,4,FALSE)+VLOOKUP($A18,A:AL,4,FALSE)-50),"-",(VLOOKUP($A18,'SegEnds_NonXtal_BW#'!$A:$Z,4,FALSE)+VLOOKUP($A18,A:AL,4,FALSE)-50))</f>
        <v>58</v>
      </c>
      <c r="F18" s="3">
        <f t="shared" si="23"/>
        <v>59</v>
      </c>
      <c r="G18" s="3">
        <v>61</v>
      </c>
      <c r="H18" s="3">
        <f t="shared" si="24"/>
        <v>62</v>
      </c>
      <c r="I18" s="3">
        <f t="shared" si="24"/>
        <v>63</v>
      </c>
      <c r="J18" s="3">
        <v>76</v>
      </c>
      <c r="K18" s="3">
        <f>VLOOKUP($A18,'SegEnds_NonXtal_BW#'!$A:$Z,8,FALSE)+VLOOKUP($A18,A:AL,10,FALSE)-50</f>
        <v>89</v>
      </c>
      <c r="L18" s="3">
        <f>M18-3</f>
        <v>91</v>
      </c>
      <c r="M18" s="3">
        <v>94</v>
      </c>
      <c r="N18" s="3">
        <f>M18+3</f>
        <v>97</v>
      </c>
      <c r="O18" s="3">
        <f t="shared" si="22"/>
        <v>98</v>
      </c>
      <c r="P18" s="3">
        <v>127</v>
      </c>
      <c r="Q18" s="3">
        <f>VLOOKUP($A18,'SegEnds_NonXtal_BW#'!$A:$Z,12,FALSE)+VLOOKUP($A18,A:AL,16,FALSE)-50</f>
        <v>133</v>
      </c>
      <c r="R18" s="3">
        <f>IF(ISERROR(VLOOKUP($A18,'SegEnds_NonXtal_BW#'!$A:$Z,13,FALSE)+VLOOKUP($A18,A:AL,19,FALSE)-50),"-",VLOOKUP($A18,'SegEnds_NonXtal_BW#'!$A:$Z,13,FALSE)+VLOOKUP($A18,A:AL,19,FALSE)-50)</f>
        <v>134</v>
      </c>
      <c r="S18" s="3">
        <v>134</v>
      </c>
      <c r="T18" s="100">
        <f>IF(ISERROR(VLOOKUP($A18,'SegEnds_NonXtal_BW#'!$A:$Z,14,FALSE)+VLOOKUP($A18,A:AL,19,FALSE)-50),"-",(VLOOKUP($A18,'SegEnds_NonXtal_BW#'!$A:$Z,14,FALSE)+VLOOKUP($A18,A:AL,19,FALSE)-50))</f>
        <v>140</v>
      </c>
      <c r="U18" s="9">
        <f>IF(ISERROR(VLOOKUP($A18,'SegEnds_NonXtal_BW#'!$A:$Z,15,FALSE)+VLOOKUP($A18,A:AL,22,FALSE)-50),"-",VLOOKUP($A18,'SegEnds_NonXtal_BW#'!$A:$Z,15,FALSE)+VLOOKUP($A18,A:AL,22,FALSE)-50)</f>
        <v>141</v>
      </c>
      <c r="V18" s="3">
        <v>153</v>
      </c>
      <c r="W18" s="3">
        <f>IF(ISERROR(VLOOKUP($A18,'SegEnds_NonXtal_BW#'!$A:$Z,16,FALSE)+VLOOKUP($A18,A:AL,22,FALSE)-50),"-",(VLOOKUP($A18,'SegEnds_NonXtal_BW#'!$A:$Z,16,FALSE)+VLOOKUP($A18,A:AL,22,FALSE)-50))</f>
        <v>166</v>
      </c>
      <c r="X18" s="3" t="str">
        <f>IF(ISERROR(VLOOKUP($A18,'SegEnds_NonXtal_BW#'!$A:$Z,17,FALSE)+VLOOKUP($A18,A:AL,25,FALSE)-50),"-",(VLOOKUP($A18,'SegEnds_NonXtal_BW#'!$A:$Z,17,FALSE)+VLOOKUP($A18,A:AL,25,FALSE)-50))</f>
        <v>-</v>
      </c>
      <c r="Y18" s="3" t="s">
        <v>23</v>
      </c>
      <c r="Z18" s="3" t="str">
        <f>IF(ISERROR(VLOOKUP($A18,'SegEnds_NonXtal_BW#'!$A:$Z,18,FALSE)+VLOOKUP($A18,A:AL,25,FALSE)-50),"-",(VLOOKUP($A18,'SegEnds_NonXtal_BW#'!$A:$Z,18,FALSE)+VLOOKUP($A18,A:AL,25,FALSE)-50))</f>
        <v>-</v>
      </c>
      <c r="AA18" s="3">
        <f>IF(ISERROR(VLOOKUP($A18,'SegEnds_NonXtal_BW#'!$A:$Z,19,FALSE)+VLOOKUP($A18,A:AL,28,FALSE)-50),"-",(VLOOKUP($A18,'SegEnds_NonXtal_BW#'!$A:$Z,19,FALSE)+VLOOKUP($A18,A:AL,28,FALSE)-50))</f>
        <v>184</v>
      </c>
      <c r="AB18" s="3">
        <v>198</v>
      </c>
      <c r="AC18" s="3">
        <f>IF(ISERROR((VLOOKUP($A18,'SegEnds_NonXtal_BW#'!$A:$Z,20,FALSE)+VLOOKUP($A18,A:AL,28,FALSE)-50)),"-",(VLOOKUP($A18,'SegEnds_NonXtal_BW#'!$A:$Z,20,FALSE)+VLOOKUP($A18,A:AL,28,FALSE)-50))</f>
        <v>221</v>
      </c>
      <c r="AD18" s="3">
        <f>IF(ISERROR(VLOOKUP($A18,'SegEnds_NonXtal_BW#'!$A:$Z,21,FALSE)+VLOOKUP($A18,A:AL,31,FALSE)-50),"-",(VLOOKUP($A18,'SegEnds_NonXtal_BW#'!$A:$Z,21,FALSE)+VLOOKUP($A18,A:AL,31,FALSE)-50))</f>
        <v>226</v>
      </c>
      <c r="AE18" s="3">
        <v>254</v>
      </c>
      <c r="AF18" s="3">
        <f>IF(ISERROR((VLOOKUP($A18,'SegEnds_NonXtal_BW#'!$A:$Z,22,FALSE)+VLOOKUP($A18,A:AL,31,FALSE)-50)),"-",(VLOOKUP($A18,'SegEnds_NonXtal_BW#'!$A:$Z,22,FALSE)+VLOOKUP($A18,A:AL,31,FALSE)-50))</f>
        <v>265</v>
      </c>
      <c r="AG18" s="3">
        <f>IF(ISERROR(VLOOKUP($A18,'SegEnds_NonXtal_BW#'!$A:$Z,23,FALSE)+VLOOKUP($A18,A:AL,34,FALSE)-50),"-",(VLOOKUP($A18,'SegEnds_NonXtal_BW#'!$A:$Z,23,FALSE)+VLOOKUP($A18,A:AL,34,FALSE)-50))</f>
        <v>270</v>
      </c>
      <c r="AH18" s="3">
        <v>290</v>
      </c>
      <c r="AI18" s="3">
        <f>IF(ISERROR((VLOOKUP($A18,'SegEnds_NonXtal_BW#'!$A:$Z,24,FALSE)+VLOOKUP($A18,A:AL,34,FALSE)-50)),"-",(VLOOKUP($A18,'SegEnds_NonXtal_BW#'!$A:$Z,24,FALSE)+VLOOKUP($A18,A:AL,34,FALSE)-50))</f>
        <v>296</v>
      </c>
      <c r="AJ18" s="3">
        <f>IF(ISERROR(VLOOKUP($A18,'SegEnds_NonXtal_BW#'!$A:$Z,25,FALSE)+VLOOKUP($A18,A:AL,37,FALSE)-50),"-",(VLOOKUP($A18,'SegEnds_NonXtal_BW#'!$A:$Z,25,FALSE)+VLOOKUP($A18,A:AL,37,FALSE)-50))</f>
        <v>297</v>
      </c>
      <c r="AK18" s="3">
        <v>300</v>
      </c>
      <c r="AL18" s="3">
        <f>IF(ISERROR((VLOOKUP($A18,'SegEnds_NonXtal_BW#'!$A:$Z,26,FALSE)+VLOOKUP($A18,A:AL,37,FALSE)-50)),"-",(VLOOKUP($A18,'SegEnds_NonXtal_BW#'!$A:$Z,26,FALSE)+VLOOKUP($A18,A:AL,37,FALSE)-50))</f>
        <v>309</v>
      </c>
      <c r="AM18" s="28" t="str">
        <f>VLOOKUP(A18,Classification!A:B,2,FALSE)</f>
        <v>A</v>
      </c>
      <c r="AN18" s="28" t="b">
        <f t="shared" si="17"/>
        <v>1</v>
      </c>
      <c r="AO18" s="3" t="str">
        <f>IF(ISERROR(MATCH(A18,'SegEnds_Xtal_Prot#'!B:B, 0)), "NoXtal", "Xtal")</f>
        <v>NoXtal</v>
      </c>
      <c r="AP18" s="3">
        <f t="shared" si="2"/>
        <v>1</v>
      </c>
      <c r="AQ18" s="3">
        <f t="shared" si="3"/>
        <v>1</v>
      </c>
      <c r="AR18" s="3">
        <f t="shared" si="4"/>
        <v>2</v>
      </c>
      <c r="AS18" s="3">
        <f t="shared" si="5"/>
        <v>1</v>
      </c>
      <c r="AT18" s="3">
        <f t="shared" si="6"/>
        <v>1</v>
      </c>
      <c r="AU18" s="3">
        <f t="shared" si="7"/>
        <v>1</v>
      </c>
      <c r="AV18" s="3" t="str">
        <f t="shared" si="8"/>
        <v>-</v>
      </c>
      <c r="AW18" s="3" t="str">
        <f t="shared" si="9"/>
        <v>-</v>
      </c>
      <c r="AX18" s="3">
        <f t="shared" si="10"/>
        <v>5</v>
      </c>
      <c r="AY18" s="3">
        <f t="shared" si="11"/>
        <v>5</v>
      </c>
      <c r="AZ18" s="3">
        <f t="shared" si="12"/>
        <v>1</v>
      </c>
      <c r="BA18" s="3">
        <f>IF(ISERROR(LEN(VLOOKUP(A18,Seqs!A:E,2,FALSE))-AL18),"-",LEN(VLOOKUP(A18,Seqs!A:E,2,FALSE))-AL18)</f>
        <v>44</v>
      </c>
      <c r="BB18" s="16">
        <f t="shared" si="13"/>
        <v>28</v>
      </c>
      <c r="BC18" s="9">
        <f t="shared" si="14"/>
        <v>19</v>
      </c>
      <c r="BD18" s="3">
        <f t="shared" si="15"/>
        <v>28</v>
      </c>
      <c r="BE18" s="3">
        <f t="shared" si="16"/>
        <v>56</v>
      </c>
    </row>
    <row r="19" spans="1:60" s="3" customFormat="1" x14ac:dyDescent="0.2">
      <c r="A19" s="3" t="s">
        <v>1434</v>
      </c>
      <c r="B19" s="3" t="str">
        <f>LOWER(VLOOKUP(A19,Xtal_Templ!A:B,2,FALSE))</f>
        <v>q08bg4_danre</v>
      </c>
      <c r="C19" s="3">
        <f>VLOOKUP($A19,'SegEnds_NonXtal_BW#'!$A:$Z,3,FALSE)+D19-50</f>
        <v>26</v>
      </c>
      <c r="D19" s="3">
        <v>45</v>
      </c>
      <c r="E19" s="3">
        <f>IF(ISERROR(VLOOKUP($A19,'SegEnds_NonXtal_BW#'!$A:$Z,4,FALSE)+VLOOKUP($A19,A:AL,4,FALSE)-50),"-",(VLOOKUP($A19,'SegEnds_NonXtal_BW#'!$A:$Z,4,FALSE)+VLOOKUP($A19,A:AL,4,FALSE)-50))</f>
        <v>55</v>
      </c>
      <c r="F19" s="3">
        <f>G19-2</f>
        <v>56</v>
      </c>
      <c r="G19" s="3">
        <v>58</v>
      </c>
      <c r="H19" s="3">
        <f>G19+1</f>
        <v>59</v>
      </c>
      <c r="I19" s="3">
        <f>H19+1</f>
        <v>60</v>
      </c>
      <c r="J19" s="3">
        <v>73</v>
      </c>
      <c r="K19" s="3">
        <f>VLOOKUP($A19,'SegEnds_NonXtal_BW#'!$A:$Z,8,FALSE)+VLOOKUP($A19,A:AL,10,FALSE)-50</f>
        <v>89</v>
      </c>
      <c r="L19" s="3">
        <f>M19-1</f>
        <v>91</v>
      </c>
      <c r="M19" s="3">
        <v>92</v>
      </c>
      <c r="N19" s="3">
        <f>M19+2</f>
        <v>94</v>
      </c>
      <c r="O19" s="3">
        <f>N19+1</f>
        <v>95</v>
      </c>
      <c r="P19" s="3">
        <v>124</v>
      </c>
      <c r="Q19" s="3">
        <f>VLOOKUP($A19,'SegEnds_NonXtal_BW#'!$A:$Z,12,FALSE)+VLOOKUP($A19,A:AL,16,FALSE)-50</f>
        <v>130</v>
      </c>
      <c r="R19" s="3">
        <f>IF(ISERROR(VLOOKUP($A19,'SegEnds_NonXtal_BW#'!$A:$Z,13,FALSE)+VLOOKUP($A19,A:AL,19,FALSE)-50),"-",VLOOKUP($A19,'SegEnds_NonXtal_BW#'!$A:$Z,13,FALSE)+VLOOKUP($A19,A:AL,19,FALSE)-50)</f>
        <v>131</v>
      </c>
      <c r="S19" s="3">
        <v>131</v>
      </c>
      <c r="T19" s="100">
        <f>IF(ISERROR(VLOOKUP($A19,'SegEnds_NonXtal_BW#'!$A:$Z,14,FALSE)+VLOOKUP($A19,A:AL,19,FALSE)-50),"-",(VLOOKUP($A19,'SegEnds_NonXtal_BW#'!$A:$Z,14,FALSE)+VLOOKUP($A19,A:AL,19,FALSE)-50))</f>
        <v>138</v>
      </c>
      <c r="U19" s="9">
        <f>IF(ISERROR(VLOOKUP($A19,'SegEnds_NonXtal_BW#'!$A:$Z,15,FALSE)+VLOOKUP($A19,A:AL,22,FALSE)-50),"-",VLOOKUP($A19,'SegEnds_NonXtal_BW#'!$A:$Z,15,FALSE)+VLOOKUP($A19,A:AL,22,FALSE)-50)</f>
        <v>139</v>
      </c>
      <c r="V19" s="3">
        <v>151</v>
      </c>
      <c r="W19" s="3">
        <f>IF(ISERROR(VLOOKUP($A19,'SegEnds_NonXtal_BW#'!$A:$Z,16,FALSE)+VLOOKUP($A19,A:AL,22,FALSE)-50),"-",(VLOOKUP($A19,'SegEnds_NonXtal_BW#'!$A:$Z,16,FALSE)+VLOOKUP($A19,A:AL,22,FALSE)-50))</f>
        <v>166</v>
      </c>
      <c r="X19" s="3">
        <f>IF(ISERROR(VLOOKUP($A19,'SegEnds_NonXtal_BW#'!$A:$Z,17,FALSE)+VLOOKUP($A19,A:AL,25,FALSE)-50),"-",(VLOOKUP($A19,'SegEnds_NonXtal_BW#'!$A:$Z,17,FALSE)+VLOOKUP($A19,A:AL,25,FALSE)-50))</f>
        <v>178</v>
      </c>
      <c r="Y19" s="3">
        <v>178</v>
      </c>
      <c r="Z19" s="3">
        <f>IF(ISERROR(VLOOKUP($A19,'SegEnds_NonXtal_BW#'!$A:$Z,18,FALSE)+VLOOKUP($A19,A:AL,25,FALSE)-50),"-",(VLOOKUP($A19,'SegEnds_NonXtal_BW#'!$A:$Z,18,FALSE)+VLOOKUP($A19,A:AL,25,FALSE)-50))</f>
        <v>180</v>
      </c>
      <c r="AA19" s="3">
        <f>IF(ISERROR(VLOOKUP($A19,'SegEnds_NonXtal_BW#'!$A:$Z,19,FALSE)+VLOOKUP($A19,A:AL,28,FALSE)-50),"-",(VLOOKUP($A19,'SegEnds_NonXtal_BW#'!$A:$Z,19,FALSE)+VLOOKUP($A19,A:AL,28,FALSE)-50))</f>
        <v>187</v>
      </c>
      <c r="AB19" s="3">
        <v>206</v>
      </c>
      <c r="AC19" s="3">
        <f>IF(ISERROR((VLOOKUP($A19,'SegEnds_NonXtal_BW#'!$A:$Z,20,FALSE)+VLOOKUP($A19,A:AL,28,FALSE)-50)),"-",(VLOOKUP($A19,'SegEnds_NonXtal_BW#'!$A:$Z,20,FALSE)+VLOOKUP($A19,A:AL,28,FALSE)-50))</f>
        <v>224</v>
      </c>
      <c r="AD19" s="3">
        <f>IF(ISERROR(VLOOKUP($A19,'SegEnds_NonXtal_BW#'!$A:$Z,21,FALSE)+VLOOKUP($A19,A:AL,31,FALSE)-50),"-",(VLOOKUP($A19,'SegEnds_NonXtal_BW#'!$A:$Z,21,FALSE)+VLOOKUP($A19,A:AL,31,FALSE)-50))</f>
        <v>229</v>
      </c>
      <c r="AE19" s="3">
        <v>255</v>
      </c>
      <c r="AF19" s="3">
        <f>IF(ISERROR((VLOOKUP($A19,'SegEnds_NonXtal_BW#'!$A:$Z,22,FALSE)+VLOOKUP($A19,A:AL,31,FALSE)-50)),"-",(VLOOKUP($A19,'SegEnds_NonXtal_BW#'!$A:$Z,22,FALSE)+VLOOKUP($A19,A:AL,31,FALSE)-50))</f>
        <v>269</v>
      </c>
      <c r="AG19" s="3">
        <f>IF(ISERROR(VLOOKUP($A19,'SegEnds_NonXtal_BW#'!$A:$Z,23,FALSE)+VLOOKUP($A19,A:AL,34,FALSE)-50),"-",(VLOOKUP($A19,'SegEnds_NonXtal_BW#'!$A:$Z,23,FALSE)+VLOOKUP($A19,A:AL,34,FALSE)-50))</f>
        <v>273</v>
      </c>
      <c r="AH19" s="3">
        <v>299</v>
      </c>
      <c r="AI19" s="3">
        <f>IF(ISERROR((VLOOKUP($A19,'SegEnds_NonXtal_BW#'!$A:$Z,24,FALSE)+VLOOKUP($A19,A:AL,34,FALSE)-50)),"-",(VLOOKUP($A19,'SegEnds_NonXtal_BW#'!$A:$Z,24,FALSE)+VLOOKUP($A19,A:AL,34,FALSE)-50))</f>
        <v>305</v>
      </c>
      <c r="AJ19" s="3">
        <f>IF(ISERROR(VLOOKUP($A19,'SegEnds_NonXtal_BW#'!$A:$Z,25,FALSE)+VLOOKUP($A19,A:AL,37,FALSE)-50),"-",(VLOOKUP($A19,'SegEnds_NonXtal_BW#'!$A:$Z,25,FALSE)+VLOOKUP($A19,A:AL,37,FALSE)-50))</f>
        <v>306</v>
      </c>
      <c r="AK19" s="3">
        <v>309</v>
      </c>
      <c r="AL19" s="3">
        <f>IF(ISERROR((VLOOKUP($A19,'SegEnds_NonXtal_BW#'!$A:$Z,26,FALSE)+VLOOKUP($A19,A:AL,37,FALSE)-50)),"-",(VLOOKUP($A19,'SegEnds_NonXtal_BW#'!$A:$Z,26,FALSE)+VLOOKUP($A19,A:AL,37,FALSE)-50))</f>
        <v>320</v>
      </c>
      <c r="AM19" s="28" t="str">
        <f>VLOOKUP(A19,Classification!A:B,2,FALSE)</f>
        <v>A</v>
      </c>
      <c r="AN19" s="28" t="b">
        <f>AND(IF(Y19="-",IF(AA19-W19&gt;3,TRUE,FALSE),TRUE),IF(M19="-",IF(O19-K19&gt;3,TRUE,FALSE),TRUE),IF(AG19-AF19&gt;1,TRUE,FALSE),C19&lt;E19,OR(E19&lt;F19,F19="-"),OR(F19&lt;H19,F19="-"),OR(H19&lt;I19,H19="-"),I19&lt;K19,OR(K19&lt;L19,L19="-"),OR(L19&lt;N19,L19="-"),OR(N19&lt;O19,N19="-"),O19&lt;Q19,OR(Q19&lt;R19,R19="-"),OR(R19&lt;T19,R19="-"),OR(T19&lt;U19,T19="-"),U19&lt;W19,OR(W19&lt;X19,X19="-"),OR(X19&lt;Z19,X19="-"),OR(Z19&lt;AA19,Z19="-"),AA19&lt;AC19,AC19&lt;AD19,AD19&lt;AF19,AF19&lt;AG19,AG19&lt;AI19,OR(AI19&lt;AJ19,AJ19="-"),OR(AJ19&lt;AL19,AJ19="-"))</f>
        <v>1</v>
      </c>
      <c r="AO19" s="3" t="str">
        <f>IF(ISERROR(MATCH(A19,'SegEnds_Xtal_Prot#'!B:B, 0)), "NoXtal", "Xtal")</f>
        <v>Xtal</v>
      </c>
      <c r="AP19" s="3">
        <f>IF(ISERROR(F19-E19),"-",F19-E19)</f>
        <v>1</v>
      </c>
      <c r="AQ19" s="3">
        <f>IF(ISERROR(I19-H19),"-",I19-H19)</f>
        <v>1</v>
      </c>
      <c r="AR19" s="3">
        <f>IF(ISERROR(L19-K19),"-",L19-K19)</f>
        <v>2</v>
      </c>
      <c r="AS19" s="3">
        <f>IF(ISERROR(O19-N19),"-",O19-N19)</f>
        <v>1</v>
      </c>
      <c r="AT19" s="3">
        <f>IF(ISERROR(R19-Q19),"-",R19-Q19)</f>
        <v>1</v>
      </c>
      <c r="AU19" s="3">
        <f>IF(ISERROR(U19-T19),"-",U19-T19)</f>
        <v>1</v>
      </c>
      <c r="AV19" s="3">
        <f>IF(ISERROR(X19-W19),"-",X19-W19)</f>
        <v>12</v>
      </c>
      <c r="AW19" s="3">
        <f>IF(ISERROR(AA19-Z19),"-",AA19-Z19)</f>
        <v>7</v>
      </c>
      <c r="AX19" s="3">
        <f>IF(ISERROR(AD19-AC19),"-",AD19-AC19)</f>
        <v>5</v>
      </c>
      <c r="AY19" s="3">
        <f>IF(ISERROR(AG19-AF19),"-",AG19-AF19)</f>
        <v>4</v>
      </c>
      <c r="AZ19" s="3">
        <f>IF(ISERROR(AJ19-AI19),"-",AJ19-AI19)</f>
        <v>1</v>
      </c>
      <c r="BA19" s="3">
        <f>IF(ISERROR(LEN(VLOOKUP(A19,Seqs!A:E,2,FALSE))-AL19),"-",LEN(VLOOKUP(A19,Seqs!A:E,2,FALSE))-AL19)</f>
        <v>37</v>
      </c>
      <c r="BB19" s="16">
        <f>J19-D19</f>
        <v>28</v>
      </c>
      <c r="BC19" s="9">
        <f>IF(ISERROR(V19-S19),"-",V19-S19)</f>
        <v>20</v>
      </c>
      <c r="BD19" s="3">
        <f>J19-D19</f>
        <v>28</v>
      </c>
      <c r="BE19" s="3">
        <f>AE19-AB19</f>
        <v>49</v>
      </c>
    </row>
    <row r="20" spans="1:60" s="3" customFormat="1" x14ac:dyDescent="0.2">
      <c r="A20" s="3" t="s">
        <v>1445</v>
      </c>
      <c r="B20" s="3" t="str">
        <f>LOWER(VLOOKUP(A20,Xtal_Templ!A:B,2,FALSE))</f>
        <v>q9wtk1_cavpo</v>
      </c>
      <c r="C20" s="3">
        <f>VLOOKUP($A20,'SegEnds_NonXtal_BW#'!$A:$Z,3,FALSE)+D20-50</f>
        <v>17</v>
      </c>
      <c r="D20" s="3">
        <v>38</v>
      </c>
      <c r="E20" s="3">
        <f>IF(ISERROR(VLOOKUP($A20,'SegEnds_NonXtal_BW#'!$A:$Z,4,FALSE)+VLOOKUP($A20,A:AL,4,FALSE)-50),"-",(VLOOKUP($A20,'SegEnds_NonXtal_BW#'!$A:$Z,4,FALSE)+VLOOKUP($A20,A:AL,4,FALSE)-50))</f>
        <v>48</v>
      </c>
      <c r="F20" s="3">
        <f>G20-2</f>
        <v>49</v>
      </c>
      <c r="G20" s="3">
        <v>51</v>
      </c>
      <c r="H20" s="3">
        <f>G20+1</f>
        <v>52</v>
      </c>
      <c r="I20" s="3">
        <f>H20+1</f>
        <v>53</v>
      </c>
      <c r="J20" s="3">
        <v>66</v>
      </c>
      <c r="K20" s="3">
        <f>VLOOKUP($A20,'SegEnds_NonXtal_BW#'!$A:$Z,8,FALSE)+VLOOKUP($A20,A:AL,10,FALSE)-50</f>
        <v>83</v>
      </c>
      <c r="L20" s="3">
        <f>M20-1</f>
        <v>84</v>
      </c>
      <c r="M20" s="3">
        <v>85</v>
      </c>
      <c r="N20" s="3">
        <f>M20+2</f>
        <v>87</v>
      </c>
      <c r="O20" s="3">
        <f>N20+1</f>
        <v>88</v>
      </c>
      <c r="P20" s="3">
        <v>117</v>
      </c>
      <c r="Q20" s="3">
        <f>VLOOKUP($A20,'SegEnds_NonXtal_BW#'!$A:$Z,12,FALSE)+VLOOKUP($A20,A:AL,16,FALSE)-50</f>
        <v>123</v>
      </c>
      <c r="R20" s="3">
        <f>IF(ISERROR(VLOOKUP($A20,'SegEnds_NonXtal_BW#'!$A:$Z,13,FALSE)+VLOOKUP($A20,A:AL,19,FALSE)-50),"-",VLOOKUP($A20,'SegEnds_NonXtal_BW#'!$A:$Z,13,FALSE)+VLOOKUP($A20,A:AL,19,FALSE)-50)</f>
        <v>124</v>
      </c>
      <c r="S20" s="3">
        <v>124</v>
      </c>
      <c r="T20" s="100">
        <f>IF(ISERROR(VLOOKUP($A20,'SegEnds_NonXtal_BW#'!$A:$Z,14,FALSE)+VLOOKUP($A20,A:AL,19,FALSE)-50),"-",(VLOOKUP($A20,'SegEnds_NonXtal_BW#'!$A:$Z,14,FALSE)+VLOOKUP($A20,A:AL,19,FALSE)-50))</f>
        <v>131</v>
      </c>
      <c r="U20" s="9">
        <f>IF(ISERROR(VLOOKUP($A20,'SegEnds_NonXtal_BW#'!$A:$Z,15,FALSE)+VLOOKUP($A20,A:AL,22,FALSE)-50),"-",VLOOKUP($A20,'SegEnds_NonXtal_BW#'!$A:$Z,15,FALSE)+VLOOKUP($A20,A:AL,22,FALSE)-50)</f>
        <v>132</v>
      </c>
      <c r="V20" s="3">
        <v>144</v>
      </c>
      <c r="W20" s="3">
        <f>IF(ISERROR(VLOOKUP($A20,'SegEnds_NonXtal_BW#'!$A:$Z,16,FALSE)+VLOOKUP($A20,A:AL,22,FALSE)-50),"-",(VLOOKUP($A20,'SegEnds_NonXtal_BW#'!$A:$Z,16,FALSE)+VLOOKUP($A20,A:AL,22,FALSE)-50))</f>
        <v>158</v>
      </c>
      <c r="X20" s="3">
        <f>IF(ISERROR(VLOOKUP($A20,'SegEnds_NonXtal_BW#'!$A:$Z,17,FALSE)+VLOOKUP($A20,A:AL,25,FALSE)-50),"-",(VLOOKUP($A20,'SegEnds_NonXtal_BW#'!$A:$Z,17,FALSE)+VLOOKUP($A20,A:AL,25,FALSE)-50))</f>
        <v>170</v>
      </c>
      <c r="Y20" s="3">
        <v>170</v>
      </c>
      <c r="Z20" s="3">
        <f>IF(ISERROR(VLOOKUP($A20,'SegEnds_NonXtal_BW#'!$A:$Z,18,FALSE)+VLOOKUP($A20,A:AL,25,FALSE)-50),"-",(VLOOKUP($A20,'SegEnds_NonXtal_BW#'!$A:$Z,18,FALSE)+VLOOKUP($A20,A:AL,25,FALSE)-50))</f>
        <v>172</v>
      </c>
      <c r="AA20" s="3">
        <f>IF(ISERROR(VLOOKUP($A20,'SegEnds_NonXtal_BW#'!$A:$Z,19,FALSE)+VLOOKUP($A20,A:AL,28,FALSE)-50),"-",(VLOOKUP($A20,'SegEnds_NonXtal_BW#'!$A:$Z,19,FALSE)+VLOOKUP($A20,A:AL,28,FALSE)-50))</f>
        <v>176</v>
      </c>
      <c r="AB20" s="3">
        <v>195</v>
      </c>
      <c r="AC20" s="3">
        <f>IF(ISERROR((VLOOKUP($A20,'SegEnds_NonXtal_BW#'!$A:$Z,20,FALSE)+VLOOKUP($A20,A:AL,28,FALSE)-50)),"-",(VLOOKUP($A20,'SegEnds_NonXtal_BW#'!$A:$Z,20,FALSE)+VLOOKUP($A20,A:AL,28,FALSE)-50))</f>
        <v>213</v>
      </c>
      <c r="AD20" s="3">
        <f>IF(ISERROR(VLOOKUP($A20,'SegEnds_NonXtal_BW#'!$A:$Z,21,FALSE)+VLOOKUP($A20,A:AL,31,FALSE)-50),"-",(VLOOKUP($A20,'SegEnds_NonXtal_BW#'!$A:$Z,21,FALSE)+VLOOKUP($A20,A:AL,31,FALSE)-50))</f>
        <v>218</v>
      </c>
      <c r="AE20" s="3">
        <v>238</v>
      </c>
      <c r="AF20" s="3">
        <f>IF(ISERROR((VLOOKUP($A20,'SegEnds_NonXtal_BW#'!$A:$Z,22,FALSE)+VLOOKUP($A20,A:AL,31,FALSE)-50)),"-",(VLOOKUP($A20,'SegEnds_NonXtal_BW#'!$A:$Z,22,FALSE)+VLOOKUP($A20,A:AL,31,FALSE)-50))</f>
        <v>252</v>
      </c>
      <c r="AG20" s="3">
        <f>IF(ISERROR(VLOOKUP($A20,'SegEnds_NonXtal_BW#'!$A:$Z,23,FALSE)+VLOOKUP($A20,A:AL,34,FALSE)-50),"-",(VLOOKUP($A20,'SegEnds_NonXtal_BW#'!$A:$Z,23,FALSE)+VLOOKUP($A20,A:AL,34,FALSE)-50))</f>
        <v>255</v>
      </c>
      <c r="AH20" s="3">
        <v>281</v>
      </c>
      <c r="AI20" s="3">
        <f>IF(ISERROR((VLOOKUP($A20,'SegEnds_NonXtal_BW#'!$A:$Z,24,FALSE)+VLOOKUP($A20,A:AL,34,FALSE)-50)),"-",(VLOOKUP($A20,'SegEnds_NonXtal_BW#'!$A:$Z,24,FALSE)+VLOOKUP($A20,A:AL,34,FALSE)-50))</f>
        <v>287</v>
      </c>
      <c r="AJ20" s="3">
        <f>IF(ISERROR(VLOOKUP($A20,'SegEnds_NonXtal_BW#'!$A:$Z,25,FALSE)+VLOOKUP($A20,A:AL,37,FALSE)-50),"-",(VLOOKUP($A20,'SegEnds_NonXtal_BW#'!$A:$Z,25,FALSE)+VLOOKUP($A20,A:AL,37,FALSE)-50))</f>
        <v>288</v>
      </c>
      <c r="AK20" s="3">
        <v>291</v>
      </c>
      <c r="AL20" s="3">
        <f>IF(ISERROR((VLOOKUP($A20,'SegEnds_NonXtal_BW#'!$A:$Z,26,FALSE)+VLOOKUP($A20,A:AL,37,FALSE)-50)),"-",(VLOOKUP($A20,'SegEnds_NonXtal_BW#'!$A:$Z,26,FALSE)+VLOOKUP($A20,A:AL,37,FALSE)-50))</f>
        <v>302</v>
      </c>
      <c r="AM20" s="28" t="str">
        <f>VLOOKUP(A20,Classification!A:B,2,FALSE)</f>
        <v>A</v>
      </c>
      <c r="AN20" s="28" t="b">
        <f>AND(IF(Y20="-",IF(AA20-W20&gt;3,TRUE,FALSE),TRUE),IF(M20="-",IF(O20-K20&gt;3,TRUE,FALSE),TRUE),IF(AG20-AF20&gt;1,TRUE,FALSE),C20&lt;E20,OR(E20&lt;F20,F20="-"),OR(F20&lt;H20,F20="-"),OR(H20&lt;I20,H20="-"),I20&lt;K20,OR(K20&lt;L20,L20="-"),OR(L20&lt;N20,L20="-"),OR(N20&lt;O20,N20="-"),O20&lt;Q20,OR(Q20&lt;R20,R20="-"),OR(R20&lt;T20,R20="-"),OR(T20&lt;U20,T20="-"),U20&lt;W20,OR(W20&lt;X20,X20="-"),OR(X20&lt;Z20,X20="-"),OR(Z20&lt;AA20,Z20="-"),AA20&lt;AC20,AC20&lt;AD20,AD20&lt;AF20,AF20&lt;AG20,AG20&lt;AI20,OR(AI20&lt;AJ20,AJ20="-"),OR(AJ20&lt;AL20,AJ20="-"))</f>
        <v>1</v>
      </c>
      <c r="AO20" s="3" t="str">
        <f>IF(ISERROR(MATCH(A20,'SegEnds_Xtal_Prot#'!B:B, 0)), "NoXtal", "Xtal")</f>
        <v>Xtal</v>
      </c>
      <c r="AP20" s="3">
        <f>IF(ISERROR(F20-E20),"-",F20-E20)</f>
        <v>1</v>
      </c>
      <c r="AQ20" s="3">
        <f>IF(ISERROR(I20-H20),"-",I20-H20)</f>
        <v>1</v>
      </c>
      <c r="AR20" s="3">
        <f>IF(ISERROR(L20-K20),"-",L20-K20)</f>
        <v>1</v>
      </c>
      <c r="AS20" s="3">
        <f>IF(ISERROR(O20-N20),"-",O20-N20)</f>
        <v>1</v>
      </c>
      <c r="AT20" s="3">
        <f>IF(ISERROR(R20-Q20),"-",R20-Q20)</f>
        <v>1</v>
      </c>
      <c r="AU20" s="3">
        <f>IF(ISERROR(U20-T20),"-",U20-T20)</f>
        <v>1</v>
      </c>
      <c r="AV20" s="3">
        <f>IF(ISERROR(X20-W20),"-",X20-W20)</f>
        <v>12</v>
      </c>
      <c r="AW20" s="3">
        <f>IF(ISERROR(AA20-Z20),"-",AA20-Z20)</f>
        <v>4</v>
      </c>
      <c r="AX20" s="3">
        <f>IF(ISERROR(AD20-AC20),"-",AD20-AC20)</f>
        <v>5</v>
      </c>
      <c r="AY20" s="3">
        <f>IF(ISERROR(AG20-AF20),"-",AG20-AF20)</f>
        <v>3</v>
      </c>
      <c r="AZ20" s="3">
        <f>IF(ISERROR(AJ20-AI20),"-",AJ20-AI20)</f>
        <v>1</v>
      </c>
      <c r="BA20" s="3">
        <f>IF(ISERROR(LEN(VLOOKUP(A20,Seqs!A:E,2,FALSE))-AL20),"-",LEN(VLOOKUP(A20,Seqs!A:E,2,FALSE))-AL20)</f>
        <v>46</v>
      </c>
      <c r="BB20" s="16">
        <f>J20-D20</f>
        <v>28</v>
      </c>
      <c r="BC20" s="9">
        <f>IF(ISERROR(V20-S20),"-",V20-S20)</f>
        <v>20</v>
      </c>
      <c r="BD20" s="3">
        <f>J20-D20</f>
        <v>28</v>
      </c>
      <c r="BE20" s="3">
        <f>AE20-AB20</f>
        <v>43</v>
      </c>
    </row>
    <row r="21" spans="1:60" s="3" customFormat="1" x14ac:dyDescent="0.2">
      <c r="A21" s="3" t="s">
        <v>333</v>
      </c>
      <c r="B21" s="3" t="s">
        <v>913</v>
      </c>
      <c r="C21" s="3">
        <f>VLOOKUP($A21,'SegEnds_NonXtal_BW#'!$A:$Z,3,FALSE)+D21-50</f>
        <v>29</v>
      </c>
      <c r="D21" s="3">
        <v>51</v>
      </c>
      <c r="E21" s="3">
        <f>IF(ISERROR(VLOOKUP($A21,'SegEnds_NonXtal_BW#'!$A:$Z,4,FALSE)+VLOOKUP($A21,A:AL,4,FALSE)-50),"-",(VLOOKUP($A21,'SegEnds_NonXtal_BW#'!$A:$Z,4,FALSE)+VLOOKUP($A21,A:AL,4,FALSE)-50))</f>
        <v>61</v>
      </c>
      <c r="F21" s="3">
        <f t="shared" si="23"/>
        <v>63</v>
      </c>
      <c r="G21" s="3">
        <v>65</v>
      </c>
      <c r="H21" s="3">
        <f t="shared" si="24"/>
        <v>66</v>
      </c>
      <c r="I21" s="3">
        <f t="shared" si="24"/>
        <v>67</v>
      </c>
      <c r="J21" s="3">
        <v>79</v>
      </c>
      <c r="K21" s="3">
        <v>97</v>
      </c>
      <c r="L21" s="3">
        <f>M21-1</f>
        <v>98</v>
      </c>
      <c r="M21" s="3">
        <v>99</v>
      </c>
      <c r="N21" s="3">
        <f>M21+2</f>
        <v>101</v>
      </c>
      <c r="O21" s="3">
        <f t="shared" si="22"/>
        <v>102</v>
      </c>
      <c r="P21" s="3">
        <v>131</v>
      </c>
      <c r="Q21" s="3">
        <f>VLOOKUP($A21,'SegEnds_NonXtal_BW#'!$A:$Z,12,FALSE)+VLOOKUP($A21,A:AL,16,FALSE)-50</f>
        <v>137</v>
      </c>
      <c r="R21" s="3">
        <f>IF(ISERROR(VLOOKUP($A21,'SegEnds_NonXtal_BW#'!$A:$Z,13,FALSE)+VLOOKUP($A21,A:AL,19,FALSE)-50),"-",VLOOKUP($A21,'SegEnds_NonXtal_BW#'!$A:$Z,13,FALSE)+VLOOKUP($A21,A:AL,19,FALSE)-50)</f>
        <v>138</v>
      </c>
      <c r="S21" s="3">
        <v>138</v>
      </c>
      <c r="T21" s="100">
        <f>IF(ISERROR(VLOOKUP($A21,'SegEnds_NonXtal_BW#'!$A:$Z,14,FALSE)+VLOOKUP($A21,A:AL,19,FALSE)-50),"-",(VLOOKUP($A21,'SegEnds_NonXtal_BW#'!$A:$Z,14,FALSE)+VLOOKUP($A21,A:AL,19,FALSE)-50))</f>
        <v>144</v>
      </c>
      <c r="U21" s="9">
        <f>IF(ISERROR(VLOOKUP($A21,'SegEnds_NonXtal_BW#'!$A:$Z,15,FALSE)+VLOOKUP($A21,A:AL,22,FALSE)-50),"-",VLOOKUP($A21,'SegEnds_NonXtal_BW#'!$A:$Z,15,FALSE)+VLOOKUP($A21,A:AL,22,FALSE)-50)</f>
        <v>145</v>
      </c>
      <c r="V21" s="3">
        <v>157</v>
      </c>
      <c r="W21" s="3">
        <f>IF(ISERROR(VLOOKUP($A21,'SegEnds_NonXtal_BW#'!$A:$Z,16,FALSE)+VLOOKUP($A21,A:AL,22,FALSE)-50),"-",(VLOOKUP($A21,'SegEnds_NonXtal_BW#'!$A:$Z,16,FALSE)+VLOOKUP($A21,A:AL,22,FALSE)-50))</f>
        <v>169</v>
      </c>
      <c r="X21" s="3">
        <f>IF(ISERROR(VLOOKUP($A21,'SegEnds_NonXtal_BW#'!$A:$Z,17,FALSE)+VLOOKUP($A21,A:AL,25,FALSE)-50),"-",(VLOOKUP($A21,'SegEnds_NonXtal_BW#'!$A:$Z,17,FALSE)+VLOOKUP($A21,A:AL,25,FALSE)-50))</f>
        <v>183</v>
      </c>
      <c r="Y21" s="3">
        <v>183</v>
      </c>
      <c r="Z21" s="3">
        <f t="shared" ref="Z21:Z30" si="25">Y21+2</f>
        <v>185</v>
      </c>
      <c r="AA21" s="3">
        <f>IF(ISERROR(VLOOKUP($A21,'SegEnds_NonXtal_BW#'!$A:$Z,19,FALSE)+VLOOKUP($A21,A:AL,28,FALSE)-50),"-",(VLOOKUP($A21,'SegEnds_NonXtal_BW#'!$A:$Z,19,FALSE)+VLOOKUP($A21,A:AL,28,FALSE)-50))</f>
        <v>195</v>
      </c>
      <c r="AB21" s="3">
        <v>211</v>
      </c>
      <c r="AC21" s="3">
        <f>IF(ISERROR((VLOOKUP($A21,'SegEnds_NonXtal_BW#'!$A:$Z,20,FALSE)+VLOOKUP($A21,A:AL,28,FALSE)-50)),"-",(VLOOKUP($A21,'SegEnds_NonXtal_BW#'!$A:$Z,20,FALSE)+VLOOKUP($A21,A:AL,28,FALSE)-50))</f>
        <v>234</v>
      </c>
      <c r="AD21" s="3">
        <f>IF(ISERROR(VLOOKUP($A21,'SegEnds_NonXtal_BW#'!$A:$Z,21,FALSE)+VLOOKUP($A21,A:AL,31,FALSE)-50),"-",(VLOOKUP($A21,'SegEnds_NonXtal_BW#'!$A:$Z,21,FALSE)+VLOOKUP($A21,A:AL,31,FALSE)-50))</f>
        <v>239</v>
      </c>
      <c r="AE21" s="3">
        <v>267</v>
      </c>
      <c r="AF21" s="3">
        <f>IF(ISERROR((VLOOKUP($A21,'SegEnds_NonXtal_BW#'!$A:$Z,22,FALSE)+VLOOKUP($A21,A:AL,31,FALSE)-50)),"-",(VLOOKUP($A21,'SegEnds_NonXtal_BW#'!$A:$Z,22,FALSE)+VLOOKUP($A21,A:AL,31,FALSE)-50))</f>
        <v>278</v>
      </c>
      <c r="AG21" s="3">
        <f>IF(ISERROR(VLOOKUP($A21,'SegEnds_NonXtal_BW#'!$A:$Z,23,FALSE)+VLOOKUP($A21,A:AL,34,FALSE)-50),"-",(VLOOKUP($A21,'SegEnds_NonXtal_BW#'!$A:$Z,23,FALSE)+VLOOKUP($A21,A:AL,34,FALSE)-50))</f>
        <v>284</v>
      </c>
      <c r="AH21" s="3">
        <v>303</v>
      </c>
      <c r="AI21" s="3">
        <f>IF(ISERROR((VLOOKUP($A21,'SegEnds_NonXtal_BW#'!$A:$Z,24,FALSE)+VLOOKUP($A21,A:AL,34,FALSE)-50)),"-",(VLOOKUP($A21,'SegEnds_NonXtal_BW#'!$A:$Z,24,FALSE)+VLOOKUP($A21,A:AL,34,FALSE)-50))</f>
        <v>309</v>
      </c>
      <c r="AJ21" s="3">
        <f>IF(ISERROR(VLOOKUP($A21,'SegEnds_NonXtal_BW#'!$A:$Z,25,FALSE)+VLOOKUP($A21,A:AL,37,FALSE)-50),"-",(VLOOKUP($A21,'SegEnds_NonXtal_BW#'!$A:$Z,25,FALSE)+VLOOKUP($A21,A:AL,37,FALSE)-50))</f>
        <v>310</v>
      </c>
      <c r="AK21" s="3">
        <v>313</v>
      </c>
      <c r="AL21" s="3">
        <f>IF(ISERROR((VLOOKUP($A21,'SegEnds_NonXtal_BW#'!$A:$Z,26,FALSE)+VLOOKUP($A21,A:AL,37,FALSE)-50)),"-",(VLOOKUP($A21,'SegEnds_NonXtal_BW#'!$A:$Z,26,FALSE)+VLOOKUP($A21,A:AL,37,FALSE)-50))</f>
        <v>322</v>
      </c>
      <c r="AM21" s="28" t="str">
        <f>VLOOKUP(A21,Classification!A:B,2,FALSE)</f>
        <v>A</v>
      </c>
      <c r="AN21" s="28" t="b">
        <f t="shared" si="17"/>
        <v>1</v>
      </c>
      <c r="AO21" s="3" t="str">
        <f>IF(ISERROR(MATCH(A21,'SegEnds_Xtal_Prot#'!B:B, 0)), "NoXtal", "Xtal")</f>
        <v>NoXtal</v>
      </c>
      <c r="AP21" s="3">
        <f t="shared" si="2"/>
        <v>2</v>
      </c>
      <c r="AQ21" s="3">
        <f t="shared" si="3"/>
        <v>1</v>
      </c>
      <c r="AR21" s="3">
        <f t="shared" si="4"/>
        <v>1</v>
      </c>
      <c r="AS21" s="3">
        <f t="shared" si="5"/>
        <v>1</v>
      </c>
      <c r="AT21" s="3">
        <f t="shared" si="6"/>
        <v>1</v>
      </c>
      <c r="AU21" s="3">
        <f t="shared" si="7"/>
        <v>1</v>
      </c>
      <c r="AV21" s="3">
        <f t="shared" si="8"/>
        <v>14</v>
      </c>
      <c r="AW21" s="3">
        <f t="shared" si="9"/>
        <v>10</v>
      </c>
      <c r="AX21" s="3">
        <f t="shared" si="10"/>
        <v>5</v>
      </c>
      <c r="AY21" s="3">
        <f t="shared" si="11"/>
        <v>6</v>
      </c>
      <c r="AZ21" s="3">
        <f t="shared" si="12"/>
        <v>1</v>
      </c>
      <c r="BA21" s="3">
        <f>IF(ISERROR(LEN(VLOOKUP(A21,Seqs!A:E,2,FALSE))-AL21),"-",LEN(VLOOKUP(A21,Seqs!A:E,2,FALSE))-AL21)</f>
        <v>32</v>
      </c>
      <c r="BB21" s="16">
        <f t="shared" si="13"/>
        <v>28</v>
      </c>
      <c r="BC21" s="9">
        <f t="shared" si="14"/>
        <v>19</v>
      </c>
      <c r="BD21" s="3">
        <f t="shared" si="15"/>
        <v>28</v>
      </c>
      <c r="BE21" s="3">
        <f t="shared" si="16"/>
        <v>56</v>
      </c>
    </row>
    <row r="22" spans="1:60" s="3" customFormat="1" x14ac:dyDescent="0.2">
      <c r="A22" s="3" t="s">
        <v>337</v>
      </c>
      <c r="B22" s="3" t="str">
        <f>LOWER(VLOOKUP(A22,Xtal_Templ!A:B,2,FALSE))</f>
        <v>opsd_human</v>
      </c>
      <c r="C22" s="3">
        <f>VLOOKUP($A22,'SegEnds_NonXtal_BW#'!$A:$Z,3,FALSE)+D22-50</f>
        <v>31</v>
      </c>
      <c r="D22" s="3">
        <v>52</v>
      </c>
      <c r="E22" s="3">
        <f>IF(ISERROR(VLOOKUP($A22,'SegEnds_NonXtal_BW#'!$A:$Z,4,FALSE)+VLOOKUP($A22,A:AL,4,FALSE)-50),"-",(VLOOKUP($A22,'SegEnds_NonXtal_BW#'!$A:$Z,4,FALSE)+VLOOKUP($A22,A:AL,4,FALSE)-50))</f>
        <v>62</v>
      </c>
      <c r="F22" s="3">
        <f t="shared" si="23"/>
        <v>63</v>
      </c>
      <c r="G22" s="3">
        <v>65</v>
      </c>
      <c r="H22" s="3">
        <f t="shared" si="24"/>
        <v>66</v>
      </c>
      <c r="I22" s="3">
        <f t="shared" si="24"/>
        <v>67</v>
      </c>
      <c r="J22" s="3">
        <v>80</v>
      </c>
      <c r="K22" s="3">
        <f>VLOOKUP($A22,'SegEnds_NonXtal_BW#'!$A:$Z,8,FALSE)+VLOOKUP($A22,A:AL,10,FALSE)-50</f>
        <v>97</v>
      </c>
      <c r="L22" s="3">
        <f>M22-1</f>
        <v>99</v>
      </c>
      <c r="M22" s="3">
        <v>100</v>
      </c>
      <c r="N22" s="3">
        <f>M22+2</f>
        <v>102</v>
      </c>
      <c r="O22" s="3">
        <f t="shared" si="22"/>
        <v>103</v>
      </c>
      <c r="P22" s="3">
        <v>132</v>
      </c>
      <c r="Q22" s="3">
        <f>VLOOKUP($A22,'SegEnds_NonXtal_BW#'!$A:$Z,12,FALSE)+VLOOKUP($A22,A:AL,16,FALSE)-50</f>
        <v>138</v>
      </c>
      <c r="R22" s="3">
        <f>IF(ISERROR(VLOOKUP($A22,'SegEnds_NonXtal_BW#'!$A:$Z,13,FALSE)+VLOOKUP($A22,A:AL,19,FALSE)-50),"-",VLOOKUP($A22,'SegEnds_NonXtal_BW#'!$A:$Z,13,FALSE)+VLOOKUP($A22,A:AL,19,FALSE)-50)</f>
        <v>139</v>
      </c>
      <c r="S22" s="3">
        <v>139</v>
      </c>
      <c r="T22" s="100">
        <f>IF(ISERROR(VLOOKUP($A22,'SegEnds_NonXtal_BW#'!$A:$Z,14,FALSE)+VLOOKUP($A22,A:AL,19,FALSE)-50),"-",(VLOOKUP($A22,'SegEnds_NonXtal_BW#'!$A:$Z,14,FALSE)+VLOOKUP($A22,A:AL,19,FALSE)-50))</f>
        <v>145</v>
      </c>
      <c r="U22" s="9">
        <f>IF(ISERROR(VLOOKUP($A22,'SegEnds_NonXtal_BW#'!$A:$Z,15,FALSE)+VLOOKUP($A22,A:AL,22,FALSE)-50),"-",VLOOKUP($A22,'SegEnds_NonXtal_BW#'!$A:$Z,15,FALSE)+VLOOKUP($A22,A:AL,22,FALSE)-50)</f>
        <v>146</v>
      </c>
      <c r="V22" s="3">
        <v>158</v>
      </c>
      <c r="W22" s="3">
        <f>IF(ISERROR(VLOOKUP($A22,'SegEnds_NonXtal_BW#'!$A:$Z,16,FALSE)+VLOOKUP($A22,A:AL,22,FALSE)-50),"-",(VLOOKUP($A22,'SegEnds_NonXtal_BW#'!$A:$Z,16,FALSE)+VLOOKUP($A22,A:AL,22,FALSE)-50))</f>
        <v>170</v>
      </c>
      <c r="X22" s="3">
        <f>IF(ISERROR(VLOOKUP($A22,'SegEnds_NonXtal_BW#'!$A:$Z,17,FALSE)+VLOOKUP($A22,A:AL,25,FALSE)-50),"-",(VLOOKUP($A22,'SegEnds_NonXtal_BW#'!$A:$Z,17,FALSE)+VLOOKUP($A22,A:AL,25,FALSE)-50))</f>
        <v>184</v>
      </c>
      <c r="Y22" s="3">
        <v>184</v>
      </c>
      <c r="Z22" s="3">
        <f t="shared" si="25"/>
        <v>186</v>
      </c>
      <c r="AA22" s="3">
        <f>IF(ISERROR(VLOOKUP($A22,'SegEnds_NonXtal_BW#'!$A:$Z,19,FALSE)+VLOOKUP($A22,A:AL,28,FALSE)-50),"-",(VLOOKUP($A22,'SegEnds_NonXtal_BW#'!$A:$Z,19,FALSE)+VLOOKUP($A22,A:AL,28,FALSE)-50))</f>
        <v>196</v>
      </c>
      <c r="AB22" s="3">
        <v>212</v>
      </c>
      <c r="AC22" s="3">
        <f>IF(ISERROR((VLOOKUP($A22,'SegEnds_NonXtal_BW#'!$A:$Z,20,FALSE)+VLOOKUP($A22,A:AL,28,FALSE)-50)),"-",(VLOOKUP($A22,'SegEnds_NonXtal_BW#'!$A:$Z,20,FALSE)+VLOOKUP($A22,A:AL,28,FALSE)-50))</f>
        <v>234</v>
      </c>
      <c r="AD22" s="3">
        <f>IF(ISERROR(VLOOKUP($A22,'SegEnds_NonXtal_BW#'!$A:$Z,21,FALSE)+VLOOKUP($A22,A:AL,31,FALSE)-50),"-",(VLOOKUP($A22,'SegEnds_NonXtal_BW#'!$A:$Z,21,FALSE)+VLOOKUP($A22,A:AL,31,FALSE)-50))</f>
        <v>237</v>
      </c>
      <c r="AE22" s="3">
        <v>264</v>
      </c>
      <c r="AF22" s="3">
        <f>IF(ISERROR((VLOOKUP($A22,'SegEnds_NonXtal_BW#'!$A:$Z,22,FALSE)+VLOOKUP($A22,A:AL,31,FALSE)-50)),"-",(VLOOKUP($A22,'SegEnds_NonXtal_BW#'!$A:$Z,22,FALSE)+VLOOKUP($A22,A:AL,31,FALSE)-50))</f>
        <v>275</v>
      </c>
      <c r="AG22" s="3">
        <f>IF(ISERROR(VLOOKUP($A22,'SegEnds_NonXtal_BW#'!$A:$Z,23,FALSE)+VLOOKUP($A22,A:AL,34,FALSE)-50),"-",(VLOOKUP($A22,'SegEnds_NonXtal_BW#'!$A:$Z,23,FALSE)+VLOOKUP($A22,A:AL,34,FALSE)-50))</f>
        <v>281</v>
      </c>
      <c r="AH22" s="3">
        <v>300</v>
      </c>
      <c r="AI22" s="3">
        <f>IF(ISERROR((VLOOKUP($A22,'SegEnds_NonXtal_BW#'!$A:$Z,24,FALSE)+VLOOKUP($A22,A:AL,34,FALSE)-50)),"-",(VLOOKUP($A22,'SegEnds_NonXtal_BW#'!$A:$Z,24,FALSE)+VLOOKUP($A22,A:AL,34,FALSE)-50))</f>
        <v>306</v>
      </c>
      <c r="AJ22" s="3">
        <f>IF(ISERROR(VLOOKUP($A22,'SegEnds_NonXtal_BW#'!$A:$Z,25,FALSE)+VLOOKUP($A22,A:AL,37,FALSE)-50),"-",(VLOOKUP($A22,'SegEnds_NonXtal_BW#'!$A:$Z,25,FALSE)+VLOOKUP($A22,A:AL,37,FALSE)-50))</f>
        <v>307</v>
      </c>
      <c r="AK22" s="3">
        <v>310</v>
      </c>
      <c r="AL22" s="3">
        <f>IF(ISERROR((VLOOKUP($A22,'SegEnds_NonXtal_BW#'!$A:$Z,26,FALSE)+VLOOKUP($A22,A:AL,37,FALSE)-50)),"-",(VLOOKUP($A22,'SegEnds_NonXtal_BW#'!$A:$Z,26,FALSE)+VLOOKUP($A22,A:AL,37,FALSE)-50))</f>
        <v>319</v>
      </c>
      <c r="AM22" s="28" t="str">
        <f>VLOOKUP(A22,Classification!A:B,2,FALSE)</f>
        <v>A</v>
      </c>
      <c r="AN22" s="28" t="b">
        <f t="shared" si="17"/>
        <v>1</v>
      </c>
      <c r="AO22" s="3" t="str">
        <f>IF(ISERROR(MATCH(A22,'SegEnds_Xtal_Prot#'!B:B, 0)), "NoXtal", "Xtal")</f>
        <v>NoXtal</v>
      </c>
      <c r="AP22" s="3">
        <f t="shared" si="2"/>
        <v>1</v>
      </c>
      <c r="AQ22" s="3">
        <f t="shared" si="3"/>
        <v>1</v>
      </c>
      <c r="AR22" s="3">
        <f t="shared" si="4"/>
        <v>2</v>
      </c>
      <c r="AS22" s="3">
        <f t="shared" si="5"/>
        <v>1</v>
      </c>
      <c r="AT22" s="3">
        <f t="shared" si="6"/>
        <v>1</v>
      </c>
      <c r="AU22" s="3">
        <f t="shared" si="7"/>
        <v>1</v>
      </c>
      <c r="AV22" s="3">
        <f t="shared" si="8"/>
        <v>14</v>
      </c>
      <c r="AW22" s="3">
        <f t="shared" si="9"/>
        <v>10</v>
      </c>
      <c r="AX22" s="3">
        <f t="shared" si="10"/>
        <v>3</v>
      </c>
      <c r="AY22" s="3">
        <f t="shared" si="11"/>
        <v>6</v>
      </c>
      <c r="AZ22" s="3">
        <f t="shared" si="12"/>
        <v>1</v>
      </c>
      <c r="BA22" s="3">
        <f>IF(ISERROR(LEN(VLOOKUP(A22,Seqs!A:E,2,FALSE))-AL22),"-",LEN(VLOOKUP(A22,Seqs!A:E,2,FALSE))-AL22)</f>
        <v>29</v>
      </c>
      <c r="BB22" s="16">
        <f t="shared" si="13"/>
        <v>28</v>
      </c>
      <c r="BC22" s="9">
        <f t="shared" si="14"/>
        <v>19</v>
      </c>
      <c r="BD22" s="3">
        <f t="shared" si="15"/>
        <v>28</v>
      </c>
      <c r="BE22" s="3">
        <f t="shared" si="16"/>
        <v>52</v>
      </c>
      <c r="BF22" s="3">
        <f t="shared" ref="BF22:BF27" si="26">AH22-AE22</f>
        <v>36</v>
      </c>
    </row>
    <row r="23" spans="1:60" s="3" customFormat="1" x14ac:dyDescent="0.2">
      <c r="A23" s="3" t="s">
        <v>913</v>
      </c>
      <c r="B23" s="3" t="str">
        <f>LOWER(VLOOKUP(A23,Xtal_Templ!A:B,2,FALSE))</f>
        <v>opsd_bovin</v>
      </c>
      <c r="C23" s="3">
        <f>VLOOKUP($A23,'SegEnds_NonXtal_BW#'!$A:$Z,3,FALSE)+D23-50</f>
        <v>33</v>
      </c>
      <c r="D23" s="3">
        <v>55</v>
      </c>
      <c r="E23" s="3">
        <f>IF(ISERROR(VLOOKUP($A23,'SegEnds_NonXtal_BW#'!$A:$Z,4,FALSE)+VLOOKUP($A23,A:AL,4,FALSE)-50),"-",(VLOOKUP($A23,'SegEnds_NonXtal_BW#'!$A:$Z,4,FALSE)+VLOOKUP($A23,A:AL,4,FALSE)-50))</f>
        <v>65</v>
      </c>
      <c r="F23" s="3">
        <f t="shared" si="23"/>
        <v>66</v>
      </c>
      <c r="G23" s="3">
        <v>68</v>
      </c>
      <c r="H23" s="3">
        <f t="shared" si="24"/>
        <v>69</v>
      </c>
      <c r="I23" s="3">
        <f t="shared" si="24"/>
        <v>70</v>
      </c>
      <c r="J23" s="3">
        <v>83</v>
      </c>
      <c r="K23" s="3">
        <f>VLOOKUP($A23,'SegEnds_NonXtal_BW#'!$A:$Z,8,FALSE)+VLOOKUP($A23,A:AL,10,FALSE)-50</f>
        <v>100</v>
      </c>
      <c r="L23" s="3">
        <f>IF(ISERROR(VLOOKUP($A23,'SegEnds_NonXtal_BW#'!$A:$Z,9,FALSE)+VLOOKUP($A23,A:AL,13,FALSE)-50),"-",(VLOOKUP($A23,'SegEnds_NonXtal_BW#'!$A:$Z,9,FALSE)+VLOOKUP($A23,A:AL,13,FALSE)-50))</f>
        <v>102</v>
      </c>
      <c r="M23" s="3">
        <v>103</v>
      </c>
      <c r="N23" s="3">
        <f>IF(ISERROR(VLOOKUP($A23,'SegEnds_NonXtal_BW#'!$A:$Z,10,FALSE)+VLOOKUP($A23,A:AL,13,FALSE)-50),"-",(VLOOKUP($A23,'SegEnds_NonXtal_BW#'!$A:$Z,10,FALSE)+VLOOKUP($A23,A:AL,13,FALSE)-50))</f>
        <v>105</v>
      </c>
      <c r="O23" s="3">
        <f t="shared" si="22"/>
        <v>106</v>
      </c>
      <c r="P23" s="3">
        <v>135</v>
      </c>
      <c r="Q23" s="3">
        <f>VLOOKUP($A23,'SegEnds_NonXtal_BW#'!$A:$Z,12,FALSE)+VLOOKUP($A23,A:AL,16,FALSE)-50</f>
        <v>141</v>
      </c>
      <c r="R23" s="3">
        <f>IF(ISERROR(VLOOKUP($A23,'SegEnds_NonXtal_BW#'!$A:$Z,13,FALSE)+VLOOKUP($A23,A:AL,19,FALSE)-50),"-",VLOOKUP($A23,'SegEnds_NonXtal_BW#'!$A:$Z,13,FALSE)+VLOOKUP($A23,A:AL,19,FALSE)-50)</f>
        <v>142</v>
      </c>
      <c r="S23" s="3">
        <v>142</v>
      </c>
      <c r="T23" s="100">
        <f>IF(ISERROR(VLOOKUP($A23,'SegEnds_NonXtal_BW#'!$A:$Z,14,FALSE)+VLOOKUP($A23,A:AL,19,FALSE)-50),"-",(VLOOKUP($A23,'SegEnds_NonXtal_BW#'!$A:$Z,14,FALSE)+VLOOKUP($A23,A:AL,19,FALSE)-50))</f>
        <v>148</v>
      </c>
      <c r="U23" s="9">
        <f>IF(ISERROR(VLOOKUP($A23,'SegEnds_NonXtal_BW#'!$A:$Z,15,FALSE)+VLOOKUP($A23,A:AL,22,FALSE)-50),"-",VLOOKUP($A23,'SegEnds_NonXtal_BW#'!$A:$Z,15,FALSE)+VLOOKUP($A23,A:AL,22,FALSE)-50)</f>
        <v>149</v>
      </c>
      <c r="V23" s="3">
        <v>161</v>
      </c>
      <c r="W23" s="3">
        <f>IF(ISERROR(VLOOKUP($A23,'SegEnds_NonXtal_BW#'!$A:$Z,16,FALSE)+VLOOKUP($A23,A:AL,22,FALSE)-50),"-",(VLOOKUP($A23,'SegEnds_NonXtal_BW#'!$A:$Z,16,FALSE)+VLOOKUP($A23,A:AL,22,FALSE)-50))</f>
        <v>173</v>
      </c>
      <c r="X23" s="3">
        <f>IF(ISERROR(VLOOKUP($A23,'SegEnds_NonXtal_BW#'!$A:$Z,17,FALSE)+VLOOKUP($A23,A:AL,25,FALSE)-50),"-",(VLOOKUP($A23,'SegEnds_NonXtal_BW#'!$A:$Z,17,FALSE)+VLOOKUP($A23,A:AL,25,FALSE)-50))</f>
        <v>187</v>
      </c>
      <c r="Y23" s="3">
        <v>187</v>
      </c>
      <c r="Z23" s="3">
        <f t="shared" si="25"/>
        <v>189</v>
      </c>
      <c r="AA23" s="3">
        <f>IF(ISERROR(VLOOKUP($A23,'SegEnds_NonXtal_BW#'!$A:$Z,19,FALSE)+VLOOKUP($A23,A:AL,28,FALSE)-50),"-",(VLOOKUP($A23,'SegEnds_NonXtal_BW#'!$A:$Z,19,FALSE)+VLOOKUP($A23,A:AL,28,FALSE)-50))</f>
        <v>199</v>
      </c>
      <c r="AB23" s="3">
        <v>215</v>
      </c>
      <c r="AC23" s="3">
        <f>IF(ISERROR((VLOOKUP($A23,'SegEnds_NonXtal_BW#'!$A:$Z,20,FALSE)+VLOOKUP($A23,A:AL,28,FALSE)-50)),"-",(VLOOKUP($A23,'SegEnds_NonXtal_BW#'!$A:$Z,20,FALSE)+VLOOKUP($A23,A:AL,28,FALSE)-50))</f>
        <v>237</v>
      </c>
      <c r="AD23" s="3">
        <f>IF(ISERROR(VLOOKUP($A23,'SegEnds_NonXtal_BW#'!$A:$Z,21,FALSE)+VLOOKUP($A23,A:AL,31,FALSE)-50),"-",(VLOOKUP($A23,'SegEnds_NonXtal_BW#'!$A:$Z,21,FALSE)+VLOOKUP($A23,A:AL,31,FALSE)-50))</f>
        <v>240</v>
      </c>
      <c r="AE23" s="3">
        <v>267</v>
      </c>
      <c r="AF23" s="3">
        <f>IF(ISERROR((VLOOKUP($A23,'SegEnds_NonXtal_BW#'!$A:$Z,22,FALSE)+VLOOKUP($A23,A:AL,31,FALSE)-50)),"-",(VLOOKUP($A23,'SegEnds_NonXtal_BW#'!$A:$Z,22,FALSE)+VLOOKUP($A23,A:AL,31,FALSE)-50))</f>
        <v>278</v>
      </c>
      <c r="AG23" s="3">
        <f>IF(ISERROR(VLOOKUP($A23,'SegEnds_NonXtal_BW#'!$A:$Z,23,FALSE)+VLOOKUP($A23,A:AL,34,FALSE)-50),"-",(VLOOKUP($A23,'SegEnds_NonXtal_BW#'!$A:$Z,23,FALSE)+VLOOKUP($A23,A:AL,34,FALSE)-50))</f>
        <v>284</v>
      </c>
      <c r="AH23" s="3">
        <v>303</v>
      </c>
      <c r="AI23" s="3">
        <f>IF(ISERROR((VLOOKUP($A23,'SegEnds_NonXtal_BW#'!$A:$Z,24,FALSE)+VLOOKUP($A23,A:AL,34,FALSE)-50)),"-",(VLOOKUP($A23,'SegEnds_NonXtal_BW#'!$A:$Z,24,FALSE)+VLOOKUP($A23,A:AL,34,FALSE)-50))</f>
        <v>309</v>
      </c>
      <c r="AJ23" s="3">
        <f>IF(ISERROR(VLOOKUP($A23,'SegEnds_NonXtal_BW#'!$A:$Z,25,FALSE)+VLOOKUP($A23,A:AL,37,FALSE)-50),"-",(VLOOKUP($A23,'SegEnds_NonXtal_BW#'!$A:$Z,25,FALSE)+VLOOKUP($A23,A:AL,37,FALSE)-50))</f>
        <v>310</v>
      </c>
      <c r="AK23" s="3">
        <v>313</v>
      </c>
      <c r="AL23" s="3">
        <f>IF(ISERROR((VLOOKUP($A23,'SegEnds_NonXtal_BW#'!$A:$Z,26,FALSE)+VLOOKUP($A23,A:AL,37,FALSE)-50)),"-",(VLOOKUP($A23,'SegEnds_NonXtal_BW#'!$A:$Z,26,FALSE)+VLOOKUP($A23,A:AL,37,FALSE)-50))</f>
        <v>322</v>
      </c>
      <c r="AM23" s="28" t="str">
        <f>VLOOKUP(A23,Classification!A:B,2,FALSE)</f>
        <v>A</v>
      </c>
      <c r="AN23" s="28" t="b">
        <f t="shared" si="17"/>
        <v>1</v>
      </c>
      <c r="AO23" s="3" t="str">
        <f>IF(ISERROR(MATCH(A23,'SegEnds_Xtal_Prot#'!B:B, 0)), "NoXtal", "Xtal")</f>
        <v>Xtal</v>
      </c>
      <c r="AP23" s="3">
        <f t="shared" si="2"/>
        <v>1</v>
      </c>
      <c r="AQ23" s="3">
        <f t="shared" si="3"/>
        <v>1</v>
      </c>
      <c r="AR23" s="3">
        <f t="shared" si="4"/>
        <v>2</v>
      </c>
      <c r="AS23" s="3">
        <f t="shared" si="5"/>
        <v>1</v>
      </c>
      <c r="AT23" s="3">
        <f t="shared" si="6"/>
        <v>1</v>
      </c>
      <c r="AU23" s="3">
        <f t="shared" si="7"/>
        <v>1</v>
      </c>
      <c r="AV23" s="3">
        <f t="shared" si="8"/>
        <v>14</v>
      </c>
      <c r="AW23" s="3">
        <f t="shared" si="9"/>
        <v>10</v>
      </c>
      <c r="AX23" s="3">
        <f t="shared" si="10"/>
        <v>3</v>
      </c>
      <c r="AY23" s="3">
        <f t="shared" si="11"/>
        <v>6</v>
      </c>
      <c r="AZ23" s="3">
        <f t="shared" si="12"/>
        <v>1</v>
      </c>
      <c r="BA23" s="3">
        <f>IF(ISERROR(LEN(VLOOKUP(A23,Seqs!A:E,2,FALSE))-AL23),"-",LEN(VLOOKUP(A23,Seqs!A:E,2,FALSE))-AL23)</f>
        <v>26</v>
      </c>
      <c r="BB23" s="16">
        <f t="shared" si="13"/>
        <v>28</v>
      </c>
      <c r="BC23" s="9">
        <f t="shared" si="14"/>
        <v>19</v>
      </c>
      <c r="BD23" s="3">
        <f t="shared" si="15"/>
        <v>28</v>
      </c>
      <c r="BE23" s="3">
        <f t="shared" si="16"/>
        <v>52</v>
      </c>
      <c r="BF23" s="3">
        <f t="shared" si="26"/>
        <v>36</v>
      </c>
    </row>
    <row r="24" spans="1:60" s="3" customFormat="1" x14ac:dyDescent="0.2">
      <c r="A24" s="3" t="s">
        <v>338</v>
      </c>
      <c r="B24" s="3" t="str">
        <f>LOWER(VLOOKUP(A24,Xtal_Templ!A:B,2,FALSE))</f>
        <v>opsd_human</v>
      </c>
      <c r="C24" s="3">
        <f>VLOOKUP($A24,'SegEnds_NonXtal_BW#'!$A:$Z,3,FALSE)+D24-50</f>
        <v>34</v>
      </c>
      <c r="D24" s="3">
        <v>55</v>
      </c>
      <c r="E24" s="3">
        <f>IF(ISERROR(VLOOKUP($A24,'SegEnds_NonXtal_BW#'!$A:$Z,4,FALSE)+VLOOKUP($A24,A:AL,4,FALSE)-50),"-",(VLOOKUP($A24,'SegEnds_NonXtal_BW#'!$A:$Z,4,FALSE)+VLOOKUP($A24,A:AL,4,FALSE)-50))</f>
        <v>65</v>
      </c>
      <c r="F24" s="3">
        <f t="shared" si="23"/>
        <v>66</v>
      </c>
      <c r="G24" s="3">
        <v>68</v>
      </c>
      <c r="H24" s="3">
        <f t="shared" si="24"/>
        <v>69</v>
      </c>
      <c r="I24" s="3">
        <f t="shared" si="24"/>
        <v>70</v>
      </c>
      <c r="J24" s="3">
        <v>83</v>
      </c>
      <c r="K24" s="3">
        <f>VLOOKUP($A24,'SegEnds_NonXtal_BW#'!$A:$Z,8,FALSE)+VLOOKUP($A24,A:AL,10,FALSE)-50</f>
        <v>100</v>
      </c>
      <c r="L24" s="3">
        <f>M24-1</f>
        <v>102</v>
      </c>
      <c r="M24" s="3">
        <v>103</v>
      </c>
      <c r="N24" s="3">
        <f>M24+2</f>
        <v>105</v>
      </c>
      <c r="O24" s="3">
        <f t="shared" si="22"/>
        <v>106</v>
      </c>
      <c r="P24" s="3">
        <v>135</v>
      </c>
      <c r="Q24" s="3">
        <f>VLOOKUP($A24,'SegEnds_NonXtal_BW#'!$A:$Z,12,FALSE)+VLOOKUP($A24,A:AL,16,FALSE)-50</f>
        <v>141</v>
      </c>
      <c r="R24" s="3">
        <f>IF(ISERROR(VLOOKUP($A24,'SegEnds_NonXtal_BW#'!$A:$Z,13,FALSE)+VLOOKUP($A24,A:AL,19,FALSE)-50),"-",VLOOKUP($A24,'SegEnds_NonXtal_BW#'!$A:$Z,13,FALSE)+VLOOKUP($A24,A:AL,19,FALSE)-50)</f>
        <v>142</v>
      </c>
      <c r="S24" s="3">
        <v>142</v>
      </c>
      <c r="T24" s="100">
        <f>IF(ISERROR(VLOOKUP($A24,'SegEnds_NonXtal_BW#'!$A:$Z,14,FALSE)+VLOOKUP($A24,A:AL,19,FALSE)-50),"-",(VLOOKUP($A24,'SegEnds_NonXtal_BW#'!$A:$Z,14,FALSE)+VLOOKUP($A24,A:AL,19,FALSE)-50))</f>
        <v>148</v>
      </c>
      <c r="U24" s="9">
        <f>IF(ISERROR(VLOOKUP($A24,'SegEnds_NonXtal_BW#'!$A:$Z,15,FALSE)+VLOOKUP($A24,A:AL,22,FALSE)-50),"-",VLOOKUP($A24,'SegEnds_NonXtal_BW#'!$A:$Z,15,FALSE)+VLOOKUP($A24,A:AL,22,FALSE)-50)</f>
        <v>149</v>
      </c>
      <c r="V24" s="3">
        <v>161</v>
      </c>
      <c r="W24" s="3">
        <f>IF(ISERROR(VLOOKUP($A24,'SegEnds_NonXtal_BW#'!$A:$Z,16,FALSE)+VLOOKUP($A24,A:AL,22,FALSE)-50),"-",(VLOOKUP($A24,'SegEnds_NonXtal_BW#'!$A:$Z,16,FALSE)+VLOOKUP($A24,A:AL,22,FALSE)-50))</f>
        <v>173</v>
      </c>
      <c r="X24" s="3">
        <f>IF(ISERROR(VLOOKUP($A24,'SegEnds_NonXtal_BW#'!$A:$Z,17,FALSE)+VLOOKUP($A24,A:AL,25,FALSE)-50),"-",(VLOOKUP($A24,'SegEnds_NonXtal_BW#'!$A:$Z,17,FALSE)+VLOOKUP($A24,A:AL,25,FALSE)-50))</f>
        <v>187</v>
      </c>
      <c r="Y24" s="3">
        <v>187</v>
      </c>
      <c r="Z24" s="3">
        <f t="shared" si="25"/>
        <v>189</v>
      </c>
      <c r="AA24" s="3">
        <f>IF(ISERROR(VLOOKUP($A24,'SegEnds_NonXtal_BW#'!$A:$Z,19,FALSE)+VLOOKUP($A24,A:AL,28,FALSE)-50),"-",(VLOOKUP($A24,'SegEnds_NonXtal_BW#'!$A:$Z,19,FALSE)+VLOOKUP($A24,A:AL,28,FALSE)-50))</f>
        <v>199</v>
      </c>
      <c r="AB24" s="3">
        <v>215</v>
      </c>
      <c r="AC24" s="3">
        <f>IF(ISERROR((VLOOKUP($A24,'SegEnds_NonXtal_BW#'!$A:$Z,20,FALSE)+VLOOKUP($A24,A:AL,28,FALSE)-50)),"-",(VLOOKUP($A24,'SegEnds_NonXtal_BW#'!$A:$Z,20,FALSE)+VLOOKUP($A24,A:AL,28,FALSE)-50))</f>
        <v>237</v>
      </c>
      <c r="AD24" s="3">
        <f>IF(ISERROR(VLOOKUP($A24,'SegEnds_NonXtal_BW#'!$A:$Z,21,FALSE)+VLOOKUP($A24,A:AL,31,FALSE)-50),"-",(VLOOKUP($A24,'SegEnds_NonXtal_BW#'!$A:$Z,21,FALSE)+VLOOKUP($A24,A:AL,31,FALSE)-50))</f>
        <v>240</v>
      </c>
      <c r="AE24" s="3">
        <v>267</v>
      </c>
      <c r="AF24" s="3">
        <f>IF(ISERROR((VLOOKUP($A24,'SegEnds_NonXtal_BW#'!$A:$Z,22,FALSE)+VLOOKUP($A24,A:AL,31,FALSE)-50)),"-",(VLOOKUP($A24,'SegEnds_NonXtal_BW#'!$A:$Z,22,FALSE)+VLOOKUP($A24,A:AL,31,FALSE)-50))</f>
        <v>278</v>
      </c>
      <c r="AG24" s="3">
        <f>IF(ISERROR(VLOOKUP($A24,'SegEnds_NonXtal_BW#'!$A:$Z,23,FALSE)+VLOOKUP($A24,A:AL,34,FALSE)-50),"-",(VLOOKUP($A24,'SegEnds_NonXtal_BW#'!$A:$Z,23,FALSE)+VLOOKUP($A24,A:AL,34,FALSE)-50))</f>
        <v>284</v>
      </c>
      <c r="AH24" s="3">
        <v>303</v>
      </c>
      <c r="AI24" s="3">
        <f>IF(ISERROR((VLOOKUP($A24,'SegEnds_NonXtal_BW#'!$A:$Z,24,FALSE)+VLOOKUP($A24,A:AL,34,FALSE)-50)),"-",(VLOOKUP($A24,'SegEnds_NonXtal_BW#'!$A:$Z,24,FALSE)+VLOOKUP($A24,A:AL,34,FALSE)-50))</f>
        <v>309</v>
      </c>
      <c r="AJ24" s="3">
        <f>IF(ISERROR(VLOOKUP($A24,'SegEnds_NonXtal_BW#'!$A:$Z,25,FALSE)+VLOOKUP($A24,A:AL,37,FALSE)-50),"-",(VLOOKUP($A24,'SegEnds_NonXtal_BW#'!$A:$Z,25,FALSE)+VLOOKUP($A24,A:AL,37,FALSE)-50))</f>
        <v>310</v>
      </c>
      <c r="AK24" s="3">
        <v>313</v>
      </c>
      <c r="AL24" s="3">
        <f>IF(ISERROR((VLOOKUP($A24,'SegEnds_NonXtal_BW#'!$A:$Z,26,FALSE)+VLOOKUP($A24,A:AL,37,FALSE)-50)),"-",(VLOOKUP($A24,'SegEnds_NonXtal_BW#'!$A:$Z,26,FALSE)+VLOOKUP($A24,A:AL,37,FALSE)-50))</f>
        <v>322</v>
      </c>
      <c r="AM24" s="28" t="str">
        <f>VLOOKUP(A24,Classification!A:B,2,FALSE)</f>
        <v>A</v>
      </c>
      <c r="AN24" s="28" t="b">
        <f t="shared" si="17"/>
        <v>1</v>
      </c>
      <c r="AO24" s="3" t="str">
        <f>IF(ISERROR(MATCH(A24,'SegEnds_Xtal_Prot#'!B:B, 0)), "NoXtal", "Xtal")</f>
        <v>Xtal</v>
      </c>
      <c r="AP24" s="3">
        <f t="shared" si="2"/>
        <v>1</v>
      </c>
      <c r="AQ24" s="3">
        <f t="shared" si="3"/>
        <v>1</v>
      </c>
      <c r="AR24" s="3">
        <f t="shared" si="4"/>
        <v>2</v>
      </c>
      <c r="AS24" s="3">
        <f t="shared" si="5"/>
        <v>1</v>
      </c>
      <c r="AT24" s="3">
        <f t="shared" si="6"/>
        <v>1</v>
      </c>
      <c r="AU24" s="3">
        <f t="shared" si="7"/>
        <v>1</v>
      </c>
      <c r="AV24" s="3">
        <f t="shared" si="8"/>
        <v>14</v>
      </c>
      <c r="AW24" s="3">
        <f t="shared" si="9"/>
        <v>10</v>
      </c>
      <c r="AX24" s="3">
        <f t="shared" si="10"/>
        <v>3</v>
      </c>
      <c r="AY24" s="3">
        <f t="shared" si="11"/>
        <v>6</v>
      </c>
      <c r="AZ24" s="3">
        <f t="shared" si="12"/>
        <v>1</v>
      </c>
      <c r="BA24" s="3">
        <f>IF(ISERROR(LEN(VLOOKUP(A24,Seqs!A:E,2,FALSE))-AL24),"-",LEN(VLOOKUP(A24,Seqs!A:E,2,FALSE))-AL24)</f>
        <v>26</v>
      </c>
      <c r="BB24" s="16">
        <f t="shared" si="13"/>
        <v>28</v>
      </c>
      <c r="BC24" s="9">
        <f t="shared" si="14"/>
        <v>19</v>
      </c>
      <c r="BD24" s="3">
        <f t="shared" si="15"/>
        <v>28</v>
      </c>
      <c r="BE24" s="3">
        <f t="shared" si="16"/>
        <v>52</v>
      </c>
      <c r="BF24" s="3">
        <f t="shared" si="26"/>
        <v>36</v>
      </c>
    </row>
    <row r="25" spans="1:60" s="3" customFormat="1" x14ac:dyDescent="0.2">
      <c r="A25" s="3" t="s">
        <v>339</v>
      </c>
      <c r="B25" s="3" t="str">
        <f>LOWER(VLOOKUP(A25,Xtal_Templ!A:B,2,FALSE))</f>
        <v>opsd_human</v>
      </c>
      <c r="C25" s="3">
        <f>VLOOKUP($A25,'SegEnds_NonXtal_BW#'!$A:$Z,3,FALSE)+D25-50</f>
        <v>50</v>
      </c>
      <c r="D25" s="3">
        <v>71</v>
      </c>
      <c r="E25" s="3">
        <f>IF(ISERROR(VLOOKUP($A25,'SegEnds_NonXtal_BW#'!$A:$Z,4,FALSE)+VLOOKUP($A25,A:AL,4,FALSE)-50),"-",(VLOOKUP($A25,'SegEnds_NonXtal_BW#'!$A:$Z,4,FALSE)+VLOOKUP($A25,A:AL,4,FALSE)-50))</f>
        <v>81</v>
      </c>
      <c r="F25" s="3">
        <f t="shared" si="23"/>
        <v>82</v>
      </c>
      <c r="G25" s="3">
        <v>84</v>
      </c>
      <c r="H25" s="3">
        <f t="shared" si="24"/>
        <v>85</v>
      </c>
      <c r="I25" s="3">
        <f t="shared" si="24"/>
        <v>86</v>
      </c>
      <c r="J25" s="3">
        <v>99</v>
      </c>
      <c r="K25" s="3">
        <f>VLOOKUP($A25,'SegEnds_NonXtal_BW#'!$A:$Z,8,FALSE)+VLOOKUP($A25,A:AL,10,FALSE)-50</f>
        <v>116</v>
      </c>
      <c r="L25" s="3">
        <f>M25-1</f>
        <v>118</v>
      </c>
      <c r="M25" s="3">
        <v>119</v>
      </c>
      <c r="N25" s="3">
        <f>M25+2</f>
        <v>121</v>
      </c>
      <c r="O25" s="3">
        <f t="shared" si="22"/>
        <v>122</v>
      </c>
      <c r="P25" s="3">
        <v>151</v>
      </c>
      <c r="Q25" s="3">
        <f>VLOOKUP($A25,'SegEnds_NonXtal_BW#'!$A:$Z,12,FALSE)+VLOOKUP($A25,A:AL,16,FALSE)-50</f>
        <v>157</v>
      </c>
      <c r="R25" s="3">
        <f>IF(ISERROR(VLOOKUP($A25,'SegEnds_NonXtal_BW#'!$A:$Z,13,FALSE)+VLOOKUP($A25,A:AL,19,FALSE)-50),"-",VLOOKUP($A25,'SegEnds_NonXtal_BW#'!$A:$Z,13,FALSE)+VLOOKUP($A25,A:AL,19,FALSE)-50)</f>
        <v>158</v>
      </c>
      <c r="S25" s="3">
        <v>158</v>
      </c>
      <c r="T25" s="100">
        <f>IF(ISERROR(VLOOKUP($A25,'SegEnds_NonXtal_BW#'!$A:$Z,14,FALSE)+VLOOKUP($A25,A:AL,19,FALSE)-50),"-",(VLOOKUP($A25,'SegEnds_NonXtal_BW#'!$A:$Z,14,FALSE)+VLOOKUP($A25,A:AL,19,FALSE)-50))</f>
        <v>164</v>
      </c>
      <c r="U25" s="9">
        <f>IF(ISERROR(VLOOKUP($A25,'SegEnds_NonXtal_BW#'!$A:$Z,15,FALSE)+VLOOKUP($A25,A:AL,22,FALSE)-50),"-",VLOOKUP($A25,'SegEnds_NonXtal_BW#'!$A:$Z,15,FALSE)+VLOOKUP($A25,A:AL,22,FALSE)-50)</f>
        <v>165</v>
      </c>
      <c r="V25" s="3">
        <v>177</v>
      </c>
      <c r="W25" s="3">
        <f>IF(ISERROR(VLOOKUP($A25,'SegEnds_NonXtal_BW#'!$A:$Z,16,FALSE)+VLOOKUP($A25,A:AL,22,FALSE)-50),"-",(VLOOKUP($A25,'SegEnds_NonXtal_BW#'!$A:$Z,16,FALSE)+VLOOKUP($A25,A:AL,22,FALSE)-50))</f>
        <v>189</v>
      </c>
      <c r="X25" s="3">
        <f>IF(ISERROR(VLOOKUP($A25,'SegEnds_NonXtal_BW#'!$A:$Z,17,FALSE)+VLOOKUP($A25,A:AL,25,FALSE)-50),"-",(VLOOKUP($A25,'SegEnds_NonXtal_BW#'!$A:$Z,17,FALSE)+VLOOKUP($A25,A:AL,25,FALSE)-50))</f>
        <v>203</v>
      </c>
      <c r="Y25" s="3">
        <v>203</v>
      </c>
      <c r="Z25" s="3">
        <f t="shared" si="25"/>
        <v>205</v>
      </c>
      <c r="AA25" s="3">
        <f>IF(ISERROR(VLOOKUP($A25,'SegEnds_NonXtal_BW#'!$A:$Z,19,FALSE)+VLOOKUP($A25,A:AL,28,FALSE)-50),"-",(VLOOKUP($A25,'SegEnds_NonXtal_BW#'!$A:$Z,19,FALSE)+VLOOKUP($A25,A:AL,28,FALSE)-50))</f>
        <v>215</v>
      </c>
      <c r="AB25" s="3">
        <v>231</v>
      </c>
      <c r="AC25" s="3">
        <f>IF(ISERROR((VLOOKUP($A25,'SegEnds_NonXtal_BW#'!$A:$Z,20,FALSE)+VLOOKUP($A25,A:AL,28,FALSE)-50)),"-",(VLOOKUP($A25,'SegEnds_NonXtal_BW#'!$A:$Z,20,FALSE)+VLOOKUP($A25,A:AL,28,FALSE)-50))</f>
        <v>253</v>
      </c>
      <c r="AD25" s="3">
        <f>IF(ISERROR(VLOOKUP($A25,'SegEnds_NonXtal_BW#'!$A:$Z,21,FALSE)+VLOOKUP($A25,A:AL,31,FALSE)-50),"-",(VLOOKUP($A25,'SegEnds_NonXtal_BW#'!$A:$Z,21,FALSE)+VLOOKUP($A25,A:AL,31,FALSE)-50))</f>
        <v>256</v>
      </c>
      <c r="AE25" s="3">
        <v>283</v>
      </c>
      <c r="AF25" s="3">
        <f>IF(ISERROR((VLOOKUP($A25,'SegEnds_NonXtal_BW#'!$A:$Z,22,FALSE)+VLOOKUP($A25,A:AL,31,FALSE)-50)),"-",(VLOOKUP($A25,'SegEnds_NonXtal_BW#'!$A:$Z,22,FALSE)+VLOOKUP($A25,A:AL,31,FALSE)-50))</f>
        <v>294</v>
      </c>
      <c r="AG25" s="3">
        <f>IF(ISERROR(VLOOKUP($A25,'SegEnds_NonXtal_BW#'!$A:$Z,23,FALSE)+VLOOKUP($A25,A:AL,34,FALSE)-50),"-",(VLOOKUP($A25,'SegEnds_NonXtal_BW#'!$A:$Z,23,FALSE)+VLOOKUP($A25,A:AL,34,FALSE)-50))</f>
        <v>300</v>
      </c>
      <c r="AH25" s="3">
        <v>319</v>
      </c>
      <c r="AI25" s="3">
        <f>IF(ISERROR((VLOOKUP($A25,'SegEnds_NonXtal_BW#'!$A:$Z,24,FALSE)+VLOOKUP($A25,A:AL,34,FALSE)-50)),"-",(VLOOKUP($A25,'SegEnds_NonXtal_BW#'!$A:$Z,24,FALSE)+VLOOKUP($A25,A:AL,34,FALSE)-50))</f>
        <v>325</v>
      </c>
      <c r="AJ25" s="3">
        <f>IF(ISERROR(VLOOKUP($A25,'SegEnds_NonXtal_BW#'!$A:$Z,25,FALSE)+VLOOKUP($A25,A:AL,37,FALSE)-50),"-",(VLOOKUP($A25,'SegEnds_NonXtal_BW#'!$A:$Z,25,FALSE)+VLOOKUP($A25,A:AL,37,FALSE)-50))</f>
        <v>326</v>
      </c>
      <c r="AK25" s="3">
        <v>329</v>
      </c>
      <c r="AL25" s="3">
        <f>IF(ISERROR((VLOOKUP($A25,'SegEnds_NonXtal_BW#'!$A:$Z,26,FALSE)+VLOOKUP($A25,A:AL,37,FALSE)-50)),"-",(VLOOKUP($A25,'SegEnds_NonXtal_BW#'!$A:$Z,26,FALSE)+VLOOKUP($A25,A:AL,37,FALSE)-50))</f>
        <v>338</v>
      </c>
      <c r="AM25" s="28" t="str">
        <f>VLOOKUP(A25,Classification!A:B,2,FALSE)</f>
        <v>A</v>
      </c>
      <c r="AN25" s="28" t="b">
        <f t="shared" si="17"/>
        <v>1</v>
      </c>
      <c r="AO25" s="3" t="str">
        <f>IF(ISERROR(MATCH(A25,'SegEnds_Xtal_Prot#'!B:B, 0)), "NoXtal", "Xtal")</f>
        <v>NoXtal</v>
      </c>
      <c r="AP25" s="3">
        <f t="shared" si="2"/>
        <v>1</v>
      </c>
      <c r="AQ25" s="3">
        <f t="shared" si="3"/>
        <v>1</v>
      </c>
      <c r="AR25" s="3">
        <f t="shared" si="4"/>
        <v>2</v>
      </c>
      <c r="AS25" s="3">
        <f t="shared" si="5"/>
        <v>1</v>
      </c>
      <c r="AT25" s="3">
        <f t="shared" si="6"/>
        <v>1</v>
      </c>
      <c r="AU25" s="3">
        <f t="shared" si="7"/>
        <v>1</v>
      </c>
      <c r="AV25" s="3">
        <f t="shared" si="8"/>
        <v>14</v>
      </c>
      <c r="AW25" s="3">
        <f t="shared" si="9"/>
        <v>10</v>
      </c>
      <c r="AX25" s="3">
        <f t="shared" si="10"/>
        <v>3</v>
      </c>
      <c r="AY25" s="3">
        <f t="shared" si="11"/>
        <v>6</v>
      </c>
      <c r="AZ25" s="3">
        <f t="shared" si="12"/>
        <v>1</v>
      </c>
      <c r="BA25" s="3">
        <f>IF(ISERROR(LEN(VLOOKUP(A25,Seqs!A:E,2,FALSE))-AL25),"-",LEN(VLOOKUP(A25,Seqs!A:E,2,FALSE))-AL25)</f>
        <v>26</v>
      </c>
      <c r="BB25" s="16">
        <f t="shared" si="13"/>
        <v>28</v>
      </c>
      <c r="BC25" s="9">
        <f t="shared" si="14"/>
        <v>19</v>
      </c>
      <c r="BD25" s="3">
        <f t="shared" si="15"/>
        <v>28</v>
      </c>
      <c r="BE25" s="3">
        <f t="shared" si="16"/>
        <v>52</v>
      </c>
      <c r="BF25" s="3">
        <f t="shared" si="26"/>
        <v>36</v>
      </c>
    </row>
    <row r="26" spans="1:60" s="3" customFormat="1" x14ac:dyDescent="0.2">
      <c r="A26" s="3" t="s">
        <v>340</v>
      </c>
      <c r="B26" s="3" t="str">
        <f>LOWER(VLOOKUP(A26,Xtal_Templ!A:B,2,FALSE))</f>
        <v>opsd_human</v>
      </c>
      <c r="C26" s="3">
        <f>VLOOKUP($A26,'SegEnds_NonXtal_BW#'!$A:$Z,3,FALSE)+D26-50</f>
        <v>50</v>
      </c>
      <c r="D26" s="3">
        <v>71</v>
      </c>
      <c r="E26" s="3">
        <f>IF(ISERROR(VLOOKUP($A26,'SegEnds_NonXtal_BW#'!$A:$Z,4,FALSE)+VLOOKUP($A26,A:AL,4,FALSE)-50),"-",(VLOOKUP($A26,'SegEnds_NonXtal_BW#'!$A:$Z,4,FALSE)+VLOOKUP($A26,A:AL,4,FALSE)-50))</f>
        <v>81</v>
      </c>
      <c r="F26" s="3">
        <f t="shared" si="23"/>
        <v>82</v>
      </c>
      <c r="G26" s="3">
        <v>84</v>
      </c>
      <c r="H26" s="3">
        <f t="shared" si="24"/>
        <v>85</v>
      </c>
      <c r="I26" s="3">
        <f t="shared" si="24"/>
        <v>86</v>
      </c>
      <c r="J26" s="3">
        <v>99</v>
      </c>
      <c r="K26" s="3">
        <f>VLOOKUP($A26,'SegEnds_NonXtal_BW#'!$A:$Z,8,FALSE)+VLOOKUP($A26,A:AL,10,FALSE)-50</f>
        <v>116</v>
      </c>
      <c r="L26" s="3">
        <f>M26-1</f>
        <v>117</v>
      </c>
      <c r="M26" s="3">
        <v>118</v>
      </c>
      <c r="N26" s="3">
        <f>M26+2</f>
        <v>120</v>
      </c>
      <c r="O26" s="3">
        <f t="shared" si="22"/>
        <v>121</v>
      </c>
      <c r="P26" s="3">
        <v>151</v>
      </c>
      <c r="Q26" s="3">
        <f>VLOOKUP($A26,'SegEnds_NonXtal_BW#'!$A:$Z,12,FALSE)+VLOOKUP($A26,A:AL,16,FALSE)-50</f>
        <v>157</v>
      </c>
      <c r="R26" s="3">
        <f>IF(ISERROR(VLOOKUP($A26,'SegEnds_NonXtal_BW#'!$A:$Z,13,FALSE)+VLOOKUP($A26,A:AL,19,FALSE)-50),"-",VLOOKUP($A26,'SegEnds_NonXtal_BW#'!$A:$Z,13,FALSE)+VLOOKUP($A26,A:AL,19,FALSE)-50)</f>
        <v>158</v>
      </c>
      <c r="S26" s="3">
        <v>158</v>
      </c>
      <c r="T26" s="100">
        <f>IF(ISERROR(VLOOKUP($A26,'SegEnds_NonXtal_BW#'!$A:$Z,14,FALSE)+VLOOKUP($A26,A:AL,19,FALSE)-50),"-",(VLOOKUP($A26,'SegEnds_NonXtal_BW#'!$A:$Z,14,FALSE)+VLOOKUP($A26,A:AL,19,FALSE)-50))</f>
        <v>164</v>
      </c>
      <c r="U26" s="9">
        <f>IF(ISERROR(VLOOKUP($A26,'SegEnds_NonXtal_BW#'!$A:$Z,15,FALSE)+VLOOKUP($A26,A:AL,22,FALSE)-50),"-",VLOOKUP($A26,'SegEnds_NonXtal_BW#'!$A:$Z,15,FALSE)+VLOOKUP($A26,A:AL,22,FALSE)-50)</f>
        <v>165</v>
      </c>
      <c r="V26" s="3">
        <v>177</v>
      </c>
      <c r="W26" s="3">
        <f>IF(ISERROR(VLOOKUP($A26,'SegEnds_NonXtal_BW#'!$A:$Z,16,FALSE)+VLOOKUP($A26,A:AL,22,FALSE)-50),"-",(VLOOKUP($A26,'SegEnds_NonXtal_BW#'!$A:$Z,16,FALSE)+VLOOKUP($A26,A:AL,22,FALSE)-50))</f>
        <v>189</v>
      </c>
      <c r="X26" s="3">
        <f>IF(ISERROR(VLOOKUP($A26,'SegEnds_NonXtal_BW#'!$A:$Z,17,FALSE)+VLOOKUP($A26,A:AL,25,FALSE)-50),"-",(VLOOKUP($A26,'SegEnds_NonXtal_BW#'!$A:$Z,17,FALSE)+VLOOKUP($A26,A:AL,25,FALSE)-50))</f>
        <v>203</v>
      </c>
      <c r="Y26" s="3">
        <v>203</v>
      </c>
      <c r="Z26" s="3">
        <f t="shared" si="25"/>
        <v>205</v>
      </c>
      <c r="AA26" s="3">
        <f>IF(ISERROR(VLOOKUP($A26,'SegEnds_NonXtal_BW#'!$A:$Z,19,FALSE)+VLOOKUP($A26,A:AL,28,FALSE)-50),"-",(VLOOKUP($A26,'SegEnds_NonXtal_BW#'!$A:$Z,19,FALSE)+VLOOKUP($A26,A:AL,28,FALSE)-50))</f>
        <v>215</v>
      </c>
      <c r="AB26" s="3">
        <v>231</v>
      </c>
      <c r="AC26" s="3">
        <f>IF(ISERROR((VLOOKUP($A26,'SegEnds_NonXtal_BW#'!$A:$Z,20,FALSE)+VLOOKUP($A26,A:AL,28,FALSE)-50)),"-",(VLOOKUP($A26,'SegEnds_NonXtal_BW#'!$A:$Z,20,FALSE)+VLOOKUP($A26,A:AL,28,FALSE)-50))</f>
        <v>253</v>
      </c>
      <c r="AD26" s="3">
        <f>IF(ISERROR(VLOOKUP($A26,'SegEnds_NonXtal_BW#'!$A:$Z,21,FALSE)+VLOOKUP($A26,A:AL,31,FALSE)-50),"-",(VLOOKUP($A26,'SegEnds_NonXtal_BW#'!$A:$Z,21,FALSE)+VLOOKUP($A26,A:AL,31,FALSE)-50))</f>
        <v>256</v>
      </c>
      <c r="AE26" s="3">
        <v>283</v>
      </c>
      <c r="AF26" s="3">
        <f>IF(ISERROR((VLOOKUP($A26,'SegEnds_NonXtal_BW#'!$A:$Z,22,FALSE)+VLOOKUP($A26,A:AL,31,FALSE)-50)),"-",(VLOOKUP($A26,'SegEnds_NonXtal_BW#'!$A:$Z,22,FALSE)+VLOOKUP($A26,A:AL,31,FALSE)-50))</f>
        <v>294</v>
      </c>
      <c r="AG26" s="3">
        <f>IF(ISERROR(VLOOKUP($A26,'SegEnds_NonXtal_BW#'!$A:$Z,23,FALSE)+VLOOKUP($A26,A:AL,34,FALSE)-50),"-",(VLOOKUP($A26,'SegEnds_NonXtal_BW#'!$A:$Z,23,FALSE)+VLOOKUP($A26,A:AL,34,FALSE)-50))</f>
        <v>300</v>
      </c>
      <c r="AH26" s="3">
        <v>319</v>
      </c>
      <c r="AI26" s="3">
        <f>IF(ISERROR((VLOOKUP($A26,'SegEnds_NonXtal_BW#'!$A:$Z,24,FALSE)+VLOOKUP($A26,A:AL,34,FALSE)-50)),"-",(VLOOKUP($A26,'SegEnds_NonXtal_BW#'!$A:$Z,24,FALSE)+VLOOKUP($A26,A:AL,34,FALSE)-50))</f>
        <v>325</v>
      </c>
      <c r="AJ26" s="3">
        <f>IF(ISERROR(VLOOKUP($A26,'SegEnds_NonXtal_BW#'!$A:$Z,25,FALSE)+VLOOKUP($A26,A:AL,37,FALSE)-50),"-",(VLOOKUP($A26,'SegEnds_NonXtal_BW#'!$A:$Z,25,FALSE)+VLOOKUP($A26,A:AL,37,FALSE)-50))</f>
        <v>326</v>
      </c>
      <c r="AK26" s="3">
        <v>329</v>
      </c>
      <c r="AL26" s="3">
        <f>IF(ISERROR((VLOOKUP($A26,'SegEnds_NonXtal_BW#'!$A:$Z,26,FALSE)+VLOOKUP($A26,A:AL,37,FALSE)-50)),"-",(VLOOKUP($A26,'SegEnds_NonXtal_BW#'!$A:$Z,26,FALSE)+VLOOKUP($A26,A:AL,37,FALSE)-50))</f>
        <v>338</v>
      </c>
      <c r="AM26" s="28" t="str">
        <f>VLOOKUP(A26,Classification!A:B,2,FALSE)</f>
        <v>A</v>
      </c>
      <c r="AN26" s="28" t="b">
        <f t="shared" si="17"/>
        <v>1</v>
      </c>
      <c r="AO26" s="3" t="str">
        <f>IF(ISERROR(MATCH(A26,'SegEnds_Xtal_Prot#'!B:B, 0)), "NoXtal", "Xtal")</f>
        <v>NoXtal</v>
      </c>
      <c r="AP26" s="3">
        <f t="shared" si="2"/>
        <v>1</v>
      </c>
      <c r="AQ26" s="3">
        <f t="shared" si="3"/>
        <v>1</v>
      </c>
      <c r="AR26" s="3">
        <f t="shared" si="4"/>
        <v>1</v>
      </c>
      <c r="AS26" s="3">
        <f t="shared" si="5"/>
        <v>1</v>
      </c>
      <c r="AT26" s="3">
        <f t="shared" si="6"/>
        <v>1</v>
      </c>
      <c r="AU26" s="3">
        <f t="shared" si="7"/>
        <v>1</v>
      </c>
      <c r="AV26" s="3">
        <f t="shared" si="8"/>
        <v>14</v>
      </c>
      <c r="AW26" s="3">
        <f t="shared" si="9"/>
        <v>10</v>
      </c>
      <c r="AX26" s="3">
        <f t="shared" si="10"/>
        <v>3</v>
      </c>
      <c r="AY26" s="3">
        <f t="shared" si="11"/>
        <v>6</v>
      </c>
      <c r="AZ26" s="3">
        <f t="shared" si="12"/>
        <v>1</v>
      </c>
      <c r="BA26" s="3">
        <f>IF(ISERROR(LEN(VLOOKUP(A26,Seqs!A:E,2,FALSE))-AL26),"-",LEN(VLOOKUP(A26,Seqs!A:E,2,FALSE))-AL26)</f>
        <v>26</v>
      </c>
      <c r="BB26" s="16">
        <f t="shared" si="13"/>
        <v>28</v>
      </c>
      <c r="BC26" s="9">
        <f t="shared" si="14"/>
        <v>19</v>
      </c>
      <c r="BD26" s="3">
        <f t="shared" si="15"/>
        <v>28</v>
      </c>
      <c r="BE26" s="3">
        <f t="shared" si="16"/>
        <v>52</v>
      </c>
      <c r="BF26" s="3">
        <f t="shared" si="26"/>
        <v>36</v>
      </c>
    </row>
    <row r="27" spans="1:60" s="3" customFormat="1" x14ac:dyDescent="0.2">
      <c r="A27" s="3" t="s">
        <v>349</v>
      </c>
      <c r="B27" s="3" t="str">
        <f>LOWER(VLOOKUP(A27,Xtal_Templ!A:B,2,FALSE))</f>
        <v>ptafr_human</v>
      </c>
      <c r="C27" s="3">
        <f>VLOOKUP($A27,'SegEnds_NonXtal_BW#'!$A:$Z,3,FALSE)+D27-50</f>
        <v>29</v>
      </c>
      <c r="D27" s="3">
        <v>52</v>
      </c>
      <c r="E27" s="3">
        <f>IF(ISERROR(VLOOKUP($A27,'SegEnds_NonXtal_BW#'!$A:$Z,4,FALSE)+VLOOKUP($A27,A:AL,4,FALSE)-50),"-",(VLOOKUP($A27,'SegEnds_NonXtal_BW#'!$A:$Z,4,FALSE)+VLOOKUP($A27,A:AL,4,FALSE)-50))</f>
        <v>63</v>
      </c>
      <c r="F27" s="3" t="str">
        <f>IF(ISERROR(VLOOKUP($A27,'SegEnds_NonXtal_BW#'!$A:$Z,5,FALSE)+VLOOKUP($A27,A:AL,7,FALSE)-50),"-",(VLOOKUP($A27,'SegEnds_NonXtal_BW#'!$A:$Z,5,FALSE)+VLOOKUP($A27,A:AL,7,FALSE)-50))</f>
        <v>-</v>
      </c>
      <c r="G27" s="3" t="s">
        <v>23</v>
      </c>
      <c r="H27" s="3" t="str">
        <f>IF(ISERROR(VLOOKUP($A27,'SegEnds_NonXtal_BW#'!$A:$Z,6,FALSE)+VLOOKUP($A27,A:AL,7,FALSE)-50),"-",(VLOOKUP($A27,'SegEnds_NonXtal_BW#'!$A:$Z,6,FALSE)+VLOOKUP($A27,A:AL,7,FALSE)-50))</f>
        <v>-</v>
      </c>
      <c r="I27" s="3">
        <f>VLOOKUP($A27,'SegEnds_NonXtal_BW#'!$A:$Z,7,FALSE)+J27-50</f>
        <v>67</v>
      </c>
      <c r="J27" s="3">
        <v>80</v>
      </c>
      <c r="K27" s="3">
        <f>VLOOKUP($A27,'SegEnds_NonXtal_BW#'!$A:$Z,8,FALSE)+VLOOKUP($A27,A:AL,10,FALSE)-50</f>
        <v>96</v>
      </c>
      <c r="L27" s="3">
        <f>M27-1</f>
        <v>98</v>
      </c>
      <c r="M27" s="3">
        <v>99</v>
      </c>
      <c r="N27" s="3">
        <f>M27+2</f>
        <v>101</v>
      </c>
      <c r="O27" s="3">
        <f t="shared" si="22"/>
        <v>102</v>
      </c>
      <c r="P27" s="3">
        <v>131</v>
      </c>
      <c r="Q27" s="3">
        <f>VLOOKUP($A27,'SegEnds_NonXtal_BW#'!$A:$Z,12,FALSE)+VLOOKUP($A27,A:AL,16,FALSE)-50</f>
        <v>137</v>
      </c>
      <c r="R27" s="3">
        <f>IF(ISERROR(VLOOKUP($A27,'SegEnds_NonXtal_BW#'!$A:$Z,13,FALSE)+VLOOKUP($A27,A:AL,19,FALSE)-50),"-",VLOOKUP($A27,'SegEnds_NonXtal_BW#'!$A:$Z,13,FALSE)+VLOOKUP($A27,A:AL,19,FALSE)-50)</f>
        <v>138</v>
      </c>
      <c r="S27" s="3">
        <v>138</v>
      </c>
      <c r="T27" s="100">
        <f>IF(ISERROR(VLOOKUP($A27,'SegEnds_NonXtal_BW#'!$A:$Z,14,FALSE)+VLOOKUP($A27,A:AL,19,FALSE)-50),"-",(VLOOKUP($A27,'SegEnds_NonXtal_BW#'!$A:$Z,14,FALSE)+VLOOKUP($A27,A:AL,19,FALSE)-50))</f>
        <v>144</v>
      </c>
      <c r="U27" s="9">
        <f>IF(ISERROR(VLOOKUP($A27,'SegEnds_NonXtal_BW#'!$A:$Z,15,FALSE)+VLOOKUP($A27,A:AL,22,FALSE)-50),"-",VLOOKUP($A27,'SegEnds_NonXtal_BW#'!$A:$Z,15,FALSE)+VLOOKUP($A27,A:AL,22,FALSE)-50)</f>
        <v>145</v>
      </c>
      <c r="V27" s="3">
        <v>157</v>
      </c>
      <c r="W27" s="3">
        <f>IF(ISERROR(VLOOKUP($A27,'SegEnds_NonXtal_BW#'!$A:$Z,16,FALSE)+VLOOKUP($A27,A:AL,22,FALSE)-50),"-",(VLOOKUP($A27,'SegEnds_NonXtal_BW#'!$A:$Z,16,FALSE)+VLOOKUP($A27,A:AL,22,FALSE)-50))</f>
        <v>170</v>
      </c>
      <c r="X27" s="3">
        <f>IF(ISERROR(VLOOKUP($A27,'SegEnds_NonXtal_BW#'!$A:$Z,17,FALSE)+VLOOKUP($A27,A:AL,25,FALSE)-50),"-",(VLOOKUP($A27,'SegEnds_NonXtal_BW#'!$A:$Z,17,FALSE)+VLOOKUP($A27,A:AL,25,FALSE)-50))</f>
        <v>181</v>
      </c>
      <c r="Y27" s="3">
        <v>181</v>
      </c>
      <c r="Z27" s="3">
        <f t="shared" si="25"/>
        <v>183</v>
      </c>
      <c r="AA27" s="3">
        <f>IF(ISERROR(VLOOKUP($A27,'SegEnds_NonXtal_BW#'!$A:$Z,19,FALSE)+VLOOKUP($A27,A:AL,28,FALSE)-50),"-",(VLOOKUP($A27,'SegEnds_NonXtal_BW#'!$A:$Z,19,FALSE)+VLOOKUP($A27,A:AL,28,FALSE)-50))</f>
        <v>193</v>
      </c>
      <c r="AB27" s="3">
        <v>210</v>
      </c>
      <c r="AC27" s="3">
        <f>IF(ISERROR((VLOOKUP($A27,'SegEnds_NonXtal_BW#'!$A:$Z,20,FALSE)+VLOOKUP($A27,A:AL,28,FALSE)-50)),"-",(VLOOKUP($A27,'SegEnds_NonXtal_BW#'!$A:$Z,20,FALSE)+VLOOKUP($A27,A:AL,28,FALSE)-50))</f>
        <v>228</v>
      </c>
      <c r="AD27" s="3">
        <f>IF(ISERROR(VLOOKUP($A27,'SegEnds_NonXtal_BW#'!$A:$Z,21,FALSE)+VLOOKUP($A27,A:AL,31,FALSE)-50),"-",(VLOOKUP($A27,'SegEnds_NonXtal_BW#'!$A:$Z,21,FALSE)+VLOOKUP($A27,A:AL,31,FALSE)-50))</f>
        <v>232</v>
      </c>
      <c r="AE27" s="3">
        <v>258</v>
      </c>
      <c r="AF27" s="3">
        <f>IF(ISERROR((VLOOKUP($A27,'SegEnds_NonXtal_BW#'!$A:$Z,22,FALSE)+VLOOKUP($A27,A:AL,31,FALSE)-50)),"-",(VLOOKUP($A27,'SegEnds_NonXtal_BW#'!$A:$Z,22,FALSE)+VLOOKUP($A27,A:AL,31,FALSE)-50))</f>
        <v>272</v>
      </c>
      <c r="AG27" s="3">
        <f>IF(ISERROR(VLOOKUP($A27,'SegEnds_NonXtal_BW#'!$A:$Z,23,FALSE)+VLOOKUP($A27,A:AL,34,FALSE)-50),"-",(VLOOKUP($A27,'SegEnds_NonXtal_BW#'!$A:$Z,23,FALSE)+VLOOKUP($A27,A:AL,34,FALSE)-50))</f>
        <v>276</v>
      </c>
      <c r="AH27" s="3">
        <v>302</v>
      </c>
      <c r="AI27" s="3">
        <f>IF(ISERROR((VLOOKUP($A27,'SegEnds_NonXtal_BW#'!$A:$Z,24,FALSE)+VLOOKUP($A27,A:AL,34,FALSE)-50)),"-",(VLOOKUP($A27,'SegEnds_NonXtal_BW#'!$A:$Z,24,FALSE)+VLOOKUP($A27,A:AL,34,FALSE)-50))</f>
        <v>311</v>
      </c>
      <c r="AJ27" s="3">
        <f>IF(ISERROR(VLOOKUP($A27,'SegEnds_NonXtal_BW#'!$A:$Z,25,FALSE)+VLOOKUP($A27,A:AL,37,FALSE)-50),"-",(VLOOKUP($A27,'SegEnds_NonXtal_BW#'!$A:$Z,25,FALSE)+VLOOKUP($A27,A:AL,37,FALSE)-50))</f>
        <v>312</v>
      </c>
      <c r="AK27" s="3">
        <v>312</v>
      </c>
      <c r="AL27" s="3">
        <f>IF(ISERROR((VLOOKUP($A27,'SegEnds_NonXtal_BW#'!$A:$Z,26,FALSE)+VLOOKUP($A27,A:AL,37,FALSE)-50)),"-",(VLOOKUP($A27,'SegEnds_NonXtal_BW#'!$A:$Z,26,FALSE)+VLOOKUP($A27,A:AL,37,FALSE)-50))</f>
        <v>325</v>
      </c>
      <c r="AM27" s="28" t="str">
        <f>VLOOKUP(A27,Classification!A:B,2,FALSE)</f>
        <v>A</v>
      </c>
      <c r="AN27" s="28" t="b">
        <f t="shared" si="17"/>
        <v>1</v>
      </c>
      <c r="AO27" s="3" t="str">
        <f>IF(ISERROR(MATCH(A27,'SegEnds_Xtal_Prot#'!B:B, 0)), "NoXtal", "Xtal")</f>
        <v>NoXtal</v>
      </c>
      <c r="AP27" s="3" t="str">
        <f t="shared" si="2"/>
        <v>-</v>
      </c>
      <c r="AQ27" s="3" t="str">
        <f t="shared" si="3"/>
        <v>-</v>
      </c>
      <c r="AR27" s="3">
        <f t="shared" si="4"/>
        <v>2</v>
      </c>
      <c r="AS27" s="3">
        <f t="shared" si="5"/>
        <v>1</v>
      </c>
      <c r="AT27" s="3">
        <f t="shared" si="6"/>
        <v>1</v>
      </c>
      <c r="AU27" s="3">
        <f t="shared" si="7"/>
        <v>1</v>
      </c>
      <c r="AV27" s="3">
        <f t="shared" si="8"/>
        <v>11</v>
      </c>
      <c r="AW27" s="3">
        <f t="shared" si="9"/>
        <v>10</v>
      </c>
      <c r="AX27" s="3">
        <f t="shared" si="10"/>
        <v>4</v>
      </c>
      <c r="AY27" s="3">
        <f t="shared" si="11"/>
        <v>4</v>
      </c>
      <c r="AZ27" s="3">
        <f t="shared" si="12"/>
        <v>1</v>
      </c>
      <c r="BA27" s="3">
        <f>IF(ISERROR(LEN(VLOOKUP(A27,Seqs!A:E,2,FALSE))-AL27),"-",LEN(VLOOKUP(A27,Seqs!A:E,2,FALSE))-AL27)</f>
        <v>14</v>
      </c>
      <c r="BB27" s="16">
        <f t="shared" si="13"/>
        <v>28</v>
      </c>
      <c r="BC27" s="9">
        <f t="shared" si="14"/>
        <v>19</v>
      </c>
      <c r="BD27" s="3">
        <f t="shared" si="15"/>
        <v>28</v>
      </c>
      <c r="BE27" s="3">
        <f t="shared" si="16"/>
        <v>48</v>
      </c>
      <c r="BF27" s="3">
        <f t="shared" si="26"/>
        <v>44</v>
      </c>
    </row>
    <row r="28" spans="1:60" s="3" customFormat="1" x14ac:dyDescent="0.2">
      <c r="A28" s="3" t="s">
        <v>355</v>
      </c>
      <c r="B28" s="3" t="str">
        <f>LOWER(VLOOKUP(A28,Xtal_Templ!A:B,2,FALSE))</f>
        <v>par2_human</v>
      </c>
      <c r="C28" s="3">
        <f>VLOOKUP($A28,'SegEnds_NonXtal_BW#'!$A:$Z,3,FALSE)+D28-50</f>
        <v>71</v>
      </c>
      <c r="D28" s="3">
        <v>93</v>
      </c>
      <c r="E28" s="3">
        <f>IF(ISERROR(VLOOKUP($A28,'SegEnds_NonXtal_BW#'!$A:$Z,4,FALSE)+VLOOKUP($A28,A:AL,4,FALSE)-50),"-",(VLOOKUP($A28,'SegEnds_NonXtal_BW#'!$A:$Z,4,FALSE)+VLOOKUP($A28,A:AL,4,FALSE)-50))</f>
        <v>103</v>
      </c>
      <c r="F28" s="3" t="str">
        <f>IF(ISERROR(VLOOKUP($A28,'SegEnds_NonXtal_BW#'!$A:$Z,5,FALSE)+VLOOKUP($A28,A:AL,7,FALSE)-50),"-",(VLOOKUP($A28,'SegEnds_NonXtal_BW#'!$A:$Z,5,FALSE)+VLOOKUP($A28,A:AL,7,FALSE)-50))</f>
        <v>-</v>
      </c>
      <c r="G28" s="3" t="s">
        <v>23</v>
      </c>
      <c r="H28" s="3" t="str">
        <f>IF(ISERROR(VLOOKUP($A28,'SegEnds_NonXtal_BW#'!$A:$Z,6,FALSE)+VLOOKUP($A28,A:AL,7,FALSE)-50),"-",(VLOOKUP($A28,'SegEnds_NonXtal_BW#'!$A:$Z,6,FALSE)+VLOOKUP($A28,A:AL,7,FALSE)-50))</f>
        <v>-</v>
      </c>
      <c r="I28" s="3">
        <f>VLOOKUP($A28,'SegEnds_NonXtal_BW#'!$A:$Z,7,FALSE)+J28-50</f>
        <v>108</v>
      </c>
      <c r="J28" s="3">
        <v>121</v>
      </c>
      <c r="K28" s="3">
        <f>VLOOKUP($A28,'SegEnds_NonXtal_BW#'!$A:$Z,8,FALSE)+VLOOKUP($A28,A:AL,10,FALSE)-50</f>
        <v>137</v>
      </c>
      <c r="L28" s="3">
        <f>M28-1</f>
        <v>140</v>
      </c>
      <c r="M28" s="3">
        <v>141</v>
      </c>
      <c r="N28" s="3">
        <f>M28+2</f>
        <v>143</v>
      </c>
      <c r="O28" s="3">
        <f t="shared" si="22"/>
        <v>144</v>
      </c>
      <c r="P28" s="3">
        <v>173</v>
      </c>
      <c r="Q28" s="3">
        <f>VLOOKUP($A28,'SegEnds_NonXtal_BW#'!$A:$Z,12,FALSE)+VLOOKUP($A28,A:AL,16,FALSE)-50</f>
        <v>179</v>
      </c>
      <c r="R28" s="3">
        <f>IF(ISERROR(VLOOKUP($A28,'SegEnds_NonXtal_BW#'!$A:$Z,13,FALSE)+VLOOKUP($A28,A:AL,19,FALSE)-50),"-",VLOOKUP($A28,'SegEnds_NonXtal_BW#'!$A:$Z,13,FALSE)+VLOOKUP($A28,A:AL,19,FALSE)-50)</f>
        <v>180</v>
      </c>
      <c r="S28" s="3">
        <v>180</v>
      </c>
      <c r="T28" s="100">
        <f>IF(ISERROR(VLOOKUP($A28,'SegEnds_NonXtal_BW#'!$A:$Z,14,FALSE)+VLOOKUP($A28,A:AL,19,FALSE)-50),"-",(VLOOKUP($A28,'SegEnds_NonXtal_BW#'!$A:$Z,14,FALSE)+VLOOKUP($A28,A:AL,19,FALSE)-50))</f>
        <v>186</v>
      </c>
      <c r="U28" s="9">
        <f>IF(ISERROR(VLOOKUP($A28,'SegEnds_NonXtal_BW#'!$A:$Z,15,FALSE)+VLOOKUP($A28,A:AL,22,FALSE)-50),"-",VLOOKUP($A28,'SegEnds_NonXtal_BW#'!$A:$Z,15,FALSE)+VLOOKUP($A28,A:AL,22,FALSE)-50)</f>
        <v>187</v>
      </c>
      <c r="V28" s="3">
        <v>199</v>
      </c>
      <c r="W28" s="3">
        <f>IF(ISERROR(VLOOKUP($A28,'SegEnds_NonXtal_BW#'!$A:$Z,16,FALSE)+VLOOKUP($A28,A:AL,22,FALSE)-50),"-",(VLOOKUP($A28,'SegEnds_NonXtal_BW#'!$A:$Z,16,FALSE)+VLOOKUP($A28,A:AL,22,FALSE)-50))</f>
        <v>211</v>
      </c>
      <c r="X28" s="3">
        <f>IF(ISERROR(VLOOKUP($A28,'SegEnds_NonXtal_BW#'!$A:$Z,17,FALSE)+VLOOKUP($A28,A:AL,25,FALSE)-50),"-",(VLOOKUP($A28,'SegEnds_NonXtal_BW#'!$A:$Z,17,FALSE)+VLOOKUP($A28,A:AL,25,FALSE)-50))</f>
        <v>226</v>
      </c>
      <c r="Y28" s="3">
        <v>226</v>
      </c>
      <c r="Z28" s="3">
        <f t="shared" si="25"/>
        <v>228</v>
      </c>
      <c r="AA28" s="3">
        <f>IF(ISERROR(VLOOKUP($A28,'SegEnds_NonXtal_BW#'!$A:$Z,19,FALSE)+VLOOKUP($A28,A:AL,28,FALSE)-50),"-",(VLOOKUP($A28,'SegEnds_NonXtal_BW#'!$A:$Z,19,FALSE)+VLOOKUP($A28,A:AL,28,FALSE)-50))</f>
        <v>235</v>
      </c>
      <c r="AB28" s="3">
        <v>254</v>
      </c>
      <c r="AC28" s="3">
        <f>IF(ISERROR((VLOOKUP($A28,'SegEnds_NonXtal_BW#'!$A:$Z,20,FALSE)+VLOOKUP($A28,A:AL,28,FALSE)-50)),"-",(VLOOKUP($A28,'SegEnds_NonXtal_BW#'!$A:$Z,20,FALSE)+VLOOKUP($A28,A:AL,28,FALSE)-50))</f>
        <v>272</v>
      </c>
      <c r="AD28" s="3">
        <f>IF(ISERROR(VLOOKUP($A28,'SegEnds_NonXtal_BW#'!$A:$Z,21,FALSE)+VLOOKUP($A28,A:AL,31,FALSE)-50),"-",(VLOOKUP($A28,'SegEnds_NonXtal_BW#'!$A:$Z,21,FALSE)+VLOOKUP($A28,A:AL,31,FALSE)-50))</f>
        <v>276</v>
      </c>
      <c r="AE28" s="3">
        <v>302</v>
      </c>
      <c r="AF28" s="3">
        <f>IF(ISERROR((VLOOKUP($A28,'SegEnds_NonXtal_BW#'!$A:$Z,22,FALSE)+VLOOKUP($A28,A:AL,31,FALSE)-50)),"-",(VLOOKUP($A28,'SegEnds_NonXtal_BW#'!$A:$Z,22,FALSE)+VLOOKUP($A28,A:AL,31,FALSE)-50))</f>
        <v>314</v>
      </c>
      <c r="AG28" s="3">
        <f>IF(ISERROR(VLOOKUP($A28,'SegEnds_NonXtal_BW#'!$A:$Z,23,FALSE)+VLOOKUP($A28,A:AL,34,FALSE)-50),"-",(VLOOKUP($A28,'SegEnds_NonXtal_BW#'!$A:$Z,23,FALSE)+VLOOKUP($A28,A:AL,34,FALSE)-50))</f>
        <v>322</v>
      </c>
      <c r="AH28" s="3">
        <v>341</v>
      </c>
      <c r="AI28" s="3">
        <f>IF(ISERROR((VLOOKUP($A28,'SegEnds_NonXtal_BW#'!$A:$Z,24,FALSE)+VLOOKUP($A28,A:AL,34,FALSE)-50)),"-",(VLOOKUP($A28,'SegEnds_NonXtal_BW#'!$A:$Z,24,FALSE)+VLOOKUP($A28,A:AL,34,FALSE)-50))</f>
        <v>347</v>
      </c>
      <c r="AJ28" s="3">
        <f>IF(ISERROR(VLOOKUP($A28,'SegEnds_NonXtal_BW#'!$A:$Z,25,FALSE)+VLOOKUP($A28,A:AL,37,FALSE)-50),"-",(VLOOKUP($A28,'SegEnds_NonXtal_BW#'!$A:$Z,25,FALSE)+VLOOKUP($A28,A:AL,37,FALSE)-50))</f>
        <v>348</v>
      </c>
      <c r="AK28" s="3">
        <v>351</v>
      </c>
      <c r="AL28" s="3">
        <f>IF(ISERROR((VLOOKUP($A28,'SegEnds_NonXtal_BW#'!$A:$Z,26,FALSE)+VLOOKUP($A28,A:AL,37,FALSE)-50)),"-",(VLOOKUP($A28,'SegEnds_NonXtal_BW#'!$A:$Z,26,FALSE)+VLOOKUP($A28,A:AL,37,FALSE)-50))</f>
        <v>362</v>
      </c>
      <c r="AM28" s="28" t="str">
        <f>VLOOKUP(A28,Classification!A:B,2,FALSE)</f>
        <v>A</v>
      </c>
      <c r="AN28" s="28" t="b">
        <f t="shared" si="17"/>
        <v>1</v>
      </c>
      <c r="AO28" s="3" t="str">
        <f>IF(ISERROR(MATCH(A28,'SegEnds_Xtal_Prot#'!B:B, 0)), "NoXtal", "Xtal")</f>
        <v>Xtal</v>
      </c>
      <c r="AP28" s="3" t="str">
        <f t="shared" si="2"/>
        <v>-</v>
      </c>
      <c r="AQ28" s="3" t="str">
        <f t="shared" si="3"/>
        <v>-</v>
      </c>
      <c r="AR28" s="3">
        <f t="shared" si="4"/>
        <v>3</v>
      </c>
      <c r="AS28" s="3">
        <f t="shared" si="5"/>
        <v>1</v>
      </c>
      <c r="AT28" s="3">
        <f t="shared" si="6"/>
        <v>1</v>
      </c>
      <c r="AU28" s="3">
        <f t="shared" si="7"/>
        <v>1</v>
      </c>
      <c r="AV28" s="3">
        <f t="shared" si="8"/>
        <v>15</v>
      </c>
      <c r="AW28" s="3">
        <f t="shared" si="9"/>
        <v>7</v>
      </c>
      <c r="AX28" s="3">
        <f t="shared" si="10"/>
        <v>4</v>
      </c>
      <c r="AY28" s="3">
        <f t="shared" si="11"/>
        <v>8</v>
      </c>
      <c r="AZ28" s="3">
        <f t="shared" si="12"/>
        <v>1</v>
      </c>
      <c r="BA28" s="3">
        <f>IF(ISERROR(LEN(VLOOKUP(A28,Seqs!A:E,2,FALSE))-AL28),"-",LEN(VLOOKUP(A28,Seqs!A:E,2,FALSE))-AL28)</f>
        <v>35</v>
      </c>
      <c r="BB28" s="16">
        <f t="shared" si="13"/>
        <v>28</v>
      </c>
      <c r="BC28" s="9">
        <f t="shared" si="14"/>
        <v>19</v>
      </c>
      <c r="BD28" s="3">
        <f t="shared" si="15"/>
        <v>28</v>
      </c>
      <c r="BE28" s="3">
        <f t="shared" si="16"/>
        <v>48</v>
      </c>
    </row>
    <row r="29" spans="1:60" s="3" customFormat="1" x14ac:dyDescent="0.2">
      <c r="A29" s="3" t="s">
        <v>374</v>
      </c>
      <c r="B29" s="3" t="str">
        <f>LOWER(VLOOKUP(A29,Xtal_Templ!A:B,2,FALSE))</f>
        <v>aa1r_human</v>
      </c>
      <c r="C29" s="3">
        <f>VLOOKUP($A29,'SegEnds_NonXtal_BW#'!$A:$Z,3,FALSE)+D29-50</f>
        <v>402</v>
      </c>
      <c r="D29" s="3">
        <v>423</v>
      </c>
      <c r="E29" s="3">
        <f>IF(ISERROR(VLOOKUP($A29,'SegEnds_NonXtal_BW#'!$A:$Z,4,FALSE)+VLOOKUP($A29,A:AL,4,FALSE)-50),"-",(VLOOKUP($A29,'SegEnds_NonXtal_BW#'!$A:$Z,4,FALSE)+VLOOKUP($A29,A:AL,4,FALSE)-50))</f>
        <v>433</v>
      </c>
      <c r="F29" s="3">
        <f t="shared" ref="F29:F72" si="27">G29-2</f>
        <v>434</v>
      </c>
      <c r="G29" s="3">
        <v>436</v>
      </c>
      <c r="H29" s="3">
        <f t="shared" ref="H29:I48" si="28">G29+1</f>
        <v>437</v>
      </c>
      <c r="I29" s="3">
        <f t="shared" si="28"/>
        <v>438</v>
      </c>
      <c r="J29" s="3">
        <v>451</v>
      </c>
      <c r="K29" s="3">
        <f>VLOOKUP($A29,'SegEnds_NonXtal_BW#'!$A:$Z,8,FALSE)+VLOOKUP($A29,A:AL,10,FALSE)-50</f>
        <v>468</v>
      </c>
      <c r="L29" s="3" t="str">
        <f>IF(ISERROR(VLOOKUP($A29,'SegEnds_NonXtal_BW#'!$A:$Z,9,FALSE)+VLOOKUP($A29,A:AL,13,FALSE)-50),"-",(VLOOKUP($A29,'SegEnds_NonXtal_BW#'!$A:$Z,9,FALSE)+VLOOKUP($A29,A:AL,13,FALSE)-50))</f>
        <v>-</v>
      </c>
      <c r="M29" s="3" t="s">
        <v>23</v>
      </c>
      <c r="N29" s="3" t="str">
        <f>IF(ISERROR(VLOOKUP($A29,'SegEnds_NonXtal_BW#'!$A:$Z,10,FALSE)+VLOOKUP($A29,A:AL,13,FALSE)-50),"-",(VLOOKUP($A29,'SegEnds_NonXtal_BW#'!$A:$Z,10,FALSE)+VLOOKUP($A29,A:AL,13,FALSE)-50))</f>
        <v>-</v>
      </c>
      <c r="O29" s="3">
        <f>VLOOKUP($A29,'SegEnds_NonXtal_BW#'!$A:$Z,11,FALSE)+VLOOKUP($A29,A:AL,16,FALSE)-50</f>
        <v>478</v>
      </c>
      <c r="P29" s="3">
        <v>510</v>
      </c>
      <c r="Q29" s="3">
        <f>VLOOKUP($A29,'SegEnds_NonXtal_BW#'!$A:$Z,12,FALSE)+VLOOKUP($A29,A:AL,16,FALSE)-50</f>
        <v>516</v>
      </c>
      <c r="R29" s="3">
        <f>IF(ISERROR(VLOOKUP($A29,'SegEnds_NonXtal_BW#'!$A:$Z,13,FALSE)+VLOOKUP($A29,A:AL,19,FALSE)-50),"-",VLOOKUP($A29,'SegEnds_NonXtal_BW#'!$A:$Z,13,FALSE)+VLOOKUP($A29,A:AL,19,FALSE)-50)</f>
        <v>517</v>
      </c>
      <c r="S29" s="3">
        <v>517</v>
      </c>
      <c r="T29" s="100">
        <f>IF(ISERROR(VLOOKUP($A29,'SegEnds_NonXtal_BW#'!$A:$Z,14,FALSE)+VLOOKUP($A29,A:AL,19,FALSE)-50),"-",(VLOOKUP($A29,'SegEnds_NonXtal_BW#'!$A:$Z,14,FALSE)+VLOOKUP($A29,A:AL,19,FALSE)-50))</f>
        <v>523</v>
      </c>
      <c r="U29" s="9">
        <f>IF(ISERROR(VLOOKUP($A29,'SegEnds_NonXtal_BW#'!$A:$Z,15,FALSE)+VLOOKUP($A29,A:AL,22,FALSE)-50),"-",VLOOKUP($A29,'SegEnds_NonXtal_BW#'!$A:$Z,15,FALSE)+VLOOKUP($A29,A:AL,22,FALSE)-50)</f>
        <v>524</v>
      </c>
      <c r="V29" s="3">
        <v>536</v>
      </c>
      <c r="W29" s="3">
        <f>IF(ISERROR(VLOOKUP($A29,'SegEnds_NonXtal_BW#'!$A:$Z,16,FALSE)+VLOOKUP($A29,A:AL,22,FALSE)-50),"-",(VLOOKUP($A29,'SegEnds_NonXtal_BW#'!$A:$Z,16,FALSE)+VLOOKUP($A29,A:AL,22,FALSE)-50))</f>
        <v>549</v>
      </c>
      <c r="X29" s="3">
        <f>IF(ISERROR(VLOOKUP($A29,'SegEnds_NonXtal_BW#'!$A:$Z,17,FALSE)+VLOOKUP($A29,A:AL,25,FALSE)-50),"-",(VLOOKUP($A29,'SegEnds_NonXtal_BW#'!$A:$Z,17,FALSE)+VLOOKUP($A29,A:AL,25,FALSE)-50))</f>
        <v>563</v>
      </c>
      <c r="Y29" s="3">
        <v>563</v>
      </c>
      <c r="Z29" s="3">
        <f t="shared" si="25"/>
        <v>565</v>
      </c>
      <c r="AA29" s="3">
        <f>IF(ISERROR(VLOOKUP($A29,'SegEnds_NonXtal_BW#'!$A:$Z,19,FALSE)+VLOOKUP($A29,A:AL,28,FALSE)-50),"-",(VLOOKUP($A29,'SegEnds_NonXtal_BW#'!$A:$Z,19,FALSE)+VLOOKUP($A29,A:AL,28,FALSE)-50))</f>
        <v>576</v>
      </c>
      <c r="AB29" s="3">
        <v>591</v>
      </c>
      <c r="AC29" s="3">
        <f>IF(ISERROR((VLOOKUP($A29,'SegEnds_NonXtal_BW#'!$A:$Z,20,FALSE)+VLOOKUP($A29,A:AL,28,FALSE)-50)),"-",(VLOOKUP($A29,'SegEnds_NonXtal_BW#'!$A:$Z,20,FALSE)+VLOOKUP($A29,A:AL,28,FALSE)-50))</f>
        <v>613</v>
      </c>
      <c r="AD29" s="3">
        <f>IF(ISERROR(VLOOKUP($A29,'SegEnds_NonXtal_BW#'!$A:$Z,21,FALSE)+VLOOKUP($A29,A:AL,31,FALSE)-50),"-",(VLOOKUP($A29,'SegEnds_NonXtal_BW#'!$A:$Z,21,FALSE)+VLOOKUP($A29,A:AL,31,FALSE)-50))</f>
        <v>616</v>
      </c>
      <c r="AE29" s="3">
        <v>643</v>
      </c>
      <c r="AF29" s="3">
        <f>IF(ISERROR((VLOOKUP($A29,'SegEnds_NonXtal_BW#'!$A:$Z,22,FALSE)+VLOOKUP($A29,A:AL,31,FALSE)-50)),"-",(VLOOKUP($A29,'SegEnds_NonXtal_BW#'!$A:$Z,22,FALSE)+VLOOKUP($A29,A:AL,31,FALSE)-50))</f>
        <v>654</v>
      </c>
      <c r="AG29" s="3">
        <f>IF(ISERROR(VLOOKUP($A29,'SegEnds_NonXtal_BW#'!$A:$Z,23,FALSE)+VLOOKUP($A29,A:AL,34,FALSE)-50),"-",(VLOOKUP($A29,'SegEnds_NonXtal_BW#'!$A:$Z,23,FALSE)+VLOOKUP($A29,A:AL,34,FALSE)-50))</f>
        <v>659</v>
      </c>
      <c r="AH29" s="3">
        <v>678</v>
      </c>
      <c r="AI29" s="3">
        <v>684</v>
      </c>
      <c r="AJ29" s="3">
        <f>IF(ISERROR(VLOOKUP($A29,'SegEnds_NonXtal_BW#'!$A:$Z,25,FALSE)+VLOOKUP($A29,A:AL,37,FALSE)-50),"-",(VLOOKUP($A29,'SegEnds_NonXtal_BW#'!$A:$Z,25,FALSE)+VLOOKUP($A29,A:AL,37,FALSE)-50))</f>
        <v>685</v>
      </c>
      <c r="AK29" s="3">
        <v>688</v>
      </c>
      <c r="AL29" s="3">
        <f>IF(ISERROR((VLOOKUP($A29,'SegEnds_NonXtal_BW#'!$A:$Z,26,FALSE)+VLOOKUP($A29,A:AL,37,FALSE)-50)),"-",(VLOOKUP($A29,'SegEnds_NonXtal_BW#'!$A:$Z,26,FALSE)+VLOOKUP($A29,A:AL,37,FALSE)-50))</f>
        <v>707</v>
      </c>
      <c r="AM29" s="28" t="str">
        <f>VLOOKUP(A29,Classification!A:B,2,FALSE)</f>
        <v>A</v>
      </c>
      <c r="AN29" s="28" t="b">
        <f t="shared" si="17"/>
        <v>1</v>
      </c>
      <c r="AO29" s="3" t="str">
        <f>IF(ISERROR(MATCH(A29,'SegEnds_Xtal_Prot#'!B:B, 0)), "NoXtal", "Xtal")</f>
        <v>NoXtal</v>
      </c>
      <c r="AP29" s="3">
        <f t="shared" si="2"/>
        <v>1</v>
      </c>
      <c r="AQ29" s="3">
        <f t="shared" si="3"/>
        <v>1</v>
      </c>
      <c r="AR29" s="3" t="str">
        <f t="shared" si="4"/>
        <v>-</v>
      </c>
      <c r="AS29" s="3" t="str">
        <f t="shared" si="5"/>
        <v>-</v>
      </c>
      <c r="AT29" s="3">
        <f t="shared" si="6"/>
        <v>1</v>
      </c>
      <c r="AU29" s="3">
        <f t="shared" si="7"/>
        <v>1</v>
      </c>
      <c r="AV29" s="3">
        <f t="shared" si="8"/>
        <v>14</v>
      </c>
      <c r="AW29" s="3">
        <f t="shared" si="9"/>
        <v>11</v>
      </c>
      <c r="AX29" s="3">
        <f t="shared" si="10"/>
        <v>3</v>
      </c>
      <c r="AY29" s="3">
        <f t="shared" si="11"/>
        <v>5</v>
      </c>
      <c r="AZ29" s="3">
        <f t="shared" si="12"/>
        <v>1</v>
      </c>
      <c r="BA29" s="3">
        <f>IF(ISERROR(LEN(VLOOKUP(A29,Seqs!A:E,2,FALSE))-AL29),"-",LEN(VLOOKUP(A29,Seqs!A:E,2,FALSE))-AL29)</f>
        <v>50</v>
      </c>
      <c r="BB29" s="16">
        <f t="shared" si="13"/>
        <v>28</v>
      </c>
      <c r="BC29" s="9">
        <f t="shared" si="14"/>
        <v>19</v>
      </c>
      <c r="BD29" s="3">
        <f t="shared" si="15"/>
        <v>28</v>
      </c>
      <c r="BE29" s="3">
        <f t="shared" si="16"/>
        <v>52</v>
      </c>
    </row>
    <row r="30" spans="1:60" s="3" customFormat="1" x14ac:dyDescent="0.2">
      <c r="A30" s="3" t="s">
        <v>375</v>
      </c>
      <c r="B30" s="3" t="str">
        <f>LOWER(VLOOKUP(A30,Xtal_Templ!A:B,2,FALSE))</f>
        <v>aa1r_human</v>
      </c>
      <c r="C30" s="3">
        <f>VLOOKUP($A30,'SegEnds_NonXtal_BW#'!$A:$Z,3,FALSE)+D30-50</f>
        <v>412</v>
      </c>
      <c r="D30" s="3">
        <v>433</v>
      </c>
      <c r="E30" s="3">
        <f>IF(ISERROR(VLOOKUP($A30,'SegEnds_NonXtal_BW#'!$A:$Z,4,FALSE)+VLOOKUP($A30,A:AL,4,FALSE)-50),"-",(VLOOKUP($A30,'SegEnds_NonXtal_BW#'!$A:$Z,4,FALSE)+VLOOKUP($A30,A:AL,4,FALSE)-50))</f>
        <v>443</v>
      </c>
      <c r="F30" s="3">
        <f t="shared" si="27"/>
        <v>444</v>
      </c>
      <c r="G30" s="3">
        <v>446</v>
      </c>
      <c r="H30" s="3">
        <f t="shared" si="28"/>
        <v>447</v>
      </c>
      <c r="I30" s="3">
        <f t="shared" si="28"/>
        <v>448</v>
      </c>
      <c r="J30" s="3">
        <v>461</v>
      </c>
      <c r="K30" s="3">
        <f>VLOOKUP($A30,'SegEnds_NonXtal_BW#'!$A:$Z,8,FALSE)+VLOOKUP($A30,A:AL,10,FALSE)-50</f>
        <v>478</v>
      </c>
      <c r="L30" s="3">
        <f>M30-1</f>
        <v>484</v>
      </c>
      <c r="M30" s="3">
        <v>485</v>
      </c>
      <c r="N30" s="3">
        <f>M30+2</f>
        <v>487</v>
      </c>
      <c r="O30" s="3">
        <f t="shared" ref="O30:O53" si="29">N30+1</f>
        <v>488</v>
      </c>
      <c r="P30" s="3">
        <v>520</v>
      </c>
      <c r="Q30" s="3">
        <f>VLOOKUP($A30,'SegEnds_NonXtal_BW#'!$A:$Z,12,FALSE)+VLOOKUP($A30,A:AL,16,FALSE)-50</f>
        <v>526</v>
      </c>
      <c r="R30" s="3">
        <f>IF(ISERROR(VLOOKUP($A30,'SegEnds_NonXtal_BW#'!$A:$Z,13,FALSE)+VLOOKUP($A30,A:AL,19,FALSE)-50),"-",VLOOKUP($A30,'SegEnds_NonXtal_BW#'!$A:$Z,13,FALSE)+VLOOKUP($A30,A:AL,19,FALSE)-50)</f>
        <v>527</v>
      </c>
      <c r="S30" s="3">
        <v>527</v>
      </c>
      <c r="T30" s="100">
        <f>IF(ISERROR(VLOOKUP($A30,'SegEnds_NonXtal_BW#'!$A:$Z,14,FALSE)+VLOOKUP($A30,A:AL,19,FALSE)-50),"-",(VLOOKUP($A30,'SegEnds_NonXtal_BW#'!$A:$Z,14,FALSE)+VLOOKUP($A30,A:AL,19,FALSE)-50))</f>
        <v>533</v>
      </c>
      <c r="U30" s="9">
        <f>IF(ISERROR(VLOOKUP($A30,'SegEnds_NonXtal_BW#'!$A:$Z,15,FALSE)+VLOOKUP($A30,A:AL,22,FALSE)-50),"-",VLOOKUP($A30,'SegEnds_NonXtal_BW#'!$A:$Z,15,FALSE)+VLOOKUP($A30,A:AL,22,FALSE)-50)</f>
        <v>534</v>
      </c>
      <c r="V30" s="3">
        <v>546</v>
      </c>
      <c r="W30" s="3">
        <f>IF(ISERROR(VLOOKUP($A30,'SegEnds_NonXtal_BW#'!$A:$Z,16,FALSE)+VLOOKUP($A30,A:AL,22,FALSE)-50),"-",(VLOOKUP($A30,'SegEnds_NonXtal_BW#'!$A:$Z,16,FALSE)+VLOOKUP($A30,A:AL,22,FALSE)-50))</f>
        <v>559</v>
      </c>
      <c r="X30" s="3">
        <f>IF(ISERROR(VLOOKUP($A30,'SegEnds_NonXtal_BW#'!$A:$Z,17,FALSE)+VLOOKUP($A30,A:AL,25,FALSE)-50),"-",(VLOOKUP($A30,'SegEnds_NonXtal_BW#'!$A:$Z,17,FALSE)+VLOOKUP($A30,A:AL,25,FALSE)-50))</f>
        <v>573</v>
      </c>
      <c r="Y30" s="3">
        <v>573</v>
      </c>
      <c r="Z30" s="3">
        <f t="shared" si="25"/>
        <v>575</v>
      </c>
      <c r="AA30" s="3">
        <f>IF(ISERROR(VLOOKUP($A30,'SegEnds_NonXtal_BW#'!$A:$Z,19,FALSE)+VLOOKUP($A30,A:AL,28,FALSE)-50),"-",(VLOOKUP($A30,'SegEnds_NonXtal_BW#'!$A:$Z,19,FALSE)+VLOOKUP($A30,A:AL,28,FALSE)-50))</f>
        <v>586</v>
      </c>
      <c r="AB30" s="3">
        <v>601</v>
      </c>
      <c r="AC30" s="3">
        <f>IF(ISERROR((VLOOKUP($A30,'SegEnds_NonXtal_BW#'!$A:$Z,20,FALSE)+VLOOKUP($A30,A:AL,28,FALSE)-50)),"-",(VLOOKUP($A30,'SegEnds_NonXtal_BW#'!$A:$Z,20,FALSE)+VLOOKUP($A30,A:AL,28,FALSE)-50))</f>
        <v>623</v>
      </c>
      <c r="AD30" s="3">
        <f>IF(ISERROR(VLOOKUP($A30,'SegEnds_NonXtal_BW#'!$A:$Z,21,FALSE)+VLOOKUP($A30,A:AL,31,FALSE)-50),"-",(VLOOKUP($A30,'SegEnds_NonXtal_BW#'!$A:$Z,21,FALSE)+VLOOKUP($A30,A:AL,31,FALSE)-50))</f>
        <v>626</v>
      </c>
      <c r="AE30" s="3">
        <v>653</v>
      </c>
      <c r="AF30" s="3">
        <f>IF(ISERROR((VLOOKUP($A30,'SegEnds_NonXtal_BW#'!$A:$Z,22,FALSE)+VLOOKUP($A30,A:AL,31,FALSE)-50)),"-",(VLOOKUP($A30,'SegEnds_NonXtal_BW#'!$A:$Z,22,FALSE)+VLOOKUP($A30,A:AL,31,FALSE)-50))</f>
        <v>664</v>
      </c>
      <c r="AG30" s="3">
        <f>IF(ISERROR(VLOOKUP($A30,'SegEnds_NonXtal_BW#'!$A:$Z,23,FALSE)+VLOOKUP($A30,A:AL,34,FALSE)-50),"-",(VLOOKUP($A30,'SegEnds_NonXtal_BW#'!$A:$Z,23,FALSE)+VLOOKUP($A30,A:AL,34,FALSE)-50))</f>
        <v>669</v>
      </c>
      <c r="AH30" s="3">
        <v>688</v>
      </c>
      <c r="AI30" s="3">
        <v>694</v>
      </c>
      <c r="AJ30" s="3">
        <f>IF(ISERROR(VLOOKUP($A30,'SegEnds_NonXtal_BW#'!$A:$Z,25,FALSE)+VLOOKUP($A30,A:AL,37,FALSE)-50),"-",(VLOOKUP($A30,'SegEnds_NonXtal_BW#'!$A:$Z,25,FALSE)+VLOOKUP($A30,A:AL,37,FALSE)-50))</f>
        <v>695</v>
      </c>
      <c r="AK30" s="3">
        <v>698</v>
      </c>
      <c r="AL30" s="3">
        <f>IF(ISERROR((VLOOKUP($A30,'SegEnds_NonXtal_BW#'!$A:$Z,26,FALSE)+VLOOKUP($A30,A:AL,37,FALSE)-50)),"-",(VLOOKUP($A30,'SegEnds_NonXtal_BW#'!$A:$Z,26,FALSE)+VLOOKUP($A30,A:AL,37,FALSE)-50))</f>
        <v>717</v>
      </c>
      <c r="AM30" s="28" t="str">
        <f>VLOOKUP(A30,Classification!A:B,2,FALSE)</f>
        <v>A</v>
      </c>
      <c r="AN30" s="28" t="b">
        <f t="shared" si="17"/>
        <v>1</v>
      </c>
      <c r="AO30" s="3" t="str">
        <f>IF(ISERROR(MATCH(A30,'SegEnds_Xtal_Prot#'!B:B, 0)), "NoXtal", "Xtal")</f>
        <v>NoXtal</v>
      </c>
      <c r="AP30" s="3">
        <f t="shared" si="2"/>
        <v>1</v>
      </c>
      <c r="AQ30" s="3">
        <f t="shared" si="3"/>
        <v>1</v>
      </c>
      <c r="AR30" s="3">
        <f t="shared" si="4"/>
        <v>6</v>
      </c>
      <c r="AS30" s="3">
        <f t="shared" si="5"/>
        <v>1</v>
      </c>
      <c r="AT30" s="3">
        <f t="shared" si="6"/>
        <v>1</v>
      </c>
      <c r="AU30" s="3">
        <f t="shared" si="7"/>
        <v>1</v>
      </c>
      <c r="AV30" s="3">
        <f t="shared" si="8"/>
        <v>14</v>
      </c>
      <c r="AW30" s="3">
        <f t="shared" si="9"/>
        <v>11</v>
      </c>
      <c r="AX30" s="3">
        <f t="shared" si="10"/>
        <v>3</v>
      </c>
      <c r="AY30" s="3">
        <f t="shared" si="11"/>
        <v>5</v>
      </c>
      <c r="AZ30" s="3">
        <f t="shared" si="12"/>
        <v>1</v>
      </c>
      <c r="BA30" s="3">
        <f>IF(ISERROR(LEN(VLOOKUP(A30,Seqs!A:E,2,FALSE))-AL30),"-",LEN(VLOOKUP(A30,Seqs!A:E,2,FALSE))-AL30)</f>
        <v>37</v>
      </c>
      <c r="BB30" s="16">
        <f t="shared" si="13"/>
        <v>28</v>
      </c>
      <c r="BC30" s="9">
        <f t="shared" si="14"/>
        <v>19</v>
      </c>
      <c r="BD30" s="3">
        <f t="shared" si="15"/>
        <v>28</v>
      </c>
      <c r="BE30" s="3">
        <f t="shared" si="16"/>
        <v>52</v>
      </c>
    </row>
    <row r="31" spans="1:60" s="3" customFormat="1" x14ac:dyDescent="0.2">
      <c r="A31" s="3" t="s">
        <v>104</v>
      </c>
      <c r="B31" s="3" t="str">
        <f>LOWER(VLOOKUP(A31,Xtal_Templ!A:B,2,FALSE))</f>
        <v>s1pr1_human</v>
      </c>
      <c r="C31" s="3">
        <f>VLOOKUP($A31,'SegEnds_NonXtal_BW#'!$A:$Z,3,FALSE)+D31-50</f>
        <v>42</v>
      </c>
      <c r="D31" s="3">
        <v>63</v>
      </c>
      <c r="E31" s="3">
        <f>IF(ISERROR(VLOOKUP($A31,'SegEnds_NonXtal_BW#'!$A:$Z,4,FALSE)+VLOOKUP($A31,A:AL,4,FALSE)-50),"-",(VLOOKUP($A31,'SegEnds_NonXtal_BW#'!$A:$Z,4,FALSE)+VLOOKUP($A31,A:AL,4,FALSE)-50))</f>
        <v>73</v>
      </c>
      <c r="F31" s="3">
        <f t="shared" si="27"/>
        <v>74</v>
      </c>
      <c r="G31" s="3">
        <v>76</v>
      </c>
      <c r="H31" s="3">
        <f t="shared" si="28"/>
        <v>77</v>
      </c>
      <c r="I31" s="3">
        <f t="shared" si="28"/>
        <v>78</v>
      </c>
      <c r="J31" s="3">
        <v>91</v>
      </c>
      <c r="K31" s="3">
        <f>VLOOKUP($A31,'SegEnds_NonXtal_BW#'!$A:$Z,8,FALSE)+VLOOKUP($A31,A:AL,10,FALSE)-50</f>
        <v>104</v>
      </c>
      <c r="L31" s="3">
        <f>M31-3</f>
        <v>106</v>
      </c>
      <c r="M31" s="3">
        <v>109</v>
      </c>
      <c r="N31" s="3">
        <f>M31+3</f>
        <v>112</v>
      </c>
      <c r="O31" s="3">
        <f t="shared" si="29"/>
        <v>113</v>
      </c>
      <c r="P31" s="3">
        <v>142</v>
      </c>
      <c r="Q31" s="3">
        <f>VLOOKUP($A31,'SegEnds_NonXtal_BW#'!$A:$Z,12,FALSE)+VLOOKUP($A31,A:AL,16,FALSE)-50</f>
        <v>148</v>
      </c>
      <c r="R31" s="3">
        <f>IF(ISERROR(VLOOKUP($A31,'SegEnds_NonXtal_BW#'!$A:$Z,13,FALSE)+VLOOKUP($A31,A:AL,19,FALSE)-50),"-",VLOOKUP($A31,'SegEnds_NonXtal_BW#'!$A:$Z,13,FALSE)+VLOOKUP($A31,A:AL,19,FALSE)-50)</f>
        <v>149</v>
      </c>
      <c r="S31" s="3">
        <v>149</v>
      </c>
      <c r="T31" s="100">
        <f>IF(ISERROR(VLOOKUP($A31,'SegEnds_NonXtal_BW#'!$A:$Z,14,FALSE)+VLOOKUP($A31,A:AL,19,FALSE)-50),"-",(VLOOKUP($A31,'SegEnds_NonXtal_BW#'!$A:$Z,14,FALSE)+VLOOKUP($A31,A:AL,19,FALSE)-50))</f>
        <v>155</v>
      </c>
      <c r="U31" s="9">
        <f>IF(ISERROR(VLOOKUP($A31,'SegEnds_NonXtal_BW#'!$A:$Z,15,FALSE)+VLOOKUP($A31,A:AL,22,FALSE)-50),"-",VLOOKUP($A31,'SegEnds_NonXtal_BW#'!$A:$Z,15,FALSE)+VLOOKUP($A31,A:AL,22,FALSE)-50)</f>
        <v>156</v>
      </c>
      <c r="V31" s="3">
        <v>168</v>
      </c>
      <c r="W31" s="3">
        <f>IF(ISERROR(VLOOKUP($A31,'SegEnds_NonXtal_BW#'!$A:$Z,16,FALSE)+VLOOKUP($A31,A:AL,22,FALSE)-50),"-",(VLOOKUP($A31,'SegEnds_NonXtal_BW#'!$A:$Z,16,FALSE)+VLOOKUP($A31,A:AL,22,FALSE)-50))</f>
        <v>181</v>
      </c>
      <c r="X31" s="3" t="str">
        <f>IF(ISERROR(VLOOKUP($A31,'SegEnds_NonXtal_BW#'!$A:$Z,17,FALSE)+VLOOKUP($A31,A:AL,25,FALSE)-50),"-",(VLOOKUP($A31,'SegEnds_NonXtal_BW#'!$A:$Z,17,FALSE)+VLOOKUP($A31,A:AL,25,FALSE)-50))</f>
        <v>-</v>
      </c>
      <c r="Y31" s="3" t="s">
        <v>23</v>
      </c>
      <c r="Z31" s="3" t="str">
        <f>IF(ISERROR(VLOOKUP($A31,'SegEnds_NonXtal_BW#'!$A:$Z,18,FALSE)+VLOOKUP($A31,A:AL,25,FALSE)-50),"-",(VLOOKUP($A31,'SegEnds_NonXtal_BW#'!$A:$Z,18,FALSE)+VLOOKUP($A31,A:AL,25,FALSE)-50))</f>
        <v>-</v>
      </c>
      <c r="AA31" s="3">
        <f>IF(ISERROR(VLOOKUP($A31,'SegEnds_NonXtal_BW#'!$A:$Z,19,FALSE)+VLOOKUP($A31,A:AL,28,FALSE)-50),"-",(VLOOKUP($A31,'SegEnds_NonXtal_BW#'!$A:$Z,19,FALSE)+VLOOKUP($A31,A:AL,28,FALSE)-50))</f>
        <v>199</v>
      </c>
      <c r="AB31" s="3">
        <v>213</v>
      </c>
      <c r="AC31" s="3">
        <f>IF(ISERROR((VLOOKUP($A31,'SegEnds_NonXtal_BW#'!$A:$Z,20,FALSE)+VLOOKUP($A31,A:AL,28,FALSE)-50)),"-",(VLOOKUP($A31,'SegEnds_NonXtal_BW#'!$A:$Z,20,FALSE)+VLOOKUP($A31,A:AL,28,FALSE)-50))</f>
        <v>236</v>
      </c>
      <c r="AD31" s="3">
        <f>IF(ISERROR(VLOOKUP($A31,'SegEnds_NonXtal_BW#'!$A:$Z,21,FALSE)+VLOOKUP($A31,A:AL,31,FALSE)-50),"-",(VLOOKUP($A31,'SegEnds_NonXtal_BW#'!$A:$Z,21,FALSE)+VLOOKUP($A31,A:AL,31,FALSE)-50))</f>
        <v>245</v>
      </c>
      <c r="AE31" s="3">
        <v>271</v>
      </c>
      <c r="AF31" s="3">
        <f>IF(ISERROR((VLOOKUP($A31,'SegEnds_NonXtal_BW#'!$A:$Z,22,FALSE)+VLOOKUP($A31,A:AL,31,FALSE)-50)),"-",(VLOOKUP($A31,'SegEnds_NonXtal_BW#'!$A:$Z,22,FALSE)+VLOOKUP($A31,A:AL,31,FALSE)-50))</f>
        <v>282</v>
      </c>
      <c r="AG31" s="3">
        <f>IF(ISERROR(VLOOKUP($A31,'SegEnds_NonXtal_BW#'!$A:$Z,23,FALSE)+VLOOKUP($A31,A:AL,34,FALSE)-50),"-",(VLOOKUP($A31,'SegEnds_NonXtal_BW#'!$A:$Z,23,FALSE)+VLOOKUP($A31,A:AL,34,FALSE)-50))</f>
        <v>288</v>
      </c>
      <c r="AH31" s="3">
        <v>308</v>
      </c>
      <c r="AI31" s="3">
        <f>IF(ISERROR((VLOOKUP($A31,'SegEnds_NonXtal_BW#'!$A:$Z,24,FALSE)+VLOOKUP($A31,A:AL,34,FALSE)-50)),"-",(VLOOKUP($A31,'SegEnds_NonXtal_BW#'!$A:$Z,24,FALSE)+VLOOKUP($A31,A:AL,34,FALSE)-50))</f>
        <v>314</v>
      </c>
      <c r="AJ31" s="3">
        <f>IF(ISERROR(VLOOKUP($A31,'SegEnds_NonXtal_BW#'!$A:$Z,25,FALSE)+VLOOKUP($A31,A:AL,37,FALSE)-50),"-",(VLOOKUP($A31,'SegEnds_NonXtal_BW#'!$A:$Z,25,FALSE)+VLOOKUP($A31,A:AL,37,FALSE)-50))</f>
        <v>315</v>
      </c>
      <c r="AK31" s="3">
        <v>318</v>
      </c>
      <c r="AL31" s="3">
        <f>IF(ISERROR((VLOOKUP($A31,'SegEnds_NonXtal_BW#'!$A:$Z,26,FALSE)+VLOOKUP($A31,A:AL,37,FALSE)-50)),"-",(VLOOKUP($A31,'SegEnds_NonXtal_BW#'!$A:$Z,26,FALSE)+VLOOKUP($A31,A:AL,37,FALSE)-50))</f>
        <v>327</v>
      </c>
      <c r="AM31" s="28" t="str">
        <f>VLOOKUP(A31,Classification!A:B,2,FALSE)</f>
        <v>A</v>
      </c>
      <c r="AN31" s="28" t="b">
        <f t="shared" si="17"/>
        <v>1</v>
      </c>
      <c r="AO31" s="3" t="str">
        <f>IF(ISERROR(MATCH(A31,'SegEnds_Xtal_Prot#'!B:B, 0)), "NoXtal", "Xtal")</f>
        <v>Xtal</v>
      </c>
      <c r="AP31" s="3">
        <f t="shared" si="2"/>
        <v>1</v>
      </c>
      <c r="AQ31" s="3">
        <f t="shared" si="3"/>
        <v>1</v>
      </c>
      <c r="AR31" s="3">
        <f t="shared" si="4"/>
        <v>2</v>
      </c>
      <c r="AS31" s="3">
        <f t="shared" si="5"/>
        <v>1</v>
      </c>
      <c r="AT31" s="3">
        <f t="shared" si="6"/>
        <v>1</v>
      </c>
      <c r="AU31" s="3">
        <f t="shared" si="7"/>
        <v>1</v>
      </c>
      <c r="AV31" s="3" t="str">
        <f t="shared" si="8"/>
        <v>-</v>
      </c>
      <c r="AW31" s="3" t="str">
        <f t="shared" si="9"/>
        <v>-</v>
      </c>
      <c r="AX31" s="3">
        <f t="shared" si="10"/>
        <v>9</v>
      </c>
      <c r="AY31" s="3">
        <f t="shared" si="11"/>
        <v>6</v>
      </c>
      <c r="AZ31" s="3">
        <f t="shared" si="12"/>
        <v>1</v>
      </c>
      <c r="BA31" s="3">
        <f>IF(ISERROR(LEN(VLOOKUP(A31,Seqs!A:E,2,FALSE))-AL31),"-",LEN(VLOOKUP(A31,Seqs!A:E,2,FALSE))-AL31)</f>
        <v>55</v>
      </c>
      <c r="BB31" s="16">
        <f t="shared" si="13"/>
        <v>28</v>
      </c>
      <c r="BC31" s="9">
        <f t="shared" si="14"/>
        <v>19</v>
      </c>
      <c r="BD31" s="3">
        <f t="shared" si="15"/>
        <v>28</v>
      </c>
      <c r="BE31" s="3">
        <f t="shared" si="16"/>
        <v>58</v>
      </c>
    </row>
    <row r="32" spans="1:60" s="3" customFormat="1" x14ac:dyDescent="0.2">
      <c r="A32" s="3" t="s">
        <v>376</v>
      </c>
      <c r="B32" s="3" t="str">
        <f>LOWER(VLOOKUP(A32,Xtal_Templ!A:B,2,FALSE))</f>
        <v>s1pr1_human</v>
      </c>
      <c r="C32" s="3">
        <f>VLOOKUP($A32,'SegEnds_NonXtal_BW#'!$A:$Z,3,FALSE)+D32-50</f>
        <v>30</v>
      </c>
      <c r="D32" s="3">
        <v>51</v>
      </c>
      <c r="E32" s="3">
        <f>IF(ISERROR(VLOOKUP($A32,'SegEnds_NonXtal_BW#'!$A:$Z,4,FALSE)+VLOOKUP($A32,A:AL,4,FALSE)-50),"-",(VLOOKUP($A32,'SegEnds_NonXtal_BW#'!$A:$Z,4,FALSE)+VLOOKUP($A32,A:AL,4,FALSE)-50))</f>
        <v>61</v>
      </c>
      <c r="F32" s="3">
        <f t="shared" si="27"/>
        <v>62</v>
      </c>
      <c r="G32" s="3">
        <v>64</v>
      </c>
      <c r="H32" s="3">
        <f t="shared" si="28"/>
        <v>65</v>
      </c>
      <c r="I32" s="3">
        <f t="shared" si="28"/>
        <v>66</v>
      </c>
      <c r="J32" s="3">
        <v>79</v>
      </c>
      <c r="K32" s="3">
        <f>VLOOKUP($A32,'SegEnds_NonXtal_BW#'!$A:$Z,8,FALSE)+VLOOKUP($A32,A:AL,10,FALSE)-50</f>
        <v>92</v>
      </c>
      <c r="L32" s="3">
        <f>M32-3</f>
        <v>94</v>
      </c>
      <c r="M32" s="3">
        <v>97</v>
      </c>
      <c r="N32" s="3">
        <f>M32+3</f>
        <v>100</v>
      </c>
      <c r="O32" s="3">
        <f t="shared" si="29"/>
        <v>101</v>
      </c>
      <c r="P32" s="3">
        <v>130</v>
      </c>
      <c r="Q32" s="3">
        <f>VLOOKUP($A32,'SegEnds_NonXtal_BW#'!$A:$Z,12,FALSE)+VLOOKUP($A32,A:AL,16,FALSE)-50</f>
        <v>136</v>
      </c>
      <c r="R32" s="3">
        <f>IF(ISERROR(VLOOKUP($A32,'SegEnds_NonXtal_BW#'!$A:$Z,13,FALSE)+VLOOKUP($A32,A:AL,19,FALSE)-50),"-",VLOOKUP($A32,'SegEnds_NonXtal_BW#'!$A:$Z,13,FALSE)+VLOOKUP($A32,A:AL,19,FALSE)-50)</f>
        <v>137</v>
      </c>
      <c r="S32" s="3">
        <v>137</v>
      </c>
      <c r="T32" s="100">
        <f>IF(ISERROR(VLOOKUP($A32,'SegEnds_NonXtal_BW#'!$A:$Z,14,FALSE)+VLOOKUP($A32,A:AL,19,FALSE)-50),"-",(VLOOKUP($A32,'SegEnds_NonXtal_BW#'!$A:$Z,14,FALSE)+VLOOKUP($A32,A:AL,19,FALSE)-50))</f>
        <v>143</v>
      </c>
      <c r="U32" s="9">
        <f>IF(ISERROR(VLOOKUP($A32,'SegEnds_NonXtal_BW#'!$A:$Z,15,FALSE)+VLOOKUP($A32,A:AL,22,FALSE)-50),"-",VLOOKUP($A32,'SegEnds_NonXtal_BW#'!$A:$Z,15,FALSE)+VLOOKUP($A32,A:AL,22,FALSE)-50)</f>
        <v>144</v>
      </c>
      <c r="V32" s="3">
        <v>156</v>
      </c>
      <c r="W32" s="3">
        <f>IF(ISERROR(VLOOKUP($A32,'SegEnds_NonXtal_BW#'!$A:$Z,16,FALSE)+VLOOKUP($A32,A:AL,22,FALSE)-50),"-",(VLOOKUP($A32,'SegEnds_NonXtal_BW#'!$A:$Z,16,FALSE)+VLOOKUP($A32,A:AL,22,FALSE)-50))</f>
        <v>169</v>
      </c>
      <c r="X32" s="3" t="str">
        <f>IF(ISERROR(VLOOKUP($A32,'SegEnds_NonXtal_BW#'!$A:$Z,17,FALSE)+VLOOKUP($A32,A:AL,25,FALSE)-50),"-",(VLOOKUP($A32,'SegEnds_NonXtal_BW#'!$A:$Z,17,FALSE)+VLOOKUP($A32,A:AL,25,FALSE)-50))</f>
        <v>-</v>
      </c>
      <c r="Y32" s="3" t="s">
        <v>23</v>
      </c>
      <c r="Z32" s="3" t="str">
        <f>IF(ISERROR(VLOOKUP($A32,'SegEnds_NonXtal_BW#'!$A:$Z,18,FALSE)+VLOOKUP($A32,A:AL,25,FALSE)-50),"-",(VLOOKUP($A32,'SegEnds_NonXtal_BW#'!$A:$Z,18,FALSE)+VLOOKUP($A32,A:AL,25,FALSE)-50))</f>
        <v>-</v>
      </c>
      <c r="AA32" s="3">
        <f>IF(ISERROR(VLOOKUP($A32,'SegEnds_NonXtal_BW#'!$A:$Z,19,FALSE)+VLOOKUP($A32,A:AL,28,FALSE)-50),"-",(VLOOKUP($A32,'SegEnds_NonXtal_BW#'!$A:$Z,19,FALSE)+VLOOKUP($A32,A:AL,28,FALSE)-50))</f>
        <v>187</v>
      </c>
      <c r="AB32" s="3">
        <v>201</v>
      </c>
      <c r="AC32" s="3">
        <f>IF(ISERROR((VLOOKUP($A32,'SegEnds_NonXtal_BW#'!$A:$Z,20,FALSE)+VLOOKUP($A32,A:AL,28,FALSE)-50)),"-",(VLOOKUP($A32,'SegEnds_NonXtal_BW#'!$A:$Z,20,FALSE)+VLOOKUP($A32,A:AL,28,FALSE)-50))</f>
        <v>218</v>
      </c>
      <c r="AD32" s="3">
        <f>IF(ISERROR(VLOOKUP($A32,'SegEnds_NonXtal_BW#'!$A:$Z,21,FALSE)+VLOOKUP($A32,A:AL,31,FALSE)-50),"-",(VLOOKUP($A32,'SegEnds_NonXtal_BW#'!$A:$Z,21,FALSE)+VLOOKUP($A32,A:AL,31,FALSE)-50))</f>
        <v>224</v>
      </c>
      <c r="AE32" s="3">
        <v>248</v>
      </c>
      <c r="AF32" s="3">
        <f>IF(ISERROR((VLOOKUP($A32,'SegEnds_NonXtal_BW#'!$A:$Z,22,FALSE)+VLOOKUP($A32,A:AL,31,FALSE)-50)),"-",(VLOOKUP($A32,'SegEnds_NonXtal_BW#'!$A:$Z,22,FALSE)+VLOOKUP($A32,A:AL,31,FALSE)-50))</f>
        <v>259</v>
      </c>
      <c r="AG32" s="3">
        <f>IF(ISERROR(VLOOKUP($A32,'SegEnds_NonXtal_BW#'!$A:$Z,23,FALSE)+VLOOKUP($A32,A:AL,34,FALSE)-50),"-",(VLOOKUP($A32,'SegEnds_NonXtal_BW#'!$A:$Z,23,FALSE)+VLOOKUP($A32,A:AL,34,FALSE)-50))</f>
        <v>265</v>
      </c>
      <c r="AH32" s="3">
        <v>285</v>
      </c>
      <c r="AI32" s="3">
        <f>IF(ISERROR((VLOOKUP($A32,'SegEnds_NonXtal_BW#'!$A:$Z,24,FALSE)+VLOOKUP($A32,A:AL,34,FALSE)-50)),"-",(VLOOKUP($A32,'SegEnds_NonXtal_BW#'!$A:$Z,24,FALSE)+VLOOKUP($A32,A:AL,34,FALSE)-50))</f>
        <v>291</v>
      </c>
      <c r="AJ32" s="3">
        <f>IF(ISERROR(VLOOKUP($A32,'SegEnds_NonXtal_BW#'!$A:$Z,25,FALSE)+VLOOKUP($A32,A:AL,37,FALSE)-50),"-",(VLOOKUP($A32,'SegEnds_NonXtal_BW#'!$A:$Z,25,FALSE)+VLOOKUP($A32,A:AL,37,FALSE)-50))</f>
        <v>292</v>
      </c>
      <c r="AK32" s="3">
        <v>295</v>
      </c>
      <c r="AL32" s="3">
        <f>IF(ISERROR((VLOOKUP($A32,'SegEnds_NonXtal_BW#'!$A:$Z,26,FALSE)+VLOOKUP($A32,A:AL,37,FALSE)-50)),"-",(VLOOKUP($A32,'SegEnds_NonXtal_BW#'!$A:$Z,26,FALSE)+VLOOKUP($A32,A:AL,37,FALSE)-50))</f>
        <v>304</v>
      </c>
      <c r="AM32" s="28" t="str">
        <f>VLOOKUP(A32,Classification!A:B,2,FALSE)</f>
        <v>A</v>
      </c>
      <c r="AN32" s="28" t="b">
        <f t="shared" si="17"/>
        <v>1</v>
      </c>
      <c r="AO32" s="3" t="str">
        <f>IF(ISERROR(MATCH(A32,'SegEnds_Xtal_Prot#'!B:B, 0)), "NoXtal", "Xtal")</f>
        <v>NoXtal</v>
      </c>
      <c r="AP32" s="3">
        <f t="shared" si="2"/>
        <v>1</v>
      </c>
      <c r="AQ32" s="3">
        <f t="shared" si="3"/>
        <v>1</v>
      </c>
      <c r="AR32" s="3">
        <f t="shared" si="4"/>
        <v>2</v>
      </c>
      <c r="AS32" s="3">
        <f t="shared" si="5"/>
        <v>1</v>
      </c>
      <c r="AT32" s="3">
        <f t="shared" si="6"/>
        <v>1</v>
      </c>
      <c r="AU32" s="3">
        <f t="shared" si="7"/>
        <v>1</v>
      </c>
      <c r="AV32" s="3" t="str">
        <f t="shared" si="8"/>
        <v>-</v>
      </c>
      <c r="AW32" s="3" t="str">
        <f t="shared" si="9"/>
        <v>-</v>
      </c>
      <c r="AX32" s="3">
        <f t="shared" si="10"/>
        <v>6</v>
      </c>
      <c r="AY32" s="3">
        <f t="shared" si="11"/>
        <v>6</v>
      </c>
      <c r="AZ32" s="3">
        <f t="shared" si="12"/>
        <v>1</v>
      </c>
      <c r="BA32" s="3">
        <f>IF(ISERROR(LEN(VLOOKUP(A32,Seqs!A:E,2,FALSE))-AL32),"-",LEN(VLOOKUP(A32,Seqs!A:E,2,FALSE))-AL32)</f>
        <v>49</v>
      </c>
      <c r="BB32" s="16">
        <f t="shared" si="13"/>
        <v>28</v>
      </c>
      <c r="BC32" s="9">
        <f t="shared" si="14"/>
        <v>19</v>
      </c>
      <c r="BD32" s="3">
        <f t="shared" si="15"/>
        <v>28</v>
      </c>
      <c r="BE32" s="3">
        <f t="shared" si="16"/>
        <v>47</v>
      </c>
      <c r="BH32" s="9"/>
    </row>
    <row r="33" spans="1:58" s="3" customFormat="1" x14ac:dyDescent="0.2">
      <c r="A33" s="3" t="s">
        <v>377</v>
      </c>
      <c r="B33" s="3" t="str">
        <f>LOWER(VLOOKUP(A33,Xtal_Templ!A:B,2,FALSE))</f>
        <v>s1pr1_human</v>
      </c>
      <c r="C33" s="3">
        <f>VLOOKUP($A33,'SegEnds_NonXtal_BW#'!$A:$Z,3,FALSE)+D33-50</f>
        <v>36</v>
      </c>
      <c r="D33" s="3">
        <v>57</v>
      </c>
      <c r="E33" s="3">
        <f>IF(ISERROR(VLOOKUP($A33,'SegEnds_NonXtal_BW#'!$A:$Z,4,FALSE)+VLOOKUP($A33,A:AL,4,FALSE)-50),"-",(VLOOKUP($A33,'SegEnds_NonXtal_BW#'!$A:$Z,4,FALSE)+VLOOKUP($A33,A:AL,4,FALSE)-50))</f>
        <v>67</v>
      </c>
      <c r="F33" s="3">
        <f t="shared" si="27"/>
        <v>68</v>
      </c>
      <c r="G33" s="3">
        <v>70</v>
      </c>
      <c r="H33" s="3">
        <f t="shared" si="28"/>
        <v>71</v>
      </c>
      <c r="I33" s="3">
        <f t="shared" si="28"/>
        <v>72</v>
      </c>
      <c r="J33" s="3">
        <v>85</v>
      </c>
      <c r="K33" s="3">
        <f>VLOOKUP($A33,'SegEnds_NonXtal_BW#'!$A:$Z,8,FALSE)+VLOOKUP($A33,A:AL,10,FALSE)-50</f>
        <v>98</v>
      </c>
      <c r="L33" s="3">
        <f>M33-3</f>
        <v>100</v>
      </c>
      <c r="M33" s="3">
        <v>103</v>
      </c>
      <c r="N33" s="3">
        <f>M33+3</f>
        <v>106</v>
      </c>
      <c r="O33" s="3">
        <f t="shared" si="29"/>
        <v>107</v>
      </c>
      <c r="P33" s="3">
        <v>136</v>
      </c>
      <c r="Q33" s="3">
        <f>VLOOKUP($A33,'SegEnds_NonXtal_BW#'!$A:$Z,12,FALSE)+VLOOKUP($A33,A:AL,16,FALSE)-50</f>
        <v>142</v>
      </c>
      <c r="R33" s="3">
        <f>IF(ISERROR(VLOOKUP($A33,'SegEnds_NonXtal_BW#'!$A:$Z,13,FALSE)+VLOOKUP($A33,A:AL,19,FALSE)-50),"-",VLOOKUP($A33,'SegEnds_NonXtal_BW#'!$A:$Z,13,FALSE)+VLOOKUP($A33,A:AL,19,FALSE)-50)</f>
        <v>143</v>
      </c>
      <c r="S33" s="3">
        <v>143</v>
      </c>
      <c r="T33" s="100">
        <f>IF(ISERROR(VLOOKUP($A33,'SegEnds_NonXtal_BW#'!$A:$Z,14,FALSE)+VLOOKUP($A33,A:AL,19,FALSE)-50),"-",(VLOOKUP($A33,'SegEnds_NonXtal_BW#'!$A:$Z,14,FALSE)+VLOOKUP($A33,A:AL,19,FALSE)-50))</f>
        <v>149</v>
      </c>
      <c r="U33" s="9">
        <f>IF(ISERROR(VLOOKUP($A33,'SegEnds_NonXtal_BW#'!$A:$Z,15,FALSE)+VLOOKUP($A33,A:AL,22,FALSE)-50),"-",VLOOKUP($A33,'SegEnds_NonXtal_BW#'!$A:$Z,15,FALSE)+VLOOKUP($A33,A:AL,22,FALSE)-50)</f>
        <v>150</v>
      </c>
      <c r="V33" s="3">
        <v>162</v>
      </c>
      <c r="W33" s="3">
        <f>IF(ISERROR(VLOOKUP($A33,'SegEnds_NonXtal_BW#'!$A:$Z,16,FALSE)+VLOOKUP($A33,A:AL,22,FALSE)-50),"-",(VLOOKUP($A33,'SegEnds_NonXtal_BW#'!$A:$Z,16,FALSE)+VLOOKUP($A33,A:AL,22,FALSE)-50))</f>
        <v>175</v>
      </c>
      <c r="X33" s="3" t="str">
        <f>IF(ISERROR(VLOOKUP($A33,'SegEnds_NonXtal_BW#'!$A:$Z,17,FALSE)+VLOOKUP($A33,A:AL,25,FALSE)-50),"-",(VLOOKUP($A33,'SegEnds_NonXtal_BW#'!$A:$Z,17,FALSE)+VLOOKUP($A33,A:AL,25,FALSE)-50))</f>
        <v>-</v>
      </c>
      <c r="Y33" s="3" t="s">
        <v>23</v>
      </c>
      <c r="Z33" s="3" t="str">
        <f>IF(ISERROR(VLOOKUP($A33,'SegEnds_NonXtal_BW#'!$A:$Z,18,FALSE)+VLOOKUP($A33,A:AL,25,FALSE)-50),"-",(VLOOKUP($A33,'SegEnds_NonXtal_BW#'!$A:$Z,18,FALSE)+VLOOKUP($A33,A:AL,25,FALSE)-50))</f>
        <v>-</v>
      </c>
      <c r="AA33" s="3">
        <f>IF(ISERROR(VLOOKUP($A33,'SegEnds_NonXtal_BW#'!$A:$Z,19,FALSE)+VLOOKUP($A33,A:AL,28,FALSE)-50),"-",(VLOOKUP($A33,'SegEnds_NonXtal_BW#'!$A:$Z,19,FALSE)+VLOOKUP($A33,A:AL,28,FALSE)-50))</f>
        <v>193</v>
      </c>
      <c r="AB33" s="3">
        <v>207</v>
      </c>
      <c r="AC33" s="3">
        <f>IF(ISERROR((VLOOKUP($A33,'SegEnds_NonXtal_BW#'!$A:$Z,20,FALSE)+VLOOKUP($A33,A:AL,28,FALSE)-50)),"-",(VLOOKUP($A33,'SegEnds_NonXtal_BW#'!$A:$Z,20,FALSE)+VLOOKUP($A33,A:AL,28,FALSE)-50))</f>
        <v>225</v>
      </c>
      <c r="AD33" s="3">
        <f>IF(ISERROR(VLOOKUP($A33,'SegEnds_NonXtal_BW#'!$A:$Z,21,FALSE)+VLOOKUP($A33,A:AL,31,FALSE)-50),"-",(VLOOKUP($A33,'SegEnds_NonXtal_BW#'!$A:$Z,21,FALSE)+VLOOKUP($A33,A:AL,31,FALSE)-50))</f>
        <v>231</v>
      </c>
      <c r="AE33" s="3">
        <v>258</v>
      </c>
      <c r="AF33" s="3">
        <f>IF(ISERROR((VLOOKUP($A33,'SegEnds_NonXtal_BW#'!$A:$Z,22,FALSE)+VLOOKUP($A33,A:AL,31,FALSE)-50)),"-",(VLOOKUP($A33,'SegEnds_NonXtal_BW#'!$A:$Z,22,FALSE)+VLOOKUP($A33,A:AL,31,FALSE)-50))</f>
        <v>269</v>
      </c>
      <c r="AG33" s="3">
        <f>IF(ISERROR(VLOOKUP($A33,'SegEnds_NonXtal_BW#'!$A:$Z,23,FALSE)+VLOOKUP($A33,A:AL,34,FALSE)-50),"-",(VLOOKUP($A33,'SegEnds_NonXtal_BW#'!$A:$Z,23,FALSE)+VLOOKUP($A33,A:AL,34,FALSE)-50))</f>
        <v>275</v>
      </c>
      <c r="AH33" s="3">
        <v>295</v>
      </c>
      <c r="AI33" s="3">
        <f>IF(ISERROR((VLOOKUP($A33,'SegEnds_NonXtal_BW#'!$A:$Z,24,FALSE)+VLOOKUP($A33,A:AL,34,FALSE)-50)),"-",(VLOOKUP($A33,'SegEnds_NonXtal_BW#'!$A:$Z,24,FALSE)+VLOOKUP($A33,A:AL,34,FALSE)-50))</f>
        <v>301</v>
      </c>
      <c r="AJ33" s="3">
        <f>IF(ISERROR(VLOOKUP($A33,'SegEnds_NonXtal_BW#'!$A:$Z,25,FALSE)+VLOOKUP($A33,A:AL,37,FALSE)-50),"-",(VLOOKUP($A33,'SegEnds_NonXtal_BW#'!$A:$Z,25,FALSE)+VLOOKUP($A33,A:AL,37,FALSE)-50))</f>
        <v>302</v>
      </c>
      <c r="AK33" s="3">
        <v>305</v>
      </c>
      <c r="AL33" s="3">
        <f>IF(ISERROR((VLOOKUP($A33,'SegEnds_NonXtal_BW#'!$A:$Z,26,FALSE)+VLOOKUP($A33,A:AL,37,FALSE)-50)),"-",(VLOOKUP($A33,'SegEnds_NonXtal_BW#'!$A:$Z,26,FALSE)+VLOOKUP($A33,A:AL,37,FALSE)-50))</f>
        <v>314</v>
      </c>
      <c r="AM33" s="28" t="str">
        <f>VLOOKUP(A33,Classification!A:B,2,FALSE)</f>
        <v>A</v>
      </c>
      <c r="AN33" s="28" t="b">
        <f t="shared" si="17"/>
        <v>1</v>
      </c>
      <c r="AO33" s="3" t="str">
        <f>IF(ISERROR(MATCH(A33,'SegEnds_Xtal_Prot#'!B:B, 0)), "NoXtal", "Xtal")</f>
        <v>NoXtal</v>
      </c>
      <c r="AP33" s="3">
        <f t="shared" si="2"/>
        <v>1</v>
      </c>
      <c r="AQ33" s="3">
        <f t="shared" si="3"/>
        <v>1</v>
      </c>
      <c r="AR33" s="3">
        <f t="shared" si="4"/>
        <v>2</v>
      </c>
      <c r="AS33" s="3">
        <f t="shared" si="5"/>
        <v>1</v>
      </c>
      <c r="AT33" s="3">
        <f t="shared" si="6"/>
        <v>1</v>
      </c>
      <c r="AU33" s="3">
        <f t="shared" si="7"/>
        <v>1</v>
      </c>
      <c r="AV33" s="3" t="str">
        <f t="shared" si="8"/>
        <v>-</v>
      </c>
      <c r="AW33" s="3" t="str">
        <f t="shared" si="9"/>
        <v>-</v>
      </c>
      <c r="AX33" s="3">
        <f t="shared" si="10"/>
        <v>6</v>
      </c>
      <c r="AY33" s="3">
        <f t="shared" si="11"/>
        <v>6</v>
      </c>
      <c r="AZ33" s="3">
        <f t="shared" si="12"/>
        <v>1</v>
      </c>
      <c r="BA33" s="3">
        <f>IF(ISERROR(LEN(VLOOKUP(A33,Seqs!A:E,2,FALSE))-AL33),"-",LEN(VLOOKUP(A33,Seqs!A:E,2,FALSE))-AL33)</f>
        <v>64</v>
      </c>
      <c r="BB33" s="16">
        <f t="shared" si="13"/>
        <v>28</v>
      </c>
      <c r="BC33" s="9">
        <f t="shared" si="14"/>
        <v>19</v>
      </c>
      <c r="BD33" s="3">
        <f t="shared" si="15"/>
        <v>28</v>
      </c>
      <c r="BE33" s="3">
        <f t="shared" si="16"/>
        <v>51</v>
      </c>
    </row>
    <row r="34" spans="1:58" s="3" customFormat="1" x14ac:dyDescent="0.2">
      <c r="A34" s="3" t="s">
        <v>379</v>
      </c>
      <c r="B34" s="3" t="str">
        <f>LOWER(VLOOKUP(A34,Xtal_Templ!A:B,2,FALSE))</f>
        <v>s1pr1_human</v>
      </c>
      <c r="C34" s="3">
        <f>VLOOKUP($A34,'SegEnds_NonXtal_BW#'!$A:$Z,3,FALSE)+D34-50</f>
        <v>33</v>
      </c>
      <c r="D34" s="3">
        <v>54</v>
      </c>
      <c r="E34" s="3">
        <f>IF(ISERROR(VLOOKUP($A34,'SegEnds_NonXtal_BW#'!$A:$Z,4,FALSE)+VLOOKUP($A34,A:AL,4,FALSE)-50),"-",(VLOOKUP($A34,'SegEnds_NonXtal_BW#'!$A:$Z,4,FALSE)+VLOOKUP($A34,A:AL,4,FALSE)-50))</f>
        <v>64</v>
      </c>
      <c r="F34" s="3">
        <f t="shared" si="27"/>
        <v>65</v>
      </c>
      <c r="G34" s="3">
        <v>67</v>
      </c>
      <c r="H34" s="3">
        <f t="shared" si="28"/>
        <v>68</v>
      </c>
      <c r="I34" s="3">
        <f t="shared" si="28"/>
        <v>69</v>
      </c>
      <c r="J34" s="3">
        <v>82</v>
      </c>
      <c r="K34" s="3">
        <f>VLOOKUP($A34,'SegEnds_NonXtal_BW#'!$A:$Z,8,FALSE)+VLOOKUP($A34,A:AL,10,FALSE)-50</f>
        <v>95</v>
      </c>
      <c r="L34" s="3">
        <f>M34-3</f>
        <v>97</v>
      </c>
      <c r="M34" s="3">
        <v>100</v>
      </c>
      <c r="N34" s="3">
        <f>M34+3</f>
        <v>103</v>
      </c>
      <c r="O34" s="3">
        <f t="shared" si="29"/>
        <v>104</v>
      </c>
      <c r="P34" s="3">
        <v>133</v>
      </c>
      <c r="Q34" s="3">
        <f>VLOOKUP($A34,'SegEnds_NonXtal_BW#'!$A:$Z,12,FALSE)+VLOOKUP($A34,A:AL,16,FALSE)-50</f>
        <v>139</v>
      </c>
      <c r="R34" s="3">
        <f>IF(ISERROR(VLOOKUP($A34,'SegEnds_NonXtal_BW#'!$A:$Z,13,FALSE)+VLOOKUP($A34,A:AL,19,FALSE)-50),"-",VLOOKUP($A34,'SegEnds_NonXtal_BW#'!$A:$Z,13,FALSE)+VLOOKUP($A34,A:AL,19,FALSE)-50)</f>
        <v>140</v>
      </c>
      <c r="S34" s="3">
        <v>140</v>
      </c>
      <c r="T34" s="100">
        <f>IF(ISERROR(VLOOKUP($A34,'SegEnds_NonXtal_BW#'!$A:$Z,14,FALSE)+VLOOKUP($A34,A:AL,19,FALSE)-50),"-",(VLOOKUP($A34,'SegEnds_NonXtal_BW#'!$A:$Z,14,FALSE)+VLOOKUP($A34,A:AL,19,FALSE)-50))</f>
        <v>146</v>
      </c>
      <c r="U34" s="9">
        <f>IF(ISERROR(VLOOKUP($A34,'SegEnds_NonXtal_BW#'!$A:$Z,15,FALSE)+VLOOKUP($A34,A:AL,22,FALSE)-50),"-",VLOOKUP($A34,'SegEnds_NonXtal_BW#'!$A:$Z,15,FALSE)+VLOOKUP($A34,A:AL,22,FALSE)-50)</f>
        <v>147</v>
      </c>
      <c r="V34" s="3">
        <v>159</v>
      </c>
      <c r="W34" s="3">
        <f>IF(ISERROR(VLOOKUP($A34,'SegEnds_NonXtal_BW#'!$A:$Z,16,FALSE)+VLOOKUP($A34,A:AL,22,FALSE)-50),"-",(VLOOKUP($A34,'SegEnds_NonXtal_BW#'!$A:$Z,16,FALSE)+VLOOKUP($A34,A:AL,22,FALSE)-50))</f>
        <v>172</v>
      </c>
      <c r="X34" s="3" t="str">
        <f>IF(ISERROR(VLOOKUP($A34,'SegEnds_NonXtal_BW#'!$A:$Z,17,FALSE)+VLOOKUP($A34,A:AL,25,FALSE)-50),"-",(VLOOKUP($A34,'SegEnds_NonXtal_BW#'!$A:$Z,17,FALSE)+VLOOKUP($A34,A:AL,25,FALSE)-50))</f>
        <v>-</v>
      </c>
      <c r="Y34" s="3" t="s">
        <v>23</v>
      </c>
      <c r="Z34" s="3" t="str">
        <f>IF(ISERROR(VLOOKUP($A34,'SegEnds_NonXtal_BW#'!$A:$Z,18,FALSE)+VLOOKUP($A34,A:AL,25,FALSE)-50),"-",(VLOOKUP($A34,'SegEnds_NonXtal_BW#'!$A:$Z,18,FALSE)+VLOOKUP($A34,A:AL,25,FALSE)-50))</f>
        <v>-</v>
      </c>
      <c r="AA34" s="3">
        <f>IF(ISERROR(VLOOKUP($A34,'SegEnds_NonXtal_BW#'!$A:$Z,19,FALSE)+VLOOKUP($A34,A:AL,28,FALSE)-50),"-",(VLOOKUP($A34,'SegEnds_NonXtal_BW#'!$A:$Z,19,FALSE)+VLOOKUP($A34,A:AL,28,FALSE)-50))</f>
        <v>190</v>
      </c>
      <c r="AB34" s="3">
        <v>204</v>
      </c>
      <c r="AC34" s="3">
        <f>IF(ISERROR((VLOOKUP($A34,'SegEnds_NonXtal_BW#'!$A:$Z,20,FALSE)+VLOOKUP($A34,A:AL,28,FALSE)-50)),"-",(VLOOKUP($A34,'SegEnds_NonXtal_BW#'!$A:$Z,20,FALSE)+VLOOKUP($A34,A:AL,28,FALSE)-50))</f>
        <v>228</v>
      </c>
      <c r="AD34" s="3">
        <f>IF(ISERROR(VLOOKUP($A34,'SegEnds_NonXtal_BW#'!$A:$Z,21,FALSE)+VLOOKUP($A34,A:AL,31,FALSE)-50),"-",(VLOOKUP($A34,'SegEnds_NonXtal_BW#'!$A:$Z,21,FALSE)+VLOOKUP($A34,A:AL,31,FALSE)-50))</f>
        <v>237</v>
      </c>
      <c r="AE34" s="3">
        <v>266</v>
      </c>
      <c r="AF34" s="3">
        <f>IF(ISERROR((VLOOKUP($A34,'SegEnds_NonXtal_BW#'!$A:$Z,22,FALSE)+VLOOKUP($A34,A:AL,31,FALSE)-50)),"-",(VLOOKUP($A34,'SegEnds_NonXtal_BW#'!$A:$Z,22,FALSE)+VLOOKUP($A34,A:AL,31,FALSE)-50))</f>
        <v>277</v>
      </c>
      <c r="AG34" s="3">
        <f>IF(ISERROR(VLOOKUP($A34,'SegEnds_NonXtal_BW#'!$A:$Z,23,FALSE)+VLOOKUP($A34,A:AL,34,FALSE)-50),"-",(VLOOKUP($A34,'SegEnds_NonXtal_BW#'!$A:$Z,23,FALSE)+VLOOKUP($A34,A:AL,34,FALSE)-50))</f>
        <v>283</v>
      </c>
      <c r="AH34" s="3">
        <v>303</v>
      </c>
      <c r="AI34" s="3">
        <f>IF(ISERROR((VLOOKUP($A34,'SegEnds_NonXtal_BW#'!$A:$Z,24,FALSE)+VLOOKUP($A34,A:AL,34,FALSE)-50)),"-",(VLOOKUP($A34,'SegEnds_NonXtal_BW#'!$A:$Z,24,FALSE)+VLOOKUP($A34,A:AL,34,FALSE)-50))</f>
        <v>309</v>
      </c>
      <c r="AJ34" s="3">
        <f>IF(ISERROR(VLOOKUP($A34,'SegEnds_NonXtal_BW#'!$A:$Z,25,FALSE)+VLOOKUP($A34,A:AL,37,FALSE)-50),"-",(VLOOKUP($A34,'SegEnds_NonXtal_BW#'!$A:$Z,25,FALSE)+VLOOKUP($A34,A:AL,37,FALSE)-50))</f>
        <v>310</v>
      </c>
      <c r="AK34" s="3">
        <v>313</v>
      </c>
      <c r="AL34" s="3">
        <f>IF(ISERROR((VLOOKUP($A34,'SegEnds_NonXtal_BW#'!$A:$Z,26,FALSE)+VLOOKUP($A34,A:AL,37,FALSE)-50)),"-",(VLOOKUP($A34,'SegEnds_NonXtal_BW#'!$A:$Z,26,FALSE)+VLOOKUP($A34,A:AL,37,FALSE)-50))</f>
        <v>322</v>
      </c>
      <c r="AM34" s="28" t="str">
        <f>VLOOKUP(A34,Classification!A:B,2,FALSE)</f>
        <v>A</v>
      </c>
      <c r="AN34" s="28" t="b">
        <f t="shared" si="17"/>
        <v>1</v>
      </c>
      <c r="AO34" s="3" t="str">
        <f>IF(ISERROR(MATCH(A34,'SegEnds_Xtal_Prot#'!B:B, 0)), "NoXtal", "Xtal")</f>
        <v>NoXtal</v>
      </c>
      <c r="AP34" s="3">
        <f t="shared" si="2"/>
        <v>1</v>
      </c>
      <c r="AQ34" s="3">
        <f t="shared" si="3"/>
        <v>1</v>
      </c>
      <c r="AR34" s="3">
        <f t="shared" si="4"/>
        <v>2</v>
      </c>
      <c r="AS34" s="3">
        <f t="shared" si="5"/>
        <v>1</v>
      </c>
      <c r="AT34" s="3">
        <f t="shared" si="6"/>
        <v>1</v>
      </c>
      <c r="AU34" s="3">
        <f t="shared" si="7"/>
        <v>1</v>
      </c>
      <c r="AV34" s="3" t="str">
        <f t="shared" si="8"/>
        <v>-</v>
      </c>
      <c r="AW34" s="3" t="str">
        <f t="shared" si="9"/>
        <v>-</v>
      </c>
      <c r="AX34" s="3">
        <f t="shared" si="10"/>
        <v>9</v>
      </c>
      <c r="AY34" s="3">
        <f t="shared" si="11"/>
        <v>6</v>
      </c>
      <c r="AZ34" s="3">
        <f t="shared" si="12"/>
        <v>1</v>
      </c>
      <c r="BA34" s="3">
        <f>IF(ISERROR(LEN(VLOOKUP(A34,Seqs!A:E,2,FALSE))-AL34),"-",LEN(VLOOKUP(A34,Seqs!A:E,2,FALSE))-AL34)</f>
        <v>76</v>
      </c>
      <c r="BB34" s="16">
        <f t="shared" si="13"/>
        <v>28</v>
      </c>
      <c r="BC34" s="9">
        <f t="shared" si="14"/>
        <v>19</v>
      </c>
      <c r="BD34" s="3">
        <f t="shared" si="15"/>
        <v>28</v>
      </c>
      <c r="BE34" s="3">
        <f t="shared" si="16"/>
        <v>62</v>
      </c>
    </row>
    <row r="35" spans="1:58" s="3" customFormat="1" x14ac:dyDescent="0.2">
      <c r="A35" s="3" t="s">
        <v>395</v>
      </c>
      <c r="B35" s="3" t="str">
        <f>LOWER(VLOOKUP(A35,Xtal_Templ!A:B,2,FALSE))</f>
        <v>ccr5_human</v>
      </c>
      <c r="C35" s="3">
        <f>VLOOKUP($A35,'SegEnds_NonXtal_BW#'!$A:$Z,3,FALSE)+D35-50</f>
        <v>43</v>
      </c>
      <c r="D35" s="3">
        <v>69</v>
      </c>
      <c r="E35" s="3">
        <f>IF(ISERROR(VLOOKUP($A35,'SegEnds_NonXtal_BW#'!$A:$Z,4,FALSE)+VLOOKUP($A35,A:AL,4,FALSE)-50),"-",(VLOOKUP($A35,'SegEnds_NonXtal_BW#'!$A:$Z,4,FALSE)+VLOOKUP($A35,A:AL,4,FALSE)-50))</f>
        <v>79</v>
      </c>
      <c r="F35" s="3">
        <f t="shared" si="27"/>
        <v>80</v>
      </c>
      <c r="G35" s="3">
        <v>82</v>
      </c>
      <c r="H35" s="3">
        <f t="shared" si="28"/>
        <v>83</v>
      </c>
      <c r="I35" s="3">
        <f t="shared" si="28"/>
        <v>84</v>
      </c>
      <c r="J35" s="3">
        <v>97</v>
      </c>
      <c r="K35" s="3">
        <f>VLOOKUP($A35,'SegEnds_NonXtal_BW#'!$A:$Z,8,FALSE)+VLOOKUP($A35,A:AL,10,FALSE)-50</f>
        <v>113</v>
      </c>
      <c r="L35" s="3">
        <f>M35-1</f>
        <v>115</v>
      </c>
      <c r="M35" s="3">
        <v>116</v>
      </c>
      <c r="N35" s="3">
        <f t="shared" ref="N35:N53" si="30">M35+2</f>
        <v>118</v>
      </c>
      <c r="O35" s="3">
        <f t="shared" si="29"/>
        <v>119</v>
      </c>
      <c r="P35" s="3">
        <v>148</v>
      </c>
      <c r="Q35" s="3">
        <f>VLOOKUP($A35,'SegEnds_NonXtal_BW#'!$A:$Z,12,FALSE)+VLOOKUP($A35,A:AL,16,FALSE)-50</f>
        <v>154</v>
      </c>
      <c r="R35" s="3">
        <f>IF(ISERROR(VLOOKUP($A35,'SegEnds_NonXtal_BW#'!$A:$Z,13,FALSE)+VLOOKUP($A35,A:AL,19,FALSE)-50),"-",VLOOKUP($A35,'SegEnds_NonXtal_BW#'!$A:$Z,13,FALSE)+VLOOKUP($A35,A:AL,19,FALSE)-50)</f>
        <v>155</v>
      </c>
      <c r="S35" s="3">
        <v>155</v>
      </c>
      <c r="T35" s="100">
        <f>IF(ISERROR(VLOOKUP($A35,'SegEnds_NonXtal_BW#'!$A:$Z,14,FALSE)+VLOOKUP($A35,A:AL,19,FALSE)-50),"-",(VLOOKUP($A35,'SegEnds_NonXtal_BW#'!$A:$Z,14,FALSE)+VLOOKUP($A35,A:AL,19,FALSE)-50))</f>
        <v>161</v>
      </c>
      <c r="U35" s="9">
        <f>IF(ISERROR(VLOOKUP($A35,'SegEnds_NonXtal_BW#'!$A:$Z,15,FALSE)+VLOOKUP($A35,A:AL,22,FALSE)-50),"-",VLOOKUP($A35,'SegEnds_NonXtal_BW#'!$A:$Z,15,FALSE)+VLOOKUP($A35,A:AL,22,FALSE)-50)</f>
        <v>162</v>
      </c>
      <c r="V35" s="3">
        <v>174</v>
      </c>
      <c r="W35" s="3">
        <f>IF(ISERROR(VLOOKUP($A35,'SegEnds_NonXtal_BW#'!$A:$Z,16,FALSE)+VLOOKUP($A35,A:AL,22,FALSE)-50),"-",(VLOOKUP($A35,'SegEnds_NonXtal_BW#'!$A:$Z,16,FALSE)+VLOOKUP($A35,A:AL,22,FALSE)-50))</f>
        <v>188</v>
      </c>
      <c r="X35" s="3">
        <f>IF(ISERROR(VLOOKUP($A35,'SegEnds_NonXtal_BW#'!$A:$Z,17,FALSE)+VLOOKUP($A35,A:AL,25,FALSE)-50),"-",(VLOOKUP($A35,'SegEnds_NonXtal_BW#'!$A:$Z,17,FALSE)+VLOOKUP($A35,A:AL,25,FALSE)-50))</f>
        <v>199</v>
      </c>
      <c r="Y35" s="3">
        <v>199</v>
      </c>
      <c r="Z35" s="3">
        <f t="shared" ref="Z35:Z60" si="31">Y35+2</f>
        <v>201</v>
      </c>
      <c r="AA35" s="3">
        <f>IF(ISERROR(VLOOKUP($A35,'SegEnds_NonXtal_BW#'!$A:$Z,19,FALSE)+VLOOKUP($A35,A:AL,28,FALSE)-50),"-",(VLOOKUP($A35,'SegEnds_NonXtal_BW#'!$A:$Z,19,FALSE)+VLOOKUP($A35,A:AL,28,FALSE)-50))</f>
        <v>203</v>
      </c>
      <c r="AB35" s="3">
        <v>223</v>
      </c>
      <c r="AC35" s="3">
        <f>IF(ISERROR((VLOOKUP($A35,'SegEnds_NonXtal_BW#'!$A:$Z,20,FALSE)+VLOOKUP($A35,A:AL,28,FALSE)-50)),"-",(VLOOKUP($A35,'SegEnds_NonXtal_BW#'!$A:$Z,20,FALSE)+VLOOKUP($A35,A:AL,28,FALSE)-50))</f>
        <v>245</v>
      </c>
      <c r="AD35" s="3">
        <f>IF(ISERROR(VLOOKUP($A35,'SegEnds_NonXtal_BW#'!$A:$Z,21,FALSE)+VLOOKUP($A35,A:AL,31,FALSE)-50),"-",(VLOOKUP($A35,'SegEnds_NonXtal_BW#'!$A:$Z,21,FALSE)+VLOOKUP($A35,A:AL,31,FALSE)-50))</f>
        <v>252</v>
      </c>
      <c r="AE35" s="3">
        <v>273</v>
      </c>
      <c r="AF35" s="3">
        <f>IF(ISERROR((VLOOKUP($A35,'SegEnds_NonXtal_BW#'!$A:$Z,22,FALSE)+VLOOKUP($A35,A:AL,31,FALSE)-50)),"-",(VLOOKUP($A35,'SegEnds_NonXtal_BW#'!$A:$Z,22,FALSE)+VLOOKUP($A35,A:AL,31,FALSE)-50))</f>
        <v>284</v>
      </c>
      <c r="AG35" s="3">
        <f>IF(ISERROR(VLOOKUP($A35,'SegEnds_NonXtal_BW#'!$A:$Z,23,FALSE)+VLOOKUP($A35,A:AL,34,FALSE)-50),"-",(VLOOKUP($A35,'SegEnds_NonXtal_BW#'!$A:$Z,23,FALSE)+VLOOKUP($A35,A:AL,34,FALSE)-50))</f>
        <v>286</v>
      </c>
      <c r="AH35" s="3">
        <v>312</v>
      </c>
      <c r="AI35" s="3">
        <f>IF(ISERROR((VLOOKUP($A35,'SegEnds_NonXtal_BW#'!$A:$Z,24,FALSE)+VLOOKUP($A35,A:AL,34,FALSE)-50)),"-",(VLOOKUP($A35,'SegEnds_NonXtal_BW#'!$A:$Z,24,FALSE)+VLOOKUP($A35,A:AL,34,FALSE)-50))</f>
        <v>318</v>
      </c>
      <c r="AJ35" s="3">
        <f>IF(ISERROR(VLOOKUP($A35,'SegEnds_NonXtal_BW#'!$A:$Z,25,FALSE)+VLOOKUP($A35,A:AL,37,FALSE)-50),"-",(VLOOKUP($A35,'SegEnds_NonXtal_BW#'!$A:$Z,25,FALSE)+VLOOKUP($A35,A:AL,37,FALSE)-50))</f>
        <v>319</v>
      </c>
      <c r="AK35" s="3">
        <v>322</v>
      </c>
      <c r="AL35" s="3">
        <f>IF(ISERROR((VLOOKUP($A35,'SegEnds_NonXtal_BW#'!$A:$Z,26,FALSE)+VLOOKUP($A35,A:AL,37,FALSE)-50)),"-",(VLOOKUP($A35,'SegEnds_NonXtal_BW#'!$A:$Z,26,FALSE)+VLOOKUP($A35,A:AL,37,FALSE)-50))</f>
        <v>331</v>
      </c>
      <c r="AM35" s="28" t="str">
        <f>VLOOKUP(A35,Classification!A:B,2,FALSE)</f>
        <v>A</v>
      </c>
      <c r="AN35" s="28" t="b">
        <f t="shared" si="17"/>
        <v>1</v>
      </c>
      <c r="AO35" s="3" t="str">
        <f>IF(ISERROR(MATCH(A35,'SegEnds_Xtal_Prot#'!B:B, 0)), "NoXtal", "Xtal")</f>
        <v>NoXtal</v>
      </c>
      <c r="AP35" s="3">
        <f t="shared" si="2"/>
        <v>1</v>
      </c>
      <c r="AQ35" s="3">
        <f t="shared" si="3"/>
        <v>1</v>
      </c>
      <c r="AR35" s="3">
        <f t="shared" si="4"/>
        <v>2</v>
      </c>
      <c r="AS35" s="3">
        <f t="shared" si="5"/>
        <v>1</v>
      </c>
      <c r="AT35" s="3">
        <f t="shared" si="6"/>
        <v>1</v>
      </c>
      <c r="AU35" s="3">
        <f t="shared" si="7"/>
        <v>1</v>
      </c>
      <c r="AV35" s="3">
        <f t="shared" si="8"/>
        <v>11</v>
      </c>
      <c r="AW35" s="3">
        <f t="shared" si="9"/>
        <v>2</v>
      </c>
      <c r="AX35" s="3">
        <f t="shared" si="10"/>
        <v>7</v>
      </c>
      <c r="AY35" s="3">
        <f t="shared" si="11"/>
        <v>2</v>
      </c>
      <c r="AZ35" s="3">
        <f t="shared" si="12"/>
        <v>1</v>
      </c>
      <c r="BA35" s="3">
        <f>IF(ISERROR(LEN(VLOOKUP(A35,Seqs!A:E,2,FALSE))-AL35),"-",LEN(VLOOKUP(A35,Seqs!A:E,2,FALSE))-AL35)</f>
        <v>58</v>
      </c>
      <c r="BB35" s="16">
        <f t="shared" si="13"/>
        <v>28</v>
      </c>
      <c r="BC35" s="9">
        <f t="shared" si="14"/>
        <v>19</v>
      </c>
      <c r="BD35" s="3">
        <f t="shared" si="15"/>
        <v>28</v>
      </c>
      <c r="BE35" s="3">
        <f t="shared" si="16"/>
        <v>50</v>
      </c>
    </row>
    <row r="36" spans="1:58" s="3" customFormat="1" x14ac:dyDescent="0.2">
      <c r="A36" s="3" t="s">
        <v>396</v>
      </c>
      <c r="B36" s="3" t="str">
        <f>LOWER(VLOOKUP(A36,Xtal_Templ!A:B,2,FALSE))</f>
        <v>ox2r_human</v>
      </c>
      <c r="C36" s="3">
        <f>VLOOKUP($A36,'SegEnds_NonXtal_BW#'!$A:$Z,3,FALSE)+D36-50</f>
        <v>50</v>
      </c>
      <c r="D36" s="3">
        <v>69</v>
      </c>
      <c r="E36" s="3">
        <f>IF(ISERROR(VLOOKUP($A36,'SegEnds_NonXtal_BW#'!$A:$Z,4,FALSE)+VLOOKUP($A36,A:AL,4,FALSE)-50),"-",(VLOOKUP($A36,'SegEnds_NonXtal_BW#'!$A:$Z,4,FALSE)+VLOOKUP($A36,A:AL,4,FALSE)-50))</f>
        <v>79</v>
      </c>
      <c r="F36" s="3">
        <f t="shared" si="27"/>
        <v>80</v>
      </c>
      <c r="G36" s="3">
        <v>82</v>
      </c>
      <c r="H36" s="3">
        <f t="shared" si="28"/>
        <v>83</v>
      </c>
      <c r="I36" s="3">
        <f t="shared" si="28"/>
        <v>84</v>
      </c>
      <c r="J36" s="3">
        <v>97</v>
      </c>
      <c r="K36" s="3">
        <f>VLOOKUP($A36,'SegEnds_NonXtal_BW#'!$A:$Z,8,FALSE)+VLOOKUP($A36,A:AL,10,FALSE)-50</f>
        <v>113</v>
      </c>
      <c r="L36" s="105">
        <f>M36</f>
        <v>115</v>
      </c>
      <c r="M36" s="3">
        <v>115</v>
      </c>
      <c r="N36" s="3">
        <f t="shared" si="30"/>
        <v>117</v>
      </c>
      <c r="O36" s="3">
        <f t="shared" si="29"/>
        <v>118</v>
      </c>
      <c r="P36" s="3">
        <v>149</v>
      </c>
      <c r="Q36" s="3">
        <f>VLOOKUP($A36,'SegEnds_NonXtal_BW#'!$A:$Z,12,FALSE)+VLOOKUP($A36,A:AL,16,FALSE)-50</f>
        <v>155</v>
      </c>
      <c r="R36" s="3">
        <f>IF(ISERROR(VLOOKUP($A36,'SegEnds_NonXtal_BW#'!$A:$Z,13,FALSE)+VLOOKUP($A36,A:AL,19,FALSE)-50),"-",VLOOKUP($A36,'SegEnds_NonXtal_BW#'!$A:$Z,13,FALSE)+VLOOKUP($A36,A:AL,19,FALSE)-50)</f>
        <v>156</v>
      </c>
      <c r="S36" s="3">
        <v>156</v>
      </c>
      <c r="T36" s="100">
        <f>IF(ISERROR(VLOOKUP($A36,'SegEnds_NonXtal_BW#'!$A:$Z,14,FALSE)+VLOOKUP($A36,A:AL,19,FALSE)-50),"-",(VLOOKUP($A36,'SegEnds_NonXtal_BW#'!$A:$Z,14,FALSE)+VLOOKUP($A36,A:AL,19,FALSE)-50))</f>
        <v>162</v>
      </c>
      <c r="U36" s="9">
        <f>IF(ISERROR(VLOOKUP($A36,'SegEnds_NonXtal_BW#'!$A:$Z,15,FALSE)+VLOOKUP($A36,A:AL,22,FALSE)-50),"-",VLOOKUP($A36,'SegEnds_NonXtal_BW#'!$A:$Z,15,FALSE)+VLOOKUP($A36,A:AL,22,FALSE)-50)</f>
        <v>163</v>
      </c>
      <c r="V36" s="3">
        <v>175</v>
      </c>
      <c r="W36" s="3">
        <f>IF(ISERROR(VLOOKUP($A36,'SegEnds_NonXtal_BW#'!$A:$Z,16,FALSE)+VLOOKUP($A36,A:AL,22,FALSE)-50),"-",(VLOOKUP($A36,'SegEnds_NonXtal_BW#'!$A:$Z,16,FALSE)+VLOOKUP($A36,A:AL,22,FALSE)-50))</f>
        <v>189</v>
      </c>
      <c r="X36" s="3">
        <f>IF(ISERROR(VLOOKUP($A36,'SegEnds_NonXtal_BW#'!$A:$Z,17,FALSE)+VLOOKUP($A36,A:AL,25,FALSE)-50),"-",(VLOOKUP($A36,'SegEnds_NonXtal_BW#'!$A:$Z,17,FALSE)+VLOOKUP($A36,A:AL,25,FALSE)-50))</f>
        <v>203</v>
      </c>
      <c r="Y36" s="3">
        <v>203</v>
      </c>
      <c r="Z36" s="3">
        <f t="shared" si="31"/>
        <v>205</v>
      </c>
      <c r="AA36" s="3">
        <f>IF(ISERROR(VLOOKUP($A36,'SegEnds_NonXtal_BW#'!$A:$Z,19,FALSE)+VLOOKUP($A36,A:AL,28,FALSE)-50),"-",(VLOOKUP($A36,'SegEnds_NonXtal_BW#'!$A:$Z,19,FALSE)+VLOOKUP($A36,A:AL,28,FALSE)-50))</f>
        <v>211</v>
      </c>
      <c r="AB36" s="3">
        <v>228</v>
      </c>
      <c r="AC36" s="3">
        <f>IF(ISERROR((VLOOKUP($A36,'SegEnds_NonXtal_BW#'!$A:$Z,20,FALSE)+VLOOKUP($A36,A:AL,28,FALSE)-50)),"-",(VLOOKUP($A36,'SegEnds_NonXtal_BW#'!$A:$Z,20,FALSE)+VLOOKUP($A36,A:AL,28,FALSE)-50))</f>
        <v>254</v>
      </c>
      <c r="AD36" s="3">
        <f>IF(ISERROR(VLOOKUP($A36,'SegEnds_NonXtal_BW#'!$A:$Z,21,FALSE)+VLOOKUP($A36,A:AL,31,FALSE)-50),"-",(VLOOKUP($A36,'SegEnds_NonXtal_BW#'!$A:$Z,21,FALSE)+VLOOKUP($A36,A:AL,31,FALSE)-50))</f>
        <v>280</v>
      </c>
      <c r="AE36" s="3">
        <v>306</v>
      </c>
      <c r="AF36" s="3">
        <f>IF(ISERROR((VLOOKUP($A36,'SegEnds_NonXtal_BW#'!$A:$Z,22,FALSE)+VLOOKUP($A36,A:AL,31,FALSE)-50)),"-",(VLOOKUP($A36,'SegEnds_NonXtal_BW#'!$A:$Z,22,FALSE)+VLOOKUP($A36,A:AL,31,FALSE)-50))</f>
        <v>317</v>
      </c>
      <c r="AG36" s="3">
        <f>IF(ISERROR(VLOOKUP($A36,'SegEnds_NonXtal_BW#'!$A:$Z,23,FALSE)+VLOOKUP($A36,A:AL,34,FALSE)-50),"-",(VLOOKUP($A36,'SegEnds_NonXtal_BW#'!$A:$Z,23,FALSE)+VLOOKUP($A36,A:AL,34,FALSE)-50))</f>
        <v>322</v>
      </c>
      <c r="AH36" s="3">
        <v>345</v>
      </c>
      <c r="AI36" s="3">
        <f>IF(ISERROR((VLOOKUP($A36,'SegEnds_NonXtal_BW#'!$A:$Z,24,FALSE)+VLOOKUP($A36,A:AL,34,FALSE)-50)),"-",(VLOOKUP($A36,'SegEnds_NonXtal_BW#'!$A:$Z,24,FALSE)+VLOOKUP($A36,A:AL,34,FALSE)-50))</f>
        <v>351</v>
      </c>
      <c r="AJ36" s="3">
        <f>IF(ISERROR(VLOOKUP($A36,'SegEnds_NonXtal_BW#'!$A:$Z,25,FALSE)+VLOOKUP($A36,A:AL,37,FALSE)-50),"-",(VLOOKUP($A36,'SegEnds_NonXtal_BW#'!$A:$Z,25,FALSE)+VLOOKUP($A36,A:AL,37,FALSE)-50))</f>
        <v>352</v>
      </c>
      <c r="AK36" s="3">
        <v>355</v>
      </c>
      <c r="AL36" s="3">
        <f>IF(ISERROR((VLOOKUP($A36,'SegEnds_NonXtal_BW#'!$A:$Z,26,FALSE)+VLOOKUP($A36,A:AL,37,FALSE)-50)),"-",(VLOOKUP($A36,'SegEnds_NonXtal_BW#'!$A:$Z,26,FALSE)+VLOOKUP($A36,A:AL,37,FALSE)-50))</f>
        <v>368</v>
      </c>
      <c r="AM36" s="28" t="str">
        <f>VLOOKUP(A36,Classification!A:B,2,FALSE)</f>
        <v>A</v>
      </c>
      <c r="AN36" s="28" t="b">
        <f t="shared" si="17"/>
        <v>1</v>
      </c>
      <c r="AO36" s="3" t="str">
        <f>IF(ISERROR(MATCH(A36,'SegEnds_Xtal_Prot#'!B:B, 0)), "NoXtal", "Xtal")</f>
        <v>NoXtal</v>
      </c>
      <c r="AP36" s="3">
        <f t="shared" si="2"/>
        <v>1</v>
      </c>
      <c r="AQ36" s="3">
        <f t="shared" si="3"/>
        <v>1</v>
      </c>
      <c r="AR36" s="3">
        <f t="shared" si="4"/>
        <v>2</v>
      </c>
      <c r="AS36" s="3">
        <f t="shared" si="5"/>
        <v>1</v>
      </c>
      <c r="AT36" s="3">
        <f t="shared" si="6"/>
        <v>1</v>
      </c>
      <c r="AU36" s="3">
        <f t="shared" si="7"/>
        <v>1</v>
      </c>
      <c r="AV36" s="3">
        <f t="shared" si="8"/>
        <v>14</v>
      </c>
      <c r="AW36" s="3">
        <f t="shared" si="9"/>
        <v>6</v>
      </c>
      <c r="AX36" s="3">
        <f t="shared" si="10"/>
        <v>26</v>
      </c>
      <c r="AY36" s="3">
        <f t="shared" si="11"/>
        <v>5</v>
      </c>
      <c r="AZ36" s="3">
        <f t="shared" si="12"/>
        <v>1</v>
      </c>
      <c r="BA36" s="3">
        <f>IF(ISERROR(LEN(VLOOKUP(A36,Seqs!A:E,2,FALSE))-AL36),"-",LEN(VLOOKUP(A36,Seqs!A:E,2,FALSE))-AL36)</f>
        <v>50</v>
      </c>
      <c r="BB36" s="16">
        <f t="shared" si="13"/>
        <v>28</v>
      </c>
      <c r="BC36" s="9">
        <f t="shared" si="14"/>
        <v>19</v>
      </c>
      <c r="BD36" s="3">
        <f t="shared" si="15"/>
        <v>28</v>
      </c>
      <c r="BE36" s="3">
        <f t="shared" si="16"/>
        <v>78</v>
      </c>
    </row>
    <row r="37" spans="1:58" s="3" customFormat="1" x14ac:dyDescent="0.2">
      <c r="A37" s="3" t="s">
        <v>397</v>
      </c>
      <c r="B37" s="3" t="str">
        <f>LOWER(VLOOKUP(A37,Xtal_Templ!A:B,2,FALSE))</f>
        <v>ntr1_human</v>
      </c>
      <c r="C37" s="3">
        <f>VLOOKUP($A37,'SegEnds_NonXtal_BW#'!$A:$Z,3,FALSE)+D37-50</f>
        <v>30</v>
      </c>
      <c r="D37" s="3">
        <v>52</v>
      </c>
      <c r="E37" s="3">
        <f>IF(ISERROR(VLOOKUP($A37,'SegEnds_NonXtal_BW#'!$A:$Z,4,FALSE)+VLOOKUP($A37,A:AL,4,FALSE)-50),"-",(VLOOKUP($A37,'SegEnds_NonXtal_BW#'!$A:$Z,4,FALSE)+VLOOKUP($A37,A:AL,4,FALSE)-50))</f>
        <v>62</v>
      </c>
      <c r="F37" s="3">
        <f t="shared" si="27"/>
        <v>63</v>
      </c>
      <c r="G37" s="3">
        <v>65</v>
      </c>
      <c r="H37" s="3">
        <f t="shared" si="28"/>
        <v>66</v>
      </c>
      <c r="I37" s="3">
        <f t="shared" si="28"/>
        <v>67</v>
      </c>
      <c r="J37" s="3">
        <v>80</v>
      </c>
      <c r="K37" s="3">
        <f>VLOOKUP($A37,'SegEnds_NonXtal_BW#'!$A:$Z,8,FALSE)+VLOOKUP($A37,A:AL,10,FALSE)-50</f>
        <v>96</v>
      </c>
      <c r="L37" s="105">
        <f>M37</f>
        <v>98</v>
      </c>
      <c r="M37" s="3">
        <v>98</v>
      </c>
      <c r="N37" s="3">
        <f t="shared" si="30"/>
        <v>100</v>
      </c>
      <c r="O37" s="3">
        <f t="shared" si="29"/>
        <v>101</v>
      </c>
      <c r="P37" s="3">
        <v>132</v>
      </c>
      <c r="Q37" s="3">
        <f>VLOOKUP($A37,'SegEnds_NonXtal_BW#'!$A:$Z,12,FALSE)+VLOOKUP($A37,A:AL,16,FALSE)-50</f>
        <v>138</v>
      </c>
      <c r="R37" s="3">
        <f>IF(ISERROR(VLOOKUP($A37,'SegEnds_NonXtal_BW#'!$A:$Z,13,FALSE)+VLOOKUP($A37,A:AL,19,FALSE)-50),"-",VLOOKUP($A37,'SegEnds_NonXtal_BW#'!$A:$Z,13,FALSE)+VLOOKUP($A37,A:AL,19,FALSE)-50)</f>
        <v>139</v>
      </c>
      <c r="S37" s="3">
        <v>139</v>
      </c>
      <c r="T37" s="100">
        <f>IF(ISERROR(VLOOKUP($A37,'SegEnds_NonXtal_BW#'!$A:$Z,14,FALSE)+VLOOKUP($A37,A:AL,19,FALSE)-50),"-",(VLOOKUP($A37,'SegEnds_NonXtal_BW#'!$A:$Z,14,FALSE)+VLOOKUP($A37,A:AL,19,FALSE)-50))</f>
        <v>145</v>
      </c>
      <c r="U37" s="9">
        <f>IF(ISERROR(VLOOKUP($A37,'SegEnds_NonXtal_BW#'!$A:$Z,15,FALSE)+VLOOKUP($A37,A:AL,22,FALSE)-50),"-",VLOOKUP($A37,'SegEnds_NonXtal_BW#'!$A:$Z,15,FALSE)+VLOOKUP($A37,A:AL,22,FALSE)-50)</f>
        <v>146</v>
      </c>
      <c r="V37" s="3">
        <v>158</v>
      </c>
      <c r="W37" s="3">
        <f>IF(ISERROR(VLOOKUP($A37,'SegEnds_NonXtal_BW#'!$A:$Z,16,FALSE)+VLOOKUP($A37,A:AL,22,FALSE)-50),"-",(VLOOKUP($A37,'SegEnds_NonXtal_BW#'!$A:$Z,16,FALSE)+VLOOKUP($A37,A:AL,22,FALSE)-50))</f>
        <v>172</v>
      </c>
      <c r="X37" s="105">
        <v>186</v>
      </c>
      <c r="Y37" s="3">
        <v>186</v>
      </c>
      <c r="Z37" s="3">
        <f t="shared" si="31"/>
        <v>188</v>
      </c>
      <c r="AA37" s="3">
        <f>IF(ISERROR(VLOOKUP($A37,'SegEnds_NonXtal_BW#'!$A:$Z,19,FALSE)+VLOOKUP($A37,A:AL,28,FALSE)-50),"-",(VLOOKUP($A37,'SegEnds_NonXtal_BW#'!$A:$Z,19,FALSE)+VLOOKUP($A37,A:AL,28,FALSE)-50))</f>
        <v>192</v>
      </c>
      <c r="AB37" s="3">
        <v>211</v>
      </c>
      <c r="AC37" s="3">
        <f>IF(ISERROR((VLOOKUP($A37,'SegEnds_NonXtal_BW#'!$A:$Z,20,FALSE)+VLOOKUP($A37,A:AL,28,FALSE)-50)),"-",(VLOOKUP($A37,'SegEnds_NonXtal_BW#'!$A:$Z,20,FALSE)+VLOOKUP($A37,A:AL,28,FALSE)-50))</f>
        <v>237</v>
      </c>
      <c r="AD37" s="3">
        <f>IF(ISERROR(VLOOKUP($A37,'SegEnds_NonXtal_BW#'!$A:$Z,21,FALSE)+VLOOKUP($A37,A:AL,31,FALSE)-50),"-",(VLOOKUP($A37,'SegEnds_NonXtal_BW#'!$A:$Z,21,FALSE)+VLOOKUP($A37,A:AL,31,FALSE)-50))</f>
        <v>270</v>
      </c>
      <c r="AE37" s="3">
        <v>296</v>
      </c>
      <c r="AF37" s="3">
        <f>IF(ISERROR((VLOOKUP($A37,'SegEnds_NonXtal_BW#'!$A:$Z,22,FALSE)+VLOOKUP($A37,A:AL,31,FALSE)-50)),"-",(VLOOKUP($A37,'SegEnds_NonXtal_BW#'!$A:$Z,22,FALSE)+VLOOKUP($A37,A:AL,31,FALSE)-50))</f>
        <v>307</v>
      </c>
      <c r="AG37" s="3">
        <f>IF(ISERROR(VLOOKUP($A37,'SegEnds_NonXtal_BW#'!$A:$Z,23,FALSE)+VLOOKUP($A37,A:AL,34,FALSE)-50),"-",(VLOOKUP($A37,'SegEnds_NonXtal_BW#'!$A:$Z,23,FALSE)+VLOOKUP($A37,A:AL,34,FALSE)-50))</f>
        <v>309</v>
      </c>
      <c r="AH37" s="3">
        <v>335</v>
      </c>
      <c r="AI37" s="3">
        <f>IF(ISERROR((VLOOKUP($A37,'SegEnds_NonXtal_BW#'!$A:$Z,24,FALSE)+VLOOKUP($A37,A:AL,34,FALSE)-50)),"-",(VLOOKUP($A37,'SegEnds_NonXtal_BW#'!$A:$Z,24,FALSE)+VLOOKUP($A37,A:AL,34,FALSE)-50))</f>
        <v>341</v>
      </c>
      <c r="AJ37" s="3">
        <f>IF(ISERROR(VLOOKUP($A37,'SegEnds_NonXtal_BW#'!$A:$Z,25,FALSE)+VLOOKUP($A37,A:AL,37,FALSE)-50),"-",(VLOOKUP($A37,'SegEnds_NonXtal_BW#'!$A:$Z,25,FALSE)+VLOOKUP($A37,A:AL,37,FALSE)-50))</f>
        <v>342</v>
      </c>
      <c r="AK37" s="3">
        <v>345</v>
      </c>
      <c r="AL37" s="3">
        <f>IF(ISERROR((VLOOKUP($A37,'SegEnds_NonXtal_BW#'!$A:$Z,26,FALSE)+VLOOKUP($A37,A:AL,37,FALSE)-50)),"-",(VLOOKUP($A37,'SegEnds_NonXtal_BW#'!$A:$Z,26,FALSE)+VLOOKUP($A37,A:AL,37,FALSE)-50))</f>
        <v>357</v>
      </c>
      <c r="AM37" s="28" t="str">
        <f>VLOOKUP(A37,Classification!A:B,2,FALSE)</f>
        <v>A</v>
      </c>
      <c r="AN37" s="28" t="b">
        <f t="shared" si="17"/>
        <v>1</v>
      </c>
      <c r="AO37" s="3" t="str">
        <f>IF(ISERROR(MATCH(A37,'SegEnds_Xtal_Prot#'!B:B, 0)), "NoXtal", "Xtal")</f>
        <v>NoXtal</v>
      </c>
      <c r="AP37" s="3">
        <f t="shared" si="2"/>
        <v>1</v>
      </c>
      <c r="AQ37" s="3">
        <f t="shared" si="3"/>
        <v>1</v>
      </c>
      <c r="AR37" s="3">
        <f t="shared" si="4"/>
        <v>2</v>
      </c>
      <c r="AS37" s="3">
        <f t="shared" si="5"/>
        <v>1</v>
      </c>
      <c r="AT37" s="3">
        <f t="shared" si="6"/>
        <v>1</v>
      </c>
      <c r="AU37" s="3">
        <f t="shared" si="7"/>
        <v>1</v>
      </c>
      <c r="AV37" s="3">
        <f t="shared" si="8"/>
        <v>14</v>
      </c>
      <c r="AW37" s="3">
        <f t="shared" si="9"/>
        <v>4</v>
      </c>
      <c r="AX37" s="3">
        <f t="shared" si="10"/>
        <v>33</v>
      </c>
      <c r="AY37" s="3">
        <f t="shared" si="11"/>
        <v>2</v>
      </c>
      <c r="AZ37" s="3">
        <f t="shared" si="12"/>
        <v>1</v>
      </c>
      <c r="BA37" s="3">
        <f>IF(ISERROR(LEN(VLOOKUP(A37,Seqs!A:E,2,FALSE))-AL37),"-",LEN(VLOOKUP(A37,Seqs!A:E,2,FALSE))-AL37)</f>
        <v>67</v>
      </c>
      <c r="BB37" s="16">
        <f t="shared" si="13"/>
        <v>28</v>
      </c>
      <c r="BC37" s="9">
        <f t="shared" si="14"/>
        <v>19</v>
      </c>
      <c r="BD37" s="3">
        <f t="shared" si="15"/>
        <v>28</v>
      </c>
      <c r="BE37" s="3">
        <f t="shared" si="16"/>
        <v>85</v>
      </c>
    </row>
    <row r="38" spans="1:58" s="3" customFormat="1" x14ac:dyDescent="0.2">
      <c r="A38" s="3" t="s">
        <v>128</v>
      </c>
      <c r="B38" s="3" t="str">
        <f>LOWER(VLOOKUP(A38,Xtal_Templ!A:B,2,FALSE))</f>
        <v>5ht1b_human</v>
      </c>
      <c r="C38" s="3">
        <f>VLOOKUP($A38,'SegEnds_NonXtal_BW#'!$A:$Z,3,FALSE)+D38-50</f>
        <v>32</v>
      </c>
      <c r="D38" s="3">
        <v>54</v>
      </c>
      <c r="E38" s="3">
        <f>IF(ISERROR(VLOOKUP($A38,'SegEnds_NonXtal_BW#'!$A:$Z,4,FALSE)+VLOOKUP($A38,A:AL,4,FALSE)-50),"-",(VLOOKUP($A38,'SegEnds_NonXtal_BW#'!$A:$Z,4,FALSE)+VLOOKUP($A38,A:AL,4,FALSE)-50))</f>
        <v>64</v>
      </c>
      <c r="F38" s="3">
        <f t="shared" si="27"/>
        <v>65</v>
      </c>
      <c r="G38" s="3">
        <v>67</v>
      </c>
      <c r="H38" s="3">
        <f t="shared" si="28"/>
        <v>68</v>
      </c>
      <c r="I38" s="3">
        <f t="shared" si="28"/>
        <v>69</v>
      </c>
      <c r="J38" s="3">
        <v>82</v>
      </c>
      <c r="K38" s="3">
        <f>VLOOKUP($A38,'SegEnds_NonXtal_BW#'!$A:$Z,8,FALSE)+VLOOKUP($A38,A:AL,10,FALSE)-50</f>
        <v>100</v>
      </c>
      <c r="L38" s="3">
        <f t="shared" ref="L38:L49" si="32">M38-1</f>
        <v>101</v>
      </c>
      <c r="M38" s="3">
        <v>102</v>
      </c>
      <c r="N38" s="3">
        <f t="shared" si="30"/>
        <v>104</v>
      </c>
      <c r="O38" s="3">
        <f t="shared" si="29"/>
        <v>105</v>
      </c>
      <c r="P38" s="3">
        <v>134</v>
      </c>
      <c r="Q38" s="3">
        <f>VLOOKUP($A38,'SegEnds_NonXtal_BW#'!$A:$Z,12,FALSE)+VLOOKUP($A38,A:AL,16,FALSE)-50</f>
        <v>140</v>
      </c>
      <c r="R38" s="3">
        <f>IF(ISERROR(VLOOKUP($A38,'SegEnds_NonXtal_BW#'!$A:$Z,13,FALSE)+VLOOKUP($A38,A:AL,19,FALSE)-50),"-",VLOOKUP($A38,'SegEnds_NonXtal_BW#'!$A:$Z,13,FALSE)+VLOOKUP($A38,A:AL,19,FALSE)-50)</f>
        <v>141</v>
      </c>
      <c r="S38" s="3">
        <v>141</v>
      </c>
      <c r="T38" s="100">
        <f>IF(ISERROR(VLOOKUP($A38,'SegEnds_NonXtal_BW#'!$A:$Z,14,FALSE)+VLOOKUP($A38,A:AL,19,FALSE)-50),"-",(VLOOKUP($A38,'SegEnds_NonXtal_BW#'!$A:$Z,14,FALSE)+VLOOKUP($A38,A:AL,19,FALSE)-50))</f>
        <v>148</v>
      </c>
      <c r="U38" s="9">
        <f>IF(ISERROR(VLOOKUP($A38,'SegEnds_NonXtal_BW#'!$A:$Z,15,FALSE)+VLOOKUP($A38,A:AL,22,FALSE)-50),"-",VLOOKUP($A38,'SegEnds_NonXtal_BW#'!$A:$Z,15,FALSE)+VLOOKUP($A38,A:AL,22,FALSE)-50)</f>
        <v>149</v>
      </c>
      <c r="V38" s="3">
        <v>161</v>
      </c>
      <c r="W38" s="3">
        <f>IF(ISERROR(VLOOKUP($A38,'SegEnds_NonXtal_BW#'!$A:$Z,16,FALSE)+VLOOKUP($A38,A:AL,22,FALSE)-50),"-",(VLOOKUP($A38,'SegEnds_NonXtal_BW#'!$A:$Z,16,FALSE)+VLOOKUP($A38,A:AL,22,FALSE)-50))</f>
        <v>174</v>
      </c>
      <c r="X38" s="3">
        <f>IF(ISERROR(VLOOKUP($A38,'SegEnds_NonXtal_BW#'!$A:$Z,17,FALSE)+VLOOKUP($A38,A:AL,25,FALSE)-50),"-",(VLOOKUP($A38,'SegEnds_NonXtal_BW#'!$A:$Z,17,FALSE)+VLOOKUP($A38,A:AL,25,FALSE)-50))</f>
        <v>187</v>
      </c>
      <c r="Y38" s="3">
        <v>187</v>
      </c>
      <c r="Z38" s="3">
        <f t="shared" si="31"/>
        <v>189</v>
      </c>
      <c r="AA38" s="3">
        <f>IF(ISERROR(VLOOKUP($A38,'SegEnds_NonXtal_BW#'!$A:$Z,19,FALSE)+VLOOKUP($A38,A:AL,28,FALSE)-50),"-",(VLOOKUP($A38,'SegEnds_NonXtal_BW#'!$A:$Z,19,FALSE)+VLOOKUP($A38,A:AL,28,FALSE)-50))</f>
        <v>192</v>
      </c>
      <c r="AB38" s="3">
        <v>207</v>
      </c>
      <c r="AC38" s="3">
        <f>IF(ISERROR((VLOOKUP($A38,'SegEnds_NonXtal_BW#'!$A:$Z,20,FALSE)+VLOOKUP($A38,A:AL,28,FALSE)-50)),"-",(VLOOKUP($A38,'SegEnds_NonXtal_BW#'!$A:$Z,20,FALSE)+VLOOKUP($A38,A:AL,28,FALSE)-50))</f>
        <v>233</v>
      </c>
      <c r="AD38" s="3">
        <f>IF(ISERROR(VLOOKUP($A38,'SegEnds_NonXtal_BW#'!$A:$Z,21,FALSE)+VLOOKUP($A38,A:AL,31,FALSE)-50),"-",(VLOOKUP($A38,'SegEnds_NonXtal_BW#'!$A:$Z,21,FALSE)+VLOOKUP($A38,A:AL,31,FALSE)-50))</f>
        <v>334</v>
      </c>
      <c r="AE38" s="3">
        <v>360</v>
      </c>
      <c r="AF38" s="3">
        <f>IF(ISERROR((VLOOKUP($A38,'SegEnds_NonXtal_BW#'!$A:$Z,22,FALSE)+VLOOKUP($A38,A:AL,31,FALSE)-50)),"-",(VLOOKUP($A38,'SegEnds_NonXtal_BW#'!$A:$Z,22,FALSE)+VLOOKUP($A38,A:AL,31,FALSE)-50))</f>
        <v>370</v>
      </c>
      <c r="AG38" s="3">
        <f>IF(ISERROR(VLOOKUP($A38,'SegEnds_NonXtal_BW#'!$A:$Z,23,FALSE)+VLOOKUP($A38,A:AL,34,FALSE)-50),"-",(VLOOKUP($A38,'SegEnds_NonXtal_BW#'!$A:$Z,23,FALSE)+VLOOKUP($A38,A:AL,34,FALSE)-50))</f>
        <v>378</v>
      </c>
      <c r="AH38" s="3">
        <v>397</v>
      </c>
      <c r="AI38" s="3">
        <f>IF(ISERROR((VLOOKUP($A38,'SegEnds_NonXtal_BW#'!$A:$Z,24,FALSE)+VLOOKUP($A38,A:AL,34,FALSE)-50)),"-",(VLOOKUP($A38,'SegEnds_NonXtal_BW#'!$A:$Z,24,FALSE)+VLOOKUP($A38,A:AL,34,FALSE)-50))</f>
        <v>403</v>
      </c>
      <c r="AJ38" s="3">
        <f>IF(ISERROR(VLOOKUP($A38,'SegEnds_NonXtal_BW#'!$A:$Z,25,FALSE)+VLOOKUP($A38,A:AL,37,FALSE)-50),"-",(VLOOKUP($A38,'SegEnds_NonXtal_BW#'!$A:$Z,25,FALSE)+VLOOKUP($A38,A:AL,37,FALSE)-50))</f>
        <v>404</v>
      </c>
      <c r="AK38" s="3">
        <v>407</v>
      </c>
      <c r="AL38" s="3">
        <f>IF(ISERROR((VLOOKUP($A38,'SegEnds_NonXtal_BW#'!$A:$Z,26,FALSE)+VLOOKUP($A38,A:AL,37,FALSE)-50)),"-",(VLOOKUP($A38,'SegEnds_NonXtal_BW#'!$A:$Z,26,FALSE)+VLOOKUP($A38,A:AL,37,FALSE)-50))</f>
        <v>415</v>
      </c>
      <c r="AM38" s="28" t="str">
        <f>VLOOKUP(A38,Classification!A:B,2,FALSE)</f>
        <v>A</v>
      </c>
      <c r="AN38" s="28" t="b">
        <f t="shared" si="17"/>
        <v>1</v>
      </c>
      <c r="AO38" s="3" t="str">
        <f>IF(ISERROR(MATCH(A38,'SegEnds_Xtal_Prot#'!B:B, 0)), "NoXtal", "Xtal")</f>
        <v>NoXtal</v>
      </c>
      <c r="AP38" s="3">
        <f t="shared" si="2"/>
        <v>1</v>
      </c>
      <c r="AQ38" s="3">
        <f t="shared" si="3"/>
        <v>1</v>
      </c>
      <c r="AR38" s="3">
        <f t="shared" si="4"/>
        <v>1</v>
      </c>
      <c r="AS38" s="3">
        <f t="shared" si="5"/>
        <v>1</v>
      </c>
      <c r="AT38" s="3">
        <f t="shared" si="6"/>
        <v>1</v>
      </c>
      <c r="AU38" s="3">
        <f t="shared" si="7"/>
        <v>1</v>
      </c>
      <c r="AV38" s="3">
        <f t="shared" si="8"/>
        <v>13</v>
      </c>
      <c r="AW38" s="3">
        <f t="shared" si="9"/>
        <v>3</v>
      </c>
      <c r="AX38" s="3">
        <f t="shared" si="10"/>
        <v>101</v>
      </c>
      <c r="AY38" s="3">
        <f t="shared" si="11"/>
        <v>8</v>
      </c>
      <c r="AZ38" s="3">
        <f t="shared" si="12"/>
        <v>1</v>
      </c>
      <c r="BA38" s="3">
        <f>IF(ISERROR(LEN(VLOOKUP(A38,Seqs!A:E,2,FALSE))-AL38),"-",LEN(VLOOKUP(A38,Seqs!A:E,2,FALSE))-AL38)</f>
        <v>7</v>
      </c>
      <c r="BB38" s="16">
        <f t="shared" si="13"/>
        <v>28</v>
      </c>
      <c r="BC38" s="9">
        <f t="shared" si="14"/>
        <v>20</v>
      </c>
      <c r="BD38" s="3">
        <f t="shared" si="15"/>
        <v>28</v>
      </c>
      <c r="BE38" s="3">
        <f t="shared" si="16"/>
        <v>153</v>
      </c>
      <c r="BF38" s="3">
        <f>AH38-AE38</f>
        <v>37</v>
      </c>
    </row>
    <row r="39" spans="1:58" s="3" customFormat="1" x14ac:dyDescent="0.2">
      <c r="A39" s="3" t="s">
        <v>34</v>
      </c>
      <c r="B39" s="3" t="str">
        <f>LOWER(VLOOKUP(A39,Xtal_Templ!A:B,2,FALSE))</f>
        <v>5ht1b_human</v>
      </c>
      <c r="C39" s="3">
        <f>VLOOKUP($A39,'SegEnds_NonXtal_BW#'!$A:$Z,3,FALSE)+D39-50</f>
        <v>45</v>
      </c>
      <c r="D39" s="3">
        <v>67</v>
      </c>
      <c r="E39" s="3">
        <f>IF(ISERROR(VLOOKUP($A39,'SegEnds_NonXtal_BW#'!$A:$Z,4,FALSE)+VLOOKUP($A39,A:AL,4,FALSE)-50),"-",(VLOOKUP($A39,'SegEnds_NonXtal_BW#'!$A:$Z,4,FALSE)+VLOOKUP($A39,A:AL,4,FALSE)-50))</f>
        <v>77</v>
      </c>
      <c r="F39" s="3">
        <f t="shared" si="27"/>
        <v>78</v>
      </c>
      <c r="G39" s="3">
        <v>80</v>
      </c>
      <c r="H39" s="3">
        <f t="shared" si="28"/>
        <v>81</v>
      </c>
      <c r="I39" s="3">
        <f t="shared" si="28"/>
        <v>82</v>
      </c>
      <c r="J39" s="3">
        <v>95</v>
      </c>
      <c r="K39" s="3">
        <f>VLOOKUP($A39,'SegEnds_NonXtal_BW#'!$A:$Z,8,FALSE)+VLOOKUP($A39,A:AL,10,FALSE)-50</f>
        <v>113</v>
      </c>
      <c r="L39" s="3">
        <f t="shared" si="32"/>
        <v>114</v>
      </c>
      <c r="M39" s="3">
        <v>115</v>
      </c>
      <c r="N39" s="3">
        <f t="shared" si="30"/>
        <v>117</v>
      </c>
      <c r="O39" s="3">
        <f t="shared" si="29"/>
        <v>118</v>
      </c>
      <c r="P39" s="3">
        <v>147</v>
      </c>
      <c r="Q39" s="3">
        <f>VLOOKUP($A39,'SegEnds_NonXtal_BW#'!$A:$Z,12,FALSE)+VLOOKUP($A39,A:AL,16,FALSE)-50</f>
        <v>153</v>
      </c>
      <c r="R39" s="3">
        <f>IF(ISERROR(VLOOKUP($A39,'SegEnds_NonXtal_BW#'!$A:$Z,13,FALSE)+VLOOKUP($A39,A:AL,19,FALSE)-50),"-",VLOOKUP($A39,'SegEnds_NonXtal_BW#'!$A:$Z,13,FALSE)+VLOOKUP($A39,A:AL,19,FALSE)-50)</f>
        <v>154</v>
      </c>
      <c r="S39" s="3">
        <v>154</v>
      </c>
      <c r="T39" s="100">
        <f>IF(ISERROR(VLOOKUP($A39,'SegEnds_NonXtal_BW#'!$A:$Z,14,FALSE)+VLOOKUP($A39,A:AL,19,FALSE)-50),"-",(VLOOKUP($A39,'SegEnds_NonXtal_BW#'!$A:$Z,14,FALSE)+VLOOKUP($A39,A:AL,19,FALSE)-50))</f>
        <v>161</v>
      </c>
      <c r="U39" s="9">
        <f>IF(ISERROR(VLOOKUP($A39,'SegEnds_NonXtal_BW#'!$A:$Z,15,FALSE)+VLOOKUP($A39,A:AL,22,FALSE)-50),"-",VLOOKUP($A39,'SegEnds_NonXtal_BW#'!$A:$Z,15,FALSE)+VLOOKUP($A39,A:AL,22,FALSE)-50)</f>
        <v>162</v>
      </c>
      <c r="V39" s="3">
        <v>174</v>
      </c>
      <c r="W39" s="3">
        <f>IF(ISERROR(VLOOKUP($A39,'SegEnds_NonXtal_BW#'!$A:$Z,16,FALSE)+VLOOKUP($A39,A:AL,22,FALSE)-50),"-",(VLOOKUP($A39,'SegEnds_NonXtal_BW#'!$A:$Z,16,FALSE)+VLOOKUP($A39,A:AL,22,FALSE)-50))</f>
        <v>187</v>
      </c>
      <c r="X39" s="3">
        <f>IF(ISERROR(VLOOKUP($A39,'SegEnds_NonXtal_BW#'!$A:$Z,17,FALSE)+VLOOKUP($A39,A:AL,25,FALSE)-50),"-",(VLOOKUP($A39,'SegEnds_NonXtal_BW#'!$A:$Z,17,FALSE)+VLOOKUP($A39,A:AL,25,FALSE)-50))</f>
        <v>199</v>
      </c>
      <c r="Y39" s="3">
        <v>199</v>
      </c>
      <c r="Z39" s="3">
        <f t="shared" si="31"/>
        <v>201</v>
      </c>
      <c r="AA39" s="3">
        <f>IF(ISERROR(VLOOKUP($A39,'SegEnds_NonXtal_BW#'!$A:$Z,19,FALSE)+VLOOKUP($A39,A:AL,28,FALSE)-50),"-",(VLOOKUP($A39,'SegEnds_NonXtal_BW#'!$A:$Z,19,FALSE)+VLOOKUP($A39,A:AL,28,FALSE)-50))</f>
        <v>205</v>
      </c>
      <c r="AB39" s="3">
        <v>220</v>
      </c>
      <c r="AC39" s="3">
        <f>IF(ISERROR((VLOOKUP($A39,'SegEnds_NonXtal_BW#'!$A:$Z,20,FALSE)+VLOOKUP($A39,A:AL,28,FALSE)-50)),"-",(VLOOKUP($A39,'SegEnds_NonXtal_BW#'!$A:$Z,20,FALSE)+VLOOKUP($A39,A:AL,28,FALSE)-50))</f>
        <v>244</v>
      </c>
      <c r="AD39" s="3">
        <f>IF(ISERROR(VLOOKUP($A39,'SegEnds_NonXtal_BW#'!$A:$Z,21,FALSE)+VLOOKUP($A39,A:AL,31,FALSE)-50),"-",(VLOOKUP($A39,'SegEnds_NonXtal_BW#'!$A:$Z,21,FALSE)+VLOOKUP($A39,A:AL,31,FALSE)-50))</f>
        <v>303</v>
      </c>
      <c r="AE39" s="3">
        <v>329</v>
      </c>
      <c r="AF39" s="3">
        <f>IF(ISERROR((VLOOKUP($A39,'SegEnds_NonXtal_BW#'!$A:$Z,22,FALSE)+VLOOKUP($A39,A:AL,31,FALSE)-50)),"-",(VLOOKUP($A39,'SegEnds_NonXtal_BW#'!$A:$Z,22,FALSE)+VLOOKUP($A39,A:AL,31,FALSE)-50))</f>
        <v>339</v>
      </c>
      <c r="AG39" s="3">
        <f>IF(ISERROR(VLOOKUP($A39,'SegEnds_NonXtal_BW#'!$A:$Z,23,FALSE)+VLOOKUP($A39,A:AL,34,FALSE)-50),"-",(VLOOKUP($A39,'SegEnds_NonXtal_BW#'!$A:$Z,23,FALSE)+VLOOKUP($A39,A:AL,34,FALSE)-50))</f>
        <v>347</v>
      </c>
      <c r="AH39" s="3">
        <v>366</v>
      </c>
      <c r="AI39" s="3">
        <f>IF(ISERROR((VLOOKUP($A39,'SegEnds_NonXtal_BW#'!$A:$Z,24,FALSE)+VLOOKUP($A39,A:AL,34,FALSE)-50)),"-",(VLOOKUP($A39,'SegEnds_NonXtal_BW#'!$A:$Z,24,FALSE)+VLOOKUP($A39,A:AL,34,FALSE)-50))</f>
        <v>372</v>
      </c>
      <c r="AJ39" s="3">
        <f>IF(ISERROR(VLOOKUP($A39,'SegEnds_NonXtal_BW#'!$A:$Z,25,FALSE)+VLOOKUP($A39,A:AL,37,FALSE)-50),"-",(VLOOKUP($A39,'SegEnds_NonXtal_BW#'!$A:$Z,25,FALSE)+VLOOKUP($A39,A:AL,37,FALSE)-50))</f>
        <v>373</v>
      </c>
      <c r="AK39" s="3">
        <v>376</v>
      </c>
      <c r="AL39" s="3">
        <f>IF(ISERROR((VLOOKUP($A39,'SegEnds_NonXtal_BW#'!$A:$Z,26,FALSE)+VLOOKUP($A39,A:AL,37,FALSE)-50)),"-",(VLOOKUP($A39,'SegEnds_NonXtal_BW#'!$A:$Z,26,FALSE)+VLOOKUP($A39,A:AL,37,FALSE)-50))</f>
        <v>384</v>
      </c>
      <c r="AM39" s="28" t="str">
        <f>VLOOKUP(A39,Classification!A:B,2,FALSE)</f>
        <v>A</v>
      </c>
      <c r="AN39" s="28" t="b">
        <f t="shared" si="17"/>
        <v>1</v>
      </c>
      <c r="AO39" s="3" t="str">
        <f>IF(ISERROR(MATCH(A39,'SegEnds_Xtal_Prot#'!B:B, 0)), "NoXtal", "Xtal")</f>
        <v>Xtal</v>
      </c>
      <c r="AP39" s="3">
        <f t="shared" si="2"/>
        <v>1</v>
      </c>
      <c r="AQ39" s="3">
        <f t="shared" si="3"/>
        <v>1</v>
      </c>
      <c r="AR39" s="3">
        <f t="shared" si="4"/>
        <v>1</v>
      </c>
      <c r="AS39" s="3">
        <f t="shared" si="5"/>
        <v>1</v>
      </c>
      <c r="AT39" s="3">
        <f t="shared" si="6"/>
        <v>1</v>
      </c>
      <c r="AU39" s="3">
        <f t="shared" si="7"/>
        <v>1</v>
      </c>
      <c r="AV39" s="3">
        <f t="shared" si="8"/>
        <v>12</v>
      </c>
      <c r="AW39" s="3">
        <f t="shared" si="9"/>
        <v>4</v>
      </c>
      <c r="AX39" s="3">
        <f t="shared" si="10"/>
        <v>59</v>
      </c>
      <c r="AY39" s="3">
        <f t="shared" si="11"/>
        <v>8</v>
      </c>
      <c r="AZ39" s="3">
        <f t="shared" si="12"/>
        <v>1</v>
      </c>
      <c r="BA39" s="3">
        <f>IF(ISERROR(LEN(VLOOKUP(A39,Seqs!A:E,2,FALSE))-AL39),"-",LEN(VLOOKUP(A39,Seqs!A:E,2,FALSE))-AL39)</f>
        <v>6</v>
      </c>
      <c r="BB39" s="16">
        <f t="shared" si="13"/>
        <v>28</v>
      </c>
      <c r="BC39" s="9">
        <f t="shared" si="14"/>
        <v>20</v>
      </c>
      <c r="BD39" s="3">
        <f t="shared" si="15"/>
        <v>28</v>
      </c>
      <c r="BE39" s="3">
        <f t="shared" si="16"/>
        <v>109</v>
      </c>
      <c r="BF39" s="3">
        <f>AH39-AE39</f>
        <v>37</v>
      </c>
    </row>
    <row r="40" spans="1:58" s="3" customFormat="1" x14ac:dyDescent="0.2">
      <c r="A40" s="3" t="s">
        <v>129</v>
      </c>
      <c r="B40" s="3" t="str">
        <f>LOWER(VLOOKUP(A40,Xtal_Templ!A:B,2,FALSE))</f>
        <v>5ht1b_human</v>
      </c>
      <c r="C40" s="3">
        <f>VLOOKUP($A40,'SegEnds_NonXtal_BW#'!$A:$Z,3,FALSE)+D40-50</f>
        <v>34</v>
      </c>
      <c r="D40" s="3">
        <v>56</v>
      </c>
      <c r="E40" s="3">
        <f>IF(ISERROR(VLOOKUP($A40,'SegEnds_NonXtal_BW#'!$A:$Z,4,FALSE)+VLOOKUP($A40,A:AL,4,FALSE)-50),"-",(VLOOKUP($A40,'SegEnds_NonXtal_BW#'!$A:$Z,4,FALSE)+VLOOKUP($A40,A:AL,4,FALSE)-50))</f>
        <v>66</v>
      </c>
      <c r="F40" s="3">
        <f t="shared" si="27"/>
        <v>67</v>
      </c>
      <c r="G40" s="3">
        <v>69</v>
      </c>
      <c r="H40" s="3">
        <f t="shared" si="28"/>
        <v>70</v>
      </c>
      <c r="I40" s="3">
        <f t="shared" si="28"/>
        <v>71</v>
      </c>
      <c r="J40" s="3">
        <v>84</v>
      </c>
      <c r="K40" s="3">
        <f>VLOOKUP($A40,'SegEnds_NonXtal_BW#'!$A:$Z,8,FALSE)+VLOOKUP($A40,A:AL,10,FALSE)-50</f>
        <v>102</v>
      </c>
      <c r="L40" s="3">
        <f t="shared" si="32"/>
        <v>103</v>
      </c>
      <c r="M40" s="3">
        <v>104</v>
      </c>
      <c r="N40" s="3">
        <f t="shared" si="30"/>
        <v>106</v>
      </c>
      <c r="O40" s="3">
        <f t="shared" si="29"/>
        <v>107</v>
      </c>
      <c r="P40" s="3">
        <v>136</v>
      </c>
      <c r="Q40" s="3">
        <f>VLOOKUP($A40,'SegEnds_NonXtal_BW#'!$A:$Z,12,FALSE)+VLOOKUP($A40,A:AL,16,FALSE)-50</f>
        <v>142</v>
      </c>
      <c r="R40" s="3">
        <f>IF(ISERROR(VLOOKUP($A40,'SegEnds_NonXtal_BW#'!$A:$Z,13,FALSE)+VLOOKUP($A40,A:AL,19,FALSE)-50),"-",VLOOKUP($A40,'SegEnds_NonXtal_BW#'!$A:$Z,13,FALSE)+VLOOKUP($A40,A:AL,19,FALSE)-50)</f>
        <v>143</v>
      </c>
      <c r="S40" s="3">
        <v>143</v>
      </c>
      <c r="T40" s="100">
        <f>IF(ISERROR(VLOOKUP($A40,'SegEnds_NonXtal_BW#'!$A:$Z,14,FALSE)+VLOOKUP($A40,A:AL,19,FALSE)-50),"-",(VLOOKUP($A40,'SegEnds_NonXtal_BW#'!$A:$Z,14,FALSE)+VLOOKUP($A40,A:AL,19,FALSE)-50))</f>
        <v>150</v>
      </c>
      <c r="U40" s="9">
        <f>IF(ISERROR(VLOOKUP($A40,'SegEnds_NonXtal_BW#'!$A:$Z,15,FALSE)+VLOOKUP($A40,A:AL,22,FALSE)-50),"-",VLOOKUP($A40,'SegEnds_NonXtal_BW#'!$A:$Z,15,FALSE)+VLOOKUP($A40,A:AL,22,FALSE)-50)</f>
        <v>151</v>
      </c>
      <c r="V40" s="3">
        <v>163</v>
      </c>
      <c r="W40" s="3">
        <f>IF(ISERROR(VLOOKUP($A40,'SegEnds_NonXtal_BW#'!$A:$Z,16,FALSE)+VLOOKUP($A40,A:AL,22,FALSE)-50),"-",(VLOOKUP($A40,'SegEnds_NonXtal_BW#'!$A:$Z,16,FALSE)+VLOOKUP($A40,A:AL,22,FALSE)-50))</f>
        <v>176</v>
      </c>
      <c r="X40" s="3">
        <f>IF(ISERROR(VLOOKUP($A40,'SegEnds_NonXtal_BW#'!$A:$Z,17,FALSE)+VLOOKUP($A40,A:AL,25,FALSE)-50),"-",(VLOOKUP($A40,'SegEnds_NonXtal_BW#'!$A:$Z,17,FALSE)+VLOOKUP($A40,A:AL,25,FALSE)-50))</f>
        <v>188</v>
      </c>
      <c r="Y40" s="3">
        <v>188</v>
      </c>
      <c r="Z40" s="3">
        <f t="shared" si="31"/>
        <v>190</v>
      </c>
      <c r="AA40" s="3">
        <f>IF(ISERROR(VLOOKUP($A40,'SegEnds_NonXtal_BW#'!$A:$Z,19,FALSE)+VLOOKUP($A40,A:AL,28,FALSE)-50),"-",(VLOOKUP($A40,'SegEnds_NonXtal_BW#'!$A:$Z,19,FALSE)+VLOOKUP($A40,A:AL,28,FALSE)-50))</f>
        <v>194</v>
      </c>
      <c r="AB40" s="3">
        <v>209</v>
      </c>
      <c r="AC40" s="3">
        <f>IF(ISERROR((VLOOKUP($A40,'SegEnds_NonXtal_BW#'!$A:$Z,20,FALSE)+VLOOKUP($A40,A:AL,28,FALSE)-50)),"-",(VLOOKUP($A40,'SegEnds_NonXtal_BW#'!$A:$Z,20,FALSE)+VLOOKUP($A40,A:AL,28,FALSE)-50))</f>
        <v>233</v>
      </c>
      <c r="AD40" s="3">
        <f>IF(ISERROR(VLOOKUP($A40,'SegEnds_NonXtal_BW#'!$A:$Z,21,FALSE)+VLOOKUP($A40,A:AL,31,FALSE)-50),"-",(VLOOKUP($A40,'SegEnds_NonXtal_BW#'!$A:$Z,21,FALSE)+VLOOKUP($A40,A:AL,31,FALSE)-50))</f>
        <v>290</v>
      </c>
      <c r="AE40" s="3">
        <v>316</v>
      </c>
      <c r="AF40" s="3">
        <f>IF(ISERROR((VLOOKUP($A40,'SegEnds_NonXtal_BW#'!$A:$Z,22,FALSE)+VLOOKUP($A40,A:AL,31,FALSE)-50)),"-",(VLOOKUP($A40,'SegEnds_NonXtal_BW#'!$A:$Z,22,FALSE)+VLOOKUP($A40,A:AL,31,FALSE)-50))</f>
        <v>326</v>
      </c>
      <c r="AG40" s="3">
        <f>IF(ISERROR(VLOOKUP($A40,'SegEnds_NonXtal_BW#'!$A:$Z,23,FALSE)+VLOOKUP($A40,A:AL,34,FALSE)-50),"-",(VLOOKUP($A40,'SegEnds_NonXtal_BW#'!$A:$Z,23,FALSE)+VLOOKUP($A40,A:AL,34,FALSE)-50))</f>
        <v>334</v>
      </c>
      <c r="AH40" s="3">
        <v>353</v>
      </c>
      <c r="AI40" s="3">
        <f>IF(ISERROR((VLOOKUP($A40,'SegEnds_NonXtal_BW#'!$A:$Z,24,FALSE)+VLOOKUP($A40,A:AL,34,FALSE)-50)),"-",(VLOOKUP($A40,'SegEnds_NonXtal_BW#'!$A:$Z,24,FALSE)+VLOOKUP($A40,A:AL,34,FALSE)-50))</f>
        <v>359</v>
      </c>
      <c r="AJ40" s="3">
        <f>IF(ISERROR(VLOOKUP($A40,'SegEnds_NonXtal_BW#'!$A:$Z,25,FALSE)+VLOOKUP($A40,A:AL,37,FALSE)-50),"-",(VLOOKUP($A40,'SegEnds_NonXtal_BW#'!$A:$Z,25,FALSE)+VLOOKUP($A40,A:AL,37,FALSE)-50))</f>
        <v>360</v>
      </c>
      <c r="AK40" s="3">
        <v>363</v>
      </c>
      <c r="AL40" s="3">
        <f>IF(ISERROR((VLOOKUP($A40,'SegEnds_NonXtal_BW#'!$A:$Z,26,FALSE)+VLOOKUP($A40,A:AL,37,FALSE)-50)),"-",(VLOOKUP($A40,'SegEnds_NonXtal_BW#'!$A:$Z,26,FALSE)+VLOOKUP($A40,A:AL,37,FALSE)-50))</f>
        <v>371</v>
      </c>
      <c r="AM40" s="28" t="str">
        <f>VLOOKUP(A40,Classification!A:B,2,FALSE)</f>
        <v>A</v>
      </c>
      <c r="AN40" s="28" t="b">
        <f t="shared" si="17"/>
        <v>1</v>
      </c>
      <c r="AO40" s="3" t="str">
        <f>IF(ISERROR(MATCH(A40,'SegEnds_Xtal_Prot#'!B:B, 0)), "NoXtal", "Xtal")</f>
        <v>NoXtal</v>
      </c>
      <c r="AP40" s="3">
        <f t="shared" si="2"/>
        <v>1</v>
      </c>
      <c r="AQ40" s="3">
        <f t="shared" si="3"/>
        <v>1</v>
      </c>
      <c r="AR40" s="3">
        <f t="shared" si="4"/>
        <v>1</v>
      </c>
      <c r="AS40" s="3">
        <f t="shared" si="5"/>
        <v>1</v>
      </c>
      <c r="AT40" s="3">
        <f t="shared" si="6"/>
        <v>1</v>
      </c>
      <c r="AU40" s="3">
        <f t="shared" si="7"/>
        <v>1</v>
      </c>
      <c r="AV40" s="3">
        <f t="shared" si="8"/>
        <v>12</v>
      </c>
      <c r="AW40" s="3">
        <f t="shared" si="9"/>
        <v>4</v>
      </c>
      <c r="AX40" s="3">
        <f t="shared" si="10"/>
        <v>57</v>
      </c>
      <c r="AY40" s="3">
        <f t="shared" si="11"/>
        <v>8</v>
      </c>
      <c r="AZ40" s="3">
        <f t="shared" si="12"/>
        <v>1</v>
      </c>
      <c r="BA40" s="3">
        <f>IF(ISERROR(LEN(VLOOKUP(A40,Seqs!A:E,2,FALSE))-AL40),"-",LEN(VLOOKUP(A40,Seqs!A:E,2,FALSE))-AL40)</f>
        <v>6</v>
      </c>
      <c r="BB40" s="16">
        <f t="shared" si="13"/>
        <v>28</v>
      </c>
      <c r="BC40" s="9">
        <f t="shared" si="14"/>
        <v>20</v>
      </c>
      <c r="BD40" s="3">
        <f t="shared" si="15"/>
        <v>28</v>
      </c>
      <c r="BE40" s="3">
        <f t="shared" si="16"/>
        <v>107</v>
      </c>
      <c r="BF40" s="3">
        <f>AH40-AE40</f>
        <v>37</v>
      </c>
    </row>
    <row r="41" spans="1:58" s="3" customFormat="1" x14ac:dyDescent="0.2">
      <c r="A41" s="3" t="s">
        <v>130</v>
      </c>
      <c r="B41" s="3" t="str">
        <f>LOWER(VLOOKUP(A41,Xtal_Templ!A:B,2,FALSE))</f>
        <v>5ht1b_human</v>
      </c>
      <c r="C41" s="3">
        <f>VLOOKUP($A41,'SegEnds_NonXtal_BW#'!$A:$Z,3,FALSE)+D41-50</f>
        <v>18</v>
      </c>
      <c r="D41" s="3">
        <v>40</v>
      </c>
      <c r="E41" s="3">
        <f>IF(ISERROR(VLOOKUP($A41,'SegEnds_NonXtal_BW#'!$A:$Z,4,FALSE)+VLOOKUP($A41,A:AL,4,FALSE)-50),"-",(VLOOKUP($A41,'SegEnds_NonXtal_BW#'!$A:$Z,4,FALSE)+VLOOKUP($A41,A:AL,4,FALSE)-50))</f>
        <v>50</v>
      </c>
      <c r="F41" s="3">
        <f t="shared" si="27"/>
        <v>51</v>
      </c>
      <c r="G41" s="3">
        <v>53</v>
      </c>
      <c r="H41" s="3">
        <f t="shared" si="28"/>
        <v>54</v>
      </c>
      <c r="I41" s="3">
        <f t="shared" si="28"/>
        <v>55</v>
      </c>
      <c r="J41" s="3">
        <v>68</v>
      </c>
      <c r="K41" s="3">
        <f>VLOOKUP($A41,'SegEnds_NonXtal_BW#'!$A:$Z,8,FALSE)+VLOOKUP($A41,A:AL,10,FALSE)-50</f>
        <v>86</v>
      </c>
      <c r="L41" s="3">
        <f t="shared" si="32"/>
        <v>87</v>
      </c>
      <c r="M41" s="3">
        <v>88</v>
      </c>
      <c r="N41" s="3">
        <f t="shared" si="30"/>
        <v>90</v>
      </c>
      <c r="O41" s="3">
        <f t="shared" si="29"/>
        <v>91</v>
      </c>
      <c r="P41" s="3">
        <v>120</v>
      </c>
      <c r="Q41" s="3">
        <f>VLOOKUP($A41,'SegEnds_NonXtal_BW#'!$A:$Z,12,FALSE)+VLOOKUP($A41,A:AL,16,FALSE)-50</f>
        <v>126</v>
      </c>
      <c r="R41" s="3">
        <f>IF(ISERROR(VLOOKUP($A41,'SegEnds_NonXtal_BW#'!$A:$Z,13,FALSE)+VLOOKUP($A41,A:AL,19,FALSE)-50),"-",VLOOKUP($A41,'SegEnds_NonXtal_BW#'!$A:$Z,13,FALSE)+VLOOKUP($A41,A:AL,19,FALSE)-50)</f>
        <v>127</v>
      </c>
      <c r="S41" s="3">
        <v>127</v>
      </c>
      <c r="T41" s="100">
        <f>IF(ISERROR(VLOOKUP($A41,'SegEnds_NonXtal_BW#'!$A:$Z,14,FALSE)+VLOOKUP($A41,A:AL,19,FALSE)-50),"-",(VLOOKUP($A41,'SegEnds_NonXtal_BW#'!$A:$Z,14,FALSE)+VLOOKUP($A41,A:AL,19,FALSE)-50))</f>
        <v>134</v>
      </c>
      <c r="U41" s="9">
        <f>IF(ISERROR(VLOOKUP($A41,'SegEnds_NonXtal_BW#'!$A:$Z,15,FALSE)+VLOOKUP($A41,A:AL,22,FALSE)-50),"-",VLOOKUP($A41,'SegEnds_NonXtal_BW#'!$A:$Z,15,FALSE)+VLOOKUP($A41,A:AL,22,FALSE)-50)</f>
        <v>135</v>
      </c>
      <c r="V41" s="3">
        <v>147</v>
      </c>
      <c r="W41" s="3">
        <f>IF(ISERROR(VLOOKUP($A41,'SegEnds_NonXtal_BW#'!$A:$Z,16,FALSE)+VLOOKUP($A41,A:AL,22,FALSE)-50),"-",(VLOOKUP($A41,'SegEnds_NonXtal_BW#'!$A:$Z,16,FALSE)+VLOOKUP($A41,A:AL,22,FALSE)-50))</f>
        <v>160</v>
      </c>
      <c r="X41" s="3">
        <f>IF(ISERROR(VLOOKUP($A41,'SegEnds_NonXtal_BW#'!$A:$Z,17,FALSE)+VLOOKUP($A41,A:AL,25,FALSE)-50),"-",(VLOOKUP($A41,'SegEnds_NonXtal_BW#'!$A:$Z,17,FALSE)+VLOOKUP($A41,A:AL,25,FALSE)-50))</f>
        <v>173</v>
      </c>
      <c r="Y41" s="3">
        <v>173</v>
      </c>
      <c r="Z41" s="3">
        <f t="shared" si="31"/>
        <v>175</v>
      </c>
      <c r="AA41" s="3">
        <f>IF(ISERROR(VLOOKUP($A41,'SegEnds_NonXtal_BW#'!$A:$Z,19,FALSE)+VLOOKUP($A41,A:AL,28,FALSE)-50),"-",(VLOOKUP($A41,'SegEnds_NonXtal_BW#'!$A:$Z,19,FALSE)+VLOOKUP($A41,A:AL,28,FALSE)-50))</f>
        <v>179</v>
      </c>
      <c r="AB41" s="3">
        <v>194</v>
      </c>
      <c r="AC41" s="3">
        <f>IF(ISERROR((VLOOKUP($A41,'SegEnds_NonXtal_BW#'!$A:$Z,20,FALSE)+VLOOKUP($A41,A:AL,28,FALSE)-50)),"-",(VLOOKUP($A41,'SegEnds_NonXtal_BW#'!$A:$Z,20,FALSE)+VLOOKUP($A41,A:AL,28,FALSE)-50))</f>
        <v>220</v>
      </c>
      <c r="AD41" s="3">
        <f>IF(ISERROR(VLOOKUP($A41,'SegEnds_NonXtal_BW#'!$A:$Z,21,FALSE)+VLOOKUP($A41,A:AL,31,FALSE)-50),"-",(VLOOKUP($A41,'SegEnds_NonXtal_BW#'!$A:$Z,21,FALSE)+VLOOKUP($A41,A:AL,31,FALSE)-50))</f>
        <v>280</v>
      </c>
      <c r="AE41" s="3">
        <v>306</v>
      </c>
      <c r="AF41" s="3">
        <f>IF(ISERROR((VLOOKUP($A41,'SegEnds_NonXtal_BW#'!$A:$Z,22,FALSE)+VLOOKUP($A41,A:AL,31,FALSE)-50)),"-",(VLOOKUP($A41,'SegEnds_NonXtal_BW#'!$A:$Z,22,FALSE)+VLOOKUP($A41,A:AL,31,FALSE)-50))</f>
        <v>317</v>
      </c>
      <c r="AG41" s="3">
        <f>IF(ISERROR(VLOOKUP($A41,'SegEnds_NonXtal_BW#'!$A:$Z,23,FALSE)+VLOOKUP($A41,A:AL,34,FALSE)-50),"-",(VLOOKUP($A41,'SegEnds_NonXtal_BW#'!$A:$Z,23,FALSE)+VLOOKUP($A41,A:AL,34,FALSE)-50))</f>
        <v>322</v>
      </c>
      <c r="AH41" s="3">
        <v>341</v>
      </c>
      <c r="AI41" s="3">
        <f>IF(ISERROR((VLOOKUP($A41,'SegEnds_NonXtal_BW#'!$A:$Z,24,FALSE)+VLOOKUP($A41,A:AL,34,FALSE)-50)),"-",(VLOOKUP($A41,'SegEnds_NonXtal_BW#'!$A:$Z,24,FALSE)+VLOOKUP($A41,A:AL,34,FALSE)-50))</f>
        <v>347</v>
      </c>
      <c r="AJ41" s="3">
        <f>IF(ISERROR(VLOOKUP($A41,'SegEnds_NonXtal_BW#'!$A:$Z,25,FALSE)+VLOOKUP($A41,A:AL,37,FALSE)-50),"-",(VLOOKUP($A41,'SegEnds_NonXtal_BW#'!$A:$Z,25,FALSE)+VLOOKUP($A41,A:AL,37,FALSE)-50))</f>
        <v>348</v>
      </c>
      <c r="AK41" s="3">
        <v>351</v>
      </c>
      <c r="AL41" s="3">
        <f>IF(ISERROR((VLOOKUP($A41,'SegEnds_NonXtal_BW#'!$A:$Z,26,FALSE)+VLOOKUP($A41,A:AL,37,FALSE)-50)),"-",(VLOOKUP($A41,'SegEnds_NonXtal_BW#'!$A:$Z,26,FALSE)+VLOOKUP($A41,A:AL,37,FALSE)-50))</f>
        <v>359</v>
      </c>
      <c r="AM41" s="28" t="str">
        <f>VLOOKUP(A41,Classification!A:B,2,FALSE)</f>
        <v>A</v>
      </c>
      <c r="AN41" s="28" t="b">
        <f t="shared" si="17"/>
        <v>1</v>
      </c>
      <c r="AO41" s="3" t="str">
        <f>IF(ISERROR(MATCH(A41,'SegEnds_Xtal_Prot#'!B:B, 0)), "NoXtal", "Xtal")</f>
        <v>NoXtal</v>
      </c>
      <c r="AP41" s="3">
        <f t="shared" si="2"/>
        <v>1</v>
      </c>
      <c r="AQ41" s="3">
        <f t="shared" si="3"/>
        <v>1</v>
      </c>
      <c r="AR41" s="3">
        <f t="shared" si="4"/>
        <v>1</v>
      </c>
      <c r="AS41" s="3">
        <f t="shared" si="5"/>
        <v>1</v>
      </c>
      <c r="AT41" s="3">
        <f t="shared" si="6"/>
        <v>1</v>
      </c>
      <c r="AU41" s="3">
        <f t="shared" si="7"/>
        <v>1</v>
      </c>
      <c r="AV41" s="3">
        <f t="shared" si="8"/>
        <v>13</v>
      </c>
      <c r="AW41" s="3">
        <f t="shared" si="9"/>
        <v>4</v>
      </c>
      <c r="AX41" s="3">
        <f t="shared" si="10"/>
        <v>60</v>
      </c>
      <c r="AY41" s="3">
        <f t="shared" si="11"/>
        <v>5</v>
      </c>
      <c r="AZ41" s="3">
        <f t="shared" si="12"/>
        <v>1</v>
      </c>
      <c r="BA41" s="3">
        <f>IF(ISERROR(LEN(VLOOKUP(A41,Seqs!A:E,2,FALSE))-AL41),"-",LEN(VLOOKUP(A41,Seqs!A:E,2,FALSE))-AL41)</f>
        <v>6</v>
      </c>
      <c r="BB41" s="16">
        <f t="shared" si="13"/>
        <v>28</v>
      </c>
      <c r="BC41" s="9">
        <f t="shared" si="14"/>
        <v>20</v>
      </c>
      <c r="BD41" s="3">
        <f t="shared" si="15"/>
        <v>28</v>
      </c>
      <c r="BE41" s="3">
        <f t="shared" si="16"/>
        <v>112</v>
      </c>
      <c r="BF41" s="3">
        <f>AH41-AE41</f>
        <v>35</v>
      </c>
    </row>
    <row r="42" spans="1:58" s="3" customFormat="1" x14ac:dyDescent="0.2">
      <c r="A42" s="3" t="s">
        <v>131</v>
      </c>
      <c r="B42" s="3" t="str">
        <f>LOWER(VLOOKUP(A42,Xtal_Templ!A:B,2,FALSE))</f>
        <v>5ht1b_human</v>
      </c>
      <c r="C42" s="3">
        <f>VLOOKUP($A42,'SegEnds_NonXtal_BW#'!$A:$Z,3,FALSE)+D42-50</f>
        <v>19</v>
      </c>
      <c r="D42" s="3">
        <v>41</v>
      </c>
      <c r="E42" s="3">
        <f>IF(ISERROR(VLOOKUP($A42,'SegEnds_NonXtal_BW#'!$A:$Z,4,FALSE)+VLOOKUP($A42,A:AL,4,FALSE)-50),"-",(VLOOKUP($A42,'SegEnds_NonXtal_BW#'!$A:$Z,4,FALSE)+VLOOKUP($A42,A:AL,4,FALSE)-50))</f>
        <v>51</v>
      </c>
      <c r="F42" s="3">
        <f t="shared" si="27"/>
        <v>52</v>
      </c>
      <c r="G42" s="3">
        <v>54</v>
      </c>
      <c r="H42" s="3">
        <f t="shared" si="28"/>
        <v>55</v>
      </c>
      <c r="I42" s="3">
        <f t="shared" si="28"/>
        <v>56</v>
      </c>
      <c r="J42" s="3">
        <v>69</v>
      </c>
      <c r="K42" s="3">
        <f>VLOOKUP($A42,'SegEnds_NonXtal_BW#'!$A:$Z,8,FALSE)+VLOOKUP($A42,A:AL,10,FALSE)-50</f>
        <v>87</v>
      </c>
      <c r="L42" s="3">
        <f t="shared" si="32"/>
        <v>88</v>
      </c>
      <c r="M42" s="3">
        <v>89</v>
      </c>
      <c r="N42" s="3">
        <f t="shared" si="30"/>
        <v>91</v>
      </c>
      <c r="O42" s="3">
        <f t="shared" si="29"/>
        <v>92</v>
      </c>
      <c r="P42" s="3">
        <v>121</v>
      </c>
      <c r="Q42" s="3">
        <f>VLOOKUP($A42,'SegEnds_NonXtal_BW#'!$A:$Z,12,FALSE)+VLOOKUP($A42,A:AL,16,FALSE)-50</f>
        <v>127</v>
      </c>
      <c r="R42" s="3">
        <f>IF(ISERROR(VLOOKUP($A42,'SegEnds_NonXtal_BW#'!$A:$Z,13,FALSE)+VLOOKUP($A42,A:AL,19,FALSE)-50),"-",VLOOKUP($A42,'SegEnds_NonXtal_BW#'!$A:$Z,13,FALSE)+VLOOKUP($A42,A:AL,19,FALSE)-50)</f>
        <v>128</v>
      </c>
      <c r="S42" s="3">
        <v>128</v>
      </c>
      <c r="T42" s="100">
        <f>IF(ISERROR(VLOOKUP($A42,'SegEnds_NonXtal_BW#'!$A:$Z,14,FALSE)+VLOOKUP($A42,A:AL,19,FALSE)-50),"-",(VLOOKUP($A42,'SegEnds_NonXtal_BW#'!$A:$Z,14,FALSE)+VLOOKUP($A42,A:AL,19,FALSE)-50))</f>
        <v>135</v>
      </c>
      <c r="U42" s="9">
        <f>IF(ISERROR(VLOOKUP($A42,'SegEnds_NonXtal_BW#'!$A:$Z,15,FALSE)+VLOOKUP($A42,A:AL,22,FALSE)-50),"-",VLOOKUP($A42,'SegEnds_NonXtal_BW#'!$A:$Z,15,FALSE)+VLOOKUP($A42,A:AL,22,FALSE)-50)</f>
        <v>136</v>
      </c>
      <c r="V42" s="3">
        <v>148</v>
      </c>
      <c r="W42" s="3">
        <f>IF(ISERROR(VLOOKUP($A42,'SegEnds_NonXtal_BW#'!$A:$Z,16,FALSE)+VLOOKUP($A42,A:AL,22,FALSE)-50),"-",(VLOOKUP($A42,'SegEnds_NonXtal_BW#'!$A:$Z,16,FALSE)+VLOOKUP($A42,A:AL,22,FALSE)-50))</f>
        <v>161</v>
      </c>
      <c r="X42" s="3">
        <f>IF(ISERROR(VLOOKUP($A42,'SegEnds_NonXtal_BW#'!$A:$Z,17,FALSE)+VLOOKUP($A42,A:AL,25,FALSE)-50),"-",(VLOOKUP($A42,'SegEnds_NonXtal_BW#'!$A:$Z,17,FALSE)+VLOOKUP($A42,A:AL,25,FALSE)-50))</f>
        <v>172</v>
      </c>
      <c r="Y42" s="3">
        <v>172</v>
      </c>
      <c r="Z42" s="3">
        <f t="shared" si="31"/>
        <v>174</v>
      </c>
      <c r="AA42" s="3">
        <f>IF(ISERROR(VLOOKUP($A42,'SegEnds_NonXtal_BW#'!$A:$Z,19,FALSE)+VLOOKUP($A42,A:AL,28,FALSE)-50),"-",(VLOOKUP($A42,'SegEnds_NonXtal_BW#'!$A:$Z,19,FALSE)+VLOOKUP($A42,A:AL,28,FALSE)-50))</f>
        <v>178</v>
      </c>
      <c r="AB42" s="3">
        <v>193</v>
      </c>
      <c r="AC42" s="3">
        <f>IF(ISERROR((VLOOKUP($A42,'SegEnds_NonXtal_BW#'!$A:$Z,20,FALSE)+VLOOKUP($A42,A:AL,28,FALSE)-50)),"-",(VLOOKUP($A42,'SegEnds_NonXtal_BW#'!$A:$Z,20,FALSE)+VLOOKUP($A42,A:AL,28,FALSE)-50))</f>
        <v>219</v>
      </c>
      <c r="AD42" s="3">
        <f>IF(ISERROR(VLOOKUP($A42,'SegEnds_NonXtal_BW#'!$A:$Z,21,FALSE)+VLOOKUP($A42,A:AL,31,FALSE)-50),"-",(VLOOKUP($A42,'SegEnds_NonXtal_BW#'!$A:$Z,21,FALSE)+VLOOKUP($A42,A:AL,31,FALSE)-50))</f>
        <v>282</v>
      </c>
      <c r="AE42" s="3">
        <v>308</v>
      </c>
      <c r="AF42" s="3">
        <f>IF(ISERROR((VLOOKUP($A42,'SegEnds_NonXtal_BW#'!$A:$Z,22,FALSE)+VLOOKUP($A42,A:AL,31,FALSE)-50)),"-",(VLOOKUP($A42,'SegEnds_NonXtal_BW#'!$A:$Z,22,FALSE)+VLOOKUP($A42,A:AL,31,FALSE)-50))</f>
        <v>319</v>
      </c>
      <c r="AG42" s="3">
        <f>IF(ISERROR(VLOOKUP($A42,'SegEnds_NonXtal_BW#'!$A:$Z,23,FALSE)+VLOOKUP($A42,A:AL,34,FALSE)-50),"-",(VLOOKUP($A42,'SegEnds_NonXtal_BW#'!$A:$Z,23,FALSE)+VLOOKUP($A42,A:AL,34,FALSE)-50))</f>
        <v>325</v>
      </c>
      <c r="AH42" s="3">
        <v>344</v>
      </c>
      <c r="AI42" s="3">
        <f>IF(ISERROR((VLOOKUP($A42,'SegEnds_NonXtal_BW#'!$A:$Z,24,FALSE)+VLOOKUP($A42,A:AL,34,FALSE)-50)),"-",(VLOOKUP($A42,'SegEnds_NonXtal_BW#'!$A:$Z,24,FALSE)+VLOOKUP($A42,A:AL,34,FALSE)-50))</f>
        <v>350</v>
      </c>
      <c r="AJ42" s="3">
        <f>IF(ISERROR(VLOOKUP($A42,'SegEnds_NonXtal_BW#'!$A:$Z,25,FALSE)+VLOOKUP($A42,A:AL,37,FALSE)-50),"-",(VLOOKUP($A42,'SegEnds_NonXtal_BW#'!$A:$Z,25,FALSE)+VLOOKUP($A42,A:AL,37,FALSE)-50))</f>
        <v>351</v>
      </c>
      <c r="AK42" s="3">
        <v>354</v>
      </c>
      <c r="AL42" s="3">
        <f>IF(ISERROR((VLOOKUP($A42,'SegEnds_NonXtal_BW#'!$A:$Z,26,FALSE)+VLOOKUP($A42,A:AL,37,FALSE)-50)),"-",(VLOOKUP($A42,'SegEnds_NonXtal_BW#'!$A:$Z,26,FALSE)+VLOOKUP($A42,A:AL,37,FALSE)-50))</f>
        <v>362</v>
      </c>
      <c r="AM42" s="28" t="str">
        <f>VLOOKUP(A42,Classification!A:B,2,FALSE)</f>
        <v>A</v>
      </c>
      <c r="AN42" s="28" t="b">
        <f t="shared" si="17"/>
        <v>1</v>
      </c>
      <c r="AO42" s="3" t="str">
        <f>IF(ISERROR(MATCH(A42,'SegEnds_Xtal_Prot#'!B:B, 0)), "NoXtal", "Xtal")</f>
        <v>NoXtal</v>
      </c>
      <c r="AP42" s="3">
        <f t="shared" si="2"/>
        <v>1</v>
      </c>
      <c r="AQ42" s="3">
        <f t="shared" si="3"/>
        <v>1</v>
      </c>
      <c r="AR42" s="3">
        <f t="shared" si="4"/>
        <v>1</v>
      </c>
      <c r="AS42" s="3">
        <f t="shared" si="5"/>
        <v>1</v>
      </c>
      <c r="AT42" s="3">
        <f t="shared" si="6"/>
        <v>1</v>
      </c>
      <c r="AU42" s="3">
        <f t="shared" si="7"/>
        <v>1</v>
      </c>
      <c r="AV42" s="3">
        <f t="shared" si="8"/>
        <v>11</v>
      </c>
      <c r="AW42" s="3">
        <f t="shared" si="9"/>
        <v>4</v>
      </c>
      <c r="AX42" s="3">
        <f t="shared" si="10"/>
        <v>63</v>
      </c>
      <c r="AY42" s="3">
        <f t="shared" si="11"/>
        <v>6</v>
      </c>
      <c r="AZ42" s="3">
        <f t="shared" si="12"/>
        <v>1</v>
      </c>
      <c r="BA42" s="3">
        <f>IF(ISERROR(LEN(VLOOKUP(A42,Seqs!A:E,2,FALSE))-AL42),"-",LEN(VLOOKUP(A42,Seqs!A:E,2,FALSE))-AL42)</f>
        <v>4</v>
      </c>
      <c r="BB42" s="16">
        <f t="shared" si="13"/>
        <v>28</v>
      </c>
      <c r="BC42" s="9">
        <f t="shared" si="14"/>
        <v>20</v>
      </c>
      <c r="BD42" s="3">
        <f t="shared" si="15"/>
        <v>28</v>
      </c>
      <c r="BE42" s="3">
        <f t="shared" si="16"/>
        <v>115</v>
      </c>
      <c r="BF42" s="3">
        <f>AH42-AE42</f>
        <v>36</v>
      </c>
    </row>
    <row r="43" spans="1:58" s="3" customFormat="1" x14ac:dyDescent="0.2">
      <c r="A43" s="3" t="s">
        <v>132</v>
      </c>
      <c r="B43" s="3" t="str">
        <f>LOWER(VLOOKUP(A43,Xtal_Templ!A:B,2,FALSE))</f>
        <v>5ht2a_human</v>
      </c>
      <c r="C43" s="3">
        <f>VLOOKUP($A43,'SegEnds_NonXtal_BW#'!$A:$Z,3,FALSE)+D43-50</f>
        <v>69</v>
      </c>
      <c r="D43" s="3">
        <v>92</v>
      </c>
      <c r="E43" s="3">
        <f>IF(ISERROR(VLOOKUP($A43,'SegEnds_NonXtal_BW#'!$A:$Z,4,FALSE)+VLOOKUP($A43,A:AL,4,FALSE)-50),"-",(VLOOKUP($A43,'SegEnds_NonXtal_BW#'!$A:$Z,4,FALSE)+VLOOKUP($A43,A:AL,4,FALSE)-50))</f>
        <v>102</v>
      </c>
      <c r="F43" s="3">
        <f t="shared" si="27"/>
        <v>103</v>
      </c>
      <c r="G43" s="3">
        <v>105</v>
      </c>
      <c r="H43" s="3">
        <f t="shared" si="28"/>
        <v>106</v>
      </c>
      <c r="I43" s="3">
        <f t="shared" si="28"/>
        <v>107</v>
      </c>
      <c r="J43" s="3">
        <v>120</v>
      </c>
      <c r="K43" s="3">
        <f>VLOOKUP($A43,'SegEnds_NonXtal_BW#'!$A:$Z,8,FALSE)+VLOOKUP($A43,A:AL,10,FALSE)-50</f>
        <v>138</v>
      </c>
      <c r="L43" s="3">
        <f t="shared" si="32"/>
        <v>140</v>
      </c>
      <c r="M43" s="3">
        <v>141</v>
      </c>
      <c r="N43" s="3">
        <f t="shared" si="30"/>
        <v>143</v>
      </c>
      <c r="O43" s="3">
        <f t="shared" si="29"/>
        <v>144</v>
      </c>
      <c r="P43" s="3">
        <v>173</v>
      </c>
      <c r="Q43" s="3">
        <f>VLOOKUP($A43,'SegEnds_NonXtal_BW#'!$A:$Z,12,FALSE)+VLOOKUP($A43,A:AL,16,FALSE)-50</f>
        <v>179</v>
      </c>
      <c r="R43" s="3">
        <f>IF(ISERROR(VLOOKUP($A43,'SegEnds_NonXtal_BW#'!$A:$Z,13,FALSE)+VLOOKUP($A43,A:AL,19,FALSE)-50),"-",VLOOKUP($A43,'SegEnds_NonXtal_BW#'!$A:$Z,13,FALSE)+VLOOKUP($A43,A:AL,19,FALSE)-50)</f>
        <v>180</v>
      </c>
      <c r="S43" s="3">
        <v>180</v>
      </c>
      <c r="T43" s="100">
        <f>IF(ISERROR(VLOOKUP($A43,'SegEnds_NonXtal_BW#'!$A:$Z,14,FALSE)+VLOOKUP($A43,A:AL,19,FALSE)-50),"-",(VLOOKUP($A43,'SegEnds_NonXtal_BW#'!$A:$Z,14,FALSE)+VLOOKUP($A43,A:AL,19,FALSE)-50))</f>
        <v>187</v>
      </c>
      <c r="U43" s="9">
        <f>IF(ISERROR(VLOOKUP($A43,'SegEnds_NonXtal_BW#'!$A:$Z,15,FALSE)+VLOOKUP($A43,A:AL,22,FALSE)-50),"-",VLOOKUP($A43,'SegEnds_NonXtal_BW#'!$A:$Z,15,FALSE)+VLOOKUP($A43,A:AL,22,FALSE)-50)</f>
        <v>188</v>
      </c>
      <c r="V43" s="3">
        <v>200</v>
      </c>
      <c r="W43" s="3">
        <f>IF(ISERROR(VLOOKUP($A43,'SegEnds_NonXtal_BW#'!$A:$Z,16,FALSE)+VLOOKUP($A43,A:AL,22,FALSE)-50),"-",(VLOOKUP($A43,'SegEnds_NonXtal_BW#'!$A:$Z,16,FALSE)+VLOOKUP($A43,A:AL,22,FALSE)-50))</f>
        <v>217</v>
      </c>
      <c r="X43" s="3">
        <f>IF(ISERROR(VLOOKUP($A43,'SegEnds_NonXtal_BW#'!$A:$Z,17,FALSE)+VLOOKUP($A43,A:AL,25,FALSE)-50),"-",(VLOOKUP($A43,'SegEnds_NonXtal_BW#'!$A:$Z,17,FALSE)+VLOOKUP($A43,A:AL,25,FALSE)-50))</f>
        <v>227</v>
      </c>
      <c r="Y43" s="3">
        <v>227</v>
      </c>
      <c r="Z43" s="3">
        <f t="shared" si="31"/>
        <v>229</v>
      </c>
      <c r="AA43" s="3">
        <f>IF(ISERROR(VLOOKUP($A43,'SegEnds_NonXtal_BW#'!$A:$Z,19,FALSE)+VLOOKUP($A43,A:AL,28,FALSE)-50),"-",(VLOOKUP($A43,'SegEnds_NonXtal_BW#'!$A:$Z,19,FALSE)+VLOOKUP($A43,A:AL,28,FALSE)-50))</f>
        <v>231</v>
      </c>
      <c r="AB43" s="3">
        <v>246</v>
      </c>
      <c r="AC43" s="3">
        <f>IF(ISERROR((VLOOKUP($A43,'SegEnds_NonXtal_BW#'!$A:$Z,20,FALSE)+VLOOKUP($A43,A:AL,28,FALSE)-50)),"-",(VLOOKUP($A43,'SegEnds_NonXtal_BW#'!$A:$Z,20,FALSE)+VLOOKUP($A43,A:AL,28,FALSE)-50))</f>
        <v>272</v>
      </c>
      <c r="AD43" s="3">
        <f>IF(ISERROR(VLOOKUP($A43,'SegEnds_NonXtal_BW#'!$A:$Z,21,FALSE)+VLOOKUP($A43,A:AL,31,FALSE)-50),"-",(VLOOKUP($A43,'SegEnds_NonXtal_BW#'!$A:$Z,21,FALSE)+VLOOKUP($A43,A:AL,31,FALSE)-50))</f>
        <v>312</v>
      </c>
      <c r="AE43" s="3">
        <v>338</v>
      </c>
      <c r="AF43" s="3">
        <f>IF(ISERROR((VLOOKUP($A43,'SegEnds_NonXtal_BW#'!$A:$Z,22,FALSE)+VLOOKUP($A43,A:AL,31,FALSE)-50)),"-",(VLOOKUP($A43,'SegEnds_NonXtal_BW#'!$A:$Z,22,FALSE)+VLOOKUP($A43,A:AL,31,FALSE)-50))</f>
        <v>349</v>
      </c>
      <c r="AG43" s="3">
        <f>IF(ISERROR(VLOOKUP($A43,'SegEnds_NonXtal_BW#'!$A:$Z,23,FALSE)+VLOOKUP($A43,A:AL,34,FALSE)-50),"-",(VLOOKUP($A43,'SegEnds_NonXtal_BW#'!$A:$Z,23,FALSE)+VLOOKUP($A43,A:AL,34,FALSE)-50))</f>
        <v>354</v>
      </c>
      <c r="AH43" s="3">
        <v>377</v>
      </c>
      <c r="AI43" s="3">
        <f>IF(ISERROR((VLOOKUP($A43,'SegEnds_NonXtal_BW#'!$A:$Z,24,FALSE)+VLOOKUP($A43,A:AL,34,FALSE)-50)),"-",(VLOOKUP($A43,'SegEnds_NonXtal_BW#'!$A:$Z,24,FALSE)+VLOOKUP($A43,A:AL,34,FALSE)-50))</f>
        <v>383</v>
      </c>
      <c r="AJ43" s="3">
        <f>IF(ISERROR(VLOOKUP($A43,'SegEnds_NonXtal_BW#'!$A:$Z,25,FALSE)+VLOOKUP($A43,A:AL,37,FALSE)-50),"-",(VLOOKUP($A43,'SegEnds_NonXtal_BW#'!$A:$Z,25,FALSE)+VLOOKUP($A43,A:AL,37,FALSE)-50))</f>
        <v>384</v>
      </c>
      <c r="AK43" s="3">
        <v>387</v>
      </c>
      <c r="AL43" s="3">
        <f>IF(ISERROR((VLOOKUP($A43,'SegEnds_NonXtal_BW#'!$A:$Z,26,FALSE)+VLOOKUP($A43,A:AL,37,FALSE)-50)),"-",(VLOOKUP($A43,'SegEnds_NonXtal_BW#'!$A:$Z,26,FALSE)+VLOOKUP($A43,A:AL,37,FALSE)-50))</f>
        <v>397</v>
      </c>
      <c r="AM43" s="28" t="str">
        <f>VLOOKUP(A43,Classification!A:B,2,FALSE)</f>
        <v>A</v>
      </c>
      <c r="AN43" s="28" t="b">
        <f t="shared" si="17"/>
        <v>1</v>
      </c>
      <c r="AO43" s="3" t="str">
        <f>IF(ISERROR(MATCH(A43,'SegEnds_Xtal_Prot#'!B:B, 0)), "NoXtal", "Xtal")</f>
        <v>Xtal</v>
      </c>
      <c r="AP43" s="3">
        <f t="shared" si="2"/>
        <v>1</v>
      </c>
      <c r="AQ43" s="3">
        <f t="shared" si="3"/>
        <v>1</v>
      </c>
      <c r="AR43" s="3">
        <f t="shared" si="4"/>
        <v>2</v>
      </c>
      <c r="AS43" s="3">
        <f t="shared" si="5"/>
        <v>1</v>
      </c>
      <c r="AT43" s="3">
        <f t="shared" si="6"/>
        <v>1</v>
      </c>
      <c r="AU43" s="3">
        <f t="shared" si="7"/>
        <v>1</v>
      </c>
      <c r="AV43" s="3">
        <f t="shared" si="8"/>
        <v>10</v>
      </c>
      <c r="AW43" s="3">
        <f t="shared" si="9"/>
        <v>2</v>
      </c>
      <c r="AX43" s="3">
        <f t="shared" si="10"/>
        <v>40</v>
      </c>
      <c r="AY43" s="3">
        <f t="shared" si="11"/>
        <v>5</v>
      </c>
      <c r="AZ43" s="3">
        <f t="shared" si="12"/>
        <v>1</v>
      </c>
      <c r="BA43" s="3">
        <f>IF(ISERROR(LEN(VLOOKUP(A43,Seqs!A:E,2,FALSE))-AL43),"-",LEN(VLOOKUP(A43,Seqs!A:E,2,FALSE))-AL43)</f>
        <v>74</v>
      </c>
      <c r="BB43" s="16">
        <f t="shared" si="13"/>
        <v>28</v>
      </c>
      <c r="BC43" s="9">
        <f t="shared" si="14"/>
        <v>20</v>
      </c>
      <c r="BD43" s="3">
        <f t="shared" si="15"/>
        <v>28</v>
      </c>
      <c r="BE43" s="3">
        <f t="shared" si="16"/>
        <v>92</v>
      </c>
    </row>
    <row r="44" spans="1:58" s="3" customFormat="1" x14ac:dyDescent="0.2">
      <c r="A44" s="3" t="s">
        <v>35</v>
      </c>
      <c r="B44" s="3" t="str">
        <f>LOWER(VLOOKUP(A44,Xtal_Templ!A:B,2,FALSE))</f>
        <v>5ht2b_human</v>
      </c>
      <c r="C44" s="3">
        <f>VLOOKUP($A44,'SegEnds_NonXtal_BW#'!$A:$Z,3,FALSE)+D44-50</f>
        <v>53</v>
      </c>
      <c r="D44" s="3">
        <v>72</v>
      </c>
      <c r="E44" s="3">
        <f>IF(ISERROR(VLOOKUP($A44,'SegEnds_NonXtal_BW#'!$A:$Z,4,FALSE)+VLOOKUP($A44,A:AL,4,FALSE)-50),"-",(VLOOKUP($A44,'SegEnds_NonXtal_BW#'!$A:$Z,4,FALSE)+VLOOKUP($A44,A:AL,4,FALSE)-50))</f>
        <v>82</v>
      </c>
      <c r="F44" s="3">
        <f t="shared" si="27"/>
        <v>83</v>
      </c>
      <c r="G44" s="3">
        <v>85</v>
      </c>
      <c r="H44" s="3">
        <f t="shared" si="28"/>
        <v>86</v>
      </c>
      <c r="I44" s="3">
        <f t="shared" si="28"/>
        <v>87</v>
      </c>
      <c r="J44" s="3">
        <v>100</v>
      </c>
      <c r="K44" s="3">
        <f>VLOOKUP($A44,'SegEnds_NonXtal_BW#'!$A:$Z,8,FALSE)+VLOOKUP($A44,A:AL,10,FALSE)-50</f>
        <v>117</v>
      </c>
      <c r="L44" s="3">
        <f t="shared" si="32"/>
        <v>120</v>
      </c>
      <c r="M44" s="3">
        <v>121</v>
      </c>
      <c r="N44" s="3">
        <f t="shared" si="30"/>
        <v>123</v>
      </c>
      <c r="O44" s="3">
        <f t="shared" si="29"/>
        <v>124</v>
      </c>
      <c r="P44" s="3">
        <v>153</v>
      </c>
      <c r="Q44" s="3">
        <f>VLOOKUP($A44,'SegEnds_NonXtal_BW#'!$A:$Z,12,FALSE)+VLOOKUP($A44,A:AL,16,FALSE)-50</f>
        <v>159</v>
      </c>
      <c r="R44" s="3">
        <f>IF(ISERROR(VLOOKUP($A44,'SegEnds_NonXtal_BW#'!$A:$Z,13,FALSE)+VLOOKUP($A44,A:AL,19,FALSE)-50),"-",VLOOKUP($A44,'SegEnds_NonXtal_BW#'!$A:$Z,13,FALSE)+VLOOKUP($A44,A:AL,19,FALSE)-50)</f>
        <v>160</v>
      </c>
      <c r="S44" s="3">
        <v>160</v>
      </c>
      <c r="T44" s="100">
        <f>IF(ISERROR(VLOOKUP($A44,'SegEnds_NonXtal_BW#'!$A:$Z,14,FALSE)+VLOOKUP($A44,A:AL,19,FALSE)-50),"-",(VLOOKUP($A44,'SegEnds_NonXtal_BW#'!$A:$Z,14,FALSE)+VLOOKUP($A44,A:AL,19,FALSE)-50))</f>
        <v>167</v>
      </c>
      <c r="U44" s="9">
        <f>IF(ISERROR(VLOOKUP($A44,'SegEnds_NonXtal_BW#'!$A:$Z,15,FALSE)+VLOOKUP($A44,A:AL,22,FALSE)-50),"-",VLOOKUP($A44,'SegEnds_NonXtal_BW#'!$A:$Z,15,FALSE)+VLOOKUP($A44,A:AL,22,FALSE)-50)</f>
        <v>168</v>
      </c>
      <c r="V44" s="3">
        <v>180</v>
      </c>
      <c r="W44" s="3">
        <f>IF(ISERROR(VLOOKUP($A44,'SegEnds_NonXtal_BW#'!$A:$Z,16,FALSE)+VLOOKUP($A44,A:AL,22,FALSE)-50),"-",(VLOOKUP($A44,'SegEnds_NonXtal_BW#'!$A:$Z,16,FALSE)+VLOOKUP($A44,A:AL,22,FALSE)-50))</f>
        <v>194</v>
      </c>
      <c r="X44" s="3">
        <f>IF(ISERROR(VLOOKUP($A44,'SegEnds_NonXtal_BW#'!$A:$Z,17,FALSE)+VLOOKUP($A44,A:AL,25,FALSE)-50),"-",(VLOOKUP($A44,'SegEnds_NonXtal_BW#'!$A:$Z,17,FALSE)+VLOOKUP($A44,A:AL,25,FALSE)-50))</f>
        <v>207</v>
      </c>
      <c r="Y44" s="3">
        <v>207</v>
      </c>
      <c r="Z44" s="3">
        <f t="shared" si="31"/>
        <v>209</v>
      </c>
      <c r="AA44" s="3">
        <f>IF(ISERROR(VLOOKUP($A44,'SegEnds_NonXtal_BW#'!$A:$Z,19,FALSE)+VLOOKUP($A44,A:AL,28,FALSE)-50),"-",(VLOOKUP($A44,'SegEnds_NonXtal_BW#'!$A:$Z,19,FALSE)+VLOOKUP($A44,A:AL,28,FALSE)-50))</f>
        <v>214</v>
      </c>
      <c r="AB44" s="3">
        <v>229</v>
      </c>
      <c r="AC44" s="3">
        <f>IF(ISERROR((VLOOKUP($A44,'SegEnds_NonXtal_BW#'!$A:$Z,20,FALSE)+VLOOKUP($A44,A:AL,28,FALSE)-50)),"-",(VLOOKUP($A44,'SegEnds_NonXtal_BW#'!$A:$Z,20,FALSE)+VLOOKUP($A44,A:AL,28,FALSE)-50))</f>
        <v>255</v>
      </c>
      <c r="AD44" s="3">
        <f>IF(ISERROR(VLOOKUP($A44,'SegEnds_NonXtal_BW#'!$A:$Z,21,FALSE)+VLOOKUP($A44,A:AL,31,FALSE)-50),"-",(VLOOKUP($A44,'SegEnds_NonXtal_BW#'!$A:$Z,21,FALSE)+VLOOKUP($A44,A:AL,31,FALSE)-50))</f>
        <v>313</v>
      </c>
      <c r="AE44" s="3">
        <v>339</v>
      </c>
      <c r="AF44" s="3">
        <f>IF(ISERROR((VLOOKUP($A44,'SegEnds_NonXtal_BW#'!$A:$Z,22,FALSE)+VLOOKUP($A44,A:AL,31,FALSE)-50)),"-",(VLOOKUP($A44,'SegEnds_NonXtal_BW#'!$A:$Z,22,FALSE)+VLOOKUP($A44,A:AL,31,FALSE)-50))</f>
        <v>350</v>
      </c>
      <c r="AG44" s="3">
        <f>IF(ISERROR(VLOOKUP($A44,'SegEnds_NonXtal_BW#'!$A:$Z,23,FALSE)+VLOOKUP($A44,A:AL,34,FALSE)-50),"-",(VLOOKUP($A44,'SegEnds_NonXtal_BW#'!$A:$Z,23,FALSE)+VLOOKUP($A44,A:AL,34,FALSE)-50))</f>
        <v>354</v>
      </c>
      <c r="AH44" s="3">
        <v>377</v>
      </c>
      <c r="AI44" s="3">
        <f>IF(ISERROR((VLOOKUP($A44,'SegEnds_NonXtal_BW#'!$A:$Z,24,FALSE)+VLOOKUP($A44,A:AL,34,FALSE)-50)),"-",(VLOOKUP($A44,'SegEnds_NonXtal_BW#'!$A:$Z,24,FALSE)+VLOOKUP($A44,A:AL,34,FALSE)-50))</f>
        <v>383</v>
      </c>
      <c r="AJ44" s="3">
        <f>IF(ISERROR(VLOOKUP($A44,'SegEnds_NonXtal_BW#'!$A:$Z,25,FALSE)+VLOOKUP($A44,A:AL,37,FALSE)-50),"-",(VLOOKUP($A44,'SegEnds_NonXtal_BW#'!$A:$Z,25,FALSE)+VLOOKUP($A44,A:AL,37,FALSE)-50))</f>
        <v>384</v>
      </c>
      <c r="AK44" s="3">
        <v>387</v>
      </c>
      <c r="AL44" s="3">
        <f>IF(ISERROR((VLOOKUP($A44,'SegEnds_NonXtal_BW#'!$A:$Z,26,FALSE)+VLOOKUP($A44,A:AL,37,FALSE)-50)),"-",(VLOOKUP($A44,'SegEnds_NonXtal_BW#'!$A:$Z,26,FALSE)+VLOOKUP($A44,A:AL,37,FALSE)-50))</f>
        <v>395</v>
      </c>
      <c r="AM44" s="28" t="str">
        <f>VLOOKUP(A44,Classification!A:B,2,FALSE)</f>
        <v>A</v>
      </c>
      <c r="AN44" s="28" t="b">
        <f t="shared" si="17"/>
        <v>1</v>
      </c>
      <c r="AO44" s="3" t="str">
        <f>IF(ISERROR(MATCH(A44,'SegEnds_Xtal_Prot#'!B:B, 0)), "NoXtal", "Xtal")</f>
        <v>Xtal</v>
      </c>
      <c r="AP44" s="3">
        <f t="shared" si="2"/>
        <v>1</v>
      </c>
      <c r="AQ44" s="3">
        <f t="shared" si="3"/>
        <v>1</v>
      </c>
      <c r="AR44" s="3">
        <f t="shared" si="4"/>
        <v>3</v>
      </c>
      <c r="AS44" s="3">
        <f t="shared" si="5"/>
        <v>1</v>
      </c>
      <c r="AT44" s="3">
        <f t="shared" si="6"/>
        <v>1</v>
      </c>
      <c r="AU44" s="3">
        <f t="shared" si="7"/>
        <v>1</v>
      </c>
      <c r="AV44" s="3">
        <f t="shared" si="8"/>
        <v>13</v>
      </c>
      <c r="AW44" s="3">
        <f t="shared" si="9"/>
        <v>5</v>
      </c>
      <c r="AX44" s="3">
        <f t="shared" si="10"/>
        <v>58</v>
      </c>
      <c r="AY44" s="3">
        <f t="shared" si="11"/>
        <v>4</v>
      </c>
      <c r="AZ44" s="3">
        <f t="shared" si="12"/>
        <v>1</v>
      </c>
      <c r="BA44" s="3">
        <f>IF(ISERROR(LEN(VLOOKUP(A44,Seqs!A:E,2,FALSE))-AL44),"-",LEN(VLOOKUP(A44,Seqs!A:E,2,FALSE))-AL44)</f>
        <v>86</v>
      </c>
      <c r="BB44" s="16">
        <f t="shared" si="13"/>
        <v>28</v>
      </c>
      <c r="BC44" s="9">
        <f t="shared" si="14"/>
        <v>20</v>
      </c>
      <c r="BD44" s="3">
        <f t="shared" si="15"/>
        <v>28</v>
      </c>
      <c r="BE44" s="3">
        <f t="shared" si="16"/>
        <v>110</v>
      </c>
    </row>
    <row r="45" spans="1:58" s="3" customFormat="1" x14ac:dyDescent="0.2">
      <c r="A45" s="3" t="s">
        <v>133</v>
      </c>
      <c r="B45" s="3" t="str">
        <f>LOWER(VLOOKUP(A45,Xtal_Templ!A:B,2,FALSE))</f>
        <v>5ht2c_human</v>
      </c>
      <c r="C45" s="3">
        <f>VLOOKUP($A45,'SegEnds_NonXtal_BW#'!$A:$Z,3,FALSE)+D45-50</f>
        <v>54</v>
      </c>
      <c r="D45" s="3">
        <v>71</v>
      </c>
      <c r="E45" s="3">
        <f>IF(ISERROR(VLOOKUP($A45,'SegEnds_NonXtal_BW#'!$A:$Z,4,FALSE)+VLOOKUP($A45,A:AL,4,FALSE)-50),"-",(VLOOKUP($A45,'SegEnds_NonXtal_BW#'!$A:$Z,4,FALSE)+VLOOKUP($A45,A:AL,4,FALSE)-50))</f>
        <v>81</v>
      </c>
      <c r="F45" s="3">
        <f t="shared" si="27"/>
        <v>82</v>
      </c>
      <c r="G45" s="3">
        <v>84</v>
      </c>
      <c r="H45" s="3">
        <f t="shared" si="28"/>
        <v>85</v>
      </c>
      <c r="I45" s="3">
        <f t="shared" si="28"/>
        <v>86</v>
      </c>
      <c r="J45" s="3">
        <v>99</v>
      </c>
      <c r="K45" s="3">
        <f>VLOOKUP($A45,'SegEnds_NonXtal_BW#'!$A:$Z,8,FALSE)+VLOOKUP($A45,A:AL,10,FALSE)-50</f>
        <v>117</v>
      </c>
      <c r="L45" s="3">
        <f t="shared" si="32"/>
        <v>119</v>
      </c>
      <c r="M45" s="3">
        <v>120</v>
      </c>
      <c r="N45" s="3">
        <f t="shared" si="30"/>
        <v>122</v>
      </c>
      <c r="O45" s="3">
        <f t="shared" si="29"/>
        <v>123</v>
      </c>
      <c r="P45" s="3">
        <v>152</v>
      </c>
      <c r="Q45" s="3">
        <f>VLOOKUP($A45,'SegEnds_NonXtal_BW#'!$A:$Z,12,FALSE)+VLOOKUP($A45,A:AL,16,FALSE)-50</f>
        <v>158</v>
      </c>
      <c r="R45" s="3">
        <f>IF(ISERROR(VLOOKUP($A45,'SegEnds_NonXtal_BW#'!$A:$Z,13,FALSE)+VLOOKUP($A45,A:AL,19,FALSE)-50),"-",VLOOKUP($A45,'SegEnds_NonXtal_BW#'!$A:$Z,13,FALSE)+VLOOKUP($A45,A:AL,19,FALSE)-50)</f>
        <v>159</v>
      </c>
      <c r="S45" s="3">
        <v>159</v>
      </c>
      <c r="T45" s="100">
        <f>IF(ISERROR(VLOOKUP($A45,'SegEnds_NonXtal_BW#'!$A:$Z,14,FALSE)+VLOOKUP($A45,A:AL,19,FALSE)-50),"-",(VLOOKUP($A45,'SegEnds_NonXtal_BW#'!$A:$Z,14,FALSE)+VLOOKUP($A45,A:AL,19,FALSE)-50))</f>
        <v>166</v>
      </c>
      <c r="U45" s="9">
        <f>IF(ISERROR(VLOOKUP($A45,'SegEnds_NonXtal_BW#'!$A:$Z,15,FALSE)+VLOOKUP($A45,A:AL,22,FALSE)-50),"-",VLOOKUP($A45,'SegEnds_NonXtal_BW#'!$A:$Z,15,FALSE)+VLOOKUP($A45,A:AL,22,FALSE)-50)</f>
        <v>167</v>
      </c>
      <c r="V45" s="3">
        <v>179</v>
      </c>
      <c r="W45" s="3">
        <f>IF(ISERROR(VLOOKUP($A45,'SegEnds_NonXtal_BW#'!$A:$Z,16,FALSE)+VLOOKUP($A45,A:AL,22,FALSE)-50),"-",(VLOOKUP($A45,'SegEnds_NonXtal_BW#'!$A:$Z,16,FALSE)+VLOOKUP($A45,A:AL,22,FALSE)-50))</f>
        <v>196</v>
      </c>
      <c r="X45" s="3">
        <f>IF(ISERROR(VLOOKUP($A45,'SegEnds_NonXtal_BW#'!$A:$Z,17,FALSE)+VLOOKUP($A45,A:AL,25,FALSE)-50),"-",(VLOOKUP($A45,'SegEnds_NonXtal_BW#'!$A:$Z,17,FALSE)+VLOOKUP($A45,A:AL,25,FALSE)-50))</f>
        <v>207</v>
      </c>
      <c r="Y45" s="3">
        <v>207</v>
      </c>
      <c r="Z45" s="3">
        <f t="shared" si="31"/>
        <v>209</v>
      </c>
      <c r="AA45" s="3">
        <f>IF(ISERROR(VLOOKUP($A45,'SegEnds_NonXtal_BW#'!$A:$Z,19,FALSE)+VLOOKUP($A45,A:AL,28,FALSE)-50),"-",(VLOOKUP($A45,'SegEnds_NonXtal_BW#'!$A:$Z,19,FALSE)+VLOOKUP($A45,A:AL,28,FALSE)-50))</f>
        <v>211</v>
      </c>
      <c r="AB45" s="3">
        <v>226</v>
      </c>
      <c r="AC45" s="3">
        <f>IF(ISERROR((VLOOKUP($A45,'SegEnds_NonXtal_BW#'!$A:$Z,20,FALSE)+VLOOKUP($A45,A:AL,28,FALSE)-50)),"-",(VLOOKUP($A45,'SegEnds_NonXtal_BW#'!$A:$Z,20,FALSE)+VLOOKUP($A45,A:AL,28,FALSE)-50))</f>
        <v>250</v>
      </c>
      <c r="AD45" s="3">
        <f>IF(ISERROR(VLOOKUP($A45,'SegEnds_NonXtal_BW#'!$A:$Z,21,FALSE)+VLOOKUP($A45,A:AL,31,FALSE)-50),"-",(VLOOKUP($A45,'SegEnds_NonXtal_BW#'!$A:$Z,21,FALSE)+VLOOKUP($A45,A:AL,31,FALSE)-50))</f>
        <v>300</v>
      </c>
      <c r="AE45" s="3">
        <v>326</v>
      </c>
      <c r="AF45" s="3">
        <f>IF(ISERROR((VLOOKUP($A45,'SegEnds_NonXtal_BW#'!$A:$Z,22,FALSE)+VLOOKUP($A45,A:AL,31,FALSE)-50)),"-",(VLOOKUP($A45,'SegEnds_NonXtal_BW#'!$A:$Z,22,FALSE)+VLOOKUP($A45,A:AL,31,FALSE)-50))</f>
        <v>337</v>
      </c>
      <c r="AG45" s="3">
        <f>IF(ISERROR(VLOOKUP($A45,'SegEnds_NonXtal_BW#'!$A:$Z,23,FALSE)+VLOOKUP($A45,A:AL,34,FALSE)-50),"-",(VLOOKUP($A45,'SegEnds_NonXtal_BW#'!$A:$Z,23,FALSE)+VLOOKUP($A45,A:AL,34,FALSE)-50))</f>
        <v>342</v>
      </c>
      <c r="AH45" s="3">
        <v>365</v>
      </c>
      <c r="AI45" s="3">
        <f>IF(ISERROR((VLOOKUP($A45,'SegEnds_NonXtal_BW#'!$A:$Z,24,FALSE)+VLOOKUP($A45,A:AL,34,FALSE)-50)),"-",(VLOOKUP($A45,'SegEnds_NonXtal_BW#'!$A:$Z,24,FALSE)+VLOOKUP($A45,A:AL,34,FALSE)-50))</f>
        <v>371</v>
      </c>
      <c r="AJ45" s="3">
        <f>IF(ISERROR(VLOOKUP($A45,'SegEnds_NonXtal_BW#'!$A:$Z,25,FALSE)+VLOOKUP($A45,A:AL,37,FALSE)-50),"-",(VLOOKUP($A45,'SegEnds_NonXtal_BW#'!$A:$Z,25,FALSE)+VLOOKUP($A45,A:AL,37,FALSE)-50))</f>
        <v>372</v>
      </c>
      <c r="AK45" s="3">
        <v>375</v>
      </c>
      <c r="AL45" s="3">
        <f>IF(ISERROR((VLOOKUP($A45,'SegEnds_NonXtal_BW#'!$A:$Z,26,FALSE)+VLOOKUP($A45,A:AL,37,FALSE)-50)),"-",(VLOOKUP($A45,'SegEnds_NonXtal_BW#'!$A:$Z,26,FALSE)+VLOOKUP($A45,A:AL,37,FALSE)-50))</f>
        <v>385</v>
      </c>
      <c r="AM45" s="28" t="str">
        <f>VLOOKUP(A45,Classification!A:B,2,FALSE)</f>
        <v>A</v>
      </c>
      <c r="AN45" s="28" t="b">
        <f t="shared" si="17"/>
        <v>1</v>
      </c>
      <c r="AO45" s="3" t="str">
        <f>IF(ISERROR(MATCH(A45,'SegEnds_Xtal_Prot#'!B:B, 0)), "NoXtal", "Xtal")</f>
        <v>Xtal</v>
      </c>
      <c r="AP45" s="3">
        <f t="shared" si="2"/>
        <v>1</v>
      </c>
      <c r="AQ45" s="3">
        <f t="shared" si="3"/>
        <v>1</v>
      </c>
      <c r="AR45" s="3">
        <f t="shared" si="4"/>
        <v>2</v>
      </c>
      <c r="AS45" s="3">
        <f t="shared" si="5"/>
        <v>1</v>
      </c>
      <c r="AT45" s="3">
        <f t="shared" si="6"/>
        <v>1</v>
      </c>
      <c r="AU45" s="3">
        <f t="shared" si="7"/>
        <v>1</v>
      </c>
      <c r="AV45" s="3">
        <f t="shared" si="8"/>
        <v>11</v>
      </c>
      <c r="AW45" s="3">
        <f t="shared" si="9"/>
        <v>2</v>
      </c>
      <c r="AX45" s="3">
        <f t="shared" si="10"/>
        <v>50</v>
      </c>
      <c r="AY45" s="3">
        <f t="shared" si="11"/>
        <v>5</v>
      </c>
      <c r="AZ45" s="3">
        <f t="shared" si="12"/>
        <v>1</v>
      </c>
      <c r="BA45" s="3">
        <f>IF(ISERROR(LEN(VLOOKUP(A45,Seqs!A:E,2,FALSE))-AL45),"-",LEN(VLOOKUP(A45,Seqs!A:E,2,FALSE))-AL45)</f>
        <v>73</v>
      </c>
      <c r="BB45" s="16">
        <f t="shared" si="13"/>
        <v>28</v>
      </c>
      <c r="BC45" s="9">
        <f t="shared" si="14"/>
        <v>20</v>
      </c>
      <c r="BD45" s="3">
        <f t="shared" si="15"/>
        <v>28</v>
      </c>
      <c r="BE45" s="3">
        <f t="shared" si="16"/>
        <v>100</v>
      </c>
    </row>
    <row r="46" spans="1:58" s="3" customFormat="1" ht="17" customHeight="1" x14ac:dyDescent="0.2">
      <c r="A46" s="3" t="s">
        <v>134</v>
      </c>
      <c r="B46" s="3" t="str">
        <f>LOWER(VLOOKUP(A46,Xtal_Templ!A:B,2,FALSE))</f>
        <v>adrb2_human</v>
      </c>
      <c r="C46" s="3">
        <f>VLOOKUP($A46,'SegEnds_NonXtal_BW#'!$A:$Z,3,FALSE)+D46-50</f>
        <v>12</v>
      </c>
      <c r="D46" s="3">
        <v>37</v>
      </c>
      <c r="E46" s="3">
        <f>IF(ISERROR(VLOOKUP($A46,'SegEnds_NonXtal_BW#'!$A:$Z,4,FALSE)+VLOOKUP($A46,A:AL,4,FALSE)-50),"-",(VLOOKUP($A46,'SegEnds_NonXtal_BW#'!$A:$Z,4,FALSE)+VLOOKUP($A46,A:AL,4,FALSE)-50))</f>
        <v>47</v>
      </c>
      <c r="F46" s="3">
        <f t="shared" si="27"/>
        <v>48</v>
      </c>
      <c r="G46" s="3">
        <v>50</v>
      </c>
      <c r="H46" s="3">
        <f t="shared" si="28"/>
        <v>51</v>
      </c>
      <c r="I46" s="3">
        <f t="shared" si="28"/>
        <v>52</v>
      </c>
      <c r="J46" s="3">
        <v>66</v>
      </c>
      <c r="K46" s="3">
        <f>VLOOKUP($A46,'SegEnds_NonXtal_BW#'!$A:$Z,8,FALSE)+VLOOKUP($A46,A:AL,10,FALSE)-50</f>
        <v>83</v>
      </c>
      <c r="L46" s="3">
        <f t="shared" si="32"/>
        <v>85</v>
      </c>
      <c r="M46" s="3">
        <v>86</v>
      </c>
      <c r="N46" s="3">
        <f t="shared" si="30"/>
        <v>88</v>
      </c>
      <c r="O46" s="3">
        <f t="shared" si="29"/>
        <v>89</v>
      </c>
      <c r="P46" s="3">
        <v>118</v>
      </c>
      <c r="Q46" s="3">
        <f>VLOOKUP($A46,'SegEnds_NonXtal_BW#'!$A:$Z,12,FALSE)+VLOOKUP($A46,A:AL,16,FALSE)-50</f>
        <v>124</v>
      </c>
      <c r="R46" s="3">
        <f>IF(ISERROR(VLOOKUP($A46,'SegEnds_NonXtal_BW#'!$A:$Z,13,FALSE)+VLOOKUP($A46,A:AL,19,FALSE)-50),"-",VLOOKUP($A46,'SegEnds_NonXtal_BW#'!$A:$Z,13,FALSE)+VLOOKUP($A46,A:AL,19,FALSE)-50)</f>
        <v>126</v>
      </c>
      <c r="S46" s="3">
        <v>126</v>
      </c>
      <c r="T46" s="100">
        <f>IF(ISERROR(VLOOKUP($A46,'SegEnds_NonXtal_BW#'!$A:$Z,14,FALSE)+VLOOKUP($A46,A:AL,19,FALSE)-50),"-",(VLOOKUP($A46,'SegEnds_NonXtal_BW#'!$A:$Z,14,FALSE)+VLOOKUP($A46,A:AL,19,FALSE)-50))</f>
        <v>133</v>
      </c>
      <c r="U46" s="9">
        <f>IF(ISERROR(VLOOKUP($A46,'SegEnds_NonXtal_BW#'!$A:$Z,15,FALSE)+VLOOKUP($A46,A:AL,22,FALSE)-50),"-",VLOOKUP($A46,'SegEnds_NonXtal_BW#'!$A:$Z,15,FALSE)+VLOOKUP($A46,A:AL,22,FALSE)-50)</f>
        <v>134</v>
      </c>
      <c r="V46" s="3">
        <v>146</v>
      </c>
      <c r="W46" s="3">
        <f>IF(ISERROR(VLOOKUP($A46,'SegEnds_NonXtal_BW#'!$A:$Z,16,FALSE)+VLOOKUP($A46,A:AL,22,FALSE)-50),"-",(VLOOKUP($A46,'SegEnds_NonXtal_BW#'!$A:$Z,16,FALSE)+VLOOKUP($A46,A:AL,22,FALSE)-50))</f>
        <v>160</v>
      </c>
      <c r="X46" s="3">
        <f>IF(ISERROR(VLOOKUP($A46,'SegEnds_NonXtal_BW#'!$A:$Z,17,FALSE)+VLOOKUP($A46,A:AL,25,FALSE)-50),"-",(VLOOKUP($A46,'SegEnds_NonXtal_BW#'!$A:$Z,17,FALSE)+VLOOKUP($A46,A:AL,25,FALSE)-50))</f>
        <v>184</v>
      </c>
      <c r="Y46" s="3">
        <v>184</v>
      </c>
      <c r="Z46" s="3">
        <f t="shared" si="31"/>
        <v>186</v>
      </c>
      <c r="AA46" s="3">
        <f>IF(ISERROR(VLOOKUP($A46,'SegEnds_NonXtal_BW#'!$A:$Z,19,FALSE)+VLOOKUP($A46,A:AL,28,FALSE)-50),"-",(VLOOKUP($A46,'SegEnds_NonXtal_BW#'!$A:$Z,19,FALSE)+VLOOKUP($A46,A:AL,28,FALSE)-50))</f>
        <v>189</v>
      </c>
      <c r="AB46" s="3">
        <v>204</v>
      </c>
      <c r="AC46" s="3">
        <f>IF(ISERROR((VLOOKUP($A46,'SegEnds_NonXtal_BW#'!$A:$Z,20,FALSE)+VLOOKUP($A46,A:AL,28,FALSE)-50)),"-",(VLOOKUP($A46,'SegEnds_NonXtal_BW#'!$A:$Z,20,FALSE)+VLOOKUP($A46,A:AL,28,FALSE)-50))</f>
        <v>230</v>
      </c>
      <c r="AD46" s="3">
        <f>IF(ISERROR(VLOOKUP($A46,'SegEnds_NonXtal_BW#'!$A:$Z,21,FALSE)+VLOOKUP($A46,A:AL,31,FALSE)-50),"-",(VLOOKUP($A46,'SegEnds_NonXtal_BW#'!$A:$Z,21,FALSE)+VLOOKUP($A46,A:AL,31,FALSE)-50))</f>
        <v>248</v>
      </c>
      <c r="AE46" s="3">
        <v>274</v>
      </c>
      <c r="AF46" s="3">
        <f>IF(ISERROR((VLOOKUP($A46,'SegEnds_NonXtal_BW#'!$A:$Z,22,FALSE)+VLOOKUP($A46,A:AL,31,FALSE)-50)),"-",(VLOOKUP($A46,'SegEnds_NonXtal_BW#'!$A:$Z,22,FALSE)+VLOOKUP($A46,A:AL,31,FALSE)-50))</f>
        <v>285</v>
      </c>
      <c r="AG46" s="3">
        <f>IF(ISERROR(VLOOKUP($A46,'SegEnds_NonXtal_BW#'!$A:$Z,23,FALSE)+VLOOKUP($A46,A:AL,34,FALSE)-50),"-",(VLOOKUP($A46,'SegEnds_NonXtal_BW#'!$A:$Z,23,FALSE)+VLOOKUP($A46,A:AL,34,FALSE)-50))</f>
        <v>290</v>
      </c>
      <c r="AH46" s="3">
        <v>309</v>
      </c>
      <c r="AI46" s="3">
        <v>315</v>
      </c>
      <c r="AJ46" s="3">
        <f>IF(ISERROR(VLOOKUP($A46,'SegEnds_NonXtal_BW#'!$A:$Z,25,FALSE)+VLOOKUP($A46,A:AL,37,FALSE)-50),"-",(VLOOKUP($A46,'SegEnds_NonXtal_BW#'!$A:$Z,25,FALSE)+VLOOKUP($A46,A:AL,37,FALSE)-50))</f>
        <v>316</v>
      </c>
      <c r="AK46" s="3">
        <v>319</v>
      </c>
      <c r="AL46" s="3">
        <f>IF(ISERROR((VLOOKUP($A46,'SegEnds_NonXtal_BW#'!$A:$Z,26,FALSE)+VLOOKUP($A46,A:AL,37,FALSE)-50)),"-",(VLOOKUP($A46,'SegEnds_NonXtal_BW#'!$A:$Z,26,FALSE)+VLOOKUP($A46,A:AL,37,FALSE)-50))</f>
        <v>328</v>
      </c>
      <c r="AM46" s="28" t="str">
        <f>VLOOKUP(A46,Classification!A:B,2,FALSE)</f>
        <v>A</v>
      </c>
      <c r="AN46" s="28" t="b">
        <f t="shared" si="17"/>
        <v>1</v>
      </c>
      <c r="AO46" s="3" t="str">
        <f>IF(ISERROR(MATCH(A46,'SegEnds_Xtal_Prot#'!B:B, 0)), "NoXtal", "Xtal")</f>
        <v>NoXtal</v>
      </c>
      <c r="AP46" s="3">
        <f t="shared" si="2"/>
        <v>1</v>
      </c>
      <c r="AQ46" s="3">
        <f t="shared" si="3"/>
        <v>1</v>
      </c>
      <c r="AR46" s="3">
        <f t="shared" si="4"/>
        <v>2</v>
      </c>
      <c r="AS46" s="3">
        <f t="shared" si="5"/>
        <v>1</v>
      </c>
      <c r="AT46" s="3">
        <f t="shared" si="6"/>
        <v>2</v>
      </c>
      <c r="AU46" s="3">
        <f t="shared" si="7"/>
        <v>1</v>
      </c>
      <c r="AV46" s="3">
        <f t="shared" si="8"/>
        <v>24</v>
      </c>
      <c r="AW46" s="3">
        <f t="shared" si="9"/>
        <v>3</v>
      </c>
      <c r="AX46" s="3">
        <f t="shared" si="10"/>
        <v>18</v>
      </c>
      <c r="AY46" s="3">
        <f t="shared" si="11"/>
        <v>5</v>
      </c>
      <c r="AZ46" s="3">
        <f t="shared" si="12"/>
        <v>1</v>
      </c>
      <c r="BA46" s="3">
        <f>IF(ISERROR(LEN(VLOOKUP(A46,Seqs!A:E,2,FALSE))-AL46),"-",LEN(VLOOKUP(A46,Seqs!A:E,2,FALSE))-AL46)</f>
        <v>60</v>
      </c>
      <c r="BB46" s="16">
        <f t="shared" si="13"/>
        <v>29</v>
      </c>
      <c r="BC46" s="9">
        <f t="shared" si="14"/>
        <v>20</v>
      </c>
      <c r="BD46" s="3">
        <f t="shared" si="15"/>
        <v>29</v>
      </c>
      <c r="BE46" s="3">
        <f t="shared" si="16"/>
        <v>70</v>
      </c>
    </row>
    <row r="47" spans="1:58" s="3" customFormat="1" x14ac:dyDescent="0.2">
      <c r="A47" s="3" t="s">
        <v>135</v>
      </c>
      <c r="B47" s="3" t="str">
        <f>LOWER(VLOOKUP(A47,Xtal_Templ!A:B,2,FALSE))</f>
        <v>5ht1b_human</v>
      </c>
      <c r="C47" s="3">
        <f>VLOOKUP($A47,'SegEnds_NonXtal_BW#'!$A:$Z,3,FALSE)+D47-50</f>
        <v>36</v>
      </c>
      <c r="D47" s="3">
        <v>58</v>
      </c>
      <c r="E47" s="3">
        <f>IF(ISERROR(VLOOKUP($A47,'SegEnds_NonXtal_BW#'!$A:$Z,4,FALSE)+VLOOKUP($A47,A:AL,4,FALSE)-50),"-",(VLOOKUP($A47,'SegEnds_NonXtal_BW#'!$A:$Z,4,FALSE)+VLOOKUP($A47,A:AL,4,FALSE)-50))</f>
        <v>68</v>
      </c>
      <c r="F47" s="3">
        <f t="shared" si="27"/>
        <v>69</v>
      </c>
      <c r="G47" s="3">
        <v>71</v>
      </c>
      <c r="H47" s="3">
        <f t="shared" si="28"/>
        <v>72</v>
      </c>
      <c r="I47" s="3">
        <f t="shared" si="28"/>
        <v>73</v>
      </c>
      <c r="J47" s="3">
        <v>86</v>
      </c>
      <c r="K47" s="3">
        <f>VLOOKUP($A47,'SegEnds_NonXtal_BW#'!$A:$Z,8,FALSE)+VLOOKUP($A47,A:AL,10,FALSE)-50</f>
        <v>104</v>
      </c>
      <c r="L47" s="3">
        <f t="shared" si="32"/>
        <v>106</v>
      </c>
      <c r="M47" s="3">
        <v>107</v>
      </c>
      <c r="N47" s="3">
        <f t="shared" si="30"/>
        <v>109</v>
      </c>
      <c r="O47" s="3">
        <f t="shared" si="29"/>
        <v>110</v>
      </c>
      <c r="P47" s="3">
        <v>139</v>
      </c>
      <c r="Q47" s="3">
        <f>VLOOKUP($A47,'SegEnds_NonXtal_BW#'!$A:$Z,12,FALSE)+VLOOKUP($A47,A:AL,16,FALSE)-50</f>
        <v>145</v>
      </c>
      <c r="R47" s="3">
        <f>IF(ISERROR(VLOOKUP($A47,'SegEnds_NonXtal_BW#'!$A:$Z,13,FALSE)+VLOOKUP($A47,A:AL,19,FALSE)-50),"-",VLOOKUP($A47,'SegEnds_NonXtal_BW#'!$A:$Z,13,FALSE)+VLOOKUP($A47,A:AL,19,FALSE)-50)</f>
        <v>146</v>
      </c>
      <c r="S47" s="3">
        <v>146</v>
      </c>
      <c r="T47" s="100">
        <f>IF(ISERROR(VLOOKUP($A47,'SegEnds_NonXtal_BW#'!$A:$Z,14,FALSE)+VLOOKUP($A47,A:AL,19,FALSE)-50),"-",(VLOOKUP($A47,'SegEnds_NonXtal_BW#'!$A:$Z,14,FALSE)+VLOOKUP($A47,A:AL,19,FALSE)-50))</f>
        <v>153</v>
      </c>
      <c r="U47" s="9">
        <f>IF(ISERROR(VLOOKUP($A47,'SegEnds_NonXtal_BW#'!$A:$Z,15,FALSE)+VLOOKUP($A47,A:AL,22,FALSE)-50),"-",VLOOKUP($A47,'SegEnds_NonXtal_BW#'!$A:$Z,15,FALSE)+VLOOKUP($A47,A:AL,22,FALSE)-50)</f>
        <v>154</v>
      </c>
      <c r="V47" s="3">
        <v>166</v>
      </c>
      <c r="W47" s="3">
        <f>IF(ISERROR(VLOOKUP($A47,'SegEnds_NonXtal_BW#'!$A:$Z,16,FALSE)+VLOOKUP($A47,A:AL,22,FALSE)-50),"-",(VLOOKUP($A47,'SegEnds_NonXtal_BW#'!$A:$Z,16,FALSE)+VLOOKUP($A47,A:AL,22,FALSE)-50))</f>
        <v>179</v>
      </c>
      <c r="X47" s="3">
        <f>IF(ISERROR(VLOOKUP($A47,'SegEnds_NonXtal_BW#'!$A:$Z,17,FALSE)+VLOOKUP($A47,A:AL,25,FALSE)-50),"-",(VLOOKUP($A47,'SegEnds_NonXtal_BW#'!$A:$Z,17,FALSE)+VLOOKUP($A47,A:AL,25,FALSE)-50))</f>
        <v>192</v>
      </c>
      <c r="Y47" s="3">
        <v>192</v>
      </c>
      <c r="Z47" s="3">
        <f t="shared" si="31"/>
        <v>194</v>
      </c>
      <c r="AA47" s="3">
        <f>IF(ISERROR(VLOOKUP($A47,'SegEnds_NonXtal_BW#'!$A:$Z,19,FALSE)+VLOOKUP($A47,A:AL,28,FALSE)-50),"-",(VLOOKUP($A47,'SegEnds_NonXtal_BW#'!$A:$Z,19,FALSE)+VLOOKUP($A47,A:AL,28,FALSE)-50))</f>
        <v>197</v>
      </c>
      <c r="AB47" s="3">
        <v>212</v>
      </c>
      <c r="AC47" s="3">
        <f>IF(ISERROR((VLOOKUP($A47,'SegEnds_NonXtal_BW#'!$A:$Z,20,FALSE)+VLOOKUP($A47,A:AL,28,FALSE)-50)),"-",(VLOOKUP($A47,'SegEnds_NonXtal_BW#'!$A:$Z,20,FALSE)+VLOOKUP($A47,A:AL,28,FALSE)-50))</f>
        <v>238</v>
      </c>
      <c r="AD47" s="3">
        <f>IF(ISERROR(VLOOKUP($A47,'SegEnds_NonXtal_BW#'!$A:$Z,21,FALSE)+VLOOKUP($A47,A:AL,31,FALSE)-50),"-",(VLOOKUP($A47,'SegEnds_NonXtal_BW#'!$A:$Z,21,FALSE)+VLOOKUP($A47,A:AL,31,FALSE)-50))</f>
        <v>274</v>
      </c>
      <c r="AE47" s="3">
        <v>300</v>
      </c>
      <c r="AF47" s="3">
        <f>IF(ISERROR((VLOOKUP($A47,'SegEnds_NonXtal_BW#'!$A:$Z,22,FALSE)+VLOOKUP($A47,A:AL,31,FALSE)-50)),"-",(VLOOKUP($A47,'SegEnds_NonXtal_BW#'!$A:$Z,22,FALSE)+VLOOKUP($A47,A:AL,31,FALSE)-50))</f>
        <v>311</v>
      </c>
      <c r="AG47" s="3">
        <f>IF(ISERROR(VLOOKUP($A47,'SegEnds_NonXtal_BW#'!$A:$Z,23,FALSE)+VLOOKUP($A47,A:AL,34,FALSE)-50),"-",(VLOOKUP($A47,'SegEnds_NonXtal_BW#'!$A:$Z,23,FALSE)+VLOOKUP($A47,A:AL,34,FALSE)-50))</f>
        <v>316</v>
      </c>
      <c r="AH47" s="3">
        <v>335</v>
      </c>
      <c r="AI47" s="3">
        <f>IF(ISERROR((VLOOKUP($A47,'SegEnds_NonXtal_BW#'!$A:$Z,24,FALSE)+VLOOKUP($A47,A:AL,34,FALSE)-50)),"-",(VLOOKUP($A47,'SegEnds_NonXtal_BW#'!$A:$Z,24,FALSE)+VLOOKUP($A47,A:AL,34,FALSE)-50))</f>
        <v>341</v>
      </c>
      <c r="AJ47" s="3">
        <f>IF(ISERROR(VLOOKUP($A47,'SegEnds_NonXtal_BW#'!$A:$Z,25,FALSE)+VLOOKUP($A47,A:AL,37,FALSE)-50),"-",(VLOOKUP($A47,'SegEnds_NonXtal_BW#'!$A:$Z,25,FALSE)+VLOOKUP($A47,A:AL,37,FALSE)-50))</f>
        <v>342</v>
      </c>
      <c r="AK47" s="3">
        <v>345</v>
      </c>
      <c r="AL47" s="3">
        <f>IF(ISERROR((VLOOKUP($A47,'SegEnds_NonXtal_BW#'!$A:$Z,26,FALSE)+VLOOKUP($A47,A:AL,37,FALSE)-50)),"-",(VLOOKUP($A47,'SegEnds_NonXtal_BW#'!$A:$Z,26,FALSE)+VLOOKUP($A47,A:AL,37,FALSE)-50))</f>
        <v>353</v>
      </c>
      <c r="AM47" s="28" t="str">
        <f>VLOOKUP(A47,Classification!A:B,2,FALSE)</f>
        <v>A</v>
      </c>
      <c r="AN47" s="28" t="b">
        <f t="shared" si="17"/>
        <v>1</v>
      </c>
      <c r="AO47" s="3" t="str">
        <f>IF(ISERROR(MATCH(A47,'SegEnds_Xtal_Prot#'!B:B, 0)), "NoXtal", "Xtal")</f>
        <v>NoXtal</v>
      </c>
      <c r="AP47" s="3">
        <f t="shared" si="2"/>
        <v>1</v>
      </c>
      <c r="AQ47" s="3">
        <f t="shared" si="3"/>
        <v>1</v>
      </c>
      <c r="AR47" s="3">
        <f t="shared" si="4"/>
        <v>2</v>
      </c>
      <c r="AS47" s="3">
        <f t="shared" si="5"/>
        <v>1</v>
      </c>
      <c r="AT47" s="3">
        <f t="shared" si="6"/>
        <v>1</v>
      </c>
      <c r="AU47" s="3">
        <f t="shared" si="7"/>
        <v>1</v>
      </c>
      <c r="AV47" s="3">
        <f t="shared" si="8"/>
        <v>13</v>
      </c>
      <c r="AW47" s="3">
        <f t="shared" si="9"/>
        <v>3</v>
      </c>
      <c r="AX47" s="3">
        <f t="shared" si="10"/>
        <v>36</v>
      </c>
      <c r="AY47" s="3">
        <f t="shared" si="11"/>
        <v>5</v>
      </c>
      <c r="AZ47" s="3">
        <f t="shared" si="12"/>
        <v>1</v>
      </c>
      <c r="BA47" s="3">
        <f>IF(ISERROR(LEN(VLOOKUP(A47,Seqs!A:E,2,FALSE))-AL47),"-",LEN(VLOOKUP(A47,Seqs!A:E,2,FALSE))-AL47)</f>
        <v>4</v>
      </c>
      <c r="BB47" s="16">
        <f t="shared" si="13"/>
        <v>28</v>
      </c>
      <c r="BC47" s="9">
        <f t="shared" si="14"/>
        <v>20</v>
      </c>
      <c r="BD47" s="3">
        <f t="shared" si="15"/>
        <v>28</v>
      </c>
      <c r="BE47" s="3">
        <f t="shared" si="16"/>
        <v>88</v>
      </c>
      <c r="BF47" s="3">
        <f>AH47-AE47</f>
        <v>35</v>
      </c>
    </row>
    <row r="48" spans="1:58" s="3" customFormat="1" x14ac:dyDescent="0.2">
      <c r="A48" s="3" t="s">
        <v>136</v>
      </c>
      <c r="B48" s="3" t="str">
        <f>LOWER(VLOOKUP(A48,Xtal_Templ!A:B,2,FALSE))</f>
        <v>5ht2c_human</v>
      </c>
      <c r="C48" s="3">
        <f>VLOOKUP($A48,'SegEnds_NonXtal_BW#'!$A:$Z,3,FALSE)+D48-50</f>
        <v>27</v>
      </c>
      <c r="D48" s="3">
        <v>44</v>
      </c>
      <c r="E48" s="3">
        <f>IF(ISERROR(VLOOKUP($A48,'SegEnds_NonXtal_BW#'!$A:$Z,4,FALSE)+VLOOKUP($A48,A:AL,4,FALSE)-50),"-",(VLOOKUP($A48,'SegEnds_NonXtal_BW#'!$A:$Z,4,FALSE)+VLOOKUP($A48,A:AL,4,FALSE)-50))</f>
        <v>54</v>
      </c>
      <c r="F48" s="3">
        <f t="shared" si="27"/>
        <v>55</v>
      </c>
      <c r="G48" s="3">
        <v>57</v>
      </c>
      <c r="H48" s="3">
        <f t="shared" si="28"/>
        <v>58</v>
      </c>
      <c r="I48" s="3">
        <f t="shared" si="28"/>
        <v>59</v>
      </c>
      <c r="J48" s="3">
        <v>72</v>
      </c>
      <c r="K48" s="3">
        <f>VLOOKUP($A48,'SegEnds_NonXtal_BW#'!$A:$Z,8,FALSE)+VLOOKUP($A48,A:AL,10,FALSE)-50</f>
        <v>90</v>
      </c>
      <c r="L48" s="3">
        <f t="shared" si="32"/>
        <v>91</v>
      </c>
      <c r="M48" s="3">
        <v>92</v>
      </c>
      <c r="N48" s="3">
        <f t="shared" si="30"/>
        <v>94</v>
      </c>
      <c r="O48" s="3">
        <f t="shared" si="29"/>
        <v>95</v>
      </c>
      <c r="P48" s="3">
        <v>124</v>
      </c>
      <c r="Q48" s="3">
        <f>VLOOKUP($A48,'SegEnds_NonXtal_BW#'!$A:$Z,12,FALSE)+VLOOKUP($A48,A:AL,16,FALSE)-50</f>
        <v>130</v>
      </c>
      <c r="R48" s="3">
        <f>IF(ISERROR(VLOOKUP($A48,'SegEnds_NonXtal_BW#'!$A:$Z,13,FALSE)+VLOOKUP($A48,A:AL,19,FALSE)-50),"-",VLOOKUP($A48,'SegEnds_NonXtal_BW#'!$A:$Z,13,FALSE)+VLOOKUP($A48,A:AL,19,FALSE)-50)</f>
        <v>131</v>
      </c>
      <c r="S48" s="3">
        <v>131</v>
      </c>
      <c r="T48" s="100">
        <f>IF(ISERROR(VLOOKUP($A48,'SegEnds_NonXtal_BW#'!$A:$Z,14,FALSE)+VLOOKUP($A48,A:AL,19,FALSE)-50),"-",(VLOOKUP($A48,'SegEnds_NonXtal_BW#'!$A:$Z,14,FALSE)+VLOOKUP($A48,A:AL,19,FALSE)-50))</f>
        <v>138</v>
      </c>
      <c r="U48" s="9">
        <f>IF(ISERROR(VLOOKUP($A48,'SegEnds_NonXtal_BW#'!$A:$Z,15,FALSE)+VLOOKUP($A48,A:AL,22,FALSE)-50),"-",VLOOKUP($A48,'SegEnds_NonXtal_BW#'!$A:$Z,15,FALSE)+VLOOKUP($A48,A:AL,22,FALSE)-50)</f>
        <v>139</v>
      </c>
      <c r="V48" s="3">
        <v>151</v>
      </c>
      <c r="W48" s="3">
        <f>IF(ISERROR(VLOOKUP($A48,'SegEnds_NonXtal_BW#'!$A:$Z,16,FALSE)+VLOOKUP($A48,A:AL,22,FALSE)-50),"-",(VLOOKUP($A48,'SegEnds_NonXtal_BW#'!$A:$Z,16,FALSE)+VLOOKUP($A48,A:AL,22,FALSE)-50))</f>
        <v>168</v>
      </c>
      <c r="X48" s="3">
        <f>IF(ISERROR(VLOOKUP($A48,'SegEnds_NonXtal_BW#'!$A:$Z,17,FALSE)+VLOOKUP($A48,A:AL,25,FALSE)-50),"-",(VLOOKUP($A48,'SegEnds_NonXtal_BW#'!$A:$Z,17,FALSE)+VLOOKUP($A48,A:AL,25,FALSE)-50))</f>
        <v>180</v>
      </c>
      <c r="Y48" s="3">
        <v>180</v>
      </c>
      <c r="Z48" s="3">
        <f t="shared" si="31"/>
        <v>182</v>
      </c>
      <c r="AA48" s="3">
        <f>IF(ISERROR(VLOOKUP($A48,'SegEnds_NonXtal_BW#'!$A:$Z,19,FALSE)+VLOOKUP($A48,A:AL,28,FALSE)-50),"-",(VLOOKUP($A48,'SegEnds_NonXtal_BW#'!$A:$Z,19,FALSE)+VLOOKUP($A48,A:AL,28,FALSE)-50))</f>
        <v>185</v>
      </c>
      <c r="AB48" s="3">
        <v>200</v>
      </c>
      <c r="AC48" s="3">
        <f>IF(ISERROR((VLOOKUP($A48,'SegEnds_NonXtal_BW#'!$A:$Z,20,FALSE)+VLOOKUP($A48,A:AL,28,FALSE)-50)),"-",(VLOOKUP($A48,'SegEnds_NonXtal_BW#'!$A:$Z,20,FALSE)+VLOOKUP($A48,A:AL,28,FALSE)-50))</f>
        <v>226</v>
      </c>
      <c r="AD48" s="3">
        <f>IF(ISERROR(VLOOKUP($A48,'SegEnds_NonXtal_BW#'!$A:$Z,21,FALSE)+VLOOKUP($A48,A:AL,31,FALSE)-50),"-",(VLOOKUP($A48,'SegEnds_NonXtal_BW#'!$A:$Z,21,FALSE)+VLOOKUP($A48,A:AL,31,FALSE)-50))</f>
        <v>257</v>
      </c>
      <c r="AE48" s="3">
        <v>283</v>
      </c>
      <c r="AF48" s="3">
        <f>IF(ISERROR((VLOOKUP($A48,'SegEnds_NonXtal_BW#'!$A:$Z,22,FALSE)+VLOOKUP($A48,A:AL,31,FALSE)-50)),"-",(VLOOKUP($A48,'SegEnds_NonXtal_BW#'!$A:$Z,22,FALSE)+VLOOKUP($A48,A:AL,31,FALSE)-50))</f>
        <v>294</v>
      </c>
      <c r="AG48" s="3">
        <f>IF(ISERROR(VLOOKUP($A48,'SegEnds_NonXtal_BW#'!$A:$Z,23,FALSE)+VLOOKUP($A48,A:AL,34,FALSE)-50),"-",(VLOOKUP($A48,'SegEnds_NonXtal_BW#'!$A:$Z,23,FALSE)+VLOOKUP($A48,A:AL,34,FALSE)-50))</f>
        <v>299</v>
      </c>
      <c r="AH48" s="3">
        <v>317</v>
      </c>
      <c r="AI48" s="3">
        <f>IF(ISERROR((VLOOKUP($A48,'SegEnds_NonXtal_BW#'!$A:$Z,24,FALSE)+VLOOKUP($A48,A:AL,34,FALSE)-50)),"-",(VLOOKUP($A48,'SegEnds_NonXtal_BW#'!$A:$Z,24,FALSE)+VLOOKUP($A48,A:AL,34,FALSE)-50))</f>
        <v>323</v>
      </c>
      <c r="AJ48" s="3">
        <f>IF(ISERROR(VLOOKUP($A48,'SegEnds_NonXtal_BW#'!$A:$Z,25,FALSE)+VLOOKUP($A48,A:AL,37,FALSE)-50),"-",(VLOOKUP($A48,'SegEnds_NonXtal_BW#'!$A:$Z,25,FALSE)+VLOOKUP($A48,A:AL,37,FALSE)-50))</f>
        <v>324</v>
      </c>
      <c r="AK48" s="3">
        <v>327</v>
      </c>
      <c r="AL48" s="3">
        <f>IF(ISERROR((VLOOKUP($A48,'SegEnds_NonXtal_BW#'!$A:$Z,26,FALSE)+VLOOKUP($A48,A:AL,37,FALSE)-50)),"-",(VLOOKUP($A48,'SegEnds_NonXtal_BW#'!$A:$Z,26,FALSE)+VLOOKUP($A48,A:AL,37,FALSE)-50))</f>
        <v>337</v>
      </c>
      <c r="AM48" s="28" t="str">
        <f>VLOOKUP(A48,Classification!A:B,2,FALSE)</f>
        <v>A</v>
      </c>
      <c r="AN48" s="28" t="b">
        <f t="shared" si="17"/>
        <v>1</v>
      </c>
      <c r="AO48" s="3" t="str">
        <f>IF(ISERROR(MATCH(A48,'SegEnds_Xtal_Prot#'!B:B, 0)), "NoXtal", "Xtal")</f>
        <v>NoXtal</v>
      </c>
      <c r="AP48" s="3">
        <f t="shared" si="2"/>
        <v>1</v>
      </c>
      <c r="AQ48" s="3">
        <f t="shared" si="3"/>
        <v>1</v>
      </c>
      <c r="AR48" s="3">
        <f t="shared" si="4"/>
        <v>1</v>
      </c>
      <c r="AS48" s="3">
        <f t="shared" si="5"/>
        <v>1</v>
      </c>
      <c r="AT48" s="3">
        <f t="shared" si="6"/>
        <v>1</v>
      </c>
      <c r="AU48" s="3">
        <f t="shared" si="7"/>
        <v>1</v>
      </c>
      <c r="AV48" s="3">
        <f t="shared" si="8"/>
        <v>12</v>
      </c>
      <c r="AW48" s="3">
        <f t="shared" si="9"/>
        <v>3</v>
      </c>
      <c r="AX48" s="3">
        <f t="shared" si="10"/>
        <v>31</v>
      </c>
      <c r="AY48" s="3">
        <f t="shared" si="11"/>
        <v>5</v>
      </c>
      <c r="AZ48" s="3">
        <f t="shared" si="12"/>
        <v>1</v>
      </c>
      <c r="BA48" s="3">
        <f>IF(ISERROR(LEN(VLOOKUP(A48,Seqs!A:E,2,FALSE))-AL48),"-",LEN(VLOOKUP(A48,Seqs!A:E,2,FALSE))-AL48)</f>
        <v>103</v>
      </c>
      <c r="BB48" s="16">
        <f t="shared" si="13"/>
        <v>28</v>
      </c>
      <c r="BC48" s="9">
        <f t="shared" si="14"/>
        <v>20</v>
      </c>
      <c r="BD48" s="3">
        <f t="shared" si="15"/>
        <v>28</v>
      </c>
      <c r="BE48" s="3">
        <f t="shared" si="16"/>
        <v>83</v>
      </c>
    </row>
    <row r="49" spans="1:58" s="3" customFormat="1" x14ac:dyDescent="0.2">
      <c r="A49" s="3" t="s">
        <v>137</v>
      </c>
      <c r="B49" s="3" t="str">
        <f>LOWER(VLOOKUP(A49,Xtal_Templ!A:B,2,FALSE))</f>
        <v>5ht1b_human</v>
      </c>
      <c r="C49" s="3">
        <f>VLOOKUP($A49,'SegEnds_NonXtal_BW#'!$A:$Z,3,FALSE)+D49-50</f>
        <v>77</v>
      </c>
      <c r="D49" s="3">
        <v>99</v>
      </c>
      <c r="E49" s="3">
        <f>IF(ISERROR(VLOOKUP($A49,'SegEnds_NonXtal_BW#'!$A:$Z,4,FALSE)+VLOOKUP($A49,A:AL,4,FALSE)-50),"-",(VLOOKUP($A49,'SegEnds_NonXtal_BW#'!$A:$Z,4,FALSE)+VLOOKUP($A49,A:AL,4,FALSE)-50))</f>
        <v>109</v>
      </c>
      <c r="F49" s="3">
        <f t="shared" si="27"/>
        <v>110</v>
      </c>
      <c r="G49" s="3">
        <v>112</v>
      </c>
      <c r="H49" s="3">
        <f t="shared" ref="H49:I68" si="33">G49+1</f>
        <v>113</v>
      </c>
      <c r="I49" s="3">
        <f t="shared" si="33"/>
        <v>114</v>
      </c>
      <c r="J49" s="3">
        <v>127</v>
      </c>
      <c r="K49" s="3">
        <f>VLOOKUP($A49,'SegEnds_NonXtal_BW#'!$A:$Z,8,FALSE)+VLOOKUP($A49,A:AL,10,FALSE)-50</f>
        <v>145</v>
      </c>
      <c r="L49" s="3">
        <f t="shared" si="32"/>
        <v>147</v>
      </c>
      <c r="M49" s="3">
        <v>148</v>
      </c>
      <c r="N49" s="3">
        <f t="shared" si="30"/>
        <v>150</v>
      </c>
      <c r="O49" s="3">
        <f t="shared" si="29"/>
        <v>151</v>
      </c>
      <c r="P49" s="3">
        <v>180</v>
      </c>
      <c r="Q49" s="3">
        <f>VLOOKUP($A49,'SegEnds_NonXtal_BW#'!$A:$Z,12,FALSE)+VLOOKUP($A49,A:AL,16,FALSE)-50</f>
        <v>186</v>
      </c>
      <c r="R49" s="3">
        <f>IF(ISERROR(VLOOKUP($A49,'SegEnds_NonXtal_BW#'!$A:$Z,13,FALSE)+VLOOKUP($A49,A:AL,19,FALSE)-50),"-",VLOOKUP($A49,'SegEnds_NonXtal_BW#'!$A:$Z,13,FALSE)+VLOOKUP($A49,A:AL,19,FALSE)-50)</f>
        <v>187</v>
      </c>
      <c r="S49" s="3">
        <v>187</v>
      </c>
      <c r="T49" s="100">
        <f>IF(ISERROR(VLOOKUP($A49,'SegEnds_NonXtal_BW#'!$A:$Z,14,FALSE)+VLOOKUP($A49,A:AL,19,FALSE)-50),"-",(VLOOKUP($A49,'SegEnds_NonXtal_BW#'!$A:$Z,14,FALSE)+VLOOKUP($A49,A:AL,19,FALSE)-50))</f>
        <v>194</v>
      </c>
      <c r="U49" s="9">
        <f>IF(ISERROR(VLOOKUP($A49,'SegEnds_NonXtal_BW#'!$A:$Z,15,FALSE)+VLOOKUP($A49,A:AL,22,FALSE)-50),"-",VLOOKUP($A49,'SegEnds_NonXtal_BW#'!$A:$Z,15,FALSE)+VLOOKUP($A49,A:AL,22,FALSE)-50)</f>
        <v>195</v>
      </c>
      <c r="V49" s="3">
        <v>207</v>
      </c>
      <c r="W49" s="3">
        <f>IF(ISERROR(VLOOKUP($A49,'SegEnds_NonXtal_BW#'!$A:$Z,16,FALSE)+VLOOKUP($A49,A:AL,22,FALSE)-50),"-",(VLOOKUP($A49,'SegEnds_NonXtal_BW#'!$A:$Z,16,FALSE)+VLOOKUP($A49,A:AL,22,FALSE)-50))</f>
        <v>220</v>
      </c>
      <c r="X49" s="3">
        <f>IF(ISERROR(VLOOKUP($A49,'SegEnds_NonXtal_BW#'!$A:$Z,17,FALSE)+VLOOKUP($A49,A:AL,25,FALSE)-50),"-",(VLOOKUP($A49,'SegEnds_NonXtal_BW#'!$A:$Z,17,FALSE)+VLOOKUP($A49,A:AL,25,FALSE)-50))</f>
        <v>231</v>
      </c>
      <c r="Y49" s="3">
        <v>231</v>
      </c>
      <c r="Z49" s="3">
        <f t="shared" si="31"/>
        <v>233</v>
      </c>
      <c r="AA49" s="3">
        <f>IF(ISERROR(VLOOKUP($A49,'SegEnds_NonXtal_BW#'!$A:$Z,19,FALSE)+VLOOKUP($A49,A:AL,28,FALSE)-50),"-",(VLOOKUP($A49,'SegEnds_NonXtal_BW#'!$A:$Z,19,FALSE)+VLOOKUP($A49,A:AL,28,FALSE)-50))</f>
        <v>236</v>
      </c>
      <c r="AB49" s="3">
        <v>251</v>
      </c>
      <c r="AC49" s="3">
        <f>IF(ISERROR((VLOOKUP($A49,'SegEnds_NonXtal_BW#'!$A:$Z,20,FALSE)+VLOOKUP($A49,A:AL,28,FALSE)-50)),"-",(VLOOKUP($A49,'SegEnds_NonXtal_BW#'!$A:$Z,20,FALSE)+VLOOKUP($A49,A:AL,28,FALSE)-50))</f>
        <v>277</v>
      </c>
      <c r="AD49" s="3">
        <f>IF(ISERROR(VLOOKUP($A49,'SegEnds_NonXtal_BW#'!$A:$Z,21,FALSE)+VLOOKUP($A49,A:AL,31,FALSE)-50),"-",(VLOOKUP($A49,'SegEnds_NonXtal_BW#'!$A:$Z,21,FALSE)+VLOOKUP($A49,A:AL,31,FALSE)-50))</f>
        <v>316</v>
      </c>
      <c r="AE49" s="3">
        <v>342</v>
      </c>
      <c r="AF49" s="3">
        <f>IF(ISERROR((VLOOKUP($A49,'SegEnds_NonXtal_BW#'!$A:$Z,22,FALSE)+VLOOKUP($A49,A:AL,31,FALSE)-50)),"-",(VLOOKUP($A49,'SegEnds_NonXtal_BW#'!$A:$Z,22,FALSE)+VLOOKUP($A49,A:AL,31,FALSE)-50))</f>
        <v>353</v>
      </c>
      <c r="AG49" s="3">
        <f>IF(ISERROR(VLOOKUP($A49,'SegEnds_NonXtal_BW#'!$A:$Z,23,FALSE)+VLOOKUP($A49,A:AL,34,FALSE)-50),"-",(VLOOKUP($A49,'SegEnds_NonXtal_BW#'!$A:$Z,23,FALSE)+VLOOKUP($A49,A:AL,34,FALSE)-50))</f>
        <v>358</v>
      </c>
      <c r="AH49" s="3">
        <v>381</v>
      </c>
      <c r="AI49" s="3">
        <f>IF(ISERROR((VLOOKUP($A49,'SegEnds_NonXtal_BW#'!$A:$Z,24,FALSE)+VLOOKUP($A49,A:AL,34,FALSE)-50)),"-",(VLOOKUP($A49,'SegEnds_NonXtal_BW#'!$A:$Z,24,FALSE)+VLOOKUP($A49,A:AL,34,FALSE)-50))</f>
        <v>387</v>
      </c>
      <c r="AJ49" s="3">
        <f>IF(ISERROR(VLOOKUP($A49,'SegEnds_NonXtal_BW#'!$A:$Z,25,FALSE)+VLOOKUP($A49,A:AL,37,FALSE)-50),"-",(VLOOKUP($A49,'SegEnds_NonXtal_BW#'!$A:$Z,25,FALSE)+VLOOKUP($A49,A:AL,37,FALSE)-50))</f>
        <v>388</v>
      </c>
      <c r="AK49" s="3">
        <v>391</v>
      </c>
      <c r="AL49" s="3">
        <f>IF(ISERROR((VLOOKUP($A49,'SegEnds_NonXtal_BW#'!$A:$Z,26,FALSE)+VLOOKUP($A49,A:AL,37,FALSE)-50)),"-",(VLOOKUP($A49,'SegEnds_NonXtal_BW#'!$A:$Z,26,FALSE)+VLOOKUP($A49,A:AL,37,FALSE)-50))</f>
        <v>399</v>
      </c>
      <c r="AM49" s="28" t="str">
        <f>VLOOKUP(A49,Classification!A:B,2,FALSE)</f>
        <v>A</v>
      </c>
      <c r="AN49" s="28" t="b">
        <f t="shared" si="17"/>
        <v>1</v>
      </c>
      <c r="AO49" s="3" t="str">
        <f>IF(ISERROR(MATCH(A49,'SegEnds_Xtal_Prot#'!B:B, 0)), "NoXtal", "Xtal")</f>
        <v>NoXtal</v>
      </c>
      <c r="AP49" s="3">
        <f t="shared" si="2"/>
        <v>1</v>
      </c>
      <c r="AQ49" s="3">
        <f t="shared" si="3"/>
        <v>1</v>
      </c>
      <c r="AR49" s="3">
        <f t="shared" si="4"/>
        <v>2</v>
      </c>
      <c r="AS49" s="3">
        <f t="shared" si="5"/>
        <v>1</v>
      </c>
      <c r="AT49" s="3">
        <f t="shared" si="6"/>
        <v>1</v>
      </c>
      <c r="AU49" s="3">
        <f t="shared" si="7"/>
        <v>1</v>
      </c>
      <c r="AV49" s="3">
        <f t="shared" si="8"/>
        <v>11</v>
      </c>
      <c r="AW49" s="3">
        <f t="shared" si="9"/>
        <v>3</v>
      </c>
      <c r="AX49" s="3">
        <f t="shared" si="10"/>
        <v>39</v>
      </c>
      <c r="AY49" s="3">
        <f t="shared" si="11"/>
        <v>5</v>
      </c>
      <c r="AZ49" s="3">
        <f t="shared" si="12"/>
        <v>1</v>
      </c>
      <c r="BA49" s="3">
        <f>IF(ISERROR(LEN(VLOOKUP(A49,Seqs!A:E,2,FALSE))-AL49),"-",LEN(VLOOKUP(A49,Seqs!A:E,2,FALSE))-AL49)</f>
        <v>80</v>
      </c>
      <c r="BB49" s="16">
        <f t="shared" si="13"/>
        <v>28</v>
      </c>
      <c r="BC49" s="9">
        <f t="shared" si="14"/>
        <v>20</v>
      </c>
      <c r="BD49" s="3">
        <f t="shared" si="15"/>
        <v>28</v>
      </c>
      <c r="BE49" s="3">
        <f t="shared" si="16"/>
        <v>91</v>
      </c>
    </row>
    <row r="50" spans="1:58" s="3" customFormat="1" x14ac:dyDescent="0.2">
      <c r="A50" s="3" t="s">
        <v>138</v>
      </c>
      <c r="B50" s="3" t="str">
        <f>LOWER(VLOOKUP(A50,Xtal_Templ!A:B,2,FALSE))</f>
        <v>aa1r_human</v>
      </c>
      <c r="C50" s="3">
        <f>VLOOKUP($A50,'SegEnds_NonXtal_BW#'!$A:$Z,3,FALSE)+D50-50</f>
        <v>6</v>
      </c>
      <c r="D50" s="3">
        <v>27</v>
      </c>
      <c r="E50" s="3">
        <f>IF(ISERROR(VLOOKUP($A50,'SegEnds_NonXtal_BW#'!$A:$Z,4,FALSE)+VLOOKUP($A50,A:AL,4,FALSE)-50),"-",(VLOOKUP($A50,'SegEnds_NonXtal_BW#'!$A:$Z,4,FALSE)+VLOOKUP($A50,A:AL,4,FALSE)-50))</f>
        <v>37</v>
      </c>
      <c r="F50" s="3">
        <f t="shared" si="27"/>
        <v>38</v>
      </c>
      <c r="G50" s="3">
        <v>40</v>
      </c>
      <c r="H50" s="3">
        <f t="shared" si="33"/>
        <v>41</v>
      </c>
      <c r="I50" s="3">
        <f t="shared" si="33"/>
        <v>42</v>
      </c>
      <c r="J50" s="3">
        <v>55</v>
      </c>
      <c r="K50" s="3">
        <v>72</v>
      </c>
      <c r="L50" s="3">
        <f>M50</f>
        <v>73</v>
      </c>
      <c r="M50" s="3">
        <v>73</v>
      </c>
      <c r="N50" s="3">
        <f t="shared" si="30"/>
        <v>75</v>
      </c>
      <c r="O50" s="3">
        <f t="shared" si="29"/>
        <v>76</v>
      </c>
      <c r="P50" s="3">
        <v>105</v>
      </c>
      <c r="Q50" s="3">
        <f>VLOOKUP($A50,'SegEnds_NonXtal_BW#'!$A:$Z,12,FALSE)+VLOOKUP($A50,A:AL,16,FALSE)-50</f>
        <v>111</v>
      </c>
      <c r="R50" s="3">
        <f>IF(ISERROR(VLOOKUP($A50,'SegEnds_NonXtal_BW#'!$A:$Z,13,FALSE)+VLOOKUP($A50,A:AL,19,FALSE)-50),"-",VLOOKUP($A50,'SegEnds_NonXtal_BW#'!$A:$Z,13,FALSE)+VLOOKUP($A50,A:AL,19,FALSE)-50)</f>
        <v>112</v>
      </c>
      <c r="S50" s="3">
        <v>112</v>
      </c>
      <c r="T50" s="100">
        <f>IF(ISERROR(VLOOKUP($A50,'SegEnds_NonXtal_BW#'!$A:$Z,14,FALSE)+VLOOKUP($A50,A:AL,19,FALSE)-50),"-",(VLOOKUP($A50,'SegEnds_NonXtal_BW#'!$A:$Z,14,FALSE)+VLOOKUP($A50,A:AL,19,FALSE)-50))</f>
        <v>119</v>
      </c>
      <c r="U50" s="9">
        <f>IF(ISERROR(VLOOKUP($A50,'SegEnds_NonXtal_BW#'!$A:$Z,15,FALSE)+VLOOKUP($A50,A:AL,22,FALSE)-50),"-",VLOOKUP($A50,'SegEnds_NonXtal_BW#'!$A:$Z,15,FALSE)+VLOOKUP($A50,A:AL,22,FALSE)-50)</f>
        <v>120</v>
      </c>
      <c r="V50" s="3">
        <v>132</v>
      </c>
      <c r="W50" s="3">
        <f>IF(ISERROR(VLOOKUP($A50,'SegEnds_NonXtal_BW#'!$A:$Z,16,FALSE)+VLOOKUP($A50,A:AL,22,FALSE)-50),"-",(VLOOKUP($A50,'SegEnds_NonXtal_BW#'!$A:$Z,16,FALSE)+VLOOKUP($A50,A:AL,22,FALSE)-50))</f>
        <v>145</v>
      </c>
      <c r="X50" s="3">
        <f>IF(ISERROR(VLOOKUP($A50,'SegEnds_NonXtal_BW#'!$A:$Z,17,FALSE)+VLOOKUP($A50,A:AL,25,FALSE)-50),"-",(VLOOKUP($A50,'SegEnds_NonXtal_BW#'!$A:$Z,17,FALSE)+VLOOKUP($A50,A:AL,25,FALSE)-50))</f>
        <v>169</v>
      </c>
      <c r="Y50" s="3">
        <v>169</v>
      </c>
      <c r="Z50" s="3">
        <f t="shared" si="31"/>
        <v>171</v>
      </c>
      <c r="AA50" s="3">
        <f>IF(ISERROR(VLOOKUP($A50,'SegEnds_NonXtal_BW#'!$A:$Z,19,FALSE)+VLOOKUP($A50,A:AL,28,FALSE)-50),"-",(VLOOKUP($A50,'SegEnds_NonXtal_BW#'!$A:$Z,19,FALSE)+VLOOKUP($A50,A:AL,28,FALSE)-50))</f>
        <v>176</v>
      </c>
      <c r="AB50" s="3">
        <v>192</v>
      </c>
      <c r="AC50" s="3">
        <f>IF(ISERROR((VLOOKUP($A50,'SegEnds_NonXtal_BW#'!$A:$Z,20,FALSE)+VLOOKUP($A50,A:AL,28,FALSE)-50)),"-",(VLOOKUP($A50,'SegEnds_NonXtal_BW#'!$A:$Z,20,FALSE)+VLOOKUP($A50,A:AL,28,FALSE)-50))</f>
        <v>215</v>
      </c>
      <c r="AD50" s="3">
        <f>IF(ISERROR(VLOOKUP($A50,'SegEnds_NonXtal_BW#'!$A:$Z,21,FALSE)+VLOOKUP($A50,A:AL,31,FALSE)-50),"-",(VLOOKUP($A50,'SegEnds_NonXtal_BW#'!$A:$Z,21,FALSE)+VLOOKUP($A50,A:AL,31,FALSE)-50))</f>
        <v>221</v>
      </c>
      <c r="AE50" s="3">
        <v>249</v>
      </c>
      <c r="AF50" s="3">
        <f>IF(ISERROR((VLOOKUP($A50,'SegEnds_NonXtal_BW#'!$A:$Z,22,FALSE)+VLOOKUP($A50,A:AL,31,FALSE)-50)),"-",(VLOOKUP($A50,'SegEnds_NonXtal_BW#'!$A:$Z,22,FALSE)+VLOOKUP($A50,A:AL,31,FALSE)-50))</f>
        <v>260</v>
      </c>
      <c r="AG50" s="3">
        <f>IF(ISERROR(VLOOKUP($A50,'SegEnds_NonXtal_BW#'!$A:$Z,23,FALSE)+VLOOKUP($A50,A:AL,34,FALSE)-50),"-",(VLOOKUP($A50,'SegEnds_NonXtal_BW#'!$A:$Z,23,FALSE)+VLOOKUP($A50,A:AL,34,FALSE)-50))</f>
        <v>266</v>
      </c>
      <c r="AH50" s="3">
        <v>285</v>
      </c>
      <c r="AI50" s="3">
        <f>IF(ISERROR((VLOOKUP($A50,'SegEnds_NonXtal_BW#'!$A:$Z,24,FALSE)+VLOOKUP($A50,A:AL,34,FALSE)-50)),"-",(VLOOKUP($A50,'SegEnds_NonXtal_BW#'!$A:$Z,24,FALSE)+VLOOKUP($A50,A:AL,34,FALSE)-50))</f>
        <v>291</v>
      </c>
      <c r="AJ50" s="3">
        <f>IF(ISERROR(VLOOKUP($A50,'SegEnds_NonXtal_BW#'!$A:$Z,25,FALSE)+VLOOKUP($A50,A:AL,37,FALSE)-50),"-",(VLOOKUP($A50,'SegEnds_NonXtal_BW#'!$A:$Z,25,FALSE)+VLOOKUP($A50,A:AL,37,FALSE)-50))</f>
        <v>292</v>
      </c>
      <c r="AK50" s="3">
        <v>295</v>
      </c>
      <c r="AL50" s="3">
        <f>IF(ISERROR((VLOOKUP($A50,'SegEnds_NonXtal_BW#'!$A:$Z,26,FALSE)+VLOOKUP($A50,A:AL,37,FALSE)-50)),"-",(VLOOKUP($A50,'SegEnds_NonXtal_BW#'!$A:$Z,26,FALSE)+VLOOKUP($A50,A:AL,37,FALSE)-50))</f>
        <v>314</v>
      </c>
      <c r="AM50" s="28" t="str">
        <f>VLOOKUP(A50,Classification!A:B,2,FALSE)</f>
        <v>A</v>
      </c>
      <c r="AN50" s="28" t="b">
        <f t="shared" si="17"/>
        <v>1</v>
      </c>
      <c r="AO50" s="3" t="str">
        <f>IF(ISERROR(MATCH(A50,'SegEnds_Xtal_Prot#'!B:B, 0)), "NoXtal", "Xtal")</f>
        <v>Xtal</v>
      </c>
      <c r="AP50" s="3">
        <f t="shared" si="2"/>
        <v>1</v>
      </c>
      <c r="AQ50" s="3">
        <f t="shared" si="3"/>
        <v>1</v>
      </c>
      <c r="AR50" s="3">
        <f t="shared" si="4"/>
        <v>1</v>
      </c>
      <c r="AS50" s="3">
        <f t="shared" si="5"/>
        <v>1</v>
      </c>
      <c r="AT50" s="3">
        <f t="shared" si="6"/>
        <v>1</v>
      </c>
      <c r="AU50" s="3">
        <f t="shared" si="7"/>
        <v>1</v>
      </c>
      <c r="AV50" s="3">
        <f t="shared" si="8"/>
        <v>24</v>
      </c>
      <c r="AW50" s="3">
        <f t="shared" si="9"/>
        <v>5</v>
      </c>
      <c r="AX50" s="3">
        <f t="shared" si="10"/>
        <v>6</v>
      </c>
      <c r="AY50" s="3">
        <f t="shared" si="11"/>
        <v>6</v>
      </c>
      <c r="AZ50" s="3">
        <f t="shared" si="12"/>
        <v>1</v>
      </c>
      <c r="BA50" s="3">
        <f>IF(ISERROR(LEN(VLOOKUP(A50,Seqs!A:E,2,FALSE))-AL50),"-",LEN(VLOOKUP(A50,Seqs!A:E,2,FALSE))-AL50)</f>
        <v>12</v>
      </c>
      <c r="BB50" s="16">
        <f t="shared" si="13"/>
        <v>28</v>
      </c>
      <c r="BC50" s="9">
        <f t="shared" si="14"/>
        <v>20</v>
      </c>
      <c r="BD50" s="3">
        <f t="shared" si="15"/>
        <v>28</v>
      </c>
      <c r="BE50" s="3">
        <f t="shared" si="16"/>
        <v>57</v>
      </c>
      <c r="BF50" s="3">
        <f>AH50-AE50</f>
        <v>36</v>
      </c>
    </row>
    <row r="51" spans="1:58" s="3" customFormat="1" x14ac:dyDescent="0.2">
      <c r="A51" s="3" t="s">
        <v>139</v>
      </c>
      <c r="B51" s="3" t="str">
        <f>LOWER(VLOOKUP(A51,Xtal_Templ!A:B,2,FALSE))</f>
        <v>aa2ar_human</v>
      </c>
      <c r="C51" s="3">
        <f>VLOOKUP($A51,'SegEnds_NonXtal_BW#'!$A:$Z,3,FALSE)+D51-50</f>
        <v>1</v>
      </c>
      <c r="D51" s="3">
        <v>24</v>
      </c>
      <c r="E51" s="3">
        <f>IF(ISERROR(VLOOKUP($A51,'SegEnds_NonXtal_BW#'!$A:$Z,4,FALSE)+VLOOKUP($A51,A:AL,4,FALSE)-50),"-",(VLOOKUP($A51,'SegEnds_NonXtal_BW#'!$A:$Z,4,FALSE)+VLOOKUP($A51,A:AL,4,FALSE)-50))</f>
        <v>34</v>
      </c>
      <c r="F51" s="3">
        <f t="shared" si="27"/>
        <v>35</v>
      </c>
      <c r="G51" s="3">
        <v>37</v>
      </c>
      <c r="H51" s="3">
        <f t="shared" si="33"/>
        <v>38</v>
      </c>
      <c r="I51" s="3">
        <f t="shared" si="33"/>
        <v>39</v>
      </c>
      <c r="J51" s="3">
        <v>52</v>
      </c>
      <c r="K51" s="3">
        <v>69</v>
      </c>
      <c r="L51" s="3">
        <f>M51</f>
        <v>70</v>
      </c>
      <c r="M51" s="3">
        <v>70</v>
      </c>
      <c r="N51" s="3">
        <f t="shared" si="30"/>
        <v>72</v>
      </c>
      <c r="O51" s="3">
        <f t="shared" si="29"/>
        <v>73</v>
      </c>
      <c r="P51" s="3">
        <v>102</v>
      </c>
      <c r="Q51" s="3">
        <f>VLOOKUP($A51,'SegEnds_NonXtal_BW#'!$A:$Z,12,FALSE)+VLOOKUP($A51,A:AL,16,FALSE)-50</f>
        <v>108</v>
      </c>
      <c r="R51" s="3">
        <f>IF(ISERROR(VLOOKUP($A51,'SegEnds_NonXtal_BW#'!$A:$Z,13,FALSE)+VLOOKUP($A51,A:AL,19,FALSE)-50),"-",VLOOKUP($A51,'SegEnds_NonXtal_BW#'!$A:$Z,13,FALSE)+VLOOKUP($A51,A:AL,19,FALSE)-50)</f>
        <v>109</v>
      </c>
      <c r="S51" s="3">
        <v>109</v>
      </c>
      <c r="T51" s="100">
        <f>IF(ISERROR(VLOOKUP($A51,'SegEnds_NonXtal_BW#'!$A:$Z,14,FALSE)+VLOOKUP($A51,A:AL,19,FALSE)-50),"-",(VLOOKUP($A51,'SegEnds_NonXtal_BW#'!$A:$Z,14,FALSE)+VLOOKUP($A51,A:AL,19,FALSE)-50))</f>
        <v>116</v>
      </c>
      <c r="U51" s="9">
        <f>IF(ISERROR(VLOOKUP($A51,'SegEnds_NonXtal_BW#'!$A:$Z,15,FALSE)+VLOOKUP($A51,A:AL,22,FALSE)-50),"-",VLOOKUP($A51,'SegEnds_NonXtal_BW#'!$A:$Z,15,FALSE)+VLOOKUP($A51,A:AL,22,FALSE)-50)</f>
        <v>117</v>
      </c>
      <c r="V51" s="3">
        <v>129</v>
      </c>
      <c r="W51" s="3">
        <f>IF(ISERROR(VLOOKUP($A51,'SegEnds_NonXtal_BW#'!$A:$Z,16,FALSE)+VLOOKUP($A51,A:AL,22,FALSE)-50),"-",(VLOOKUP($A51,'SegEnds_NonXtal_BW#'!$A:$Z,16,FALSE)+VLOOKUP($A51,A:AL,22,FALSE)-50))</f>
        <v>142</v>
      </c>
      <c r="X51" s="3">
        <f>IF(ISERROR(VLOOKUP($A51,'SegEnds_NonXtal_BW#'!$A:$Z,17,FALSE)+VLOOKUP($A51,A:AL,25,FALSE)-50),"-",(VLOOKUP($A51,'SegEnds_NonXtal_BW#'!$A:$Z,17,FALSE)+VLOOKUP($A51,A:AL,25,FALSE)-50))</f>
        <v>166</v>
      </c>
      <c r="Y51" s="3">
        <v>166</v>
      </c>
      <c r="Z51" s="3">
        <f t="shared" si="31"/>
        <v>168</v>
      </c>
      <c r="AA51" s="3">
        <f>IF(ISERROR(VLOOKUP($A51,'SegEnds_NonXtal_BW#'!$A:$Z,19,FALSE)+VLOOKUP($A51,A:AL,28,FALSE)-50),"-",(VLOOKUP($A51,'SegEnds_NonXtal_BW#'!$A:$Z,19,FALSE)+VLOOKUP($A51,A:AL,28,FALSE)-50))</f>
        <v>173</v>
      </c>
      <c r="AB51" s="3">
        <v>189</v>
      </c>
      <c r="AC51" s="3">
        <f>IF(ISERROR((VLOOKUP($A51,'SegEnds_NonXtal_BW#'!$A:$Z,20,FALSE)+VLOOKUP($A51,A:AL,28,FALSE)-50)),"-",(VLOOKUP($A51,'SegEnds_NonXtal_BW#'!$A:$Z,20,FALSE)+VLOOKUP($A51,A:AL,28,FALSE)-50))</f>
        <v>213</v>
      </c>
      <c r="AD51" s="3">
        <f>IF(ISERROR(VLOOKUP($A51,'SegEnds_NonXtal_BW#'!$A:$Z,21,FALSE)+VLOOKUP($A51,A:AL,31,FALSE)-50),"-",(VLOOKUP($A51,'SegEnds_NonXtal_BW#'!$A:$Z,21,FALSE)+VLOOKUP($A51,A:AL,31,FALSE)-50))</f>
        <v>219</v>
      </c>
      <c r="AE51" s="3">
        <v>248</v>
      </c>
      <c r="AF51" s="3">
        <f>IF(ISERROR((VLOOKUP($A51,'SegEnds_NonXtal_BW#'!$A:$Z,22,FALSE)+VLOOKUP($A51,A:AL,31,FALSE)-50)),"-",(VLOOKUP($A51,'SegEnds_NonXtal_BW#'!$A:$Z,22,FALSE)+VLOOKUP($A51,A:AL,31,FALSE)-50))</f>
        <v>259</v>
      </c>
      <c r="AG51" s="3">
        <f>IF(ISERROR(VLOOKUP($A51,'SegEnds_NonXtal_BW#'!$A:$Z,23,FALSE)+VLOOKUP($A51,A:AL,34,FALSE)-50),"-",(VLOOKUP($A51,'SegEnds_NonXtal_BW#'!$A:$Z,23,FALSE)+VLOOKUP($A51,A:AL,34,FALSE)-50))</f>
        <v>266</v>
      </c>
      <c r="AH51" s="3">
        <v>285</v>
      </c>
      <c r="AI51" s="3">
        <f>IF(ISERROR((VLOOKUP($A51,'SegEnds_NonXtal_BW#'!$A:$Z,24,FALSE)+VLOOKUP($A51,A:AL,34,FALSE)-50)),"-",(VLOOKUP($A51,'SegEnds_NonXtal_BW#'!$A:$Z,24,FALSE)+VLOOKUP($A51,A:AL,34,FALSE)-50))</f>
        <v>291</v>
      </c>
      <c r="AJ51" s="3">
        <f>IF(ISERROR(VLOOKUP($A51,'SegEnds_NonXtal_BW#'!$A:$Z,25,FALSE)+VLOOKUP($A51,A:AL,37,FALSE)-50),"-",(VLOOKUP($A51,'SegEnds_NonXtal_BW#'!$A:$Z,25,FALSE)+VLOOKUP($A51,A:AL,37,FALSE)-50))</f>
        <v>292</v>
      </c>
      <c r="AK51" s="3">
        <v>295</v>
      </c>
      <c r="AL51" s="3">
        <f>IF(ISERROR((VLOOKUP($A51,'SegEnds_NonXtal_BW#'!$A:$Z,26,FALSE)+VLOOKUP($A51,A:AL,37,FALSE)-50)),"-",(VLOOKUP($A51,'SegEnds_NonXtal_BW#'!$A:$Z,26,FALSE)+VLOOKUP($A51,A:AL,37,FALSE)-50))</f>
        <v>314</v>
      </c>
      <c r="AM51" s="28" t="str">
        <f>VLOOKUP(A51,Classification!A:B,2,FALSE)</f>
        <v>A</v>
      </c>
      <c r="AN51" s="28" t="b">
        <f t="shared" si="17"/>
        <v>1</v>
      </c>
      <c r="AO51" s="3" t="str">
        <f>IF(ISERROR(MATCH(A51,'SegEnds_Xtal_Prot#'!B:B, 0)), "NoXtal", "Xtal")</f>
        <v>Xtal</v>
      </c>
      <c r="AP51" s="3">
        <f t="shared" si="2"/>
        <v>1</v>
      </c>
      <c r="AQ51" s="3">
        <f t="shared" si="3"/>
        <v>1</v>
      </c>
      <c r="AR51" s="3">
        <f t="shared" si="4"/>
        <v>1</v>
      </c>
      <c r="AS51" s="3">
        <f t="shared" si="5"/>
        <v>1</v>
      </c>
      <c r="AT51" s="3">
        <f t="shared" si="6"/>
        <v>1</v>
      </c>
      <c r="AU51" s="3">
        <f t="shared" si="7"/>
        <v>1</v>
      </c>
      <c r="AV51" s="3">
        <f t="shared" si="8"/>
        <v>24</v>
      </c>
      <c r="AW51" s="3">
        <f t="shared" si="9"/>
        <v>5</v>
      </c>
      <c r="AX51" s="3">
        <f t="shared" si="10"/>
        <v>6</v>
      </c>
      <c r="AY51" s="3">
        <f t="shared" si="11"/>
        <v>7</v>
      </c>
      <c r="AZ51" s="3">
        <f t="shared" si="12"/>
        <v>1</v>
      </c>
      <c r="BA51" s="3">
        <f>IF(ISERROR(LEN(VLOOKUP(A51,Seqs!A:E,2,FALSE))-AL51),"-",LEN(VLOOKUP(A51,Seqs!A:E,2,FALSE))-AL51)</f>
        <v>98</v>
      </c>
      <c r="BB51" s="16">
        <f t="shared" si="13"/>
        <v>28</v>
      </c>
      <c r="BC51" s="9">
        <f t="shared" si="14"/>
        <v>20</v>
      </c>
      <c r="BD51" s="3">
        <f t="shared" si="15"/>
        <v>28</v>
      </c>
      <c r="BE51" s="3">
        <f t="shared" si="16"/>
        <v>59</v>
      </c>
    </row>
    <row r="52" spans="1:58" s="3" customFormat="1" x14ac:dyDescent="0.2">
      <c r="A52" s="3" t="s">
        <v>140</v>
      </c>
      <c r="B52" s="3" t="str">
        <f>LOWER(VLOOKUP(A52,Xtal_Templ!A:B,2,FALSE))</f>
        <v>aa2ar_human</v>
      </c>
      <c r="C52" s="3">
        <f>VLOOKUP($A52,'SegEnds_NonXtal_BW#'!$A:$Z,3,FALSE)+D52-50</f>
        <v>2</v>
      </c>
      <c r="D52" s="3">
        <v>25</v>
      </c>
      <c r="E52" s="3">
        <f>IF(ISERROR(VLOOKUP($A52,'SegEnds_NonXtal_BW#'!$A:$Z,4,FALSE)+VLOOKUP($A52,A:AL,4,FALSE)-50),"-",(VLOOKUP($A52,'SegEnds_NonXtal_BW#'!$A:$Z,4,FALSE)+VLOOKUP($A52,A:AL,4,FALSE)-50))</f>
        <v>35</v>
      </c>
      <c r="F52" s="3">
        <f t="shared" si="27"/>
        <v>36</v>
      </c>
      <c r="G52" s="3">
        <v>38</v>
      </c>
      <c r="H52" s="3">
        <f t="shared" si="33"/>
        <v>39</v>
      </c>
      <c r="I52" s="3">
        <f t="shared" si="33"/>
        <v>40</v>
      </c>
      <c r="J52" s="3">
        <v>53</v>
      </c>
      <c r="K52" s="3">
        <v>70</v>
      </c>
      <c r="L52" s="3">
        <f>M52</f>
        <v>71</v>
      </c>
      <c r="M52" s="3">
        <v>71</v>
      </c>
      <c r="N52" s="3">
        <f t="shared" si="30"/>
        <v>73</v>
      </c>
      <c r="O52" s="3">
        <f t="shared" si="29"/>
        <v>74</v>
      </c>
      <c r="P52" s="3">
        <v>103</v>
      </c>
      <c r="Q52" s="3">
        <f>VLOOKUP($A52,'SegEnds_NonXtal_BW#'!$A:$Z,12,FALSE)+VLOOKUP($A52,A:AL,16,FALSE)-50</f>
        <v>109</v>
      </c>
      <c r="R52" s="3">
        <f>IF(ISERROR(VLOOKUP($A52,'SegEnds_NonXtal_BW#'!$A:$Z,13,FALSE)+VLOOKUP($A52,A:AL,19,FALSE)-50),"-",VLOOKUP($A52,'SegEnds_NonXtal_BW#'!$A:$Z,13,FALSE)+VLOOKUP($A52,A:AL,19,FALSE)-50)</f>
        <v>110</v>
      </c>
      <c r="S52" s="3">
        <v>110</v>
      </c>
      <c r="T52" s="100">
        <f>IF(ISERROR(VLOOKUP($A52,'SegEnds_NonXtal_BW#'!$A:$Z,14,FALSE)+VLOOKUP($A52,A:AL,19,FALSE)-50),"-",(VLOOKUP($A52,'SegEnds_NonXtal_BW#'!$A:$Z,14,FALSE)+VLOOKUP($A52,A:AL,19,FALSE)-50))</f>
        <v>117</v>
      </c>
      <c r="U52" s="9">
        <f>IF(ISERROR(VLOOKUP($A52,'SegEnds_NonXtal_BW#'!$A:$Z,15,FALSE)+VLOOKUP($A52,A:AL,22,FALSE)-50),"-",VLOOKUP($A52,'SegEnds_NonXtal_BW#'!$A:$Z,15,FALSE)+VLOOKUP($A52,A:AL,22,FALSE)-50)</f>
        <v>118</v>
      </c>
      <c r="V52" s="3">
        <v>130</v>
      </c>
      <c r="W52" s="3">
        <f>IF(ISERROR(VLOOKUP($A52,'SegEnds_NonXtal_BW#'!$A:$Z,16,FALSE)+VLOOKUP($A52,A:AL,22,FALSE)-50),"-",(VLOOKUP($A52,'SegEnds_NonXtal_BW#'!$A:$Z,16,FALSE)+VLOOKUP($A52,A:AL,22,FALSE)-50))</f>
        <v>143</v>
      </c>
      <c r="X52" s="3">
        <f>IF(ISERROR(VLOOKUP($A52,'SegEnds_NonXtal_BW#'!$A:$Z,17,FALSE)+VLOOKUP($A52,A:AL,25,FALSE)-50),"-",(VLOOKUP($A52,'SegEnds_NonXtal_BW#'!$A:$Z,17,FALSE)+VLOOKUP($A52,A:AL,25,FALSE)-50))</f>
        <v>171</v>
      </c>
      <c r="Y52" s="3">
        <v>171</v>
      </c>
      <c r="Z52" s="3">
        <f t="shared" si="31"/>
        <v>173</v>
      </c>
      <c r="AA52" s="3">
        <f>IF(ISERROR(VLOOKUP($A52,'SegEnds_NonXtal_BW#'!$A:$Z,19,FALSE)+VLOOKUP($A52,A:AL,28,FALSE)-50),"-",(VLOOKUP($A52,'SegEnds_NonXtal_BW#'!$A:$Z,19,FALSE)+VLOOKUP($A52,A:AL,28,FALSE)-50))</f>
        <v>178</v>
      </c>
      <c r="AB52" s="3">
        <v>194</v>
      </c>
      <c r="AC52" s="3">
        <f>IF(ISERROR((VLOOKUP($A52,'SegEnds_NonXtal_BW#'!$A:$Z,20,FALSE)+VLOOKUP($A52,A:AL,28,FALSE)-50)),"-",(VLOOKUP($A52,'SegEnds_NonXtal_BW#'!$A:$Z,20,FALSE)+VLOOKUP($A52,A:AL,28,FALSE)-50))</f>
        <v>217</v>
      </c>
      <c r="AD52" s="3">
        <f>IF(ISERROR(VLOOKUP($A52,'SegEnds_NonXtal_BW#'!$A:$Z,21,FALSE)+VLOOKUP($A52,A:AL,31,FALSE)-50),"-",(VLOOKUP($A52,'SegEnds_NonXtal_BW#'!$A:$Z,21,FALSE)+VLOOKUP($A52,A:AL,31,FALSE)-50))</f>
        <v>221</v>
      </c>
      <c r="AE52" s="3">
        <v>249</v>
      </c>
      <c r="AF52" s="3">
        <f>IF(ISERROR((VLOOKUP($A52,'SegEnds_NonXtal_BW#'!$A:$Z,22,FALSE)+VLOOKUP($A52,A:AL,31,FALSE)-50)),"-",(VLOOKUP($A52,'SegEnds_NonXtal_BW#'!$A:$Z,22,FALSE)+VLOOKUP($A52,A:AL,31,FALSE)-50))</f>
        <v>260</v>
      </c>
      <c r="AG52" s="3">
        <f>IF(ISERROR(VLOOKUP($A52,'SegEnds_NonXtal_BW#'!$A:$Z,23,FALSE)+VLOOKUP($A52,A:AL,34,FALSE)-50),"-",(VLOOKUP($A52,'SegEnds_NonXtal_BW#'!$A:$Z,23,FALSE)+VLOOKUP($A52,A:AL,34,FALSE)-50))</f>
        <v>268</v>
      </c>
      <c r="AH52" s="3">
        <v>287</v>
      </c>
      <c r="AI52" s="3">
        <f>IF(ISERROR((VLOOKUP($A52,'SegEnds_NonXtal_BW#'!$A:$Z,24,FALSE)+VLOOKUP($A52,A:AL,34,FALSE)-50)),"-",(VLOOKUP($A52,'SegEnds_NonXtal_BW#'!$A:$Z,24,FALSE)+VLOOKUP($A52,A:AL,34,FALSE)-50))</f>
        <v>293</v>
      </c>
      <c r="AJ52" s="3">
        <f>IF(ISERROR(VLOOKUP($A52,'SegEnds_NonXtal_BW#'!$A:$Z,25,FALSE)+VLOOKUP($A52,A:AL,37,FALSE)-50),"-",(VLOOKUP($A52,'SegEnds_NonXtal_BW#'!$A:$Z,25,FALSE)+VLOOKUP($A52,A:AL,37,FALSE)-50))</f>
        <v>294</v>
      </c>
      <c r="AK52" s="3">
        <v>297</v>
      </c>
      <c r="AL52" s="3">
        <f>IF(ISERROR((VLOOKUP($A52,'SegEnds_NonXtal_BW#'!$A:$Z,26,FALSE)+VLOOKUP($A52,A:AL,37,FALSE)-50)),"-",(VLOOKUP($A52,'SegEnds_NonXtal_BW#'!$A:$Z,26,FALSE)+VLOOKUP($A52,A:AL,37,FALSE)-50))</f>
        <v>316</v>
      </c>
      <c r="AM52" s="28" t="str">
        <f>VLOOKUP(A52,Classification!A:B,2,FALSE)</f>
        <v>A</v>
      </c>
      <c r="AN52" s="28" t="b">
        <f t="shared" si="17"/>
        <v>1</v>
      </c>
      <c r="AO52" s="3" t="str">
        <f>IF(ISERROR(MATCH(A52,'SegEnds_Xtal_Prot#'!B:B, 0)), "NoXtal", "Xtal")</f>
        <v>NoXtal</v>
      </c>
      <c r="AP52" s="3">
        <f t="shared" si="2"/>
        <v>1</v>
      </c>
      <c r="AQ52" s="3">
        <f t="shared" si="3"/>
        <v>1</v>
      </c>
      <c r="AR52" s="3">
        <f t="shared" si="4"/>
        <v>1</v>
      </c>
      <c r="AS52" s="3">
        <f t="shared" si="5"/>
        <v>1</v>
      </c>
      <c r="AT52" s="3">
        <f t="shared" si="6"/>
        <v>1</v>
      </c>
      <c r="AU52" s="3">
        <f t="shared" si="7"/>
        <v>1</v>
      </c>
      <c r="AV52" s="3">
        <f t="shared" si="8"/>
        <v>28</v>
      </c>
      <c r="AW52" s="3">
        <f t="shared" si="9"/>
        <v>5</v>
      </c>
      <c r="AX52" s="3">
        <f t="shared" si="10"/>
        <v>4</v>
      </c>
      <c r="AY52" s="3">
        <f t="shared" si="11"/>
        <v>8</v>
      </c>
      <c r="AZ52" s="3">
        <f t="shared" si="12"/>
        <v>1</v>
      </c>
      <c r="BA52" s="3">
        <f>IF(ISERROR(LEN(VLOOKUP(A52,Seqs!A:E,2,FALSE))-AL52),"-",LEN(VLOOKUP(A52,Seqs!A:E,2,FALSE))-AL52)</f>
        <v>16</v>
      </c>
      <c r="BB52" s="16">
        <f t="shared" si="13"/>
        <v>28</v>
      </c>
      <c r="BC52" s="9">
        <f t="shared" si="14"/>
        <v>20</v>
      </c>
      <c r="BD52" s="3">
        <f t="shared" si="15"/>
        <v>28</v>
      </c>
      <c r="BE52" s="3">
        <f t="shared" si="16"/>
        <v>55</v>
      </c>
      <c r="BF52" s="3">
        <f>AH52-AE52</f>
        <v>38</v>
      </c>
    </row>
    <row r="53" spans="1:58" s="3" customFormat="1" x14ac:dyDescent="0.2">
      <c r="A53" s="3" t="s">
        <v>141</v>
      </c>
      <c r="B53" s="3" t="str">
        <f>LOWER(VLOOKUP(A53,Xtal_Templ!A:B,2,FALSE))</f>
        <v>aa1r_human</v>
      </c>
      <c r="C53" s="3">
        <f>VLOOKUP($A53,'SegEnds_NonXtal_BW#'!$A:$Z,3,FALSE)+D53-50</f>
        <v>9</v>
      </c>
      <c r="D53" s="3">
        <v>30</v>
      </c>
      <c r="E53" s="3">
        <f>IF(ISERROR(VLOOKUP($A53,'SegEnds_NonXtal_BW#'!$A:$Z,4,FALSE)+VLOOKUP($A53,A:AL,4,FALSE)-50),"-",(VLOOKUP($A53,'SegEnds_NonXtal_BW#'!$A:$Z,4,FALSE)+VLOOKUP($A53,A:AL,4,FALSE)-50))</f>
        <v>40</v>
      </c>
      <c r="F53" s="3">
        <f t="shared" si="27"/>
        <v>41</v>
      </c>
      <c r="G53" s="3">
        <v>43</v>
      </c>
      <c r="H53" s="3">
        <f t="shared" si="33"/>
        <v>44</v>
      </c>
      <c r="I53" s="3">
        <f t="shared" si="33"/>
        <v>45</v>
      </c>
      <c r="J53" s="3">
        <v>58</v>
      </c>
      <c r="K53" s="3">
        <v>75</v>
      </c>
      <c r="L53" s="3">
        <f>M53</f>
        <v>76</v>
      </c>
      <c r="M53" s="3">
        <v>76</v>
      </c>
      <c r="N53" s="3">
        <f t="shared" si="30"/>
        <v>78</v>
      </c>
      <c r="O53" s="3">
        <f t="shared" si="29"/>
        <v>79</v>
      </c>
      <c r="P53" s="3">
        <v>108</v>
      </c>
      <c r="Q53" s="3">
        <f>VLOOKUP($A53,'SegEnds_NonXtal_BW#'!$A:$Z,12,FALSE)+VLOOKUP($A53,A:AL,16,FALSE)-50</f>
        <v>114</v>
      </c>
      <c r="R53" s="3">
        <f>IF(ISERROR(VLOOKUP($A53,'SegEnds_NonXtal_BW#'!$A:$Z,13,FALSE)+VLOOKUP($A53,A:AL,19,FALSE)-50),"-",VLOOKUP($A53,'SegEnds_NonXtal_BW#'!$A:$Z,13,FALSE)+VLOOKUP($A53,A:AL,19,FALSE)-50)</f>
        <v>115</v>
      </c>
      <c r="S53" s="3">
        <v>115</v>
      </c>
      <c r="T53" s="100">
        <f>IF(ISERROR(VLOOKUP($A53,'SegEnds_NonXtal_BW#'!$A:$Z,14,FALSE)+VLOOKUP($A53,A:AL,19,FALSE)-50),"-",(VLOOKUP($A53,'SegEnds_NonXtal_BW#'!$A:$Z,14,FALSE)+VLOOKUP($A53,A:AL,19,FALSE)-50))</f>
        <v>122</v>
      </c>
      <c r="U53" s="9">
        <f>IF(ISERROR(VLOOKUP($A53,'SegEnds_NonXtal_BW#'!$A:$Z,15,FALSE)+VLOOKUP($A53,A:AL,22,FALSE)-50),"-",VLOOKUP($A53,'SegEnds_NonXtal_BW#'!$A:$Z,15,FALSE)+VLOOKUP($A53,A:AL,22,FALSE)-50)</f>
        <v>123</v>
      </c>
      <c r="V53" s="3">
        <v>135</v>
      </c>
      <c r="W53" s="3">
        <f>IF(ISERROR(VLOOKUP($A53,'SegEnds_NonXtal_BW#'!$A:$Z,16,FALSE)+VLOOKUP($A53,A:AL,22,FALSE)-50),"-",(VLOOKUP($A53,'SegEnds_NonXtal_BW#'!$A:$Z,16,FALSE)+VLOOKUP($A53,A:AL,22,FALSE)-50))</f>
        <v>148</v>
      </c>
      <c r="X53" s="3">
        <f>IF(ISERROR(VLOOKUP($A53,'SegEnds_NonXtal_BW#'!$A:$Z,17,FALSE)+VLOOKUP($A53,A:AL,25,FALSE)-50),"-",(VLOOKUP($A53,'SegEnds_NonXtal_BW#'!$A:$Z,17,FALSE)+VLOOKUP($A53,A:AL,25,FALSE)-50))</f>
        <v>166</v>
      </c>
      <c r="Y53" s="3">
        <v>166</v>
      </c>
      <c r="Z53" s="3">
        <f t="shared" si="31"/>
        <v>168</v>
      </c>
      <c r="AA53" s="3">
        <f>IF(ISERROR(VLOOKUP($A53,'SegEnds_NonXtal_BW#'!$A:$Z,19,FALSE)+VLOOKUP($A53,A:AL,28,FALSE)-50),"-",(VLOOKUP($A53,'SegEnds_NonXtal_BW#'!$A:$Z,19,FALSE)+VLOOKUP($A53,A:AL,28,FALSE)-50))</f>
        <v>173</v>
      </c>
      <c r="AB53" s="3">
        <v>189</v>
      </c>
      <c r="AC53" s="3">
        <f>IF(ISERROR((VLOOKUP($A53,'SegEnds_NonXtal_BW#'!$A:$Z,20,FALSE)+VLOOKUP($A53,A:AL,28,FALSE)-50)),"-",(VLOOKUP($A53,'SegEnds_NonXtal_BW#'!$A:$Z,20,FALSE)+VLOOKUP($A53,A:AL,28,FALSE)-50))</f>
        <v>212</v>
      </c>
      <c r="AD53" s="3">
        <f>IF(ISERROR(VLOOKUP($A53,'SegEnds_NonXtal_BW#'!$A:$Z,21,FALSE)+VLOOKUP($A53,A:AL,31,FALSE)-50),"-",(VLOOKUP($A53,'SegEnds_NonXtal_BW#'!$A:$Z,21,FALSE)+VLOOKUP($A53,A:AL,31,FALSE)-50))</f>
        <v>217</v>
      </c>
      <c r="AE53" s="3">
        <v>245</v>
      </c>
      <c r="AF53" s="3">
        <f>IF(ISERROR((VLOOKUP($A53,'SegEnds_NonXtal_BW#'!$A:$Z,22,FALSE)+VLOOKUP($A53,A:AL,31,FALSE)-50)),"-",(VLOOKUP($A53,'SegEnds_NonXtal_BW#'!$A:$Z,22,FALSE)+VLOOKUP($A53,A:AL,31,FALSE)-50))</f>
        <v>256</v>
      </c>
      <c r="AG53" s="3">
        <f>IF(ISERROR(VLOOKUP($A53,'SegEnds_NonXtal_BW#'!$A:$Z,23,FALSE)+VLOOKUP($A53,A:AL,34,FALSE)-50),"-",(VLOOKUP($A53,'SegEnds_NonXtal_BW#'!$A:$Z,23,FALSE)+VLOOKUP($A53,A:AL,34,FALSE)-50))</f>
        <v>261</v>
      </c>
      <c r="AH53" s="3">
        <v>279</v>
      </c>
      <c r="AI53" s="3">
        <f>IF(ISERROR((VLOOKUP($A53,'SegEnds_NonXtal_BW#'!$A:$Z,24,FALSE)+VLOOKUP($A53,A:AL,34,FALSE)-50)),"-",(VLOOKUP($A53,'SegEnds_NonXtal_BW#'!$A:$Z,24,FALSE)+VLOOKUP($A53,A:AL,34,FALSE)-50))</f>
        <v>285</v>
      </c>
      <c r="AJ53" s="3">
        <f>IF(ISERROR(VLOOKUP($A53,'SegEnds_NonXtal_BW#'!$A:$Z,25,FALSE)+VLOOKUP($A53,A:AL,37,FALSE)-50),"-",(VLOOKUP($A53,'SegEnds_NonXtal_BW#'!$A:$Z,25,FALSE)+VLOOKUP($A53,A:AL,37,FALSE)-50))</f>
        <v>286</v>
      </c>
      <c r="AK53" s="3">
        <v>289</v>
      </c>
      <c r="AL53" s="3">
        <f>IF(ISERROR((VLOOKUP($A53,'SegEnds_NonXtal_BW#'!$A:$Z,26,FALSE)+VLOOKUP($A53,A:AL,37,FALSE)-50)),"-",(VLOOKUP($A53,'SegEnds_NonXtal_BW#'!$A:$Z,26,FALSE)+VLOOKUP($A53,A:AL,37,FALSE)-50))</f>
        <v>308</v>
      </c>
      <c r="AM53" s="28" t="str">
        <f>VLOOKUP(A53,Classification!A:B,2,FALSE)</f>
        <v>A</v>
      </c>
      <c r="AN53" s="28" t="b">
        <f t="shared" si="17"/>
        <v>1</v>
      </c>
      <c r="AO53" s="3" t="str">
        <f>IF(ISERROR(MATCH(A53,'SegEnds_Xtal_Prot#'!B:B, 0)), "NoXtal", "Xtal")</f>
        <v>NoXtal</v>
      </c>
      <c r="AP53" s="3">
        <f t="shared" si="2"/>
        <v>1</v>
      </c>
      <c r="AQ53" s="3">
        <f t="shared" si="3"/>
        <v>1</v>
      </c>
      <c r="AR53" s="3">
        <f t="shared" si="4"/>
        <v>1</v>
      </c>
      <c r="AS53" s="3">
        <f t="shared" si="5"/>
        <v>1</v>
      </c>
      <c r="AT53" s="3">
        <f t="shared" si="6"/>
        <v>1</v>
      </c>
      <c r="AU53" s="3">
        <f t="shared" si="7"/>
        <v>1</v>
      </c>
      <c r="AV53" s="3">
        <f t="shared" si="8"/>
        <v>18</v>
      </c>
      <c r="AW53" s="3">
        <f t="shared" si="9"/>
        <v>5</v>
      </c>
      <c r="AX53" s="3">
        <f t="shared" si="10"/>
        <v>5</v>
      </c>
      <c r="AY53" s="3">
        <f t="shared" si="11"/>
        <v>5</v>
      </c>
      <c r="AZ53" s="3">
        <f t="shared" si="12"/>
        <v>1</v>
      </c>
      <c r="BA53" s="3">
        <f>IF(ISERROR(LEN(VLOOKUP(A53,Seqs!A:E,2,FALSE))-AL53),"-",LEN(VLOOKUP(A53,Seqs!A:E,2,FALSE))-AL53)</f>
        <v>10</v>
      </c>
      <c r="BB53" s="16">
        <f t="shared" si="13"/>
        <v>28</v>
      </c>
      <c r="BC53" s="9">
        <f t="shared" si="14"/>
        <v>20</v>
      </c>
      <c r="BD53" s="3">
        <f t="shared" si="15"/>
        <v>28</v>
      </c>
      <c r="BE53" s="3">
        <f t="shared" si="16"/>
        <v>56</v>
      </c>
      <c r="BF53" s="3">
        <f>AH53-AE53</f>
        <v>34</v>
      </c>
    </row>
    <row r="54" spans="1:58" s="3" customFormat="1" x14ac:dyDescent="0.2">
      <c r="A54" s="3" t="s">
        <v>143</v>
      </c>
      <c r="B54" s="3" t="str">
        <f>LOWER(VLOOKUP(A54,Xtal_Templ!A:B,2,FALSE))</f>
        <v>ccr2_human</v>
      </c>
      <c r="C54" s="3">
        <f>VLOOKUP($A54,'SegEnds_NonXtal_BW#'!$A:$Z,3,FALSE)+D54-50</f>
        <v>41</v>
      </c>
      <c r="D54" s="3">
        <v>64</v>
      </c>
      <c r="E54" s="3">
        <f>IF(ISERROR(VLOOKUP($A54,'SegEnds_NonXtal_BW#'!$A:$Z,4,FALSE)+VLOOKUP($A54,A:AL,4,FALSE)-50),"-",(VLOOKUP($A54,'SegEnds_NonXtal_BW#'!$A:$Z,4,FALSE)+VLOOKUP($A54,A:AL,4,FALSE)-50))</f>
        <v>74</v>
      </c>
      <c r="F54" s="3">
        <f t="shared" si="27"/>
        <v>75</v>
      </c>
      <c r="G54" s="3">
        <v>77</v>
      </c>
      <c r="H54" s="3">
        <f t="shared" si="33"/>
        <v>78</v>
      </c>
      <c r="I54" s="3">
        <f t="shared" si="33"/>
        <v>79</v>
      </c>
      <c r="J54" s="3">
        <v>92</v>
      </c>
      <c r="K54" s="3">
        <f>VLOOKUP($A54,'SegEnds_NonXtal_BW#'!$A:$Z,8,FALSE)+VLOOKUP($A54,A:AL,10,FALSE)-50</f>
        <v>108</v>
      </c>
      <c r="L54" s="3">
        <f>IF(ISERROR(VLOOKUP($A54,'SegEnds_NonXtal_BW#'!$A:$Z,9,FALSE)+VLOOKUP($A54,A:AL,13,FALSE)-50),"-",(VLOOKUP($A54,'SegEnds_NonXtal_BW#'!$A:$Z,9,FALSE)+VLOOKUP($A54,A:AL,13,FALSE)-50))</f>
        <v>109</v>
      </c>
      <c r="M54" s="3">
        <v>110</v>
      </c>
      <c r="N54" s="3">
        <f>IF(ISERROR(VLOOKUP($A54,'SegEnds_NonXtal_BW#'!$A:$Z,10,FALSE)+VLOOKUP($A54,A:AL,13,FALSE)-50),"-",(VLOOKUP($A54,'SegEnds_NonXtal_BW#'!$A:$Z,10,FALSE)+VLOOKUP($A54,A:AL,13,FALSE)-50))</f>
        <v>112</v>
      </c>
      <c r="O54" s="3">
        <f>VLOOKUP($A54,'SegEnds_NonXtal_BW#'!$A:$Z,11,FALSE)+VLOOKUP($A54,A:AL,16,FALSE)-50</f>
        <v>113</v>
      </c>
      <c r="P54" s="3">
        <v>142</v>
      </c>
      <c r="Q54" s="3">
        <f>VLOOKUP($A54,'SegEnds_NonXtal_BW#'!$A:$Z,12,FALSE)+VLOOKUP($A54,A:AL,16,FALSE)-50</f>
        <v>148</v>
      </c>
      <c r="R54" s="3">
        <f>IF(ISERROR(VLOOKUP($A54,'SegEnds_NonXtal_BW#'!$A:$Z,13,FALSE)+VLOOKUP($A54,A:AL,19,FALSE)-50),"-",VLOOKUP($A54,'SegEnds_NonXtal_BW#'!$A:$Z,13,FALSE)+VLOOKUP($A54,A:AL,19,FALSE)-50)</f>
        <v>149</v>
      </c>
      <c r="S54" s="3">
        <v>149</v>
      </c>
      <c r="T54" s="100">
        <f>IF(ISERROR(VLOOKUP($A54,'SegEnds_NonXtal_BW#'!$A:$Z,14,FALSE)+VLOOKUP($A54,A:AL,19,FALSE)-50),"-",(VLOOKUP($A54,'SegEnds_NonXtal_BW#'!$A:$Z,14,FALSE)+VLOOKUP($A54,A:AL,19,FALSE)-50))</f>
        <v>156</v>
      </c>
      <c r="U54" s="9">
        <f>IF(ISERROR(VLOOKUP($A54,'SegEnds_NonXtal_BW#'!$A:$Z,15,FALSE)+VLOOKUP($A54,A:AL,22,FALSE)-50),"-",VLOOKUP($A54,'SegEnds_NonXtal_BW#'!$A:$Z,15,FALSE)+VLOOKUP($A54,A:AL,22,FALSE)-50)</f>
        <v>157</v>
      </c>
      <c r="V54" s="3">
        <v>169</v>
      </c>
      <c r="W54" s="3">
        <f>IF(ISERROR(VLOOKUP($A54,'SegEnds_NonXtal_BW#'!$A:$Z,16,FALSE)+VLOOKUP($A54,A:AL,22,FALSE)-50),"-",(VLOOKUP($A54,'SegEnds_NonXtal_BW#'!$A:$Z,16,FALSE)+VLOOKUP($A54,A:AL,22,FALSE)-50))</f>
        <v>183</v>
      </c>
      <c r="X54" s="3">
        <f>IF(ISERROR(VLOOKUP($A54,'SegEnds_NonXtal_BW#'!$A:$Z,17,FALSE)+VLOOKUP($A54,A:AL,25,FALSE)-50),"-",(VLOOKUP($A54,'SegEnds_NonXtal_BW#'!$A:$Z,17,FALSE)+VLOOKUP($A54,A:AL,25,FALSE)-50))</f>
        <v>195</v>
      </c>
      <c r="Y54" s="3">
        <v>195</v>
      </c>
      <c r="Z54" s="3">
        <f t="shared" si="31"/>
        <v>197</v>
      </c>
      <c r="AA54" s="3">
        <f>IF(ISERROR(VLOOKUP($A54,'SegEnds_NonXtal_BW#'!$A:$Z,19,FALSE)+VLOOKUP($A54,A:AL,28,FALSE)-50),"-",(VLOOKUP($A54,'SegEnds_NonXtal_BW#'!$A:$Z,19,FALSE)+VLOOKUP($A54,A:AL,28,FALSE)-50))</f>
        <v>203</v>
      </c>
      <c r="AB54" s="3">
        <v>222</v>
      </c>
      <c r="AC54" s="3">
        <f>IF(ISERROR((VLOOKUP($A54,'SegEnds_NonXtal_BW#'!$A:$Z,20,FALSE)+VLOOKUP($A54,A:AL,28,FALSE)-50)),"-",(VLOOKUP($A54,'SegEnds_NonXtal_BW#'!$A:$Z,20,FALSE)+VLOOKUP($A54,A:AL,28,FALSE)-50))</f>
        <v>240</v>
      </c>
      <c r="AD54" s="3">
        <f>IF(ISERROR(VLOOKUP($A54,'SegEnds_NonXtal_BW#'!$A:$Z,21,FALSE)+VLOOKUP($A54,A:AL,31,FALSE)-50),"-",(VLOOKUP($A54,'SegEnds_NonXtal_BW#'!$A:$Z,21,FALSE)+VLOOKUP($A54,A:AL,31,FALSE)-50))</f>
        <v>245</v>
      </c>
      <c r="AE54" s="3">
        <v>265</v>
      </c>
      <c r="AF54" s="3">
        <f>IF(ISERROR((VLOOKUP($A54,'SegEnds_NonXtal_BW#'!$A:$Z,22,FALSE)+VLOOKUP($A54,A:AL,31,FALSE)-50)),"-",(VLOOKUP($A54,'SegEnds_NonXtal_BW#'!$A:$Z,22,FALSE)+VLOOKUP($A54,A:AL,31,FALSE)-50))</f>
        <v>279</v>
      </c>
      <c r="AG54" s="3">
        <f>IF(ISERROR(VLOOKUP($A54,'SegEnds_NonXtal_BW#'!$A:$Z,23,FALSE)+VLOOKUP($A54,A:AL,34,FALSE)-50),"-",(VLOOKUP($A54,'SegEnds_NonXtal_BW#'!$A:$Z,23,FALSE)+VLOOKUP($A54,A:AL,34,FALSE)-50))</f>
        <v>283</v>
      </c>
      <c r="AH54" s="3">
        <v>309</v>
      </c>
      <c r="AI54" s="3">
        <f>IF(ISERROR((VLOOKUP($A54,'SegEnds_NonXtal_BW#'!$A:$Z,24,FALSE)+VLOOKUP($A54,A:AL,34,FALSE)-50)),"-",(VLOOKUP($A54,'SegEnds_NonXtal_BW#'!$A:$Z,24,FALSE)+VLOOKUP($A54,A:AL,34,FALSE)-50))</f>
        <v>315</v>
      </c>
      <c r="AJ54" s="3">
        <f>IF(ISERROR(VLOOKUP($A54,'SegEnds_NonXtal_BW#'!$A:$Z,25,FALSE)+VLOOKUP($A54,A:AL,37,FALSE)-50),"-",(VLOOKUP($A54,'SegEnds_NonXtal_BW#'!$A:$Z,25,FALSE)+VLOOKUP($A54,A:AL,37,FALSE)-50))</f>
        <v>316</v>
      </c>
      <c r="AK54" s="3">
        <v>319</v>
      </c>
      <c r="AL54" s="3">
        <f>IF(ISERROR((VLOOKUP($A54,'SegEnds_NonXtal_BW#'!$A:$Z,26,FALSE)+VLOOKUP($A54,A:AL,37,FALSE)-50)),"-",(VLOOKUP($A54,'SegEnds_NonXtal_BW#'!$A:$Z,26,FALSE)+VLOOKUP($A54,A:AL,37,FALSE)-50))</f>
        <v>327</v>
      </c>
      <c r="AM54" s="28" t="str">
        <f>VLOOKUP(A54,Classification!A:B,2,FALSE)</f>
        <v>A</v>
      </c>
      <c r="AN54" s="28" t="b">
        <f t="shared" si="17"/>
        <v>1</v>
      </c>
      <c r="AO54" s="3" t="str">
        <f>IF(ISERROR(MATCH(A54,'SegEnds_Xtal_Prot#'!B:B, 0)), "NoXtal", "Xtal")</f>
        <v>NoXtal</v>
      </c>
      <c r="AP54" s="3">
        <f t="shared" si="2"/>
        <v>1</v>
      </c>
      <c r="AQ54" s="3">
        <f t="shared" si="3"/>
        <v>1</v>
      </c>
      <c r="AR54" s="3">
        <f t="shared" si="4"/>
        <v>1</v>
      </c>
      <c r="AS54" s="3">
        <f t="shared" si="5"/>
        <v>1</v>
      </c>
      <c r="AT54" s="3">
        <f t="shared" si="6"/>
        <v>1</v>
      </c>
      <c r="AU54" s="3">
        <f t="shared" si="7"/>
        <v>1</v>
      </c>
      <c r="AV54" s="3">
        <f t="shared" si="8"/>
        <v>12</v>
      </c>
      <c r="AW54" s="3">
        <f t="shared" si="9"/>
        <v>6</v>
      </c>
      <c r="AX54" s="3">
        <f t="shared" si="10"/>
        <v>5</v>
      </c>
      <c r="AY54" s="3">
        <f t="shared" si="11"/>
        <v>4</v>
      </c>
      <c r="AZ54" s="3">
        <f t="shared" si="12"/>
        <v>1</v>
      </c>
      <c r="BA54" s="3">
        <f>IF(ISERROR(LEN(VLOOKUP(A54,Seqs!A:E,2,FALSE))-AL54),"-",LEN(VLOOKUP(A54,Seqs!A:E,2,FALSE))-AL54)</f>
        <v>57</v>
      </c>
      <c r="BB54" s="16">
        <f t="shared" si="13"/>
        <v>28</v>
      </c>
      <c r="BC54" s="9">
        <f t="shared" si="14"/>
        <v>20</v>
      </c>
      <c r="BD54" s="3">
        <f t="shared" si="15"/>
        <v>28</v>
      </c>
      <c r="BE54" s="3">
        <f t="shared" si="16"/>
        <v>43</v>
      </c>
    </row>
    <row r="55" spans="1:58" s="3" customFormat="1" x14ac:dyDescent="0.2">
      <c r="A55" s="3" t="s">
        <v>146</v>
      </c>
      <c r="B55" s="3" t="str">
        <f>LOWER(VLOOKUP(A55,Xtal_Templ!A:B,2,FALSE))</f>
        <v>acm1_human</v>
      </c>
      <c r="C55" s="3">
        <f>VLOOKUP($A55,'SegEnds_NonXtal_BW#'!$A:$Z,3,FALSE)+D55-50</f>
        <v>22</v>
      </c>
      <c r="D55" s="3">
        <v>43</v>
      </c>
      <c r="E55" s="3">
        <f>IF(ISERROR(VLOOKUP($A55,'SegEnds_NonXtal_BW#'!$A:$Z,4,FALSE)+VLOOKUP($A55,A:AL,4,FALSE)-50),"-",(VLOOKUP($A55,'SegEnds_NonXtal_BW#'!$A:$Z,4,FALSE)+VLOOKUP($A55,A:AL,4,FALSE)-50))</f>
        <v>53</v>
      </c>
      <c r="F55" s="3">
        <f t="shared" si="27"/>
        <v>54</v>
      </c>
      <c r="G55" s="3">
        <v>56</v>
      </c>
      <c r="H55" s="3">
        <f t="shared" si="33"/>
        <v>57</v>
      </c>
      <c r="I55" s="3">
        <f t="shared" si="33"/>
        <v>58</v>
      </c>
      <c r="J55" s="3">
        <v>71</v>
      </c>
      <c r="K55" s="3">
        <f>VLOOKUP($A55,'SegEnds_NonXtal_BW#'!$A:$Z,8,FALSE)+VLOOKUP($A55,A:AL,10,FALSE)-50</f>
        <v>89</v>
      </c>
      <c r="L55" s="3">
        <f>M55-1</f>
        <v>90</v>
      </c>
      <c r="M55" s="3">
        <v>91</v>
      </c>
      <c r="N55" s="3">
        <f>M55+2</f>
        <v>93</v>
      </c>
      <c r="O55" s="3">
        <f t="shared" ref="O55:O60" si="34">N55+1</f>
        <v>94</v>
      </c>
      <c r="P55" s="3">
        <v>123</v>
      </c>
      <c r="Q55" s="3">
        <f>VLOOKUP($A55,'SegEnds_NonXtal_BW#'!$A:$Z,12,FALSE)+VLOOKUP($A55,A:AL,16,FALSE)-50</f>
        <v>129</v>
      </c>
      <c r="R55" s="3">
        <f>IF(ISERROR(VLOOKUP($A55,'SegEnds_NonXtal_BW#'!$A:$Z,13,FALSE)+VLOOKUP($A55,A:AL,19,FALSE)-50),"-",VLOOKUP($A55,'SegEnds_NonXtal_BW#'!$A:$Z,13,FALSE)+VLOOKUP($A55,A:AL,19,FALSE)-50)</f>
        <v>130</v>
      </c>
      <c r="S55" s="3">
        <v>130</v>
      </c>
      <c r="T55" s="100">
        <f>IF(ISERROR(VLOOKUP($A55,'SegEnds_NonXtal_BW#'!$A:$Z,14,FALSE)+VLOOKUP($A55,A:AL,19,FALSE)-50),"-",(VLOOKUP($A55,'SegEnds_NonXtal_BW#'!$A:$Z,14,FALSE)+VLOOKUP($A55,A:AL,19,FALSE)-50))</f>
        <v>137</v>
      </c>
      <c r="U55" s="9">
        <f>IF(ISERROR(VLOOKUP($A55,'SegEnds_NonXtal_BW#'!$A:$Z,15,FALSE)+VLOOKUP($A55,A:AL,22,FALSE)-50),"-",VLOOKUP($A55,'SegEnds_NonXtal_BW#'!$A:$Z,15,FALSE)+VLOOKUP($A55,A:AL,22,FALSE)-50)</f>
        <v>138</v>
      </c>
      <c r="V55" s="3">
        <v>150</v>
      </c>
      <c r="W55" s="3">
        <f>IF(ISERROR(VLOOKUP($A55,'SegEnds_NonXtal_BW#'!$A:$Z,16,FALSE)+VLOOKUP($A55,A:AL,22,FALSE)-50),"-",(VLOOKUP($A55,'SegEnds_NonXtal_BW#'!$A:$Z,16,FALSE)+VLOOKUP($A55,A:AL,22,FALSE)-50))</f>
        <v>169</v>
      </c>
      <c r="X55" s="3">
        <f>IF(ISERROR(VLOOKUP($A55,'SegEnds_NonXtal_BW#'!$A:$Z,17,FALSE)+VLOOKUP($A55,A:AL,25,FALSE)-50),"-",(VLOOKUP($A55,'SegEnds_NonXtal_BW#'!$A:$Z,17,FALSE)+VLOOKUP($A55,A:AL,25,FALSE)-50))</f>
        <v>178</v>
      </c>
      <c r="Y55" s="3">
        <v>178</v>
      </c>
      <c r="Z55" s="3">
        <f t="shared" si="31"/>
        <v>180</v>
      </c>
      <c r="AA55" s="3">
        <f>IF(ISERROR(VLOOKUP($A55,'SegEnds_NonXtal_BW#'!$A:$Z,19,FALSE)+VLOOKUP($A55,A:AL,28,FALSE)-50),"-",(VLOOKUP($A55,'SegEnds_NonXtal_BW#'!$A:$Z,19,FALSE)+VLOOKUP($A55,A:AL,28,FALSE)-50))</f>
        <v>185</v>
      </c>
      <c r="AB55" s="3">
        <v>200</v>
      </c>
      <c r="AC55" s="3">
        <f>IF(ISERROR((VLOOKUP($A55,'SegEnds_NonXtal_BW#'!$A:$Z,20,FALSE)+VLOOKUP($A55,A:AL,28,FALSE)-50)),"-",(VLOOKUP($A55,'SegEnds_NonXtal_BW#'!$A:$Z,20,FALSE)+VLOOKUP($A55,A:AL,28,FALSE)-50))</f>
        <v>225</v>
      </c>
      <c r="AD55" s="3">
        <f>IF(ISERROR(VLOOKUP($A55,'SegEnds_NonXtal_BW#'!$A:$Z,21,FALSE)+VLOOKUP($A55,A:AL,31,FALSE)-50),"-",(VLOOKUP($A55,'SegEnds_NonXtal_BW#'!$A:$Z,21,FALSE)+VLOOKUP($A55,A:AL,31,FALSE)-50))</f>
        <v>354</v>
      </c>
      <c r="AE55" s="3">
        <v>380</v>
      </c>
      <c r="AF55" s="3">
        <f>IF(ISERROR((VLOOKUP($A55,'SegEnds_NonXtal_BW#'!$A:$Z,22,FALSE)+VLOOKUP($A55,A:AL,31,FALSE)-50)),"-",(VLOOKUP($A55,'SegEnds_NonXtal_BW#'!$A:$Z,22,FALSE)+VLOOKUP($A55,A:AL,31,FALSE)-50))</f>
        <v>391</v>
      </c>
      <c r="AG55" s="3">
        <f>IF(ISERROR(VLOOKUP($A55,'SegEnds_NonXtal_BW#'!$A:$Z,23,FALSE)+VLOOKUP($A55,A:AL,34,FALSE)-50),"-",(VLOOKUP($A55,'SegEnds_NonXtal_BW#'!$A:$Z,23,FALSE)+VLOOKUP($A55,A:AL,34,FALSE)-50))</f>
        <v>396</v>
      </c>
      <c r="AH55" s="3">
        <v>415</v>
      </c>
      <c r="AI55" s="3">
        <f>IF(ISERROR((VLOOKUP($A55,'SegEnds_NonXtal_BW#'!$A:$Z,24,FALSE)+VLOOKUP($A55,A:AL,34,FALSE)-50)),"-",(VLOOKUP($A55,'SegEnds_NonXtal_BW#'!$A:$Z,24,FALSE)+VLOOKUP($A55,A:AL,34,FALSE)-50))</f>
        <v>421</v>
      </c>
      <c r="AJ55" s="3">
        <f>IF(ISERROR(VLOOKUP($A55,'SegEnds_NonXtal_BW#'!$A:$Z,25,FALSE)+VLOOKUP($A55,A:AL,37,FALSE)-50),"-",(VLOOKUP($A55,'SegEnds_NonXtal_BW#'!$A:$Z,25,FALSE)+VLOOKUP($A55,A:AL,37,FALSE)-50))</f>
        <v>422</v>
      </c>
      <c r="AK55" s="3">
        <v>425</v>
      </c>
      <c r="AL55" s="3">
        <f>IF(ISERROR((VLOOKUP($A55,'SegEnds_NonXtal_BW#'!$A:$Z,26,FALSE)+VLOOKUP($A55,A:AL,37,FALSE)-50)),"-",(VLOOKUP($A55,'SegEnds_NonXtal_BW#'!$A:$Z,26,FALSE)+VLOOKUP($A55,A:AL,37,FALSE)-50))</f>
        <v>434</v>
      </c>
      <c r="AM55" s="28" t="str">
        <f>VLOOKUP(A55,Classification!A:B,2,FALSE)</f>
        <v>A</v>
      </c>
      <c r="AN55" s="28" t="b">
        <f t="shared" si="17"/>
        <v>1</v>
      </c>
      <c r="AO55" s="3" t="str">
        <f>IF(ISERROR(MATCH(A55,'SegEnds_Xtal_Prot#'!B:B, 0)), "NoXtal", "Xtal")</f>
        <v>Xtal</v>
      </c>
      <c r="AP55" s="3">
        <f t="shared" si="2"/>
        <v>1</v>
      </c>
      <c r="AQ55" s="3">
        <f t="shared" si="3"/>
        <v>1</v>
      </c>
      <c r="AR55" s="3">
        <f t="shared" si="4"/>
        <v>1</v>
      </c>
      <c r="AS55" s="3">
        <f t="shared" si="5"/>
        <v>1</v>
      </c>
      <c r="AT55" s="3">
        <f t="shared" si="6"/>
        <v>1</v>
      </c>
      <c r="AU55" s="3">
        <f t="shared" si="7"/>
        <v>1</v>
      </c>
      <c r="AV55" s="3">
        <f t="shared" si="8"/>
        <v>9</v>
      </c>
      <c r="AW55" s="3">
        <f t="shared" si="9"/>
        <v>5</v>
      </c>
      <c r="AX55" s="3">
        <f t="shared" si="10"/>
        <v>129</v>
      </c>
      <c r="AY55" s="3">
        <f t="shared" si="11"/>
        <v>5</v>
      </c>
      <c r="AZ55" s="3">
        <f t="shared" si="12"/>
        <v>1</v>
      </c>
      <c r="BA55" s="3">
        <f>IF(ISERROR(LEN(VLOOKUP(A55,Seqs!A:E,2,FALSE))-AL55),"-",LEN(VLOOKUP(A55,Seqs!A:E,2,FALSE))-AL55)</f>
        <v>26</v>
      </c>
      <c r="BB55" s="16">
        <f t="shared" si="13"/>
        <v>28</v>
      </c>
      <c r="BC55" s="9">
        <f t="shared" si="14"/>
        <v>20</v>
      </c>
      <c r="BD55" s="3">
        <f t="shared" si="15"/>
        <v>28</v>
      </c>
      <c r="BE55" s="3">
        <f t="shared" si="16"/>
        <v>180</v>
      </c>
      <c r="BF55" s="3">
        <f>AH55-AE55</f>
        <v>35</v>
      </c>
    </row>
    <row r="56" spans="1:58" s="3" customFormat="1" x14ac:dyDescent="0.2">
      <c r="A56" s="3" t="s">
        <v>147</v>
      </c>
      <c r="B56" s="3" t="str">
        <f>LOWER(VLOOKUP(A56,Xtal_Templ!A:B,2,FALSE))</f>
        <v>acm2_human</v>
      </c>
      <c r="C56" s="3">
        <f>VLOOKUP($A56,'SegEnds_NonXtal_BW#'!$A:$Z,3,FALSE)+D56-50</f>
        <v>19</v>
      </c>
      <c r="D56" s="3">
        <v>41</v>
      </c>
      <c r="E56" s="3">
        <f>IF(ISERROR(VLOOKUP($A56,'SegEnds_NonXtal_BW#'!$A:$Z,4,FALSE)+VLOOKUP($A56,A:AL,4,FALSE)-50),"-",(VLOOKUP($A56,'SegEnds_NonXtal_BW#'!$A:$Z,4,FALSE)+VLOOKUP($A56,A:AL,4,FALSE)-50))</f>
        <v>51</v>
      </c>
      <c r="F56" s="3">
        <f t="shared" si="27"/>
        <v>52</v>
      </c>
      <c r="G56" s="3">
        <v>54</v>
      </c>
      <c r="H56" s="3">
        <f t="shared" si="33"/>
        <v>55</v>
      </c>
      <c r="I56" s="3">
        <f t="shared" si="33"/>
        <v>56</v>
      </c>
      <c r="J56" s="3">
        <v>69</v>
      </c>
      <c r="K56" s="3">
        <f>VLOOKUP($A56,'SegEnds_NonXtal_BW#'!$A:$Z,8,FALSE)+VLOOKUP($A56,A:AL,10,FALSE)-50</f>
        <v>87</v>
      </c>
      <c r="L56" s="3">
        <f>M56-1</f>
        <v>88</v>
      </c>
      <c r="M56" s="3">
        <v>89</v>
      </c>
      <c r="N56" s="3">
        <f>M56+2</f>
        <v>91</v>
      </c>
      <c r="O56" s="3">
        <f t="shared" si="34"/>
        <v>92</v>
      </c>
      <c r="P56" s="3">
        <v>121</v>
      </c>
      <c r="Q56" s="3">
        <f>VLOOKUP($A56,'SegEnds_NonXtal_BW#'!$A:$Z,12,FALSE)+VLOOKUP($A56,A:AL,16,FALSE)-50</f>
        <v>127</v>
      </c>
      <c r="R56" s="3">
        <f>IF(ISERROR(VLOOKUP($A56,'SegEnds_NonXtal_BW#'!$A:$Z,13,FALSE)+VLOOKUP($A56,A:AL,19,FALSE)-50),"-",VLOOKUP($A56,'SegEnds_NonXtal_BW#'!$A:$Z,13,FALSE)+VLOOKUP($A56,A:AL,19,FALSE)-50)</f>
        <v>128</v>
      </c>
      <c r="S56" s="3">
        <v>128</v>
      </c>
      <c r="T56" s="100">
        <f>IF(ISERROR(VLOOKUP($A56,'SegEnds_NonXtal_BW#'!$A:$Z,14,FALSE)+VLOOKUP($A56,A:AL,19,FALSE)-50),"-",(VLOOKUP($A56,'SegEnds_NonXtal_BW#'!$A:$Z,14,FALSE)+VLOOKUP($A56,A:AL,19,FALSE)-50))</f>
        <v>135</v>
      </c>
      <c r="U56" s="9">
        <f>IF(ISERROR(VLOOKUP($A56,'SegEnds_NonXtal_BW#'!$A:$Z,15,FALSE)+VLOOKUP($A56,A:AL,22,FALSE)-50),"-",VLOOKUP($A56,'SegEnds_NonXtal_BW#'!$A:$Z,15,FALSE)+VLOOKUP($A56,A:AL,22,FALSE)-50)</f>
        <v>136</v>
      </c>
      <c r="V56" s="3">
        <v>148</v>
      </c>
      <c r="W56" s="3">
        <f>IF(ISERROR(VLOOKUP($A56,'SegEnds_NonXtal_BW#'!$A:$Z,16,FALSE)+VLOOKUP($A56,A:AL,22,FALSE)-50),"-",(VLOOKUP($A56,'SegEnds_NonXtal_BW#'!$A:$Z,16,FALSE)+VLOOKUP($A56,A:AL,22,FALSE)-50))</f>
        <v>167</v>
      </c>
      <c r="X56" s="3">
        <f>IF(ISERROR(VLOOKUP($A56,'SegEnds_NonXtal_BW#'!$A:$Z,17,FALSE)+VLOOKUP($A56,A:AL,25,FALSE)-50),"-",(VLOOKUP($A56,'SegEnds_NonXtal_BW#'!$A:$Z,17,FALSE)+VLOOKUP($A56,A:AL,25,FALSE)-50))</f>
        <v>176</v>
      </c>
      <c r="Y56" s="3">
        <v>176</v>
      </c>
      <c r="Z56" s="3">
        <f t="shared" si="31"/>
        <v>178</v>
      </c>
      <c r="AA56" s="3">
        <f>IF(ISERROR(VLOOKUP($A56,'SegEnds_NonXtal_BW#'!$A:$Z,19,FALSE)+VLOOKUP($A56,A:AL,28,FALSE)-50),"-",(VLOOKUP($A56,'SegEnds_NonXtal_BW#'!$A:$Z,19,FALSE)+VLOOKUP($A56,A:AL,28,FALSE)-50))</f>
        <v>183</v>
      </c>
      <c r="AB56" s="3">
        <v>198</v>
      </c>
      <c r="AC56" s="3">
        <f>IF(ISERROR((VLOOKUP($A56,'SegEnds_NonXtal_BW#'!$A:$Z,20,FALSE)+VLOOKUP($A56,A:AL,28,FALSE)-50)),"-",(VLOOKUP($A56,'SegEnds_NonXtal_BW#'!$A:$Z,20,FALSE)+VLOOKUP($A56,A:AL,28,FALSE)-50))</f>
        <v>223</v>
      </c>
      <c r="AD56" s="3">
        <f>IF(ISERROR(VLOOKUP($A56,'SegEnds_NonXtal_BW#'!$A:$Z,21,FALSE)+VLOOKUP($A56,A:AL,31,FALSE)-50),"-",(VLOOKUP($A56,'SegEnds_NonXtal_BW#'!$A:$Z,21,FALSE)+VLOOKUP($A56,A:AL,31,FALSE)-50))</f>
        <v>376</v>
      </c>
      <c r="AE56" s="3">
        <v>402</v>
      </c>
      <c r="AF56" s="3">
        <f>IF(ISERROR((VLOOKUP($A56,'SegEnds_NonXtal_BW#'!$A:$Z,22,FALSE)+VLOOKUP($A56,A:AL,31,FALSE)-50)),"-",(VLOOKUP($A56,'SegEnds_NonXtal_BW#'!$A:$Z,22,FALSE)+VLOOKUP($A56,A:AL,31,FALSE)-50))</f>
        <v>413</v>
      </c>
      <c r="AG56" s="3">
        <f>IF(ISERROR(VLOOKUP($A56,'SegEnds_NonXtal_BW#'!$A:$Z,23,FALSE)+VLOOKUP($A56,A:AL,34,FALSE)-50),"-",(VLOOKUP($A56,'SegEnds_NonXtal_BW#'!$A:$Z,23,FALSE)+VLOOKUP($A56,A:AL,34,FALSE)-50))</f>
        <v>418</v>
      </c>
      <c r="AH56" s="3">
        <v>437</v>
      </c>
      <c r="AI56" s="3">
        <f>IF(ISERROR((VLOOKUP($A56,'SegEnds_NonXtal_BW#'!$A:$Z,24,FALSE)+VLOOKUP($A56,A:AL,34,FALSE)-50)),"-",(VLOOKUP($A56,'SegEnds_NonXtal_BW#'!$A:$Z,24,FALSE)+VLOOKUP($A56,A:AL,34,FALSE)-50))</f>
        <v>443</v>
      </c>
      <c r="AJ56" s="3">
        <f>IF(ISERROR(VLOOKUP($A56,'SegEnds_NonXtal_BW#'!$A:$Z,25,FALSE)+VLOOKUP($A56,A:AL,37,FALSE)-50),"-",(VLOOKUP($A56,'SegEnds_NonXtal_BW#'!$A:$Z,25,FALSE)+VLOOKUP($A56,A:AL,37,FALSE)-50))</f>
        <v>444</v>
      </c>
      <c r="AK56" s="3">
        <v>447</v>
      </c>
      <c r="AL56" s="3">
        <f>IF(ISERROR((VLOOKUP($A56,'SegEnds_NonXtal_BW#'!$A:$Z,26,FALSE)+VLOOKUP($A56,A:AL,37,FALSE)-50)),"-",(VLOOKUP($A56,'SegEnds_NonXtal_BW#'!$A:$Z,26,FALSE)+VLOOKUP($A56,A:AL,37,FALSE)-50))</f>
        <v>456</v>
      </c>
      <c r="AM56" s="28" t="str">
        <f>VLOOKUP(A56,Classification!A:B,2,FALSE)</f>
        <v>A</v>
      </c>
      <c r="AN56" s="28" t="b">
        <f t="shared" si="17"/>
        <v>1</v>
      </c>
      <c r="AO56" s="3" t="str">
        <f>IF(ISERROR(MATCH(A56,'SegEnds_Xtal_Prot#'!B:B, 0)), "NoXtal", "Xtal")</f>
        <v>Xtal</v>
      </c>
      <c r="AP56" s="3">
        <f t="shared" si="2"/>
        <v>1</v>
      </c>
      <c r="AQ56" s="3">
        <f t="shared" si="3"/>
        <v>1</v>
      </c>
      <c r="AR56" s="3">
        <f t="shared" si="4"/>
        <v>1</v>
      </c>
      <c r="AS56" s="3">
        <f t="shared" si="5"/>
        <v>1</v>
      </c>
      <c r="AT56" s="3">
        <f t="shared" si="6"/>
        <v>1</v>
      </c>
      <c r="AU56" s="3">
        <f t="shared" si="7"/>
        <v>1</v>
      </c>
      <c r="AV56" s="3">
        <f t="shared" si="8"/>
        <v>9</v>
      </c>
      <c r="AW56" s="3">
        <f t="shared" si="9"/>
        <v>5</v>
      </c>
      <c r="AX56" s="3">
        <f t="shared" si="10"/>
        <v>153</v>
      </c>
      <c r="AY56" s="3">
        <f t="shared" si="11"/>
        <v>5</v>
      </c>
      <c r="AZ56" s="3">
        <f t="shared" si="12"/>
        <v>1</v>
      </c>
      <c r="BA56" s="3">
        <f>IF(ISERROR(LEN(VLOOKUP(A56,Seqs!A:E,2,FALSE))-AL56),"-",LEN(VLOOKUP(A56,Seqs!A:E,2,FALSE))-AL56)</f>
        <v>10</v>
      </c>
      <c r="BB56" s="16">
        <f t="shared" si="13"/>
        <v>28</v>
      </c>
      <c r="BC56" s="9">
        <f t="shared" si="14"/>
        <v>20</v>
      </c>
      <c r="BD56" s="3">
        <f t="shared" si="15"/>
        <v>28</v>
      </c>
      <c r="BE56" s="3">
        <f t="shared" si="16"/>
        <v>204</v>
      </c>
      <c r="BF56" s="3">
        <f>AH56-AE56</f>
        <v>35</v>
      </c>
    </row>
    <row r="57" spans="1:58" s="3" customFormat="1" x14ac:dyDescent="0.2">
      <c r="A57" s="3" t="s">
        <v>148</v>
      </c>
      <c r="B57" s="3" t="str">
        <f>LOWER(VLOOKUP(A57,Xtal_Templ!A:B,2,FALSE))</f>
        <v>acm3_rat</v>
      </c>
      <c r="C57" s="3">
        <f>VLOOKUP($A57,'SegEnds_NonXtal_BW#'!$A:$Z,3,FALSE)+D57-50</f>
        <v>64</v>
      </c>
      <c r="D57" s="3">
        <v>86</v>
      </c>
      <c r="E57" s="3">
        <f>IF(ISERROR(VLOOKUP($A57,'SegEnds_NonXtal_BW#'!$A:$Z,4,FALSE)+VLOOKUP($A57,A:AL,4,FALSE)-50),"-",(VLOOKUP($A57,'SegEnds_NonXtal_BW#'!$A:$Z,4,FALSE)+VLOOKUP($A57,A:AL,4,FALSE)-50))</f>
        <v>96</v>
      </c>
      <c r="F57" s="3">
        <f t="shared" si="27"/>
        <v>97</v>
      </c>
      <c r="G57" s="3">
        <v>99</v>
      </c>
      <c r="H57" s="3">
        <f t="shared" si="33"/>
        <v>100</v>
      </c>
      <c r="I57" s="3">
        <f t="shared" si="33"/>
        <v>101</v>
      </c>
      <c r="J57" s="3">
        <v>114</v>
      </c>
      <c r="K57" s="3">
        <f>VLOOKUP($A57,'SegEnds_NonXtal_BW#'!$A:$Z,8,FALSE)+VLOOKUP($A57,A:AL,10,FALSE)-50</f>
        <v>131</v>
      </c>
      <c r="L57" s="3">
        <f>M57-1</f>
        <v>133</v>
      </c>
      <c r="M57" s="3">
        <v>134</v>
      </c>
      <c r="N57" s="3">
        <f>M57+2</f>
        <v>136</v>
      </c>
      <c r="O57" s="3">
        <f t="shared" si="34"/>
        <v>137</v>
      </c>
      <c r="P57" s="3">
        <v>166</v>
      </c>
      <c r="Q57" s="3">
        <f>VLOOKUP($A57,'SegEnds_NonXtal_BW#'!$A:$Z,12,FALSE)+VLOOKUP($A57,A:AL,16,FALSE)-50</f>
        <v>172</v>
      </c>
      <c r="R57" s="3">
        <f>IF(ISERROR(VLOOKUP($A57,'SegEnds_NonXtal_BW#'!$A:$Z,13,FALSE)+VLOOKUP($A57,A:AL,19,FALSE)-50),"-",VLOOKUP($A57,'SegEnds_NonXtal_BW#'!$A:$Z,13,FALSE)+VLOOKUP($A57,A:AL,19,FALSE)-50)</f>
        <v>173</v>
      </c>
      <c r="S57" s="3">
        <v>173</v>
      </c>
      <c r="T57" s="100">
        <f>IF(ISERROR(VLOOKUP($A57,'SegEnds_NonXtal_BW#'!$A:$Z,14,FALSE)+VLOOKUP($A57,A:AL,19,FALSE)-50),"-",(VLOOKUP($A57,'SegEnds_NonXtal_BW#'!$A:$Z,14,FALSE)+VLOOKUP($A57,A:AL,19,FALSE)-50))</f>
        <v>180</v>
      </c>
      <c r="U57" s="9">
        <f>IF(ISERROR(VLOOKUP($A57,'SegEnds_NonXtal_BW#'!$A:$Z,15,FALSE)+VLOOKUP($A57,A:AL,22,FALSE)-50),"-",VLOOKUP($A57,'SegEnds_NonXtal_BW#'!$A:$Z,15,FALSE)+VLOOKUP($A57,A:AL,22,FALSE)-50)</f>
        <v>181</v>
      </c>
      <c r="V57" s="3">
        <v>193</v>
      </c>
      <c r="W57" s="3">
        <f>IF(ISERROR(VLOOKUP($A57,'SegEnds_NonXtal_BW#'!$A:$Z,16,FALSE)+VLOOKUP($A57,A:AL,22,FALSE)-50),"-",(VLOOKUP($A57,'SegEnds_NonXtal_BW#'!$A:$Z,16,FALSE)+VLOOKUP($A57,A:AL,22,FALSE)-50))</f>
        <v>212</v>
      </c>
      <c r="X57" s="3">
        <f>IF(ISERROR(VLOOKUP($A57,'SegEnds_NonXtal_BW#'!$A:$Z,17,FALSE)+VLOOKUP($A57,A:AL,25,FALSE)-50),"-",(VLOOKUP($A57,'SegEnds_NonXtal_BW#'!$A:$Z,17,FALSE)+VLOOKUP($A57,A:AL,25,FALSE)-50))</f>
        <v>221</v>
      </c>
      <c r="Y57" s="3">
        <v>221</v>
      </c>
      <c r="Z57" s="3">
        <f t="shared" si="31"/>
        <v>223</v>
      </c>
      <c r="AA57" s="3">
        <f>IF(ISERROR(VLOOKUP($A57,'SegEnds_NonXtal_BW#'!$A:$Z,19,FALSE)+VLOOKUP($A57,A:AL,28,FALSE)-50),"-",(VLOOKUP($A57,'SegEnds_NonXtal_BW#'!$A:$Z,19,FALSE)+VLOOKUP($A57,A:AL,28,FALSE)-50))</f>
        <v>228</v>
      </c>
      <c r="AB57" s="3">
        <v>243</v>
      </c>
      <c r="AC57" s="3">
        <f>IF(ISERROR((VLOOKUP($A57,'SegEnds_NonXtal_BW#'!$A:$Z,20,FALSE)+VLOOKUP($A57,A:AL,28,FALSE)-50)),"-",(VLOOKUP($A57,'SegEnds_NonXtal_BW#'!$A:$Z,20,FALSE)+VLOOKUP($A57,A:AL,28,FALSE)-50))</f>
        <v>268</v>
      </c>
      <c r="AD57" s="3">
        <f>IF(ISERROR(VLOOKUP($A57,'SegEnds_NonXtal_BW#'!$A:$Z,21,FALSE)+VLOOKUP($A57,A:AL,31,FALSE)-50),"-",(VLOOKUP($A57,'SegEnds_NonXtal_BW#'!$A:$Z,21,FALSE)+VLOOKUP($A57,A:AL,31,FALSE)-50))</f>
        <v>480</v>
      </c>
      <c r="AE57" s="3">
        <v>506</v>
      </c>
      <c r="AF57" s="3">
        <f>IF(ISERROR((VLOOKUP($A57,'SegEnds_NonXtal_BW#'!$A:$Z,22,FALSE)+VLOOKUP($A57,A:AL,31,FALSE)-50)),"-",(VLOOKUP($A57,'SegEnds_NonXtal_BW#'!$A:$Z,22,FALSE)+VLOOKUP($A57,A:AL,31,FALSE)-50))</f>
        <v>517</v>
      </c>
      <c r="AG57" s="3">
        <f>IF(ISERROR(VLOOKUP($A57,'SegEnds_NonXtal_BW#'!$A:$Z,23,FALSE)+VLOOKUP($A57,A:AL,34,FALSE)-50),"-",(VLOOKUP($A57,'SegEnds_NonXtal_BW#'!$A:$Z,23,FALSE)+VLOOKUP($A57,A:AL,34,FALSE)-50))</f>
        <v>522</v>
      </c>
      <c r="AH57" s="3">
        <v>541</v>
      </c>
      <c r="AI57" s="3">
        <f>IF(ISERROR((VLOOKUP($A57,'SegEnds_NonXtal_BW#'!$A:$Z,24,FALSE)+VLOOKUP($A57,A:AL,34,FALSE)-50)),"-",(VLOOKUP($A57,'SegEnds_NonXtal_BW#'!$A:$Z,24,FALSE)+VLOOKUP($A57,A:AL,34,FALSE)-50))</f>
        <v>547</v>
      </c>
      <c r="AJ57" s="3">
        <f>IF(ISERROR(VLOOKUP($A57,'SegEnds_NonXtal_BW#'!$A:$Z,25,FALSE)+VLOOKUP($A57,A:AL,37,FALSE)-50),"-",(VLOOKUP($A57,'SegEnds_NonXtal_BW#'!$A:$Z,25,FALSE)+VLOOKUP($A57,A:AL,37,FALSE)-50))</f>
        <v>548</v>
      </c>
      <c r="AK57" s="3">
        <v>551</v>
      </c>
      <c r="AL57" s="3">
        <f>IF(ISERROR((VLOOKUP($A57,'SegEnds_NonXtal_BW#'!$A:$Z,26,FALSE)+VLOOKUP($A57,A:AL,37,FALSE)-50)),"-",(VLOOKUP($A57,'SegEnds_NonXtal_BW#'!$A:$Z,26,FALSE)+VLOOKUP($A57,A:AL,37,FALSE)-50))</f>
        <v>561</v>
      </c>
      <c r="AM57" s="28" t="str">
        <f>VLOOKUP(A57,Classification!A:B,2,FALSE)</f>
        <v>A</v>
      </c>
      <c r="AN57" s="28" t="b">
        <f t="shared" si="17"/>
        <v>1</v>
      </c>
      <c r="AO57" s="3" t="str">
        <f>IF(ISERROR(MATCH(A57,'SegEnds_Xtal_Prot#'!B:B, 0)), "NoXtal", "Xtal")</f>
        <v>NoXtal</v>
      </c>
      <c r="AP57" s="3">
        <f t="shared" si="2"/>
        <v>1</v>
      </c>
      <c r="AQ57" s="3">
        <f t="shared" si="3"/>
        <v>1</v>
      </c>
      <c r="AR57" s="3">
        <f t="shared" si="4"/>
        <v>2</v>
      </c>
      <c r="AS57" s="3">
        <f t="shared" si="5"/>
        <v>1</v>
      </c>
      <c r="AT57" s="3">
        <f t="shared" si="6"/>
        <v>1</v>
      </c>
      <c r="AU57" s="3">
        <f t="shared" si="7"/>
        <v>1</v>
      </c>
      <c r="AV57" s="3">
        <f t="shared" si="8"/>
        <v>9</v>
      </c>
      <c r="AW57" s="3">
        <f t="shared" si="9"/>
        <v>5</v>
      </c>
      <c r="AX57" s="3">
        <f t="shared" si="10"/>
        <v>212</v>
      </c>
      <c r="AY57" s="3">
        <f t="shared" si="11"/>
        <v>5</v>
      </c>
      <c r="AZ57" s="3">
        <f t="shared" si="12"/>
        <v>1</v>
      </c>
      <c r="BA57" s="3">
        <f>IF(ISERROR(LEN(VLOOKUP(A57,Seqs!A:E,2,FALSE))-AL57),"-",LEN(VLOOKUP(A57,Seqs!A:E,2,FALSE))-AL57)</f>
        <v>29</v>
      </c>
      <c r="BB57" s="16">
        <f t="shared" si="13"/>
        <v>28</v>
      </c>
      <c r="BC57" s="9">
        <f t="shared" si="14"/>
        <v>20</v>
      </c>
      <c r="BD57" s="3">
        <f t="shared" si="15"/>
        <v>28</v>
      </c>
      <c r="BE57" s="3">
        <f t="shared" si="16"/>
        <v>263</v>
      </c>
    </row>
    <row r="58" spans="1:58" s="3" customFormat="1" x14ac:dyDescent="0.2">
      <c r="A58" s="3" t="s">
        <v>903</v>
      </c>
      <c r="B58" s="3" t="str">
        <f>LOWER(VLOOKUP(A58,Xtal_Templ!A:B,2,FALSE))</f>
        <v>acm3_rat</v>
      </c>
      <c r="C58" s="3">
        <f>VLOOKUP($A58,'SegEnds_NonXtal_BW#'!$A:$Z,3,FALSE)+D58-50</f>
        <v>63</v>
      </c>
      <c r="D58" s="3">
        <v>85</v>
      </c>
      <c r="E58" s="3">
        <f>IF(ISERROR(VLOOKUP($A58,'SegEnds_NonXtal_BW#'!$A:$Z,4,FALSE)+VLOOKUP($A58,A:AL,4,FALSE)-50),"-",(VLOOKUP($A58,'SegEnds_NonXtal_BW#'!$A:$Z,4,FALSE)+VLOOKUP($A58,A:AL,4,FALSE)-50))</f>
        <v>95</v>
      </c>
      <c r="F58" s="3">
        <f t="shared" si="27"/>
        <v>96</v>
      </c>
      <c r="G58" s="3">
        <v>98</v>
      </c>
      <c r="H58" s="3">
        <f t="shared" si="33"/>
        <v>99</v>
      </c>
      <c r="I58" s="3">
        <f t="shared" si="33"/>
        <v>100</v>
      </c>
      <c r="J58" s="3">
        <v>113</v>
      </c>
      <c r="K58" s="3">
        <f>VLOOKUP($A58,'SegEnds_NonXtal_BW#'!$A:$Z,8,FALSE)+VLOOKUP($A58,A:AL,10,FALSE)-50</f>
        <v>130</v>
      </c>
      <c r="L58" s="3">
        <f>IF(ISERROR(VLOOKUP($A58,'SegEnds_NonXtal_BW#'!$A:$Z,9,FALSE)+VLOOKUP($A58,A:AL,13,FALSE)-50),"-",(VLOOKUP($A58,'SegEnds_NonXtal_BW#'!$A:$Z,9,FALSE)+VLOOKUP($A58,A:AL,13,FALSE)-50))</f>
        <v>132</v>
      </c>
      <c r="M58" s="3">
        <v>133</v>
      </c>
      <c r="N58" s="3">
        <f>IF(ISERROR(VLOOKUP($A58,'SegEnds_NonXtal_BW#'!$A:$Z,10,FALSE)+VLOOKUP($A58,A:AL,13,FALSE)-50),"-",(VLOOKUP($A58,'SegEnds_NonXtal_BW#'!$A:$Z,10,FALSE)+VLOOKUP($A58,A:AL,13,FALSE)-50))</f>
        <v>135</v>
      </c>
      <c r="O58" s="3">
        <f t="shared" si="34"/>
        <v>136</v>
      </c>
      <c r="P58" s="3">
        <v>165</v>
      </c>
      <c r="Q58" s="3">
        <f>VLOOKUP($A58,'SegEnds_NonXtal_BW#'!$A:$Z,12,FALSE)+VLOOKUP($A58,A:AL,16,FALSE)-50</f>
        <v>171</v>
      </c>
      <c r="R58" s="3">
        <f>IF(ISERROR(VLOOKUP($A58,'SegEnds_NonXtal_BW#'!$A:$Z,13,FALSE)+VLOOKUP($A58,A:AL,19,FALSE)-50),"-",VLOOKUP($A58,'SegEnds_NonXtal_BW#'!$A:$Z,13,FALSE)+VLOOKUP($A58,A:AL,19,FALSE)-50)</f>
        <v>172</v>
      </c>
      <c r="S58" s="3">
        <v>172</v>
      </c>
      <c r="T58" s="100">
        <f>IF(ISERROR(VLOOKUP($A58,'SegEnds_NonXtal_BW#'!$A:$Z,14,FALSE)+VLOOKUP($A58,A:AL,19,FALSE)-50),"-",(VLOOKUP($A58,'SegEnds_NonXtal_BW#'!$A:$Z,14,FALSE)+VLOOKUP($A58,A:AL,19,FALSE)-50))</f>
        <v>179</v>
      </c>
      <c r="U58" s="9">
        <f>IF(ISERROR(VLOOKUP($A58,'SegEnds_NonXtal_BW#'!$A:$Z,15,FALSE)+VLOOKUP($A58,A:AL,22,FALSE)-50),"-",VLOOKUP($A58,'SegEnds_NonXtal_BW#'!$A:$Z,15,FALSE)+VLOOKUP($A58,A:AL,22,FALSE)-50)</f>
        <v>180</v>
      </c>
      <c r="V58" s="3">
        <v>192</v>
      </c>
      <c r="W58" s="3">
        <f>IF(ISERROR(VLOOKUP($A58,'SegEnds_NonXtal_BW#'!$A:$Z,16,FALSE)+VLOOKUP($A58,A:AL,22,FALSE)-50),"-",(VLOOKUP($A58,'SegEnds_NonXtal_BW#'!$A:$Z,16,FALSE)+VLOOKUP($A58,A:AL,22,FALSE)-50))</f>
        <v>211</v>
      </c>
      <c r="X58" s="3">
        <f>IF(ISERROR(VLOOKUP($A58,'SegEnds_NonXtal_BW#'!$A:$Z,17,FALSE)+VLOOKUP($A58,A:AL,25,FALSE)-50),"-",(VLOOKUP($A58,'SegEnds_NonXtal_BW#'!$A:$Z,17,FALSE)+VLOOKUP($A58,A:AL,25,FALSE)-50))</f>
        <v>220</v>
      </c>
      <c r="Y58" s="3">
        <v>220</v>
      </c>
      <c r="Z58" s="3">
        <f t="shared" si="31"/>
        <v>222</v>
      </c>
      <c r="AA58" s="3">
        <f>IF(ISERROR(VLOOKUP($A58,'SegEnds_NonXtal_BW#'!$A:$Z,19,FALSE)+VLOOKUP($A58,A:AL,28,FALSE)-50),"-",(VLOOKUP($A58,'SegEnds_NonXtal_BW#'!$A:$Z,19,FALSE)+VLOOKUP($A58,A:AL,28,FALSE)-50))</f>
        <v>227</v>
      </c>
      <c r="AB58" s="3">
        <v>242</v>
      </c>
      <c r="AC58" s="3">
        <f>IF(ISERROR((VLOOKUP($A58,'SegEnds_NonXtal_BW#'!$A:$Z,20,FALSE)+VLOOKUP($A58,A:AL,28,FALSE)-50)),"-",(VLOOKUP($A58,'SegEnds_NonXtal_BW#'!$A:$Z,20,FALSE)+VLOOKUP($A58,A:AL,28,FALSE)-50))</f>
        <v>267</v>
      </c>
      <c r="AD58" s="3">
        <f>IF(ISERROR(VLOOKUP($A58,'SegEnds_NonXtal_BW#'!$A:$Z,21,FALSE)+VLOOKUP($A58,A:AL,31,FALSE)-50),"-",(VLOOKUP($A58,'SegEnds_NonXtal_BW#'!$A:$Z,21,FALSE)+VLOOKUP($A58,A:AL,31,FALSE)-50))</f>
        <v>479</v>
      </c>
      <c r="AE58" s="3">
        <v>505</v>
      </c>
      <c r="AF58" s="3">
        <f>IF(ISERROR((VLOOKUP($A58,'SegEnds_NonXtal_BW#'!$A:$Z,22,FALSE)+VLOOKUP($A58,A:AL,31,FALSE)-50)),"-",(VLOOKUP($A58,'SegEnds_NonXtal_BW#'!$A:$Z,22,FALSE)+VLOOKUP($A58,A:AL,31,FALSE)-50))</f>
        <v>516</v>
      </c>
      <c r="AG58" s="3">
        <f>IF(ISERROR(VLOOKUP($A58,'SegEnds_NonXtal_BW#'!$A:$Z,23,FALSE)+VLOOKUP($A58,A:AL,34,FALSE)-50),"-",(VLOOKUP($A58,'SegEnds_NonXtal_BW#'!$A:$Z,23,FALSE)+VLOOKUP($A58,A:AL,34,FALSE)-50))</f>
        <v>521</v>
      </c>
      <c r="AH58" s="3">
        <v>540</v>
      </c>
      <c r="AI58" s="3">
        <f>IF(ISERROR((VLOOKUP($A58,'SegEnds_NonXtal_BW#'!$A:$Z,24,FALSE)+VLOOKUP($A58,A:AL,34,FALSE)-50)),"-",(VLOOKUP($A58,'SegEnds_NonXtal_BW#'!$A:$Z,24,FALSE)+VLOOKUP($A58,A:AL,34,FALSE)-50))</f>
        <v>546</v>
      </c>
      <c r="AJ58" s="3">
        <f>IF(ISERROR(VLOOKUP($A58,'SegEnds_NonXtal_BW#'!$A:$Z,25,FALSE)+VLOOKUP($A58,A:AL,37,FALSE)-50),"-",(VLOOKUP($A58,'SegEnds_NonXtal_BW#'!$A:$Z,25,FALSE)+VLOOKUP($A58,A:AL,37,FALSE)-50))</f>
        <v>547</v>
      </c>
      <c r="AK58" s="3">
        <v>550</v>
      </c>
      <c r="AL58" s="3">
        <f>IF(ISERROR((VLOOKUP($A58,'SegEnds_NonXtal_BW#'!$A:$Z,26,FALSE)+VLOOKUP($A58,A:AL,37,FALSE)-50)),"-",(VLOOKUP($A58,'SegEnds_NonXtal_BW#'!$A:$Z,26,FALSE)+VLOOKUP($A58,A:AL,37,FALSE)-50))</f>
        <v>560</v>
      </c>
      <c r="AM58" s="28" t="str">
        <f>VLOOKUP(A58,Classification!A:B,2,FALSE)</f>
        <v>A</v>
      </c>
      <c r="AN58" s="28" t="b">
        <f t="shared" si="17"/>
        <v>1</v>
      </c>
      <c r="AO58" s="3" t="str">
        <f>IF(ISERROR(MATCH(A58,'SegEnds_Xtal_Prot#'!B:B, 0)), "NoXtal", "Xtal")</f>
        <v>Xtal</v>
      </c>
      <c r="AP58" s="3">
        <f t="shared" si="2"/>
        <v>1</v>
      </c>
      <c r="AQ58" s="3">
        <f t="shared" si="3"/>
        <v>1</v>
      </c>
      <c r="AR58" s="3">
        <f t="shared" si="4"/>
        <v>2</v>
      </c>
      <c r="AS58" s="3">
        <f t="shared" si="5"/>
        <v>1</v>
      </c>
      <c r="AT58" s="3">
        <f t="shared" si="6"/>
        <v>1</v>
      </c>
      <c r="AU58" s="3">
        <f t="shared" si="7"/>
        <v>1</v>
      </c>
      <c r="AV58" s="3">
        <f t="shared" si="8"/>
        <v>9</v>
      </c>
      <c r="AW58" s="3">
        <f t="shared" si="9"/>
        <v>5</v>
      </c>
      <c r="AX58" s="3">
        <f t="shared" si="10"/>
        <v>212</v>
      </c>
      <c r="AY58" s="3">
        <f t="shared" si="11"/>
        <v>5</v>
      </c>
      <c r="AZ58" s="3">
        <f t="shared" si="12"/>
        <v>1</v>
      </c>
      <c r="BA58" s="3">
        <f>IF(ISERROR(LEN(VLOOKUP(A58,Seqs!A:E,2,FALSE))-AL58),"-",LEN(VLOOKUP(A58,Seqs!A:E,2,FALSE))-AL58)</f>
        <v>29</v>
      </c>
      <c r="BB58" s="16">
        <f t="shared" si="13"/>
        <v>28</v>
      </c>
      <c r="BC58" s="9">
        <f t="shared" si="14"/>
        <v>20</v>
      </c>
      <c r="BD58" s="3">
        <f t="shared" si="15"/>
        <v>28</v>
      </c>
      <c r="BE58" s="3">
        <f t="shared" si="16"/>
        <v>263</v>
      </c>
    </row>
    <row r="59" spans="1:58" s="3" customFormat="1" x14ac:dyDescent="0.2">
      <c r="A59" s="3" t="s">
        <v>149</v>
      </c>
      <c r="B59" s="3" t="str">
        <f>LOWER(VLOOKUP(A59,Xtal_Templ!A:B,2,FALSE))</f>
        <v>acm4_human</v>
      </c>
      <c r="C59" s="3">
        <f>VLOOKUP($A59,'SegEnds_NonXtal_BW#'!$A:$Z,3,FALSE)+D59-50</f>
        <v>26</v>
      </c>
      <c r="D59" s="3">
        <v>50</v>
      </c>
      <c r="E59" s="3">
        <f>IF(ISERROR(VLOOKUP($A59,'SegEnds_NonXtal_BW#'!$A:$Z,4,FALSE)+VLOOKUP($A59,A:AL,4,FALSE)-50),"-",(VLOOKUP($A59,'SegEnds_NonXtal_BW#'!$A:$Z,4,FALSE)+VLOOKUP($A59,A:AL,4,FALSE)-50))</f>
        <v>60</v>
      </c>
      <c r="F59" s="3">
        <f t="shared" si="27"/>
        <v>61</v>
      </c>
      <c r="G59" s="3">
        <v>63</v>
      </c>
      <c r="H59" s="3">
        <f t="shared" si="33"/>
        <v>64</v>
      </c>
      <c r="I59" s="3">
        <f t="shared" si="33"/>
        <v>65</v>
      </c>
      <c r="J59" s="3">
        <v>78</v>
      </c>
      <c r="K59" s="3">
        <f>VLOOKUP($A59,'SegEnds_NonXtal_BW#'!$A:$Z,8,FALSE)+VLOOKUP($A59,A:AL,10,FALSE)-50</f>
        <v>96</v>
      </c>
      <c r="L59" s="3">
        <f>M59-1</f>
        <v>97</v>
      </c>
      <c r="M59" s="3">
        <v>98</v>
      </c>
      <c r="N59" s="3">
        <f>M59+2</f>
        <v>100</v>
      </c>
      <c r="O59" s="3">
        <f t="shared" si="34"/>
        <v>101</v>
      </c>
      <c r="P59" s="3">
        <v>130</v>
      </c>
      <c r="Q59" s="3">
        <f>VLOOKUP($A59,'SegEnds_NonXtal_BW#'!$A:$Z,12,FALSE)+VLOOKUP($A59,A:AL,16,FALSE)-50</f>
        <v>136</v>
      </c>
      <c r="R59" s="3">
        <f>IF(ISERROR(VLOOKUP($A59,'SegEnds_NonXtal_BW#'!$A:$Z,13,FALSE)+VLOOKUP($A59,A:AL,19,FALSE)-50),"-",VLOOKUP($A59,'SegEnds_NonXtal_BW#'!$A:$Z,13,FALSE)+VLOOKUP($A59,A:AL,19,FALSE)-50)</f>
        <v>137</v>
      </c>
      <c r="S59" s="3">
        <v>137</v>
      </c>
      <c r="T59" s="100">
        <f>IF(ISERROR(VLOOKUP($A59,'SegEnds_NonXtal_BW#'!$A:$Z,14,FALSE)+VLOOKUP($A59,A:AL,19,FALSE)-50),"-",(VLOOKUP($A59,'SegEnds_NonXtal_BW#'!$A:$Z,14,FALSE)+VLOOKUP($A59,A:AL,19,FALSE)-50))</f>
        <v>144</v>
      </c>
      <c r="U59" s="9">
        <f>IF(ISERROR(VLOOKUP($A59,'SegEnds_NonXtal_BW#'!$A:$Z,15,FALSE)+VLOOKUP($A59,A:AL,22,FALSE)-50),"-",VLOOKUP($A59,'SegEnds_NonXtal_BW#'!$A:$Z,15,FALSE)+VLOOKUP($A59,A:AL,22,FALSE)-50)</f>
        <v>145</v>
      </c>
      <c r="V59" s="3">
        <v>157</v>
      </c>
      <c r="W59" s="3">
        <f>IF(ISERROR(VLOOKUP($A59,'SegEnds_NonXtal_BW#'!$A:$Z,16,FALSE)+VLOOKUP($A59,A:AL,22,FALSE)-50),"-",(VLOOKUP($A59,'SegEnds_NonXtal_BW#'!$A:$Z,16,FALSE)+VLOOKUP($A59,A:AL,22,FALSE)-50))</f>
        <v>176</v>
      </c>
      <c r="X59" s="3">
        <f>IF(ISERROR(VLOOKUP($A59,'SegEnds_NonXtal_BW#'!$A:$Z,17,FALSE)+VLOOKUP($A59,A:AL,25,FALSE)-50),"-",(VLOOKUP($A59,'SegEnds_NonXtal_BW#'!$A:$Z,17,FALSE)+VLOOKUP($A59,A:AL,25,FALSE)-50))</f>
        <v>185</v>
      </c>
      <c r="Y59" s="3">
        <v>185</v>
      </c>
      <c r="Z59" s="3">
        <f t="shared" si="31"/>
        <v>187</v>
      </c>
      <c r="AA59" s="3">
        <f>IF(ISERROR(VLOOKUP($A59,'SegEnds_NonXtal_BW#'!$A:$Z,19,FALSE)+VLOOKUP($A59,A:AL,28,FALSE)-50),"-",(VLOOKUP($A59,'SegEnds_NonXtal_BW#'!$A:$Z,19,FALSE)+VLOOKUP($A59,A:AL,28,FALSE)-50))</f>
        <v>192</v>
      </c>
      <c r="AB59" s="3">
        <v>207</v>
      </c>
      <c r="AC59" s="3">
        <f>IF(ISERROR((VLOOKUP($A59,'SegEnds_NonXtal_BW#'!$A:$Z,20,FALSE)+VLOOKUP($A59,A:AL,28,FALSE)-50)),"-",(VLOOKUP($A59,'SegEnds_NonXtal_BW#'!$A:$Z,20,FALSE)+VLOOKUP($A59,A:AL,28,FALSE)-50))</f>
        <v>232</v>
      </c>
      <c r="AD59" s="3">
        <f>IF(ISERROR(VLOOKUP($A59,'SegEnds_NonXtal_BW#'!$A:$Z,21,FALSE)+VLOOKUP($A59,A:AL,31,FALSE)-50),"-",(VLOOKUP($A59,'SegEnds_NonXtal_BW#'!$A:$Z,21,FALSE)+VLOOKUP($A59,A:AL,31,FALSE)-50))</f>
        <v>389</v>
      </c>
      <c r="AE59" s="3">
        <v>415</v>
      </c>
      <c r="AF59" s="3">
        <f>IF(ISERROR((VLOOKUP($A59,'SegEnds_NonXtal_BW#'!$A:$Z,22,FALSE)+VLOOKUP($A59,A:AL,31,FALSE)-50)),"-",(VLOOKUP($A59,'SegEnds_NonXtal_BW#'!$A:$Z,22,FALSE)+VLOOKUP($A59,A:AL,31,FALSE)-50))</f>
        <v>426</v>
      </c>
      <c r="AG59" s="3">
        <f>IF(ISERROR(VLOOKUP($A59,'SegEnds_NonXtal_BW#'!$A:$Z,23,FALSE)+VLOOKUP($A59,A:AL,34,FALSE)-50),"-",(VLOOKUP($A59,'SegEnds_NonXtal_BW#'!$A:$Z,23,FALSE)+VLOOKUP($A59,A:AL,34,FALSE)-50))</f>
        <v>431</v>
      </c>
      <c r="AH59" s="3">
        <v>450</v>
      </c>
      <c r="AI59" s="3">
        <f>IF(ISERROR((VLOOKUP($A59,'SegEnds_NonXtal_BW#'!$A:$Z,24,FALSE)+VLOOKUP($A59,A:AL,34,FALSE)-50)),"-",(VLOOKUP($A59,'SegEnds_NonXtal_BW#'!$A:$Z,24,FALSE)+VLOOKUP($A59,A:AL,34,FALSE)-50))</f>
        <v>456</v>
      </c>
      <c r="AJ59" s="3">
        <f>IF(ISERROR(VLOOKUP($A59,'SegEnds_NonXtal_BW#'!$A:$Z,25,FALSE)+VLOOKUP($A59,A:AL,37,FALSE)-50),"-",(VLOOKUP($A59,'SegEnds_NonXtal_BW#'!$A:$Z,25,FALSE)+VLOOKUP($A59,A:AL,37,FALSE)-50))</f>
        <v>457</v>
      </c>
      <c r="AK59" s="3">
        <v>460</v>
      </c>
      <c r="AL59" s="3">
        <f>IF(ISERROR((VLOOKUP($A59,'SegEnds_NonXtal_BW#'!$A:$Z,26,FALSE)+VLOOKUP($A59,A:AL,37,FALSE)-50)),"-",(VLOOKUP($A59,'SegEnds_NonXtal_BW#'!$A:$Z,26,FALSE)+VLOOKUP($A59,A:AL,37,FALSE)-50))</f>
        <v>471</v>
      </c>
      <c r="AM59" s="28" t="str">
        <f>VLOOKUP(A59,Classification!A:B,2,FALSE)</f>
        <v>A</v>
      </c>
      <c r="AN59" s="28" t="b">
        <f t="shared" si="17"/>
        <v>1</v>
      </c>
      <c r="AO59" s="3" t="str">
        <f>IF(ISERROR(MATCH(A59,'SegEnds_Xtal_Prot#'!B:B, 0)), "NoXtal", "Xtal")</f>
        <v>Xtal</v>
      </c>
      <c r="AP59" s="3">
        <f t="shared" si="2"/>
        <v>1</v>
      </c>
      <c r="AQ59" s="3">
        <f t="shared" si="3"/>
        <v>1</v>
      </c>
      <c r="AR59" s="3">
        <f t="shared" si="4"/>
        <v>1</v>
      </c>
      <c r="AS59" s="3">
        <f t="shared" si="5"/>
        <v>1</v>
      </c>
      <c r="AT59" s="3">
        <f t="shared" si="6"/>
        <v>1</v>
      </c>
      <c r="AU59" s="3">
        <f t="shared" si="7"/>
        <v>1</v>
      </c>
      <c r="AV59" s="3">
        <f t="shared" si="8"/>
        <v>9</v>
      </c>
      <c r="AW59" s="3">
        <f t="shared" si="9"/>
        <v>5</v>
      </c>
      <c r="AX59" s="3">
        <f t="shared" si="10"/>
        <v>157</v>
      </c>
      <c r="AY59" s="3">
        <f t="shared" si="11"/>
        <v>5</v>
      </c>
      <c r="AZ59" s="3">
        <f t="shared" si="12"/>
        <v>1</v>
      </c>
      <c r="BA59" s="3">
        <f>IF(ISERROR(LEN(VLOOKUP(A59,Seqs!A:E,2,FALSE))-AL59),"-",LEN(VLOOKUP(A59,Seqs!A:E,2,FALSE))-AL59)</f>
        <v>8</v>
      </c>
      <c r="BB59" s="16">
        <f t="shared" si="13"/>
        <v>28</v>
      </c>
      <c r="BC59" s="9">
        <f t="shared" si="14"/>
        <v>20</v>
      </c>
      <c r="BD59" s="3">
        <f t="shared" si="15"/>
        <v>28</v>
      </c>
      <c r="BE59" s="3">
        <f t="shared" si="16"/>
        <v>208</v>
      </c>
      <c r="BF59" s="3">
        <f>AH59-AE59</f>
        <v>35</v>
      </c>
    </row>
    <row r="60" spans="1:58" s="3" customFormat="1" x14ac:dyDescent="0.2">
      <c r="A60" s="3" t="s">
        <v>150</v>
      </c>
      <c r="B60" s="3" t="str">
        <f>LOWER(VLOOKUP(A60,Xtal_Templ!A:B,2,FALSE))</f>
        <v>acm5_human</v>
      </c>
      <c r="C60" s="3">
        <f>VLOOKUP($A60,'SegEnds_NonXtal_BW#'!$A:$Z,3,FALSE)+D60-50</f>
        <v>26</v>
      </c>
      <c r="D60" s="3">
        <v>48</v>
      </c>
      <c r="E60" s="3">
        <f>IF(ISERROR(VLOOKUP($A60,'SegEnds_NonXtal_BW#'!$A:$Z,4,FALSE)+VLOOKUP($A60,A:AL,4,FALSE)-50),"-",(VLOOKUP($A60,'SegEnds_NonXtal_BW#'!$A:$Z,4,FALSE)+VLOOKUP($A60,A:AL,4,FALSE)-50))</f>
        <v>58</v>
      </c>
      <c r="F60" s="3">
        <f t="shared" si="27"/>
        <v>59</v>
      </c>
      <c r="G60" s="3">
        <v>61</v>
      </c>
      <c r="H60" s="3">
        <f t="shared" si="33"/>
        <v>62</v>
      </c>
      <c r="I60" s="3">
        <f t="shared" si="33"/>
        <v>63</v>
      </c>
      <c r="J60" s="3">
        <v>76</v>
      </c>
      <c r="K60" s="3">
        <f>VLOOKUP($A60,'SegEnds_NonXtal_BW#'!$A:$Z,8,FALSE)+VLOOKUP($A60,A:AL,10,FALSE)-50</f>
        <v>94</v>
      </c>
      <c r="L60" s="3">
        <f>M60-1</f>
        <v>95</v>
      </c>
      <c r="M60" s="3">
        <v>96</v>
      </c>
      <c r="N60" s="3">
        <f>M60+2</f>
        <v>98</v>
      </c>
      <c r="O60" s="3">
        <f t="shared" si="34"/>
        <v>99</v>
      </c>
      <c r="P60" s="3">
        <v>128</v>
      </c>
      <c r="Q60" s="3">
        <f>VLOOKUP($A60,'SegEnds_NonXtal_BW#'!$A:$Z,12,FALSE)+VLOOKUP($A60,A:AL,16,FALSE)-50</f>
        <v>134</v>
      </c>
      <c r="R60" s="3">
        <f>IF(ISERROR(VLOOKUP($A60,'SegEnds_NonXtal_BW#'!$A:$Z,13,FALSE)+VLOOKUP($A60,A:AL,19,FALSE)-50),"-",VLOOKUP($A60,'SegEnds_NonXtal_BW#'!$A:$Z,13,FALSE)+VLOOKUP($A60,A:AL,19,FALSE)-50)</f>
        <v>135</v>
      </c>
      <c r="S60" s="3">
        <v>135</v>
      </c>
      <c r="T60" s="100">
        <f>IF(ISERROR(VLOOKUP($A60,'SegEnds_NonXtal_BW#'!$A:$Z,14,FALSE)+VLOOKUP($A60,A:AL,19,FALSE)-50),"-",(VLOOKUP($A60,'SegEnds_NonXtal_BW#'!$A:$Z,14,FALSE)+VLOOKUP($A60,A:AL,19,FALSE)-50))</f>
        <v>142</v>
      </c>
      <c r="U60" s="9">
        <f>IF(ISERROR(VLOOKUP($A60,'SegEnds_NonXtal_BW#'!$A:$Z,15,FALSE)+VLOOKUP($A60,A:AL,22,FALSE)-50),"-",VLOOKUP($A60,'SegEnds_NonXtal_BW#'!$A:$Z,15,FALSE)+VLOOKUP($A60,A:AL,22,FALSE)-50)</f>
        <v>143</v>
      </c>
      <c r="V60" s="3">
        <v>155</v>
      </c>
      <c r="W60" s="3">
        <f>IF(ISERROR(VLOOKUP($A60,'SegEnds_NonXtal_BW#'!$A:$Z,16,FALSE)+VLOOKUP($A60,A:AL,22,FALSE)-50),"-",(VLOOKUP($A60,'SegEnds_NonXtal_BW#'!$A:$Z,16,FALSE)+VLOOKUP($A60,A:AL,22,FALSE)-50))</f>
        <v>174</v>
      </c>
      <c r="X60" s="3">
        <f>IF(ISERROR(VLOOKUP($A60,'SegEnds_NonXtal_BW#'!$A:$Z,17,FALSE)+VLOOKUP($A60,A:AL,25,FALSE)-50),"-",(VLOOKUP($A60,'SegEnds_NonXtal_BW#'!$A:$Z,17,FALSE)+VLOOKUP($A60,A:AL,25,FALSE)-50))</f>
        <v>183</v>
      </c>
      <c r="Y60" s="3">
        <v>183</v>
      </c>
      <c r="Z60" s="3">
        <f t="shared" si="31"/>
        <v>185</v>
      </c>
      <c r="AA60" s="3">
        <f>IF(ISERROR(VLOOKUP($A60,'SegEnds_NonXtal_BW#'!$A:$Z,19,FALSE)+VLOOKUP($A60,A:AL,28,FALSE)-50),"-",(VLOOKUP($A60,'SegEnds_NonXtal_BW#'!$A:$Z,19,FALSE)+VLOOKUP($A60,A:AL,28,FALSE)-50))</f>
        <v>190</v>
      </c>
      <c r="AB60" s="3">
        <v>205</v>
      </c>
      <c r="AC60" s="3">
        <f>IF(ISERROR((VLOOKUP($A60,'SegEnds_NonXtal_BW#'!$A:$Z,20,FALSE)+VLOOKUP($A60,A:AL,28,FALSE)-50)),"-",(VLOOKUP($A60,'SegEnds_NonXtal_BW#'!$A:$Z,20,FALSE)+VLOOKUP($A60,A:AL,28,FALSE)-50))</f>
        <v>230</v>
      </c>
      <c r="AD60" s="3">
        <f>IF(ISERROR(VLOOKUP($A60,'SegEnds_NonXtal_BW#'!$A:$Z,21,FALSE)+VLOOKUP($A60,A:AL,31,FALSE)-50),"-",(VLOOKUP($A60,'SegEnds_NonXtal_BW#'!$A:$Z,21,FALSE)+VLOOKUP($A60,A:AL,31,FALSE)-50))</f>
        <v>431</v>
      </c>
      <c r="AE60" s="3">
        <v>457</v>
      </c>
      <c r="AF60" s="3">
        <f>IF(ISERROR((VLOOKUP($A60,'SegEnds_NonXtal_BW#'!$A:$Z,22,FALSE)+VLOOKUP($A60,A:AL,31,FALSE)-50)),"-",(VLOOKUP($A60,'SegEnds_NonXtal_BW#'!$A:$Z,22,FALSE)+VLOOKUP($A60,A:AL,31,FALSE)-50))</f>
        <v>468</v>
      </c>
      <c r="AG60" s="3">
        <f>IF(ISERROR(VLOOKUP($A60,'SegEnds_NonXtal_BW#'!$A:$Z,23,FALSE)+VLOOKUP($A60,A:AL,34,FALSE)-50),"-",(VLOOKUP($A60,'SegEnds_NonXtal_BW#'!$A:$Z,23,FALSE)+VLOOKUP($A60,A:AL,34,FALSE)-50))</f>
        <v>473</v>
      </c>
      <c r="AH60" s="3">
        <v>492</v>
      </c>
      <c r="AI60" s="3">
        <f>IF(ISERROR((VLOOKUP($A60,'SegEnds_NonXtal_BW#'!$A:$Z,24,FALSE)+VLOOKUP($A60,A:AL,34,FALSE)-50)),"-",(VLOOKUP($A60,'SegEnds_NonXtal_BW#'!$A:$Z,24,FALSE)+VLOOKUP($A60,A:AL,34,FALSE)-50))</f>
        <v>498</v>
      </c>
      <c r="AJ60" s="3">
        <f>IF(ISERROR(VLOOKUP($A60,'SegEnds_NonXtal_BW#'!$A:$Z,25,FALSE)+VLOOKUP($A60,A:AL,37,FALSE)-50),"-",(VLOOKUP($A60,'SegEnds_NonXtal_BW#'!$A:$Z,25,FALSE)+VLOOKUP($A60,A:AL,37,FALSE)-50))</f>
        <v>499</v>
      </c>
      <c r="AK60" s="3">
        <v>502</v>
      </c>
      <c r="AL60" s="3">
        <f>IF(ISERROR((VLOOKUP($A60,'SegEnds_NonXtal_BW#'!$A:$Z,26,FALSE)+VLOOKUP($A60,A:AL,37,FALSE)-50)),"-",(VLOOKUP($A60,'SegEnds_NonXtal_BW#'!$A:$Z,26,FALSE)+VLOOKUP($A60,A:AL,37,FALSE)-50))</f>
        <v>511</v>
      </c>
      <c r="AM60" s="28" t="str">
        <f>VLOOKUP(A60,Classification!A:B,2,FALSE)</f>
        <v>A</v>
      </c>
      <c r="AN60" s="28" t="b">
        <f t="shared" si="17"/>
        <v>1</v>
      </c>
      <c r="AO60" s="3" t="str">
        <f>IF(ISERROR(MATCH(A60,'SegEnds_Xtal_Prot#'!B:B, 0)), "NoXtal", "Xtal")</f>
        <v>Xtal</v>
      </c>
      <c r="AP60" s="3">
        <f t="shared" si="2"/>
        <v>1</v>
      </c>
      <c r="AQ60" s="3">
        <f t="shared" si="3"/>
        <v>1</v>
      </c>
      <c r="AR60" s="3">
        <f t="shared" si="4"/>
        <v>1</v>
      </c>
      <c r="AS60" s="3">
        <f t="shared" si="5"/>
        <v>1</v>
      </c>
      <c r="AT60" s="3">
        <f t="shared" si="6"/>
        <v>1</v>
      </c>
      <c r="AU60" s="3">
        <f t="shared" si="7"/>
        <v>1</v>
      </c>
      <c r="AV60" s="3">
        <f t="shared" si="8"/>
        <v>9</v>
      </c>
      <c r="AW60" s="3">
        <f t="shared" si="9"/>
        <v>5</v>
      </c>
      <c r="AX60" s="3">
        <f t="shared" si="10"/>
        <v>201</v>
      </c>
      <c r="AY60" s="3">
        <f t="shared" si="11"/>
        <v>5</v>
      </c>
      <c r="AZ60" s="3">
        <f t="shared" si="12"/>
        <v>1</v>
      </c>
      <c r="BA60" s="3">
        <f>IF(ISERROR(LEN(VLOOKUP(A60,Seqs!A:E,2,FALSE))-AL60),"-",LEN(VLOOKUP(A60,Seqs!A:E,2,FALSE))-AL60)</f>
        <v>21</v>
      </c>
      <c r="BB60" s="16">
        <f t="shared" si="13"/>
        <v>28</v>
      </c>
      <c r="BC60" s="9">
        <f t="shared" si="14"/>
        <v>20</v>
      </c>
      <c r="BD60" s="3">
        <f t="shared" si="15"/>
        <v>28</v>
      </c>
      <c r="BE60" s="3">
        <f t="shared" si="16"/>
        <v>252</v>
      </c>
      <c r="BF60" s="3">
        <f>AH60-AE60</f>
        <v>35</v>
      </c>
    </row>
    <row r="61" spans="1:58" s="3" customFormat="1" x14ac:dyDescent="0.2">
      <c r="A61" s="3" t="s">
        <v>151</v>
      </c>
      <c r="B61" s="3" t="str">
        <f>LOWER(VLOOKUP(A61,Xtal_Templ!A:B,2,FALSE))</f>
        <v>s1pr1_human</v>
      </c>
      <c r="C61" s="3">
        <f>VLOOKUP($A61,'SegEnds_NonXtal_BW#'!$A:$Z,3,FALSE)+D61-50</f>
        <v>21</v>
      </c>
      <c r="D61" s="3">
        <v>42</v>
      </c>
      <c r="E61" s="3">
        <f>IF(ISERROR(VLOOKUP($A61,'SegEnds_NonXtal_BW#'!$A:$Z,4,FALSE)+VLOOKUP($A61,A:AL,4,FALSE)-50),"-",(VLOOKUP($A61,'SegEnds_NonXtal_BW#'!$A:$Z,4,FALSE)+VLOOKUP($A61,A:AL,4,FALSE)-50))</f>
        <v>52</v>
      </c>
      <c r="F61" s="3">
        <f t="shared" si="27"/>
        <v>53</v>
      </c>
      <c r="G61" s="3">
        <v>55</v>
      </c>
      <c r="H61" s="3">
        <f t="shared" si="33"/>
        <v>56</v>
      </c>
      <c r="I61" s="3">
        <f t="shared" si="33"/>
        <v>57</v>
      </c>
      <c r="J61" s="3">
        <v>70</v>
      </c>
      <c r="K61" s="3">
        <f>VLOOKUP($A61,'SegEnds_NonXtal_BW#'!$A:$Z,8,FALSE)+VLOOKUP($A61,A:AL,10,FALSE)-50</f>
        <v>87</v>
      </c>
      <c r="L61" s="3" t="str">
        <f>IF(ISERROR(VLOOKUP($A61,'SegEnds_NonXtal_BW#'!$A:$Z,9,FALSE)+VLOOKUP($A61,A:AL,13,FALSE)-50),"-",(VLOOKUP($A61,'SegEnds_NonXtal_BW#'!$A:$Z,9,FALSE)+VLOOKUP($A61,A:AL,13,FALSE)-50))</f>
        <v>-</v>
      </c>
      <c r="M61" s="3" t="s">
        <v>23</v>
      </c>
      <c r="N61" s="3" t="str">
        <f>IF(ISERROR(VLOOKUP($A61,'SegEnds_NonXtal_BW#'!$A:$Z,10,FALSE)+VLOOKUP($A61,A:AL,13,FALSE)-50),"-",(VLOOKUP($A61,'SegEnds_NonXtal_BW#'!$A:$Z,10,FALSE)+VLOOKUP($A61,A:AL,13,FALSE)-50))</f>
        <v>-</v>
      </c>
      <c r="O61" s="3">
        <f>VLOOKUP($A61,'SegEnds_NonXtal_BW#'!$A:$Z,11,FALSE)+VLOOKUP($A61,A:AL,16,FALSE)-50</f>
        <v>96</v>
      </c>
      <c r="P61" s="3">
        <v>128</v>
      </c>
      <c r="Q61" s="3">
        <f>VLOOKUP($A61,'SegEnds_NonXtal_BW#'!$A:$Z,12,FALSE)+VLOOKUP($A61,A:AL,16,FALSE)-50</f>
        <v>134</v>
      </c>
      <c r="R61" s="3">
        <f>S61</f>
        <v>135</v>
      </c>
      <c r="S61" s="3">
        <v>135</v>
      </c>
      <c r="T61" s="100">
        <f>S61+7</f>
        <v>142</v>
      </c>
      <c r="U61" s="9">
        <f>IF(ISERROR(VLOOKUP($A61,'SegEnds_NonXtal_BW#'!$A:$Z,15,FALSE)+VLOOKUP($A61,A:AL,22,FALSE)-50),"-",VLOOKUP($A61,'SegEnds_NonXtal_BW#'!$A:$Z,15,FALSE)+VLOOKUP($A61,A:AL,22,FALSE)-50)</f>
        <v>143</v>
      </c>
      <c r="V61" s="3">
        <v>155</v>
      </c>
      <c r="W61" s="3">
        <f>IF(ISERROR(VLOOKUP($A61,'SegEnds_NonXtal_BW#'!$A:$Z,16,FALSE)+VLOOKUP($A61,A:AL,22,FALSE)-50),"-",(VLOOKUP($A61,'SegEnds_NonXtal_BW#'!$A:$Z,16,FALSE)+VLOOKUP($A61,A:AL,22,FALSE)-50))</f>
        <v>168</v>
      </c>
      <c r="X61" s="3" t="str">
        <f>IF(ISERROR(VLOOKUP($A61,'SegEnds_NonXtal_BW#'!$A:$Z,17,FALSE)+VLOOKUP($A61,A:AL,25,FALSE)-50),"-",(VLOOKUP($A61,'SegEnds_NonXtal_BW#'!$A:$Z,17,FALSE)+VLOOKUP($A61,A:AL,25,FALSE)-50))</f>
        <v>-</v>
      </c>
      <c r="Y61" s="3" t="s">
        <v>23</v>
      </c>
      <c r="Z61" s="3" t="str">
        <f>IF(ISERROR(VLOOKUP($A61,'SegEnds_NonXtal_BW#'!$A:$Z,18,FALSE)+VLOOKUP($A61,A:AL,25,FALSE)-50),"-",(VLOOKUP($A61,'SegEnds_NonXtal_BW#'!$A:$Z,18,FALSE)+VLOOKUP($A61,A:AL,25,FALSE)-50))</f>
        <v>-</v>
      </c>
      <c r="AA61" s="3">
        <f>IF(ISERROR(VLOOKUP($A61,'SegEnds_NonXtal_BW#'!$A:$Z,19,FALSE)+VLOOKUP($A61,A:AL,28,FALSE)-50),"-",(VLOOKUP($A61,'SegEnds_NonXtal_BW#'!$A:$Z,19,FALSE)+VLOOKUP($A61,A:AL,28,FALSE)-50))</f>
        <v>178</v>
      </c>
      <c r="AB61" s="9">
        <v>195</v>
      </c>
      <c r="AC61" s="3">
        <f>IF(ISERROR((VLOOKUP($A61,'SegEnds_NonXtal_BW#'!$A:$Z,20,FALSE)+VLOOKUP($A61,A:AL,28,FALSE)-50)),"-",(VLOOKUP($A61,'SegEnds_NonXtal_BW#'!$A:$Z,20,FALSE)+VLOOKUP($A61,A:AL,28,FALSE)-50))</f>
        <v>211</v>
      </c>
      <c r="AD61" s="3">
        <f>IF(ISERROR(VLOOKUP($A61,'SegEnds_NonXtal_BW#'!$A:$Z,21,FALSE)+VLOOKUP($A61,A:AL,31,FALSE)-50),"-",(VLOOKUP($A61,'SegEnds_NonXtal_BW#'!$A:$Z,21,FALSE)+VLOOKUP($A61,A:AL,31,FALSE)-50))</f>
        <v>214</v>
      </c>
      <c r="AE61" s="3">
        <v>234</v>
      </c>
      <c r="AF61" s="3">
        <f>IF(ISERROR((VLOOKUP($A61,'SegEnds_NonXtal_BW#'!$A:$Z,22,FALSE)+VLOOKUP($A61,A:AL,31,FALSE)-50)),"-",(VLOOKUP($A61,'SegEnds_NonXtal_BW#'!$A:$Z,22,FALSE)+VLOOKUP($A61,A:AL,31,FALSE)-50))</f>
        <v>245</v>
      </c>
      <c r="AG61" s="3">
        <f>IF(ISERROR(VLOOKUP($A61,'SegEnds_NonXtal_BW#'!$A:$Z,23,FALSE)+VLOOKUP($A61,A:AL,34,FALSE)-50),"-",(VLOOKUP($A61,'SegEnds_NonXtal_BW#'!$A:$Z,23,FALSE)+VLOOKUP($A61,A:AL,34,FALSE)-50))</f>
        <v>253</v>
      </c>
      <c r="AH61" s="3">
        <v>273</v>
      </c>
      <c r="AI61" s="3">
        <f>IF(ISERROR((VLOOKUP($A61,'SegEnds_NonXtal_BW#'!$A:$Z,24,FALSE)+VLOOKUP($A61,A:AL,34,FALSE)-50)),"-",(VLOOKUP($A61,'SegEnds_NonXtal_BW#'!$A:$Z,24,FALSE)+VLOOKUP($A61,A:AL,34,FALSE)-50))</f>
        <v>279</v>
      </c>
      <c r="AJ61" s="3">
        <f>IF(ISERROR(VLOOKUP($A61,'SegEnds_NonXtal_BW#'!$A:$Z,25,FALSE)+VLOOKUP($A61,A:AL,37,FALSE)-50),"-",(VLOOKUP($A61,'SegEnds_NonXtal_BW#'!$A:$Z,25,FALSE)+VLOOKUP($A61,A:AL,37,FALSE)-50))</f>
        <v>280</v>
      </c>
      <c r="AK61" s="3">
        <v>283</v>
      </c>
      <c r="AL61" s="3">
        <f>IF(ISERROR((VLOOKUP($A61,'SegEnds_NonXtal_BW#'!$A:$Z,26,FALSE)+VLOOKUP($A61,A:AL,37,FALSE)-50)),"-",(VLOOKUP($A61,'SegEnds_NonXtal_BW#'!$A:$Z,26,FALSE)+VLOOKUP($A61,A:AL,37,FALSE)-50))</f>
        <v>292</v>
      </c>
      <c r="AM61" s="28" t="str">
        <f>VLOOKUP(A61,Classification!A:B,2,FALSE)</f>
        <v>A</v>
      </c>
      <c r="AN61" s="28" t="b">
        <f t="shared" si="17"/>
        <v>1</v>
      </c>
      <c r="AO61" s="3" t="str">
        <f>IF(ISERROR(MATCH(A61,'SegEnds_Xtal_Prot#'!B:B, 0)), "NoXtal", "Xtal")</f>
        <v>NoXtal</v>
      </c>
      <c r="AP61" s="3">
        <f t="shared" si="2"/>
        <v>1</v>
      </c>
      <c r="AQ61" s="3">
        <f t="shared" si="3"/>
        <v>1</v>
      </c>
      <c r="AR61" s="3" t="str">
        <f t="shared" si="4"/>
        <v>-</v>
      </c>
      <c r="AS61" s="3" t="str">
        <f t="shared" si="5"/>
        <v>-</v>
      </c>
      <c r="AT61" s="3">
        <f t="shared" si="6"/>
        <v>1</v>
      </c>
      <c r="AU61" s="3">
        <f t="shared" si="7"/>
        <v>1</v>
      </c>
      <c r="AV61" s="3" t="str">
        <f t="shared" si="8"/>
        <v>-</v>
      </c>
      <c r="AW61" s="3" t="str">
        <f t="shared" si="9"/>
        <v>-</v>
      </c>
      <c r="AX61" s="3">
        <f t="shared" si="10"/>
        <v>3</v>
      </c>
      <c r="AY61" s="3">
        <f t="shared" si="11"/>
        <v>8</v>
      </c>
      <c r="AZ61" s="3">
        <f t="shared" si="12"/>
        <v>1</v>
      </c>
      <c r="BA61" s="3">
        <f>IF(ISERROR(LEN(VLOOKUP(A61,Seqs!A:E,2,FALSE))-AL61),"-",LEN(VLOOKUP(A61,Seqs!A:E,2,FALSE))-AL61)</f>
        <v>5</v>
      </c>
      <c r="BB61" s="16">
        <f t="shared" si="13"/>
        <v>28</v>
      </c>
      <c r="BC61" s="9">
        <f t="shared" si="14"/>
        <v>20</v>
      </c>
      <c r="BD61" s="3">
        <f t="shared" si="15"/>
        <v>28</v>
      </c>
      <c r="BE61" s="3">
        <f t="shared" si="16"/>
        <v>39</v>
      </c>
      <c r="BF61" s="3">
        <f>AH61-AE61</f>
        <v>39</v>
      </c>
    </row>
    <row r="62" spans="1:58" s="3" customFormat="1" x14ac:dyDescent="0.2">
      <c r="A62" s="3" t="s">
        <v>152</v>
      </c>
      <c r="B62" s="3" t="str">
        <f>LOWER(VLOOKUP(A62,Xtal_Templ!A:B,2,FALSE))</f>
        <v>adrb2_human</v>
      </c>
      <c r="C62" s="3">
        <f>VLOOKUP($A62,'SegEnds_NonXtal_BW#'!$A:$Z,3,FALSE)+D62-50</f>
        <v>19</v>
      </c>
      <c r="D62" s="3">
        <v>44</v>
      </c>
      <c r="E62" s="3">
        <f>IF(ISERROR(VLOOKUP($A62,'SegEnds_NonXtal_BW#'!$A:$Z,4,FALSE)+VLOOKUP($A62,A:AL,4,FALSE)-50),"-",(VLOOKUP($A62,'SegEnds_NonXtal_BW#'!$A:$Z,4,FALSE)+VLOOKUP($A62,A:AL,4,FALSE)-50))</f>
        <v>54</v>
      </c>
      <c r="F62" s="3">
        <f t="shared" si="27"/>
        <v>55</v>
      </c>
      <c r="G62" s="3">
        <v>57</v>
      </c>
      <c r="H62" s="3">
        <f t="shared" si="33"/>
        <v>58</v>
      </c>
      <c r="I62" s="3">
        <f t="shared" si="33"/>
        <v>59</v>
      </c>
      <c r="J62" s="3">
        <v>72</v>
      </c>
      <c r="K62" s="3">
        <f>VLOOKUP($A62,'SegEnds_NonXtal_BW#'!$A:$Z,8,FALSE)+VLOOKUP($A62,A:AL,10,FALSE)-50</f>
        <v>89</v>
      </c>
      <c r="L62" s="3">
        <f t="shared" ref="L62:L68" si="35">M62-1</f>
        <v>91</v>
      </c>
      <c r="M62" s="3">
        <v>92</v>
      </c>
      <c r="N62" s="3">
        <f t="shared" ref="N62:N68" si="36">M62+2</f>
        <v>94</v>
      </c>
      <c r="O62" s="3">
        <f t="shared" ref="O62:O89" si="37">N62+1</f>
        <v>95</v>
      </c>
      <c r="P62" s="3">
        <v>124</v>
      </c>
      <c r="Q62" s="3">
        <f>VLOOKUP($A62,'SegEnds_NonXtal_BW#'!$A:$Z,12,FALSE)+VLOOKUP($A62,A:AL,16,FALSE)-50</f>
        <v>130</v>
      </c>
      <c r="R62" s="3">
        <f>IF(ISERROR(VLOOKUP($A62,'SegEnds_NonXtal_BW#'!$A:$Z,13,FALSE)+VLOOKUP($A62,A:AL,19,FALSE)-50),"-",VLOOKUP($A62,'SegEnds_NonXtal_BW#'!$A:$Z,13,FALSE)+VLOOKUP($A62,A:AL,19,FALSE)-50)</f>
        <v>131</v>
      </c>
      <c r="S62" s="3">
        <v>131</v>
      </c>
      <c r="T62" s="100">
        <f>IF(ISERROR(VLOOKUP($A62,'SegEnds_NonXtal_BW#'!$A:$Z,14,FALSE)+VLOOKUP($A62,A:AL,19,FALSE)-50),"-",(VLOOKUP($A62,'SegEnds_NonXtal_BW#'!$A:$Z,14,FALSE)+VLOOKUP($A62,A:AL,19,FALSE)-50))</f>
        <v>138</v>
      </c>
      <c r="U62" s="9">
        <f>IF(ISERROR(VLOOKUP($A62,'SegEnds_NonXtal_BW#'!$A:$Z,15,FALSE)+VLOOKUP($A62,A:AL,22,FALSE)-50),"-",VLOOKUP($A62,'SegEnds_NonXtal_BW#'!$A:$Z,15,FALSE)+VLOOKUP($A62,A:AL,22,FALSE)-50)</f>
        <v>139</v>
      </c>
      <c r="V62" s="3">
        <v>151</v>
      </c>
      <c r="W62" s="3">
        <f>IF(ISERROR(VLOOKUP($A62,'SegEnds_NonXtal_BW#'!$A:$Z,16,FALSE)+VLOOKUP($A62,A:AL,22,FALSE)-50),"-",(VLOOKUP($A62,'SegEnds_NonXtal_BW#'!$A:$Z,16,FALSE)+VLOOKUP($A62,A:AL,22,FALSE)-50))</f>
        <v>165</v>
      </c>
      <c r="X62" s="3">
        <f>IF(ISERROR(VLOOKUP($A62,'SegEnds_NonXtal_BW#'!$A:$Z,17,FALSE)+VLOOKUP($A62,A:AL,25,FALSE)-50),"-",(VLOOKUP($A62,'SegEnds_NonXtal_BW#'!$A:$Z,17,FALSE)+VLOOKUP($A62,A:AL,25,FALSE)-50))</f>
        <v>176</v>
      </c>
      <c r="Y62" s="3">
        <v>176</v>
      </c>
      <c r="Z62" s="3">
        <f t="shared" ref="Z62:Z89" si="38">Y62+2</f>
        <v>178</v>
      </c>
      <c r="AA62" s="3">
        <f>IF(ISERROR(VLOOKUP($A62,'SegEnds_NonXtal_BW#'!$A:$Z,19,FALSE)+VLOOKUP($A62,A:AL,28,FALSE)-50),"-",(VLOOKUP($A62,'SegEnds_NonXtal_BW#'!$A:$Z,19,FALSE)+VLOOKUP($A62,A:AL,28,FALSE)-50))</f>
        <v>181</v>
      </c>
      <c r="AB62" s="3">
        <v>196</v>
      </c>
      <c r="AC62" s="3">
        <f>IF(ISERROR((VLOOKUP($A62,'SegEnds_NonXtal_BW#'!$A:$Z,20,FALSE)+VLOOKUP($A62,A:AL,28,FALSE)-50)),"-",(VLOOKUP($A62,'SegEnds_NonXtal_BW#'!$A:$Z,20,FALSE)+VLOOKUP($A62,A:AL,28,FALSE)-50))</f>
        <v>222</v>
      </c>
      <c r="AD62" s="3">
        <f>IF(ISERROR(VLOOKUP($A62,'SegEnds_NonXtal_BW#'!$A:$Z,21,FALSE)+VLOOKUP($A62,A:AL,31,FALSE)-50),"-",(VLOOKUP($A62,'SegEnds_NonXtal_BW#'!$A:$Z,21,FALSE)+VLOOKUP($A62,A:AL,31,FALSE)-50))</f>
        <v>261</v>
      </c>
      <c r="AE62" s="3">
        <v>287</v>
      </c>
      <c r="AF62" s="3">
        <f>IF(ISERROR((VLOOKUP($A62,'SegEnds_NonXtal_BW#'!$A:$Z,22,FALSE)+VLOOKUP($A62,A:AL,31,FALSE)-50)),"-",(VLOOKUP($A62,'SegEnds_NonXtal_BW#'!$A:$Z,22,FALSE)+VLOOKUP($A62,A:AL,31,FALSE)-50))</f>
        <v>298</v>
      </c>
      <c r="AG62" s="3">
        <f>IF(ISERROR(VLOOKUP($A62,'SegEnds_NonXtal_BW#'!$A:$Z,23,FALSE)+VLOOKUP($A62,A:AL,34,FALSE)-50),"-",(VLOOKUP($A62,'SegEnds_NonXtal_BW#'!$A:$Z,23,FALSE)+VLOOKUP($A62,A:AL,34,FALSE)-50))</f>
        <v>304</v>
      </c>
      <c r="AH62" s="3">
        <v>323</v>
      </c>
      <c r="AI62" s="3">
        <f>IF(ISERROR((VLOOKUP($A62,'SegEnds_NonXtal_BW#'!$A:$Z,24,FALSE)+VLOOKUP($A62,A:AL,34,FALSE)-50)),"-",(VLOOKUP($A62,'SegEnds_NonXtal_BW#'!$A:$Z,24,FALSE)+VLOOKUP($A62,A:AL,34,FALSE)-50))</f>
        <v>329</v>
      </c>
      <c r="AJ62" s="3">
        <f>IF(ISERROR(VLOOKUP($A62,'SegEnds_NonXtal_BW#'!$A:$Z,25,FALSE)+VLOOKUP($A62,A:AL,37,FALSE)-50),"-",(VLOOKUP($A62,'SegEnds_NonXtal_BW#'!$A:$Z,25,FALSE)+VLOOKUP($A62,A:AL,37,FALSE)-50))</f>
        <v>330</v>
      </c>
      <c r="AK62" s="3">
        <v>333</v>
      </c>
      <c r="AL62" s="3">
        <f>IF(ISERROR((VLOOKUP($A62,'SegEnds_NonXtal_BW#'!$A:$Z,26,FALSE)+VLOOKUP($A62,A:AL,37,FALSE)-50)),"-",(VLOOKUP($A62,'SegEnds_NonXtal_BW#'!$A:$Z,26,FALSE)+VLOOKUP($A62,A:AL,37,FALSE)-50))</f>
        <v>342</v>
      </c>
      <c r="AM62" s="28" t="str">
        <f>VLOOKUP(A62,Classification!A:B,2,FALSE)</f>
        <v>A</v>
      </c>
      <c r="AN62" s="28" t="b">
        <f t="shared" si="17"/>
        <v>1</v>
      </c>
      <c r="AO62" s="3" t="str">
        <f>IF(ISERROR(MATCH(A62,'SegEnds_Xtal_Prot#'!B:B, 0)), "NoXtal", "Xtal")</f>
        <v>NoXtal</v>
      </c>
      <c r="AP62" s="3">
        <f t="shared" si="2"/>
        <v>1</v>
      </c>
      <c r="AQ62" s="3">
        <f t="shared" si="3"/>
        <v>1</v>
      </c>
      <c r="AR62" s="3">
        <f t="shared" si="4"/>
        <v>2</v>
      </c>
      <c r="AS62" s="3">
        <f t="shared" si="5"/>
        <v>1</v>
      </c>
      <c r="AT62" s="3">
        <f t="shared" si="6"/>
        <v>1</v>
      </c>
      <c r="AU62" s="3">
        <f t="shared" si="7"/>
        <v>1</v>
      </c>
      <c r="AV62" s="3">
        <f t="shared" si="8"/>
        <v>11</v>
      </c>
      <c r="AW62" s="3">
        <f t="shared" si="9"/>
        <v>3</v>
      </c>
      <c r="AX62" s="3">
        <f t="shared" si="10"/>
        <v>39</v>
      </c>
      <c r="AY62" s="3">
        <f t="shared" si="11"/>
        <v>6</v>
      </c>
      <c r="AZ62" s="3">
        <f t="shared" si="12"/>
        <v>1</v>
      </c>
      <c r="BA62" s="3">
        <f>IF(ISERROR(LEN(VLOOKUP(A62,Seqs!A:E,2,FALSE))-AL62),"-",LEN(VLOOKUP(A62,Seqs!A:E,2,FALSE))-AL62)</f>
        <v>124</v>
      </c>
      <c r="BB62" s="16">
        <f t="shared" si="13"/>
        <v>28</v>
      </c>
      <c r="BC62" s="9">
        <f t="shared" si="14"/>
        <v>20</v>
      </c>
      <c r="BD62" s="3">
        <f t="shared" si="15"/>
        <v>28</v>
      </c>
      <c r="BE62" s="3">
        <f t="shared" si="16"/>
        <v>91</v>
      </c>
    </row>
    <row r="63" spans="1:58" s="3" customFormat="1" x14ac:dyDescent="0.2">
      <c r="A63" s="3" t="s">
        <v>153</v>
      </c>
      <c r="B63" s="3" t="str">
        <f>LOWER(VLOOKUP(A63,Xtal_Templ!A:B,2,FALSE))</f>
        <v>drd2_human</v>
      </c>
      <c r="C63" s="3">
        <f>VLOOKUP($A63,'SegEnds_NonXtal_BW#'!$A:$Z,3,FALSE)+D63-50</f>
        <v>42</v>
      </c>
      <c r="D63" s="3">
        <v>63</v>
      </c>
      <c r="E63" s="3">
        <f>IF(ISERROR(VLOOKUP($A63,'SegEnds_NonXtal_BW#'!$A:$Z,4,FALSE)+VLOOKUP($A63,A:AL,4,FALSE)-50),"-",(VLOOKUP($A63,'SegEnds_NonXtal_BW#'!$A:$Z,4,FALSE)+VLOOKUP($A63,A:AL,4,FALSE)-50))</f>
        <v>73</v>
      </c>
      <c r="F63" s="3">
        <f t="shared" si="27"/>
        <v>74</v>
      </c>
      <c r="G63" s="3">
        <v>76</v>
      </c>
      <c r="H63" s="3">
        <f t="shared" si="33"/>
        <v>77</v>
      </c>
      <c r="I63" s="3">
        <f t="shared" si="33"/>
        <v>78</v>
      </c>
      <c r="J63" s="3">
        <v>91</v>
      </c>
      <c r="K63" s="3">
        <f>VLOOKUP($A63,'SegEnds_NonXtal_BW#'!$A:$Z,8,FALSE)+VLOOKUP($A63,A:AL,10,FALSE)-50</f>
        <v>109</v>
      </c>
      <c r="L63" s="3">
        <f t="shared" si="35"/>
        <v>110</v>
      </c>
      <c r="M63" s="3">
        <v>111</v>
      </c>
      <c r="N63" s="3">
        <f t="shared" si="36"/>
        <v>113</v>
      </c>
      <c r="O63" s="3">
        <f t="shared" si="37"/>
        <v>114</v>
      </c>
      <c r="P63" s="3">
        <v>143</v>
      </c>
      <c r="Q63" s="3">
        <f>VLOOKUP($A63,'SegEnds_NonXtal_BW#'!$A:$Z,12,FALSE)+VLOOKUP($A63,A:AL,16,FALSE)-50</f>
        <v>149</v>
      </c>
      <c r="R63" s="3">
        <f>IF(ISERROR(VLOOKUP($A63,'SegEnds_NonXtal_BW#'!$A:$Z,13,FALSE)+VLOOKUP($A63,A:AL,19,FALSE)-50),"-",VLOOKUP($A63,'SegEnds_NonXtal_BW#'!$A:$Z,13,FALSE)+VLOOKUP($A63,A:AL,19,FALSE)-50)</f>
        <v>150</v>
      </c>
      <c r="S63" s="3">
        <v>150</v>
      </c>
      <c r="T63" s="100">
        <f>IF(ISERROR(VLOOKUP($A63,'SegEnds_NonXtal_BW#'!$A:$Z,14,FALSE)+VLOOKUP($A63,A:AL,19,FALSE)-50),"-",(VLOOKUP($A63,'SegEnds_NonXtal_BW#'!$A:$Z,14,FALSE)+VLOOKUP($A63,A:AL,19,FALSE)-50))</f>
        <v>157</v>
      </c>
      <c r="U63" s="9">
        <f>IF(ISERROR(VLOOKUP($A63,'SegEnds_NonXtal_BW#'!$A:$Z,15,FALSE)+VLOOKUP($A63,A:AL,22,FALSE)-50),"-",VLOOKUP($A63,'SegEnds_NonXtal_BW#'!$A:$Z,15,FALSE)+VLOOKUP($A63,A:AL,22,FALSE)-50)</f>
        <v>158</v>
      </c>
      <c r="V63" s="3">
        <v>170</v>
      </c>
      <c r="W63" s="3">
        <f>IF(ISERROR(VLOOKUP($A63,'SegEnds_NonXtal_BW#'!$A:$Z,16,FALSE)+VLOOKUP($A63,A:AL,22,FALSE)-50),"-",(VLOOKUP($A63,'SegEnds_NonXtal_BW#'!$A:$Z,16,FALSE)+VLOOKUP($A63,A:AL,22,FALSE)-50))</f>
        <v>182</v>
      </c>
      <c r="X63" s="3">
        <f>IF(ISERROR(VLOOKUP($A63,'SegEnds_NonXtal_BW#'!$A:$Z,17,FALSE)+VLOOKUP($A63,A:AL,25,FALSE)-50),"-",(VLOOKUP($A63,'SegEnds_NonXtal_BW#'!$A:$Z,17,FALSE)+VLOOKUP($A63,A:AL,25,FALSE)-50))</f>
        <v>195</v>
      </c>
      <c r="Y63" s="3">
        <v>195</v>
      </c>
      <c r="Z63" s="3">
        <f t="shared" si="38"/>
        <v>197</v>
      </c>
      <c r="AA63" s="3">
        <f>IF(ISERROR(VLOOKUP($A63,'SegEnds_NonXtal_BW#'!$A:$Z,19,FALSE)+VLOOKUP($A63,A:AL,28,FALSE)-50),"-",(VLOOKUP($A63,'SegEnds_NonXtal_BW#'!$A:$Z,19,FALSE)+VLOOKUP($A63,A:AL,28,FALSE)-50))</f>
        <v>200</v>
      </c>
      <c r="AB63" s="3">
        <v>215</v>
      </c>
      <c r="AC63" s="3">
        <f>IF(ISERROR((VLOOKUP($A63,'SegEnds_NonXtal_BW#'!$A:$Z,20,FALSE)+VLOOKUP($A63,A:AL,28,FALSE)-50)),"-",(VLOOKUP($A63,'SegEnds_NonXtal_BW#'!$A:$Z,20,FALSE)+VLOOKUP($A63,A:AL,28,FALSE)-50))</f>
        <v>239</v>
      </c>
      <c r="AD63" s="3">
        <f>IF(ISERROR(VLOOKUP($A63,'SegEnds_NonXtal_BW#'!$A:$Z,21,FALSE)+VLOOKUP($A63,A:AL,31,FALSE)-50),"-",(VLOOKUP($A63,'SegEnds_NonXtal_BW#'!$A:$Z,21,FALSE)+VLOOKUP($A63,A:AL,31,FALSE)-50))</f>
        <v>283</v>
      </c>
      <c r="AE63" s="3">
        <v>309</v>
      </c>
      <c r="AF63" s="3">
        <f>IF(ISERROR((VLOOKUP($A63,'SegEnds_NonXtal_BW#'!$A:$Z,22,FALSE)+VLOOKUP($A63,A:AL,31,FALSE)-50)),"-",(VLOOKUP($A63,'SegEnds_NonXtal_BW#'!$A:$Z,22,FALSE)+VLOOKUP($A63,A:AL,31,FALSE)-50))</f>
        <v>320</v>
      </c>
      <c r="AG63" s="3">
        <f>IF(ISERROR(VLOOKUP($A63,'SegEnds_NonXtal_BW#'!$A:$Z,23,FALSE)+VLOOKUP($A63,A:AL,34,FALSE)-50),"-",(VLOOKUP($A63,'SegEnds_NonXtal_BW#'!$A:$Z,23,FALSE)+VLOOKUP($A63,A:AL,34,FALSE)-50))</f>
        <v>326</v>
      </c>
      <c r="AH63" s="3">
        <v>345</v>
      </c>
      <c r="AI63" s="3">
        <v>351</v>
      </c>
      <c r="AJ63" s="3">
        <f>IF(ISERROR(VLOOKUP($A63,'SegEnds_NonXtal_BW#'!$A:$Z,25,FALSE)+VLOOKUP($A63,A:AL,37,FALSE)-50),"-",(VLOOKUP($A63,'SegEnds_NonXtal_BW#'!$A:$Z,25,FALSE)+VLOOKUP($A63,A:AL,37,FALSE)-50))</f>
        <v>352</v>
      </c>
      <c r="AK63" s="3">
        <v>355</v>
      </c>
      <c r="AL63" s="3">
        <f>IF(ISERROR((VLOOKUP($A63,'SegEnds_NonXtal_BW#'!$A:$Z,26,FALSE)+VLOOKUP($A63,A:AL,37,FALSE)-50)),"-",(VLOOKUP($A63,'SegEnds_NonXtal_BW#'!$A:$Z,26,FALSE)+VLOOKUP($A63,A:AL,37,FALSE)-50))</f>
        <v>364</v>
      </c>
      <c r="AM63" s="28" t="str">
        <f>VLOOKUP(A63,Classification!A:B,2,FALSE)</f>
        <v>A</v>
      </c>
      <c r="AN63" s="28" t="b">
        <f t="shared" si="17"/>
        <v>1</v>
      </c>
      <c r="AO63" s="3" t="str">
        <f>IF(ISERROR(MATCH(A63,'SegEnds_Xtal_Prot#'!B:B, 0)), "NoXtal", "Xtal")</f>
        <v>NoXtal</v>
      </c>
      <c r="AP63" s="3">
        <f t="shared" si="2"/>
        <v>1</v>
      </c>
      <c r="AQ63" s="3">
        <f t="shared" si="3"/>
        <v>1</v>
      </c>
      <c r="AR63" s="3">
        <f t="shared" si="4"/>
        <v>1</v>
      </c>
      <c r="AS63" s="3">
        <f t="shared" si="5"/>
        <v>1</v>
      </c>
      <c r="AT63" s="3">
        <f t="shared" si="6"/>
        <v>1</v>
      </c>
      <c r="AU63" s="3">
        <f t="shared" si="7"/>
        <v>1</v>
      </c>
      <c r="AV63" s="3">
        <f t="shared" si="8"/>
        <v>13</v>
      </c>
      <c r="AW63" s="3">
        <f t="shared" si="9"/>
        <v>3</v>
      </c>
      <c r="AX63" s="3">
        <f t="shared" si="10"/>
        <v>44</v>
      </c>
      <c r="AY63" s="3">
        <f t="shared" si="11"/>
        <v>6</v>
      </c>
      <c r="AZ63" s="3">
        <f t="shared" si="12"/>
        <v>1</v>
      </c>
      <c r="BA63" s="3">
        <f>IF(ISERROR(LEN(VLOOKUP(A63,Seqs!A:E,2,FALSE))-AL63),"-",LEN(VLOOKUP(A63,Seqs!A:E,2,FALSE))-AL63)</f>
        <v>156</v>
      </c>
      <c r="BB63" s="16">
        <f t="shared" si="13"/>
        <v>28</v>
      </c>
      <c r="BC63" s="9">
        <f t="shared" si="14"/>
        <v>20</v>
      </c>
      <c r="BD63" s="3">
        <f t="shared" si="15"/>
        <v>28</v>
      </c>
      <c r="BE63" s="3">
        <f t="shared" si="16"/>
        <v>94</v>
      </c>
    </row>
    <row r="64" spans="1:58" s="3" customFormat="1" x14ac:dyDescent="0.2">
      <c r="A64" s="3" t="s">
        <v>154</v>
      </c>
      <c r="B64" s="3" t="str">
        <f>LOWER(VLOOKUP(A64,Xtal_Templ!A:B,2,FALSE))</f>
        <v>adrb2_human</v>
      </c>
      <c r="C64" s="3">
        <f>VLOOKUP($A64,'SegEnds_NonXtal_BW#'!$A:$Z,3,FALSE)+D64-50</f>
        <v>89</v>
      </c>
      <c r="D64" s="3">
        <v>114</v>
      </c>
      <c r="E64" s="3">
        <f>IF(ISERROR(VLOOKUP($A64,'SegEnds_NonXtal_BW#'!$A:$Z,4,FALSE)+VLOOKUP($A64,A:AL,4,FALSE)-50),"-",(VLOOKUP($A64,'SegEnds_NonXtal_BW#'!$A:$Z,4,FALSE)+VLOOKUP($A64,A:AL,4,FALSE)-50))</f>
        <v>124</v>
      </c>
      <c r="F64" s="3">
        <f t="shared" si="27"/>
        <v>125</v>
      </c>
      <c r="G64" s="3">
        <v>127</v>
      </c>
      <c r="H64" s="3">
        <f t="shared" si="33"/>
        <v>128</v>
      </c>
      <c r="I64" s="3">
        <f t="shared" si="33"/>
        <v>129</v>
      </c>
      <c r="J64" s="3">
        <v>142</v>
      </c>
      <c r="K64" s="3">
        <f>VLOOKUP($A64,'SegEnds_NonXtal_BW#'!$A:$Z,8,FALSE)+VLOOKUP($A64,A:AL,10,FALSE)-50</f>
        <v>159</v>
      </c>
      <c r="L64" s="3">
        <f t="shared" si="35"/>
        <v>161</v>
      </c>
      <c r="M64" s="3">
        <v>162</v>
      </c>
      <c r="N64" s="3">
        <f t="shared" si="36"/>
        <v>164</v>
      </c>
      <c r="O64" s="3">
        <f t="shared" si="37"/>
        <v>165</v>
      </c>
      <c r="P64" s="3">
        <v>194</v>
      </c>
      <c r="Q64" s="3">
        <f>VLOOKUP($A64,'SegEnds_NonXtal_BW#'!$A:$Z,12,FALSE)+VLOOKUP($A64,A:AL,16,FALSE)-50</f>
        <v>200</v>
      </c>
      <c r="R64" s="3">
        <f>IF(ISERROR(VLOOKUP($A64,'SegEnds_NonXtal_BW#'!$A:$Z,13,FALSE)+VLOOKUP($A64,A:AL,19,FALSE)-50),"-",VLOOKUP($A64,'SegEnds_NonXtal_BW#'!$A:$Z,13,FALSE)+VLOOKUP($A64,A:AL,19,FALSE)-50)</f>
        <v>201</v>
      </c>
      <c r="S64" s="3">
        <v>201</v>
      </c>
      <c r="T64" s="100">
        <f>IF(ISERROR(VLOOKUP($A64,'SegEnds_NonXtal_BW#'!$A:$Z,14,FALSE)+VLOOKUP($A64,A:AL,19,FALSE)-50),"-",(VLOOKUP($A64,'SegEnds_NonXtal_BW#'!$A:$Z,14,FALSE)+VLOOKUP($A64,A:AL,19,FALSE)-50))</f>
        <v>208</v>
      </c>
      <c r="U64" s="9">
        <f>IF(ISERROR(VLOOKUP($A64,'SegEnds_NonXtal_BW#'!$A:$Z,15,FALSE)+VLOOKUP($A64,A:AL,22,FALSE)-50),"-",VLOOKUP($A64,'SegEnds_NonXtal_BW#'!$A:$Z,15,FALSE)+VLOOKUP($A64,A:AL,22,FALSE)-50)</f>
        <v>209</v>
      </c>
      <c r="V64" s="3">
        <v>221</v>
      </c>
      <c r="W64" s="3">
        <f>IF(ISERROR(VLOOKUP($A64,'SegEnds_NonXtal_BW#'!$A:$Z,16,FALSE)+VLOOKUP($A64,A:AL,22,FALSE)-50),"-",(VLOOKUP($A64,'SegEnds_NonXtal_BW#'!$A:$Z,16,FALSE)+VLOOKUP($A64,A:AL,22,FALSE)-50))</f>
        <v>235</v>
      </c>
      <c r="X64" s="3">
        <f>IF(ISERROR(VLOOKUP($A64,'SegEnds_NonXtal_BW#'!$A:$Z,17,FALSE)+VLOOKUP($A64,A:AL,25,FALSE)-50),"-",(VLOOKUP($A64,'SegEnds_NonXtal_BW#'!$A:$Z,17,FALSE)+VLOOKUP($A64,A:AL,25,FALSE)-50))</f>
        <v>246</v>
      </c>
      <c r="Y64" s="3">
        <v>246</v>
      </c>
      <c r="Z64" s="3">
        <f t="shared" si="38"/>
        <v>248</v>
      </c>
      <c r="AA64" s="3">
        <f>IF(ISERROR(VLOOKUP($A64,'SegEnds_NonXtal_BW#'!$A:$Z,19,FALSE)+VLOOKUP($A64,A:AL,28,FALSE)-50),"-",(VLOOKUP($A64,'SegEnds_NonXtal_BW#'!$A:$Z,19,FALSE)+VLOOKUP($A64,A:AL,28,FALSE)-50))</f>
        <v>251</v>
      </c>
      <c r="AB64" s="3">
        <v>266</v>
      </c>
      <c r="AC64" s="3">
        <f>IF(ISERROR((VLOOKUP($A64,'SegEnds_NonXtal_BW#'!$A:$Z,20,FALSE)+VLOOKUP($A64,A:AL,28,FALSE)-50)),"-",(VLOOKUP($A64,'SegEnds_NonXtal_BW#'!$A:$Z,20,FALSE)+VLOOKUP($A64,A:AL,28,FALSE)-50))</f>
        <v>290</v>
      </c>
      <c r="AD64" s="3">
        <f>IF(ISERROR(VLOOKUP($A64,'SegEnds_NonXtal_BW#'!$A:$Z,21,FALSE)+VLOOKUP($A64,A:AL,31,FALSE)-50),"-",(VLOOKUP($A64,'SegEnds_NonXtal_BW#'!$A:$Z,21,FALSE)+VLOOKUP($A64,A:AL,31,FALSE)-50))</f>
        <v>337</v>
      </c>
      <c r="AE64" s="3">
        <v>363</v>
      </c>
      <c r="AF64" s="3">
        <f>IF(ISERROR((VLOOKUP($A64,'SegEnds_NonXtal_BW#'!$A:$Z,22,FALSE)+VLOOKUP($A64,A:AL,31,FALSE)-50)),"-",(VLOOKUP($A64,'SegEnds_NonXtal_BW#'!$A:$Z,22,FALSE)+VLOOKUP($A64,A:AL,31,FALSE)-50))</f>
        <v>374</v>
      </c>
      <c r="AG64" s="3">
        <f>IF(ISERROR(VLOOKUP($A64,'SegEnds_NonXtal_BW#'!$A:$Z,23,FALSE)+VLOOKUP($A64,A:AL,34,FALSE)-50),"-",(VLOOKUP($A64,'SegEnds_NonXtal_BW#'!$A:$Z,23,FALSE)+VLOOKUP($A64,A:AL,34,FALSE)-50))</f>
        <v>380</v>
      </c>
      <c r="AH64" s="3">
        <v>399</v>
      </c>
      <c r="AI64" s="3">
        <v>405</v>
      </c>
      <c r="AJ64" s="3">
        <f>IF(ISERROR(VLOOKUP($A64,'SegEnds_NonXtal_BW#'!$A:$Z,25,FALSE)+VLOOKUP($A64,A:AL,37,FALSE)-50),"-",(VLOOKUP($A64,'SegEnds_NonXtal_BW#'!$A:$Z,25,FALSE)+VLOOKUP($A64,A:AL,37,FALSE)-50))</f>
        <v>406</v>
      </c>
      <c r="AK64" s="3">
        <v>409</v>
      </c>
      <c r="AL64" s="3">
        <f>IF(ISERROR((VLOOKUP($A64,'SegEnds_NonXtal_BW#'!$A:$Z,26,FALSE)+VLOOKUP($A64,A:AL,37,FALSE)-50)),"-",(VLOOKUP($A64,'SegEnds_NonXtal_BW#'!$A:$Z,26,FALSE)+VLOOKUP($A64,A:AL,37,FALSE)-50))</f>
        <v>418</v>
      </c>
      <c r="AM64" s="28" t="str">
        <f>VLOOKUP(A64,Classification!A:B,2,FALSE)</f>
        <v>A</v>
      </c>
      <c r="AN64" s="28" t="b">
        <f t="shared" si="17"/>
        <v>1</v>
      </c>
      <c r="AO64" s="3" t="str">
        <f>IF(ISERROR(MATCH(A64,'SegEnds_Xtal_Prot#'!B:B, 0)), "NoXtal", "Xtal")</f>
        <v>NoXtal</v>
      </c>
      <c r="AP64" s="3">
        <f t="shared" si="2"/>
        <v>1</v>
      </c>
      <c r="AQ64" s="3">
        <f t="shared" si="3"/>
        <v>1</v>
      </c>
      <c r="AR64" s="3">
        <f t="shared" si="4"/>
        <v>2</v>
      </c>
      <c r="AS64" s="3">
        <f t="shared" si="5"/>
        <v>1</v>
      </c>
      <c r="AT64" s="3">
        <f t="shared" si="6"/>
        <v>1</v>
      </c>
      <c r="AU64" s="3">
        <f t="shared" si="7"/>
        <v>1</v>
      </c>
      <c r="AV64" s="3">
        <f t="shared" si="8"/>
        <v>11</v>
      </c>
      <c r="AW64" s="3">
        <f t="shared" si="9"/>
        <v>3</v>
      </c>
      <c r="AX64" s="3">
        <f t="shared" si="10"/>
        <v>47</v>
      </c>
      <c r="AY64" s="3">
        <f t="shared" si="11"/>
        <v>6</v>
      </c>
      <c r="AZ64" s="3">
        <f t="shared" si="12"/>
        <v>1</v>
      </c>
      <c r="BA64" s="3">
        <f>IF(ISERROR(LEN(VLOOKUP(A64,Seqs!A:E,2,FALSE))-AL64),"-",LEN(VLOOKUP(A64,Seqs!A:E,2,FALSE))-AL64)</f>
        <v>154</v>
      </c>
      <c r="BB64" s="16">
        <f t="shared" si="13"/>
        <v>28</v>
      </c>
      <c r="BC64" s="9">
        <f t="shared" si="14"/>
        <v>20</v>
      </c>
      <c r="BD64" s="3">
        <f t="shared" si="15"/>
        <v>28</v>
      </c>
      <c r="BE64" s="3">
        <f t="shared" si="16"/>
        <v>97</v>
      </c>
    </row>
    <row r="65" spans="1:58" s="3" customFormat="1" x14ac:dyDescent="0.2">
      <c r="A65" s="3" t="s">
        <v>155</v>
      </c>
      <c r="B65" s="3" t="str">
        <f>LOWER(VLOOKUP(A65,Xtal_Templ!A:B,2,FALSE))</f>
        <v>drd2_human</v>
      </c>
      <c r="C65" s="3">
        <f>VLOOKUP($A65,'SegEnds_NonXtal_BW#'!$A:$Z,3,FALSE)+D65-50</f>
        <v>30</v>
      </c>
      <c r="D65" s="3">
        <v>51</v>
      </c>
      <c r="E65" s="3">
        <f>IF(ISERROR(VLOOKUP($A65,'SegEnds_NonXtal_BW#'!$A:$Z,4,FALSE)+VLOOKUP($A65,A:AL,4,FALSE)-50),"-",(VLOOKUP($A65,'SegEnds_NonXtal_BW#'!$A:$Z,4,FALSE)+VLOOKUP($A65,A:AL,4,FALSE)-50))</f>
        <v>61</v>
      </c>
      <c r="F65" s="3">
        <f t="shared" si="27"/>
        <v>62</v>
      </c>
      <c r="G65" s="3">
        <v>64</v>
      </c>
      <c r="H65" s="3">
        <f t="shared" si="33"/>
        <v>65</v>
      </c>
      <c r="I65" s="3">
        <f t="shared" si="33"/>
        <v>66</v>
      </c>
      <c r="J65" s="3">
        <v>79</v>
      </c>
      <c r="K65" s="3">
        <f>VLOOKUP($A65,'SegEnds_NonXtal_BW#'!$A:$Z,8,FALSE)+VLOOKUP($A65,A:AL,10,FALSE)-50</f>
        <v>97</v>
      </c>
      <c r="L65" s="3">
        <f t="shared" si="35"/>
        <v>98</v>
      </c>
      <c r="M65" s="3">
        <v>99</v>
      </c>
      <c r="N65" s="3">
        <f t="shared" si="36"/>
        <v>101</v>
      </c>
      <c r="O65" s="3">
        <f t="shared" si="37"/>
        <v>102</v>
      </c>
      <c r="P65" s="3">
        <v>131</v>
      </c>
      <c r="Q65" s="3">
        <f>VLOOKUP($A65,'SegEnds_NonXtal_BW#'!$A:$Z,12,FALSE)+VLOOKUP($A65,A:AL,16,FALSE)-50</f>
        <v>137</v>
      </c>
      <c r="R65" s="3">
        <f>IF(ISERROR(VLOOKUP($A65,'SegEnds_NonXtal_BW#'!$A:$Z,13,FALSE)+VLOOKUP($A65,A:AL,19,FALSE)-50),"-",VLOOKUP($A65,'SegEnds_NonXtal_BW#'!$A:$Z,13,FALSE)+VLOOKUP($A65,A:AL,19,FALSE)-50)</f>
        <v>138</v>
      </c>
      <c r="S65" s="3">
        <v>138</v>
      </c>
      <c r="T65" s="100">
        <f>IF(ISERROR(VLOOKUP($A65,'SegEnds_NonXtal_BW#'!$A:$Z,14,FALSE)+VLOOKUP($A65,A:AL,19,FALSE)-50),"-",(VLOOKUP($A65,'SegEnds_NonXtal_BW#'!$A:$Z,14,FALSE)+VLOOKUP($A65,A:AL,19,FALSE)-50))</f>
        <v>145</v>
      </c>
      <c r="U65" s="9">
        <f>IF(ISERROR(VLOOKUP($A65,'SegEnds_NonXtal_BW#'!$A:$Z,15,FALSE)+VLOOKUP($A65,A:AL,22,FALSE)-50),"-",VLOOKUP($A65,'SegEnds_NonXtal_BW#'!$A:$Z,15,FALSE)+VLOOKUP($A65,A:AL,22,FALSE)-50)</f>
        <v>146</v>
      </c>
      <c r="V65" s="3">
        <v>158</v>
      </c>
      <c r="W65" s="3">
        <f>IF(ISERROR(VLOOKUP($A65,'SegEnds_NonXtal_BW#'!$A:$Z,16,FALSE)+VLOOKUP($A65,A:AL,22,FALSE)-50),"-",(VLOOKUP($A65,'SegEnds_NonXtal_BW#'!$A:$Z,16,FALSE)+VLOOKUP($A65,A:AL,22,FALSE)-50))</f>
        <v>170</v>
      </c>
      <c r="X65" s="3">
        <f>IF(ISERROR(VLOOKUP($A65,'SegEnds_NonXtal_BW#'!$A:$Z,17,FALSE)+VLOOKUP($A65,A:AL,25,FALSE)-50),"-",(VLOOKUP($A65,'SegEnds_NonXtal_BW#'!$A:$Z,17,FALSE)+VLOOKUP($A65,A:AL,25,FALSE)-50))</f>
        <v>188</v>
      </c>
      <c r="Y65" s="3">
        <v>188</v>
      </c>
      <c r="Z65" s="3">
        <f t="shared" si="38"/>
        <v>190</v>
      </c>
      <c r="AA65" s="3">
        <f>IF(ISERROR(VLOOKUP($A65,'SegEnds_NonXtal_BW#'!$A:$Z,19,FALSE)+VLOOKUP($A65,A:AL,28,FALSE)-50),"-",(VLOOKUP($A65,'SegEnds_NonXtal_BW#'!$A:$Z,19,FALSE)+VLOOKUP($A65,A:AL,28,FALSE)-50))</f>
        <v>193</v>
      </c>
      <c r="AB65" s="3">
        <v>208</v>
      </c>
      <c r="AC65" s="3">
        <f>IF(ISERROR((VLOOKUP($A65,'SegEnds_NonXtal_BW#'!$A:$Z,20,FALSE)+VLOOKUP($A65,A:AL,28,FALSE)-50)),"-",(VLOOKUP($A65,'SegEnds_NonXtal_BW#'!$A:$Z,20,FALSE)+VLOOKUP($A65,A:AL,28,FALSE)-50))</f>
        <v>233</v>
      </c>
      <c r="AD65" s="3">
        <f>IF(ISERROR(VLOOKUP($A65,'SegEnds_NonXtal_BW#'!$A:$Z,21,FALSE)+VLOOKUP($A65,A:AL,31,FALSE)-50),"-",(VLOOKUP($A65,'SegEnds_NonXtal_BW#'!$A:$Z,21,FALSE)+VLOOKUP($A65,A:AL,31,FALSE)-50))</f>
        <v>363</v>
      </c>
      <c r="AE65" s="3">
        <v>389</v>
      </c>
      <c r="AF65" s="3">
        <f>IF(ISERROR((VLOOKUP($A65,'SegEnds_NonXtal_BW#'!$A:$Z,22,FALSE)+VLOOKUP($A65,A:AL,31,FALSE)-50)),"-",(VLOOKUP($A65,'SegEnds_NonXtal_BW#'!$A:$Z,22,FALSE)+VLOOKUP($A65,A:AL,31,FALSE)-50))</f>
        <v>400</v>
      </c>
      <c r="AG65" s="3">
        <f>IF(ISERROR(VLOOKUP($A65,'SegEnds_NonXtal_BW#'!$A:$Z,23,FALSE)+VLOOKUP($A65,A:AL,34,FALSE)-50),"-",(VLOOKUP($A65,'SegEnds_NonXtal_BW#'!$A:$Z,23,FALSE)+VLOOKUP($A65,A:AL,34,FALSE)-50))</f>
        <v>405</v>
      </c>
      <c r="AH65" s="3">
        <v>423</v>
      </c>
      <c r="AI65" s="3">
        <f>IF(ISERROR((VLOOKUP($A65,'SegEnds_NonXtal_BW#'!$A:$Z,24,FALSE)+VLOOKUP($A65,A:AL,34,FALSE)-50)),"-",(VLOOKUP($A65,'SegEnds_NonXtal_BW#'!$A:$Z,24,FALSE)+VLOOKUP($A65,A:AL,34,FALSE)-50))</f>
        <v>429</v>
      </c>
      <c r="AJ65" s="3">
        <f>IF(ISERROR(VLOOKUP($A65,'SegEnds_NonXtal_BW#'!$A:$Z,25,FALSE)+VLOOKUP($A65,A:AL,37,FALSE)-50),"-",(VLOOKUP($A65,'SegEnds_NonXtal_BW#'!$A:$Z,25,FALSE)+VLOOKUP($A65,A:AL,37,FALSE)-50))</f>
        <v>430</v>
      </c>
      <c r="AK65" s="3">
        <v>433</v>
      </c>
      <c r="AL65" s="3">
        <f>IF(ISERROR((VLOOKUP($A65,'SegEnds_NonXtal_BW#'!$A:$Z,26,FALSE)+VLOOKUP($A65,A:AL,37,FALSE)-50)),"-",(VLOOKUP($A65,'SegEnds_NonXtal_BW#'!$A:$Z,26,FALSE)+VLOOKUP($A65,A:AL,37,FALSE)-50))</f>
        <v>442</v>
      </c>
      <c r="AM65" s="28" t="str">
        <f>VLOOKUP(A65,Classification!A:B,2,FALSE)</f>
        <v>A</v>
      </c>
      <c r="AN65" s="28" t="b">
        <f t="shared" si="17"/>
        <v>1</v>
      </c>
      <c r="AO65" s="3" t="str">
        <f>IF(ISERROR(MATCH(A65,'SegEnds_Xtal_Prot#'!B:B, 0)), "NoXtal", "Xtal")</f>
        <v>NoXtal</v>
      </c>
      <c r="AP65" s="3">
        <f t="shared" si="2"/>
        <v>1</v>
      </c>
      <c r="AQ65" s="3">
        <f t="shared" si="3"/>
        <v>1</v>
      </c>
      <c r="AR65" s="3">
        <f t="shared" si="4"/>
        <v>1</v>
      </c>
      <c r="AS65" s="3">
        <f t="shared" si="5"/>
        <v>1</v>
      </c>
      <c r="AT65" s="3">
        <f t="shared" si="6"/>
        <v>1</v>
      </c>
      <c r="AU65" s="3">
        <f t="shared" si="7"/>
        <v>1</v>
      </c>
      <c r="AV65" s="3">
        <f t="shared" si="8"/>
        <v>18</v>
      </c>
      <c r="AW65" s="3">
        <f t="shared" si="9"/>
        <v>3</v>
      </c>
      <c r="AX65" s="3">
        <f t="shared" si="10"/>
        <v>130</v>
      </c>
      <c r="AY65" s="3">
        <f t="shared" si="11"/>
        <v>5</v>
      </c>
      <c r="AZ65" s="3">
        <f t="shared" si="12"/>
        <v>1</v>
      </c>
      <c r="BA65" s="3">
        <f>IF(ISERROR(LEN(VLOOKUP(A65,Seqs!A:E,2,FALSE))-AL65),"-",LEN(VLOOKUP(A65,Seqs!A:E,2,FALSE))-AL65)</f>
        <v>8</v>
      </c>
      <c r="BB65" s="16">
        <f t="shared" si="13"/>
        <v>28</v>
      </c>
      <c r="BC65" s="9">
        <f t="shared" si="14"/>
        <v>20</v>
      </c>
      <c r="BD65" s="3">
        <f t="shared" si="15"/>
        <v>28</v>
      </c>
      <c r="BE65" s="3">
        <f t="shared" si="16"/>
        <v>181</v>
      </c>
      <c r="BF65" s="3">
        <f>AH65-AE65</f>
        <v>34</v>
      </c>
    </row>
    <row r="66" spans="1:58" s="3" customFormat="1" x14ac:dyDescent="0.2">
      <c r="A66" s="3" t="s">
        <v>156</v>
      </c>
      <c r="B66" s="3" t="str">
        <f>LOWER(VLOOKUP(A66,Xtal_Templ!A:B,2,FALSE))</f>
        <v>drd2_human</v>
      </c>
      <c r="C66" s="3">
        <f>VLOOKUP($A66,'SegEnds_NonXtal_BW#'!$A:$Z,3,FALSE)+D66-50</f>
        <v>9</v>
      </c>
      <c r="D66" s="3">
        <v>30</v>
      </c>
      <c r="E66" s="3">
        <f>IF(ISERROR(VLOOKUP($A66,'SegEnds_NonXtal_BW#'!$A:$Z,4,FALSE)+VLOOKUP($A66,A:AL,4,FALSE)-50),"-",(VLOOKUP($A66,'SegEnds_NonXtal_BW#'!$A:$Z,4,FALSE)+VLOOKUP($A66,A:AL,4,FALSE)-50))</f>
        <v>40</v>
      </c>
      <c r="F66" s="3">
        <f t="shared" si="27"/>
        <v>41</v>
      </c>
      <c r="G66" s="3">
        <v>43</v>
      </c>
      <c r="H66" s="3">
        <f t="shared" si="33"/>
        <v>44</v>
      </c>
      <c r="I66" s="3">
        <f t="shared" si="33"/>
        <v>45</v>
      </c>
      <c r="J66" s="3">
        <v>58</v>
      </c>
      <c r="K66" s="3">
        <f>VLOOKUP($A66,'SegEnds_NonXtal_BW#'!$A:$Z,8,FALSE)+VLOOKUP($A66,A:AL,10,FALSE)-50</f>
        <v>76</v>
      </c>
      <c r="L66" s="3">
        <f t="shared" si="35"/>
        <v>77</v>
      </c>
      <c r="M66" s="3">
        <v>78</v>
      </c>
      <c r="N66" s="3">
        <f t="shared" si="36"/>
        <v>80</v>
      </c>
      <c r="O66" s="3">
        <f t="shared" si="37"/>
        <v>81</v>
      </c>
      <c r="P66" s="3">
        <v>110</v>
      </c>
      <c r="Q66" s="3">
        <f>VLOOKUP($A66,'SegEnds_NonXtal_BW#'!$A:$Z,12,FALSE)+VLOOKUP($A66,A:AL,16,FALSE)-50</f>
        <v>116</v>
      </c>
      <c r="R66" s="3">
        <f>IF(ISERROR(VLOOKUP($A66,'SegEnds_NonXtal_BW#'!$A:$Z,13,FALSE)+VLOOKUP($A66,A:AL,19,FALSE)-50),"-",VLOOKUP($A66,'SegEnds_NonXtal_BW#'!$A:$Z,13,FALSE)+VLOOKUP($A66,A:AL,19,FALSE)-50)</f>
        <v>117</v>
      </c>
      <c r="S66" s="3">
        <v>117</v>
      </c>
      <c r="T66" s="100">
        <f>IF(ISERROR(VLOOKUP($A66,'SegEnds_NonXtal_BW#'!$A:$Z,14,FALSE)+VLOOKUP($A66,A:AL,19,FALSE)-50),"-",(VLOOKUP($A66,'SegEnds_NonXtal_BW#'!$A:$Z,14,FALSE)+VLOOKUP($A66,A:AL,19,FALSE)-50))</f>
        <v>124</v>
      </c>
      <c r="U66" s="9">
        <f>IF(ISERROR(VLOOKUP($A66,'SegEnds_NonXtal_BW#'!$A:$Z,15,FALSE)+VLOOKUP($A66,A:AL,22,FALSE)-50),"-",VLOOKUP($A66,'SegEnds_NonXtal_BW#'!$A:$Z,15,FALSE)+VLOOKUP($A66,A:AL,22,FALSE)-50)</f>
        <v>125</v>
      </c>
      <c r="V66" s="3">
        <v>137</v>
      </c>
      <c r="W66" s="3">
        <f>IF(ISERROR(VLOOKUP($A66,'SegEnds_NonXtal_BW#'!$A:$Z,16,FALSE)+VLOOKUP($A66,A:AL,22,FALSE)-50),"-",(VLOOKUP($A66,'SegEnds_NonXtal_BW#'!$A:$Z,16,FALSE)+VLOOKUP($A66,A:AL,22,FALSE)-50))</f>
        <v>149</v>
      </c>
      <c r="X66" s="3">
        <f>IF(ISERROR(VLOOKUP($A66,'SegEnds_NonXtal_BW#'!$A:$Z,17,FALSE)+VLOOKUP($A66,A:AL,25,FALSE)-50),"-",(VLOOKUP($A66,'SegEnds_NonXtal_BW#'!$A:$Z,17,FALSE)+VLOOKUP($A66,A:AL,25,FALSE)-50))</f>
        <v>164</v>
      </c>
      <c r="Y66" s="3">
        <v>164</v>
      </c>
      <c r="Z66" s="3">
        <f t="shared" si="38"/>
        <v>166</v>
      </c>
      <c r="AA66" s="3">
        <f>IF(ISERROR(VLOOKUP($A66,'SegEnds_NonXtal_BW#'!$A:$Z,19,FALSE)+VLOOKUP($A66,A:AL,28,FALSE)-50),"-",(VLOOKUP($A66,'SegEnds_NonXtal_BW#'!$A:$Z,19,FALSE)+VLOOKUP($A66,A:AL,28,FALSE)-50))</f>
        <v>169</v>
      </c>
      <c r="AB66" s="3">
        <v>184</v>
      </c>
      <c r="AC66" s="3">
        <f>IF(ISERROR((VLOOKUP($A66,'SegEnds_NonXtal_BW#'!$A:$Z,20,FALSE)+VLOOKUP($A66,A:AL,28,FALSE)-50)),"-",(VLOOKUP($A66,'SegEnds_NonXtal_BW#'!$A:$Z,20,FALSE)+VLOOKUP($A66,A:AL,28,FALSE)-50))</f>
        <v>209</v>
      </c>
      <c r="AD66" s="3">
        <f>IF(ISERROR(VLOOKUP($A66,'SegEnds_NonXtal_BW#'!$A:$Z,21,FALSE)+VLOOKUP($A66,A:AL,31,FALSE)-50),"-",(VLOOKUP($A66,'SegEnds_NonXtal_BW#'!$A:$Z,21,FALSE)+VLOOKUP($A66,A:AL,31,FALSE)-50))</f>
        <v>357</v>
      </c>
      <c r="AE66" s="3">
        <v>383</v>
      </c>
      <c r="AF66" s="3">
        <f>IF(ISERROR((VLOOKUP($A66,'SegEnds_NonXtal_BW#'!$A:$Z,22,FALSE)+VLOOKUP($A66,A:AL,31,FALSE)-50)),"-",(VLOOKUP($A66,'SegEnds_NonXtal_BW#'!$A:$Z,22,FALSE)+VLOOKUP($A66,A:AL,31,FALSE)-50))</f>
        <v>394</v>
      </c>
      <c r="AG66" s="3">
        <f>IF(ISERROR(VLOOKUP($A66,'SegEnds_NonXtal_BW#'!$A:$Z,23,FALSE)+VLOOKUP($A66,A:AL,34,FALSE)-50),"-",(VLOOKUP($A66,'SegEnds_NonXtal_BW#'!$A:$Z,23,FALSE)+VLOOKUP($A66,A:AL,34,FALSE)-50))</f>
        <v>401</v>
      </c>
      <c r="AH66" s="3">
        <v>420</v>
      </c>
      <c r="AI66" s="3">
        <f>IF(ISERROR((VLOOKUP($A66,'SegEnds_NonXtal_BW#'!$A:$Z,24,FALSE)+VLOOKUP($A66,A:AL,34,FALSE)-50)),"-",(VLOOKUP($A66,'SegEnds_NonXtal_BW#'!$A:$Z,24,FALSE)+VLOOKUP($A66,A:AL,34,FALSE)-50))</f>
        <v>426</v>
      </c>
      <c r="AJ66" s="3">
        <f>IF(ISERROR(VLOOKUP($A66,'SegEnds_NonXtal_BW#'!$A:$Z,25,FALSE)+VLOOKUP($A66,A:AL,37,FALSE)-50),"-",(VLOOKUP($A66,'SegEnds_NonXtal_BW#'!$A:$Z,25,FALSE)+VLOOKUP($A66,A:AL,37,FALSE)-50))</f>
        <v>427</v>
      </c>
      <c r="AK66" s="3">
        <v>430</v>
      </c>
      <c r="AL66" s="3">
        <f>IF(ISERROR((VLOOKUP($A66,'SegEnds_NonXtal_BW#'!$A:$Z,26,FALSE)+VLOOKUP($A66,A:AL,37,FALSE)-50)),"-",(VLOOKUP($A66,'SegEnds_NonXtal_BW#'!$A:$Z,26,FALSE)+VLOOKUP($A66,A:AL,37,FALSE)-50))</f>
        <v>439</v>
      </c>
      <c r="AM66" s="28" t="str">
        <f>VLOOKUP(A66,Classification!A:B,2,FALSE)</f>
        <v>A</v>
      </c>
      <c r="AN66" s="28" t="b">
        <f t="shared" si="17"/>
        <v>1</v>
      </c>
      <c r="AO66" s="3" t="str">
        <f>IF(ISERROR(MATCH(A66,'SegEnds_Xtal_Prot#'!B:B, 0)), "NoXtal", "Xtal")</f>
        <v>NoXtal</v>
      </c>
      <c r="AP66" s="3">
        <f t="shared" si="2"/>
        <v>1</v>
      </c>
      <c r="AQ66" s="3">
        <f t="shared" si="3"/>
        <v>1</v>
      </c>
      <c r="AR66" s="3">
        <f t="shared" si="4"/>
        <v>1</v>
      </c>
      <c r="AS66" s="3">
        <f t="shared" si="5"/>
        <v>1</v>
      </c>
      <c r="AT66" s="3">
        <f t="shared" si="6"/>
        <v>1</v>
      </c>
      <c r="AU66" s="3">
        <f t="shared" si="7"/>
        <v>1</v>
      </c>
      <c r="AV66" s="3">
        <f t="shared" si="8"/>
        <v>15</v>
      </c>
      <c r="AW66" s="3">
        <f t="shared" si="9"/>
        <v>3</v>
      </c>
      <c r="AX66" s="3">
        <f t="shared" si="10"/>
        <v>148</v>
      </c>
      <c r="AY66" s="3">
        <f t="shared" si="11"/>
        <v>7</v>
      </c>
      <c r="AZ66" s="3">
        <f t="shared" si="12"/>
        <v>1</v>
      </c>
      <c r="BA66" s="3">
        <f>IF(ISERROR(LEN(VLOOKUP(A66,Seqs!A:E,2,FALSE))-AL66),"-",LEN(VLOOKUP(A66,Seqs!A:E,2,FALSE))-AL66)</f>
        <v>8</v>
      </c>
      <c r="BB66" s="16">
        <f t="shared" si="13"/>
        <v>28</v>
      </c>
      <c r="BC66" s="9">
        <f t="shared" si="14"/>
        <v>20</v>
      </c>
      <c r="BD66" s="3">
        <f t="shared" si="15"/>
        <v>28</v>
      </c>
      <c r="BE66" s="3">
        <f t="shared" si="16"/>
        <v>199</v>
      </c>
      <c r="BF66" s="3">
        <f>AH66-AE66</f>
        <v>37</v>
      </c>
    </row>
    <row r="67" spans="1:58" s="3" customFormat="1" x14ac:dyDescent="0.2">
      <c r="A67" s="3" t="s">
        <v>157</v>
      </c>
      <c r="B67" s="3" t="str">
        <f>LOWER(VLOOKUP(A67,Xtal_Templ!A:B,2,FALSE))</f>
        <v>drd2_human</v>
      </c>
      <c r="C67" s="3">
        <f>VLOOKUP($A67,'SegEnds_NonXtal_BW#'!$A:$Z,3,FALSE)+D67-50</f>
        <v>48</v>
      </c>
      <c r="D67" s="3">
        <v>69</v>
      </c>
      <c r="E67" s="3">
        <f>IF(ISERROR(VLOOKUP($A67,'SegEnds_NonXtal_BW#'!$A:$Z,4,FALSE)+VLOOKUP($A67,A:AL,4,FALSE)-50),"-",(VLOOKUP($A67,'SegEnds_NonXtal_BW#'!$A:$Z,4,FALSE)+VLOOKUP($A67,A:AL,4,FALSE)-50))</f>
        <v>79</v>
      </c>
      <c r="F67" s="3">
        <f t="shared" si="27"/>
        <v>80</v>
      </c>
      <c r="G67" s="3">
        <v>82</v>
      </c>
      <c r="H67" s="3">
        <f t="shared" si="33"/>
        <v>83</v>
      </c>
      <c r="I67" s="3">
        <f t="shared" si="33"/>
        <v>84</v>
      </c>
      <c r="J67" s="3">
        <v>97</v>
      </c>
      <c r="K67" s="3">
        <f>VLOOKUP($A67,'SegEnds_NonXtal_BW#'!$A:$Z,8,FALSE)+VLOOKUP($A67,A:AL,10,FALSE)-50</f>
        <v>115</v>
      </c>
      <c r="L67" s="3">
        <f t="shared" si="35"/>
        <v>116</v>
      </c>
      <c r="M67" s="3">
        <v>117</v>
      </c>
      <c r="N67" s="3">
        <f t="shared" si="36"/>
        <v>119</v>
      </c>
      <c r="O67" s="3">
        <f t="shared" si="37"/>
        <v>120</v>
      </c>
      <c r="P67" s="3">
        <v>149</v>
      </c>
      <c r="Q67" s="3">
        <f>VLOOKUP($A67,'SegEnds_NonXtal_BW#'!$A:$Z,12,FALSE)+VLOOKUP($A67,A:AL,16,FALSE)-50</f>
        <v>155</v>
      </c>
      <c r="R67" s="3">
        <f>IF(ISERROR(VLOOKUP($A67,'SegEnds_NonXtal_BW#'!$A:$Z,13,FALSE)+VLOOKUP($A67,A:AL,19,FALSE)-50),"-",VLOOKUP($A67,'SegEnds_NonXtal_BW#'!$A:$Z,13,FALSE)+VLOOKUP($A67,A:AL,19,FALSE)-50)</f>
        <v>156</v>
      </c>
      <c r="S67" s="3">
        <v>156</v>
      </c>
      <c r="T67" s="100">
        <f>IF(ISERROR(VLOOKUP($A67,'SegEnds_NonXtal_BW#'!$A:$Z,14,FALSE)+VLOOKUP($A67,A:AL,19,FALSE)-50),"-",(VLOOKUP($A67,'SegEnds_NonXtal_BW#'!$A:$Z,14,FALSE)+VLOOKUP($A67,A:AL,19,FALSE)-50))</f>
        <v>163</v>
      </c>
      <c r="U67" s="9">
        <f>IF(ISERROR(VLOOKUP($A67,'SegEnds_NonXtal_BW#'!$A:$Z,15,FALSE)+VLOOKUP($A67,A:AL,22,FALSE)-50),"-",VLOOKUP($A67,'SegEnds_NonXtal_BW#'!$A:$Z,15,FALSE)+VLOOKUP($A67,A:AL,22,FALSE)-50)</f>
        <v>164</v>
      </c>
      <c r="V67" s="3">
        <v>176</v>
      </c>
      <c r="W67" s="3">
        <f>IF(ISERROR(VLOOKUP($A67,'SegEnds_NonXtal_BW#'!$A:$Z,16,FALSE)+VLOOKUP($A67,A:AL,22,FALSE)-50),"-",(VLOOKUP($A67,'SegEnds_NonXtal_BW#'!$A:$Z,16,FALSE)+VLOOKUP($A67,A:AL,22,FALSE)-50))</f>
        <v>188</v>
      </c>
      <c r="X67" s="3">
        <f>IF(ISERROR(VLOOKUP($A67,'SegEnds_NonXtal_BW#'!$A:$Z,17,FALSE)+VLOOKUP($A67,A:AL,25,FALSE)-50),"-",(VLOOKUP($A67,'SegEnds_NonXtal_BW#'!$A:$Z,17,FALSE)+VLOOKUP($A67,A:AL,25,FALSE)-50))</f>
        <v>202</v>
      </c>
      <c r="Y67" s="3">
        <v>202</v>
      </c>
      <c r="Z67" s="3">
        <f t="shared" si="38"/>
        <v>204</v>
      </c>
      <c r="AA67" s="3">
        <f>IF(ISERROR(VLOOKUP($A67,'SegEnds_NonXtal_BW#'!$A:$Z,19,FALSE)+VLOOKUP($A67,A:AL,28,FALSE)-50),"-",(VLOOKUP($A67,'SegEnds_NonXtal_BW#'!$A:$Z,19,FALSE)+VLOOKUP($A67,A:AL,28,FALSE)-50))</f>
        <v>207</v>
      </c>
      <c r="AB67" s="3">
        <v>222</v>
      </c>
      <c r="AC67" s="3">
        <f>IF(ISERROR((VLOOKUP($A67,'SegEnds_NonXtal_BW#'!$A:$Z,20,FALSE)+VLOOKUP($A67,A:AL,28,FALSE)-50)),"-",(VLOOKUP($A67,'SegEnds_NonXtal_BW#'!$A:$Z,20,FALSE)+VLOOKUP($A67,A:AL,28,FALSE)-50))</f>
        <v>247</v>
      </c>
      <c r="AD67" s="3">
        <f>IF(ISERROR(VLOOKUP($A67,'SegEnds_NonXtal_BW#'!$A:$Z,21,FALSE)+VLOOKUP($A67,A:AL,31,FALSE)-50),"-",(VLOOKUP($A67,'SegEnds_NonXtal_BW#'!$A:$Z,21,FALSE)+VLOOKUP($A67,A:AL,31,FALSE)-50))</f>
        <v>371</v>
      </c>
      <c r="AE67" s="3">
        <v>397</v>
      </c>
      <c r="AF67" s="3">
        <f>IF(ISERROR((VLOOKUP($A67,'SegEnds_NonXtal_BW#'!$A:$Z,22,FALSE)+VLOOKUP($A67,A:AL,31,FALSE)-50)),"-",(VLOOKUP($A67,'SegEnds_NonXtal_BW#'!$A:$Z,22,FALSE)+VLOOKUP($A67,A:AL,31,FALSE)-50))</f>
        <v>408</v>
      </c>
      <c r="AG67" s="3">
        <f>IF(ISERROR(VLOOKUP($A67,'SegEnds_NonXtal_BW#'!$A:$Z,23,FALSE)+VLOOKUP($A67,A:AL,34,FALSE)-50),"-",(VLOOKUP($A67,'SegEnds_NonXtal_BW#'!$A:$Z,23,FALSE)+VLOOKUP($A67,A:AL,34,FALSE)-50))</f>
        <v>415</v>
      </c>
      <c r="AH67" s="3">
        <v>434</v>
      </c>
      <c r="AI67" s="3">
        <f>IF(ISERROR((VLOOKUP($A67,'SegEnds_NonXtal_BW#'!$A:$Z,24,FALSE)+VLOOKUP($A67,A:AL,34,FALSE)-50)),"-",(VLOOKUP($A67,'SegEnds_NonXtal_BW#'!$A:$Z,24,FALSE)+VLOOKUP($A67,A:AL,34,FALSE)-50))</f>
        <v>440</v>
      </c>
      <c r="AJ67" s="3">
        <f>IF(ISERROR(VLOOKUP($A67,'SegEnds_NonXtal_BW#'!$A:$Z,25,FALSE)+VLOOKUP($A67,A:AL,37,FALSE)-50),"-",(VLOOKUP($A67,'SegEnds_NonXtal_BW#'!$A:$Z,25,FALSE)+VLOOKUP($A67,A:AL,37,FALSE)-50))</f>
        <v>441</v>
      </c>
      <c r="AK67" s="3">
        <v>444</v>
      </c>
      <c r="AL67" s="3">
        <f>IF(ISERROR((VLOOKUP($A67,'SegEnds_NonXtal_BW#'!$A:$Z,26,FALSE)+VLOOKUP($A67,A:AL,37,FALSE)-50)),"-",(VLOOKUP($A67,'SegEnds_NonXtal_BW#'!$A:$Z,26,FALSE)+VLOOKUP($A67,A:AL,37,FALSE)-50))</f>
        <v>453</v>
      </c>
      <c r="AM67" s="28" t="str">
        <f>VLOOKUP(A67,Classification!A:B,2,FALSE)</f>
        <v>A</v>
      </c>
      <c r="AN67" s="28" t="b">
        <f t="shared" si="17"/>
        <v>1</v>
      </c>
      <c r="AO67" s="3" t="str">
        <f>IF(ISERROR(MATCH(A67,'SegEnds_Xtal_Prot#'!B:B, 0)), "NoXtal", "Xtal")</f>
        <v>NoXtal</v>
      </c>
      <c r="AP67" s="3">
        <f t="shared" si="2"/>
        <v>1</v>
      </c>
      <c r="AQ67" s="3">
        <f t="shared" si="3"/>
        <v>1</v>
      </c>
      <c r="AR67" s="3">
        <f t="shared" si="4"/>
        <v>1</v>
      </c>
      <c r="AS67" s="3">
        <f t="shared" si="5"/>
        <v>1</v>
      </c>
      <c r="AT67" s="3">
        <f t="shared" si="6"/>
        <v>1</v>
      </c>
      <c r="AU67" s="3">
        <f t="shared" si="7"/>
        <v>1</v>
      </c>
      <c r="AV67" s="3">
        <f t="shared" si="8"/>
        <v>14</v>
      </c>
      <c r="AW67" s="3">
        <f t="shared" si="9"/>
        <v>3</v>
      </c>
      <c r="AX67" s="3">
        <f t="shared" si="10"/>
        <v>124</v>
      </c>
      <c r="AY67" s="3">
        <f t="shared" si="11"/>
        <v>7</v>
      </c>
      <c r="AZ67" s="3">
        <f t="shared" si="12"/>
        <v>1</v>
      </c>
      <c r="BA67" s="3">
        <f>IF(ISERROR(LEN(VLOOKUP(A67,Seqs!A:E,2,FALSE))-AL67),"-",LEN(VLOOKUP(A67,Seqs!A:E,2,FALSE))-AL67)</f>
        <v>9</v>
      </c>
      <c r="BB67" s="16">
        <f t="shared" si="13"/>
        <v>28</v>
      </c>
      <c r="BC67" s="9">
        <f t="shared" si="14"/>
        <v>20</v>
      </c>
      <c r="BD67" s="3">
        <f t="shared" si="15"/>
        <v>28</v>
      </c>
      <c r="BE67" s="3">
        <f t="shared" si="16"/>
        <v>175</v>
      </c>
      <c r="BF67" s="3">
        <f>AH67-AE67</f>
        <v>37</v>
      </c>
    </row>
    <row r="68" spans="1:58" s="3" customFormat="1" x14ac:dyDescent="0.2">
      <c r="A68" s="3" t="s">
        <v>125</v>
      </c>
      <c r="B68" s="3" t="str">
        <f>LOWER(VLOOKUP(A68,Xtal_Templ!A:B,2,FALSE))</f>
        <v>adrb2_human</v>
      </c>
      <c r="C68" s="3">
        <f>VLOOKUP($A68,'SegEnds_NonXtal_BW#'!$A:$Z,3,FALSE)+D68-50</f>
        <v>51</v>
      </c>
      <c r="D68" s="3">
        <v>76</v>
      </c>
      <c r="E68" s="3">
        <f>IF(ISERROR(VLOOKUP($A68,'SegEnds_NonXtal_BW#'!$A:$Z,4,FALSE)+VLOOKUP($A68,A:AL,4,FALSE)-50),"-",(VLOOKUP($A68,'SegEnds_NonXtal_BW#'!$A:$Z,4,FALSE)+VLOOKUP($A68,A:AL,4,FALSE)-50))</f>
        <v>86</v>
      </c>
      <c r="F68" s="3">
        <f t="shared" si="27"/>
        <v>87</v>
      </c>
      <c r="G68" s="3">
        <v>89</v>
      </c>
      <c r="H68" s="3">
        <f t="shared" si="33"/>
        <v>90</v>
      </c>
      <c r="I68" s="3">
        <f t="shared" si="33"/>
        <v>91</v>
      </c>
      <c r="J68" s="3">
        <v>104</v>
      </c>
      <c r="K68" s="3">
        <f>VLOOKUP($A68,'SegEnds_NonXtal_BW#'!$A:$Z,8,FALSE)+VLOOKUP($A68,A:AL,10,FALSE)-50</f>
        <v>121</v>
      </c>
      <c r="L68" s="3">
        <f t="shared" si="35"/>
        <v>123</v>
      </c>
      <c r="M68" s="3">
        <v>124</v>
      </c>
      <c r="N68" s="3">
        <f t="shared" si="36"/>
        <v>126</v>
      </c>
      <c r="O68" s="3">
        <f t="shared" si="37"/>
        <v>127</v>
      </c>
      <c r="P68" s="3">
        <v>156</v>
      </c>
      <c r="Q68" s="3">
        <f>VLOOKUP($A68,'SegEnds_NonXtal_BW#'!$A:$Z,12,FALSE)+VLOOKUP($A68,A:AL,16,FALSE)-50</f>
        <v>162</v>
      </c>
      <c r="R68" s="3">
        <f>IF(ISERROR(VLOOKUP($A68,'SegEnds_NonXtal_BW#'!$A:$Z,13,FALSE)+VLOOKUP($A68,A:AL,19,FALSE)-50),"-",VLOOKUP($A68,'SegEnds_NonXtal_BW#'!$A:$Z,13,FALSE)+VLOOKUP($A68,A:AL,19,FALSE)-50)</f>
        <v>163</v>
      </c>
      <c r="S68" s="3">
        <v>163</v>
      </c>
      <c r="T68" s="100">
        <f>IF(ISERROR(VLOOKUP($A68,'SegEnds_NonXtal_BW#'!$A:$Z,14,FALSE)+VLOOKUP($A68,A:AL,19,FALSE)-50),"-",(VLOOKUP($A68,'SegEnds_NonXtal_BW#'!$A:$Z,14,FALSE)+VLOOKUP($A68,A:AL,19,FALSE)-50))</f>
        <v>170</v>
      </c>
      <c r="U68" s="9">
        <f>IF(ISERROR(VLOOKUP($A68,'SegEnds_NonXtal_BW#'!$A:$Z,15,FALSE)+VLOOKUP($A68,A:AL,22,FALSE)-50),"-",VLOOKUP($A68,'SegEnds_NonXtal_BW#'!$A:$Z,15,FALSE)+VLOOKUP($A68,A:AL,22,FALSE)-50)</f>
        <v>171</v>
      </c>
      <c r="V68" s="3">
        <v>183</v>
      </c>
      <c r="W68" s="3">
        <f>IF(ISERROR(VLOOKUP($A68,'SegEnds_NonXtal_BW#'!$A:$Z,16,FALSE)+VLOOKUP($A68,A:AL,22,FALSE)-50),"-",(VLOOKUP($A68,'SegEnds_NonXtal_BW#'!$A:$Z,16,FALSE)+VLOOKUP($A68,A:AL,22,FALSE)-50))</f>
        <v>197</v>
      </c>
      <c r="X68" s="3">
        <f>IF(ISERROR(VLOOKUP($A68,'SegEnds_NonXtal_BW#'!$A:$Z,17,FALSE)+VLOOKUP($A68,A:AL,25,FALSE)-50),"-",(VLOOKUP($A68,'SegEnds_NonXtal_BW#'!$A:$Z,17,FALSE)+VLOOKUP($A68,A:AL,25,FALSE)-50))</f>
        <v>216</v>
      </c>
      <c r="Y68" s="3">
        <v>216</v>
      </c>
      <c r="Z68" s="3">
        <f t="shared" si="38"/>
        <v>218</v>
      </c>
      <c r="AA68" s="3">
        <f>IF(ISERROR(VLOOKUP($A68,'SegEnds_NonXtal_BW#'!$A:$Z,19,FALSE)+VLOOKUP($A68,A:AL,28,FALSE)-50),"-",(VLOOKUP($A68,'SegEnds_NonXtal_BW#'!$A:$Z,19,FALSE)+VLOOKUP($A68,A:AL,28,FALSE)-50))</f>
        <v>221</v>
      </c>
      <c r="AB68" s="3">
        <v>236</v>
      </c>
      <c r="AC68" s="3">
        <f>IF(ISERROR((VLOOKUP($A68,'SegEnds_NonXtal_BW#'!$A:$Z,20,FALSE)+VLOOKUP($A68,A:AL,28,FALSE)-50)),"-",(VLOOKUP($A68,'SegEnds_NonXtal_BW#'!$A:$Z,20,FALSE)+VLOOKUP($A68,A:AL,28,FALSE)-50))</f>
        <v>260</v>
      </c>
      <c r="AD68" s="3">
        <f>IF(ISERROR(VLOOKUP($A68,'SegEnds_NonXtal_BW#'!$A:$Z,21,FALSE)+VLOOKUP($A68,A:AL,31,FALSE)-50),"-",(VLOOKUP($A68,'SegEnds_NonXtal_BW#'!$A:$Z,21,FALSE)+VLOOKUP($A68,A:AL,31,FALSE)-50))</f>
        <v>313</v>
      </c>
      <c r="AE68" s="3">
        <v>339</v>
      </c>
      <c r="AF68" s="3">
        <f>IF(ISERROR((VLOOKUP($A68,'SegEnds_NonXtal_BW#'!$A:$Z,22,FALSE)+VLOOKUP($A68,A:AL,31,FALSE)-50)),"-",(VLOOKUP($A68,'SegEnds_NonXtal_BW#'!$A:$Z,22,FALSE)+VLOOKUP($A68,A:AL,31,FALSE)-50))</f>
        <v>350</v>
      </c>
      <c r="AG68" s="3">
        <f>IF(ISERROR(VLOOKUP($A68,'SegEnds_NonXtal_BW#'!$A:$Z,23,FALSE)+VLOOKUP($A68,A:AL,34,FALSE)-50),"-",(VLOOKUP($A68,'SegEnds_NonXtal_BW#'!$A:$Z,23,FALSE)+VLOOKUP($A68,A:AL,34,FALSE)-50))</f>
        <v>355</v>
      </c>
      <c r="AH68" s="3">
        <v>374</v>
      </c>
      <c r="AI68" s="3">
        <v>379</v>
      </c>
      <c r="AJ68" s="3">
        <f>IF(ISERROR(VLOOKUP($A68,'SegEnds_NonXtal_BW#'!$A:$Z,25,FALSE)+VLOOKUP($A68,A:AL,37,FALSE)-50),"-",(VLOOKUP($A68,'SegEnds_NonXtal_BW#'!$A:$Z,25,FALSE)+VLOOKUP($A68,A:AL,37,FALSE)-50))</f>
        <v>380</v>
      </c>
      <c r="AK68" s="3">
        <v>383</v>
      </c>
      <c r="AL68" s="3">
        <f>IF(ISERROR((VLOOKUP($A68,'SegEnds_NonXtal_BW#'!$A:$Z,26,FALSE)+VLOOKUP($A68,A:AL,37,FALSE)-50)),"-",(VLOOKUP($A68,'SegEnds_NonXtal_BW#'!$A:$Z,26,FALSE)+VLOOKUP($A68,A:AL,37,FALSE)-50))</f>
        <v>392</v>
      </c>
      <c r="AM68" s="28" t="str">
        <f>VLOOKUP(A68,Classification!A:B,2,FALSE)</f>
        <v>A</v>
      </c>
      <c r="AN68" s="28" t="b">
        <f t="shared" si="17"/>
        <v>1</v>
      </c>
      <c r="AO68" s="3" t="str">
        <f>IF(ISERROR(MATCH(A68,'SegEnds_Xtal_Prot#'!B:B, 0)), "NoXtal", "Xtal")</f>
        <v>NoXtal</v>
      </c>
      <c r="AP68" s="3">
        <f t="shared" ref="AP68:AP131" si="39">IF(ISERROR(F68-E68),"-",F68-E68)</f>
        <v>1</v>
      </c>
      <c r="AQ68" s="3">
        <f t="shared" ref="AQ68:AQ131" si="40">IF(ISERROR(I68-H68),"-",I68-H68)</f>
        <v>1</v>
      </c>
      <c r="AR68" s="3">
        <f t="shared" ref="AR68:AR131" si="41">IF(ISERROR(L68-K68),"-",L68-K68)</f>
        <v>2</v>
      </c>
      <c r="AS68" s="3">
        <f t="shared" ref="AS68:AS131" si="42">IF(ISERROR(O68-N68),"-",O68-N68)</f>
        <v>1</v>
      </c>
      <c r="AT68" s="3">
        <f t="shared" ref="AT68:AT131" si="43">IF(ISERROR(R68-Q68),"-",R68-Q68)</f>
        <v>1</v>
      </c>
      <c r="AU68" s="3">
        <f t="shared" ref="AU68:AU131" si="44">IF(ISERROR(U68-T68),"-",U68-T68)</f>
        <v>1</v>
      </c>
      <c r="AV68" s="3">
        <f t="shared" ref="AV68:AV131" si="45">IF(ISERROR(X68-W68),"-",X68-W68)</f>
        <v>19</v>
      </c>
      <c r="AW68" s="3">
        <f t="shared" ref="AW68:AW131" si="46">IF(ISERROR(AA68-Z68),"-",AA68-Z68)</f>
        <v>3</v>
      </c>
      <c r="AX68" s="3">
        <f t="shared" ref="AX68:AX131" si="47">IF(ISERROR(AD68-AC68),"-",AD68-AC68)</f>
        <v>53</v>
      </c>
      <c r="AY68" s="3">
        <f t="shared" ref="AY68:AY131" si="48">IF(ISERROR(AG68-AF68),"-",AG68-AF68)</f>
        <v>5</v>
      </c>
      <c r="AZ68" s="3">
        <f t="shared" ref="AZ68:AZ131" si="49">IF(ISERROR(AJ68-AI68),"-",AJ68-AI68)</f>
        <v>1</v>
      </c>
      <c r="BA68" s="3">
        <f>IF(ISERROR(LEN(VLOOKUP(A68,Seqs!A:E,2,FALSE))-AL68),"-",LEN(VLOOKUP(A68,Seqs!A:E,2,FALSE))-AL68)</f>
        <v>85</v>
      </c>
      <c r="BB68" s="16">
        <f t="shared" ref="BB68:BB131" si="50">J68-D68</f>
        <v>28</v>
      </c>
      <c r="BC68" s="9">
        <f t="shared" ref="BC68:BC131" si="51">IF(ISERROR(V68-S68),"-",V68-S68)</f>
        <v>20</v>
      </c>
      <c r="BD68" s="3">
        <f t="shared" ref="BD68:BD131" si="52">J68-D68</f>
        <v>28</v>
      </c>
      <c r="BE68" s="3">
        <f t="shared" ref="BE68:BE131" si="53">AE68-AB68</f>
        <v>103</v>
      </c>
    </row>
    <row r="69" spans="1:58" s="3" customFormat="1" ht="17" customHeight="1" x14ac:dyDescent="0.2">
      <c r="A69" s="3" t="s">
        <v>905</v>
      </c>
      <c r="B69" s="3" t="str">
        <f>LOWER(VLOOKUP(A69,Xtal_Templ!A:B,2,FALSE))</f>
        <v>adrb1_melga</v>
      </c>
      <c r="C69" s="3">
        <f>VLOOKUP($A69,'SegEnds_NonXtal_BW#'!$A:$Z,3,FALSE)+D69-50</f>
        <v>33</v>
      </c>
      <c r="D69" s="3">
        <v>59</v>
      </c>
      <c r="E69" s="3">
        <f>IF(ISERROR(VLOOKUP($A69,'SegEnds_NonXtal_BW#'!$A:$Z,4,FALSE)+VLOOKUP($A69,A:AL,4,FALSE)-50),"-",(VLOOKUP($A69,'SegEnds_NonXtal_BW#'!$A:$Z,4,FALSE)+VLOOKUP($A69,A:AL,4,FALSE)-50))</f>
        <v>69</v>
      </c>
      <c r="F69" s="3">
        <f t="shared" si="27"/>
        <v>70</v>
      </c>
      <c r="G69" s="3">
        <v>72</v>
      </c>
      <c r="H69" s="3">
        <f t="shared" ref="H69:I72" si="54">G69+1</f>
        <v>73</v>
      </c>
      <c r="I69" s="3">
        <f t="shared" si="54"/>
        <v>74</v>
      </c>
      <c r="J69" s="3">
        <v>87</v>
      </c>
      <c r="K69" s="3">
        <f>VLOOKUP($A69,'SegEnds_NonXtal_BW#'!$A:$Z,8,FALSE)+VLOOKUP($A69,A:AL,10,FALSE)-50</f>
        <v>104</v>
      </c>
      <c r="L69" s="3">
        <f>IF(ISERROR(VLOOKUP($A69,'SegEnds_NonXtal_BW#'!$A:$Z,9,FALSE)+VLOOKUP($A69,A:AL,13,FALSE)-50),"-",(VLOOKUP($A69,'SegEnds_NonXtal_BW#'!$A:$Z,9,FALSE)+VLOOKUP($A69,A:AL,13,FALSE)-50))</f>
        <v>106</v>
      </c>
      <c r="M69" s="3">
        <v>107</v>
      </c>
      <c r="N69" s="3">
        <f>IF(ISERROR(VLOOKUP($A69,'SegEnds_NonXtal_BW#'!$A:$Z,10,FALSE)+VLOOKUP($A69,A:AL,13,FALSE)-50),"-",(VLOOKUP($A69,'SegEnds_NonXtal_BW#'!$A:$Z,10,FALSE)+VLOOKUP($A69,A:AL,13,FALSE)-50))</f>
        <v>109</v>
      </c>
      <c r="O69" s="3">
        <f t="shared" si="37"/>
        <v>110</v>
      </c>
      <c r="P69" s="3">
        <v>139</v>
      </c>
      <c r="Q69" s="3">
        <f>VLOOKUP($A69,'SegEnds_NonXtal_BW#'!$A:$Z,12,FALSE)+VLOOKUP($A69,A:AL,16,FALSE)-50</f>
        <v>145</v>
      </c>
      <c r="R69" s="3">
        <f>IF(ISERROR(VLOOKUP($A69,'SegEnds_NonXtal_BW#'!$A:$Z,13,FALSE)+VLOOKUP($A69,A:AL,19,FALSE)-50),"-",VLOOKUP($A69,'SegEnds_NonXtal_BW#'!$A:$Z,13,FALSE)+VLOOKUP($A69,A:AL,19,FALSE)-50)</f>
        <v>146</v>
      </c>
      <c r="S69" s="3">
        <v>146</v>
      </c>
      <c r="T69" s="100">
        <f>IF(ISERROR(VLOOKUP($A69,'SegEnds_NonXtal_BW#'!$A:$Z,14,FALSE)+VLOOKUP($A69,A:AL,19,FALSE)-50),"-",(VLOOKUP($A69,'SegEnds_NonXtal_BW#'!$A:$Z,14,FALSE)+VLOOKUP($A69,A:AL,19,FALSE)-50))</f>
        <v>153</v>
      </c>
      <c r="U69" s="9">
        <f>IF(ISERROR(VLOOKUP($A69,'SegEnds_NonXtal_BW#'!$A:$Z,15,FALSE)+VLOOKUP($A69,A:AL,22,FALSE)-50),"-",VLOOKUP($A69,'SegEnds_NonXtal_BW#'!$A:$Z,15,FALSE)+VLOOKUP($A69,A:AL,22,FALSE)-50)</f>
        <v>154</v>
      </c>
      <c r="V69" s="3">
        <v>166</v>
      </c>
      <c r="W69" s="3">
        <f>IF(ISERROR(VLOOKUP($A69,'SegEnds_NonXtal_BW#'!$A:$Z,16,FALSE)+VLOOKUP($A69,A:AL,22,FALSE)-50),"-",(VLOOKUP($A69,'SegEnds_NonXtal_BW#'!$A:$Z,16,FALSE)+VLOOKUP($A69,A:AL,22,FALSE)-50))</f>
        <v>180</v>
      </c>
      <c r="X69" s="3">
        <f>IF(ISERROR(VLOOKUP($A69,'SegEnds_NonXtal_BW#'!$A:$Z,17,FALSE)+VLOOKUP($A69,A:AL,25,FALSE)-50),"-",(VLOOKUP($A69,'SegEnds_NonXtal_BW#'!$A:$Z,17,FALSE)+VLOOKUP($A69,A:AL,25,FALSE)-50))</f>
        <v>199</v>
      </c>
      <c r="Y69" s="3">
        <v>199</v>
      </c>
      <c r="Z69" s="3">
        <f t="shared" si="38"/>
        <v>201</v>
      </c>
      <c r="AA69" s="3">
        <f>IF(ISERROR(VLOOKUP($A69,'SegEnds_NonXtal_BW#'!$A:$Z,19,FALSE)+VLOOKUP($A69,A:AL,28,FALSE)-50),"-",(VLOOKUP($A69,'SegEnds_NonXtal_BW#'!$A:$Z,19,FALSE)+VLOOKUP($A69,A:AL,28,FALSE)-50))</f>
        <v>204</v>
      </c>
      <c r="AB69" s="3">
        <v>219</v>
      </c>
      <c r="AC69" s="3">
        <f>IF(ISERROR((VLOOKUP($A69,'SegEnds_NonXtal_BW#'!$A:$Z,20,FALSE)+VLOOKUP($A69,A:AL,28,FALSE)-50)),"-",(VLOOKUP($A69,'SegEnds_NonXtal_BW#'!$A:$Z,20,FALSE)+VLOOKUP($A69,A:AL,28,FALSE)-50))</f>
        <v>245</v>
      </c>
      <c r="AD69" s="3">
        <f>IF(ISERROR(VLOOKUP($A69,'SegEnds_NonXtal_BW#'!$A:$Z,21,FALSE)+VLOOKUP($A69,A:AL,31,FALSE)-50),"-",(VLOOKUP($A69,'SegEnds_NonXtal_BW#'!$A:$Z,21,FALSE)+VLOOKUP($A69,A:AL,31,FALSE)-50))</f>
        <v>275</v>
      </c>
      <c r="AE69" s="3">
        <v>305</v>
      </c>
      <c r="AF69" s="3">
        <f>IF(ISERROR((VLOOKUP($A69,'SegEnds_NonXtal_BW#'!$A:$Z,22,FALSE)+VLOOKUP($A69,A:AL,31,FALSE)-50)),"-",(VLOOKUP($A69,'SegEnds_NonXtal_BW#'!$A:$Z,22,FALSE)+VLOOKUP($A69,A:AL,31,FALSE)-50))</f>
        <v>316</v>
      </c>
      <c r="AG69" s="3">
        <f>IF(ISERROR(VLOOKUP($A69,'SegEnds_NonXtal_BW#'!$A:$Z,23,FALSE)+VLOOKUP($A69,A:AL,34,FALSE)-50),"-",(VLOOKUP($A69,'SegEnds_NonXtal_BW#'!$A:$Z,23,FALSE)+VLOOKUP($A69,A:AL,34,FALSE)-50))</f>
        <v>321</v>
      </c>
      <c r="AH69" s="3">
        <v>340</v>
      </c>
      <c r="AI69" s="3">
        <f>IF(ISERROR((VLOOKUP($A69,'SegEnds_NonXtal_BW#'!$A:$Z,24,FALSE)+VLOOKUP($A69,A:AL,34,FALSE)-50)),"-",(VLOOKUP($A69,'SegEnds_NonXtal_BW#'!$A:$Z,24,FALSE)+VLOOKUP($A69,A:AL,34,FALSE)-50))</f>
        <v>345</v>
      </c>
      <c r="AJ69" s="3">
        <f>IF(ISERROR(VLOOKUP($A69,'SegEnds_NonXtal_BW#'!$A:$Z,25,FALSE)+VLOOKUP($A69,A:AL,37,FALSE)-50),"-",(VLOOKUP($A69,'SegEnds_NonXtal_BW#'!$A:$Z,25,FALSE)+VLOOKUP($A69,A:AL,37,FALSE)-50))</f>
        <v>346</v>
      </c>
      <c r="AK69" s="3">
        <v>349</v>
      </c>
      <c r="AL69" s="3">
        <f>IF(ISERROR((VLOOKUP($A69,'SegEnds_NonXtal_BW#'!$A:$Z,26,FALSE)+VLOOKUP($A69,A:AL,37,FALSE)-50)),"-",(VLOOKUP($A69,'SegEnds_NonXtal_BW#'!$A:$Z,26,FALSE)+VLOOKUP($A69,A:AL,37,FALSE)-50))</f>
        <v>358</v>
      </c>
      <c r="AM69" s="28" t="str">
        <f>VLOOKUP(A69,Classification!A:B,2,FALSE)</f>
        <v>A</v>
      </c>
      <c r="AN69" s="28" t="b">
        <f t="shared" ref="AN69:AN132" si="55">AND(IF(Y69="-",IF(AA69-W69&gt;3,TRUE,FALSE),TRUE),IF(M69="-",IF(O69-K69&gt;3,TRUE,FALSE),TRUE),IF(AG69-AF69&gt;1,TRUE,FALSE),C69&lt;E69,OR(E69&lt;F69,F69="-"),OR(F69&lt;H69,F69="-"),OR(H69&lt;I69,H69="-"),I69&lt;K69,OR(K69&lt;L69,L69="-"),OR(L69&lt;N69,L69="-"),OR(N69&lt;O69,N69="-"),O69&lt;Q69,OR(Q69&lt;R69,R69="-"),OR(R69&lt;T69,R69="-"),OR(T69&lt;U69,T69="-"),U69&lt;W69,OR(W69&lt;X69,X69="-"),OR(X69&lt;Z69,X69="-"),OR(Z69&lt;AA69,Z69="-"),AA69&lt;AC69,AC69&lt;AD69,AD69&lt;AF69,AF69&lt;AG69,AG69&lt;AI69,OR(AI69&lt;AJ69,AJ69="-"),OR(AJ69&lt;AL69,AJ69="-"))</f>
        <v>1</v>
      </c>
      <c r="AO69" s="3" t="str">
        <f>IF(ISERROR(MATCH(A69,'SegEnds_Xtal_Prot#'!B:B, 0)), "NoXtal", "Xtal")</f>
        <v>Xtal</v>
      </c>
      <c r="AP69" s="3">
        <f t="shared" si="39"/>
        <v>1</v>
      </c>
      <c r="AQ69" s="3">
        <f t="shared" si="40"/>
        <v>1</v>
      </c>
      <c r="AR69" s="3">
        <f t="shared" si="41"/>
        <v>2</v>
      </c>
      <c r="AS69" s="3">
        <f t="shared" si="42"/>
        <v>1</v>
      </c>
      <c r="AT69" s="3">
        <f t="shared" si="43"/>
        <v>1</v>
      </c>
      <c r="AU69" s="3">
        <f t="shared" si="44"/>
        <v>1</v>
      </c>
      <c r="AV69" s="3">
        <f t="shared" si="45"/>
        <v>19</v>
      </c>
      <c r="AW69" s="3">
        <f t="shared" si="46"/>
        <v>3</v>
      </c>
      <c r="AX69" s="3">
        <f t="shared" si="47"/>
        <v>30</v>
      </c>
      <c r="AY69" s="3">
        <f t="shared" si="48"/>
        <v>5</v>
      </c>
      <c r="AZ69" s="3">
        <f t="shared" si="49"/>
        <v>1</v>
      </c>
      <c r="BA69" s="3">
        <f>IF(ISERROR(LEN(VLOOKUP(A69,Seqs!A:E,2,FALSE))-AL69),"-",LEN(VLOOKUP(A69,Seqs!A:E,2,FALSE))-AL69)</f>
        <v>125</v>
      </c>
      <c r="BB69" s="16">
        <f t="shared" si="50"/>
        <v>28</v>
      </c>
      <c r="BC69" s="9">
        <f t="shared" si="51"/>
        <v>20</v>
      </c>
      <c r="BD69" s="3">
        <f t="shared" si="52"/>
        <v>28</v>
      </c>
      <c r="BE69" s="3">
        <f t="shared" si="53"/>
        <v>86</v>
      </c>
    </row>
    <row r="70" spans="1:58" s="3" customFormat="1" x14ac:dyDescent="0.2">
      <c r="A70" s="3" t="s">
        <v>126</v>
      </c>
      <c r="B70" s="3" t="str">
        <f>LOWER(VLOOKUP(A70,Xtal_Templ!A:B,2,FALSE))</f>
        <v>adrb2_human</v>
      </c>
      <c r="C70" s="3">
        <f>VLOOKUP($A70,'SegEnds_NonXtal_BW#'!$A:$Z,3,FALSE)+D70-50</f>
        <v>26</v>
      </c>
      <c r="D70" s="3">
        <v>51</v>
      </c>
      <c r="E70" s="3">
        <f>IF(ISERROR(VLOOKUP($A70,'SegEnds_NonXtal_BW#'!$A:$Z,4,FALSE)+VLOOKUP($A70,A:AL,4,FALSE)-50),"-",(VLOOKUP($A70,'SegEnds_NonXtal_BW#'!$A:$Z,4,FALSE)+VLOOKUP($A70,A:AL,4,FALSE)-50))</f>
        <v>61</v>
      </c>
      <c r="F70" s="3">
        <f t="shared" si="27"/>
        <v>62</v>
      </c>
      <c r="G70" s="3">
        <v>64</v>
      </c>
      <c r="H70" s="3">
        <f t="shared" si="54"/>
        <v>65</v>
      </c>
      <c r="I70" s="3">
        <f t="shared" si="54"/>
        <v>66</v>
      </c>
      <c r="J70" s="3">
        <v>79</v>
      </c>
      <c r="K70" s="3">
        <f>VLOOKUP($A70,'SegEnds_NonXtal_BW#'!$A:$Z,8,FALSE)+VLOOKUP($A70,A:AL,10,FALSE)-50</f>
        <v>96</v>
      </c>
      <c r="L70" s="3">
        <f t="shared" ref="L70:L89" si="56">M70-1</f>
        <v>98</v>
      </c>
      <c r="M70" s="3">
        <v>99</v>
      </c>
      <c r="N70" s="3">
        <f t="shared" ref="N70:N89" si="57">M70+2</f>
        <v>101</v>
      </c>
      <c r="O70" s="3">
        <f t="shared" si="37"/>
        <v>102</v>
      </c>
      <c r="P70" s="3">
        <v>131</v>
      </c>
      <c r="Q70" s="3">
        <f>VLOOKUP($A70,'SegEnds_NonXtal_BW#'!$A:$Z,12,FALSE)+VLOOKUP($A70,A:AL,16,FALSE)-50</f>
        <v>137</v>
      </c>
      <c r="R70" s="3">
        <f>IF(ISERROR(VLOOKUP($A70,'SegEnds_NonXtal_BW#'!$A:$Z,13,FALSE)+VLOOKUP($A70,A:AL,19,FALSE)-50),"-",VLOOKUP($A70,'SegEnds_NonXtal_BW#'!$A:$Z,13,FALSE)+VLOOKUP($A70,A:AL,19,FALSE)-50)</f>
        <v>138</v>
      </c>
      <c r="S70" s="3">
        <v>138</v>
      </c>
      <c r="T70" s="100">
        <f>IF(ISERROR(VLOOKUP($A70,'SegEnds_NonXtal_BW#'!$A:$Z,14,FALSE)+VLOOKUP($A70,A:AL,19,FALSE)-50),"-",(VLOOKUP($A70,'SegEnds_NonXtal_BW#'!$A:$Z,14,FALSE)+VLOOKUP($A70,A:AL,19,FALSE)-50))</f>
        <v>145</v>
      </c>
      <c r="U70" s="9">
        <f>IF(ISERROR(VLOOKUP($A70,'SegEnds_NonXtal_BW#'!$A:$Z,15,FALSE)+VLOOKUP($A70,A:AL,22,FALSE)-50),"-",VLOOKUP($A70,'SegEnds_NonXtal_BW#'!$A:$Z,15,FALSE)+VLOOKUP($A70,A:AL,22,FALSE)-50)</f>
        <v>146</v>
      </c>
      <c r="V70" s="3">
        <v>158</v>
      </c>
      <c r="W70" s="3">
        <f>IF(ISERROR(VLOOKUP($A70,'SegEnds_NonXtal_BW#'!$A:$Z,16,FALSE)+VLOOKUP($A70,A:AL,22,FALSE)-50),"-",(VLOOKUP($A70,'SegEnds_NonXtal_BW#'!$A:$Z,16,FALSE)+VLOOKUP($A70,A:AL,22,FALSE)-50))</f>
        <v>172</v>
      </c>
      <c r="X70" s="3">
        <f>IF(ISERROR(VLOOKUP($A70,'SegEnds_NonXtal_BW#'!$A:$Z,17,FALSE)+VLOOKUP($A70,A:AL,25,FALSE)-50),"-",(VLOOKUP($A70,'SegEnds_NonXtal_BW#'!$A:$Z,17,FALSE)+VLOOKUP($A70,A:AL,25,FALSE)-50))</f>
        <v>191</v>
      </c>
      <c r="Y70" s="3">
        <v>191</v>
      </c>
      <c r="Z70" s="3">
        <f t="shared" si="38"/>
        <v>193</v>
      </c>
      <c r="AA70" s="3">
        <f>IF(ISERROR(VLOOKUP($A70,'SegEnds_NonXtal_BW#'!$A:$Z,19,FALSE)+VLOOKUP($A70,A:AL,28,FALSE)-50),"-",(VLOOKUP($A70,'SegEnds_NonXtal_BW#'!$A:$Z,19,FALSE)+VLOOKUP($A70,A:AL,28,FALSE)-50))</f>
        <v>196</v>
      </c>
      <c r="AB70" s="3">
        <v>211</v>
      </c>
      <c r="AC70" s="3">
        <f>IF(ISERROR((VLOOKUP($A70,'SegEnds_NonXtal_BW#'!$A:$Z,20,FALSE)+VLOOKUP($A70,A:AL,28,FALSE)-50)),"-",(VLOOKUP($A70,'SegEnds_NonXtal_BW#'!$A:$Z,20,FALSE)+VLOOKUP($A70,A:AL,28,FALSE)-50))</f>
        <v>237</v>
      </c>
      <c r="AD70" s="3">
        <f>IF(ISERROR(VLOOKUP($A70,'SegEnds_NonXtal_BW#'!$A:$Z,21,FALSE)+VLOOKUP($A70,A:AL,31,FALSE)-50),"-",(VLOOKUP($A70,'SegEnds_NonXtal_BW#'!$A:$Z,21,FALSE)+VLOOKUP($A70,A:AL,31,FALSE)-50))</f>
        <v>262</v>
      </c>
      <c r="AE70" s="3">
        <v>288</v>
      </c>
      <c r="AF70" s="3">
        <f>IF(ISERROR((VLOOKUP($A70,'SegEnds_NonXtal_BW#'!$A:$Z,22,FALSE)+VLOOKUP($A70,A:AL,31,FALSE)-50)),"-",(VLOOKUP($A70,'SegEnds_NonXtal_BW#'!$A:$Z,22,FALSE)+VLOOKUP($A70,A:AL,31,FALSE)-50))</f>
        <v>299</v>
      </c>
      <c r="AG70" s="3">
        <f>IF(ISERROR(VLOOKUP($A70,'SegEnds_NonXtal_BW#'!$A:$Z,23,FALSE)+VLOOKUP($A70,A:AL,34,FALSE)-50),"-",(VLOOKUP($A70,'SegEnds_NonXtal_BW#'!$A:$Z,23,FALSE)+VLOOKUP($A70,A:AL,34,FALSE)-50))</f>
        <v>304</v>
      </c>
      <c r="AH70" s="3">
        <v>323</v>
      </c>
      <c r="AI70" s="3">
        <v>328</v>
      </c>
      <c r="AJ70" s="3">
        <f>IF(ISERROR(VLOOKUP($A70,'SegEnds_NonXtal_BW#'!$A:$Z,25,FALSE)+VLOOKUP($A70,A:AL,37,FALSE)-50),"-",(VLOOKUP($A70,'SegEnds_NonXtal_BW#'!$A:$Z,25,FALSE)+VLOOKUP($A70,A:AL,37,FALSE)-50))</f>
        <v>329</v>
      </c>
      <c r="AK70" s="3">
        <v>332</v>
      </c>
      <c r="AL70" s="3">
        <f>IF(ISERROR((VLOOKUP($A70,'SegEnds_NonXtal_BW#'!$A:$Z,26,FALSE)+VLOOKUP($A70,A:AL,37,FALSE)-50)),"-",(VLOOKUP($A70,'SegEnds_NonXtal_BW#'!$A:$Z,26,FALSE)+VLOOKUP($A70,A:AL,37,FALSE)-50))</f>
        <v>341</v>
      </c>
      <c r="AM70" s="28" t="str">
        <f>VLOOKUP(A70,Classification!A:B,2,FALSE)</f>
        <v>A</v>
      </c>
      <c r="AN70" s="28" t="b">
        <f t="shared" si="55"/>
        <v>1</v>
      </c>
      <c r="AO70" s="3" t="str">
        <f>IF(ISERROR(MATCH(A70,'SegEnds_Xtal_Prot#'!B:B, 0)), "NoXtal", "Xtal")</f>
        <v>Xtal</v>
      </c>
      <c r="AP70" s="3">
        <f t="shared" si="39"/>
        <v>1</v>
      </c>
      <c r="AQ70" s="3">
        <f t="shared" si="40"/>
        <v>1</v>
      </c>
      <c r="AR70" s="3">
        <f t="shared" si="41"/>
        <v>2</v>
      </c>
      <c r="AS70" s="3">
        <f t="shared" si="42"/>
        <v>1</v>
      </c>
      <c r="AT70" s="3">
        <f t="shared" si="43"/>
        <v>1</v>
      </c>
      <c r="AU70" s="3">
        <f t="shared" si="44"/>
        <v>1</v>
      </c>
      <c r="AV70" s="3">
        <f t="shared" si="45"/>
        <v>19</v>
      </c>
      <c r="AW70" s="3">
        <f t="shared" si="46"/>
        <v>3</v>
      </c>
      <c r="AX70" s="3">
        <f t="shared" si="47"/>
        <v>25</v>
      </c>
      <c r="AY70" s="3">
        <f t="shared" si="48"/>
        <v>5</v>
      </c>
      <c r="AZ70" s="3">
        <f t="shared" si="49"/>
        <v>1</v>
      </c>
      <c r="BA70" s="3">
        <f>IF(ISERROR(LEN(VLOOKUP(A70,Seqs!A:E,2,FALSE))-AL70),"-",LEN(VLOOKUP(A70,Seqs!A:E,2,FALSE))-AL70)</f>
        <v>72</v>
      </c>
      <c r="BB70" s="16">
        <f t="shared" si="50"/>
        <v>28</v>
      </c>
      <c r="BC70" s="9">
        <f t="shared" si="51"/>
        <v>20</v>
      </c>
      <c r="BD70" s="3">
        <f t="shared" si="52"/>
        <v>28</v>
      </c>
      <c r="BE70" s="3">
        <f t="shared" si="53"/>
        <v>77</v>
      </c>
    </row>
    <row r="71" spans="1:58" s="3" customFormat="1" x14ac:dyDescent="0.2">
      <c r="A71" s="3" t="s">
        <v>102</v>
      </c>
      <c r="B71" s="3" t="str">
        <f>LOWER(VLOOKUP(A71,Xtal_Templ!A:B,2,FALSE))</f>
        <v>adrb2_human</v>
      </c>
      <c r="C71" s="3">
        <f>VLOOKUP($A71,'SegEnds_NonXtal_BW#'!$A:$Z,3,FALSE)+D71-50</f>
        <v>30</v>
      </c>
      <c r="D71" s="3">
        <v>55</v>
      </c>
      <c r="E71" s="3">
        <f>IF(ISERROR(VLOOKUP($A71,'SegEnds_NonXtal_BW#'!$A:$Z,4,FALSE)+VLOOKUP($A71,A:AL,4,FALSE)-50),"-",(VLOOKUP($A71,'SegEnds_NonXtal_BW#'!$A:$Z,4,FALSE)+VLOOKUP($A71,A:AL,4,FALSE)-50))</f>
        <v>65</v>
      </c>
      <c r="F71" s="3">
        <f t="shared" si="27"/>
        <v>66</v>
      </c>
      <c r="G71" s="3">
        <v>68</v>
      </c>
      <c r="H71" s="3">
        <f t="shared" si="54"/>
        <v>69</v>
      </c>
      <c r="I71" s="3">
        <f t="shared" si="54"/>
        <v>70</v>
      </c>
      <c r="J71" s="3">
        <v>83</v>
      </c>
      <c r="K71" s="3">
        <f>VLOOKUP($A71,'SegEnds_NonXtal_BW#'!$A:$Z,8,FALSE)+VLOOKUP($A71,A:AL,10,FALSE)-50</f>
        <v>100</v>
      </c>
      <c r="L71" s="3">
        <f t="shared" si="56"/>
        <v>102</v>
      </c>
      <c r="M71" s="3">
        <v>103</v>
      </c>
      <c r="N71" s="3">
        <f t="shared" si="57"/>
        <v>105</v>
      </c>
      <c r="O71" s="3">
        <f t="shared" si="37"/>
        <v>106</v>
      </c>
      <c r="P71" s="3">
        <v>135</v>
      </c>
      <c r="Q71" s="3">
        <f>VLOOKUP($A71,'SegEnds_NonXtal_BW#'!$A:$Z,12,FALSE)+VLOOKUP($A71,A:AL,16,FALSE)-50</f>
        <v>141</v>
      </c>
      <c r="R71" s="3">
        <f>IF(ISERROR(VLOOKUP($A71,'SegEnds_NonXtal_BW#'!$A:$Z,13,FALSE)+VLOOKUP($A71,A:AL,19,FALSE)-50),"-",VLOOKUP($A71,'SegEnds_NonXtal_BW#'!$A:$Z,13,FALSE)+VLOOKUP($A71,A:AL,19,FALSE)-50)</f>
        <v>142</v>
      </c>
      <c r="S71" s="3">
        <v>142</v>
      </c>
      <c r="T71" s="100">
        <f>IF(ISERROR(VLOOKUP($A71,'SegEnds_NonXtal_BW#'!$A:$Z,14,FALSE)+VLOOKUP($A71,A:AL,19,FALSE)-50),"-",(VLOOKUP($A71,'SegEnds_NonXtal_BW#'!$A:$Z,14,FALSE)+VLOOKUP($A71,A:AL,19,FALSE)-50))</f>
        <v>149</v>
      </c>
      <c r="U71" s="9">
        <f>IF(ISERROR(VLOOKUP($A71,'SegEnds_NonXtal_BW#'!$A:$Z,15,FALSE)+VLOOKUP($A71,A:AL,22,FALSE)-50),"-",VLOOKUP($A71,'SegEnds_NonXtal_BW#'!$A:$Z,15,FALSE)+VLOOKUP($A71,A:AL,22,FALSE)-50)</f>
        <v>150</v>
      </c>
      <c r="V71" s="3">
        <v>162</v>
      </c>
      <c r="W71" s="3">
        <f>IF(ISERROR(VLOOKUP($A71,'SegEnds_NonXtal_BW#'!$A:$Z,16,FALSE)+VLOOKUP($A71,A:AL,22,FALSE)-50),"-",(VLOOKUP($A71,'SegEnds_NonXtal_BW#'!$A:$Z,16,FALSE)+VLOOKUP($A71,A:AL,22,FALSE)-50))</f>
        <v>176</v>
      </c>
      <c r="X71" s="3">
        <f>IF(ISERROR(VLOOKUP($A71,'SegEnds_NonXtal_BW#'!$A:$Z,17,FALSE)+VLOOKUP($A71,A:AL,25,FALSE)-50),"-",(VLOOKUP($A71,'SegEnds_NonXtal_BW#'!$A:$Z,17,FALSE)+VLOOKUP($A71,A:AL,25,FALSE)-50))</f>
        <v>196</v>
      </c>
      <c r="Y71" s="3">
        <v>196</v>
      </c>
      <c r="Z71" s="3">
        <f t="shared" si="38"/>
        <v>198</v>
      </c>
      <c r="AA71" s="3">
        <f>IF(ISERROR(VLOOKUP($A71,'SegEnds_NonXtal_BW#'!$A:$Z,19,FALSE)+VLOOKUP($A71,A:AL,28,FALSE)-50),"-",(VLOOKUP($A71,'SegEnds_NonXtal_BW#'!$A:$Z,19,FALSE)+VLOOKUP($A71,A:AL,28,FALSE)-50))</f>
        <v>201</v>
      </c>
      <c r="AB71" s="3">
        <v>216</v>
      </c>
      <c r="AC71" s="3">
        <f>IF(ISERROR((VLOOKUP($A71,'SegEnds_NonXtal_BW#'!$A:$Z,20,FALSE)+VLOOKUP($A71,A:AL,28,FALSE)-50)),"-",(VLOOKUP($A71,'SegEnds_NonXtal_BW#'!$A:$Z,20,FALSE)+VLOOKUP($A71,A:AL,28,FALSE)-50))</f>
        <v>242</v>
      </c>
      <c r="AD71" s="3">
        <f>IF(ISERROR(VLOOKUP($A71,'SegEnds_NonXtal_BW#'!$A:$Z,21,FALSE)+VLOOKUP($A71,A:AL,31,FALSE)-50),"-",(VLOOKUP($A71,'SegEnds_NonXtal_BW#'!$A:$Z,21,FALSE)+VLOOKUP($A71,A:AL,31,FALSE)-50))</f>
        <v>281</v>
      </c>
      <c r="AE71" s="3">
        <v>307</v>
      </c>
      <c r="AF71" s="3">
        <f>IF(ISERROR((VLOOKUP($A71,'SegEnds_NonXtal_BW#'!$A:$Z,22,FALSE)+VLOOKUP($A71,A:AL,31,FALSE)-50)),"-",(VLOOKUP($A71,'SegEnds_NonXtal_BW#'!$A:$Z,22,FALSE)+VLOOKUP($A71,A:AL,31,FALSE)-50))</f>
        <v>318</v>
      </c>
      <c r="AG71" s="3">
        <f>IF(ISERROR(VLOOKUP($A71,'SegEnds_NonXtal_BW#'!$A:$Z,23,FALSE)+VLOOKUP($A71,A:AL,34,FALSE)-50),"-",(VLOOKUP($A71,'SegEnds_NonXtal_BW#'!$A:$Z,23,FALSE)+VLOOKUP($A71,A:AL,34,FALSE)-50))</f>
        <v>324</v>
      </c>
      <c r="AH71" s="3">
        <v>343</v>
      </c>
      <c r="AI71" s="3">
        <v>348</v>
      </c>
      <c r="AJ71" s="3">
        <f>IF(ISERROR(VLOOKUP($A71,'SegEnds_NonXtal_BW#'!$A:$Z,25,FALSE)+VLOOKUP($A71,A:AL,37,FALSE)-50),"-",(VLOOKUP($A71,'SegEnds_NonXtal_BW#'!$A:$Z,25,FALSE)+VLOOKUP($A71,A:AL,37,FALSE)-50))</f>
        <v>349</v>
      </c>
      <c r="AK71" s="3">
        <v>352</v>
      </c>
      <c r="AL71" s="3">
        <f>IF(ISERROR((VLOOKUP($A71,'SegEnds_NonXtal_BW#'!$A:$Z,26,FALSE)+VLOOKUP($A71,A:AL,37,FALSE)-50)),"-",(VLOOKUP($A71,'SegEnds_NonXtal_BW#'!$A:$Z,26,FALSE)+VLOOKUP($A71,A:AL,37,FALSE)-50))</f>
        <v>361</v>
      </c>
      <c r="AM71" s="28" t="str">
        <f>VLOOKUP(A71,Classification!A:B,2,FALSE)</f>
        <v>A</v>
      </c>
      <c r="AN71" s="28" t="b">
        <f t="shared" si="55"/>
        <v>1</v>
      </c>
      <c r="AO71" s="3" t="str">
        <f>IF(ISERROR(MATCH(A71,'SegEnds_Xtal_Prot#'!B:B, 0)), "NoXtal", "Xtal")</f>
        <v>NoXtal</v>
      </c>
      <c r="AP71" s="3">
        <f t="shared" si="39"/>
        <v>1</v>
      </c>
      <c r="AQ71" s="3">
        <f t="shared" si="40"/>
        <v>1</v>
      </c>
      <c r="AR71" s="3">
        <f t="shared" si="41"/>
        <v>2</v>
      </c>
      <c r="AS71" s="3">
        <f t="shared" si="42"/>
        <v>1</v>
      </c>
      <c r="AT71" s="3">
        <f t="shared" si="43"/>
        <v>1</v>
      </c>
      <c r="AU71" s="3">
        <f t="shared" si="44"/>
        <v>1</v>
      </c>
      <c r="AV71" s="3">
        <f t="shared" si="45"/>
        <v>20</v>
      </c>
      <c r="AW71" s="3">
        <f t="shared" si="46"/>
        <v>3</v>
      </c>
      <c r="AX71" s="3">
        <f t="shared" si="47"/>
        <v>39</v>
      </c>
      <c r="AY71" s="3">
        <f t="shared" si="48"/>
        <v>6</v>
      </c>
      <c r="AZ71" s="3">
        <f t="shared" si="49"/>
        <v>1</v>
      </c>
      <c r="BA71" s="3">
        <f>IF(ISERROR(LEN(VLOOKUP(A71,Seqs!A:E,2,FALSE))-AL71),"-",LEN(VLOOKUP(A71,Seqs!A:E,2,FALSE))-AL71)</f>
        <v>47</v>
      </c>
      <c r="BB71" s="16">
        <f t="shared" si="50"/>
        <v>28</v>
      </c>
      <c r="BC71" s="9">
        <f t="shared" si="51"/>
        <v>20</v>
      </c>
      <c r="BD71" s="3">
        <f t="shared" si="52"/>
        <v>28</v>
      </c>
      <c r="BE71" s="3">
        <f t="shared" si="53"/>
        <v>91</v>
      </c>
    </row>
    <row r="72" spans="1:58" s="3" customFormat="1" x14ac:dyDescent="0.2">
      <c r="A72" s="3" t="s">
        <v>158</v>
      </c>
      <c r="B72" s="3" t="str">
        <f>LOWER(VLOOKUP(A72,Xtal_Templ!A:B,2,FALSE))</f>
        <v>agtr1_human</v>
      </c>
      <c r="C72" s="3">
        <f>VLOOKUP($A72,'SegEnds_NonXtal_BW#'!$A:$Z,3,FALSE)+D72-50</f>
        <v>24</v>
      </c>
      <c r="D72" s="3">
        <v>46</v>
      </c>
      <c r="E72" s="3">
        <f>IF(ISERROR(VLOOKUP($A72,'SegEnds_NonXtal_BW#'!$A:$Z,4,FALSE)+VLOOKUP($A72,A:AL,4,FALSE)-50),"-",(VLOOKUP($A72,'SegEnds_NonXtal_BW#'!$A:$Z,4,FALSE)+VLOOKUP($A72,A:AL,4,FALSE)-50))</f>
        <v>56</v>
      </c>
      <c r="F72" s="3">
        <f t="shared" si="27"/>
        <v>57</v>
      </c>
      <c r="G72" s="3">
        <v>59</v>
      </c>
      <c r="H72" s="3">
        <f t="shared" si="54"/>
        <v>60</v>
      </c>
      <c r="I72" s="3">
        <f t="shared" si="54"/>
        <v>61</v>
      </c>
      <c r="J72" s="3">
        <v>74</v>
      </c>
      <c r="K72" s="3">
        <f>VLOOKUP($A72,'SegEnds_NonXtal_BW#'!$A:$Z,8,FALSE)+VLOOKUP($A72,A:AL,10,FALSE)-50</f>
        <v>91</v>
      </c>
      <c r="L72" s="3">
        <f t="shared" si="56"/>
        <v>93</v>
      </c>
      <c r="M72" s="3">
        <v>94</v>
      </c>
      <c r="N72" s="3">
        <f t="shared" si="57"/>
        <v>96</v>
      </c>
      <c r="O72" s="3">
        <f t="shared" si="37"/>
        <v>97</v>
      </c>
      <c r="P72" s="3">
        <v>126</v>
      </c>
      <c r="Q72" s="3">
        <f>VLOOKUP($A72,'SegEnds_NonXtal_BW#'!$A:$Z,12,FALSE)+VLOOKUP($A72,A:AL,16,FALSE)-50</f>
        <v>132</v>
      </c>
      <c r="R72" s="3">
        <f>IF(ISERROR(VLOOKUP($A72,'SegEnds_NonXtal_BW#'!$A:$Z,13,FALSE)+VLOOKUP($A72,A:AL,19,FALSE)-50),"-",VLOOKUP($A72,'SegEnds_NonXtal_BW#'!$A:$Z,13,FALSE)+VLOOKUP($A72,A:AL,19,FALSE)-50)</f>
        <v>133</v>
      </c>
      <c r="S72" s="3">
        <v>133</v>
      </c>
      <c r="T72" s="100">
        <f>IF(ISERROR(VLOOKUP($A72,'SegEnds_NonXtal_BW#'!$A:$Z,14,FALSE)+VLOOKUP($A72,A:AL,19,FALSE)-50),"-",(VLOOKUP($A72,'SegEnds_NonXtal_BW#'!$A:$Z,14,FALSE)+VLOOKUP($A72,A:AL,19,FALSE)-50))</f>
        <v>140</v>
      </c>
      <c r="U72" s="9">
        <f>IF(ISERROR(VLOOKUP($A72,'SegEnds_NonXtal_BW#'!$A:$Z,15,FALSE)+VLOOKUP($A72,A:AL,22,FALSE)-50),"-",VLOOKUP($A72,'SegEnds_NonXtal_BW#'!$A:$Z,15,FALSE)+VLOOKUP($A72,A:AL,22,FALSE)-50)</f>
        <v>141</v>
      </c>
      <c r="V72" s="3">
        <v>153</v>
      </c>
      <c r="W72" s="3">
        <f>IF(ISERROR(VLOOKUP($A72,'SegEnds_NonXtal_BW#'!$A:$Z,16,FALSE)+VLOOKUP($A72,A:AL,22,FALSE)-50),"-",(VLOOKUP($A72,'SegEnds_NonXtal_BW#'!$A:$Z,16,FALSE)+VLOOKUP($A72,A:AL,22,FALSE)-50))</f>
        <v>167</v>
      </c>
      <c r="X72" s="3">
        <f>IF(ISERROR(VLOOKUP($A72,'SegEnds_NonXtal_BW#'!$A:$Z,17,FALSE)+VLOOKUP($A72,A:AL,25,FALSE)-50),"-",(VLOOKUP($A72,'SegEnds_NonXtal_BW#'!$A:$Z,17,FALSE)+VLOOKUP($A72,A:AL,25,FALSE)-50))</f>
        <v>180</v>
      </c>
      <c r="Y72" s="3">
        <v>180</v>
      </c>
      <c r="Z72" s="3">
        <f t="shared" si="38"/>
        <v>182</v>
      </c>
      <c r="AA72" s="3">
        <f>IF(ISERROR(VLOOKUP($A72,'SegEnds_NonXtal_BW#'!$A:$Z,19,FALSE)+VLOOKUP($A72,A:AL,28,FALSE)-50),"-",(VLOOKUP($A72,'SegEnds_NonXtal_BW#'!$A:$Z,19,FALSE)+VLOOKUP($A72,A:AL,28,FALSE)-50))</f>
        <v>191</v>
      </c>
      <c r="AB72" s="3">
        <v>207</v>
      </c>
      <c r="AC72" s="3">
        <f>IF(ISERROR((VLOOKUP($A72,'SegEnds_NonXtal_BW#'!$A:$Z,20,FALSE)+VLOOKUP($A72,A:AL,28,FALSE)-50)),"-",(VLOOKUP($A72,'SegEnds_NonXtal_BW#'!$A:$Z,20,FALSE)+VLOOKUP($A72,A:AL,28,FALSE)-50))</f>
        <v>225</v>
      </c>
      <c r="AD72" s="3">
        <f>IF(ISERROR(VLOOKUP($A72,'SegEnds_NonXtal_BW#'!$A:$Z,21,FALSE)+VLOOKUP($A72,A:AL,31,FALSE)-50),"-",(VLOOKUP($A72,'SegEnds_NonXtal_BW#'!$A:$Z,21,FALSE)+VLOOKUP($A72,A:AL,31,FALSE)-50))</f>
        <v>229</v>
      </c>
      <c r="AE72" s="3">
        <v>255</v>
      </c>
      <c r="AF72" s="3">
        <f>IF(ISERROR((VLOOKUP($A72,'SegEnds_NonXtal_BW#'!$A:$Z,22,FALSE)+VLOOKUP($A72,A:AL,31,FALSE)-50)),"-",(VLOOKUP($A72,'SegEnds_NonXtal_BW#'!$A:$Z,22,FALSE)+VLOOKUP($A72,A:AL,31,FALSE)-50))</f>
        <v>269</v>
      </c>
      <c r="AG72" s="3">
        <f>IF(ISERROR(VLOOKUP($A72,'SegEnds_NonXtal_BW#'!$A:$Z,23,FALSE)+VLOOKUP($A72,A:AL,34,FALSE)-50),"-",(VLOOKUP($A72,'SegEnds_NonXtal_BW#'!$A:$Z,23,FALSE)+VLOOKUP($A72,A:AL,34,FALSE)-50))</f>
        <v>273</v>
      </c>
      <c r="AH72" s="3">
        <v>299</v>
      </c>
      <c r="AI72" s="3">
        <f>IF(ISERROR((VLOOKUP($A72,'SegEnds_NonXtal_BW#'!$A:$Z,24,FALSE)+VLOOKUP($A72,A:AL,34,FALSE)-50)),"-",(VLOOKUP($A72,'SegEnds_NonXtal_BW#'!$A:$Z,24,FALSE)+VLOOKUP($A72,A:AL,34,FALSE)-50))</f>
        <v>305</v>
      </c>
      <c r="AJ72" s="3">
        <f>IF(ISERROR(VLOOKUP($A72,'SegEnds_NonXtal_BW#'!$A:$Z,25,FALSE)+VLOOKUP($A72,A:AL,37,FALSE)-50),"-",(VLOOKUP($A72,'SegEnds_NonXtal_BW#'!$A:$Z,25,FALSE)+VLOOKUP($A72,A:AL,37,FALSE)-50))</f>
        <v>306</v>
      </c>
      <c r="AK72" s="3">
        <v>309</v>
      </c>
      <c r="AL72" s="3">
        <f>IF(ISERROR((VLOOKUP($A72,'SegEnds_NonXtal_BW#'!$A:$Z,26,FALSE)+VLOOKUP($A72,A:AL,37,FALSE)-50)),"-",(VLOOKUP($A72,'SegEnds_NonXtal_BW#'!$A:$Z,26,FALSE)+VLOOKUP($A72,A:AL,37,FALSE)-50))</f>
        <v>320</v>
      </c>
      <c r="AM72" s="28" t="str">
        <f>VLOOKUP(A72,Classification!A:B,2,FALSE)</f>
        <v>A</v>
      </c>
      <c r="AN72" s="28" t="b">
        <f t="shared" si="55"/>
        <v>1</v>
      </c>
      <c r="AO72" s="3" t="str">
        <f>IF(ISERROR(MATCH(A72,'SegEnds_Xtal_Prot#'!B:B, 0)), "NoXtal", "Xtal")</f>
        <v>Xtal</v>
      </c>
      <c r="AP72" s="3">
        <f t="shared" si="39"/>
        <v>1</v>
      </c>
      <c r="AQ72" s="3">
        <f t="shared" si="40"/>
        <v>1</v>
      </c>
      <c r="AR72" s="3">
        <f t="shared" si="41"/>
        <v>2</v>
      </c>
      <c r="AS72" s="3">
        <f t="shared" si="42"/>
        <v>1</v>
      </c>
      <c r="AT72" s="3">
        <f t="shared" si="43"/>
        <v>1</v>
      </c>
      <c r="AU72" s="3">
        <f t="shared" si="44"/>
        <v>1</v>
      </c>
      <c r="AV72" s="3">
        <f t="shared" si="45"/>
        <v>13</v>
      </c>
      <c r="AW72" s="3">
        <f t="shared" si="46"/>
        <v>9</v>
      </c>
      <c r="AX72" s="3">
        <f t="shared" si="47"/>
        <v>4</v>
      </c>
      <c r="AY72" s="3">
        <f t="shared" si="48"/>
        <v>4</v>
      </c>
      <c r="AZ72" s="3">
        <f t="shared" si="49"/>
        <v>1</v>
      </c>
      <c r="BA72" s="3">
        <f>IF(ISERROR(LEN(VLOOKUP(A72,Seqs!A:E,2,FALSE))-AL72),"-",LEN(VLOOKUP(A72,Seqs!A:E,2,FALSE))-AL72)</f>
        <v>39</v>
      </c>
      <c r="BB72" s="16">
        <f t="shared" si="50"/>
        <v>28</v>
      </c>
      <c r="BC72" s="9">
        <f t="shared" si="51"/>
        <v>20</v>
      </c>
      <c r="BD72" s="3">
        <f t="shared" si="52"/>
        <v>28</v>
      </c>
      <c r="BE72" s="3">
        <f t="shared" si="53"/>
        <v>48</v>
      </c>
    </row>
    <row r="73" spans="1:58" s="3" customFormat="1" x14ac:dyDescent="0.2">
      <c r="A73" s="3" t="s">
        <v>160</v>
      </c>
      <c r="B73" s="3" t="str">
        <f>LOWER(VLOOKUP(A73,Xtal_Templ!A:B,2,FALSE))</f>
        <v>apj_human</v>
      </c>
      <c r="C73" s="3">
        <f>VLOOKUP($A73,'SegEnds_NonXtal_BW#'!$A:$Z,3,FALSE)+D73-50</f>
        <v>29</v>
      </c>
      <c r="D73" s="3">
        <v>46</v>
      </c>
      <c r="E73" s="3">
        <f>IF(ISERROR(VLOOKUP($A73,'SegEnds_NonXtal_BW#'!$A:$Z,4,FALSE)+VLOOKUP($A73,A:AL,4,FALSE)-50),"-",(VLOOKUP($A73,'SegEnds_NonXtal_BW#'!$A:$Z,4,FALSE)+VLOOKUP($A73,A:AL,4,FALSE)-50))</f>
        <v>56</v>
      </c>
      <c r="F73" s="3">
        <f>IF(ISERROR(VLOOKUP($A73,'SegEnds_NonXtal_BW#'!$A:$Z,5,FALSE)+VLOOKUP($A73,A:AL,7,FALSE)-50),"-",(VLOOKUP($A73,'SegEnds_NonXtal_BW#'!$A:$Z,5,FALSE)+VLOOKUP($A73,A:AL,7,FALSE)-50))</f>
        <v>57</v>
      </c>
      <c r="G73" s="3">
        <v>59</v>
      </c>
      <c r="H73" s="3">
        <f>IF(ISERROR(VLOOKUP($A73,'SegEnds_NonXtal_BW#'!$A:$Z,6,FALSE)+VLOOKUP($A73,A:AL,7,FALSE)-50),"-",(VLOOKUP($A73,'SegEnds_NonXtal_BW#'!$A:$Z,6,FALSE)+VLOOKUP($A73,A:AL,7,FALSE)-50))</f>
        <v>61</v>
      </c>
      <c r="I73" s="3">
        <f>VLOOKUP($A73,'SegEnds_NonXtal_BW#'!$A:$Z,7,FALSE)+J73-50</f>
        <v>62</v>
      </c>
      <c r="J73" s="3">
        <v>75</v>
      </c>
      <c r="K73" s="3">
        <f>VLOOKUP($A73,'SegEnds_NonXtal_BW#'!$A:$Z,8,FALSE)+VLOOKUP($A73,A:AL,10,FALSE)-50</f>
        <v>92</v>
      </c>
      <c r="L73" s="3">
        <f t="shared" si="56"/>
        <v>94</v>
      </c>
      <c r="M73" s="3">
        <v>95</v>
      </c>
      <c r="N73" s="3">
        <f t="shared" si="57"/>
        <v>97</v>
      </c>
      <c r="O73" s="3">
        <f t="shared" si="37"/>
        <v>98</v>
      </c>
      <c r="P73" s="3">
        <v>127</v>
      </c>
      <c r="Q73" s="3">
        <f>VLOOKUP($A73,'SegEnds_NonXtal_BW#'!$A:$Z,12,FALSE)+VLOOKUP($A73,A:AL,16,FALSE)-50</f>
        <v>133</v>
      </c>
      <c r="R73" s="3">
        <f>IF(ISERROR(VLOOKUP($A73,'SegEnds_NonXtal_BW#'!$A:$Z,13,FALSE)+VLOOKUP($A73,A:AL,19,FALSE)-50),"-",VLOOKUP($A73,'SegEnds_NonXtal_BW#'!$A:$Z,13,FALSE)+VLOOKUP($A73,A:AL,19,FALSE)-50)</f>
        <v>134</v>
      </c>
      <c r="S73" s="3">
        <v>134</v>
      </c>
      <c r="T73" s="100">
        <f>IF(ISERROR(VLOOKUP($A73,'SegEnds_NonXtal_BW#'!$A:$Z,14,FALSE)+VLOOKUP($A73,A:AL,19,FALSE)-50),"-",(VLOOKUP($A73,'SegEnds_NonXtal_BW#'!$A:$Z,14,FALSE)+VLOOKUP($A73,A:AL,19,FALSE)-50))</f>
        <v>141</v>
      </c>
      <c r="U73" s="9">
        <f>IF(ISERROR(VLOOKUP($A73,'SegEnds_NonXtal_BW#'!$A:$Z,15,FALSE)+VLOOKUP($A73,A:AL,22,FALSE)-50),"-",VLOOKUP($A73,'SegEnds_NonXtal_BW#'!$A:$Z,15,FALSE)+VLOOKUP($A73,A:AL,22,FALSE)-50)</f>
        <v>142</v>
      </c>
      <c r="V73" s="3">
        <v>154</v>
      </c>
      <c r="W73" s="3">
        <f>IF(ISERROR(VLOOKUP($A73,'SegEnds_NonXtal_BW#'!$A:$Z,16,FALSE)+VLOOKUP($A73,A:AL,22,FALSE)-50),"-",(VLOOKUP($A73,'SegEnds_NonXtal_BW#'!$A:$Z,16,FALSE)+VLOOKUP($A73,A:AL,22,FALSE)-50))</f>
        <v>168</v>
      </c>
      <c r="X73" s="3">
        <f>IF(ISERROR(VLOOKUP($A73,'SegEnds_NonXtal_BW#'!$A:$Z,17,FALSE)+VLOOKUP($A73,A:AL,25,FALSE)-50),"-",(VLOOKUP($A73,'SegEnds_NonXtal_BW#'!$A:$Z,17,FALSE)+VLOOKUP($A73,A:AL,25,FALSE)-50))</f>
        <v>181</v>
      </c>
      <c r="Y73" s="3">
        <v>181</v>
      </c>
      <c r="Z73" s="3">
        <f t="shared" si="38"/>
        <v>183</v>
      </c>
      <c r="AA73" s="3">
        <f>IF(ISERROR(VLOOKUP($A73,'SegEnds_NonXtal_BW#'!$A:$Z,19,FALSE)+VLOOKUP($A73,A:AL,28,FALSE)-50),"-",(VLOOKUP($A73,'SegEnds_NonXtal_BW#'!$A:$Z,19,FALSE)+VLOOKUP($A73,A:AL,28,FALSE)-50))</f>
        <v>193</v>
      </c>
      <c r="AB73" s="3">
        <v>213</v>
      </c>
      <c r="AC73" s="3">
        <f>IF(ISERROR((VLOOKUP($A73,'SegEnds_NonXtal_BW#'!$A:$Z,20,FALSE)+VLOOKUP($A73,A:AL,28,FALSE)-50)),"-",(VLOOKUP($A73,'SegEnds_NonXtal_BW#'!$A:$Z,20,FALSE)+VLOOKUP($A73,A:AL,28,FALSE)-50))</f>
        <v>235</v>
      </c>
      <c r="AD73" s="3">
        <f>IF(ISERROR(VLOOKUP($A73,'SegEnds_NonXtal_BW#'!$A:$Z,21,FALSE)+VLOOKUP($A73,A:AL,31,FALSE)-50),"-",(VLOOKUP($A73,'SegEnds_NonXtal_BW#'!$A:$Z,21,FALSE)+VLOOKUP($A73,A:AL,31,FALSE)-50))</f>
        <v>242</v>
      </c>
      <c r="AE73" s="3">
        <v>263</v>
      </c>
      <c r="AF73" s="3">
        <f>IF(ISERROR((VLOOKUP($A73,'SegEnds_NonXtal_BW#'!$A:$Z,22,FALSE)+VLOOKUP($A73,A:AL,31,FALSE)-50)),"-",(VLOOKUP($A73,'SegEnds_NonXtal_BW#'!$A:$Z,22,FALSE)+VLOOKUP($A73,A:AL,31,FALSE)-50))</f>
        <v>276</v>
      </c>
      <c r="AG73" s="3">
        <f>IF(ISERROR(VLOOKUP($A73,'SegEnds_NonXtal_BW#'!$A:$Z,23,FALSE)+VLOOKUP($A73,A:AL,34,FALSE)-50),"-",(VLOOKUP($A73,'SegEnds_NonXtal_BW#'!$A:$Z,23,FALSE)+VLOOKUP($A73,A:AL,34,FALSE)-50))</f>
        <v>280</v>
      </c>
      <c r="AH73" s="3">
        <v>306</v>
      </c>
      <c r="AI73" s="3">
        <f>IF(ISERROR((VLOOKUP($A73,'SegEnds_NonXtal_BW#'!$A:$Z,24,FALSE)+VLOOKUP($A73,A:AL,34,FALSE)-50)),"-",(VLOOKUP($A73,'SegEnds_NonXtal_BW#'!$A:$Z,24,FALSE)+VLOOKUP($A73,A:AL,34,FALSE)-50))</f>
        <v>312</v>
      </c>
      <c r="AJ73" s="3">
        <f>IF(ISERROR(VLOOKUP($A73,'SegEnds_NonXtal_BW#'!$A:$Z,25,FALSE)+VLOOKUP($A73,A:AL,37,FALSE)-50),"-",(VLOOKUP($A73,'SegEnds_NonXtal_BW#'!$A:$Z,25,FALSE)+VLOOKUP($A73,A:AL,37,FALSE)-50))</f>
        <v>313</v>
      </c>
      <c r="AK73" s="3">
        <v>316</v>
      </c>
      <c r="AL73" s="3">
        <f>IF(ISERROR((VLOOKUP($A73,'SegEnds_NonXtal_BW#'!$A:$Z,26,FALSE)+VLOOKUP($A73,A:AL,37,FALSE)-50)),"-",(VLOOKUP($A73,'SegEnds_NonXtal_BW#'!$A:$Z,26,FALSE)+VLOOKUP($A73,A:AL,37,FALSE)-50))</f>
        <v>327</v>
      </c>
      <c r="AM73" s="28" t="str">
        <f>VLOOKUP(A73,Classification!A:B,2,FALSE)</f>
        <v>A</v>
      </c>
      <c r="AN73" s="28" t="b">
        <f t="shared" si="55"/>
        <v>1</v>
      </c>
      <c r="AO73" s="3" t="str">
        <f>IF(ISERROR(MATCH(A73,'SegEnds_Xtal_Prot#'!B:B, 0)), "NoXtal", "Xtal")</f>
        <v>Xtal</v>
      </c>
      <c r="AP73" s="3">
        <f t="shared" si="39"/>
        <v>1</v>
      </c>
      <c r="AQ73" s="3">
        <f t="shared" si="40"/>
        <v>1</v>
      </c>
      <c r="AR73" s="3">
        <f t="shared" si="41"/>
        <v>2</v>
      </c>
      <c r="AS73" s="3">
        <f t="shared" si="42"/>
        <v>1</v>
      </c>
      <c r="AT73" s="3">
        <f t="shared" si="43"/>
        <v>1</v>
      </c>
      <c r="AU73" s="3">
        <f t="shared" si="44"/>
        <v>1</v>
      </c>
      <c r="AV73" s="3">
        <f t="shared" si="45"/>
        <v>13</v>
      </c>
      <c r="AW73" s="3">
        <f t="shared" si="46"/>
        <v>10</v>
      </c>
      <c r="AX73" s="3">
        <f t="shared" si="47"/>
        <v>7</v>
      </c>
      <c r="AY73" s="3">
        <f t="shared" si="48"/>
        <v>4</v>
      </c>
      <c r="AZ73" s="3">
        <f t="shared" si="49"/>
        <v>1</v>
      </c>
      <c r="BA73" s="3">
        <f>IF(ISERROR(LEN(VLOOKUP(A73,Seqs!A:E,2,FALSE))-AL73),"-",LEN(VLOOKUP(A73,Seqs!A:E,2,FALSE))-AL73)</f>
        <v>53</v>
      </c>
      <c r="BB73" s="16">
        <f t="shared" si="50"/>
        <v>29</v>
      </c>
      <c r="BC73" s="9">
        <f t="shared" si="51"/>
        <v>20</v>
      </c>
      <c r="BD73" s="3">
        <f t="shared" si="52"/>
        <v>29</v>
      </c>
      <c r="BE73" s="3">
        <f t="shared" si="53"/>
        <v>50</v>
      </c>
    </row>
    <row r="74" spans="1:58" s="3" customFormat="1" x14ac:dyDescent="0.2">
      <c r="A74" s="3" t="s">
        <v>161</v>
      </c>
      <c r="B74" s="3" t="str">
        <f>LOWER(VLOOKUP(A74,Xtal_Templ!A:B,2,FALSE))</f>
        <v>agtr1_human</v>
      </c>
      <c r="C74" s="3">
        <f>VLOOKUP($A74,'SegEnds_NonXtal_BW#'!$A:$Z,3,FALSE)+D74-50</f>
        <v>33</v>
      </c>
      <c r="D74" s="3">
        <v>55</v>
      </c>
      <c r="E74" s="3">
        <f>IF(ISERROR(VLOOKUP($A74,'SegEnds_NonXtal_BW#'!$A:$Z,4,FALSE)+VLOOKUP($A74,A:AL,4,FALSE)-50),"-",(VLOOKUP($A74,'SegEnds_NonXtal_BW#'!$A:$Z,4,FALSE)+VLOOKUP($A74,A:AL,4,FALSE)-50))</f>
        <v>65</v>
      </c>
      <c r="F74" s="3">
        <f>G74-2</f>
        <v>66</v>
      </c>
      <c r="G74" s="3">
        <v>68</v>
      </c>
      <c r="H74" s="3">
        <f t="shared" ref="H74:I76" si="58">G74+1</f>
        <v>69</v>
      </c>
      <c r="I74" s="3">
        <f t="shared" si="58"/>
        <v>70</v>
      </c>
      <c r="J74" s="3">
        <v>83</v>
      </c>
      <c r="K74" s="3">
        <f>VLOOKUP($A74,'SegEnds_NonXtal_BW#'!$A:$Z,8,FALSE)+VLOOKUP($A74,A:AL,10,FALSE)-50</f>
        <v>100</v>
      </c>
      <c r="L74" s="3">
        <f t="shared" si="56"/>
        <v>102</v>
      </c>
      <c r="M74" s="3">
        <v>103</v>
      </c>
      <c r="N74" s="3">
        <f t="shared" si="57"/>
        <v>105</v>
      </c>
      <c r="O74" s="3">
        <f t="shared" si="37"/>
        <v>106</v>
      </c>
      <c r="P74" s="3">
        <v>135</v>
      </c>
      <c r="Q74" s="3">
        <f>VLOOKUP($A74,'SegEnds_NonXtal_BW#'!$A:$Z,12,FALSE)+VLOOKUP($A74,A:AL,16,FALSE)-50</f>
        <v>141</v>
      </c>
      <c r="R74" s="3">
        <f>IF(ISERROR(VLOOKUP($A74,'SegEnds_NonXtal_BW#'!$A:$Z,13,FALSE)+VLOOKUP($A74,A:AL,19,FALSE)-50),"-",VLOOKUP($A74,'SegEnds_NonXtal_BW#'!$A:$Z,13,FALSE)+VLOOKUP($A74,A:AL,19,FALSE)-50)</f>
        <v>142</v>
      </c>
      <c r="S74" s="3">
        <v>142</v>
      </c>
      <c r="T74" s="100">
        <f>IF(ISERROR(VLOOKUP($A74,'SegEnds_NonXtal_BW#'!$A:$Z,14,FALSE)+VLOOKUP($A74,A:AL,19,FALSE)-50),"-",(VLOOKUP($A74,'SegEnds_NonXtal_BW#'!$A:$Z,14,FALSE)+VLOOKUP($A74,A:AL,19,FALSE)-50))</f>
        <v>149</v>
      </c>
      <c r="U74" s="9">
        <f>IF(ISERROR(VLOOKUP($A74,'SegEnds_NonXtal_BW#'!$A:$Z,15,FALSE)+VLOOKUP($A74,A:AL,22,FALSE)-50),"-",VLOOKUP($A74,'SegEnds_NonXtal_BW#'!$A:$Z,15,FALSE)+VLOOKUP($A74,A:AL,22,FALSE)-50)</f>
        <v>150</v>
      </c>
      <c r="V74" s="3">
        <v>162</v>
      </c>
      <c r="W74" s="3">
        <f>IF(ISERROR(VLOOKUP($A74,'SegEnds_NonXtal_BW#'!$A:$Z,16,FALSE)+VLOOKUP($A74,A:AL,22,FALSE)-50),"-",(VLOOKUP($A74,'SegEnds_NonXtal_BW#'!$A:$Z,16,FALSE)+VLOOKUP($A74,A:AL,22,FALSE)-50))</f>
        <v>176</v>
      </c>
      <c r="X74" s="3">
        <f>IF(ISERROR(VLOOKUP($A74,'SegEnds_NonXtal_BW#'!$A:$Z,17,FALSE)+VLOOKUP($A74,A:AL,25,FALSE)-50),"-",(VLOOKUP($A74,'SegEnds_NonXtal_BW#'!$A:$Z,17,FALSE)+VLOOKUP($A74,A:AL,25,FALSE)-50))</f>
        <v>189</v>
      </c>
      <c r="Y74" s="3">
        <v>189</v>
      </c>
      <c r="Z74" s="3">
        <f t="shared" si="38"/>
        <v>191</v>
      </c>
      <c r="AA74" s="3">
        <f>IF(ISERROR(VLOOKUP($A74,'SegEnds_NonXtal_BW#'!$A:$Z,19,FALSE)+VLOOKUP($A74,A:AL,28,FALSE)-50),"-",(VLOOKUP($A74,'SegEnds_NonXtal_BW#'!$A:$Z,19,FALSE)+VLOOKUP($A74,A:AL,28,FALSE)-50))</f>
        <v>198</v>
      </c>
      <c r="AB74" s="3">
        <v>214</v>
      </c>
      <c r="AC74" s="3">
        <f>IF(ISERROR((VLOOKUP($A74,'SegEnds_NonXtal_BW#'!$A:$Z,20,FALSE)+VLOOKUP($A74,A:AL,28,FALSE)-50)),"-",(VLOOKUP($A74,'SegEnds_NonXtal_BW#'!$A:$Z,20,FALSE)+VLOOKUP($A74,A:AL,28,FALSE)-50))</f>
        <v>232</v>
      </c>
      <c r="AD74" s="3">
        <f>IF(ISERROR(VLOOKUP($A74,'SegEnds_NonXtal_BW#'!$A:$Z,21,FALSE)+VLOOKUP($A74,A:AL,31,FALSE)-50),"-",(VLOOKUP($A74,'SegEnds_NonXtal_BW#'!$A:$Z,21,FALSE)+VLOOKUP($A74,A:AL,31,FALSE)-50))</f>
        <v>238</v>
      </c>
      <c r="AE74" s="3">
        <v>265</v>
      </c>
      <c r="AF74" s="3">
        <f>IF(ISERROR((VLOOKUP($A74,'SegEnds_NonXtal_BW#'!$A:$Z,22,FALSE)+VLOOKUP($A74,A:AL,31,FALSE)-50)),"-",(VLOOKUP($A74,'SegEnds_NonXtal_BW#'!$A:$Z,22,FALSE)+VLOOKUP($A74,A:AL,31,FALSE)-50))</f>
        <v>279</v>
      </c>
      <c r="AG74" s="3">
        <f>IF(ISERROR(VLOOKUP($A74,'SegEnds_NonXtal_BW#'!$A:$Z,23,FALSE)+VLOOKUP($A74,A:AL,34,FALSE)-50),"-",(VLOOKUP($A74,'SegEnds_NonXtal_BW#'!$A:$Z,23,FALSE)+VLOOKUP($A74,A:AL,34,FALSE)-50))</f>
        <v>283</v>
      </c>
      <c r="AH74" s="3">
        <v>309</v>
      </c>
      <c r="AI74" s="3">
        <f>IF(ISERROR((VLOOKUP($A74,'SegEnds_NonXtal_BW#'!$A:$Z,24,FALSE)+VLOOKUP($A74,A:AL,34,FALSE)-50)),"-",(VLOOKUP($A74,'SegEnds_NonXtal_BW#'!$A:$Z,24,FALSE)+VLOOKUP($A74,A:AL,34,FALSE)-50))</f>
        <v>315</v>
      </c>
      <c r="AJ74" s="3">
        <f>IF(ISERROR(VLOOKUP($A74,'SegEnds_NonXtal_BW#'!$A:$Z,25,FALSE)+VLOOKUP($A74,A:AL,37,FALSE)-50),"-",(VLOOKUP($A74,'SegEnds_NonXtal_BW#'!$A:$Z,25,FALSE)+VLOOKUP($A74,A:AL,37,FALSE)-50))</f>
        <v>316</v>
      </c>
      <c r="AK74" s="3">
        <v>319</v>
      </c>
      <c r="AL74" s="3">
        <f>IF(ISERROR((VLOOKUP($A74,'SegEnds_NonXtal_BW#'!$A:$Z,26,FALSE)+VLOOKUP($A74,A:AL,37,FALSE)-50)),"-",(VLOOKUP($A74,'SegEnds_NonXtal_BW#'!$A:$Z,26,FALSE)+VLOOKUP($A74,A:AL,37,FALSE)-50))</f>
        <v>330</v>
      </c>
      <c r="AM74" s="28" t="str">
        <f>VLOOKUP(A74,Classification!A:B,2,FALSE)</f>
        <v>A</v>
      </c>
      <c r="AN74" s="28" t="b">
        <f t="shared" si="55"/>
        <v>1</v>
      </c>
      <c r="AO74" s="3" t="str">
        <f>IF(ISERROR(MATCH(A74,'SegEnds_Xtal_Prot#'!B:B, 0)), "NoXtal", "Xtal")</f>
        <v>NoXtal</v>
      </c>
      <c r="AP74" s="3">
        <f t="shared" si="39"/>
        <v>1</v>
      </c>
      <c r="AQ74" s="3">
        <f t="shared" si="40"/>
        <v>1</v>
      </c>
      <c r="AR74" s="3">
        <f t="shared" si="41"/>
        <v>2</v>
      </c>
      <c r="AS74" s="3">
        <f t="shared" si="42"/>
        <v>1</v>
      </c>
      <c r="AT74" s="3">
        <f t="shared" si="43"/>
        <v>1</v>
      </c>
      <c r="AU74" s="3">
        <f t="shared" si="44"/>
        <v>1</v>
      </c>
      <c r="AV74" s="3">
        <f t="shared" si="45"/>
        <v>13</v>
      </c>
      <c r="AW74" s="3">
        <f t="shared" si="46"/>
        <v>7</v>
      </c>
      <c r="AX74" s="3">
        <f t="shared" si="47"/>
        <v>6</v>
      </c>
      <c r="AY74" s="3">
        <f t="shared" si="48"/>
        <v>4</v>
      </c>
      <c r="AZ74" s="3">
        <f t="shared" si="49"/>
        <v>1</v>
      </c>
      <c r="BA74" s="3">
        <f>IF(ISERROR(LEN(VLOOKUP(A74,Seqs!A:E,2,FALSE))-AL74),"-",LEN(VLOOKUP(A74,Seqs!A:E,2,FALSE))-AL74)</f>
        <v>23</v>
      </c>
      <c r="BB74" s="16">
        <f t="shared" si="50"/>
        <v>28</v>
      </c>
      <c r="BC74" s="9">
        <f t="shared" si="51"/>
        <v>20</v>
      </c>
      <c r="BD74" s="3">
        <f t="shared" si="52"/>
        <v>28</v>
      </c>
      <c r="BE74" s="3">
        <f t="shared" si="53"/>
        <v>51</v>
      </c>
      <c r="BF74" s="3">
        <f>AH74-AE74</f>
        <v>44</v>
      </c>
    </row>
    <row r="75" spans="1:58" s="3" customFormat="1" x14ac:dyDescent="0.2">
      <c r="A75" s="3" t="s">
        <v>162</v>
      </c>
      <c r="B75" s="3" t="str">
        <f>LOWER(VLOOKUP(A75,Xtal_Templ!A:B,2,FALSE))</f>
        <v>agtr2_human</v>
      </c>
      <c r="C75" s="3">
        <f>VLOOKUP($A75,'SegEnds_NonXtal_BW#'!$A:$Z,3,FALSE)+D75-50</f>
        <v>58</v>
      </c>
      <c r="D75" s="3">
        <v>75</v>
      </c>
      <c r="E75" s="3">
        <f>IF(ISERROR(VLOOKUP($A75,'SegEnds_NonXtal_BW#'!$A:$Z,4,FALSE)+VLOOKUP($A75,A:AL,4,FALSE)-50),"-",(VLOOKUP($A75,'SegEnds_NonXtal_BW#'!$A:$Z,4,FALSE)+VLOOKUP($A75,A:AL,4,FALSE)-50))</f>
        <v>85</v>
      </c>
      <c r="F75" s="3">
        <f>G75-2</f>
        <v>86</v>
      </c>
      <c r="G75" s="3">
        <v>88</v>
      </c>
      <c r="H75" s="3">
        <f t="shared" si="58"/>
        <v>89</v>
      </c>
      <c r="I75" s="3">
        <f t="shared" si="58"/>
        <v>90</v>
      </c>
      <c r="J75" s="3">
        <v>103</v>
      </c>
      <c r="K75" s="3">
        <f>VLOOKUP($A75,'SegEnds_NonXtal_BW#'!$A:$Z,8,FALSE)+VLOOKUP($A75,A:AL,10,FALSE)-50</f>
        <v>119</v>
      </c>
      <c r="L75" s="3">
        <f t="shared" si="56"/>
        <v>122</v>
      </c>
      <c r="M75" s="3">
        <v>123</v>
      </c>
      <c r="N75" s="3">
        <f t="shared" si="57"/>
        <v>125</v>
      </c>
      <c r="O75" s="3">
        <f t="shared" si="37"/>
        <v>126</v>
      </c>
      <c r="P75" s="3">
        <v>155</v>
      </c>
      <c r="Q75" s="3">
        <f>VLOOKUP($A75,'SegEnds_NonXtal_BW#'!$A:$Z,12,FALSE)+VLOOKUP($A75,A:AL,16,FALSE)-50</f>
        <v>161</v>
      </c>
      <c r="R75" s="3">
        <f>IF(ISERROR(VLOOKUP($A75,'SegEnds_NonXtal_BW#'!$A:$Z,13,FALSE)+VLOOKUP($A75,A:AL,19,FALSE)-50),"-",VLOOKUP($A75,'SegEnds_NonXtal_BW#'!$A:$Z,13,FALSE)+VLOOKUP($A75,A:AL,19,FALSE)-50)</f>
        <v>162</v>
      </c>
      <c r="S75" s="3">
        <v>162</v>
      </c>
      <c r="T75" s="100">
        <f>IF(ISERROR(VLOOKUP($A75,'SegEnds_NonXtal_BW#'!$A:$Z,14,FALSE)+VLOOKUP($A75,A:AL,19,FALSE)-50),"-",(VLOOKUP($A75,'SegEnds_NonXtal_BW#'!$A:$Z,14,FALSE)+VLOOKUP($A75,A:AL,19,FALSE)-50))</f>
        <v>169</v>
      </c>
      <c r="U75" s="9">
        <f>IF(ISERROR(VLOOKUP($A75,'SegEnds_NonXtal_BW#'!$A:$Z,15,FALSE)+VLOOKUP($A75,A:AL,22,FALSE)-50),"-",VLOOKUP($A75,'SegEnds_NonXtal_BW#'!$A:$Z,15,FALSE)+VLOOKUP($A75,A:AL,22,FALSE)-50)</f>
        <v>170</v>
      </c>
      <c r="V75" s="3">
        <v>182</v>
      </c>
      <c r="W75" s="3">
        <f>IF(ISERROR(VLOOKUP($A75,'SegEnds_NonXtal_BW#'!$A:$Z,16,FALSE)+VLOOKUP($A75,A:AL,22,FALSE)-50),"-",(VLOOKUP($A75,'SegEnds_NonXtal_BW#'!$A:$Z,16,FALSE)+VLOOKUP($A75,A:AL,22,FALSE)-50))</f>
        <v>196</v>
      </c>
      <c r="X75" s="3">
        <f>IF(ISERROR(VLOOKUP($A75,'SegEnds_NonXtal_BW#'!$A:$Z,17,FALSE)+VLOOKUP($A75,A:AL,25,FALSE)-50),"-",(VLOOKUP($A75,'SegEnds_NonXtal_BW#'!$A:$Z,17,FALSE)+VLOOKUP($A75,A:AL,25,FALSE)-50))</f>
        <v>211</v>
      </c>
      <c r="Y75" s="3">
        <v>211</v>
      </c>
      <c r="Z75" s="3">
        <f t="shared" si="38"/>
        <v>213</v>
      </c>
      <c r="AA75" s="3">
        <f>IF(ISERROR(VLOOKUP($A75,'SegEnds_NonXtal_BW#'!$A:$Z,19,FALSE)+VLOOKUP($A75,A:AL,28,FALSE)-50),"-",(VLOOKUP($A75,'SegEnds_NonXtal_BW#'!$A:$Z,19,FALSE)+VLOOKUP($A75,A:AL,28,FALSE)-50))</f>
        <v>216</v>
      </c>
      <c r="AB75" s="3">
        <v>236</v>
      </c>
      <c r="AC75" s="3">
        <f>IF(ISERROR((VLOOKUP($A75,'SegEnds_NonXtal_BW#'!$A:$Z,20,FALSE)+VLOOKUP($A75,A:AL,28,FALSE)-50)),"-",(VLOOKUP($A75,'SegEnds_NonXtal_BW#'!$A:$Z,20,FALSE)+VLOOKUP($A75,A:AL,28,FALSE)-50))</f>
        <v>254</v>
      </c>
      <c r="AD75" s="3">
        <f>IF(ISERROR(VLOOKUP($A75,'SegEnds_NonXtal_BW#'!$A:$Z,21,FALSE)+VLOOKUP($A75,A:AL,31,FALSE)-50),"-",(VLOOKUP($A75,'SegEnds_NonXtal_BW#'!$A:$Z,21,FALSE)+VLOOKUP($A75,A:AL,31,FALSE)-50))</f>
        <v>259</v>
      </c>
      <c r="AE75" s="3">
        <v>285</v>
      </c>
      <c r="AF75" s="3">
        <f>IF(ISERROR((VLOOKUP($A75,'SegEnds_NonXtal_BW#'!$A:$Z,22,FALSE)+VLOOKUP($A75,A:AL,31,FALSE)-50)),"-",(VLOOKUP($A75,'SegEnds_NonXtal_BW#'!$A:$Z,22,FALSE)+VLOOKUP($A75,A:AL,31,FALSE)-50))</f>
        <v>299</v>
      </c>
      <c r="AG75" s="3">
        <f>IF(ISERROR(VLOOKUP($A75,'SegEnds_NonXtal_BW#'!$A:$Z,23,FALSE)+VLOOKUP($A75,A:AL,34,FALSE)-50),"-",(VLOOKUP($A75,'SegEnds_NonXtal_BW#'!$A:$Z,23,FALSE)+VLOOKUP($A75,A:AL,34,FALSE)-50))</f>
        <v>303</v>
      </c>
      <c r="AH75" s="3">
        <v>329</v>
      </c>
      <c r="AI75" s="3">
        <f>IF(ISERROR((VLOOKUP($A75,'SegEnds_NonXtal_BW#'!$A:$Z,24,FALSE)+VLOOKUP($A75,A:AL,34,FALSE)-50)),"-",(VLOOKUP($A75,'SegEnds_NonXtal_BW#'!$A:$Z,24,FALSE)+VLOOKUP($A75,A:AL,34,FALSE)-50))</f>
        <v>335</v>
      </c>
      <c r="AJ75" s="3">
        <f>IF(ISERROR(VLOOKUP($A75,'SegEnds_NonXtal_BW#'!$A:$Z,25,FALSE)+VLOOKUP($A75,A:AL,37,FALSE)-50),"-",(VLOOKUP($A75,'SegEnds_NonXtal_BW#'!$A:$Z,25,FALSE)+VLOOKUP($A75,A:AL,37,FALSE)-50))</f>
        <v>336</v>
      </c>
      <c r="AK75" s="3">
        <v>339</v>
      </c>
      <c r="AL75" s="3">
        <f>IF(ISERROR((VLOOKUP($A75,'SegEnds_NonXtal_BW#'!$A:$Z,26,FALSE)+VLOOKUP($A75,A:AL,37,FALSE)-50)),"-",(VLOOKUP($A75,'SegEnds_NonXtal_BW#'!$A:$Z,26,FALSE)+VLOOKUP($A75,A:AL,37,FALSE)-50))</f>
        <v>350</v>
      </c>
      <c r="AM75" s="28" t="str">
        <f>VLOOKUP(A75,Classification!A:B,2,FALSE)</f>
        <v>A</v>
      </c>
      <c r="AN75" s="28" t="b">
        <f t="shared" si="55"/>
        <v>1</v>
      </c>
      <c r="AO75" s="3" t="str">
        <f>IF(ISERROR(MATCH(A75,'SegEnds_Xtal_Prot#'!B:B, 0)), "NoXtal", "Xtal")</f>
        <v>NoXtal</v>
      </c>
      <c r="AP75" s="3">
        <f t="shared" si="39"/>
        <v>1</v>
      </c>
      <c r="AQ75" s="3">
        <f t="shared" si="40"/>
        <v>1</v>
      </c>
      <c r="AR75" s="3">
        <f t="shared" si="41"/>
        <v>3</v>
      </c>
      <c r="AS75" s="3">
        <f t="shared" si="42"/>
        <v>1</v>
      </c>
      <c r="AT75" s="3">
        <f t="shared" si="43"/>
        <v>1</v>
      </c>
      <c r="AU75" s="3">
        <f t="shared" si="44"/>
        <v>1</v>
      </c>
      <c r="AV75" s="3">
        <f t="shared" si="45"/>
        <v>15</v>
      </c>
      <c r="AW75" s="3">
        <f t="shared" si="46"/>
        <v>3</v>
      </c>
      <c r="AX75" s="3">
        <f t="shared" si="47"/>
        <v>5</v>
      </c>
      <c r="AY75" s="3">
        <f t="shared" si="48"/>
        <v>4</v>
      </c>
      <c r="AZ75" s="3">
        <f t="shared" si="49"/>
        <v>1</v>
      </c>
      <c r="BA75" s="3">
        <f>IF(ISERROR(LEN(VLOOKUP(A75,Seqs!A:E,2,FALSE))-AL75),"-",LEN(VLOOKUP(A75,Seqs!A:E,2,FALSE))-AL75)</f>
        <v>41</v>
      </c>
      <c r="BB75" s="16">
        <f t="shared" si="50"/>
        <v>28</v>
      </c>
      <c r="BC75" s="9">
        <f t="shared" si="51"/>
        <v>20</v>
      </c>
      <c r="BD75" s="3">
        <f t="shared" si="52"/>
        <v>28</v>
      </c>
      <c r="BE75" s="3">
        <f t="shared" si="53"/>
        <v>49</v>
      </c>
    </row>
    <row r="76" spans="1:58" s="3" customFormat="1" x14ac:dyDescent="0.2">
      <c r="A76" s="3" t="s">
        <v>163</v>
      </c>
      <c r="B76" s="3" t="str">
        <f>LOWER(VLOOKUP(A76,Xtal_Templ!A:B,2,FALSE))</f>
        <v>ednrb_human</v>
      </c>
      <c r="C76" s="3">
        <f>VLOOKUP($A76,'SegEnds_NonXtal_BW#'!$A:$Z,3,FALSE)+D76-50</f>
        <v>37</v>
      </c>
      <c r="D76" s="3">
        <v>65</v>
      </c>
      <c r="E76" s="3">
        <f>IF(ISERROR(VLOOKUP($A76,'SegEnds_NonXtal_BW#'!$A:$Z,4,FALSE)+VLOOKUP($A76,A:AL,4,FALSE)-50),"-",(VLOOKUP($A76,'SegEnds_NonXtal_BW#'!$A:$Z,4,FALSE)+VLOOKUP($A76,A:AL,4,FALSE)-50))</f>
        <v>75</v>
      </c>
      <c r="F76" s="3">
        <f>G76-2</f>
        <v>76</v>
      </c>
      <c r="G76" s="3">
        <v>78</v>
      </c>
      <c r="H76" s="3">
        <f t="shared" si="58"/>
        <v>79</v>
      </c>
      <c r="I76" s="3">
        <f t="shared" si="58"/>
        <v>80</v>
      </c>
      <c r="J76" s="3">
        <v>93</v>
      </c>
      <c r="K76" s="3">
        <f>VLOOKUP($A76,'SegEnds_NonXtal_BW#'!$A:$Z,8,FALSE)+VLOOKUP($A76,A:AL,10,FALSE)-50</f>
        <v>110</v>
      </c>
      <c r="L76" s="3">
        <f t="shared" si="56"/>
        <v>112</v>
      </c>
      <c r="M76" s="3">
        <v>113</v>
      </c>
      <c r="N76" s="3">
        <f t="shared" si="57"/>
        <v>115</v>
      </c>
      <c r="O76" s="3">
        <f t="shared" si="37"/>
        <v>116</v>
      </c>
      <c r="P76" s="3">
        <v>145</v>
      </c>
      <c r="Q76" s="3">
        <f>VLOOKUP($A76,'SegEnds_NonXtal_BW#'!$A:$Z,12,FALSE)+VLOOKUP($A76,A:AL,16,FALSE)-50</f>
        <v>151</v>
      </c>
      <c r="R76" s="3">
        <f>IF(ISERROR(VLOOKUP($A76,'SegEnds_NonXtal_BW#'!$A:$Z,13,FALSE)+VLOOKUP($A76,A:AL,19,FALSE)-50),"-",VLOOKUP($A76,'SegEnds_NonXtal_BW#'!$A:$Z,13,FALSE)+VLOOKUP($A76,A:AL,19,FALSE)-50)</f>
        <v>152</v>
      </c>
      <c r="S76" s="3">
        <v>152</v>
      </c>
      <c r="T76" s="100">
        <f>IF(ISERROR(VLOOKUP($A76,'SegEnds_NonXtal_BW#'!$A:$Z,14,FALSE)+VLOOKUP($A76,A:AL,19,FALSE)-50),"-",(VLOOKUP($A76,'SegEnds_NonXtal_BW#'!$A:$Z,14,FALSE)+VLOOKUP($A76,A:AL,19,FALSE)-50))</f>
        <v>159</v>
      </c>
      <c r="U76" s="9">
        <f>IF(ISERROR(VLOOKUP($A76,'SegEnds_NonXtal_BW#'!$A:$Z,15,FALSE)+VLOOKUP($A76,A:AL,22,FALSE)-50),"-",VLOOKUP($A76,'SegEnds_NonXtal_BW#'!$A:$Z,15,FALSE)+VLOOKUP($A76,A:AL,22,FALSE)-50)</f>
        <v>160</v>
      </c>
      <c r="V76" s="3">
        <v>172</v>
      </c>
      <c r="W76" s="3">
        <f>IF(ISERROR(VLOOKUP($A76,'SegEnds_NonXtal_BW#'!$A:$Z,16,FALSE)+VLOOKUP($A76,A:AL,22,FALSE)-50),"-",(VLOOKUP($A76,'SegEnds_NonXtal_BW#'!$A:$Z,16,FALSE)+VLOOKUP($A76,A:AL,22,FALSE)-50))</f>
        <v>186</v>
      </c>
      <c r="X76" s="3">
        <f>IF(ISERROR(VLOOKUP($A76,'SegEnds_NonXtal_BW#'!$A:$Z,17,FALSE)+VLOOKUP($A76,A:AL,25,FALSE)-50),"-",(VLOOKUP($A76,'SegEnds_NonXtal_BW#'!$A:$Z,17,FALSE)+VLOOKUP($A76,A:AL,25,FALSE)-50))</f>
        <v>203</v>
      </c>
      <c r="Y76" s="3">
        <v>203</v>
      </c>
      <c r="Z76" s="3">
        <f t="shared" si="38"/>
        <v>205</v>
      </c>
      <c r="AA76" s="3">
        <f>IF(ISERROR(VLOOKUP($A76,'SegEnds_NonXtal_BW#'!$A:$Z,19,FALSE)+VLOOKUP($A76,A:AL,28,FALSE)-50),"-",(VLOOKUP($A76,'SegEnds_NonXtal_BW#'!$A:$Z,19,FALSE)+VLOOKUP($A76,A:AL,28,FALSE)-50))</f>
        <v>207</v>
      </c>
      <c r="AB76" s="3">
        <v>229</v>
      </c>
      <c r="AC76" s="3">
        <f>IF(ISERROR((VLOOKUP($A76,'SegEnds_NonXtal_BW#'!$A:$Z,20,FALSE)+VLOOKUP($A76,A:AL,28,FALSE)-50)),"-",(VLOOKUP($A76,'SegEnds_NonXtal_BW#'!$A:$Z,20,FALSE)+VLOOKUP($A76,A:AL,28,FALSE)-50))</f>
        <v>252</v>
      </c>
      <c r="AD76" s="3">
        <f>IF(ISERROR(VLOOKUP($A76,'SegEnds_NonXtal_BW#'!$A:$Z,21,FALSE)+VLOOKUP($A76,A:AL,31,FALSE)-50),"-",(VLOOKUP($A76,'SegEnds_NonXtal_BW#'!$A:$Z,21,FALSE)+VLOOKUP($A76,A:AL,31,FALSE)-50))</f>
        <v>258</v>
      </c>
      <c r="AE76" s="3">
        <v>286</v>
      </c>
      <c r="AF76" s="3">
        <f>IF(ISERROR((VLOOKUP($A76,'SegEnds_NonXtal_BW#'!$A:$Z,22,FALSE)+VLOOKUP($A76,A:AL,31,FALSE)-50)),"-",(VLOOKUP($A76,'SegEnds_NonXtal_BW#'!$A:$Z,22,FALSE)+VLOOKUP($A76,A:AL,31,FALSE)-50))</f>
        <v>297</v>
      </c>
      <c r="AG76" s="3">
        <f>IF(ISERROR(VLOOKUP($A76,'SegEnds_NonXtal_BW#'!$A:$Z,23,FALSE)+VLOOKUP($A76,A:AL,34,FALSE)-50),"-",(VLOOKUP($A76,'SegEnds_NonXtal_BW#'!$A:$Z,23,FALSE)+VLOOKUP($A76,A:AL,34,FALSE)-50))</f>
        <v>305</v>
      </c>
      <c r="AH76" s="3">
        <v>327</v>
      </c>
      <c r="AI76" s="3">
        <f>IF(ISERROR((VLOOKUP($A76,'SegEnds_NonXtal_BW#'!$A:$Z,24,FALSE)+VLOOKUP($A76,A:AL,34,FALSE)-50)),"-",(VLOOKUP($A76,'SegEnds_NonXtal_BW#'!$A:$Z,24,FALSE)+VLOOKUP($A76,A:AL,34,FALSE)-50))</f>
        <v>333</v>
      </c>
      <c r="AJ76" s="3">
        <f>IF(ISERROR(VLOOKUP($A76,'SegEnds_NonXtal_BW#'!$A:$Z,25,FALSE)+VLOOKUP($A76,A:AL,37,FALSE)-50),"-",(VLOOKUP($A76,'SegEnds_NonXtal_BW#'!$A:$Z,25,FALSE)+VLOOKUP($A76,A:AL,37,FALSE)-50))</f>
        <v>334</v>
      </c>
      <c r="AK76" s="3">
        <v>337</v>
      </c>
      <c r="AL76" s="3">
        <f>IF(ISERROR((VLOOKUP($A76,'SegEnds_NonXtal_BW#'!$A:$Z,26,FALSE)+VLOOKUP($A76,A:AL,37,FALSE)-50)),"-",(VLOOKUP($A76,'SegEnds_NonXtal_BW#'!$A:$Z,26,FALSE)+VLOOKUP($A76,A:AL,37,FALSE)-50))</f>
        <v>347</v>
      </c>
      <c r="AM76" s="28" t="str">
        <f>VLOOKUP(A76,Classification!A:B,2,FALSE)</f>
        <v>A</v>
      </c>
      <c r="AN76" s="28" t="b">
        <f t="shared" si="55"/>
        <v>1</v>
      </c>
      <c r="AO76" s="3" t="str">
        <f>IF(ISERROR(MATCH(A76,'SegEnds_Xtal_Prot#'!B:B, 0)), "NoXtal", "Xtal")</f>
        <v>NoXtal</v>
      </c>
      <c r="AP76" s="3">
        <f t="shared" si="39"/>
        <v>1</v>
      </c>
      <c r="AQ76" s="3">
        <f t="shared" si="40"/>
        <v>1</v>
      </c>
      <c r="AR76" s="3">
        <f t="shared" si="41"/>
        <v>2</v>
      </c>
      <c r="AS76" s="3">
        <f t="shared" si="42"/>
        <v>1</v>
      </c>
      <c r="AT76" s="3">
        <f t="shared" si="43"/>
        <v>1</v>
      </c>
      <c r="AU76" s="3">
        <f t="shared" si="44"/>
        <v>1</v>
      </c>
      <c r="AV76" s="3">
        <f t="shared" si="45"/>
        <v>17</v>
      </c>
      <c r="AW76" s="3">
        <f t="shared" si="46"/>
        <v>2</v>
      </c>
      <c r="AX76" s="3">
        <f t="shared" si="47"/>
        <v>6</v>
      </c>
      <c r="AY76" s="3">
        <f t="shared" si="48"/>
        <v>8</v>
      </c>
      <c r="AZ76" s="3">
        <f t="shared" si="49"/>
        <v>1</v>
      </c>
      <c r="BA76" s="3">
        <f>IF(ISERROR(LEN(VLOOKUP(A76,Seqs!A:E,2,FALSE))-AL76),"-",LEN(VLOOKUP(A76,Seqs!A:E,2,FALSE))-AL76)</f>
        <v>52</v>
      </c>
      <c r="BB76" s="16">
        <f t="shared" si="50"/>
        <v>28</v>
      </c>
      <c r="BC76" s="9">
        <f t="shared" si="51"/>
        <v>20</v>
      </c>
      <c r="BD76" s="3">
        <f t="shared" si="52"/>
        <v>28</v>
      </c>
      <c r="BE76" s="3">
        <f t="shared" si="53"/>
        <v>57</v>
      </c>
    </row>
    <row r="77" spans="1:58" s="3" customFormat="1" x14ac:dyDescent="0.2">
      <c r="A77" s="3" t="s">
        <v>164</v>
      </c>
      <c r="B77" s="3" t="str">
        <f>LOWER(VLOOKUP(A77,Xtal_Templ!A:B,2,FALSE))</f>
        <v>c5ar1_human</v>
      </c>
      <c r="C77" s="3">
        <f>VLOOKUP($A77,'SegEnds_NonXtal_BW#'!$A:$Z,3,FALSE)+D77-50</f>
        <v>20</v>
      </c>
      <c r="D77" s="3">
        <v>41</v>
      </c>
      <c r="E77" s="3">
        <f>IF(ISERROR(VLOOKUP($A77,'SegEnds_NonXtal_BW#'!$A:$Z,4,FALSE)+VLOOKUP($A77,A:AL,4,FALSE)-50),"-",(VLOOKUP($A77,'SegEnds_NonXtal_BW#'!$A:$Z,4,FALSE)+VLOOKUP($A77,A:AL,4,FALSE)-50))</f>
        <v>51</v>
      </c>
      <c r="F77" s="3" t="str">
        <f>IF(ISERROR(VLOOKUP($A77,'SegEnds_NonXtal_BW#'!$A:$Z,5,FALSE)+VLOOKUP($A77,A:AL,7,FALSE)-50),"-",(VLOOKUP($A77,'SegEnds_NonXtal_BW#'!$A:$Z,5,FALSE)+VLOOKUP($A77,A:AL,7,FALSE)-50))</f>
        <v>-</v>
      </c>
      <c r="G77" s="3" t="s">
        <v>23</v>
      </c>
      <c r="H77" s="3" t="str">
        <f>IF(ISERROR(VLOOKUP($A77,'SegEnds_NonXtal_BW#'!$A:$Z,6,FALSE)+VLOOKUP($A77,A:AL,7,FALSE)-50),"-",(VLOOKUP($A77,'SegEnds_NonXtal_BW#'!$A:$Z,6,FALSE)+VLOOKUP($A77,A:AL,7,FALSE)-50))</f>
        <v>-</v>
      </c>
      <c r="I77" s="3">
        <f>VLOOKUP($A77,'SegEnds_NonXtal_BW#'!$A:$Z,7,FALSE)+J77-50</f>
        <v>55</v>
      </c>
      <c r="J77" s="3">
        <v>68</v>
      </c>
      <c r="K77" s="3">
        <f>VLOOKUP($A77,'SegEnds_NonXtal_BW#'!$A:$Z,8,FALSE)+VLOOKUP($A77,A:AL,10,FALSE)-50</f>
        <v>85</v>
      </c>
      <c r="L77" s="3">
        <f t="shared" si="56"/>
        <v>87</v>
      </c>
      <c r="M77" s="3">
        <v>88</v>
      </c>
      <c r="N77" s="3">
        <f t="shared" si="57"/>
        <v>90</v>
      </c>
      <c r="O77" s="3">
        <f t="shared" si="37"/>
        <v>91</v>
      </c>
      <c r="P77" s="3">
        <v>120</v>
      </c>
      <c r="Q77" s="3">
        <f>VLOOKUP($A77,'SegEnds_NonXtal_BW#'!$A:$Z,12,FALSE)+VLOOKUP($A77,A:AL,16,FALSE)-50</f>
        <v>126</v>
      </c>
      <c r="R77" s="3">
        <f>IF(ISERROR(VLOOKUP($A77,'SegEnds_NonXtal_BW#'!$A:$Z,13,FALSE)+VLOOKUP($A77,A:AL,19,FALSE)-50),"-",VLOOKUP($A77,'SegEnds_NonXtal_BW#'!$A:$Z,13,FALSE)+VLOOKUP($A77,A:AL,19,FALSE)-50)</f>
        <v>127</v>
      </c>
      <c r="S77" s="3">
        <v>127</v>
      </c>
      <c r="T77" s="100">
        <f>IF(ISERROR(VLOOKUP($A77,'SegEnds_NonXtal_BW#'!$A:$Z,14,FALSE)+VLOOKUP($A77,A:AL,19,FALSE)-50),"-",(VLOOKUP($A77,'SegEnds_NonXtal_BW#'!$A:$Z,14,FALSE)+VLOOKUP($A77,A:AL,19,FALSE)-50))</f>
        <v>134</v>
      </c>
      <c r="U77" s="9">
        <f>IF(ISERROR(VLOOKUP($A77,'SegEnds_NonXtal_BW#'!$A:$Z,15,FALSE)+VLOOKUP($A77,A:AL,22,FALSE)-50),"-",VLOOKUP($A77,'SegEnds_NonXtal_BW#'!$A:$Z,15,FALSE)+VLOOKUP($A77,A:AL,22,FALSE)-50)</f>
        <v>135</v>
      </c>
      <c r="V77" s="3">
        <v>147</v>
      </c>
      <c r="W77" s="3">
        <f>IF(ISERROR(VLOOKUP($A77,'SegEnds_NonXtal_BW#'!$A:$Z,16,FALSE)+VLOOKUP($A77,A:AL,22,FALSE)-50),"-",(VLOOKUP($A77,'SegEnds_NonXtal_BW#'!$A:$Z,16,FALSE)+VLOOKUP($A77,A:AL,22,FALSE)-50))</f>
        <v>161</v>
      </c>
      <c r="X77" s="3">
        <f>IF(ISERROR(VLOOKUP($A77,'SegEnds_NonXtal_BW#'!$A:$Z,17,FALSE)+VLOOKUP($A77,A:AL,25,FALSE)-50),"-",(VLOOKUP($A77,'SegEnds_NonXtal_BW#'!$A:$Z,17,FALSE)+VLOOKUP($A77,A:AL,25,FALSE)-50))</f>
        <v>172</v>
      </c>
      <c r="Y77" s="3">
        <v>172</v>
      </c>
      <c r="Z77" s="3">
        <f t="shared" si="38"/>
        <v>174</v>
      </c>
      <c r="AA77" s="3">
        <f>IF(ISERROR(VLOOKUP($A77,'SegEnds_NonXtal_BW#'!$A:$Z,19,FALSE)+VLOOKUP($A77,A:AL,28,FALSE)-50),"-",(VLOOKUP($A77,'SegEnds_NonXtal_BW#'!$A:$Z,19,FALSE)+VLOOKUP($A77,A:AL,28,FALSE)-50))</f>
        <v>329</v>
      </c>
      <c r="AB77" s="3">
        <v>348</v>
      </c>
      <c r="AC77" s="3">
        <f>IF(ISERROR((VLOOKUP($A77,'SegEnds_NonXtal_BW#'!$A:$Z,20,FALSE)+VLOOKUP($A77,A:AL,28,FALSE)-50)),"-",(VLOOKUP($A77,'SegEnds_NonXtal_BW#'!$A:$Z,20,FALSE)+VLOOKUP($A77,A:AL,28,FALSE)-50))</f>
        <v>366</v>
      </c>
      <c r="AD77" s="3">
        <f>IF(ISERROR(VLOOKUP($A77,'SegEnds_NonXtal_BW#'!$A:$Z,21,FALSE)+VLOOKUP($A77,A:AL,31,FALSE)-50),"-",(VLOOKUP($A77,'SegEnds_NonXtal_BW#'!$A:$Z,21,FALSE)+VLOOKUP($A77,A:AL,31,FALSE)-50))</f>
        <v>373</v>
      </c>
      <c r="AE77" s="3">
        <v>392</v>
      </c>
      <c r="AF77" s="3">
        <f>IF(ISERROR((VLOOKUP($A77,'SegEnds_NonXtal_BW#'!$A:$Z,22,FALSE)+VLOOKUP($A77,A:AL,31,FALSE)-50)),"-",(VLOOKUP($A77,'SegEnds_NonXtal_BW#'!$A:$Z,22,FALSE)+VLOOKUP($A77,A:AL,31,FALSE)-50))</f>
        <v>403</v>
      </c>
      <c r="AG77" s="3">
        <f>IF(ISERROR(VLOOKUP($A77,'SegEnds_NonXtal_BW#'!$A:$Z,23,FALSE)+VLOOKUP($A77,A:AL,34,FALSE)-50),"-",(VLOOKUP($A77,'SegEnds_NonXtal_BW#'!$A:$Z,23,FALSE)+VLOOKUP($A77,A:AL,34,FALSE)-50))</f>
        <v>407</v>
      </c>
      <c r="AH77" s="3">
        <v>432</v>
      </c>
      <c r="AI77" s="3">
        <f>IF(ISERROR((VLOOKUP($A77,'SegEnds_NonXtal_BW#'!$A:$Z,24,FALSE)+VLOOKUP($A77,A:AL,34,FALSE)-50)),"-",(VLOOKUP($A77,'SegEnds_NonXtal_BW#'!$A:$Z,24,FALSE)+VLOOKUP($A77,A:AL,34,FALSE)-50))</f>
        <v>438</v>
      </c>
      <c r="AJ77" s="3">
        <f>IF(ISERROR(VLOOKUP($A77,'SegEnds_NonXtal_BW#'!$A:$Z,25,FALSE)+VLOOKUP($A77,A:AL,37,FALSE)-50),"-",(VLOOKUP($A77,'SegEnds_NonXtal_BW#'!$A:$Z,25,FALSE)+VLOOKUP($A77,A:AL,37,FALSE)-50))</f>
        <v>439</v>
      </c>
      <c r="AK77" s="3">
        <v>442</v>
      </c>
      <c r="AL77" s="3">
        <f>IF(ISERROR((VLOOKUP($A77,'SegEnds_NonXtal_BW#'!$A:$Z,26,FALSE)+VLOOKUP($A77,A:AL,37,FALSE)-50)),"-",(VLOOKUP($A77,'SegEnds_NonXtal_BW#'!$A:$Z,26,FALSE)+VLOOKUP($A77,A:AL,37,FALSE)-50))</f>
        <v>448</v>
      </c>
      <c r="AM77" s="28" t="str">
        <f>VLOOKUP(A77,Classification!A:B,2,FALSE)</f>
        <v>A</v>
      </c>
      <c r="AN77" s="28" t="b">
        <f t="shared" si="55"/>
        <v>1</v>
      </c>
      <c r="AO77" s="3" t="str">
        <f>IF(ISERROR(MATCH(A77,'SegEnds_Xtal_Prot#'!B:B, 0)), "NoXtal", "Xtal")</f>
        <v>NoXtal</v>
      </c>
      <c r="AP77" s="3" t="str">
        <f t="shared" si="39"/>
        <v>-</v>
      </c>
      <c r="AQ77" s="3" t="str">
        <f t="shared" si="40"/>
        <v>-</v>
      </c>
      <c r="AR77" s="3">
        <f t="shared" si="41"/>
        <v>2</v>
      </c>
      <c r="AS77" s="3">
        <f t="shared" si="42"/>
        <v>1</v>
      </c>
      <c r="AT77" s="3">
        <f t="shared" si="43"/>
        <v>1</v>
      </c>
      <c r="AU77" s="3">
        <f t="shared" si="44"/>
        <v>1</v>
      </c>
      <c r="AV77" s="3">
        <f t="shared" si="45"/>
        <v>11</v>
      </c>
      <c r="AW77" s="3">
        <f t="shared" si="46"/>
        <v>155</v>
      </c>
      <c r="AX77" s="3">
        <f t="shared" si="47"/>
        <v>7</v>
      </c>
      <c r="AY77" s="3">
        <f t="shared" si="48"/>
        <v>4</v>
      </c>
      <c r="AZ77" s="3">
        <f t="shared" si="49"/>
        <v>1</v>
      </c>
      <c r="BA77" s="3">
        <f>IF(ISERROR(LEN(VLOOKUP(A77,Seqs!A:E,2,FALSE))-AL77),"-",LEN(VLOOKUP(A77,Seqs!A:E,2,FALSE))-AL77)</f>
        <v>34</v>
      </c>
      <c r="BB77" s="16">
        <f t="shared" si="50"/>
        <v>27</v>
      </c>
      <c r="BC77" s="9">
        <f t="shared" si="51"/>
        <v>20</v>
      </c>
      <c r="BD77" s="3">
        <f t="shared" si="52"/>
        <v>27</v>
      </c>
      <c r="BE77" s="3">
        <f t="shared" si="53"/>
        <v>44</v>
      </c>
    </row>
    <row r="78" spans="1:58" s="3" customFormat="1" x14ac:dyDescent="0.2">
      <c r="A78" s="3" t="s">
        <v>165</v>
      </c>
      <c r="B78" s="3" t="str">
        <f>LOWER(VLOOKUP(A78,Xtal_Templ!A:B,2,FALSE))</f>
        <v>c5ar1_human</v>
      </c>
      <c r="C78" s="3">
        <f>VLOOKUP($A78,'SegEnds_NonXtal_BW#'!$A:$Z,3,FALSE)+D78-50</f>
        <v>34</v>
      </c>
      <c r="D78" s="3">
        <v>55</v>
      </c>
      <c r="E78" s="3">
        <f>IF(ISERROR(VLOOKUP($A78,'SegEnds_NonXtal_BW#'!$A:$Z,4,FALSE)+VLOOKUP($A78,A:AL,4,FALSE)-50),"-",(VLOOKUP($A78,'SegEnds_NonXtal_BW#'!$A:$Z,4,FALSE)+VLOOKUP($A78,A:AL,4,FALSE)-50))</f>
        <v>65</v>
      </c>
      <c r="F78" s="3" t="str">
        <f>IF(ISERROR(VLOOKUP($A78,'SegEnds_NonXtal_BW#'!$A:$Z,5,FALSE)+VLOOKUP($A78,A:AL,7,FALSE)-50),"-",(VLOOKUP($A78,'SegEnds_NonXtal_BW#'!$A:$Z,5,FALSE)+VLOOKUP($A78,A:AL,7,FALSE)-50))</f>
        <v>-</v>
      </c>
      <c r="G78" s="3" t="s">
        <v>23</v>
      </c>
      <c r="H78" s="3" t="str">
        <f>IF(ISERROR(VLOOKUP($A78,'SegEnds_NonXtal_BW#'!$A:$Z,6,FALSE)+VLOOKUP($A78,A:AL,7,FALSE)-50),"-",(VLOOKUP($A78,'SegEnds_NonXtal_BW#'!$A:$Z,6,FALSE)+VLOOKUP($A78,A:AL,7,FALSE)-50))</f>
        <v>-</v>
      </c>
      <c r="I78" s="3">
        <f>VLOOKUP($A78,'SegEnds_NonXtal_BW#'!$A:$Z,7,FALSE)+J78-50</f>
        <v>69</v>
      </c>
      <c r="J78" s="3">
        <v>82</v>
      </c>
      <c r="K78" s="3">
        <f>VLOOKUP($A78,'SegEnds_NonXtal_BW#'!$A:$Z,8,FALSE)+VLOOKUP($A78,A:AL,10,FALSE)-50</f>
        <v>99</v>
      </c>
      <c r="L78" s="3">
        <f t="shared" si="56"/>
        <v>101</v>
      </c>
      <c r="M78" s="3">
        <v>102</v>
      </c>
      <c r="N78" s="3">
        <f t="shared" si="57"/>
        <v>104</v>
      </c>
      <c r="O78" s="3">
        <f t="shared" si="37"/>
        <v>105</v>
      </c>
      <c r="P78" s="3">
        <v>134</v>
      </c>
      <c r="Q78" s="3">
        <f>VLOOKUP($A78,'SegEnds_NonXtal_BW#'!$A:$Z,12,FALSE)+VLOOKUP($A78,A:AL,16,FALSE)-50</f>
        <v>140</v>
      </c>
      <c r="R78" s="3">
        <f>IF(ISERROR(VLOOKUP($A78,'SegEnds_NonXtal_BW#'!$A:$Z,13,FALSE)+VLOOKUP($A78,A:AL,19,FALSE)-50),"-",VLOOKUP($A78,'SegEnds_NonXtal_BW#'!$A:$Z,13,FALSE)+VLOOKUP($A78,A:AL,19,FALSE)-50)</f>
        <v>141</v>
      </c>
      <c r="S78" s="3">
        <v>141</v>
      </c>
      <c r="T78" s="100">
        <f>IF(ISERROR(VLOOKUP($A78,'SegEnds_NonXtal_BW#'!$A:$Z,14,FALSE)+VLOOKUP($A78,A:AL,19,FALSE)-50),"-",(VLOOKUP($A78,'SegEnds_NonXtal_BW#'!$A:$Z,14,FALSE)+VLOOKUP($A78,A:AL,19,FALSE)-50))</f>
        <v>148</v>
      </c>
      <c r="U78" s="9">
        <f>IF(ISERROR(VLOOKUP($A78,'SegEnds_NonXtal_BW#'!$A:$Z,15,FALSE)+VLOOKUP($A78,A:AL,22,FALSE)-50),"-",VLOOKUP($A78,'SegEnds_NonXtal_BW#'!$A:$Z,15,FALSE)+VLOOKUP($A78,A:AL,22,FALSE)-50)</f>
        <v>149</v>
      </c>
      <c r="V78" s="3">
        <v>161</v>
      </c>
      <c r="W78" s="3">
        <f>IF(ISERROR(VLOOKUP($A78,'SegEnds_NonXtal_BW#'!$A:$Z,16,FALSE)+VLOOKUP($A78,A:AL,22,FALSE)-50),"-",(VLOOKUP($A78,'SegEnds_NonXtal_BW#'!$A:$Z,16,FALSE)+VLOOKUP($A78,A:AL,22,FALSE)-50))</f>
        <v>175</v>
      </c>
      <c r="X78" s="3">
        <f>IF(ISERROR(VLOOKUP($A78,'SegEnds_NonXtal_BW#'!$A:$Z,17,FALSE)+VLOOKUP($A78,A:AL,25,FALSE)-50),"-",(VLOOKUP($A78,'SegEnds_NonXtal_BW#'!$A:$Z,17,FALSE)+VLOOKUP($A78,A:AL,25,FALSE)-50))</f>
        <v>188</v>
      </c>
      <c r="Y78" s="3">
        <v>188</v>
      </c>
      <c r="Z78" s="3">
        <f t="shared" si="38"/>
        <v>190</v>
      </c>
      <c r="AA78" s="3">
        <f>IF(ISERROR(VLOOKUP($A78,'SegEnds_NonXtal_BW#'!$A:$Z,19,FALSE)+VLOOKUP($A78,A:AL,28,FALSE)-50),"-",(VLOOKUP($A78,'SegEnds_NonXtal_BW#'!$A:$Z,19,FALSE)+VLOOKUP($A78,A:AL,28,FALSE)-50))</f>
        <v>195</v>
      </c>
      <c r="AB78" s="3">
        <v>214</v>
      </c>
      <c r="AC78" s="3">
        <f>IF(ISERROR((VLOOKUP($A78,'SegEnds_NonXtal_BW#'!$A:$Z,20,FALSE)+VLOOKUP($A78,A:AL,28,FALSE)-50)),"-",(VLOOKUP($A78,'SegEnds_NonXtal_BW#'!$A:$Z,20,FALSE)+VLOOKUP($A78,A:AL,28,FALSE)-50))</f>
        <v>232</v>
      </c>
      <c r="AD78" s="3">
        <f>IF(ISERROR(VLOOKUP($A78,'SegEnds_NonXtal_BW#'!$A:$Z,21,FALSE)+VLOOKUP($A78,A:AL,31,FALSE)-50),"-",(VLOOKUP($A78,'SegEnds_NonXtal_BW#'!$A:$Z,21,FALSE)+VLOOKUP($A78,A:AL,31,FALSE)-50))</f>
        <v>238</v>
      </c>
      <c r="AE78" s="3">
        <v>257</v>
      </c>
      <c r="AF78" s="3">
        <f>IF(ISERROR((VLOOKUP($A78,'SegEnds_NonXtal_BW#'!$A:$Z,22,FALSE)+VLOOKUP($A78,A:AL,31,FALSE)-50)),"-",(VLOOKUP($A78,'SegEnds_NonXtal_BW#'!$A:$Z,22,FALSE)+VLOOKUP($A78,A:AL,31,FALSE)-50))</f>
        <v>268</v>
      </c>
      <c r="AG78" s="3">
        <f>IF(ISERROR(VLOOKUP($A78,'SegEnds_NonXtal_BW#'!$A:$Z,23,FALSE)+VLOOKUP($A78,A:AL,34,FALSE)-50),"-",(VLOOKUP($A78,'SegEnds_NonXtal_BW#'!$A:$Z,23,FALSE)+VLOOKUP($A78,A:AL,34,FALSE)-50))</f>
        <v>272</v>
      </c>
      <c r="AH78" s="3">
        <v>297</v>
      </c>
      <c r="AI78" s="3">
        <f>IF(ISERROR((VLOOKUP($A78,'SegEnds_NonXtal_BW#'!$A:$Z,24,FALSE)+VLOOKUP($A78,A:AL,34,FALSE)-50)),"-",(VLOOKUP($A78,'SegEnds_NonXtal_BW#'!$A:$Z,24,FALSE)+VLOOKUP($A78,A:AL,34,FALSE)-50))</f>
        <v>303</v>
      </c>
      <c r="AJ78" s="3">
        <f>IF(ISERROR(VLOOKUP($A78,'SegEnds_NonXtal_BW#'!$A:$Z,25,FALSE)+VLOOKUP($A78,A:AL,37,FALSE)-50),"-",(VLOOKUP($A78,'SegEnds_NonXtal_BW#'!$A:$Z,25,FALSE)+VLOOKUP($A78,A:AL,37,FALSE)-50))</f>
        <v>304</v>
      </c>
      <c r="AK78" s="3">
        <v>307</v>
      </c>
      <c r="AL78" s="3">
        <f>IF(ISERROR((VLOOKUP($A78,'SegEnds_NonXtal_BW#'!$A:$Z,26,FALSE)+VLOOKUP($A78,A:AL,37,FALSE)-50)),"-",(VLOOKUP($A78,'SegEnds_NonXtal_BW#'!$A:$Z,26,FALSE)+VLOOKUP($A78,A:AL,37,FALSE)-50))</f>
        <v>313</v>
      </c>
      <c r="AM78" s="28" t="str">
        <f>VLOOKUP(A78,Classification!A:B,2,FALSE)</f>
        <v>A</v>
      </c>
      <c r="AN78" s="28" t="b">
        <f t="shared" si="55"/>
        <v>1</v>
      </c>
      <c r="AO78" s="3" t="str">
        <f>IF(ISERROR(MATCH(A78,'SegEnds_Xtal_Prot#'!B:B, 0)), "NoXtal", "Xtal")</f>
        <v>Xtal</v>
      </c>
      <c r="AP78" s="3" t="str">
        <f t="shared" si="39"/>
        <v>-</v>
      </c>
      <c r="AQ78" s="3" t="str">
        <f t="shared" si="40"/>
        <v>-</v>
      </c>
      <c r="AR78" s="3">
        <f t="shared" si="41"/>
        <v>2</v>
      </c>
      <c r="AS78" s="3">
        <f t="shared" si="42"/>
        <v>1</v>
      </c>
      <c r="AT78" s="3">
        <f t="shared" si="43"/>
        <v>1</v>
      </c>
      <c r="AU78" s="3">
        <f t="shared" si="44"/>
        <v>1</v>
      </c>
      <c r="AV78" s="3">
        <f t="shared" si="45"/>
        <v>13</v>
      </c>
      <c r="AW78" s="3">
        <f t="shared" si="46"/>
        <v>5</v>
      </c>
      <c r="AX78" s="3">
        <f t="shared" si="47"/>
        <v>6</v>
      </c>
      <c r="AY78" s="3">
        <f t="shared" si="48"/>
        <v>4</v>
      </c>
      <c r="AZ78" s="3">
        <f t="shared" si="49"/>
        <v>1</v>
      </c>
      <c r="BA78" s="3">
        <f>IF(ISERROR(LEN(VLOOKUP(A78,Seqs!A:E,2,FALSE))-AL78),"-",LEN(VLOOKUP(A78,Seqs!A:E,2,FALSE))-AL78)</f>
        <v>37</v>
      </c>
      <c r="BB78" s="16">
        <f t="shared" si="50"/>
        <v>27</v>
      </c>
      <c r="BC78" s="9">
        <f t="shared" si="51"/>
        <v>20</v>
      </c>
      <c r="BD78" s="3">
        <f t="shared" si="52"/>
        <v>27</v>
      </c>
      <c r="BE78" s="3">
        <f t="shared" si="53"/>
        <v>43</v>
      </c>
    </row>
    <row r="79" spans="1:58" s="3" customFormat="1" x14ac:dyDescent="0.2">
      <c r="A79" s="3" t="s">
        <v>166</v>
      </c>
      <c r="B79" s="3" t="str">
        <f>LOWER(VLOOKUP(A79,Xtal_Templ!A:B,2,FALSE))</f>
        <v>c5ar1_human</v>
      </c>
      <c r="C79" s="3">
        <f>VLOOKUP($A79,'SegEnds_NonXtal_BW#'!$A:$Z,3,FALSE)+D79-50</f>
        <v>32</v>
      </c>
      <c r="D79" s="3">
        <v>53</v>
      </c>
      <c r="E79" s="3">
        <f>IF(ISERROR(VLOOKUP($A79,'SegEnds_NonXtal_BW#'!$A:$Z,4,FALSE)+VLOOKUP($A79,A:AL,4,FALSE)-50),"-",(VLOOKUP($A79,'SegEnds_NonXtal_BW#'!$A:$Z,4,FALSE)+VLOOKUP($A79,A:AL,4,FALSE)-50))</f>
        <v>63</v>
      </c>
      <c r="F79" s="3" t="str">
        <f>IF(ISERROR(VLOOKUP($A79,'SegEnds_NonXtal_BW#'!$A:$Z,5,FALSE)+VLOOKUP($A79,A:AL,7,FALSE)-50),"-",(VLOOKUP($A79,'SegEnds_NonXtal_BW#'!$A:$Z,5,FALSE)+VLOOKUP($A79,A:AL,7,FALSE)-50))</f>
        <v>-</v>
      </c>
      <c r="G79" s="3" t="s">
        <v>23</v>
      </c>
      <c r="H79" s="3" t="str">
        <f>IF(ISERROR(VLOOKUP($A79,'SegEnds_NonXtal_BW#'!$A:$Z,6,FALSE)+VLOOKUP($A79,A:AL,7,FALSE)-50),"-",(VLOOKUP($A79,'SegEnds_NonXtal_BW#'!$A:$Z,6,FALSE)+VLOOKUP($A79,A:AL,7,FALSE)-50))</f>
        <v>-</v>
      </c>
      <c r="I79" s="3">
        <f>VLOOKUP($A79,'SegEnds_NonXtal_BW#'!$A:$Z,7,FALSE)+J79-50</f>
        <v>67</v>
      </c>
      <c r="J79" s="3">
        <v>80</v>
      </c>
      <c r="K79" s="3">
        <f>VLOOKUP($A79,'SegEnds_NonXtal_BW#'!$A:$Z,8,FALSE)+VLOOKUP($A79,A:AL,10,FALSE)-50</f>
        <v>97</v>
      </c>
      <c r="L79" s="3">
        <f t="shared" si="56"/>
        <v>99</v>
      </c>
      <c r="M79" s="3">
        <v>100</v>
      </c>
      <c r="N79" s="3">
        <f t="shared" si="57"/>
        <v>102</v>
      </c>
      <c r="O79" s="3">
        <f t="shared" si="37"/>
        <v>103</v>
      </c>
      <c r="P79" s="3">
        <v>132</v>
      </c>
      <c r="Q79" s="3">
        <f>VLOOKUP($A79,'SegEnds_NonXtal_BW#'!$A:$Z,12,FALSE)+VLOOKUP($A79,A:AL,16,FALSE)-50</f>
        <v>138</v>
      </c>
      <c r="R79" s="3">
        <f>IF(ISERROR(VLOOKUP($A79,'SegEnds_NonXtal_BW#'!$A:$Z,13,FALSE)+VLOOKUP($A79,A:AL,19,FALSE)-50),"-",VLOOKUP($A79,'SegEnds_NonXtal_BW#'!$A:$Z,13,FALSE)+VLOOKUP($A79,A:AL,19,FALSE)-50)</f>
        <v>139</v>
      </c>
      <c r="S79" s="3">
        <v>139</v>
      </c>
      <c r="T79" s="100">
        <f>IF(ISERROR(VLOOKUP($A79,'SegEnds_NonXtal_BW#'!$A:$Z,14,FALSE)+VLOOKUP($A79,A:AL,19,FALSE)-50),"-",(VLOOKUP($A79,'SegEnds_NonXtal_BW#'!$A:$Z,14,FALSE)+VLOOKUP($A79,A:AL,19,FALSE)-50))</f>
        <v>146</v>
      </c>
      <c r="U79" s="9">
        <f>IF(ISERROR(VLOOKUP($A79,'SegEnds_NonXtal_BW#'!$A:$Z,15,FALSE)+VLOOKUP($A79,A:AL,22,FALSE)-50),"-",VLOOKUP($A79,'SegEnds_NonXtal_BW#'!$A:$Z,15,FALSE)+VLOOKUP($A79,A:AL,22,FALSE)-50)</f>
        <v>147</v>
      </c>
      <c r="V79" s="3">
        <v>159</v>
      </c>
      <c r="W79" s="3">
        <f>IF(ISERROR(VLOOKUP($A79,'SegEnds_NonXtal_BW#'!$A:$Z,16,FALSE)+VLOOKUP($A79,A:AL,22,FALSE)-50),"-",(VLOOKUP($A79,'SegEnds_NonXtal_BW#'!$A:$Z,16,FALSE)+VLOOKUP($A79,A:AL,22,FALSE)-50))</f>
        <v>173</v>
      </c>
      <c r="X79" s="3">
        <f>IF(ISERROR(VLOOKUP($A79,'SegEnds_NonXtal_BW#'!$A:$Z,17,FALSE)+VLOOKUP($A79,A:AL,25,FALSE)-50),"-",(VLOOKUP($A79,'SegEnds_NonXtal_BW#'!$A:$Z,17,FALSE)+VLOOKUP($A79,A:AL,25,FALSE)-50))</f>
        <v>186</v>
      </c>
      <c r="Y79" s="3">
        <v>186</v>
      </c>
      <c r="Z79" s="3">
        <f t="shared" si="38"/>
        <v>188</v>
      </c>
      <c r="AA79" s="3">
        <f>IF(ISERROR(VLOOKUP($A79,'SegEnds_NonXtal_BW#'!$A:$Z,19,FALSE)+VLOOKUP($A79,A:AL,28,FALSE)-50),"-",(VLOOKUP($A79,'SegEnds_NonXtal_BW#'!$A:$Z,19,FALSE)+VLOOKUP($A79,A:AL,28,FALSE)-50))</f>
        <v>193</v>
      </c>
      <c r="AB79" s="3">
        <v>212</v>
      </c>
      <c r="AC79" s="3">
        <f>IF(ISERROR((VLOOKUP($A79,'SegEnds_NonXtal_BW#'!$A:$Z,20,FALSE)+VLOOKUP($A79,A:AL,28,FALSE)-50)),"-",(VLOOKUP($A79,'SegEnds_NonXtal_BW#'!$A:$Z,20,FALSE)+VLOOKUP($A79,A:AL,28,FALSE)-50))</f>
        <v>226</v>
      </c>
      <c r="AD79" s="3">
        <f>IF(ISERROR(VLOOKUP($A79,'SegEnds_NonXtal_BW#'!$A:$Z,21,FALSE)+VLOOKUP($A79,A:AL,31,FALSE)-50),"-",(VLOOKUP($A79,'SegEnds_NonXtal_BW#'!$A:$Z,21,FALSE)+VLOOKUP($A79,A:AL,31,FALSE)-50))</f>
        <v>229</v>
      </c>
      <c r="AE79" s="3">
        <v>248</v>
      </c>
      <c r="AF79" s="3">
        <f>IF(ISERROR((VLOOKUP($A79,'SegEnds_NonXtal_BW#'!$A:$Z,22,FALSE)+VLOOKUP($A79,A:AL,31,FALSE)-50)),"-",(VLOOKUP($A79,'SegEnds_NonXtal_BW#'!$A:$Z,22,FALSE)+VLOOKUP($A79,A:AL,31,FALSE)-50))</f>
        <v>259</v>
      </c>
      <c r="AG79" s="3">
        <f>IF(ISERROR(VLOOKUP($A79,'SegEnds_NonXtal_BW#'!$A:$Z,23,FALSE)+VLOOKUP($A79,A:AL,34,FALSE)-50),"-",(VLOOKUP($A79,'SegEnds_NonXtal_BW#'!$A:$Z,23,FALSE)+VLOOKUP($A79,A:AL,34,FALSE)-50))</f>
        <v>263</v>
      </c>
      <c r="AH79" s="3">
        <v>288</v>
      </c>
      <c r="AI79" s="3">
        <f>IF(ISERROR((VLOOKUP($A79,'SegEnds_NonXtal_BW#'!$A:$Z,24,FALSE)+VLOOKUP($A79,A:AL,34,FALSE)-50)),"-",(VLOOKUP($A79,'SegEnds_NonXtal_BW#'!$A:$Z,24,FALSE)+VLOOKUP($A79,A:AL,34,FALSE)-50))</f>
        <v>294</v>
      </c>
      <c r="AJ79" s="3">
        <f>IF(ISERROR(VLOOKUP($A79,'SegEnds_NonXtal_BW#'!$A:$Z,25,FALSE)+VLOOKUP($A79,A:AL,37,FALSE)-50),"-",(VLOOKUP($A79,'SegEnds_NonXtal_BW#'!$A:$Z,25,FALSE)+VLOOKUP($A79,A:AL,37,FALSE)-50))</f>
        <v>295</v>
      </c>
      <c r="AK79" s="3">
        <v>298</v>
      </c>
      <c r="AL79" s="3">
        <f>IF(ISERROR((VLOOKUP($A79,'SegEnds_NonXtal_BW#'!$A:$Z,26,FALSE)+VLOOKUP($A79,A:AL,37,FALSE)-50)),"-",(VLOOKUP($A79,'SegEnds_NonXtal_BW#'!$A:$Z,26,FALSE)+VLOOKUP($A79,A:AL,37,FALSE)-50))</f>
        <v>304</v>
      </c>
      <c r="AM79" s="28" t="str">
        <f>VLOOKUP(A79,Classification!A:B,2,FALSE)</f>
        <v>A</v>
      </c>
      <c r="AN79" s="28" t="b">
        <f t="shared" si="55"/>
        <v>1</v>
      </c>
      <c r="AO79" s="3" t="str">
        <f>IF(ISERROR(MATCH(A79,'SegEnds_Xtal_Prot#'!B:B, 0)), "NoXtal", "Xtal")</f>
        <v>NoXtal</v>
      </c>
      <c r="AP79" s="3" t="str">
        <f t="shared" si="39"/>
        <v>-</v>
      </c>
      <c r="AQ79" s="3" t="str">
        <f t="shared" si="40"/>
        <v>-</v>
      </c>
      <c r="AR79" s="3">
        <f t="shared" si="41"/>
        <v>2</v>
      </c>
      <c r="AS79" s="3">
        <f t="shared" si="42"/>
        <v>1</v>
      </c>
      <c r="AT79" s="3">
        <f t="shared" si="43"/>
        <v>1</v>
      </c>
      <c r="AU79" s="3">
        <f t="shared" si="44"/>
        <v>1</v>
      </c>
      <c r="AV79" s="3">
        <f t="shared" si="45"/>
        <v>13</v>
      </c>
      <c r="AW79" s="3">
        <f t="shared" si="46"/>
        <v>5</v>
      </c>
      <c r="AX79" s="3">
        <f t="shared" si="47"/>
        <v>3</v>
      </c>
      <c r="AY79" s="3">
        <f t="shared" si="48"/>
        <v>4</v>
      </c>
      <c r="AZ79" s="3">
        <f t="shared" si="49"/>
        <v>1</v>
      </c>
      <c r="BA79" s="3">
        <f>IF(ISERROR(LEN(VLOOKUP(A79,Seqs!A:E,2,FALSE))-AL79),"-",LEN(VLOOKUP(A79,Seqs!A:E,2,FALSE))-AL79)</f>
        <v>33</v>
      </c>
      <c r="BB79" s="16">
        <f t="shared" si="50"/>
        <v>27</v>
      </c>
      <c r="BC79" s="9">
        <f t="shared" si="51"/>
        <v>20</v>
      </c>
      <c r="BD79" s="3">
        <f t="shared" si="52"/>
        <v>27</v>
      </c>
      <c r="BE79" s="3">
        <f t="shared" si="53"/>
        <v>36</v>
      </c>
      <c r="BF79" s="3">
        <f>MIN(ABS(BE79-ICL3_classA!F2:F231))</f>
        <v>36</v>
      </c>
    </row>
    <row r="80" spans="1:58" s="3" customFormat="1" x14ac:dyDescent="0.2">
      <c r="A80" s="3" t="s">
        <v>167</v>
      </c>
      <c r="B80" s="3" t="str">
        <f>LOWER(VLOOKUP(A80,Xtal_Templ!A:B,2,FALSE))</f>
        <v>ox1r_human</v>
      </c>
      <c r="C80" s="3">
        <f>VLOOKUP($A80,'SegEnds_NonXtal_BW#'!$A:$Z,3,FALSE)+D80-50</f>
        <v>41</v>
      </c>
      <c r="D80" s="3">
        <v>59</v>
      </c>
      <c r="E80" s="3">
        <f>IF(ISERROR(VLOOKUP($A80,'SegEnds_NonXtal_BW#'!$A:$Z,4,FALSE)+VLOOKUP($A80,A:AL,4,FALSE)-50),"-",(VLOOKUP($A80,'SegEnds_NonXtal_BW#'!$A:$Z,4,FALSE)+VLOOKUP($A80,A:AL,4,FALSE)-50))</f>
        <v>69</v>
      </c>
      <c r="F80" s="3">
        <f t="shared" ref="F80:F86" si="59">G80-2</f>
        <v>70</v>
      </c>
      <c r="G80" s="3">
        <v>72</v>
      </c>
      <c r="H80" s="3">
        <f t="shared" ref="H80:I86" si="60">G80+1</f>
        <v>73</v>
      </c>
      <c r="I80" s="3">
        <f t="shared" si="60"/>
        <v>74</v>
      </c>
      <c r="J80" s="3">
        <v>87</v>
      </c>
      <c r="K80" s="3">
        <f>VLOOKUP($A80,'SegEnds_NonXtal_BW#'!$A:$Z,8,FALSE)+VLOOKUP($A80,A:AL,10,FALSE)-50</f>
        <v>105</v>
      </c>
      <c r="L80" s="3">
        <f t="shared" si="56"/>
        <v>106</v>
      </c>
      <c r="M80" s="3">
        <v>107</v>
      </c>
      <c r="N80" s="3">
        <f t="shared" si="57"/>
        <v>109</v>
      </c>
      <c r="O80" s="3">
        <f t="shared" si="37"/>
        <v>110</v>
      </c>
      <c r="P80" s="3">
        <v>139</v>
      </c>
      <c r="Q80" s="3">
        <f>VLOOKUP($A80,'SegEnds_NonXtal_BW#'!$A:$Z,12,FALSE)+VLOOKUP($A80,A:AL,16,FALSE)-50</f>
        <v>145</v>
      </c>
      <c r="R80" s="3">
        <f>IF(ISERROR(VLOOKUP($A80,'SegEnds_NonXtal_BW#'!$A:$Z,13,FALSE)+VLOOKUP($A80,A:AL,19,FALSE)-50),"-",VLOOKUP($A80,'SegEnds_NonXtal_BW#'!$A:$Z,13,FALSE)+VLOOKUP($A80,A:AL,19,FALSE)-50)</f>
        <v>146</v>
      </c>
      <c r="S80" s="3">
        <v>146</v>
      </c>
      <c r="T80" s="100">
        <f>IF(ISERROR(VLOOKUP($A80,'SegEnds_NonXtal_BW#'!$A:$Z,14,FALSE)+VLOOKUP($A80,A:AL,19,FALSE)-50),"-",(VLOOKUP($A80,'SegEnds_NonXtal_BW#'!$A:$Z,14,FALSE)+VLOOKUP($A80,A:AL,19,FALSE)-50))</f>
        <v>153</v>
      </c>
      <c r="U80" s="9">
        <f>IF(ISERROR(VLOOKUP($A80,'SegEnds_NonXtal_BW#'!$A:$Z,15,FALSE)+VLOOKUP($A80,A:AL,22,FALSE)-50),"-",VLOOKUP($A80,'SegEnds_NonXtal_BW#'!$A:$Z,15,FALSE)+VLOOKUP($A80,A:AL,22,FALSE)-50)</f>
        <v>154</v>
      </c>
      <c r="V80" s="3">
        <v>166</v>
      </c>
      <c r="W80" s="3">
        <f>IF(ISERROR(VLOOKUP($A80,'SegEnds_NonXtal_BW#'!$A:$Z,16,FALSE)+VLOOKUP($A80,A:AL,22,FALSE)-50),"-",(VLOOKUP($A80,'SegEnds_NonXtal_BW#'!$A:$Z,16,FALSE)+VLOOKUP($A80,A:AL,22,FALSE)-50))</f>
        <v>180</v>
      </c>
      <c r="X80" s="3">
        <f>IF(ISERROR(VLOOKUP($A80,'SegEnds_NonXtal_BW#'!$A:$Z,17,FALSE)+VLOOKUP($A80,A:AL,25,FALSE)-50),"-",(VLOOKUP($A80,'SegEnds_NonXtal_BW#'!$A:$Z,17,FALSE)+VLOOKUP($A80,A:AL,25,FALSE)-50))</f>
        <v>196</v>
      </c>
      <c r="Y80" s="3">
        <v>196</v>
      </c>
      <c r="Z80" s="3">
        <f t="shared" si="38"/>
        <v>198</v>
      </c>
      <c r="AA80" s="3">
        <f>IF(ISERROR(VLOOKUP($A80,'SegEnds_NonXtal_BW#'!$A:$Z,19,FALSE)+VLOOKUP($A80,A:AL,28,FALSE)-50),"-",(VLOOKUP($A80,'SegEnds_NonXtal_BW#'!$A:$Z,19,FALSE)+VLOOKUP($A80,A:AL,28,FALSE)-50))</f>
        <v>204</v>
      </c>
      <c r="AB80" s="3">
        <v>221</v>
      </c>
      <c r="AC80" s="3">
        <f>IF(ISERROR((VLOOKUP($A80,'SegEnds_NonXtal_BW#'!$A:$Z,20,FALSE)+VLOOKUP($A80,A:AL,28,FALSE)-50)),"-",(VLOOKUP($A80,'SegEnds_NonXtal_BW#'!$A:$Z,20,FALSE)+VLOOKUP($A80,A:AL,28,FALSE)-50))</f>
        <v>245</v>
      </c>
      <c r="AD80" s="3">
        <f>IF(ISERROR(VLOOKUP($A80,'SegEnds_NonXtal_BW#'!$A:$Z,21,FALSE)+VLOOKUP($A80,A:AL,31,FALSE)-50),"-",(VLOOKUP($A80,'SegEnds_NonXtal_BW#'!$A:$Z,21,FALSE)+VLOOKUP($A80,A:AL,31,FALSE)-50))</f>
        <v>302</v>
      </c>
      <c r="AE80" s="3">
        <v>328</v>
      </c>
      <c r="AF80" s="3">
        <f>IF(ISERROR((VLOOKUP($A80,'SegEnds_NonXtal_BW#'!$A:$Z,22,FALSE)+VLOOKUP($A80,A:AL,31,FALSE)-50)),"-",(VLOOKUP($A80,'SegEnds_NonXtal_BW#'!$A:$Z,22,FALSE)+VLOOKUP($A80,A:AL,31,FALSE)-50))</f>
        <v>339</v>
      </c>
      <c r="AG80" s="3">
        <f>IF(ISERROR(VLOOKUP($A80,'SegEnds_NonXtal_BW#'!$A:$Z,23,FALSE)+VLOOKUP($A80,A:AL,34,FALSE)-50),"-",(VLOOKUP($A80,'SegEnds_NonXtal_BW#'!$A:$Z,23,FALSE)+VLOOKUP($A80,A:AL,34,FALSE)-50))</f>
        <v>344</v>
      </c>
      <c r="AH80" s="3">
        <v>367</v>
      </c>
      <c r="AI80" s="3">
        <f>IF(ISERROR((VLOOKUP($A80,'SegEnds_NonXtal_BW#'!$A:$Z,24,FALSE)+VLOOKUP($A80,A:AL,34,FALSE)-50)),"-",(VLOOKUP($A80,'SegEnds_NonXtal_BW#'!$A:$Z,24,FALSE)+VLOOKUP($A80,A:AL,34,FALSE)-50))</f>
        <v>373</v>
      </c>
      <c r="AJ80" s="3">
        <f>IF(ISERROR(VLOOKUP($A80,'SegEnds_NonXtal_BW#'!$A:$Z,25,FALSE)+VLOOKUP($A80,A:AL,37,FALSE)-50),"-",(VLOOKUP($A80,'SegEnds_NonXtal_BW#'!$A:$Z,25,FALSE)+VLOOKUP($A80,A:AL,37,FALSE)-50))</f>
        <v>374</v>
      </c>
      <c r="AK80" s="3">
        <v>377</v>
      </c>
      <c r="AL80" s="3">
        <f>IF(ISERROR((VLOOKUP($A80,'SegEnds_NonXtal_BW#'!$A:$Z,26,FALSE)+VLOOKUP($A80,A:AL,37,FALSE)-50)),"-",(VLOOKUP($A80,'SegEnds_NonXtal_BW#'!$A:$Z,26,FALSE)+VLOOKUP($A80,A:AL,37,FALSE)-50))</f>
        <v>390</v>
      </c>
      <c r="AM80" s="28" t="str">
        <f>VLOOKUP(A80,Classification!A:B,2,FALSE)</f>
        <v>A</v>
      </c>
      <c r="AN80" s="28" t="b">
        <f t="shared" si="55"/>
        <v>1</v>
      </c>
      <c r="AO80" s="3" t="str">
        <f>IF(ISERROR(MATCH(A80,'SegEnds_Xtal_Prot#'!B:B, 0)), "NoXtal", "Xtal")</f>
        <v>NoXtal</v>
      </c>
      <c r="AP80" s="3">
        <f t="shared" si="39"/>
        <v>1</v>
      </c>
      <c r="AQ80" s="3">
        <f t="shared" si="40"/>
        <v>1</v>
      </c>
      <c r="AR80" s="3">
        <f t="shared" si="41"/>
        <v>1</v>
      </c>
      <c r="AS80" s="3">
        <f t="shared" si="42"/>
        <v>1</v>
      </c>
      <c r="AT80" s="3">
        <f t="shared" si="43"/>
        <v>1</v>
      </c>
      <c r="AU80" s="3">
        <f t="shared" si="44"/>
        <v>1</v>
      </c>
      <c r="AV80" s="3">
        <f t="shared" si="45"/>
        <v>16</v>
      </c>
      <c r="AW80" s="3">
        <f t="shared" si="46"/>
        <v>6</v>
      </c>
      <c r="AX80" s="3">
        <f t="shared" si="47"/>
        <v>57</v>
      </c>
      <c r="AY80" s="3">
        <f t="shared" si="48"/>
        <v>5</v>
      </c>
      <c r="AZ80" s="3">
        <f t="shared" si="49"/>
        <v>1</v>
      </c>
      <c r="BA80" s="3">
        <f>IF(ISERROR(LEN(VLOOKUP(A80,Seqs!A:E,2,FALSE))-AL80),"-",LEN(VLOOKUP(A80,Seqs!A:E,2,FALSE))-AL80)</f>
        <v>38</v>
      </c>
      <c r="BB80" s="16">
        <f t="shared" si="50"/>
        <v>28</v>
      </c>
      <c r="BC80" s="9">
        <f t="shared" si="51"/>
        <v>20</v>
      </c>
      <c r="BD80" s="3">
        <f t="shared" si="52"/>
        <v>28</v>
      </c>
      <c r="BE80" s="3">
        <f t="shared" si="53"/>
        <v>107</v>
      </c>
    </row>
    <row r="81" spans="1:58" s="3" customFormat="1" x14ac:dyDescent="0.2">
      <c r="A81" s="3" t="s">
        <v>168</v>
      </c>
      <c r="B81" s="3" t="str">
        <f>LOWER(VLOOKUP(A81,Xtal_Templ!A:B,2,FALSE))</f>
        <v>ccr5_human</v>
      </c>
      <c r="C81" s="3">
        <f>VLOOKUP($A81,'SegEnds_NonXtal_BW#'!$A:$Z,3,FALSE)+D81-50</f>
        <v>26</v>
      </c>
      <c r="D81" s="3">
        <v>52</v>
      </c>
      <c r="E81" s="3">
        <f>IF(ISERROR(VLOOKUP($A81,'SegEnds_NonXtal_BW#'!$A:$Z,4,FALSE)+VLOOKUP($A81,A:AL,4,FALSE)-50),"-",(VLOOKUP($A81,'SegEnds_NonXtal_BW#'!$A:$Z,4,FALSE)+VLOOKUP($A81,A:AL,4,FALSE)-50))</f>
        <v>62</v>
      </c>
      <c r="F81" s="3">
        <f t="shared" si="59"/>
        <v>63</v>
      </c>
      <c r="G81" s="3">
        <v>65</v>
      </c>
      <c r="H81" s="3">
        <f t="shared" si="60"/>
        <v>66</v>
      </c>
      <c r="I81" s="3">
        <f t="shared" si="60"/>
        <v>67</v>
      </c>
      <c r="J81" s="3">
        <v>80</v>
      </c>
      <c r="K81" s="3">
        <f>VLOOKUP($A81,'SegEnds_NonXtal_BW#'!$A:$Z,8,FALSE)+VLOOKUP($A81,A:AL,10,FALSE)-50</f>
        <v>96</v>
      </c>
      <c r="L81" s="3">
        <f t="shared" si="56"/>
        <v>98</v>
      </c>
      <c r="M81" s="3">
        <v>99</v>
      </c>
      <c r="N81" s="3">
        <f t="shared" si="57"/>
        <v>101</v>
      </c>
      <c r="O81" s="3">
        <f t="shared" si="37"/>
        <v>102</v>
      </c>
      <c r="P81" s="3">
        <v>131</v>
      </c>
      <c r="Q81" s="3">
        <f>VLOOKUP($A81,'SegEnds_NonXtal_BW#'!$A:$Z,12,FALSE)+VLOOKUP($A81,A:AL,16,FALSE)-50</f>
        <v>137</v>
      </c>
      <c r="R81" s="3">
        <f>IF(ISERROR(VLOOKUP($A81,'SegEnds_NonXtal_BW#'!$A:$Z,13,FALSE)+VLOOKUP($A81,A:AL,19,FALSE)-50),"-",VLOOKUP($A81,'SegEnds_NonXtal_BW#'!$A:$Z,13,FALSE)+VLOOKUP($A81,A:AL,19,FALSE)-50)</f>
        <v>138</v>
      </c>
      <c r="S81" s="3">
        <v>138</v>
      </c>
      <c r="T81" s="100">
        <f>IF(ISERROR(VLOOKUP($A81,'SegEnds_NonXtal_BW#'!$A:$Z,14,FALSE)+VLOOKUP($A81,A:AL,19,FALSE)-50),"-",(VLOOKUP($A81,'SegEnds_NonXtal_BW#'!$A:$Z,14,FALSE)+VLOOKUP($A81,A:AL,19,FALSE)-50))</f>
        <v>145</v>
      </c>
      <c r="U81" s="9">
        <f>IF(ISERROR(VLOOKUP($A81,'SegEnds_NonXtal_BW#'!$A:$Z,15,FALSE)+VLOOKUP($A81,A:AL,22,FALSE)-50),"-",VLOOKUP($A81,'SegEnds_NonXtal_BW#'!$A:$Z,15,FALSE)+VLOOKUP($A81,A:AL,22,FALSE)-50)</f>
        <v>146</v>
      </c>
      <c r="V81" s="3">
        <v>158</v>
      </c>
      <c r="W81" s="3">
        <f>IF(ISERROR(VLOOKUP($A81,'SegEnds_NonXtal_BW#'!$A:$Z,16,FALSE)+VLOOKUP($A81,A:AL,22,FALSE)-50),"-",(VLOOKUP($A81,'SegEnds_NonXtal_BW#'!$A:$Z,16,FALSE)+VLOOKUP($A81,A:AL,22,FALSE)-50))</f>
        <v>172</v>
      </c>
      <c r="X81" s="3">
        <f>IF(ISERROR(VLOOKUP($A81,'SegEnds_NonXtal_BW#'!$A:$Z,17,FALSE)+VLOOKUP($A81,A:AL,25,FALSE)-50),"-",(VLOOKUP($A81,'SegEnds_NonXtal_BW#'!$A:$Z,17,FALSE)+VLOOKUP($A81,A:AL,25,FALSE)-50))</f>
        <v>183</v>
      </c>
      <c r="Y81" s="3">
        <v>183</v>
      </c>
      <c r="Z81" s="3">
        <f t="shared" si="38"/>
        <v>185</v>
      </c>
      <c r="AA81" s="3">
        <f>IF(ISERROR(VLOOKUP($A81,'SegEnds_NonXtal_BW#'!$A:$Z,19,FALSE)+VLOOKUP($A81,A:AL,28,FALSE)-50),"-",(VLOOKUP($A81,'SegEnds_NonXtal_BW#'!$A:$Z,19,FALSE)+VLOOKUP($A81,A:AL,28,FALSE)-50))</f>
        <v>191</v>
      </c>
      <c r="AB81" s="3">
        <v>211</v>
      </c>
      <c r="AC81" s="3">
        <f>IF(ISERROR((VLOOKUP($A81,'SegEnds_NonXtal_BW#'!$A:$Z,20,FALSE)+VLOOKUP($A81,A:AL,28,FALSE)-50)),"-",(VLOOKUP($A81,'SegEnds_NonXtal_BW#'!$A:$Z,20,FALSE)+VLOOKUP($A81,A:AL,28,FALSE)-50))</f>
        <v>229</v>
      </c>
      <c r="AD81" s="3">
        <f>IF(ISERROR(VLOOKUP($A81,'SegEnds_NonXtal_BW#'!$A:$Z,21,FALSE)+VLOOKUP($A81,A:AL,31,FALSE)-50),"-",(VLOOKUP($A81,'SegEnds_NonXtal_BW#'!$A:$Z,21,FALSE)+VLOOKUP($A81,A:AL,31,FALSE)-50))</f>
        <v>234</v>
      </c>
      <c r="AE81" s="3">
        <v>254</v>
      </c>
      <c r="AF81" s="3">
        <f>IF(ISERROR((VLOOKUP($A81,'SegEnds_NonXtal_BW#'!$A:$Z,22,FALSE)+VLOOKUP($A81,A:AL,31,FALSE)-50)),"-",(VLOOKUP($A81,'SegEnds_NonXtal_BW#'!$A:$Z,22,FALSE)+VLOOKUP($A81,A:AL,31,FALSE)-50))</f>
        <v>269</v>
      </c>
      <c r="AG81" s="3">
        <f>IF(ISERROR(VLOOKUP($A81,'SegEnds_NonXtal_BW#'!$A:$Z,23,FALSE)+VLOOKUP($A81,A:AL,34,FALSE)-50),"-",(VLOOKUP($A81,'SegEnds_NonXtal_BW#'!$A:$Z,23,FALSE)+VLOOKUP($A81,A:AL,34,FALSE)-50))</f>
        <v>272</v>
      </c>
      <c r="AH81" s="3">
        <v>298</v>
      </c>
      <c r="AI81" s="3">
        <f>IF(ISERROR((VLOOKUP($A81,'SegEnds_NonXtal_BW#'!$A:$Z,24,FALSE)+VLOOKUP($A81,A:AL,34,FALSE)-50)),"-",(VLOOKUP($A81,'SegEnds_NonXtal_BW#'!$A:$Z,24,FALSE)+VLOOKUP($A81,A:AL,34,FALSE)-50))</f>
        <v>304</v>
      </c>
      <c r="AJ81" s="3">
        <f>IF(ISERROR(VLOOKUP($A81,'SegEnds_NonXtal_BW#'!$A:$Z,25,FALSE)+VLOOKUP($A81,A:AL,37,FALSE)-50),"-",(VLOOKUP($A81,'SegEnds_NonXtal_BW#'!$A:$Z,25,FALSE)+VLOOKUP($A81,A:AL,37,FALSE)-50))</f>
        <v>305</v>
      </c>
      <c r="AK81" s="3">
        <v>308</v>
      </c>
      <c r="AL81" s="3">
        <f>IF(ISERROR((VLOOKUP($A81,'SegEnds_NonXtal_BW#'!$A:$Z,26,FALSE)+VLOOKUP($A81,A:AL,37,FALSE)-50)),"-",(VLOOKUP($A81,'SegEnds_NonXtal_BW#'!$A:$Z,26,FALSE)+VLOOKUP($A81,A:AL,37,FALSE)-50))</f>
        <v>317</v>
      </c>
      <c r="AM81" s="28" t="str">
        <f>VLOOKUP(A81,Classification!A:B,2,FALSE)</f>
        <v>A</v>
      </c>
      <c r="AN81" s="28" t="b">
        <f t="shared" si="55"/>
        <v>1</v>
      </c>
      <c r="AO81" s="3" t="str">
        <f>IF(ISERROR(MATCH(A81,'SegEnds_Xtal_Prot#'!B:B, 0)), "NoXtal", "Xtal")</f>
        <v>NoXtal</v>
      </c>
      <c r="AP81" s="3">
        <f t="shared" si="39"/>
        <v>1</v>
      </c>
      <c r="AQ81" s="3">
        <f t="shared" si="40"/>
        <v>1</v>
      </c>
      <c r="AR81" s="3">
        <f t="shared" si="41"/>
        <v>2</v>
      </c>
      <c r="AS81" s="3">
        <f t="shared" si="42"/>
        <v>1</v>
      </c>
      <c r="AT81" s="3">
        <f t="shared" si="43"/>
        <v>1</v>
      </c>
      <c r="AU81" s="3">
        <f t="shared" si="44"/>
        <v>1</v>
      </c>
      <c r="AV81" s="3">
        <f t="shared" si="45"/>
        <v>11</v>
      </c>
      <c r="AW81" s="3">
        <f t="shared" si="46"/>
        <v>6</v>
      </c>
      <c r="AX81" s="3">
        <f t="shared" si="47"/>
        <v>5</v>
      </c>
      <c r="AY81" s="3">
        <f t="shared" si="48"/>
        <v>3</v>
      </c>
      <c r="AZ81" s="3">
        <f t="shared" si="49"/>
        <v>1</v>
      </c>
      <c r="BA81" s="3">
        <f>IF(ISERROR(LEN(VLOOKUP(A81,Seqs!A:E,2,FALSE))-AL81),"-",LEN(VLOOKUP(A81,Seqs!A:E,2,FALSE))-AL81)</f>
        <v>38</v>
      </c>
      <c r="BB81" s="16">
        <f t="shared" si="50"/>
        <v>28</v>
      </c>
      <c r="BC81" s="9">
        <f t="shared" si="51"/>
        <v>20</v>
      </c>
      <c r="BD81" s="3">
        <f t="shared" si="52"/>
        <v>28</v>
      </c>
      <c r="BE81" s="3">
        <f t="shared" si="53"/>
        <v>43</v>
      </c>
    </row>
    <row r="82" spans="1:58" s="3" customFormat="1" x14ac:dyDescent="0.2">
      <c r="A82" s="3" t="s">
        <v>170</v>
      </c>
      <c r="B82" s="3" t="str">
        <f>LOWER(VLOOKUP(A82,Xtal_Templ!A:B,2,FALSE))</f>
        <v>ccr2_human</v>
      </c>
      <c r="C82" s="3">
        <f>VLOOKUP($A82,'SegEnds_NonXtal_BW#'!$A:$Z,3,FALSE)+D82-50</f>
        <v>37</v>
      </c>
      <c r="D82" s="3">
        <v>60</v>
      </c>
      <c r="E82" s="3">
        <f>IF(ISERROR(VLOOKUP($A82,'SegEnds_NonXtal_BW#'!$A:$Z,4,FALSE)+VLOOKUP($A82,A:AL,4,FALSE)-50),"-",(VLOOKUP($A82,'SegEnds_NonXtal_BW#'!$A:$Z,4,FALSE)+VLOOKUP($A82,A:AL,4,FALSE)-50))</f>
        <v>70</v>
      </c>
      <c r="F82" s="3">
        <f t="shared" si="59"/>
        <v>71</v>
      </c>
      <c r="G82" s="3">
        <v>73</v>
      </c>
      <c r="H82" s="3">
        <f t="shared" si="60"/>
        <v>74</v>
      </c>
      <c r="I82" s="3">
        <f t="shared" si="60"/>
        <v>75</v>
      </c>
      <c r="J82" s="3">
        <v>88</v>
      </c>
      <c r="K82" s="3">
        <f>VLOOKUP($A82,'SegEnds_NonXtal_BW#'!$A:$Z,8,FALSE)+VLOOKUP($A82,A:AL,10,FALSE)-50</f>
        <v>104</v>
      </c>
      <c r="L82" s="3">
        <f t="shared" si="56"/>
        <v>105</v>
      </c>
      <c r="M82" s="3">
        <v>106</v>
      </c>
      <c r="N82" s="3">
        <f t="shared" si="57"/>
        <v>108</v>
      </c>
      <c r="O82" s="3">
        <f t="shared" si="37"/>
        <v>109</v>
      </c>
      <c r="P82" s="3">
        <v>138</v>
      </c>
      <c r="Q82" s="3">
        <f>VLOOKUP($A82,'SegEnds_NonXtal_BW#'!$A:$Z,12,FALSE)+VLOOKUP($A82,A:AL,16,FALSE)-50</f>
        <v>144</v>
      </c>
      <c r="R82" s="3">
        <f>IF(ISERROR(VLOOKUP($A82,'SegEnds_NonXtal_BW#'!$A:$Z,13,FALSE)+VLOOKUP($A82,A:AL,19,FALSE)-50),"-",VLOOKUP($A82,'SegEnds_NonXtal_BW#'!$A:$Z,13,FALSE)+VLOOKUP($A82,A:AL,19,FALSE)-50)</f>
        <v>145</v>
      </c>
      <c r="S82" s="3">
        <v>145</v>
      </c>
      <c r="T82" s="100">
        <f>IF(ISERROR(VLOOKUP($A82,'SegEnds_NonXtal_BW#'!$A:$Z,14,FALSE)+VLOOKUP($A82,A:AL,19,FALSE)-50),"-",(VLOOKUP($A82,'SegEnds_NonXtal_BW#'!$A:$Z,14,FALSE)+VLOOKUP($A82,A:AL,19,FALSE)-50))</f>
        <v>152</v>
      </c>
      <c r="U82" s="9">
        <f>IF(ISERROR(VLOOKUP($A82,'SegEnds_NonXtal_BW#'!$A:$Z,15,FALSE)+VLOOKUP($A82,A:AL,22,FALSE)-50),"-",VLOOKUP($A82,'SegEnds_NonXtal_BW#'!$A:$Z,15,FALSE)+VLOOKUP($A82,A:AL,22,FALSE)-50)</f>
        <v>153</v>
      </c>
      <c r="V82" s="3">
        <v>165</v>
      </c>
      <c r="W82" s="3">
        <f>IF(ISERROR(VLOOKUP($A82,'SegEnds_NonXtal_BW#'!$A:$Z,16,FALSE)+VLOOKUP($A82,A:AL,22,FALSE)-50),"-",(VLOOKUP($A82,'SegEnds_NonXtal_BW#'!$A:$Z,16,FALSE)+VLOOKUP($A82,A:AL,22,FALSE)-50))</f>
        <v>179</v>
      </c>
      <c r="X82" s="3">
        <f>IF(ISERROR(VLOOKUP($A82,'SegEnds_NonXtal_BW#'!$A:$Z,17,FALSE)+VLOOKUP($A82,A:AL,25,FALSE)-50),"-",(VLOOKUP($A82,'SegEnds_NonXtal_BW#'!$A:$Z,17,FALSE)+VLOOKUP($A82,A:AL,25,FALSE)-50))</f>
        <v>190</v>
      </c>
      <c r="Y82" s="3">
        <v>190</v>
      </c>
      <c r="Z82" s="3">
        <f t="shared" si="38"/>
        <v>192</v>
      </c>
      <c r="AA82" s="3">
        <f>IF(ISERROR(VLOOKUP($A82,'SegEnds_NonXtal_BW#'!$A:$Z,19,FALSE)+VLOOKUP($A82,A:AL,28,FALSE)-50),"-",(VLOOKUP($A82,'SegEnds_NonXtal_BW#'!$A:$Z,19,FALSE)+VLOOKUP($A82,A:AL,28,FALSE)-50))</f>
        <v>195</v>
      </c>
      <c r="AB82" s="3">
        <v>214</v>
      </c>
      <c r="AC82" s="3">
        <f>IF(ISERROR((VLOOKUP($A82,'SegEnds_NonXtal_BW#'!$A:$Z,20,FALSE)+VLOOKUP($A82,A:AL,28,FALSE)-50)),"-",(VLOOKUP($A82,'SegEnds_NonXtal_BW#'!$A:$Z,20,FALSE)+VLOOKUP($A82,A:AL,28,FALSE)-50))</f>
        <v>232</v>
      </c>
      <c r="AD82" s="3">
        <f>IF(ISERROR(VLOOKUP($A82,'SegEnds_NonXtal_BW#'!$A:$Z,21,FALSE)+VLOOKUP($A82,A:AL,31,FALSE)-50),"-",(VLOOKUP($A82,'SegEnds_NonXtal_BW#'!$A:$Z,21,FALSE)+VLOOKUP($A82,A:AL,31,FALSE)-50))</f>
        <v>236</v>
      </c>
      <c r="AE82" s="3">
        <v>258</v>
      </c>
      <c r="AF82" s="3">
        <f>IF(ISERROR((VLOOKUP($A82,'SegEnds_NonXtal_BW#'!$A:$Z,22,FALSE)+VLOOKUP($A82,A:AL,31,FALSE)-50)),"-",(VLOOKUP($A82,'SegEnds_NonXtal_BW#'!$A:$Z,22,FALSE)+VLOOKUP($A82,A:AL,31,FALSE)-50))</f>
        <v>273</v>
      </c>
      <c r="AG82" s="3">
        <f>IF(ISERROR(VLOOKUP($A82,'SegEnds_NonXtal_BW#'!$A:$Z,23,FALSE)+VLOOKUP($A82,A:AL,34,FALSE)-50),"-",(VLOOKUP($A82,'SegEnds_NonXtal_BW#'!$A:$Z,23,FALSE)+VLOOKUP($A82,A:AL,34,FALSE)-50))</f>
        <v>276</v>
      </c>
      <c r="AH82" s="3">
        <v>302</v>
      </c>
      <c r="AI82" s="3">
        <f>IF(ISERROR((VLOOKUP($A82,'SegEnds_NonXtal_BW#'!$A:$Z,24,FALSE)+VLOOKUP($A82,A:AL,34,FALSE)-50)),"-",(VLOOKUP($A82,'SegEnds_NonXtal_BW#'!$A:$Z,24,FALSE)+VLOOKUP($A82,A:AL,34,FALSE)-50))</f>
        <v>308</v>
      </c>
      <c r="AJ82" s="3">
        <f>IF(ISERROR(VLOOKUP($A82,'SegEnds_NonXtal_BW#'!$A:$Z,25,FALSE)+VLOOKUP($A82,A:AL,37,FALSE)-50),"-",(VLOOKUP($A82,'SegEnds_NonXtal_BW#'!$A:$Z,25,FALSE)+VLOOKUP($A82,A:AL,37,FALSE)-50))</f>
        <v>309</v>
      </c>
      <c r="AK82" s="3">
        <v>312</v>
      </c>
      <c r="AL82" s="3">
        <f>IF(ISERROR((VLOOKUP($A82,'SegEnds_NonXtal_BW#'!$A:$Z,26,FALSE)+VLOOKUP($A82,A:AL,37,FALSE)-50)),"-",(VLOOKUP($A82,'SegEnds_NonXtal_BW#'!$A:$Z,26,FALSE)+VLOOKUP($A82,A:AL,37,FALSE)-50))</f>
        <v>320</v>
      </c>
      <c r="AM82" s="28" t="str">
        <f>VLOOKUP(A82,Classification!A:B,2,FALSE)</f>
        <v>A</v>
      </c>
      <c r="AN82" s="28" t="b">
        <f t="shared" si="55"/>
        <v>1</v>
      </c>
      <c r="AO82" s="3" t="str">
        <f>IF(ISERROR(MATCH(A82,'SegEnds_Xtal_Prot#'!B:B, 0)), "NoXtal", "Xtal")</f>
        <v>Xtal</v>
      </c>
      <c r="AP82" s="3">
        <f t="shared" si="39"/>
        <v>1</v>
      </c>
      <c r="AQ82" s="3">
        <f t="shared" si="40"/>
        <v>1</v>
      </c>
      <c r="AR82" s="3">
        <f t="shared" si="41"/>
        <v>1</v>
      </c>
      <c r="AS82" s="3">
        <f t="shared" si="42"/>
        <v>1</v>
      </c>
      <c r="AT82" s="3">
        <f t="shared" si="43"/>
        <v>1</v>
      </c>
      <c r="AU82" s="3">
        <f t="shared" si="44"/>
        <v>1</v>
      </c>
      <c r="AV82" s="3">
        <f t="shared" si="45"/>
        <v>11</v>
      </c>
      <c r="AW82" s="3">
        <f t="shared" si="46"/>
        <v>3</v>
      </c>
      <c r="AX82" s="3">
        <f t="shared" si="47"/>
        <v>4</v>
      </c>
      <c r="AY82" s="3">
        <f t="shared" si="48"/>
        <v>3</v>
      </c>
      <c r="AZ82" s="3">
        <f t="shared" si="49"/>
        <v>1</v>
      </c>
      <c r="BA82" s="3">
        <f>IF(ISERROR(LEN(VLOOKUP(A82,Seqs!A:E,2,FALSE))-AL82),"-",LEN(VLOOKUP(A82,Seqs!A:E,2,FALSE))-AL82)</f>
        <v>54</v>
      </c>
      <c r="BB82" s="16">
        <f t="shared" si="50"/>
        <v>28</v>
      </c>
      <c r="BC82" s="9">
        <f t="shared" si="51"/>
        <v>20</v>
      </c>
      <c r="BD82" s="3">
        <f t="shared" si="52"/>
        <v>28</v>
      </c>
      <c r="BE82" s="3">
        <f t="shared" si="53"/>
        <v>44</v>
      </c>
    </row>
    <row r="83" spans="1:58" s="3" customFormat="1" x14ac:dyDescent="0.2">
      <c r="A83" s="3" t="s">
        <v>171</v>
      </c>
      <c r="B83" s="3" t="str">
        <f>LOWER(VLOOKUP(A83,Xtal_Templ!A:B,2,FALSE))</f>
        <v>ccr5_human</v>
      </c>
      <c r="C83" s="3">
        <f>VLOOKUP($A83,'SegEnds_NonXtal_BW#'!$A:$Z,3,FALSE)+D83-50</f>
        <v>26</v>
      </c>
      <c r="D83" s="3">
        <v>52</v>
      </c>
      <c r="E83" s="3">
        <f>IF(ISERROR(VLOOKUP($A83,'SegEnds_NonXtal_BW#'!$A:$Z,4,FALSE)+VLOOKUP($A83,A:AL,4,FALSE)-50),"-",(VLOOKUP($A83,'SegEnds_NonXtal_BW#'!$A:$Z,4,FALSE)+VLOOKUP($A83,A:AL,4,FALSE)-50))</f>
        <v>62</v>
      </c>
      <c r="F83" s="3">
        <f t="shared" si="59"/>
        <v>63</v>
      </c>
      <c r="G83" s="3">
        <v>65</v>
      </c>
      <c r="H83" s="3">
        <f t="shared" si="60"/>
        <v>66</v>
      </c>
      <c r="I83" s="3">
        <f t="shared" si="60"/>
        <v>67</v>
      </c>
      <c r="J83" s="3">
        <v>80</v>
      </c>
      <c r="K83" s="3">
        <f>VLOOKUP($A83,'SegEnds_NonXtal_BW#'!$A:$Z,8,FALSE)+VLOOKUP($A83,A:AL,10,FALSE)-50</f>
        <v>96</v>
      </c>
      <c r="L83" s="3">
        <f t="shared" si="56"/>
        <v>98</v>
      </c>
      <c r="M83" s="3">
        <v>99</v>
      </c>
      <c r="N83" s="3">
        <f t="shared" si="57"/>
        <v>101</v>
      </c>
      <c r="O83" s="3">
        <f t="shared" si="37"/>
        <v>102</v>
      </c>
      <c r="P83" s="3">
        <v>131</v>
      </c>
      <c r="Q83" s="3">
        <f>VLOOKUP($A83,'SegEnds_NonXtal_BW#'!$A:$Z,12,FALSE)+VLOOKUP($A83,A:AL,16,FALSE)-50</f>
        <v>137</v>
      </c>
      <c r="R83" s="3">
        <f>IF(ISERROR(VLOOKUP($A83,'SegEnds_NonXtal_BW#'!$A:$Z,13,FALSE)+VLOOKUP($A83,A:AL,19,FALSE)-50),"-",VLOOKUP($A83,'SegEnds_NonXtal_BW#'!$A:$Z,13,FALSE)+VLOOKUP($A83,A:AL,19,FALSE)-50)</f>
        <v>138</v>
      </c>
      <c r="S83" s="3">
        <v>138</v>
      </c>
      <c r="T83" s="100">
        <f>IF(ISERROR(VLOOKUP($A83,'SegEnds_NonXtal_BW#'!$A:$Z,14,FALSE)+VLOOKUP($A83,A:AL,19,FALSE)-50),"-",(VLOOKUP($A83,'SegEnds_NonXtal_BW#'!$A:$Z,14,FALSE)+VLOOKUP($A83,A:AL,19,FALSE)-50))</f>
        <v>145</v>
      </c>
      <c r="U83" s="9">
        <f>IF(ISERROR(VLOOKUP($A83,'SegEnds_NonXtal_BW#'!$A:$Z,15,FALSE)+VLOOKUP($A83,A:AL,22,FALSE)-50),"-",VLOOKUP($A83,'SegEnds_NonXtal_BW#'!$A:$Z,15,FALSE)+VLOOKUP($A83,A:AL,22,FALSE)-50)</f>
        <v>146</v>
      </c>
      <c r="V83" s="3">
        <v>158</v>
      </c>
      <c r="W83" s="3">
        <f>IF(ISERROR(VLOOKUP($A83,'SegEnds_NonXtal_BW#'!$A:$Z,16,FALSE)+VLOOKUP($A83,A:AL,22,FALSE)-50),"-",(VLOOKUP($A83,'SegEnds_NonXtal_BW#'!$A:$Z,16,FALSE)+VLOOKUP($A83,A:AL,22,FALSE)-50))</f>
        <v>172</v>
      </c>
      <c r="X83" s="3">
        <f>IF(ISERROR(VLOOKUP($A83,'SegEnds_NonXtal_BW#'!$A:$Z,17,FALSE)+VLOOKUP($A83,A:AL,25,FALSE)-50),"-",(VLOOKUP($A83,'SegEnds_NonXtal_BW#'!$A:$Z,17,FALSE)+VLOOKUP($A83,A:AL,25,FALSE)-50))</f>
        <v>183</v>
      </c>
      <c r="Y83" s="3">
        <v>183</v>
      </c>
      <c r="Z83" s="3">
        <f t="shared" si="38"/>
        <v>185</v>
      </c>
      <c r="AA83" s="3">
        <f>IF(ISERROR(VLOOKUP($A83,'SegEnds_NonXtal_BW#'!$A:$Z,19,FALSE)+VLOOKUP($A83,A:AL,28,FALSE)-50),"-",(VLOOKUP($A83,'SegEnds_NonXtal_BW#'!$A:$Z,19,FALSE)+VLOOKUP($A83,A:AL,28,FALSE)-50))</f>
        <v>191</v>
      </c>
      <c r="AB83" s="3">
        <v>211</v>
      </c>
      <c r="AC83" s="3">
        <f>IF(ISERROR((VLOOKUP($A83,'SegEnds_NonXtal_BW#'!$A:$Z,20,FALSE)+VLOOKUP($A83,A:AL,28,FALSE)-50)),"-",(VLOOKUP($A83,'SegEnds_NonXtal_BW#'!$A:$Z,20,FALSE)+VLOOKUP($A83,A:AL,28,FALSE)-50))</f>
        <v>229</v>
      </c>
      <c r="AD83" s="3">
        <f>IF(ISERROR(VLOOKUP($A83,'SegEnds_NonXtal_BW#'!$A:$Z,21,FALSE)+VLOOKUP($A83,A:AL,31,FALSE)-50),"-",(VLOOKUP($A83,'SegEnds_NonXtal_BW#'!$A:$Z,21,FALSE)+VLOOKUP($A83,A:AL,31,FALSE)-50))</f>
        <v>234</v>
      </c>
      <c r="AE83" s="3">
        <v>254</v>
      </c>
      <c r="AF83" s="3">
        <f>IF(ISERROR((VLOOKUP($A83,'SegEnds_NonXtal_BW#'!$A:$Z,22,FALSE)+VLOOKUP($A83,A:AL,31,FALSE)-50)),"-",(VLOOKUP($A83,'SegEnds_NonXtal_BW#'!$A:$Z,22,FALSE)+VLOOKUP($A83,A:AL,31,FALSE)-50))</f>
        <v>269</v>
      </c>
      <c r="AG83" s="3">
        <f>IF(ISERROR(VLOOKUP($A83,'SegEnds_NonXtal_BW#'!$A:$Z,23,FALSE)+VLOOKUP($A83,A:AL,34,FALSE)-50),"-",(VLOOKUP($A83,'SegEnds_NonXtal_BW#'!$A:$Z,23,FALSE)+VLOOKUP($A83,A:AL,34,FALSE)-50))</f>
        <v>272</v>
      </c>
      <c r="AH83" s="3">
        <v>298</v>
      </c>
      <c r="AI83" s="3">
        <f>IF(ISERROR((VLOOKUP($A83,'SegEnds_NonXtal_BW#'!$A:$Z,24,FALSE)+VLOOKUP($A83,A:AL,34,FALSE)-50)),"-",(VLOOKUP($A83,'SegEnds_NonXtal_BW#'!$A:$Z,24,FALSE)+VLOOKUP($A83,A:AL,34,FALSE)-50))</f>
        <v>304</v>
      </c>
      <c r="AJ83" s="3">
        <f>IF(ISERROR(VLOOKUP($A83,'SegEnds_NonXtal_BW#'!$A:$Z,25,FALSE)+VLOOKUP($A83,A:AL,37,FALSE)-50),"-",(VLOOKUP($A83,'SegEnds_NonXtal_BW#'!$A:$Z,25,FALSE)+VLOOKUP($A83,A:AL,37,FALSE)-50))</f>
        <v>305</v>
      </c>
      <c r="AK83" s="3">
        <v>308</v>
      </c>
      <c r="AL83" s="3">
        <f>IF(ISERROR((VLOOKUP($A83,'SegEnds_NonXtal_BW#'!$A:$Z,26,FALSE)+VLOOKUP($A83,A:AL,37,FALSE)-50)),"-",(VLOOKUP($A83,'SegEnds_NonXtal_BW#'!$A:$Z,26,FALSE)+VLOOKUP($A83,A:AL,37,FALSE)-50))</f>
        <v>317</v>
      </c>
      <c r="AM83" s="28" t="str">
        <f>VLOOKUP(A83,Classification!A:B,2,FALSE)</f>
        <v>A</v>
      </c>
      <c r="AN83" s="28" t="b">
        <f t="shared" si="55"/>
        <v>1</v>
      </c>
      <c r="AO83" s="3" t="str">
        <f>IF(ISERROR(MATCH(A83,'SegEnds_Xtal_Prot#'!B:B, 0)), "NoXtal", "Xtal")</f>
        <v>NoXtal</v>
      </c>
      <c r="AP83" s="3">
        <f t="shared" si="39"/>
        <v>1</v>
      </c>
      <c r="AQ83" s="3">
        <f t="shared" si="40"/>
        <v>1</v>
      </c>
      <c r="AR83" s="3">
        <f t="shared" si="41"/>
        <v>2</v>
      </c>
      <c r="AS83" s="3">
        <f t="shared" si="42"/>
        <v>1</v>
      </c>
      <c r="AT83" s="3">
        <f t="shared" si="43"/>
        <v>1</v>
      </c>
      <c r="AU83" s="3">
        <f t="shared" si="44"/>
        <v>1</v>
      </c>
      <c r="AV83" s="3">
        <f t="shared" si="45"/>
        <v>11</v>
      </c>
      <c r="AW83" s="3">
        <f t="shared" si="46"/>
        <v>6</v>
      </c>
      <c r="AX83" s="3">
        <f t="shared" si="47"/>
        <v>5</v>
      </c>
      <c r="AY83" s="3">
        <f t="shared" si="48"/>
        <v>3</v>
      </c>
      <c r="AZ83" s="3">
        <f t="shared" si="49"/>
        <v>1</v>
      </c>
      <c r="BA83" s="3">
        <f>IF(ISERROR(LEN(VLOOKUP(A83,Seqs!A:E,2,FALSE))-AL83),"-",LEN(VLOOKUP(A83,Seqs!A:E,2,FALSE))-AL83)</f>
        <v>38</v>
      </c>
      <c r="BB83" s="16">
        <f t="shared" si="50"/>
        <v>28</v>
      </c>
      <c r="BC83" s="9">
        <f t="shared" si="51"/>
        <v>20</v>
      </c>
      <c r="BD83" s="3">
        <f t="shared" si="52"/>
        <v>28</v>
      </c>
      <c r="BE83" s="3">
        <f t="shared" si="53"/>
        <v>43</v>
      </c>
    </row>
    <row r="84" spans="1:58" s="3" customFormat="1" x14ac:dyDescent="0.2">
      <c r="A84" s="3" t="s">
        <v>172</v>
      </c>
      <c r="B84" s="3" t="str">
        <f>LOWER(VLOOKUP(A84,Xtal_Templ!A:B,2,FALSE))</f>
        <v>ccr5_human</v>
      </c>
      <c r="C84" s="3">
        <f>VLOOKUP($A84,'SegEnds_NonXtal_BW#'!$A:$Z,3,FALSE)+D84-50</f>
        <v>31</v>
      </c>
      <c r="D84" s="3">
        <v>57</v>
      </c>
      <c r="E84" s="3">
        <f>IF(ISERROR(VLOOKUP($A84,'SegEnds_NonXtal_BW#'!$A:$Z,4,FALSE)+VLOOKUP($A84,A:AL,4,FALSE)-50),"-",(VLOOKUP($A84,'SegEnds_NonXtal_BW#'!$A:$Z,4,FALSE)+VLOOKUP($A84,A:AL,4,FALSE)-50))</f>
        <v>67</v>
      </c>
      <c r="F84" s="3">
        <f t="shared" si="59"/>
        <v>68</v>
      </c>
      <c r="G84" s="3">
        <v>70</v>
      </c>
      <c r="H84" s="3">
        <f t="shared" si="60"/>
        <v>71</v>
      </c>
      <c r="I84" s="3">
        <f t="shared" si="60"/>
        <v>72</v>
      </c>
      <c r="J84" s="3">
        <v>85</v>
      </c>
      <c r="K84" s="3">
        <f>VLOOKUP($A84,'SegEnds_NonXtal_BW#'!$A:$Z,8,FALSE)+VLOOKUP($A84,A:AL,10,FALSE)-50</f>
        <v>101</v>
      </c>
      <c r="L84" s="3">
        <f t="shared" si="56"/>
        <v>102</v>
      </c>
      <c r="M84" s="3">
        <v>103</v>
      </c>
      <c r="N84" s="3">
        <f t="shared" si="57"/>
        <v>105</v>
      </c>
      <c r="O84" s="3">
        <f t="shared" si="37"/>
        <v>106</v>
      </c>
      <c r="P84" s="3">
        <v>135</v>
      </c>
      <c r="Q84" s="3">
        <f>VLOOKUP($A84,'SegEnds_NonXtal_BW#'!$A:$Z,12,FALSE)+VLOOKUP($A84,A:AL,16,FALSE)-50</f>
        <v>141</v>
      </c>
      <c r="R84" s="3">
        <f>IF(ISERROR(VLOOKUP($A84,'SegEnds_NonXtal_BW#'!$A:$Z,13,FALSE)+VLOOKUP($A84,A:AL,19,FALSE)-50),"-",VLOOKUP($A84,'SegEnds_NonXtal_BW#'!$A:$Z,13,FALSE)+VLOOKUP($A84,A:AL,19,FALSE)-50)</f>
        <v>142</v>
      </c>
      <c r="S84" s="3">
        <v>142</v>
      </c>
      <c r="T84" s="100">
        <f>IF(ISERROR(VLOOKUP($A84,'SegEnds_NonXtal_BW#'!$A:$Z,14,FALSE)+VLOOKUP($A84,A:AL,19,FALSE)-50),"-",(VLOOKUP($A84,'SegEnds_NonXtal_BW#'!$A:$Z,14,FALSE)+VLOOKUP($A84,A:AL,19,FALSE)-50))</f>
        <v>149</v>
      </c>
      <c r="U84" s="9">
        <f>IF(ISERROR(VLOOKUP($A84,'SegEnds_NonXtal_BW#'!$A:$Z,15,FALSE)+VLOOKUP($A84,A:AL,22,FALSE)-50),"-",VLOOKUP($A84,'SegEnds_NonXtal_BW#'!$A:$Z,15,FALSE)+VLOOKUP($A84,A:AL,22,FALSE)-50)</f>
        <v>150</v>
      </c>
      <c r="V84" s="3">
        <v>162</v>
      </c>
      <c r="W84" s="3">
        <f>IF(ISERROR(VLOOKUP($A84,'SegEnds_NonXtal_BW#'!$A:$Z,16,FALSE)+VLOOKUP($A84,A:AL,22,FALSE)-50),"-",(VLOOKUP($A84,'SegEnds_NonXtal_BW#'!$A:$Z,16,FALSE)+VLOOKUP($A84,A:AL,22,FALSE)-50))</f>
        <v>176</v>
      </c>
      <c r="X84" s="3">
        <f>IF(ISERROR(VLOOKUP($A84,'SegEnds_NonXtal_BW#'!$A:$Z,17,FALSE)+VLOOKUP($A84,A:AL,25,FALSE)-50),"-",(VLOOKUP($A84,'SegEnds_NonXtal_BW#'!$A:$Z,17,FALSE)+VLOOKUP($A84,A:AL,25,FALSE)-50))</f>
        <v>187</v>
      </c>
      <c r="Y84" s="3">
        <v>187</v>
      </c>
      <c r="Z84" s="3">
        <f t="shared" si="38"/>
        <v>189</v>
      </c>
      <c r="AA84" s="3">
        <f>IF(ISERROR(VLOOKUP($A84,'SegEnds_NonXtal_BW#'!$A:$Z,19,FALSE)+VLOOKUP($A84,A:AL,28,FALSE)-50),"-",(VLOOKUP($A84,'SegEnds_NonXtal_BW#'!$A:$Z,19,FALSE)+VLOOKUP($A84,A:AL,28,FALSE)-50))</f>
        <v>194</v>
      </c>
      <c r="AB84" s="3">
        <v>214</v>
      </c>
      <c r="AC84" s="3">
        <f>IF(ISERROR((VLOOKUP($A84,'SegEnds_NonXtal_BW#'!$A:$Z,20,FALSE)+VLOOKUP($A84,A:AL,28,FALSE)-50)),"-",(VLOOKUP($A84,'SegEnds_NonXtal_BW#'!$A:$Z,20,FALSE)+VLOOKUP($A84,A:AL,28,FALSE)-50))</f>
        <v>232</v>
      </c>
      <c r="AD84" s="3">
        <f>IF(ISERROR(VLOOKUP($A84,'SegEnds_NonXtal_BW#'!$A:$Z,21,FALSE)+VLOOKUP($A84,A:AL,31,FALSE)-50),"-",(VLOOKUP($A84,'SegEnds_NonXtal_BW#'!$A:$Z,21,FALSE)+VLOOKUP($A84,A:AL,31,FALSE)-50))</f>
        <v>237</v>
      </c>
      <c r="AE84" s="3">
        <v>257</v>
      </c>
      <c r="AF84" s="3">
        <f>IF(ISERROR((VLOOKUP($A84,'SegEnds_NonXtal_BW#'!$A:$Z,22,FALSE)+VLOOKUP($A84,A:AL,31,FALSE)-50)),"-",(VLOOKUP($A84,'SegEnds_NonXtal_BW#'!$A:$Z,22,FALSE)+VLOOKUP($A84,A:AL,31,FALSE)-50))</f>
        <v>272</v>
      </c>
      <c r="AG84" s="3">
        <f>IF(ISERROR(VLOOKUP($A84,'SegEnds_NonXtal_BW#'!$A:$Z,23,FALSE)+VLOOKUP($A84,A:AL,34,FALSE)-50),"-",(VLOOKUP($A84,'SegEnds_NonXtal_BW#'!$A:$Z,23,FALSE)+VLOOKUP($A84,A:AL,34,FALSE)-50))</f>
        <v>275</v>
      </c>
      <c r="AH84" s="3">
        <v>301</v>
      </c>
      <c r="AI84" s="3">
        <f>IF(ISERROR((VLOOKUP($A84,'SegEnds_NonXtal_BW#'!$A:$Z,24,FALSE)+VLOOKUP($A84,A:AL,34,FALSE)-50)),"-",(VLOOKUP($A84,'SegEnds_NonXtal_BW#'!$A:$Z,24,FALSE)+VLOOKUP($A84,A:AL,34,FALSE)-50))</f>
        <v>307</v>
      </c>
      <c r="AJ84" s="3">
        <f>IF(ISERROR(VLOOKUP($A84,'SegEnds_NonXtal_BW#'!$A:$Z,25,FALSE)+VLOOKUP($A84,A:AL,37,FALSE)-50),"-",(VLOOKUP($A84,'SegEnds_NonXtal_BW#'!$A:$Z,25,FALSE)+VLOOKUP($A84,A:AL,37,FALSE)-50))</f>
        <v>308</v>
      </c>
      <c r="AK84" s="3">
        <v>311</v>
      </c>
      <c r="AL84" s="3">
        <f>IF(ISERROR((VLOOKUP($A84,'SegEnds_NonXtal_BW#'!$A:$Z,26,FALSE)+VLOOKUP($A84,A:AL,37,FALSE)-50)),"-",(VLOOKUP($A84,'SegEnds_NonXtal_BW#'!$A:$Z,26,FALSE)+VLOOKUP($A84,A:AL,37,FALSE)-50))</f>
        <v>320</v>
      </c>
      <c r="AM84" s="28" t="str">
        <f>VLOOKUP(A84,Classification!A:B,2,FALSE)</f>
        <v>A</v>
      </c>
      <c r="AN84" s="28" t="b">
        <f t="shared" si="55"/>
        <v>1</v>
      </c>
      <c r="AO84" s="3" t="str">
        <f>IF(ISERROR(MATCH(A84,'SegEnds_Xtal_Prot#'!B:B, 0)), "NoXtal", "Xtal")</f>
        <v>NoXtal</v>
      </c>
      <c r="AP84" s="3">
        <f t="shared" si="39"/>
        <v>1</v>
      </c>
      <c r="AQ84" s="3">
        <f t="shared" si="40"/>
        <v>1</v>
      </c>
      <c r="AR84" s="3">
        <f t="shared" si="41"/>
        <v>1</v>
      </c>
      <c r="AS84" s="3">
        <f t="shared" si="42"/>
        <v>1</v>
      </c>
      <c r="AT84" s="3">
        <f t="shared" si="43"/>
        <v>1</v>
      </c>
      <c r="AU84" s="3">
        <f t="shared" si="44"/>
        <v>1</v>
      </c>
      <c r="AV84" s="3">
        <f t="shared" si="45"/>
        <v>11</v>
      </c>
      <c r="AW84" s="3">
        <f t="shared" si="46"/>
        <v>5</v>
      </c>
      <c r="AX84" s="3">
        <f t="shared" si="47"/>
        <v>5</v>
      </c>
      <c r="AY84" s="3">
        <f t="shared" si="48"/>
        <v>3</v>
      </c>
      <c r="AZ84" s="3">
        <f t="shared" si="49"/>
        <v>1</v>
      </c>
      <c r="BA84" s="3">
        <f>IF(ISERROR(LEN(VLOOKUP(A84,Seqs!A:E,2,FALSE))-AL84),"-",LEN(VLOOKUP(A84,Seqs!A:E,2,FALSE))-AL84)</f>
        <v>40</v>
      </c>
      <c r="BB84" s="16">
        <f t="shared" si="50"/>
        <v>28</v>
      </c>
      <c r="BC84" s="9">
        <f t="shared" si="51"/>
        <v>20</v>
      </c>
      <c r="BD84" s="3">
        <f t="shared" si="52"/>
        <v>28</v>
      </c>
      <c r="BE84" s="3">
        <f t="shared" si="53"/>
        <v>43</v>
      </c>
    </row>
    <row r="85" spans="1:58" s="3" customFormat="1" x14ac:dyDescent="0.2">
      <c r="A85" s="3" t="s">
        <v>173</v>
      </c>
      <c r="B85" s="3" t="str">
        <f>LOWER(VLOOKUP(A85,Xtal_Templ!A:B,2,FALSE))</f>
        <v>ccr5_human</v>
      </c>
      <c r="C85" s="3">
        <f>VLOOKUP($A85,'SegEnds_NonXtal_BW#'!$A:$Z,3,FALSE)+D85-50</f>
        <v>22</v>
      </c>
      <c r="D85" s="3">
        <v>48</v>
      </c>
      <c r="E85" s="3">
        <f>IF(ISERROR(VLOOKUP($A85,'SegEnds_NonXtal_BW#'!$A:$Z,4,FALSE)+VLOOKUP($A85,A:AL,4,FALSE)-50),"-",(VLOOKUP($A85,'SegEnds_NonXtal_BW#'!$A:$Z,4,FALSE)+VLOOKUP($A85,A:AL,4,FALSE)-50))</f>
        <v>58</v>
      </c>
      <c r="F85" s="3">
        <f t="shared" si="59"/>
        <v>59</v>
      </c>
      <c r="G85" s="3">
        <v>61</v>
      </c>
      <c r="H85" s="3">
        <f t="shared" si="60"/>
        <v>62</v>
      </c>
      <c r="I85" s="3">
        <f t="shared" si="60"/>
        <v>63</v>
      </c>
      <c r="J85" s="3">
        <v>76</v>
      </c>
      <c r="K85" s="3">
        <f>VLOOKUP($A85,'SegEnds_NonXtal_BW#'!$A:$Z,8,FALSE)+VLOOKUP($A85,A:AL,10,FALSE)-50</f>
        <v>92</v>
      </c>
      <c r="L85" s="3">
        <f t="shared" si="56"/>
        <v>93</v>
      </c>
      <c r="M85" s="3">
        <v>94</v>
      </c>
      <c r="N85" s="3">
        <f t="shared" si="57"/>
        <v>96</v>
      </c>
      <c r="O85" s="3">
        <f t="shared" si="37"/>
        <v>97</v>
      </c>
      <c r="P85" s="3">
        <v>126</v>
      </c>
      <c r="Q85" s="3">
        <f>VLOOKUP($A85,'SegEnds_NonXtal_BW#'!$A:$Z,12,FALSE)+VLOOKUP($A85,A:AL,16,FALSE)-50</f>
        <v>132</v>
      </c>
      <c r="R85" s="3">
        <f>IF(ISERROR(VLOOKUP($A85,'SegEnds_NonXtal_BW#'!$A:$Z,13,FALSE)+VLOOKUP($A85,A:AL,19,FALSE)-50),"-",VLOOKUP($A85,'SegEnds_NonXtal_BW#'!$A:$Z,13,FALSE)+VLOOKUP($A85,A:AL,19,FALSE)-50)</f>
        <v>133</v>
      </c>
      <c r="S85" s="3">
        <v>133</v>
      </c>
      <c r="T85" s="3">
        <f>IF(ISERROR(VLOOKUP($A85,'SegEnds_NonXtal_BW#'!$A:$Z,14,FALSE)+VLOOKUP($A85,A:AL,19,FALSE)-50),"-",(VLOOKUP($A85,'SegEnds_NonXtal_BW#'!$A:$Z,14,FALSE)+VLOOKUP($A85,A:AL,19,FALSE)-50))</f>
        <v>140</v>
      </c>
      <c r="U85" s="3">
        <f>IF(ISERROR(VLOOKUP($A85,'SegEnds_NonXtal_BW#'!$A:$Z,15,FALSE)+VLOOKUP($A85,A:AL,22,FALSE)-50),"-",VLOOKUP($A85,'SegEnds_NonXtal_BW#'!$A:$Z,15,FALSE)+VLOOKUP($A85,A:AL,22,FALSE)-50)</f>
        <v>141</v>
      </c>
      <c r="V85" s="3">
        <v>153</v>
      </c>
      <c r="W85" s="3">
        <f>IF(ISERROR(VLOOKUP($A85,'SegEnds_NonXtal_BW#'!$A:$Z,16,FALSE)+VLOOKUP($A85,A:AL,22,FALSE)-50),"-",(VLOOKUP($A85,'SegEnds_NonXtal_BW#'!$A:$Z,16,FALSE)+VLOOKUP($A85,A:AL,22,FALSE)-50))</f>
        <v>167</v>
      </c>
      <c r="X85" s="3">
        <f>IF(ISERROR(VLOOKUP($A85,'SegEnds_NonXtal_BW#'!$A:$Z,17,FALSE)+VLOOKUP($A85,A:AL,25,FALSE)-50),"-",(VLOOKUP($A85,'SegEnds_NonXtal_BW#'!$A:$Z,17,FALSE)+VLOOKUP($A85,A:AL,25,FALSE)-50))</f>
        <v>178</v>
      </c>
      <c r="Y85" s="3">
        <v>178</v>
      </c>
      <c r="Z85" s="3">
        <f t="shared" si="38"/>
        <v>180</v>
      </c>
      <c r="AA85" s="3">
        <f>IF(ISERROR(VLOOKUP($A85,'SegEnds_NonXtal_BW#'!$A:$Z,19,FALSE)+VLOOKUP($A85,A:AL,28,FALSE)-50),"-",(VLOOKUP($A85,'SegEnds_NonXtal_BW#'!$A:$Z,19,FALSE)+VLOOKUP($A85,A:AL,28,FALSE)-50))</f>
        <v>186</v>
      </c>
      <c r="AB85" s="3">
        <v>206</v>
      </c>
      <c r="AC85" s="3">
        <f>IF(ISERROR((VLOOKUP($A85,'SegEnds_NonXtal_BW#'!$A:$Z,20,FALSE)+VLOOKUP($A85,A:AL,28,FALSE)-50)),"-",(VLOOKUP($A85,'SegEnds_NonXtal_BW#'!$A:$Z,20,FALSE)+VLOOKUP($A85,A:AL,28,FALSE)-50))</f>
        <v>224</v>
      </c>
      <c r="AD85" s="3">
        <f>IF(ISERROR(VLOOKUP($A85,'SegEnds_NonXtal_BW#'!$A:$Z,21,FALSE)+VLOOKUP($A85,A:AL,31,FALSE)-50),"-",(VLOOKUP($A85,'SegEnds_NonXtal_BW#'!$A:$Z,21,FALSE)+VLOOKUP($A85,A:AL,31,FALSE)-50))</f>
        <v>228</v>
      </c>
      <c r="AE85" s="3">
        <v>250</v>
      </c>
      <c r="AF85" s="3">
        <f>IF(ISERROR((VLOOKUP($A85,'SegEnds_NonXtal_BW#'!$A:$Z,22,FALSE)+VLOOKUP($A85,A:AL,31,FALSE)-50)),"-",(VLOOKUP($A85,'SegEnds_NonXtal_BW#'!$A:$Z,22,FALSE)+VLOOKUP($A85,A:AL,31,FALSE)-50))</f>
        <v>265</v>
      </c>
      <c r="AG85" s="3">
        <f>IF(ISERROR(VLOOKUP($A85,'SegEnds_NonXtal_BW#'!$A:$Z,23,FALSE)+VLOOKUP($A85,A:AL,34,FALSE)-50),"-",(VLOOKUP($A85,'SegEnds_NonXtal_BW#'!$A:$Z,23,FALSE)+VLOOKUP($A85,A:AL,34,FALSE)-50))</f>
        <v>268</v>
      </c>
      <c r="AH85" s="3">
        <v>294</v>
      </c>
      <c r="AI85" s="3">
        <f>IF(ISERROR((VLOOKUP($A85,'SegEnds_NonXtal_BW#'!$A:$Z,24,FALSE)+VLOOKUP($A85,A:AL,34,FALSE)-50)),"-",(VLOOKUP($A85,'SegEnds_NonXtal_BW#'!$A:$Z,24,FALSE)+VLOOKUP($A85,A:AL,34,FALSE)-50))</f>
        <v>300</v>
      </c>
      <c r="AJ85" s="3">
        <f>IF(ISERROR(VLOOKUP($A85,'SegEnds_NonXtal_BW#'!$A:$Z,25,FALSE)+VLOOKUP($A85,A:AL,37,FALSE)-50),"-",(VLOOKUP($A85,'SegEnds_NonXtal_BW#'!$A:$Z,25,FALSE)+VLOOKUP($A85,A:AL,37,FALSE)-50))</f>
        <v>301</v>
      </c>
      <c r="AK85" s="3">
        <v>304</v>
      </c>
      <c r="AL85" s="3">
        <f>IF(ISERROR((VLOOKUP($A85,'SegEnds_NonXtal_BW#'!$A:$Z,26,FALSE)+VLOOKUP($A85,A:AL,37,FALSE)-50)),"-",(VLOOKUP($A85,'SegEnds_NonXtal_BW#'!$A:$Z,26,FALSE)+VLOOKUP($A85,A:AL,37,FALSE)-50))</f>
        <v>313</v>
      </c>
      <c r="AM85" s="28" t="str">
        <f>VLOOKUP(A85,Classification!A:B,2,FALSE)</f>
        <v>A</v>
      </c>
      <c r="AN85" s="28" t="b">
        <f t="shared" si="55"/>
        <v>1</v>
      </c>
      <c r="AO85" s="3" t="str">
        <f>IF(ISERROR(MATCH(A85,'SegEnds_Xtal_Prot#'!B:B, 0)), "NoXtal", "Xtal")</f>
        <v>Xtal</v>
      </c>
      <c r="AP85" s="3">
        <f t="shared" si="39"/>
        <v>1</v>
      </c>
      <c r="AQ85" s="3">
        <f t="shared" si="40"/>
        <v>1</v>
      </c>
      <c r="AR85" s="3">
        <f t="shared" si="41"/>
        <v>1</v>
      </c>
      <c r="AS85" s="3">
        <f t="shared" si="42"/>
        <v>1</v>
      </c>
      <c r="AT85" s="3">
        <f t="shared" si="43"/>
        <v>1</v>
      </c>
      <c r="AU85" s="3">
        <f t="shared" si="44"/>
        <v>1</v>
      </c>
      <c r="AV85" s="3">
        <f t="shared" si="45"/>
        <v>11</v>
      </c>
      <c r="AW85" s="3">
        <f t="shared" si="46"/>
        <v>6</v>
      </c>
      <c r="AX85" s="3">
        <f t="shared" si="47"/>
        <v>4</v>
      </c>
      <c r="AY85" s="3">
        <f t="shared" si="48"/>
        <v>3</v>
      </c>
      <c r="AZ85" s="3">
        <f t="shared" si="49"/>
        <v>1</v>
      </c>
      <c r="BA85" s="3">
        <f>IF(ISERROR(LEN(VLOOKUP(A85,Seqs!A:E,2,FALSE))-AL85),"-",LEN(VLOOKUP(A85,Seqs!A:E,2,FALSE))-AL85)</f>
        <v>39</v>
      </c>
      <c r="BB85" s="16">
        <f t="shared" si="50"/>
        <v>28</v>
      </c>
      <c r="BC85" s="3">
        <f t="shared" si="51"/>
        <v>20</v>
      </c>
      <c r="BD85" s="3">
        <f t="shared" si="52"/>
        <v>28</v>
      </c>
      <c r="BE85" s="3">
        <f t="shared" si="53"/>
        <v>44</v>
      </c>
    </row>
    <row r="86" spans="1:58" s="3" customFormat="1" x14ac:dyDescent="0.2">
      <c r="A86" s="3" t="s">
        <v>176</v>
      </c>
      <c r="B86" s="3" t="str">
        <f>LOWER(VLOOKUP(A86,Xtal_Templ!A:B,2,FALSE))</f>
        <v>ccr5_human</v>
      </c>
      <c r="C86" s="3">
        <f>VLOOKUP($A86,'SegEnds_NonXtal_BW#'!$A:$Z,3,FALSE)+D86-50</f>
        <v>27</v>
      </c>
      <c r="D86" s="3">
        <v>53</v>
      </c>
      <c r="E86" s="3">
        <f>IF(ISERROR(VLOOKUP($A86,'SegEnds_NonXtal_BW#'!$A:$Z,4,FALSE)+VLOOKUP($A86,A:AL,4,FALSE)-50),"-",(VLOOKUP($A86,'SegEnds_NonXtal_BW#'!$A:$Z,4,FALSE)+VLOOKUP($A86,A:AL,4,FALSE)-50))</f>
        <v>63</v>
      </c>
      <c r="F86" s="3">
        <f t="shared" si="59"/>
        <v>64</v>
      </c>
      <c r="G86" s="3">
        <v>66</v>
      </c>
      <c r="H86" s="3">
        <f t="shared" si="60"/>
        <v>67</v>
      </c>
      <c r="I86" s="3">
        <f t="shared" si="60"/>
        <v>68</v>
      </c>
      <c r="J86" s="3">
        <v>81</v>
      </c>
      <c r="K86" s="3">
        <f>VLOOKUP($A86,'SegEnds_NonXtal_BW#'!$A:$Z,8,FALSE)+VLOOKUP($A86,A:AL,10,FALSE)-50</f>
        <v>97</v>
      </c>
      <c r="L86" s="3">
        <f t="shared" si="56"/>
        <v>98</v>
      </c>
      <c r="M86" s="3">
        <v>99</v>
      </c>
      <c r="N86" s="3">
        <f t="shared" si="57"/>
        <v>101</v>
      </c>
      <c r="O86" s="3">
        <f t="shared" si="37"/>
        <v>102</v>
      </c>
      <c r="P86" s="3">
        <v>131</v>
      </c>
      <c r="Q86" s="3">
        <f>VLOOKUP($A86,'SegEnds_NonXtal_BW#'!$A:$Z,12,FALSE)+VLOOKUP($A86,A:AL,16,FALSE)-50</f>
        <v>137</v>
      </c>
      <c r="R86" s="3">
        <f>IF(ISERROR(VLOOKUP($A86,'SegEnds_NonXtal_BW#'!$A:$Z,13,FALSE)+VLOOKUP($A86,A:AL,19,FALSE)-50),"-",VLOOKUP($A86,'SegEnds_NonXtal_BW#'!$A:$Z,13,FALSE)+VLOOKUP($A86,A:AL,19,FALSE)-50)</f>
        <v>138</v>
      </c>
      <c r="S86" s="3">
        <v>138</v>
      </c>
      <c r="T86" s="100">
        <f>IF(ISERROR(VLOOKUP($A86,'SegEnds_NonXtal_BW#'!$A:$Z,14,FALSE)+VLOOKUP($A86,A:AL,19,FALSE)-50),"-",(VLOOKUP($A86,'SegEnds_NonXtal_BW#'!$A:$Z,14,FALSE)+VLOOKUP($A86,A:AL,19,FALSE)-50))</f>
        <v>145</v>
      </c>
      <c r="U86" s="9">
        <f>IF(ISERROR(VLOOKUP($A86,'SegEnds_NonXtal_BW#'!$A:$Z,15,FALSE)+VLOOKUP($A86,A:AL,22,FALSE)-50),"-",VLOOKUP($A86,'SegEnds_NonXtal_BW#'!$A:$Z,15,FALSE)+VLOOKUP($A86,A:AL,22,FALSE)-50)</f>
        <v>146</v>
      </c>
      <c r="V86" s="3">
        <v>158</v>
      </c>
      <c r="W86" s="3">
        <f>IF(ISERROR(VLOOKUP($A86,'SegEnds_NonXtal_BW#'!$A:$Z,16,FALSE)+VLOOKUP($A86,A:AL,22,FALSE)-50),"-",(VLOOKUP($A86,'SegEnds_NonXtal_BW#'!$A:$Z,16,FALSE)+VLOOKUP($A86,A:AL,22,FALSE)-50))</f>
        <v>172</v>
      </c>
      <c r="X86" s="3">
        <f>IF(ISERROR(VLOOKUP($A86,'SegEnds_NonXtal_BW#'!$A:$Z,17,FALSE)+VLOOKUP($A86,A:AL,25,FALSE)-50),"-",(VLOOKUP($A86,'SegEnds_NonXtal_BW#'!$A:$Z,17,FALSE)+VLOOKUP($A86,A:AL,25,FALSE)-50))</f>
        <v>183</v>
      </c>
      <c r="Y86" s="3">
        <v>183</v>
      </c>
      <c r="Z86" s="3">
        <f t="shared" si="38"/>
        <v>185</v>
      </c>
      <c r="AA86" s="3">
        <f>IF(ISERROR(VLOOKUP($A86,'SegEnds_NonXtal_BW#'!$A:$Z,19,FALSE)+VLOOKUP($A86,A:AL,28,FALSE)-50),"-",(VLOOKUP($A86,'SegEnds_NonXtal_BW#'!$A:$Z,19,FALSE)+VLOOKUP($A86,A:AL,28,FALSE)-50))</f>
        <v>190</v>
      </c>
      <c r="AB86" s="3">
        <v>210</v>
      </c>
      <c r="AC86" s="3">
        <f>IF(ISERROR((VLOOKUP($A86,'SegEnds_NonXtal_BW#'!$A:$Z,20,FALSE)+VLOOKUP($A86,A:AL,28,FALSE)-50)),"-",(VLOOKUP($A86,'SegEnds_NonXtal_BW#'!$A:$Z,20,FALSE)+VLOOKUP($A86,A:AL,28,FALSE)-50))</f>
        <v>228</v>
      </c>
      <c r="AD86" s="3">
        <f>IF(ISERROR(VLOOKUP($A86,'SegEnds_NonXtal_BW#'!$A:$Z,21,FALSE)+VLOOKUP($A86,A:AL,31,FALSE)-50),"-",(VLOOKUP($A86,'SegEnds_NonXtal_BW#'!$A:$Z,21,FALSE)+VLOOKUP($A86,A:AL,31,FALSE)-50))</f>
        <v>233</v>
      </c>
      <c r="AE86" s="3">
        <v>253</v>
      </c>
      <c r="AF86" s="3">
        <f>IF(ISERROR((VLOOKUP($A86,'SegEnds_NonXtal_BW#'!$A:$Z,22,FALSE)+VLOOKUP($A86,A:AL,31,FALSE)-50)),"-",(VLOOKUP($A86,'SegEnds_NonXtal_BW#'!$A:$Z,22,FALSE)+VLOOKUP($A86,A:AL,31,FALSE)-50))</f>
        <v>268</v>
      </c>
      <c r="AG86" s="3">
        <f>IF(ISERROR(VLOOKUP($A86,'SegEnds_NonXtal_BW#'!$A:$Z,23,FALSE)+VLOOKUP($A86,A:AL,34,FALSE)-50),"-",(VLOOKUP($A86,'SegEnds_NonXtal_BW#'!$A:$Z,23,FALSE)+VLOOKUP($A86,A:AL,34,FALSE)-50))</f>
        <v>271</v>
      </c>
      <c r="AH86" s="3">
        <v>297</v>
      </c>
      <c r="AI86" s="3">
        <f>IF(ISERROR((VLOOKUP($A86,'SegEnds_NonXtal_BW#'!$A:$Z,24,FALSE)+VLOOKUP($A86,A:AL,34,FALSE)-50)),"-",(VLOOKUP($A86,'SegEnds_NonXtal_BW#'!$A:$Z,24,FALSE)+VLOOKUP($A86,A:AL,34,FALSE)-50))</f>
        <v>303</v>
      </c>
      <c r="AJ86" s="3">
        <f>IF(ISERROR(VLOOKUP($A86,'SegEnds_NonXtal_BW#'!$A:$Z,25,FALSE)+VLOOKUP($A86,A:AL,37,FALSE)-50),"-",(VLOOKUP($A86,'SegEnds_NonXtal_BW#'!$A:$Z,25,FALSE)+VLOOKUP($A86,A:AL,37,FALSE)-50))</f>
        <v>304</v>
      </c>
      <c r="AK86" s="3">
        <v>307</v>
      </c>
      <c r="AL86" s="3">
        <f>IF(ISERROR((VLOOKUP($A86,'SegEnds_NonXtal_BW#'!$A:$Z,26,FALSE)+VLOOKUP($A86,A:AL,37,FALSE)-50)),"-",(VLOOKUP($A86,'SegEnds_NonXtal_BW#'!$A:$Z,26,FALSE)+VLOOKUP($A86,A:AL,37,FALSE)-50))</f>
        <v>316</v>
      </c>
      <c r="AM86" s="28" t="str">
        <f>VLOOKUP(A86,Classification!A:B,2,FALSE)</f>
        <v>A</v>
      </c>
      <c r="AN86" s="28" t="b">
        <f t="shared" si="55"/>
        <v>1</v>
      </c>
      <c r="AO86" s="3" t="str">
        <f>IF(ISERROR(MATCH(A86,'SegEnds_Xtal_Prot#'!B:B, 0)), "NoXtal", "Xtal")</f>
        <v>NoXtal</v>
      </c>
      <c r="AP86" s="3">
        <f t="shared" si="39"/>
        <v>1</v>
      </c>
      <c r="AQ86" s="3">
        <f t="shared" si="40"/>
        <v>1</v>
      </c>
      <c r="AR86" s="3">
        <f t="shared" si="41"/>
        <v>1</v>
      </c>
      <c r="AS86" s="3">
        <f t="shared" si="42"/>
        <v>1</v>
      </c>
      <c r="AT86" s="3">
        <f t="shared" si="43"/>
        <v>1</v>
      </c>
      <c r="AU86" s="3">
        <f t="shared" si="44"/>
        <v>1</v>
      </c>
      <c r="AV86" s="3">
        <f t="shared" si="45"/>
        <v>11</v>
      </c>
      <c r="AW86" s="3">
        <f t="shared" si="46"/>
        <v>5</v>
      </c>
      <c r="AX86" s="3">
        <f t="shared" si="47"/>
        <v>5</v>
      </c>
      <c r="AY86" s="3">
        <f t="shared" si="48"/>
        <v>3</v>
      </c>
      <c r="AZ86" s="3">
        <f t="shared" si="49"/>
        <v>1</v>
      </c>
      <c r="BA86" s="3">
        <f>IF(ISERROR(LEN(VLOOKUP(A86,Seqs!A:E,2,FALSE))-AL86),"-",LEN(VLOOKUP(A86,Seqs!A:E,2,FALSE))-AL86)</f>
        <v>39</v>
      </c>
      <c r="BB86" s="16">
        <f t="shared" si="50"/>
        <v>28</v>
      </c>
      <c r="BC86" s="9">
        <f t="shared" si="51"/>
        <v>20</v>
      </c>
      <c r="BD86" s="3">
        <f t="shared" si="52"/>
        <v>28</v>
      </c>
      <c r="BE86" s="3">
        <f t="shared" si="53"/>
        <v>43</v>
      </c>
    </row>
    <row r="87" spans="1:58" s="3" customFormat="1" x14ac:dyDescent="0.2">
      <c r="A87" s="3" t="s">
        <v>179</v>
      </c>
      <c r="B87" s="3" t="str">
        <f>LOWER(VLOOKUP(A87,Xtal_Templ!A:B,2,FALSE))</f>
        <v>cltr1_human</v>
      </c>
      <c r="C87" s="3">
        <f>VLOOKUP($A87,'SegEnds_NonXtal_BW#'!$A:$Z,3,FALSE)+D87-50</f>
        <v>11</v>
      </c>
      <c r="D87" s="3">
        <v>41</v>
      </c>
      <c r="E87" s="3">
        <f>IF(ISERROR(VLOOKUP($A87,'SegEnds_NonXtal_BW#'!$A:$Z,4,FALSE)+VLOOKUP($A87,A:AL,4,FALSE)-50),"-",(VLOOKUP($A87,'SegEnds_NonXtal_BW#'!$A:$Z,4,FALSE)+VLOOKUP($A87,A:AL,4,FALSE)-50))</f>
        <v>51</v>
      </c>
      <c r="F87" s="3" t="str">
        <f>IF(ISERROR(VLOOKUP($A87,'SegEnds_NonXtal_BW#'!$A:$Z,5,FALSE)+VLOOKUP($A87,A:AL,7,FALSE)-50),"-",(VLOOKUP($A87,'SegEnds_NonXtal_BW#'!$A:$Z,5,FALSE)+VLOOKUP($A87,A:AL,7,FALSE)-50))</f>
        <v>-</v>
      </c>
      <c r="G87" s="3" t="s">
        <v>23</v>
      </c>
      <c r="H87" s="3" t="str">
        <f>IF(ISERROR(VLOOKUP($A87,'SegEnds_NonXtal_BW#'!$A:$Z,6,FALSE)+VLOOKUP($A87,A:AL,7,FALSE)-50),"-",(VLOOKUP($A87,'SegEnds_NonXtal_BW#'!$A:$Z,6,FALSE)+VLOOKUP($A87,A:AL,7,FALSE)-50))</f>
        <v>-</v>
      </c>
      <c r="I87" s="3">
        <f>VLOOKUP($A87,'SegEnds_NonXtal_BW#'!$A:$Z,7,FALSE)+J87-50</f>
        <v>56</v>
      </c>
      <c r="J87" s="3">
        <v>69</v>
      </c>
      <c r="K87" s="3">
        <f>VLOOKUP($A87,'SegEnds_NonXtal_BW#'!$A:$Z,8,FALSE)+VLOOKUP($A87,A:AL,10,FALSE)-50</f>
        <v>86</v>
      </c>
      <c r="L87" s="3">
        <f t="shared" si="56"/>
        <v>88</v>
      </c>
      <c r="M87" s="3">
        <v>89</v>
      </c>
      <c r="N87" s="3">
        <f t="shared" si="57"/>
        <v>91</v>
      </c>
      <c r="O87" s="3">
        <f t="shared" si="37"/>
        <v>92</v>
      </c>
      <c r="P87" s="3">
        <v>121</v>
      </c>
      <c r="Q87" s="3">
        <f>VLOOKUP($A87,'SegEnds_NonXtal_BW#'!$A:$Z,12,FALSE)+VLOOKUP($A87,A:AL,16,FALSE)-50</f>
        <v>127</v>
      </c>
      <c r="R87" s="3">
        <f>IF(ISERROR(VLOOKUP($A87,'SegEnds_NonXtal_BW#'!$A:$Z,13,FALSE)+VLOOKUP($A87,A:AL,19,FALSE)-50),"-",VLOOKUP($A87,'SegEnds_NonXtal_BW#'!$A:$Z,13,FALSE)+VLOOKUP($A87,A:AL,19,FALSE)-50)</f>
        <v>128</v>
      </c>
      <c r="S87" s="3">
        <v>128</v>
      </c>
      <c r="T87" s="100">
        <f>IF(ISERROR(VLOOKUP($A87,'SegEnds_NonXtal_BW#'!$A:$Z,14,FALSE)+VLOOKUP($A87,A:AL,19,FALSE)-50),"-",(VLOOKUP($A87,'SegEnds_NonXtal_BW#'!$A:$Z,14,FALSE)+VLOOKUP($A87,A:AL,19,FALSE)-50))</f>
        <v>135</v>
      </c>
      <c r="U87" s="9">
        <f>IF(ISERROR(VLOOKUP($A87,'SegEnds_NonXtal_BW#'!$A:$Z,15,FALSE)+VLOOKUP($A87,A:AL,22,FALSE)-50),"-",VLOOKUP($A87,'SegEnds_NonXtal_BW#'!$A:$Z,15,FALSE)+VLOOKUP($A87,A:AL,22,FALSE)-50)</f>
        <v>136</v>
      </c>
      <c r="V87" s="3">
        <v>148</v>
      </c>
      <c r="W87" s="3">
        <f>IF(ISERROR(VLOOKUP($A87,'SegEnds_NonXtal_BW#'!$A:$Z,16,FALSE)+VLOOKUP($A87,A:AL,22,FALSE)-50),"-",(VLOOKUP($A87,'SegEnds_NonXtal_BW#'!$A:$Z,16,FALSE)+VLOOKUP($A87,A:AL,22,FALSE)-50))</f>
        <v>161</v>
      </c>
      <c r="X87" s="3">
        <f>IF(ISERROR(VLOOKUP($A87,'SegEnds_NonXtal_BW#'!$A:$Z,17,FALSE)+VLOOKUP($A87,A:AL,25,FALSE)-50),"-",(VLOOKUP($A87,'SegEnds_NonXtal_BW#'!$A:$Z,17,FALSE)+VLOOKUP($A87,A:AL,25,FALSE)-50))</f>
        <v>173</v>
      </c>
      <c r="Y87" s="3">
        <v>173</v>
      </c>
      <c r="Z87" s="3">
        <f t="shared" si="38"/>
        <v>175</v>
      </c>
      <c r="AA87" s="3">
        <f>IF(ISERROR(VLOOKUP($A87,'SegEnds_NonXtal_BW#'!$A:$Z,19,FALSE)+VLOOKUP($A87,A:AL,28,FALSE)-50),"-",(VLOOKUP($A87,'SegEnds_NonXtal_BW#'!$A:$Z,19,FALSE)+VLOOKUP($A87,A:AL,28,FALSE)-50))</f>
        <v>179</v>
      </c>
      <c r="AB87" s="3">
        <v>201</v>
      </c>
      <c r="AC87" s="3">
        <f>IF(ISERROR((VLOOKUP($A87,'SegEnds_NonXtal_BW#'!$A:$Z,20,FALSE)+VLOOKUP($A87,A:AL,28,FALSE)-50)),"-",(VLOOKUP($A87,'SegEnds_NonXtal_BW#'!$A:$Z,20,FALSE)+VLOOKUP($A87,A:AL,28,FALSE)-50))</f>
        <v>218</v>
      </c>
      <c r="AD87" s="3">
        <f>IF(ISERROR(VLOOKUP($A87,'SegEnds_NonXtal_BW#'!$A:$Z,21,FALSE)+VLOOKUP($A87,A:AL,31,FALSE)-50),"-",(VLOOKUP($A87,'SegEnds_NonXtal_BW#'!$A:$Z,21,FALSE)+VLOOKUP($A87,A:AL,31,FALSE)-50))</f>
        <v>224</v>
      </c>
      <c r="AE87" s="3">
        <v>248</v>
      </c>
      <c r="AF87" s="3">
        <f>IF(ISERROR((VLOOKUP($A87,'SegEnds_NonXtal_BW#'!$A:$Z,22,FALSE)+VLOOKUP($A87,A:AL,31,FALSE)-50)),"-",(VLOOKUP($A87,'SegEnds_NonXtal_BW#'!$A:$Z,22,FALSE)+VLOOKUP($A87,A:AL,31,FALSE)-50))</f>
        <v>262</v>
      </c>
      <c r="AG87" s="3">
        <f>IF(ISERROR(VLOOKUP($A87,'SegEnds_NonXtal_BW#'!$A:$Z,23,FALSE)+VLOOKUP($A87,A:AL,34,FALSE)-50),"-",(VLOOKUP($A87,'SegEnds_NonXtal_BW#'!$A:$Z,23,FALSE)+VLOOKUP($A87,A:AL,34,FALSE)-50))</f>
        <v>266</v>
      </c>
      <c r="AH87" s="3">
        <v>292</v>
      </c>
      <c r="AI87" s="3">
        <f>IF(ISERROR((VLOOKUP($A87,'SegEnds_NonXtal_BW#'!$A:$Z,24,FALSE)+VLOOKUP($A87,A:AL,34,FALSE)-50)),"-",(VLOOKUP($A87,'SegEnds_NonXtal_BW#'!$A:$Z,24,FALSE)+VLOOKUP($A87,A:AL,34,FALSE)-50))</f>
        <v>298</v>
      </c>
      <c r="AJ87" s="3">
        <f>IF(ISERROR(VLOOKUP($A87,'SegEnds_NonXtal_BW#'!$A:$Z,25,FALSE)+VLOOKUP($A87,A:AL,37,FALSE)-50),"-",(VLOOKUP($A87,'SegEnds_NonXtal_BW#'!$A:$Z,25,FALSE)+VLOOKUP($A87,A:AL,37,FALSE)-50))</f>
        <v>299</v>
      </c>
      <c r="AK87" s="3">
        <v>302</v>
      </c>
      <c r="AL87" s="3">
        <f>IF(ISERROR((VLOOKUP($A87,'SegEnds_NonXtal_BW#'!$A:$Z,26,FALSE)+VLOOKUP($A87,A:AL,37,FALSE)-50)),"-",(VLOOKUP($A87,'SegEnds_NonXtal_BW#'!$A:$Z,26,FALSE)+VLOOKUP($A87,A:AL,37,FALSE)-50))</f>
        <v>311</v>
      </c>
      <c r="AM87" s="28" t="str">
        <f>VLOOKUP(A87,Classification!A:B,2,FALSE)</f>
        <v>A</v>
      </c>
      <c r="AN87" s="28" t="b">
        <f t="shared" si="55"/>
        <v>1</v>
      </c>
      <c r="AO87" s="3" t="str">
        <f>IF(ISERROR(MATCH(A87,'SegEnds_Xtal_Prot#'!B:B, 0)), "NoXtal", "Xtal")</f>
        <v>Xtal</v>
      </c>
      <c r="AP87" s="3" t="str">
        <f t="shared" si="39"/>
        <v>-</v>
      </c>
      <c r="AQ87" s="3" t="str">
        <f t="shared" si="40"/>
        <v>-</v>
      </c>
      <c r="AR87" s="3">
        <f t="shared" si="41"/>
        <v>2</v>
      </c>
      <c r="AS87" s="3">
        <f t="shared" si="42"/>
        <v>1</v>
      </c>
      <c r="AT87" s="3">
        <f t="shared" si="43"/>
        <v>1</v>
      </c>
      <c r="AU87" s="3">
        <f t="shared" si="44"/>
        <v>1</v>
      </c>
      <c r="AV87" s="3">
        <f t="shared" si="45"/>
        <v>12</v>
      </c>
      <c r="AW87" s="3">
        <f t="shared" si="46"/>
        <v>4</v>
      </c>
      <c r="AX87" s="3">
        <f t="shared" si="47"/>
        <v>6</v>
      </c>
      <c r="AY87" s="3">
        <f t="shared" si="48"/>
        <v>4</v>
      </c>
      <c r="AZ87" s="3">
        <f t="shared" si="49"/>
        <v>1</v>
      </c>
      <c r="BA87" s="3">
        <f>IF(ISERROR(LEN(VLOOKUP(A87,Seqs!A:E,2,FALSE))-AL87),"-",LEN(VLOOKUP(A87,Seqs!A:E,2,FALSE))-AL87)</f>
        <v>26</v>
      </c>
      <c r="BB87" s="16">
        <f t="shared" si="50"/>
        <v>28</v>
      </c>
      <c r="BC87" s="9">
        <f t="shared" si="51"/>
        <v>20</v>
      </c>
      <c r="BD87" s="3">
        <f t="shared" si="52"/>
        <v>28</v>
      </c>
      <c r="BE87" s="3">
        <f t="shared" si="53"/>
        <v>47</v>
      </c>
      <c r="BF87" s="3">
        <f>AH87-AE87</f>
        <v>44</v>
      </c>
    </row>
    <row r="88" spans="1:58" s="3" customFormat="1" ht="15" customHeight="1" x14ac:dyDescent="0.2">
      <c r="A88" s="3" t="s">
        <v>180</v>
      </c>
      <c r="B88" s="3" t="str">
        <f>LOWER(VLOOKUP(A88,Xtal_Templ!A:B,2,FALSE))</f>
        <v>cltr2_human</v>
      </c>
      <c r="C88" s="3">
        <f>VLOOKUP($A88,'SegEnds_NonXtal_BW#'!$A:$Z,3,FALSE)+D88-50</f>
        <v>31</v>
      </c>
      <c r="D88" s="3">
        <v>56</v>
      </c>
      <c r="E88" s="3">
        <f>IF(ISERROR(VLOOKUP($A88,'SegEnds_NonXtal_BW#'!$A:$Z,4,FALSE)+VLOOKUP($A88,A:AL,4,FALSE)-50),"-",(VLOOKUP($A88,'SegEnds_NonXtal_BW#'!$A:$Z,4,FALSE)+VLOOKUP($A88,A:AL,4,FALSE)-50))</f>
        <v>66</v>
      </c>
      <c r="F88" s="3" t="str">
        <f>IF(ISERROR(VLOOKUP($A88,'SegEnds_NonXtal_BW#'!$A:$Z,5,FALSE)+VLOOKUP($A88,A:AL,7,FALSE)-50),"-",(VLOOKUP($A88,'SegEnds_NonXtal_BW#'!$A:$Z,5,FALSE)+VLOOKUP($A88,A:AL,7,FALSE)-50))</f>
        <v>-</v>
      </c>
      <c r="G88" s="3" t="s">
        <v>23</v>
      </c>
      <c r="H88" s="3" t="str">
        <f>IF(ISERROR(VLOOKUP($A88,'SegEnds_NonXtal_BW#'!$A:$Z,6,FALSE)+VLOOKUP($A88,A:AL,7,FALSE)-50),"-",(VLOOKUP($A88,'SegEnds_NonXtal_BW#'!$A:$Z,6,FALSE)+VLOOKUP($A88,A:AL,7,FALSE)-50))</f>
        <v>-</v>
      </c>
      <c r="I88" s="3">
        <f>VLOOKUP($A88,'SegEnds_NonXtal_BW#'!$A:$Z,7,FALSE)+J88-50</f>
        <v>71</v>
      </c>
      <c r="J88" s="3">
        <v>84</v>
      </c>
      <c r="K88" s="3">
        <f>VLOOKUP($A88,'SegEnds_NonXtal_BW#'!$A:$Z,8,FALSE)+VLOOKUP($A88,A:AL,10,FALSE)-50</f>
        <v>101</v>
      </c>
      <c r="L88" s="3">
        <f t="shared" si="56"/>
        <v>103</v>
      </c>
      <c r="M88" s="3">
        <v>104</v>
      </c>
      <c r="N88" s="3">
        <f t="shared" si="57"/>
        <v>106</v>
      </c>
      <c r="O88" s="3">
        <f t="shared" si="37"/>
        <v>107</v>
      </c>
      <c r="P88" s="3">
        <v>136</v>
      </c>
      <c r="Q88" s="3">
        <f>VLOOKUP($A88,'SegEnds_NonXtal_BW#'!$A:$Z,12,FALSE)+VLOOKUP($A88,A:AL,16,FALSE)-50</f>
        <v>142</v>
      </c>
      <c r="R88" s="3">
        <f>IF(ISERROR(VLOOKUP($A88,'SegEnds_NonXtal_BW#'!$A:$Z,13,FALSE)+VLOOKUP($A88,A:AL,19,FALSE)-50),"-",VLOOKUP($A88,'SegEnds_NonXtal_BW#'!$A:$Z,13,FALSE)+VLOOKUP($A88,A:AL,19,FALSE)-50)</f>
        <v>143</v>
      </c>
      <c r="S88" s="3">
        <v>143</v>
      </c>
      <c r="T88" s="100">
        <f>IF(ISERROR(VLOOKUP($A88,'SegEnds_NonXtal_BW#'!$A:$Z,14,FALSE)+VLOOKUP($A88,A:AL,19,FALSE)-50),"-",(VLOOKUP($A88,'SegEnds_NonXtal_BW#'!$A:$Z,14,FALSE)+VLOOKUP($A88,A:AL,19,FALSE)-50))</f>
        <v>150</v>
      </c>
      <c r="U88" s="9">
        <f>IF(ISERROR(VLOOKUP($A88,'SegEnds_NonXtal_BW#'!$A:$Z,15,FALSE)+VLOOKUP($A88,A:AL,22,FALSE)-50),"-",VLOOKUP($A88,'SegEnds_NonXtal_BW#'!$A:$Z,15,FALSE)+VLOOKUP($A88,A:AL,22,FALSE)-50)</f>
        <v>151</v>
      </c>
      <c r="V88" s="3">
        <v>163</v>
      </c>
      <c r="W88" s="3">
        <f>IF(ISERROR(VLOOKUP($A88,'SegEnds_NonXtal_BW#'!$A:$Z,16,FALSE)+VLOOKUP($A88,A:AL,22,FALSE)-50),"-",(VLOOKUP($A88,'SegEnds_NonXtal_BW#'!$A:$Z,16,FALSE)+VLOOKUP($A88,A:AL,22,FALSE)-50))</f>
        <v>176</v>
      </c>
      <c r="X88" s="3">
        <f>IF(ISERROR(VLOOKUP($A88,'SegEnds_NonXtal_BW#'!$A:$Z,17,FALSE)+VLOOKUP($A88,A:AL,25,FALSE)-50),"-",(VLOOKUP($A88,'SegEnds_NonXtal_BW#'!$A:$Z,17,FALSE)+VLOOKUP($A88,A:AL,25,FALSE)-50))</f>
        <v>187</v>
      </c>
      <c r="Y88" s="3">
        <v>187</v>
      </c>
      <c r="Z88" s="3">
        <f t="shared" si="38"/>
        <v>189</v>
      </c>
      <c r="AA88" s="3">
        <f>IF(ISERROR(VLOOKUP($A88,'SegEnds_NonXtal_BW#'!$A:$Z,19,FALSE)+VLOOKUP($A88,A:AL,28,FALSE)-50),"-",(VLOOKUP($A88,'SegEnds_NonXtal_BW#'!$A:$Z,19,FALSE)+VLOOKUP($A88,A:AL,28,FALSE)-50))</f>
        <v>195</v>
      </c>
      <c r="AB88" s="3">
        <v>213</v>
      </c>
      <c r="AC88" s="3">
        <f>IF(ISERROR((VLOOKUP($A88,'SegEnds_NonXtal_BW#'!$A:$Z,20,FALSE)+VLOOKUP($A88,A:AL,28,FALSE)-50)),"-",(VLOOKUP($A88,'SegEnds_NonXtal_BW#'!$A:$Z,20,FALSE)+VLOOKUP($A88,A:AL,28,FALSE)-50))</f>
        <v>231</v>
      </c>
      <c r="AD88" s="3">
        <f>IF(ISERROR(VLOOKUP($A88,'SegEnds_NonXtal_BW#'!$A:$Z,21,FALSE)+VLOOKUP($A88,A:AL,31,FALSE)-50),"-",(VLOOKUP($A88,'SegEnds_NonXtal_BW#'!$A:$Z,21,FALSE)+VLOOKUP($A88,A:AL,31,FALSE)-50))</f>
        <v>236</v>
      </c>
      <c r="AE88" s="3">
        <v>262</v>
      </c>
      <c r="AF88" s="3">
        <f>IF(ISERROR((VLOOKUP($A88,'SegEnds_NonXtal_BW#'!$A:$Z,22,FALSE)+VLOOKUP($A88,A:AL,31,FALSE)-50)),"-",(VLOOKUP($A88,'SegEnds_NonXtal_BW#'!$A:$Z,22,FALSE)+VLOOKUP($A88,A:AL,31,FALSE)-50))</f>
        <v>274</v>
      </c>
      <c r="AG88" s="3">
        <f>IF(ISERROR(VLOOKUP($A88,'SegEnds_NonXtal_BW#'!$A:$Z,23,FALSE)+VLOOKUP($A88,A:AL,34,FALSE)-50),"-",(VLOOKUP($A88,'SegEnds_NonXtal_BW#'!$A:$Z,23,FALSE)+VLOOKUP($A88,A:AL,34,FALSE)-50))</f>
        <v>280</v>
      </c>
      <c r="AH88" s="3">
        <v>302</v>
      </c>
      <c r="AI88" s="3">
        <f>IF(ISERROR((VLOOKUP($A88,'SegEnds_NonXtal_BW#'!$A:$Z,24,FALSE)+VLOOKUP($A88,A:AL,34,FALSE)-50)),"-",(VLOOKUP($A88,'SegEnds_NonXtal_BW#'!$A:$Z,24,FALSE)+VLOOKUP($A88,A:AL,34,FALSE)-50))</f>
        <v>308</v>
      </c>
      <c r="AJ88" s="3">
        <f>IF(ISERROR(VLOOKUP($A88,'SegEnds_NonXtal_BW#'!$A:$Z,25,FALSE)+VLOOKUP($A88,A:AL,37,FALSE)-50),"-",(VLOOKUP($A88,'SegEnds_NonXtal_BW#'!$A:$Z,25,FALSE)+VLOOKUP($A88,A:AL,37,FALSE)-50))</f>
        <v>309</v>
      </c>
      <c r="AK88" s="3">
        <v>312</v>
      </c>
      <c r="AL88" s="3">
        <f>IF(ISERROR((VLOOKUP($A88,'SegEnds_NonXtal_BW#'!$A:$Z,26,FALSE)+VLOOKUP($A88,A:AL,37,FALSE)-50)),"-",(VLOOKUP($A88,'SegEnds_NonXtal_BW#'!$A:$Z,26,FALSE)+VLOOKUP($A88,A:AL,37,FALSE)-50))</f>
        <v>322</v>
      </c>
      <c r="AM88" s="28" t="str">
        <f>VLOOKUP(A88,Classification!A:B,2,FALSE)</f>
        <v>A</v>
      </c>
      <c r="AN88" s="28" t="b">
        <f t="shared" si="55"/>
        <v>1</v>
      </c>
      <c r="AO88" s="3" t="str">
        <f>IF(ISERROR(MATCH(A88,'SegEnds_Xtal_Prot#'!B:B, 0)), "NoXtal", "Xtal")</f>
        <v>Xtal</v>
      </c>
      <c r="AP88" s="3" t="str">
        <f t="shared" si="39"/>
        <v>-</v>
      </c>
      <c r="AQ88" s="3" t="str">
        <f t="shared" si="40"/>
        <v>-</v>
      </c>
      <c r="AR88" s="3">
        <f t="shared" si="41"/>
        <v>2</v>
      </c>
      <c r="AS88" s="3">
        <f t="shared" si="42"/>
        <v>1</v>
      </c>
      <c r="AT88" s="3">
        <f t="shared" si="43"/>
        <v>1</v>
      </c>
      <c r="AU88" s="3">
        <f t="shared" si="44"/>
        <v>1</v>
      </c>
      <c r="AV88" s="3">
        <f t="shared" si="45"/>
        <v>11</v>
      </c>
      <c r="AW88" s="3">
        <f t="shared" si="46"/>
        <v>6</v>
      </c>
      <c r="AX88" s="3">
        <f t="shared" si="47"/>
        <v>5</v>
      </c>
      <c r="AY88" s="3">
        <f t="shared" si="48"/>
        <v>6</v>
      </c>
      <c r="AZ88" s="3">
        <f t="shared" si="49"/>
        <v>1</v>
      </c>
      <c r="BA88" s="3">
        <f>IF(ISERROR(LEN(VLOOKUP(A88,Seqs!A:E,2,FALSE))-AL88),"-",LEN(VLOOKUP(A88,Seqs!A:E,2,FALSE))-AL88)</f>
        <v>24</v>
      </c>
      <c r="BB88" s="16">
        <f t="shared" si="50"/>
        <v>28</v>
      </c>
      <c r="BC88" s="9">
        <f t="shared" si="51"/>
        <v>20</v>
      </c>
      <c r="BD88" s="3">
        <f t="shared" si="52"/>
        <v>28</v>
      </c>
      <c r="BE88" s="3">
        <f t="shared" si="53"/>
        <v>49</v>
      </c>
      <c r="BF88" s="3">
        <f>AH88-AE88</f>
        <v>40</v>
      </c>
    </row>
    <row r="89" spans="1:58" s="3" customFormat="1" x14ac:dyDescent="0.2">
      <c r="A89" s="3" t="s">
        <v>181</v>
      </c>
      <c r="B89" s="3" t="str">
        <f>LOWER(VLOOKUP(A89,Xtal_Templ!A:B,2,FALSE))</f>
        <v>fpr2_human</v>
      </c>
      <c r="C89" s="3">
        <f>VLOOKUP($A89,'SegEnds_NonXtal_BW#'!$A:$Z,3,FALSE)+D89-50</f>
        <v>33</v>
      </c>
      <c r="D89" s="3">
        <v>58</v>
      </c>
      <c r="E89" s="3">
        <f>IF(ISERROR(VLOOKUP($A89,'SegEnds_NonXtal_BW#'!$A:$Z,4,FALSE)+VLOOKUP($A89,A:AL,4,FALSE)-50),"-",(VLOOKUP($A89,'SegEnds_NonXtal_BW#'!$A:$Z,4,FALSE)+VLOOKUP($A89,A:AL,4,FALSE)-50))</f>
        <v>69</v>
      </c>
      <c r="F89" s="3" t="str">
        <f>IF(ISERROR(VLOOKUP($A89,'SegEnds_NonXtal_BW#'!$A:$Z,5,FALSE)+VLOOKUP($A89,A:AL,7,FALSE)-50),"-",(VLOOKUP($A89,'SegEnds_NonXtal_BW#'!$A:$Z,5,FALSE)+VLOOKUP($A89,A:AL,7,FALSE)-50))</f>
        <v>-</v>
      </c>
      <c r="G89" s="3" t="s">
        <v>23</v>
      </c>
      <c r="H89" s="3" t="str">
        <f>IF(ISERROR(VLOOKUP($A89,'SegEnds_NonXtal_BW#'!$A:$Z,6,FALSE)+VLOOKUP($A89,A:AL,7,FALSE)-50),"-",(VLOOKUP($A89,'SegEnds_NonXtal_BW#'!$A:$Z,6,FALSE)+VLOOKUP($A89,A:AL,7,FALSE)-50))</f>
        <v>-</v>
      </c>
      <c r="I89" s="3">
        <f>VLOOKUP($A89,'SegEnds_NonXtal_BW#'!$A:$Z,7,FALSE)+J89-50</f>
        <v>72</v>
      </c>
      <c r="J89" s="3">
        <v>85</v>
      </c>
      <c r="K89" s="3">
        <f>VLOOKUP($A89,'SegEnds_NonXtal_BW#'!$A:$Z,8,FALSE)+VLOOKUP($A89,A:AL,10,FALSE)-50</f>
        <v>102</v>
      </c>
      <c r="L89" s="3">
        <f t="shared" si="56"/>
        <v>104</v>
      </c>
      <c r="M89" s="3">
        <v>105</v>
      </c>
      <c r="N89" s="3">
        <f t="shared" si="57"/>
        <v>107</v>
      </c>
      <c r="O89" s="3">
        <f t="shared" si="37"/>
        <v>108</v>
      </c>
      <c r="P89" s="3">
        <v>137</v>
      </c>
      <c r="Q89" s="3">
        <f>VLOOKUP($A89,'SegEnds_NonXtal_BW#'!$A:$Z,12,FALSE)+VLOOKUP($A89,A:AL,16,FALSE)-50</f>
        <v>143</v>
      </c>
      <c r="R89" s="3">
        <f>IF(ISERROR(VLOOKUP($A89,'SegEnds_NonXtal_BW#'!$A:$Z,13,FALSE)+VLOOKUP($A89,A:AL,19,FALSE)-50),"-",VLOOKUP($A89,'SegEnds_NonXtal_BW#'!$A:$Z,13,FALSE)+VLOOKUP($A89,A:AL,19,FALSE)-50)</f>
        <v>144</v>
      </c>
      <c r="S89" s="3">
        <v>144</v>
      </c>
      <c r="T89" s="100">
        <f>IF(ISERROR(VLOOKUP($A89,'SegEnds_NonXtal_BW#'!$A:$Z,14,FALSE)+VLOOKUP($A89,A:AL,19,FALSE)-50),"-",(VLOOKUP($A89,'SegEnds_NonXtal_BW#'!$A:$Z,14,FALSE)+VLOOKUP($A89,A:AL,19,FALSE)-50))</f>
        <v>151</v>
      </c>
      <c r="U89" s="9">
        <f>IF(ISERROR(VLOOKUP($A89,'SegEnds_NonXtal_BW#'!$A:$Z,15,FALSE)+VLOOKUP($A89,A:AL,22,FALSE)-50),"-",VLOOKUP($A89,'SegEnds_NonXtal_BW#'!$A:$Z,15,FALSE)+VLOOKUP($A89,A:AL,22,FALSE)-50)</f>
        <v>152</v>
      </c>
      <c r="V89" s="3">
        <v>164</v>
      </c>
      <c r="W89" s="3">
        <f>IF(ISERROR(VLOOKUP($A89,'SegEnds_NonXtal_BW#'!$A:$Z,16,FALSE)+VLOOKUP($A89,A:AL,22,FALSE)-50),"-",(VLOOKUP($A89,'SegEnds_NonXtal_BW#'!$A:$Z,16,FALSE)+VLOOKUP($A89,A:AL,22,FALSE)-50))</f>
        <v>178</v>
      </c>
      <c r="X89" s="3">
        <f>IF(ISERROR(VLOOKUP($A89,'SegEnds_NonXtal_BW#'!$A:$Z,17,FALSE)+VLOOKUP($A89,A:AL,25,FALSE)-50),"-",(VLOOKUP($A89,'SegEnds_NonXtal_BW#'!$A:$Z,17,FALSE)+VLOOKUP($A89,A:AL,25,FALSE)-50))</f>
        <v>189</v>
      </c>
      <c r="Y89" s="3">
        <v>189</v>
      </c>
      <c r="Z89" s="3">
        <f t="shared" si="38"/>
        <v>191</v>
      </c>
      <c r="AA89" s="3">
        <f>IF(ISERROR(VLOOKUP($A89,'SegEnds_NonXtal_BW#'!$A:$Z,19,FALSE)+VLOOKUP($A89,A:AL,28,FALSE)-50),"-",(VLOOKUP($A89,'SegEnds_NonXtal_BW#'!$A:$Z,19,FALSE)+VLOOKUP($A89,A:AL,28,FALSE)-50))</f>
        <v>205</v>
      </c>
      <c r="AB89" s="3">
        <v>232</v>
      </c>
      <c r="AC89" s="3">
        <f>IF(ISERROR((VLOOKUP($A89,'SegEnds_NonXtal_BW#'!$A:$Z,20,FALSE)+VLOOKUP($A89,A:AL,28,FALSE)-50)),"-",(VLOOKUP($A89,'SegEnds_NonXtal_BW#'!$A:$Z,20,FALSE)+VLOOKUP($A89,A:AL,28,FALSE)-50))</f>
        <v>250</v>
      </c>
      <c r="AD89" s="3">
        <f>IF(ISERROR(VLOOKUP($A89,'SegEnds_NonXtal_BW#'!$A:$Z,21,FALSE)+VLOOKUP($A89,A:AL,31,FALSE)-50),"-",(VLOOKUP($A89,'SegEnds_NonXtal_BW#'!$A:$Z,21,FALSE)+VLOOKUP($A89,A:AL,31,FALSE)-50))</f>
        <v>255</v>
      </c>
      <c r="AE89" s="3">
        <v>275</v>
      </c>
      <c r="AF89" s="3">
        <f>IF(ISERROR((VLOOKUP($A89,'SegEnds_NonXtal_BW#'!$A:$Z,22,FALSE)+VLOOKUP($A89,A:AL,31,FALSE)-50)),"-",(VLOOKUP($A89,'SegEnds_NonXtal_BW#'!$A:$Z,22,FALSE)+VLOOKUP($A89,A:AL,31,FALSE)-50))</f>
        <v>286</v>
      </c>
      <c r="AG89" s="3">
        <f>IF(ISERROR(VLOOKUP($A89,'SegEnds_NonXtal_BW#'!$A:$Z,23,FALSE)+VLOOKUP($A89,A:AL,34,FALSE)-50),"-",(VLOOKUP($A89,'SegEnds_NonXtal_BW#'!$A:$Z,23,FALSE)+VLOOKUP($A89,A:AL,34,FALSE)-50))</f>
        <v>288</v>
      </c>
      <c r="AH89" s="3">
        <v>313</v>
      </c>
      <c r="AI89" s="3">
        <f>IF(ISERROR((VLOOKUP($A89,'SegEnds_NonXtal_BW#'!$A:$Z,24,FALSE)+VLOOKUP($A89,A:AL,34,FALSE)-50)),"-",(VLOOKUP($A89,'SegEnds_NonXtal_BW#'!$A:$Z,24,FALSE)+VLOOKUP($A89,A:AL,34,FALSE)-50))</f>
        <v>319</v>
      </c>
      <c r="AJ89" s="3">
        <f>IF(ISERROR(VLOOKUP($A89,'SegEnds_NonXtal_BW#'!$A:$Z,25,FALSE)+VLOOKUP($A89,A:AL,37,FALSE)-50),"-",(VLOOKUP($A89,'SegEnds_NonXtal_BW#'!$A:$Z,25,FALSE)+VLOOKUP($A89,A:AL,37,FALSE)-50))</f>
        <v>320</v>
      </c>
      <c r="AK89" s="3">
        <v>323</v>
      </c>
      <c r="AL89" s="3">
        <f>IF(ISERROR((VLOOKUP($A89,'SegEnds_NonXtal_BW#'!$A:$Z,26,FALSE)+VLOOKUP($A89,A:AL,37,FALSE)-50)),"-",(VLOOKUP($A89,'SegEnds_NonXtal_BW#'!$A:$Z,26,FALSE)+VLOOKUP($A89,A:AL,37,FALSE)-50))</f>
        <v>331</v>
      </c>
      <c r="AM89" s="28" t="str">
        <f>VLOOKUP(A89,Classification!A:B,2,FALSE)</f>
        <v>A</v>
      </c>
      <c r="AN89" s="28" t="b">
        <f t="shared" si="55"/>
        <v>1</v>
      </c>
      <c r="AO89" s="3" t="str">
        <f>IF(ISERROR(MATCH(A89,'SegEnds_Xtal_Prot#'!B:B, 0)), "NoXtal", "Xtal")</f>
        <v>NoXtal</v>
      </c>
      <c r="AP89" s="3" t="str">
        <f t="shared" si="39"/>
        <v>-</v>
      </c>
      <c r="AQ89" s="3" t="str">
        <f t="shared" si="40"/>
        <v>-</v>
      </c>
      <c r="AR89" s="3">
        <f t="shared" si="41"/>
        <v>2</v>
      </c>
      <c r="AS89" s="3">
        <f t="shared" si="42"/>
        <v>1</v>
      </c>
      <c r="AT89" s="3">
        <f t="shared" si="43"/>
        <v>1</v>
      </c>
      <c r="AU89" s="3">
        <f t="shared" si="44"/>
        <v>1</v>
      </c>
      <c r="AV89" s="3">
        <f t="shared" si="45"/>
        <v>11</v>
      </c>
      <c r="AW89" s="3">
        <f t="shared" si="46"/>
        <v>14</v>
      </c>
      <c r="AX89" s="3">
        <f t="shared" si="47"/>
        <v>5</v>
      </c>
      <c r="AY89" s="3">
        <f t="shared" si="48"/>
        <v>2</v>
      </c>
      <c r="AZ89" s="3">
        <f t="shared" si="49"/>
        <v>1</v>
      </c>
      <c r="BA89" s="3">
        <f>IF(ISERROR(LEN(VLOOKUP(A89,Seqs!A:E,2,FALSE))-AL89),"-",LEN(VLOOKUP(A89,Seqs!A:E,2,FALSE))-AL89)</f>
        <v>42</v>
      </c>
      <c r="BB89" s="16">
        <f t="shared" si="50"/>
        <v>27</v>
      </c>
      <c r="BC89" s="9">
        <f t="shared" si="51"/>
        <v>20</v>
      </c>
      <c r="BD89" s="3">
        <f t="shared" si="52"/>
        <v>27</v>
      </c>
      <c r="BE89" s="3">
        <f t="shared" si="53"/>
        <v>43</v>
      </c>
    </row>
    <row r="90" spans="1:58" s="3" customFormat="1" x14ac:dyDescent="0.2">
      <c r="A90" s="3" t="s">
        <v>182</v>
      </c>
      <c r="B90" s="3" t="str">
        <f>LOWER(VLOOKUP(A90,Xtal_Templ!A:B,2,FALSE))</f>
        <v>cnr1_human</v>
      </c>
      <c r="C90" s="3">
        <f>VLOOKUP($A90,'SegEnds_NonXtal_BW#'!$A:$Z,3,FALSE)+D90-50</f>
        <v>112</v>
      </c>
      <c r="D90" s="3">
        <v>134</v>
      </c>
      <c r="E90" s="3">
        <f>IF(ISERROR(VLOOKUP($A90,'SegEnds_NonXtal_BW#'!$A:$Z,4,FALSE)+VLOOKUP($A90,A:AL,4,FALSE)-50),"-",(VLOOKUP($A90,'SegEnds_NonXtal_BW#'!$A:$Z,4,FALSE)+VLOOKUP($A90,A:AL,4,FALSE)-50))</f>
        <v>144</v>
      </c>
      <c r="F90" s="3">
        <f t="shared" ref="F90:F101" si="61">G90-2</f>
        <v>145</v>
      </c>
      <c r="G90" s="3">
        <v>147</v>
      </c>
      <c r="H90" s="3">
        <f t="shared" ref="H90:H98" si="62">G90+1</f>
        <v>148</v>
      </c>
      <c r="I90" s="3">
        <f>VLOOKUP($A90,'SegEnds_NonXtal_BW#'!$A:$Z,7,FALSE)+J90-50</f>
        <v>150</v>
      </c>
      <c r="J90" s="3">
        <v>163</v>
      </c>
      <c r="K90" s="3">
        <f>VLOOKUP($A90,'SegEnds_NonXtal_BW#'!$A:$Z,8,FALSE)+VLOOKUP($A90,A:AL,10,FALSE)-50</f>
        <v>179</v>
      </c>
      <c r="L90" s="3" t="str">
        <f>IF(ISERROR(VLOOKUP($A90,'SegEnds_NonXtal_BW#'!$A:$Z,9,FALSE)+VLOOKUP($A90,A:AL,13,FALSE)-50),"-",(VLOOKUP($A90,'SegEnds_NonXtal_BW#'!$A:$Z,9,FALSE)+VLOOKUP($A90,A:AL,13,FALSE)-50))</f>
        <v>-</v>
      </c>
      <c r="M90" s="3" t="s">
        <v>23</v>
      </c>
      <c r="N90" s="3" t="str">
        <f>IF(ISERROR(VLOOKUP($A90,'SegEnds_NonXtal_BW#'!$A:$Z,10,FALSE)+VLOOKUP($A90,A:AL,13,FALSE)-50),"-",(VLOOKUP($A90,'SegEnds_NonXtal_BW#'!$A:$Z,10,FALSE)+VLOOKUP($A90,A:AL,13,FALSE)-50))</f>
        <v>-</v>
      </c>
      <c r="O90" s="3">
        <f>VLOOKUP($A90,'SegEnds_NonXtal_BW#'!$A:$Z,11,FALSE)+VLOOKUP($A90,A:AL,16,FALSE)-50</f>
        <v>185</v>
      </c>
      <c r="P90" s="3">
        <v>214</v>
      </c>
      <c r="Q90" s="3">
        <f>VLOOKUP($A90,'SegEnds_NonXtal_BW#'!$A:$Z,12,FALSE)+VLOOKUP($A90,A:AL,16,FALSE)-50</f>
        <v>220</v>
      </c>
      <c r="R90" s="3">
        <f>S90</f>
        <v>221</v>
      </c>
      <c r="S90" s="3">
        <v>221</v>
      </c>
      <c r="T90" s="100">
        <f>S90+7</f>
        <v>228</v>
      </c>
      <c r="U90" s="9">
        <f>IF(ISERROR(VLOOKUP($A90,'SegEnds_NonXtal_BW#'!$A:$Z,15,FALSE)+VLOOKUP($A90,A:AL,22,FALSE)-50),"-",VLOOKUP($A90,'SegEnds_NonXtal_BW#'!$A:$Z,15,FALSE)+VLOOKUP($A90,A:AL,22,FALSE)-50)</f>
        <v>229</v>
      </c>
      <c r="V90" s="3">
        <v>241</v>
      </c>
      <c r="W90" s="3">
        <f>IF(ISERROR(VLOOKUP($A90,'SegEnds_NonXtal_BW#'!$A:$Z,16,FALSE)+VLOOKUP($A90,A:AL,22,FALSE)-50),"-",(VLOOKUP($A90,'SegEnds_NonXtal_BW#'!$A:$Z,16,FALSE)+VLOOKUP($A90,A:AL,22,FALSE)-50))</f>
        <v>254</v>
      </c>
      <c r="X90" s="3" t="str">
        <f>IF(ISERROR(VLOOKUP($A90,'SegEnds_NonXtal_BW#'!$A:$Z,17,FALSE)+VLOOKUP($A90,A:AL,25,FALSE)-50),"-",(VLOOKUP($A90,'SegEnds_NonXtal_BW#'!$A:$Z,17,FALSE)+VLOOKUP($A90,A:AL,25,FALSE)-50))</f>
        <v>-</v>
      </c>
      <c r="Y90" s="3" t="s">
        <v>23</v>
      </c>
      <c r="Z90" s="3" t="str">
        <f>IF(ISERROR(VLOOKUP($A90,'SegEnds_NonXtal_BW#'!$A:$Z,18,FALSE)+VLOOKUP($A90,A:AL,25,FALSE)-50),"-",(VLOOKUP($A90,'SegEnds_NonXtal_BW#'!$A:$Z,18,FALSE)+VLOOKUP($A90,A:AL,25,FALSE)-50))</f>
        <v>-</v>
      </c>
      <c r="AA90" s="3">
        <f>IF(ISERROR(VLOOKUP($A90,'SegEnds_NonXtal_BW#'!$A:$Z,19,FALSE)+VLOOKUP($A90,A:AL,28,FALSE)-50),"-",(VLOOKUP($A90,'SegEnds_NonXtal_BW#'!$A:$Z,19,FALSE)+VLOOKUP($A90,A:AL,28,FALSE)-50))</f>
        <v>272</v>
      </c>
      <c r="AB90" s="3">
        <v>286</v>
      </c>
      <c r="AC90" s="3">
        <f>IF(ISERROR((VLOOKUP($A90,'SegEnds_NonXtal_BW#'!$A:$Z,20,FALSE)+VLOOKUP($A90,A:AL,28,FALSE)-50)),"-",(VLOOKUP($A90,'SegEnds_NonXtal_BW#'!$A:$Z,20,FALSE)+VLOOKUP($A90,A:AL,28,FALSE)-50))</f>
        <v>312</v>
      </c>
      <c r="AD90" s="3">
        <f>IF(ISERROR(VLOOKUP($A90,'SegEnds_NonXtal_BW#'!$A:$Z,21,FALSE)+VLOOKUP($A90,A:AL,31,FALSE)-50),"-",(VLOOKUP($A90,'SegEnds_NonXtal_BW#'!$A:$Z,21,FALSE)+VLOOKUP($A90,A:AL,31,FALSE)-50))</f>
        <v>332</v>
      </c>
      <c r="AE90" s="3">
        <v>358</v>
      </c>
      <c r="AF90" s="3">
        <f>IF(ISERROR((VLOOKUP($A90,'SegEnds_NonXtal_BW#'!$A:$Z,22,FALSE)+VLOOKUP($A90,A:AL,31,FALSE)-50)),"-",(VLOOKUP($A90,'SegEnds_NonXtal_BW#'!$A:$Z,22,FALSE)+VLOOKUP($A90,A:AL,31,FALSE)-50))</f>
        <v>369</v>
      </c>
      <c r="AG90" s="3">
        <f>IF(ISERROR(VLOOKUP($A90,'SegEnds_NonXtal_BW#'!$A:$Z,23,FALSE)+VLOOKUP($A90,A:AL,34,FALSE)-50),"-",(VLOOKUP($A90,'SegEnds_NonXtal_BW#'!$A:$Z,23,FALSE)+VLOOKUP($A90,A:AL,34,FALSE)-50))</f>
        <v>372</v>
      </c>
      <c r="AH90" s="3">
        <v>394</v>
      </c>
      <c r="AI90" s="3">
        <f>IF(ISERROR((VLOOKUP($A90,'SegEnds_NonXtal_BW#'!$A:$Z,24,FALSE)+VLOOKUP($A90,A:AL,34,FALSE)-50)),"-",(VLOOKUP($A90,'SegEnds_NonXtal_BW#'!$A:$Z,24,FALSE)+VLOOKUP($A90,A:AL,34,FALSE)-50))</f>
        <v>400</v>
      </c>
      <c r="AJ90" s="3">
        <f>IF(ISERROR(VLOOKUP($A90,'SegEnds_NonXtal_BW#'!$A:$Z,25,FALSE)+VLOOKUP($A90,A:AL,37,FALSE)-50),"-",(VLOOKUP($A90,'SegEnds_NonXtal_BW#'!$A:$Z,25,FALSE)+VLOOKUP($A90,A:AL,37,FALSE)-50))</f>
        <v>401</v>
      </c>
      <c r="AK90" s="3">
        <v>404</v>
      </c>
      <c r="AL90" s="3">
        <f>IF(ISERROR((VLOOKUP($A90,'SegEnds_NonXtal_BW#'!$A:$Z,26,FALSE)+VLOOKUP($A90,A:AL,37,FALSE)-50)),"-",(VLOOKUP($A90,'SegEnds_NonXtal_BW#'!$A:$Z,26,FALSE)+VLOOKUP($A90,A:AL,37,FALSE)-50))</f>
        <v>413</v>
      </c>
      <c r="AM90" s="28" t="str">
        <f>VLOOKUP(A90,Classification!A:B,2,FALSE)</f>
        <v>A</v>
      </c>
      <c r="AN90" s="28" t="b">
        <f t="shared" si="55"/>
        <v>1</v>
      </c>
      <c r="AO90" s="3" t="str">
        <f>IF(ISERROR(MATCH(A90,'SegEnds_Xtal_Prot#'!B:B, 0)), "NoXtal", "Xtal")</f>
        <v>Xtal</v>
      </c>
      <c r="AP90" s="3">
        <f t="shared" si="39"/>
        <v>1</v>
      </c>
      <c r="AQ90" s="3">
        <f t="shared" si="40"/>
        <v>2</v>
      </c>
      <c r="AR90" s="3" t="str">
        <f t="shared" si="41"/>
        <v>-</v>
      </c>
      <c r="AS90" s="3" t="str">
        <f t="shared" si="42"/>
        <v>-</v>
      </c>
      <c r="AT90" s="3">
        <f t="shared" si="43"/>
        <v>1</v>
      </c>
      <c r="AU90" s="3">
        <f t="shared" si="44"/>
        <v>1</v>
      </c>
      <c r="AV90" s="3" t="str">
        <f t="shared" si="45"/>
        <v>-</v>
      </c>
      <c r="AW90" s="3" t="str">
        <f t="shared" si="46"/>
        <v>-</v>
      </c>
      <c r="AX90" s="3">
        <f t="shared" si="47"/>
        <v>20</v>
      </c>
      <c r="AY90" s="3">
        <f t="shared" si="48"/>
        <v>3</v>
      </c>
      <c r="AZ90" s="3">
        <f t="shared" si="49"/>
        <v>1</v>
      </c>
      <c r="BA90" s="3">
        <f>IF(ISERROR(LEN(VLOOKUP(A90,Seqs!A:E,2,FALSE))-AL90),"-",LEN(VLOOKUP(A90,Seqs!A:E,2,FALSE))-AL90)</f>
        <v>59</v>
      </c>
      <c r="BB90" s="16">
        <f t="shared" si="50"/>
        <v>29</v>
      </c>
      <c r="BC90" s="9">
        <f t="shared" si="51"/>
        <v>20</v>
      </c>
      <c r="BD90" s="3">
        <f t="shared" si="52"/>
        <v>29</v>
      </c>
      <c r="BE90" s="3">
        <f t="shared" si="53"/>
        <v>72</v>
      </c>
    </row>
    <row r="91" spans="1:58" s="3" customFormat="1" x14ac:dyDescent="0.2">
      <c r="A91" s="3" t="s">
        <v>183</v>
      </c>
      <c r="B91" s="3" t="str">
        <f>LOWER(VLOOKUP(A91,Xtal_Templ!A:B,2,FALSE))</f>
        <v>cnr2_human</v>
      </c>
      <c r="C91" s="3">
        <f>VLOOKUP($A91,'SegEnds_NonXtal_BW#'!$A:$Z,3,FALSE)+D91-50</f>
        <v>29</v>
      </c>
      <c r="D91" s="3">
        <v>51</v>
      </c>
      <c r="E91" s="3">
        <f>IF(ISERROR(VLOOKUP($A91,'SegEnds_NonXtal_BW#'!$A:$Z,4,FALSE)+VLOOKUP($A91,A:AL,4,FALSE)-50),"-",(VLOOKUP($A91,'SegEnds_NonXtal_BW#'!$A:$Z,4,FALSE)+VLOOKUP($A91,A:AL,4,FALSE)-50))</f>
        <v>61</v>
      </c>
      <c r="F91" s="3">
        <f t="shared" si="61"/>
        <v>62</v>
      </c>
      <c r="G91" s="3">
        <v>64</v>
      </c>
      <c r="H91" s="3">
        <f t="shared" si="62"/>
        <v>65</v>
      </c>
      <c r="I91" s="105">
        <v>67</v>
      </c>
      <c r="J91" s="3">
        <v>80</v>
      </c>
      <c r="K91" s="3">
        <f>VLOOKUP($A91,'SegEnds_NonXtal_BW#'!$A:$Z,8,FALSE)+VLOOKUP($A91,A:AL,10,FALSE)-50</f>
        <v>96</v>
      </c>
      <c r="L91" s="3" t="str">
        <f>IF(ISERROR(VLOOKUP($A91,'SegEnds_NonXtal_BW#'!$A:$Z,9,FALSE)+VLOOKUP($A91,A:AL,13,FALSE)-50),"-",(VLOOKUP($A91,'SegEnds_NonXtal_BW#'!$A:$Z,9,FALSE)+VLOOKUP($A91,A:AL,13,FALSE)-50))</f>
        <v>-</v>
      </c>
      <c r="M91" s="3" t="s">
        <v>23</v>
      </c>
      <c r="N91" s="3" t="str">
        <f>IF(ISERROR(VLOOKUP($A91,'SegEnds_NonXtal_BW#'!$A:$Z,10,FALSE)+VLOOKUP($A91,A:AL,13,FALSE)-50),"-",(VLOOKUP($A91,'SegEnds_NonXtal_BW#'!$A:$Z,10,FALSE)+VLOOKUP($A91,A:AL,13,FALSE)-50))</f>
        <v>-</v>
      </c>
      <c r="O91" s="3">
        <f>VLOOKUP($A91,'SegEnds_NonXtal_BW#'!$A:$Z,11,FALSE)+VLOOKUP($A91,A:AL,16,FALSE)-50</f>
        <v>102</v>
      </c>
      <c r="P91" s="3">
        <v>131</v>
      </c>
      <c r="Q91" s="3">
        <f>VLOOKUP($A91,'SegEnds_NonXtal_BW#'!$A:$Z,12,FALSE)+VLOOKUP($A91,A:AL,16,FALSE)-50</f>
        <v>137</v>
      </c>
      <c r="R91" s="3">
        <f>S91</f>
        <v>138</v>
      </c>
      <c r="S91" s="3">
        <v>138</v>
      </c>
      <c r="T91" s="100">
        <f>S91+7</f>
        <v>145</v>
      </c>
      <c r="U91" s="9">
        <f>IF(ISERROR(VLOOKUP($A91,'SegEnds_NonXtal_BW#'!$A:$Z,15,FALSE)+VLOOKUP($A91,A:AL,22,FALSE)-50),"-",VLOOKUP($A91,'SegEnds_NonXtal_BW#'!$A:$Z,15,FALSE)+VLOOKUP($A91,A:AL,22,FALSE)-50)</f>
        <v>146</v>
      </c>
      <c r="V91" s="3">
        <v>158</v>
      </c>
      <c r="W91" s="3">
        <f>IF(ISERROR(VLOOKUP($A91,'SegEnds_NonXtal_BW#'!$A:$Z,16,FALSE)+VLOOKUP($A91,A:AL,22,FALSE)-50),"-",(VLOOKUP($A91,'SegEnds_NonXtal_BW#'!$A:$Z,16,FALSE)+VLOOKUP($A91,A:AL,22,FALSE)-50))</f>
        <v>171</v>
      </c>
      <c r="X91" s="3" t="str">
        <f>IF(ISERROR(VLOOKUP($A91,'SegEnds_NonXtal_BW#'!$A:$Z,17,FALSE)+VLOOKUP($A91,A:AL,25,FALSE)-50),"-",(VLOOKUP($A91,'SegEnds_NonXtal_BW#'!$A:$Z,17,FALSE)+VLOOKUP($A91,A:AL,25,FALSE)-50))</f>
        <v>-</v>
      </c>
      <c r="Y91" s="3" t="s">
        <v>23</v>
      </c>
      <c r="Z91" s="3" t="str">
        <f>IF(ISERROR(VLOOKUP($A91,'SegEnds_NonXtal_BW#'!$A:$Z,18,FALSE)+VLOOKUP($A91,A:AL,25,FALSE)-50),"-",(VLOOKUP($A91,'SegEnds_NonXtal_BW#'!$A:$Z,18,FALSE)+VLOOKUP($A91,A:AL,25,FALSE)-50))</f>
        <v>-</v>
      </c>
      <c r="AA91" s="3">
        <f>IF(ISERROR(VLOOKUP($A91,'SegEnds_NonXtal_BW#'!$A:$Z,19,FALSE)+VLOOKUP($A91,A:AL,28,FALSE)-50),"-",(VLOOKUP($A91,'SegEnds_NonXtal_BW#'!$A:$Z,19,FALSE)+VLOOKUP($A91,A:AL,28,FALSE)-50))</f>
        <v>187</v>
      </c>
      <c r="AB91" s="3">
        <v>201</v>
      </c>
      <c r="AC91" s="3">
        <f>IF(ISERROR((VLOOKUP($A91,'SegEnds_NonXtal_BW#'!$A:$Z,20,FALSE)+VLOOKUP($A91,A:AL,28,FALSE)-50)),"-",(VLOOKUP($A91,'SegEnds_NonXtal_BW#'!$A:$Z,20,FALSE)+VLOOKUP($A91,A:AL,28,FALSE)-50))</f>
        <v>225</v>
      </c>
      <c r="AD91" s="3">
        <f>IF(ISERROR(VLOOKUP($A91,'SegEnds_NonXtal_BW#'!$A:$Z,21,FALSE)+VLOOKUP($A91,A:AL,31,FALSE)-50),"-",(VLOOKUP($A91,'SegEnds_NonXtal_BW#'!$A:$Z,21,FALSE)+VLOOKUP($A91,A:AL,31,FALSE)-50))</f>
        <v>238</v>
      </c>
      <c r="AE91" s="3">
        <v>260</v>
      </c>
      <c r="AF91" s="3">
        <f>IF(ISERROR((VLOOKUP($A91,'SegEnds_NonXtal_BW#'!$A:$Z,22,FALSE)+VLOOKUP($A91,A:AL,31,FALSE)-50)),"-",(VLOOKUP($A91,'SegEnds_NonXtal_BW#'!$A:$Z,22,FALSE)+VLOOKUP($A91,A:AL,31,FALSE)-50))</f>
        <v>271</v>
      </c>
      <c r="AG91" s="3">
        <f>IF(ISERROR(VLOOKUP($A91,'SegEnds_NonXtal_BW#'!$A:$Z,23,FALSE)+VLOOKUP($A91,A:AL,34,FALSE)-50),"-",(VLOOKUP($A91,'SegEnds_NonXtal_BW#'!$A:$Z,23,FALSE)+VLOOKUP($A91,A:AL,34,FALSE)-50))</f>
        <v>274</v>
      </c>
      <c r="AH91" s="3">
        <v>296</v>
      </c>
      <c r="AI91" s="3">
        <f>IF(ISERROR((VLOOKUP($A91,'SegEnds_NonXtal_BW#'!$A:$Z,24,FALSE)+VLOOKUP($A91,A:AL,34,FALSE)-50)),"-",(VLOOKUP($A91,'SegEnds_NonXtal_BW#'!$A:$Z,24,FALSE)+VLOOKUP($A91,A:AL,34,FALSE)-50))</f>
        <v>302</v>
      </c>
      <c r="AJ91" s="3">
        <f>IF(ISERROR(VLOOKUP($A91,'SegEnds_NonXtal_BW#'!$A:$Z,25,FALSE)+VLOOKUP($A91,A:AL,37,FALSE)-50),"-",(VLOOKUP($A91,'SegEnds_NonXtal_BW#'!$A:$Z,25,FALSE)+VLOOKUP($A91,A:AL,37,FALSE)-50))</f>
        <v>303</v>
      </c>
      <c r="AK91" s="3">
        <v>306</v>
      </c>
      <c r="AL91" s="3">
        <f>IF(ISERROR((VLOOKUP($A91,'SegEnds_NonXtal_BW#'!$A:$Z,26,FALSE)+VLOOKUP($A91,A:AL,37,FALSE)-50)),"-",(VLOOKUP($A91,'SegEnds_NonXtal_BW#'!$A:$Z,26,FALSE)+VLOOKUP($A91,A:AL,37,FALSE)-50))</f>
        <v>319</v>
      </c>
      <c r="AM91" s="28" t="str">
        <f>VLOOKUP(A91,Classification!A:B,2,FALSE)</f>
        <v>A</v>
      </c>
      <c r="AN91" s="28" t="b">
        <f t="shared" si="55"/>
        <v>1</v>
      </c>
      <c r="AO91" s="3" t="str">
        <f>IF(ISERROR(MATCH(A91,'SegEnds_Xtal_Prot#'!B:B, 0)), "NoXtal", "Xtal")</f>
        <v>Xtal</v>
      </c>
      <c r="AP91" s="3">
        <f t="shared" si="39"/>
        <v>1</v>
      </c>
      <c r="AQ91" s="3">
        <f t="shared" si="40"/>
        <v>2</v>
      </c>
      <c r="AR91" s="3" t="str">
        <f t="shared" si="41"/>
        <v>-</v>
      </c>
      <c r="AS91" s="3" t="str">
        <f t="shared" si="42"/>
        <v>-</v>
      </c>
      <c r="AT91" s="3">
        <f t="shared" si="43"/>
        <v>1</v>
      </c>
      <c r="AU91" s="3">
        <f t="shared" si="44"/>
        <v>1</v>
      </c>
      <c r="AV91" s="3" t="str">
        <f t="shared" si="45"/>
        <v>-</v>
      </c>
      <c r="AW91" s="3" t="str">
        <f t="shared" si="46"/>
        <v>-</v>
      </c>
      <c r="AX91" s="3">
        <f t="shared" si="47"/>
        <v>13</v>
      </c>
      <c r="AY91" s="3">
        <f t="shared" si="48"/>
        <v>3</v>
      </c>
      <c r="AZ91" s="3">
        <f t="shared" si="49"/>
        <v>1</v>
      </c>
      <c r="BA91" s="3">
        <f>IF(ISERROR(LEN(VLOOKUP(A91,Seqs!A:E,2,FALSE))-AL91),"-",LEN(VLOOKUP(A91,Seqs!A:E,2,FALSE))-AL91)</f>
        <v>41</v>
      </c>
      <c r="BB91" s="16">
        <f t="shared" si="50"/>
        <v>29</v>
      </c>
      <c r="BC91" s="9">
        <f t="shared" si="51"/>
        <v>20</v>
      </c>
      <c r="BD91" s="3">
        <f t="shared" si="52"/>
        <v>29</v>
      </c>
      <c r="BE91" s="3">
        <f t="shared" si="53"/>
        <v>59</v>
      </c>
    </row>
    <row r="92" spans="1:58" s="3" customFormat="1" x14ac:dyDescent="0.2">
      <c r="A92" s="3" t="s">
        <v>184</v>
      </c>
      <c r="B92" s="3" t="str">
        <f>LOWER(VLOOKUP(A92,Xtal_Templ!A:B,2,FALSE))</f>
        <v>ccr2_human</v>
      </c>
      <c r="C92" s="3">
        <f>VLOOKUP($A92,'SegEnds_NonXtal_BW#'!$A:$Z,3,FALSE)+D92-50</f>
        <v>26</v>
      </c>
      <c r="D92" s="3">
        <v>49</v>
      </c>
      <c r="E92" s="3">
        <f>IF(ISERROR(VLOOKUP($A92,'SegEnds_NonXtal_BW#'!$A:$Z,4,FALSE)+VLOOKUP($A92,A:AL,4,FALSE)-50),"-",(VLOOKUP($A92,'SegEnds_NonXtal_BW#'!$A:$Z,4,FALSE)+VLOOKUP($A92,A:AL,4,FALSE)-50))</f>
        <v>59</v>
      </c>
      <c r="F92" s="3">
        <f t="shared" si="61"/>
        <v>60</v>
      </c>
      <c r="G92" s="3">
        <v>62</v>
      </c>
      <c r="H92" s="3">
        <f t="shared" si="62"/>
        <v>63</v>
      </c>
      <c r="I92" s="3">
        <f t="shared" ref="I92:I101" si="63">H92+1</f>
        <v>64</v>
      </c>
      <c r="J92" s="3">
        <v>77</v>
      </c>
      <c r="K92" s="3">
        <f>VLOOKUP($A92,'SegEnds_NonXtal_BW#'!$A:$Z,8,FALSE)+VLOOKUP($A92,A:AL,10,FALSE)-50</f>
        <v>93</v>
      </c>
      <c r="L92" s="3" t="str">
        <f>IF(ISERROR(VLOOKUP($A92,'SegEnds_NonXtal_BW#'!$A:$Z,9,FALSE)+VLOOKUP($A92,A:AL,13,FALSE)-50),"-",(VLOOKUP($A92,'SegEnds_NonXtal_BW#'!$A:$Z,9,FALSE)+VLOOKUP($A92,A:AL,13,FALSE)-50))</f>
        <v>-</v>
      </c>
      <c r="M92" s="3" t="s">
        <v>23</v>
      </c>
      <c r="N92" s="3" t="str">
        <f>IF(ISERROR(VLOOKUP($A92,'SegEnds_NonXtal_BW#'!$A:$Z,10,FALSE)+VLOOKUP($A92,A:AL,13,FALSE)-50),"-",(VLOOKUP($A92,'SegEnds_NonXtal_BW#'!$A:$Z,10,FALSE)+VLOOKUP($A92,A:AL,13,FALSE)-50))</f>
        <v>-</v>
      </c>
      <c r="O92" s="3">
        <f>VLOOKUP($A92,'SegEnds_NonXtal_BW#'!$A:$Z,11,FALSE)+VLOOKUP($A92,A:AL,16,FALSE)-50</f>
        <v>101</v>
      </c>
      <c r="P92" s="3">
        <v>127</v>
      </c>
      <c r="Q92" s="3">
        <f>VLOOKUP($A92,'SegEnds_NonXtal_BW#'!$A:$Z,12,FALSE)+VLOOKUP($A92,A:AL,16,FALSE)-50</f>
        <v>133</v>
      </c>
      <c r="R92" s="3">
        <f>IF(ISERROR(VLOOKUP($A92,'SegEnds_NonXtal_BW#'!$A:$Z,13,FALSE)+VLOOKUP($A92,A:AL,19,FALSE)-50),"-",VLOOKUP($A92,'SegEnds_NonXtal_BW#'!$A:$Z,13,FALSE)+VLOOKUP($A92,A:AL,19,FALSE)-50)</f>
        <v>134</v>
      </c>
      <c r="S92" s="3">
        <v>134</v>
      </c>
      <c r="T92" s="100">
        <f>IF(ISERROR(VLOOKUP($A92,'SegEnds_NonXtal_BW#'!$A:$Z,14,FALSE)+VLOOKUP($A92,A:AL,19,FALSE)-50),"-",(VLOOKUP($A92,'SegEnds_NonXtal_BW#'!$A:$Z,14,FALSE)+VLOOKUP($A92,A:AL,19,FALSE)-50))</f>
        <v>141</v>
      </c>
      <c r="U92" s="9">
        <f>IF(ISERROR(VLOOKUP($A92,'SegEnds_NonXtal_BW#'!$A:$Z,15,FALSE)+VLOOKUP($A92,A:AL,22,FALSE)-50),"-",VLOOKUP($A92,'SegEnds_NonXtal_BW#'!$A:$Z,15,FALSE)+VLOOKUP($A92,A:AL,22,FALSE)-50)</f>
        <v>142</v>
      </c>
      <c r="V92" s="3">
        <v>154</v>
      </c>
      <c r="W92" s="3">
        <f>IF(ISERROR(VLOOKUP($A92,'SegEnds_NonXtal_BW#'!$A:$Z,16,FALSE)+VLOOKUP($A92,A:AL,22,FALSE)-50),"-",(VLOOKUP($A92,'SegEnds_NonXtal_BW#'!$A:$Z,16,FALSE)+VLOOKUP($A92,A:AL,22,FALSE)-50))</f>
        <v>168</v>
      </c>
      <c r="X92" s="3">
        <f>IF(ISERROR(VLOOKUP($A92,'SegEnds_NonXtal_BW#'!$A:$Z,17,FALSE)+VLOOKUP($A92,A:AL,25,FALSE)-50),"-",(VLOOKUP($A92,'SegEnds_NonXtal_BW#'!$A:$Z,17,FALSE)+VLOOKUP($A92,A:AL,25,FALSE)-50))</f>
        <v>175</v>
      </c>
      <c r="Y92" s="3">
        <v>175</v>
      </c>
      <c r="Z92" s="3">
        <f t="shared" ref="Z92:Z117" si="64">Y92+2</f>
        <v>177</v>
      </c>
      <c r="AA92" s="3">
        <f>IF(ISERROR(VLOOKUP($A92,'SegEnds_NonXtal_BW#'!$A:$Z,19,FALSE)+VLOOKUP($A92,A:AL,28,FALSE)-50),"-",(VLOOKUP($A92,'SegEnds_NonXtal_BW#'!$A:$Z,19,FALSE)+VLOOKUP($A92,A:AL,28,FALSE)-50))</f>
        <v>184</v>
      </c>
      <c r="AB92" s="3">
        <v>203</v>
      </c>
      <c r="AC92" s="3">
        <f>IF(ISERROR((VLOOKUP($A92,'SegEnds_NonXtal_BW#'!$A:$Z,20,FALSE)+VLOOKUP($A92,A:AL,28,FALSE)-50)),"-",(VLOOKUP($A92,'SegEnds_NonXtal_BW#'!$A:$Z,20,FALSE)+VLOOKUP($A92,A:AL,28,FALSE)-50))</f>
        <v>221</v>
      </c>
      <c r="AD92" s="3">
        <f>IF(ISERROR(VLOOKUP($A92,'SegEnds_NonXtal_BW#'!$A:$Z,21,FALSE)+VLOOKUP($A92,A:AL,31,FALSE)-50),"-",(VLOOKUP($A92,'SegEnds_NonXtal_BW#'!$A:$Z,21,FALSE)+VLOOKUP($A92,A:AL,31,FALSE)-50))</f>
        <v>226</v>
      </c>
      <c r="AE92" s="3">
        <v>246</v>
      </c>
      <c r="AF92" s="3">
        <f>IF(ISERROR((VLOOKUP($A92,'SegEnds_NonXtal_BW#'!$A:$Z,22,FALSE)+VLOOKUP($A92,A:AL,31,FALSE)-50)),"-",(VLOOKUP($A92,'SegEnds_NonXtal_BW#'!$A:$Z,22,FALSE)+VLOOKUP($A92,A:AL,31,FALSE)-50))</f>
        <v>260</v>
      </c>
      <c r="AG92" s="3">
        <f>IF(ISERROR(VLOOKUP($A92,'SegEnds_NonXtal_BW#'!$A:$Z,23,FALSE)+VLOOKUP($A92,A:AL,34,FALSE)-50),"-",(VLOOKUP($A92,'SegEnds_NonXtal_BW#'!$A:$Z,23,FALSE)+VLOOKUP($A92,A:AL,34,FALSE)-50))</f>
        <v>264</v>
      </c>
      <c r="AH92" s="3">
        <v>290</v>
      </c>
      <c r="AI92" s="3">
        <f>IF(ISERROR((VLOOKUP($A92,'SegEnds_NonXtal_BW#'!$A:$Z,24,FALSE)+VLOOKUP($A92,A:AL,34,FALSE)-50)),"-",(VLOOKUP($A92,'SegEnds_NonXtal_BW#'!$A:$Z,24,FALSE)+VLOOKUP($A92,A:AL,34,FALSE)-50))</f>
        <v>296</v>
      </c>
      <c r="AJ92" s="3">
        <f>IF(ISERROR(VLOOKUP($A92,'SegEnds_NonXtal_BW#'!$A:$Z,25,FALSE)+VLOOKUP($A92,A:AL,37,FALSE)-50),"-",(VLOOKUP($A92,'SegEnds_NonXtal_BW#'!$A:$Z,25,FALSE)+VLOOKUP($A92,A:AL,37,FALSE)-50))</f>
        <v>297</v>
      </c>
      <c r="AK92" s="3">
        <v>300</v>
      </c>
      <c r="AL92" s="3">
        <f>IF(ISERROR((VLOOKUP($A92,'SegEnds_NonXtal_BW#'!$A:$Z,26,FALSE)+VLOOKUP($A92,A:AL,37,FALSE)-50)),"-",(VLOOKUP($A92,'SegEnds_NonXtal_BW#'!$A:$Z,26,FALSE)+VLOOKUP($A92,A:AL,37,FALSE)-50))</f>
        <v>308</v>
      </c>
      <c r="AM92" s="28" t="str">
        <f>VLOOKUP(A92,Classification!A:B,2,FALSE)</f>
        <v>A</v>
      </c>
      <c r="AN92" s="28" t="b">
        <f t="shared" si="55"/>
        <v>1</v>
      </c>
      <c r="AO92" s="3" t="str">
        <f>IF(ISERROR(MATCH(A92,'SegEnds_Xtal_Prot#'!B:B, 0)), "NoXtal", "Xtal")</f>
        <v>NoXtal</v>
      </c>
      <c r="AP92" s="3">
        <f t="shared" si="39"/>
        <v>1</v>
      </c>
      <c r="AQ92" s="3">
        <f t="shared" si="40"/>
        <v>1</v>
      </c>
      <c r="AR92" s="3" t="str">
        <f t="shared" si="41"/>
        <v>-</v>
      </c>
      <c r="AS92" s="3" t="str">
        <f t="shared" si="42"/>
        <v>-</v>
      </c>
      <c r="AT92" s="3">
        <f t="shared" si="43"/>
        <v>1</v>
      </c>
      <c r="AU92" s="3">
        <f t="shared" si="44"/>
        <v>1</v>
      </c>
      <c r="AV92" s="3">
        <f t="shared" si="45"/>
        <v>7</v>
      </c>
      <c r="AW92" s="3">
        <f t="shared" si="46"/>
        <v>7</v>
      </c>
      <c r="AX92" s="3">
        <f t="shared" si="47"/>
        <v>5</v>
      </c>
      <c r="AY92" s="3">
        <f t="shared" si="48"/>
        <v>4</v>
      </c>
      <c r="AZ92" s="3">
        <f t="shared" si="49"/>
        <v>1</v>
      </c>
      <c r="BA92" s="3">
        <f>IF(ISERROR(LEN(VLOOKUP(A92,Seqs!A:E,2,FALSE))-AL92),"-",LEN(VLOOKUP(A92,Seqs!A:E,2,FALSE))-AL92)</f>
        <v>47</v>
      </c>
      <c r="BB92" s="16">
        <f t="shared" si="50"/>
        <v>28</v>
      </c>
      <c r="BC92" s="9">
        <f t="shared" si="51"/>
        <v>20</v>
      </c>
      <c r="BD92" s="3">
        <f t="shared" si="52"/>
        <v>28</v>
      </c>
      <c r="BE92" s="3">
        <f t="shared" si="53"/>
        <v>43</v>
      </c>
    </row>
    <row r="93" spans="1:58" s="3" customFormat="1" x14ac:dyDescent="0.2">
      <c r="A93" s="3" t="s">
        <v>187</v>
      </c>
      <c r="B93" s="3" t="str">
        <f>LOWER(VLOOKUP(A93,Xtal_Templ!A:B,2,FALSE))</f>
        <v>ccr7_human</v>
      </c>
      <c r="C93" s="3">
        <f>VLOOKUP($A93,'SegEnds_NonXtal_BW#'!$A:$Z,3,FALSE)+D93-50</f>
        <v>50</v>
      </c>
      <c r="D93" s="3">
        <v>71</v>
      </c>
      <c r="E93" s="3">
        <f>IF(ISERROR(VLOOKUP($A93,'SegEnds_NonXtal_BW#'!$A:$Z,4,FALSE)+VLOOKUP($A93,A:AL,4,FALSE)-50),"-",(VLOOKUP($A93,'SegEnds_NonXtal_BW#'!$A:$Z,4,FALSE)+VLOOKUP($A93,A:AL,4,FALSE)-50))</f>
        <v>81</v>
      </c>
      <c r="F93" s="3">
        <f t="shared" si="61"/>
        <v>82</v>
      </c>
      <c r="G93" s="3">
        <v>84</v>
      </c>
      <c r="H93" s="3">
        <f t="shared" si="62"/>
        <v>85</v>
      </c>
      <c r="I93" s="3">
        <f t="shared" si="63"/>
        <v>86</v>
      </c>
      <c r="J93" s="3">
        <v>99</v>
      </c>
      <c r="K93" s="3">
        <f>VLOOKUP($A93,'SegEnds_NonXtal_BW#'!$A:$Z,8,FALSE)+VLOOKUP($A93,A:AL,10,FALSE)-50</f>
        <v>115</v>
      </c>
      <c r="L93" s="3">
        <f t="shared" ref="L93:L100" si="65">M93-1</f>
        <v>116</v>
      </c>
      <c r="M93" s="3">
        <v>117</v>
      </c>
      <c r="N93" s="3">
        <f t="shared" ref="N93:N100" si="66">M93+2</f>
        <v>119</v>
      </c>
      <c r="O93" s="3">
        <f t="shared" ref="O93:O100" si="67">N93+1</f>
        <v>120</v>
      </c>
      <c r="P93" s="3">
        <v>149</v>
      </c>
      <c r="Q93" s="3">
        <f>VLOOKUP($A93,'SegEnds_NonXtal_BW#'!$A:$Z,12,FALSE)+VLOOKUP($A93,A:AL,16,FALSE)-50</f>
        <v>155</v>
      </c>
      <c r="R93" s="3">
        <f>IF(ISERROR(VLOOKUP($A93,'SegEnds_NonXtal_BW#'!$A:$Z,13,FALSE)+VLOOKUP($A93,A:AL,19,FALSE)-50),"-",VLOOKUP($A93,'SegEnds_NonXtal_BW#'!$A:$Z,13,FALSE)+VLOOKUP($A93,A:AL,19,FALSE)-50)</f>
        <v>156</v>
      </c>
      <c r="S93" s="3">
        <v>156</v>
      </c>
      <c r="T93" s="100">
        <f>IF(ISERROR(VLOOKUP($A93,'SegEnds_NonXtal_BW#'!$A:$Z,14,FALSE)+VLOOKUP($A93,A:AL,19,FALSE)-50),"-",(VLOOKUP($A93,'SegEnds_NonXtal_BW#'!$A:$Z,14,FALSE)+VLOOKUP($A93,A:AL,19,FALSE)-50))</f>
        <v>163</v>
      </c>
      <c r="U93" s="9">
        <f>IF(ISERROR(VLOOKUP($A93,'SegEnds_NonXtal_BW#'!$A:$Z,15,FALSE)+VLOOKUP($A93,A:AL,22,FALSE)-50),"-",VLOOKUP($A93,'SegEnds_NonXtal_BW#'!$A:$Z,15,FALSE)+VLOOKUP($A93,A:AL,22,FALSE)-50)</f>
        <v>164</v>
      </c>
      <c r="V93" s="3">
        <v>176</v>
      </c>
      <c r="W93" s="3">
        <f>IF(ISERROR(VLOOKUP($A93,'SegEnds_NonXtal_BW#'!$A:$Z,16,FALSE)+VLOOKUP($A93,A:AL,22,FALSE)-50),"-",(VLOOKUP($A93,'SegEnds_NonXtal_BW#'!$A:$Z,16,FALSE)+VLOOKUP($A93,A:AL,22,FALSE)-50))</f>
        <v>190</v>
      </c>
      <c r="X93" s="3">
        <f>IF(ISERROR(VLOOKUP($A93,'SegEnds_NonXtal_BW#'!$A:$Z,17,FALSE)+VLOOKUP($A93,A:AL,25,FALSE)-50),"-",(VLOOKUP($A93,'SegEnds_NonXtal_BW#'!$A:$Z,17,FALSE)+VLOOKUP($A93,A:AL,25,FALSE)-50))</f>
        <v>203</v>
      </c>
      <c r="Y93" s="3">
        <v>203</v>
      </c>
      <c r="Z93" s="3">
        <f t="shared" si="64"/>
        <v>205</v>
      </c>
      <c r="AA93" s="3">
        <f>IF(ISERROR(VLOOKUP($A93,'SegEnds_NonXtal_BW#'!$A:$Z,19,FALSE)+VLOOKUP($A93,A:AL,28,FALSE)-50),"-",(VLOOKUP($A93,'SegEnds_NonXtal_BW#'!$A:$Z,19,FALSE)+VLOOKUP($A93,A:AL,28,FALSE)-50))</f>
        <v>210</v>
      </c>
      <c r="AB93" s="3">
        <v>227</v>
      </c>
      <c r="AC93" s="3">
        <f>IF(ISERROR((VLOOKUP($A93,'SegEnds_NonXtal_BW#'!$A:$Z,20,FALSE)+VLOOKUP($A93,A:AL,28,FALSE)-50)),"-",(VLOOKUP($A93,'SegEnds_NonXtal_BW#'!$A:$Z,20,FALSE)+VLOOKUP($A93,A:AL,28,FALSE)-50))</f>
        <v>245</v>
      </c>
      <c r="AD93" s="3">
        <f>IF(ISERROR(VLOOKUP($A93,'SegEnds_NonXtal_BW#'!$A:$Z,21,FALSE)+VLOOKUP($A93,A:AL,31,FALSE)-50),"-",(VLOOKUP($A93,'SegEnds_NonXtal_BW#'!$A:$Z,21,FALSE)+VLOOKUP($A93,A:AL,31,FALSE)-50))</f>
        <v>250</v>
      </c>
      <c r="AE93" s="3">
        <v>270</v>
      </c>
      <c r="AF93" s="3">
        <f>IF(ISERROR((VLOOKUP($A93,'SegEnds_NonXtal_BW#'!$A:$Z,22,FALSE)+VLOOKUP($A93,A:AL,31,FALSE)-50)),"-",(VLOOKUP($A93,'SegEnds_NonXtal_BW#'!$A:$Z,22,FALSE)+VLOOKUP($A93,A:AL,31,FALSE)-50))</f>
        <v>284</v>
      </c>
      <c r="AG93" s="3">
        <f>IF(ISERROR(VLOOKUP($A93,'SegEnds_NonXtal_BW#'!$A:$Z,23,FALSE)+VLOOKUP($A93,A:AL,34,FALSE)-50),"-",(VLOOKUP($A93,'SegEnds_NonXtal_BW#'!$A:$Z,23,FALSE)+VLOOKUP($A93,A:AL,34,FALSE)-50))</f>
        <v>289</v>
      </c>
      <c r="AH93" s="3">
        <v>315</v>
      </c>
      <c r="AI93" s="3">
        <f>IF(ISERROR((VLOOKUP($A93,'SegEnds_NonXtal_BW#'!$A:$Z,24,FALSE)+VLOOKUP($A93,A:AL,34,FALSE)-50)),"-",(VLOOKUP($A93,'SegEnds_NonXtal_BW#'!$A:$Z,24,FALSE)+VLOOKUP($A93,A:AL,34,FALSE)-50))</f>
        <v>321</v>
      </c>
      <c r="AJ93" s="3">
        <f>IF(ISERROR(VLOOKUP($A93,'SegEnds_NonXtal_BW#'!$A:$Z,25,FALSE)+VLOOKUP($A93,A:AL,37,FALSE)-50),"-",(VLOOKUP($A93,'SegEnds_NonXtal_BW#'!$A:$Z,25,FALSE)+VLOOKUP($A93,A:AL,37,FALSE)-50))</f>
        <v>322</v>
      </c>
      <c r="AK93" s="3">
        <v>325</v>
      </c>
      <c r="AL93" s="3">
        <f>IF(ISERROR((VLOOKUP($A93,'SegEnds_NonXtal_BW#'!$A:$Z,26,FALSE)+VLOOKUP($A93,A:AL,37,FALSE)-50)),"-",(VLOOKUP($A93,'SegEnds_NonXtal_BW#'!$A:$Z,26,FALSE)+VLOOKUP($A93,A:AL,37,FALSE)-50))</f>
        <v>334</v>
      </c>
      <c r="AM93" s="28" t="str">
        <f>VLOOKUP(A93,Classification!A:B,2,FALSE)</f>
        <v>A</v>
      </c>
      <c r="AN93" s="28" t="b">
        <f t="shared" si="55"/>
        <v>1</v>
      </c>
      <c r="AO93" s="3" t="str">
        <f>IF(ISERROR(MATCH(A93,'SegEnds_Xtal_Prot#'!B:B, 0)), "NoXtal", "Xtal")</f>
        <v>NoXtal</v>
      </c>
      <c r="AP93" s="3">
        <f t="shared" si="39"/>
        <v>1</v>
      </c>
      <c r="AQ93" s="3">
        <f t="shared" si="40"/>
        <v>1</v>
      </c>
      <c r="AR93" s="3">
        <f t="shared" si="41"/>
        <v>1</v>
      </c>
      <c r="AS93" s="3">
        <f t="shared" si="42"/>
        <v>1</v>
      </c>
      <c r="AT93" s="3">
        <f t="shared" si="43"/>
        <v>1</v>
      </c>
      <c r="AU93" s="3">
        <f t="shared" si="44"/>
        <v>1</v>
      </c>
      <c r="AV93" s="3">
        <f t="shared" si="45"/>
        <v>13</v>
      </c>
      <c r="AW93" s="3">
        <f t="shared" si="46"/>
        <v>5</v>
      </c>
      <c r="AX93" s="3">
        <f t="shared" si="47"/>
        <v>5</v>
      </c>
      <c r="AY93" s="3">
        <f t="shared" si="48"/>
        <v>5</v>
      </c>
      <c r="AZ93" s="3">
        <f t="shared" si="49"/>
        <v>1</v>
      </c>
      <c r="BA93" s="3">
        <f>IF(ISERROR(LEN(VLOOKUP(A93,Seqs!A:E,2,FALSE))-AL93),"-",LEN(VLOOKUP(A93,Seqs!A:E,2,FALSE))-AL93)</f>
        <v>34</v>
      </c>
      <c r="BB93" s="16">
        <f t="shared" si="50"/>
        <v>28</v>
      </c>
      <c r="BC93" s="9">
        <f t="shared" si="51"/>
        <v>20</v>
      </c>
      <c r="BD93" s="3">
        <f t="shared" si="52"/>
        <v>28</v>
      </c>
      <c r="BE93" s="3">
        <f t="shared" si="53"/>
        <v>43</v>
      </c>
    </row>
    <row r="94" spans="1:58" s="3" customFormat="1" x14ac:dyDescent="0.2">
      <c r="A94" s="3" t="s">
        <v>1165</v>
      </c>
      <c r="B94" s="3" t="str">
        <f>LOWER(VLOOKUP(A94,Xtal_Templ!A:B,2,FALSE))</f>
        <v>cxcr4_human</v>
      </c>
      <c r="C94" s="3">
        <f>VLOOKUP($A94,'SegEnds_NonXtal_BW#'!$A:$Z,3,FALSE)+D94-50</f>
        <v>30</v>
      </c>
      <c r="D94" s="3">
        <v>56</v>
      </c>
      <c r="E94" s="3">
        <f>IF(ISERROR(VLOOKUP($A94,'SegEnds_NonXtal_BW#'!$A:$Z,4,FALSE)+VLOOKUP($A94,A:AL,4,FALSE)-50),"-",(VLOOKUP($A94,'SegEnds_NonXtal_BW#'!$A:$Z,4,FALSE)+VLOOKUP($A94,A:AL,4,FALSE)-50))</f>
        <v>66</v>
      </c>
      <c r="F94" s="3">
        <f t="shared" si="61"/>
        <v>67</v>
      </c>
      <c r="G94" s="3">
        <v>69</v>
      </c>
      <c r="H94" s="3">
        <f t="shared" si="62"/>
        <v>70</v>
      </c>
      <c r="I94" s="3">
        <f t="shared" si="63"/>
        <v>71</v>
      </c>
      <c r="J94" s="3">
        <v>84</v>
      </c>
      <c r="K94" s="3">
        <f>VLOOKUP($A94,'SegEnds_NonXtal_BW#'!$A:$Z,8,FALSE)+VLOOKUP($A94,A:AL,10,FALSE)-50</f>
        <v>100</v>
      </c>
      <c r="L94" s="3">
        <f t="shared" si="65"/>
        <v>101</v>
      </c>
      <c r="M94" s="3">
        <v>102</v>
      </c>
      <c r="N94" s="3">
        <f t="shared" si="66"/>
        <v>104</v>
      </c>
      <c r="O94" s="3">
        <f t="shared" si="67"/>
        <v>105</v>
      </c>
      <c r="P94" s="3">
        <v>134</v>
      </c>
      <c r="Q94" s="3">
        <f>VLOOKUP($A94,'SegEnds_NonXtal_BW#'!$A:$Z,12,FALSE)+VLOOKUP($A94,A:AL,16,FALSE)-50</f>
        <v>140</v>
      </c>
      <c r="R94" s="3">
        <f>IF(ISERROR(VLOOKUP($A94,'SegEnds_NonXtal_BW#'!$A:$Z,13,FALSE)+VLOOKUP($A94,A:AL,19,FALSE)-50),"-",VLOOKUP($A94,'SegEnds_NonXtal_BW#'!$A:$Z,13,FALSE)+VLOOKUP($A94,A:AL,19,FALSE)-50)</f>
        <v>141</v>
      </c>
      <c r="S94" s="3">
        <v>141</v>
      </c>
      <c r="T94" s="100">
        <f>IF(ISERROR(VLOOKUP($A94,'SegEnds_NonXtal_BW#'!$A:$Z,14,FALSE)+VLOOKUP($A94,A:AL,19,FALSE)-50),"-",(VLOOKUP($A94,'SegEnds_NonXtal_BW#'!$A:$Z,14,FALSE)+VLOOKUP($A94,A:AL,19,FALSE)-50))</f>
        <v>148</v>
      </c>
      <c r="U94" s="9">
        <f>IF(ISERROR(VLOOKUP($A94,'SegEnds_NonXtal_BW#'!$A:$Z,15,FALSE)+VLOOKUP($A94,A:AL,22,FALSE)-50),"-",VLOOKUP($A94,'SegEnds_NonXtal_BW#'!$A:$Z,15,FALSE)+VLOOKUP($A94,A:AL,22,FALSE)-50)</f>
        <v>149</v>
      </c>
      <c r="V94" s="3">
        <v>161</v>
      </c>
      <c r="W94" s="3">
        <f>IF(ISERROR(VLOOKUP($A94,'SegEnds_NonXtal_BW#'!$A:$Z,16,FALSE)+VLOOKUP($A94,A:AL,22,FALSE)-50),"-",(VLOOKUP($A94,'SegEnds_NonXtal_BW#'!$A:$Z,16,FALSE)+VLOOKUP($A94,A:AL,22,FALSE)-50))</f>
        <v>175</v>
      </c>
      <c r="X94" s="3">
        <f>IF(ISERROR(VLOOKUP($A94,'SegEnds_NonXtal_BW#'!$A:$Z,17,FALSE)+VLOOKUP($A94,A:AL,25,FALSE)-50),"-",(VLOOKUP($A94,'SegEnds_NonXtal_BW#'!$A:$Z,17,FALSE)+VLOOKUP($A94,A:AL,25,FALSE)-50))</f>
        <v>186</v>
      </c>
      <c r="Y94" s="3">
        <v>186</v>
      </c>
      <c r="Z94" s="3">
        <f t="shared" si="64"/>
        <v>188</v>
      </c>
      <c r="AA94" s="3">
        <f>IF(ISERROR(VLOOKUP($A94,'SegEnds_NonXtal_BW#'!$A:$Z,19,FALSE)+VLOOKUP($A94,A:AL,28,FALSE)-50),"-",(VLOOKUP($A94,'SegEnds_NonXtal_BW#'!$A:$Z,19,FALSE)+VLOOKUP($A94,A:AL,28,FALSE)-50))</f>
        <v>193</v>
      </c>
      <c r="AB94" s="3">
        <v>211</v>
      </c>
      <c r="AC94" s="3">
        <f>IF(ISERROR((VLOOKUP($A94,'SegEnds_NonXtal_BW#'!$A:$Z,20,FALSE)+VLOOKUP($A94,A:AL,28,FALSE)-50)),"-",(VLOOKUP($A94,'SegEnds_NonXtal_BW#'!$A:$Z,20,FALSE)+VLOOKUP($A94,A:AL,28,FALSE)-50))</f>
        <v>229</v>
      </c>
      <c r="AD94" s="3">
        <f>IF(ISERROR(VLOOKUP($A94,'SegEnds_NonXtal_BW#'!$A:$Z,21,FALSE)+VLOOKUP($A94,A:AL,31,FALSE)-50),"-",(VLOOKUP($A94,'SegEnds_NonXtal_BW#'!$A:$Z,21,FALSE)+VLOOKUP($A94,A:AL,31,FALSE)-50))</f>
        <v>234</v>
      </c>
      <c r="AE94" s="3">
        <v>254</v>
      </c>
      <c r="AF94" s="3">
        <f>IF(ISERROR((VLOOKUP($A94,'SegEnds_NonXtal_BW#'!$A:$Z,22,FALSE)+VLOOKUP($A94,A:AL,31,FALSE)-50)),"-",(VLOOKUP($A94,'SegEnds_NonXtal_BW#'!$A:$Z,22,FALSE)+VLOOKUP($A94,A:AL,31,FALSE)-50))</f>
        <v>268</v>
      </c>
      <c r="AG94" s="3">
        <f>IF(ISERROR(VLOOKUP($A94,'SegEnds_NonXtal_BW#'!$A:$Z,23,FALSE)+VLOOKUP($A94,A:AL,34,FALSE)-50),"-",(VLOOKUP($A94,'SegEnds_NonXtal_BW#'!$A:$Z,23,FALSE)+VLOOKUP($A94,A:AL,34,FALSE)-50))</f>
        <v>273</v>
      </c>
      <c r="AH94" s="3">
        <v>299</v>
      </c>
      <c r="AI94" s="3">
        <f>IF(ISERROR((VLOOKUP($A94,'SegEnds_NonXtal_BW#'!$A:$Z,24,FALSE)+VLOOKUP($A94,A:AL,34,FALSE)-50)),"-",(VLOOKUP($A94,'SegEnds_NonXtal_BW#'!$A:$Z,24,FALSE)+VLOOKUP($A94,A:AL,34,FALSE)-50))</f>
        <v>305</v>
      </c>
      <c r="AJ94" s="3">
        <f>IF(ISERROR(VLOOKUP($A94,'SegEnds_NonXtal_BW#'!$A:$Z,25,FALSE)+VLOOKUP($A94,A:AL,37,FALSE)-50),"-",(VLOOKUP($A94,'SegEnds_NonXtal_BW#'!$A:$Z,25,FALSE)+VLOOKUP($A94,A:AL,37,FALSE)-50))</f>
        <v>306</v>
      </c>
      <c r="AK94" s="3">
        <v>309</v>
      </c>
      <c r="AL94" s="3">
        <f>IF(ISERROR((VLOOKUP($A94,'SegEnds_NonXtal_BW#'!$A:$Z,26,FALSE)+VLOOKUP($A94,A:AL,37,FALSE)-50)),"-",(VLOOKUP($A94,'SegEnds_NonXtal_BW#'!$A:$Z,26,FALSE)+VLOOKUP($A94,A:AL,37,FALSE)-50))</f>
        <v>318</v>
      </c>
      <c r="AM94" s="28" t="str">
        <f>VLOOKUP(A94,Classification!A:B,2,FALSE)</f>
        <v>A</v>
      </c>
      <c r="AN94" s="28" t="b">
        <f t="shared" si="55"/>
        <v>1</v>
      </c>
      <c r="AO94" s="3" t="str">
        <f>IF(ISERROR(MATCH(A94,'SegEnds_Xtal_Prot#'!B:B, 0)), "NoXtal", "Xtal")</f>
        <v>Xtal</v>
      </c>
      <c r="AP94" s="3">
        <f t="shared" si="39"/>
        <v>1</v>
      </c>
      <c r="AQ94" s="3">
        <f t="shared" si="40"/>
        <v>1</v>
      </c>
      <c r="AR94" s="3">
        <f t="shared" si="41"/>
        <v>1</v>
      </c>
      <c r="AS94" s="3">
        <f t="shared" si="42"/>
        <v>1</v>
      </c>
      <c r="AT94" s="3">
        <f t="shared" si="43"/>
        <v>1</v>
      </c>
      <c r="AU94" s="3">
        <f t="shared" si="44"/>
        <v>1</v>
      </c>
      <c r="AV94" s="3">
        <f t="shared" si="45"/>
        <v>11</v>
      </c>
      <c r="AW94" s="3">
        <f t="shared" si="46"/>
        <v>5</v>
      </c>
      <c r="AX94" s="3">
        <f t="shared" si="47"/>
        <v>5</v>
      </c>
      <c r="AY94" s="3">
        <f t="shared" si="48"/>
        <v>5</v>
      </c>
      <c r="AZ94" s="3">
        <f t="shared" si="49"/>
        <v>1</v>
      </c>
      <c r="BA94" s="3">
        <f>IF(ISERROR(LEN(VLOOKUP(A94,Seqs!A:E,2,FALSE))-AL94),"-",LEN(VLOOKUP(A94,Seqs!A:E,2,FALSE))-AL94)</f>
        <v>34</v>
      </c>
      <c r="BB94" s="16">
        <f t="shared" si="50"/>
        <v>28</v>
      </c>
      <c r="BC94" s="9">
        <f t="shared" si="51"/>
        <v>20</v>
      </c>
      <c r="BD94" s="3">
        <f t="shared" si="52"/>
        <v>28</v>
      </c>
      <c r="BE94" s="3">
        <f t="shared" si="53"/>
        <v>43</v>
      </c>
    </row>
    <row r="95" spans="1:58" s="3" customFormat="1" x14ac:dyDescent="0.2">
      <c r="A95" s="3" t="s">
        <v>188</v>
      </c>
      <c r="B95" s="3" t="str">
        <f>LOWER(VLOOKUP(A95,Xtal_Templ!A:B,2,FALSE))</f>
        <v>ccr7_human</v>
      </c>
      <c r="C95" s="3">
        <f>VLOOKUP($A95,'SegEnds_NonXtal_BW#'!$A:$Z,3,FALSE)+D95-50</f>
        <v>48</v>
      </c>
      <c r="D95" s="3">
        <v>69</v>
      </c>
      <c r="E95" s="3">
        <f>IF(ISERROR(VLOOKUP($A95,'SegEnds_NonXtal_BW#'!$A:$Z,4,FALSE)+VLOOKUP($A95,A:AL,4,FALSE)-50),"-",(VLOOKUP($A95,'SegEnds_NonXtal_BW#'!$A:$Z,4,FALSE)+VLOOKUP($A95,A:AL,4,FALSE)-50))</f>
        <v>79</v>
      </c>
      <c r="F95" s="3">
        <f t="shared" si="61"/>
        <v>80</v>
      </c>
      <c r="G95" s="3">
        <v>82</v>
      </c>
      <c r="H95" s="3">
        <f t="shared" si="62"/>
        <v>83</v>
      </c>
      <c r="I95" s="3">
        <f t="shared" si="63"/>
        <v>84</v>
      </c>
      <c r="J95" s="3">
        <v>97</v>
      </c>
      <c r="K95" s="3">
        <f>VLOOKUP($A95,'SegEnds_NonXtal_BW#'!$A:$Z,8,FALSE)+VLOOKUP($A95,A:AL,10,FALSE)-50</f>
        <v>113</v>
      </c>
      <c r="L95" s="3">
        <f t="shared" si="65"/>
        <v>114</v>
      </c>
      <c r="M95" s="3">
        <v>115</v>
      </c>
      <c r="N95" s="3">
        <f t="shared" si="66"/>
        <v>117</v>
      </c>
      <c r="O95" s="3">
        <f t="shared" si="67"/>
        <v>118</v>
      </c>
      <c r="P95" s="3">
        <v>147</v>
      </c>
      <c r="Q95" s="3">
        <f>VLOOKUP($A95,'SegEnds_NonXtal_BW#'!$A:$Z,12,FALSE)+VLOOKUP($A95,A:AL,16,FALSE)-50</f>
        <v>153</v>
      </c>
      <c r="R95" s="3">
        <f>IF(ISERROR(VLOOKUP($A95,'SegEnds_NonXtal_BW#'!$A:$Z,13,FALSE)+VLOOKUP($A95,A:AL,19,FALSE)-50),"-",VLOOKUP($A95,'SegEnds_NonXtal_BW#'!$A:$Z,13,FALSE)+VLOOKUP($A95,A:AL,19,FALSE)-50)</f>
        <v>154</v>
      </c>
      <c r="S95" s="3">
        <v>154</v>
      </c>
      <c r="T95" s="100">
        <f>IF(ISERROR(VLOOKUP($A95,'SegEnds_NonXtal_BW#'!$A:$Z,14,FALSE)+VLOOKUP($A95,A:AL,19,FALSE)-50),"-",(VLOOKUP($A95,'SegEnds_NonXtal_BW#'!$A:$Z,14,FALSE)+VLOOKUP($A95,A:AL,19,FALSE)-50))</f>
        <v>161</v>
      </c>
      <c r="U95" s="9">
        <f>IF(ISERROR(VLOOKUP($A95,'SegEnds_NonXtal_BW#'!$A:$Z,15,FALSE)+VLOOKUP($A95,A:AL,22,FALSE)-50),"-",VLOOKUP($A95,'SegEnds_NonXtal_BW#'!$A:$Z,15,FALSE)+VLOOKUP($A95,A:AL,22,FALSE)-50)</f>
        <v>162</v>
      </c>
      <c r="V95" s="3">
        <v>174</v>
      </c>
      <c r="W95" s="3">
        <f>IF(ISERROR(VLOOKUP($A95,'SegEnds_NonXtal_BW#'!$A:$Z,16,FALSE)+VLOOKUP($A95,A:AL,22,FALSE)-50),"-",(VLOOKUP($A95,'SegEnds_NonXtal_BW#'!$A:$Z,16,FALSE)+VLOOKUP($A95,A:AL,22,FALSE)-50))</f>
        <v>188</v>
      </c>
      <c r="X95" s="3">
        <f>IF(ISERROR(VLOOKUP($A95,'SegEnds_NonXtal_BW#'!$A:$Z,17,FALSE)+VLOOKUP($A95,A:AL,25,FALSE)-50),"-",(VLOOKUP($A95,'SegEnds_NonXtal_BW#'!$A:$Z,17,FALSE)+VLOOKUP($A95,A:AL,25,FALSE)-50))</f>
        <v>202</v>
      </c>
      <c r="Y95" s="3">
        <v>202</v>
      </c>
      <c r="Z95" s="3">
        <f t="shared" si="64"/>
        <v>204</v>
      </c>
      <c r="AA95" s="3">
        <f>IF(ISERROR(VLOOKUP($A95,'SegEnds_NonXtal_BW#'!$A:$Z,19,FALSE)+VLOOKUP($A95,A:AL,28,FALSE)-50),"-",(VLOOKUP($A95,'SegEnds_NonXtal_BW#'!$A:$Z,19,FALSE)+VLOOKUP($A95,A:AL,28,FALSE)-50))</f>
        <v>213</v>
      </c>
      <c r="AB95" s="3">
        <v>230</v>
      </c>
      <c r="AC95" s="3">
        <f>IF(ISERROR((VLOOKUP($A95,'SegEnds_NonXtal_BW#'!$A:$Z,20,FALSE)+VLOOKUP($A95,A:AL,28,FALSE)-50)),"-",(VLOOKUP($A95,'SegEnds_NonXtal_BW#'!$A:$Z,20,FALSE)+VLOOKUP($A95,A:AL,28,FALSE)-50))</f>
        <v>248</v>
      </c>
      <c r="AD95" s="3">
        <f>IF(ISERROR(VLOOKUP($A95,'SegEnds_NonXtal_BW#'!$A:$Z,21,FALSE)+VLOOKUP($A95,A:AL,31,FALSE)-50),"-",(VLOOKUP($A95,'SegEnds_NonXtal_BW#'!$A:$Z,21,FALSE)+VLOOKUP($A95,A:AL,31,FALSE)-50))</f>
        <v>252</v>
      </c>
      <c r="AE95" s="3">
        <v>274</v>
      </c>
      <c r="AF95" s="3">
        <f>IF(ISERROR((VLOOKUP($A95,'SegEnds_NonXtal_BW#'!$A:$Z,22,FALSE)+VLOOKUP($A95,A:AL,31,FALSE)-50)),"-",(VLOOKUP($A95,'SegEnds_NonXtal_BW#'!$A:$Z,22,FALSE)+VLOOKUP($A95,A:AL,31,FALSE)-50))</f>
        <v>288</v>
      </c>
      <c r="AG95" s="3">
        <f>IF(ISERROR(VLOOKUP($A95,'SegEnds_NonXtal_BW#'!$A:$Z,23,FALSE)+VLOOKUP($A95,A:AL,34,FALSE)-50),"-",(VLOOKUP($A95,'SegEnds_NonXtal_BW#'!$A:$Z,23,FALSE)+VLOOKUP($A95,A:AL,34,FALSE)-50))</f>
        <v>293</v>
      </c>
      <c r="AH95" s="3">
        <v>319</v>
      </c>
      <c r="AI95" s="3">
        <f>IF(ISERROR((VLOOKUP($A95,'SegEnds_NonXtal_BW#'!$A:$Z,24,FALSE)+VLOOKUP($A95,A:AL,34,FALSE)-50)),"-",(VLOOKUP($A95,'SegEnds_NonXtal_BW#'!$A:$Z,24,FALSE)+VLOOKUP($A95,A:AL,34,FALSE)-50))</f>
        <v>325</v>
      </c>
      <c r="AJ95" s="3">
        <f>IF(ISERROR(VLOOKUP($A95,'SegEnds_NonXtal_BW#'!$A:$Z,25,FALSE)+VLOOKUP($A95,A:AL,37,FALSE)-50),"-",(VLOOKUP($A95,'SegEnds_NonXtal_BW#'!$A:$Z,25,FALSE)+VLOOKUP($A95,A:AL,37,FALSE)-50))</f>
        <v>326</v>
      </c>
      <c r="AK95" s="3">
        <v>329</v>
      </c>
      <c r="AL95" s="3">
        <f>IF(ISERROR((VLOOKUP($A95,'SegEnds_NonXtal_BW#'!$A:$Z,26,FALSE)+VLOOKUP($A95,A:AL,37,FALSE)-50)),"-",(VLOOKUP($A95,'SegEnds_NonXtal_BW#'!$A:$Z,26,FALSE)+VLOOKUP($A95,A:AL,37,FALSE)-50))</f>
        <v>338</v>
      </c>
      <c r="AM95" s="28" t="str">
        <f>VLOOKUP(A95,Classification!A:B,2,FALSE)</f>
        <v>A</v>
      </c>
      <c r="AN95" s="28" t="b">
        <f t="shared" si="55"/>
        <v>1</v>
      </c>
      <c r="AO95" s="3" t="str">
        <f>IF(ISERROR(MATCH(A95,'SegEnds_Xtal_Prot#'!B:B, 0)), "NoXtal", "Xtal")</f>
        <v>NoXtal</v>
      </c>
      <c r="AP95" s="3">
        <f t="shared" si="39"/>
        <v>1</v>
      </c>
      <c r="AQ95" s="3">
        <f t="shared" si="40"/>
        <v>1</v>
      </c>
      <c r="AR95" s="3">
        <f t="shared" si="41"/>
        <v>1</v>
      </c>
      <c r="AS95" s="3">
        <f t="shared" si="42"/>
        <v>1</v>
      </c>
      <c r="AT95" s="3">
        <f t="shared" si="43"/>
        <v>1</v>
      </c>
      <c r="AU95" s="3">
        <f t="shared" si="44"/>
        <v>1</v>
      </c>
      <c r="AV95" s="3">
        <f t="shared" si="45"/>
        <v>14</v>
      </c>
      <c r="AW95" s="3">
        <f t="shared" si="46"/>
        <v>9</v>
      </c>
      <c r="AX95" s="3">
        <f t="shared" si="47"/>
        <v>4</v>
      </c>
      <c r="AY95" s="3">
        <f t="shared" si="48"/>
        <v>5</v>
      </c>
      <c r="AZ95" s="3">
        <f t="shared" si="49"/>
        <v>1</v>
      </c>
      <c r="BA95" s="3">
        <f>IF(ISERROR(LEN(VLOOKUP(A95,Seqs!A:E,2,FALSE))-AL95),"-",LEN(VLOOKUP(A95,Seqs!A:E,2,FALSE))-AL95)</f>
        <v>34</v>
      </c>
      <c r="BB95" s="16">
        <f t="shared" si="50"/>
        <v>28</v>
      </c>
      <c r="BC95" s="9">
        <f t="shared" si="51"/>
        <v>20</v>
      </c>
      <c r="BD95" s="3">
        <f t="shared" si="52"/>
        <v>28</v>
      </c>
      <c r="BE95" s="3">
        <f t="shared" si="53"/>
        <v>44</v>
      </c>
    </row>
    <row r="96" spans="1:58" s="3" customFormat="1" x14ac:dyDescent="0.2">
      <c r="A96" s="3" t="s">
        <v>190</v>
      </c>
      <c r="B96" s="3" t="str">
        <f>LOWER(VLOOKUP(A96,Xtal_Templ!A:B,2,FALSE))</f>
        <v>adrb2_human</v>
      </c>
      <c r="C96" s="3">
        <f>VLOOKUP($A96,'SegEnds_NonXtal_BW#'!$A:$Z,3,FALSE)+D96-50</f>
        <v>16</v>
      </c>
      <c r="D96" s="3">
        <v>41</v>
      </c>
      <c r="E96" s="3">
        <f>IF(ISERROR(VLOOKUP($A96,'SegEnds_NonXtal_BW#'!$A:$Z,4,FALSE)+VLOOKUP($A96,A:AL,4,FALSE)-50),"-",(VLOOKUP($A96,'SegEnds_NonXtal_BW#'!$A:$Z,4,FALSE)+VLOOKUP($A96,A:AL,4,FALSE)-50))</f>
        <v>51</v>
      </c>
      <c r="F96" s="3">
        <f t="shared" si="61"/>
        <v>52</v>
      </c>
      <c r="G96" s="3">
        <v>54</v>
      </c>
      <c r="H96" s="3">
        <f t="shared" si="62"/>
        <v>55</v>
      </c>
      <c r="I96" s="3">
        <f t="shared" si="63"/>
        <v>56</v>
      </c>
      <c r="J96" s="3">
        <v>70</v>
      </c>
      <c r="K96" s="3">
        <f>VLOOKUP($A96,'SegEnds_NonXtal_BW#'!$A:$Z,8,FALSE)+VLOOKUP($A96,A:AL,10,FALSE)-50</f>
        <v>86</v>
      </c>
      <c r="L96" s="3">
        <f t="shared" si="65"/>
        <v>89</v>
      </c>
      <c r="M96" s="3">
        <v>90</v>
      </c>
      <c r="N96" s="3">
        <f t="shared" si="66"/>
        <v>92</v>
      </c>
      <c r="O96" s="3">
        <f t="shared" si="67"/>
        <v>93</v>
      </c>
      <c r="P96" s="3">
        <v>121</v>
      </c>
      <c r="Q96" s="3">
        <f>VLOOKUP($A96,'SegEnds_NonXtal_BW#'!$A:$Z,12,FALSE)+VLOOKUP($A96,A:AL,16,FALSE)-50</f>
        <v>127</v>
      </c>
      <c r="R96" s="3">
        <f>IF(ISERROR(VLOOKUP($A96,'SegEnds_NonXtal_BW#'!$A:$Z,13,FALSE)+VLOOKUP($A96,A:AL,19,FALSE)-50),"-",VLOOKUP($A96,'SegEnds_NonXtal_BW#'!$A:$Z,13,FALSE)+VLOOKUP($A96,A:AL,19,FALSE)-50)</f>
        <v>128</v>
      </c>
      <c r="S96" s="3">
        <v>128</v>
      </c>
      <c r="T96" s="100">
        <f>IF(ISERROR(VLOOKUP($A96,'SegEnds_NonXtal_BW#'!$A:$Z,14,FALSE)+VLOOKUP($A96,A:AL,19,FALSE)-50),"-",(VLOOKUP($A96,'SegEnds_NonXtal_BW#'!$A:$Z,14,FALSE)+VLOOKUP($A96,A:AL,19,FALSE)-50))</f>
        <v>135</v>
      </c>
      <c r="U96" s="9">
        <f>IF(ISERROR(VLOOKUP($A96,'SegEnds_NonXtal_BW#'!$A:$Z,15,FALSE)+VLOOKUP($A96,A:AL,22,FALSE)-50),"-",VLOOKUP($A96,'SegEnds_NonXtal_BW#'!$A:$Z,15,FALSE)+VLOOKUP($A96,A:AL,22,FALSE)-50)</f>
        <v>136</v>
      </c>
      <c r="V96" s="3">
        <v>148</v>
      </c>
      <c r="W96" s="3">
        <f>IF(ISERROR(VLOOKUP($A96,'SegEnds_NonXtal_BW#'!$A:$Z,16,FALSE)+VLOOKUP($A96,A:AL,22,FALSE)-50),"-",(VLOOKUP($A96,'SegEnds_NonXtal_BW#'!$A:$Z,16,FALSE)+VLOOKUP($A96,A:AL,22,FALSE)-50))</f>
        <v>162</v>
      </c>
      <c r="X96" s="3">
        <f>IF(ISERROR(VLOOKUP($A96,'SegEnds_NonXtal_BW#'!$A:$Z,17,FALSE)+VLOOKUP($A96,A:AL,25,FALSE)-50),"-",(VLOOKUP($A96,'SegEnds_NonXtal_BW#'!$A:$Z,17,FALSE)+VLOOKUP($A96,A:AL,25,FALSE)-50))</f>
        <v>186</v>
      </c>
      <c r="Y96" s="3">
        <v>186</v>
      </c>
      <c r="Z96" s="3">
        <f t="shared" si="64"/>
        <v>188</v>
      </c>
      <c r="AA96" s="3">
        <f>IF(ISERROR(VLOOKUP($A96,'SegEnds_NonXtal_BW#'!$A:$Z,19,FALSE)+VLOOKUP($A96,A:AL,28,FALSE)-50),"-",(VLOOKUP($A96,'SegEnds_NonXtal_BW#'!$A:$Z,19,FALSE)+VLOOKUP($A96,A:AL,28,FALSE)-50))</f>
        <v>191</v>
      </c>
      <c r="AB96" s="3">
        <v>206</v>
      </c>
      <c r="AC96" s="3">
        <f>IF(ISERROR((VLOOKUP($A96,'SegEnds_NonXtal_BW#'!$A:$Z,20,FALSE)+VLOOKUP($A96,A:AL,28,FALSE)-50)),"-",(VLOOKUP($A96,'SegEnds_NonXtal_BW#'!$A:$Z,20,FALSE)+VLOOKUP($A96,A:AL,28,FALSE)-50))</f>
        <v>232</v>
      </c>
      <c r="AD96" s="3">
        <f>IF(ISERROR(VLOOKUP($A96,'SegEnds_NonXtal_BW#'!$A:$Z,21,FALSE)+VLOOKUP($A96,A:AL,31,FALSE)-50),"-",(VLOOKUP($A96,'SegEnds_NonXtal_BW#'!$A:$Z,21,FALSE)+VLOOKUP($A96,A:AL,31,FALSE)-50))</f>
        <v>261</v>
      </c>
      <c r="AE96" s="3">
        <v>287</v>
      </c>
      <c r="AF96" s="3">
        <f>IF(ISERROR((VLOOKUP($A96,'SegEnds_NonXtal_BW#'!$A:$Z,22,FALSE)+VLOOKUP($A96,A:AL,31,FALSE)-50)),"-",(VLOOKUP($A96,'SegEnds_NonXtal_BW#'!$A:$Z,22,FALSE)+VLOOKUP($A96,A:AL,31,FALSE)-50))</f>
        <v>298</v>
      </c>
      <c r="AG96" s="3">
        <f>IF(ISERROR(VLOOKUP($A96,'SegEnds_NonXtal_BW#'!$A:$Z,23,FALSE)+VLOOKUP($A96,A:AL,34,FALSE)-50),"-",(VLOOKUP($A96,'SegEnds_NonXtal_BW#'!$A:$Z,23,FALSE)+VLOOKUP($A96,A:AL,34,FALSE)-50))</f>
        <v>306</v>
      </c>
      <c r="AH96" s="3">
        <v>328</v>
      </c>
      <c r="AI96" s="3">
        <v>334</v>
      </c>
      <c r="AJ96" s="3">
        <f>IF(ISERROR(VLOOKUP($A96,'SegEnds_NonXtal_BW#'!$A:$Z,25,FALSE)+VLOOKUP($A96,A:AL,37,FALSE)-50),"-",(VLOOKUP($A96,'SegEnds_NonXtal_BW#'!$A:$Z,25,FALSE)+VLOOKUP($A96,A:AL,37,FALSE)-50))</f>
        <v>335</v>
      </c>
      <c r="AK96" s="3">
        <v>338</v>
      </c>
      <c r="AL96" s="3">
        <f>IF(ISERROR((VLOOKUP($A96,'SegEnds_NonXtal_BW#'!$A:$Z,26,FALSE)+VLOOKUP($A96,A:AL,37,FALSE)-50)),"-",(VLOOKUP($A96,'SegEnds_NonXtal_BW#'!$A:$Z,26,FALSE)+VLOOKUP($A96,A:AL,37,FALSE)-50))</f>
        <v>347</v>
      </c>
      <c r="AM96" s="28" t="str">
        <f>VLOOKUP(A96,Classification!A:B,2,FALSE)</f>
        <v>A</v>
      </c>
      <c r="AN96" s="28" t="b">
        <f t="shared" si="55"/>
        <v>1</v>
      </c>
      <c r="AO96" s="3" t="str">
        <f>IF(ISERROR(MATCH(A96,'SegEnds_Xtal_Prot#'!B:B, 0)), "NoXtal", "Xtal")</f>
        <v>NoXtal</v>
      </c>
      <c r="AP96" s="3">
        <f t="shared" si="39"/>
        <v>1</v>
      </c>
      <c r="AQ96" s="3">
        <f t="shared" si="40"/>
        <v>1</v>
      </c>
      <c r="AR96" s="3">
        <f t="shared" si="41"/>
        <v>3</v>
      </c>
      <c r="AS96" s="3">
        <f t="shared" si="42"/>
        <v>1</v>
      </c>
      <c r="AT96" s="3">
        <f t="shared" si="43"/>
        <v>1</v>
      </c>
      <c r="AU96" s="3">
        <f t="shared" si="44"/>
        <v>1</v>
      </c>
      <c r="AV96" s="3">
        <f t="shared" si="45"/>
        <v>24</v>
      </c>
      <c r="AW96" s="3">
        <f t="shared" si="46"/>
        <v>3</v>
      </c>
      <c r="AX96" s="3">
        <f t="shared" si="47"/>
        <v>29</v>
      </c>
      <c r="AY96" s="3">
        <f t="shared" si="48"/>
        <v>8</v>
      </c>
      <c r="AZ96" s="3">
        <f t="shared" si="49"/>
        <v>1</v>
      </c>
      <c r="BA96" s="3">
        <f>IF(ISERROR(LEN(VLOOKUP(A96,Seqs!A:E,2,FALSE))-AL96),"-",LEN(VLOOKUP(A96,Seqs!A:E,2,FALSE))-AL96)</f>
        <v>99</v>
      </c>
      <c r="BB96" s="16">
        <f t="shared" si="50"/>
        <v>29</v>
      </c>
      <c r="BC96" s="9">
        <f t="shared" si="51"/>
        <v>20</v>
      </c>
      <c r="BD96" s="3">
        <f t="shared" si="52"/>
        <v>29</v>
      </c>
      <c r="BE96" s="3">
        <f t="shared" si="53"/>
        <v>81</v>
      </c>
    </row>
    <row r="97" spans="1:58" s="3" customFormat="1" x14ac:dyDescent="0.2">
      <c r="A97" s="3" t="s">
        <v>193</v>
      </c>
      <c r="B97" s="3" t="str">
        <f>LOWER(VLOOKUP(A97,Xtal_Templ!A:B,2,FALSE))</f>
        <v>drd4_human</v>
      </c>
      <c r="C97" s="3">
        <f>VLOOKUP($A97,'SegEnds_NonXtal_BW#'!$A:$Z,3,FALSE)+D97-50</f>
        <v>31</v>
      </c>
      <c r="D97" s="3">
        <v>52</v>
      </c>
      <c r="E97" s="3">
        <f>IF(ISERROR(VLOOKUP($A97,'SegEnds_NonXtal_BW#'!$A:$Z,4,FALSE)+VLOOKUP($A97,A:AL,4,FALSE)-50),"-",(VLOOKUP($A97,'SegEnds_NonXtal_BW#'!$A:$Z,4,FALSE)+VLOOKUP($A97,A:AL,4,FALSE)-50))</f>
        <v>62</v>
      </c>
      <c r="F97" s="3">
        <f t="shared" si="61"/>
        <v>63</v>
      </c>
      <c r="G97" s="3">
        <v>65</v>
      </c>
      <c r="H97" s="3">
        <f t="shared" si="62"/>
        <v>66</v>
      </c>
      <c r="I97" s="3">
        <f t="shared" si="63"/>
        <v>67</v>
      </c>
      <c r="J97" s="3">
        <v>80</v>
      </c>
      <c r="K97" s="3">
        <f>VLOOKUP($A97,'SegEnds_NonXtal_BW#'!$A:$Z,8,FALSE)+VLOOKUP($A97,A:AL,10,FALSE)-50</f>
        <v>97</v>
      </c>
      <c r="L97" s="3">
        <f t="shared" si="65"/>
        <v>100</v>
      </c>
      <c r="M97" s="3">
        <v>101</v>
      </c>
      <c r="N97" s="3">
        <f t="shared" si="66"/>
        <v>103</v>
      </c>
      <c r="O97" s="3">
        <f t="shared" si="67"/>
        <v>104</v>
      </c>
      <c r="P97" s="3">
        <v>133</v>
      </c>
      <c r="Q97" s="3">
        <f>VLOOKUP($A97,'SegEnds_NonXtal_BW#'!$A:$Z,12,FALSE)+VLOOKUP($A97,A:AL,16,FALSE)-50</f>
        <v>139</v>
      </c>
      <c r="R97" s="3">
        <f>IF(ISERROR(VLOOKUP($A97,'SegEnds_NonXtal_BW#'!$A:$Z,13,FALSE)+VLOOKUP($A97,A:AL,19,FALSE)-50),"-",VLOOKUP($A97,'SegEnds_NonXtal_BW#'!$A:$Z,13,FALSE)+VLOOKUP($A97,A:AL,19,FALSE)-50)</f>
        <v>140</v>
      </c>
      <c r="S97" s="3">
        <v>140</v>
      </c>
      <c r="T97" s="100">
        <f>IF(ISERROR(VLOOKUP($A97,'SegEnds_NonXtal_BW#'!$A:$Z,14,FALSE)+VLOOKUP($A97,A:AL,19,FALSE)-50),"-",(VLOOKUP($A97,'SegEnds_NonXtal_BW#'!$A:$Z,14,FALSE)+VLOOKUP($A97,A:AL,19,FALSE)-50))</f>
        <v>147</v>
      </c>
      <c r="U97" s="9">
        <f>IF(ISERROR(VLOOKUP($A97,'SegEnds_NonXtal_BW#'!$A:$Z,15,FALSE)+VLOOKUP($A97,A:AL,22,FALSE)-50),"-",VLOOKUP($A97,'SegEnds_NonXtal_BW#'!$A:$Z,15,FALSE)+VLOOKUP($A97,A:AL,22,FALSE)-50)</f>
        <v>148</v>
      </c>
      <c r="V97" s="3">
        <v>160</v>
      </c>
      <c r="W97" s="3">
        <f>IF(ISERROR(VLOOKUP($A97,'SegEnds_NonXtal_BW#'!$A:$Z,16,FALSE)+VLOOKUP($A97,A:AL,22,FALSE)-50),"-",(VLOOKUP($A97,'SegEnds_NonXtal_BW#'!$A:$Z,16,FALSE)+VLOOKUP($A97,A:AL,22,FALSE)-50))</f>
        <v>173</v>
      </c>
      <c r="X97" s="3">
        <f>IF(ISERROR(VLOOKUP($A97,'SegEnds_NonXtal_BW#'!$A:$Z,17,FALSE)+VLOOKUP($A97,A:AL,25,FALSE)-50),"-",(VLOOKUP($A97,'SegEnds_NonXtal_BW#'!$A:$Z,17,FALSE)+VLOOKUP($A97,A:AL,25,FALSE)-50))</f>
        <v>185</v>
      </c>
      <c r="Y97" s="3">
        <v>185</v>
      </c>
      <c r="Z97" s="3">
        <f t="shared" si="64"/>
        <v>187</v>
      </c>
      <c r="AA97" s="3">
        <f>IF(ISERROR(VLOOKUP($A97,'SegEnds_NonXtal_BW#'!$A:$Z,19,FALSE)+VLOOKUP($A97,A:AL,28,FALSE)-50),"-",(VLOOKUP($A97,'SegEnds_NonXtal_BW#'!$A:$Z,19,FALSE)+VLOOKUP($A97,A:AL,28,FALSE)-50))</f>
        <v>189</v>
      </c>
      <c r="AB97" s="3">
        <v>204</v>
      </c>
      <c r="AC97" s="3">
        <f>IF(ISERROR((VLOOKUP($A97,'SegEnds_NonXtal_BW#'!$A:$Z,20,FALSE)+VLOOKUP($A97,A:AL,28,FALSE)-50)),"-",(VLOOKUP($A97,'SegEnds_NonXtal_BW#'!$A:$Z,20,FALSE)+VLOOKUP($A97,A:AL,28,FALSE)-50))</f>
        <v>229</v>
      </c>
      <c r="AD97" s="3">
        <f>IF(ISERROR(VLOOKUP($A97,'SegEnds_NonXtal_BW#'!$A:$Z,21,FALSE)+VLOOKUP($A97,A:AL,31,FALSE)-50),"-",(VLOOKUP($A97,'SegEnds_NonXtal_BW#'!$A:$Z,21,FALSE)+VLOOKUP($A97,A:AL,31,FALSE)-50))</f>
        <v>383</v>
      </c>
      <c r="AE97" s="3">
        <v>409</v>
      </c>
      <c r="AF97" s="3">
        <f>IF(ISERROR((VLOOKUP($A97,'SegEnds_NonXtal_BW#'!$A:$Z,22,FALSE)+VLOOKUP($A97,A:AL,31,FALSE)-50)),"-",(VLOOKUP($A97,'SegEnds_NonXtal_BW#'!$A:$Z,22,FALSE)+VLOOKUP($A97,A:AL,31,FALSE)-50))</f>
        <v>420</v>
      </c>
      <c r="AG97" s="3">
        <f>IF(ISERROR(VLOOKUP($A97,'SegEnds_NonXtal_BW#'!$A:$Z,23,FALSE)+VLOOKUP($A97,A:AL,34,FALSE)-50),"-",(VLOOKUP($A97,'SegEnds_NonXtal_BW#'!$A:$Z,23,FALSE)+VLOOKUP($A97,A:AL,34,FALSE)-50))</f>
        <v>426</v>
      </c>
      <c r="AH97" s="3">
        <v>445</v>
      </c>
      <c r="AI97" s="3">
        <f>IF(ISERROR((VLOOKUP($A97,'SegEnds_NonXtal_BW#'!$A:$Z,24,FALSE)+VLOOKUP($A97,A:AL,34,FALSE)-50)),"-",(VLOOKUP($A97,'SegEnds_NonXtal_BW#'!$A:$Z,24,FALSE)+VLOOKUP($A97,A:AL,34,FALSE)-50))</f>
        <v>451</v>
      </c>
      <c r="AJ97" s="3">
        <f>IF(ISERROR(VLOOKUP($A97,'SegEnds_NonXtal_BW#'!$A:$Z,25,FALSE)+VLOOKUP($A97,A:AL,37,FALSE)-50),"-",(VLOOKUP($A97,'SegEnds_NonXtal_BW#'!$A:$Z,25,FALSE)+VLOOKUP($A97,A:AL,37,FALSE)-50))</f>
        <v>452</v>
      </c>
      <c r="AK97" s="3">
        <v>455</v>
      </c>
      <c r="AL97" s="3">
        <f>IF(ISERROR((VLOOKUP($A97,'SegEnds_NonXtal_BW#'!$A:$Z,26,FALSE)+VLOOKUP($A97,A:AL,37,FALSE)-50)),"-",(VLOOKUP($A97,'SegEnds_NonXtal_BW#'!$A:$Z,26,FALSE)+VLOOKUP($A97,A:AL,37,FALSE)-50))</f>
        <v>464</v>
      </c>
      <c r="AM97" s="28" t="str">
        <f>VLOOKUP(A97,Classification!A:B,2,FALSE)</f>
        <v>A</v>
      </c>
      <c r="AN97" s="28" t="b">
        <f t="shared" si="55"/>
        <v>1</v>
      </c>
      <c r="AO97" s="3" t="str">
        <f>IF(ISERROR(MATCH(A97,'SegEnds_Xtal_Prot#'!B:B, 0)), "NoXtal", "Xtal")</f>
        <v>Xtal</v>
      </c>
      <c r="AP97" s="3">
        <f t="shared" si="39"/>
        <v>1</v>
      </c>
      <c r="AQ97" s="3">
        <f t="shared" si="40"/>
        <v>1</v>
      </c>
      <c r="AR97" s="3">
        <f t="shared" si="41"/>
        <v>3</v>
      </c>
      <c r="AS97" s="3">
        <f t="shared" si="42"/>
        <v>1</v>
      </c>
      <c r="AT97" s="3">
        <f t="shared" si="43"/>
        <v>1</v>
      </c>
      <c r="AU97" s="3">
        <f t="shared" si="44"/>
        <v>1</v>
      </c>
      <c r="AV97" s="3">
        <f t="shared" si="45"/>
        <v>12</v>
      </c>
      <c r="AW97" s="3">
        <f t="shared" si="46"/>
        <v>2</v>
      </c>
      <c r="AX97" s="3">
        <f t="shared" si="47"/>
        <v>154</v>
      </c>
      <c r="AY97" s="3">
        <f t="shared" si="48"/>
        <v>6</v>
      </c>
      <c r="AZ97" s="3">
        <f t="shared" si="49"/>
        <v>1</v>
      </c>
      <c r="BA97" s="3">
        <f>IF(ISERROR(LEN(VLOOKUP(A97,Seqs!A:E,2,FALSE))-AL97),"-",LEN(VLOOKUP(A97,Seqs!A:E,2,FALSE))-AL97)</f>
        <v>3</v>
      </c>
      <c r="BB97" s="16">
        <f t="shared" si="50"/>
        <v>28</v>
      </c>
      <c r="BC97" s="9">
        <f t="shared" si="51"/>
        <v>20</v>
      </c>
      <c r="BD97" s="3">
        <f t="shared" si="52"/>
        <v>28</v>
      </c>
      <c r="BE97" s="3">
        <f t="shared" si="53"/>
        <v>205</v>
      </c>
      <c r="BF97" s="3">
        <f>AH97-AE97</f>
        <v>36</v>
      </c>
    </row>
    <row r="98" spans="1:58" s="3" customFormat="1" x14ac:dyDescent="0.2">
      <c r="A98" s="3" t="s">
        <v>194</v>
      </c>
      <c r="B98" s="3" t="str">
        <f>LOWER(VLOOKUP(A98,Xtal_Templ!A:B,2,FALSE))</f>
        <v>adrb2_human</v>
      </c>
      <c r="C98" s="3">
        <f>VLOOKUP($A98,'SegEnds_NonXtal_BW#'!$A:$Z,3,FALSE)+D98-50</f>
        <v>33</v>
      </c>
      <c r="D98" s="3">
        <v>58</v>
      </c>
      <c r="E98" s="3">
        <f>IF(ISERROR(VLOOKUP($A98,'SegEnds_NonXtal_BW#'!$A:$Z,4,FALSE)+VLOOKUP($A98,A:AL,4,FALSE)-50),"-",(VLOOKUP($A98,'SegEnds_NonXtal_BW#'!$A:$Z,4,FALSE)+VLOOKUP($A98,A:AL,4,FALSE)-50))</f>
        <v>68</v>
      </c>
      <c r="F98" s="3">
        <f t="shared" si="61"/>
        <v>69</v>
      </c>
      <c r="G98" s="3">
        <v>71</v>
      </c>
      <c r="H98" s="3">
        <f t="shared" si="62"/>
        <v>72</v>
      </c>
      <c r="I98" s="3">
        <f t="shared" si="63"/>
        <v>73</v>
      </c>
      <c r="J98" s="3">
        <v>87</v>
      </c>
      <c r="K98" s="3">
        <f>VLOOKUP($A98,'SegEnds_NonXtal_BW#'!$A:$Z,8,FALSE)+VLOOKUP($A98,A:AL,10,FALSE)-50</f>
        <v>103</v>
      </c>
      <c r="L98" s="3">
        <f t="shared" si="65"/>
        <v>106</v>
      </c>
      <c r="M98" s="3">
        <v>107</v>
      </c>
      <c r="N98" s="3">
        <f t="shared" si="66"/>
        <v>109</v>
      </c>
      <c r="O98" s="3">
        <f t="shared" si="67"/>
        <v>110</v>
      </c>
      <c r="P98" s="3">
        <v>138</v>
      </c>
      <c r="Q98" s="3">
        <f>VLOOKUP($A98,'SegEnds_NonXtal_BW#'!$A:$Z,12,FALSE)+VLOOKUP($A98,A:AL,16,FALSE)-50</f>
        <v>144</v>
      </c>
      <c r="R98" s="3">
        <f>IF(ISERROR(VLOOKUP($A98,'SegEnds_NonXtal_BW#'!$A:$Z,13,FALSE)+VLOOKUP($A98,A:AL,19,FALSE)-50),"-",VLOOKUP($A98,'SegEnds_NonXtal_BW#'!$A:$Z,13,FALSE)+VLOOKUP($A98,A:AL,19,FALSE)-50)</f>
        <v>145</v>
      </c>
      <c r="S98" s="3">
        <v>145</v>
      </c>
      <c r="T98" s="100">
        <f>IF(ISERROR(VLOOKUP($A98,'SegEnds_NonXtal_BW#'!$A:$Z,14,FALSE)+VLOOKUP($A98,A:AL,19,FALSE)-50),"-",(VLOOKUP($A98,'SegEnds_NonXtal_BW#'!$A:$Z,14,FALSE)+VLOOKUP($A98,A:AL,19,FALSE)-50))</f>
        <v>152</v>
      </c>
      <c r="U98" s="9">
        <f>IF(ISERROR(VLOOKUP($A98,'SegEnds_NonXtal_BW#'!$A:$Z,15,FALSE)+VLOOKUP($A98,A:AL,22,FALSE)-50),"-",VLOOKUP($A98,'SegEnds_NonXtal_BW#'!$A:$Z,15,FALSE)+VLOOKUP($A98,A:AL,22,FALSE)-50)</f>
        <v>153</v>
      </c>
      <c r="V98" s="3">
        <v>165</v>
      </c>
      <c r="W98" s="3">
        <f>IF(ISERROR(VLOOKUP($A98,'SegEnds_NonXtal_BW#'!$A:$Z,16,FALSE)+VLOOKUP($A98,A:AL,22,FALSE)-50),"-",(VLOOKUP($A98,'SegEnds_NonXtal_BW#'!$A:$Z,16,FALSE)+VLOOKUP($A98,A:AL,22,FALSE)-50))</f>
        <v>179</v>
      </c>
      <c r="X98" s="3">
        <f>IF(ISERROR(VLOOKUP($A98,'SegEnds_NonXtal_BW#'!$A:$Z,17,FALSE)+VLOOKUP($A98,A:AL,25,FALSE)-50),"-",(VLOOKUP($A98,'SegEnds_NonXtal_BW#'!$A:$Z,17,FALSE)+VLOOKUP($A98,A:AL,25,FALSE)-50))</f>
        <v>217</v>
      </c>
      <c r="Y98" s="3">
        <v>217</v>
      </c>
      <c r="Z98" s="3">
        <f t="shared" si="64"/>
        <v>219</v>
      </c>
      <c r="AA98" s="3">
        <f>IF(ISERROR(VLOOKUP($A98,'SegEnds_NonXtal_BW#'!$A:$Z,19,FALSE)+VLOOKUP($A98,A:AL,28,FALSE)-50),"-",(VLOOKUP($A98,'SegEnds_NonXtal_BW#'!$A:$Z,19,FALSE)+VLOOKUP($A98,A:AL,28,FALSE)-50))</f>
        <v>222</v>
      </c>
      <c r="AB98" s="3">
        <v>237</v>
      </c>
      <c r="AC98" s="3">
        <f>IF(ISERROR((VLOOKUP($A98,'SegEnds_NonXtal_BW#'!$A:$Z,20,FALSE)+VLOOKUP($A98,A:AL,28,FALSE)-50)),"-",(VLOOKUP($A98,'SegEnds_NonXtal_BW#'!$A:$Z,20,FALSE)+VLOOKUP($A98,A:AL,28,FALSE)-50))</f>
        <v>263</v>
      </c>
      <c r="AD98" s="3">
        <f>IF(ISERROR(VLOOKUP($A98,'SegEnds_NonXtal_BW#'!$A:$Z,21,FALSE)+VLOOKUP($A98,A:AL,31,FALSE)-50),"-",(VLOOKUP($A98,'SegEnds_NonXtal_BW#'!$A:$Z,21,FALSE)+VLOOKUP($A98,A:AL,31,FALSE)-50))</f>
        <v>285</v>
      </c>
      <c r="AE98" s="3">
        <v>311</v>
      </c>
      <c r="AF98" s="3">
        <f>IF(ISERROR((VLOOKUP($A98,'SegEnds_NonXtal_BW#'!$A:$Z,22,FALSE)+VLOOKUP($A98,A:AL,31,FALSE)-50)),"-",(VLOOKUP($A98,'SegEnds_NonXtal_BW#'!$A:$Z,22,FALSE)+VLOOKUP($A98,A:AL,31,FALSE)-50))</f>
        <v>325</v>
      </c>
      <c r="AG98" s="3">
        <f>IF(ISERROR(VLOOKUP($A98,'SegEnds_NonXtal_BW#'!$A:$Z,23,FALSE)+VLOOKUP($A98,A:AL,34,FALSE)-50),"-",(VLOOKUP($A98,'SegEnds_NonXtal_BW#'!$A:$Z,23,FALSE)+VLOOKUP($A98,A:AL,34,FALSE)-50))</f>
        <v>330</v>
      </c>
      <c r="AH98" s="3">
        <v>356</v>
      </c>
      <c r="AI98" s="3">
        <v>362</v>
      </c>
      <c r="AJ98" s="3">
        <f>IF(ISERROR(VLOOKUP($A98,'SegEnds_NonXtal_BW#'!$A:$Z,25,FALSE)+VLOOKUP($A98,A:AL,37,FALSE)-50),"-",(VLOOKUP($A98,'SegEnds_NonXtal_BW#'!$A:$Z,25,FALSE)+VLOOKUP($A98,A:AL,37,FALSE)-50))</f>
        <v>363</v>
      </c>
      <c r="AK98" s="3">
        <v>366</v>
      </c>
      <c r="AL98" s="3">
        <f>IF(ISERROR((VLOOKUP($A98,'SegEnds_NonXtal_BW#'!$A:$Z,26,FALSE)+VLOOKUP($A98,A:AL,37,FALSE)-50)),"-",(VLOOKUP($A98,'SegEnds_NonXtal_BW#'!$A:$Z,26,FALSE)+VLOOKUP($A98,A:AL,37,FALSE)-50))</f>
        <v>375</v>
      </c>
      <c r="AM98" s="28" t="str">
        <f>VLOOKUP(A98,Classification!A:B,2,FALSE)</f>
        <v>A</v>
      </c>
      <c r="AN98" s="28" t="b">
        <f t="shared" si="55"/>
        <v>1</v>
      </c>
      <c r="AO98" s="3" t="str">
        <f>IF(ISERROR(MATCH(A98,'SegEnds_Xtal_Prot#'!B:B, 0)), "NoXtal", "Xtal")</f>
        <v>NoXtal</v>
      </c>
      <c r="AP98" s="3">
        <f t="shared" si="39"/>
        <v>1</v>
      </c>
      <c r="AQ98" s="3">
        <f t="shared" si="40"/>
        <v>1</v>
      </c>
      <c r="AR98" s="3">
        <f t="shared" si="41"/>
        <v>3</v>
      </c>
      <c r="AS98" s="3">
        <f t="shared" si="42"/>
        <v>1</v>
      </c>
      <c r="AT98" s="3">
        <f t="shared" si="43"/>
        <v>1</v>
      </c>
      <c r="AU98" s="3">
        <f t="shared" si="44"/>
        <v>1</v>
      </c>
      <c r="AV98" s="3">
        <f t="shared" si="45"/>
        <v>38</v>
      </c>
      <c r="AW98" s="3">
        <f t="shared" si="46"/>
        <v>3</v>
      </c>
      <c r="AX98" s="3">
        <f t="shared" si="47"/>
        <v>22</v>
      </c>
      <c r="AY98" s="3">
        <f t="shared" si="48"/>
        <v>5</v>
      </c>
      <c r="AZ98" s="3">
        <f t="shared" si="49"/>
        <v>1</v>
      </c>
      <c r="BA98" s="3">
        <f>IF(ISERROR(LEN(VLOOKUP(A98,Seqs!A:E,2,FALSE))-AL98),"-",LEN(VLOOKUP(A98,Seqs!A:E,2,FALSE))-AL98)</f>
        <v>102</v>
      </c>
      <c r="BB98" s="16">
        <f t="shared" si="50"/>
        <v>29</v>
      </c>
      <c r="BC98" s="9">
        <f t="shared" si="51"/>
        <v>20</v>
      </c>
      <c r="BD98" s="3">
        <f t="shared" si="52"/>
        <v>29</v>
      </c>
      <c r="BE98" s="3">
        <f t="shared" si="53"/>
        <v>74</v>
      </c>
    </row>
    <row r="99" spans="1:58" s="3" customFormat="1" x14ac:dyDescent="0.2">
      <c r="A99" s="3" t="s">
        <v>195</v>
      </c>
      <c r="B99" s="3" t="str">
        <f>LOWER(VLOOKUP(A99,Xtal_Templ!A:B,2,FALSE))</f>
        <v>ednrb_human</v>
      </c>
      <c r="C99" s="3">
        <f>VLOOKUP($A99,'SegEnds_NonXtal_BW#'!$A:$Z,3,FALSE)+D99-50</f>
        <v>70</v>
      </c>
      <c r="D99" s="3">
        <v>98</v>
      </c>
      <c r="E99" s="3">
        <f>IF(ISERROR(VLOOKUP($A99,'SegEnds_NonXtal_BW#'!$A:$Z,4,FALSE)+VLOOKUP($A99,A:AL,4,FALSE)-50),"-",(VLOOKUP($A99,'SegEnds_NonXtal_BW#'!$A:$Z,4,FALSE)+VLOOKUP($A99,A:AL,4,FALSE)-50))</f>
        <v>108</v>
      </c>
      <c r="F99" s="3">
        <f t="shared" si="61"/>
        <v>109</v>
      </c>
      <c r="G99" s="3">
        <v>111</v>
      </c>
      <c r="H99" s="3">
        <v>113</v>
      </c>
      <c r="I99" s="3">
        <f t="shared" si="63"/>
        <v>114</v>
      </c>
      <c r="J99" s="3">
        <v>126</v>
      </c>
      <c r="K99" s="3">
        <f>VLOOKUP($A99,'SegEnds_NonXtal_BW#'!$A:$Z,8,FALSE)+VLOOKUP($A99,A:AL,10,FALSE)-50</f>
        <v>143</v>
      </c>
      <c r="L99" s="3">
        <f t="shared" si="65"/>
        <v>145</v>
      </c>
      <c r="M99" s="3">
        <v>146</v>
      </c>
      <c r="N99" s="3">
        <f t="shared" si="66"/>
        <v>148</v>
      </c>
      <c r="O99" s="3">
        <f t="shared" si="67"/>
        <v>149</v>
      </c>
      <c r="P99" s="3">
        <v>183</v>
      </c>
      <c r="Q99" s="3">
        <f>VLOOKUP($A99,'SegEnds_NonXtal_BW#'!$A:$Z,12,FALSE)+VLOOKUP($A99,A:AL,16,FALSE)-50</f>
        <v>189</v>
      </c>
      <c r="R99" s="3">
        <f>IF(ISERROR(VLOOKUP($A99,'SegEnds_NonXtal_BW#'!$A:$Z,13,FALSE)+VLOOKUP($A99,A:AL,19,FALSE)-50),"-",VLOOKUP($A99,'SegEnds_NonXtal_BW#'!$A:$Z,13,FALSE)+VLOOKUP($A99,A:AL,19,FALSE)-50)</f>
        <v>190</v>
      </c>
      <c r="S99" s="3">
        <v>190</v>
      </c>
      <c r="T99" s="100">
        <f>IF(ISERROR(VLOOKUP($A99,'SegEnds_NonXtal_BW#'!$A:$Z,14,FALSE)+VLOOKUP($A99,A:AL,19,FALSE)-50),"-",(VLOOKUP($A99,'SegEnds_NonXtal_BW#'!$A:$Z,14,FALSE)+VLOOKUP($A99,A:AL,19,FALSE)-50))</f>
        <v>197</v>
      </c>
      <c r="U99" s="9">
        <f>IF(ISERROR(VLOOKUP($A99,'SegEnds_NonXtal_BW#'!$A:$Z,15,FALSE)+VLOOKUP($A99,A:AL,22,FALSE)-50),"-",VLOOKUP($A99,'SegEnds_NonXtal_BW#'!$A:$Z,15,FALSE)+VLOOKUP($A99,A:AL,22,FALSE)-50)</f>
        <v>198</v>
      </c>
      <c r="V99" s="3">
        <v>210</v>
      </c>
      <c r="W99" s="3">
        <f>IF(ISERROR(VLOOKUP($A99,'SegEnds_NonXtal_BW#'!$A:$Z,16,FALSE)+VLOOKUP($A99,A:AL,22,FALSE)-50),"-",(VLOOKUP($A99,'SegEnds_NonXtal_BW#'!$A:$Z,16,FALSE)+VLOOKUP($A99,A:AL,22,FALSE)-50))</f>
        <v>224</v>
      </c>
      <c r="X99" s="3">
        <f>IF(ISERROR(VLOOKUP($A99,'SegEnds_NonXtal_BW#'!$A:$Z,17,FALSE)+VLOOKUP($A99,A:AL,25,FALSE)-50),"-",(VLOOKUP($A99,'SegEnds_NonXtal_BW#'!$A:$Z,17,FALSE)+VLOOKUP($A99,A:AL,25,FALSE)-50))</f>
        <v>239</v>
      </c>
      <c r="Y99" s="3">
        <v>239</v>
      </c>
      <c r="Z99" s="3">
        <f t="shared" si="64"/>
        <v>241</v>
      </c>
      <c r="AA99" s="3">
        <f>IF(ISERROR(VLOOKUP($A99,'SegEnds_NonXtal_BW#'!$A:$Z,19,FALSE)+VLOOKUP($A99,A:AL,28,FALSE)-50),"-",(VLOOKUP($A99,'SegEnds_NonXtal_BW#'!$A:$Z,19,FALSE)+VLOOKUP($A99,A:AL,28,FALSE)-50))</f>
        <v>245</v>
      </c>
      <c r="AB99" s="3">
        <v>267</v>
      </c>
      <c r="AC99" s="3">
        <f>IF(ISERROR((VLOOKUP($A99,'SegEnds_NonXtal_BW#'!$A:$Z,20,FALSE)+VLOOKUP($A99,A:AL,28,FALSE)-50)),"-",(VLOOKUP($A99,'SegEnds_NonXtal_BW#'!$A:$Z,20,FALSE)+VLOOKUP($A99,A:AL,28,FALSE)-50))</f>
        <v>289</v>
      </c>
      <c r="AD99" s="3">
        <f>IF(ISERROR(VLOOKUP($A99,'SegEnds_NonXtal_BW#'!$A:$Z,21,FALSE)+VLOOKUP($A99,A:AL,31,FALSE)-50),"-",(VLOOKUP($A99,'SegEnds_NonXtal_BW#'!$A:$Z,21,FALSE)+VLOOKUP($A99,A:AL,31,FALSE)-50))</f>
        <v>295</v>
      </c>
      <c r="AE99" s="3">
        <v>321</v>
      </c>
      <c r="AF99" s="3">
        <f>IF(ISERROR((VLOOKUP($A99,'SegEnds_NonXtal_BW#'!$A:$Z,22,FALSE)+VLOOKUP($A99,A:AL,31,FALSE)-50)),"-",(VLOOKUP($A99,'SegEnds_NonXtal_BW#'!$A:$Z,22,FALSE)+VLOOKUP($A99,A:AL,31,FALSE)-50))</f>
        <v>333</v>
      </c>
      <c r="AG99" s="3">
        <f>IF(ISERROR(VLOOKUP($A99,'SegEnds_NonXtal_BW#'!$A:$Z,23,FALSE)+VLOOKUP($A99,A:AL,34,FALSE)-50),"-",(VLOOKUP($A99,'SegEnds_NonXtal_BW#'!$A:$Z,23,FALSE)+VLOOKUP($A99,A:AL,34,FALSE)-50))</f>
        <v>340</v>
      </c>
      <c r="AH99" s="3">
        <v>366</v>
      </c>
      <c r="AI99" s="3">
        <f>IF(ISERROR((VLOOKUP($A99,'SegEnds_NonXtal_BW#'!$A:$Z,24,FALSE)+VLOOKUP($A99,A:AL,34,FALSE)-50)),"-",(VLOOKUP($A99,'SegEnds_NonXtal_BW#'!$A:$Z,24,FALSE)+VLOOKUP($A99,A:AL,34,FALSE)-50))</f>
        <v>372</v>
      </c>
      <c r="AJ99" s="3">
        <f>IF(ISERROR(VLOOKUP($A99,'SegEnds_NonXtal_BW#'!$A:$Z,25,FALSE)+VLOOKUP($A99,A:AL,37,FALSE)-50),"-",(VLOOKUP($A99,'SegEnds_NonXtal_BW#'!$A:$Z,25,FALSE)+VLOOKUP($A99,A:AL,37,FALSE)-50))</f>
        <v>373</v>
      </c>
      <c r="AK99" s="3">
        <v>376</v>
      </c>
      <c r="AL99" s="3">
        <f>IF(ISERROR((VLOOKUP($A99,'SegEnds_NonXtal_BW#'!$A:$Z,26,FALSE)+VLOOKUP($A99,A:AL,37,FALSE)-50)),"-",(VLOOKUP($A99,'SegEnds_NonXtal_BW#'!$A:$Z,26,FALSE)+VLOOKUP($A99,A:AL,37,FALSE)-50))</f>
        <v>386</v>
      </c>
      <c r="AM99" s="28" t="str">
        <f>VLOOKUP(A99,Classification!A:B,2,FALSE)</f>
        <v>A</v>
      </c>
      <c r="AN99" s="28" t="b">
        <f t="shared" si="55"/>
        <v>1</v>
      </c>
      <c r="AO99" s="3" t="str">
        <f>IF(ISERROR(MATCH(A99,'SegEnds_Xtal_Prot#'!B:B, 0)), "NoXtal", "Xtal")</f>
        <v>NoXtal</v>
      </c>
      <c r="AP99" s="3">
        <f t="shared" si="39"/>
        <v>1</v>
      </c>
      <c r="AQ99" s="3">
        <f t="shared" si="40"/>
        <v>1</v>
      </c>
      <c r="AR99" s="3">
        <f t="shared" si="41"/>
        <v>2</v>
      </c>
      <c r="AS99" s="3">
        <f t="shared" si="42"/>
        <v>1</v>
      </c>
      <c r="AT99" s="3">
        <f t="shared" si="43"/>
        <v>1</v>
      </c>
      <c r="AU99" s="3">
        <f t="shared" si="44"/>
        <v>1</v>
      </c>
      <c r="AV99" s="3">
        <f t="shared" si="45"/>
        <v>15</v>
      </c>
      <c r="AW99" s="3">
        <f t="shared" si="46"/>
        <v>4</v>
      </c>
      <c r="AX99" s="3">
        <f t="shared" si="47"/>
        <v>6</v>
      </c>
      <c r="AY99" s="3">
        <f t="shared" si="48"/>
        <v>7</v>
      </c>
      <c r="AZ99" s="3">
        <f t="shared" si="49"/>
        <v>1</v>
      </c>
      <c r="BA99" s="3">
        <f>IF(ISERROR(LEN(VLOOKUP(A99,Seqs!A:E,2,FALSE))-AL99),"-",LEN(VLOOKUP(A99,Seqs!A:E,2,FALSE))-AL99)</f>
        <v>41</v>
      </c>
      <c r="BB99" s="16">
        <f t="shared" si="50"/>
        <v>28</v>
      </c>
      <c r="BC99" s="9">
        <f t="shared" si="51"/>
        <v>20</v>
      </c>
      <c r="BD99" s="3">
        <f t="shared" si="52"/>
        <v>28</v>
      </c>
      <c r="BE99" s="3">
        <f t="shared" si="53"/>
        <v>54</v>
      </c>
    </row>
    <row r="100" spans="1:58" s="3" customFormat="1" x14ac:dyDescent="0.2">
      <c r="A100" s="3" t="s">
        <v>196</v>
      </c>
      <c r="B100" s="3" t="str">
        <f>LOWER(VLOOKUP(A100,Xtal_Templ!A:B,2,FALSE))</f>
        <v>ednrb_human</v>
      </c>
      <c r="C100" s="3">
        <f>VLOOKUP($A100,'SegEnds_NonXtal_BW#'!$A:$Z,3,FALSE)+D100-50</f>
        <v>91</v>
      </c>
      <c r="D100" s="3">
        <v>119</v>
      </c>
      <c r="E100" s="3">
        <f>IF(ISERROR(VLOOKUP($A100,'SegEnds_NonXtal_BW#'!$A:$Z,4,FALSE)+VLOOKUP($A100,A:AL,4,FALSE)-50),"-",(VLOOKUP($A100,'SegEnds_NonXtal_BW#'!$A:$Z,4,FALSE)+VLOOKUP($A100,A:AL,4,FALSE)-50))</f>
        <v>129</v>
      </c>
      <c r="F100" s="3">
        <f t="shared" si="61"/>
        <v>130</v>
      </c>
      <c r="G100" s="3">
        <v>132</v>
      </c>
      <c r="H100" s="3">
        <v>134</v>
      </c>
      <c r="I100" s="3">
        <f t="shared" si="63"/>
        <v>135</v>
      </c>
      <c r="J100" s="3">
        <v>147</v>
      </c>
      <c r="K100" s="3">
        <f>VLOOKUP($A100,'SegEnds_NonXtal_BW#'!$A:$Z,8,FALSE)+VLOOKUP($A100,A:AL,10,FALSE)-50</f>
        <v>164</v>
      </c>
      <c r="L100" s="3">
        <f t="shared" si="65"/>
        <v>166</v>
      </c>
      <c r="M100" s="3">
        <v>167</v>
      </c>
      <c r="N100" s="3">
        <f t="shared" si="66"/>
        <v>169</v>
      </c>
      <c r="O100" s="3">
        <f t="shared" si="67"/>
        <v>170</v>
      </c>
      <c r="P100" s="3">
        <v>199</v>
      </c>
      <c r="Q100" s="3">
        <f>VLOOKUP($A100,'SegEnds_NonXtal_BW#'!$A:$Z,12,FALSE)+VLOOKUP($A100,A:AL,16,FALSE)-50</f>
        <v>205</v>
      </c>
      <c r="R100" s="3">
        <f>IF(ISERROR(VLOOKUP($A100,'SegEnds_NonXtal_BW#'!$A:$Z,13,FALSE)+VLOOKUP($A100,A:AL,19,FALSE)-50),"-",VLOOKUP($A100,'SegEnds_NonXtal_BW#'!$A:$Z,13,FALSE)+VLOOKUP($A100,A:AL,19,FALSE)-50)</f>
        <v>206</v>
      </c>
      <c r="S100" s="3">
        <v>206</v>
      </c>
      <c r="T100" s="100">
        <f>IF(ISERROR(VLOOKUP($A100,'SegEnds_NonXtal_BW#'!$A:$Z,14,FALSE)+VLOOKUP($A100,A:AL,19,FALSE)-50),"-",(VLOOKUP($A100,'SegEnds_NonXtal_BW#'!$A:$Z,14,FALSE)+VLOOKUP($A100,A:AL,19,FALSE)-50))</f>
        <v>213</v>
      </c>
      <c r="U100" s="9">
        <f>IF(ISERROR(VLOOKUP($A100,'SegEnds_NonXtal_BW#'!$A:$Z,15,FALSE)+VLOOKUP($A100,A:AL,22,FALSE)-50),"-",VLOOKUP($A100,'SegEnds_NonXtal_BW#'!$A:$Z,15,FALSE)+VLOOKUP($A100,A:AL,22,FALSE)-50)</f>
        <v>214</v>
      </c>
      <c r="V100" s="3">
        <v>226</v>
      </c>
      <c r="W100" s="3">
        <f>IF(ISERROR(VLOOKUP($A100,'SegEnds_NonXtal_BW#'!$A:$Z,16,FALSE)+VLOOKUP($A100,A:AL,22,FALSE)-50),"-",(VLOOKUP($A100,'SegEnds_NonXtal_BW#'!$A:$Z,16,FALSE)+VLOOKUP($A100,A:AL,22,FALSE)-50))</f>
        <v>240</v>
      </c>
      <c r="X100" s="3">
        <f>IF(ISERROR(VLOOKUP($A100,'SegEnds_NonXtal_BW#'!$A:$Z,17,FALSE)+VLOOKUP($A100,A:AL,25,FALSE)-50),"-",(VLOOKUP($A100,'SegEnds_NonXtal_BW#'!$A:$Z,17,FALSE)+VLOOKUP($A100,A:AL,25,FALSE)-50))</f>
        <v>255</v>
      </c>
      <c r="Y100" s="3">
        <v>255</v>
      </c>
      <c r="Z100" s="3">
        <f t="shared" si="64"/>
        <v>257</v>
      </c>
      <c r="AA100" s="3">
        <f>IF(ISERROR(VLOOKUP($A100,'SegEnds_NonXtal_BW#'!$A:$Z,19,FALSE)+VLOOKUP($A100,A:AL,28,FALSE)-50),"-",(VLOOKUP($A100,'SegEnds_NonXtal_BW#'!$A:$Z,19,FALSE)+VLOOKUP($A100,A:AL,28,FALSE)-50))</f>
        <v>263</v>
      </c>
      <c r="AB100" s="3">
        <v>285</v>
      </c>
      <c r="AC100" s="3">
        <f>IF(ISERROR((VLOOKUP($A100,'SegEnds_NonXtal_BW#'!$A:$Z,20,FALSE)+VLOOKUP($A100,A:AL,28,FALSE)-50)),"-",(VLOOKUP($A100,'SegEnds_NonXtal_BW#'!$A:$Z,20,FALSE)+VLOOKUP($A100,A:AL,28,FALSE)-50))</f>
        <v>307</v>
      </c>
      <c r="AD100" s="3">
        <f>IF(ISERROR(VLOOKUP($A100,'SegEnds_NonXtal_BW#'!$A:$Z,21,FALSE)+VLOOKUP($A100,A:AL,31,FALSE)-50),"-",(VLOOKUP($A100,'SegEnds_NonXtal_BW#'!$A:$Z,21,FALSE)+VLOOKUP($A100,A:AL,31,FALSE)-50))</f>
        <v>312</v>
      </c>
      <c r="AE100" s="3">
        <v>338</v>
      </c>
      <c r="AF100" s="3">
        <f>IF(ISERROR((VLOOKUP($A100,'SegEnds_NonXtal_BW#'!$A:$Z,22,FALSE)+VLOOKUP($A100,A:AL,31,FALSE)-50)),"-",(VLOOKUP($A100,'SegEnds_NonXtal_BW#'!$A:$Z,22,FALSE)+VLOOKUP($A100,A:AL,31,FALSE)-50))</f>
        <v>350</v>
      </c>
      <c r="AG100" s="3">
        <f>IF(ISERROR(VLOOKUP($A100,'SegEnds_NonXtal_BW#'!$A:$Z,23,FALSE)+VLOOKUP($A100,A:AL,34,FALSE)-50),"-",(VLOOKUP($A100,'SegEnds_NonXtal_BW#'!$A:$Z,23,FALSE)+VLOOKUP($A100,A:AL,34,FALSE)-50))</f>
        <v>357</v>
      </c>
      <c r="AH100" s="3">
        <v>383</v>
      </c>
      <c r="AI100" s="3">
        <f>IF(ISERROR((VLOOKUP($A100,'SegEnds_NonXtal_BW#'!$A:$Z,24,FALSE)+VLOOKUP($A100,A:AL,34,FALSE)-50)),"-",(VLOOKUP($A100,'SegEnds_NonXtal_BW#'!$A:$Z,24,FALSE)+VLOOKUP($A100,A:AL,34,FALSE)-50))</f>
        <v>389</v>
      </c>
      <c r="AJ100" s="3">
        <f>IF(ISERROR(VLOOKUP($A100,'SegEnds_NonXtal_BW#'!$A:$Z,25,FALSE)+VLOOKUP($A100,A:AL,37,FALSE)-50),"-",(VLOOKUP($A100,'SegEnds_NonXtal_BW#'!$A:$Z,25,FALSE)+VLOOKUP($A100,A:AL,37,FALSE)-50))</f>
        <v>390</v>
      </c>
      <c r="AK100" s="3">
        <v>393</v>
      </c>
      <c r="AL100" s="3">
        <f>IF(ISERROR((VLOOKUP($A100,'SegEnds_NonXtal_BW#'!$A:$Z,26,FALSE)+VLOOKUP($A100,A:AL,37,FALSE)-50)),"-",(VLOOKUP($A100,'SegEnds_NonXtal_BW#'!$A:$Z,26,FALSE)+VLOOKUP($A100,A:AL,37,FALSE)-50))</f>
        <v>403</v>
      </c>
      <c r="AM100" s="28" t="str">
        <f>VLOOKUP(A100,Classification!A:B,2,FALSE)</f>
        <v>A</v>
      </c>
      <c r="AN100" s="28" t="b">
        <f t="shared" si="55"/>
        <v>1</v>
      </c>
      <c r="AO100" s="3" t="str">
        <f>IF(ISERROR(MATCH(A100,'SegEnds_Xtal_Prot#'!B:B, 0)), "NoXtal", "Xtal")</f>
        <v>Xtal</v>
      </c>
      <c r="AP100" s="3">
        <f t="shared" si="39"/>
        <v>1</v>
      </c>
      <c r="AQ100" s="3">
        <f t="shared" si="40"/>
        <v>1</v>
      </c>
      <c r="AR100" s="3">
        <f t="shared" si="41"/>
        <v>2</v>
      </c>
      <c r="AS100" s="3">
        <f t="shared" si="42"/>
        <v>1</v>
      </c>
      <c r="AT100" s="3">
        <f t="shared" si="43"/>
        <v>1</v>
      </c>
      <c r="AU100" s="3">
        <f t="shared" si="44"/>
        <v>1</v>
      </c>
      <c r="AV100" s="3">
        <f t="shared" si="45"/>
        <v>15</v>
      </c>
      <c r="AW100" s="3">
        <f t="shared" si="46"/>
        <v>6</v>
      </c>
      <c r="AX100" s="3">
        <f t="shared" si="47"/>
        <v>5</v>
      </c>
      <c r="AY100" s="3">
        <f t="shared" si="48"/>
        <v>7</v>
      </c>
      <c r="AZ100" s="3">
        <f t="shared" si="49"/>
        <v>1</v>
      </c>
      <c r="BA100" s="3">
        <f>IF(ISERROR(LEN(VLOOKUP(A100,Seqs!A:E,2,FALSE))-AL100),"-",LEN(VLOOKUP(A100,Seqs!A:E,2,FALSE))-AL100)</f>
        <v>39</v>
      </c>
      <c r="BB100" s="16">
        <f t="shared" si="50"/>
        <v>28</v>
      </c>
      <c r="BC100" s="9">
        <f t="shared" si="51"/>
        <v>20</v>
      </c>
      <c r="BD100" s="3">
        <f t="shared" si="52"/>
        <v>28</v>
      </c>
      <c r="BE100" s="3">
        <f t="shared" si="53"/>
        <v>53</v>
      </c>
    </row>
    <row r="101" spans="1:58" s="3" customFormat="1" x14ac:dyDescent="0.2">
      <c r="A101" s="3" t="s">
        <v>1676</v>
      </c>
      <c r="B101" s="3" t="str">
        <f>LOWER(VLOOKUP(A101,Xtal_Templ!A:B,2,FALSE))</f>
        <v>ednrb_human</v>
      </c>
      <c r="C101" s="3">
        <f>VLOOKUP($A101,'SegEnds_NonXtal_BW#'!$A:$Z,3,FALSE)+D101-50</f>
        <v>120</v>
      </c>
      <c r="D101" s="3">
        <v>148</v>
      </c>
      <c r="E101" s="3">
        <f>IF(ISERROR(VLOOKUP($A101,'SegEnds_NonXtal_BW#'!$A:$Z,4,FALSE)+VLOOKUP($A101,A:AL,4,FALSE)-50),"-",(VLOOKUP($A101,'SegEnds_NonXtal_BW#'!$A:$Z,4,FALSE)+VLOOKUP($A101,A:AL,4,FALSE)-50))</f>
        <v>158</v>
      </c>
      <c r="F101" s="3">
        <f t="shared" si="61"/>
        <v>159</v>
      </c>
      <c r="G101" s="3">
        <v>161</v>
      </c>
      <c r="H101" s="3">
        <f>G101+1</f>
        <v>162</v>
      </c>
      <c r="I101" s="3">
        <f t="shared" si="63"/>
        <v>163</v>
      </c>
      <c r="J101" s="3">
        <v>176</v>
      </c>
      <c r="K101" s="3">
        <f>VLOOKUP($A101,'SegEnds_NonXtal_BW#'!$A:$Z,8,FALSE)+VLOOKUP($A101,A:AL,10,FALSE)-50</f>
        <v>193</v>
      </c>
      <c r="L101" s="3" t="str">
        <f>IF(ISERROR(VLOOKUP($A101,'SegEnds_NonXtal_BW#'!$A:$Z,9,FALSE)+VLOOKUP($A101,A:AL,13,FALSE)-50),"-",(VLOOKUP($A101,'SegEnds_NonXtal_BW#'!$A:$Z,9,FALSE)+VLOOKUP($A101,A:AL,13,FALSE)-50))</f>
        <v>-</v>
      </c>
      <c r="M101" s="3" t="s">
        <v>23</v>
      </c>
      <c r="N101" s="3" t="str">
        <f>IF(ISERROR(VLOOKUP($A101,'SegEnds_NonXtal_BW#'!$A:$Z,10,FALSE)+VLOOKUP($A101,A:AL,13,FALSE)-50),"-",(VLOOKUP($A101,'SegEnds_NonXtal_BW#'!$A:$Z,10,FALSE)+VLOOKUP($A101,A:AL,13,FALSE)-50))</f>
        <v>-</v>
      </c>
      <c r="O101" s="3">
        <f>VLOOKUP($A101,'SegEnds_NonXtal_BW#'!$A:$Z,11,FALSE)+VLOOKUP($A101,A:AL,16,FALSE)-50</f>
        <v>199</v>
      </c>
      <c r="P101" s="3">
        <v>228</v>
      </c>
      <c r="Q101" s="3">
        <f>VLOOKUP($A101,'SegEnds_NonXtal_BW#'!$A:$Z,12,FALSE)+VLOOKUP($A101,A:AL,16,FALSE)-50</f>
        <v>234</v>
      </c>
      <c r="R101" s="3">
        <f>IF(ISERROR(VLOOKUP($A101,'SegEnds_NonXtal_BW#'!$A:$Z,13,FALSE)+VLOOKUP($A101,A:AL,19,FALSE)-50),"-",VLOOKUP($A101,'SegEnds_NonXtal_BW#'!$A:$Z,13,FALSE)+VLOOKUP($A101,A:AL,19,FALSE)-50)</f>
        <v>236</v>
      </c>
      <c r="S101" s="3">
        <v>236</v>
      </c>
      <c r="T101" s="100">
        <f>IF(ISERROR(VLOOKUP($A101,'SegEnds_NonXtal_BW#'!$A:$Z,14,FALSE)+VLOOKUP($A101,A:AL,19,FALSE)-50),"-",(VLOOKUP($A101,'SegEnds_NonXtal_BW#'!$A:$Z,14,FALSE)+VLOOKUP($A101,A:AL,19,FALSE)-50))</f>
        <v>243</v>
      </c>
      <c r="U101" s="9">
        <f>IF(ISERROR(VLOOKUP($A101,'SegEnds_NonXtal_BW#'!$A:$Z,15,FALSE)+VLOOKUP($A101,A:AL,22,FALSE)-50),"-",VLOOKUP($A101,'SegEnds_NonXtal_BW#'!$A:$Z,15,FALSE)+VLOOKUP($A101,A:AL,22,FALSE)-50)</f>
        <v>244</v>
      </c>
      <c r="V101" s="3">
        <v>256</v>
      </c>
      <c r="W101" s="3">
        <f>IF(ISERROR(VLOOKUP($A101,'SegEnds_NonXtal_BW#'!$A:$Z,16,FALSE)+VLOOKUP($A101,A:AL,22,FALSE)-50),"-",(VLOOKUP($A101,'SegEnds_NonXtal_BW#'!$A:$Z,16,FALSE)+VLOOKUP($A101,A:AL,22,FALSE)-50))</f>
        <v>270</v>
      </c>
      <c r="X101" s="3">
        <f>IF(ISERROR(VLOOKUP($A101,'SegEnds_NonXtal_BW#'!$A:$Z,17,FALSE)+VLOOKUP($A101,A:AL,25,FALSE)-50),"-",(VLOOKUP($A101,'SegEnds_NonXtal_BW#'!$A:$Z,17,FALSE)+VLOOKUP($A101,A:AL,25,FALSE)-50))</f>
        <v>286</v>
      </c>
      <c r="Y101" s="3">
        <v>286</v>
      </c>
      <c r="Z101" s="3">
        <f t="shared" si="64"/>
        <v>288</v>
      </c>
      <c r="AA101" s="3">
        <f>IF(ISERROR(VLOOKUP($A101,'SegEnds_NonXtal_BW#'!$A:$Z,19,FALSE)+VLOOKUP($A101,A:AL,28,FALSE)-50),"-",(VLOOKUP($A101,'SegEnds_NonXtal_BW#'!$A:$Z,19,FALSE)+VLOOKUP($A101,A:AL,28,FALSE)-50))</f>
        <v>299</v>
      </c>
      <c r="AB101" s="3">
        <v>321</v>
      </c>
      <c r="AC101" s="3">
        <f>IF(ISERROR((VLOOKUP($A101,'SegEnds_NonXtal_BW#'!$A:$Z,20,FALSE)+VLOOKUP($A101,A:AL,28,FALSE)-50)),"-",(VLOOKUP($A101,'SegEnds_NonXtal_BW#'!$A:$Z,20,FALSE)+VLOOKUP($A101,A:AL,28,FALSE)-50))</f>
        <v>343</v>
      </c>
      <c r="AD101" s="3">
        <f>IF(ISERROR(VLOOKUP($A101,'SegEnds_NonXtal_BW#'!$A:$Z,21,FALSE)+VLOOKUP($A101,A:AL,31,FALSE)-50),"-",(VLOOKUP($A101,'SegEnds_NonXtal_BW#'!$A:$Z,21,FALSE)+VLOOKUP($A101,A:AL,31,FALSE)-50))</f>
        <v>348</v>
      </c>
      <c r="AE101" s="3">
        <v>374</v>
      </c>
      <c r="AF101" s="3">
        <f>IF(ISERROR((VLOOKUP($A101,'SegEnds_NonXtal_BW#'!$A:$Z,22,FALSE)+VLOOKUP($A101,A:AL,31,FALSE)-50)),"-",(VLOOKUP($A101,'SegEnds_NonXtal_BW#'!$A:$Z,22,FALSE)+VLOOKUP($A101,A:AL,31,FALSE)-50))</f>
        <v>385</v>
      </c>
      <c r="AG101" s="3">
        <f>IF(ISERROR(VLOOKUP($A101,'SegEnds_NonXtal_BW#'!$A:$Z,23,FALSE)+VLOOKUP($A101,A:AL,34,FALSE)-50),"-",(VLOOKUP($A101,'SegEnds_NonXtal_BW#'!$A:$Z,23,FALSE)+VLOOKUP($A101,A:AL,34,FALSE)-50))</f>
        <v>387</v>
      </c>
      <c r="AH101" s="3">
        <v>413</v>
      </c>
      <c r="AI101" s="3">
        <f>IF(ISERROR((VLOOKUP($A101,'SegEnds_NonXtal_BW#'!$A:$Z,24,FALSE)+VLOOKUP($A101,A:AL,34,FALSE)-50)),"-",(VLOOKUP($A101,'SegEnds_NonXtal_BW#'!$A:$Z,24,FALSE)+VLOOKUP($A101,A:AL,34,FALSE)-50))</f>
        <v>419</v>
      </c>
      <c r="AJ101" s="3">
        <f>IF(ISERROR(VLOOKUP($A101,'SegEnds_NonXtal_BW#'!$A:$Z,25,FALSE)+VLOOKUP($A101,A:AL,37,FALSE)-50),"-",(VLOOKUP($A101,'SegEnds_NonXtal_BW#'!$A:$Z,25,FALSE)+VLOOKUP($A101,A:AL,37,FALSE)-50))</f>
        <v>420</v>
      </c>
      <c r="AK101" s="3">
        <v>423</v>
      </c>
      <c r="AL101" s="3">
        <f>IF(ISERROR((VLOOKUP($A101,'SegEnds_NonXtal_BW#'!$A:$Z,26,FALSE)+VLOOKUP($A101,A:AL,37,FALSE)-50)),"-",(VLOOKUP($A101,'SegEnds_NonXtal_BW#'!$A:$Z,26,FALSE)+VLOOKUP($A101,A:AL,37,FALSE)-50))</f>
        <v>433</v>
      </c>
      <c r="AM101" s="28" t="str">
        <f>VLOOKUP(A101,Classification!A:B,2,FALSE)</f>
        <v>A</v>
      </c>
      <c r="AN101" s="28" t="b">
        <f t="shared" si="55"/>
        <v>1</v>
      </c>
      <c r="AO101" s="3" t="str">
        <f>IF(ISERROR(MATCH(A101,'SegEnds_Xtal_Prot#'!B:B, 0)), "NoXtal", "Xtal")</f>
        <v>NoXtal</v>
      </c>
      <c r="AP101" s="3">
        <f t="shared" si="39"/>
        <v>1</v>
      </c>
      <c r="AQ101" s="3">
        <f t="shared" si="40"/>
        <v>1</v>
      </c>
      <c r="AR101" s="3" t="str">
        <f t="shared" si="41"/>
        <v>-</v>
      </c>
      <c r="AS101" s="3" t="str">
        <f t="shared" si="42"/>
        <v>-</v>
      </c>
      <c r="AT101" s="3">
        <f t="shared" si="43"/>
        <v>2</v>
      </c>
      <c r="AU101" s="3">
        <f t="shared" si="44"/>
        <v>1</v>
      </c>
      <c r="AV101" s="3">
        <f t="shared" si="45"/>
        <v>16</v>
      </c>
      <c r="AW101" s="3">
        <f t="shared" si="46"/>
        <v>11</v>
      </c>
      <c r="AX101" s="3">
        <f t="shared" si="47"/>
        <v>5</v>
      </c>
      <c r="AY101" s="3">
        <f t="shared" si="48"/>
        <v>2</v>
      </c>
      <c r="AZ101" s="3">
        <f t="shared" si="49"/>
        <v>1</v>
      </c>
      <c r="BA101" s="3">
        <f>IF(ISERROR(LEN(VLOOKUP(A101,Seqs!A:E,2,FALSE))-AL101),"-",LEN(VLOOKUP(A101,Seqs!A:E,2,FALSE))-AL101)</f>
        <v>48</v>
      </c>
      <c r="BB101" s="16">
        <f t="shared" si="50"/>
        <v>28</v>
      </c>
      <c r="BC101" s="9">
        <f t="shared" si="51"/>
        <v>20</v>
      </c>
      <c r="BD101" s="3">
        <f t="shared" si="52"/>
        <v>28</v>
      </c>
      <c r="BE101" s="3">
        <f t="shared" si="53"/>
        <v>53</v>
      </c>
    </row>
    <row r="102" spans="1:58" s="3" customFormat="1" x14ac:dyDescent="0.2">
      <c r="A102" s="3" t="s">
        <v>1166</v>
      </c>
      <c r="B102" s="3" t="str">
        <f>LOWER(VLOOKUP(A102,Xtal_Templ!A:B,2,FALSE))</f>
        <v>ffar1_human</v>
      </c>
      <c r="C102" s="3">
        <f>VLOOKUP($A102,'SegEnds_NonXtal_BW#'!$A:$Z,3,FALSE)+D102-50</f>
        <v>4</v>
      </c>
      <c r="D102" s="3">
        <v>23</v>
      </c>
      <c r="E102" s="3">
        <f>IF(ISERROR(VLOOKUP($A102,'SegEnds_NonXtal_BW#'!$A:$Z,4,FALSE)+VLOOKUP($A102,A:AL,4,FALSE)-50),"-",(VLOOKUP($A102,'SegEnds_NonXtal_BW#'!$A:$Z,4,FALSE)+VLOOKUP($A102,A:AL,4,FALSE)-50))</f>
        <v>37</v>
      </c>
      <c r="F102" s="3" t="str">
        <f>IF(ISERROR(VLOOKUP($A102,'SegEnds_NonXtal_BW#'!$A:$Z,5,FALSE)+VLOOKUP($A102,A:AL,7,FALSE)-50),"-",(VLOOKUP($A102,'SegEnds_NonXtal_BW#'!$A:$Z,5,FALSE)+VLOOKUP($A102,A:AL,7,FALSE)-50))</f>
        <v>-</v>
      </c>
      <c r="G102" s="3" t="s">
        <v>23</v>
      </c>
      <c r="H102" s="3" t="str">
        <f>IF(ISERROR(VLOOKUP($A102,'SegEnds_NonXtal_BW#'!$A:$Z,6,FALSE)+VLOOKUP($A102,A:AL,7,FALSE)-50),"-",(VLOOKUP($A102,'SegEnds_NonXtal_BW#'!$A:$Z,6,FALSE)+VLOOKUP($A102,A:AL,7,FALSE)-50))</f>
        <v>-</v>
      </c>
      <c r="I102" s="3">
        <f>VLOOKUP($A102,'SegEnds_NonXtal_BW#'!$A:$Z,7,FALSE)+J102-50</f>
        <v>39</v>
      </c>
      <c r="J102" s="3">
        <v>52</v>
      </c>
      <c r="K102" s="3">
        <f>VLOOKUP($A102,'SegEnds_NonXtal_BW#'!$A:$Z,8,FALSE)+VLOOKUP($A102,A:AL,10,FALSE)-50</f>
        <v>69</v>
      </c>
      <c r="L102" s="3">
        <f t="shared" ref="L102:L115" si="68">M102-1</f>
        <v>71</v>
      </c>
      <c r="M102" s="3">
        <v>72</v>
      </c>
      <c r="N102" s="3">
        <f t="shared" ref="N102:N115" si="69">M102+2</f>
        <v>74</v>
      </c>
      <c r="O102" s="3">
        <f t="shared" ref="O102:O115" si="70">N102+1</f>
        <v>75</v>
      </c>
      <c r="P102" s="3">
        <v>104</v>
      </c>
      <c r="Q102" s="3">
        <f>VLOOKUP($A102,'SegEnds_NonXtal_BW#'!$A:$Z,12,FALSE)+VLOOKUP($A102,A:AL,16,FALSE)-50</f>
        <v>110</v>
      </c>
      <c r="R102" s="3">
        <f>IF(ISERROR(VLOOKUP($A102,'SegEnds_NonXtal_BW#'!$A:$Z,13,FALSE)+VLOOKUP($A102,A:AL,19,FALSE)-50),"-",VLOOKUP($A102,'SegEnds_NonXtal_BW#'!$A:$Z,13,FALSE)+VLOOKUP($A102,A:AL,19,FALSE)-50)</f>
        <v>111</v>
      </c>
      <c r="S102" s="3">
        <v>111</v>
      </c>
      <c r="T102" s="100">
        <f>IF(ISERROR(VLOOKUP($A102,'SegEnds_NonXtal_BW#'!$A:$Z,14,FALSE)+VLOOKUP($A102,A:AL,19,FALSE)-50),"-",(VLOOKUP($A102,'SegEnds_NonXtal_BW#'!$A:$Z,14,FALSE)+VLOOKUP($A102,A:AL,19,FALSE)-50))</f>
        <v>118</v>
      </c>
      <c r="U102" s="9">
        <f>IF(ISERROR(VLOOKUP($A102,'SegEnds_NonXtal_BW#'!$A:$Z,15,FALSE)+VLOOKUP($A102,A:AL,22,FALSE)-50),"-",VLOOKUP($A102,'SegEnds_NonXtal_BW#'!$A:$Z,15,FALSE)+VLOOKUP($A102,A:AL,22,FALSE)-50)</f>
        <v>119</v>
      </c>
      <c r="V102" s="3">
        <v>131</v>
      </c>
      <c r="W102" s="3">
        <f>IF(ISERROR(VLOOKUP($A102,'SegEnds_NonXtal_BW#'!$A:$Z,16,FALSE)+VLOOKUP($A102,A:AL,22,FALSE)-50),"-",(VLOOKUP($A102,'SegEnds_NonXtal_BW#'!$A:$Z,16,FALSE)+VLOOKUP($A102,A:AL,22,FALSE)-50))</f>
        <v>146</v>
      </c>
      <c r="X102" s="3">
        <f>IF(ISERROR(VLOOKUP($A102,'SegEnds_NonXtal_BW#'!$A:$Z,17,FALSE)+VLOOKUP($A102,A:AL,25,FALSE)-50),"-",(VLOOKUP($A102,'SegEnds_NonXtal_BW#'!$A:$Z,17,FALSE)+VLOOKUP($A102,A:AL,25,FALSE)-50))</f>
        <v>170</v>
      </c>
      <c r="Y102" s="3">
        <v>170</v>
      </c>
      <c r="Z102" s="3">
        <f t="shared" si="64"/>
        <v>172</v>
      </c>
      <c r="AA102" s="3">
        <f>IF(ISERROR(VLOOKUP($A102,'SegEnds_NonXtal_BW#'!$A:$Z,19,FALSE)+VLOOKUP($A102,A:AL,28,FALSE)-50),"-",(VLOOKUP($A102,'SegEnds_NonXtal_BW#'!$A:$Z,19,FALSE)+VLOOKUP($A102,A:AL,28,FALSE)-50))</f>
        <v>175</v>
      </c>
      <c r="AB102" s="3">
        <v>194</v>
      </c>
      <c r="AC102" s="3">
        <f>IF(ISERROR((VLOOKUP($A102,'SegEnds_NonXtal_BW#'!$A:$Z,20,FALSE)+VLOOKUP($A102,A:AL,28,FALSE)-50)),"-",(VLOOKUP($A102,'SegEnds_NonXtal_BW#'!$A:$Z,20,FALSE)+VLOOKUP($A102,A:AL,28,FALSE)-50))</f>
        <v>211</v>
      </c>
      <c r="AD102" s="3">
        <f>IF(ISERROR(VLOOKUP($A102,'SegEnds_NonXtal_BW#'!$A:$Z,21,FALSE)+VLOOKUP($A102,A:AL,31,FALSE)-50),"-",(VLOOKUP($A102,'SegEnds_NonXtal_BW#'!$A:$Z,21,FALSE)+VLOOKUP($A102,A:AL,31,FALSE)-50))</f>
        <v>217</v>
      </c>
      <c r="AE102" s="3">
        <v>239</v>
      </c>
      <c r="AF102" s="3">
        <f>IF(ISERROR((VLOOKUP($A102,'SegEnds_NonXtal_BW#'!$A:$Z,22,FALSE)+VLOOKUP($A102,A:AL,31,FALSE)-50)),"-",(VLOOKUP($A102,'SegEnds_NonXtal_BW#'!$A:$Z,22,FALSE)+VLOOKUP($A102,A:AL,31,FALSE)-50))</f>
        <v>250</v>
      </c>
      <c r="AG102" s="3">
        <f>IF(ISERROR(VLOOKUP($A102,'SegEnds_NonXtal_BW#'!$A:$Z,23,FALSE)+VLOOKUP($A102,A:AL,34,FALSE)-50),"-",(VLOOKUP($A102,'SegEnds_NonXtal_BW#'!$A:$Z,23,FALSE)+VLOOKUP($A102,A:AL,34,FALSE)-50))</f>
        <v>255</v>
      </c>
      <c r="AH102" s="3">
        <v>273</v>
      </c>
      <c r="AI102" s="3">
        <f>IF(ISERROR((VLOOKUP($A102,'SegEnds_NonXtal_BW#'!$A:$Z,24,FALSE)+VLOOKUP($A102,A:AL,34,FALSE)-50)),"-",(VLOOKUP($A102,'SegEnds_NonXtal_BW#'!$A:$Z,24,FALSE)+VLOOKUP($A102,A:AL,34,FALSE)-50))</f>
        <v>279</v>
      </c>
      <c r="AJ102" s="3">
        <f>IF(ISERROR(VLOOKUP($A102,'SegEnds_NonXtal_BW#'!$A:$Z,25,FALSE)+VLOOKUP($A102,A:AL,37,FALSE)-50),"-",(VLOOKUP($A102,'SegEnds_NonXtal_BW#'!$A:$Z,25,FALSE)+VLOOKUP($A102,A:AL,37,FALSE)-50))</f>
        <v>280</v>
      </c>
      <c r="AK102" s="3">
        <v>283</v>
      </c>
      <c r="AL102" s="3">
        <f>IF(ISERROR((VLOOKUP($A102,'SegEnds_NonXtal_BW#'!$A:$Z,26,FALSE)+VLOOKUP($A102,A:AL,37,FALSE)-50)),"-",(VLOOKUP($A102,'SegEnds_NonXtal_BW#'!$A:$Z,26,FALSE)+VLOOKUP($A102,A:AL,37,FALSE)-50))</f>
        <v>294</v>
      </c>
      <c r="AM102" s="28" t="str">
        <f>VLOOKUP(A102,Classification!A:B,2,FALSE)</f>
        <v>A</v>
      </c>
      <c r="AN102" s="28" t="b">
        <f t="shared" si="55"/>
        <v>1</v>
      </c>
      <c r="AO102" s="3" t="str">
        <f>IF(ISERROR(MATCH(A102,'SegEnds_Xtal_Prot#'!B:B, 0)), "NoXtal", "Xtal")</f>
        <v>Xtal</v>
      </c>
      <c r="AP102" s="3" t="str">
        <f t="shared" si="39"/>
        <v>-</v>
      </c>
      <c r="AQ102" s="3" t="str">
        <f t="shared" si="40"/>
        <v>-</v>
      </c>
      <c r="AR102" s="3">
        <f t="shared" si="41"/>
        <v>2</v>
      </c>
      <c r="AS102" s="3">
        <f t="shared" si="42"/>
        <v>1</v>
      </c>
      <c r="AT102" s="3">
        <f t="shared" si="43"/>
        <v>1</v>
      </c>
      <c r="AU102" s="3">
        <f t="shared" si="44"/>
        <v>1</v>
      </c>
      <c r="AV102" s="3">
        <f t="shared" si="45"/>
        <v>24</v>
      </c>
      <c r="AW102" s="3">
        <f t="shared" si="46"/>
        <v>3</v>
      </c>
      <c r="AX102" s="3">
        <f t="shared" si="47"/>
        <v>6</v>
      </c>
      <c r="AY102" s="3">
        <f t="shared" si="48"/>
        <v>5</v>
      </c>
      <c r="AZ102" s="3">
        <f t="shared" si="49"/>
        <v>1</v>
      </c>
      <c r="BA102" s="3">
        <f>IF(ISERROR(LEN(VLOOKUP(A102,Seqs!A:E,2,FALSE))-AL102),"-",LEN(VLOOKUP(A102,Seqs!A:E,2,FALSE))-AL102)</f>
        <v>6</v>
      </c>
      <c r="BB102" s="16">
        <f t="shared" si="50"/>
        <v>29</v>
      </c>
      <c r="BC102" s="9">
        <f t="shared" si="51"/>
        <v>20</v>
      </c>
      <c r="BD102" s="3">
        <f t="shared" si="52"/>
        <v>29</v>
      </c>
      <c r="BE102" s="3">
        <f t="shared" si="53"/>
        <v>45</v>
      </c>
      <c r="BF102" s="3">
        <f>AH102-AE102</f>
        <v>34</v>
      </c>
    </row>
    <row r="103" spans="1:58" s="3" customFormat="1" x14ac:dyDescent="0.2">
      <c r="A103" s="3" t="s">
        <v>197</v>
      </c>
      <c r="B103" s="3" t="str">
        <f>LOWER(VLOOKUP(A103,Xtal_Templ!A:B,2,FALSE))</f>
        <v>par2_human</v>
      </c>
      <c r="C103" s="3">
        <f>VLOOKUP($A103,'SegEnds_NonXtal_BW#'!$A:$Z,3,FALSE)+D103-50</f>
        <v>3</v>
      </c>
      <c r="D103" s="3">
        <v>25</v>
      </c>
      <c r="E103" s="3">
        <f>IF(ISERROR(VLOOKUP($A103,'SegEnds_NonXtal_BW#'!$A:$Z,4,FALSE)+VLOOKUP($A103,A:AL,4,FALSE)-50),"-",(VLOOKUP($A103,'SegEnds_NonXtal_BW#'!$A:$Z,4,FALSE)+VLOOKUP($A103,A:AL,4,FALSE)-50))</f>
        <v>35</v>
      </c>
      <c r="F103" s="3" t="str">
        <f>IF(ISERROR(VLOOKUP($A103,'SegEnds_NonXtal_BW#'!$A:$Z,5,FALSE)+VLOOKUP($A103,A:AL,7,FALSE)-50),"-",(VLOOKUP($A103,'SegEnds_NonXtal_BW#'!$A:$Z,5,FALSE)+VLOOKUP($A103,A:AL,7,FALSE)-50))</f>
        <v>-</v>
      </c>
      <c r="G103" s="3" t="s">
        <v>23</v>
      </c>
      <c r="H103" s="3" t="str">
        <f>IF(ISERROR(VLOOKUP($A103,'SegEnds_NonXtal_BW#'!$A:$Z,6,FALSE)+VLOOKUP($A103,A:AL,7,FALSE)-50),"-",(VLOOKUP($A103,'SegEnds_NonXtal_BW#'!$A:$Z,6,FALSE)+VLOOKUP($A103,A:AL,7,FALSE)-50))</f>
        <v>-</v>
      </c>
      <c r="I103" s="3">
        <f>VLOOKUP($A103,'SegEnds_NonXtal_BW#'!$A:$Z,7,FALSE)+J103-50</f>
        <v>42</v>
      </c>
      <c r="J103" s="3">
        <v>55</v>
      </c>
      <c r="K103" s="3">
        <f>VLOOKUP($A103,'SegEnds_NonXtal_BW#'!$A:$Z,8,FALSE)+VLOOKUP($A103,A:AL,10,FALSE)-50</f>
        <v>71</v>
      </c>
      <c r="L103" s="3">
        <f t="shared" si="68"/>
        <v>74</v>
      </c>
      <c r="M103" s="3">
        <v>75</v>
      </c>
      <c r="N103" s="3">
        <f t="shared" si="69"/>
        <v>77</v>
      </c>
      <c r="O103" s="3">
        <f t="shared" si="70"/>
        <v>78</v>
      </c>
      <c r="P103" s="3">
        <v>107</v>
      </c>
      <c r="Q103" s="3">
        <f>VLOOKUP($A103,'SegEnds_NonXtal_BW#'!$A:$Z,12,FALSE)+VLOOKUP($A103,A:AL,16,FALSE)-50</f>
        <v>113</v>
      </c>
      <c r="R103" s="3">
        <f>IF(ISERROR(VLOOKUP($A103,'SegEnds_NonXtal_BW#'!$A:$Z,13,FALSE)+VLOOKUP($A103,A:AL,19,FALSE)-50),"-",VLOOKUP($A103,'SegEnds_NonXtal_BW#'!$A:$Z,13,FALSE)+VLOOKUP($A103,A:AL,19,FALSE)-50)</f>
        <v>114</v>
      </c>
      <c r="S103" s="3">
        <v>114</v>
      </c>
      <c r="T103" s="100">
        <f>IF(ISERROR(VLOOKUP($A103,'SegEnds_NonXtal_BW#'!$A:$Z,14,FALSE)+VLOOKUP($A103,A:AL,19,FALSE)-50),"-",(VLOOKUP($A103,'SegEnds_NonXtal_BW#'!$A:$Z,14,FALSE)+VLOOKUP($A103,A:AL,19,FALSE)-50))</f>
        <v>121</v>
      </c>
      <c r="U103" s="9">
        <f>IF(ISERROR(VLOOKUP($A103,'SegEnds_NonXtal_BW#'!$A:$Z,15,FALSE)+VLOOKUP($A103,A:AL,22,FALSE)-50),"-",VLOOKUP($A103,'SegEnds_NonXtal_BW#'!$A:$Z,15,FALSE)+VLOOKUP($A103,A:AL,22,FALSE)-50)</f>
        <v>122</v>
      </c>
      <c r="V103" s="3">
        <v>134</v>
      </c>
      <c r="W103" s="3">
        <f>IF(ISERROR(VLOOKUP($A103,'SegEnds_NonXtal_BW#'!$A:$Z,16,FALSE)+VLOOKUP($A103,A:AL,22,FALSE)-50),"-",(VLOOKUP($A103,'SegEnds_NonXtal_BW#'!$A:$Z,16,FALSE)+VLOOKUP($A103,A:AL,22,FALSE)-50))</f>
        <v>146</v>
      </c>
      <c r="X103" s="3">
        <f>IF(ISERROR(VLOOKUP($A103,'SegEnds_NonXtal_BW#'!$A:$Z,17,FALSE)+VLOOKUP($A103,A:AL,25,FALSE)-50),"-",(VLOOKUP($A103,'SegEnds_NonXtal_BW#'!$A:$Z,17,FALSE)+VLOOKUP($A103,A:AL,25,FALSE)-50))</f>
        <v>164</v>
      </c>
      <c r="Y103" s="3">
        <v>164</v>
      </c>
      <c r="Z103" s="3">
        <f t="shared" si="64"/>
        <v>166</v>
      </c>
      <c r="AA103" s="3">
        <f>IF(ISERROR(VLOOKUP($A103,'SegEnds_NonXtal_BW#'!$A:$Z,19,FALSE)+VLOOKUP($A103,A:AL,28,FALSE)-50),"-",(VLOOKUP($A103,'SegEnds_NonXtal_BW#'!$A:$Z,19,FALSE)+VLOOKUP($A103,A:AL,28,FALSE)-50))</f>
        <v>172</v>
      </c>
      <c r="AB103" s="3">
        <v>191</v>
      </c>
      <c r="AC103" s="3">
        <f>IF(ISERROR((VLOOKUP($A103,'SegEnds_NonXtal_BW#'!$A:$Z,20,FALSE)+VLOOKUP($A103,A:AL,28,FALSE)-50)),"-",(VLOOKUP($A103,'SegEnds_NonXtal_BW#'!$A:$Z,20,FALSE)+VLOOKUP($A103,A:AL,28,FALSE)-50))</f>
        <v>208</v>
      </c>
      <c r="AD103" s="3">
        <f>IF(ISERROR(VLOOKUP($A103,'SegEnds_NonXtal_BW#'!$A:$Z,21,FALSE)+VLOOKUP($A103,A:AL,31,FALSE)-50),"-",(VLOOKUP($A103,'SegEnds_NonXtal_BW#'!$A:$Z,21,FALSE)+VLOOKUP($A103,A:AL,31,FALSE)-50))</f>
        <v>213</v>
      </c>
      <c r="AE103" s="3">
        <v>237</v>
      </c>
      <c r="AF103" s="3">
        <f>IF(ISERROR((VLOOKUP($A103,'SegEnds_NonXtal_BW#'!$A:$Z,22,FALSE)+VLOOKUP($A103,A:AL,31,FALSE)-50)),"-",(VLOOKUP($A103,'SegEnds_NonXtal_BW#'!$A:$Z,22,FALSE)+VLOOKUP($A103,A:AL,31,FALSE)-50))</f>
        <v>248</v>
      </c>
      <c r="AG103" s="3">
        <f>IF(ISERROR(VLOOKUP($A103,'SegEnds_NonXtal_BW#'!$A:$Z,23,FALSE)+VLOOKUP($A103,A:AL,34,FALSE)-50),"-",(VLOOKUP($A103,'SegEnds_NonXtal_BW#'!$A:$Z,23,FALSE)+VLOOKUP($A103,A:AL,34,FALSE)-50))</f>
        <v>253</v>
      </c>
      <c r="AH103" s="3">
        <v>270</v>
      </c>
      <c r="AI103" s="3">
        <f>IF(ISERROR((VLOOKUP($A103,'SegEnds_NonXtal_BW#'!$A:$Z,24,FALSE)+VLOOKUP($A103,A:AL,34,FALSE)-50)),"-",(VLOOKUP($A103,'SegEnds_NonXtal_BW#'!$A:$Z,24,FALSE)+VLOOKUP($A103,A:AL,34,FALSE)-50))</f>
        <v>276</v>
      </c>
      <c r="AJ103" s="3">
        <f>IF(ISERROR(VLOOKUP($A103,'SegEnds_NonXtal_BW#'!$A:$Z,25,FALSE)+VLOOKUP($A103,A:AL,37,FALSE)-50),"-",(VLOOKUP($A103,'SegEnds_NonXtal_BW#'!$A:$Z,25,FALSE)+VLOOKUP($A103,A:AL,37,FALSE)-50))</f>
        <v>277</v>
      </c>
      <c r="AK103" s="3">
        <v>280</v>
      </c>
      <c r="AL103" s="3">
        <f>IF(ISERROR((VLOOKUP($A103,'SegEnds_NonXtal_BW#'!$A:$Z,26,FALSE)+VLOOKUP($A103,A:AL,37,FALSE)-50)),"-",(VLOOKUP($A103,'SegEnds_NonXtal_BW#'!$A:$Z,26,FALSE)+VLOOKUP($A103,A:AL,37,FALSE)-50))</f>
        <v>291</v>
      </c>
      <c r="AM103" s="28" t="str">
        <f>VLOOKUP(A103,Classification!A:B,2,FALSE)</f>
        <v>A</v>
      </c>
      <c r="AN103" s="28" t="b">
        <f t="shared" si="55"/>
        <v>1</v>
      </c>
      <c r="AO103" s="3" t="str">
        <f>IF(ISERROR(MATCH(A103,'SegEnds_Xtal_Prot#'!B:B, 0)), "NoXtal", "Xtal")</f>
        <v>NoXtal</v>
      </c>
      <c r="AP103" s="3" t="str">
        <f t="shared" si="39"/>
        <v>-</v>
      </c>
      <c r="AQ103" s="3" t="str">
        <f t="shared" si="40"/>
        <v>-</v>
      </c>
      <c r="AR103" s="3">
        <f t="shared" si="41"/>
        <v>3</v>
      </c>
      <c r="AS103" s="3">
        <f t="shared" si="42"/>
        <v>1</v>
      </c>
      <c r="AT103" s="3">
        <f t="shared" si="43"/>
        <v>1</v>
      </c>
      <c r="AU103" s="3">
        <f t="shared" si="44"/>
        <v>1</v>
      </c>
      <c r="AV103" s="3">
        <f t="shared" si="45"/>
        <v>18</v>
      </c>
      <c r="AW103" s="3">
        <f t="shared" si="46"/>
        <v>6</v>
      </c>
      <c r="AX103" s="3">
        <f t="shared" si="47"/>
        <v>5</v>
      </c>
      <c r="AY103" s="3">
        <f t="shared" si="48"/>
        <v>5</v>
      </c>
      <c r="AZ103" s="3">
        <f t="shared" si="49"/>
        <v>1</v>
      </c>
      <c r="BA103" s="3">
        <f>IF(ISERROR(LEN(VLOOKUP(A103,Seqs!A:E,2,FALSE))-AL103),"-",LEN(VLOOKUP(A103,Seqs!A:E,2,FALSE))-AL103)</f>
        <v>39</v>
      </c>
      <c r="BB103" s="16">
        <f t="shared" si="50"/>
        <v>30</v>
      </c>
      <c r="BC103" s="9">
        <f t="shared" si="51"/>
        <v>20</v>
      </c>
      <c r="BD103" s="3">
        <f t="shared" si="52"/>
        <v>30</v>
      </c>
      <c r="BE103" s="3">
        <f t="shared" si="53"/>
        <v>46</v>
      </c>
    </row>
    <row r="104" spans="1:58" s="3" customFormat="1" x14ac:dyDescent="0.2">
      <c r="A104" s="3" t="s">
        <v>198</v>
      </c>
      <c r="B104" s="3" t="str">
        <f>LOWER(VLOOKUP(A104,Xtal_Templ!A:B,2,FALSE))</f>
        <v>par1_human</v>
      </c>
      <c r="C104" s="3">
        <f>VLOOKUP($A104,'SegEnds_NonXtal_BW#'!$A:$Z,3,FALSE)+D104-50</f>
        <v>11</v>
      </c>
      <c r="D104" s="3">
        <v>32</v>
      </c>
      <c r="E104" s="3">
        <f>IF(ISERROR(VLOOKUP($A104,'SegEnds_NonXtal_BW#'!$A:$Z,4,FALSE)+VLOOKUP($A104,A:AL,4,FALSE)-50),"-",(VLOOKUP($A104,'SegEnds_NonXtal_BW#'!$A:$Z,4,FALSE)+VLOOKUP($A104,A:AL,4,FALSE)-50))</f>
        <v>42</v>
      </c>
      <c r="F104" s="3" t="str">
        <f>IF(ISERROR(VLOOKUP($A104,'SegEnds_NonXtal_BW#'!$A:$Z,5,FALSE)+VLOOKUP($A104,A:AL,7,FALSE)-50),"-",(VLOOKUP($A104,'SegEnds_NonXtal_BW#'!$A:$Z,5,FALSE)+VLOOKUP($A104,A:AL,7,FALSE)-50))</f>
        <v>-</v>
      </c>
      <c r="G104" s="3" t="s">
        <v>23</v>
      </c>
      <c r="H104" s="3" t="str">
        <f>IF(ISERROR(VLOOKUP($A104,'SegEnds_NonXtal_BW#'!$A:$Z,6,FALSE)+VLOOKUP($A104,A:AL,7,FALSE)-50),"-",(VLOOKUP($A104,'SegEnds_NonXtal_BW#'!$A:$Z,6,FALSE)+VLOOKUP($A104,A:AL,7,FALSE)-50))</f>
        <v>-</v>
      </c>
      <c r="I104" s="3">
        <f>VLOOKUP($A104,'SegEnds_NonXtal_BW#'!$A:$Z,7,FALSE)+J104-50</f>
        <v>48</v>
      </c>
      <c r="J104" s="3">
        <v>61</v>
      </c>
      <c r="K104" s="3">
        <f>VLOOKUP($A104,'SegEnds_NonXtal_BW#'!$A:$Z,8,FALSE)+VLOOKUP($A104,A:AL,10,FALSE)-50</f>
        <v>77</v>
      </c>
      <c r="L104" s="3">
        <f t="shared" si="68"/>
        <v>80</v>
      </c>
      <c r="M104" s="3">
        <v>81</v>
      </c>
      <c r="N104" s="3">
        <f t="shared" si="69"/>
        <v>83</v>
      </c>
      <c r="O104" s="3">
        <f t="shared" si="70"/>
        <v>84</v>
      </c>
      <c r="P104" s="3">
        <v>113</v>
      </c>
      <c r="Q104" s="3">
        <f>VLOOKUP($A104,'SegEnds_NonXtal_BW#'!$A:$Z,12,FALSE)+VLOOKUP($A104,A:AL,16,FALSE)-50</f>
        <v>119</v>
      </c>
      <c r="R104" s="3">
        <f>IF(ISERROR(VLOOKUP($A104,'SegEnds_NonXtal_BW#'!$A:$Z,13,FALSE)+VLOOKUP($A104,A:AL,19,FALSE)-50),"-",VLOOKUP($A104,'SegEnds_NonXtal_BW#'!$A:$Z,13,FALSE)+VLOOKUP($A104,A:AL,19,FALSE)-50)</f>
        <v>120</v>
      </c>
      <c r="S104" s="3">
        <v>120</v>
      </c>
      <c r="T104" s="100">
        <f>IF(ISERROR(VLOOKUP($A104,'SegEnds_NonXtal_BW#'!$A:$Z,14,FALSE)+VLOOKUP($A104,A:AL,19,FALSE)-50),"-",(VLOOKUP($A104,'SegEnds_NonXtal_BW#'!$A:$Z,14,FALSE)+VLOOKUP($A104,A:AL,19,FALSE)-50))</f>
        <v>127</v>
      </c>
      <c r="U104" s="9">
        <f>IF(ISERROR(VLOOKUP($A104,'SegEnds_NonXtal_BW#'!$A:$Z,15,FALSE)+VLOOKUP($A104,A:AL,22,FALSE)-50),"-",VLOOKUP($A104,'SegEnds_NonXtal_BW#'!$A:$Z,15,FALSE)+VLOOKUP($A104,A:AL,22,FALSE)-50)</f>
        <v>128</v>
      </c>
      <c r="V104" s="3">
        <v>140</v>
      </c>
      <c r="W104" s="3">
        <f>IF(ISERROR(VLOOKUP($A104,'SegEnds_NonXtal_BW#'!$A:$Z,16,FALSE)+VLOOKUP($A104,A:AL,22,FALSE)-50),"-",(VLOOKUP($A104,'SegEnds_NonXtal_BW#'!$A:$Z,16,FALSE)+VLOOKUP($A104,A:AL,22,FALSE)-50))</f>
        <v>153</v>
      </c>
      <c r="X104" s="3">
        <f>IF(ISERROR(VLOOKUP($A104,'SegEnds_NonXtal_BW#'!$A:$Z,17,FALSE)+VLOOKUP($A104,A:AL,25,FALSE)-50),"-",(VLOOKUP($A104,'SegEnds_NonXtal_BW#'!$A:$Z,17,FALSE)+VLOOKUP($A104,A:AL,25,FALSE)-50))</f>
        <v>169</v>
      </c>
      <c r="Y104" s="3">
        <v>169</v>
      </c>
      <c r="Z104" s="3">
        <f t="shared" si="64"/>
        <v>171</v>
      </c>
      <c r="AA104" s="3">
        <f>IF(ISERROR(VLOOKUP($A104,'SegEnds_NonXtal_BW#'!$A:$Z,19,FALSE)+VLOOKUP($A104,A:AL,28,FALSE)-50),"-",(VLOOKUP($A104,'SegEnds_NonXtal_BW#'!$A:$Z,19,FALSE)+VLOOKUP($A104,A:AL,28,FALSE)-50))</f>
        <v>178</v>
      </c>
      <c r="AB104" s="3">
        <v>196</v>
      </c>
      <c r="AC104" s="3">
        <f>IF(ISERROR((VLOOKUP($A104,'SegEnds_NonXtal_BW#'!$A:$Z,20,FALSE)+VLOOKUP($A104,A:AL,28,FALSE)-50)),"-",(VLOOKUP($A104,'SegEnds_NonXtal_BW#'!$A:$Z,20,FALSE)+VLOOKUP($A104,A:AL,28,FALSE)-50))</f>
        <v>214</v>
      </c>
      <c r="AD104" s="3">
        <f>IF(ISERROR(VLOOKUP($A104,'SegEnds_NonXtal_BW#'!$A:$Z,21,FALSE)+VLOOKUP($A104,A:AL,31,FALSE)-50),"-",(VLOOKUP($A104,'SegEnds_NonXtal_BW#'!$A:$Z,21,FALSE)+VLOOKUP($A104,A:AL,31,FALSE)-50))</f>
        <v>218</v>
      </c>
      <c r="AE104" s="3">
        <v>240</v>
      </c>
      <c r="AF104" s="3">
        <f>IF(ISERROR((VLOOKUP($A104,'SegEnds_NonXtal_BW#'!$A:$Z,22,FALSE)+VLOOKUP($A104,A:AL,31,FALSE)-50)),"-",(VLOOKUP($A104,'SegEnds_NonXtal_BW#'!$A:$Z,22,FALSE)+VLOOKUP($A104,A:AL,31,FALSE)-50))</f>
        <v>251</v>
      </c>
      <c r="AG104" s="3">
        <f>IF(ISERROR(VLOOKUP($A104,'SegEnds_NonXtal_BW#'!$A:$Z,23,FALSE)+VLOOKUP($A104,A:AL,34,FALSE)-50),"-",(VLOOKUP($A104,'SegEnds_NonXtal_BW#'!$A:$Z,23,FALSE)+VLOOKUP($A104,A:AL,34,FALSE)-50))</f>
        <v>256</v>
      </c>
      <c r="AH104" s="3">
        <v>273</v>
      </c>
      <c r="AI104" s="3">
        <f>IF(ISERROR((VLOOKUP($A104,'SegEnds_NonXtal_BW#'!$A:$Z,24,FALSE)+VLOOKUP($A104,A:AL,34,FALSE)-50)),"-",(VLOOKUP($A104,'SegEnds_NonXtal_BW#'!$A:$Z,24,FALSE)+VLOOKUP($A104,A:AL,34,FALSE)-50))</f>
        <v>279</v>
      </c>
      <c r="AJ104" s="3">
        <f>IF(ISERROR(VLOOKUP($A104,'SegEnds_NonXtal_BW#'!$A:$Z,25,FALSE)+VLOOKUP($A104,A:AL,37,FALSE)-50),"-",(VLOOKUP($A104,'SegEnds_NonXtal_BW#'!$A:$Z,25,FALSE)+VLOOKUP($A104,A:AL,37,FALSE)-50))</f>
        <v>280</v>
      </c>
      <c r="AK104" s="3">
        <v>283</v>
      </c>
      <c r="AL104" s="3">
        <f>IF(ISERROR((VLOOKUP($A104,'SegEnds_NonXtal_BW#'!$A:$Z,26,FALSE)+VLOOKUP($A104,A:AL,37,FALSE)-50)),"-",(VLOOKUP($A104,'SegEnds_NonXtal_BW#'!$A:$Z,26,FALSE)+VLOOKUP($A104,A:AL,37,FALSE)-50))</f>
        <v>294</v>
      </c>
      <c r="AM104" s="28" t="str">
        <f>VLOOKUP(A104,Classification!A:B,2,FALSE)</f>
        <v>A</v>
      </c>
      <c r="AN104" s="28" t="b">
        <f t="shared" si="55"/>
        <v>1</v>
      </c>
      <c r="AO104" s="3" t="str">
        <f>IF(ISERROR(MATCH(A104,'SegEnds_Xtal_Prot#'!B:B, 0)), "NoXtal", "Xtal")</f>
        <v>NoXtal</v>
      </c>
      <c r="AP104" s="3" t="str">
        <f t="shared" si="39"/>
        <v>-</v>
      </c>
      <c r="AQ104" s="3" t="str">
        <f t="shared" si="40"/>
        <v>-</v>
      </c>
      <c r="AR104" s="3">
        <f t="shared" si="41"/>
        <v>3</v>
      </c>
      <c r="AS104" s="3">
        <f t="shared" si="42"/>
        <v>1</v>
      </c>
      <c r="AT104" s="3">
        <f t="shared" si="43"/>
        <v>1</v>
      </c>
      <c r="AU104" s="3">
        <f t="shared" si="44"/>
        <v>1</v>
      </c>
      <c r="AV104" s="3">
        <f t="shared" si="45"/>
        <v>16</v>
      </c>
      <c r="AW104" s="3">
        <f t="shared" si="46"/>
        <v>7</v>
      </c>
      <c r="AX104" s="3">
        <f t="shared" si="47"/>
        <v>4</v>
      </c>
      <c r="AY104" s="3">
        <f t="shared" si="48"/>
        <v>5</v>
      </c>
      <c r="AZ104" s="3">
        <f t="shared" si="49"/>
        <v>1</v>
      </c>
      <c r="BA104" s="3">
        <f>IF(ISERROR(LEN(VLOOKUP(A104,Seqs!A:E,2,FALSE))-AL104),"-",LEN(VLOOKUP(A104,Seqs!A:E,2,FALSE))-AL104)</f>
        <v>52</v>
      </c>
      <c r="BB104" s="16">
        <f t="shared" si="50"/>
        <v>29</v>
      </c>
      <c r="BC104" s="9">
        <f t="shared" si="51"/>
        <v>20</v>
      </c>
      <c r="BD104" s="3">
        <f t="shared" si="52"/>
        <v>29</v>
      </c>
      <c r="BE104" s="3">
        <f t="shared" si="53"/>
        <v>44</v>
      </c>
    </row>
    <row r="105" spans="1:58" s="3" customFormat="1" x14ac:dyDescent="0.2">
      <c r="A105" s="3" t="s">
        <v>199</v>
      </c>
      <c r="B105" s="3" t="str">
        <f>LOWER(VLOOKUP(A105,Xtal_Templ!A:B,2,FALSE))</f>
        <v>ox2r_human</v>
      </c>
      <c r="C105" s="3">
        <f>VLOOKUP($A105,'SegEnds_NonXtal_BW#'!$A:$Z,3,FALSE)+D105-50</f>
        <v>39</v>
      </c>
      <c r="D105" s="3">
        <v>58</v>
      </c>
      <c r="E105" s="3">
        <f>IF(ISERROR(VLOOKUP($A105,'SegEnds_NonXtal_BW#'!$A:$Z,4,FALSE)+VLOOKUP($A105,A:AL,4,FALSE)-50),"-",(VLOOKUP($A105,'SegEnds_NonXtal_BW#'!$A:$Z,4,FALSE)+VLOOKUP($A105,A:AL,4,FALSE)-50))</f>
        <v>68</v>
      </c>
      <c r="F105" s="3" t="str">
        <f>IF(ISERROR(VLOOKUP($A105,'SegEnds_NonXtal_BW#'!$A:$Z,5,FALSE)+VLOOKUP($A105,A:AL,7,FALSE)-50),"-",(VLOOKUP($A105,'SegEnds_NonXtal_BW#'!$A:$Z,5,FALSE)+VLOOKUP($A105,A:AL,7,FALSE)-50))</f>
        <v>-</v>
      </c>
      <c r="G105" s="3" t="s">
        <v>23</v>
      </c>
      <c r="H105" s="3" t="str">
        <f>IF(ISERROR(VLOOKUP($A105,'SegEnds_NonXtal_BW#'!$A:$Z,6,FALSE)+VLOOKUP($A105,A:AL,7,FALSE)-50),"-",(VLOOKUP($A105,'SegEnds_NonXtal_BW#'!$A:$Z,6,FALSE)+VLOOKUP($A105,A:AL,7,FALSE)-50))</f>
        <v>-</v>
      </c>
      <c r="I105" s="3">
        <f>VLOOKUP($A105,'SegEnds_NonXtal_BW#'!$A:$Z,7,FALSE)+J105-50</f>
        <v>72</v>
      </c>
      <c r="J105" s="3">
        <v>85</v>
      </c>
      <c r="K105" s="3">
        <f>VLOOKUP($A105,'SegEnds_NonXtal_BW#'!$A:$Z,8,FALSE)+VLOOKUP($A105,A:AL,10,FALSE)-50</f>
        <v>101</v>
      </c>
      <c r="L105" s="3">
        <f t="shared" si="68"/>
        <v>103</v>
      </c>
      <c r="M105" s="3">
        <v>104</v>
      </c>
      <c r="N105" s="3">
        <f t="shared" si="69"/>
        <v>106</v>
      </c>
      <c r="O105" s="3">
        <f t="shared" si="70"/>
        <v>107</v>
      </c>
      <c r="P105" s="3">
        <v>136</v>
      </c>
      <c r="Q105" s="3">
        <f>VLOOKUP($A105,'SegEnds_NonXtal_BW#'!$A:$Z,12,FALSE)+VLOOKUP($A105,A:AL,16,FALSE)-50</f>
        <v>142</v>
      </c>
      <c r="R105" s="3">
        <f>IF(ISERROR(VLOOKUP($A105,'SegEnds_NonXtal_BW#'!$A:$Z,13,FALSE)+VLOOKUP($A105,A:AL,19,FALSE)-50),"-",VLOOKUP($A105,'SegEnds_NonXtal_BW#'!$A:$Z,13,FALSE)+VLOOKUP($A105,A:AL,19,FALSE)-50)</f>
        <v>143</v>
      </c>
      <c r="S105" s="3">
        <v>143</v>
      </c>
      <c r="T105" s="100">
        <f>IF(ISERROR(VLOOKUP($A105,'SegEnds_NonXtal_BW#'!$A:$Z,14,FALSE)+VLOOKUP($A105,A:AL,19,FALSE)-50),"-",(VLOOKUP($A105,'SegEnds_NonXtal_BW#'!$A:$Z,14,FALSE)+VLOOKUP($A105,A:AL,19,FALSE)-50))</f>
        <v>150</v>
      </c>
      <c r="U105" s="9">
        <f>IF(ISERROR(VLOOKUP($A105,'SegEnds_NonXtal_BW#'!$A:$Z,15,FALSE)+VLOOKUP($A105,A:AL,22,FALSE)-50),"-",VLOOKUP($A105,'SegEnds_NonXtal_BW#'!$A:$Z,15,FALSE)+VLOOKUP($A105,A:AL,22,FALSE)-50)</f>
        <v>151</v>
      </c>
      <c r="V105" s="3">
        <v>163</v>
      </c>
      <c r="W105" s="3">
        <f>IF(ISERROR(VLOOKUP($A105,'SegEnds_NonXtal_BW#'!$A:$Z,16,FALSE)+VLOOKUP($A105,A:AL,22,FALSE)-50),"-",(VLOOKUP($A105,'SegEnds_NonXtal_BW#'!$A:$Z,16,FALSE)+VLOOKUP($A105,A:AL,22,FALSE)-50))</f>
        <v>177</v>
      </c>
      <c r="X105" s="3">
        <f>IF(ISERROR(VLOOKUP($A105,'SegEnds_NonXtal_BW#'!$A:$Z,17,FALSE)+VLOOKUP($A105,A:AL,25,FALSE)-50),"-",(VLOOKUP($A105,'SegEnds_NonXtal_BW#'!$A:$Z,17,FALSE)+VLOOKUP($A105,A:AL,25,FALSE)-50))</f>
        <v>194</v>
      </c>
      <c r="Y105" s="3">
        <v>194</v>
      </c>
      <c r="Z105" s="3">
        <f t="shared" si="64"/>
        <v>196</v>
      </c>
      <c r="AA105" s="3">
        <f>IF(ISERROR(VLOOKUP($A105,'SegEnds_NonXtal_BW#'!$A:$Z,19,FALSE)+VLOOKUP($A105,A:AL,28,FALSE)-50),"-",(VLOOKUP($A105,'SegEnds_NonXtal_BW#'!$A:$Z,19,FALSE)+VLOOKUP($A105,A:AL,28,FALSE)-50))</f>
        <v>202</v>
      </c>
      <c r="AB105" s="3">
        <v>219</v>
      </c>
      <c r="AC105" s="3">
        <f>IF(ISERROR((VLOOKUP($A105,'SegEnds_NonXtal_BW#'!$A:$Z,20,FALSE)+VLOOKUP($A105,A:AL,28,FALSE)-50)),"-",(VLOOKUP($A105,'SegEnds_NonXtal_BW#'!$A:$Z,20,FALSE)+VLOOKUP($A105,A:AL,28,FALSE)-50))</f>
        <v>245</v>
      </c>
      <c r="AD105" s="3">
        <f>IF(ISERROR(VLOOKUP($A105,'SegEnds_NonXtal_BW#'!$A:$Z,21,FALSE)+VLOOKUP($A105,A:AL,31,FALSE)-50),"-",(VLOOKUP($A105,'SegEnds_NonXtal_BW#'!$A:$Z,21,FALSE)+VLOOKUP($A105,A:AL,31,FALSE)-50))</f>
        <v>269</v>
      </c>
      <c r="AE105" s="3">
        <v>295</v>
      </c>
      <c r="AF105" s="3">
        <f>IF(ISERROR((VLOOKUP($A105,'SegEnds_NonXtal_BW#'!$A:$Z,22,FALSE)+VLOOKUP($A105,A:AL,31,FALSE)-50)),"-",(VLOOKUP($A105,'SegEnds_NonXtal_BW#'!$A:$Z,22,FALSE)+VLOOKUP($A105,A:AL,31,FALSE)-50))</f>
        <v>306</v>
      </c>
      <c r="AG105" s="3">
        <f>IF(ISERROR(VLOOKUP($A105,'SegEnds_NonXtal_BW#'!$A:$Z,23,FALSE)+VLOOKUP($A105,A:AL,34,FALSE)-50),"-",(VLOOKUP($A105,'SegEnds_NonXtal_BW#'!$A:$Z,23,FALSE)+VLOOKUP($A105,A:AL,34,FALSE)-50))</f>
        <v>311</v>
      </c>
      <c r="AH105" s="3">
        <v>334</v>
      </c>
      <c r="AI105" s="3">
        <f>IF(ISERROR((VLOOKUP($A105,'SegEnds_NonXtal_BW#'!$A:$Z,24,FALSE)+VLOOKUP($A105,A:AL,34,FALSE)-50)),"-",(VLOOKUP($A105,'SegEnds_NonXtal_BW#'!$A:$Z,24,FALSE)+VLOOKUP($A105,A:AL,34,FALSE)-50))</f>
        <v>340</v>
      </c>
      <c r="AJ105" s="3">
        <f>IF(ISERROR(VLOOKUP($A105,'SegEnds_NonXtal_BW#'!$A:$Z,25,FALSE)+VLOOKUP($A105,A:AL,37,FALSE)-50),"-",(VLOOKUP($A105,'SegEnds_NonXtal_BW#'!$A:$Z,25,FALSE)+VLOOKUP($A105,A:AL,37,FALSE)-50))</f>
        <v>341</v>
      </c>
      <c r="AK105" s="3">
        <v>344</v>
      </c>
      <c r="AL105" s="3">
        <f>IF(ISERROR((VLOOKUP($A105,'SegEnds_NonXtal_BW#'!$A:$Z,26,FALSE)+VLOOKUP($A105,A:AL,37,FALSE)-50)),"-",(VLOOKUP($A105,'SegEnds_NonXtal_BW#'!$A:$Z,26,FALSE)+VLOOKUP($A105,A:AL,37,FALSE)-50))</f>
        <v>357</v>
      </c>
      <c r="AM105" s="28" t="str">
        <f>VLOOKUP(A105,Classification!A:B,2,FALSE)</f>
        <v>A</v>
      </c>
      <c r="AN105" s="28" t="b">
        <f t="shared" si="55"/>
        <v>1</v>
      </c>
      <c r="AO105" s="3" t="str">
        <f>IF(ISERROR(MATCH(A105,'SegEnds_Xtal_Prot#'!B:B, 0)), "NoXtal", "Xtal")</f>
        <v>NoXtal</v>
      </c>
      <c r="AP105" s="3" t="str">
        <f t="shared" si="39"/>
        <v>-</v>
      </c>
      <c r="AQ105" s="3" t="str">
        <f t="shared" si="40"/>
        <v>-</v>
      </c>
      <c r="AR105" s="3">
        <f t="shared" si="41"/>
        <v>2</v>
      </c>
      <c r="AS105" s="3">
        <f t="shared" si="42"/>
        <v>1</v>
      </c>
      <c r="AT105" s="3">
        <f t="shared" si="43"/>
        <v>1</v>
      </c>
      <c r="AU105" s="3">
        <f t="shared" si="44"/>
        <v>1</v>
      </c>
      <c r="AV105" s="3">
        <f t="shared" si="45"/>
        <v>17</v>
      </c>
      <c r="AW105" s="3">
        <f t="shared" si="46"/>
        <v>6</v>
      </c>
      <c r="AX105" s="3">
        <f t="shared" si="47"/>
        <v>24</v>
      </c>
      <c r="AY105" s="3">
        <f t="shared" si="48"/>
        <v>5</v>
      </c>
      <c r="AZ105" s="3">
        <f t="shared" si="49"/>
        <v>1</v>
      </c>
      <c r="BA105" s="3">
        <f>IF(ISERROR(LEN(VLOOKUP(A105,Seqs!A:E,2,FALSE))-AL105),"-",LEN(VLOOKUP(A105,Seqs!A:E,2,FALSE))-AL105)</f>
        <v>20</v>
      </c>
      <c r="BB105" s="16">
        <f t="shared" si="50"/>
        <v>27</v>
      </c>
      <c r="BC105" s="9">
        <f t="shared" si="51"/>
        <v>20</v>
      </c>
      <c r="BD105" s="3">
        <f t="shared" si="52"/>
        <v>27</v>
      </c>
      <c r="BE105" s="3">
        <f t="shared" si="53"/>
        <v>76</v>
      </c>
      <c r="BF105" s="3">
        <f>AH105-AE105</f>
        <v>39</v>
      </c>
    </row>
    <row r="106" spans="1:58" s="3" customFormat="1" x14ac:dyDescent="0.2">
      <c r="A106" s="3" t="s">
        <v>200</v>
      </c>
      <c r="B106" s="3" t="str">
        <f>LOWER(VLOOKUP(A106,Xtal_Templ!A:B,2,FALSE))</f>
        <v>fpr2_human</v>
      </c>
      <c r="C106" s="3">
        <f>VLOOKUP($A106,'SegEnds_NonXtal_BW#'!$A:$Z,3,FALSE)+D106-50</f>
        <v>19</v>
      </c>
      <c r="D106" s="3">
        <v>44</v>
      </c>
      <c r="E106" s="3">
        <f>IF(ISERROR(VLOOKUP($A106,'SegEnds_NonXtal_BW#'!$A:$Z,4,FALSE)+VLOOKUP($A106,A:AL,4,FALSE)-50),"-",(VLOOKUP($A106,'SegEnds_NonXtal_BW#'!$A:$Z,4,FALSE)+VLOOKUP($A106,A:AL,4,FALSE)-50))</f>
        <v>55</v>
      </c>
      <c r="F106" s="3" t="str">
        <f>IF(ISERROR(VLOOKUP($A106,'SegEnds_NonXtal_BW#'!$A:$Z,5,FALSE)+VLOOKUP($A106,A:AL,7,FALSE)-50),"-",(VLOOKUP($A106,'SegEnds_NonXtal_BW#'!$A:$Z,5,FALSE)+VLOOKUP($A106,A:AL,7,FALSE)-50))</f>
        <v>-</v>
      </c>
      <c r="G106" s="3" t="s">
        <v>23</v>
      </c>
      <c r="H106" s="3" t="str">
        <f>IF(ISERROR(VLOOKUP($A106,'SegEnds_NonXtal_BW#'!$A:$Z,6,FALSE)+VLOOKUP($A106,A:AL,7,FALSE)-50),"-",(VLOOKUP($A106,'SegEnds_NonXtal_BW#'!$A:$Z,6,FALSE)+VLOOKUP($A106,A:AL,7,FALSE)-50))</f>
        <v>-</v>
      </c>
      <c r="I106" s="3">
        <f>VLOOKUP($A106,'SegEnds_NonXtal_BW#'!$A:$Z,7,FALSE)+J106-50</f>
        <v>58</v>
      </c>
      <c r="J106" s="3">
        <v>71</v>
      </c>
      <c r="K106" s="3">
        <f>VLOOKUP($A106,'SegEnds_NonXtal_BW#'!$A:$Z,8,FALSE)+VLOOKUP($A106,A:AL,10,FALSE)-50</f>
        <v>88</v>
      </c>
      <c r="L106" s="3">
        <f t="shared" si="68"/>
        <v>90</v>
      </c>
      <c r="M106" s="3">
        <v>91</v>
      </c>
      <c r="N106" s="3">
        <f t="shared" si="69"/>
        <v>93</v>
      </c>
      <c r="O106" s="3">
        <f t="shared" si="70"/>
        <v>94</v>
      </c>
      <c r="P106" s="3">
        <v>123</v>
      </c>
      <c r="Q106" s="3">
        <f>VLOOKUP($A106,'SegEnds_NonXtal_BW#'!$A:$Z,12,FALSE)+VLOOKUP($A106,A:AL,16,FALSE)-50</f>
        <v>129</v>
      </c>
      <c r="R106" s="3">
        <f>IF(ISERROR(VLOOKUP($A106,'SegEnds_NonXtal_BW#'!$A:$Z,13,FALSE)+VLOOKUP($A106,A:AL,19,FALSE)-50),"-",VLOOKUP($A106,'SegEnds_NonXtal_BW#'!$A:$Z,13,FALSE)+VLOOKUP($A106,A:AL,19,FALSE)-50)</f>
        <v>130</v>
      </c>
      <c r="S106" s="3">
        <v>130</v>
      </c>
      <c r="T106" s="100">
        <f>IF(ISERROR(VLOOKUP($A106,'SegEnds_NonXtal_BW#'!$A:$Z,14,FALSE)+VLOOKUP($A106,A:AL,19,FALSE)-50),"-",(VLOOKUP($A106,'SegEnds_NonXtal_BW#'!$A:$Z,14,FALSE)+VLOOKUP($A106,A:AL,19,FALSE)-50))</f>
        <v>137</v>
      </c>
      <c r="U106" s="9">
        <f>IF(ISERROR(VLOOKUP($A106,'SegEnds_NonXtal_BW#'!$A:$Z,15,FALSE)+VLOOKUP($A106,A:AL,22,FALSE)-50),"-",VLOOKUP($A106,'SegEnds_NonXtal_BW#'!$A:$Z,15,FALSE)+VLOOKUP($A106,A:AL,22,FALSE)-50)</f>
        <v>138</v>
      </c>
      <c r="V106" s="3">
        <v>150</v>
      </c>
      <c r="W106" s="3">
        <f>IF(ISERROR(VLOOKUP($A106,'SegEnds_NonXtal_BW#'!$A:$Z,16,FALSE)+VLOOKUP($A106,A:AL,22,FALSE)-50),"-",(VLOOKUP($A106,'SegEnds_NonXtal_BW#'!$A:$Z,16,FALSE)+VLOOKUP($A106,A:AL,22,FALSE)-50))</f>
        <v>164</v>
      </c>
      <c r="X106" s="3">
        <f>IF(ISERROR(VLOOKUP($A106,'SegEnds_NonXtal_BW#'!$A:$Z,17,FALSE)+VLOOKUP($A106,A:AL,25,FALSE)-50),"-",(VLOOKUP($A106,'SegEnds_NonXtal_BW#'!$A:$Z,17,FALSE)+VLOOKUP($A106,A:AL,25,FALSE)-50))</f>
        <v>176</v>
      </c>
      <c r="Y106" s="3">
        <v>176</v>
      </c>
      <c r="Z106" s="3">
        <f t="shared" si="64"/>
        <v>178</v>
      </c>
      <c r="AA106" s="3">
        <f>IF(ISERROR(VLOOKUP($A106,'SegEnds_NonXtal_BW#'!$A:$Z,19,FALSE)+VLOOKUP($A106,A:AL,28,FALSE)-50),"-",(VLOOKUP($A106,'SegEnds_NonXtal_BW#'!$A:$Z,19,FALSE)+VLOOKUP($A106,A:AL,28,FALSE)-50))</f>
        <v>186</v>
      </c>
      <c r="AB106" s="3">
        <v>213</v>
      </c>
      <c r="AC106" s="3">
        <f>IF(ISERROR((VLOOKUP($A106,'SegEnds_NonXtal_BW#'!$A:$Z,20,FALSE)+VLOOKUP($A106,A:AL,28,FALSE)-50)),"-",(VLOOKUP($A106,'SegEnds_NonXtal_BW#'!$A:$Z,20,FALSE)+VLOOKUP($A106,A:AL,28,FALSE)-50))</f>
        <v>231</v>
      </c>
      <c r="AD106" s="3">
        <f>IF(ISERROR(VLOOKUP($A106,'SegEnds_NonXtal_BW#'!$A:$Z,21,FALSE)+VLOOKUP($A106,A:AL,31,FALSE)-50),"-",(VLOOKUP($A106,'SegEnds_NonXtal_BW#'!$A:$Z,21,FALSE)+VLOOKUP($A106,A:AL,31,FALSE)-50))</f>
        <v>236</v>
      </c>
      <c r="AE106" s="3">
        <v>256</v>
      </c>
      <c r="AF106" s="3">
        <f>IF(ISERROR((VLOOKUP($A106,'SegEnds_NonXtal_BW#'!$A:$Z,22,FALSE)+VLOOKUP($A106,A:AL,31,FALSE)-50)),"-",(VLOOKUP($A106,'SegEnds_NonXtal_BW#'!$A:$Z,22,FALSE)+VLOOKUP($A106,A:AL,31,FALSE)-50))</f>
        <v>267</v>
      </c>
      <c r="AG106" s="3">
        <f>IF(ISERROR(VLOOKUP($A106,'SegEnds_NonXtal_BW#'!$A:$Z,23,FALSE)+VLOOKUP($A106,A:AL,34,FALSE)-50),"-",(VLOOKUP($A106,'SegEnds_NonXtal_BW#'!$A:$Z,23,FALSE)+VLOOKUP($A106,A:AL,34,FALSE)-50))</f>
        <v>276</v>
      </c>
      <c r="AH106" s="3">
        <v>298</v>
      </c>
      <c r="AI106" s="3">
        <f>IF(ISERROR((VLOOKUP($A106,'SegEnds_NonXtal_BW#'!$A:$Z,24,FALSE)+VLOOKUP($A106,A:AL,34,FALSE)-50)),"-",(VLOOKUP($A106,'SegEnds_NonXtal_BW#'!$A:$Z,24,FALSE)+VLOOKUP($A106,A:AL,34,FALSE)-50))</f>
        <v>304</v>
      </c>
      <c r="AJ106" s="3">
        <f>IF(ISERROR(VLOOKUP($A106,'SegEnds_NonXtal_BW#'!$A:$Z,25,FALSE)+VLOOKUP($A106,A:AL,37,FALSE)-50),"-",(VLOOKUP($A106,'SegEnds_NonXtal_BW#'!$A:$Z,25,FALSE)+VLOOKUP($A106,A:AL,37,FALSE)-50))</f>
        <v>305</v>
      </c>
      <c r="AK106" s="3">
        <v>308</v>
      </c>
      <c r="AL106" s="3">
        <f>IF(ISERROR((VLOOKUP($A106,'SegEnds_NonXtal_BW#'!$A:$Z,26,FALSE)+VLOOKUP($A106,A:AL,37,FALSE)-50)),"-",(VLOOKUP($A106,'SegEnds_NonXtal_BW#'!$A:$Z,26,FALSE)+VLOOKUP($A106,A:AL,37,FALSE)-50))</f>
        <v>316</v>
      </c>
      <c r="AM106" s="28" t="str">
        <f>VLOOKUP(A106,Classification!A:B,2,FALSE)</f>
        <v>A</v>
      </c>
      <c r="AN106" s="28" t="b">
        <f t="shared" si="55"/>
        <v>1</v>
      </c>
      <c r="AO106" s="3" t="str">
        <f>IF(ISERROR(MATCH(A106,'SegEnds_Xtal_Prot#'!B:B, 0)), "NoXtal", "Xtal")</f>
        <v>NoXtal</v>
      </c>
      <c r="AP106" s="3" t="str">
        <f t="shared" si="39"/>
        <v>-</v>
      </c>
      <c r="AQ106" s="3" t="str">
        <f t="shared" si="40"/>
        <v>-</v>
      </c>
      <c r="AR106" s="3">
        <f t="shared" si="41"/>
        <v>2</v>
      </c>
      <c r="AS106" s="3">
        <f t="shared" si="42"/>
        <v>1</v>
      </c>
      <c r="AT106" s="3">
        <f t="shared" si="43"/>
        <v>1</v>
      </c>
      <c r="AU106" s="3">
        <f t="shared" si="44"/>
        <v>1</v>
      </c>
      <c r="AV106" s="3">
        <f t="shared" si="45"/>
        <v>12</v>
      </c>
      <c r="AW106" s="3">
        <f t="shared" si="46"/>
        <v>8</v>
      </c>
      <c r="AX106" s="3">
        <f t="shared" si="47"/>
        <v>5</v>
      </c>
      <c r="AY106" s="3">
        <f t="shared" si="48"/>
        <v>9</v>
      </c>
      <c r="AZ106" s="3">
        <f t="shared" si="49"/>
        <v>1</v>
      </c>
      <c r="BA106" s="3">
        <f>IF(ISERROR(LEN(VLOOKUP(A106,Seqs!A:E,2,FALSE))-AL106),"-",LEN(VLOOKUP(A106,Seqs!A:E,2,FALSE))-AL106)</f>
        <v>34</v>
      </c>
      <c r="BB106" s="16">
        <f t="shared" si="50"/>
        <v>27</v>
      </c>
      <c r="BC106" s="9">
        <f t="shared" si="51"/>
        <v>20</v>
      </c>
      <c r="BD106" s="3">
        <f t="shared" si="52"/>
        <v>27</v>
      </c>
      <c r="BE106" s="3">
        <f t="shared" si="53"/>
        <v>43</v>
      </c>
    </row>
    <row r="107" spans="1:58" s="3" customFormat="1" x14ac:dyDescent="0.2">
      <c r="A107" s="3" t="s">
        <v>201</v>
      </c>
      <c r="B107" s="3" t="str">
        <f>LOWER(VLOOKUP(A107,Xtal_Templ!A:B,2,FALSE))</f>
        <v>fpr2_human</v>
      </c>
      <c r="C107" s="3">
        <f>VLOOKUP($A107,'SegEnds_NonXtal_BW#'!$A:$Z,3,FALSE)+D107-50</f>
        <v>19</v>
      </c>
      <c r="D107" s="3">
        <v>44</v>
      </c>
      <c r="E107" s="3">
        <f>IF(ISERROR(VLOOKUP($A107,'SegEnds_NonXtal_BW#'!$A:$Z,4,FALSE)+VLOOKUP($A107,A:AL,4,FALSE)-50),"-",(VLOOKUP($A107,'SegEnds_NonXtal_BW#'!$A:$Z,4,FALSE)+VLOOKUP($A107,A:AL,4,FALSE)-50))</f>
        <v>55</v>
      </c>
      <c r="F107" s="3" t="str">
        <f>IF(ISERROR(VLOOKUP($A107,'SegEnds_NonXtal_BW#'!$A:$Z,5,FALSE)+VLOOKUP($A107,A:AL,7,FALSE)-50),"-",(VLOOKUP($A107,'SegEnds_NonXtal_BW#'!$A:$Z,5,FALSE)+VLOOKUP($A107,A:AL,7,FALSE)-50))</f>
        <v>-</v>
      </c>
      <c r="G107" s="3" t="s">
        <v>23</v>
      </c>
      <c r="H107" s="3" t="str">
        <f>IF(ISERROR(VLOOKUP($A107,'SegEnds_NonXtal_BW#'!$A:$Z,6,FALSE)+VLOOKUP($A107,A:AL,7,FALSE)-50),"-",(VLOOKUP($A107,'SegEnds_NonXtal_BW#'!$A:$Z,6,FALSE)+VLOOKUP($A107,A:AL,7,FALSE)-50))</f>
        <v>-</v>
      </c>
      <c r="I107" s="3">
        <f>VLOOKUP($A107,'SegEnds_NonXtal_BW#'!$A:$Z,7,FALSE)+J107-50</f>
        <v>58</v>
      </c>
      <c r="J107" s="3">
        <v>71</v>
      </c>
      <c r="K107" s="3">
        <f>VLOOKUP($A107,'SegEnds_NonXtal_BW#'!$A:$Z,8,FALSE)+VLOOKUP($A107,A:AL,10,FALSE)-50</f>
        <v>88</v>
      </c>
      <c r="L107" s="3">
        <f t="shared" si="68"/>
        <v>90</v>
      </c>
      <c r="M107" s="3">
        <v>91</v>
      </c>
      <c r="N107" s="3">
        <f t="shared" si="69"/>
        <v>93</v>
      </c>
      <c r="O107" s="3">
        <f t="shared" si="70"/>
        <v>94</v>
      </c>
      <c r="P107" s="3">
        <v>123</v>
      </c>
      <c r="Q107" s="3">
        <f>VLOOKUP($A107,'SegEnds_NonXtal_BW#'!$A:$Z,12,FALSE)+VLOOKUP($A107,A:AL,16,FALSE)-50</f>
        <v>129</v>
      </c>
      <c r="R107" s="3">
        <f>IF(ISERROR(VLOOKUP($A107,'SegEnds_NonXtal_BW#'!$A:$Z,13,FALSE)+VLOOKUP($A107,A:AL,19,FALSE)-50),"-",VLOOKUP($A107,'SegEnds_NonXtal_BW#'!$A:$Z,13,FALSE)+VLOOKUP($A107,A:AL,19,FALSE)-50)</f>
        <v>130</v>
      </c>
      <c r="S107" s="3">
        <v>130</v>
      </c>
      <c r="T107" s="100">
        <f>IF(ISERROR(VLOOKUP($A107,'SegEnds_NonXtal_BW#'!$A:$Z,14,FALSE)+VLOOKUP($A107,A:AL,19,FALSE)-50),"-",(VLOOKUP($A107,'SegEnds_NonXtal_BW#'!$A:$Z,14,FALSE)+VLOOKUP($A107,A:AL,19,FALSE)-50))</f>
        <v>137</v>
      </c>
      <c r="U107" s="9">
        <f>IF(ISERROR(VLOOKUP($A107,'SegEnds_NonXtal_BW#'!$A:$Z,15,FALSE)+VLOOKUP($A107,A:AL,22,FALSE)-50),"-",VLOOKUP($A107,'SegEnds_NonXtal_BW#'!$A:$Z,15,FALSE)+VLOOKUP($A107,A:AL,22,FALSE)-50)</f>
        <v>138</v>
      </c>
      <c r="V107" s="3">
        <v>150</v>
      </c>
      <c r="W107" s="3">
        <f>IF(ISERROR(VLOOKUP($A107,'SegEnds_NonXtal_BW#'!$A:$Z,16,FALSE)+VLOOKUP($A107,A:AL,22,FALSE)-50),"-",(VLOOKUP($A107,'SegEnds_NonXtal_BW#'!$A:$Z,16,FALSE)+VLOOKUP($A107,A:AL,22,FALSE)-50))</f>
        <v>164</v>
      </c>
      <c r="X107" s="3">
        <f>IF(ISERROR(VLOOKUP($A107,'SegEnds_NonXtal_BW#'!$A:$Z,17,FALSE)+VLOOKUP($A107,A:AL,25,FALSE)-50),"-",(VLOOKUP($A107,'SegEnds_NonXtal_BW#'!$A:$Z,17,FALSE)+VLOOKUP($A107,A:AL,25,FALSE)-50))</f>
        <v>176</v>
      </c>
      <c r="Y107" s="3">
        <v>176</v>
      </c>
      <c r="Z107" s="3">
        <f t="shared" si="64"/>
        <v>178</v>
      </c>
      <c r="AA107" s="3">
        <f>IF(ISERROR(VLOOKUP($A107,'SegEnds_NonXtal_BW#'!$A:$Z,19,FALSE)+VLOOKUP($A107,A:AL,28,FALSE)-50),"-",(VLOOKUP($A107,'SegEnds_NonXtal_BW#'!$A:$Z,19,FALSE)+VLOOKUP($A107,A:AL,28,FALSE)-50))</f>
        <v>186</v>
      </c>
      <c r="AB107" s="3">
        <v>213</v>
      </c>
      <c r="AC107" s="3">
        <f>IF(ISERROR((VLOOKUP($A107,'SegEnds_NonXtal_BW#'!$A:$Z,20,FALSE)+VLOOKUP($A107,A:AL,28,FALSE)-50)),"-",(VLOOKUP($A107,'SegEnds_NonXtal_BW#'!$A:$Z,20,FALSE)+VLOOKUP($A107,A:AL,28,FALSE)-50))</f>
        <v>232</v>
      </c>
      <c r="AD107" s="3">
        <f>IF(ISERROR(VLOOKUP($A107,'SegEnds_NonXtal_BW#'!$A:$Z,21,FALSE)+VLOOKUP($A107,A:AL,31,FALSE)-50),"-",(VLOOKUP($A107,'SegEnds_NonXtal_BW#'!$A:$Z,21,FALSE)+VLOOKUP($A107,A:AL,31,FALSE)-50))</f>
        <v>237</v>
      </c>
      <c r="AE107" s="3">
        <v>256</v>
      </c>
      <c r="AF107" s="3">
        <f>IF(ISERROR((VLOOKUP($A107,'SegEnds_NonXtal_BW#'!$A:$Z,22,FALSE)+VLOOKUP($A107,A:AL,31,FALSE)-50)),"-",(VLOOKUP($A107,'SegEnds_NonXtal_BW#'!$A:$Z,22,FALSE)+VLOOKUP($A107,A:AL,31,FALSE)-50))</f>
        <v>267</v>
      </c>
      <c r="AG107" s="3">
        <f>IF(ISERROR(VLOOKUP($A107,'SegEnds_NonXtal_BW#'!$A:$Z,23,FALSE)+VLOOKUP($A107,A:AL,34,FALSE)-50),"-",(VLOOKUP($A107,'SegEnds_NonXtal_BW#'!$A:$Z,23,FALSE)+VLOOKUP($A107,A:AL,34,FALSE)-50))</f>
        <v>277</v>
      </c>
      <c r="AH107" s="3">
        <v>299</v>
      </c>
      <c r="AI107" s="3">
        <f>IF(ISERROR((VLOOKUP($A107,'SegEnds_NonXtal_BW#'!$A:$Z,24,FALSE)+VLOOKUP($A107,A:AL,34,FALSE)-50)),"-",(VLOOKUP($A107,'SegEnds_NonXtal_BW#'!$A:$Z,24,FALSE)+VLOOKUP($A107,A:AL,34,FALSE)-50))</f>
        <v>305</v>
      </c>
      <c r="AJ107" s="3">
        <f>IF(ISERROR(VLOOKUP($A107,'SegEnds_NonXtal_BW#'!$A:$Z,25,FALSE)+VLOOKUP($A107,A:AL,37,FALSE)-50),"-",(VLOOKUP($A107,'SegEnds_NonXtal_BW#'!$A:$Z,25,FALSE)+VLOOKUP($A107,A:AL,37,FALSE)-50))</f>
        <v>306</v>
      </c>
      <c r="AK107" s="3">
        <v>309</v>
      </c>
      <c r="AL107" s="3">
        <f>IF(ISERROR((VLOOKUP($A107,'SegEnds_NonXtal_BW#'!$A:$Z,26,FALSE)+VLOOKUP($A107,A:AL,37,FALSE)-50)),"-",(VLOOKUP($A107,'SegEnds_NonXtal_BW#'!$A:$Z,26,FALSE)+VLOOKUP($A107,A:AL,37,FALSE)-50))</f>
        <v>317</v>
      </c>
      <c r="AM107" s="28" t="str">
        <f>VLOOKUP(A107,Classification!A:B,2,FALSE)</f>
        <v>A</v>
      </c>
      <c r="AN107" s="28" t="b">
        <f t="shared" si="55"/>
        <v>1</v>
      </c>
      <c r="AO107" s="3" t="str">
        <f>IF(ISERROR(MATCH(A107,'SegEnds_Xtal_Prot#'!B:B, 0)), "NoXtal", "Xtal")</f>
        <v>Xtal</v>
      </c>
      <c r="AP107" s="3" t="str">
        <f t="shared" si="39"/>
        <v>-</v>
      </c>
      <c r="AQ107" s="3" t="str">
        <f t="shared" si="40"/>
        <v>-</v>
      </c>
      <c r="AR107" s="3">
        <f t="shared" si="41"/>
        <v>2</v>
      </c>
      <c r="AS107" s="3">
        <f t="shared" si="42"/>
        <v>1</v>
      </c>
      <c r="AT107" s="3">
        <f t="shared" si="43"/>
        <v>1</v>
      </c>
      <c r="AU107" s="3">
        <f t="shared" si="44"/>
        <v>1</v>
      </c>
      <c r="AV107" s="3">
        <f t="shared" si="45"/>
        <v>12</v>
      </c>
      <c r="AW107" s="3">
        <f t="shared" si="46"/>
        <v>8</v>
      </c>
      <c r="AX107" s="3">
        <f t="shared" si="47"/>
        <v>5</v>
      </c>
      <c r="AY107" s="3">
        <f t="shared" si="48"/>
        <v>10</v>
      </c>
      <c r="AZ107" s="3">
        <f t="shared" si="49"/>
        <v>1</v>
      </c>
      <c r="BA107" s="3">
        <f>IF(ISERROR(LEN(VLOOKUP(A107,Seqs!A:E,2,FALSE))-AL107),"-",LEN(VLOOKUP(A107,Seqs!A:E,2,FALSE))-AL107)</f>
        <v>34</v>
      </c>
      <c r="BB107" s="16">
        <f t="shared" si="50"/>
        <v>27</v>
      </c>
      <c r="BC107" s="9">
        <f t="shared" si="51"/>
        <v>20</v>
      </c>
      <c r="BD107" s="3">
        <f t="shared" si="52"/>
        <v>27</v>
      </c>
      <c r="BE107" s="3">
        <f t="shared" si="53"/>
        <v>43</v>
      </c>
    </row>
    <row r="108" spans="1:58" s="3" customFormat="1" x14ac:dyDescent="0.2">
      <c r="A108" s="3" t="s">
        <v>202</v>
      </c>
      <c r="B108" s="3" t="str">
        <f>LOWER(VLOOKUP(A108,Xtal_Templ!A:B,2,FALSE))</f>
        <v>fpr2_human</v>
      </c>
      <c r="C108" s="3">
        <f>VLOOKUP($A108,'SegEnds_NonXtal_BW#'!$A:$Z,3,FALSE)+D108-50</f>
        <v>19</v>
      </c>
      <c r="D108" s="3">
        <v>44</v>
      </c>
      <c r="E108" s="3">
        <f>IF(ISERROR(VLOOKUP($A108,'SegEnds_NonXtal_BW#'!$A:$Z,4,FALSE)+VLOOKUP($A108,A:AL,4,FALSE)-50),"-",(VLOOKUP($A108,'SegEnds_NonXtal_BW#'!$A:$Z,4,FALSE)+VLOOKUP($A108,A:AL,4,FALSE)-50))</f>
        <v>55</v>
      </c>
      <c r="F108" s="3" t="str">
        <f>IF(ISERROR(VLOOKUP($A108,'SegEnds_NonXtal_BW#'!$A:$Z,5,FALSE)+VLOOKUP($A108,A:AL,7,FALSE)-50),"-",(VLOOKUP($A108,'SegEnds_NonXtal_BW#'!$A:$Z,5,FALSE)+VLOOKUP($A108,A:AL,7,FALSE)-50))</f>
        <v>-</v>
      </c>
      <c r="G108" s="3" t="s">
        <v>23</v>
      </c>
      <c r="H108" s="3" t="str">
        <f>IF(ISERROR(VLOOKUP($A108,'SegEnds_NonXtal_BW#'!$A:$Z,6,FALSE)+VLOOKUP($A108,A:AL,7,FALSE)-50),"-",(VLOOKUP($A108,'SegEnds_NonXtal_BW#'!$A:$Z,6,FALSE)+VLOOKUP($A108,A:AL,7,FALSE)-50))</f>
        <v>-</v>
      </c>
      <c r="I108" s="3">
        <f>VLOOKUP($A108,'SegEnds_NonXtal_BW#'!$A:$Z,7,FALSE)+J108-50</f>
        <v>58</v>
      </c>
      <c r="J108" s="3">
        <v>71</v>
      </c>
      <c r="K108" s="3">
        <f>VLOOKUP($A108,'SegEnds_NonXtal_BW#'!$A:$Z,8,FALSE)+VLOOKUP($A108,A:AL,10,FALSE)-50</f>
        <v>88</v>
      </c>
      <c r="L108" s="3">
        <f t="shared" si="68"/>
        <v>90</v>
      </c>
      <c r="M108" s="3">
        <v>91</v>
      </c>
      <c r="N108" s="3">
        <f t="shared" si="69"/>
        <v>93</v>
      </c>
      <c r="O108" s="3">
        <f t="shared" si="70"/>
        <v>94</v>
      </c>
      <c r="P108" s="3">
        <v>123</v>
      </c>
      <c r="Q108" s="3">
        <f>VLOOKUP($A108,'SegEnds_NonXtal_BW#'!$A:$Z,12,FALSE)+VLOOKUP($A108,A:AL,16,FALSE)-50</f>
        <v>129</v>
      </c>
      <c r="R108" s="3">
        <f>IF(ISERROR(VLOOKUP($A108,'SegEnds_NonXtal_BW#'!$A:$Z,13,FALSE)+VLOOKUP($A108,A:AL,19,FALSE)-50),"-",VLOOKUP($A108,'SegEnds_NonXtal_BW#'!$A:$Z,13,FALSE)+VLOOKUP($A108,A:AL,19,FALSE)-50)</f>
        <v>130</v>
      </c>
      <c r="S108" s="3">
        <v>130</v>
      </c>
      <c r="T108" s="100">
        <f>IF(ISERROR(VLOOKUP($A108,'SegEnds_NonXtal_BW#'!$A:$Z,14,FALSE)+VLOOKUP($A108,A:AL,19,FALSE)-50),"-",(VLOOKUP($A108,'SegEnds_NonXtal_BW#'!$A:$Z,14,FALSE)+VLOOKUP($A108,A:AL,19,FALSE)-50))</f>
        <v>137</v>
      </c>
      <c r="U108" s="9">
        <f>IF(ISERROR(VLOOKUP($A108,'SegEnds_NonXtal_BW#'!$A:$Z,15,FALSE)+VLOOKUP($A108,A:AL,22,FALSE)-50),"-",VLOOKUP($A108,'SegEnds_NonXtal_BW#'!$A:$Z,15,FALSE)+VLOOKUP($A108,A:AL,22,FALSE)-50)</f>
        <v>138</v>
      </c>
      <c r="V108" s="3">
        <v>150</v>
      </c>
      <c r="W108" s="3">
        <f>IF(ISERROR(VLOOKUP($A108,'SegEnds_NonXtal_BW#'!$A:$Z,16,FALSE)+VLOOKUP($A108,A:AL,22,FALSE)-50),"-",(VLOOKUP($A108,'SegEnds_NonXtal_BW#'!$A:$Z,16,FALSE)+VLOOKUP($A108,A:AL,22,FALSE)-50))</f>
        <v>164</v>
      </c>
      <c r="X108" s="3">
        <f>IF(ISERROR(VLOOKUP($A108,'SegEnds_NonXtal_BW#'!$A:$Z,17,FALSE)+VLOOKUP($A108,A:AL,25,FALSE)-50),"-",(VLOOKUP($A108,'SegEnds_NonXtal_BW#'!$A:$Z,17,FALSE)+VLOOKUP($A108,A:AL,25,FALSE)-50))</f>
        <v>176</v>
      </c>
      <c r="Y108" s="3">
        <v>176</v>
      </c>
      <c r="Z108" s="3">
        <f t="shared" si="64"/>
        <v>178</v>
      </c>
      <c r="AA108" s="3">
        <f>IF(ISERROR(VLOOKUP($A108,'SegEnds_NonXtal_BW#'!$A:$Z,19,FALSE)+VLOOKUP($A108,A:AL,28,FALSE)-50),"-",(VLOOKUP($A108,'SegEnds_NonXtal_BW#'!$A:$Z,19,FALSE)+VLOOKUP($A108,A:AL,28,FALSE)-50))</f>
        <v>186</v>
      </c>
      <c r="AB108" s="3">
        <v>213</v>
      </c>
      <c r="AC108" s="3">
        <f>IF(ISERROR((VLOOKUP($A108,'SegEnds_NonXtal_BW#'!$A:$Z,20,FALSE)+VLOOKUP($A108,A:AL,28,FALSE)-50)),"-",(VLOOKUP($A108,'SegEnds_NonXtal_BW#'!$A:$Z,20,FALSE)+VLOOKUP($A108,A:AL,28,FALSE)-50))</f>
        <v>231</v>
      </c>
      <c r="AD108" s="3">
        <f>IF(ISERROR(VLOOKUP($A108,'SegEnds_NonXtal_BW#'!$A:$Z,21,FALSE)+VLOOKUP($A108,A:AL,31,FALSE)-50),"-",(VLOOKUP($A108,'SegEnds_NonXtal_BW#'!$A:$Z,21,FALSE)+VLOOKUP($A108,A:AL,31,FALSE)-50))</f>
        <v>236</v>
      </c>
      <c r="AE108" s="3">
        <v>256</v>
      </c>
      <c r="AF108" s="3">
        <f>IF(ISERROR((VLOOKUP($A108,'SegEnds_NonXtal_BW#'!$A:$Z,22,FALSE)+VLOOKUP($A108,A:AL,31,FALSE)-50)),"-",(VLOOKUP($A108,'SegEnds_NonXtal_BW#'!$A:$Z,22,FALSE)+VLOOKUP($A108,A:AL,31,FALSE)-50))</f>
        <v>267</v>
      </c>
      <c r="AG108" s="3">
        <f>IF(ISERROR(VLOOKUP($A108,'SegEnds_NonXtal_BW#'!$A:$Z,23,FALSE)+VLOOKUP($A108,A:AL,34,FALSE)-50),"-",(VLOOKUP($A108,'SegEnds_NonXtal_BW#'!$A:$Z,23,FALSE)+VLOOKUP($A108,A:AL,34,FALSE)-50))</f>
        <v>273</v>
      </c>
      <c r="AH108" s="3">
        <v>299</v>
      </c>
      <c r="AI108" s="3">
        <f>IF(ISERROR((VLOOKUP($A108,'SegEnds_NonXtal_BW#'!$A:$Z,24,FALSE)+VLOOKUP($A108,A:AL,34,FALSE)-50)),"-",(VLOOKUP($A108,'SegEnds_NonXtal_BW#'!$A:$Z,24,FALSE)+VLOOKUP($A108,A:AL,34,FALSE)-50))</f>
        <v>305</v>
      </c>
      <c r="AJ108" s="3">
        <f>IF(ISERROR(VLOOKUP($A108,'SegEnds_NonXtal_BW#'!$A:$Z,25,FALSE)+VLOOKUP($A108,A:AL,37,FALSE)-50),"-",(VLOOKUP($A108,'SegEnds_NonXtal_BW#'!$A:$Z,25,FALSE)+VLOOKUP($A108,A:AL,37,FALSE)-50))</f>
        <v>306</v>
      </c>
      <c r="AK108" s="3">
        <v>309</v>
      </c>
      <c r="AL108" s="3">
        <f>IF(ISERROR((VLOOKUP($A108,'SegEnds_NonXtal_BW#'!$A:$Z,26,FALSE)+VLOOKUP($A108,A:AL,37,FALSE)-50)),"-",(VLOOKUP($A108,'SegEnds_NonXtal_BW#'!$A:$Z,26,FALSE)+VLOOKUP($A108,A:AL,37,FALSE)-50))</f>
        <v>317</v>
      </c>
      <c r="AM108" s="28" t="str">
        <f>VLOOKUP(A108,Classification!A:B,2,FALSE)</f>
        <v>A</v>
      </c>
      <c r="AN108" s="28" t="b">
        <f t="shared" si="55"/>
        <v>1</v>
      </c>
      <c r="AO108" s="3" t="str">
        <f>IF(ISERROR(MATCH(A108,'SegEnds_Xtal_Prot#'!B:B, 0)), "NoXtal", "Xtal")</f>
        <v>NoXtal</v>
      </c>
      <c r="AP108" s="3" t="str">
        <f t="shared" si="39"/>
        <v>-</v>
      </c>
      <c r="AQ108" s="3" t="str">
        <f t="shared" si="40"/>
        <v>-</v>
      </c>
      <c r="AR108" s="3">
        <f t="shared" si="41"/>
        <v>2</v>
      </c>
      <c r="AS108" s="3">
        <f t="shared" si="42"/>
        <v>1</v>
      </c>
      <c r="AT108" s="3">
        <f t="shared" si="43"/>
        <v>1</v>
      </c>
      <c r="AU108" s="3">
        <f t="shared" si="44"/>
        <v>1</v>
      </c>
      <c r="AV108" s="3">
        <f t="shared" si="45"/>
        <v>12</v>
      </c>
      <c r="AW108" s="3">
        <f t="shared" si="46"/>
        <v>8</v>
      </c>
      <c r="AX108" s="3">
        <f t="shared" si="47"/>
        <v>5</v>
      </c>
      <c r="AY108" s="3">
        <f t="shared" si="48"/>
        <v>6</v>
      </c>
      <c r="AZ108" s="3">
        <f t="shared" si="49"/>
        <v>1</v>
      </c>
      <c r="BA108" s="3">
        <f>IF(ISERROR(LEN(VLOOKUP(A108,Seqs!A:E,2,FALSE))-AL108),"-",LEN(VLOOKUP(A108,Seqs!A:E,2,FALSE))-AL108)</f>
        <v>36</v>
      </c>
      <c r="BB108" s="16">
        <f t="shared" si="50"/>
        <v>27</v>
      </c>
      <c r="BC108" s="9">
        <f t="shared" si="51"/>
        <v>20</v>
      </c>
      <c r="BD108" s="3">
        <f t="shared" si="52"/>
        <v>27</v>
      </c>
      <c r="BE108" s="3">
        <f t="shared" si="53"/>
        <v>43</v>
      </c>
    </row>
    <row r="109" spans="1:58" s="3" customFormat="1" x14ac:dyDescent="0.2">
      <c r="A109" s="3" t="s">
        <v>203</v>
      </c>
      <c r="B109" s="3" t="str">
        <f>LOWER(VLOOKUP(A109,Xtal_Templ!A:B,2,FALSE))</f>
        <v>aa2ar_human</v>
      </c>
      <c r="C109" s="3">
        <f>VLOOKUP($A109,'SegEnds_NonXtal_BW#'!$A:$Z,3,FALSE)+D109-50</f>
        <v>357</v>
      </c>
      <c r="D109" s="3">
        <v>380</v>
      </c>
      <c r="E109" s="3">
        <f>IF(ISERROR(VLOOKUP($A109,'SegEnds_NonXtal_BW#'!$A:$Z,4,FALSE)+VLOOKUP($A109,A:AL,4,FALSE)-50),"-",(VLOOKUP($A109,'SegEnds_NonXtal_BW#'!$A:$Z,4,FALSE)+VLOOKUP($A109,A:AL,4,FALSE)-50))</f>
        <v>390</v>
      </c>
      <c r="F109" s="3">
        <f>G109-2</f>
        <v>392</v>
      </c>
      <c r="G109" s="3">
        <v>394</v>
      </c>
      <c r="H109" s="3">
        <f>G109+1</f>
        <v>395</v>
      </c>
      <c r="I109" s="3">
        <f>H109+1</f>
        <v>396</v>
      </c>
      <c r="J109" s="3">
        <v>408</v>
      </c>
      <c r="K109" s="3">
        <f>VLOOKUP($A109,'SegEnds_NonXtal_BW#'!$A:$Z,8,FALSE)+VLOOKUP($A109,A:AL,10,FALSE)-50</f>
        <v>425</v>
      </c>
      <c r="L109" s="3">
        <f t="shared" si="68"/>
        <v>435</v>
      </c>
      <c r="M109" s="3">
        <v>436</v>
      </c>
      <c r="N109" s="3">
        <f t="shared" si="69"/>
        <v>438</v>
      </c>
      <c r="O109" s="3">
        <f t="shared" si="70"/>
        <v>439</v>
      </c>
      <c r="P109" s="3">
        <v>467</v>
      </c>
      <c r="Q109" s="3">
        <f>VLOOKUP($A109,'SegEnds_NonXtal_BW#'!$A:$Z,12,FALSE)+VLOOKUP($A109,A:AL,16,FALSE)-50</f>
        <v>473</v>
      </c>
      <c r="R109" s="3">
        <f>IF(ISERROR(VLOOKUP($A109,'SegEnds_NonXtal_BW#'!$A:$Z,13,FALSE)+VLOOKUP($A109,A:AL,19,FALSE)-50),"-",VLOOKUP($A109,'SegEnds_NonXtal_BW#'!$A:$Z,13,FALSE)+VLOOKUP($A109,A:AL,19,FALSE)-50)</f>
        <v>474</v>
      </c>
      <c r="S109" s="3">
        <v>474</v>
      </c>
      <c r="T109" s="100">
        <f>IF(ISERROR(VLOOKUP($A109,'SegEnds_NonXtal_BW#'!$A:$Z,14,FALSE)+VLOOKUP($A109,A:AL,19,FALSE)-50),"-",(VLOOKUP($A109,'SegEnds_NonXtal_BW#'!$A:$Z,14,FALSE)+VLOOKUP($A109,A:AL,19,FALSE)-50))</f>
        <v>481</v>
      </c>
      <c r="U109" s="9">
        <f>IF(ISERROR(VLOOKUP($A109,'SegEnds_NonXtal_BW#'!$A:$Z,15,FALSE)+VLOOKUP($A109,A:AL,22,FALSE)-50),"-",VLOOKUP($A109,'SegEnds_NonXtal_BW#'!$A:$Z,15,FALSE)+VLOOKUP($A109,A:AL,22,FALSE)-50)</f>
        <v>482</v>
      </c>
      <c r="V109" s="3">
        <v>494</v>
      </c>
      <c r="W109" s="3">
        <f>IF(ISERROR(VLOOKUP($A109,'SegEnds_NonXtal_BW#'!$A:$Z,16,FALSE)+VLOOKUP($A109,A:AL,22,FALSE)-50),"-",(VLOOKUP($A109,'SegEnds_NonXtal_BW#'!$A:$Z,16,FALSE)+VLOOKUP($A109,A:AL,22,FALSE)-50))</f>
        <v>507</v>
      </c>
      <c r="X109" s="3">
        <f>IF(ISERROR(VLOOKUP($A109,'SegEnds_NonXtal_BW#'!$A:$Z,17,FALSE)+VLOOKUP($A109,A:AL,25,FALSE)-50),"-",(VLOOKUP($A109,'SegEnds_NonXtal_BW#'!$A:$Z,17,FALSE)+VLOOKUP($A109,A:AL,25,FALSE)-50))</f>
        <v>517</v>
      </c>
      <c r="Y109" s="3">
        <v>517</v>
      </c>
      <c r="Z109" s="3">
        <f t="shared" si="64"/>
        <v>519</v>
      </c>
      <c r="AA109" s="3">
        <f>IF(ISERROR(VLOOKUP($A109,'SegEnds_NonXtal_BW#'!$A:$Z,19,FALSE)+VLOOKUP($A109,A:AL,28,FALSE)-50),"-",(VLOOKUP($A109,'SegEnds_NonXtal_BW#'!$A:$Z,19,FALSE)+VLOOKUP($A109,A:AL,28,FALSE)-50))</f>
        <v>525</v>
      </c>
      <c r="AB109" s="3">
        <v>541</v>
      </c>
      <c r="AC109" s="3">
        <f>IF(ISERROR((VLOOKUP($A109,'SegEnds_NonXtal_BW#'!$A:$Z,20,FALSE)+VLOOKUP($A109,A:AL,28,FALSE)-50)),"-",(VLOOKUP($A109,'SegEnds_NonXtal_BW#'!$A:$Z,20,FALSE)+VLOOKUP($A109,A:AL,28,FALSE)-50))</f>
        <v>558</v>
      </c>
      <c r="AD109" s="3">
        <f>IF(ISERROR(VLOOKUP($A109,'SegEnds_NonXtal_BW#'!$A:$Z,21,FALSE)+VLOOKUP($A109,A:AL,31,FALSE)-50),"-",(VLOOKUP($A109,'SegEnds_NonXtal_BW#'!$A:$Z,21,FALSE)+VLOOKUP($A109,A:AL,31,FALSE)-50))</f>
        <v>563</v>
      </c>
      <c r="AE109" s="3">
        <v>587</v>
      </c>
      <c r="AF109" s="3">
        <f>IF(ISERROR((VLOOKUP($A109,'SegEnds_NonXtal_BW#'!$A:$Z,22,FALSE)+VLOOKUP($A109,A:AL,31,FALSE)-50)),"-",(VLOOKUP($A109,'SegEnds_NonXtal_BW#'!$A:$Z,22,FALSE)+VLOOKUP($A109,A:AL,31,FALSE)-50))</f>
        <v>598</v>
      </c>
      <c r="AG109" s="3">
        <f>IF(ISERROR(VLOOKUP($A109,'SegEnds_NonXtal_BW#'!$A:$Z,23,FALSE)+VLOOKUP($A109,A:AL,34,FALSE)-50),"-",(VLOOKUP($A109,'SegEnds_NonXtal_BW#'!$A:$Z,23,FALSE)+VLOOKUP($A109,A:AL,34,FALSE)-50))</f>
        <v>604</v>
      </c>
      <c r="AH109" s="3">
        <v>623</v>
      </c>
      <c r="AI109" s="3">
        <f>IF(ISERROR((VLOOKUP($A109,'SegEnds_NonXtal_BW#'!$A:$Z,24,FALSE)+VLOOKUP($A109,A:AL,34,FALSE)-50)),"-",(VLOOKUP($A109,'SegEnds_NonXtal_BW#'!$A:$Z,24,FALSE)+VLOOKUP($A109,A:AL,34,FALSE)-50))</f>
        <v>629</v>
      </c>
      <c r="AJ109" s="3">
        <f>IF(ISERROR(VLOOKUP($A109,'SegEnds_NonXtal_BW#'!$A:$Z,25,FALSE)+VLOOKUP($A109,A:AL,37,FALSE)-50),"-",(VLOOKUP($A109,'SegEnds_NonXtal_BW#'!$A:$Z,25,FALSE)+VLOOKUP($A109,A:AL,37,FALSE)-50))</f>
        <v>630</v>
      </c>
      <c r="AK109" s="3">
        <v>633</v>
      </c>
      <c r="AL109" s="3">
        <f>IF(ISERROR((VLOOKUP($A109,'SegEnds_NonXtal_BW#'!$A:$Z,26,FALSE)+VLOOKUP($A109,A:AL,37,FALSE)-50)),"-",(VLOOKUP($A109,'SegEnds_NonXtal_BW#'!$A:$Z,26,FALSE)+VLOOKUP($A109,A:AL,37,FALSE)-50))</f>
        <v>652</v>
      </c>
      <c r="AM109" s="28" t="str">
        <f>VLOOKUP(A109,Classification!A:B,2,FALSE)</f>
        <v>A</v>
      </c>
      <c r="AN109" s="28" t="b">
        <f t="shared" si="55"/>
        <v>1</v>
      </c>
      <c r="AO109" s="3" t="str">
        <f>IF(ISERROR(MATCH(A109,'SegEnds_Xtal_Prot#'!B:B, 0)), "NoXtal", "Xtal")</f>
        <v>NoXtal</v>
      </c>
      <c r="AP109" s="3">
        <f t="shared" si="39"/>
        <v>2</v>
      </c>
      <c r="AQ109" s="3">
        <f t="shared" si="40"/>
        <v>1</v>
      </c>
      <c r="AR109" s="3">
        <f t="shared" si="41"/>
        <v>10</v>
      </c>
      <c r="AS109" s="3">
        <f t="shared" si="42"/>
        <v>1</v>
      </c>
      <c r="AT109" s="3">
        <f t="shared" si="43"/>
        <v>1</v>
      </c>
      <c r="AU109" s="3">
        <f t="shared" si="44"/>
        <v>1</v>
      </c>
      <c r="AV109" s="3">
        <f t="shared" si="45"/>
        <v>10</v>
      </c>
      <c r="AW109" s="3">
        <f t="shared" si="46"/>
        <v>6</v>
      </c>
      <c r="AX109" s="3">
        <f t="shared" si="47"/>
        <v>5</v>
      </c>
      <c r="AY109" s="3">
        <f t="shared" si="48"/>
        <v>6</v>
      </c>
      <c r="AZ109" s="3">
        <f t="shared" si="49"/>
        <v>1</v>
      </c>
      <c r="BA109" s="3">
        <f>IF(ISERROR(LEN(VLOOKUP(A109,Seqs!A:E,2,FALSE))-AL109),"-",LEN(VLOOKUP(A109,Seqs!A:E,2,FALSE))-AL109)</f>
        <v>43</v>
      </c>
      <c r="BB109" s="16">
        <f t="shared" si="50"/>
        <v>28</v>
      </c>
      <c r="BC109" s="9">
        <f t="shared" si="51"/>
        <v>20</v>
      </c>
      <c r="BD109" s="3">
        <f t="shared" si="52"/>
        <v>28</v>
      </c>
      <c r="BE109" s="3">
        <f t="shared" si="53"/>
        <v>46</v>
      </c>
    </row>
    <row r="110" spans="1:58" s="3" customFormat="1" x14ac:dyDescent="0.2">
      <c r="A110" s="3" t="s">
        <v>204</v>
      </c>
      <c r="B110" s="3" t="str">
        <f>LOWER(VLOOKUP(A110,Xtal_Templ!A:B,2,FALSE))</f>
        <v>oprk_human</v>
      </c>
      <c r="C110" s="3">
        <f>VLOOKUP($A110,'SegEnds_NonXtal_BW#'!$A:$Z,3,FALSE)+D110-50</f>
        <v>31</v>
      </c>
      <c r="D110" s="3">
        <v>51</v>
      </c>
      <c r="E110" s="3">
        <f>IF(ISERROR(VLOOKUP($A110,'SegEnds_NonXtal_BW#'!$A:$Z,4,FALSE)+VLOOKUP($A110,A:AL,4,FALSE)-50),"-",(VLOOKUP($A110,'SegEnds_NonXtal_BW#'!$A:$Z,4,FALSE)+VLOOKUP($A110,A:AL,4,FALSE)-50))</f>
        <v>61</v>
      </c>
      <c r="F110" s="3" t="str">
        <f>IF(ISERROR(VLOOKUP($A110,'SegEnds_NonXtal_BW#'!$A:$Z,5,FALSE)+VLOOKUP($A110,A:AL,7,FALSE)-50),"-",(VLOOKUP($A110,'SegEnds_NonXtal_BW#'!$A:$Z,5,FALSE)+VLOOKUP($A110,A:AL,7,FALSE)-50))</f>
        <v>-</v>
      </c>
      <c r="G110" s="3" t="s">
        <v>23</v>
      </c>
      <c r="H110" s="3" t="str">
        <f>IF(ISERROR(VLOOKUP($A110,'SegEnds_NonXtal_BW#'!$A:$Z,6,FALSE)+VLOOKUP($A110,A:AL,7,FALSE)-50),"-",(VLOOKUP($A110,'SegEnds_NonXtal_BW#'!$A:$Z,6,FALSE)+VLOOKUP($A110,A:AL,7,FALSE)-50))</f>
        <v>-</v>
      </c>
      <c r="I110" s="3">
        <f>VLOOKUP($A110,'SegEnds_NonXtal_BW#'!$A:$Z,7,FALSE)+J110-50</f>
        <v>68</v>
      </c>
      <c r="J110" s="3">
        <v>81</v>
      </c>
      <c r="K110" s="3">
        <f>VLOOKUP($A110,'SegEnds_NonXtal_BW#'!$A:$Z,8,FALSE)+VLOOKUP($A110,A:AL,10,FALSE)-50</f>
        <v>98</v>
      </c>
      <c r="L110" s="3">
        <f t="shared" si="68"/>
        <v>100</v>
      </c>
      <c r="M110" s="3">
        <v>101</v>
      </c>
      <c r="N110" s="3">
        <f t="shared" si="69"/>
        <v>103</v>
      </c>
      <c r="O110" s="3">
        <f t="shared" si="70"/>
        <v>104</v>
      </c>
      <c r="P110" s="3">
        <v>133</v>
      </c>
      <c r="Q110" s="3">
        <f>VLOOKUP($A110,'SegEnds_NonXtal_BW#'!$A:$Z,12,FALSE)+VLOOKUP($A110,A:AL,16,FALSE)-50</f>
        <v>139</v>
      </c>
      <c r="R110" s="3">
        <f>IF(ISERROR(VLOOKUP($A110,'SegEnds_NonXtal_BW#'!$A:$Z,13,FALSE)+VLOOKUP($A110,A:AL,19,FALSE)-50),"-",VLOOKUP($A110,'SegEnds_NonXtal_BW#'!$A:$Z,13,FALSE)+VLOOKUP($A110,A:AL,19,FALSE)-50)</f>
        <v>140</v>
      </c>
      <c r="S110" s="3">
        <v>140</v>
      </c>
      <c r="T110" s="100">
        <f>IF(ISERROR(VLOOKUP($A110,'SegEnds_NonXtal_BW#'!$A:$Z,14,FALSE)+VLOOKUP($A110,A:AL,19,FALSE)-50),"-",(VLOOKUP($A110,'SegEnds_NonXtal_BW#'!$A:$Z,14,FALSE)+VLOOKUP($A110,A:AL,19,FALSE)-50))</f>
        <v>147</v>
      </c>
      <c r="U110" s="9">
        <f>IF(ISERROR(VLOOKUP($A110,'SegEnds_NonXtal_BW#'!$A:$Z,15,FALSE)+VLOOKUP($A110,A:AL,22,FALSE)-50),"-",VLOOKUP($A110,'SegEnds_NonXtal_BW#'!$A:$Z,15,FALSE)+VLOOKUP($A110,A:AL,22,FALSE)-50)</f>
        <v>148</v>
      </c>
      <c r="V110" s="3">
        <v>160</v>
      </c>
      <c r="W110" s="3">
        <f>IF(ISERROR(VLOOKUP($A110,'SegEnds_NonXtal_BW#'!$A:$Z,16,FALSE)+VLOOKUP($A110,A:AL,22,FALSE)-50),"-",(VLOOKUP($A110,'SegEnds_NonXtal_BW#'!$A:$Z,16,FALSE)+VLOOKUP($A110,A:AL,22,FALSE)-50))</f>
        <v>174</v>
      </c>
      <c r="X110" s="3">
        <f>IF(ISERROR(VLOOKUP($A110,'SegEnds_NonXtal_BW#'!$A:$Z,17,FALSE)+VLOOKUP($A110,A:AL,25,FALSE)-50),"-",(VLOOKUP($A110,'SegEnds_NonXtal_BW#'!$A:$Z,17,FALSE)+VLOOKUP($A110,A:AL,25,FALSE)-50))</f>
        <v>187</v>
      </c>
      <c r="Y110" s="3">
        <v>187</v>
      </c>
      <c r="Z110" s="3">
        <f t="shared" si="64"/>
        <v>189</v>
      </c>
      <c r="AA110" s="3">
        <f>IF(ISERROR(VLOOKUP($A110,'SegEnds_NonXtal_BW#'!$A:$Z,19,FALSE)+VLOOKUP($A110,A:AL,28,FALSE)-50),"-",(VLOOKUP($A110,'SegEnds_NonXtal_BW#'!$A:$Z,19,FALSE)+VLOOKUP($A110,A:AL,28,FALSE)-50))</f>
        <v>192</v>
      </c>
      <c r="AB110" s="3">
        <v>212</v>
      </c>
      <c r="AC110" s="3">
        <f>IF(ISERROR((VLOOKUP($A110,'SegEnds_NonXtal_BW#'!$A:$Z,20,FALSE)+VLOOKUP($A110,A:AL,28,FALSE)-50)),"-",(VLOOKUP($A110,'SegEnds_NonXtal_BW#'!$A:$Z,20,FALSE)+VLOOKUP($A110,A:AL,28,FALSE)-50))</f>
        <v>234</v>
      </c>
      <c r="AD110" s="3">
        <f>IF(ISERROR(VLOOKUP($A110,'SegEnds_NonXtal_BW#'!$A:$Z,21,FALSE)+VLOOKUP($A110,A:AL,31,FALSE)-50),"-",(VLOOKUP($A110,'SegEnds_NonXtal_BW#'!$A:$Z,21,FALSE)+VLOOKUP($A110,A:AL,31,FALSE)-50))</f>
        <v>241</v>
      </c>
      <c r="AE110" s="3">
        <v>262</v>
      </c>
      <c r="AF110" s="3">
        <f>IF(ISERROR((VLOOKUP($A110,'SegEnds_NonXtal_BW#'!$A:$Z,22,FALSE)+VLOOKUP($A110,A:AL,31,FALSE)-50)),"-",(VLOOKUP($A110,'SegEnds_NonXtal_BW#'!$A:$Z,22,FALSE)+VLOOKUP($A110,A:AL,31,FALSE)-50))</f>
        <v>273</v>
      </c>
      <c r="AG110" s="3">
        <f>IF(ISERROR(VLOOKUP($A110,'SegEnds_NonXtal_BW#'!$A:$Z,23,FALSE)+VLOOKUP($A110,A:AL,34,FALSE)-50),"-",(VLOOKUP($A110,'SegEnds_NonXtal_BW#'!$A:$Z,23,FALSE)+VLOOKUP($A110,A:AL,34,FALSE)-50))</f>
        <v>278</v>
      </c>
      <c r="AH110" s="3">
        <v>300</v>
      </c>
      <c r="AI110" s="3">
        <f>IF(ISERROR((VLOOKUP($A110,'SegEnds_NonXtal_BW#'!$A:$Z,24,FALSE)+VLOOKUP($A110,A:AL,34,FALSE)-50)),"-",(VLOOKUP($A110,'SegEnds_NonXtal_BW#'!$A:$Z,24,FALSE)+VLOOKUP($A110,A:AL,34,FALSE)-50))</f>
        <v>306</v>
      </c>
      <c r="AJ110" s="3">
        <f>IF(ISERROR(VLOOKUP($A110,'SegEnds_NonXtal_BW#'!$A:$Z,25,FALSE)+VLOOKUP($A110,A:AL,37,FALSE)-50),"-",(VLOOKUP($A110,'SegEnds_NonXtal_BW#'!$A:$Z,25,FALSE)+VLOOKUP($A110,A:AL,37,FALSE)-50))</f>
        <v>307</v>
      </c>
      <c r="AK110" s="3">
        <v>310</v>
      </c>
      <c r="AL110" s="3">
        <f>IF(ISERROR((VLOOKUP($A110,'SegEnds_NonXtal_BW#'!$A:$Z,26,FALSE)+VLOOKUP($A110,A:AL,37,FALSE)-50)),"-",(VLOOKUP($A110,'SegEnds_NonXtal_BW#'!$A:$Z,26,FALSE)+VLOOKUP($A110,A:AL,37,FALSE)-50))</f>
        <v>319</v>
      </c>
      <c r="AM110" s="28" t="str">
        <f>VLOOKUP(A110,Classification!A:B,2,FALSE)</f>
        <v>A</v>
      </c>
      <c r="AN110" s="28" t="b">
        <f t="shared" si="55"/>
        <v>1</v>
      </c>
      <c r="AO110" s="3" t="str">
        <f>IF(ISERROR(MATCH(A110,'SegEnds_Xtal_Prot#'!B:B, 0)), "NoXtal", "Xtal")</f>
        <v>NoXtal</v>
      </c>
      <c r="AP110" s="3" t="str">
        <f t="shared" si="39"/>
        <v>-</v>
      </c>
      <c r="AQ110" s="3" t="str">
        <f t="shared" si="40"/>
        <v>-</v>
      </c>
      <c r="AR110" s="3">
        <f t="shared" si="41"/>
        <v>2</v>
      </c>
      <c r="AS110" s="3">
        <f t="shared" si="42"/>
        <v>1</v>
      </c>
      <c r="AT110" s="3">
        <f t="shared" si="43"/>
        <v>1</v>
      </c>
      <c r="AU110" s="3">
        <f t="shared" si="44"/>
        <v>1</v>
      </c>
      <c r="AV110" s="3">
        <f t="shared" si="45"/>
        <v>13</v>
      </c>
      <c r="AW110" s="3">
        <f t="shared" si="46"/>
        <v>3</v>
      </c>
      <c r="AX110" s="3">
        <f t="shared" si="47"/>
        <v>7</v>
      </c>
      <c r="AY110" s="3">
        <f t="shared" si="48"/>
        <v>5</v>
      </c>
      <c r="AZ110" s="3">
        <f t="shared" si="49"/>
        <v>1</v>
      </c>
      <c r="BA110" s="3">
        <f>IF(ISERROR(LEN(VLOOKUP(A110,Seqs!A:E,2,FALSE))-AL110),"-",LEN(VLOOKUP(A110,Seqs!A:E,2,FALSE))-AL110)</f>
        <v>30</v>
      </c>
      <c r="BB110" s="16">
        <f t="shared" si="50"/>
        <v>30</v>
      </c>
      <c r="BC110" s="9">
        <f t="shared" si="51"/>
        <v>20</v>
      </c>
      <c r="BD110" s="3">
        <f t="shared" si="52"/>
        <v>30</v>
      </c>
      <c r="BE110" s="3">
        <f t="shared" si="53"/>
        <v>50</v>
      </c>
    </row>
    <row r="111" spans="1:58" s="3" customFormat="1" x14ac:dyDescent="0.2">
      <c r="A111" s="3" t="s">
        <v>205</v>
      </c>
      <c r="B111" s="3" t="str">
        <f>LOWER(VLOOKUP(A111,Xtal_Templ!A:B,2,FALSE))</f>
        <v>oprk_human</v>
      </c>
      <c r="C111" s="3">
        <f>VLOOKUP($A111,'SegEnds_NonXtal_BW#'!$A:$Z,3,FALSE)+D111-50</f>
        <v>23</v>
      </c>
      <c r="D111" s="3">
        <v>43</v>
      </c>
      <c r="E111" s="3">
        <f>IF(ISERROR(VLOOKUP($A111,'SegEnds_NonXtal_BW#'!$A:$Z,4,FALSE)+VLOOKUP($A111,A:AL,4,FALSE)-50),"-",(VLOOKUP($A111,'SegEnds_NonXtal_BW#'!$A:$Z,4,FALSE)+VLOOKUP($A111,A:AL,4,FALSE)-50))</f>
        <v>53</v>
      </c>
      <c r="F111" s="3">
        <f>G111-2</f>
        <v>54</v>
      </c>
      <c r="G111" s="3">
        <v>56</v>
      </c>
      <c r="H111" s="3">
        <f t="shared" ref="H111:I115" si="71">G111+1</f>
        <v>57</v>
      </c>
      <c r="I111" s="3">
        <f t="shared" si="71"/>
        <v>58</v>
      </c>
      <c r="J111" s="3">
        <v>71</v>
      </c>
      <c r="K111" s="3">
        <f>VLOOKUP($A111,'SegEnds_NonXtal_BW#'!$A:$Z,8,FALSE)+VLOOKUP($A111,A:AL,10,FALSE)-50</f>
        <v>88</v>
      </c>
      <c r="L111" s="3">
        <f t="shared" si="68"/>
        <v>90</v>
      </c>
      <c r="M111" s="3">
        <v>91</v>
      </c>
      <c r="N111" s="3">
        <f t="shared" si="69"/>
        <v>93</v>
      </c>
      <c r="O111" s="3">
        <f t="shared" si="70"/>
        <v>94</v>
      </c>
      <c r="P111" s="3">
        <v>123</v>
      </c>
      <c r="Q111" s="3">
        <f>VLOOKUP($A111,'SegEnds_NonXtal_BW#'!$A:$Z,12,FALSE)+VLOOKUP($A111,A:AL,16,FALSE)-50</f>
        <v>129</v>
      </c>
      <c r="R111" s="3">
        <f>IF(ISERROR(VLOOKUP($A111,'SegEnds_NonXtal_BW#'!$A:$Z,13,FALSE)+VLOOKUP($A111,A:AL,19,FALSE)-50),"-",VLOOKUP($A111,'SegEnds_NonXtal_BW#'!$A:$Z,13,FALSE)+VLOOKUP($A111,A:AL,19,FALSE)-50)</f>
        <v>130</v>
      </c>
      <c r="S111" s="3">
        <v>130</v>
      </c>
      <c r="T111" s="100">
        <f>IF(ISERROR(VLOOKUP($A111,'SegEnds_NonXtal_BW#'!$A:$Z,14,FALSE)+VLOOKUP($A111,A:AL,19,FALSE)-50),"-",(VLOOKUP($A111,'SegEnds_NonXtal_BW#'!$A:$Z,14,FALSE)+VLOOKUP($A111,A:AL,19,FALSE)-50))</f>
        <v>137</v>
      </c>
      <c r="U111" s="9">
        <f>IF(ISERROR(VLOOKUP($A111,'SegEnds_NonXtal_BW#'!$A:$Z,15,FALSE)+VLOOKUP($A111,A:AL,22,FALSE)-50),"-",VLOOKUP($A111,'SegEnds_NonXtal_BW#'!$A:$Z,15,FALSE)+VLOOKUP($A111,A:AL,22,FALSE)-50)</f>
        <v>138</v>
      </c>
      <c r="V111" s="3">
        <v>150</v>
      </c>
      <c r="W111" s="3">
        <f>IF(ISERROR(VLOOKUP($A111,'SegEnds_NonXtal_BW#'!$A:$Z,16,FALSE)+VLOOKUP($A111,A:AL,22,FALSE)-50),"-",(VLOOKUP($A111,'SegEnds_NonXtal_BW#'!$A:$Z,16,FALSE)+VLOOKUP($A111,A:AL,22,FALSE)-50))</f>
        <v>164</v>
      </c>
      <c r="X111" s="3">
        <f>IF(ISERROR(VLOOKUP($A111,'SegEnds_NonXtal_BW#'!$A:$Z,17,FALSE)+VLOOKUP($A111,A:AL,25,FALSE)-50),"-",(VLOOKUP($A111,'SegEnds_NonXtal_BW#'!$A:$Z,17,FALSE)+VLOOKUP($A111,A:AL,25,FALSE)-50))</f>
        <v>175</v>
      </c>
      <c r="Y111" s="3">
        <v>175</v>
      </c>
      <c r="Z111" s="3">
        <f t="shared" si="64"/>
        <v>177</v>
      </c>
      <c r="AA111" s="3">
        <f>IF(ISERROR(VLOOKUP($A111,'SegEnds_NonXtal_BW#'!$A:$Z,19,FALSE)+VLOOKUP($A111,A:AL,28,FALSE)-50),"-",(VLOOKUP($A111,'SegEnds_NonXtal_BW#'!$A:$Z,19,FALSE)+VLOOKUP($A111,A:AL,28,FALSE)-50))</f>
        <v>179</v>
      </c>
      <c r="AB111" s="3">
        <v>199</v>
      </c>
      <c r="AC111" s="3">
        <f>IF(ISERROR((VLOOKUP($A111,'SegEnds_NonXtal_BW#'!$A:$Z,20,FALSE)+VLOOKUP($A111,A:AL,28,FALSE)-50)),"-",(VLOOKUP($A111,'SegEnds_NonXtal_BW#'!$A:$Z,20,FALSE)+VLOOKUP($A111,A:AL,28,FALSE)-50))</f>
        <v>221</v>
      </c>
      <c r="AD111" s="3">
        <f>IF(ISERROR(VLOOKUP($A111,'SegEnds_NonXtal_BW#'!$A:$Z,21,FALSE)+VLOOKUP($A111,A:AL,31,FALSE)-50),"-",(VLOOKUP($A111,'SegEnds_NonXtal_BW#'!$A:$Z,21,FALSE)+VLOOKUP($A111,A:AL,31,FALSE)-50))</f>
        <v>224</v>
      </c>
      <c r="AE111" s="3">
        <v>251</v>
      </c>
      <c r="AF111" s="3">
        <f>IF(ISERROR((VLOOKUP($A111,'SegEnds_NonXtal_BW#'!$A:$Z,22,FALSE)+VLOOKUP($A111,A:AL,31,FALSE)-50)),"-",(VLOOKUP($A111,'SegEnds_NonXtal_BW#'!$A:$Z,22,FALSE)+VLOOKUP($A111,A:AL,31,FALSE)-50))</f>
        <v>262</v>
      </c>
      <c r="AG111" s="3">
        <f>IF(ISERROR(VLOOKUP($A111,'SegEnds_NonXtal_BW#'!$A:$Z,23,FALSE)+VLOOKUP($A111,A:AL,34,FALSE)-50),"-",(VLOOKUP($A111,'SegEnds_NonXtal_BW#'!$A:$Z,23,FALSE)+VLOOKUP($A111,A:AL,34,FALSE)-50))</f>
        <v>267</v>
      </c>
      <c r="AH111" s="3">
        <v>289</v>
      </c>
      <c r="AI111" s="3">
        <f>IF(ISERROR((VLOOKUP($A111,'SegEnds_NonXtal_BW#'!$A:$Z,24,FALSE)+VLOOKUP($A111,A:AL,34,FALSE)-50)),"-",(VLOOKUP($A111,'SegEnds_NonXtal_BW#'!$A:$Z,24,FALSE)+VLOOKUP($A111,A:AL,34,FALSE)-50))</f>
        <v>295</v>
      </c>
      <c r="AJ111" s="3">
        <f>IF(ISERROR(VLOOKUP($A111,'SegEnds_NonXtal_BW#'!$A:$Z,25,FALSE)+VLOOKUP($A111,A:AL,37,FALSE)-50),"-",(VLOOKUP($A111,'SegEnds_NonXtal_BW#'!$A:$Z,25,FALSE)+VLOOKUP($A111,A:AL,37,FALSE)-50))</f>
        <v>296</v>
      </c>
      <c r="AK111" s="3">
        <v>299</v>
      </c>
      <c r="AL111" s="3">
        <f>IF(ISERROR((VLOOKUP($A111,'SegEnds_NonXtal_BW#'!$A:$Z,26,FALSE)+VLOOKUP($A111,A:AL,37,FALSE)-50)),"-",(VLOOKUP($A111,'SegEnds_NonXtal_BW#'!$A:$Z,26,FALSE)+VLOOKUP($A111,A:AL,37,FALSE)-50))</f>
        <v>308</v>
      </c>
      <c r="AM111" s="28" t="str">
        <f>VLOOKUP(A111,Classification!A:B,2,FALSE)</f>
        <v>A</v>
      </c>
      <c r="AN111" s="28" t="b">
        <f t="shared" si="55"/>
        <v>1</v>
      </c>
      <c r="AO111" s="3" t="str">
        <f>IF(ISERROR(MATCH(A111,'SegEnds_Xtal_Prot#'!B:B, 0)), "NoXtal", "Xtal")</f>
        <v>NoXtal</v>
      </c>
      <c r="AP111" s="3">
        <f t="shared" si="39"/>
        <v>1</v>
      </c>
      <c r="AQ111" s="3">
        <f t="shared" si="40"/>
        <v>1</v>
      </c>
      <c r="AR111" s="3">
        <f t="shared" si="41"/>
        <v>2</v>
      </c>
      <c r="AS111" s="3">
        <f t="shared" si="42"/>
        <v>1</v>
      </c>
      <c r="AT111" s="3">
        <f t="shared" si="43"/>
        <v>1</v>
      </c>
      <c r="AU111" s="3">
        <f t="shared" si="44"/>
        <v>1</v>
      </c>
      <c r="AV111" s="3">
        <f t="shared" si="45"/>
        <v>11</v>
      </c>
      <c r="AW111" s="3">
        <f t="shared" si="46"/>
        <v>2</v>
      </c>
      <c r="AX111" s="3">
        <f t="shared" si="47"/>
        <v>3</v>
      </c>
      <c r="AY111" s="3">
        <f t="shared" si="48"/>
        <v>5</v>
      </c>
      <c r="AZ111" s="3">
        <f t="shared" si="49"/>
        <v>1</v>
      </c>
      <c r="BA111" s="3">
        <f>IF(ISERROR(LEN(VLOOKUP(A111,Seqs!A:E,2,FALSE))-AL111),"-",LEN(VLOOKUP(A111,Seqs!A:E,2,FALSE))-AL111)</f>
        <v>79</v>
      </c>
      <c r="BB111" s="16">
        <f t="shared" si="50"/>
        <v>28</v>
      </c>
      <c r="BC111" s="9">
        <f t="shared" si="51"/>
        <v>20</v>
      </c>
      <c r="BD111" s="3">
        <f t="shared" si="52"/>
        <v>28</v>
      </c>
      <c r="BE111" s="3">
        <f t="shared" si="53"/>
        <v>52</v>
      </c>
    </row>
    <row r="112" spans="1:58" s="3" customFormat="1" x14ac:dyDescent="0.2">
      <c r="A112" s="3" t="s">
        <v>206</v>
      </c>
      <c r="B112" s="3" t="str">
        <f>LOWER(VLOOKUP(A112,Xtal_Templ!A:B,2,FALSE))</f>
        <v>oprk_human</v>
      </c>
      <c r="C112" s="3">
        <f>VLOOKUP($A112,'SegEnds_NonXtal_BW#'!$A:$Z,3,FALSE)+D112-50</f>
        <v>15</v>
      </c>
      <c r="D112" s="3">
        <v>35</v>
      </c>
      <c r="E112" s="3">
        <f>IF(ISERROR(VLOOKUP($A112,'SegEnds_NonXtal_BW#'!$A:$Z,4,FALSE)+VLOOKUP($A112,A:AL,4,FALSE)-50),"-",(VLOOKUP($A112,'SegEnds_NonXtal_BW#'!$A:$Z,4,FALSE)+VLOOKUP($A112,A:AL,4,FALSE)-50))</f>
        <v>45</v>
      </c>
      <c r="F112" s="3">
        <f>G112-2</f>
        <v>47</v>
      </c>
      <c r="G112" s="3">
        <v>49</v>
      </c>
      <c r="H112" s="3">
        <f t="shared" si="71"/>
        <v>50</v>
      </c>
      <c r="I112" s="3">
        <f t="shared" si="71"/>
        <v>51</v>
      </c>
      <c r="J112" s="3">
        <v>68</v>
      </c>
      <c r="K112" s="3">
        <f>VLOOKUP($A112,'SegEnds_NonXtal_BW#'!$A:$Z,8,FALSE)+VLOOKUP($A112,A:AL,10,FALSE)-50</f>
        <v>85</v>
      </c>
      <c r="L112" s="3">
        <f t="shared" si="68"/>
        <v>87</v>
      </c>
      <c r="M112" s="3">
        <v>88</v>
      </c>
      <c r="N112" s="3">
        <f t="shared" si="69"/>
        <v>90</v>
      </c>
      <c r="O112" s="3">
        <f t="shared" si="70"/>
        <v>91</v>
      </c>
      <c r="P112" s="3">
        <v>120</v>
      </c>
      <c r="Q112" s="3">
        <f>VLOOKUP($A112,'SegEnds_NonXtal_BW#'!$A:$Z,12,FALSE)+VLOOKUP($A112,A:AL,16,FALSE)-50</f>
        <v>126</v>
      </c>
      <c r="R112" s="3">
        <f>IF(ISERROR(VLOOKUP($A112,'SegEnds_NonXtal_BW#'!$A:$Z,13,FALSE)+VLOOKUP($A112,A:AL,19,FALSE)-50),"-",VLOOKUP($A112,'SegEnds_NonXtal_BW#'!$A:$Z,13,FALSE)+VLOOKUP($A112,A:AL,19,FALSE)-50)</f>
        <v>127</v>
      </c>
      <c r="S112" s="3">
        <v>127</v>
      </c>
      <c r="T112" s="100">
        <f>IF(ISERROR(VLOOKUP($A112,'SegEnds_NonXtal_BW#'!$A:$Z,14,FALSE)+VLOOKUP($A112,A:AL,19,FALSE)-50),"-",(VLOOKUP($A112,'SegEnds_NonXtal_BW#'!$A:$Z,14,FALSE)+VLOOKUP($A112,A:AL,19,FALSE)-50))</f>
        <v>134</v>
      </c>
      <c r="U112" s="9">
        <f>IF(ISERROR(VLOOKUP($A112,'SegEnds_NonXtal_BW#'!$A:$Z,15,FALSE)+VLOOKUP($A112,A:AL,22,FALSE)-50),"-",VLOOKUP($A112,'SegEnds_NonXtal_BW#'!$A:$Z,15,FALSE)+VLOOKUP($A112,A:AL,22,FALSE)-50)</f>
        <v>135</v>
      </c>
      <c r="V112" s="3">
        <v>147</v>
      </c>
      <c r="W112" s="3">
        <f>IF(ISERROR(VLOOKUP($A112,'SegEnds_NonXtal_BW#'!$A:$Z,16,FALSE)+VLOOKUP($A112,A:AL,22,FALSE)-50),"-",(VLOOKUP($A112,'SegEnds_NonXtal_BW#'!$A:$Z,16,FALSE)+VLOOKUP($A112,A:AL,22,FALSE)-50))</f>
        <v>161</v>
      </c>
      <c r="X112" s="3">
        <f>IF(ISERROR(VLOOKUP($A112,'SegEnds_NonXtal_BW#'!$A:$Z,17,FALSE)+VLOOKUP($A112,A:AL,25,FALSE)-50),"-",(VLOOKUP($A112,'SegEnds_NonXtal_BW#'!$A:$Z,17,FALSE)+VLOOKUP($A112,A:AL,25,FALSE)-50))</f>
        <v>172</v>
      </c>
      <c r="Y112" s="3">
        <v>172</v>
      </c>
      <c r="Z112" s="3">
        <f t="shared" si="64"/>
        <v>174</v>
      </c>
      <c r="AA112" s="3">
        <f>IF(ISERROR(VLOOKUP($A112,'SegEnds_NonXtal_BW#'!$A:$Z,19,FALSE)+VLOOKUP($A112,A:AL,28,FALSE)-50),"-",(VLOOKUP($A112,'SegEnds_NonXtal_BW#'!$A:$Z,19,FALSE)+VLOOKUP($A112,A:AL,28,FALSE)-50))</f>
        <v>176</v>
      </c>
      <c r="AB112" s="3">
        <v>196</v>
      </c>
      <c r="AC112" s="3">
        <f>IF(ISERROR((VLOOKUP($A112,'SegEnds_NonXtal_BW#'!$A:$Z,20,FALSE)+VLOOKUP($A112,A:AL,28,FALSE)-50)),"-",(VLOOKUP($A112,'SegEnds_NonXtal_BW#'!$A:$Z,20,FALSE)+VLOOKUP($A112,A:AL,28,FALSE)-50))</f>
        <v>218</v>
      </c>
      <c r="AD112" s="3">
        <f>IF(ISERROR(VLOOKUP($A112,'SegEnds_NonXtal_BW#'!$A:$Z,21,FALSE)+VLOOKUP($A112,A:AL,31,FALSE)-50),"-",(VLOOKUP($A112,'SegEnds_NonXtal_BW#'!$A:$Z,21,FALSE)+VLOOKUP($A112,A:AL,31,FALSE)-50))</f>
        <v>224</v>
      </c>
      <c r="AE112" s="3">
        <v>250</v>
      </c>
      <c r="AF112" s="3">
        <f>IF(ISERROR((VLOOKUP($A112,'SegEnds_NonXtal_BW#'!$A:$Z,22,FALSE)+VLOOKUP($A112,A:AL,31,FALSE)-50)),"-",(VLOOKUP($A112,'SegEnds_NonXtal_BW#'!$A:$Z,22,FALSE)+VLOOKUP($A112,A:AL,31,FALSE)-50))</f>
        <v>261</v>
      </c>
      <c r="AG112" s="3">
        <f>IF(ISERROR(VLOOKUP($A112,'SegEnds_NonXtal_BW#'!$A:$Z,23,FALSE)+VLOOKUP($A112,A:AL,34,FALSE)-50),"-",(VLOOKUP($A112,'SegEnds_NonXtal_BW#'!$A:$Z,23,FALSE)+VLOOKUP($A112,A:AL,34,FALSE)-50))</f>
        <v>266</v>
      </c>
      <c r="AH112" s="3">
        <v>288</v>
      </c>
      <c r="AI112" s="3">
        <f>IF(ISERROR((VLOOKUP($A112,'SegEnds_NonXtal_BW#'!$A:$Z,24,FALSE)+VLOOKUP($A112,A:AL,34,FALSE)-50)),"-",(VLOOKUP($A112,'SegEnds_NonXtal_BW#'!$A:$Z,24,FALSE)+VLOOKUP($A112,A:AL,34,FALSE)-50))</f>
        <v>294</v>
      </c>
      <c r="AJ112" s="3">
        <f>IF(ISERROR(VLOOKUP($A112,'SegEnds_NonXtal_BW#'!$A:$Z,25,FALSE)+VLOOKUP($A112,A:AL,37,FALSE)-50),"-",(VLOOKUP($A112,'SegEnds_NonXtal_BW#'!$A:$Z,25,FALSE)+VLOOKUP($A112,A:AL,37,FALSE)-50))</f>
        <v>295</v>
      </c>
      <c r="AK112" s="3">
        <v>298</v>
      </c>
      <c r="AL112" s="3">
        <f>IF(ISERROR((VLOOKUP($A112,'SegEnds_NonXtal_BW#'!$A:$Z,26,FALSE)+VLOOKUP($A112,A:AL,37,FALSE)-50)),"-",(VLOOKUP($A112,'SegEnds_NonXtal_BW#'!$A:$Z,26,FALSE)+VLOOKUP($A112,A:AL,37,FALSE)-50))</f>
        <v>307</v>
      </c>
      <c r="AM112" s="28" t="str">
        <f>VLOOKUP(A112,Classification!A:B,2,FALSE)</f>
        <v>A</v>
      </c>
      <c r="AN112" s="28" t="b">
        <f t="shared" si="55"/>
        <v>1</v>
      </c>
      <c r="AO112" s="3" t="str">
        <f>IF(ISERROR(MATCH(A112,'SegEnds_Xtal_Prot#'!B:B, 0)), "NoXtal", "Xtal")</f>
        <v>NoXtal</v>
      </c>
      <c r="AP112" s="3">
        <f t="shared" si="39"/>
        <v>2</v>
      </c>
      <c r="AQ112" s="3">
        <f t="shared" si="40"/>
        <v>1</v>
      </c>
      <c r="AR112" s="3">
        <f t="shared" si="41"/>
        <v>2</v>
      </c>
      <c r="AS112" s="3">
        <f t="shared" si="42"/>
        <v>1</v>
      </c>
      <c r="AT112" s="3">
        <f t="shared" si="43"/>
        <v>1</v>
      </c>
      <c r="AU112" s="3">
        <f t="shared" si="44"/>
        <v>1</v>
      </c>
      <c r="AV112" s="3">
        <f t="shared" si="45"/>
        <v>11</v>
      </c>
      <c r="AW112" s="3">
        <f t="shared" si="46"/>
        <v>2</v>
      </c>
      <c r="AX112" s="3">
        <f t="shared" si="47"/>
        <v>6</v>
      </c>
      <c r="AY112" s="3">
        <f t="shared" si="48"/>
        <v>5</v>
      </c>
      <c r="AZ112" s="3">
        <f t="shared" si="49"/>
        <v>1</v>
      </c>
      <c r="BA112" s="3">
        <f>IF(ISERROR(LEN(VLOOKUP(A112,Seqs!A:E,2,FALSE))-AL112),"-",LEN(VLOOKUP(A112,Seqs!A:E,2,FALSE))-AL112)</f>
        <v>61</v>
      </c>
      <c r="BB112" s="16">
        <f t="shared" si="50"/>
        <v>33</v>
      </c>
      <c r="BC112" s="9">
        <f t="shared" si="51"/>
        <v>20</v>
      </c>
      <c r="BD112" s="3">
        <f t="shared" si="52"/>
        <v>33</v>
      </c>
      <c r="BE112" s="3">
        <f t="shared" si="53"/>
        <v>54</v>
      </c>
    </row>
    <row r="113" spans="1:60" s="3" customFormat="1" x14ac:dyDescent="0.2">
      <c r="A113" s="3" t="s">
        <v>207</v>
      </c>
      <c r="B113" s="3" t="str">
        <f>LOWER(VLOOKUP(A113,Xtal_Templ!A:B,2,FALSE))</f>
        <v>ox2r_human</v>
      </c>
      <c r="C113" s="3">
        <f>VLOOKUP($A113,'SegEnds_NonXtal_BW#'!$A:$Z,3,FALSE)+D113-50</f>
        <v>53</v>
      </c>
      <c r="D113" s="3">
        <v>72</v>
      </c>
      <c r="E113" s="3">
        <f>IF(ISERROR(VLOOKUP($A113,'SegEnds_NonXtal_BW#'!$A:$Z,4,FALSE)+VLOOKUP($A113,A:AL,4,FALSE)-50),"-",(VLOOKUP($A113,'SegEnds_NonXtal_BW#'!$A:$Z,4,FALSE)+VLOOKUP($A113,A:AL,4,FALSE)-50))</f>
        <v>82</v>
      </c>
      <c r="F113" s="3">
        <f>G113-2</f>
        <v>83</v>
      </c>
      <c r="G113" s="3">
        <v>85</v>
      </c>
      <c r="H113" s="3">
        <f t="shared" si="71"/>
        <v>86</v>
      </c>
      <c r="I113" s="3">
        <f t="shared" si="71"/>
        <v>87</v>
      </c>
      <c r="J113" s="3">
        <v>100</v>
      </c>
      <c r="K113" s="3">
        <f>VLOOKUP($A113,'SegEnds_NonXtal_BW#'!$A:$Z,8,FALSE)+VLOOKUP($A113,A:AL,10,FALSE)-50</f>
        <v>118</v>
      </c>
      <c r="L113" s="3">
        <f t="shared" si="68"/>
        <v>119</v>
      </c>
      <c r="M113" s="3">
        <v>120</v>
      </c>
      <c r="N113" s="3">
        <f t="shared" si="69"/>
        <v>122</v>
      </c>
      <c r="O113" s="3">
        <f t="shared" si="70"/>
        <v>123</v>
      </c>
      <c r="P113" s="3">
        <v>152</v>
      </c>
      <c r="Q113" s="3">
        <f>VLOOKUP($A113,'SegEnds_NonXtal_BW#'!$A:$Z,12,FALSE)+VLOOKUP($A113,A:AL,16,FALSE)-50</f>
        <v>158</v>
      </c>
      <c r="R113" s="3">
        <f>IF(ISERROR(VLOOKUP($A113,'SegEnds_NonXtal_BW#'!$A:$Z,13,FALSE)+VLOOKUP($A113,A:AL,19,FALSE)-50),"-",VLOOKUP($A113,'SegEnds_NonXtal_BW#'!$A:$Z,13,FALSE)+VLOOKUP($A113,A:AL,19,FALSE)-50)</f>
        <v>159</v>
      </c>
      <c r="S113" s="3">
        <v>159</v>
      </c>
      <c r="T113" s="100">
        <f>IF(ISERROR(VLOOKUP($A113,'SegEnds_NonXtal_BW#'!$A:$Z,14,FALSE)+VLOOKUP($A113,A:AL,19,FALSE)-50),"-",(VLOOKUP($A113,'SegEnds_NonXtal_BW#'!$A:$Z,14,FALSE)+VLOOKUP($A113,A:AL,19,FALSE)-50))</f>
        <v>166</v>
      </c>
      <c r="U113" s="9">
        <f>IF(ISERROR(VLOOKUP($A113,'SegEnds_NonXtal_BW#'!$A:$Z,15,FALSE)+VLOOKUP($A113,A:AL,22,FALSE)-50),"-",VLOOKUP($A113,'SegEnds_NonXtal_BW#'!$A:$Z,15,FALSE)+VLOOKUP($A113,A:AL,22,FALSE)-50)</f>
        <v>167</v>
      </c>
      <c r="V113" s="3">
        <v>179</v>
      </c>
      <c r="W113" s="3">
        <f>IF(ISERROR(VLOOKUP($A113,'SegEnds_NonXtal_BW#'!$A:$Z,16,FALSE)+VLOOKUP($A113,A:AL,22,FALSE)-50),"-",(VLOOKUP($A113,'SegEnds_NonXtal_BW#'!$A:$Z,16,FALSE)+VLOOKUP($A113,A:AL,22,FALSE)-50))</f>
        <v>193</v>
      </c>
      <c r="X113" s="3">
        <f>IF(ISERROR(VLOOKUP($A113,'SegEnds_NonXtal_BW#'!$A:$Z,17,FALSE)+VLOOKUP($A113,A:AL,25,FALSE)-50),"-",(VLOOKUP($A113,'SegEnds_NonXtal_BW#'!$A:$Z,17,FALSE)+VLOOKUP($A113,A:AL,25,FALSE)-50))</f>
        <v>205</v>
      </c>
      <c r="Y113" s="3">
        <v>205</v>
      </c>
      <c r="Z113" s="3">
        <f t="shared" si="64"/>
        <v>207</v>
      </c>
      <c r="AA113" s="3">
        <f>IF(ISERROR(VLOOKUP($A113,'SegEnds_NonXtal_BW#'!$A:$Z,19,FALSE)+VLOOKUP($A113,A:AL,28,FALSE)-50),"-",(VLOOKUP($A113,'SegEnds_NonXtal_BW#'!$A:$Z,19,FALSE)+VLOOKUP($A113,A:AL,28,FALSE)-50))</f>
        <v>213</v>
      </c>
      <c r="AB113" s="3">
        <v>230</v>
      </c>
      <c r="AC113" s="3">
        <f>IF(ISERROR((VLOOKUP($A113,'SegEnds_NonXtal_BW#'!$A:$Z,20,FALSE)+VLOOKUP($A113,A:AL,28,FALSE)-50)),"-",(VLOOKUP($A113,'SegEnds_NonXtal_BW#'!$A:$Z,20,FALSE)+VLOOKUP($A113,A:AL,28,FALSE)-50))</f>
        <v>256</v>
      </c>
      <c r="AD113" s="3">
        <f>IF(ISERROR(VLOOKUP($A113,'SegEnds_NonXtal_BW#'!$A:$Z,21,FALSE)+VLOOKUP($A113,A:AL,31,FALSE)-50),"-",(VLOOKUP($A113,'SegEnds_NonXtal_BW#'!$A:$Z,21,FALSE)+VLOOKUP($A113,A:AL,31,FALSE)-50))</f>
        <v>322</v>
      </c>
      <c r="AE113" s="3">
        <v>348</v>
      </c>
      <c r="AF113" s="3">
        <f>IF(ISERROR((VLOOKUP($A113,'SegEnds_NonXtal_BW#'!$A:$Z,22,FALSE)+VLOOKUP($A113,A:AL,31,FALSE)-50)),"-",(VLOOKUP($A113,'SegEnds_NonXtal_BW#'!$A:$Z,22,FALSE)+VLOOKUP($A113,A:AL,31,FALSE)-50))</f>
        <v>359</v>
      </c>
      <c r="AG113" s="3">
        <f>IF(ISERROR(VLOOKUP($A113,'SegEnds_NonXtal_BW#'!$A:$Z,23,FALSE)+VLOOKUP($A113,A:AL,34,FALSE)-50),"-",(VLOOKUP($A113,'SegEnds_NonXtal_BW#'!$A:$Z,23,FALSE)+VLOOKUP($A113,A:AL,34,FALSE)-50))</f>
        <v>364</v>
      </c>
      <c r="AH113" s="3">
        <v>387</v>
      </c>
      <c r="AI113" s="3">
        <f>IF(ISERROR((VLOOKUP($A113,'SegEnds_NonXtal_BW#'!$A:$Z,24,FALSE)+VLOOKUP($A113,A:AL,34,FALSE)-50)),"-",(VLOOKUP($A113,'SegEnds_NonXtal_BW#'!$A:$Z,24,FALSE)+VLOOKUP($A113,A:AL,34,FALSE)-50))</f>
        <v>393</v>
      </c>
      <c r="AJ113" s="3">
        <f>IF(ISERROR(VLOOKUP($A113,'SegEnds_NonXtal_BW#'!$A:$Z,25,FALSE)+VLOOKUP($A113,A:AL,37,FALSE)-50),"-",(VLOOKUP($A113,'SegEnds_NonXtal_BW#'!$A:$Z,25,FALSE)+VLOOKUP($A113,A:AL,37,FALSE)-50))</f>
        <v>394</v>
      </c>
      <c r="AK113" s="3">
        <v>397</v>
      </c>
      <c r="AL113" s="3">
        <f>IF(ISERROR((VLOOKUP($A113,'SegEnds_NonXtal_BW#'!$A:$Z,26,FALSE)+VLOOKUP($A113,A:AL,37,FALSE)-50)),"-",(VLOOKUP($A113,'SegEnds_NonXtal_BW#'!$A:$Z,26,FALSE)+VLOOKUP($A113,A:AL,37,FALSE)-50))</f>
        <v>410</v>
      </c>
      <c r="AM113" s="28" t="str">
        <f>VLOOKUP(A113,Classification!A:B,2,FALSE)</f>
        <v>A</v>
      </c>
      <c r="AN113" s="28" t="b">
        <f t="shared" si="55"/>
        <v>1</v>
      </c>
      <c r="AO113" s="3" t="str">
        <f>IF(ISERROR(MATCH(A113,'SegEnds_Xtal_Prot#'!B:B, 0)), "NoXtal", "Xtal")</f>
        <v>NoXtal</v>
      </c>
      <c r="AP113" s="3">
        <f t="shared" si="39"/>
        <v>1</v>
      </c>
      <c r="AQ113" s="3">
        <f t="shared" si="40"/>
        <v>1</v>
      </c>
      <c r="AR113" s="3">
        <f t="shared" si="41"/>
        <v>1</v>
      </c>
      <c r="AS113" s="3">
        <f t="shared" si="42"/>
        <v>1</v>
      </c>
      <c r="AT113" s="3">
        <f t="shared" si="43"/>
        <v>1</v>
      </c>
      <c r="AU113" s="3">
        <f t="shared" si="44"/>
        <v>1</v>
      </c>
      <c r="AV113" s="3">
        <f t="shared" si="45"/>
        <v>12</v>
      </c>
      <c r="AW113" s="3">
        <f t="shared" si="46"/>
        <v>6</v>
      </c>
      <c r="AX113" s="3">
        <f t="shared" si="47"/>
        <v>66</v>
      </c>
      <c r="AY113" s="3">
        <f t="shared" si="48"/>
        <v>5</v>
      </c>
      <c r="AZ113" s="3">
        <f t="shared" si="49"/>
        <v>1</v>
      </c>
      <c r="BA113" s="3">
        <f>IF(ISERROR(LEN(VLOOKUP(A113,Seqs!A:E,2,FALSE))-AL113),"-",LEN(VLOOKUP(A113,Seqs!A:E,2,FALSE))-AL113)</f>
        <v>37</v>
      </c>
      <c r="BB113" s="16">
        <f t="shared" si="50"/>
        <v>28</v>
      </c>
      <c r="BC113" s="9">
        <f t="shared" si="51"/>
        <v>20</v>
      </c>
      <c r="BD113" s="3">
        <f t="shared" si="52"/>
        <v>28</v>
      </c>
      <c r="BE113" s="3">
        <f t="shared" si="53"/>
        <v>118</v>
      </c>
    </row>
    <row r="114" spans="1:60" s="3" customFormat="1" x14ac:dyDescent="0.2">
      <c r="A114" s="3" t="s">
        <v>208</v>
      </c>
      <c r="B114" s="3" t="str">
        <f>LOWER(VLOOKUP(A114,Xtal_Templ!A:B,2,FALSE))</f>
        <v>ntr1_human</v>
      </c>
      <c r="C114" s="3">
        <f>VLOOKUP($A114,'SegEnds_NonXtal_BW#'!$A:$Z,3,FALSE)+D114-50</f>
        <v>39</v>
      </c>
      <c r="D114" s="3">
        <v>61</v>
      </c>
      <c r="E114" s="3">
        <f>IF(ISERROR(VLOOKUP($A114,'SegEnds_NonXtal_BW#'!$A:$Z,4,FALSE)+VLOOKUP($A114,A:AL,4,FALSE)-50),"-",(VLOOKUP($A114,'SegEnds_NonXtal_BW#'!$A:$Z,4,FALSE)+VLOOKUP($A114,A:AL,4,FALSE)-50))</f>
        <v>71</v>
      </c>
      <c r="F114" s="3">
        <f>G114-2</f>
        <v>72</v>
      </c>
      <c r="G114" s="3">
        <v>74</v>
      </c>
      <c r="H114" s="3">
        <f t="shared" si="71"/>
        <v>75</v>
      </c>
      <c r="I114" s="3">
        <f t="shared" si="71"/>
        <v>76</v>
      </c>
      <c r="J114" s="3">
        <v>89</v>
      </c>
      <c r="K114" s="3">
        <f>VLOOKUP($A114,'SegEnds_NonXtal_BW#'!$A:$Z,8,FALSE)+VLOOKUP($A114,A:AL,10,FALSE)-50</f>
        <v>106</v>
      </c>
      <c r="L114" s="3">
        <f t="shared" si="68"/>
        <v>108</v>
      </c>
      <c r="M114" s="3">
        <v>109</v>
      </c>
      <c r="N114" s="3">
        <f t="shared" si="69"/>
        <v>111</v>
      </c>
      <c r="O114" s="3">
        <f t="shared" si="70"/>
        <v>112</v>
      </c>
      <c r="P114" s="3">
        <v>141</v>
      </c>
      <c r="Q114" s="3">
        <f>VLOOKUP($A114,'SegEnds_NonXtal_BW#'!$A:$Z,12,FALSE)+VLOOKUP($A114,A:AL,16,FALSE)-50</f>
        <v>147</v>
      </c>
      <c r="R114" s="3">
        <f>IF(ISERROR(VLOOKUP($A114,'SegEnds_NonXtal_BW#'!$A:$Z,13,FALSE)+VLOOKUP($A114,A:AL,19,FALSE)-50),"-",VLOOKUP($A114,'SegEnds_NonXtal_BW#'!$A:$Z,13,FALSE)+VLOOKUP($A114,A:AL,19,FALSE)-50)</f>
        <v>148</v>
      </c>
      <c r="S114" s="3">
        <v>148</v>
      </c>
      <c r="T114" s="100">
        <f>IF(ISERROR(VLOOKUP($A114,'SegEnds_NonXtal_BW#'!$A:$Z,14,FALSE)+VLOOKUP($A114,A:AL,19,FALSE)-50),"-",(VLOOKUP($A114,'SegEnds_NonXtal_BW#'!$A:$Z,14,FALSE)+VLOOKUP($A114,A:AL,19,FALSE)-50))</f>
        <v>155</v>
      </c>
      <c r="U114" s="9">
        <f>IF(ISERROR(VLOOKUP($A114,'SegEnds_NonXtal_BW#'!$A:$Z,15,FALSE)+VLOOKUP($A114,A:AL,22,FALSE)-50),"-",VLOOKUP($A114,'SegEnds_NonXtal_BW#'!$A:$Z,15,FALSE)+VLOOKUP($A114,A:AL,22,FALSE)-50)</f>
        <v>156</v>
      </c>
      <c r="V114" s="3">
        <v>168</v>
      </c>
      <c r="W114" s="3">
        <f>IF(ISERROR(VLOOKUP($A114,'SegEnds_NonXtal_BW#'!$A:$Z,16,FALSE)+VLOOKUP($A114,A:AL,22,FALSE)-50),"-",(VLOOKUP($A114,'SegEnds_NonXtal_BW#'!$A:$Z,16,FALSE)+VLOOKUP($A114,A:AL,22,FALSE)-50))</f>
        <v>182</v>
      </c>
      <c r="X114" s="3">
        <f>IF(ISERROR(VLOOKUP($A114,'SegEnds_NonXtal_BW#'!$A:$Z,17,FALSE)+VLOOKUP($A114,A:AL,25,FALSE)-50),"-",(VLOOKUP($A114,'SegEnds_NonXtal_BW#'!$A:$Z,17,FALSE)+VLOOKUP($A114,A:AL,25,FALSE)-50))</f>
        <v>198</v>
      </c>
      <c r="Y114" s="3">
        <v>198</v>
      </c>
      <c r="Z114" s="3">
        <f t="shared" si="64"/>
        <v>200</v>
      </c>
      <c r="AA114" s="3">
        <f>IF(ISERROR(VLOOKUP($A114,'SegEnds_NonXtal_BW#'!$A:$Z,19,FALSE)+VLOOKUP($A114,A:AL,28,FALSE)-50),"-",(VLOOKUP($A114,'SegEnds_NonXtal_BW#'!$A:$Z,19,FALSE)+VLOOKUP($A114,A:AL,28,FALSE)-50))</f>
        <v>205</v>
      </c>
      <c r="AB114" s="3">
        <v>224</v>
      </c>
      <c r="AC114" s="3">
        <f>IF(ISERROR((VLOOKUP($A114,'SegEnds_NonXtal_BW#'!$A:$Z,20,FALSE)+VLOOKUP($A114,A:AL,28,FALSE)-50)),"-",(VLOOKUP($A114,'SegEnds_NonXtal_BW#'!$A:$Z,20,FALSE)+VLOOKUP($A114,A:AL,28,FALSE)-50))</f>
        <v>246</v>
      </c>
      <c r="AD114" s="3">
        <f>IF(ISERROR(VLOOKUP($A114,'SegEnds_NonXtal_BW#'!$A:$Z,21,FALSE)+VLOOKUP($A114,A:AL,31,FALSE)-50),"-",(VLOOKUP($A114,'SegEnds_NonXtal_BW#'!$A:$Z,21,FALSE)+VLOOKUP($A114,A:AL,31,FALSE)-50))</f>
        <v>252</v>
      </c>
      <c r="AE114" s="3">
        <v>278</v>
      </c>
      <c r="AF114" s="3">
        <f>IF(ISERROR((VLOOKUP($A114,'SegEnds_NonXtal_BW#'!$A:$Z,22,FALSE)+VLOOKUP($A114,A:AL,31,FALSE)-50)),"-",(VLOOKUP($A114,'SegEnds_NonXtal_BW#'!$A:$Z,22,FALSE)+VLOOKUP($A114,A:AL,31,FALSE)-50))</f>
        <v>289</v>
      </c>
      <c r="AG114" s="3">
        <f>IF(ISERROR(VLOOKUP($A114,'SegEnds_NonXtal_BW#'!$A:$Z,23,FALSE)+VLOOKUP($A114,A:AL,34,FALSE)-50),"-",(VLOOKUP($A114,'SegEnds_NonXtal_BW#'!$A:$Z,23,FALSE)+VLOOKUP($A114,A:AL,34,FALSE)-50))</f>
        <v>298</v>
      </c>
      <c r="AH114" s="3">
        <v>320</v>
      </c>
      <c r="AI114" s="3">
        <f>IF(ISERROR((VLOOKUP($A114,'SegEnds_NonXtal_BW#'!$A:$Z,24,FALSE)+VLOOKUP($A114,A:AL,34,FALSE)-50)),"-",(VLOOKUP($A114,'SegEnds_NonXtal_BW#'!$A:$Z,24,FALSE)+VLOOKUP($A114,A:AL,34,FALSE)-50))</f>
        <v>326</v>
      </c>
      <c r="AJ114" s="3">
        <f>IF(ISERROR(VLOOKUP($A114,'SegEnds_NonXtal_BW#'!$A:$Z,25,FALSE)+VLOOKUP($A114,A:AL,37,FALSE)-50),"-",(VLOOKUP($A114,'SegEnds_NonXtal_BW#'!$A:$Z,25,FALSE)+VLOOKUP($A114,A:AL,37,FALSE)-50))</f>
        <v>327</v>
      </c>
      <c r="AK114" s="3">
        <v>330</v>
      </c>
      <c r="AL114" s="3">
        <f>IF(ISERROR((VLOOKUP($A114,'SegEnds_NonXtal_BW#'!$A:$Z,26,FALSE)+VLOOKUP($A114,A:AL,37,FALSE)-50)),"-",(VLOOKUP($A114,'SegEnds_NonXtal_BW#'!$A:$Z,26,FALSE)+VLOOKUP($A114,A:AL,37,FALSE)-50))</f>
        <v>342</v>
      </c>
      <c r="AM114" s="28" t="str">
        <f>VLOOKUP(A114,Classification!A:B,2,FALSE)</f>
        <v>A</v>
      </c>
      <c r="AN114" s="28" t="b">
        <f t="shared" si="55"/>
        <v>1</v>
      </c>
      <c r="AO114" s="3" t="str">
        <f>IF(ISERROR(MATCH(A114,'SegEnds_Xtal_Prot#'!B:B, 0)), "NoXtal", "Xtal")</f>
        <v>NoXtal</v>
      </c>
      <c r="AP114" s="3">
        <f t="shared" si="39"/>
        <v>1</v>
      </c>
      <c r="AQ114" s="3">
        <f t="shared" si="40"/>
        <v>1</v>
      </c>
      <c r="AR114" s="3">
        <f t="shared" si="41"/>
        <v>2</v>
      </c>
      <c r="AS114" s="3">
        <f t="shared" si="42"/>
        <v>1</v>
      </c>
      <c r="AT114" s="3">
        <f t="shared" si="43"/>
        <v>1</v>
      </c>
      <c r="AU114" s="3">
        <f t="shared" si="44"/>
        <v>1</v>
      </c>
      <c r="AV114" s="3">
        <f t="shared" si="45"/>
        <v>16</v>
      </c>
      <c r="AW114" s="3">
        <f t="shared" si="46"/>
        <v>5</v>
      </c>
      <c r="AX114" s="3">
        <f t="shared" si="47"/>
        <v>6</v>
      </c>
      <c r="AY114" s="3">
        <f t="shared" si="48"/>
        <v>9</v>
      </c>
      <c r="AZ114" s="3">
        <f t="shared" si="49"/>
        <v>1</v>
      </c>
      <c r="BA114" s="3">
        <f>IF(ISERROR(LEN(VLOOKUP(A114,Seqs!A:E,2,FALSE))-AL114),"-",LEN(VLOOKUP(A114,Seqs!A:E,2,FALSE))-AL114)</f>
        <v>24</v>
      </c>
      <c r="BB114" s="16">
        <f t="shared" si="50"/>
        <v>28</v>
      </c>
      <c r="BC114" s="9">
        <f t="shared" si="51"/>
        <v>20</v>
      </c>
      <c r="BD114" s="3">
        <f t="shared" si="52"/>
        <v>28</v>
      </c>
      <c r="BE114" s="3">
        <f t="shared" si="53"/>
        <v>54</v>
      </c>
      <c r="BF114" s="3">
        <f>AH114-AE114</f>
        <v>42</v>
      </c>
    </row>
    <row r="115" spans="1:60" s="3" customFormat="1" x14ac:dyDescent="0.2">
      <c r="A115" s="3" t="s">
        <v>211</v>
      </c>
      <c r="B115" s="3" t="str">
        <f>LOWER(VLOOKUP(A115,Xtal_Templ!A:B,2,FALSE))</f>
        <v>ccr5_human</v>
      </c>
      <c r="C115" s="3">
        <f>VLOOKUP($A115,'SegEnds_NonXtal_BW#'!$A:$Z,3,FALSE)+D115-50</f>
        <v>23</v>
      </c>
      <c r="D115" s="3">
        <v>49</v>
      </c>
      <c r="E115" s="3">
        <f>IF(ISERROR(VLOOKUP($A115,'SegEnds_NonXtal_BW#'!$A:$Z,4,FALSE)+VLOOKUP($A115,A:AL,4,FALSE)-50),"-",(VLOOKUP($A115,'SegEnds_NonXtal_BW#'!$A:$Z,4,FALSE)+VLOOKUP($A115,A:AL,4,FALSE)-50))</f>
        <v>59</v>
      </c>
      <c r="F115" s="3">
        <f>G115-2</f>
        <v>60</v>
      </c>
      <c r="G115" s="3">
        <v>62</v>
      </c>
      <c r="H115" s="3">
        <f t="shared" si="71"/>
        <v>63</v>
      </c>
      <c r="I115" s="3">
        <f t="shared" si="71"/>
        <v>64</v>
      </c>
      <c r="J115" s="3">
        <v>77</v>
      </c>
      <c r="K115" s="3">
        <f>VLOOKUP($A115,'SegEnds_NonXtal_BW#'!$A:$Z,8,FALSE)+VLOOKUP($A115,A:AL,10,FALSE)-50</f>
        <v>93</v>
      </c>
      <c r="L115" s="3">
        <f t="shared" si="68"/>
        <v>96</v>
      </c>
      <c r="M115" s="3">
        <v>97</v>
      </c>
      <c r="N115" s="3">
        <f t="shared" si="69"/>
        <v>99</v>
      </c>
      <c r="O115" s="3">
        <f t="shared" si="70"/>
        <v>100</v>
      </c>
      <c r="P115" s="3">
        <v>129</v>
      </c>
      <c r="Q115" s="3">
        <f>VLOOKUP($A115,'SegEnds_NonXtal_BW#'!$A:$Z,12,FALSE)+VLOOKUP($A115,A:AL,16,FALSE)-50</f>
        <v>135</v>
      </c>
      <c r="R115" s="3">
        <f>IF(ISERROR(VLOOKUP($A115,'SegEnds_NonXtal_BW#'!$A:$Z,13,FALSE)+VLOOKUP($A115,A:AL,19,FALSE)-50),"-",VLOOKUP($A115,'SegEnds_NonXtal_BW#'!$A:$Z,13,FALSE)+VLOOKUP($A115,A:AL,19,FALSE)-50)</f>
        <v>136</v>
      </c>
      <c r="S115" s="3">
        <v>136</v>
      </c>
      <c r="T115" s="100">
        <f>IF(ISERROR(VLOOKUP($A115,'SegEnds_NonXtal_BW#'!$A:$Z,14,FALSE)+VLOOKUP($A115,A:AL,19,FALSE)-50),"-",(VLOOKUP($A115,'SegEnds_NonXtal_BW#'!$A:$Z,14,FALSE)+VLOOKUP($A115,A:AL,19,FALSE)-50))</f>
        <v>143</v>
      </c>
      <c r="U115" s="9">
        <f>IF(ISERROR(VLOOKUP($A115,'SegEnds_NonXtal_BW#'!$A:$Z,15,FALSE)+VLOOKUP($A115,A:AL,22,FALSE)-50),"-",VLOOKUP($A115,'SegEnds_NonXtal_BW#'!$A:$Z,15,FALSE)+VLOOKUP($A115,A:AL,22,FALSE)-50)</f>
        <v>144</v>
      </c>
      <c r="V115" s="3">
        <v>156</v>
      </c>
      <c r="W115" s="3">
        <f>IF(ISERROR(VLOOKUP($A115,'SegEnds_NonXtal_BW#'!$A:$Z,16,FALSE)+VLOOKUP($A115,A:AL,22,FALSE)-50),"-",(VLOOKUP($A115,'SegEnds_NonXtal_BW#'!$A:$Z,16,FALSE)+VLOOKUP($A115,A:AL,22,FALSE)-50))</f>
        <v>170</v>
      </c>
      <c r="X115" s="3">
        <f>IF(ISERROR(VLOOKUP($A115,'SegEnds_NonXtal_BW#'!$A:$Z,17,FALSE)+VLOOKUP($A115,A:AL,25,FALSE)-50),"-",(VLOOKUP($A115,'SegEnds_NonXtal_BW#'!$A:$Z,17,FALSE)+VLOOKUP($A115,A:AL,25,FALSE)-50))</f>
        <v>182</v>
      </c>
      <c r="Y115" s="3">
        <v>182</v>
      </c>
      <c r="Z115" s="3">
        <f t="shared" si="64"/>
        <v>184</v>
      </c>
      <c r="AA115" s="3">
        <f>IF(ISERROR(VLOOKUP($A115,'SegEnds_NonXtal_BW#'!$A:$Z,19,FALSE)+VLOOKUP($A115,A:AL,28,FALSE)-50),"-",(VLOOKUP($A115,'SegEnds_NonXtal_BW#'!$A:$Z,19,FALSE)+VLOOKUP($A115,A:AL,28,FALSE)-50))</f>
        <v>189</v>
      </c>
      <c r="AB115" s="3">
        <v>204</v>
      </c>
      <c r="AC115" s="3">
        <f>IF(ISERROR((VLOOKUP($A115,'SegEnds_NonXtal_BW#'!$A:$Z,20,FALSE)+VLOOKUP($A115,A:AL,28,FALSE)-50)),"-",(VLOOKUP($A115,'SegEnds_NonXtal_BW#'!$A:$Z,20,FALSE)+VLOOKUP($A115,A:AL,28,FALSE)-50))</f>
        <v>229</v>
      </c>
      <c r="AD115" s="3">
        <f>IF(ISERROR(VLOOKUP($A115,'SegEnds_NonXtal_BW#'!$A:$Z,21,FALSE)+VLOOKUP($A115,A:AL,31,FALSE)-50),"-",(VLOOKUP($A115,'SegEnds_NonXtal_BW#'!$A:$Z,21,FALSE)+VLOOKUP($A115,A:AL,31,FALSE)-50))</f>
        <v>388</v>
      </c>
      <c r="AE115" s="3">
        <v>414</v>
      </c>
      <c r="AF115" s="3">
        <f>IF(ISERROR((VLOOKUP($A115,'SegEnds_NonXtal_BW#'!$A:$Z,22,FALSE)+VLOOKUP($A115,A:AL,31,FALSE)-50)),"-",(VLOOKUP($A115,'SegEnds_NonXtal_BW#'!$A:$Z,22,FALSE)+VLOOKUP($A115,A:AL,31,FALSE)-50))</f>
        <v>425</v>
      </c>
      <c r="AG115" s="3">
        <f>IF(ISERROR(VLOOKUP($A115,'SegEnds_NonXtal_BW#'!$A:$Z,23,FALSE)+VLOOKUP($A115,A:AL,34,FALSE)-50),"-",(VLOOKUP($A115,'SegEnds_NonXtal_BW#'!$A:$Z,23,FALSE)+VLOOKUP($A115,A:AL,34,FALSE)-50))</f>
        <v>432</v>
      </c>
      <c r="AH115" s="3">
        <v>451</v>
      </c>
      <c r="AI115" s="3">
        <f>IF(ISERROR((VLOOKUP($A115,'SegEnds_NonXtal_BW#'!$A:$Z,24,FALSE)+VLOOKUP($A115,A:AL,34,FALSE)-50)),"-",(VLOOKUP($A115,'SegEnds_NonXtal_BW#'!$A:$Z,24,FALSE)+VLOOKUP($A115,A:AL,34,FALSE)-50))</f>
        <v>457</v>
      </c>
      <c r="AJ115" s="3">
        <f>IF(ISERROR(VLOOKUP($A115,'SegEnds_NonXtal_BW#'!$A:$Z,25,FALSE)+VLOOKUP($A115,A:AL,37,FALSE)-50),"-",(VLOOKUP($A115,'SegEnds_NonXtal_BW#'!$A:$Z,25,FALSE)+VLOOKUP($A115,A:AL,37,FALSE)-50))</f>
        <v>458</v>
      </c>
      <c r="AK115" s="3">
        <v>461</v>
      </c>
      <c r="AL115" s="3">
        <f>IF(ISERROR((VLOOKUP($A115,'SegEnds_NonXtal_BW#'!$A:$Z,26,FALSE)+VLOOKUP($A115,A:AL,37,FALSE)-50)),"-",(VLOOKUP($A115,'SegEnds_NonXtal_BW#'!$A:$Z,26,FALSE)+VLOOKUP($A115,A:AL,37,FALSE)-50))</f>
        <v>470</v>
      </c>
      <c r="AM115" s="28" t="str">
        <f>VLOOKUP(A115,Classification!A:B,2,FALSE)</f>
        <v>A</v>
      </c>
      <c r="AN115" s="28" t="b">
        <f t="shared" si="55"/>
        <v>1</v>
      </c>
      <c r="AO115" s="3" t="str">
        <f>IF(ISERROR(MATCH(A115,'SegEnds_Xtal_Prot#'!B:B, 0)), "NoXtal", "Xtal")</f>
        <v>NoXtal</v>
      </c>
      <c r="AP115" s="3">
        <f t="shared" si="39"/>
        <v>1</v>
      </c>
      <c r="AQ115" s="3">
        <f t="shared" si="40"/>
        <v>1</v>
      </c>
      <c r="AR115" s="3">
        <f t="shared" si="41"/>
        <v>3</v>
      </c>
      <c r="AS115" s="3">
        <f t="shared" si="42"/>
        <v>1</v>
      </c>
      <c r="AT115" s="3">
        <f t="shared" si="43"/>
        <v>1</v>
      </c>
      <c r="AU115" s="3">
        <f t="shared" si="44"/>
        <v>1</v>
      </c>
      <c r="AV115" s="3">
        <f t="shared" si="45"/>
        <v>12</v>
      </c>
      <c r="AW115" s="3">
        <f t="shared" si="46"/>
        <v>5</v>
      </c>
      <c r="AX115" s="3">
        <f t="shared" si="47"/>
        <v>159</v>
      </c>
      <c r="AY115" s="3">
        <f t="shared" si="48"/>
        <v>7</v>
      </c>
      <c r="AZ115" s="3">
        <f t="shared" si="49"/>
        <v>1</v>
      </c>
      <c r="BA115" s="3">
        <f>IF(ISERROR(LEN(VLOOKUP(A115,Seqs!A:E,2,FALSE))-AL115),"-",LEN(VLOOKUP(A115,Seqs!A:E,2,FALSE))-AL115)</f>
        <v>38</v>
      </c>
      <c r="BB115" s="16">
        <f t="shared" si="50"/>
        <v>28</v>
      </c>
      <c r="BC115" s="9">
        <f t="shared" si="51"/>
        <v>20</v>
      </c>
      <c r="BD115" s="3">
        <f t="shared" si="52"/>
        <v>28</v>
      </c>
      <c r="BE115" s="3">
        <f t="shared" si="53"/>
        <v>210</v>
      </c>
    </row>
    <row r="116" spans="1:60" s="3" customFormat="1" x14ac:dyDescent="0.2">
      <c r="A116" s="3" t="s">
        <v>212</v>
      </c>
      <c r="B116" s="3" t="str">
        <f>LOWER(VLOOKUP(A116,Xtal_Templ!A:B,2,FALSE))</f>
        <v>5ht2a_human</v>
      </c>
      <c r="C116" s="3">
        <f>VLOOKUP($A116,'SegEnds_NonXtal_BW#'!$A:$Z,3,FALSE)+D116-50</f>
        <v>-1</v>
      </c>
      <c r="D116" s="3">
        <v>22</v>
      </c>
      <c r="E116" s="3">
        <f>IF(ISERROR(VLOOKUP($A116,'SegEnds_NonXtal_BW#'!$A:$Z,4,FALSE)+VLOOKUP($A116,A:AL,4,FALSE)-50),"-",(VLOOKUP($A116,'SegEnds_NonXtal_BW#'!$A:$Z,4,FALSE)+VLOOKUP($A116,A:AL,4,FALSE)-50))</f>
        <v>32</v>
      </c>
      <c r="F116" s="3" t="str">
        <f>IF(ISERROR(VLOOKUP($A116,'SegEnds_NonXtal_BW#'!$A:$Z,5,FALSE)+VLOOKUP($A116,A:AL,7,FALSE)-50),"-",(VLOOKUP($A116,'SegEnds_NonXtal_BW#'!$A:$Z,5,FALSE)+VLOOKUP($A116,A:AL,7,FALSE)-50))</f>
        <v>-</v>
      </c>
      <c r="G116" s="3" t="s">
        <v>23</v>
      </c>
      <c r="H116" s="3" t="str">
        <f>IF(ISERROR(VLOOKUP($A116,'SegEnds_NonXtal_BW#'!$A:$Z,6,FALSE)+VLOOKUP($A116,A:AL,7,FALSE)-50),"-",(VLOOKUP($A116,'SegEnds_NonXtal_BW#'!$A:$Z,6,FALSE)+VLOOKUP($A116,A:AL,7,FALSE)-50))</f>
        <v>-</v>
      </c>
      <c r="I116" s="3">
        <f>VLOOKUP($A116,'SegEnds_NonXtal_BW#'!$A:$Z,7,FALSE)+J116-50</f>
        <v>38</v>
      </c>
      <c r="J116" s="3">
        <v>51</v>
      </c>
      <c r="K116" s="3">
        <f>VLOOKUP($A116,'SegEnds_NonXtal_BW#'!$A:$Z,8,FALSE)+VLOOKUP($A116,A:AL,10,FALSE)-50</f>
        <v>67</v>
      </c>
      <c r="L116" s="3" t="str">
        <f>IF(ISERROR(VLOOKUP($A116,'SegEnds_NonXtal_BW#'!$A:$Z,9,FALSE)+VLOOKUP($A116,A:AL,13,FALSE)-50),"-",(VLOOKUP($A116,'SegEnds_NonXtal_BW#'!$A:$Z,9,FALSE)+VLOOKUP($A116,A:AL,13,FALSE)-50))</f>
        <v>-</v>
      </c>
      <c r="M116" s="3" t="s">
        <v>23</v>
      </c>
      <c r="N116" s="3" t="str">
        <f>IF(ISERROR(VLOOKUP($A116,'SegEnds_NonXtal_BW#'!$A:$Z,10,FALSE)+VLOOKUP($A116,A:AL,13,FALSE)-50),"-",(VLOOKUP($A116,'SegEnds_NonXtal_BW#'!$A:$Z,10,FALSE)+VLOOKUP($A116,A:AL,13,FALSE)-50))</f>
        <v>-</v>
      </c>
      <c r="O116" s="3">
        <f>VLOOKUP($A116,'SegEnds_NonXtal_BW#'!$A:$Z,11,FALSE)+VLOOKUP($A116,A:AL,16,FALSE)-50</f>
        <v>71</v>
      </c>
      <c r="P116" s="3">
        <v>103</v>
      </c>
      <c r="Q116" s="3">
        <f>VLOOKUP($A116,'SegEnds_NonXtal_BW#'!$A:$Z,12,FALSE)+VLOOKUP($A116,A:AL,16,FALSE)-50</f>
        <v>109</v>
      </c>
      <c r="R116" s="3">
        <f>IF(ISERROR(VLOOKUP($A116,'SegEnds_NonXtal_BW#'!$A:$Z,13,FALSE)+VLOOKUP($A116,A:AL,19,FALSE)-50),"-",VLOOKUP($A116,'SegEnds_NonXtal_BW#'!$A:$Z,13,FALSE)+VLOOKUP($A116,A:AL,19,FALSE)-50)</f>
        <v>110</v>
      </c>
      <c r="S116" s="3">
        <v>110</v>
      </c>
      <c r="T116" s="100">
        <f>IF(ISERROR(VLOOKUP($A116,'SegEnds_NonXtal_BW#'!$A:$Z,14,FALSE)+VLOOKUP($A116,A:AL,19,FALSE)-50),"-",(VLOOKUP($A116,'SegEnds_NonXtal_BW#'!$A:$Z,14,FALSE)+VLOOKUP($A116,A:AL,19,FALSE)-50))</f>
        <v>117</v>
      </c>
      <c r="U116" s="9">
        <f>IF(ISERROR(VLOOKUP($A116,'SegEnds_NonXtal_BW#'!$A:$Z,15,FALSE)+VLOOKUP($A116,A:AL,22,FALSE)-50),"-",VLOOKUP($A116,'SegEnds_NonXtal_BW#'!$A:$Z,15,FALSE)+VLOOKUP($A116,A:AL,22,FALSE)-50)</f>
        <v>118</v>
      </c>
      <c r="V116" s="3">
        <v>130</v>
      </c>
      <c r="W116" s="3">
        <f>IF(ISERROR(VLOOKUP($A116,'SegEnds_NonXtal_BW#'!$A:$Z,16,FALSE)+VLOOKUP($A116,A:AL,22,FALSE)-50),"-",(VLOOKUP($A116,'SegEnds_NonXtal_BW#'!$A:$Z,16,FALSE)+VLOOKUP($A116,A:AL,22,FALSE)-50))</f>
        <v>147</v>
      </c>
      <c r="X116" s="3">
        <f>Y116</f>
        <v>155</v>
      </c>
      <c r="Y116" s="3">
        <v>155</v>
      </c>
      <c r="Z116" s="3">
        <f t="shared" si="64"/>
        <v>157</v>
      </c>
      <c r="AA116" s="3">
        <f>IF(ISERROR(VLOOKUP($A116,'SegEnds_NonXtal_BW#'!$A:$Z,19,FALSE)+VLOOKUP($A116,A:AL,28,FALSE)-50),"-",(VLOOKUP($A116,'SegEnds_NonXtal_BW#'!$A:$Z,19,FALSE)+VLOOKUP($A116,A:AL,28,FALSE)-50))</f>
        <v>161</v>
      </c>
      <c r="AB116" s="3">
        <v>176</v>
      </c>
      <c r="AC116" s="3">
        <f>IF(ISERROR((VLOOKUP($A116,'SegEnds_NonXtal_BW#'!$A:$Z,20,FALSE)+VLOOKUP($A116,A:AL,28,FALSE)-50)),"-",(VLOOKUP($A116,'SegEnds_NonXtal_BW#'!$A:$Z,20,FALSE)+VLOOKUP($A116,A:AL,28,FALSE)-50))</f>
        <v>200</v>
      </c>
      <c r="AD116" s="3">
        <f>IF(ISERROR(VLOOKUP($A116,'SegEnds_NonXtal_BW#'!$A:$Z,21,FALSE)+VLOOKUP($A116,A:AL,31,FALSE)-50),"-",(VLOOKUP($A116,'SegEnds_NonXtal_BW#'!$A:$Z,21,FALSE)+VLOOKUP($A116,A:AL,31,FALSE)-50))</f>
        <v>211</v>
      </c>
      <c r="AE116" s="3">
        <v>240</v>
      </c>
      <c r="AF116" s="3">
        <f>IF(ISERROR((VLOOKUP($A116,'SegEnds_NonXtal_BW#'!$A:$Z,22,FALSE)+VLOOKUP($A116,A:AL,31,FALSE)-50)),"-",(VLOOKUP($A116,'SegEnds_NonXtal_BW#'!$A:$Z,22,FALSE)+VLOOKUP($A116,A:AL,31,FALSE)-50))</f>
        <v>251</v>
      </c>
      <c r="AG116" s="3">
        <f>IF(ISERROR(VLOOKUP($A116,'SegEnds_NonXtal_BW#'!$A:$Z,23,FALSE)+VLOOKUP($A116,A:AL,34,FALSE)-50),"-",(VLOOKUP($A116,'SegEnds_NonXtal_BW#'!$A:$Z,23,FALSE)+VLOOKUP($A116,A:AL,34,FALSE)-50))</f>
        <v>257</v>
      </c>
      <c r="AH116" s="3">
        <v>276</v>
      </c>
      <c r="AI116" s="3">
        <v>282</v>
      </c>
      <c r="AJ116" s="3">
        <f>IF(ISERROR(VLOOKUP($A116,'SegEnds_NonXtal_BW#'!$A:$Z,25,FALSE)+VLOOKUP($A116,A:AL,37,FALSE)-50),"-",(VLOOKUP($A116,'SegEnds_NonXtal_BW#'!$A:$Z,25,FALSE)+VLOOKUP($A116,A:AL,37,FALSE)-50))</f>
        <v>283</v>
      </c>
      <c r="AK116" s="3">
        <v>286</v>
      </c>
      <c r="AL116" s="3">
        <f>IF(ISERROR((VLOOKUP($A116,'SegEnds_NonXtal_BW#'!$A:$Z,26,FALSE)+VLOOKUP($A116,A:AL,37,FALSE)-50)),"-",(VLOOKUP($A116,'SegEnds_NonXtal_BW#'!$A:$Z,26,FALSE)+VLOOKUP($A116,A:AL,37,FALSE)-50))</f>
        <v>296</v>
      </c>
      <c r="AM116" s="28" t="str">
        <f>VLOOKUP(A116,Classification!A:B,2,FALSE)</f>
        <v>A</v>
      </c>
      <c r="AN116" s="28" t="b">
        <f t="shared" si="55"/>
        <v>1</v>
      </c>
      <c r="AO116" s="3" t="str">
        <f>IF(ISERROR(MATCH(A116,'SegEnds_Xtal_Prot#'!B:B, 0)), "NoXtal", "Xtal")</f>
        <v>NoXtal</v>
      </c>
      <c r="AP116" s="3" t="str">
        <f t="shared" si="39"/>
        <v>-</v>
      </c>
      <c r="AQ116" s="3" t="str">
        <f t="shared" si="40"/>
        <v>-</v>
      </c>
      <c r="AR116" s="3" t="str">
        <f t="shared" si="41"/>
        <v>-</v>
      </c>
      <c r="AS116" s="3" t="str">
        <f t="shared" si="42"/>
        <v>-</v>
      </c>
      <c r="AT116" s="3">
        <f t="shared" si="43"/>
        <v>1</v>
      </c>
      <c r="AU116" s="3">
        <f t="shared" si="44"/>
        <v>1</v>
      </c>
      <c r="AV116" s="3">
        <f t="shared" si="45"/>
        <v>8</v>
      </c>
      <c r="AW116" s="3">
        <f t="shared" si="46"/>
        <v>4</v>
      </c>
      <c r="AX116" s="3">
        <f t="shared" si="47"/>
        <v>11</v>
      </c>
      <c r="AY116" s="3">
        <f t="shared" si="48"/>
        <v>6</v>
      </c>
      <c r="AZ116" s="3">
        <f t="shared" si="49"/>
        <v>1</v>
      </c>
      <c r="BA116" s="3">
        <f>IF(ISERROR(LEN(VLOOKUP(A116,Seqs!A:E,2,FALSE))-AL116),"-",LEN(VLOOKUP(A116,Seqs!A:E,2,FALSE))-AL116)</f>
        <v>39</v>
      </c>
      <c r="BB116" s="16">
        <f t="shared" si="50"/>
        <v>29</v>
      </c>
      <c r="BC116" s="9">
        <f t="shared" si="51"/>
        <v>20</v>
      </c>
      <c r="BD116" s="3">
        <f t="shared" si="52"/>
        <v>29</v>
      </c>
      <c r="BE116" s="3">
        <f t="shared" si="53"/>
        <v>64</v>
      </c>
    </row>
    <row r="117" spans="1:60" s="3" customFormat="1" x14ac:dyDescent="0.2">
      <c r="A117" s="3" t="s">
        <v>216</v>
      </c>
      <c r="B117" s="3" t="str">
        <f>LOWER(VLOOKUP(A117,Xtal_Templ!A:B,2,FALSE))</f>
        <v>ccr7_human</v>
      </c>
      <c r="C117" s="3">
        <f>VLOOKUP($A117,'SegEnds_NonXtal_BW#'!$A:$Z,3,FALSE)+D117-50</f>
        <v>13</v>
      </c>
      <c r="D117" s="3">
        <v>34</v>
      </c>
      <c r="E117" s="3">
        <f>IF(ISERROR(VLOOKUP($A117,'SegEnds_NonXtal_BW#'!$A:$Z,4,FALSE)+VLOOKUP($A117,A:AL,4,FALSE)-50),"-",(VLOOKUP($A117,'SegEnds_NonXtal_BW#'!$A:$Z,4,FALSE)+VLOOKUP($A117,A:AL,4,FALSE)-50))</f>
        <v>44</v>
      </c>
      <c r="F117" s="3">
        <f>G117-2</f>
        <v>45</v>
      </c>
      <c r="G117" s="3">
        <v>47</v>
      </c>
      <c r="H117" s="3">
        <f>G117+1</f>
        <v>48</v>
      </c>
      <c r="I117" s="3">
        <f>H117+1</f>
        <v>49</v>
      </c>
      <c r="J117" s="3">
        <v>62</v>
      </c>
      <c r="K117" s="3">
        <f>VLOOKUP($A117,'SegEnds_NonXtal_BW#'!$A:$Z,8,FALSE)+VLOOKUP($A117,A:AL,10,FALSE)-50</f>
        <v>78</v>
      </c>
      <c r="L117" s="3">
        <f t="shared" ref="L117:L122" si="72">M117-1</f>
        <v>80</v>
      </c>
      <c r="M117" s="3">
        <v>81</v>
      </c>
      <c r="N117" s="3">
        <f t="shared" ref="N117:N122" si="73">M117+2</f>
        <v>83</v>
      </c>
      <c r="O117" s="3">
        <f t="shared" ref="O117:O122" si="74">N117+1</f>
        <v>84</v>
      </c>
      <c r="P117" s="3">
        <v>113</v>
      </c>
      <c r="Q117" s="3">
        <f>VLOOKUP($A117,'SegEnds_NonXtal_BW#'!$A:$Z,12,FALSE)+VLOOKUP($A117,A:AL,16,FALSE)-50</f>
        <v>119</v>
      </c>
      <c r="R117" s="3">
        <f>IF(ISERROR(VLOOKUP($A117,'SegEnds_NonXtal_BW#'!$A:$Z,13,FALSE)+VLOOKUP($A117,A:AL,19,FALSE)-50),"-",VLOOKUP($A117,'SegEnds_NonXtal_BW#'!$A:$Z,13,FALSE)+VLOOKUP($A117,A:AL,19,FALSE)-50)</f>
        <v>120</v>
      </c>
      <c r="S117" s="3">
        <v>120</v>
      </c>
      <c r="T117" s="100">
        <f>IF(ISERROR(VLOOKUP($A117,'SegEnds_NonXtal_BW#'!$A:$Z,14,FALSE)+VLOOKUP($A117,A:AL,19,FALSE)-50),"-",(VLOOKUP($A117,'SegEnds_NonXtal_BW#'!$A:$Z,14,FALSE)+VLOOKUP($A117,A:AL,19,FALSE)-50))</f>
        <v>127</v>
      </c>
      <c r="U117" s="9">
        <f>IF(ISERROR(VLOOKUP($A117,'SegEnds_NonXtal_BW#'!$A:$Z,15,FALSE)+VLOOKUP($A117,A:AL,22,FALSE)-50),"-",VLOOKUP($A117,'SegEnds_NonXtal_BW#'!$A:$Z,15,FALSE)+VLOOKUP($A117,A:AL,22,FALSE)-50)</f>
        <v>128</v>
      </c>
      <c r="V117" s="3">
        <v>140</v>
      </c>
      <c r="W117" s="3">
        <f>IF(ISERROR(VLOOKUP($A117,'SegEnds_NonXtal_BW#'!$A:$Z,16,FALSE)+VLOOKUP($A117,A:AL,22,FALSE)-50),"-",(VLOOKUP($A117,'SegEnds_NonXtal_BW#'!$A:$Z,16,FALSE)+VLOOKUP($A117,A:AL,22,FALSE)-50))</f>
        <v>154</v>
      </c>
      <c r="X117" s="3">
        <f>IF(ISERROR(VLOOKUP($A117,'SegEnds_NonXtal_BW#'!$A:$Z,17,FALSE)+VLOOKUP($A117,A:AL,25,FALSE)-50),"-",(VLOOKUP($A117,'SegEnds_NonXtal_BW#'!$A:$Z,17,FALSE)+VLOOKUP($A117,A:AL,25,FALSE)-50))</f>
        <v>166</v>
      </c>
      <c r="Y117" s="3">
        <v>166</v>
      </c>
      <c r="Z117" s="3">
        <f t="shared" si="64"/>
        <v>168</v>
      </c>
      <c r="AA117" s="3">
        <f>IF(ISERROR(VLOOKUP($A117,'SegEnds_NonXtal_BW#'!$A:$Z,19,FALSE)+VLOOKUP($A117,A:AL,28,FALSE)-50),"-",(VLOOKUP($A117,'SegEnds_NonXtal_BW#'!$A:$Z,19,FALSE)+VLOOKUP($A117,A:AL,28,FALSE)-50))</f>
        <v>179</v>
      </c>
      <c r="AB117" s="3">
        <v>196</v>
      </c>
      <c r="AC117" s="3">
        <f>IF(ISERROR((VLOOKUP($A117,'SegEnds_NonXtal_BW#'!$A:$Z,20,FALSE)+VLOOKUP($A117,A:AL,28,FALSE)-50)),"-",(VLOOKUP($A117,'SegEnds_NonXtal_BW#'!$A:$Z,20,FALSE)+VLOOKUP($A117,A:AL,28,FALSE)-50))</f>
        <v>214</v>
      </c>
      <c r="AD117" s="3">
        <f>IF(ISERROR(VLOOKUP($A117,'SegEnds_NonXtal_BW#'!$A:$Z,21,FALSE)+VLOOKUP($A117,A:AL,31,FALSE)-50),"-",(VLOOKUP($A117,'SegEnds_NonXtal_BW#'!$A:$Z,21,FALSE)+VLOOKUP($A117,A:AL,31,FALSE)-50))</f>
        <v>218</v>
      </c>
      <c r="AE117" s="3">
        <v>240</v>
      </c>
      <c r="AF117" s="3">
        <f>IF(ISERROR((VLOOKUP($A117,'SegEnds_NonXtal_BW#'!$A:$Z,22,FALSE)+VLOOKUP($A117,A:AL,31,FALSE)-50)),"-",(VLOOKUP($A117,'SegEnds_NonXtal_BW#'!$A:$Z,22,FALSE)+VLOOKUP($A117,A:AL,31,FALSE)-50))</f>
        <v>251</v>
      </c>
      <c r="AG117" s="3">
        <f>IF(ISERROR(VLOOKUP($A117,'SegEnds_NonXtal_BW#'!$A:$Z,23,FALSE)+VLOOKUP($A117,A:AL,34,FALSE)-50),"-",(VLOOKUP($A117,'SegEnds_NonXtal_BW#'!$A:$Z,23,FALSE)+VLOOKUP($A117,A:AL,34,FALSE)-50))</f>
        <v>258</v>
      </c>
      <c r="AH117" s="3">
        <v>280</v>
      </c>
      <c r="AI117" s="3">
        <f>IF(ISERROR((VLOOKUP($A117,'SegEnds_NonXtal_BW#'!$A:$Z,24,FALSE)+VLOOKUP($A117,A:AL,34,FALSE)-50)),"-",(VLOOKUP($A117,'SegEnds_NonXtal_BW#'!$A:$Z,24,FALSE)+VLOOKUP($A117,A:AL,34,FALSE)-50))</f>
        <v>286</v>
      </c>
      <c r="AJ117" s="3">
        <v>288</v>
      </c>
      <c r="AK117" s="3">
        <v>291</v>
      </c>
      <c r="AL117" s="3">
        <v>300</v>
      </c>
      <c r="AM117" s="28" t="str">
        <f>VLOOKUP(A117,Classification!A:B,2,FALSE)</f>
        <v>A</v>
      </c>
      <c r="AN117" s="28" t="b">
        <f t="shared" si="55"/>
        <v>1</v>
      </c>
      <c r="AO117" s="3" t="str">
        <f>IF(ISERROR(MATCH(A117,'SegEnds_Xtal_Prot#'!B:B, 0)), "NoXtal", "Xtal")</f>
        <v>NoXtal</v>
      </c>
      <c r="AP117" s="3">
        <f t="shared" si="39"/>
        <v>1</v>
      </c>
      <c r="AQ117" s="3">
        <f t="shared" si="40"/>
        <v>1</v>
      </c>
      <c r="AR117" s="3">
        <f t="shared" si="41"/>
        <v>2</v>
      </c>
      <c r="AS117" s="3">
        <f t="shared" si="42"/>
        <v>1</v>
      </c>
      <c r="AT117" s="3">
        <f t="shared" si="43"/>
        <v>1</v>
      </c>
      <c r="AU117" s="3">
        <f t="shared" si="44"/>
        <v>1</v>
      </c>
      <c r="AV117" s="3">
        <f t="shared" si="45"/>
        <v>12</v>
      </c>
      <c r="AW117" s="3">
        <f t="shared" si="46"/>
        <v>11</v>
      </c>
      <c r="AX117" s="3">
        <f t="shared" si="47"/>
        <v>4</v>
      </c>
      <c r="AY117" s="3">
        <f t="shared" si="48"/>
        <v>7</v>
      </c>
      <c r="AZ117" s="3">
        <f t="shared" si="49"/>
        <v>2</v>
      </c>
      <c r="BA117" s="3">
        <f>IF(ISERROR(LEN(VLOOKUP(A117,Seqs!A:E,2,FALSE))-AL117),"-",LEN(VLOOKUP(A117,Seqs!A:E,2,FALSE))-AL117)</f>
        <v>5</v>
      </c>
      <c r="BB117" s="16">
        <f t="shared" si="50"/>
        <v>28</v>
      </c>
      <c r="BC117" s="9">
        <f t="shared" si="51"/>
        <v>20</v>
      </c>
      <c r="BD117" s="3">
        <f t="shared" si="52"/>
        <v>28</v>
      </c>
      <c r="BE117" s="3">
        <f t="shared" si="53"/>
        <v>44</v>
      </c>
      <c r="BF117" s="3">
        <f>AH117-AE117</f>
        <v>40</v>
      </c>
    </row>
    <row r="118" spans="1:60" s="3" customFormat="1" x14ac:dyDescent="0.2">
      <c r="A118" s="3" t="s">
        <v>219</v>
      </c>
      <c r="B118" s="3" t="str">
        <f>LOWER(VLOOKUP(A118,Xtal_Templ!A:B,2,FALSE))</f>
        <v>5ht1b_human</v>
      </c>
      <c r="C118" s="3">
        <f>VLOOKUP($A118,'SegEnds_NonXtal_BW#'!$A:$Z,3,FALSE)+D118-50</f>
        <v>45</v>
      </c>
      <c r="D118" s="3">
        <v>67</v>
      </c>
      <c r="E118" s="3">
        <f>IF(ISERROR(VLOOKUP($A118,'SegEnds_NonXtal_BW#'!$A:$Z,4,FALSE)+VLOOKUP($A118,A:AL,4,FALSE)-50),"-",(VLOOKUP($A118,'SegEnds_NonXtal_BW#'!$A:$Z,4,FALSE)+VLOOKUP($A118,A:AL,4,FALSE)-50))</f>
        <v>77</v>
      </c>
      <c r="F118" s="3">
        <f>G118-2</f>
        <v>78</v>
      </c>
      <c r="G118" s="3">
        <v>80</v>
      </c>
      <c r="H118" s="3">
        <f>G118+1</f>
        <v>81</v>
      </c>
      <c r="I118" s="3">
        <f>H118+1</f>
        <v>82</v>
      </c>
      <c r="J118" s="3">
        <v>96</v>
      </c>
      <c r="K118" s="3">
        <f>VLOOKUP($A118,'SegEnds_NonXtal_BW#'!$A:$Z,8,FALSE)+VLOOKUP($A118,A:AL,10,FALSE)-50</f>
        <v>112</v>
      </c>
      <c r="L118" s="3">
        <f t="shared" si="72"/>
        <v>113</v>
      </c>
      <c r="M118" s="3">
        <v>114</v>
      </c>
      <c r="N118" s="3">
        <f t="shared" si="73"/>
        <v>116</v>
      </c>
      <c r="O118" s="3">
        <f t="shared" si="74"/>
        <v>117</v>
      </c>
      <c r="P118" s="3">
        <v>146</v>
      </c>
      <c r="Q118" s="3">
        <f>VLOOKUP($A118,'SegEnds_NonXtal_BW#'!$A:$Z,12,FALSE)+VLOOKUP($A118,A:AL,16,FALSE)-50</f>
        <v>152</v>
      </c>
      <c r="R118" s="3">
        <f>IF(ISERROR(VLOOKUP($A118,'SegEnds_NonXtal_BW#'!$A:$Z,13,FALSE)+VLOOKUP($A118,A:AL,19,FALSE)-50),"-",VLOOKUP($A118,'SegEnds_NonXtal_BW#'!$A:$Z,13,FALSE)+VLOOKUP($A118,A:AL,19,FALSE)-50)</f>
        <v>153</v>
      </c>
      <c r="S118" s="3">
        <v>153</v>
      </c>
      <c r="T118" s="100">
        <f>IF(ISERROR(VLOOKUP($A118,'SegEnds_NonXtal_BW#'!$A:$Z,14,FALSE)+VLOOKUP($A118,A:AL,19,FALSE)-50),"-",(VLOOKUP($A118,'SegEnds_NonXtal_BW#'!$A:$Z,14,FALSE)+VLOOKUP($A118,A:AL,19,FALSE)-50))</f>
        <v>160</v>
      </c>
      <c r="U118" s="9">
        <f>IF(ISERROR(VLOOKUP($A118,'SegEnds_NonXtal_BW#'!$A:$Z,15,FALSE)+VLOOKUP($A118,A:AL,22,FALSE)-50),"-",VLOOKUP($A118,'SegEnds_NonXtal_BW#'!$A:$Z,15,FALSE)+VLOOKUP($A118,A:AL,22,FALSE)-50)</f>
        <v>161</v>
      </c>
      <c r="V118" s="3">
        <v>173</v>
      </c>
      <c r="W118" s="3">
        <f>IF(ISERROR(VLOOKUP($A118,'SegEnds_NonXtal_BW#'!$A:$Z,16,FALSE)+VLOOKUP($A118,A:AL,22,FALSE)-50),"-",(VLOOKUP($A118,'SegEnds_NonXtal_BW#'!$A:$Z,16,FALSE)+VLOOKUP($A118,A:AL,22,FALSE)-50))</f>
        <v>186</v>
      </c>
      <c r="X118" s="3" t="str">
        <f>IF(ISERROR(VLOOKUP($A118,'SegEnds_NonXtal_BW#'!$A:$Z,17,FALSE)+VLOOKUP($A118,A:AL,25,FALSE)-50),"-",(VLOOKUP($A118,'SegEnds_NonXtal_BW#'!$A:$Z,17,FALSE)+VLOOKUP($A118,A:AL,25,FALSE)-50))</f>
        <v>-</v>
      </c>
      <c r="Y118" s="3" t="s">
        <v>23</v>
      </c>
      <c r="Z118" s="3" t="str">
        <f>IF(ISERROR(VLOOKUP($A118,'SegEnds_NonXtal_BW#'!$A:$Z,18,FALSE)+VLOOKUP($A118,A:AL,25,FALSE)-50),"-",(VLOOKUP($A118,'SegEnds_NonXtal_BW#'!$A:$Z,18,FALSE)+VLOOKUP($A118,A:AL,25,FALSE)-50))</f>
        <v>-</v>
      </c>
      <c r="AA118" s="3">
        <f>IF(ISERROR(VLOOKUP($A118,'SegEnds_NonXtal_BW#'!$A:$Z,19,FALSE)+VLOOKUP($A118,A:AL,28,FALSE)-50),"-",(VLOOKUP($A118,'SegEnds_NonXtal_BW#'!$A:$Z,19,FALSE)+VLOOKUP($A118,A:AL,28,FALSE)-50))</f>
        <v>196</v>
      </c>
      <c r="AB118" s="3">
        <v>211</v>
      </c>
      <c r="AC118" s="3">
        <f>IF(ISERROR((VLOOKUP($A118,'SegEnds_NonXtal_BW#'!$A:$Z,20,FALSE)+VLOOKUP($A118,A:AL,28,FALSE)-50)),"-",(VLOOKUP($A118,'SegEnds_NonXtal_BW#'!$A:$Z,20,FALSE)+VLOOKUP($A118,A:AL,28,FALSE)-50))</f>
        <v>237</v>
      </c>
      <c r="AD118" s="3">
        <f>IF(ISERROR(VLOOKUP($A118,'SegEnds_NonXtal_BW#'!$A:$Z,21,FALSE)+VLOOKUP($A118,A:AL,31,FALSE)-50),"-",(VLOOKUP($A118,'SegEnds_NonXtal_BW#'!$A:$Z,21,FALSE)+VLOOKUP($A118,A:AL,31,FALSE)-50))</f>
        <v>253</v>
      </c>
      <c r="AE118" s="3">
        <v>279</v>
      </c>
      <c r="AF118" s="3">
        <f>IF(ISERROR((VLOOKUP($A118,'SegEnds_NonXtal_BW#'!$A:$Z,22,FALSE)+VLOOKUP($A118,A:AL,31,FALSE)-50)),"-",(VLOOKUP($A118,'SegEnds_NonXtal_BW#'!$A:$Z,22,FALSE)+VLOOKUP($A118,A:AL,31,FALSE)-50))</f>
        <v>287</v>
      </c>
      <c r="AG118" s="3">
        <f>IF(ISERROR(VLOOKUP($A118,'SegEnds_NonXtal_BW#'!$A:$Z,23,FALSE)+VLOOKUP($A118,A:AL,34,FALSE)-50),"-",(VLOOKUP($A118,'SegEnds_NonXtal_BW#'!$A:$Z,23,FALSE)+VLOOKUP($A118,A:AL,34,FALSE)-50))</f>
        <v>295</v>
      </c>
      <c r="AH118" s="3">
        <v>309</v>
      </c>
      <c r="AI118" s="3">
        <v>316</v>
      </c>
      <c r="AJ118" s="3">
        <f>IF(ISERROR(VLOOKUP($A118,'SegEnds_NonXtal_BW#'!$A:$Z,25,FALSE)+VLOOKUP($A118,A:AL,37,FALSE)-50),"-",(VLOOKUP($A118,'SegEnds_NonXtal_BW#'!$A:$Z,25,FALSE)+VLOOKUP($A118,A:AL,37,FALSE)-50))</f>
        <v>317</v>
      </c>
      <c r="AK118" s="3">
        <v>320</v>
      </c>
      <c r="AL118" s="3">
        <f>IF(ISERROR((VLOOKUP($A118,'SegEnds_NonXtal_BW#'!$A:$Z,26,FALSE)+VLOOKUP($A118,A:AL,37,FALSE)-50)),"-",(VLOOKUP($A118,'SegEnds_NonXtal_BW#'!$A:$Z,26,FALSE)+VLOOKUP($A118,A:AL,37,FALSE)-50))</f>
        <v>328</v>
      </c>
      <c r="AM118" s="28" t="str">
        <f>VLOOKUP(A118,Classification!A:B,2,FALSE)</f>
        <v>A</v>
      </c>
      <c r="AN118" s="28" t="b">
        <f t="shared" si="55"/>
        <v>1</v>
      </c>
      <c r="AO118" s="3" t="str">
        <f>IF(ISERROR(MATCH(A118,'SegEnds_Xtal_Prot#'!B:B, 0)), "NoXtal", "Xtal")</f>
        <v>NoXtal</v>
      </c>
      <c r="AP118" s="3">
        <f t="shared" si="39"/>
        <v>1</v>
      </c>
      <c r="AQ118" s="3">
        <f t="shared" si="40"/>
        <v>1</v>
      </c>
      <c r="AR118" s="3">
        <f t="shared" si="41"/>
        <v>1</v>
      </c>
      <c r="AS118" s="3">
        <f t="shared" si="42"/>
        <v>1</v>
      </c>
      <c r="AT118" s="3">
        <f t="shared" si="43"/>
        <v>1</v>
      </c>
      <c r="AU118" s="3">
        <f t="shared" si="44"/>
        <v>1</v>
      </c>
      <c r="AV118" s="3" t="str">
        <f t="shared" si="45"/>
        <v>-</v>
      </c>
      <c r="AW118" s="3" t="str">
        <f t="shared" si="46"/>
        <v>-</v>
      </c>
      <c r="AX118" s="3">
        <f t="shared" si="47"/>
        <v>16</v>
      </c>
      <c r="AY118" s="3">
        <f t="shared" si="48"/>
        <v>8</v>
      </c>
      <c r="AZ118" s="3">
        <f t="shared" si="49"/>
        <v>1</v>
      </c>
      <c r="BA118" s="3">
        <f>IF(ISERROR(LEN(VLOOKUP(A118,Seqs!A:E,2,FALSE))-AL118),"-",LEN(VLOOKUP(A118,Seqs!A:E,2,FALSE))-AL118)</f>
        <v>19</v>
      </c>
      <c r="BB118" s="16">
        <f t="shared" si="50"/>
        <v>29</v>
      </c>
      <c r="BC118" s="9">
        <f t="shared" si="51"/>
        <v>20</v>
      </c>
      <c r="BD118" s="3">
        <f t="shared" si="52"/>
        <v>29</v>
      </c>
      <c r="BE118" s="3">
        <f t="shared" si="53"/>
        <v>68</v>
      </c>
      <c r="BF118" s="3">
        <f>AH118-AE118</f>
        <v>30</v>
      </c>
    </row>
    <row r="119" spans="1:60" s="3" customFormat="1" x14ac:dyDescent="0.2">
      <c r="A119" s="3" t="s">
        <v>223</v>
      </c>
      <c r="B119" s="3" t="str">
        <f>LOWER(VLOOKUP(A119,Xtal_Templ!A:B,2,FALSE))</f>
        <v>fpr2_human</v>
      </c>
      <c r="C119" s="3">
        <f>VLOOKUP($A119,'SegEnds_NonXtal_BW#'!$A:$Z,3,FALSE)+D119-50</f>
        <v>22</v>
      </c>
      <c r="D119" s="3">
        <v>47</v>
      </c>
      <c r="E119" s="3">
        <f>IF(ISERROR(VLOOKUP($A119,'SegEnds_NonXtal_BW#'!$A:$Z,4,FALSE)+VLOOKUP($A119,A:AL,4,FALSE)-50),"-",(VLOOKUP($A119,'SegEnds_NonXtal_BW#'!$A:$Z,4,FALSE)+VLOOKUP($A119,A:AL,4,FALSE)-50))</f>
        <v>58</v>
      </c>
      <c r="F119" s="3" t="str">
        <f>IF(ISERROR(VLOOKUP($A119,'SegEnds_NonXtal_BW#'!$A:$Z,5,FALSE)+VLOOKUP($A119,A:AL,7,FALSE)-50),"-",(VLOOKUP($A119,'SegEnds_NonXtal_BW#'!$A:$Z,5,FALSE)+VLOOKUP($A119,A:AL,7,FALSE)-50))</f>
        <v>-</v>
      </c>
      <c r="G119" s="3" t="s">
        <v>23</v>
      </c>
      <c r="H119" s="3" t="str">
        <f>IF(ISERROR(VLOOKUP($A119,'SegEnds_NonXtal_BW#'!$A:$Z,6,FALSE)+VLOOKUP($A119,A:AL,7,FALSE)-50),"-",(VLOOKUP($A119,'SegEnds_NonXtal_BW#'!$A:$Z,6,FALSE)+VLOOKUP($A119,A:AL,7,FALSE)-50))</f>
        <v>-</v>
      </c>
      <c r="I119" s="3">
        <f>VLOOKUP($A119,'SegEnds_NonXtal_BW#'!$A:$Z,7,FALSE)+J119-50</f>
        <v>64</v>
      </c>
      <c r="J119" s="3">
        <v>77</v>
      </c>
      <c r="K119" s="3">
        <f>VLOOKUP($A119,'SegEnds_NonXtal_BW#'!$A:$Z,8,FALSE)+VLOOKUP($A119,A:AL,10,FALSE)-50</f>
        <v>94</v>
      </c>
      <c r="L119" s="3">
        <f t="shared" si="72"/>
        <v>96</v>
      </c>
      <c r="M119" s="3">
        <v>97</v>
      </c>
      <c r="N119" s="3">
        <f t="shared" si="73"/>
        <v>99</v>
      </c>
      <c r="O119" s="3">
        <f t="shared" si="74"/>
        <v>100</v>
      </c>
      <c r="P119" s="3">
        <v>129</v>
      </c>
      <c r="Q119" s="3">
        <f>VLOOKUP($A119,'SegEnds_NonXtal_BW#'!$A:$Z,12,FALSE)+VLOOKUP($A119,A:AL,16,FALSE)-50</f>
        <v>135</v>
      </c>
      <c r="R119" s="3">
        <f>IF(ISERROR(VLOOKUP($A119,'SegEnds_NonXtal_BW#'!$A:$Z,13,FALSE)+VLOOKUP($A119,A:AL,19,FALSE)-50),"-",VLOOKUP($A119,'SegEnds_NonXtal_BW#'!$A:$Z,13,FALSE)+VLOOKUP($A119,A:AL,19,FALSE)-50)</f>
        <v>136</v>
      </c>
      <c r="S119" s="3">
        <v>136</v>
      </c>
      <c r="T119" s="100">
        <f>IF(ISERROR(VLOOKUP($A119,'SegEnds_NonXtal_BW#'!$A:$Z,14,FALSE)+VLOOKUP($A119,A:AL,19,FALSE)-50),"-",(VLOOKUP($A119,'SegEnds_NonXtal_BW#'!$A:$Z,14,FALSE)+VLOOKUP($A119,A:AL,19,FALSE)-50))</f>
        <v>143</v>
      </c>
      <c r="U119" s="9">
        <f>IF(ISERROR(VLOOKUP($A119,'SegEnds_NonXtal_BW#'!$A:$Z,15,FALSE)+VLOOKUP($A119,A:AL,22,FALSE)-50),"-",VLOOKUP($A119,'SegEnds_NonXtal_BW#'!$A:$Z,15,FALSE)+VLOOKUP($A119,A:AL,22,FALSE)-50)</f>
        <v>144</v>
      </c>
      <c r="V119" s="3">
        <v>156</v>
      </c>
      <c r="W119" s="3">
        <f>IF(ISERROR(VLOOKUP($A119,'SegEnds_NonXtal_BW#'!$A:$Z,16,FALSE)+VLOOKUP($A119,A:AL,22,FALSE)-50),"-",(VLOOKUP($A119,'SegEnds_NonXtal_BW#'!$A:$Z,16,FALSE)+VLOOKUP($A119,A:AL,22,FALSE)-50))</f>
        <v>170</v>
      </c>
      <c r="X119" s="3">
        <f>IF(ISERROR(VLOOKUP($A119,'SegEnds_NonXtal_BW#'!$A:$Z,17,FALSE)+VLOOKUP($A119,A:AL,25,FALSE)-50),"-",(VLOOKUP($A119,'SegEnds_NonXtal_BW#'!$A:$Z,17,FALSE)+VLOOKUP($A119,A:AL,25,FALSE)-50))</f>
        <v>182</v>
      </c>
      <c r="Y119" s="3">
        <v>182</v>
      </c>
      <c r="Z119" s="3">
        <f t="shared" ref="Z119:Z128" si="75">Y119+2</f>
        <v>184</v>
      </c>
      <c r="AA119" s="3">
        <f>IF(ISERROR(VLOOKUP($A119,'SegEnds_NonXtal_BW#'!$A:$Z,19,FALSE)+VLOOKUP($A119,A:AL,28,FALSE)-50),"-",(VLOOKUP($A119,'SegEnds_NonXtal_BW#'!$A:$Z,19,FALSE)+VLOOKUP($A119,A:AL,28,FALSE)-50))</f>
        <v>189</v>
      </c>
      <c r="AB119" s="3">
        <v>204</v>
      </c>
      <c r="AC119" s="3">
        <f>IF(ISERROR((VLOOKUP($A119,'SegEnds_NonXtal_BW#'!$A:$Z,20,FALSE)+VLOOKUP($A119,A:AL,28,FALSE)-50)),"-",(VLOOKUP($A119,'SegEnds_NonXtal_BW#'!$A:$Z,20,FALSE)+VLOOKUP($A119,A:AL,28,FALSE)-50))</f>
        <v>222</v>
      </c>
      <c r="AD119" s="3">
        <f>IF(ISERROR(VLOOKUP($A119,'SegEnds_NonXtal_BW#'!$A:$Z,21,FALSE)+VLOOKUP($A119,A:AL,31,FALSE)-50),"-",(VLOOKUP($A119,'SegEnds_NonXtal_BW#'!$A:$Z,21,FALSE)+VLOOKUP($A119,A:AL,31,FALSE)-50))</f>
        <v>226</v>
      </c>
      <c r="AE119" s="3">
        <v>252</v>
      </c>
      <c r="AF119" s="3">
        <f>IF(ISERROR((VLOOKUP($A119,'SegEnds_NonXtal_BW#'!$A:$Z,22,FALSE)+VLOOKUP($A119,A:AL,31,FALSE)-50)),"-",(VLOOKUP($A119,'SegEnds_NonXtal_BW#'!$A:$Z,22,FALSE)+VLOOKUP($A119,A:AL,31,FALSE)-50))</f>
        <v>263</v>
      </c>
      <c r="AG119" s="3">
        <f>IF(ISERROR(VLOOKUP($A119,'SegEnds_NonXtal_BW#'!$A:$Z,23,FALSE)+VLOOKUP($A119,A:AL,34,FALSE)-50),"-",(VLOOKUP($A119,'SegEnds_NonXtal_BW#'!$A:$Z,23,FALSE)+VLOOKUP($A119,A:AL,34,FALSE)-50))</f>
        <v>270</v>
      </c>
      <c r="AH119" s="3">
        <v>292</v>
      </c>
      <c r="AI119" s="3">
        <f>IF(ISERROR((VLOOKUP($A119,'SegEnds_NonXtal_BW#'!$A:$Z,24,FALSE)+VLOOKUP($A119,A:AL,34,FALSE)-50)),"-",(VLOOKUP($A119,'SegEnds_NonXtal_BW#'!$A:$Z,24,FALSE)+VLOOKUP($A119,A:AL,34,FALSE)-50))</f>
        <v>298</v>
      </c>
      <c r="AJ119" s="3">
        <f>IF(ISERROR(VLOOKUP($A119,'SegEnds_NonXtal_BW#'!$A:$Z,25,FALSE)+VLOOKUP($A119,A:AL,37,FALSE)-50),"-",(VLOOKUP($A119,'SegEnds_NonXtal_BW#'!$A:$Z,25,FALSE)+VLOOKUP($A119,A:AL,37,FALSE)-50))</f>
        <v>299</v>
      </c>
      <c r="AK119" s="3">
        <v>302</v>
      </c>
      <c r="AL119" s="3">
        <f>IF(ISERROR((VLOOKUP($A119,'SegEnds_NonXtal_BW#'!$A:$Z,26,FALSE)+VLOOKUP($A119,A:AL,37,FALSE)-50)),"-",(VLOOKUP($A119,'SegEnds_NonXtal_BW#'!$A:$Z,26,FALSE)+VLOOKUP($A119,A:AL,37,FALSE)-50))</f>
        <v>310</v>
      </c>
      <c r="AM119" s="28" t="str">
        <f>VLOOKUP(A119,Classification!A:B,2,FALSE)</f>
        <v>A</v>
      </c>
      <c r="AN119" s="28" t="b">
        <f t="shared" si="55"/>
        <v>1</v>
      </c>
      <c r="AO119" s="3" t="str">
        <f>IF(ISERROR(MATCH(A119,'SegEnds_Xtal_Prot#'!B:B, 0)), "NoXtal", "Xtal")</f>
        <v>NoXtal</v>
      </c>
      <c r="AP119" s="3" t="str">
        <f t="shared" si="39"/>
        <v>-</v>
      </c>
      <c r="AQ119" s="3" t="str">
        <f t="shared" si="40"/>
        <v>-</v>
      </c>
      <c r="AR119" s="3">
        <f t="shared" si="41"/>
        <v>2</v>
      </c>
      <c r="AS119" s="3">
        <f t="shared" si="42"/>
        <v>1</v>
      </c>
      <c r="AT119" s="3">
        <f t="shared" si="43"/>
        <v>1</v>
      </c>
      <c r="AU119" s="3">
        <f t="shared" si="44"/>
        <v>1</v>
      </c>
      <c r="AV119" s="3">
        <f t="shared" si="45"/>
        <v>12</v>
      </c>
      <c r="AW119" s="3">
        <f t="shared" si="46"/>
        <v>5</v>
      </c>
      <c r="AX119" s="3">
        <f t="shared" si="47"/>
        <v>4</v>
      </c>
      <c r="AY119" s="3">
        <f t="shared" si="48"/>
        <v>7</v>
      </c>
      <c r="AZ119" s="3">
        <f t="shared" si="49"/>
        <v>1</v>
      </c>
      <c r="BA119" s="3">
        <f>IF(ISERROR(LEN(VLOOKUP(A119,Seqs!A:E,2,FALSE))-AL119),"-",LEN(VLOOKUP(A119,Seqs!A:E,2,FALSE))-AL119)</f>
        <v>160</v>
      </c>
      <c r="BB119" s="16">
        <f t="shared" si="50"/>
        <v>30</v>
      </c>
      <c r="BC119" s="9">
        <f t="shared" si="51"/>
        <v>20</v>
      </c>
      <c r="BD119" s="3">
        <f t="shared" si="52"/>
        <v>30</v>
      </c>
      <c r="BE119" s="3">
        <f t="shared" si="53"/>
        <v>48</v>
      </c>
    </row>
    <row r="120" spans="1:60" s="3" customFormat="1" x14ac:dyDescent="0.2">
      <c r="A120" s="3" t="s">
        <v>224</v>
      </c>
      <c r="B120" s="3" t="str">
        <f>LOWER(VLOOKUP(A120,Xtal_Templ!A:B,2,FALSE))</f>
        <v>ox2r_human</v>
      </c>
      <c r="C120" s="3">
        <f>VLOOKUP($A120,'SegEnds_NonXtal_BW#'!$A:$Z,3,FALSE)+D120-50</f>
        <v>6</v>
      </c>
      <c r="D120" s="3">
        <v>25</v>
      </c>
      <c r="E120" s="3">
        <f>IF(ISERROR(VLOOKUP($A120,'SegEnds_NonXtal_BW#'!$A:$Z,4,FALSE)+VLOOKUP($A120,A:AL,4,FALSE)-50),"-",(VLOOKUP($A120,'SegEnds_NonXtal_BW#'!$A:$Z,4,FALSE)+VLOOKUP($A120,A:AL,4,FALSE)-50))</f>
        <v>35</v>
      </c>
      <c r="F120" s="3">
        <f>G120-2</f>
        <v>36</v>
      </c>
      <c r="G120" s="3">
        <v>38</v>
      </c>
      <c r="H120" s="3">
        <f t="shared" ref="H120:I122" si="76">G120+1</f>
        <v>39</v>
      </c>
      <c r="I120" s="3">
        <f t="shared" si="76"/>
        <v>40</v>
      </c>
      <c r="J120" s="105">
        <v>52</v>
      </c>
      <c r="K120" s="3">
        <f>VLOOKUP($A120,'SegEnds_NonXtal_BW#'!$A:$Z,8,FALSE)+VLOOKUP($A120,A:AL,10,FALSE)-50</f>
        <v>70</v>
      </c>
      <c r="L120" s="3">
        <f t="shared" si="72"/>
        <v>75</v>
      </c>
      <c r="M120" s="3">
        <v>76</v>
      </c>
      <c r="N120" s="3">
        <f t="shared" si="73"/>
        <v>78</v>
      </c>
      <c r="O120" s="3">
        <f t="shared" si="74"/>
        <v>79</v>
      </c>
      <c r="P120" s="3">
        <v>108</v>
      </c>
      <c r="Q120" s="3">
        <f>VLOOKUP($A120,'SegEnds_NonXtal_BW#'!$A:$Z,12,FALSE)+VLOOKUP($A120,A:AL,16,FALSE)-50</f>
        <v>114</v>
      </c>
      <c r="R120" s="3">
        <f>IF(ISERROR(VLOOKUP($A120,'SegEnds_NonXtal_BW#'!$A:$Z,13,FALSE)+VLOOKUP($A120,A:AL,19,FALSE)-50),"-",VLOOKUP($A120,'SegEnds_NonXtal_BW#'!$A:$Z,13,FALSE)+VLOOKUP($A120,A:AL,19,FALSE)-50)</f>
        <v>115</v>
      </c>
      <c r="S120" s="3">
        <v>115</v>
      </c>
      <c r="T120" s="100">
        <f>IF(ISERROR(VLOOKUP($A120,'SegEnds_NonXtal_BW#'!$A:$Z,14,FALSE)+VLOOKUP($A120,A:AL,19,FALSE)-50),"-",(VLOOKUP($A120,'SegEnds_NonXtal_BW#'!$A:$Z,14,FALSE)+VLOOKUP($A120,A:AL,19,FALSE)-50))</f>
        <v>122</v>
      </c>
      <c r="U120" s="9">
        <f>IF(ISERROR(VLOOKUP($A120,'SegEnds_NonXtal_BW#'!$A:$Z,15,FALSE)+VLOOKUP($A120,A:AL,22,FALSE)-50),"-",VLOOKUP($A120,'SegEnds_NonXtal_BW#'!$A:$Z,15,FALSE)+VLOOKUP($A120,A:AL,22,FALSE)-50)</f>
        <v>123</v>
      </c>
      <c r="V120" s="3">
        <v>135</v>
      </c>
      <c r="W120" s="3">
        <f>IF(ISERROR(VLOOKUP($A120,'SegEnds_NonXtal_BW#'!$A:$Z,16,FALSE)+VLOOKUP($A120,A:AL,22,FALSE)-50),"-",(VLOOKUP($A120,'SegEnds_NonXtal_BW#'!$A:$Z,16,FALSE)+VLOOKUP($A120,A:AL,22,FALSE)-50))</f>
        <v>148</v>
      </c>
      <c r="X120" s="3">
        <f>IF(ISERROR(VLOOKUP($A120,'SegEnds_NonXtal_BW#'!$A:$Z,17,FALSE)+VLOOKUP($A120,A:AL,25,FALSE)-50),"-",(VLOOKUP($A120,'SegEnds_NonXtal_BW#'!$A:$Z,17,FALSE)+VLOOKUP($A120,A:AL,25,FALSE)-50))</f>
        <v>161</v>
      </c>
      <c r="Y120" s="3">
        <v>161</v>
      </c>
      <c r="Z120" s="3">
        <f t="shared" si="75"/>
        <v>163</v>
      </c>
      <c r="AA120" s="3">
        <f>IF(ISERROR(VLOOKUP($A120,'SegEnds_NonXtal_BW#'!$A:$Z,19,FALSE)+VLOOKUP($A120,A:AL,28,FALSE)-50),"-",(VLOOKUP($A120,'SegEnds_NonXtal_BW#'!$A:$Z,19,FALSE)+VLOOKUP($A120,A:AL,28,FALSE)-50))</f>
        <v>169</v>
      </c>
      <c r="AB120" s="3">
        <v>184</v>
      </c>
      <c r="AC120" s="3">
        <f>IF(ISERROR((VLOOKUP($A120,'SegEnds_NonXtal_BW#'!$A:$Z,20,FALSE)+VLOOKUP($A120,A:AL,28,FALSE)-50)),"-",(VLOOKUP($A120,'SegEnds_NonXtal_BW#'!$A:$Z,20,FALSE)+VLOOKUP($A120,A:AL,28,FALSE)-50))</f>
        <v>210</v>
      </c>
      <c r="AD120" s="3">
        <f>IF(ISERROR(VLOOKUP($A120,'SegEnds_NonXtal_BW#'!$A:$Z,21,FALSE)+VLOOKUP($A120,A:AL,31,FALSE)-50),"-",(VLOOKUP($A120,'SegEnds_NonXtal_BW#'!$A:$Z,21,FALSE)+VLOOKUP($A120,A:AL,31,FALSE)-50))</f>
        <v>234</v>
      </c>
      <c r="AE120" s="3">
        <v>260</v>
      </c>
      <c r="AF120" s="3">
        <f>IF(ISERROR((VLOOKUP($A120,'SegEnds_NonXtal_BW#'!$A:$Z,22,FALSE)+VLOOKUP($A120,A:AL,31,FALSE)-50)),"-",(VLOOKUP($A120,'SegEnds_NonXtal_BW#'!$A:$Z,22,FALSE)+VLOOKUP($A120,A:AL,31,FALSE)-50))</f>
        <v>271</v>
      </c>
      <c r="AG120" s="3">
        <f>IF(ISERROR(VLOOKUP($A120,'SegEnds_NonXtal_BW#'!$A:$Z,23,FALSE)+VLOOKUP($A120,A:AL,34,FALSE)-50),"-",(VLOOKUP($A120,'SegEnds_NonXtal_BW#'!$A:$Z,23,FALSE)+VLOOKUP($A120,A:AL,34,FALSE)-50))</f>
        <v>276</v>
      </c>
      <c r="AH120" s="3">
        <v>294</v>
      </c>
      <c r="AI120" s="3">
        <v>299</v>
      </c>
      <c r="AJ120" s="3">
        <f>IF(ISERROR(VLOOKUP($A120,'SegEnds_NonXtal_BW#'!$A:$Z,25,FALSE)+VLOOKUP($A120,A:AL,37,FALSE)-50),"-",(VLOOKUP($A120,'SegEnds_NonXtal_BW#'!$A:$Z,25,FALSE)+VLOOKUP($A120,A:AL,37,FALSE)-50))</f>
        <v>300</v>
      </c>
      <c r="AK120" s="3">
        <v>303</v>
      </c>
      <c r="AL120" s="3">
        <f>IF(ISERROR((VLOOKUP($A120,'SegEnds_NonXtal_BW#'!$A:$Z,26,FALSE)+VLOOKUP($A120,A:AL,37,FALSE)-50)),"-",(VLOOKUP($A120,'SegEnds_NonXtal_BW#'!$A:$Z,26,FALSE)+VLOOKUP($A120,A:AL,37,FALSE)-50))</f>
        <v>316</v>
      </c>
      <c r="AM120" s="28" t="str">
        <f>VLOOKUP(A120,Classification!A:B,2,FALSE)</f>
        <v>A</v>
      </c>
      <c r="AN120" s="28" t="b">
        <f t="shared" si="55"/>
        <v>1</v>
      </c>
      <c r="AO120" s="3" t="str">
        <f>IF(ISERROR(MATCH(A120,'SegEnds_Xtal_Prot#'!B:B, 0)), "NoXtal", "Xtal")</f>
        <v>NoXtal</v>
      </c>
      <c r="AP120" s="3">
        <f t="shared" si="39"/>
        <v>1</v>
      </c>
      <c r="AQ120" s="3">
        <f t="shared" si="40"/>
        <v>1</v>
      </c>
      <c r="AR120" s="3">
        <f t="shared" si="41"/>
        <v>5</v>
      </c>
      <c r="AS120" s="3">
        <f t="shared" si="42"/>
        <v>1</v>
      </c>
      <c r="AT120" s="3">
        <f t="shared" si="43"/>
        <v>1</v>
      </c>
      <c r="AU120" s="3">
        <f t="shared" si="44"/>
        <v>1</v>
      </c>
      <c r="AV120" s="3">
        <f t="shared" si="45"/>
        <v>13</v>
      </c>
      <c r="AW120" s="3">
        <f t="shared" si="46"/>
        <v>6</v>
      </c>
      <c r="AX120" s="3">
        <f t="shared" si="47"/>
        <v>24</v>
      </c>
      <c r="AY120" s="3">
        <f t="shared" si="48"/>
        <v>5</v>
      </c>
      <c r="AZ120" s="3">
        <f t="shared" si="49"/>
        <v>1</v>
      </c>
      <c r="BA120" s="3">
        <f>IF(ISERROR(LEN(VLOOKUP(A120,Seqs!A:E,2,FALSE))-AL120),"-",LEN(VLOOKUP(A120,Seqs!A:E,2,FALSE))-AL120)</f>
        <v>293</v>
      </c>
      <c r="BB120" s="16">
        <f t="shared" si="50"/>
        <v>27</v>
      </c>
      <c r="BC120" s="9">
        <f t="shared" si="51"/>
        <v>20</v>
      </c>
      <c r="BD120" s="3">
        <f t="shared" si="52"/>
        <v>27</v>
      </c>
      <c r="BE120" s="3">
        <f t="shared" si="53"/>
        <v>76</v>
      </c>
    </row>
    <row r="121" spans="1:60" s="3" customFormat="1" x14ac:dyDescent="0.2">
      <c r="A121" s="3" t="s">
        <v>226</v>
      </c>
      <c r="B121" s="3" t="str">
        <f>LOWER(VLOOKUP(A121,Xtal_Templ!A:B,2,FALSE))</f>
        <v>5ht1b_human</v>
      </c>
      <c r="C121" s="3">
        <f>VLOOKUP($A121,'SegEnds_NonXtal_BW#'!$A:$Z,3,FALSE)+D121-50</f>
        <v>23</v>
      </c>
      <c r="D121" s="3">
        <v>45</v>
      </c>
      <c r="E121" s="3">
        <f>IF(ISERROR(VLOOKUP($A121,'SegEnds_NonXtal_BW#'!$A:$Z,4,FALSE)+VLOOKUP($A121,A:AL,4,FALSE)-50),"-",(VLOOKUP($A121,'SegEnds_NonXtal_BW#'!$A:$Z,4,FALSE)+VLOOKUP($A121,A:AL,4,FALSE)-50))</f>
        <v>55</v>
      </c>
      <c r="F121" s="3">
        <f>G121-2</f>
        <v>56</v>
      </c>
      <c r="G121" s="3">
        <v>58</v>
      </c>
      <c r="H121" s="3">
        <f t="shared" si="76"/>
        <v>59</v>
      </c>
      <c r="I121" s="3">
        <f t="shared" si="76"/>
        <v>60</v>
      </c>
      <c r="J121" s="3">
        <v>73</v>
      </c>
      <c r="K121" s="3">
        <f>VLOOKUP($A121,'SegEnds_NonXtal_BW#'!$A:$Z,8,FALSE)+VLOOKUP($A121,A:AL,10,FALSE)-50</f>
        <v>91</v>
      </c>
      <c r="L121" s="3">
        <f t="shared" si="72"/>
        <v>92</v>
      </c>
      <c r="M121" s="3">
        <v>93</v>
      </c>
      <c r="N121" s="3">
        <f t="shared" si="73"/>
        <v>95</v>
      </c>
      <c r="O121" s="3">
        <f t="shared" si="74"/>
        <v>96</v>
      </c>
      <c r="P121" s="3">
        <v>125</v>
      </c>
      <c r="Q121" s="3">
        <f>VLOOKUP($A121,'SegEnds_NonXtal_BW#'!$A:$Z,12,FALSE)+VLOOKUP($A121,A:AL,16,FALSE)-50</f>
        <v>131</v>
      </c>
      <c r="R121" s="3">
        <f>IF(ISERROR(VLOOKUP($A121,'SegEnds_NonXtal_BW#'!$A:$Z,13,FALSE)+VLOOKUP($A121,A:AL,19,FALSE)-50),"-",VLOOKUP($A121,'SegEnds_NonXtal_BW#'!$A:$Z,13,FALSE)+VLOOKUP($A121,A:AL,19,FALSE)-50)</f>
        <v>132</v>
      </c>
      <c r="S121" s="3">
        <v>132</v>
      </c>
      <c r="T121" s="100">
        <f>IF(ISERROR(VLOOKUP($A121,'SegEnds_NonXtal_BW#'!$A:$Z,14,FALSE)+VLOOKUP($A121,A:AL,19,FALSE)-50),"-",(VLOOKUP($A121,'SegEnds_NonXtal_BW#'!$A:$Z,14,FALSE)+VLOOKUP($A121,A:AL,19,FALSE)-50))</f>
        <v>139</v>
      </c>
      <c r="U121" s="9">
        <f>IF(ISERROR(VLOOKUP($A121,'SegEnds_NonXtal_BW#'!$A:$Z,15,FALSE)+VLOOKUP($A121,A:AL,22,FALSE)-50),"-",VLOOKUP($A121,'SegEnds_NonXtal_BW#'!$A:$Z,15,FALSE)+VLOOKUP($A121,A:AL,22,FALSE)-50)</f>
        <v>140</v>
      </c>
      <c r="V121" s="3">
        <v>152</v>
      </c>
      <c r="W121" s="3">
        <f>IF(ISERROR(VLOOKUP($A121,'SegEnds_NonXtal_BW#'!$A:$Z,16,FALSE)+VLOOKUP($A121,A:AL,22,FALSE)-50),"-",(VLOOKUP($A121,'SegEnds_NonXtal_BW#'!$A:$Z,16,FALSE)+VLOOKUP($A121,A:AL,22,FALSE)-50))</f>
        <v>165</v>
      </c>
      <c r="X121" s="3">
        <f>IF(ISERROR(VLOOKUP($A121,'SegEnds_NonXtal_BW#'!$A:$Z,17,FALSE)+VLOOKUP($A121,A:AL,25,FALSE)-50),"-",(VLOOKUP($A121,'SegEnds_NonXtal_BW#'!$A:$Z,17,FALSE)+VLOOKUP($A121,A:AL,25,FALSE)-50))</f>
        <v>178</v>
      </c>
      <c r="Y121" s="3">
        <v>178</v>
      </c>
      <c r="Z121" s="3">
        <f t="shared" si="75"/>
        <v>180</v>
      </c>
      <c r="AA121" s="3">
        <f>IF(ISERROR(VLOOKUP($A121,'SegEnds_NonXtal_BW#'!$A:$Z,19,FALSE)+VLOOKUP($A121,A:AL,28,FALSE)-50),"-",(VLOOKUP($A121,'SegEnds_NonXtal_BW#'!$A:$Z,19,FALSE)+VLOOKUP($A121,A:AL,28,FALSE)-50))</f>
        <v>185</v>
      </c>
      <c r="AB121" s="3">
        <v>200</v>
      </c>
      <c r="AC121" s="3">
        <f>IF(ISERROR((VLOOKUP($A121,'SegEnds_NonXtal_BW#'!$A:$Z,20,FALSE)+VLOOKUP($A121,A:AL,28,FALSE)-50)),"-",(VLOOKUP($A121,'SegEnds_NonXtal_BW#'!$A:$Z,20,FALSE)+VLOOKUP($A121,A:AL,28,FALSE)-50))</f>
        <v>226</v>
      </c>
      <c r="AD121" s="3">
        <f>IF(ISERROR(VLOOKUP($A121,'SegEnds_NonXtal_BW#'!$A:$Z,21,FALSE)+VLOOKUP($A121,A:AL,31,FALSE)-50),"-",(VLOOKUP($A121,'SegEnds_NonXtal_BW#'!$A:$Z,21,FALSE)+VLOOKUP($A121,A:AL,31,FALSE)-50))</f>
        <v>259</v>
      </c>
      <c r="AE121" s="3">
        <v>285</v>
      </c>
      <c r="AF121" s="3">
        <f>IF(ISERROR((VLOOKUP($A121,'SegEnds_NonXtal_BW#'!$A:$Z,22,FALSE)+VLOOKUP($A121,A:AL,31,FALSE)-50)),"-",(VLOOKUP($A121,'SegEnds_NonXtal_BW#'!$A:$Z,22,FALSE)+VLOOKUP($A121,A:AL,31,FALSE)-50))</f>
        <v>296</v>
      </c>
      <c r="AG121" s="3">
        <f>IF(ISERROR(VLOOKUP($A121,'SegEnds_NonXtal_BW#'!$A:$Z,23,FALSE)+VLOOKUP($A121,A:AL,34,FALSE)-50),"-",(VLOOKUP($A121,'SegEnds_NonXtal_BW#'!$A:$Z,23,FALSE)+VLOOKUP($A121,A:AL,34,FALSE)-50))</f>
        <v>302</v>
      </c>
      <c r="AH121" s="3">
        <v>321</v>
      </c>
      <c r="AI121" s="3">
        <f>IF(ISERROR((VLOOKUP($A121,'SegEnds_NonXtal_BW#'!$A:$Z,24,FALSE)+VLOOKUP($A121,A:AL,34,FALSE)-50)),"-",(VLOOKUP($A121,'SegEnds_NonXtal_BW#'!$A:$Z,24,FALSE)+VLOOKUP($A121,A:AL,34,FALSE)-50))</f>
        <v>327</v>
      </c>
      <c r="AJ121" s="3">
        <f>IF(ISERROR(VLOOKUP($A121,'SegEnds_NonXtal_BW#'!$A:$Z,25,FALSE)+VLOOKUP($A121,A:AL,37,FALSE)-50),"-",(VLOOKUP($A121,'SegEnds_NonXtal_BW#'!$A:$Z,25,FALSE)+VLOOKUP($A121,A:AL,37,FALSE)-50))</f>
        <v>328</v>
      </c>
      <c r="AK121" s="3">
        <v>331</v>
      </c>
      <c r="AL121" s="3">
        <f>IF(ISERROR((VLOOKUP($A121,'SegEnds_NonXtal_BW#'!$A:$Z,26,FALSE)+VLOOKUP($A121,A:AL,37,FALSE)-50)),"-",(VLOOKUP($A121,'SegEnds_NonXtal_BW#'!$A:$Z,26,FALSE)+VLOOKUP($A121,A:AL,37,FALSE)-50))</f>
        <v>339</v>
      </c>
      <c r="AM121" s="28" t="str">
        <f>VLOOKUP(A121,Classification!A:B,2,FALSE)</f>
        <v>A</v>
      </c>
      <c r="AN121" s="28" t="b">
        <f t="shared" si="55"/>
        <v>1</v>
      </c>
      <c r="AO121" s="3" t="str">
        <f>IF(ISERROR(MATCH(A121,'SegEnds_Xtal_Prot#'!B:B, 0)), "NoXtal", "Xtal")</f>
        <v>NoXtal</v>
      </c>
      <c r="AP121" s="3">
        <f t="shared" si="39"/>
        <v>1</v>
      </c>
      <c r="AQ121" s="3">
        <f t="shared" si="40"/>
        <v>1</v>
      </c>
      <c r="AR121" s="3">
        <f t="shared" si="41"/>
        <v>1</v>
      </c>
      <c r="AS121" s="3">
        <f t="shared" si="42"/>
        <v>1</v>
      </c>
      <c r="AT121" s="3">
        <f t="shared" si="43"/>
        <v>1</v>
      </c>
      <c r="AU121" s="3">
        <f t="shared" si="44"/>
        <v>1</v>
      </c>
      <c r="AV121" s="3">
        <f t="shared" si="45"/>
        <v>13</v>
      </c>
      <c r="AW121" s="3">
        <f t="shared" si="46"/>
        <v>5</v>
      </c>
      <c r="AX121" s="3">
        <f t="shared" si="47"/>
        <v>33</v>
      </c>
      <c r="AY121" s="3">
        <f t="shared" si="48"/>
        <v>6</v>
      </c>
      <c r="AZ121" s="3">
        <f t="shared" si="49"/>
        <v>1</v>
      </c>
      <c r="BA121" s="3">
        <f>IF(ISERROR(LEN(VLOOKUP(A121,Seqs!A:E,2,FALSE))-AL121),"-",LEN(VLOOKUP(A121,Seqs!A:E,2,FALSE))-AL121)</f>
        <v>190</v>
      </c>
      <c r="BB121" s="16">
        <f t="shared" si="50"/>
        <v>28</v>
      </c>
      <c r="BC121" s="9">
        <f t="shared" si="51"/>
        <v>20</v>
      </c>
      <c r="BD121" s="3">
        <f t="shared" si="52"/>
        <v>28</v>
      </c>
      <c r="BE121" s="3">
        <f t="shared" si="53"/>
        <v>85</v>
      </c>
    </row>
    <row r="122" spans="1:60" s="3" customFormat="1" x14ac:dyDescent="0.2">
      <c r="A122" s="3" t="s">
        <v>227</v>
      </c>
      <c r="B122" s="3" t="str">
        <f>LOWER(VLOOKUP(A122,Xtal_Templ!A:B,2,FALSE))</f>
        <v>npy1r_human</v>
      </c>
      <c r="C122" s="3">
        <f>VLOOKUP($A122,'SegEnds_NonXtal_BW#'!$A:$Z,3,FALSE)+D122-50</f>
        <v>9</v>
      </c>
      <c r="D122" s="3">
        <v>31</v>
      </c>
      <c r="E122" s="3">
        <f>IF(ISERROR(VLOOKUP($A122,'SegEnds_NonXtal_BW#'!$A:$Z,4,FALSE)+VLOOKUP($A122,A:AL,4,FALSE)-50),"-",(VLOOKUP($A122,'SegEnds_NonXtal_BW#'!$A:$Z,4,FALSE)+VLOOKUP($A122,A:AL,4,FALSE)-50))</f>
        <v>41</v>
      </c>
      <c r="F122" s="3">
        <f>G122-2</f>
        <v>42</v>
      </c>
      <c r="G122" s="3">
        <v>44</v>
      </c>
      <c r="H122" s="3">
        <f t="shared" si="76"/>
        <v>45</v>
      </c>
      <c r="I122" s="3">
        <f t="shared" si="76"/>
        <v>46</v>
      </c>
      <c r="J122" s="105">
        <v>58</v>
      </c>
      <c r="K122" s="3">
        <f>VLOOKUP($A122,'SegEnds_NonXtal_BW#'!$A:$Z,8,FALSE)+VLOOKUP($A122,A:AL,10,FALSE)-50</f>
        <v>76</v>
      </c>
      <c r="L122" s="3">
        <f t="shared" si="72"/>
        <v>82</v>
      </c>
      <c r="M122" s="3">
        <v>83</v>
      </c>
      <c r="N122" s="3">
        <f t="shared" si="73"/>
        <v>85</v>
      </c>
      <c r="O122" s="3">
        <f t="shared" si="74"/>
        <v>86</v>
      </c>
      <c r="P122" s="3">
        <v>115</v>
      </c>
      <c r="Q122" s="3">
        <f>VLOOKUP($A122,'SegEnds_NonXtal_BW#'!$A:$Z,12,FALSE)+VLOOKUP($A122,A:AL,16,FALSE)-50</f>
        <v>121</v>
      </c>
      <c r="R122" s="3">
        <f>IF(ISERROR(VLOOKUP($A122,'SegEnds_NonXtal_BW#'!$A:$Z,13,FALSE)+VLOOKUP($A122,A:AL,19,FALSE)-50),"-",VLOOKUP($A122,'SegEnds_NonXtal_BW#'!$A:$Z,13,FALSE)+VLOOKUP($A122,A:AL,19,FALSE)-50)</f>
        <v>122</v>
      </c>
      <c r="S122" s="3">
        <v>122</v>
      </c>
      <c r="T122" s="100">
        <f>IF(ISERROR(VLOOKUP($A122,'SegEnds_NonXtal_BW#'!$A:$Z,14,FALSE)+VLOOKUP($A122,A:AL,19,FALSE)-50),"-",(VLOOKUP($A122,'SegEnds_NonXtal_BW#'!$A:$Z,14,FALSE)+VLOOKUP($A122,A:AL,19,FALSE)-50))</f>
        <v>129</v>
      </c>
      <c r="U122" s="9">
        <f>IF(ISERROR(VLOOKUP($A122,'SegEnds_NonXtal_BW#'!$A:$Z,15,FALSE)+VLOOKUP($A122,A:AL,22,FALSE)-50),"-",VLOOKUP($A122,'SegEnds_NonXtal_BW#'!$A:$Z,15,FALSE)+VLOOKUP($A122,A:AL,22,FALSE)-50)</f>
        <v>130</v>
      </c>
      <c r="V122" s="3">
        <v>142</v>
      </c>
      <c r="W122" s="3">
        <f>IF(ISERROR(VLOOKUP($A122,'SegEnds_NonXtal_BW#'!$A:$Z,16,FALSE)+VLOOKUP($A122,A:AL,22,FALSE)-50),"-",(VLOOKUP($A122,'SegEnds_NonXtal_BW#'!$A:$Z,16,FALSE)+VLOOKUP($A122,A:AL,22,FALSE)-50))</f>
        <v>156</v>
      </c>
      <c r="X122" s="3">
        <f>IF(ISERROR(VLOOKUP($A122,'SegEnds_NonXtal_BW#'!$A:$Z,17,FALSE)+VLOOKUP($A122,A:AL,25,FALSE)-50),"-",(VLOOKUP($A122,'SegEnds_NonXtal_BW#'!$A:$Z,17,FALSE)+VLOOKUP($A122,A:AL,25,FALSE)-50))</f>
        <v>168</v>
      </c>
      <c r="Y122" s="3">
        <v>168</v>
      </c>
      <c r="Z122" s="3">
        <f t="shared" si="75"/>
        <v>170</v>
      </c>
      <c r="AA122" s="3">
        <f>IF(ISERROR(VLOOKUP($A122,'SegEnds_NonXtal_BW#'!$A:$Z,19,FALSE)+VLOOKUP($A122,A:AL,28,FALSE)-50),"-",(VLOOKUP($A122,'SegEnds_NonXtal_BW#'!$A:$Z,19,FALSE)+VLOOKUP($A122,A:AL,28,FALSE)-50))</f>
        <v>176</v>
      </c>
      <c r="AB122" s="3">
        <v>191</v>
      </c>
      <c r="AC122" s="3">
        <f>IF(ISERROR((VLOOKUP($A122,'SegEnds_NonXtal_BW#'!$A:$Z,20,FALSE)+VLOOKUP($A122,A:AL,28,FALSE)-50)),"-",(VLOOKUP($A122,'SegEnds_NonXtal_BW#'!$A:$Z,20,FALSE)+VLOOKUP($A122,A:AL,28,FALSE)-50))</f>
        <v>215</v>
      </c>
      <c r="AD122" s="3">
        <f>IF(ISERROR(VLOOKUP($A122,'SegEnds_NonXtal_BW#'!$A:$Z,21,FALSE)+VLOOKUP($A122,A:AL,31,FALSE)-50),"-",(VLOOKUP($A122,'SegEnds_NonXtal_BW#'!$A:$Z,21,FALSE)+VLOOKUP($A122,A:AL,31,FALSE)-50))</f>
        <v>261</v>
      </c>
      <c r="AE122" s="3">
        <v>287</v>
      </c>
      <c r="AF122" s="3">
        <f>IF(ISERROR((VLOOKUP($A122,'SegEnds_NonXtal_BW#'!$A:$Z,22,FALSE)+VLOOKUP($A122,A:AL,31,FALSE)-50)),"-",(VLOOKUP($A122,'SegEnds_NonXtal_BW#'!$A:$Z,22,FALSE)+VLOOKUP($A122,A:AL,31,FALSE)-50))</f>
        <v>298</v>
      </c>
      <c r="AG122" s="3">
        <f>IF(ISERROR(VLOOKUP($A122,'SegEnds_NonXtal_BW#'!$A:$Z,23,FALSE)+VLOOKUP($A122,A:AL,34,FALSE)-50),"-",(VLOOKUP($A122,'SegEnds_NonXtal_BW#'!$A:$Z,23,FALSE)+VLOOKUP($A122,A:AL,34,FALSE)-50))</f>
        <v>303</v>
      </c>
      <c r="AH122" s="3">
        <v>321</v>
      </c>
      <c r="AI122" s="3">
        <v>326</v>
      </c>
      <c r="AJ122" s="3">
        <f>IF(ISERROR(VLOOKUP($A122,'SegEnds_NonXtal_BW#'!$A:$Z,25,FALSE)+VLOOKUP($A122,A:AL,37,FALSE)-50),"-",(VLOOKUP($A122,'SegEnds_NonXtal_BW#'!$A:$Z,25,FALSE)+VLOOKUP($A122,A:AL,37,FALSE)-50))</f>
        <v>327</v>
      </c>
      <c r="AK122" s="3">
        <v>330</v>
      </c>
      <c r="AL122" s="3">
        <f>IF(ISERROR((VLOOKUP($A122,'SegEnds_NonXtal_BW#'!$A:$Z,26,FALSE)+VLOOKUP($A122,A:AL,37,FALSE)-50)),"-",(VLOOKUP($A122,'SegEnds_NonXtal_BW#'!$A:$Z,26,FALSE)+VLOOKUP($A122,A:AL,37,FALSE)-50))</f>
        <v>338</v>
      </c>
      <c r="AM122" s="28" t="str">
        <f>VLOOKUP(A122,Classification!A:B,2,FALSE)</f>
        <v>A</v>
      </c>
      <c r="AN122" s="28" t="b">
        <f t="shared" si="55"/>
        <v>1</v>
      </c>
      <c r="AO122" s="3" t="str">
        <f>IF(ISERROR(MATCH(A122,'SegEnds_Xtal_Prot#'!B:B, 0)), "NoXtal", "Xtal")</f>
        <v>NoXtal</v>
      </c>
      <c r="AP122" s="3">
        <f t="shared" si="39"/>
        <v>1</v>
      </c>
      <c r="AQ122" s="3">
        <f t="shared" si="40"/>
        <v>1</v>
      </c>
      <c r="AR122" s="3">
        <f t="shared" si="41"/>
        <v>6</v>
      </c>
      <c r="AS122" s="3">
        <f t="shared" si="42"/>
        <v>1</v>
      </c>
      <c r="AT122" s="3">
        <f t="shared" si="43"/>
        <v>1</v>
      </c>
      <c r="AU122" s="3">
        <f t="shared" si="44"/>
        <v>1</v>
      </c>
      <c r="AV122" s="3">
        <f t="shared" si="45"/>
        <v>12</v>
      </c>
      <c r="AW122" s="3">
        <f t="shared" si="46"/>
        <v>6</v>
      </c>
      <c r="AX122" s="3">
        <f t="shared" si="47"/>
        <v>46</v>
      </c>
      <c r="AY122" s="3">
        <f t="shared" si="48"/>
        <v>5</v>
      </c>
      <c r="AZ122" s="3">
        <f t="shared" si="49"/>
        <v>1</v>
      </c>
      <c r="BA122" s="3">
        <f>IF(ISERROR(LEN(VLOOKUP(A122,Seqs!A:E,2,FALSE))-AL122),"-",LEN(VLOOKUP(A122,Seqs!A:E,2,FALSE))-AL122)</f>
        <v>250</v>
      </c>
      <c r="BB122" s="16">
        <f t="shared" si="50"/>
        <v>27</v>
      </c>
      <c r="BC122" s="9">
        <f t="shared" si="51"/>
        <v>20</v>
      </c>
      <c r="BD122" s="3">
        <f t="shared" si="52"/>
        <v>27</v>
      </c>
      <c r="BE122" s="3">
        <f t="shared" si="53"/>
        <v>96</v>
      </c>
    </row>
    <row r="123" spans="1:60" s="9" customFormat="1" x14ac:dyDescent="0.2">
      <c r="A123" s="3" t="s">
        <v>228</v>
      </c>
      <c r="B123" s="3" t="str">
        <f>LOWER(VLOOKUP(A123,Xtal_Templ!A:B,2,FALSE))</f>
        <v>p2y12_human</v>
      </c>
      <c r="C123" s="3">
        <f>VLOOKUP($A123,'SegEnds_NonXtal_BW#'!$A:$Z,3,FALSE)+D123-50</f>
        <v>10</v>
      </c>
      <c r="D123" s="3">
        <v>32</v>
      </c>
      <c r="E123" s="3">
        <f>IF(ISERROR(VLOOKUP($A123,'SegEnds_NonXtal_BW#'!$A:$Z,4,FALSE)+VLOOKUP($A123,A:AL,4,FALSE)-50),"-",(VLOOKUP($A123,'SegEnds_NonXtal_BW#'!$A:$Z,4,FALSE)+VLOOKUP($A123,A:AL,4,FALSE)-50))</f>
        <v>42</v>
      </c>
      <c r="F123" s="3" t="str">
        <f>IF(ISERROR(VLOOKUP($A123,'SegEnds_NonXtal_BW#'!$A:$Z,5,FALSE)+VLOOKUP($A123,A:AL,7,FALSE)-50),"-",(VLOOKUP($A123,'SegEnds_NonXtal_BW#'!$A:$Z,5,FALSE)+VLOOKUP($A123,A:AL,7,FALSE)-50))</f>
        <v>-</v>
      </c>
      <c r="G123" s="3" t="s">
        <v>23</v>
      </c>
      <c r="H123" s="3" t="str">
        <f>IF(ISERROR(VLOOKUP($A123,'SegEnds_NonXtal_BW#'!$A:$Z,6,FALSE)+VLOOKUP($A123,A:AL,7,FALSE)-50),"-",(VLOOKUP($A123,'SegEnds_NonXtal_BW#'!$A:$Z,6,FALSE)+VLOOKUP($A123,A:AL,7,FALSE)-50))</f>
        <v>-</v>
      </c>
      <c r="I123" s="3">
        <f>VLOOKUP($A123,'SegEnds_NonXtal_BW#'!$A:$Z,7,FALSE)+J123-50</f>
        <v>47</v>
      </c>
      <c r="J123" s="3">
        <v>60</v>
      </c>
      <c r="K123" s="3">
        <f>VLOOKUP($A123,'SegEnds_NonXtal_BW#'!$A:$Z,8,FALSE)+VLOOKUP($A123,A:AL,10,FALSE)-50</f>
        <v>76</v>
      </c>
      <c r="L123" s="3" t="str">
        <f>IF(ISERROR(VLOOKUP($A123,'SegEnds_NonXtal_BW#'!$A:$Z,9,FALSE)+VLOOKUP($A123,A:AL,13,FALSE)-50),"-",(VLOOKUP($A123,'SegEnds_NonXtal_BW#'!$A:$Z,9,FALSE)+VLOOKUP($A123,A:AL,13,FALSE)-50))</f>
        <v>-</v>
      </c>
      <c r="M123" s="3" t="s">
        <v>23</v>
      </c>
      <c r="N123" s="3" t="str">
        <f>IF(ISERROR(VLOOKUP($A123,'SegEnds_NonXtal_BW#'!$A:$Z,10,FALSE)+VLOOKUP($A123,A:AL,13,FALSE)-50),"-",(VLOOKUP($A123,'SegEnds_NonXtal_BW#'!$A:$Z,10,FALSE)+VLOOKUP($A123,A:AL,13,FALSE)-50))</f>
        <v>-</v>
      </c>
      <c r="O123" s="3">
        <f>VLOOKUP($A123,'SegEnds_NonXtal_BW#'!$A:$Z,11,FALSE)+VLOOKUP($A123,A:AL,16,FALSE)-50</f>
        <v>80</v>
      </c>
      <c r="P123" s="3">
        <v>112</v>
      </c>
      <c r="Q123" s="3">
        <f>VLOOKUP($A123,'SegEnds_NonXtal_BW#'!$A:$Z,12,FALSE)+VLOOKUP($A123,A:AL,16,FALSE)-50</f>
        <v>118</v>
      </c>
      <c r="R123" s="3">
        <f>IF(ISERROR(VLOOKUP($A123,'SegEnds_NonXtal_BW#'!$A:$Z,13,FALSE)+VLOOKUP($A123,A:AL,19,FALSE)-50),"-",VLOOKUP($A123,'SegEnds_NonXtal_BW#'!$A:$Z,13,FALSE)+VLOOKUP($A123,A:AL,19,FALSE)-50)</f>
        <v>119</v>
      </c>
      <c r="S123" s="3">
        <v>119</v>
      </c>
      <c r="T123" s="100">
        <f>IF(ISERROR(VLOOKUP($A123,'SegEnds_NonXtal_BW#'!$A:$Z,14,FALSE)+VLOOKUP($A123,A:AL,19,FALSE)-50),"-",(VLOOKUP($A123,'SegEnds_NonXtal_BW#'!$A:$Z,14,FALSE)+VLOOKUP($A123,A:AL,19,FALSE)-50))</f>
        <v>126</v>
      </c>
      <c r="U123" s="9">
        <f>IF(ISERROR(VLOOKUP($A123,'SegEnds_NonXtal_BW#'!$A:$Z,15,FALSE)+VLOOKUP($A123,A:AL,22,FALSE)-50),"-",VLOOKUP($A123,'SegEnds_NonXtal_BW#'!$A:$Z,15,FALSE)+VLOOKUP($A123,A:AL,22,FALSE)-50)</f>
        <v>127</v>
      </c>
      <c r="V123" s="3">
        <v>139</v>
      </c>
      <c r="W123" s="3">
        <f>IF(ISERROR(VLOOKUP($A123,'SegEnds_NonXtal_BW#'!$A:$Z,16,FALSE)+VLOOKUP($A123,A:AL,22,FALSE)-50),"-",(VLOOKUP($A123,'SegEnds_NonXtal_BW#'!$A:$Z,16,FALSE)+VLOOKUP($A123,A:AL,22,FALSE)-50))</f>
        <v>153</v>
      </c>
      <c r="X123" s="3">
        <f>IF(ISERROR(VLOOKUP($A123,'SegEnds_NonXtal_BW#'!$A:$Z,17,FALSE)+VLOOKUP($A123,A:AL,25,FALSE)-50),"-",(VLOOKUP($A123,'SegEnds_NonXtal_BW#'!$A:$Z,17,FALSE)+VLOOKUP($A123,A:AL,25,FALSE)-50))</f>
        <v>165</v>
      </c>
      <c r="Y123" s="3">
        <v>165</v>
      </c>
      <c r="Z123" s="3">
        <f t="shared" si="75"/>
        <v>167</v>
      </c>
      <c r="AA123" s="3">
        <f>IF(ISERROR(VLOOKUP($A123,'SegEnds_NonXtal_BW#'!$A:$Z,19,FALSE)+VLOOKUP($A123,A:AL,28,FALSE)-50),"-",(VLOOKUP($A123,'SegEnds_NonXtal_BW#'!$A:$Z,19,FALSE)+VLOOKUP($A123,A:AL,28,FALSE)-50))</f>
        <v>171</v>
      </c>
      <c r="AB123" s="3">
        <v>191</v>
      </c>
      <c r="AC123" s="3">
        <f>IF(ISERROR((VLOOKUP($A123,'SegEnds_NonXtal_BW#'!$A:$Z,20,FALSE)+VLOOKUP($A123,A:AL,28,FALSE)-50)),"-",(VLOOKUP($A123,'SegEnds_NonXtal_BW#'!$A:$Z,20,FALSE)+VLOOKUP($A123,A:AL,28,FALSE)-50))</f>
        <v>208</v>
      </c>
      <c r="AD123" s="3">
        <f>IF(ISERROR(VLOOKUP($A123,'SegEnds_NonXtal_BW#'!$A:$Z,21,FALSE)+VLOOKUP($A123,A:AL,31,FALSE)-50),"-",(VLOOKUP($A123,'SegEnds_NonXtal_BW#'!$A:$Z,21,FALSE)+VLOOKUP($A123,A:AL,31,FALSE)-50))</f>
        <v>214</v>
      </c>
      <c r="AE123" s="3">
        <v>238</v>
      </c>
      <c r="AF123" s="3">
        <f>IF(ISERROR((VLOOKUP($A123,'SegEnds_NonXtal_BW#'!$A:$Z,22,FALSE)+VLOOKUP($A123,A:AL,31,FALSE)-50)),"-",(VLOOKUP($A123,'SegEnds_NonXtal_BW#'!$A:$Z,22,FALSE)+VLOOKUP($A123,A:AL,31,FALSE)-50))</f>
        <v>252</v>
      </c>
      <c r="AG123" s="3">
        <f>IF(ISERROR(VLOOKUP($A123,'SegEnds_NonXtal_BW#'!$A:$Z,23,FALSE)+VLOOKUP($A123,A:AL,34,FALSE)-50),"-",(VLOOKUP($A123,'SegEnds_NonXtal_BW#'!$A:$Z,23,FALSE)+VLOOKUP($A123,A:AL,34,FALSE)-50))</f>
        <v>256</v>
      </c>
      <c r="AH123" s="3">
        <v>282</v>
      </c>
      <c r="AI123" s="3">
        <f>IF(ISERROR((VLOOKUP($A123,'SegEnds_NonXtal_BW#'!$A:$Z,24,FALSE)+VLOOKUP($A123,A:AL,34,FALSE)-50)),"-",(VLOOKUP($A123,'SegEnds_NonXtal_BW#'!$A:$Z,24,FALSE)+VLOOKUP($A123,A:AL,34,FALSE)-50))</f>
        <v>288</v>
      </c>
      <c r="AJ123" s="3">
        <f>IF(ISERROR(VLOOKUP($A123,'SegEnds_NonXtal_BW#'!$A:$Z,25,FALSE)+VLOOKUP($A123,A:AL,37,FALSE)-50),"-",(VLOOKUP($A123,'SegEnds_NonXtal_BW#'!$A:$Z,25,FALSE)+VLOOKUP($A123,A:AL,37,FALSE)-50))</f>
        <v>289</v>
      </c>
      <c r="AK123" s="3">
        <v>292</v>
      </c>
      <c r="AL123" s="3">
        <f>IF(ISERROR((VLOOKUP($A123,'SegEnds_NonXtal_BW#'!$A:$Z,26,FALSE)+VLOOKUP($A123,A:AL,37,FALSE)-50)),"-",(VLOOKUP($A123,'SegEnds_NonXtal_BW#'!$A:$Z,26,FALSE)+VLOOKUP($A123,A:AL,37,FALSE)-50))</f>
        <v>299</v>
      </c>
      <c r="AM123" s="28" t="str">
        <f>VLOOKUP(A123,Classification!A:B,2,FALSE)</f>
        <v>A</v>
      </c>
      <c r="AN123" s="28" t="b">
        <f t="shared" si="55"/>
        <v>1</v>
      </c>
      <c r="AO123" s="3" t="str">
        <f>IF(ISERROR(MATCH(A123,'SegEnds_Xtal_Prot#'!B:B, 0)), "NoXtal", "Xtal")</f>
        <v>NoXtal</v>
      </c>
      <c r="AP123" s="3" t="str">
        <f t="shared" si="39"/>
        <v>-</v>
      </c>
      <c r="AQ123" s="3" t="str">
        <f t="shared" si="40"/>
        <v>-</v>
      </c>
      <c r="AR123" s="3" t="str">
        <f t="shared" si="41"/>
        <v>-</v>
      </c>
      <c r="AS123" s="3" t="str">
        <f t="shared" si="42"/>
        <v>-</v>
      </c>
      <c r="AT123" s="3">
        <f t="shared" si="43"/>
        <v>1</v>
      </c>
      <c r="AU123" s="3">
        <f t="shared" si="44"/>
        <v>1</v>
      </c>
      <c r="AV123" s="3">
        <f t="shared" si="45"/>
        <v>12</v>
      </c>
      <c r="AW123" s="3">
        <f t="shared" si="46"/>
        <v>4</v>
      </c>
      <c r="AX123" s="3">
        <f t="shared" si="47"/>
        <v>6</v>
      </c>
      <c r="AY123" s="3">
        <f t="shared" si="48"/>
        <v>4</v>
      </c>
      <c r="AZ123" s="3">
        <f t="shared" si="49"/>
        <v>1</v>
      </c>
      <c r="BA123" s="3">
        <f>IF(ISERROR(LEN(VLOOKUP(A123,Seqs!A:E,2,FALSE))-AL123),"-",LEN(VLOOKUP(A123,Seqs!A:E,2,FALSE))-AL123)</f>
        <v>20</v>
      </c>
      <c r="BB123" s="16">
        <f t="shared" si="50"/>
        <v>28</v>
      </c>
      <c r="BC123" s="9">
        <f t="shared" si="51"/>
        <v>20</v>
      </c>
      <c r="BD123" s="3">
        <f t="shared" si="52"/>
        <v>28</v>
      </c>
      <c r="BE123" s="3">
        <f t="shared" si="53"/>
        <v>47</v>
      </c>
      <c r="BF123" s="3">
        <f>AH123-AE123</f>
        <v>44</v>
      </c>
      <c r="BG123" s="3"/>
      <c r="BH123" s="3"/>
    </row>
    <row r="124" spans="1:60" s="3" customFormat="1" x14ac:dyDescent="0.2">
      <c r="A124" s="3" t="s">
        <v>229</v>
      </c>
      <c r="B124" s="3" t="str">
        <f>LOWER(VLOOKUP(A124,Xtal_Templ!A:B,2,FALSE))</f>
        <v>5ht2a_human</v>
      </c>
      <c r="C124" s="3">
        <f>VLOOKUP($A124,'SegEnds_NonXtal_BW#'!$A:$Z,3,FALSE)+D124-50</f>
        <v>17</v>
      </c>
      <c r="D124" s="3">
        <v>40</v>
      </c>
      <c r="E124" s="3">
        <f>IF(ISERROR(VLOOKUP($A124,'SegEnds_NonXtal_BW#'!$A:$Z,4,FALSE)+VLOOKUP($A124,A:AL,4,FALSE)-50),"-",(VLOOKUP($A124,'SegEnds_NonXtal_BW#'!$A:$Z,4,FALSE)+VLOOKUP($A124,A:AL,4,FALSE)-50))</f>
        <v>50</v>
      </c>
      <c r="F124" s="3">
        <f>G124-2</f>
        <v>51</v>
      </c>
      <c r="G124" s="3">
        <v>53</v>
      </c>
      <c r="H124" s="3">
        <f t="shared" ref="H124:I127" si="77">G124+1</f>
        <v>54</v>
      </c>
      <c r="I124" s="3">
        <f t="shared" si="77"/>
        <v>55</v>
      </c>
      <c r="J124" s="3">
        <v>68</v>
      </c>
      <c r="K124" s="3">
        <f>VLOOKUP($A124,'SegEnds_NonXtal_BW#'!$A:$Z,8,FALSE)+VLOOKUP($A124,A:AL,10,FALSE)-50</f>
        <v>86</v>
      </c>
      <c r="L124" s="3">
        <f t="shared" ref="L124:L132" si="78">M124-1</f>
        <v>88</v>
      </c>
      <c r="M124" s="3">
        <v>89</v>
      </c>
      <c r="N124" s="3">
        <f t="shared" ref="N124:N132" si="79">M124+2</f>
        <v>91</v>
      </c>
      <c r="O124" s="3">
        <f t="shared" ref="O124:O132" si="80">N124+1</f>
        <v>92</v>
      </c>
      <c r="P124" s="3">
        <v>121</v>
      </c>
      <c r="Q124" s="3">
        <f>VLOOKUP($A124,'SegEnds_NonXtal_BW#'!$A:$Z,12,FALSE)+VLOOKUP($A124,A:AL,16,FALSE)-50</f>
        <v>127</v>
      </c>
      <c r="R124" s="3">
        <f>IF(ISERROR(VLOOKUP($A124,'SegEnds_NonXtal_BW#'!$A:$Z,13,FALSE)+VLOOKUP($A124,A:AL,19,FALSE)-50),"-",VLOOKUP($A124,'SegEnds_NonXtal_BW#'!$A:$Z,13,FALSE)+VLOOKUP($A124,A:AL,19,FALSE)-50)</f>
        <v>128</v>
      </c>
      <c r="S124" s="3">
        <v>128</v>
      </c>
      <c r="T124" s="100">
        <f>IF(ISERROR(VLOOKUP($A124,'SegEnds_NonXtal_BW#'!$A:$Z,14,FALSE)+VLOOKUP($A124,A:AL,19,FALSE)-50),"-",(VLOOKUP($A124,'SegEnds_NonXtal_BW#'!$A:$Z,14,FALSE)+VLOOKUP($A124,A:AL,19,FALSE)-50))</f>
        <v>135</v>
      </c>
      <c r="U124" s="9">
        <f>IF(ISERROR(VLOOKUP($A124,'SegEnds_NonXtal_BW#'!$A:$Z,15,FALSE)+VLOOKUP($A124,A:AL,22,FALSE)-50),"-",VLOOKUP($A124,'SegEnds_NonXtal_BW#'!$A:$Z,15,FALSE)+VLOOKUP($A124,A:AL,22,FALSE)-50)</f>
        <v>136</v>
      </c>
      <c r="V124" s="3">
        <v>148</v>
      </c>
      <c r="W124" s="3">
        <f>IF(ISERROR(VLOOKUP($A124,'SegEnds_NonXtal_BW#'!$A:$Z,16,FALSE)+VLOOKUP($A124,A:AL,22,FALSE)-50),"-",(VLOOKUP($A124,'SegEnds_NonXtal_BW#'!$A:$Z,16,FALSE)+VLOOKUP($A124,A:AL,22,FALSE)-50))</f>
        <v>165</v>
      </c>
      <c r="X124" s="3">
        <f>IF(ISERROR(VLOOKUP($A124,'SegEnds_NonXtal_BW#'!$A:$Z,17,FALSE)+VLOOKUP($A124,A:AL,25,FALSE)-50),"-",(VLOOKUP($A124,'SegEnds_NonXtal_BW#'!$A:$Z,17,FALSE)+VLOOKUP($A124,A:AL,25,FALSE)-50))</f>
        <v>174</v>
      </c>
      <c r="Y124" s="3">
        <v>174</v>
      </c>
      <c r="Z124" s="3">
        <f t="shared" si="75"/>
        <v>176</v>
      </c>
      <c r="AA124" s="3">
        <f>IF(ISERROR(VLOOKUP($A124,'SegEnds_NonXtal_BW#'!$A:$Z,19,FALSE)+VLOOKUP($A124,A:AL,28,FALSE)-50),"-",(VLOOKUP($A124,'SegEnds_NonXtal_BW#'!$A:$Z,19,FALSE)+VLOOKUP($A124,A:AL,28,FALSE)-50))</f>
        <v>220</v>
      </c>
      <c r="AB124" s="3">
        <v>235</v>
      </c>
      <c r="AC124" s="3">
        <f>IF(ISERROR((VLOOKUP($A124,'SegEnds_NonXtal_BW#'!$A:$Z,20,FALSE)+VLOOKUP($A124,A:AL,28,FALSE)-50)),"-",(VLOOKUP($A124,'SegEnds_NonXtal_BW#'!$A:$Z,20,FALSE)+VLOOKUP($A124,A:AL,28,FALSE)-50))</f>
        <v>259</v>
      </c>
      <c r="AD124" s="3">
        <f>IF(ISERROR(VLOOKUP($A124,'SegEnds_NonXtal_BW#'!$A:$Z,21,FALSE)+VLOOKUP($A124,A:AL,31,FALSE)-50),"-",(VLOOKUP($A124,'SegEnds_NonXtal_BW#'!$A:$Z,21,FALSE)+VLOOKUP($A124,A:AL,31,FALSE)-50))</f>
        <v>272</v>
      </c>
      <c r="AE124" s="3">
        <v>301</v>
      </c>
      <c r="AF124" s="3">
        <f>IF(ISERROR((VLOOKUP($A124,'SegEnds_NonXtal_BW#'!$A:$Z,22,FALSE)+VLOOKUP($A124,A:AL,31,FALSE)-50)),"-",(VLOOKUP($A124,'SegEnds_NonXtal_BW#'!$A:$Z,22,FALSE)+VLOOKUP($A124,A:AL,31,FALSE)-50))</f>
        <v>312</v>
      </c>
      <c r="AG124" s="3">
        <f>IF(ISERROR(VLOOKUP($A124,'SegEnds_NonXtal_BW#'!$A:$Z,23,FALSE)+VLOOKUP($A124,A:AL,34,FALSE)-50),"-",(VLOOKUP($A124,'SegEnds_NonXtal_BW#'!$A:$Z,23,FALSE)+VLOOKUP($A124,A:AL,34,FALSE)-50))</f>
        <v>318</v>
      </c>
      <c r="AH124" s="3">
        <v>337</v>
      </c>
      <c r="AI124" s="3">
        <f>IF(ISERROR((VLOOKUP($A124,'SegEnds_NonXtal_BW#'!$A:$Z,24,FALSE)+VLOOKUP($A124,A:AL,34,FALSE)-50)),"-",(VLOOKUP($A124,'SegEnds_NonXtal_BW#'!$A:$Z,24,FALSE)+VLOOKUP($A124,A:AL,34,FALSE)-50))</f>
        <v>343</v>
      </c>
      <c r="AJ124" s="3">
        <f>IF(ISERROR(VLOOKUP($A124,'SegEnds_NonXtal_BW#'!$A:$Z,25,FALSE)+VLOOKUP($A124,A:AL,37,FALSE)-50),"-",(VLOOKUP($A124,'SegEnds_NonXtal_BW#'!$A:$Z,25,FALSE)+VLOOKUP($A124,A:AL,37,FALSE)-50))</f>
        <v>344</v>
      </c>
      <c r="AK124" s="3">
        <v>347</v>
      </c>
      <c r="AL124" s="3">
        <f>IF(ISERROR((VLOOKUP($A124,'SegEnds_NonXtal_BW#'!$A:$Z,26,FALSE)+VLOOKUP($A124,A:AL,37,FALSE)-50)),"-",(VLOOKUP($A124,'SegEnds_NonXtal_BW#'!$A:$Z,26,FALSE)+VLOOKUP($A124,A:AL,37,FALSE)-50))</f>
        <v>357</v>
      </c>
      <c r="AM124" s="28" t="str">
        <f>VLOOKUP(A124,Classification!A:B,2,FALSE)</f>
        <v>A</v>
      </c>
      <c r="AN124" s="28" t="b">
        <f t="shared" si="55"/>
        <v>1</v>
      </c>
      <c r="AO124" s="3" t="str">
        <f>IF(ISERROR(MATCH(A124,'SegEnds_Xtal_Prot#'!B:B, 0)), "NoXtal", "Xtal")</f>
        <v>NoXtal</v>
      </c>
      <c r="AP124" s="3">
        <f t="shared" si="39"/>
        <v>1</v>
      </c>
      <c r="AQ124" s="3">
        <f t="shared" si="40"/>
        <v>1</v>
      </c>
      <c r="AR124" s="3">
        <f t="shared" si="41"/>
        <v>2</v>
      </c>
      <c r="AS124" s="3">
        <f t="shared" si="42"/>
        <v>1</v>
      </c>
      <c r="AT124" s="3">
        <f t="shared" si="43"/>
        <v>1</v>
      </c>
      <c r="AU124" s="3">
        <f t="shared" si="44"/>
        <v>1</v>
      </c>
      <c r="AV124" s="3">
        <f t="shared" si="45"/>
        <v>9</v>
      </c>
      <c r="AW124" s="3">
        <f t="shared" si="46"/>
        <v>44</v>
      </c>
      <c r="AX124" s="3">
        <f t="shared" si="47"/>
        <v>13</v>
      </c>
      <c r="AY124" s="3">
        <f t="shared" si="48"/>
        <v>6</v>
      </c>
      <c r="AZ124" s="3">
        <f t="shared" si="49"/>
        <v>1</v>
      </c>
      <c r="BA124" s="3">
        <f>IF(ISERROR(LEN(VLOOKUP(A124,Seqs!A:E,2,FALSE))-AL124),"-",LEN(VLOOKUP(A124,Seqs!A:E,2,FALSE))-AL124)</f>
        <v>16</v>
      </c>
      <c r="BB124" s="16">
        <f t="shared" si="50"/>
        <v>28</v>
      </c>
      <c r="BC124" s="9">
        <f t="shared" si="51"/>
        <v>20</v>
      </c>
      <c r="BD124" s="3">
        <f t="shared" si="52"/>
        <v>28</v>
      </c>
      <c r="BE124" s="3">
        <f t="shared" si="53"/>
        <v>66</v>
      </c>
      <c r="BF124" s="3">
        <f>AH124-AE124</f>
        <v>36</v>
      </c>
    </row>
    <row r="125" spans="1:60" s="3" customFormat="1" x14ac:dyDescent="0.2">
      <c r="A125" s="3" t="s">
        <v>232</v>
      </c>
      <c r="B125" s="3" t="str">
        <f>LOWER(VLOOKUP(A125,Xtal_Templ!A:B,2,FALSE))</f>
        <v>apj_human</v>
      </c>
      <c r="C125" s="3">
        <f>VLOOKUP($A125,'SegEnds_NonXtal_BW#'!$A:$Z,3,FALSE)+D125-50</f>
        <v>54</v>
      </c>
      <c r="D125" s="3">
        <v>71</v>
      </c>
      <c r="E125" s="3">
        <f>IF(ISERROR(VLOOKUP($A125,'SegEnds_NonXtal_BW#'!$A:$Z,4,FALSE)+VLOOKUP($A125,A:AL,4,FALSE)-50),"-",(VLOOKUP($A125,'SegEnds_NonXtal_BW#'!$A:$Z,4,FALSE)+VLOOKUP($A125,A:AL,4,FALSE)-50))</f>
        <v>81</v>
      </c>
      <c r="F125" s="3">
        <f>G125-2</f>
        <v>82</v>
      </c>
      <c r="G125" s="3">
        <v>84</v>
      </c>
      <c r="H125" s="3">
        <f t="shared" si="77"/>
        <v>85</v>
      </c>
      <c r="I125" s="3">
        <f t="shared" si="77"/>
        <v>86</v>
      </c>
      <c r="J125" s="3">
        <v>99</v>
      </c>
      <c r="K125" s="3">
        <f>VLOOKUP($A125,'SegEnds_NonXtal_BW#'!$A:$Z,8,FALSE)+VLOOKUP($A125,A:AL,10,FALSE)-50</f>
        <v>116</v>
      </c>
      <c r="L125" s="3">
        <f t="shared" si="78"/>
        <v>118</v>
      </c>
      <c r="M125" s="3">
        <v>119</v>
      </c>
      <c r="N125" s="3">
        <f t="shared" si="79"/>
        <v>121</v>
      </c>
      <c r="O125" s="3">
        <f t="shared" si="80"/>
        <v>122</v>
      </c>
      <c r="P125" s="3">
        <v>151</v>
      </c>
      <c r="Q125" s="3">
        <f>VLOOKUP($A125,'SegEnds_NonXtal_BW#'!$A:$Z,12,FALSE)+VLOOKUP($A125,A:AL,16,FALSE)-50</f>
        <v>157</v>
      </c>
      <c r="R125" s="3">
        <f>IF(ISERROR(VLOOKUP($A125,'SegEnds_NonXtal_BW#'!$A:$Z,13,FALSE)+VLOOKUP($A125,A:AL,19,FALSE)-50),"-",VLOOKUP($A125,'SegEnds_NonXtal_BW#'!$A:$Z,13,FALSE)+VLOOKUP($A125,A:AL,19,FALSE)-50)</f>
        <v>158</v>
      </c>
      <c r="S125" s="3">
        <v>158</v>
      </c>
      <c r="T125" s="100">
        <f>IF(ISERROR(VLOOKUP($A125,'SegEnds_NonXtal_BW#'!$A:$Z,14,FALSE)+VLOOKUP($A125,A:AL,19,FALSE)-50),"-",(VLOOKUP($A125,'SegEnds_NonXtal_BW#'!$A:$Z,14,FALSE)+VLOOKUP($A125,A:AL,19,FALSE)-50))</f>
        <v>165</v>
      </c>
      <c r="U125" s="9">
        <f>IF(ISERROR(VLOOKUP($A125,'SegEnds_NonXtal_BW#'!$A:$Z,15,FALSE)+VLOOKUP($A125,A:AL,22,FALSE)-50),"-",VLOOKUP($A125,'SegEnds_NonXtal_BW#'!$A:$Z,15,FALSE)+VLOOKUP($A125,A:AL,22,FALSE)-50)</f>
        <v>166</v>
      </c>
      <c r="V125" s="3">
        <v>178</v>
      </c>
      <c r="W125" s="3">
        <f>IF(ISERROR(VLOOKUP($A125,'SegEnds_NonXtal_BW#'!$A:$Z,16,FALSE)+VLOOKUP($A125,A:AL,22,FALSE)-50),"-",(VLOOKUP($A125,'SegEnds_NonXtal_BW#'!$A:$Z,16,FALSE)+VLOOKUP($A125,A:AL,22,FALSE)-50))</f>
        <v>192</v>
      </c>
      <c r="X125" s="3">
        <f>IF(ISERROR(VLOOKUP($A125,'SegEnds_NonXtal_BW#'!$A:$Z,17,FALSE)+VLOOKUP($A125,A:AL,25,FALSE)-50),"-",(VLOOKUP($A125,'SegEnds_NonXtal_BW#'!$A:$Z,17,FALSE)+VLOOKUP($A125,A:AL,25,FALSE)-50))</f>
        <v>202</v>
      </c>
      <c r="Y125" s="3">
        <v>202</v>
      </c>
      <c r="Z125" s="3">
        <f t="shared" si="75"/>
        <v>204</v>
      </c>
      <c r="AA125" s="3">
        <f>IF(ISERROR(VLOOKUP($A125,'SegEnds_NonXtal_BW#'!$A:$Z,19,FALSE)+VLOOKUP($A125,A:AL,28,FALSE)-50),"-",(VLOOKUP($A125,'SegEnds_NonXtal_BW#'!$A:$Z,19,FALSE)+VLOOKUP($A125,A:AL,28,FALSE)-50))</f>
        <v>210</v>
      </c>
      <c r="AB125" s="3">
        <v>230</v>
      </c>
      <c r="AC125" s="3">
        <f>IF(ISERROR((VLOOKUP($A125,'SegEnds_NonXtal_BW#'!$A:$Z,20,FALSE)+VLOOKUP($A125,A:AL,28,FALSE)-50)),"-",(VLOOKUP($A125,'SegEnds_NonXtal_BW#'!$A:$Z,20,FALSE)+VLOOKUP($A125,A:AL,28,FALSE)-50))</f>
        <v>248</v>
      </c>
      <c r="AD125" s="3">
        <f>IF(ISERROR(VLOOKUP($A125,'SegEnds_NonXtal_BW#'!$A:$Z,21,FALSE)+VLOOKUP($A125,A:AL,31,FALSE)-50),"-",(VLOOKUP($A125,'SegEnds_NonXtal_BW#'!$A:$Z,21,FALSE)+VLOOKUP($A125,A:AL,31,FALSE)-50))</f>
        <v>253</v>
      </c>
      <c r="AE125" s="3">
        <v>273</v>
      </c>
      <c r="AF125" s="3">
        <f>IF(ISERROR((VLOOKUP($A125,'SegEnds_NonXtal_BW#'!$A:$Z,22,FALSE)+VLOOKUP($A125,A:AL,31,FALSE)-50)),"-",(VLOOKUP($A125,'SegEnds_NonXtal_BW#'!$A:$Z,22,FALSE)+VLOOKUP($A125,A:AL,31,FALSE)-50))</f>
        <v>287</v>
      </c>
      <c r="AG125" s="3">
        <f>IF(ISERROR(VLOOKUP($A125,'SegEnds_NonXtal_BW#'!$A:$Z,23,FALSE)+VLOOKUP($A125,A:AL,34,FALSE)-50),"-",(VLOOKUP($A125,'SegEnds_NonXtal_BW#'!$A:$Z,23,FALSE)+VLOOKUP($A125,A:AL,34,FALSE)-50))</f>
        <v>291</v>
      </c>
      <c r="AH125" s="3">
        <v>317</v>
      </c>
      <c r="AI125" s="3">
        <f>IF(ISERROR((VLOOKUP($A125,'SegEnds_NonXtal_BW#'!$A:$Z,24,FALSE)+VLOOKUP($A125,A:AL,34,FALSE)-50)),"-",(VLOOKUP($A125,'SegEnds_NonXtal_BW#'!$A:$Z,24,FALSE)+VLOOKUP($A125,A:AL,34,FALSE)-50))</f>
        <v>323</v>
      </c>
      <c r="AJ125" s="3">
        <f>IF(ISERROR(VLOOKUP($A125,'SegEnds_NonXtal_BW#'!$A:$Z,25,FALSE)+VLOOKUP($A125,A:AL,37,FALSE)-50),"-",(VLOOKUP($A125,'SegEnds_NonXtal_BW#'!$A:$Z,25,FALSE)+VLOOKUP($A125,A:AL,37,FALSE)-50))</f>
        <v>324</v>
      </c>
      <c r="AK125" s="3">
        <v>327</v>
      </c>
      <c r="AL125" s="3">
        <f>IF(ISERROR((VLOOKUP($A125,'SegEnds_NonXtal_BW#'!$A:$Z,26,FALSE)+VLOOKUP($A125,A:AL,37,FALSE)-50)),"-",(VLOOKUP($A125,'SegEnds_NonXtal_BW#'!$A:$Z,26,FALSE)+VLOOKUP($A125,A:AL,37,FALSE)-50))</f>
        <v>338</v>
      </c>
      <c r="AM125" s="28" t="str">
        <f>VLOOKUP(A125,Classification!A:B,2,FALSE)</f>
        <v>A</v>
      </c>
      <c r="AN125" s="28" t="b">
        <f t="shared" si="55"/>
        <v>1</v>
      </c>
      <c r="AO125" s="3" t="str">
        <f>IF(ISERROR(MATCH(A125,'SegEnds_Xtal_Prot#'!B:B, 0)), "NoXtal", "Xtal")</f>
        <v>NoXtal</v>
      </c>
      <c r="AP125" s="3">
        <f t="shared" si="39"/>
        <v>1</v>
      </c>
      <c r="AQ125" s="3">
        <f t="shared" si="40"/>
        <v>1</v>
      </c>
      <c r="AR125" s="3">
        <f t="shared" si="41"/>
        <v>2</v>
      </c>
      <c r="AS125" s="3">
        <f t="shared" si="42"/>
        <v>1</v>
      </c>
      <c r="AT125" s="3">
        <f t="shared" si="43"/>
        <v>1</v>
      </c>
      <c r="AU125" s="3">
        <f t="shared" si="44"/>
        <v>1</v>
      </c>
      <c r="AV125" s="3">
        <f t="shared" si="45"/>
        <v>10</v>
      </c>
      <c r="AW125" s="3">
        <f t="shared" si="46"/>
        <v>6</v>
      </c>
      <c r="AX125" s="3">
        <f t="shared" si="47"/>
        <v>5</v>
      </c>
      <c r="AY125" s="3">
        <f t="shared" si="48"/>
        <v>4</v>
      </c>
      <c r="AZ125" s="3">
        <f t="shared" si="49"/>
        <v>1</v>
      </c>
      <c r="BA125" s="3">
        <f>IF(ISERROR(LEN(VLOOKUP(A125,Seqs!A:E,2,FALSE))-AL125),"-",LEN(VLOOKUP(A125,Seqs!A:E,2,FALSE))-AL125)</f>
        <v>66</v>
      </c>
      <c r="BB125" s="16">
        <f t="shared" si="50"/>
        <v>28</v>
      </c>
      <c r="BC125" s="9">
        <f t="shared" si="51"/>
        <v>20</v>
      </c>
      <c r="BD125" s="3">
        <f t="shared" si="52"/>
        <v>28</v>
      </c>
      <c r="BE125" s="3">
        <f t="shared" si="53"/>
        <v>43</v>
      </c>
    </row>
    <row r="126" spans="1:60" s="3" customFormat="1" x14ac:dyDescent="0.2">
      <c r="A126" s="3" t="s">
        <v>233</v>
      </c>
      <c r="B126" s="3" t="str">
        <f>LOWER(VLOOKUP(A126,Xtal_Templ!A:B,2,FALSE))</f>
        <v>oprk_human</v>
      </c>
      <c r="C126" s="3">
        <f>VLOOKUP($A126,'SegEnds_NonXtal_BW#'!$A:$Z,3,FALSE)+D126-50</f>
        <v>29</v>
      </c>
      <c r="D126" s="3">
        <v>49</v>
      </c>
      <c r="E126" s="3">
        <f>IF(ISERROR(VLOOKUP($A126,'SegEnds_NonXtal_BW#'!$A:$Z,4,FALSE)+VLOOKUP($A126,A:AL,4,FALSE)-50),"-",(VLOOKUP($A126,'SegEnds_NonXtal_BW#'!$A:$Z,4,FALSE)+VLOOKUP($A126,A:AL,4,FALSE)-50))</f>
        <v>59</v>
      </c>
      <c r="F126" s="3">
        <f>G126-2</f>
        <v>60</v>
      </c>
      <c r="G126" s="3">
        <v>62</v>
      </c>
      <c r="H126" s="3">
        <f t="shared" si="77"/>
        <v>63</v>
      </c>
      <c r="I126" s="3">
        <f t="shared" si="77"/>
        <v>64</v>
      </c>
      <c r="J126" s="3">
        <v>77</v>
      </c>
      <c r="K126" s="3">
        <f>VLOOKUP($A126,'SegEnds_NonXtal_BW#'!$A:$Z,8,FALSE)+VLOOKUP($A126,A:AL,10,FALSE)-50</f>
        <v>94</v>
      </c>
      <c r="L126" s="3">
        <f t="shared" si="78"/>
        <v>96</v>
      </c>
      <c r="M126" s="3">
        <v>97</v>
      </c>
      <c r="N126" s="3">
        <f t="shared" si="79"/>
        <v>99</v>
      </c>
      <c r="O126" s="3">
        <f t="shared" si="80"/>
        <v>100</v>
      </c>
      <c r="P126" s="3">
        <v>129</v>
      </c>
      <c r="Q126" s="3">
        <f>VLOOKUP($A126,'SegEnds_NonXtal_BW#'!$A:$Z,12,FALSE)+VLOOKUP($A126,A:AL,16,FALSE)-50</f>
        <v>135</v>
      </c>
      <c r="R126" s="3">
        <f>IF(ISERROR(VLOOKUP($A126,'SegEnds_NonXtal_BW#'!$A:$Z,13,FALSE)+VLOOKUP($A126,A:AL,19,FALSE)-50),"-",VLOOKUP($A126,'SegEnds_NonXtal_BW#'!$A:$Z,13,FALSE)+VLOOKUP($A126,A:AL,19,FALSE)-50)</f>
        <v>136</v>
      </c>
      <c r="S126" s="3">
        <v>136</v>
      </c>
      <c r="T126" s="100">
        <f>IF(ISERROR(VLOOKUP($A126,'SegEnds_NonXtal_BW#'!$A:$Z,14,FALSE)+VLOOKUP($A126,A:AL,19,FALSE)-50),"-",(VLOOKUP($A126,'SegEnds_NonXtal_BW#'!$A:$Z,14,FALSE)+VLOOKUP($A126,A:AL,19,FALSE)-50))</f>
        <v>143</v>
      </c>
      <c r="U126" s="9">
        <f>IF(ISERROR(VLOOKUP($A126,'SegEnds_NonXtal_BW#'!$A:$Z,15,FALSE)+VLOOKUP($A126,A:AL,22,FALSE)-50),"-",VLOOKUP($A126,'SegEnds_NonXtal_BW#'!$A:$Z,15,FALSE)+VLOOKUP($A126,A:AL,22,FALSE)-50)</f>
        <v>144</v>
      </c>
      <c r="V126" s="3">
        <v>156</v>
      </c>
      <c r="W126" s="3">
        <f>IF(ISERROR(VLOOKUP($A126,'SegEnds_NonXtal_BW#'!$A:$Z,16,FALSE)+VLOOKUP($A126,A:AL,22,FALSE)-50),"-",(VLOOKUP($A126,'SegEnds_NonXtal_BW#'!$A:$Z,16,FALSE)+VLOOKUP($A126,A:AL,22,FALSE)-50))</f>
        <v>170</v>
      </c>
      <c r="X126" s="3">
        <f>IF(ISERROR(VLOOKUP($A126,'SegEnds_NonXtal_BW#'!$A:$Z,17,FALSE)+VLOOKUP($A126,A:AL,25,FALSE)-50),"-",(VLOOKUP($A126,'SegEnds_NonXtal_BW#'!$A:$Z,17,FALSE)+VLOOKUP($A126,A:AL,25,FALSE)-50))</f>
        <v>181</v>
      </c>
      <c r="Y126" s="3">
        <v>181</v>
      </c>
      <c r="Z126" s="3">
        <f t="shared" si="75"/>
        <v>183</v>
      </c>
      <c r="AA126" s="3">
        <f>IF(ISERROR(VLOOKUP($A126,'SegEnds_NonXtal_BW#'!$A:$Z,19,FALSE)+VLOOKUP($A126,A:AL,28,FALSE)-50),"-",(VLOOKUP($A126,'SegEnds_NonXtal_BW#'!$A:$Z,19,FALSE)+VLOOKUP($A126,A:AL,28,FALSE)-50))</f>
        <v>188</v>
      </c>
      <c r="AB126" s="3">
        <v>208</v>
      </c>
      <c r="AC126" s="3">
        <f>IF(ISERROR((VLOOKUP($A126,'SegEnds_NonXtal_BW#'!$A:$Z,20,FALSE)+VLOOKUP($A126,A:AL,28,FALSE)-50)),"-",(VLOOKUP($A126,'SegEnds_NonXtal_BW#'!$A:$Z,20,FALSE)+VLOOKUP($A126,A:AL,28,FALSE)-50))</f>
        <v>226</v>
      </c>
      <c r="AD126" s="3">
        <f>IF(ISERROR(VLOOKUP($A126,'SegEnds_NonXtal_BW#'!$A:$Z,21,FALSE)+VLOOKUP($A126,A:AL,31,FALSE)-50),"-",(VLOOKUP($A126,'SegEnds_NonXtal_BW#'!$A:$Z,21,FALSE)+VLOOKUP($A126,A:AL,31,FALSE)-50))</f>
        <v>232</v>
      </c>
      <c r="AE126" s="3">
        <v>259</v>
      </c>
      <c r="AF126" s="3">
        <f>IF(ISERROR((VLOOKUP($A126,'SegEnds_NonXtal_BW#'!$A:$Z,22,FALSE)+VLOOKUP($A126,A:AL,31,FALSE)-50)),"-",(VLOOKUP($A126,'SegEnds_NonXtal_BW#'!$A:$Z,22,FALSE)+VLOOKUP($A126,A:AL,31,FALSE)-50))</f>
        <v>273</v>
      </c>
      <c r="AG126" s="3">
        <f>IF(ISERROR(VLOOKUP($A126,'SegEnds_NonXtal_BW#'!$A:$Z,23,FALSE)+VLOOKUP($A126,A:AL,34,FALSE)-50),"-",(VLOOKUP($A126,'SegEnds_NonXtal_BW#'!$A:$Z,23,FALSE)+VLOOKUP($A126,A:AL,34,FALSE)-50))</f>
        <v>279</v>
      </c>
      <c r="AH126" s="3">
        <v>305</v>
      </c>
      <c r="AI126" s="3">
        <f>IF(ISERROR((VLOOKUP($A126,'SegEnds_NonXtal_BW#'!$A:$Z,24,FALSE)+VLOOKUP($A126,A:AL,34,FALSE)-50)),"-",(VLOOKUP($A126,'SegEnds_NonXtal_BW#'!$A:$Z,24,FALSE)+VLOOKUP($A126,A:AL,34,FALSE)-50))</f>
        <v>311</v>
      </c>
      <c r="AJ126" s="3">
        <f>IF(ISERROR(VLOOKUP($A126,'SegEnds_NonXtal_BW#'!$A:$Z,25,FALSE)+VLOOKUP($A126,A:AL,37,FALSE)-50),"-",(VLOOKUP($A126,'SegEnds_NonXtal_BW#'!$A:$Z,25,FALSE)+VLOOKUP($A126,A:AL,37,FALSE)-50))</f>
        <v>312</v>
      </c>
      <c r="AK126" s="3">
        <v>315</v>
      </c>
      <c r="AL126" s="3">
        <f>IF(ISERROR((VLOOKUP($A126,'SegEnds_NonXtal_BW#'!$A:$Z,26,FALSE)+VLOOKUP($A126,A:AL,37,FALSE)-50)),"-",(VLOOKUP($A126,'SegEnds_NonXtal_BW#'!$A:$Z,26,FALSE)+VLOOKUP($A126,A:AL,37,FALSE)-50))</f>
        <v>324</v>
      </c>
      <c r="AM126" s="28" t="str">
        <f>VLOOKUP(A126,Classification!A:B,2,FALSE)</f>
        <v>A</v>
      </c>
      <c r="AN126" s="28" t="b">
        <f t="shared" si="55"/>
        <v>1</v>
      </c>
      <c r="AO126" s="3" t="str">
        <f>IF(ISERROR(MATCH(A126,'SegEnds_Xtal_Prot#'!B:B, 0)), "NoXtal", "Xtal")</f>
        <v>NoXtal</v>
      </c>
      <c r="AP126" s="3">
        <f t="shared" si="39"/>
        <v>1</v>
      </c>
      <c r="AQ126" s="3">
        <f t="shared" si="40"/>
        <v>1</v>
      </c>
      <c r="AR126" s="3">
        <f t="shared" si="41"/>
        <v>2</v>
      </c>
      <c r="AS126" s="3">
        <f t="shared" si="42"/>
        <v>1</v>
      </c>
      <c r="AT126" s="3">
        <f t="shared" si="43"/>
        <v>1</v>
      </c>
      <c r="AU126" s="3">
        <f t="shared" si="44"/>
        <v>1</v>
      </c>
      <c r="AV126" s="3">
        <f t="shared" si="45"/>
        <v>11</v>
      </c>
      <c r="AW126" s="3">
        <f t="shared" si="46"/>
        <v>5</v>
      </c>
      <c r="AX126" s="3">
        <f t="shared" si="47"/>
        <v>6</v>
      </c>
      <c r="AY126" s="3">
        <f t="shared" si="48"/>
        <v>6</v>
      </c>
      <c r="AZ126" s="3">
        <f t="shared" si="49"/>
        <v>1</v>
      </c>
      <c r="BA126" s="3">
        <f>IF(ISERROR(LEN(VLOOKUP(A126,Seqs!A:E,2,FALSE))-AL126),"-",LEN(VLOOKUP(A126,Seqs!A:E,2,FALSE))-AL126)</f>
        <v>37</v>
      </c>
      <c r="BB126" s="16">
        <f t="shared" si="50"/>
        <v>28</v>
      </c>
      <c r="BC126" s="9">
        <f t="shared" si="51"/>
        <v>20</v>
      </c>
      <c r="BD126" s="3">
        <f t="shared" si="52"/>
        <v>28</v>
      </c>
      <c r="BE126" s="3">
        <f t="shared" si="53"/>
        <v>51</v>
      </c>
    </row>
    <row r="127" spans="1:60" s="3" customFormat="1" x14ac:dyDescent="0.2">
      <c r="A127" s="3" t="s">
        <v>235</v>
      </c>
      <c r="B127" s="3" t="str">
        <f>LOWER(VLOOKUP(A127,Xtal_Templ!A:B,2,FALSE))</f>
        <v>cltr2_human</v>
      </c>
      <c r="C127" s="3">
        <f>VLOOKUP($A127,'SegEnds_NonXtal_BW#'!$A:$Z,3,FALSE)+D127-50</f>
        <v>52</v>
      </c>
      <c r="D127" s="3">
        <v>77</v>
      </c>
      <c r="E127" s="3">
        <f>IF(ISERROR(VLOOKUP($A127,'SegEnds_NonXtal_BW#'!$A:$Z,4,FALSE)+VLOOKUP($A127,A:AL,4,FALSE)-50),"-",(VLOOKUP($A127,'SegEnds_NonXtal_BW#'!$A:$Z,4,FALSE)+VLOOKUP($A127,A:AL,4,FALSE)-50))</f>
        <v>87</v>
      </c>
      <c r="F127" s="3">
        <f>G127-2</f>
        <v>88</v>
      </c>
      <c r="G127" s="3">
        <v>90</v>
      </c>
      <c r="H127" s="3">
        <f t="shared" si="77"/>
        <v>91</v>
      </c>
      <c r="I127" s="3">
        <f t="shared" si="77"/>
        <v>92</v>
      </c>
      <c r="J127" s="3">
        <v>105</v>
      </c>
      <c r="K127" s="3">
        <f>VLOOKUP($A127,'SegEnds_NonXtal_BW#'!$A:$Z,8,FALSE)+VLOOKUP($A127,A:AL,10,FALSE)-50</f>
        <v>121</v>
      </c>
      <c r="L127" s="3">
        <f t="shared" si="78"/>
        <v>123</v>
      </c>
      <c r="M127" s="3">
        <v>124</v>
      </c>
      <c r="N127" s="3">
        <f t="shared" si="79"/>
        <v>126</v>
      </c>
      <c r="O127" s="3">
        <f t="shared" si="80"/>
        <v>127</v>
      </c>
      <c r="P127" s="3">
        <v>155</v>
      </c>
      <c r="Q127" s="3">
        <f>VLOOKUP($A127,'SegEnds_NonXtal_BW#'!$A:$Z,12,FALSE)+VLOOKUP($A127,A:AL,16,FALSE)-50</f>
        <v>161</v>
      </c>
      <c r="R127" s="3">
        <f>IF(ISERROR(VLOOKUP($A127,'SegEnds_NonXtal_BW#'!$A:$Z,13,FALSE)+VLOOKUP($A127,A:AL,19,FALSE)-50),"-",VLOOKUP($A127,'SegEnds_NonXtal_BW#'!$A:$Z,13,FALSE)+VLOOKUP($A127,A:AL,19,FALSE)-50)</f>
        <v>162</v>
      </c>
      <c r="S127" s="3">
        <v>162</v>
      </c>
      <c r="T127" s="100">
        <f>IF(ISERROR(VLOOKUP($A127,'SegEnds_NonXtal_BW#'!$A:$Z,14,FALSE)+VLOOKUP($A127,A:AL,19,FALSE)-50),"-",(VLOOKUP($A127,'SegEnds_NonXtal_BW#'!$A:$Z,14,FALSE)+VLOOKUP($A127,A:AL,19,FALSE)-50))</f>
        <v>169</v>
      </c>
      <c r="U127" s="9">
        <f>IF(ISERROR(VLOOKUP($A127,'SegEnds_NonXtal_BW#'!$A:$Z,15,FALSE)+VLOOKUP($A127,A:AL,22,FALSE)-50),"-",VLOOKUP($A127,'SegEnds_NonXtal_BW#'!$A:$Z,15,FALSE)+VLOOKUP($A127,A:AL,22,FALSE)-50)</f>
        <v>170</v>
      </c>
      <c r="V127" s="3">
        <v>182</v>
      </c>
      <c r="W127" s="3">
        <f>IF(ISERROR(VLOOKUP($A127,'SegEnds_NonXtal_BW#'!$A:$Z,16,FALSE)+VLOOKUP($A127,A:AL,22,FALSE)-50),"-",(VLOOKUP($A127,'SegEnds_NonXtal_BW#'!$A:$Z,16,FALSE)+VLOOKUP($A127,A:AL,22,FALSE)-50))</f>
        <v>195</v>
      </c>
      <c r="X127" s="3">
        <f>IF(ISERROR(VLOOKUP($A127,'SegEnds_NonXtal_BW#'!$A:$Z,17,FALSE)+VLOOKUP($A127,A:AL,25,FALSE)-50),"-",(VLOOKUP($A127,'SegEnds_NonXtal_BW#'!$A:$Z,17,FALSE)+VLOOKUP($A127,A:AL,25,FALSE)-50))</f>
        <v>205</v>
      </c>
      <c r="Y127" s="3">
        <v>205</v>
      </c>
      <c r="Z127" s="3">
        <f t="shared" si="75"/>
        <v>207</v>
      </c>
      <c r="AA127" s="3">
        <f>IF(ISERROR(VLOOKUP($A127,'SegEnds_NonXtal_BW#'!$A:$Z,19,FALSE)+VLOOKUP($A127,A:AL,28,FALSE)-50),"-",(VLOOKUP($A127,'SegEnds_NonXtal_BW#'!$A:$Z,19,FALSE)+VLOOKUP($A127,A:AL,28,FALSE)-50))</f>
        <v>210</v>
      </c>
      <c r="AB127" s="3">
        <v>226</v>
      </c>
      <c r="AC127" s="3">
        <f>IF(ISERROR((VLOOKUP($A127,'SegEnds_NonXtal_BW#'!$A:$Z,20,FALSE)+VLOOKUP($A127,A:AL,28,FALSE)-50)),"-",(VLOOKUP($A127,'SegEnds_NonXtal_BW#'!$A:$Z,20,FALSE)+VLOOKUP($A127,A:AL,28,FALSE)-50))</f>
        <v>244</v>
      </c>
      <c r="AD127" s="3">
        <f>IF(ISERROR(VLOOKUP($A127,'SegEnds_NonXtal_BW#'!$A:$Z,21,FALSE)+VLOOKUP($A127,A:AL,31,FALSE)-50),"-",(VLOOKUP($A127,'SegEnds_NonXtal_BW#'!$A:$Z,21,FALSE)+VLOOKUP($A127,A:AL,31,FALSE)-50))</f>
        <v>248</v>
      </c>
      <c r="AE127" s="3">
        <v>274</v>
      </c>
      <c r="AF127" s="3">
        <f>IF(ISERROR((VLOOKUP($A127,'SegEnds_NonXtal_BW#'!$A:$Z,22,FALSE)+VLOOKUP($A127,A:AL,31,FALSE)-50)),"-",(VLOOKUP($A127,'SegEnds_NonXtal_BW#'!$A:$Z,22,FALSE)+VLOOKUP($A127,A:AL,31,FALSE)-50))</f>
        <v>288</v>
      </c>
      <c r="AG127" s="3">
        <f>IF(ISERROR(VLOOKUP($A127,'SegEnds_NonXtal_BW#'!$A:$Z,23,FALSE)+VLOOKUP($A127,A:AL,34,FALSE)-50),"-",(VLOOKUP($A127,'SegEnds_NonXtal_BW#'!$A:$Z,23,FALSE)+VLOOKUP($A127,A:AL,34,FALSE)-50))</f>
        <v>295</v>
      </c>
      <c r="AH127" s="3">
        <v>321</v>
      </c>
      <c r="AI127" s="3">
        <f>IF(ISERROR((VLOOKUP($A127,'SegEnds_NonXtal_BW#'!$A:$Z,24,FALSE)+VLOOKUP($A127,A:AL,34,FALSE)-50)),"-",(VLOOKUP($A127,'SegEnds_NonXtal_BW#'!$A:$Z,24,FALSE)+VLOOKUP($A127,A:AL,34,FALSE)-50))</f>
        <v>327</v>
      </c>
      <c r="AJ127" s="3">
        <f>IF(ISERROR(VLOOKUP($A127,'SegEnds_NonXtal_BW#'!$A:$Z,25,FALSE)+VLOOKUP($A127,A:AL,37,FALSE)-50),"-",(VLOOKUP($A127,'SegEnds_NonXtal_BW#'!$A:$Z,25,FALSE)+VLOOKUP($A127,A:AL,37,FALSE)-50))</f>
        <v>328</v>
      </c>
      <c r="AK127" s="3">
        <v>331</v>
      </c>
      <c r="AL127" s="3">
        <f>IF(ISERROR((VLOOKUP($A127,'SegEnds_NonXtal_BW#'!$A:$Z,26,FALSE)+VLOOKUP($A127,A:AL,37,FALSE)-50)),"-",(VLOOKUP($A127,'SegEnds_NonXtal_BW#'!$A:$Z,26,FALSE)+VLOOKUP($A127,A:AL,37,FALSE)-50))</f>
        <v>341</v>
      </c>
      <c r="AM127" s="28" t="str">
        <f>VLOOKUP(A127,Classification!A:B,2,FALSE)</f>
        <v>A</v>
      </c>
      <c r="AN127" s="28" t="b">
        <f t="shared" si="55"/>
        <v>1</v>
      </c>
      <c r="AO127" s="3" t="str">
        <f>IF(ISERROR(MATCH(A127,'SegEnds_Xtal_Prot#'!B:B, 0)), "NoXtal", "Xtal")</f>
        <v>NoXtal</v>
      </c>
      <c r="AP127" s="3">
        <f t="shared" si="39"/>
        <v>1</v>
      </c>
      <c r="AQ127" s="3">
        <f t="shared" si="40"/>
        <v>1</v>
      </c>
      <c r="AR127" s="3">
        <f t="shared" si="41"/>
        <v>2</v>
      </c>
      <c r="AS127" s="3">
        <f t="shared" si="42"/>
        <v>1</v>
      </c>
      <c r="AT127" s="3">
        <f t="shared" si="43"/>
        <v>1</v>
      </c>
      <c r="AU127" s="3">
        <f t="shared" si="44"/>
        <v>1</v>
      </c>
      <c r="AV127" s="3">
        <f t="shared" si="45"/>
        <v>10</v>
      </c>
      <c r="AW127" s="3">
        <f t="shared" si="46"/>
        <v>3</v>
      </c>
      <c r="AX127" s="3">
        <f t="shared" si="47"/>
        <v>4</v>
      </c>
      <c r="AY127" s="3">
        <f t="shared" si="48"/>
        <v>7</v>
      </c>
      <c r="AZ127" s="3">
        <f t="shared" si="49"/>
        <v>1</v>
      </c>
      <c r="BA127" s="3">
        <f>IF(ISERROR(LEN(VLOOKUP(A127,Seqs!A:E,2,FALSE))-AL127),"-",LEN(VLOOKUP(A127,Seqs!A:E,2,FALSE))-AL127)</f>
        <v>34</v>
      </c>
      <c r="BB127" s="16">
        <f t="shared" si="50"/>
        <v>28</v>
      </c>
      <c r="BC127" s="9">
        <f t="shared" si="51"/>
        <v>20</v>
      </c>
      <c r="BD127" s="3">
        <f t="shared" si="52"/>
        <v>28</v>
      </c>
      <c r="BE127" s="3">
        <f t="shared" si="53"/>
        <v>48</v>
      </c>
    </row>
    <row r="128" spans="1:60" s="3" customFormat="1" x14ac:dyDescent="0.2">
      <c r="A128" s="3" t="s">
        <v>236</v>
      </c>
      <c r="B128" s="3" t="str">
        <f>LOWER(VLOOKUP(A128,Xtal_Templ!A:B,2,FALSE))</f>
        <v>fpr2_human</v>
      </c>
      <c r="C128" s="3">
        <f>VLOOKUP($A128,'SegEnds_NonXtal_BW#'!$A:$Z,3,FALSE)+D128-50</f>
        <v>31</v>
      </c>
      <c r="D128" s="3">
        <v>56</v>
      </c>
      <c r="E128" s="3">
        <f>IF(ISERROR(VLOOKUP($A128,'SegEnds_NonXtal_BW#'!$A:$Z,4,FALSE)+VLOOKUP($A128,A:AL,4,FALSE)-50),"-",(VLOOKUP($A128,'SegEnds_NonXtal_BW#'!$A:$Z,4,FALSE)+VLOOKUP($A128,A:AL,4,FALSE)-50))</f>
        <v>67</v>
      </c>
      <c r="F128" s="3" t="str">
        <f>IF(ISERROR(VLOOKUP($A128,'SegEnds_NonXtal_BW#'!$A:$Z,5,FALSE)+VLOOKUP($A128,A:AL,7,FALSE)-50),"-",(VLOOKUP($A128,'SegEnds_NonXtal_BW#'!$A:$Z,5,FALSE)+VLOOKUP($A128,A:AL,7,FALSE)-50))</f>
        <v>-</v>
      </c>
      <c r="G128" s="3" t="s">
        <v>23</v>
      </c>
      <c r="H128" s="3" t="str">
        <f>IF(ISERROR(VLOOKUP($A128,'SegEnds_NonXtal_BW#'!$A:$Z,6,FALSE)+VLOOKUP($A128,A:AL,7,FALSE)-50),"-",(VLOOKUP($A128,'SegEnds_NonXtal_BW#'!$A:$Z,6,FALSE)+VLOOKUP($A128,A:AL,7,FALSE)-50))</f>
        <v>-</v>
      </c>
      <c r="I128" s="3">
        <f>VLOOKUP($A128,'SegEnds_NonXtal_BW#'!$A:$Z,7,FALSE)+J128-50</f>
        <v>70</v>
      </c>
      <c r="J128" s="3">
        <v>83</v>
      </c>
      <c r="K128" s="3">
        <f>VLOOKUP($A128,'SegEnds_NonXtal_BW#'!$A:$Z,8,FALSE)+VLOOKUP($A128,A:AL,10,FALSE)-50</f>
        <v>100</v>
      </c>
      <c r="L128" s="3">
        <f t="shared" si="78"/>
        <v>102</v>
      </c>
      <c r="M128" s="3">
        <v>103</v>
      </c>
      <c r="N128" s="3">
        <f t="shared" si="79"/>
        <v>105</v>
      </c>
      <c r="O128" s="3">
        <f t="shared" si="80"/>
        <v>106</v>
      </c>
      <c r="P128" s="3">
        <v>135</v>
      </c>
      <c r="Q128" s="3">
        <f>VLOOKUP($A128,'SegEnds_NonXtal_BW#'!$A:$Z,12,FALSE)+VLOOKUP($A128,A:AL,16,FALSE)-50</f>
        <v>141</v>
      </c>
      <c r="R128" s="3">
        <f>IF(ISERROR(VLOOKUP($A128,'SegEnds_NonXtal_BW#'!$A:$Z,13,FALSE)+VLOOKUP($A128,A:AL,19,FALSE)-50),"-",VLOOKUP($A128,'SegEnds_NonXtal_BW#'!$A:$Z,13,FALSE)+VLOOKUP($A128,A:AL,19,FALSE)-50)</f>
        <v>142</v>
      </c>
      <c r="S128" s="3">
        <v>142</v>
      </c>
      <c r="T128" s="100">
        <f>IF(ISERROR(VLOOKUP($A128,'SegEnds_NonXtal_BW#'!$A:$Z,14,FALSE)+VLOOKUP($A128,A:AL,19,FALSE)-50),"-",(VLOOKUP($A128,'SegEnds_NonXtal_BW#'!$A:$Z,14,FALSE)+VLOOKUP($A128,A:AL,19,FALSE)-50))</f>
        <v>149</v>
      </c>
      <c r="U128" s="9">
        <f>IF(ISERROR(VLOOKUP($A128,'SegEnds_NonXtal_BW#'!$A:$Z,15,FALSE)+VLOOKUP($A128,A:AL,22,FALSE)-50),"-",VLOOKUP($A128,'SegEnds_NonXtal_BW#'!$A:$Z,15,FALSE)+VLOOKUP($A128,A:AL,22,FALSE)-50)</f>
        <v>150</v>
      </c>
      <c r="V128" s="3">
        <v>162</v>
      </c>
      <c r="W128" s="3">
        <f>IF(ISERROR(VLOOKUP($A128,'SegEnds_NonXtal_BW#'!$A:$Z,16,FALSE)+VLOOKUP($A128,A:AL,22,FALSE)-50),"-",(VLOOKUP($A128,'SegEnds_NonXtal_BW#'!$A:$Z,16,FALSE)+VLOOKUP($A128,A:AL,22,FALSE)-50))</f>
        <v>176</v>
      </c>
      <c r="X128" s="3">
        <f>IF(ISERROR(VLOOKUP($A128,'SegEnds_NonXtal_BW#'!$A:$Z,17,FALSE)+VLOOKUP($A128,A:AL,25,FALSE)-50),"-",(VLOOKUP($A128,'SegEnds_NonXtal_BW#'!$A:$Z,17,FALSE)+VLOOKUP($A128,A:AL,25,FALSE)-50))</f>
        <v>187</v>
      </c>
      <c r="Y128" s="3">
        <v>187</v>
      </c>
      <c r="Z128" s="3">
        <f t="shared" si="75"/>
        <v>189</v>
      </c>
      <c r="AA128" s="3">
        <f>IF(ISERROR(VLOOKUP($A128,'SegEnds_NonXtal_BW#'!$A:$Z,19,FALSE)+VLOOKUP($A128,A:AL,28,FALSE)-50),"-",(VLOOKUP($A128,'SegEnds_NonXtal_BW#'!$A:$Z,19,FALSE)+VLOOKUP($A128,A:AL,28,FALSE)-50))</f>
        <v>191</v>
      </c>
      <c r="AB128" s="3">
        <v>218</v>
      </c>
      <c r="AC128" s="3">
        <f>IF(ISERROR((VLOOKUP($A128,'SegEnds_NonXtal_BW#'!$A:$Z,20,FALSE)+VLOOKUP($A128,A:AL,28,FALSE)-50)),"-",(VLOOKUP($A128,'SegEnds_NonXtal_BW#'!$A:$Z,20,FALSE)+VLOOKUP($A128,A:AL,28,FALSE)-50))</f>
        <v>236</v>
      </c>
      <c r="AD128" s="3">
        <f>IF(ISERROR(VLOOKUP($A128,'SegEnds_NonXtal_BW#'!$A:$Z,21,FALSE)+VLOOKUP($A128,A:AL,31,FALSE)-50),"-",(VLOOKUP($A128,'SegEnds_NonXtal_BW#'!$A:$Z,21,FALSE)+VLOOKUP($A128,A:AL,31,FALSE)-50))</f>
        <v>241</v>
      </c>
      <c r="AE128" s="3">
        <v>261</v>
      </c>
      <c r="AF128" s="3">
        <f>IF(ISERROR((VLOOKUP($A128,'SegEnds_NonXtal_BW#'!$A:$Z,22,FALSE)+VLOOKUP($A128,A:AL,31,FALSE)-50)),"-",(VLOOKUP($A128,'SegEnds_NonXtal_BW#'!$A:$Z,22,FALSE)+VLOOKUP($A128,A:AL,31,FALSE)-50))</f>
        <v>272</v>
      </c>
      <c r="AG128" s="3">
        <f>IF(ISERROR(VLOOKUP($A128,'SegEnds_NonXtal_BW#'!$A:$Z,23,FALSE)+VLOOKUP($A128,A:AL,34,FALSE)-50),"-",(VLOOKUP($A128,'SegEnds_NonXtal_BW#'!$A:$Z,23,FALSE)+VLOOKUP($A128,A:AL,34,FALSE)-50))</f>
        <v>279</v>
      </c>
      <c r="AH128" s="3">
        <v>301</v>
      </c>
      <c r="AI128" s="3">
        <f>IF(ISERROR((VLOOKUP($A128,'SegEnds_NonXtal_BW#'!$A:$Z,24,FALSE)+VLOOKUP($A128,A:AL,34,FALSE)-50)),"-",(VLOOKUP($A128,'SegEnds_NonXtal_BW#'!$A:$Z,24,FALSE)+VLOOKUP($A128,A:AL,34,FALSE)-50))</f>
        <v>307</v>
      </c>
      <c r="AJ128" s="3">
        <f>IF(ISERROR(VLOOKUP($A128,'SegEnds_NonXtal_BW#'!$A:$Z,25,FALSE)+VLOOKUP($A128,A:AL,37,FALSE)-50),"-",(VLOOKUP($A128,'SegEnds_NonXtal_BW#'!$A:$Z,25,FALSE)+VLOOKUP($A128,A:AL,37,FALSE)-50))</f>
        <v>308</v>
      </c>
      <c r="AK128" s="3">
        <v>311</v>
      </c>
      <c r="AL128" s="3">
        <f>IF(ISERROR((VLOOKUP($A128,'SegEnds_NonXtal_BW#'!$A:$Z,26,FALSE)+VLOOKUP($A128,A:AL,37,FALSE)-50)),"-",(VLOOKUP($A128,'SegEnds_NonXtal_BW#'!$A:$Z,26,FALSE)+VLOOKUP($A128,A:AL,37,FALSE)-50))</f>
        <v>319</v>
      </c>
      <c r="AM128" s="28" t="str">
        <f>VLOOKUP(A128,Classification!A:B,2,FALSE)</f>
        <v>A</v>
      </c>
      <c r="AN128" s="28" t="b">
        <f t="shared" si="55"/>
        <v>1</v>
      </c>
      <c r="AO128" s="3" t="str">
        <f>IF(ISERROR(MATCH(A128,'SegEnds_Xtal_Prot#'!B:B, 0)), "NoXtal", "Xtal")</f>
        <v>NoXtal</v>
      </c>
      <c r="AP128" s="3" t="str">
        <f t="shared" si="39"/>
        <v>-</v>
      </c>
      <c r="AQ128" s="3" t="str">
        <f t="shared" si="40"/>
        <v>-</v>
      </c>
      <c r="AR128" s="3">
        <f t="shared" si="41"/>
        <v>2</v>
      </c>
      <c r="AS128" s="3">
        <f t="shared" si="42"/>
        <v>1</v>
      </c>
      <c r="AT128" s="3">
        <f t="shared" si="43"/>
        <v>1</v>
      </c>
      <c r="AU128" s="3">
        <f t="shared" si="44"/>
        <v>1</v>
      </c>
      <c r="AV128" s="3">
        <f t="shared" si="45"/>
        <v>11</v>
      </c>
      <c r="AW128" s="3">
        <f t="shared" si="46"/>
        <v>2</v>
      </c>
      <c r="AX128" s="3">
        <f t="shared" si="47"/>
        <v>5</v>
      </c>
      <c r="AY128" s="3">
        <f t="shared" si="48"/>
        <v>7</v>
      </c>
      <c r="AZ128" s="3">
        <f t="shared" si="49"/>
        <v>1</v>
      </c>
      <c r="BA128" s="3">
        <f>IF(ISERROR(LEN(VLOOKUP(A128,Seqs!A:E,2,FALSE))-AL128),"-",LEN(VLOOKUP(A128,Seqs!A:E,2,FALSE))-AL128)</f>
        <v>36</v>
      </c>
      <c r="BB128" s="16">
        <f t="shared" si="50"/>
        <v>27</v>
      </c>
      <c r="BC128" s="9">
        <f t="shared" si="51"/>
        <v>20</v>
      </c>
      <c r="BD128" s="3">
        <f t="shared" si="52"/>
        <v>27</v>
      </c>
      <c r="BE128" s="3">
        <f t="shared" si="53"/>
        <v>43</v>
      </c>
    </row>
    <row r="129" spans="1:58" s="3" customFormat="1" x14ac:dyDescent="0.2">
      <c r="A129" s="3" t="s">
        <v>237</v>
      </c>
      <c r="B129" s="3" t="str">
        <f>LOWER(VLOOKUP(A129,Xtal_Templ!A:B,2,FALSE))</f>
        <v>lpar1_human</v>
      </c>
      <c r="C129" s="3">
        <f>VLOOKUP($A129,'SegEnds_NonXtal_BW#'!$A:$Z,3,FALSE)+D129-50</f>
        <v>42</v>
      </c>
      <c r="D129" s="3">
        <v>62</v>
      </c>
      <c r="E129" s="3">
        <f>IF(ISERROR(VLOOKUP($A129,'SegEnds_NonXtal_BW#'!$A:$Z,4,FALSE)+VLOOKUP($A129,A:AL,4,FALSE)-50),"-",(VLOOKUP($A129,'SegEnds_NonXtal_BW#'!$A:$Z,4,FALSE)+VLOOKUP($A129,A:AL,4,FALSE)-50))</f>
        <v>72</v>
      </c>
      <c r="F129" s="3" t="str">
        <f>IF(ISERROR(VLOOKUP($A129,'SegEnds_NonXtal_BW#'!$A:$Z,5,FALSE)+VLOOKUP($A129,A:AL,7,FALSE)-50),"-",(VLOOKUP($A129,'SegEnds_NonXtal_BW#'!$A:$Z,5,FALSE)+VLOOKUP($A129,A:AL,7,FALSE)-50))</f>
        <v>-</v>
      </c>
      <c r="G129" s="3" t="s">
        <v>23</v>
      </c>
      <c r="H129" s="3" t="str">
        <f>IF(ISERROR(VLOOKUP($A129,'SegEnds_NonXtal_BW#'!$A:$Z,6,FALSE)+VLOOKUP($A129,A:AL,7,FALSE)-50),"-",(VLOOKUP($A129,'SegEnds_NonXtal_BW#'!$A:$Z,6,FALSE)+VLOOKUP($A129,A:AL,7,FALSE)-50))</f>
        <v>-</v>
      </c>
      <c r="I129" s="3">
        <f>VLOOKUP($A129,'SegEnds_NonXtal_BW#'!$A:$Z,7,FALSE)+J129-50</f>
        <v>77</v>
      </c>
      <c r="J129" s="3">
        <v>90</v>
      </c>
      <c r="K129" s="3">
        <f>VLOOKUP($A129,'SegEnds_NonXtal_BW#'!$A:$Z,8,FALSE)+VLOOKUP($A129,A:AL,10,FALSE)-50</f>
        <v>102</v>
      </c>
      <c r="L129" s="3">
        <f t="shared" si="78"/>
        <v>104</v>
      </c>
      <c r="M129" s="3">
        <v>105</v>
      </c>
      <c r="N129" s="3">
        <f t="shared" si="79"/>
        <v>107</v>
      </c>
      <c r="O129" s="3">
        <f t="shared" si="80"/>
        <v>108</v>
      </c>
      <c r="P129" s="3">
        <v>138</v>
      </c>
      <c r="Q129" s="3">
        <f>VLOOKUP($A129,'SegEnds_NonXtal_BW#'!$A:$Z,12,FALSE)+VLOOKUP($A129,A:AL,16,FALSE)-50</f>
        <v>144</v>
      </c>
      <c r="R129" s="3">
        <f>S129</f>
        <v>145</v>
      </c>
      <c r="S129" s="3">
        <v>145</v>
      </c>
      <c r="T129" s="100">
        <f>S129+7</f>
        <v>152</v>
      </c>
      <c r="U129" s="9">
        <f>IF(ISERROR(VLOOKUP($A129,'SegEnds_NonXtal_BW#'!$A:$Z,15,FALSE)+VLOOKUP($A129,A:AL,22,FALSE)-50),"-",VLOOKUP($A129,'SegEnds_NonXtal_BW#'!$A:$Z,15,FALSE)+VLOOKUP($A129,A:AL,22,FALSE)-50)</f>
        <v>153</v>
      </c>
      <c r="V129" s="3">
        <v>165</v>
      </c>
      <c r="W129" s="3">
        <f>IF(ISERROR(VLOOKUP($A129,'SegEnds_NonXtal_BW#'!$A:$Z,16,FALSE)+VLOOKUP($A129,A:AL,22,FALSE)-50),"-",(VLOOKUP($A129,'SegEnds_NonXtal_BW#'!$A:$Z,16,FALSE)+VLOOKUP($A129,A:AL,22,FALSE)-50))</f>
        <v>178</v>
      </c>
      <c r="X129" s="3" t="str">
        <f>IF(ISERROR(VLOOKUP($A129,'SegEnds_NonXtal_BW#'!$A:$Z,17,FALSE)+VLOOKUP($A129,A:AL,25,FALSE)-50),"-",(VLOOKUP($A129,'SegEnds_NonXtal_BW#'!$A:$Z,17,FALSE)+VLOOKUP($A129,A:AL,25,FALSE)-50))</f>
        <v>-</v>
      </c>
      <c r="Y129" s="3" t="s">
        <v>23</v>
      </c>
      <c r="Z129" s="3" t="str">
        <f>IF(ISERROR(VLOOKUP($A129,'SegEnds_NonXtal_BW#'!$A:$Z,18,FALSE)+VLOOKUP($A129,A:AL,25,FALSE)-50),"-",(VLOOKUP($A129,'SegEnds_NonXtal_BW#'!$A:$Z,18,FALSE)+VLOOKUP($A129,A:AL,25,FALSE)-50))</f>
        <v>-</v>
      </c>
      <c r="AA129" s="3">
        <f>IF(ISERROR(VLOOKUP($A129,'SegEnds_NonXtal_BW#'!$A:$Z,19,FALSE)+VLOOKUP($A129,A:AL,28,FALSE)-50),"-",(VLOOKUP($A129,'SegEnds_NonXtal_BW#'!$A:$Z,19,FALSE)+VLOOKUP($A129,A:AL,28,FALSE)-50))</f>
        <v>195</v>
      </c>
      <c r="AB129" s="3">
        <v>209</v>
      </c>
      <c r="AC129" s="3">
        <f>IF(ISERROR((VLOOKUP($A129,'SegEnds_NonXtal_BW#'!$A:$Z,20,FALSE)+VLOOKUP($A129,A:AL,28,FALSE)-50)),"-",(VLOOKUP($A129,'SegEnds_NonXtal_BW#'!$A:$Z,20,FALSE)+VLOOKUP($A129,A:AL,28,FALSE)-50))</f>
        <v>232</v>
      </c>
      <c r="AD129" s="3">
        <f>IF(ISERROR(VLOOKUP($A129,'SegEnds_NonXtal_BW#'!$A:$Z,21,FALSE)+VLOOKUP($A129,A:AL,31,FALSE)-50),"-",(VLOOKUP($A129,'SegEnds_NonXtal_BW#'!$A:$Z,21,FALSE)+VLOOKUP($A129,A:AL,31,FALSE)-50))</f>
        <v>238</v>
      </c>
      <c r="AE129" s="3">
        <v>266</v>
      </c>
      <c r="AF129" s="3">
        <f>IF(ISERROR((VLOOKUP($A129,'SegEnds_NonXtal_BW#'!$A:$Z,22,FALSE)+VLOOKUP($A129,A:AL,31,FALSE)-50)),"-",(VLOOKUP($A129,'SegEnds_NonXtal_BW#'!$A:$Z,22,FALSE)+VLOOKUP($A129,A:AL,31,FALSE)-50))</f>
        <v>277</v>
      </c>
      <c r="AG129" s="3">
        <f>IF(ISERROR(VLOOKUP($A129,'SegEnds_NonXtal_BW#'!$A:$Z,23,FALSE)+VLOOKUP($A129,A:AL,34,FALSE)-50),"-",(VLOOKUP($A129,'SegEnds_NonXtal_BW#'!$A:$Z,23,FALSE)+VLOOKUP($A129,A:AL,34,FALSE)-50))</f>
        <v>282</v>
      </c>
      <c r="AH129" s="3">
        <v>298</v>
      </c>
      <c r="AI129" s="3">
        <f>IF(ISERROR((VLOOKUP($A129,'SegEnds_NonXtal_BW#'!$A:$Z,24,FALSE)+VLOOKUP($A129,A:AL,34,FALSE)-50)),"-",(VLOOKUP($A129,'SegEnds_NonXtal_BW#'!$A:$Z,24,FALSE)+VLOOKUP($A129,A:AL,34,FALSE)-50))</f>
        <v>304</v>
      </c>
      <c r="AJ129" s="3">
        <f>IF(ISERROR(VLOOKUP($A129,'SegEnds_NonXtal_BW#'!$A:$Z,25,FALSE)+VLOOKUP($A129,A:AL,37,FALSE)-50),"-",(VLOOKUP($A129,'SegEnds_NonXtal_BW#'!$A:$Z,25,FALSE)+VLOOKUP($A129,A:AL,37,FALSE)-50))</f>
        <v>305</v>
      </c>
      <c r="AK129" s="3">
        <v>308</v>
      </c>
      <c r="AL129" s="3">
        <f>IF(ISERROR((VLOOKUP($A129,'SegEnds_NonXtal_BW#'!$A:$Z,26,FALSE)+VLOOKUP($A129,A:AL,37,FALSE)-50)),"-",(VLOOKUP($A129,'SegEnds_NonXtal_BW#'!$A:$Z,26,FALSE)+VLOOKUP($A129,A:AL,37,FALSE)-50))</f>
        <v>317</v>
      </c>
      <c r="AM129" s="28" t="str">
        <f>VLOOKUP(A129,Classification!A:B,2,FALSE)</f>
        <v>A</v>
      </c>
      <c r="AN129" s="28" t="b">
        <f t="shared" si="55"/>
        <v>1</v>
      </c>
      <c r="AO129" s="3" t="str">
        <f>IF(ISERROR(MATCH(A129,'SegEnds_Xtal_Prot#'!B:B, 0)), "NoXtal", "Xtal")</f>
        <v>NoXtal</v>
      </c>
      <c r="AP129" s="3" t="str">
        <f t="shared" si="39"/>
        <v>-</v>
      </c>
      <c r="AQ129" s="3" t="str">
        <f t="shared" si="40"/>
        <v>-</v>
      </c>
      <c r="AR129" s="3">
        <f t="shared" si="41"/>
        <v>2</v>
      </c>
      <c r="AS129" s="3">
        <f t="shared" si="42"/>
        <v>1</v>
      </c>
      <c r="AT129" s="3">
        <f t="shared" si="43"/>
        <v>1</v>
      </c>
      <c r="AU129" s="3">
        <f t="shared" si="44"/>
        <v>1</v>
      </c>
      <c r="AV129" s="3" t="str">
        <f t="shared" si="45"/>
        <v>-</v>
      </c>
      <c r="AW129" s="3" t="str">
        <f t="shared" si="46"/>
        <v>-</v>
      </c>
      <c r="AX129" s="3">
        <f t="shared" si="47"/>
        <v>6</v>
      </c>
      <c r="AY129" s="3">
        <f t="shared" si="48"/>
        <v>5</v>
      </c>
      <c r="AZ129" s="3">
        <f t="shared" si="49"/>
        <v>1</v>
      </c>
      <c r="BA129" s="3">
        <f>IF(ISERROR(LEN(VLOOKUP(A129,Seqs!A:E,2,FALSE))-AL129),"-",LEN(VLOOKUP(A129,Seqs!A:E,2,FALSE))-AL129)</f>
        <v>17</v>
      </c>
      <c r="BB129" s="16">
        <f t="shared" si="50"/>
        <v>28</v>
      </c>
      <c r="BC129" s="9">
        <f t="shared" si="51"/>
        <v>20</v>
      </c>
      <c r="BD129" s="3">
        <f t="shared" si="52"/>
        <v>28</v>
      </c>
      <c r="BE129" s="3">
        <f t="shared" si="53"/>
        <v>57</v>
      </c>
      <c r="BF129" s="3">
        <f>AH129-AE129</f>
        <v>32</v>
      </c>
    </row>
    <row r="130" spans="1:58" s="3" customFormat="1" x14ac:dyDescent="0.2">
      <c r="A130" s="3" t="s">
        <v>238</v>
      </c>
      <c r="B130" s="3" t="str">
        <f>LOWER(VLOOKUP(A130,Xtal_Templ!A:B,2,FALSE))</f>
        <v>apj_human</v>
      </c>
      <c r="C130" s="3">
        <f>VLOOKUP($A130,'SegEnds_NonXtal_BW#'!$A:$Z,3,FALSE)+D130-50</f>
        <v>34</v>
      </c>
      <c r="D130" s="3">
        <v>51</v>
      </c>
      <c r="E130" s="3">
        <f>IF(ISERROR(VLOOKUP($A130,'SegEnds_NonXtal_BW#'!$A:$Z,4,FALSE)+VLOOKUP($A130,A:AL,4,FALSE)-50),"-",(VLOOKUP($A130,'SegEnds_NonXtal_BW#'!$A:$Z,4,FALSE)+VLOOKUP($A130,A:AL,4,FALSE)-50))</f>
        <v>61</v>
      </c>
      <c r="F130" s="3" t="str">
        <f>IF(ISERROR(VLOOKUP($A130,'SegEnds_NonXtal_BW#'!$A:$Z,5,FALSE)+VLOOKUP($A130,A:AL,7,FALSE)-50),"-",(VLOOKUP($A130,'SegEnds_NonXtal_BW#'!$A:$Z,5,FALSE)+VLOOKUP($A130,A:AL,7,FALSE)-50))</f>
        <v>-</v>
      </c>
      <c r="G130" s="3" t="s">
        <v>23</v>
      </c>
      <c r="H130" s="3" t="str">
        <f>IF(ISERROR(VLOOKUP($A130,'SegEnds_NonXtal_BW#'!$A:$Z,6,FALSE)+VLOOKUP($A130,A:AL,7,FALSE)-50),"-",(VLOOKUP($A130,'SegEnds_NonXtal_BW#'!$A:$Z,6,FALSE)+VLOOKUP($A130,A:AL,7,FALSE)-50))</f>
        <v>-</v>
      </c>
      <c r="I130" s="3">
        <f>VLOOKUP($A130,'SegEnds_NonXtal_BW#'!$A:$Z,7,FALSE)+J130-50</f>
        <v>66</v>
      </c>
      <c r="J130" s="3">
        <v>79</v>
      </c>
      <c r="K130" s="3">
        <f>VLOOKUP($A130,'SegEnds_NonXtal_BW#'!$A:$Z,8,FALSE)+VLOOKUP($A130,A:AL,10,FALSE)-50</f>
        <v>96</v>
      </c>
      <c r="L130" s="3">
        <f t="shared" si="78"/>
        <v>98</v>
      </c>
      <c r="M130" s="3">
        <v>99</v>
      </c>
      <c r="N130" s="3">
        <f t="shared" si="79"/>
        <v>101</v>
      </c>
      <c r="O130" s="3">
        <f t="shared" si="80"/>
        <v>102</v>
      </c>
      <c r="P130" s="3">
        <v>131</v>
      </c>
      <c r="Q130" s="3">
        <f>VLOOKUP($A130,'SegEnds_NonXtal_BW#'!$A:$Z,12,FALSE)+VLOOKUP($A130,A:AL,16,FALSE)-50</f>
        <v>137</v>
      </c>
      <c r="R130" s="3">
        <f>IF(ISERROR(VLOOKUP($A130,'SegEnds_NonXtal_BW#'!$A:$Z,13,FALSE)+VLOOKUP($A130,A:AL,19,FALSE)-50),"-",VLOOKUP($A130,'SegEnds_NonXtal_BW#'!$A:$Z,13,FALSE)+VLOOKUP($A130,A:AL,19,FALSE)-50)</f>
        <v>138</v>
      </c>
      <c r="S130" s="3">
        <v>138</v>
      </c>
      <c r="T130" s="100">
        <f>IF(ISERROR(VLOOKUP($A130,'SegEnds_NonXtal_BW#'!$A:$Z,14,FALSE)+VLOOKUP($A130,A:AL,19,FALSE)-50),"-",(VLOOKUP($A130,'SegEnds_NonXtal_BW#'!$A:$Z,14,FALSE)+VLOOKUP($A130,A:AL,19,FALSE)-50))</f>
        <v>145</v>
      </c>
      <c r="U130" s="9">
        <f>IF(ISERROR(VLOOKUP($A130,'SegEnds_NonXtal_BW#'!$A:$Z,15,FALSE)+VLOOKUP($A130,A:AL,22,FALSE)-50),"-",VLOOKUP($A130,'SegEnds_NonXtal_BW#'!$A:$Z,15,FALSE)+VLOOKUP($A130,A:AL,22,FALSE)-50)</f>
        <v>146</v>
      </c>
      <c r="V130" s="3">
        <v>158</v>
      </c>
      <c r="W130" s="3">
        <f>IF(ISERROR(VLOOKUP($A130,'SegEnds_NonXtal_BW#'!$A:$Z,16,FALSE)+VLOOKUP($A130,A:AL,22,FALSE)-50),"-",(VLOOKUP($A130,'SegEnds_NonXtal_BW#'!$A:$Z,16,FALSE)+VLOOKUP($A130,A:AL,22,FALSE)-50))</f>
        <v>172</v>
      </c>
      <c r="X130" s="3">
        <f>IF(ISERROR(VLOOKUP($A130,'SegEnds_NonXtal_BW#'!$A:$Z,17,FALSE)+VLOOKUP($A130,A:AL,25,FALSE)-50),"-",(VLOOKUP($A130,'SegEnds_NonXtal_BW#'!$A:$Z,17,FALSE)+VLOOKUP($A130,A:AL,25,FALSE)-50))</f>
        <v>183</v>
      </c>
      <c r="Y130" s="3">
        <v>183</v>
      </c>
      <c r="Z130" s="3">
        <f>Y130+2</f>
        <v>185</v>
      </c>
      <c r="AA130" s="3">
        <f>IF(ISERROR(VLOOKUP($A130,'SegEnds_NonXtal_BW#'!$A:$Z,19,FALSE)+VLOOKUP($A130,A:AL,28,FALSE)-50),"-",(VLOOKUP($A130,'SegEnds_NonXtal_BW#'!$A:$Z,19,FALSE)+VLOOKUP($A130,A:AL,28,FALSE)-50))</f>
        <v>187</v>
      </c>
      <c r="AB130" s="3">
        <v>207</v>
      </c>
      <c r="AC130" s="3">
        <f>IF(ISERROR((VLOOKUP($A130,'SegEnds_NonXtal_BW#'!$A:$Z,20,FALSE)+VLOOKUP($A130,A:AL,28,FALSE)-50)),"-",(VLOOKUP($A130,'SegEnds_NonXtal_BW#'!$A:$Z,20,FALSE)+VLOOKUP($A130,A:AL,28,FALSE)-50))</f>
        <v>225</v>
      </c>
      <c r="AD130" s="3">
        <f>IF(ISERROR(VLOOKUP($A130,'SegEnds_NonXtal_BW#'!$A:$Z,21,FALSE)+VLOOKUP($A130,A:AL,31,FALSE)-50),"-",(VLOOKUP($A130,'SegEnds_NonXtal_BW#'!$A:$Z,21,FALSE)+VLOOKUP($A130,A:AL,31,FALSE)-50))</f>
        <v>230</v>
      </c>
      <c r="AE130" s="3">
        <v>256</v>
      </c>
      <c r="AF130" s="3">
        <f>IF(ISERROR((VLOOKUP($A130,'SegEnds_NonXtal_BW#'!$A:$Z,22,FALSE)+VLOOKUP($A130,A:AL,31,FALSE)-50)),"-",(VLOOKUP($A130,'SegEnds_NonXtal_BW#'!$A:$Z,22,FALSE)+VLOOKUP($A130,A:AL,31,FALSE)-50))</f>
        <v>267</v>
      </c>
      <c r="AG130" s="3">
        <f>IF(ISERROR(VLOOKUP($A130,'SegEnds_NonXtal_BW#'!$A:$Z,23,FALSE)+VLOOKUP($A130,A:AL,34,FALSE)-50),"-",(VLOOKUP($A130,'SegEnds_NonXtal_BW#'!$A:$Z,23,FALSE)+VLOOKUP($A130,A:AL,34,FALSE)-50))</f>
        <v>273</v>
      </c>
      <c r="AH130" s="3">
        <v>299</v>
      </c>
      <c r="AI130" s="3">
        <f>IF(ISERROR((VLOOKUP($A130,'SegEnds_NonXtal_BW#'!$A:$Z,24,FALSE)+VLOOKUP($A130,A:AL,34,FALSE)-50)),"-",(VLOOKUP($A130,'SegEnds_NonXtal_BW#'!$A:$Z,24,FALSE)+VLOOKUP($A130,A:AL,34,FALSE)-50))</f>
        <v>305</v>
      </c>
      <c r="AJ130" s="3">
        <f>IF(ISERROR(VLOOKUP($A130,'SegEnds_NonXtal_BW#'!$A:$Z,25,FALSE)+VLOOKUP($A130,A:AL,37,FALSE)-50),"-",(VLOOKUP($A130,'SegEnds_NonXtal_BW#'!$A:$Z,25,FALSE)+VLOOKUP($A130,A:AL,37,FALSE)-50))</f>
        <v>306</v>
      </c>
      <c r="AK130" s="3">
        <v>309</v>
      </c>
      <c r="AL130" s="3">
        <f>IF(ISERROR((VLOOKUP($A130,'SegEnds_NonXtal_BW#'!$A:$Z,26,FALSE)+VLOOKUP($A130,A:AL,37,FALSE)-50)),"-",(VLOOKUP($A130,'SegEnds_NonXtal_BW#'!$A:$Z,26,FALSE)+VLOOKUP($A130,A:AL,37,FALSE)-50))</f>
        <v>320</v>
      </c>
      <c r="AM130" s="28" t="str">
        <f>VLOOKUP(A130,Classification!A:B,2,FALSE)</f>
        <v>A</v>
      </c>
      <c r="AN130" s="28" t="b">
        <f t="shared" si="55"/>
        <v>1</v>
      </c>
      <c r="AO130" s="3" t="str">
        <f>IF(ISERROR(MATCH(A130,'SegEnds_Xtal_Prot#'!B:B, 0)), "NoXtal", "Xtal")</f>
        <v>NoXtal</v>
      </c>
      <c r="AP130" s="3" t="str">
        <f t="shared" si="39"/>
        <v>-</v>
      </c>
      <c r="AQ130" s="3" t="str">
        <f t="shared" si="40"/>
        <v>-</v>
      </c>
      <c r="AR130" s="3">
        <f t="shared" si="41"/>
        <v>2</v>
      </c>
      <c r="AS130" s="3">
        <f t="shared" si="42"/>
        <v>1</v>
      </c>
      <c r="AT130" s="3">
        <f t="shared" si="43"/>
        <v>1</v>
      </c>
      <c r="AU130" s="3">
        <f t="shared" si="44"/>
        <v>1</v>
      </c>
      <c r="AV130" s="3">
        <f t="shared" si="45"/>
        <v>11</v>
      </c>
      <c r="AW130" s="3">
        <f t="shared" si="46"/>
        <v>2</v>
      </c>
      <c r="AX130" s="3">
        <f t="shared" si="47"/>
        <v>5</v>
      </c>
      <c r="AY130" s="3">
        <f t="shared" si="48"/>
        <v>6</v>
      </c>
      <c r="AZ130" s="3">
        <f t="shared" si="49"/>
        <v>1</v>
      </c>
      <c r="BA130" s="3">
        <f>IF(ISERROR(LEN(VLOOKUP(A130,Seqs!A:E,2,FALSE))-AL130),"-",LEN(VLOOKUP(A130,Seqs!A:E,2,FALSE))-AL130)</f>
        <v>40</v>
      </c>
      <c r="BB130" s="16">
        <f t="shared" si="50"/>
        <v>28</v>
      </c>
      <c r="BC130" s="9">
        <f t="shared" si="51"/>
        <v>20</v>
      </c>
      <c r="BD130" s="3">
        <f t="shared" si="52"/>
        <v>28</v>
      </c>
      <c r="BE130" s="3">
        <f t="shared" si="53"/>
        <v>49</v>
      </c>
    </row>
    <row r="131" spans="1:58" s="3" customFormat="1" x14ac:dyDescent="0.2">
      <c r="A131" s="3" t="s">
        <v>239</v>
      </c>
      <c r="B131" s="3" t="str">
        <f>LOWER(VLOOKUP(A131,Xtal_Templ!A:B,2,FALSE))</f>
        <v>cltr2_human</v>
      </c>
      <c r="C131" s="3">
        <f>VLOOKUP($A131,'SegEnds_NonXtal_BW#'!$A:$Z,3,FALSE)+D131-50</f>
        <v>52</v>
      </c>
      <c r="D131" s="3">
        <v>77</v>
      </c>
      <c r="E131" s="3">
        <f>IF(ISERROR(VLOOKUP($A131,'SegEnds_NonXtal_BW#'!$A:$Z,4,FALSE)+VLOOKUP($A131,A:AL,4,FALSE)-50),"-",(VLOOKUP($A131,'SegEnds_NonXtal_BW#'!$A:$Z,4,FALSE)+VLOOKUP($A131,A:AL,4,FALSE)-50))</f>
        <v>87</v>
      </c>
      <c r="F131" s="3" t="str">
        <f>IF(ISERROR(VLOOKUP($A131,'SegEnds_NonXtal_BW#'!$A:$Z,5,FALSE)+VLOOKUP($A131,A:AL,7,FALSE)-50),"-",(VLOOKUP($A131,'SegEnds_NonXtal_BW#'!$A:$Z,5,FALSE)+VLOOKUP($A131,A:AL,7,FALSE)-50))</f>
        <v>-</v>
      </c>
      <c r="G131" s="3" t="s">
        <v>23</v>
      </c>
      <c r="H131" s="3" t="str">
        <f>IF(ISERROR(VLOOKUP($A131,'SegEnds_NonXtal_BW#'!$A:$Z,6,FALSE)+VLOOKUP($A131,A:AL,7,FALSE)-50),"-",(VLOOKUP($A131,'SegEnds_NonXtal_BW#'!$A:$Z,6,FALSE)+VLOOKUP($A131,A:AL,7,FALSE)-50))</f>
        <v>-</v>
      </c>
      <c r="I131" s="3">
        <f>VLOOKUP($A131,'SegEnds_NonXtal_BW#'!$A:$Z,7,FALSE)+J131-50</f>
        <v>92</v>
      </c>
      <c r="J131" s="3">
        <v>105</v>
      </c>
      <c r="K131" s="3">
        <f>VLOOKUP($A131,'SegEnds_NonXtal_BW#'!$A:$Z,8,FALSE)+VLOOKUP($A131,A:AL,10,FALSE)-50</f>
        <v>122</v>
      </c>
      <c r="L131" s="3">
        <f t="shared" si="78"/>
        <v>124</v>
      </c>
      <c r="M131" s="3">
        <v>125</v>
      </c>
      <c r="N131" s="3">
        <f t="shared" si="79"/>
        <v>127</v>
      </c>
      <c r="O131" s="3">
        <f t="shared" si="80"/>
        <v>128</v>
      </c>
      <c r="P131" s="3">
        <v>157</v>
      </c>
      <c r="Q131" s="3">
        <f>VLOOKUP($A131,'SegEnds_NonXtal_BW#'!$A:$Z,12,FALSE)+VLOOKUP($A131,A:AL,16,FALSE)-50</f>
        <v>163</v>
      </c>
      <c r="R131" s="3">
        <f>IF(ISERROR(VLOOKUP($A131,'SegEnds_NonXtal_BW#'!$A:$Z,13,FALSE)+VLOOKUP($A131,A:AL,19,FALSE)-50),"-",VLOOKUP($A131,'SegEnds_NonXtal_BW#'!$A:$Z,13,FALSE)+VLOOKUP($A131,A:AL,19,FALSE)-50)</f>
        <v>164</v>
      </c>
      <c r="S131" s="3">
        <v>164</v>
      </c>
      <c r="T131" s="100">
        <f>IF(ISERROR(VLOOKUP($A131,'SegEnds_NonXtal_BW#'!$A:$Z,14,FALSE)+VLOOKUP($A131,A:AL,19,FALSE)-50),"-",(VLOOKUP($A131,'SegEnds_NonXtal_BW#'!$A:$Z,14,FALSE)+VLOOKUP($A131,A:AL,19,FALSE)-50))</f>
        <v>171</v>
      </c>
      <c r="U131" s="9">
        <f>IF(ISERROR(VLOOKUP($A131,'SegEnds_NonXtal_BW#'!$A:$Z,15,FALSE)+VLOOKUP($A131,A:AL,22,FALSE)-50),"-",VLOOKUP($A131,'SegEnds_NonXtal_BW#'!$A:$Z,15,FALSE)+VLOOKUP($A131,A:AL,22,FALSE)-50)</f>
        <v>172</v>
      </c>
      <c r="V131" s="3">
        <v>184</v>
      </c>
      <c r="W131" s="3">
        <f>IF(ISERROR(VLOOKUP($A131,'SegEnds_NonXtal_BW#'!$A:$Z,16,FALSE)+VLOOKUP($A131,A:AL,22,FALSE)-50),"-",(VLOOKUP($A131,'SegEnds_NonXtal_BW#'!$A:$Z,16,FALSE)+VLOOKUP($A131,A:AL,22,FALSE)-50))</f>
        <v>197</v>
      </c>
      <c r="X131" s="3">
        <f>IF(ISERROR(VLOOKUP($A131,'SegEnds_NonXtal_BW#'!$A:$Z,17,FALSE)+VLOOKUP($A131,A:AL,25,FALSE)-50),"-",(VLOOKUP($A131,'SegEnds_NonXtal_BW#'!$A:$Z,17,FALSE)+VLOOKUP($A131,A:AL,25,FALSE)-50))</f>
        <v>209</v>
      </c>
      <c r="Y131" s="3">
        <v>209</v>
      </c>
      <c r="Z131" s="3">
        <f>Y131+2</f>
        <v>211</v>
      </c>
      <c r="AA131" s="3">
        <f>IF(ISERROR(VLOOKUP($A131,'SegEnds_NonXtal_BW#'!$A:$Z,19,FALSE)+VLOOKUP($A131,A:AL,28,FALSE)-50),"-",(VLOOKUP($A131,'SegEnds_NonXtal_BW#'!$A:$Z,19,FALSE)+VLOOKUP($A131,A:AL,28,FALSE)-50))</f>
        <v>213</v>
      </c>
      <c r="AB131" s="3">
        <v>232</v>
      </c>
      <c r="AC131" s="3">
        <f>IF(ISERROR((VLOOKUP($A131,'SegEnds_NonXtal_BW#'!$A:$Z,20,FALSE)+VLOOKUP($A131,A:AL,28,FALSE)-50)),"-",(VLOOKUP($A131,'SegEnds_NonXtal_BW#'!$A:$Z,20,FALSE)+VLOOKUP($A131,A:AL,28,FALSE)-50))</f>
        <v>249</v>
      </c>
      <c r="AD131" s="3">
        <f>IF(ISERROR(VLOOKUP($A131,'SegEnds_NonXtal_BW#'!$A:$Z,21,FALSE)+VLOOKUP($A131,A:AL,31,FALSE)-50),"-",(VLOOKUP($A131,'SegEnds_NonXtal_BW#'!$A:$Z,21,FALSE)+VLOOKUP($A131,A:AL,31,FALSE)-50))</f>
        <v>254</v>
      </c>
      <c r="AE131" s="3">
        <v>278</v>
      </c>
      <c r="AF131" s="3">
        <f>IF(ISERROR((VLOOKUP($A131,'SegEnds_NonXtal_BW#'!$A:$Z,22,FALSE)+VLOOKUP($A131,A:AL,31,FALSE)-50)),"-",(VLOOKUP($A131,'SegEnds_NonXtal_BW#'!$A:$Z,22,FALSE)+VLOOKUP($A131,A:AL,31,FALSE)-50))</f>
        <v>292</v>
      </c>
      <c r="AG131" s="3">
        <f>IF(ISERROR(VLOOKUP($A131,'SegEnds_NonXtal_BW#'!$A:$Z,23,FALSE)+VLOOKUP($A131,A:AL,34,FALSE)-50),"-",(VLOOKUP($A131,'SegEnds_NonXtal_BW#'!$A:$Z,23,FALSE)+VLOOKUP($A131,A:AL,34,FALSE)-50))</f>
        <v>296</v>
      </c>
      <c r="AH131" s="3">
        <v>322</v>
      </c>
      <c r="AI131" s="3">
        <f>IF(ISERROR((VLOOKUP($A131,'SegEnds_NonXtal_BW#'!$A:$Z,24,FALSE)+VLOOKUP($A131,A:AL,34,FALSE)-50)),"-",(VLOOKUP($A131,'SegEnds_NonXtal_BW#'!$A:$Z,24,FALSE)+VLOOKUP($A131,A:AL,34,FALSE)-50))</f>
        <v>328</v>
      </c>
      <c r="AJ131" s="3">
        <f>IF(ISERROR(VLOOKUP($A131,'SegEnds_NonXtal_BW#'!$A:$Z,25,FALSE)+VLOOKUP($A131,A:AL,37,FALSE)-50),"-",(VLOOKUP($A131,'SegEnds_NonXtal_BW#'!$A:$Z,25,FALSE)+VLOOKUP($A131,A:AL,37,FALSE)-50))</f>
        <v>329</v>
      </c>
      <c r="AK131" s="3">
        <v>332</v>
      </c>
      <c r="AL131" s="3">
        <f>IF(ISERROR((VLOOKUP($A131,'SegEnds_NonXtal_BW#'!$A:$Z,26,FALSE)+VLOOKUP($A131,A:AL,37,FALSE)-50)),"-",(VLOOKUP($A131,'SegEnds_NonXtal_BW#'!$A:$Z,26,FALSE)+VLOOKUP($A131,A:AL,37,FALSE)-50))</f>
        <v>342</v>
      </c>
      <c r="AM131" s="28" t="str">
        <f>VLOOKUP(A131,Classification!A:B,2,FALSE)</f>
        <v>A</v>
      </c>
      <c r="AN131" s="28" t="b">
        <f t="shared" si="55"/>
        <v>1</v>
      </c>
      <c r="AO131" s="3" t="str">
        <f>IF(ISERROR(MATCH(A131,'SegEnds_Xtal_Prot#'!B:B, 0)), "NoXtal", "Xtal")</f>
        <v>NoXtal</v>
      </c>
      <c r="AP131" s="3" t="str">
        <f t="shared" si="39"/>
        <v>-</v>
      </c>
      <c r="AQ131" s="3" t="str">
        <f t="shared" si="40"/>
        <v>-</v>
      </c>
      <c r="AR131" s="3">
        <f t="shared" si="41"/>
        <v>2</v>
      </c>
      <c r="AS131" s="3">
        <f t="shared" si="42"/>
        <v>1</v>
      </c>
      <c r="AT131" s="3">
        <f t="shared" si="43"/>
        <v>1</v>
      </c>
      <c r="AU131" s="3">
        <f t="shared" si="44"/>
        <v>1</v>
      </c>
      <c r="AV131" s="3">
        <f t="shared" si="45"/>
        <v>12</v>
      </c>
      <c r="AW131" s="3">
        <f t="shared" si="46"/>
        <v>2</v>
      </c>
      <c r="AX131" s="3">
        <f t="shared" si="47"/>
        <v>5</v>
      </c>
      <c r="AY131" s="3">
        <f t="shared" si="48"/>
        <v>4</v>
      </c>
      <c r="AZ131" s="3">
        <f t="shared" si="49"/>
        <v>1</v>
      </c>
      <c r="BA131" s="3">
        <f>IF(ISERROR(LEN(VLOOKUP(A131,Seqs!A:E,2,FALSE))-AL131),"-",LEN(VLOOKUP(A131,Seqs!A:E,2,FALSE))-AL131)</f>
        <v>25</v>
      </c>
      <c r="BB131" s="16">
        <f t="shared" si="50"/>
        <v>28</v>
      </c>
      <c r="BC131" s="9">
        <f t="shared" si="51"/>
        <v>20</v>
      </c>
      <c r="BD131" s="3">
        <f t="shared" si="52"/>
        <v>28</v>
      </c>
      <c r="BE131" s="3">
        <f t="shared" si="53"/>
        <v>46</v>
      </c>
      <c r="BF131" s="3">
        <f>AH131-AE131</f>
        <v>44</v>
      </c>
    </row>
    <row r="132" spans="1:58" s="3" customFormat="1" x14ac:dyDescent="0.2">
      <c r="A132" s="3" t="s">
        <v>240</v>
      </c>
      <c r="B132" s="3" t="str">
        <f>LOWER(VLOOKUP(A132,Xtal_Templ!A:B,2,FALSE))</f>
        <v>ccr7_human</v>
      </c>
      <c r="C132" s="3">
        <f>VLOOKUP($A132,'SegEnds_NonXtal_BW#'!$A:$Z,3,FALSE)+D132-50</f>
        <v>19</v>
      </c>
      <c r="D132" s="3">
        <v>40</v>
      </c>
      <c r="E132" s="3">
        <f>IF(ISERROR(VLOOKUP($A132,'SegEnds_NonXtal_BW#'!$A:$Z,4,FALSE)+VLOOKUP($A132,A:AL,4,FALSE)-50),"-",(VLOOKUP($A132,'SegEnds_NonXtal_BW#'!$A:$Z,4,FALSE)+VLOOKUP($A132,A:AL,4,FALSE)-50))</f>
        <v>50</v>
      </c>
      <c r="F132" s="3" t="str">
        <f>IF(ISERROR(VLOOKUP($A132,'SegEnds_NonXtal_BW#'!$A:$Z,5,FALSE)+VLOOKUP($A132,A:AL,7,FALSE)-50),"-",(VLOOKUP($A132,'SegEnds_NonXtal_BW#'!$A:$Z,5,FALSE)+VLOOKUP($A132,A:AL,7,FALSE)-50))</f>
        <v>-</v>
      </c>
      <c r="G132" s="3" t="s">
        <v>23</v>
      </c>
      <c r="H132" s="3" t="str">
        <f>IF(ISERROR(VLOOKUP($A132,'SegEnds_NonXtal_BW#'!$A:$Z,6,FALSE)+VLOOKUP($A132,A:AL,7,FALSE)-50),"-",(VLOOKUP($A132,'SegEnds_NonXtal_BW#'!$A:$Z,6,FALSE)+VLOOKUP($A132,A:AL,7,FALSE)-50))</f>
        <v>-</v>
      </c>
      <c r="I132" s="3">
        <f>VLOOKUP($A132,'SegEnds_NonXtal_BW#'!$A:$Z,7,FALSE)+J132-50</f>
        <v>55</v>
      </c>
      <c r="J132" s="3">
        <v>68</v>
      </c>
      <c r="K132" s="3">
        <f>VLOOKUP($A132,'SegEnds_NonXtal_BW#'!$A:$Z,8,FALSE)+VLOOKUP($A132,A:AL,10,FALSE)-50</f>
        <v>84</v>
      </c>
      <c r="L132" s="3">
        <f t="shared" si="78"/>
        <v>86</v>
      </c>
      <c r="M132" s="3">
        <v>87</v>
      </c>
      <c r="N132" s="3">
        <f t="shared" si="79"/>
        <v>89</v>
      </c>
      <c r="O132" s="3">
        <f t="shared" si="80"/>
        <v>90</v>
      </c>
      <c r="P132" s="3">
        <v>119</v>
      </c>
      <c r="Q132" s="3">
        <f>VLOOKUP($A132,'SegEnds_NonXtal_BW#'!$A:$Z,12,FALSE)+VLOOKUP($A132,A:AL,16,FALSE)-50</f>
        <v>125</v>
      </c>
      <c r="R132" s="3">
        <f>IF(ISERROR(VLOOKUP($A132,'SegEnds_NonXtal_BW#'!$A:$Z,13,FALSE)+VLOOKUP($A132,A:AL,19,FALSE)-50),"-",VLOOKUP($A132,'SegEnds_NonXtal_BW#'!$A:$Z,13,FALSE)+VLOOKUP($A132,A:AL,19,FALSE)-50)</f>
        <v>126</v>
      </c>
      <c r="S132" s="3">
        <v>126</v>
      </c>
      <c r="T132" s="100">
        <f>IF(ISERROR(VLOOKUP($A132,'SegEnds_NonXtal_BW#'!$A:$Z,14,FALSE)+VLOOKUP($A132,A:AL,19,FALSE)-50),"-",(VLOOKUP($A132,'SegEnds_NonXtal_BW#'!$A:$Z,14,FALSE)+VLOOKUP($A132,A:AL,19,FALSE)-50))</f>
        <v>133</v>
      </c>
      <c r="U132" s="9">
        <f>IF(ISERROR(VLOOKUP($A132,'SegEnds_NonXtal_BW#'!$A:$Z,15,FALSE)+VLOOKUP($A132,A:AL,22,FALSE)-50),"-",VLOOKUP($A132,'SegEnds_NonXtal_BW#'!$A:$Z,15,FALSE)+VLOOKUP($A132,A:AL,22,FALSE)-50)</f>
        <v>134</v>
      </c>
      <c r="V132" s="3">
        <v>146</v>
      </c>
      <c r="W132" s="3">
        <f>IF(ISERROR(VLOOKUP($A132,'SegEnds_NonXtal_BW#'!$A:$Z,16,FALSE)+VLOOKUP($A132,A:AL,22,FALSE)-50),"-",(VLOOKUP($A132,'SegEnds_NonXtal_BW#'!$A:$Z,16,FALSE)+VLOOKUP($A132,A:AL,22,FALSE)-50))</f>
        <v>160</v>
      </c>
      <c r="X132" s="3">
        <f>IF(ISERROR(VLOOKUP($A132,'SegEnds_NonXtal_BW#'!$A:$Z,17,FALSE)+VLOOKUP($A132,A:AL,25,FALSE)-50),"-",(VLOOKUP($A132,'SegEnds_NonXtal_BW#'!$A:$Z,17,FALSE)+VLOOKUP($A132,A:AL,25,FALSE)-50))</f>
        <v>172</v>
      </c>
      <c r="Y132" s="3">
        <v>172</v>
      </c>
      <c r="Z132" s="3">
        <f>Y132+2</f>
        <v>174</v>
      </c>
      <c r="AA132" s="3">
        <f>IF(ISERROR(VLOOKUP($A132,'SegEnds_NonXtal_BW#'!$A:$Z,19,FALSE)+VLOOKUP($A132,A:AL,28,FALSE)-50),"-",(VLOOKUP($A132,'SegEnds_NonXtal_BW#'!$A:$Z,19,FALSE)+VLOOKUP($A132,A:AL,28,FALSE)-50))</f>
        <v>182</v>
      </c>
      <c r="AB132" s="3">
        <v>199</v>
      </c>
      <c r="AC132" s="3">
        <f>IF(ISERROR((VLOOKUP($A132,'SegEnds_NonXtal_BW#'!$A:$Z,20,FALSE)+VLOOKUP($A132,A:AL,28,FALSE)-50)),"-",(VLOOKUP($A132,'SegEnds_NonXtal_BW#'!$A:$Z,20,FALSE)+VLOOKUP($A132,A:AL,28,FALSE)-50))</f>
        <v>217</v>
      </c>
      <c r="AD132" s="3">
        <f>IF(ISERROR(VLOOKUP($A132,'SegEnds_NonXtal_BW#'!$A:$Z,21,FALSE)+VLOOKUP($A132,A:AL,31,FALSE)-50),"-",(VLOOKUP($A132,'SegEnds_NonXtal_BW#'!$A:$Z,21,FALSE)+VLOOKUP($A132,A:AL,31,FALSE)-50))</f>
        <v>221</v>
      </c>
      <c r="AE132" s="3">
        <v>247</v>
      </c>
      <c r="AF132" s="3">
        <f>IF(ISERROR((VLOOKUP($A132,'SegEnds_NonXtal_BW#'!$A:$Z,22,FALSE)+VLOOKUP($A132,A:AL,31,FALSE)-50)),"-",(VLOOKUP($A132,'SegEnds_NonXtal_BW#'!$A:$Z,22,FALSE)+VLOOKUP($A132,A:AL,31,FALSE)-50))</f>
        <v>258</v>
      </c>
      <c r="AG132" s="3">
        <f>IF(ISERROR(VLOOKUP($A132,'SegEnds_NonXtal_BW#'!$A:$Z,23,FALSE)+VLOOKUP($A132,A:AL,34,FALSE)-50),"-",(VLOOKUP($A132,'SegEnds_NonXtal_BW#'!$A:$Z,23,FALSE)+VLOOKUP($A132,A:AL,34,FALSE)-50))</f>
        <v>264</v>
      </c>
      <c r="AH132" s="3">
        <v>283</v>
      </c>
      <c r="AI132" s="3">
        <f>IF(ISERROR((VLOOKUP($A132,'SegEnds_NonXtal_BW#'!$A:$Z,24,FALSE)+VLOOKUP($A132,A:AL,34,FALSE)-50)),"-",(VLOOKUP($A132,'SegEnds_NonXtal_BW#'!$A:$Z,24,FALSE)+VLOOKUP($A132,A:AL,34,FALSE)-50))</f>
        <v>289</v>
      </c>
      <c r="AJ132" s="3">
        <f>IF(ISERROR(VLOOKUP($A132,'SegEnds_NonXtal_BW#'!$A:$Z,25,FALSE)+VLOOKUP($A132,A:AL,37,FALSE)-50),"-",(VLOOKUP($A132,'SegEnds_NonXtal_BW#'!$A:$Z,25,FALSE)+VLOOKUP($A132,A:AL,37,FALSE)-50))</f>
        <v>290</v>
      </c>
      <c r="AK132" s="3">
        <v>293</v>
      </c>
      <c r="AL132" s="3">
        <f>IF(ISERROR((VLOOKUP($A132,'SegEnds_NonXtal_BW#'!$A:$Z,26,FALSE)+VLOOKUP($A132,A:AL,37,FALSE)-50)),"-",(VLOOKUP($A132,'SegEnds_NonXtal_BW#'!$A:$Z,26,FALSE)+VLOOKUP($A132,A:AL,37,FALSE)-50))</f>
        <v>302</v>
      </c>
      <c r="AM132" s="28" t="str">
        <f>VLOOKUP(A132,Classification!A:B,2,FALSE)</f>
        <v>A</v>
      </c>
      <c r="AN132" s="28" t="b">
        <f t="shared" si="55"/>
        <v>1</v>
      </c>
      <c r="AO132" s="3" t="str">
        <f>IF(ISERROR(MATCH(A132,'SegEnds_Xtal_Prot#'!B:B, 0)), "NoXtal", "Xtal")</f>
        <v>NoXtal</v>
      </c>
      <c r="AP132" s="3" t="str">
        <f t="shared" ref="AP132:AP195" si="81">IF(ISERROR(F132-E132),"-",F132-E132)</f>
        <v>-</v>
      </c>
      <c r="AQ132" s="3" t="str">
        <f t="shared" ref="AQ132:AQ195" si="82">IF(ISERROR(I132-H132),"-",I132-H132)</f>
        <v>-</v>
      </c>
      <c r="AR132" s="3">
        <f t="shared" ref="AR132:AR195" si="83">IF(ISERROR(L132-K132),"-",L132-K132)</f>
        <v>2</v>
      </c>
      <c r="AS132" s="3">
        <f t="shared" ref="AS132:AS195" si="84">IF(ISERROR(O132-N132),"-",O132-N132)</f>
        <v>1</v>
      </c>
      <c r="AT132" s="3">
        <f t="shared" ref="AT132:AT195" si="85">IF(ISERROR(R132-Q132),"-",R132-Q132)</f>
        <v>1</v>
      </c>
      <c r="AU132" s="3">
        <f t="shared" ref="AU132:AU195" si="86">IF(ISERROR(U132-T132),"-",U132-T132)</f>
        <v>1</v>
      </c>
      <c r="AV132" s="3">
        <f t="shared" ref="AV132:AV195" si="87">IF(ISERROR(X132-W132),"-",X132-W132)</f>
        <v>12</v>
      </c>
      <c r="AW132" s="3">
        <f t="shared" ref="AW132:AW195" si="88">IF(ISERROR(AA132-Z132),"-",AA132-Z132)</f>
        <v>8</v>
      </c>
      <c r="AX132" s="3">
        <f t="shared" ref="AX132:AX195" si="89">IF(ISERROR(AD132-AC132),"-",AD132-AC132)</f>
        <v>4</v>
      </c>
      <c r="AY132" s="3">
        <f t="shared" ref="AY132:AY195" si="90">IF(ISERROR(AG132-AF132),"-",AG132-AF132)</f>
        <v>6</v>
      </c>
      <c r="AZ132" s="3">
        <f t="shared" ref="AZ132:AZ195" si="91">IF(ISERROR(AJ132-AI132),"-",AJ132-AI132)</f>
        <v>1</v>
      </c>
      <c r="BA132" s="3">
        <f>IF(ISERROR(LEN(VLOOKUP(A132,Seqs!A:E,2,FALSE))-AL132),"-",LEN(VLOOKUP(A132,Seqs!A:E,2,FALSE))-AL132)</f>
        <v>29</v>
      </c>
      <c r="BB132" s="16">
        <f t="shared" ref="BB132:BB195" si="92">J132-D132</f>
        <v>28</v>
      </c>
      <c r="BC132" s="9">
        <f t="shared" ref="BC132:BC195" si="93">IF(ISERROR(V132-S132),"-",V132-S132)</f>
        <v>20</v>
      </c>
      <c r="BD132" s="3">
        <f t="shared" ref="BD132:BD195" si="94">J132-D132</f>
        <v>28</v>
      </c>
      <c r="BE132" s="3">
        <f t="shared" ref="BE132:BE195" si="95">AE132-AB132</f>
        <v>48</v>
      </c>
      <c r="BF132" s="3">
        <f>AH132-AE132</f>
        <v>36</v>
      </c>
    </row>
    <row r="133" spans="1:58" s="3" customFormat="1" x14ac:dyDescent="0.2">
      <c r="A133" s="3" t="s">
        <v>242</v>
      </c>
      <c r="B133" s="3" t="str">
        <f>LOWER(VLOOKUP(A133,Xtal_Templ!A:B,2,FALSE))</f>
        <v>par2_human</v>
      </c>
      <c r="C133" s="3">
        <f>VLOOKUP($A133,'SegEnds_NonXtal_BW#'!$A:$Z,3,FALSE)+D133-50</f>
        <v>49</v>
      </c>
      <c r="D133" s="3">
        <v>71</v>
      </c>
      <c r="E133" s="3">
        <f>IF(ISERROR(VLOOKUP($A133,'SegEnds_NonXtal_BW#'!$A:$Z,4,FALSE)+VLOOKUP($A133,A:AL,4,FALSE)-50),"-",(VLOOKUP($A133,'SegEnds_NonXtal_BW#'!$A:$Z,4,FALSE)+VLOOKUP($A133,A:AL,4,FALSE)-50))</f>
        <v>81</v>
      </c>
      <c r="F133" s="3">
        <f t="shared" ref="F133:F138" si="96">G133-2</f>
        <v>82</v>
      </c>
      <c r="G133" s="3">
        <v>84</v>
      </c>
      <c r="H133" s="3">
        <f t="shared" ref="H133:I138" si="97">G133+1</f>
        <v>85</v>
      </c>
      <c r="I133" s="3">
        <f t="shared" si="97"/>
        <v>86</v>
      </c>
      <c r="J133" s="3">
        <v>99</v>
      </c>
      <c r="K133" s="3">
        <f>VLOOKUP($A133,'SegEnds_NonXtal_BW#'!$A:$Z,8,FALSE)+VLOOKUP($A133,A:AL,10,FALSE)-50</f>
        <v>115</v>
      </c>
      <c r="L133" s="3" t="str">
        <f>IF(ISERROR(VLOOKUP($A133,'SegEnds_NonXtal_BW#'!$A:$Z,9,FALSE)+VLOOKUP($A133,A:AL,13,FALSE)-50),"-",(VLOOKUP($A133,'SegEnds_NonXtal_BW#'!$A:$Z,9,FALSE)+VLOOKUP($A133,A:AL,13,FALSE)-50))</f>
        <v>-</v>
      </c>
      <c r="M133" s="3" t="s">
        <v>23</v>
      </c>
      <c r="N133" s="3" t="str">
        <f>IF(ISERROR(VLOOKUP($A133,'SegEnds_NonXtal_BW#'!$A:$Z,10,FALSE)+VLOOKUP($A133,A:AL,13,FALSE)-50),"-",(VLOOKUP($A133,'SegEnds_NonXtal_BW#'!$A:$Z,10,FALSE)+VLOOKUP($A133,A:AL,13,FALSE)-50))</f>
        <v>-</v>
      </c>
      <c r="O133" s="3">
        <f>VLOOKUP($A133,'SegEnds_NonXtal_BW#'!$A:$Z,11,FALSE)+VLOOKUP($A133,A:AL,16,FALSE)-50</f>
        <v>122</v>
      </c>
      <c r="P133" s="3">
        <v>148</v>
      </c>
      <c r="Q133" s="3">
        <f>VLOOKUP($A133,'SegEnds_NonXtal_BW#'!$A:$Z,12,FALSE)+VLOOKUP($A133,A:AL,16,FALSE)-50</f>
        <v>154</v>
      </c>
      <c r="R133" s="3">
        <f>IF(ISERROR(VLOOKUP($A133,'SegEnds_NonXtal_BW#'!$A:$Z,13,FALSE)+VLOOKUP($A133,A:AL,19,FALSE)-50),"-",VLOOKUP($A133,'SegEnds_NonXtal_BW#'!$A:$Z,13,FALSE)+VLOOKUP($A133,A:AL,19,FALSE)-50)</f>
        <v>155</v>
      </c>
      <c r="S133" s="3">
        <v>155</v>
      </c>
      <c r="T133" s="100">
        <f>IF(ISERROR(VLOOKUP($A133,'SegEnds_NonXtal_BW#'!$A:$Z,14,FALSE)+VLOOKUP($A133,A:AL,19,FALSE)-50),"-",(VLOOKUP($A133,'SegEnds_NonXtal_BW#'!$A:$Z,14,FALSE)+VLOOKUP($A133,A:AL,19,FALSE)-50))</f>
        <v>162</v>
      </c>
      <c r="U133" s="9">
        <f>IF(ISERROR(VLOOKUP($A133,'SegEnds_NonXtal_BW#'!$A:$Z,15,FALSE)+VLOOKUP($A133,A:AL,22,FALSE)-50),"-",VLOOKUP($A133,'SegEnds_NonXtal_BW#'!$A:$Z,15,FALSE)+VLOOKUP($A133,A:AL,22,FALSE)-50)</f>
        <v>163</v>
      </c>
      <c r="V133" s="3">
        <v>175</v>
      </c>
      <c r="W133" s="3">
        <f>IF(ISERROR(VLOOKUP($A133,'SegEnds_NonXtal_BW#'!$A:$Z,16,FALSE)+VLOOKUP($A133,A:AL,22,FALSE)-50),"-",(VLOOKUP($A133,'SegEnds_NonXtal_BW#'!$A:$Z,16,FALSE)+VLOOKUP($A133,A:AL,22,FALSE)-50))</f>
        <v>187</v>
      </c>
      <c r="X133" s="3" t="str">
        <f>IF(ISERROR(VLOOKUP($A133,'SegEnds_NonXtal_BW#'!$A:$Z,17,FALSE)+VLOOKUP($A133,A:AL,25,FALSE)-50),"-",(VLOOKUP($A133,'SegEnds_NonXtal_BW#'!$A:$Z,17,FALSE)+VLOOKUP($A133,A:AL,25,FALSE)-50))</f>
        <v>-</v>
      </c>
      <c r="Y133" s="3" t="s">
        <v>23</v>
      </c>
      <c r="Z133" s="3" t="str">
        <f>IF(ISERROR(VLOOKUP($A133,'SegEnds_NonXtal_BW#'!$A:$Z,18,FALSE)+VLOOKUP($A133,A:AL,25,FALSE)-50),"-",(VLOOKUP($A133,'SegEnds_NonXtal_BW#'!$A:$Z,18,FALSE)+VLOOKUP($A133,A:AL,25,FALSE)-50))</f>
        <v>-</v>
      </c>
      <c r="AA133" s="3">
        <f>IF(ISERROR(VLOOKUP($A133,'SegEnds_NonXtal_BW#'!$A:$Z,19,FALSE)+VLOOKUP($A133,A:AL,28,FALSE)-50),"-",(VLOOKUP($A133,'SegEnds_NonXtal_BW#'!$A:$Z,19,FALSE)+VLOOKUP($A133,A:AL,28,FALSE)-50))</f>
        <v>196</v>
      </c>
      <c r="AB133" s="3">
        <v>208</v>
      </c>
      <c r="AC133" s="3">
        <f>IF(ISERROR((VLOOKUP($A133,'SegEnds_NonXtal_BW#'!$A:$Z,20,FALSE)+VLOOKUP($A133,A:AL,28,FALSE)-50)),"-",(VLOOKUP($A133,'SegEnds_NonXtal_BW#'!$A:$Z,20,FALSE)+VLOOKUP($A133,A:AL,28,FALSE)-50))</f>
        <v>226</v>
      </c>
      <c r="AD133" s="3">
        <f>IF(ISERROR(VLOOKUP($A133,'SegEnds_NonXtal_BW#'!$A:$Z,21,FALSE)+VLOOKUP($A133,A:AL,31,FALSE)-50),"-",(VLOOKUP($A133,'SegEnds_NonXtal_BW#'!$A:$Z,21,FALSE)+VLOOKUP($A133,A:AL,31,FALSE)-50))</f>
        <v>230</v>
      </c>
      <c r="AE133" s="3">
        <v>256</v>
      </c>
      <c r="AF133" s="3">
        <f>IF(ISERROR((VLOOKUP($A133,'SegEnds_NonXtal_BW#'!$A:$Z,22,FALSE)+VLOOKUP($A133,A:AL,31,FALSE)-50)),"-",(VLOOKUP($A133,'SegEnds_NonXtal_BW#'!$A:$Z,22,FALSE)+VLOOKUP($A133,A:AL,31,FALSE)-50))</f>
        <v>267</v>
      </c>
      <c r="AG133" s="3">
        <f>IF(ISERROR(VLOOKUP($A133,'SegEnds_NonXtal_BW#'!$A:$Z,23,FALSE)+VLOOKUP($A133,A:AL,34,FALSE)-50),"-",(VLOOKUP($A133,'SegEnds_NonXtal_BW#'!$A:$Z,23,FALSE)+VLOOKUP($A133,A:AL,34,FALSE)-50))</f>
        <v>275</v>
      </c>
      <c r="AH133" s="3">
        <v>294</v>
      </c>
      <c r="AI133" s="3">
        <f>IF(ISERROR((VLOOKUP($A133,'SegEnds_NonXtal_BW#'!$A:$Z,24,FALSE)+VLOOKUP($A133,A:AL,34,FALSE)-50)),"-",(VLOOKUP($A133,'SegEnds_NonXtal_BW#'!$A:$Z,24,FALSE)+VLOOKUP($A133,A:AL,34,FALSE)-50))</f>
        <v>300</v>
      </c>
      <c r="AJ133" s="3">
        <f>IF(ISERROR(VLOOKUP($A133,'SegEnds_NonXtal_BW#'!$A:$Z,25,FALSE)+VLOOKUP($A133,A:AL,37,FALSE)-50),"-",(VLOOKUP($A133,'SegEnds_NonXtal_BW#'!$A:$Z,25,FALSE)+VLOOKUP($A133,A:AL,37,FALSE)-50))</f>
        <v>301</v>
      </c>
      <c r="AK133" s="3">
        <v>304</v>
      </c>
      <c r="AL133" s="3">
        <f>IF(ISERROR((VLOOKUP($A133,'SegEnds_NonXtal_BW#'!$A:$Z,26,FALSE)+VLOOKUP($A133,A:AL,37,FALSE)-50)),"-",(VLOOKUP($A133,'SegEnds_NonXtal_BW#'!$A:$Z,26,FALSE)+VLOOKUP($A133,A:AL,37,FALSE)-50))</f>
        <v>315</v>
      </c>
      <c r="AM133" s="28" t="str">
        <f>VLOOKUP(A133,Classification!A:B,2,FALSE)</f>
        <v>A</v>
      </c>
      <c r="AN133" s="28" t="b">
        <f t="shared" ref="AN133:AN196" si="98">AND(IF(Y133="-",IF(AA133-W133&gt;3,TRUE,FALSE),TRUE),IF(M133="-",IF(O133-K133&gt;3,TRUE,FALSE),TRUE),IF(AG133-AF133&gt;1,TRUE,FALSE),C133&lt;E133,OR(E133&lt;F133,F133="-"),OR(F133&lt;H133,F133="-"),OR(H133&lt;I133,H133="-"),I133&lt;K133,OR(K133&lt;L133,L133="-"),OR(L133&lt;N133,L133="-"),OR(N133&lt;O133,N133="-"),O133&lt;Q133,OR(Q133&lt;R133,R133="-"),OR(R133&lt;T133,R133="-"),OR(T133&lt;U133,T133="-"),U133&lt;W133,OR(W133&lt;X133,X133="-"),OR(X133&lt;Z133,X133="-"),OR(Z133&lt;AA133,Z133="-"),AA133&lt;AC133,AC133&lt;AD133,AD133&lt;AF133,AF133&lt;AG133,AG133&lt;AI133,OR(AI133&lt;AJ133,AJ133="-"),OR(AJ133&lt;AL133,AJ133="-"))</f>
        <v>1</v>
      </c>
      <c r="AO133" s="3" t="str">
        <f>IF(ISERROR(MATCH(A133,'SegEnds_Xtal_Prot#'!B:B, 0)), "NoXtal", "Xtal")</f>
        <v>NoXtal</v>
      </c>
      <c r="AP133" s="3">
        <f t="shared" si="81"/>
        <v>1</v>
      </c>
      <c r="AQ133" s="3">
        <f t="shared" si="82"/>
        <v>1</v>
      </c>
      <c r="AR133" s="3" t="str">
        <f t="shared" si="83"/>
        <v>-</v>
      </c>
      <c r="AS133" s="3" t="str">
        <f t="shared" si="84"/>
        <v>-</v>
      </c>
      <c r="AT133" s="3">
        <f t="shared" si="85"/>
        <v>1</v>
      </c>
      <c r="AU133" s="3">
        <f t="shared" si="86"/>
        <v>1</v>
      </c>
      <c r="AV133" s="3" t="str">
        <f t="shared" si="87"/>
        <v>-</v>
      </c>
      <c r="AW133" s="3" t="str">
        <f t="shared" si="88"/>
        <v>-</v>
      </c>
      <c r="AX133" s="3">
        <f t="shared" si="89"/>
        <v>4</v>
      </c>
      <c r="AY133" s="3">
        <f t="shared" si="90"/>
        <v>8</v>
      </c>
      <c r="AZ133" s="3">
        <f t="shared" si="91"/>
        <v>1</v>
      </c>
      <c r="BA133" s="3">
        <f>IF(ISERROR(LEN(VLOOKUP(A133,Seqs!A:E,2,FALSE))-AL133),"-",LEN(VLOOKUP(A133,Seqs!A:E,2,FALSE))-AL133)</f>
        <v>43</v>
      </c>
      <c r="BB133" s="16">
        <f t="shared" si="92"/>
        <v>28</v>
      </c>
      <c r="BC133" s="9">
        <f t="shared" si="93"/>
        <v>20</v>
      </c>
      <c r="BD133" s="3">
        <f t="shared" si="94"/>
        <v>28</v>
      </c>
      <c r="BE133" s="3">
        <f t="shared" si="95"/>
        <v>48</v>
      </c>
    </row>
    <row r="134" spans="1:58" s="3" customFormat="1" x14ac:dyDescent="0.2">
      <c r="A134" s="3" t="s">
        <v>243</v>
      </c>
      <c r="B134" s="3" t="str">
        <f>LOWER(VLOOKUP(A134,Xtal_Templ!A:B,2,FALSE))</f>
        <v>gpr52_human</v>
      </c>
      <c r="C134" s="3">
        <f>VLOOKUP($A134,'SegEnds_NonXtal_BW#'!$A:$Z,3,FALSE)+D134-50</f>
        <v>28</v>
      </c>
      <c r="D134" s="3">
        <v>46</v>
      </c>
      <c r="E134" s="3">
        <f>IF(ISERROR(VLOOKUP($A134,'SegEnds_NonXtal_BW#'!$A:$Z,4,FALSE)+VLOOKUP($A134,A:AL,4,FALSE)-50),"-",(VLOOKUP($A134,'SegEnds_NonXtal_BW#'!$A:$Z,4,FALSE)+VLOOKUP($A134,A:AL,4,FALSE)-50))</f>
        <v>56</v>
      </c>
      <c r="F134" s="3">
        <f t="shared" si="96"/>
        <v>57</v>
      </c>
      <c r="G134" s="3">
        <v>59</v>
      </c>
      <c r="H134" s="3">
        <f t="shared" si="97"/>
        <v>60</v>
      </c>
      <c r="I134" s="3">
        <f t="shared" si="97"/>
        <v>61</v>
      </c>
      <c r="J134" s="3">
        <v>75</v>
      </c>
      <c r="K134" s="3">
        <f>VLOOKUP($A134,'SegEnds_NonXtal_BW#'!$A:$Z,8,FALSE)+VLOOKUP($A134,A:AL,10,FALSE)-50</f>
        <v>91</v>
      </c>
      <c r="L134" s="3" t="str">
        <f>IF(ISERROR(VLOOKUP($A134,'SegEnds_NonXtal_BW#'!$A:$Z,9,FALSE)+VLOOKUP($A134,A:AL,13,FALSE)-50),"-",(VLOOKUP($A134,'SegEnds_NonXtal_BW#'!$A:$Z,9,FALSE)+VLOOKUP($A134,A:AL,13,FALSE)-50))</f>
        <v>-</v>
      </c>
      <c r="M134" s="3" t="s">
        <v>23</v>
      </c>
      <c r="N134" s="3" t="str">
        <f>IF(ISERROR(VLOOKUP($A134,'SegEnds_NonXtal_BW#'!$A:$Z,10,FALSE)+VLOOKUP($A134,A:AL,13,FALSE)-50),"-",(VLOOKUP($A134,'SegEnds_NonXtal_BW#'!$A:$Z,10,FALSE)+VLOOKUP($A134,A:AL,13,FALSE)-50))</f>
        <v>-</v>
      </c>
      <c r="O134" s="3">
        <f>VLOOKUP($A134,'SegEnds_NonXtal_BW#'!$A:$Z,11,FALSE)+VLOOKUP($A134,A:AL,16,FALSE)-50</f>
        <v>95</v>
      </c>
      <c r="P134" s="3">
        <v>127</v>
      </c>
      <c r="Q134" s="3">
        <f>VLOOKUP($A134,'SegEnds_NonXtal_BW#'!$A:$Z,12,FALSE)+VLOOKUP($A134,A:AL,16,FALSE)-50</f>
        <v>133</v>
      </c>
      <c r="R134" s="3">
        <f>IF(ISERROR(VLOOKUP($A134,'SegEnds_NonXtal_BW#'!$A:$Z,13,FALSE)+VLOOKUP($A134,A:AL,19,FALSE)-50),"-",VLOOKUP($A134,'SegEnds_NonXtal_BW#'!$A:$Z,13,FALSE)+VLOOKUP($A134,A:AL,19,FALSE)-50)</f>
        <v>134</v>
      </c>
      <c r="S134" s="3">
        <v>134</v>
      </c>
      <c r="T134" s="100">
        <f>IF(ISERROR(VLOOKUP($A134,'SegEnds_NonXtal_BW#'!$A:$Z,14,FALSE)+VLOOKUP($A134,A:AL,19,FALSE)-50),"-",(VLOOKUP($A134,'SegEnds_NonXtal_BW#'!$A:$Z,14,FALSE)+VLOOKUP($A134,A:AL,19,FALSE)-50))</f>
        <v>141</v>
      </c>
      <c r="U134" s="9">
        <f>IF(ISERROR(VLOOKUP($A134,'SegEnds_NonXtal_BW#'!$A:$Z,15,FALSE)+VLOOKUP($A134,A:AL,22,FALSE)-50),"-",VLOOKUP($A134,'SegEnds_NonXtal_BW#'!$A:$Z,15,FALSE)+VLOOKUP($A134,A:AL,22,FALSE)-50)</f>
        <v>142</v>
      </c>
      <c r="V134" s="3">
        <v>154</v>
      </c>
      <c r="W134" s="3">
        <f>IF(ISERROR(VLOOKUP($A134,'SegEnds_NonXtal_BW#'!$A:$Z,16,FALSE)+VLOOKUP($A134,A:AL,22,FALSE)-50),"-",(VLOOKUP($A134,'SegEnds_NonXtal_BW#'!$A:$Z,16,FALSE)+VLOOKUP($A134,A:AL,22,FALSE)-50))</f>
        <v>166</v>
      </c>
      <c r="X134" s="3">
        <f>IF(ISERROR(VLOOKUP($A134,'SegEnds_NonXtal_BW#'!$A:$Z,17,FALSE)+VLOOKUP($A134,A:AL,25,FALSE)-50),"-",(VLOOKUP($A134,'SegEnds_NonXtal_BW#'!$A:$Z,17,FALSE)+VLOOKUP($A134,A:AL,25,FALSE)-50))</f>
        <v>181</v>
      </c>
      <c r="Y134" s="3">
        <v>181</v>
      </c>
      <c r="Z134" s="3">
        <f>Y134+2</f>
        <v>183</v>
      </c>
      <c r="AA134" s="3">
        <f>IF(ISERROR(VLOOKUP($A134,'SegEnds_NonXtal_BW#'!$A:$Z,19,FALSE)+VLOOKUP($A134,A:AL,28,FALSE)-50),"-",(VLOOKUP($A134,'SegEnds_NonXtal_BW#'!$A:$Z,19,FALSE)+VLOOKUP($A134,A:AL,28,FALSE)-50))</f>
        <v>187</v>
      </c>
      <c r="AB134" s="3">
        <v>202</v>
      </c>
      <c r="AC134" s="3">
        <f>IF(ISERROR((VLOOKUP($A134,'SegEnds_NonXtal_BW#'!$A:$Z,20,FALSE)+VLOOKUP($A134,A:AL,28,FALSE)-50)),"-",(VLOOKUP($A134,'SegEnds_NonXtal_BW#'!$A:$Z,20,FALSE)+VLOOKUP($A134,A:AL,28,FALSE)-50))</f>
        <v>226</v>
      </c>
      <c r="AD134" s="3">
        <f>IF(ISERROR(VLOOKUP($A134,'SegEnds_NonXtal_BW#'!$A:$Z,21,FALSE)+VLOOKUP($A134,A:AL,31,FALSE)-50),"-",(VLOOKUP($A134,'SegEnds_NonXtal_BW#'!$A:$Z,21,FALSE)+VLOOKUP($A134,A:AL,31,FALSE)-50))</f>
        <v>238</v>
      </c>
      <c r="AE134" s="3">
        <v>267</v>
      </c>
      <c r="AF134" s="3">
        <f>IF(ISERROR((VLOOKUP($A134,'SegEnds_NonXtal_BW#'!$A:$Z,22,FALSE)+VLOOKUP($A134,A:AL,31,FALSE)-50)),"-",(VLOOKUP($A134,'SegEnds_NonXtal_BW#'!$A:$Z,22,FALSE)+VLOOKUP($A134,A:AL,31,FALSE)-50))</f>
        <v>278</v>
      </c>
      <c r="AG134" s="3">
        <f>IF(ISERROR(VLOOKUP($A134,'SegEnds_NonXtal_BW#'!$A:$Z,23,FALSE)+VLOOKUP($A134,A:AL,34,FALSE)-50),"-",(VLOOKUP($A134,'SegEnds_NonXtal_BW#'!$A:$Z,23,FALSE)+VLOOKUP($A134,A:AL,34,FALSE)-50))</f>
        <v>283</v>
      </c>
      <c r="AH134" s="3">
        <v>301</v>
      </c>
      <c r="AI134" s="3">
        <f>IF(ISERROR((VLOOKUP($A134,'SegEnds_NonXtal_BW#'!$A:$Z,24,FALSE)+VLOOKUP($A134,A:AL,34,FALSE)-50)),"-",(VLOOKUP($A134,'SegEnds_NonXtal_BW#'!$A:$Z,24,FALSE)+VLOOKUP($A134,A:AL,34,FALSE)-50))</f>
        <v>307</v>
      </c>
      <c r="AJ134" s="3">
        <f>IF(ISERROR(VLOOKUP($A134,'SegEnds_NonXtal_BW#'!$A:$Z,25,FALSE)+VLOOKUP($A134,A:AL,37,FALSE)-50),"-",(VLOOKUP($A134,'SegEnds_NonXtal_BW#'!$A:$Z,25,FALSE)+VLOOKUP($A134,A:AL,37,FALSE)-50))</f>
        <v>308</v>
      </c>
      <c r="AK134" s="3">
        <v>311</v>
      </c>
      <c r="AL134" s="3">
        <f>IF(ISERROR((VLOOKUP($A134,'SegEnds_NonXtal_BW#'!$A:$Z,26,FALSE)+VLOOKUP($A134,A:AL,37,FALSE)-50)),"-",(VLOOKUP($A134,'SegEnds_NonXtal_BW#'!$A:$Z,26,FALSE)+VLOOKUP($A134,A:AL,37,FALSE)-50))</f>
        <v>328</v>
      </c>
      <c r="AM134" s="28" t="str">
        <f>VLOOKUP(A134,Classification!A:B,2,FALSE)</f>
        <v>A</v>
      </c>
      <c r="AN134" s="28" t="b">
        <f t="shared" si="98"/>
        <v>1</v>
      </c>
      <c r="AO134" s="3" t="str">
        <f>IF(ISERROR(MATCH(A134,'SegEnds_Xtal_Prot#'!B:B, 0)), "NoXtal", "Xtal")</f>
        <v>NoXtal</v>
      </c>
      <c r="AP134" s="3">
        <f t="shared" si="81"/>
        <v>1</v>
      </c>
      <c r="AQ134" s="3">
        <f t="shared" si="82"/>
        <v>1</v>
      </c>
      <c r="AR134" s="3" t="str">
        <f t="shared" si="83"/>
        <v>-</v>
      </c>
      <c r="AS134" s="3" t="str">
        <f t="shared" si="84"/>
        <v>-</v>
      </c>
      <c r="AT134" s="3">
        <f t="shared" si="85"/>
        <v>1</v>
      </c>
      <c r="AU134" s="3">
        <f t="shared" si="86"/>
        <v>1</v>
      </c>
      <c r="AV134" s="3">
        <f t="shared" si="87"/>
        <v>15</v>
      </c>
      <c r="AW134" s="3">
        <f t="shared" si="88"/>
        <v>4</v>
      </c>
      <c r="AX134" s="3">
        <f t="shared" si="89"/>
        <v>12</v>
      </c>
      <c r="AY134" s="3">
        <f t="shared" si="90"/>
        <v>5</v>
      </c>
      <c r="AZ134" s="3">
        <f t="shared" si="91"/>
        <v>1</v>
      </c>
      <c r="BA134" s="3">
        <f>IF(ISERROR(LEN(VLOOKUP(A134,Seqs!A:E,2,FALSE))-AL134),"-",LEN(VLOOKUP(A134,Seqs!A:E,2,FALSE))-AL134)</f>
        <v>21</v>
      </c>
      <c r="BB134" s="16">
        <f t="shared" si="92"/>
        <v>29</v>
      </c>
      <c r="BC134" s="9">
        <f t="shared" si="93"/>
        <v>20</v>
      </c>
      <c r="BD134" s="3">
        <f t="shared" si="94"/>
        <v>29</v>
      </c>
      <c r="BE134" s="3">
        <f t="shared" si="95"/>
        <v>65</v>
      </c>
    </row>
    <row r="135" spans="1:58" s="3" customFormat="1" x14ac:dyDescent="0.2">
      <c r="A135" s="3" t="s">
        <v>245</v>
      </c>
      <c r="B135" s="3" t="str">
        <f>LOWER(VLOOKUP(A135,Xtal_Templ!A:B,2,FALSE))</f>
        <v>agtr1_human</v>
      </c>
      <c r="C135" s="3">
        <f>VLOOKUP($A135,'SegEnds_NonXtal_BW#'!$A:$Z,3,FALSE)+D135-50</f>
        <v>35</v>
      </c>
      <c r="D135" s="3">
        <v>57</v>
      </c>
      <c r="E135" s="3">
        <f>IF(ISERROR(VLOOKUP($A135,'SegEnds_NonXtal_BW#'!$A:$Z,4,FALSE)+VLOOKUP($A135,A:AL,4,FALSE)-50),"-",(VLOOKUP($A135,'SegEnds_NonXtal_BW#'!$A:$Z,4,FALSE)+VLOOKUP($A135,A:AL,4,FALSE)-50))</f>
        <v>67</v>
      </c>
      <c r="F135" s="3">
        <f t="shared" si="96"/>
        <v>68</v>
      </c>
      <c r="G135" s="3">
        <v>70</v>
      </c>
      <c r="H135" s="3">
        <f t="shared" si="97"/>
        <v>71</v>
      </c>
      <c r="I135" s="3">
        <f t="shared" si="97"/>
        <v>72</v>
      </c>
      <c r="J135" s="3">
        <v>85</v>
      </c>
      <c r="K135" s="3">
        <f>VLOOKUP($A135,'SegEnds_NonXtal_BW#'!$A:$Z,8,FALSE)+VLOOKUP($A135,A:AL,10,FALSE)-50</f>
        <v>102</v>
      </c>
      <c r="L135" s="3">
        <f>M135-1</f>
        <v>104</v>
      </c>
      <c r="M135" s="3">
        <v>105</v>
      </c>
      <c r="N135" s="3">
        <f>M135+2</f>
        <v>107</v>
      </c>
      <c r="O135" s="3">
        <f>N135+1</f>
        <v>108</v>
      </c>
      <c r="P135" s="3">
        <v>137</v>
      </c>
      <c r="Q135" s="3">
        <f>VLOOKUP($A135,'SegEnds_NonXtal_BW#'!$A:$Z,12,FALSE)+VLOOKUP($A135,A:AL,16,FALSE)-50</f>
        <v>143</v>
      </c>
      <c r="R135" s="3">
        <f>IF(ISERROR(VLOOKUP($A135,'SegEnds_NonXtal_BW#'!$A:$Z,13,FALSE)+VLOOKUP($A135,A:AL,19,FALSE)-50),"-",VLOOKUP($A135,'SegEnds_NonXtal_BW#'!$A:$Z,13,FALSE)+VLOOKUP($A135,A:AL,19,FALSE)-50)</f>
        <v>144</v>
      </c>
      <c r="S135" s="3">
        <v>144</v>
      </c>
      <c r="T135" s="100">
        <f>IF(ISERROR(VLOOKUP($A135,'SegEnds_NonXtal_BW#'!$A:$Z,14,FALSE)+VLOOKUP($A135,A:AL,19,FALSE)-50),"-",(VLOOKUP($A135,'SegEnds_NonXtal_BW#'!$A:$Z,14,FALSE)+VLOOKUP($A135,A:AL,19,FALSE)-50))</f>
        <v>151</v>
      </c>
      <c r="U135" s="9">
        <f>IF(ISERROR(VLOOKUP($A135,'SegEnds_NonXtal_BW#'!$A:$Z,15,FALSE)+VLOOKUP($A135,A:AL,22,FALSE)-50),"-",VLOOKUP($A135,'SegEnds_NonXtal_BW#'!$A:$Z,15,FALSE)+VLOOKUP($A135,A:AL,22,FALSE)-50)</f>
        <v>152</v>
      </c>
      <c r="V135" s="3">
        <v>164</v>
      </c>
      <c r="W135" s="3">
        <f>IF(ISERROR(VLOOKUP($A135,'SegEnds_NonXtal_BW#'!$A:$Z,16,FALSE)+VLOOKUP($A135,A:AL,22,FALSE)-50),"-",(VLOOKUP($A135,'SegEnds_NonXtal_BW#'!$A:$Z,16,FALSE)+VLOOKUP($A135,A:AL,22,FALSE)-50))</f>
        <v>178</v>
      </c>
      <c r="X135" s="3">
        <f>IF(ISERROR(VLOOKUP($A135,'SegEnds_NonXtal_BW#'!$A:$Z,17,FALSE)+VLOOKUP($A135,A:AL,25,FALSE)-50),"-",(VLOOKUP($A135,'SegEnds_NonXtal_BW#'!$A:$Z,17,FALSE)+VLOOKUP($A135,A:AL,25,FALSE)-50))</f>
        <v>191</v>
      </c>
      <c r="Y135" s="3">
        <v>191</v>
      </c>
      <c r="Z135" s="3">
        <f>Y135+2</f>
        <v>193</v>
      </c>
      <c r="AA135" s="3">
        <f>IF(ISERROR(VLOOKUP($A135,'SegEnds_NonXtal_BW#'!$A:$Z,19,FALSE)+VLOOKUP($A135,A:AL,28,FALSE)-50),"-",(VLOOKUP($A135,'SegEnds_NonXtal_BW#'!$A:$Z,19,FALSE)+VLOOKUP($A135,A:AL,28,FALSE)-50))</f>
        <v>198</v>
      </c>
      <c r="AB135" s="3">
        <v>214</v>
      </c>
      <c r="AC135" s="3">
        <f>IF(ISERROR((VLOOKUP($A135,'SegEnds_NonXtal_BW#'!$A:$Z,20,FALSE)+VLOOKUP($A135,A:AL,28,FALSE)-50)),"-",(VLOOKUP($A135,'SegEnds_NonXtal_BW#'!$A:$Z,20,FALSE)+VLOOKUP($A135,A:AL,28,FALSE)-50))</f>
        <v>231</v>
      </c>
      <c r="AD135" s="3">
        <f>IF(ISERROR(VLOOKUP($A135,'SegEnds_NonXtal_BW#'!$A:$Z,21,FALSE)+VLOOKUP($A135,A:AL,31,FALSE)-50),"-",(VLOOKUP($A135,'SegEnds_NonXtal_BW#'!$A:$Z,21,FALSE)+VLOOKUP($A135,A:AL,31,FALSE)-50))</f>
        <v>237</v>
      </c>
      <c r="AE135" s="3">
        <v>259</v>
      </c>
      <c r="AF135" s="3">
        <f>IF(ISERROR((VLOOKUP($A135,'SegEnds_NonXtal_BW#'!$A:$Z,22,FALSE)+VLOOKUP($A135,A:AL,31,FALSE)-50)),"-",(VLOOKUP($A135,'SegEnds_NonXtal_BW#'!$A:$Z,22,FALSE)+VLOOKUP($A135,A:AL,31,FALSE)-50))</f>
        <v>273</v>
      </c>
      <c r="AG135" s="3">
        <f>IF(ISERROR(VLOOKUP($A135,'SegEnds_NonXtal_BW#'!$A:$Z,23,FALSE)+VLOOKUP($A135,A:AL,34,FALSE)-50),"-",(VLOOKUP($A135,'SegEnds_NonXtal_BW#'!$A:$Z,23,FALSE)+VLOOKUP($A135,A:AL,34,FALSE)-50))</f>
        <v>278</v>
      </c>
      <c r="AH135" s="3">
        <v>304</v>
      </c>
      <c r="AI135" s="3">
        <f>IF(ISERROR((VLOOKUP($A135,'SegEnds_NonXtal_BW#'!$A:$Z,24,FALSE)+VLOOKUP($A135,A:AL,34,FALSE)-50)),"-",(VLOOKUP($A135,'SegEnds_NonXtal_BW#'!$A:$Z,24,FALSE)+VLOOKUP($A135,A:AL,34,FALSE)-50))</f>
        <v>310</v>
      </c>
      <c r="AJ135" s="3">
        <f>IF(ISERROR(VLOOKUP($A135,'SegEnds_NonXtal_BW#'!$A:$Z,25,FALSE)+VLOOKUP($A135,A:AL,37,FALSE)-50),"-",(VLOOKUP($A135,'SegEnds_NonXtal_BW#'!$A:$Z,25,FALSE)+VLOOKUP($A135,A:AL,37,FALSE)-50))</f>
        <v>311</v>
      </c>
      <c r="AK135" s="3">
        <v>314</v>
      </c>
      <c r="AL135" s="3">
        <f>IF(ISERROR((VLOOKUP($A135,'SegEnds_NonXtal_BW#'!$A:$Z,26,FALSE)+VLOOKUP($A135,A:AL,37,FALSE)-50)),"-",(VLOOKUP($A135,'SegEnds_NonXtal_BW#'!$A:$Z,26,FALSE)+VLOOKUP($A135,A:AL,37,FALSE)-50))</f>
        <v>325</v>
      </c>
      <c r="AM135" s="28" t="str">
        <f>VLOOKUP(A135,Classification!A:B,2,FALSE)</f>
        <v>A</v>
      </c>
      <c r="AN135" s="28" t="b">
        <f t="shared" si="98"/>
        <v>1</v>
      </c>
      <c r="AO135" s="3" t="str">
        <f>IF(ISERROR(MATCH(A135,'SegEnds_Xtal_Prot#'!B:B, 0)), "NoXtal", "Xtal")</f>
        <v>NoXtal</v>
      </c>
      <c r="AP135" s="3">
        <f t="shared" si="81"/>
        <v>1</v>
      </c>
      <c r="AQ135" s="3">
        <f t="shared" si="82"/>
        <v>1</v>
      </c>
      <c r="AR135" s="3">
        <f t="shared" si="83"/>
        <v>2</v>
      </c>
      <c r="AS135" s="3">
        <f t="shared" si="84"/>
        <v>1</v>
      </c>
      <c r="AT135" s="3">
        <f t="shared" si="85"/>
        <v>1</v>
      </c>
      <c r="AU135" s="3">
        <f t="shared" si="86"/>
        <v>1</v>
      </c>
      <c r="AV135" s="3">
        <f t="shared" si="87"/>
        <v>13</v>
      </c>
      <c r="AW135" s="3">
        <f t="shared" si="88"/>
        <v>5</v>
      </c>
      <c r="AX135" s="3">
        <f t="shared" si="89"/>
        <v>6</v>
      </c>
      <c r="AY135" s="3">
        <f t="shared" si="90"/>
        <v>5</v>
      </c>
      <c r="AZ135" s="3">
        <f t="shared" si="91"/>
        <v>1</v>
      </c>
      <c r="BA135" s="3">
        <f>IF(ISERROR(LEN(VLOOKUP(A135,Seqs!A:E,2,FALSE))-AL135),"-",LEN(VLOOKUP(A135,Seqs!A:E,2,FALSE))-AL135)</f>
        <v>36</v>
      </c>
      <c r="BB135" s="16">
        <f t="shared" si="92"/>
        <v>28</v>
      </c>
      <c r="BC135" s="9">
        <f t="shared" si="93"/>
        <v>20</v>
      </c>
      <c r="BD135" s="3">
        <f t="shared" si="94"/>
        <v>28</v>
      </c>
      <c r="BE135" s="3">
        <f t="shared" si="95"/>
        <v>45</v>
      </c>
    </row>
    <row r="136" spans="1:58" s="3" customFormat="1" x14ac:dyDescent="0.2">
      <c r="A136" s="3" t="s">
        <v>246</v>
      </c>
      <c r="B136" s="3" t="str">
        <f>LOWER(VLOOKUP(A136,Xtal_Templ!A:B,2,FALSE))</f>
        <v>drd2_human</v>
      </c>
      <c r="C136" s="3">
        <f>VLOOKUP($A136,'SegEnds_NonXtal_BW#'!$A:$Z,3,FALSE)+D136-50</f>
        <v>2</v>
      </c>
      <c r="D136" s="3">
        <v>23</v>
      </c>
      <c r="E136" s="3">
        <f>IF(ISERROR(VLOOKUP($A136,'SegEnds_NonXtal_BW#'!$A:$Z,4,FALSE)+VLOOKUP($A136,A:AL,4,FALSE)-50),"-",(VLOOKUP($A136,'SegEnds_NonXtal_BW#'!$A:$Z,4,FALSE)+VLOOKUP($A136,A:AL,4,FALSE)-50))</f>
        <v>33</v>
      </c>
      <c r="F136" s="3">
        <f t="shared" si="96"/>
        <v>34</v>
      </c>
      <c r="G136" s="3">
        <v>36</v>
      </c>
      <c r="H136" s="3">
        <f t="shared" si="97"/>
        <v>37</v>
      </c>
      <c r="I136" s="3">
        <f t="shared" si="97"/>
        <v>38</v>
      </c>
      <c r="J136" s="3">
        <v>52</v>
      </c>
      <c r="K136" s="3">
        <f>VLOOKUP($A136,'SegEnds_NonXtal_BW#'!$A:$Z,8,FALSE)+VLOOKUP($A136,A:AL,10,FALSE)-50</f>
        <v>70</v>
      </c>
      <c r="L136" s="3" t="str">
        <f>IF(ISERROR(VLOOKUP($A136,'SegEnds_NonXtal_BW#'!$A:$Z,9,FALSE)+VLOOKUP($A136,A:AL,13,FALSE)-50),"-",(VLOOKUP($A136,'SegEnds_NonXtal_BW#'!$A:$Z,9,FALSE)+VLOOKUP($A136,A:AL,13,FALSE)-50))</f>
        <v>-</v>
      </c>
      <c r="M136" s="3" t="s">
        <v>23</v>
      </c>
      <c r="N136" s="3" t="str">
        <f>IF(ISERROR(VLOOKUP($A136,'SegEnds_NonXtal_BW#'!$A:$Z,10,FALSE)+VLOOKUP($A136,A:AL,13,FALSE)-50),"-",(VLOOKUP($A136,'SegEnds_NonXtal_BW#'!$A:$Z,10,FALSE)+VLOOKUP($A136,A:AL,13,FALSE)-50))</f>
        <v>-</v>
      </c>
      <c r="O136" s="3">
        <f>VLOOKUP($A136,'SegEnds_NonXtal_BW#'!$A:$Z,11,FALSE)+VLOOKUP($A136,A:AL,16,FALSE)-50</f>
        <v>75</v>
      </c>
      <c r="P136" s="3">
        <v>104</v>
      </c>
      <c r="Q136" s="3">
        <f>VLOOKUP($A136,'SegEnds_NonXtal_BW#'!$A:$Z,12,FALSE)+VLOOKUP($A136,A:AL,16,FALSE)-50</f>
        <v>110</v>
      </c>
      <c r="R136" s="3">
        <f>IF(ISERROR(VLOOKUP($A136,'SegEnds_NonXtal_BW#'!$A:$Z,13,FALSE)+VLOOKUP($A136,A:AL,19,FALSE)-50),"-",VLOOKUP($A136,'SegEnds_NonXtal_BW#'!$A:$Z,13,FALSE)+VLOOKUP($A136,A:AL,19,FALSE)-50)</f>
        <v>111</v>
      </c>
      <c r="S136" s="3">
        <v>111</v>
      </c>
      <c r="T136" s="100">
        <f>IF(ISERROR(VLOOKUP($A136,'SegEnds_NonXtal_BW#'!$A:$Z,14,FALSE)+VLOOKUP($A136,A:AL,19,FALSE)-50),"-",(VLOOKUP($A136,'SegEnds_NonXtal_BW#'!$A:$Z,14,FALSE)+VLOOKUP($A136,A:AL,19,FALSE)-50))</f>
        <v>118</v>
      </c>
      <c r="U136" s="9">
        <f>IF(ISERROR(VLOOKUP($A136,'SegEnds_NonXtal_BW#'!$A:$Z,15,FALSE)+VLOOKUP($A136,A:AL,22,FALSE)-50),"-",VLOOKUP($A136,'SegEnds_NonXtal_BW#'!$A:$Z,15,FALSE)+VLOOKUP($A136,A:AL,22,FALSE)-50)</f>
        <v>119</v>
      </c>
      <c r="V136" s="3">
        <v>131</v>
      </c>
      <c r="W136" s="3">
        <f>IF(ISERROR(VLOOKUP($A136,'SegEnds_NonXtal_BW#'!$A:$Z,16,FALSE)+VLOOKUP($A136,A:AL,22,FALSE)-50),"-",(VLOOKUP($A136,'SegEnds_NonXtal_BW#'!$A:$Z,16,FALSE)+VLOOKUP($A136,A:AL,22,FALSE)-50))</f>
        <v>143</v>
      </c>
      <c r="X136" s="3">
        <f>IF(ISERROR(VLOOKUP($A136,'SegEnds_NonXtal_BW#'!$A:$Z,17,FALSE)+VLOOKUP($A136,A:AL,25,FALSE)-50),"-",(VLOOKUP($A136,'SegEnds_NonXtal_BW#'!$A:$Z,17,FALSE)+VLOOKUP($A136,A:AL,25,FALSE)-50))</f>
        <v>159</v>
      </c>
      <c r="Y136" s="3">
        <v>159</v>
      </c>
      <c r="Z136" s="3">
        <f>Y136+2</f>
        <v>161</v>
      </c>
      <c r="AA136" s="3">
        <f>IF(ISERROR(VLOOKUP($A136,'SegEnds_NonXtal_BW#'!$A:$Z,19,FALSE)+VLOOKUP($A136,A:AL,28,FALSE)-50),"-",(VLOOKUP($A136,'SegEnds_NonXtal_BW#'!$A:$Z,19,FALSE)+VLOOKUP($A136,A:AL,28,FALSE)-50))</f>
        <v>169</v>
      </c>
      <c r="AB136" s="3">
        <v>184</v>
      </c>
      <c r="AC136" s="3">
        <f>IF(ISERROR((VLOOKUP($A136,'SegEnds_NonXtal_BW#'!$A:$Z,20,FALSE)+VLOOKUP($A136,A:AL,28,FALSE)-50)),"-",(VLOOKUP($A136,'SegEnds_NonXtal_BW#'!$A:$Z,20,FALSE)+VLOOKUP($A136,A:AL,28,FALSE)-50))</f>
        <v>210</v>
      </c>
      <c r="AD136" s="3">
        <f>IF(ISERROR(VLOOKUP($A136,'SegEnds_NonXtal_BW#'!$A:$Z,21,FALSE)+VLOOKUP($A136,A:AL,31,FALSE)-50),"-",(VLOOKUP($A136,'SegEnds_NonXtal_BW#'!$A:$Z,21,FALSE)+VLOOKUP($A136,A:AL,31,FALSE)-50))</f>
        <v>230</v>
      </c>
      <c r="AE136" s="3">
        <v>256</v>
      </c>
      <c r="AF136" s="3">
        <f>IF(ISERROR((VLOOKUP($A136,'SegEnds_NonXtal_BW#'!$A:$Z,22,FALSE)+VLOOKUP($A136,A:AL,31,FALSE)-50)),"-",(VLOOKUP($A136,'SegEnds_NonXtal_BW#'!$A:$Z,22,FALSE)+VLOOKUP($A136,A:AL,31,FALSE)-50))</f>
        <v>267</v>
      </c>
      <c r="AG136" s="3">
        <f>IF(ISERROR(VLOOKUP($A136,'SegEnds_NonXtal_BW#'!$A:$Z,23,FALSE)+VLOOKUP($A136,A:AL,34,FALSE)-50),"-",(VLOOKUP($A136,'SegEnds_NonXtal_BW#'!$A:$Z,23,FALSE)+VLOOKUP($A136,A:AL,34,FALSE)-50))</f>
        <v>272</v>
      </c>
      <c r="AH136" s="3">
        <v>291</v>
      </c>
      <c r="AI136" s="3">
        <f>IF(ISERROR((VLOOKUP($A136,'SegEnds_NonXtal_BW#'!$A:$Z,24,FALSE)+VLOOKUP($A136,A:AL,34,FALSE)-50)),"-",(VLOOKUP($A136,'SegEnds_NonXtal_BW#'!$A:$Z,24,FALSE)+VLOOKUP($A136,A:AL,34,FALSE)-50))</f>
        <v>297</v>
      </c>
      <c r="AJ136" s="3">
        <f>IF(ISERROR(VLOOKUP($A136,'SegEnds_NonXtal_BW#'!$A:$Z,25,FALSE)+VLOOKUP($A136,A:AL,37,FALSE)-50),"-",(VLOOKUP($A136,'SegEnds_NonXtal_BW#'!$A:$Z,25,FALSE)+VLOOKUP($A136,A:AL,37,FALSE)-50))</f>
        <v>298</v>
      </c>
      <c r="AK136" s="3">
        <v>301</v>
      </c>
      <c r="AL136" s="3">
        <f>IF(ISERROR((VLOOKUP($A136,'SegEnds_NonXtal_BW#'!$A:$Z,26,FALSE)+VLOOKUP($A136,A:AL,37,FALSE)-50)),"-",(VLOOKUP($A136,'SegEnds_NonXtal_BW#'!$A:$Z,26,FALSE)+VLOOKUP($A136,A:AL,37,FALSE)-50))</f>
        <v>310</v>
      </c>
      <c r="AM136" s="28" t="str">
        <f>VLOOKUP(A136,Classification!A:B,2,FALSE)</f>
        <v>A</v>
      </c>
      <c r="AN136" s="28" t="b">
        <f t="shared" si="98"/>
        <v>1</v>
      </c>
      <c r="AO136" s="3" t="str">
        <f>IF(ISERROR(MATCH(A136,'SegEnds_Xtal_Prot#'!B:B, 0)), "NoXtal", "Xtal")</f>
        <v>NoXtal</v>
      </c>
      <c r="AP136" s="3">
        <f t="shared" si="81"/>
        <v>1</v>
      </c>
      <c r="AQ136" s="3">
        <f t="shared" si="82"/>
        <v>1</v>
      </c>
      <c r="AR136" s="3" t="str">
        <f t="shared" si="83"/>
        <v>-</v>
      </c>
      <c r="AS136" s="3" t="str">
        <f t="shared" si="84"/>
        <v>-</v>
      </c>
      <c r="AT136" s="3">
        <f t="shared" si="85"/>
        <v>1</v>
      </c>
      <c r="AU136" s="3">
        <f t="shared" si="86"/>
        <v>1</v>
      </c>
      <c r="AV136" s="3">
        <f t="shared" si="87"/>
        <v>16</v>
      </c>
      <c r="AW136" s="3">
        <f t="shared" si="88"/>
        <v>8</v>
      </c>
      <c r="AX136" s="3">
        <f t="shared" si="89"/>
        <v>20</v>
      </c>
      <c r="AY136" s="3">
        <f t="shared" si="90"/>
        <v>5</v>
      </c>
      <c r="AZ136" s="3">
        <f t="shared" si="91"/>
        <v>1</v>
      </c>
      <c r="BA136" s="3">
        <f>IF(ISERROR(LEN(VLOOKUP(A136,Seqs!A:E,2,FALSE))-AL136),"-",LEN(VLOOKUP(A136,Seqs!A:E,2,FALSE))-AL136)</f>
        <v>27</v>
      </c>
      <c r="BB136" s="16">
        <f t="shared" si="92"/>
        <v>29</v>
      </c>
      <c r="BC136" s="9">
        <f t="shared" si="93"/>
        <v>20</v>
      </c>
      <c r="BD136" s="3">
        <f t="shared" si="94"/>
        <v>29</v>
      </c>
      <c r="BE136" s="3">
        <f t="shared" si="95"/>
        <v>72</v>
      </c>
      <c r="BF136" s="3">
        <f>AH136-AE136</f>
        <v>35</v>
      </c>
    </row>
    <row r="137" spans="1:58" s="3" customFormat="1" x14ac:dyDescent="0.2">
      <c r="A137" s="3" t="s">
        <v>248</v>
      </c>
      <c r="B137" s="3" t="str">
        <f>LOWER(VLOOKUP(A137,Xtal_Templ!A:B,2,FALSE))</f>
        <v>lpar1_human</v>
      </c>
      <c r="C137" s="3">
        <f>VLOOKUP($A137,'SegEnds_NonXtal_BW#'!$A:$Z,3,FALSE)+D137-50</f>
        <v>38</v>
      </c>
      <c r="D137" s="3">
        <v>58</v>
      </c>
      <c r="E137" s="3">
        <f>IF(ISERROR(VLOOKUP($A137,'SegEnds_NonXtal_BW#'!$A:$Z,4,FALSE)+VLOOKUP($A137,A:AL,4,FALSE)-50),"-",(VLOOKUP($A137,'SegEnds_NonXtal_BW#'!$A:$Z,4,FALSE)+VLOOKUP($A137,A:AL,4,FALSE)-50))</f>
        <v>68</v>
      </c>
      <c r="F137" s="3">
        <f t="shared" si="96"/>
        <v>69</v>
      </c>
      <c r="G137" s="3">
        <v>71</v>
      </c>
      <c r="H137" s="3">
        <f t="shared" si="97"/>
        <v>72</v>
      </c>
      <c r="I137" s="3">
        <f t="shared" si="97"/>
        <v>73</v>
      </c>
      <c r="J137" s="3">
        <v>86</v>
      </c>
      <c r="K137" s="3">
        <f>VLOOKUP($A137,'SegEnds_NonXtal_BW#'!$A:$Z,8,FALSE)+VLOOKUP($A137,A:AL,10,FALSE)-50</f>
        <v>98</v>
      </c>
      <c r="L137" s="3">
        <f>M137-1</f>
        <v>100</v>
      </c>
      <c r="M137" s="3">
        <v>101</v>
      </c>
      <c r="N137" s="3">
        <f>M137+2</f>
        <v>103</v>
      </c>
      <c r="O137" s="3">
        <f>N137+1</f>
        <v>104</v>
      </c>
      <c r="P137" s="3">
        <v>134</v>
      </c>
      <c r="Q137" s="3">
        <f>VLOOKUP($A137,'SegEnds_NonXtal_BW#'!$A:$Z,12,FALSE)+VLOOKUP($A137,A:AL,16,FALSE)-50</f>
        <v>140</v>
      </c>
      <c r="R137" s="3">
        <f>S137</f>
        <v>141</v>
      </c>
      <c r="S137" s="3">
        <v>141</v>
      </c>
      <c r="T137" s="100">
        <f>S137+7</f>
        <v>148</v>
      </c>
      <c r="U137" s="9">
        <f>IF(ISERROR(VLOOKUP($A137,'SegEnds_NonXtal_BW#'!$A:$Z,15,FALSE)+VLOOKUP($A137,A:AL,22,FALSE)-50),"-",VLOOKUP($A137,'SegEnds_NonXtal_BW#'!$A:$Z,15,FALSE)+VLOOKUP($A137,A:AL,22,FALSE)-50)</f>
        <v>149</v>
      </c>
      <c r="V137" s="3">
        <v>161</v>
      </c>
      <c r="W137" s="3">
        <f>IF(ISERROR(VLOOKUP($A137,'SegEnds_NonXtal_BW#'!$A:$Z,16,FALSE)+VLOOKUP($A137,A:AL,22,FALSE)-50),"-",(VLOOKUP($A137,'SegEnds_NonXtal_BW#'!$A:$Z,16,FALSE)+VLOOKUP($A137,A:AL,22,FALSE)-50))</f>
        <v>174</v>
      </c>
      <c r="X137" s="3" t="str">
        <f>IF(ISERROR(VLOOKUP($A137,'SegEnds_NonXtal_BW#'!$A:$Z,17,FALSE)+VLOOKUP($A137,A:AL,25,FALSE)-50),"-",(VLOOKUP($A137,'SegEnds_NonXtal_BW#'!$A:$Z,17,FALSE)+VLOOKUP($A137,A:AL,25,FALSE)-50))</f>
        <v>-</v>
      </c>
      <c r="Y137" s="3" t="s">
        <v>23</v>
      </c>
      <c r="Z137" s="3" t="str">
        <f>IF(ISERROR(VLOOKUP($A137,'SegEnds_NonXtal_BW#'!$A:$Z,18,FALSE)+VLOOKUP($A137,A:AL,25,FALSE)-50),"-",(VLOOKUP($A137,'SegEnds_NonXtal_BW#'!$A:$Z,18,FALSE)+VLOOKUP($A137,A:AL,25,FALSE)-50))</f>
        <v>-</v>
      </c>
      <c r="AA137" s="3">
        <f>IF(ISERROR(VLOOKUP($A137,'SegEnds_NonXtal_BW#'!$A:$Z,19,FALSE)+VLOOKUP($A137,A:AL,28,FALSE)-50),"-",(VLOOKUP($A137,'SegEnds_NonXtal_BW#'!$A:$Z,19,FALSE)+VLOOKUP($A137,A:AL,28,FALSE)-50))</f>
        <v>191</v>
      </c>
      <c r="AB137" s="3">
        <v>205</v>
      </c>
      <c r="AC137" s="3">
        <f>IF(ISERROR((VLOOKUP($A137,'SegEnds_NonXtal_BW#'!$A:$Z,20,FALSE)+VLOOKUP($A137,A:AL,28,FALSE)-50)),"-",(VLOOKUP($A137,'SegEnds_NonXtal_BW#'!$A:$Z,20,FALSE)+VLOOKUP($A137,A:AL,28,FALSE)-50))</f>
        <v>228</v>
      </c>
      <c r="AD137" s="3">
        <f>IF(ISERROR(VLOOKUP($A137,'SegEnds_NonXtal_BW#'!$A:$Z,21,FALSE)+VLOOKUP($A137,A:AL,31,FALSE)-50),"-",(VLOOKUP($A137,'SegEnds_NonXtal_BW#'!$A:$Z,21,FALSE)+VLOOKUP($A137,A:AL,31,FALSE)-50))</f>
        <v>234</v>
      </c>
      <c r="AE137" s="3">
        <v>262</v>
      </c>
      <c r="AF137" s="3">
        <f>IF(ISERROR((VLOOKUP($A137,'SegEnds_NonXtal_BW#'!$A:$Z,22,FALSE)+VLOOKUP($A137,A:AL,31,FALSE)-50)),"-",(VLOOKUP($A137,'SegEnds_NonXtal_BW#'!$A:$Z,22,FALSE)+VLOOKUP($A137,A:AL,31,FALSE)-50))</f>
        <v>273</v>
      </c>
      <c r="AG137" s="3">
        <f>IF(ISERROR(VLOOKUP($A137,'SegEnds_NonXtal_BW#'!$A:$Z,23,FALSE)+VLOOKUP($A137,A:AL,34,FALSE)-50),"-",(VLOOKUP($A137,'SegEnds_NonXtal_BW#'!$A:$Z,23,FALSE)+VLOOKUP($A137,A:AL,34,FALSE)-50))</f>
        <v>278</v>
      </c>
      <c r="AH137" s="3">
        <v>294</v>
      </c>
      <c r="AI137" s="3">
        <f>IF(ISERROR((VLOOKUP($A137,'SegEnds_NonXtal_BW#'!$A:$Z,24,FALSE)+VLOOKUP($A137,A:AL,34,FALSE)-50)),"-",(VLOOKUP($A137,'SegEnds_NonXtal_BW#'!$A:$Z,24,FALSE)+VLOOKUP($A137,A:AL,34,FALSE)-50))</f>
        <v>300</v>
      </c>
      <c r="AJ137" s="3">
        <f>IF(ISERROR(VLOOKUP($A137,'SegEnds_NonXtal_BW#'!$A:$Z,25,FALSE)+VLOOKUP($A137,A:AL,37,FALSE)-50),"-",(VLOOKUP($A137,'SegEnds_NonXtal_BW#'!$A:$Z,25,FALSE)+VLOOKUP($A137,A:AL,37,FALSE)-50))</f>
        <v>301</v>
      </c>
      <c r="AK137" s="3">
        <v>304</v>
      </c>
      <c r="AL137" s="3">
        <f>IF(ISERROR((VLOOKUP($A137,'SegEnds_NonXtal_BW#'!$A:$Z,26,FALSE)+VLOOKUP($A137,A:AL,37,FALSE)-50)),"-",(VLOOKUP($A137,'SegEnds_NonXtal_BW#'!$A:$Z,26,FALSE)+VLOOKUP($A137,A:AL,37,FALSE)-50))</f>
        <v>313</v>
      </c>
      <c r="AM137" s="28" t="str">
        <f>VLOOKUP(A137,Classification!A:B,2,FALSE)</f>
        <v>A</v>
      </c>
      <c r="AN137" s="28" t="b">
        <f t="shared" si="98"/>
        <v>1</v>
      </c>
      <c r="AO137" s="3" t="str">
        <f>IF(ISERROR(MATCH(A137,'SegEnds_Xtal_Prot#'!B:B, 0)), "NoXtal", "Xtal")</f>
        <v>NoXtal</v>
      </c>
      <c r="AP137" s="3">
        <f t="shared" si="81"/>
        <v>1</v>
      </c>
      <c r="AQ137" s="3">
        <f t="shared" si="82"/>
        <v>1</v>
      </c>
      <c r="AR137" s="3">
        <f t="shared" si="83"/>
        <v>2</v>
      </c>
      <c r="AS137" s="3">
        <f t="shared" si="84"/>
        <v>1</v>
      </c>
      <c r="AT137" s="3">
        <f t="shared" si="85"/>
        <v>1</v>
      </c>
      <c r="AU137" s="3">
        <f t="shared" si="86"/>
        <v>1</v>
      </c>
      <c r="AV137" s="3" t="str">
        <f t="shared" si="87"/>
        <v>-</v>
      </c>
      <c r="AW137" s="3" t="str">
        <f t="shared" si="88"/>
        <v>-</v>
      </c>
      <c r="AX137" s="3">
        <f t="shared" si="89"/>
        <v>6</v>
      </c>
      <c r="AY137" s="3">
        <f t="shared" si="90"/>
        <v>5</v>
      </c>
      <c r="AZ137" s="3">
        <f t="shared" si="91"/>
        <v>1</v>
      </c>
      <c r="BA137" s="3">
        <f>IF(ISERROR(LEN(VLOOKUP(A137,Seqs!A:E,2,FALSE))-AL137),"-",LEN(VLOOKUP(A137,Seqs!A:E,2,FALSE))-AL137)</f>
        <v>17</v>
      </c>
      <c r="BB137" s="16">
        <f t="shared" si="92"/>
        <v>28</v>
      </c>
      <c r="BC137" s="9">
        <f t="shared" si="93"/>
        <v>20</v>
      </c>
      <c r="BD137" s="3">
        <f t="shared" si="94"/>
        <v>28</v>
      </c>
      <c r="BE137" s="3">
        <f t="shared" si="95"/>
        <v>57</v>
      </c>
      <c r="BF137" s="3">
        <f>AH137-AE137</f>
        <v>32</v>
      </c>
    </row>
    <row r="138" spans="1:58" s="3" customFormat="1" x14ac:dyDescent="0.2">
      <c r="A138" s="3" t="s">
        <v>249</v>
      </c>
      <c r="B138" s="3" t="str">
        <f>LOWER(VLOOKUP(A138,Xtal_Templ!A:B,2,FALSE))</f>
        <v>oprd_mouse</v>
      </c>
      <c r="C138" s="3">
        <f>VLOOKUP($A138,'SegEnds_NonXtal_BW#'!$A:$Z,3,FALSE)+D138-50</f>
        <v>6</v>
      </c>
      <c r="D138" s="3">
        <v>32</v>
      </c>
      <c r="E138" s="3">
        <f>IF(ISERROR(VLOOKUP($A138,'SegEnds_NonXtal_BW#'!$A:$Z,4,FALSE)+VLOOKUP($A138,A:AL,4,FALSE)-50),"-",(VLOOKUP($A138,'SegEnds_NonXtal_BW#'!$A:$Z,4,FALSE)+VLOOKUP($A138,A:AL,4,FALSE)-50))</f>
        <v>42</v>
      </c>
      <c r="F138" s="3">
        <f t="shared" si="96"/>
        <v>43</v>
      </c>
      <c r="G138" s="3">
        <v>45</v>
      </c>
      <c r="H138" s="3">
        <f t="shared" si="97"/>
        <v>46</v>
      </c>
      <c r="I138" s="3">
        <f t="shared" si="97"/>
        <v>47</v>
      </c>
      <c r="J138" s="3">
        <v>60</v>
      </c>
      <c r="K138" s="3">
        <f>VLOOKUP($A138,'SegEnds_NonXtal_BW#'!$A:$Z,8,FALSE)+VLOOKUP($A138,A:AL,10,FALSE)-50</f>
        <v>76</v>
      </c>
      <c r="L138" s="3">
        <f>M138-1</f>
        <v>79</v>
      </c>
      <c r="M138" s="3">
        <v>80</v>
      </c>
      <c r="N138" s="3">
        <f>M138+2</f>
        <v>82</v>
      </c>
      <c r="O138" s="3">
        <f>N138+1</f>
        <v>83</v>
      </c>
      <c r="P138" s="3">
        <v>112</v>
      </c>
      <c r="Q138" s="3">
        <f>VLOOKUP($A138,'SegEnds_NonXtal_BW#'!$A:$Z,12,FALSE)+VLOOKUP($A138,A:AL,16,FALSE)-50</f>
        <v>118</v>
      </c>
      <c r="R138" s="3">
        <f>IF(ISERROR(VLOOKUP($A138,'SegEnds_NonXtal_BW#'!$A:$Z,13,FALSE)+VLOOKUP($A138,A:AL,19,FALSE)-50),"-",VLOOKUP($A138,'SegEnds_NonXtal_BW#'!$A:$Z,13,FALSE)+VLOOKUP($A138,A:AL,19,FALSE)-50)</f>
        <v>119</v>
      </c>
      <c r="S138" s="3">
        <v>119</v>
      </c>
      <c r="T138" s="100">
        <f>IF(ISERROR(VLOOKUP($A138,'SegEnds_NonXtal_BW#'!$A:$Z,14,FALSE)+VLOOKUP($A138,A:AL,19,FALSE)-50),"-",(VLOOKUP($A138,'SegEnds_NonXtal_BW#'!$A:$Z,14,FALSE)+VLOOKUP($A138,A:AL,19,FALSE)-50))</f>
        <v>126</v>
      </c>
      <c r="U138" s="9">
        <f>IF(ISERROR(VLOOKUP($A138,'SegEnds_NonXtal_BW#'!$A:$Z,15,FALSE)+VLOOKUP($A138,A:AL,22,FALSE)-50),"-",VLOOKUP($A138,'SegEnds_NonXtal_BW#'!$A:$Z,15,FALSE)+VLOOKUP($A138,A:AL,22,FALSE)-50)</f>
        <v>127</v>
      </c>
      <c r="V138" s="3">
        <v>139</v>
      </c>
      <c r="W138" s="3">
        <f>IF(ISERROR(VLOOKUP($A138,'SegEnds_NonXtal_BW#'!$A:$Z,16,FALSE)+VLOOKUP($A138,A:AL,22,FALSE)-50),"-",(VLOOKUP($A138,'SegEnds_NonXtal_BW#'!$A:$Z,16,FALSE)+VLOOKUP($A138,A:AL,22,FALSE)-50))</f>
        <v>153</v>
      </c>
      <c r="X138" s="3">
        <f>IF(ISERROR(VLOOKUP($A138,'SegEnds_NonXtal_BW#'!$A:$Z,17,FALSE)+VLOOKUP($A138,A:AL,25,FALSE)-50),"-",(VLOOKUP($A138,'SegEnds_NonXtal_BW#'!$A:$Z,17,FALSE)+VLOOKUP($A138,A:AL,25,FALSE)-50))</f>
        <v>162</v>
      </c>
      <c r="Y138" s="3">
        <v>162</v>
      </c>
      <c r="Z138" s="3">
        <f t="shared" ref="Z138:Z148" si="99">Y138+2</f>
        <v>164</v>
      </c>
      <c r="AA138" s="3">
        <f>IF(ISERROR(VLOOKUP($A138,'SegEnds_NonXtal_BW#'!$A:$Z,19,FALSE)+VLOOKUP($A138,A:AL,28,FALSE)-50),"-",(VLOOKUP($A138,'SegEnds_NonXtal_BW#'!$A:$Z,19,FALSE)+VLOOKUP($A138,A:AL,28,FALSE)-50))</f>
        <v>170</v>
      </c>
      <c r="AB138" s="3">
        <v>189</v>
      </c>
      <c r="AC138" s="3">
        <f>IF(ISERROR((VLOOKUP($A138,'SegEnds_NonXtal_BW#'!$A:$Z,20,FALSE)+VLOOKUP($A138,A:AL,28,FALSE)-50)),"-",(VLOOKUP($A138,'SegEnds_NonXtal_BW#'!$A:$Z,20,FALSE)+VLOOKUP($A138,A:AL,28,FALSE)-50))</f>
        <v>207</v>
      </c>
      <c r="AD138" s="3">
        <f>IF(ISERROR(VLOOKUP($A138,'SegEnds_NonXtal_BW#'!$A:$Z,21,FALSE)+VLOOKUP($A138,A:AL,31,FALSE)-50),"-",(VLOOKUP($A138,'SegEnds_NonXtal_BW#'!$A:$Z,21,FALSE)+VLOOKUP($A138,A:AL,31,FALSE)-50))</f>
        <v>211</v>
      </c>
      <c r="AE138" s="3">
        <v>237</v>
      </c>
      <c r="AF138" s="3">
        <f>IF(ISERROR((VLOOKUP($A138,'SegEnds_NonXtal_BW#'!$A:$Z,22,FALSE)+VLOOKUP($A138,A:AL,31,FALSE)-50)),"-",(VLOOKUP($A138,'SegEnds_NonXtal_BW#'!$A:$Z,22,FALSE)+VLOOKUP($A138,A:AL,31,FALSE)-50))</f>
        <v>248</v>
      </c>
      <c r="AG138" s="3">
        <f>IF(ISERROR(VLOOKUP($A138,'SegEnds_NonXtal_BW#'!$A:$Z,23,FALSE)+VLOOKUP($A138,A:AL,34,FALSE)-50),"-",(VLOOKUP($A138,'SegEnds_NonXtal_BW#'!$A:$Z,23,FALSE)+VLOOKUP($A138,A:AL,34,FALSE)-50))</f>
        <v>257</v>
      </c>
      <c r="AH138" s="3">
        <v>279</v>
      </c>
      <c r="AI138" s="3">
        <f>IF(ISERROR((VLOOKUP($A138,'SegEnds_NonXtal_BW#'!$A:$Z,24,FALSE)+VLOOKUP($A138,A:AL,34,FALSE)-50)),"-",(VLOOKUP($A138,'SegEnds_NonXtal_BW#'!$A:$Z,24,FALSE)+VLOOKUP($A138,A:AL,34,FALSE)-50))</f>
        <v>285</v>
      </c>
      <c r="AJ138" s="3">
        <f>IF(ISERROR(VLOOKUP($A138,'SegEnds_NonXtal_BW#'!$A:$Z,25,FALSE)+VLOOKUP($A138,A:AL,37,FALSE)-50),"-",(VLOOKUP($A138,'SegEnds_NonXtal_BW#'!$A:$Z,25,FALSE)+VLOOKUP($A138,A:AL,37,FALSE)-50))</f>
        <v>286</v>
      </c>
      <c r="AK138" s="3">
        <v>289</v>
      </c>
      <c r="AL138" s="3">
        <f>IF(ISERROR((VLOOKUP($A138,'SegEnds_NonXtal_BW#'!$A:$Z,26,FALSE)+VLOOKUP($A138,A:AL,37,FALSE)-50)),"-",(VLOOKUP($A138,'SegEnds_NonXtal_BW#'!$A:$Z,26,FALSE)+VLOOKUP($A138,A:AL,37,FALSE)-50))</f>
        <v>299</v>
      </c>
      <c r="AM138" s="28" t="str">
        <f>VLOOKUP(A138,Classification!A:B,2,FALSE)</f>
        <v>A</v>
      </c>
      <c r="AN138" s="28" t="b">
        <f t="shared" si="98"/>
        <v>1</v>
      </c>
      <c r="AO138" s="3" t="str">
        <f>IF(ISERROR(MATCH(A138,'SegEnds_Xtal_Prot#'!B:B, 0)), "NoXtal", "Xtal")</f>
        <v>NoXtal</v>
      </c>
      <c r="AP138" s="3">
        <f t="shared" si="81"/>
        <v>1</v>
      </c>
      <c r="AQ138" s="3">
        <f t="shared" si="82"/>
        <v>1</v>
      </c>
      <c r="AR138" s="3">
        <f t="shared" si="83"/>
        <v>3</v>
      </c>
      <c r="AS138" s="3">
        <f t="shared" si="84"/>
        <v>1</v>
      </c>
      <c r="AT138" s="3">
        <f t="shared" si="85"/>
        <v>1</v>
      </c>
      <c r="AU138" s="3">
        <f t="shared" si="86"/>
        <v>1</v>
      </c>
      <c r="AV138" s="3">
        <f t="shared" si="87"/>
        <v>9</v>
      </c>
      <c r="AW138" s="3">
        <f t="shared" si="88"/>
        <v>6</v>
      </c>
      <c r="AX138" s="3">
        <f t="shared" si="89"/>
        <v>4</v>
      </c>
      <c r="AY138" s="3">
        <f t="shared" si="90"/>
        <v>9</v>
      </c>
      <c r="AZ138" s="3">
        <f t="shared" si="91"/>
        <v>1</v>
      </c>
      <c r="BA138" s="3">
        <f>IF(ISERROR(LEN(VLOOKUP(A138,Seqs!A:E,2,FALSE))-AL138),"-",LEN(VLOOKUP(A138,Seqs!A:E,2,FALSE))-AL138)</f>
        <v>20</v>
      </c>
      <c r="BB138" s="16">
        <f t="shared" si="92"/>
        <v>28</v>
      </c>
      <c r="BC138" s="9">
        <f t="shared" si="93"/>
        <v>20</v>
      </c>
      <c r="BD138" s="3">
        <f t="shared" si="94"/>
        <v>28</v>
      </c>
      <c r="BE138" s="3">
        <f t="shared" si="95"/>
        <v>48</v>
      </c>
      <c r="BF138" s="3">
        <f>AH138-AE138</f>
        <v>42</v>
      </c>
    </row>
    <row r="139" spans="1:58" s="3" customFormat="1" x14ac:dyDescent="0.2">
      <c r="A139" s="3" t="s">
        <v>250</v>
      </c>
      <c r="B139" s="3" t="str">
        <f>LOWER(VLOOKUP(A139,Xtal_Templ!A:B,2,FALSE))</f>
        <v>fpr2_human</v>
      </c>
      <c r="C139" s="3">
        <f>VLOOKUP($A139,'SegEnds_NonXtal_BW#'!$A:$Z,3,FALSE)+D139-50</f>
        <v>36</v>
      </c>
      <c r="D139" s="3">
        <v>61</v>
      </c>
      <c r="E139" s="3">
        <f>IF(ISERROR(VLOOKUP($A139,'SegEnds_NonXtal_BW#'!$A:$Z,4,FALSE)+VLOOKUP($A139,A:AL,4,FALSE)-50),"-",(VLOOKUP($A139,'SegEnds_NonXtal_BW#'!$A:$Z,4,FALSE)+VLOOKUP($A139,A:AL,4,FALSE)-50))</f>
        <v>72</v>
      </c>
      <c r="F139" s="3" t="str">
        <f>IF(ISERROR(VLOOKUP($A139,'SegEnds_NonXtal_BW#'!$A:$Z,5,FALSE)+VLOOKUP($A139,A:AL,7,FALSE)-50),"-",(VLOOKUP($A139,'SegEnds_NonXtal_BW#'!$A:$Z,5,FALSE)+VLOOKUP($A139,A:AL,7,FALSE)-50))</f>
        <v>-</v>
      </c>
      <c r="G139" s="3" t="s">
        <v>23</v>
      </c>
      <c r="H139" s="3" t="str">
        <f>IF(ISERROR(VLOOKUP($A139,'SegEnds_NonXtal_BW#'!$A:$Z,6,FALSE)+VLOOKUP($A139,A:AL,7,FALSE)-50),"-",(VLOOKUP($A139,'SegEnds_NonXtal_BW#'!$A:$Z,6,FALSE)+VLOOKUP($A139,A:AL,7,FALSE)-50))</f>
        <v>-</v>
      </c>
      <c r="I139" s="3">
        <f>VLOOKUP($A139,'SegEnds_NonXtal_BW#'!$A:$Z,7,FALSE)+J139-50</f>
        <v>75</v>
      </c>
      <c r="J139" s="3">
        <v>88</v>
      </c>
      <c r="K139" s="3">
        <f>VLOOKUP($A139,'SegEnds_NonXtal_BW#'!$A:$Z,8,FALSE)+VLOOKUP($A139,A:AL,10,FALSE)-50</f>
        <v>104</v>
      </c>
      <c r="L139" s="3">
        <f>M139-1</f>
        <v>106</v>
      </c>
      <c r="M139" s="3">
        <v>107</v>
      </c>
      <c r="N139" s="3">
        <f>M139+2</f>
        <v>109</v>
      </c>
      <c r="O139" s="3">
        <f>N139+1</f>
        <v>110</v>
      </c>
      <c r="P139" s="3">
        <v>139</v>
      </c>
      <c r="Q139" s="3">
        <f>VLOOKUP($A139,'SegEnds_NonXtal_BW#'!$A:$Z,12,FALSE)+VLOOKUP($A139,A:AL,16,FALSE)-50</f>
        <v>145</v>
      </c>
      <c r="R139" s="3">
        <f>IF(ISERROR(VLOOKUP($A139,'SegEnds_NonXtal_BW#'!$A:$Z,13,FALSE)+VLOOKUP($A139,A:AL,19,FALSE)-50),"-",VLOOKUP($A139,'SegEnds_NonXtal_BW#'!$A:$Z,13,FALSE)+VLOOKUP($A139,A:AL,19,FALSE)-50)</f>
        <v>146</v>
      </c>
      <c r="S139" s="3">
        <v>146</v>
      </c>
      <c r="T139" s="100">
        <f>IF(ISERROR(VLOOKUP($A139,'SegEnds_NonXtal_BW#'!$A:$Z,14,FALSE)+VLOOKUP($A139,A:AL,19,FALSE)-50),"-",(VLOOKUP($A139,'SegEnds_NonXtal_BW#'!$A:$Z,14,FALSE)+VLOOKUP($A139,A:AL,19,FALSE)-50))</f>
        <v>153</v>
      </c>
      <c r="U139" s="9">
        <f>IF(ISERROR(VLOOKUP($A139,'SegEnds_NonXtal_BW#'!$A:$Z,15,FALSE)+VLOOKUP($A139,A:AL,22,FALSE)-50),"-",VLOOKUP($A139,'SegEnds_NonXtal_BW#'!$A:$Z,15,FALSE)+VLOOKUP($A139,A:AL,22,FALSE)-50)</f>
        <v>154</v>
      </c>
      <c r="V139" s="3">
        <v>166</v>
      </c>
      <c r="W139" s="3">
        <f>IF(ISERROR(VLOOKUP($A139,'SegEnds_NonXtal_BW#'!$A:$Z,16,FALSE)+VLOOKUP($A139,A:AL,22,FALSE)-50),"-",(VLOOKUP($A139,'SegEnds_NonXtal_BW#'!$A:$Z,16,FALSE)+VLOOKUP($A139,A:AL,22,FALSE)-50))</f>
        <v>180</v>
      </c>
      <c r="X139" s="3">
        <f>IF(ISERROR(VLOOKUP($A139,'SegEnds_NonXtal_BW#'!$A:$Z,17,FALSE)+VLOOKUP($A139,A:AL,25,FALSE)-50),"-",(VLOOKUP($A139,'SegEnds_NonXtal_BW#'!$A:$Z,17,FALSE)+VLOOKUP($A139,A:AL,25,FALSE)-50))</f>
        <v>191</v>
      </c>
      <c r="Y139" s="3">
        <v>191</v>
      </c>
      <c r="Z139" s="3">
        <f t="shared" si="99"/>
        <v>193</v>
      </c>
      <c r="AA139" s="3">
        <f>IF(ISERROR(VLOOKUP($A139,'SegEnds_NonXtal_BW#'!$A:$Z,19,FALSE)+VLOOKUP($A139,A:AL,28,FALSE)-50),"-",(VLOOKUP($A139,'SegEnds_NonXtal_BW#'!$A:$Z,19,FALSE)+VLOOKUP($A139,A:AL,28,FALSE)-50))</f>
        <v>201</v>
      </c>
      <c r="AB139" s="3">
        <v>228</v>
      </c>
      <c r="AC139" s="3">
        <f>IF(ISERROR((VLOOKUP($A139,'SegEnds_NonXtal_BW#'!$A:$Z,20,FALSE)+VLOOKUP($A139,A:AL,28,FALSE)-50)),"-",(VLOOKUP($A139,'SegEnds_NonXtal_BW#'!$A:$Z,20,FALSE)+VLOOKUP($A139,A:AL,28,FALSE)-50))</f>
        <v>246</v>
      </c>
      <c r="AD139" s="3">
        <f>IF(ISERROR(VLOOKUP($A139,'SegEnds_NonXtal_BW#'!$A:$Z,21,FALSE)+VLOOKUP($A139,A:AL,31,FALSE)-50),"-",(VLOOKUP($A139,'SegEnds_NonXtal_BW#'!$A:$Z,21,FALSE)+VLOOKUP($A139,A:AL,31,FALSE)-50))</f>
        <v>251</v>
      </c>
      <c r="AE139" s="3">
        <v>271</v>
      </c>
      <c r="AF139" s="3">
        <f>IF(ISERROR((VLOOKUP($A139,'SegEnds_NonXtal_BW#'!$A:$Z,22,FALSE)+VLOOKUP($A139,A:AL,31,FALSE)-50)),"-",(VLOOKUP($A139,'SegEnds_NonXtal_BW#'!$A:$Z,22,FALSE)+VLOOKUP($A139,A:AL,31,FALSE)-50))</f>
        <v>282</v>
      </c>
      <c r="AG139" s="3">
        <f>IF(ISERROR(VLOOKUP($A139,'SegEnds_NonXtal_BW#'!$A:$Z,23,FALSE)+VLOOKUP($A139,A:AL,34,FALSE)-50),"-",(VLOOKUP($A139,'SegEnds_NonXtal_BW#'!$A:$Z,23,FALSE)+VLOOKUP($A139,A:AL,34,FALSE)-50))</f>
        <v>291</v>
      </c>
      <c r="AH139" s="3">
        <v>313</v>
      </c>
      <c r="AI139" s="3">
        <f>IF(ISERROR((VLOOKUP($A139,'SegEnds_NonXtal_BW#'!$A:$Z,24,FALSE)+VLOOKUP($A139,A:AL,34,FALSE)-50)),"-",(VLOOKUP($A139,'SegEnds_NonXtal_BW#'!$A:$Z,24,FALSE)+VLOOKUP($A139,A:AL,34,FALSE)-50))</f>
        <v>319</v>
      </c>
      <c r="AJ139" s="3">
        <f>IF(ISERROR(VLOOKUP($A139,'SegEnds_NonXtal_BW#'!$A:$Z,25,FALSE)+VLOOKUP($A139,A:AL,37,FALSE)-50),"-",(VLOOKUP($A139,'SegEnds_NonXtal_BW#'!$A:$Z,25,FALSE)+VLOOKUP($A139,A:AL,37,FALSE)-50))</f>
        <v>320</v>
      </c>
      <c r="AK139" s="3">
        <v>323</v>
      </c>
      <c r="AL139" s="3">
        <f>IF(ISERROR((VLOOKUP($A139,'SegEnds_NonXtal_BW#'!$A:$Z,26,FALSE)+VLOOKUP($A139,A:AL,37,FALSE)-50)),"-",(VLOOKUP($A139,'SegEnds_NonXtal_BW#'!$A:$Z,26,FALSE)+VLOOKUP($A139,A:AL,37,FALSE)-50))</f>
        <v>331</v>
      </c>
      <c r="AM139" s="28" t="str">
        <f>VLOOKUP(A139,Classification!A:B,2,FALSE)</f>
        <v>A</v>
      </c>
      <c r="AN139" s="28" t="b">
        <f t="shared" si="98"/>
        <v>1</v>
      </c>
      <c r="AO139" s="3" t="str">
        <f>IF(ISERROR(MATCH(A139,'SegEnds_Xtal_Prot#'!B:B, 0)), "NoXtal", "Xtal")</f>
        <v>NoXtal</v>
      </c>
      <c r="AP139" s="3" t="str">
        <f t="shared" si="81"/>
        <v>-</v>
      </c>
      <c r="AQ139" s="3" t="str">
        <f t="shared" si="82"/>
        <v>-</v>
      </c>
      <c r="AR139" s="3">
        <f t="shared" si="83"/>
        <v>2</v>
      </c>
      <c r="AS139" s="3">
        <f t="shared" si="84"/>
        <v>1</v>
      </c>
      <c r="AT139" s="3">
        <f t="shared" si="85"/>
        <v>1</v>
      </c>
      <c r="AU139" s="3">
        <f t="shared" si="86"/>
        <v>1</v>
      </c>
      <c r="AV139" s="3">
        <f t="shared" si="87"/>
        <v>11</v>
      </c>
      <c r="AW139" s="3">
        <f t="shared" si="88"/>
        <v>8</v>
      </c>
      <c r="AX139" s="3">
        <f t="shared" si="89"/>
        <v>5</v>
      </c>
      <c r="AY139" s="3">
        <f t="shared" si="90"/>
        <v>9</v>
      </c>
      <c r="AZ139" s="3">
        <f t="shared" si="91"/>
        <v>1</v>
      </c>
      <c r="BA139" s="3">
        <f>IF(ISERROR(LEN(VLOOKUP(A139,Seqs!A:E,2,FALSE))-AL139),"-",LEN(VLOOKUP(A139,Seqs!A:E,2,FALSE))-AL139)</f>
        <v>25</v>
      </c>
      <c r="BB139" s="16">
        <f t="shared" si="92"/>
        <v>27</v>
      </c>
      <c r="BC139" s="9">
        <f t="shared" si="93"/>
        <v>20</v>
      </c>
      <c r="BD139" s="3">
        <f t="shared" si="94"/>
        <v>27</v>
      </c>
      <c r="BE139" s="3">
        <f t="shared" si="95"/>
        <v>43</v>
      </c>
      <c r="BF139" s="3">
        <f>AH139-AE139</f>
        <v>42</v>
      </c>
    </row>
    <row r="140" spans="1:58" s="3" customFormat="1" x14ac:dyDescent="0.2">
      <c r="A140" s="3" t="s">
        <v>251</v>
      </c>
      <c r="B140" s="3" t="str">
        <f>LOWER(VLOOKUP(A140,Xtal_Templ!A:B,2,FALSE))</f>
        <v>fpr2_human</v>
      </c>
      <c r="C140" s="3">
        <f>VLOOKUP($A140,'SegEnds_NonXtal_BW#'!$A:$Z,3,FALSE)+D140-50</f>
        <v>22</v>
      </c>
      <c r="D140" s="3">
        <v>47</v>
      </c>
      <c r="E140" s="3">
        <f>IF(ISERROR(VLOOKUP($A140,'SegEnds_NonXtal_BW#'!$A:$Z,4,FALSE)+VLOOKUP($A140,A:AL,4,FALSE)-50),"-",(VLOOKUP($A140,'SegEnds_NonXtal_BW#'!$A:$Z,4,FALSE)+VLOOKUP($A140,A:AL,4,FALSE)-50))</f>
        <v>58</v>
      </c>
      <c r="F140" s="3" t="str">
        <f>IF(ISERROR(VLOOKUP($A140,'SegEnds_NonXtal_BW#'!$A:$Z,5,FALSE)+VLOOKUP($A140,A:AL,7,FALSE)-50),"-",(VLOOKUP($A140,'SegEnds_NonXtal_BW#'!$A:$Z,5,FALSE)+VLOOKUP($A140,A:AL,7,FALSE)-50))</f>
        <v>-</v>
      </c>
      <c r="G140" s="3" t="s">
        <v>23</v>
      </c>
      <c r="H140" s="3" t="str">
        <f>IF(ISERROR(VLOOKUP($A140,'SegEnds_NonXtal_BW#'!$A:$Z,6,FALSE)+VLOOKUP($A140,A:AL,7,FALSE)-50),"-",(VLOOKUP($A140,'SegEnds_NonXtal_BW#'!$A:$Z,6,FALSE)+VLOOKUP($A140,A:AL,7,FALSE)-50))</f>
        <v>-</v>
      </c>
      <c r="I140" s="3">
        <f>VLOOKUP($A140,'SegEnds_NonXtal_BW#'!$A:$Z,7,FALSE)+J140-50</f>
        <v>61</v>
      </c>
      <c r="J140" s="3">
        <v>74</v>
      </c>
      <c r="K140" s="3">
        <f>VLOOKUP($A140,'SegEnds_NonXtal_BW#'!$A:$Z,8,FALSE)+VLOOKUP($A140,A:AL,10,FALSE)-50</f>
        <v>91</v>
      </c>
      <c r="L140" s="3">
        <f>M140-1</f>
        <v>93</v>
      </c>
      <c r="M140" s="3">
        <v>94</v>
      </c>
      <c r="N140" s="3">
        <f>M140+2</f>
        <v>96</v>
      </c>
      <c r="O140" s="3">
        <f>N140+1</f>
        <v>97</v>
      </c>
      <c r="P140" s="3">
        <v>126</v>
      </c>
      <c r="Q140" s="3">
        <f>VLOOKUP($A140,'SegEnds_NonXtal_BW#'!$A:$Z,12,FALSE)+VLOOKUP($A140,A:AL,16,FALSE)-50</f>
        <v>132</v>
      </c>
      <c r="R140" s="3">
        <f>IF(ISERROR(VLOOKUP($A140,'SegEnds_NonXtal_BW#'!$A:$Z,13,FALSE)+VLOOKUP($A140,A:AL,19,FALSE)-50),"-",VLOOKUP($A140,'SegEnds_NonXtal_BW#'!$A:$Z,13,FALSE)+VLOOKUP($A140,A:AL,19,FALSE)-50)</f>
        <v>133</v>
      </c>
      <c r="S140" s="3">
        <v>133</v>
      </c>
      <c r="T140" s="100">
        <f>IF(ISERROR(VLOOKUP($A140,'SegEnds_NonXtal_BW#'!$A:$Z,14,FALSE)+VLOOKUP($A140,A:AL,19,FALSE)-50),"-",(VLOOKUP($A140,'SegEnds_NonXtal_BW#'!$A:$Z,14,FALSE)+VLOOKUP($A140,A:AL,19,FALSE)-50))</f>
        <v>140</v>
      </c>
      <c r="U140" s="9">
        <f>IF(ISERROR(VLOOKUP($A140,'SegEnds_NonXtal_BW#'!$A:$Z,15,FALSE)+VLOOKUP($A140,A:AL,22,FALSE)-50),"-",VLOOKUP($A140,'SegEnds_NonXtal_BW#'!$A:$Z,15,FALSE)+VLOOKUP($A140,A:AL,22,FALSE)-50)</f>
        <v>141</v>
      </c>
      <c r="V140" s="3">
        <v>153</v>
      </c>
      <c r="W140" s="3">
        <f>IF(ISERROR(VLOOKUP($A140,'SegEnds_NonXtal_BW#'!$A:$Z,16,FALSE)+VLOOKUP($A140,A:AL,22,FALSE)-50),"-",(VLOOKUP($A140,'SegEnds_NonXtal_BW#'!$A:$Z,16,FALSE)+VLOOKUP($A140,A:AL,22,FALSE)-50))</f>
        <v>167</v>
      </c>
      <c r="X140" s="3">
        <f>IF(ISERROR(VLOOKUP($A140,'SegEnds_NonXtal_BW#'!$A:$Z,17,FALSE)+VLOOKUP($A140,A:AL,25,FALSE)-50),"-",(VLOOKUP($A140,'SegEnds_NonXtal_BW#'!$A:$Z,17,FALSE)+VLOOKUP($A140,A:AL,25,FALSE)-50))</f>
        <v>179</v>
      </c>
      <c r="Y140" s="3">
        <v>179</v>
      </c>
      <c r="Z140" s="3">
        <f t="shared" si="99"/>
        <v>181</v>
      </c>
      <c r="AA140" s="3">
        <f>IF(ISERROR(VLOOKUP($A140,'SegEnds_NonXtal_BW#'!$A:$Z,19,FALSE)+VLOOKUP($A140,A:AL,28,FALSE)-50),"-",(VLOOKUP($A140,'SegEnds_NonXtal_BW#'!$A:$Z,19,FALSE)+VLOOKUP($A140,A:AL,28,FALSE)-50))</f>
        <v>190</v>
      </c>
      <c r="AB140" s="3">
        <v>217</v>
      </c>
      <c r="AC140" s="3">
        <f>IF(ISERROR((VLOOKUP($A140,'SegEnds_NonXtal_BW#'!$A:$Z,20,FALSE)+VLOOKUP($A140,A:AL,28,FALSE)-50)),"-",(VLOOKUP($A140,'SegEnds_NonXtal_BW#'!$A:$Z,20,FALSE)+VLOOKUP($A140,A:AL,28,FALSE)-50))</f>
        <v>235</v>
      </c>
      <c r="AD140" s="3">
        <f>IF(ISERROR(VLOOKUP($A140,'SegEnds_NonXtal_BW#'!$A:$Z,21,FALSE)+VLOOKUP($A140,A:AL,31,FALSE)-50),"-",(VLOOKUP($A140,'SegEnds_NonXtal_BW#'!$A:$Z,21,FALSE)+VLOOKUP($A140,A:AL,31,FALSE)-50))</f>
        <v>240</v>
      </c>
      <c r="AE140" s="3">
        <v>260</v>
      </c>
      <c r="AF140" s="3">
        <f>IF(ISERROR((VLOOKUP($A140,'SegEnds_NonXtal_BW#'!$A:$Z,22,FALSE)+VLOOKUP($A140,A:AL,31,FALSE)-50)),"-",(VLOOKUP($A140,'SegEnds_NonXtal_BW#'!$A:$Z,22,FALSE)+VLOOKUP($A140,A:AL,31,FALSE)-50))</f>
        <v>271</v>
      </c>
      <c r="AG140" s="3">
        <f>IF(ISERROR(VLOOKUP($A140,'SegEnds_NonXtal_BW#'!$A:$Z,23,FALSE)+VLOOKUP($A140,A:AL,34,FALSE)-50),"-",(VLOOKUP($A140,'SegEnds_NonXtal_BW#'!$A:$Z,23,FALSE)+VLOOKUP($A140,A:AL,34,FALSE)-50))</f>
        <v>277</v>
      </c>
      <c r="AH140" s="3">
        <v>296</v>
      </c>
      <c r="AI140" s="3">
        <f>IF(ISERROR((VLOOKUP($A140,'SegEnds_NonXtal_BW#'!$A:$Z,24,FALSE)+VLOOKUP($A140,A:AL,34,FALSE)-50)),"-",(VLOOKUP($A140,'SegEnds_NonXtal_BW#'!$A:$Z,24,FALSE)+VLOOKUP($A140,A:AL,34,FALSE)-50))</f>
        <v>302</v>
      </c>
      <c r="AJ140" s="3">
        <f>IF(ISERROR(VLOOKUP($A140,'SegEnds_NonXtal_BW#'!$A:$Z,25,FALSE)+VLOOKUP($A140,A:AL,37,FALSE)-50),"-",(VLOOKUP($A140,'SegEnds_NonXtal_BW#'!$A:$Z,25,FALSE)+VLOOKUP($A140,A:AL,37,FALSE)-50))</f>
        <v>303</v>
      </c>
      <c r="AK140" s="3">
        <v>306</v>
      </c>
      <c r="AL140" s="3">
        <f>IF(ISERROR((VLOOKUP($A140,'SegEnds_NonXtal_BW#'!$A:$Z,26,FALSE)+VLOOKUP($A140,A:AL,37,FALSE)-50)),"-",(VLOOKUP($A140,'SegEnds_NonXtal_BW#'!$A:$Z,26,FALSE)+VLOOKUP($A140,A:AL,37,FALSE)-50))</f>
        <v>314</v>
      </c>
      <c r="AM140" s="28" t="str">
        <f>VLOOKUP(A140,Classification!A:B,2,FALSE)</f>
        <v>A</v>
      </c>
      <c r="AN140" s="28" t="b">
        <f t="shared" si="98"/>
        <v>1</v>
      </c>
      <c r="AO140" s="3" t="str">
        <f>IF(ISERROR(MATCH(A140,'SegEnds_Xtal_Prot#'!B:B, 0)), "NoXtal", "Xtal")</f>
        <v>NoXtal</v>
      </c>
      <c r="AP140" s="3" t="str">
        <f t="shared" si="81"/>
        <v>-</v>
      </c>
      <c r="AQ140" s="3" t="str">
        <f t="shared" si="82"/>
        <v>-</v>
      </c>
      <c r="AR140" s="3">
        <f t="shared" si="83"/>
        <v>2</v>
      </c>
      <c r="AS140" s="3">
        <f t="shared" si="84"/>
        <v>1</v>
      </c>
      <c r="AT140" s="3">
        <f t="shared" si="85"/>
        <v>1</v>
      </c>
      <c r="AU140" s="3">
        <f t="shared" si="86"/>
        <v>1</v>
      </c>
      <c r="AV140" s="3">
        <f t="shared" si="87"/>
        <v>12</v>
      </c>
      <c r="AW140" s="3">
        <f t="shared" si="88"/>
        <v>9</v>
      </c>
      <c r="AX140" s="3">
        <f t="shared" si="89"/>
        <v>5</v>
      </c>
      <c r="AY140" s="3">
        <f t="shared" si="90"/>
        <v>6</v>
      </c>
      <c r="AZ140" s="3">
        <f t="shared" si="91"/>
        <v>1</v>
      </c>
      <c r="BA140" s="3">
        <f>IF(ISERROR(LEN(VLOOKUP(A140,Seqs!A:E,2,FALSE))-AL140),"-",LEN(VLOOKUP(A140,Seqs!A:E,2,FALSE))-AL140)</f>
        <v>19</v>
      </c>
      <c r="BB140" s="16">
        <f t="shared" si="92"/>
        <v>27</v>
      </c>
      <c r="BC140" s="9">
        <f t="shared" si="93"/>
        <v>20</v>
      </c>
      <c r="BD140" s="3">
        <f t="shared" si="94"/>
        <v>27</v>
      </c>
      <c r="BE140" s="3">
        <f t="shared" si="95"/>
        <v>43</v>
      </c>
      <c r="BF140" s="3">
        <f>AH140-AE140</f>
        <v>36</v>
      </c>
    </row>
    <row r="141" spans="1:58" s="3" customFormat="1" x14ac:dyDescent="0.2">
      <c r="A141" s="3" t="s">
        <v>252</v>
      </c>
      <c r="B141" s="3" t="str">
        <f>LOWER(VLOOKUP(A141,Xtal_Templ!A:B,2,FALSE))</f>
        <v>ptafr_human</v>
      </c>
      <c r="C141" s="3">
        <f>VLOOKUP($A141,'SegEnds_NonXtal_BW#'!$A:$Z,3,FALSE)+D141-50</f>
        <v>49</v>
      </c>
      <c r="D141" s="3">
        <v>72</v>
      </c>
      <c r="E141" s="3">
        <f>IF(ISERROR(VLOOKUP($A141,'SegEnds_NonXtal_BW#'!$A:$Z,4,FALSE)+VLOOKUP($A141,A:AL,4,FALSE)-50),"-",(VLOOKUP($A141,'SegEnds_NonXtal_BW#'!$A:$Z,4,FALSE)+VLOOKUP($A141,A:AL,4,FALSE)-50))</f>
        <v>83</v>
      </c>
      <c r="F141" s="3" t="str">
        <f>IF(ISERROR(VLOOKUP($A141,'SegEnds_NonXtal_BW#'!$A:$Z,5,FALSE)+VLOOKUP($A141,A:AL,7,FALSE)-50),"-",(VLOOKUP($A141,'SegEnds_NonXtal_BW#'!$A:$Z,5,FALSE)+VLOOKUP($A141,A:AL,7,FALSE)-50))</f>
        <v>-</v>
      </c>
      <c r="G141" s="3" t="s">
        <v>23</v>
      </c>
      <c r="H141" s="3" t="str">
        <f>IF(ISERROR(VLOOKUP($A141,'SegEnds_NonXtal_BW#'!$A:$Z,6,FALSE)+VLOOKUP($A141,A:AL,7,FALSE)-50),"-",(VLOOKUP($A141,'SegEnds_NonXtal_BW#'!$A:$Z,6,FALSE)+VLOOKUP($A141,A:AL,7,FALSE)-50))</f>
        <v>-</v>
      </c>
      <c r="I141" s="3">
        <f>VLOOKUP($A141,'SegEnds_NonXtal_BW#'!$A:$Z,7,FALSE)+J141-50</f>
        <v>87</v>
      </c>
      <c r="J141" s="3">
        <v>100</v>
      </c>
      <c r="K141" s="3">
        <f>VLOOKUP($A141,'SegEnds_NonXtal_BW#'!$A:$Z,8,FALSE)+VLOOKUP($A141,A:AL,10,FALSE)-50</f>
        <v>117</v>
      </c>
      <c r="L141" s="3">
        <f>M141-1</f>
        <v>119</v>
      </c>
      <c r="M141" s="3">
        <v>120</v>
      </c>
      <c r="N141" s="3">
        <f>M141+2</f>
        <v>122</v>
      </c>
      <c r="O141" s="3">
        <f>N141+1</f>
        <v>123</v>
      </c>
      <c r="P141" s="3">
        <v>152</v>
      </c>
      <c r="Q141" s="3">
        <f>VLOOKUP($A141,'SegEnds_NonXtal_BW#'!$A:$Z,12,FALSE)+VLOOKUP($A141,A:AL,16,FALSE)-50</f>
        <v>158</v>
      </c>
      <c r="R141" s="3">
        <f>IF(ISERROR(VLOOKUP($A141,'SegEnds_NonXtal_BW#'!$A:$Z,13,FALSE)+VLOOKUP($A141,A:AL,19,FALSE)-50),"-",VLOOKUP($A141,'SegEnds_NonXtal_BW#'!$A:$Z,13,FALSE)+VLOOKUP($A141,A:AL,19,FALSE)-50)</f>
        <v>159</v>
      </c>
      <c r="S141" s="3">
        <v>159</v>
      </c>
      <c r="T141" s="100">
        <f>IF(ISERROR(VLOOKUP($A141,'SegEnds_NonXtal_BW#'!$A:$Z,14,FALSE)+VLOOKUP($A141,A:AL,19,FALSE)-50),"-",(VLOOKUP($A141,'SegEnds_NonXtal_BW#'!$A:$Z,14,FALSE)+VLOOKUP($A141,A:AL,19,FALSE)-50))</f>
        <v>166</v>
      </c>
      <c r="U141" s="9">
        <f>IF(ISERROR(VLOOKUP($A141,'SegEnds_NonXtal_BW#'!$A:$Z,15,FALSE)+VLOOKUP($A141,A:AL,22,FALSE)-50),"-",VLOOKUP($A141,'SegEnds_NonXtal_BW#'!$A:$Z,15,FALSE)+VLOOKUP($A141,A:AL,22,FALSE)-50)</f>
        <v>167</v>
      </c>
      <c r="V141" s="3">
        <v>179</v>
      </c>
      <c r="W141" s="3">
        <f>IF(ISERROR(VLOOKUP($A141,'SegEnds_NonXtal_BW#'!$A:$Z,16,FALSE)+VLOOKUP($A141,A:AL,22,FALSE)-50),"-",(VLOOKUP($A141,'SegEnds_NonXtal_BW#'!$A:$Z,16,FALSE)+VLOOKUP($A141,A:AL,22,FALSE)-50))</f>
        <v>192</v>
      </c>
      <c r="X141" s="3">
        <f>IF(ISERROR(VLOOKUP($A141,'SegEnds_NonXtal_BW#'!$A:$Z,17,FALSE)+VLOOKUP($A141,A:AL,25,FALSE)-50),"-",(VLOOKUP($A141,'SegEnds_NonXtal_BW#'!$A:$Z,17,FALSE)+VLOOKUP($A141,A:AL,25,FALSE)-50))</f>
        <v>204</v>
      </c>
      <c r="Y141" s="3">
        <v>204</v>
      </c>
      <c r="Z141" s="3">
        <f t="shared" si="99"/>
        <v>206</v>
      </c>
      <c r="AA141" s="3">
        <f>IF(ISERROR(VLOOKUP($A141,'SegEnds_NonXtal_BW#'!$A:$Z,19,FALSE)+VLOOKUP($A141,A:AL,28,FALSE)-50),"-",(VLOOKUP($A141,'SegEnds_NonXtal_BW#'!$A:$Z,19,FALSE)+VLOOKUP($A141,A:AL,28,FALSE)-50))</f>
        <v>213</v>
      </c>
      <c r="AB141" s="3">
        <v>230</v>
      </c>
      <c r="AC141" s="3">
        <f>IF(ISERROR((VLOOKUP($A141,'SegEnds_NonXtal_BW#'!$A:$Z,20,FALSE)+VLOOKUP($A141,A:AL,28,FALSE)-50)),"-",(VLOOKUP($A141,'SegEnds_NonXtal_BW#'!$A:$Z,20,FALSE)+VLOOKUP($A141,A:AL,28,FALSE)-50))</f>
        <v>248</v>
      </c>
      <c r="AD141" s="3">
        <f>IF(ISERROR(VLOOKUP($A141,'SegEnds_NonXtal_BW#'!$A:$Z,21,FALSE)+VLOOKUP($A141,A:AL,31,FALSE)-50),"-",(VLOOKUP($A141,'SegEnds_NonXtal_BW#'!$A:$Z,21,FALSE)+VLOOKUP($A141,A:AL,31,FALSE)-50))</f>
        <v>254</v>
      </c>
      <c r="AE141" s="3">
        <v>281</v>
      </c>
      <c r="AF141" s="3">
        <f>IF(ISERROR((VLOOKUP($A141,'SegEnds_NonXtal_BW#'!$A:$Z,22,FALSE)+VLOOKUP($A141,A:AL,31,FALSE)-50)),"-",(VLOOKUP($A141,'SegEnds_NonXtal_BW#'!$A:$Z,22,FALSE)+VLOOKUP($A141,A:AL,31,FALSE)-50))</f>
        <v>292</v>
      </c>
      <c r="AG141" s="3">
        <f>IF(ISERROR(VLOOKUP($A141,'SegEnds_NonXtal_BW#'!$A:$Z,23,FALSE)+VLOOKUP($A141,A:AL,34,FALSE)-50),"-",(VLOOKUP($A141,'SegEnds_NonXtal_BW#'!$A:$Z,23,FALSE)+VLOOKUP($A141,A:AL,34,FALSE)-50))</f>
        <v>298</v>
      </c>
      <c r="AH141" s="3">
        <v>324</v>
      </c>
      <c r="AI141" s="3">
        <f>IF(ISERROR((VLOOKUP($A141,'SegEnds_NonXtal_BW#'!$A:$Z,24,FALSE)+VLOOKUP($A141,A:AL,34,FALSE)-50)),"-",(VLOOKUP($A141,'SegEnds_NonXtal_BW#'!$A:$Z,24,FALSE)+VLOOKUP($A141,A:AL,34,FALSE)-50))</f>
        <v>333</v>
      </c>
      <c r="AJ141" s="3">
        <f>IF(ISERROR(VLOOKUP($A141,'SegEnds_NonXtal_BW#'!$A:$Z,25,FALSE)+VLOOKUP($A141,A:AL,37,FALSE)-50),"-",(VLOOKUP($A141,'SegEnds_NonXtal_BW#'!$A:$Z,25,FALSE)+VLOOKUP($A141,A:AL,37,FALSE)-50))</f>
        <v>334</v>
      </c>
      <c r="AK141" s="3">
        <v>334</v>
      </c>
      <c r="AL141" s="3">
        <f>IF(ISERROR((VLOOKUP($A141,'SegEnds_NonXtal_BW#'!$A:$Z,26,FALSE)+VLOOKUP($A141,A:AL,37,FALSE)-50)),"-",(VLOOKUP($A141,'SegEnds_NonXtal_BW#'!$A:$Z,26,FALSE)+VLOOKUP($A141,A:AL,37,FALSE)-50))</f>
        <v>347</v>
      </c>
      <c r="AM141" s="28" t="str">
        <f>VLOOKUP(A141,Classification!A:B,2,FALSE)</f>
        <v>A</v>
      </c>
      <c r="AN141" s="28" t="b">
        <f t="shared" si="98"/>
        <v>1</v>
      </c>
      <c r="AO141" s="3" t="str">
        <f>IF(ISERROR(MATCH(A141,'SegEnds_Xtal_Prot#'!B:B, 0)), "NoXtal", "Xtal")</f>
        <v>NoXtal</v>
      </c>
      <c r="AP141" s="3" t="str">
        <f t="shared" si="81"/>
        <v>-</v>
      </c>
      <c r="AQ141" s="3" t="str">
        <f t="shared" si="82"/>
        <v>-</v>
      </c>
      <c r="AR141" s="3">
        <f t="shared" si="83"/>
        <v>2</v>
      </c>
      <c r="AS141" s="3">
        <f t="shared" si="84"/>
        <v>1</v>
      </c>
      <c r="AT141" s="3">
        <f t="shared" si="85"/>
        <v>1</v>
      </c>
      <c r="AU141" s="3">
        <f t="shared" si="86"/>
        <v>1</v>
      </c>
      <c r="AV141" s="3">
        <f t="shared" si="87"/>
        <v>12</v>
      </c>
      <c r="AW141" s="3">
        <f t="shared" si="88"/>
        <v>7</v>
      </c>
      <c r="AX141" s="3">
        <f t="shared" si="89"/>
        <v>6</v>
      </c>
      <c r="AY141" s="3">
        <f t="shared" si="90"/>
        <v>6</v>
      </c>
      <c r="AZ141" s="3">
        <f t="shared" si="91"/>
        <v>1</v>
      </c>
      <c r="BA141" s="3">
        <f>IF(ISERROR(LEN(VLOOKUP(A141,Seqs!A:E,2,FALSE))-AL141),"-",LEN(VLOOKUP(A141,Seqs!A:E,2,FALSE))-AL141)</f>
        <v>34</v>
      </c>
      <c r="BB141" s="16">
        <f t="shared" si="92"/>
        <v>28</v>
      </c>
      <c r="BC141" s="9">
        <f t="shared" si="93"/>
        <v>20</v>
      </c>
      <c r="BD141" s="3">
        <f t="shared" si="94"/>
        <v>28</v>
      </c>
      <c r="BE141" s="3">
        <f t="shared" si="95"/>
        <v>51</v>
      </c>
    </row>
    <row r="142" spans="1:58" s="3" customFormat="1" x14ac:dyDescent="0.2">
      <c r="A142" s="3" t="s">
        <v>253</v>
      </c>
      <c r="B142" s="3" t="str">
        <f>LOWER(VLOOKUP(A142,Xtal_Templ!A:B,2,FALSE))</f>
        <v>fpr2_human</v>
      </c>
      <c r="C142" s="3">
        <f>VLOOKUP($A142,'SegEnds_NonXtal_BW#'!$A:$Z,3,FALSE)+D142-50</f>
        <v>13</v>
      </c>
      <c r="D142" s="3">
        <v>38</v>
      </c>
      <c r="E142" s="3">
        <f>IF(ISERROR(VLOOKUP($A142,'SegEnds_NonXtal_BW#'!$A:$Z,4,FALSE)+VLOOKUP($A142,A:AL,4,FALSE)-50),"-",(VLOOKUP($A142,'SegEnds_NonXtal_BW#'!$A:$Z,4,FALSE)+VLOOKUP($A142,A:AL,4,FALSE)-50))</f>
        <v>48</v>
      </c>
      <c r="F142" s="3">
        <f>G142-2</f>
        <v>49</v>
      </c>
      <c r="G142" s="3">
        <v>51</v>
      </c>
      <c r="H142" s="3">
        <f>G142+1</f>
        <v>52</v>
      </c>
      <c r="I142" s="3">
        <f>H142+1</f>
        <v>53</v>
      </c>
      <c r="J142" s="3">
        <v>66</v>
      </c>
      <c r="K142" s="3">
        <f>VLOOKUP($A142,'SegEnds_NonXtal_BW#'!$A:$Z,8,FALSE)+VLOOKUP($A142,A:AL,10,FALSE)-50</f>
        <v>82</v>
      </c>
      <c r="L142" s="3" t="str">
        <f>IF(ISERROR(VLOOKUP($A142,'SegEnds_NonXtal_BW#'!$A:$Z,9,FALSE)+VLOOKUP($A142,A:AL,13,FALSE)-50),"-",(VLOOKUP($A142,'SegEnds_NonXtal_BW#'!$A:$Z,9,FALSE)+VLOOKUP($A142,A:AL,13,FALSE)-50))</f>
        <v>-</v>
      </c>
      <c r="M142" s="3" t="s">
        <v>23</v>
      </c>
      <c r="N142" s="3" t="str">
        <f>IF(ISERROR(VLOOKUP($A142,'SegEnds_NonXtal_BW#'!$A:$Z,10,FALSE)+VLOOKUP($A142,A:AL,13,FALSE)-50),"-",(VLOOKUP($A142,'SegEnds_NonXtal_BW#'!$A:$Z,10,FALSE)+VLOOKUP($A142,A:AL,13,FALSE)-50))</f>
        <v>-</v>
      </c>
      <c r="O142" s="3">
        <f>VLOOKUP($A142,'SegEnds_NonXtal_BW#'!$A:$Z,11,FALSE)+VLOOKUP($A142,A:AL,16,FALSE)-50</f>
        <v>88</v>
      </c>
      <c r="P142" s="3">
        <v>114</v>
      </c>
      <c r="Q142" s="3">
        <f>VLOOKUP($A142,'SegEnds_NonXtal_BW#'!$A:$Z,12,FALSE)+VLOOKUP($A142,A:AL,16,FALSE)-50</f>
        <v>120</v>
      </c>
      <c r="R142" s="3">
        <f>IF(ISERROR(VLOOKUP($A142,'SegEnds_NonXtal_BW#'!$A:$Z,13,FALSE)+VLOOKUP($A142,A:AL,19,FALSE)-50),"-",VLOOKUP($A142,'SegEnds_NonXtal_BW#'!$A:$Z,13,FALSE)+VLOOKUP($A142,A:AL,19,FALSE)-50)</f>
        <v>121</v>
      </c>
      <c r="S142" s="3">
        <v>121</v>
      </c>
      <c r="T142" s="100">
        <f>IF(ISERROR(VLOOKUP($A142,'SegEnds_NonXtal_BW#'!$A:$Z,14,FALSE)+VLOOKUP($A142,A:AL,19,FALSE)-50),"-",(VLOOKUP($A142,'SegEnds_NonXtal_BW#'!$A:$Z,14,FALSE)+VLOOKUP($A142,A:AL,19,FALSE)-50))</f>
        <v>128</v>
      </c>
      <c r="U142" s="9">
        <f>IF(ISERROR(VLOOKUP($A142,'SegEnds_NonXtal_BW#'!$A:$Z,15,FALSE)+VLOOKUP($A142,A:AL,22,FALSE)-50),"-",VLOOKUP($A142,'SegEnds_NonXtal_BW#'!$A:$Z,15,FALSE)+VLOOKUP($A142,A:AL,22,FALSE)-50)</f>
        <v>129</v>
      </c>
      <c r="V142" s="3">
        <v>141</v>
      </c>
      <c r="W142" s="3">
        <f>IF(ISERROR(VLOOKUP($A142,'SegEnds_NonXtal_BW#'!$A:$Z,16,FALSE)+VLOOKUP($A142,A:AL,22,FALSE)-50),"-",(VLOOKUP($A142,'SegEnds_NonXtal_BW#'!$A:$Z,16,FALSE)+VLOOKUP($A142,A:AL,22,FALSE)-50))</f>
        <v>155</v>
      </c>
      <c r="X142" s="3">
        <f>IF(ISERROR(VLOOKUP($A142,'SegEnds_NonXtal_BW#'!$A:$Z,17,FALSE)+VLOOKUP($A142,A:AL,25,FALSE)-50),"-",(VLOOKUP($A142,'SegEnds_NonXtal_BW#'!$A:$Z,17,FALSE)+VLOOKUP($A142,A:AL,25,FALSE)-50))</f>
        <v>162</v>
      </c>
      <c r="Y142" s="3">
        <v>162</v>
      </c>
      <c r="Z142" s="3">
        <f t="shared" si="99"/>
        <v>164</v>
      </c>
      <c r="AA142" s="3">
        <f>IF(ISERROR(VLOOKUP($A142,'SegEnds_NonXtal_BW#'!$A:$Z,19,FALSE)+VLOOKUP($A142,A:AL,28,FALSE)-50),"-",(VLOOKUP($A142,'SegEnds_NonXtal_BW#'!$A:$Z,19,FALSE)+VLOOKUP($A142,A:AL,28,FALSE)-50))</f>
        <v>168</v>
      </c>
      <c r="AB142" s="3">
        <v>183</v>
      </c>
      <c r="AC142" s="3">
        <f>IF(ISERROR((VLOOKUP($A142,'SegEnds_NonXtal_BW#'!$A:$Z,20,FALSE)+VLOOKUP($A142,A:AL,28,FALSE)-50)),"-",(VLOOKUP($A142,'SegEnds_NonXtal_BW#'!$A:$Z,20,FALSE)+VLOOKUP($A142,A:AL,28,FALSE)-50))</f>
        <v>201</v>
      </c>
      <c r="AD142" s="3">
        <f>IF(ISERROR(VLOOKUP($A142,'SegEnds_NonXtal_BW#'!$A:$Z,21,FALSE)+VLOOKUP($A142,A:AL,31,FALSE)-50),"-",(VLOOKUP($A142,'SegEnds_NonXtal_BW#'!$A:$Z,21,FALSE)+VLOOKUP($A142,A:AL,31,FALSE)-50))</f>
        <v>206</v>
      </c>
      <c r="AE142" s="3">
        <v>232</v>
      </c>
      <c r="AF142" s="3">
        <f>IF(ISERROR((VLOOKUP($A142,'SegEnds_NonXtal_BW#'!$A:$Z,22,FALSE)+VLOOKUP($A142,A:AL,31,FALSE)-50)),"-",(VLOOKUP($A142,'SegEnds_NonXtal_BW#'!$A:$Z,22,FALSE)+VLOOKUP($A142,A:AL,31,FALSE)-50))</f>
        <v>243</v>
      </c>
      <c r="AG142" s="3">
        <f>IF(ISERROR(VLOOKUP($A142,'SegEnds_NonXtal_BW#'!$A:$Z,23,FALSE)+VLOOKUP($A142,A:AL,34,FALSE)-50),"-",(VLOOKUP($A142,'SegEnds_NonXtal_BW#'!$A:$Z,23,FALSE)+VLOOKUP($A142,A:AL,34,FALSE)-50))</f>
        <v>251</v>
      </c>
      <c r="AH142" s="3">
        <v>273</v>
      </c>
      <c r="AI142" s="3">
        <f>IF(ISERROR((VLOOKUP($A142,'SegEnds_NonXtal_BW#'!$A:$Z,24,FALSE)+VLOOKUP($A142,A:AL,34,FALSE)-50)),"-",(VLOOKUP($A142,'SegEnds_NonXtal_BW#'!$A:$Z,24,FALSE)+VLOOKUP($A142,A:AL,34,FALSE)-50))</f>
        <v>279</v>
      </c>
      <c r="AJ142" s="3">
        <f>IF(ISERROR(VLOOKUP($A142,'SegEnds_NonXtal_BW#'!$A:$Z,25,FALSE)+VLOOKUP($A142,A:AL,37,FALSE)-50),"-",(VLOOKUP($A142,'SegEnds_NonXtal_BW#'!$A:$Z,25,FALSE)+VLOOKUP($A142,A:AL,37,FALSE)-50))</f>
        <v>280</v>
      </c>
      <c r="AK142" s="3">
        <v>283</v>
      </c>
      <c r="AL142" s="3">
        <f>IF(ISERROR((VLOOKUP($A142,'SegEnds_NonXtal_BW#'!$A:$Z,26,FALSE)+VLOOKUP($A142,A:AL,37,FALSE)-50)),"-",(VLOOKUP($A142,'SegEnds_NonXtal_BW#'!$A:$Z,26,FALSE)+VLOOKUP($A142,A:AL,37,FALSE)-50))</f>
        <v>291</v>
      </c>
      <c r="AM142" s="28" t="str">
        <f>VLOOKUP(A142,Classification!A:B,2,FALSE)</f>
        <v>A</v>
      </c>
      <c r="AN142" s="28" t="b">
        <f t="shared" si="98"/>
        <v>1</v>
      </c>
      <c r="AO142" s="3" t="str">
        <f>IF(ISERROR(MATCH(A142,'SegEnds_Xtal_Prot#'!B:B, 0)), "NoXtal", "Xtal")</f>
        <v>NoXtal</v>
      </c>
      <c r="AP142" s="3">
        <f t="shared" si="81"/>
        <v>1</v>
      </c>
      <c r="AQ142" s="3">
        <f t="shared" si="82"/>
        <v>1</v>
      </c>
      <c r="AR142" s="3" t="str">
        <f t="shared" si="83"/>
        <v>-</v>
      </c>
      <c r="AS142" s="3" t="str">
        <f t="shared" si="84"/>
        <v>-</v>
      </c>
      <c r="AT142" s="3">
        <f t="shared" si="85"/>
        <v>1</v>
      </c>
      <c r="AU142" s="3">
        <f t="shared" si="86"/>
        <v>1</v>
      </c>
      <c r="AV142" s="3">
        <f t="shared" si="87"/>
        <v>7</v>
      </c>
      <c r="AW142" s="3">
        <f t="shared" si="88"/>
        <v>4</v>
      </c>
      <c r="AX142" s="3">
        <f t="shared" si="89"/>
        <v>5</v>
      </c>
      <c r="AY142" s="3">
        <f t="shared" si="90"/>
        <v>8</v>
      </c>
      <c r="AZ142" s="3">
        <f t="shared" si="91"/>
        <v>1</v>
      </c>
      <c r="BA142" s="3">
        <f>IF(ISERROR(LEN(VLOOKUP(A142,Seqs!A:E,2,FALSE))-AL142),"-",LEN(VLOOKUP(A142,Seqs!A:E,2,FALSE))-AL142)</f>
        <v>18</v>
      </c>
      <c r="BB142" s="16">
        <f t="shared" si="92"/>
        <v>28</v>
      </c>
      <c r="BC142" s="9">
        <f t="shared" si="93"/>
        <v>20</v>
      </c>
      <c r="BD142" s="3">
        <f t="shared" si="94"/>
        <v>28</v>
      </c>
      <c r="BE142" s="3">
        <f t="shared" si="95"/>
        <v>49</v>
      </c>
      <c r="BF142" s="3">
        <f>AH142-AE142</f>
        <v>41</v>
      </c>
    </row>
    <row r="143" spans="1:58" s="3" customFormat="1" x14ac:dyDescent="0.2">
      <c r="A143" s="3" t="s">
        <v>254</v>
      </c>
      <c r="B143" s="3" t="str">
        <f>LOWER(VLOOKUP(A143,Xtal_Templ!A:B,2,FALSE))</f>
        <v>ednrb_human</v>
      </c>
      <c r="C143" s="3">
        <f>VLOOKUP($A143,'SegEnds_NonXtal_BW#'!$A:$Z,3,FALSE)+D143-50</f>
        <v>251</v>
      </c>
      <c r="D143" s="3">
        <v>279</v>
      </c>
      <c r="E143" s="3">
        <f>IF(ISERROR(VLOOKUP($A143,'SegEnds_NonXtal_BW#'!$A:$Z,4,FALSE)+VLOOKUP($A143,A:AL,4,FALSE)-50),"-",(VLOOKUP($A143,'SegEnds_NonXtal_BW#'!$A:$Z,4,FALSE)+VLOOKUP($A143,A:AL,4,FALSE)-50))</f>
        <v>289</v>
      </c>
      <c r="F143" s="3">
        <f>G143-2</f>
        <v>290</v>
      </c>
      <c r="G143" s="3">
        <v>292</v>
      </c>
      <c r="H143" s="3">
        <f>G143+1</f>
        <v>293</v>
      </c>
      <c r="I143" s="3">
        <f>H143+1</f>
        <v>294</v>
      </c>
      <c r="J143" s="3">
        <v>307</v>
      </c>
      <c r="K143" s="3">
        <f>VLOOKUP($A143,'SegEnds_NonXtal_BW#'!$A:$Z,8,FALSE)+VLOOKUP($A143,A:AL,10,FALSE)-50</f>
        <v>324</v>
      </c>
      <c r="L143" s="3">
        <f>M143-1</f>
        <v>326</v>
      </c>
      <c r="M143" s="3">
        <v>327</v>
      </c>
      <c r="N143" s="3">
        <f>M143+2</f>
        <v>329</v>
      </c>
      <c r="O143" s="3">
        <f>N143+1</f>
        <v>330</v>
      </c>
      <c r="P143" s="3">
        <v>359</v>
      </c>
      <c r="Q143" s="3">
        <f>VLOOKUP($A143,'SegEnds_NonXtal_BW#'!$A:$Z,12,FALSE)+VLOOKUP($A143,A:AL,16,FALSE)-50</f>
        <v>365</v>
      </c>
      <c r="R143" s="3">
        <f>IF(ISERROR(VLOOKUP($A143,'SegEnds_NonXtal_BW#'!$A:$Z,13,FALSE)+VLOOKUP($A143,A:AL,19,FALSE)-50),"-",VLOOKUP($A143,'SegEnds_NonXtal_BW#'!$A:$Z,13,FALSE)+VLOOKUP($A143,A:AL,19,FALSE)-50)</f>
        <v>367</v>
      </c>
      <c r="S143" s="3">
        <v>367</v>
      </c>
      <c r="T143" s="100">
        <f>IF(ISERROR(VLOOKUP($A143,'SegEnds_NonXtal_BW#'!$A:$Z,14,FALSE)+VLOOKUP($A143,A:AL,19,FALSE)-50),"-",(VLOOKUP($A143,'SegEnds_NonXtal_BW#'!$A:$Z,14,FALSE)+VLOOKUP($A143,A:AL,19,FALSE)-50))</f>
        <v>374</v>
      </c>
      <c r="U143" s="9">
        <f>IF(ISERROR(VLOOKUP($A143,'SegEnds_NonXtal_BW#'!$A:$Z,15,FALSE)+VLOOKUP($A143,A:AL,22,FALSE)-50),"-",VLOOKUP($A143,'SegEnds_NonXtal_BW#'!$A:$Z,15,FALSE)+VLOOKUP($A143,A:AL,22,FALSE)-50)</f>
        <v>375</v>
      </c>
      <c r="V143" s="3">
        <v>387</v>
      </c>
      <c r="W143" s="3">
        <f>IF(ISERROR(VLOOKUP($A143,'SegEnds_NonXtal_BW#'!$A:$Z,16,FALSE)+VLOOKUP($A143,A:AL,22,FALSE)-50),"-",(VLOOKUP($A143,'SegEnds_NonXtal_BW#'!$A:$Z,16,FALSE)+VLOOKUP($A143,A:AL,22,FALSE)-50))</f>
        <v>401</v>
      </c>
      <c r="X143" s="3">
        <f>IF(ISERROR(VLOOKUP($A143,'SegEnds_NonXtal_BW#'!$A:$Z,17,FALSE)+VLOOKUP($A143,A:AL,25,FALSE)-50),"-",(VLOOKUP($A143,'SegEnds_NonXtal_BW#'!$A:$Z,17,FALSE)+VLOOKUP($A143,A:AL,25,FALSE)-50))</f>
        <v>419</v>
      </c>
      <c r="Y143" s="3">
        <v>419</v>
      </c>
      <c r="Z143" s="3">
        <f t="shared" si="99"/>
        <v>421</v>
      </c>
      <c r="AA143" s="3">
        <f>IF(ISERROR(VLOOKUP($A143,'SegEnds_NonXtal_BW#'!$A:$Z,19,FALSE)+VLOOKUP($A143,A:AL,28,FALSE)-50),"-",(VLOOKUP($A143,'SegEnds_NonXtal_BW#'!$A:$Z,19,FALSE)+VLOOKUP($A143,A:AL,28,FALSE)-50))</f>
        <v>432</v>
      </c>
      <c r="AB143" s="3">
        <v>454</v>
      </c>
      <c r="AC143" s="3">
        <f>IF(ISERROR((VLOOKUP($A143,'SegEnds_NonXtal_BW#'!$A:$Z,20,FALSE)+VLOOKUP($A143,A:AL,28,FALSE)-50)),"-",(VLOOKUP($A143,'SegEnds_NonXtal_BW#'!$A:$Z,20,FALSE)+VLOOKUP($A143,A:AL,28,FALSE)-50))</f>
        <v>476</v>
      </c>
      <c r="AD143" s="3">
        <f>IF(ISERROR(VLOOKUP($A143,'SegEnds_NonXtal_BW#'!$A:$Z,21,FALSE)+VLOOKUP($A143,A:AL,31,FALSE)-50),"-",(VLOOKUP($A143,'SegEnds_NonXtal_BW#'!$A:$Z,21,FALSE)+VLOOKUP($A143,A:AL,31,FALSE)-50))</f>
        <v>481</v>
      </c>
      <c r="AE143" s="3">
        <v>507</v>
      </c>
      <c r="AF143" s="3">
        <f>IF(ISERROR((VLOOKUP($A143,'SegEnds_NonXtal_BW#'!$A:$Z,22,FALSE)+VLOOKUP($A143,A:AL,31,FALSE)-50)),"-",(VLOOKUP($A143,'SegEnds_NonXtal_BW#'!$A:$Z,22,FALSE)+VLOOKUP($A143,A:AL,31,FALSE)-50))</f>
        <v>518</v>
      </c>
      <c r="AG143" s="3">
        <f>IF(ISERROR(VLOOKUP($A143,'SegEnds_NonXtal_BW#'!$A:$Z,23,FALSE)+VLOOKUP($A143,A:AL,34,FALSE)-50),"-",(VLOOKUP($A143,'SegEnds_NonXtal_BW#'!$A:$Z,23,FALSE)+VLOOKUP($A143,A:AL,34,FALSE)-50))</f>
        <v>520</v>
      </c>
      <c r="AH143" s="3">
        <v>546</v>
      </c>
      <c r="AI143" s="3">
        <f>IF(ISERROR((VLOOKUP($A143,'SegEnds_NonXtal_BW#'!$A:$Z,24,FALSE)+VLOOKUP($A143,A:AL,34,FALSE)-50)),"-",(VLOOKUP($A143,'SegEnds_NonXtal_BW#'!$A:$Z,24,FALSE)+VLOOKUP($A143,A:AL,34,FALSE)-50))</f>
        <v>552</v>
      </c>
      <c r="AJ143" s="3">
        <f>IF(ISERROR(VLOOKUP($A143,'SegEnds_NonXtal_BW#'!$A:$Z,25,FALSE)+VLOOKUP($A143,A:AL,37,FALSE)-50),"-",(VLOOKUP($A143,'SegEnds_NonXtal_BW#'!$A:$Z,25,FALSE)+VLOOKUP($A143,A:AL,37,FALSE)-50))</f>
        <v>553</v>
      </c>
      <c r="AK143" s="3">
        <v>556</v>
      </c>
      <c r="AL143" s="3">
        <f>IF(ISERROR((VLOOKUP($A143,'SegEnds_NonXtal_BW#'!$A:$Z,26,FALSE)+VLOOKUP($A143,A:AL,37,FALSE)-50)),"-",(VLOOKUP($A143,'SegEnds_NonXtal_BW#'!$A:$Z,26,FALSE)+VLOOKUP($A143,A:AL,37,FALSE)-50))</f>
        <v>566</v>
      </c>
      <c r="AM143" s="28" t="str">
        <f>VLOOKUP(A143,Classification!A:B,2,FALSE)</f>
        <v>A</v>
      </c>
      <c r="AN143" s="28" t="b">
        <f t="shared" si="98"/>
        <v>1</v>
      </c>
      <c r="AO143" s="3" t="str">
        <f>IF(ISERROR(MATCH(A143,'SegEnds_Xtal_Prot#'!B:B, 0)), "NoXtal", "Xtal")</f>
        <v>NoXtal</v>
      </c>
      <c r="AP143" s="3">
        <f t="shared" si="81"/>
        <v>1</v>
      </c>
      <c r="AQ143" s="3">
        <f t="shared" si="82"/>
        <v>1</v>
      </c>
      <c r="AR143" s="3">
        <f t="shared" si="83"/>
        <v>2</v>
      </c>
      <c r="AS143" s="3">
        <f t="shared" si="84"/>
        <v>1</v>
      </c>
      <c r="AT143" s="3">
        <f t="shared" si="85"/>
        <v>2</v>
      </c>
      <c r="AU143" s="3">
        <f t="shared" si="86"/>
        <v>1</v>
      </c>
      <c r="AV143" s="3">
        <f t="shared" si="87"/>
        <v>18</v>
      </c>
      <c r="AW143" s="3">
        <f t="shared" si="88"/>
        <v>11</v>
      </c>
      <c r="AX143" s="3">
        <f t="shared" si="89"/>
        <v>5</v>
      </c>
      <c r="AY143" s="3">
        <f t="shared" si="90"/>
        <v>2</v>
      </c>
      <c r="AZ143" s="3">
        <f t="shared" si="91"/>
        <v>1</v>
      </c>
      <c r="BA143" s="3">
        <f>IF(ISERROR(LEN(VLOOKUP(A143,Seqs!A:E,2,FALSE))-AL143),"-",LEN(VLOOKUP(A143,Seqs!A:E,2,FALSE))-AL143)</f>
        <v>47</v>
      </c>
      <c r="BB143" s="16">
        <f t="shared" si="92"/>
        <v>28</v>
      </c>
      <c r="BC143" s="9">
        <f t="shared" si="93"/>
        <v>20</v>
      </c>
      <c r="BD143" s="3">
        <f t="shared" si="94"/>
        <v>28</v>
      </c>
      <c r="BE143" s="3">
        <f t="shared" si="95"/>
        <v>53</v>
      </c>
    </row>
    <row r="144" spans="1:58" s="3" customFormat="1" x14ac:dyDescent="0.2">
      <c r="A144" s="3" t="s">
        <v>255</v>
      </c>
      <c r="B144" s="3" t="str">
        <f>LOWER(VLOOKUP(A144,Xtal_Templ!A:B,2,FALSE))</f>
        <v>ntr1_rat</v>
      </c>
      <c r="C144" s="3">
        <f>VLOOKUP($A144,'SegEnds_NonXtal_BW#'!$A:$Z,3,FALSE)+D144-50</f>
        <v>27</v>
      </c>
      <c r="D144" s="3">
        <v>48</v>
      </c>
      <c r="E144" s="3">
        <f>IF(ISERROR(VLOOKUP($A144,'SegEnds_NonXtal_BW#'!$A:$Z,4,FALSE)+VLOOKUP($A144,A:AL,4,FALSE)-50),"-",(VLOOKUP($A144,'SegEnds_NonXtal_BW#'!$A:$Z,4,FALSE)+VLOOKUP($A144,A:AL,4,FALSE)-50))</f>
        <v>58</v>
      </c>
      <c r="F144" s="3" t="str">
        <f>IF(ISERROR(VLOOKUP($A144,'SegEnds_NonXtal_BW#'!$A:$Z,5,FALSE)+VLOOKUP($A144,A:AL,7,FALSE)-50),"-",(VLOOKUP($A144,'SegEnds_NonXtal_BW#'!$A:$Z,5,FALSE)+VLOOKUP($A144,A:AL,7,FALSE)-50))</f>
        <v>-</v>
      </c>
      <c r="G144" s="3" t="s">
        <v>23</v>
      </c>
      <c r="H144" s="3" t="str">
        <f>IF(ISERROR(VLOOKUP($A144,'SegEnds_NonXtal_BW#'!$A:$Z,6,FALSE)+VLOOKUP($A144,A:AL,7,FALSE)-50),"-",(VLOOKUP($A144,'SegEnds_NonXtal_BW#'!$A:$Z,6,FALSE)+VLOOKUP($A144,A:AL,7,FALSE)-50))</f>
        <v>-</v>
      </c>
      <c r="I144" s="3">
        <f>VLOOKUP($A144,'SegEnds_NonXtal_BW#'!$A:$Z,7,FALSE)+J144-50</f>
        <v>66</v>
      </c>
      <c r="J144" s="3">
        <v>79</v>
      </c>
      <c r="K144" s="3">
        <f>VLOOKUP($A144,'SegEnds_NonXtal_BW#'!$A:$Z,8,FALSE)+VLOOKUP($A144,A:AL,10,FALSE)-50</f>
        <v>97</v>
      </c>
      <c r="L144" s="3" t="str">
        <f>IF(ISERROR(VLOOKUP($A144,'SegEnds_NonXtal_BW#'!$A:$Z,9,FALSE)+VLOOKUP($A144,A:AL,13,FALSE)-50),"-",(VLOOKUP($A144,'SegEnds_NonXtal_BW#'!$A:$Z,9,FALSE)+VLOOKUP($A144,A:AL,13,FALSE)-50))</f>
        <v>-</v>
      </c>
      <c r="M144" s="3" t="s">
        <v>23</v>
      </c>
      <c r="N144" s="3" t="str">
        <f>IF(ISERROR(VLOOKUP($A144,'SegEnds_NonXtal_BW#'!$A:$Z,10,FALSE)+VLOOKUP($A144,A:AL,13,FALSE)-50),"-",(VLOOKUP($A144,'SegEnds_NonXtal_BW#'!$A:$Z,10,FALSE)+VLOOKUP($A144,A:AL,13,FALSE)-50))</f>
        <v>-</v>
      </c>
      <c r="O144" s="3">
        <f>VLOOKUP($A144,'SegEnds_NonXtal_BW#'!$A:$Z,11,FALSE)+VLOOKUP($A144,A:AL,16,FALSE)-50</f>
        <v>101</v>
      </c>
      <c r="P144" s="3">
        <v>133</v>
      </c>
      <c r="Q144" s="3">
        <f>VLOOKUP($A144,'SegEnds_NonXtal_BW#'!$A:$Z,12,FALSE)+VLOOKUP($A144,A:AL,16,FALSE)-50</f>
        <v>139</v>
      </c>
      <c r="R144" s="3">
        <f>IF(ISERROR(VLOOKUP($A144,'SegEnds_NonXtal_BW#'!$A:$Z,13,FALSE)+VLOOKUP($A144,A:AL,19,FALSE)-50),"-",VLOOKUP($A144,'SegEnds_NonXtal_BW#'!$A:$Z,13,FALSE)+VLOOKUP($A144,A:AL,19,FALSE)-50)</f>
        <v>140</v>
      </c>
      <c r="S144" s="3">
        <v>140</v>
      </c>
      <c r="T144" s="100">
        <f>IF(ISERROR(VLOOKUP($A144,'SegEnds_NonXtal_BW#'!$A:$Z,14,FALSE)+VLOOKUP($A144,A:AL,19,FALSE)-50),"-",(VLOOKUP($A144,'SegEnds_NonXtal_BW#'!$A:$Z,14,FALSE)+VLOOKUP($A144,A:AL,19,FALSE)-50))</f>
        <v>147</v>
      </c>
      <c r="U144" s="9">
        <f>IF(ISERROR(VLOOKUP($A144,'SegEnds_NonXtal_BW#'!$A:$Z,15,FALSE)+VLOOKUP($A144,A:AL,22,FALSE)-50),"-",VLOOKUP($A144,'SegEnds_NonXtal_BW#'!$A:$Z,15,FALSE)+VLOOKUP($A144,A:AL,22,FALSE)-50)</f>
        <v>148</v>
      </c>
      <c r="V144" s="3">
        <v>160</v>
      </c>
      <c r="W144" s="3">
        <f>IF(ISERROR(VLOOKUP($A144,'SegEnds_NonXtal_BW#'!$A:$Z,16,FALSE)+VLOOKUP($A144,A:AL,22,FALSE)-50),"-",(VLOOKUP($A144,'SegEnds_NonXtal_BW#'!$A:$Z,16,FALSE)+VLOOKUP($A144,A:AL,22,FALSE)-50))</f>
        <v>174</v>
      </c>
      <c r="X144" s="3">
        <f>IF(ISERROR(VLOOKUP($A144,'SegEnds_NonXtal_BW#'!$A:$Z,17,FALSE)+VLOOKUP($A144,A:AL,25,FALSE)-50),"-",(VLOOKUP($A144,'SegEnds_NonXtal_BW#'!$A:$Z,17,FALSE)+VLOOKUP($A144,A:AL,25,FALSE)-50))</f>
        <v>210</v>
      </c>
      <c r="Y144" s="3">
        <v>210</v>
      </c>
      <c r="Z144" s="3">
        <f t="shared" si="99"/>
        <v>212</v>
      </c>
      <c r="AA144" s="3">
        <f>IF(ISERROR(VLOOKUP($A144,'SegEnds_NonXtal_BW#'!$A:$Z,19,FALSE)+VLOOKUP($A144,A:AL,28,FALSE)-50),"-",(VLOOKUP($A144,'SegEnds_NonXtal_BW#'!$A:$Z,19,FALSE)+VLOOKUP($A144,A:AL,28,FALSE)-50))</f>
        <v>216</v>
      </c>
      <c r="AB144" s="3">
        <v>231</v>
      </c>
      <c r="AC144" s="3">
        <f>IF(ISERROR((VLOOKUP($A144,'SegEnds_NonXtal_BW#'!$A:$Z,20,FALSE)+VLOOKUP($A144,A:AL,28,FALSE)-50)),"-",(VLOOKUP($A144,'SegEnds_NonXtal_BW#'!$A:$Z,20,FALSE)+VLOOKUP($A144,A:AL,28,FALSE)-50))</f>
        <v>257</v>
      </c>
      <c r="AD144" s="3">
        <f>IF(ISERROR(VLOOKUP($A144,'SegEnds_NonXtal_BW#'!$A:$Z,21,FALSE)+VLOOKUP($A144,A:AL,31,FALSE)-50),"-",(VLOOKUP($A144,'SegEnds_NonXtal_BW#'!$A:$Z,21,FALSE)+VLOOKUP($A144,A:AL,31,FALSE)-50))</f>
        <v>272</v>
      </c>
      <c r="AE144" s="3">
        <v>298</v>
      </c>
      <c r="AF144" s="3">
        <f>IF(ISERROR((VLOOKUP($A144,'SegEnds_NonXtal_BW#'!$A:$Z,22,FALSE)+VLOOKUP($A144,A:AL,31,FALSE)-50)),"-",(VLOOKUP($A144,'SegEnds_NonXtal_BW#'!$A:$Z,22,FALSE)+VLOOKUP($A144,A:AL,31,FALSE)-50))</f>
        <v>309</v>
      </c>
      <c r="AG144" s="3">
        <f>IF(ISERROR(VLOOKUP($A144,'SegEnds_NonXtal_BW#'!$A:$Z,23,FALSE)+VLOOKUP($A144,A:AL,34,FALSE)-50),"-",(VLOOKUP($A144,'SegEnds_NonXtal_BW#'!$A:$Z,23,FALSE)+VLOOKUP($A144,A:AL,34,FALSE)-50))</f>
        <v>315</v>
      </c>
      <c r="AH144" s="3">
        <v>341</v>
      </c>
      <c r="AI144" s="3">
        <f>IF(ISERROR((VLOOKUP($A144,'SegEnds_NonXtal_BW#'!$A:$Z,24,FALSE)+VLOOKUP($A144,A:AL,34,FALSE)-50)),"-",(VLOOKUP($A144,'SegEnds_NonXtal_BW#'!$A:$Z,24,FALSE)+VLOOKUP($A144,A:AL,34,FALSE)-50))</f>
        <v>347</v>
      </c>
      <c r="AJ144" s="3">
        <f>IF(ISERROR(VLOOKUP($A144,'SegEnds_NonXtal_BW#'!$A:$Z,25,FALSE)+VLOOKUP($A144,A:AL,37,FALSE)-50),"-",(VLOOKUP($A144,'SegEnds_NonXtal_BW#'!$A:$Z,25,FALSE)+VLOOKUP($A144,A:AL,37,FALSE)-50))</f>
        <v>348</v>
      </c>
      <c r="AK144" s="3">
        <v>351</v>
      </c>
      <c r="AL144" s="3">
        <f>IF(ISERROR((VLOOKUP($A144,'SegEnds_NonXtal_BW#'!$A:$Z,26,FALSE)+VLOOKUP($A144,A:AL,37,FALSE)-50)),"-",(VLOOKUP($A144,'SegEnds_NonXtal_BW#'!$A:$Z,26,FALSE)+VLOOKUP($A144,A:AL,37,FALSE)-50))</f>
        <v>363</v>
      </c>
      <c r="AM144" s="28" t="str">
        <f>VLOOKUP(A144,Classification!A:B,2,FALSE)</f>
        <v>A</v>
      </c>
      <c r="AN144" s="28" t="b">
        <f t="shared" si="98"/>
        <v>1</v>
      </c>
      <c r="AO144" s="3" t="str">
        <f>IF(ISERROR(MATCH(A144,'SegEnds_Xtal_Prot#'!B:B, 0)), "NoXtal", "Xtal")</f>
        <v>NoXtal</v>
      </c>
      <c r="AP144" s="3" t="str">
        <f t="shared" si="81"/>
        <v>-</v>
      </c>
      <c r="AQ144" s="3" t="str">
        <f t="shared" si="82"/>
        <v>-</v>
      </c>
      <c r="AR144" s="3" t="str">
        <f t="shared" si="83"/>
        <v>-</v>
      </c>
      <c r="AS144" s="3" t="str">
        <f t="shared" si="84"/>
        <v>-</v>
      </c>
      <c r="AT144" s="3">
        <f t="shared" si="85"/>
        <v>1</v>
      </c>
      <c r="AU144" s="3">
        <f t="shared" si="86"/>
        <v>1</v>
      </c>
      <c r="AV144" s="3">
        <f t="shared" si="87"/>
        <v>36</v>
      </c>
      <c r="AW144" s="3">
        <f t="shared" si="88"/>
        <v>4</v>
      </c>
      <c r="AX144" s="3">
        <f t="shared" si="89"/>
        <v>15</v>
      </c>
      <c r="AY144" s="3">
        <f t="shared" si="90"/>
        <v>6</v>
      </c>
      <c r="AZ144" s="3">
        <f t="shared" si="91"/>
        <v>1</v>
      </c>
      <c r="BA144" s="3">
        <f>IF(ISERROR(LEN(VLOOKUP(A144,Seqs!A:E,2,FALSE))-AL144),"-",LEN(VLOOKUP(A144,Seqs!A:E,2,FALSE))-AL144)</f>
        <v>90</v>
      </c>
      <c r="BB144" s="16">
        <f t="shared" si="92"/>
        <v>31</v>
      </c>
      <c r="BC144" s="9">
        <f t="shared" si="93"/>
        <v>20</v>
      </c>
      <c r="BD144" s="3">
        <f t="shared" si="94"/>
        <v>31</v>
      </c>
      <c r="BE144" s="3">
        <f t="shared" si="95"/>
        <v>67</v>
      </c>
    </row>
    <row r="145" spans="1:58" s="3" customFormat="1" x14ac:dyDescent="0.2">
      <c r="A145" s="3" t="s">
        <v>256</v>
      </c>
      <c r="B145" s="3" t="str">
        <f>LOWER(VLOOKUP(A145,Xtal_Templ!A:B,2,FALSE))</f>
        <v>ptafr_human</v>
      </c>
      <c r="C145" s="3">
        <f>VLOOKUP($A145,'SegEnds_NonXtal_BW#'!$A:$Z,3,FALSE)+D145-50</f>
        <v>12</v>
      </c>
      <c r="D145" s="3">
        <v>35</v>
      </c>
      <c r="E145" s="3">
        <f>IF(ISERROR(VLOOKUP($A145,'SegEnds_NonXtal_BW#'!$A:$Z,4,FALSE)+VLOOKUP($A145,A:AL,4,FALSE)-50),"-",(VLOOKUP($A145,'SegEnds_NonXtal_BW#'!$A:$Z,4,FALSE)+VLOOKUP($A145,A:AL,4,FALSE)-50))</f>
        <v>46</v>
      </c>
      <c r="F145" s="3" t="str">
        <f>IF(ISERROR(VLOOKUP($A145,'SegEnds_NonXtal_BW#'!$A:$Z,5,FALSE)+VLOOKUP($A145,A:AL,7,FALSE)-50),"-",(VLOOKUP($A145,'SegEnds_NonXtal_BW#'!$A:$Z,5,FALSE)+VLOOKUP($A145,A:AL,7,FALSE)-50))</f>
        <v>-</v>
      </c>
      <c r="G145" s="3" t="s">
        <v>23</v>
      </c>
      <c r="H145" s="3" t="str">
        <f>IF(ISERROR(VLOOKUP($A145,'SegEnds_NonXtal_BW#'!$A:$Z,6,FALSE)+VLOOKUP($A145,A:AL,7,FALSE)-50),"-",(VLOOKUP($A145,'SegEnds_NonXtal_BW#'!$A:$Z,6,FALSE)+VLOOKUP($A145,A:AL,7,FALSE)-50))</f>
        <v>-</v>
      </c>
      <c r="I145" s="3">
        <f>VLOOKUP($A145,'SegEnds_NonXtal_BW#'!$A:$Z,7,FALSE)+J145-50</f>
        <v>50</v>
      </c>
      <c r="J145" s="3">
        <v>63</v>
      </c>
      <c r="K145" s="3">
        <f>VLOOKUP($A145,'SegEnds_NonXtal_BW#'!$A:$Z,8,FALSE)+VLOOKUP($A145,A:AL,10,FALSE)-50</f>
        <v>80</v>
      </c>
      <c r="L145" s="3">
        <f>M145-1</f>
        <v>82</v>
      </c>
      <c r="M145" s="3">
        <v>83</v>
      </c>
      <c r="N145" s="3">
        <f>M145+2</f>
        <v>85</v>
      </c>
      <c r="O145" s="3">
        <f>N145+1</f>
        <v>86</v>
      </c>
      <c r="P145" s="3">
        <v>115</v>
      </c>
      <c r="Q145" s="3">
        <f>VLOOKUP($A145,'SegEnds_NonXtal_BW#'!$A:$Z,12,FALSE)+VLOOKUP($A145,A:AL,16,FALSE)-50</f>
        <v>121</v>
      </c>
      <c r="R145" s="3">
        <f>IF(ISERROR(VLOOKUP($A145,'SegEnds_NonXtal_BW#'!$A:$Z,13,FALSE)+VLOOKUP($A145,A:AL,19,FALSE)-50),"-",VLOOKUP($A145,'SegEnds_NonXtal_BW#'!$A:$Z,13,FALSE)+VLOOKUP($A145,A:AL,19,FALSE)-50)</f>
        <v>122</v>
      </c>
      <c r="S145" s="3">
        <v>122</v>
      </c>
      <c r="T145" s="100">
        <f>IF(ISERROR(VLOOKUP($A145,'SegEnds_NonXtal_BW#'!$A:$Z,14,FALSE)+VLOOKUP($A145,A:AL,19,FALSE)-50),"-",(VLOOKUP($A145,'SegEnds_NonXtal_BW#'!$A:$Z,14,FALSE)+VLOOKUP($A145,A:AL,19,FALSE)-50))</f>
        <v>129</v>
      </c>
      <c r="U145" s="9">
        <f>IF(ISERROR(VLOOKUP($A145,'SegEnds_NonXtal_BW#'!$A:$Z,15,FALSE)+VLOOKUP($A145,A:AL,22,FALSE)-50),"-",VLOOKUP($A145,'SegEnds_NonXtal_BW#'!$A:$Z,15,FALSE)+VLOOKUP($A145,A:AL,22,FALSE)-50)</f>
        <v>130</v>
      </c>
      <c r="V145" s="3">
        <v>142</v>
      </c>
      <c r="W145" s="3">
        <f>IF(ISERROR(VLOOKUP($A145,'SegEnds_NonXtal_BW#'!$A:$Z,16,FALSE)+VLOOKUP($A145,A:AL,22,FALSE)-50),"-",(VLOOKUP($A145,'SegEnds_NonXtal_BW#'!$A:$Z,16,FALSE)+VLOOKUP($A145,A:AL,22,FALSE)-50))</f>
        <v>155</v>
      </c>
      <c r="X145" s="3">
        <f>IF(ISERROR(VLOOKUP($A145,'SegEnds_NonXtal_BW#'!$A:$Z,17,FALSE)+VLOOKUP($A145,A:AL,25,FALSE)-50),"-",(VLOOKUP($A145,'SegEnds_NonXtal_BW#'!$A:$Z,17,FALSE)+VLOOKUP($A145,A:AL,25,FALSE)-50))</f>
        <v>168</v>
      </c>
      <c r="Y145" s="3">
        <v>168</v>
      </c>
      <c r="Z145" s="3">
        <f t="shared" si="99"/>
        <v>170</v>
      </c>
      <c r="AA145" s="3">
        <f>IF(ISERROR(VLOOKUP($A145,'SegEnds_NonXtal_BW#'!$A:$Z,19,FALSE)+VLOOKUP($A145,A:AL,28,FALSE)-50),"-",(VLOOKUP($A145,'SegEnds_NonXtal_BW#'!$A:$Z,19,FALSE)+VLOOKUP($A145,A:AL,28,FALSE)-50))</f>
        <v>176</v>
      </c>
      <c r="AB145" s="3">
        <v>193</v>
      </c>
      <c r="AC145" s="3">
        <f>IF(ISERROR((VLOOKUP($A145,'SegEnds_NonXtal_BW#'!$A:$Z,20,FALSE)+VLOOKUP($A145,A:AL,28,FALSE)-50)),"-",(VLOOKUP($A145,'SegEnds_NonXtal_BW#'!$A:$Z,20,FALSE)+VLOOKUP($A145,A:AL,28,FALSE)-50))</f>
        <v>210</v>
      </c>
      <c r="AD145" s="3">
        <f>IF(ISERROR(VLOOKUP($A145,'SegEnds_NonXtal_BW#'!$A:$Z,21,FALSE)+VLOOKUP($A145,A:AL,31,FALSE)-50),"-",(VLOOKUP($A145,'SegEnds_NonXtal_BW#'!$A:$Z,21,FALSE)+VLOOKUP($A145,A:AL,31,FALSE)-50))</f>
        <v>215</v>
      </c>
      <c r="AE145" s="3">
        <v>239</v>
      </c>
      <c r="AF145" s="3">
        <f>IF(ISERROR((VLOOKUP($A145,'SegEnds_NonXtal_BW#'!$A:$Z,22,FALSE)+VLOOKUP($A145,A:AL,31,FALSE)-50)),"-",(VLOOKUP($A145,'SegEnds_NonXtal_BW#'!$A:$Z,22,FALSE)+VLOOKUP($A145,A:AL,31,FALSE)-50))</f>
        <v>253</v>
      </c>
      <c r="AG145" s="3">
        <f>IF(ISERROR(VLOOKUP($A145,'SegEnds_NonXtal_BW#'!$A:$Z,23,FALSE)+VLOOKUP($A145,A:AL,34,FALSE)-50),"-",(VLOOKUP($A145,'SegEnds_NonXtal_BW#'!$A:$Z,23,FALSE)+VLOOKUP($A145,A:AL,34,FALSE)-50))</f>
        <v>257</v>
      </c>
      <c r="AH145" s="3">
        <v>283</v>
      </c>
      <c r="AI145" s="3">
        <f>IF(ISERROR((VLOOKUP($A145,'SegEnds_NonXtal_BW#'!$A:$Z,24,FALSE)+VLOOKUP($A145,A:AL,34,FALSE)-50)),"-",(VLOOKUP($A145,'SegEnds_NonXtal_BW#'!$A:$Z,24,FALSE)+VLOOKUP($A145,A:AL,34,FALSE)-50))</f>
        <v>292</v>
      </c>
      <c r="AJ145" s="3">
        <f>IF(ISERROR(VLOOKUP($A145,'SegEnds_NonXtal_BW#'!$A:$Z,25,FALSE)+VLOOKUP($A145,A:AL,37,FALSE)-50),"-",(VLOOKUP($A145,'SegEnds_NonXtal_BW#'!$A:$Z,25,FALSE)+VLOOKUP($A145,A:AL,37,FALSE)-50))</f>
        <v>293</v>
      </c>
      <c r="AK145" s="3">
        <v>293</v>
      </c>
      <c r="AL145" s="3">
        <f>IF(ISERROR((VLOOKUP($A145,'SegEnds_NonXtal_BW#'!$A:$Z,26,FALSE)+VLOOKUP($A145,A:AL,37,FALSE)-50)),"-",(VLOOKUP($A145,'SegEnds_NonXtal_BW#'!$A:$Z,26,FALSE)+VLOOKUP($A145,A:AL,37,FALSE)-50))</f>
        <v>306</v>
      </c>
      <c r="AM145" s="28" t="str">
        <f>VLOOKUP(A145,Classification!A:B,2,FALSE)</f>
        <v>A</v>
      </c>
      <c r="AN145" s="28" t="b">
        <f t="shared" si="98"/>
        <v>1</v>
      </c>
      <c r="AO145" s="3" t="str">
        <f>IF(ISERROR(MATCH(A145,'SegEnds_Xtal_Prot#'!B:B, 0)), "NoXtal", "Xtal")</f>
        <v>NoXtal</v>
      </c>
      <c r="AP145" s="3" t="str">
        <f t="shared" si="81"/>
        <v>-</v>
      </c>
      <c r="AQ145" s="3" t="str">
        <f t="shared" si="82"/>
        <v>-</v>
      </c>
      <c r="AR145" s="3">
        <f t="shared" si="83"/>
        <v>2</v>
      </c>
      <c r="AS145" s="3">
        <f t="shared" si="84"/>
        <v>1</v>
      </c>
      <c r="AT145" s="3">
        <f t="shared" si="85"/>
        <v>1</v>
      </c>
      <c r="AU145" s="3">
        <f t="shared" si="86"/>
        <v>1</v>
      </c>
      <c r="AV145" s="3">
        <f t="shared" si="87"/>
        <v>13</v>
      </c>
      <c r="AW145" s="3">
        <f t="shared" si="88"/>
        <v>6</v>
      </c>
      <c r="AX145" s="3">
        <f t="shared" si="89"/>
        <v>5</v>
      </c>
      <c r="AY145" s="3">
        <f t="shared" si="90"/>
        <v>4</v>
      </c>
      <c r="AZ145" s="3">
        <f t="shared" si="91"/>
        <v>1</v>
      </c>
      <c r="BA145" s="3">
        <f>IF(ISERROR(LEN(VLOOKUP(A145,Seqs!A:E,2,FALSE))-AL145),"-",LEN(VLOOKUP(A145,Seqs!A:E,2,FALSE))-AL145)</f>
        <v>56</v>
      </c>
      <c r="BB145" s="16">
        <f t="shared" si="92"/>
        <v>28</v>
      </c>
      <c r="BC145" s="9">
        <f t="shared" si="93"/>
        <v>20</v>
      </c>
      <c r="BD145" s="3">
        <f t="shared" si="94"/>
        <v>28</v>
      </c>
      <c r="BE145" s="3">
        <f t="shared" si="95"/>
        <v>46</v>
      </c>
    </row>
    <row r="146" spans="1:58" s="3" customFormat="1" x14ac:dyDescent="0.2">
      <c r="A146" s="3" t="s">
        <v>257</v>
      </c>
      <c r="B146" s="3" t="str">
        <f>LOWER(VLOOKUP(A146,Xtal_Templ!A:B,2,FALSE))</f>
        <v>par1_human</v>
      </c>
      <c r="C146" s="3">
        <f>VLOOKUP($A146,'SegEnds_NonXtal_BW#'!$A:$Z,3,FALSE)+D146-50</f>
        <v>11</v>
      </c>
      <c r="D146" s="3">
        <v>32</v>
      </c>
      <c r="E146" s="3">
        <f>IF(ISERROR(VLOOKUP($A146,'SegEnds_NonXtal_BW#'!$A:$Z,4,FALSE)+VLOOKUP($A146,A:AL,4,FALSE)-50),"-",(VLOOKUP($A146,'SegEnds_NonXtal_BW#'!$A:$Z,4,FALSE)+VLOOKUP($A146,A:AL,4,FALSE)-50))</f>
        <v>42</v>
      </c>
      <c r="F146" s="3" t="str">
        <f>IF(ISERROR(VLOOKUP($A146,'SegEnds_NonXtal_BW#'!$A:$Z,5,FALSE)+VLOOKUP($A146,A:AL,7,FALSE)-50),"-",(VLOOKUP($A146,'SegEnds_NonXtal_BW#'!$A:$Z,5,FALSE)+VLOOKUP($A146,A:AL,7,FALSE)-50))</f>
        <v>-</v>
      </c>
      <c r="G146" s="3" t="s">
        <v>23</v>
      </c>
      <c r="H146" s="3" t="str">
        <f>IF(ISERROR(VLOOKUP($A146,'SegEnds_NonXtal_BW#'!$A:$Z,6,FALSE)+VLOOKUP($A146,A:AL,7,FALSE)-50),"-",(VLOOKUP($A146,'SegEnds_NonXtal_BW#'!$A:$Z,6,FALSE)+VLOOKUP($A146,A:AL,7,FALSE)-50))</f>
        <v>-</v>
      </c>
      <c r="I146" s="3">
        <f>VLOOKUP($A146,'SegEnds_NonXtal_BW#'!$A:$Z,7,FALSE)+J146-50</f>
        <v>48</v>
      </c>
      <c r="J146" s="3">
        <v>61</v>
      </c>
      <c r="K146" s="3">
        <f>VLOOKUP($A146,'SegEnds_NonXtal_BW#'!$A:$Z,8,FALSE)+VLOOKUP($A146,A:AL,10,FALSE)-50</f>
        <v>77</v>
      </c>
      <c r="L146" s="3">
        <f>M146-1</f>
        <v>80</v>
      </c>
      <c r="M146" s="3">
        <v>81</v>
      </c>
      <c r="N146" s="3">
        <f>M146+2</f>
        <v>83</v>
      </c>
      <c r="O146" s="3">
        <f>N146+1</f>
        <v>84</v>
      </c>
      <c r="P146" s="3">
        <v>113</v>
      </c>
      <c r="Q146" s="3">
        <f>VLOOKUP($A146,'SegEnds_NonXtal_BW#'!$A:$Z,12,FALSE)+VLOOKUP($A146,A:AL,16,FALSE)-50</f>
        <v>119</v>
      </c>
      <c r="R146" s="3">
        <f>IF(ISERROR(VLOOKUP($A146,'SegEnds_NonXtal_BW#'!$A:$Z,13,FALSE)+VLOOKUP($A146,A:AL,19,FALSE)-50),"-",VLOOKUP($A146,'SegEnds_NonXtal_BW#'!$A:$Z,13,FALSE)+VLOOKUP($A146,A:AL,19,FALSE)-50)</f>
        <v>120</v>
      </c>
      <c r="S146" s="3">
        <v>120</v>
      </c>
      <c r="T146" s="100">
        <f>IF(ISERROR(VLOOKUP($A146,'SegEnds_NonXtal_BW#'!$A:$Z,14,FALSE)+VLOOKUP($A146,A:AL,19,FALSE)-50),"-",(VLOOKUP($A146,'SegEnds_NonXtal_BW#'!$A:$Z,14,FALSE)+VLOOKUP($A146,A:AL,19,FALSE)-50))</f>
        <v>127</v>
      </c>
      <c r="U146" s="9">
        <f>IF(ISERROR(VLOOKUP($A146,'SegEnds_NonXtal_BW#'!$A:$Z,15,FALSE)+VLOOKUP($A146,A:AL,22,FALSE)-50),"-",VLOOKUP($A146,'SegEnds_NonXtal_BW#'!$A:$Z,15,FALSE)+VLOOKUP($A146,A:AL,22,FALSE)-50)</f>
        <v>128</v>
      </c>
      <c r="V146" s="3">
        <v>140</v>
      </c>
      <c r="W146" s="3">
        <f>IF(ISERROR(VLOOKUP($A146,'SegEnds_NonXtal_BW#'!$A:$Z,16,FALSE)+VLOOKUP($A146,A:AL,22,FALSE)-50),"-",(VLOOKUP($A146,'SegEnds_NonXtal_BW#'!$A:$Z,16,FALSE)+VLOOKUP($A146,A:AL,22,FALSE)-50))</f>
        <v>153</v>
      </c>
      <c r="X146" s="3">
        <f>IF(ISERROR(VLOOKUP($A146,'SegEnds_NonXtal_BW#'!$A:$Z,17,FALSE)+VLOOKUP($A146,A:AL,25,FALSE)-50),"-",(VLOOKUP($A146,'SegEnds_NonXtal_BW#'!$A:$Z,17,FALSE)+VLOOKUP($A146,A:AL,25,FALSE)-50))</f>
        <v>169</v>
      </c>
      <c r="Y146" s="3">
        <v>169</v>
      </c>
      <c r="Z146" s="3">
        <f t="shared" si="99"/>
        <v>171</v>
      </c>
      <c r="AA146" s="3">
        <f>IF(ISERROR(VLOOKUP($A146,'SegEnds_NonXtal_BW#'!$A:$Z,19,FALSE)+VLOOKUP($A146,A:AL,28,FALSE)-50),"-",(VLOOKUP($A146,'SegEnds_NonXtal_BW#'!$A:$Z,19,FALSE)+VLOOKUP($A146,A:AL,28,FALSE)-50))</f>
        <v>178</v>
      </c>
      <c r="AB146" s="3">
        <v>196</v>
      </c>
      <c r="AC146" s="3">
        <f>IF(ISERROR((VLOOKUP($A146,'SegEnds_NonXtal_BW#'!$A:$Z,20,FALSE)+VLOOKUP($A146,A:AL,28,FALSE)-50)),"-",(VLOOKUP($A146,'SegEnds_NonXtal_BW#'!$A:$Z,20,FALSE)+VLOOKUP($A146,A:AL,28,FALSE)-50))</f>
        <v>214</v>
      </c>
      <c r="AD146" s="3">
        <f>IF(ISERROR(VLOOKUP($A146,'SegEnds_NonXtal_BW#'!$A:$Z,21,FALSE)+VLOOKUP($A146,A:AL,31,FALSE)-50),"-",(VLOOKUP($A146,'SegEnds_NonXtal_BW#'!$A:$Z,21,FALSE)+VLOOKUP($A146,A:AL,31,FALSE)-50))</f>
        <v>218</v>
      </c>
      <c r="AE146" s="3">
        <v>240</v>
      </c>
      <c r="AF146" s="3">
        <f>IF(ISERROR((VLOOKUP($A146,'SegEnds_NonXtal_BW#'!$A:$Z,22,FALSE)+VLOOKUP($A146,A:AL,31,FALSE)-50)),"-",(VLOOKUP($A146,'SegEnds_NonXtal_BW#'!$A:$Z,22,FALSE)+VLOOKUP($A146,A:AL,31,FALSE)-50))</f>
        <v>251</v>
      </c>
      <c r="AG146" s="3">
        <f>IF(ISERROR(VLOOKUP($A146,'SegEnds_NonXtal_BW#'!$A:$Z,23,FALSE)+VLOOKUP($A146,A:AL,34,FALSE)-50),"-",(VLOOKUP($A146,'SegEnds_NonXtal_BW#'!$A:$Z,23,FALSE)+VLOOKUP($A146,A:AL,34,FALSE)-50))</f>
        <v>256</v>
      </c>
      <c r="AH146" s="3">
        <v>273</v>
      </c>
      <c r="AI146" s="3">
        <f>IF(ISERROR((VLOOKUP($A146,'SegEnds_NonXtal_BW#'!$A:$Z,24,FALSE)+VLOOKUP($A146,A:AL,34,FALSE)-50)),"-",(VLOOKUP($A146,'SegEnds_NonXtal_BW#'!$A:$Z,24,FALSE)+VLOOKUP($A146,A:AL,34,FALSE)-50))</f>
        <v>279</v>
      </c>
      <c r="AJ146" s="3">
        <f>IF(ISERROR(VLOOKUP($A146,'SegEnds_NonXtal_BW#'!$A:$Z,25,FALSE)+VLOOKUP($A146,A:AL,37,FALSE)-50),"-",(VLOOKUP($A146,'SegEnds_NonXtal_BW#'!$A:$Z,25,FALSE)+VLOOKUP($A146,A:AL,37,FALSE)-50))</f>
        <v>280</v>
      </c>
      <c r="AK146" s="3">
        <v>283</v>
      </c>
      <c r="AL146" s="3">
        <f>IF(ISERROR((VLOOKUP($A146,'SegEnds_NonXtal_BW#'!$A:$Z,26,FALSE)+VLOOKUP($A146,A:AL,37,FALSE)-50)),"-",(VLOOKUP($A146,'SegEnds_NonXtal_BW#'!$A:$Z,26,FALSE)+VLOOKUP($A146,A:AL,37,FALSE)-50))</f>
        <v>294</v>
      </c>
      <c r="AM146" s="28" t="str">
        <f>VLOOKUP(A146,Classification!A:B,2,FALSE)</f>
        <v>A</v>
      </c>
      <c r="AN146" s="28" t="b">
        <f t="shared" si="98"/>
        <v>1</v>
      </c>
      <c r="AO146" s="3" t="str">
        <f>IF(ISERROR(MATCH(A146,'SegEnds_Xtal_Prot#'!B:B, 0)), "NoXtal", "Xtal")</f>
        <v>NoXtal</v>
      </c>
      <c r="AP146" s="3" t="str">
        <f t="shared" si="81"/>
        <v>-</v>
      </c>
      <c r="AQ146" s="3" t="str">
        <f t="shared" si="82"/>
        <v>-</v>
      </c>
      <c r="AR146" s="3">
        <f t="shared" si="83"/>
        <v>3</v>
      </c>
      <c r="AS146" s="3">
        <f t="shared" si="84"/>
        <v>1</v>
      </c>
      <c r="AT146" s="3">
        <f t="shared" si="85"/>
        <v>1</v>
      </c>
      <c r="AU146" s="3">
        <f t="shared" si="86"/>
        <v>1</v>
      </c>
      <c r="AV146" s="3">
        <f t="shared" si="87"/>
        <v>16</v>
      </c>
      <c r="AW146" s="3">
        <f t="shared" si="88"/>
        <v>7</v>
      </c>
      <c r="AX146" s="3">
        <f t="shared" si="89"/>
        <v>4</v>
      </c>
      <c r="AY146" s="3">
        <f t="shared" si="90"/>
        <v>5</v>
      </c>
      <c r="AZ146" s="3">
        <f t="shared" si="91"/>
        <v>1</v>
      </c>
      <c r="BA146" s="3">
        <f>IF(ISERROR(LEN(VLOOKUP(A146,Seqs!A:E,2,FALSE))-AL146),"-",LEN(VLOOKUP(A146,Seqs!A:E,2,FALSE))-AL146)</f>
        <v>52</v>
      </c>
      <c r="BB146" s="16">
        <f t="shared" si="92"/>
        <v>29</v>
      </c>
      <c r="BC146" s="9">
        <f t="shared" si="93"/>
        <v>20</v>
      </c>
      <c r="BD146" s="3">
        <f t="shared" si="94"/>
        <v>29</v>
      </c>
      <c r="BE146" s="3">
        <f t="shared" si="95"/>
        <v>44</v>
      </c>
    </row>
    <row r="147" spans="1:58" s="3" customFormat="1" x14ac:dyDescent="0.2">
      <c r="A147" s="3" t="s">
        <v>259</v>
      </c>
      <c r="B147" s="3" t="str">
        <f>LOWER(VLOOKUP(A147,Xtal_Templ!A:B,2,FALSE))</f>
        <v>gpr52_human</v>
      </c>
      <c r="C147" s="3">
        <f>VLOOKUP($A147,'SegEnds_NonXtal_BW#'!$A:$Z,3,FALSE)+D147-50</f>
        <v>40</v>
      </c>
      <c r="D147" s="3">
        <v>58</v>
      </c>
      <c r="E147" s="3">
        <f>IF(ISERROR(VLOOKUP($A147,'SegEnds_NonXtal_BW#'!$A:$Z,4,FALSE)+VLOOKUP($A147,A:AL,4,FALSE)-50),"-",(VLOOKUP($A147,'SegEnds_NonXtal_BW#'!$A:$Z,4,FALSE)+VLOOKUP($A147,A:AL,4,FALSE)-50))</f>
        <v>68</v>
      </c>
      <c r="F147" s="3">
        <f>G147-2</f>
        <v>69</v>
      </c>
      <c r="G147" s="3">
        <v>71</v>
      </c>
      <c r="H147" s="3">
        <f>G147+1</f>
        <v>72</v>
      </c>
      <c r="I147" s="3">
        <f>H147+1</f>
        <v>73</v>
      </c>
      <c r="J147" s="3">
        <v>87</v>
      </c>
      <c r="K147" s="3">
        <f>VLOOKUP($A147,'SegEnds_NonXtal_BW#'!$A:$Z,8,FALSE)+VLOOKUP($A147,A:AL,10,FALSE)-50</f>
        <v>104</v>
      </c>
      <c r="L147" s="3" t="str">
        <f>IF(ISERROR(VLOOKUP($A147,'SegEnds_NonXtal_BW#'!$A:$Z,9,FALSE)+VLOOKUP($A147,A:AL,13,FALSE)-50),"-",(VLOOKUP($A147,'SegEnds_NonXtal_BW#'!$A:$Z,9,FALSE)+VLOOKUP($A147,A:AL,13,FALSE)-50))</f>
        <v>-</v>
      </c>
      <c r="M147" s="3" t="s">
        <v>23</v>
      </c>
      <c r="N147" s="3" t="str">
        <f>IF(ISERROR(VLOOKUP($A147,'SegEnds_NonXtal_BW#'!$A:$Z,10,FALSE)+VLOOKUP($A147,A:AL,13,FALSE)-50),"-",(VLOOKUP($A147,'SegEnds_NonXtal_BW#'!$A:$Z,10,FALSE)+VLOOKUP($A147,A:AL,13,FALSE)-50))</f>
        <v>-</v>
      </c>
      <c r="O147" s="3">
        <f>VLOOKUP($A147,'SegEnds_NonXtal_BW#'!$A:$Z,11,FALSE)+VLOOKUP($A147,A:AL,16,FALSE)-50</f>
        <v>110</v>
      </c>
      <c r="P147" s="3">
        <v>139</v>
      </c>
      <c r="Q147" s="3">
        <f>VLOOKUP($A147,'SegEnds_NonXtal_BW#'!$A:$Z,12,FALSE)+VLOOKUP($A147,A:AL,16,FALSE)-50</f>
        <v>145</v>
      </c>
      <c r="R147" s="3">
        <f>IF(ISERROR(VLOOKUP($A147,'SegEnds_NonXtal_BW#'!$A:$Z,13,FALSE)+VLOOKUP($A147,A:AL,19,FALSE)-50),"-",VLOOKUP($A147,'SegEnds_NonXtal_BW#'!$A:$Z,13,FALSE)+VLOOKUP($A147,A:AL,19,FALSE)-50)</f>
        <v>146</v>
      </c>
      <c r="S147" s="3">
        <v>146</v>
      </c>
      <c r="T147" s="100">
        <f>IF(ISERROR(VLOOKUP($A147,'SegEnds_NonXtal_BW#'!$A:$Z,14,FALSE)+VLOOKUP($A147,A:AL,19,FALSE)-50),"-",(VLOOKUP($A147,'SegEnds_NonXtal_BW#'!$A:$Z,14,FALSE)+VLOOKUP($A147,A:AL,19,FALSE)-50))</f>
        <v>153</v>
      </c>
      <c r="U147" s="9">
        <f>IF(ISERROR(VLOOKUP($A147,'SegEnds_NonXtal_BW#'!$A:$Z,15,FALSE)+VLOOKUP($A147,A:AL,22,FALSE)-50),"-",VLOOKUP($A147,'SegEnds_NonXtal_BW#'!$A:$Z,15,FALSE)+VLOOKUP($A147,A:AL,22,FALSE)-50)</f>
        <v>154</v>
      </c>
      <c r="V147" s="3">
        <v>166</v>
      </c>
      <c r="W147" s="3">
        <f>IF(ISERROR(VLOOKUP($A147,'SegEnds_NonXtal_BW#'!$A:$Z,16,FALSE)+VLOOKUP($A147,A:AL,22,FALSE)-50),"-",(VLOOKUP($A147,'SegEnds_NonXtal_BW#'!$A:$Z,16,FALSE)+VLOOKUP($A147,A:AL,22,FALSE)-50))</f>
        <v>178</v>
      </c>
      <c r="X147" s="3">
        <f>IF(ISERROR(VLOOKUP($A147,'SegEnds_NonXtal_BW#'!$A:$Z,17,FALSE)+VLOOKUP($A147,A:AL,25,FALSE)-50),"-",(VLOOKUP($A147,'SegEnds_NonXtal_BW#'!$A:$Z,17,FALSE)+VLOOKUP($A147,A:AL,25,FALSE)-50))</f>
        <v>193</v>
      </c>
      <c r="Y147" s="3">
        <v>193</v>
      </c>
      <c r="Z147" s="3">
        <f t="shared" si="99"/>
        <v>195</v>
      </c>
      <c r="AA147" s="3">
        <f>IF(ISERROR(VLOOKUP($A147,'SegEnds_NonXtal_BW#'!$A:$Z,19,FALSE)+VLOOKUP($A147,A:AL,28,FALSE)-50),"-",(VLOOKUP($A147,'SegEnds_NonXtal_BW#'!$A:$Z,19,FALSE)+VLOOKUP($A147,A:AL,28,FALSE)-50))</f>
        <v>200</v>
      </c>
      <c r="AB147" s="3">
        <v>214</v>
      </c>
      <c r="AC147" s="3">
        <f>IF(ISERROR((VLOOKUP($A147,'SegEnds_NonXtal_BW#'!$A:$Z,20,FALSE)+VLOOKUP($A147,A:AL,28,FALSE)-50)),"-",(VLOOKUP($A147,'SegEnds_NonXtal_BW#'!$A:$Z,20,FALSE)+VLOOKUP($A147,A:AL,28,FALSE)-50))</f>
        <v>238</v>
      </c>
      <c r="AD147" s="3">
        <f>IF(ISERROR(VLOOKUP($A147,'SegEnds_NonXtal_BW#'!$A:$Z,21,FALSE)+VLOOKUP($A147,A:AL,31,FALSE)-50),"-",(VLOOKUP($A147,'SegEnds_NonXtal_BW#'!$A:$Z,21,FALSE)+VLOOKUP($A147,A:AL,31,FALSE)-50))</f>
        <v>251</v>
      </c>
      <c r="AE147" s="3">
        <v>280</v>
      </c>
      <c r="AF147" s="3">
        <f>IF(ISERROR((VLOOKUP($A147,'SegEnds_NonXtal_BW#'!$A:$Z,22,FALSE)+VLOOKUP($A147,A:AL,31,FALSE)-50)),"-",(VLOOKUP($A147,'SegEnds_NonXtal_BW#'!$A:$Z,22,FALSE)+VLOOKUP($A147,A:AL,31,FALSE)-50))</f>
        <v>291</v>
      </c>
      <c r="AG147" s="3">
        <f>IF(ISERROR(VLOOKUP($A147,'SegEnds_NonXtal_BW#'!$A:$Z,23,FALSE)+VLOOKUP($A147,A:AL,34,FALSE)-50),"-",(VLOOKUP($A147,'SegEnds_NonXtal_BW#'!$A:$Z,23,FALSE)+VLOOKUP($A147,A:AL,34,FALSE)-50))</f>
        <v>295</v>
      </c>
      <c r="AH147" s="3">
        <v>314</v>
      </c>
      <c r="AI147" s="3">
        <f>IF(ISERROR((VLOOKUP($A147,'SegEnds_NonXtal_BW#'!$A:$Z,24,FALSE)+VLOOKUP($A147,A:AL,34,FALSE)-50)),"-",(VLOOKUP($A147,'SegEnds_NonXtal_BW#'!$A:$Z,24,FALSE)+VLOOKUP($A147,A:AL,34,FALSE)-50))</f>
        <v>320</v>
      </c>
      <c r="AJ147" s="3">
        <f>IF(ISERROR(VLOOKUP($A147,'SegEnds_NonXtal_BW#'!$A:$Z,25,FALSE)+VLOOKUP($A147,A:AL,37,FALSE)-50),"-",(VLOOKUP($A147,'SegEnds_NonXtal_BW#'!$A:$Z,25,FALSE)+VLOOKUP($A147,A:AL,37,FALSE)-50))</f>
        <v>321</v>
      </c>
      <c r="AK147" s="3">
        <v>324</v>
      </c>
      <c r="AL147" s="3">
        <f>IF(ISERROR((VLOOKUP($A147,'SegEnds_NonXtal_BW#'!$A:$Z,26,FALSE)+VLOOKUP($A147,A:AL,37,FALSE)-50)),"-",(VLOOKUP($A147,'SegEnds_NonXtal_BW#'!$A:$Z,26,FALSE)+VLOOKUP($A147,A:AL,37,FALSE)-50))</f>
        <v>341</v>
      </c>
      <c r="AM147" s="28" t="str">
        <f>VLOOKUP(A147,Classification!A:B,2,FALSE)</f>
        <v>A</v>
      </c>
      <c r="AN147" s="28" t="b">
        <f t="shared" si="98"/>
        <v>1</v>
      </c>
      <c r="AO147" s="3" t="str">
        <f>IF(ISERROR(MATCH(A147,'SegEnds_Xtal_Prot#'!B:B, 0)), "NoXtal", "Xtal")</f>
        <v>Xtal</v>
      </c>
      <c r="AP147" s="3">
        <f t="shared" si="81"/>
        <v>1</v>
      </c>
      <c r="AQ147" s="3">
        <f t="shared" si="82"/>
        <v>1</v>
      </c>
      <c r="AR147" s="3" t="str">
        <f t="shared" si="83"/>
        <v>-</v>
      </c>
      <c r="AS147" s="3" t="str">
        <f t="shared" si="84"/>
        <v>-</v>
      </c>
      <c r="AT147" s="3">
        <f t="shared" si="85"/>
        <v>1</v>
      </c>
      <c r="AU147" s="3">
        <f t="shared" si="86"/>
        <v>1</v>
      </c>
      <c r="AV147" s="3">
        <f t="shared" si="87"/>
        <v>15</v>
      </c>
      <c r="AW147" s="3">
        <f t="shared" si="88"/>
        <v>5</v>
      </c>
      <c r="AX147" s="3">
        <f t="shared" si="89"/>
        <v>13</v>
      </c>
      <c r="AY147" s="3">
        <f t="shared" si="90"/>
        <v>4</v>
      </c>
      <c r="AZ147" s="3">
        <f t="shared" si="91"/>
        <v>1</v>
      </c>
      <c r="BA147" s="3">
        <f>IF(ISERROR(LEN(VLOOKUP(A147,Seqs!A:E,2,FALSE))-AL147),"-",LEN(VLOOKUP(A147,Seqs!A:E,2,FALSE))-AL147)</f>
        <v>20</v>
      </c>
      <c r="BB147" s="16">
        <f t="shared" si="92"/>
        <v>29</v>
      </c>
      <c r="BC147" s="9">
        <f t="shared" si="93"/>
        <v>20</v>
      </c>
      <c r="BD147" s="3">
        <f t="shared" si="94"/>
        <v>29</v>
      </c>
      <c r="BE147" s="3">
        <f t="shared" si="95"/>
        <v>66</v>
      </c>
      <c r="BF147" s="3">
        <f>AH147-AE147</f>
        <v>34</v>
      </c>
    </row>
    <row r="148" spans="1:58" s="3" customFormat="1" x14ac:dyDescent="0.2">
      <c r="A148" s="3" t="s">
        <v>260</v>
      </c>
      <c r="B148" s="3" t="str">
        <f>LOWER(VLOOKUP(A148,Xtal_Templ!A:B,2,FALSE))</f>
        <v>oprk_human</v>
      </c>
      <c r="C148" s="3">
        <f>VLOOKUP($A148,'SegEnds_NonXtal_BW#'!$A:$Z,3,FALSE)+D148-50</f>
        <v>18</v>
      </c>
      <c r="D148" s="3">
        <v>38</v>
      </c>
      <c r="E148" s="3">
        <f>IF(ISERROR(VLOOKUP($A148,'SegEnds_NonXtal_BW#'!$A:$Z,4,FALSE)+VLOOKUP($A148,A:AL,4,FALSE)-50),"-",(VLOOKUP($A148,'SegEnds_NonXtal_BW#'!$A:$Z,4,FALSE)+VLOOKUP($A148,A:AL,4,FALSE)-50))</f>
        <v>48</v>
      </c>
      <c r="F148" s="3" t="str">
        <f>IF(ISERROR(VLOOKUP($A148,'SegEnds_NonXtal_BW#'!$A:$Z,5,FALSE)+VLOOKUP($A148,A:AL,7,FALSE)-50),"-",(VLOOKUP($A148,'SegEnds_NonXtal_BW#'!$A:$Z,5,FALSE)+VLOOKUP($A148,A:AL,7,FALSE)-50))</f>
        <v>-</v>
      </c>
      <c r="G148" s="3" t="s">
        <v>23</v>
      </c>
      <c r="H148" s="3" t="str">
        <f>IF(ISERROR(VLOOKUP($A148,'SegEnds_NonXtal_BW#'!$A:$Z,6,FALSE)+VLOOKUP($A148,A:AL,7,FALSE)-50),"-",(VLOOKUP($A148,'SegEnds_NonXtal_BW#'!$A:$Z,6,FALSE)+VLOOKUP($A148,A:AL,7,FALSE)-50))</f>
        <v>-</v>
      </c>
      <c r="I148" s="3">
        <f>VLOOKUP($A148,'SegEnds_NonXtal_BW#'!$A:$Z,7,FALSE)+J148-50</f>
        <v>57</v>
      </c>
      <c r="J148" s="3">
        <v>70</v>
      </c>
      <c r="K148" s="3">
        <f>VLOOKUP($A148,'SegEnds_NonXtal_BW#'!$A:$Z,8,FALSE)+VLOOKUP($A148,A:AL,10,FALSE)-50</f>
        <v>86</v>
      </c>
      <c r="L148" s="3" t="str">
        <f>IF(ISERROR(VLOOKUP($A148,'SegEnds_NonXtal_BW#'!$A:$Z,9,FALSE)+VLOOKUP($A148,A:AL,13,FALSE)-50),"-",(VLOOKUP($A148,'SegEnds_NonXtal_BW#'!$A:$Z,9,FALSE)+VLOOKUP($A148,A:AL,13,FALSE)-50))</f>
        <v>-</v>
      </c>
      <c r="M148" s="3" t="s">
        <v>23</v>
      </c>
      <c r="N148" s="3" t="str">
        <f>IF(ISERROR(VLOOKUP($A148,'SegEnds_NonXtal_BW#'!$A:$Z,10,FALSE)+VLOOKUP($A148,A:AL,13,FALSE)-50),"-",(VLOOKUP($A148,'SegEnds_NonXtal_BW#'!$A:$Z,10,FALSE)+VLOOKUP($A148,A:AL,13,FALSE)-50))</f>
        <v>-</v>
      </c>
      <c r="O148" s="3">
        <f>VLOOKUP($A148,'SegEnds_NonXtal_BW#'!$A:$Z,11,FALSE)+VLOOKUP($A148,A:AL,16,FALSE)-50</f>
        <v>93</v>
      </c>
      <c r="P148" s="3">
        <v>119</v>
      </c>
      <c r="Q148" s="3">
        <f>VLOOKUP($A148,'SegEnds_NonXtal_BW#'!$A:$Z,12,FALSE)+VLOOKUP($A148,A:AL,16,FALSE)-50</f>
        <v>125</v>
      </c>
      <c r="R148" s="3">
        <f>IF(ISERROR(VLOOKUP($A148,'SegEnds_NonXtal_BW#'!$A:$Z,13,FALSE)+VLOOKUP($A148,A:AL,19,FALSE)-50),"-",VLOOKUP($A148,'SegEnds_NonXtal_BW#'!$A:$Z,13,FALSE)+VLOOKUP($A148,A:AL,19,FALSE)-50)</f>
        <v>126</v>
      </c>
      <c r="S148" s="3">
        <v>126</v>
      </c>
      <c r="T148" s="100">
        <f>IF(ISERROR(VLOOKUP($A148,'SegEnds_NonXtal_BW#'!$A:$Z,14,FALSE)+VLOOKUP($A148,A:AL,19,FALSE)-50),"-",(VLOOKUP($A148,'SegEnds_NonXtal_BW#'!$A:$Z,14,FALSE)+VLOOKUP($A148,A:AL,19,FALSE)-50))</f>
        <v>133</v>
      </c>
      <c r="U148" s="9">
        <f>IF(ISERROR(VLOOKUP($A148,'SegEnds_NonXtal_BW#'!$A:$Z,15,FALSE)+VLOOKUP($A148,A:AL,22,FALSE)-50),"-",VLOOKUP($A148,'SegEnds_NonXtal_BW#'!$A:$Z,15,FALSE)+VLOOKUP($A148,A:AL,22,FALSE)-50)</f>
        <v>134</v>
      </c>
      <c r="V148" s="3">
        <v>146</v>
      </c>
      <c r="W148" s="3">
        <f>IF(ISERROR(VLOOKUP($A148,'SegEnds_NonXtal_BW#'!$A:$Z,16,FALSE)+VLOOKUP($A148,A:AL,22,FALSE)-50),"-",(VLOOKUP($A148,'SegEnds_NonXtal_BW#'!$A:$Z,16,FALSE)+VLOOKUP($A148,A:AL,22,FALSE)-50))</f>
        <v>160</v>
      </c>
      <c r="X148" s="3">
        <f>IF(ISERROR(VLOOKUP($A148,'SegEnds_NonXtal_BW#'!$A:$Z,17,FALSE)+VLOOKUP($A148,A:AL,25,FALSE)-50),"-",(VLOOKUP($A148,'SegEnds_NonXtal_BW#'!$A:$Z,17,FALSE)+VLOOKUP($A148,A:AL,25,FALSE)-50))</f>
        <v>168</v>
      </c>
      <c r="Y148" s="3">
        <v>168</v>
      </c>
      <c r="Z148" s="3">
        <f t="shared" si="99"/>
        <v>170</v>
      </c>
      <c r="AA148" s="3">
        <f>IF(ISERROR(VLOOKUP($A148,'SegEnds_NonXtal_BW#'!$A:$Z,19,FALSE)+VLOOKUP($A148,A:AL,28,FALSE)-50),"-",(VLOOKUP($A148,'SegEnds_NonXtal_BW#'!$A:$Z,19,FALSE)+VLOOKUP($A148,A:AL,28,FALSE)-50))</f>
        <v>173</v>
      </c>
      <c r="AB148" s="3">
        <v>193</v>
      </c>
      <c r="AC148" s="3">
        <f>IF(ISERROR((VLOOKUP($A148,'SegEnds_NonXtal_BW#'!$A:$Z,20,FALSE)+VLOOKUP($A148,A:AL,28,FALSE)-50)),"-",(VLOOKUP($A148,'SegEnds_NonXtal_BW#'!$A:$Z,20,FALSE)+VLOOKUP($A148,A:AL,28,FALSE)-50))</f>
        <v>211</v>
      </c>
      <c r="AD148" s="3">
        <f>IF(ISERROR(VLOOKUP($A148,'SegEnds_NonXtal_BW#'!$A:$Z,21,FALSE)+VLOOKUP($A148,A:AL,31,FALSE)-50),"-",(VLOOKUP($A148,'SegEnds_NonXtal_BW#'!$A:$Z,21,FALSE)+VLOOKUP($A148,A:AL,31,FALSE)-50))</f>
        <v>215</v>
      </c>
      <c r="AE148" s="3">
        <v>241</v>
      </c>
      <c r="AF148" s="3">
        <f>IF(ISERROR((VLOOKUP($A148,'SegEnds_NonXtal_BW#'!$A:$Z,22,FALSE)+VLOOKUP($A148,A:AL,31,FALSE)-50)),"-",(VLOOKUP($A148,'SegEnds_NonXtal_BW#'!$A:$Z,22,FALSE)+VLOOKUP($A148,A:AL,31,FALSE)-50))</f>
        <v>255</v>
      </c>
      <c r="AG148" s="3">
        <f>IF(ISERROR(VLOOKUP($A148,'SegEnds_NonXtal_BW#'!$A:$Z,23,FALSE)+VLOOKUP($A148,A:AL,34,FALSE)-50),"-",(VLOOKUP($A148,'SegEnds_NonXtal_BW#'!$A:$Z,23,FALSE)+VLOOKUP($A148,A:AL,34,FALSE)-50))</f>
        <v>259</v>
      </c>
      <c r="AH148" s="3">
        <v>285</v>
      </c>
      <c r="AI148" s="3">
        <f>IF(ISERROR((VLOOKUP($A148,'SegEnds_NonXtal_BW#'!$A:$Z,24,FALSE)+VLOOKUP($A148,A:AL,34,FALSE)-50)),"-",(VLOOKUP($A148,'SegEnds_NonXtal_BW#'!$A:$Z,24,FALSE)+VLOOKUP($A148,A:AL,34,FALSE)-50))</f>
        <v>291</v>
      </c>
      <c r="AJ148" s="3">
        <f>IF(ISERROR(VLOOKUP($A148,'SegEnds_NonXtal_BW#'!$A:$Z,25,FALSE)+VLOOKUP($A148,A:AL,37,FALSE)-50),"-",(VLOOKUP($A148,'SegEnds_NonXtal_BW#'!$A:$Z,25,FALSE)+VLOOKUP($A148,A:AL,37,FALSE)-50))</f>
        <v>292</v>
      </c>
      <c r="AK148" s="3">
        <v>295</v>
      </c>
      <c r="AL148" s="3">
        <f>IF(ISERROR((VLOOKUP($A148,'SegEnds_NonXtal_BW#'!$A:$Z,26,FALSE)+VLOOKUP($A148,A:AL,37,FALSE)-50)),"-",(VLOOKUP($A148,'SegEnds_NonXtal_BW#'!$A:$Z,26,FALSE)+VLOOKUP($A148,A:AL,37,FALSE)-50))</f>
        <v>304</v>
      </c>
      <c r="AM148" s="28" t="str">
        <f>VLOOKUP(A148,Classification!A:B,2,FALSE)</f>
        <v>A</v>
      </c>
      <c r="AN148" s="28" t="b">
        <f t="shared" si="98"/>
        <v>1</v>
      </c>
      <c r="AO148" s="3" t="str">
        <f>IF(ISERROR(MATCH(A148,'SegEnds_Xtal_Prot#'!B:B, 0)), "NoXtal", "Xtal")</f>
        <v>NoXtal</v>
      </c>
      <c r="AP148" s="3" t="str">
        <f t="shared" si="81"/>
        <v>-</v>
      </c>
      <c r="AQ148" s="3" t="str">
        <f t="shared" si="82"/>
        <v>-</v>
      </c>
      <c r="AR148" s="3" t="str">
        <f t="shared" si="83"/>
        <v>-</v>
      </c>
      <c r="AS148" s="3" t="str">
        <f t="shared" si="84"/>
        <v>-</v>
      </c>
      <c r="AT148" s="3">
        <f t="shared" si="85"/>
        <v>1</v>
      </c>
      <c r="AU148" s="3">
        <f t="shared" si="86"/>
        <v>1</v>
      </c>
      <c r="AV148" s="3">
        <f t="shared" si="87"/>
        <v>8</v>
      </c>
      <c r="AW148" s="3">
        <f t="shared" si="88"/>
        <v>3</v>
      </c>
      <c r="AX148" s="3">
        <f t="shared" si="89"/>
        <v>4</v>
      </c>
      <c r="AY148" s="3">
        <f t="shared" si="90"/>
        <v>4</v>
      </c>
      <c r="AZ148" s="3">
        <f t="shared" si="91"/>
        <v>1</v>
      </c>
      <c r="BA148" s="3">
        <f>IF(ISERROR(LEN(VLOOKUP(A148,Seqs!A:E,2,FALSE))-AL148),"-",LEN(VLOOKUP(A148,Seqs!A:E,2,FALSE))-AL148)</f>
        <v>15</v>
      </c>
      <c r="BB148" s="16">
        <f t="shared" si="92"/>
        <v>32</v>
      </c>
      <c r="BC148" s="9">
        <f t="shared" si="93"/>
        <v>20</v>
      </c>
      <c r="BD148" s="3">
        <f t="shared" si="94"/>
        <v>32</v>
      </c>
      <c r="BE148" s="3">
        <f t="shared" si="95"/>
        <v>48</v>
      </c>
      <c r="BF148" s="3">
        <f>AH148-AE148</f>
        <v>44</v>
      </c>
    </row>
    <row r="149" spans="1:58" s="3" customFormat="1" x14ac:dyDescent="0.2">
      <c r="A149" s="3" t="s">
        <v>261</v>
      </c>
      <c r="B149" s="3" t="str">
        <f>LOWER(VLOOKUP(A149,Xtal_Templ!A:B,2,FALSE))</f>
        <v>s1pr1_human</v>
      </c>
      <c r="C149" s="3">
        <f>VLOOKUP($A149,'SegEnds_NonXtal_BW#'!$A:$Z,3,FALSE)+D149-50</f>
        <v>69</v>
      </c>
      <c r="D149" s="3">
        <v>90</v>
      </c>
      <c r="E149" s="3">
        <f>IF(ISERROR(VLOOKUP($A149,'SegEnds_NonXtal_BW#'!$A:$Z,4,FALSE)+VLOOKUP($A149,A:AL,4,FALSE)-50),"-",(VLOOKUP($A149,'SegEnds_NonXtal_BW#'!$A:$Z,4,FALSE)+VLOOKUP($A149,A:AL,4,FALSE)-50))</f>
        <v>100</v>
      </c>
      <c r="F149" s="3">
        <f>G149-2</f>
        <v>101</v>
      </c>
      <c r="G149" s="3">
        <v>103</v>
      </c>
      <c r="H149" s="3">
        <f>G149+1</f>
        <v>104</v>
      </c>
      <c r="I149" s="3">
        <f>H149+1</f>
        <v>105</v>
      </c>
      <c r="J149" s="3">
        <v>118</v>
      </c>
      <c r="K149" s="3">
        <f>VLOOKUP($A149,'SegEnds_NonXtal_BW#'!$A:$Z,8,FALSE)+VLOOKUP($A149,A:AL,10,FALSE)-50</f>
        <v>130</v>
      </c>
      <c r="L149" s="3">
        <f>M149-1</f>
        <v>132</v>
      </c>
      <c r="M149" s="3">
        <v>133</v>
      </c>
      <c r="N149" s="3">
        <f>M149+2</f>
        <v>135</v>
      </c>
      <c r="O149" s="3">
        <f>N149+1</f>
        <v>136</v>
      </c>
      <c r="P149" s="3">
        <v>166</v>
      </c>
      <c r="Q149" s="3">
        <f>VLOOKUP($A149,'SegEnds_NonXtal_BW#'!$A:$Z,12,FALSE)+VLOOKUP($A149,A:AL,16,FALSE)-50</f>
        <v>172</v>
      </c>
      <c r="R149" s="3">
        <f>S149</f>
        <v>173</v>
      </c>
      <c r="S149" s="3">
        <v>173</v>
      </c>
      <c r="T149" s="100">
        <f>S149+7</f>
        <v>180</v>
      </c>
      <c r="U149" s="9">
        <f>IF(ISERROR(VLOOKUP($A149,'SegEnds_NonXtal_BW#'!$A:$Z,15,FALSE)+VLOOKUP($A149,A:AL,22,FALSE)-50),"-",VLOOKUP($A149,'SegEnds_NonXtal_BW#'!$A:$Z,15,FALSE)+VLOOKUP($A149,A:AL,22,FALSE)-50)</f>
        <v>181</v>
      </c>
      <c r="V149" s="3">
        <v>193</v>
      </c>
      <c r="W149" s="3">
        <f>IF(ISERROR(VLOOKUP($A149,'SegEnds_NonXtal_BW#'!$A:$Z,16,FALSE)+VLOOKUP($A149,A:AL,22,FALSE)-50),"-",(VLOOKUP($A149,'SegEnds_NonXtal_BW#'!$A:$Z,16,FALSE)+VLOOKUP($A149,A:AL,22,FALSE)-50))</f>
        <v>206</v>
      </c>
      <c r="X149" s="3" t="str">
        <f>IF(ISERROR(VLOOKUP($A149,'SegEnds_NonXtal_BW#'!$A:$Z,17,FALSE)+VLOOKUP($A149,A:AL,25,FALSE)-50),"-",(VLOOKUP($A149,'SegEnds_NonXtal_BW#'!$A:$Z,17,FALSE)+VLOOKUP($A149,A:AL,25,FALSE)-50))</f>
        <v>-</v>
      </c>
      <c r="Y149" s="3" t="s">
        <v>23</v>
      </c>
      <c r="Z149" s="3" t="str">
        <f>IF(ISERROR(VLOOKUP($A149,'SegEnds_NonXtal_BW#'!$A:$Z,18,FALSE)+VLOOKUP($A149,A:AL,25,FALSE)-50),"-",(VLOOKUP($A149,'SegEnds_NonXtal_BW#'!$A:$Z,18,FALSE)+VLOOKUP($A149,A:AL,25,FALSE)-50))</f>
        <v>-</v>
      </c>
      <c r="AA149" s="3">
        <f>IF(ISERROR(VLOOKUP($A149,'SegEnds_NonXtal_BW#'!$A:$Z,19,FALSE)+VLOOKUP($A149,A:AL,28,FALSE)-50),"-",(VLOOKUP($A149,'SegEnds_NonXtal_BW#'!$A:$Z,19,FALSE)+VLOOKUP($A149,A:AL,28,FALSE)-50))</f>
        <v>223</v>
      </c>
      <c r="AB149" s="3">
        <v>237</v>
      </c>
      <c r="AC149" s="3">
        <f>IF(ISERROR((VLOOKUP($A149,'SegEnds_NonXtal_BW#'!$A:$Z,20,FALSE)+VLOOKUP($A149,A:AL,28,FALSE)-50)),"-",(VLOOKUP($A149,'SegEnds_NonXtal_BW#'!$A:$Z,20,FALSE)+VLOOKUP($A149,A:AL,28,FALSE)-50))</f>
        <v>260</v>
      </c>
      <c r="AD149" s="3">
        <f>IF(ISERROR(VLOOKUP($A149,'SegEnds_NonXtal_BW#'!$A:$Z,21,FALSE)+VLOOKUP($A149,A:AL,31,FALSE)-50),"-",(VLOOKUP($A149,'SegEnds_NonXtal_BW#'!$A:$Z,21,FALSE)+VLOOKUP($A149,A:AL,31,FALSE)-50))</f>
        <v>266</v>
      </c>
      <c r="AE149" s="3">
        <v>294</v>
      </c>
      <c r="AF149" s="3">
        <f>IF(ISERROR((VLOOKUP($A149,'SegEnds_NonXtal_BW#'!$A:$Z,22,FALSE)+VLOOKUP($A149,A:AL,31,FALSE)-50)),"-",(VLOOKUP($A149,'SegEnds_NonXtal_BW#'!$A:$Z,22,FALSE)+VLOOKUP($A149,A:AL,31,FALSE)-50))</f>
        <v>305</v>
      </c>
      <c r="AG149" s="3">
        <f>IF(ISERROR(VLOOKUP($A149,'SegEnds_NonXtal_BW#'!$A:$Z,23,FALSE)+VLOOKUP($A149,A:AL,34,FALSE)-50),"-",(VLOOKUP($A149,'SegEnds_NonXtal_BW#'!$A:$Z,23,FALSE)+VLOOKUP($A149,A:AL,34,FALSE)-50))</f>
        <v>310</v>
      </c>
      <c r="AH149" s="3">
        <v>326</v>
      </c>
      <c r="AI149" s="3">
        <f>IF(ISERROR((VLOOKUP($A149,'SegEnds_NonXtal_BW#'!$A:$Z,24,FALSE)+VLOOKUP($A149,A:AL,34,FALSE)-50)),"-",(VLOOKUP($A149,'SegEnds_NonXtal_BW#'!$A:$Z,24,FALSE)+VLOOKUP($A149,A:AL,34,FALSE)-50))</f>
        <v>332</v>
      </c>
      <c r="AJ149" s="3">
        <f>IF(ISERROR(VLOOKUP($A149,'SegEnds_NonXtal_BW#'!$A:$Z,25,FALSE)+VLOOKUP($A149,A:AL,37,FALSE)-50),"-",(VLOOKUP($A149,'SegEnds_NonXtal_BW#'!$A:$Z,25,FALSE)+VLOOKUP($A149,A:AL,37,FALSE)-50))</f>
        <v>333</v>
      </c>
      <c r="AK149" s="3">
        <v>336</v>
      </c>
      <c r="AL149" s="3">
        <f>IF(ISERROR((VLOOKUP($A149,'SegEnds_NonXtal_BW#'!$A:$Z,26,FALSE)+VLOOKUP($A149,A:AL,37,FALSE)-50)),"-",(VLOOKUP($A149,'SegEnds_NonXtal_BW#'!$A:$Z,26,FALSE)+VLOOKUP($A149,A:AL,37,FALSE)-50))</f>
        <v>345</v>
      </c>
      <c r="AM149" s="28" t="str">
        <f>VLOOKUP(A149,Classification!A:B,2,FALSE)</f>
        <v>A</v>
      </c>
      <c r="AN149" s="28" t="b">
        <f t="shared" si="98"/>
        <v>1</v>
      </c>
      <c r="AO149" s="3" t="str">
        <f>IF(ISERROR(MATCH(A149,'SegEnds_Xtal_Prot#'!B:B, 0)), "NoXtal", "Xtal")</f>
        <v>NoXtal</v>
      </c>
      <c r="AP149" s="3">
        <f t="shared" si="81"/>
        <v>1</v>
      </c>
      <c r="AQ149" s="3">
        <f t="shared" si="82"/>
        <v>1</v>
      </c>
      <c r="AR149" s="3">
        <f t="shared" si="83"/>
        <v>2</v>
      </c>
      <c r="AS149" s="3">
        <f t="shared" si="84"/>
        <v>1</v>
      </c>
      <c r="AT149" s="3">
        <f t="shared" si="85"/>
        <v>1</v>
      </c>
      <c r="AU149" s="3">
        <f t="shared" si="86"/>
        <v>1</v>
      </c>
      <c r="AV149" s="3" t="str">
        <f t="shared" si="87"/>
        <v>-</v>
      </c>
      <c r="AW149" s="3" t="str">
        <f t="shared" si="88"/>
        <v>-</v>
      </c>
      <c r="AX149" s="3">
        <f t="shared" si="89"/>
        <v>6</v>
      </c>
      <c r="AY149" s="3">
        <f t="shared" si="90"/>
        <v>5</v>
      </c>
      <c r="AZ149" s="3">
        <f t="shared" si="91"/>
        <v>1</v>
      </c>
      <c r="BA149" s="3">
        <f>IF(ISERROR(LEN(VLOOKUP(A149,Seqs!A:E,2,FALSE))-AL149),"-",LEN(VLOOKUP(A149,Seqs!A:E,2,FALSE))-AL149)</f>
        <v>17</v>
      </c>
      <c r="BB149" s="16">
        <f t="shared" si="92"/>
        <v>28</v>
      </c>
      <c r="BC149" s="9">
        <f t="shared" si="93"/>
        <v>20</v>
      </c>
      <c r="BD149" s="3">
        <f t="shared" si="94"/>
        <v>28</v>
      </c>
      <c r="BE149" s="3">
        <f t="shared" si="95"/>
        <v>57</v>
      </c>
      <c r="BF149" s="3">
        <f>AH149-AE149</f>
        <v>32</v>
      </c>
    </row>
    <row r="150" spans="1:58" s="3" customFormat="1" x14ac:dyDescent="0.2">
      <c r="A150" s="3" t="s">
        <v>262</v>
      </c>
      <c r="B150" s="3" t="str">
        <f>LOWER(VLOOKUP(A150,Xtal_Templ!A:B,2,FALSE))</f>
        <v>ox2r_human</v>
      </c>
      <c r="C150" s="3">
        <f>VLOOKUP($A150,'SegEnds_NonXtal_BW#'!$A:$Z,3,FALSE)+D150-50</f>
        <v>41</v>
      </c>
      <c r="D150" s="3">
        <v>60</v>
      </c>
      <c r="E150" s="3">
        <f>IF(ISERROR(VLOOKUP($A150,'SegEnds_NonXtal_BW#'!$A:$Z,4,FALSE)+VLOOKUP($A150,A:AL,4,FALSE)-50),"-",(VLOOKUP($A150,'SegEnds_NonXtal_BW#'!$A:$Z,4,FALSE)+VLOOKUP($A150,A:AL,4,FALSE)-50))</f>
        <v>70</v>
      </c>
      <c r="F150" s="3" t="str">
        <f>IF(ISERROR(VLOOKUP($A150,'SegEnds_NonXtal_BW#'!$A:$Z,5,FALSE)+VLOOKUP($A150,A:AL,7,FALSE)-50),"-",(VLOOKUP($A150,'SegEnds_NonXtal_BW#'!$A:$Z,5,FALSE)+VLOOKUP($A150,A:AL,7,FALSE)-50))</f>
        <v>-</v>
      </c>
      <c r="G150" s="3" t="s">
        <v>23</v>
      </c>
      <c r="H150" s="3" t="str">
        <f>IF(ISERROR(VLOOKUP($A150,'SegEnds_NonXtal_BW#'!$A:$Z,6,FALSE)+VLOOKUP($A150,A:AL,7,FALSE)-50),"-",(VLOOKUP($A150,'SegEnds_NonXtal_BW#'!$A:$Z,6,FALSE)+VLOOKUP($A150,A:AL,7,FALSE)-50))</f>
        <v>-</v>
      </c>
      <c r="I150" s="3">
        <f>VLOOKUP($A150,'SegEnds_NonXtal_BW#'!$A:$Z,7,FALSE)+J150-50</f>
        <v>73</v>
      </c>
      <c r="J150" s="3">
        <v>86</v>
      </c>
      <c r="K150" s="3">
        <f>VLOOKUP($A150,'SegEnds_NonXtal_BW#'!$A:$Z,8,FALSE)+VLOOKUP($A150,A:AL,10,FALSE)-50</f>
        <v>104</v>
      </c>
      <c r="L150" s="3">
        <f>M150-1</f>
        <v>106</v>
      </c>
      <c r="M150" s="3">
        <v>107</v>
      </c>
      <c r="N150" s="3">
        <f>M150+2</f>
        <v>109</v>
      </c>
      <c r="O150" s="3">
        <f>N150+1</f>
        <v>110</v>
      </c>
      <c r="P150" s="3">
        <v>140</v>
      </c>
      <c r="Q150" s="3">
        <f>VLOOKUP($A150,'SegEnds_NonXtal_BW#'!$A:$Z,12,FALSE)+VLOOKUP($A150,A:AL,16,FALSE)-50</f>
        <v>146</v>
      </c>
      <c r="R150" s="3">
        <f>IF(ISERROR(VLOOKUP($A150,'SegEnds_NonXtal_BW#'!$A:$Z,13,FALSE)+VLOOKUP($A150,A:AL,19,FALSE)-50),"-",VLOOKUP($A150,'SegEnds_NonXtal_BW#'!$A:$Z,13,FALSE)+VLOOKUP($A150,A:AL,19,FALSE)-50)</f>
        <v>147</v>
      </c>
      <c r="S150" s="3">
        <v>147</v>
      </c>
      <c r="T150" s="100">
        <f>IF(ISERROR(VLOOKUP($A150,'SegEnds_NonXtal_BW#'!$A:$Z,14,FALSE)+VLOOKUP($A150,A:AL,19,FALSE)-50),"-",(VLOOKUP($A150,'SegEnds_NonXtal_BW#'!$A:$Z,14,FALSE)+VLOOKUP($A150,A:AL,19,FALSE)-50))</f>
        <v>154</v>
      </c>
      <c r="U150" s="9">
        <f>IF(ISERROR(VLOOKUP($A150,'SegEnds_NonXtal_BW#'!$A:$Z,15,FALSE)+VLOOKUP($A150,A:AL,22,FALSE)-50),"-",VLOOKUP($A150,'SegEnds_NonXtal_BW#'!$A:$Z,15,FALSE)+VLOOKUP($A150,A:AL,22,FALSE)-50)</f>
        <v>155</v>
      </c>
      <c r="V150" s="3">
        <v>167</v>
      </c>
      <c r="W150" s="3">
        <f>IF(ISERROR(VLOOKUP($A150,'SegEnds_NonXtal_BW#'!$A:$Z,16,FALSE)+VLOOKUP($A150,A:AL,22,FALSE)-50),"-",(VLOOKUP($A150,'SegEnds_NonXtal_BW#'!$A:$Z,16,FALSE)+VLOOKUP($A150,A:AL,22,FALSE)-50))</f>
        <v>181</v>
      </c>
      <c r="X150" s="3">
        <f>IF(ISERROR(VLOOKUP($A150,'SegEnds_NonXtal_BW#'!$A:$Z,17,FALSE)+VLOOKUP($A150,A:AL,25,FALSE)-50),"-",(VLOOKUP($A150,'SegEnds_NonXtal_BW#'!$A:$Z,17,FALSE)+VLOOKUP($A150,A:AL,25,FALSE)-50))</f>
        <v>195</v>
      </c>
      <c r="Y150" s="3">
        <v>195</v>
      </c>
      <c r="Z150" s="3">
        <f>Y150+2</f>
        <v>197</v>
      </c>
      <c r="AA150" s="3">
        <f>IF(ISERROR(VLOOKUP($A150,'SegEnds_NonXtal_BW#'!$A:$Z,19,FALSE)+VLOOKUP($A150,A:AL,28,FALSE)-50),"-",(VLOOKUP($A150,'SegEnds_NonXtal_BW#'!$A:$Z,19,FALSE)+VLOOKUP($A150,A:AL,28,FALSE)-50))</f>
        <v>205</v>
      </c>
      <c r="AB150" s="3">
        <v>220</v>
      </c>
      <c r="AC150" s="3">
        <f>IF(ISERROR((VLOOKUP($A150,'SegEnds_NonXtal_BW#'!$A:$Z,20,FALSE)+VLOOKUP($A150,A:AL,28,FALSE)-50)),"-",(VLOOKUP($A150,'SegEnds_NonXtal_BW#'!$A:$Z,20,FALSE)+VLOOKUP($A150,A:AL,28,FALSE)-50))</f>
        <v>246</v>
      </c>
      <c r="AD150" s="3">
        <f>IF(ISERROR(VLOOKUP($A150,'SegEnds_NonXtal_BW#'!$A:$Z,21,FALSE)+VLOOKUP($A150,A:AL,31,FALSE)-50),"-",(VLOOKUP($A150,'SegEnds_NonXtal_BW#'!$A:$Z,21,FALSE)+VLOOKUP($A150,A:AL,31,FALSE)-50))</f>
        <v>276</v>
      </c>
      <c r="AE150" s="3">
        <v>302</v>
      </c>
      <c r="AF150" s="3">
        <f>IF(ISERROR((VLOOKUP($A150,'SegEnds_NonXtal_BW#'!$A:$Z,22,FALSE)+VLOOKUP($A150,A:AL,31,FALSE)-50)),"-",(VLOOKUP($A150,'SegEnds_NonXtal_BW#'!$A:$Z,22,FALSE)+VLOOKUP($A150,A:AL,31,FALSE)-50))</f>
        <v>313</v>
      </c>
      <c r="AG150" s="3">
        <f>IF(ISERROR(VLOOKUP($A150,'SegEnds_NonXtal_BW#'!$A:$Z,23,FALSE)+VLOOKUP($A150,A:AL,34,FALSE)-50),"-",(VLOOKUP($A150,'SegEnds_NonXtal_BW#'!$A:$Z,23,FALSE)+VLOOKUP($A150,A:AL,34,FALSE)-50))</f>
        <v>319</v>
      </c>
      <c r="AH150" s="3">
        <v>338</v>
      </c>
      <c r="AI150" s="3">
        <f>IF(ISERROR((VLOOKUP($A150,'SegEnds_NonXtal_BW#'!$A:$Z,24,FALSE)+VLOOKUP($A150,A:AL,34,FALSE)-50)),"-",(VLOOKUP($A150,'SegEnds_NonXtal_BW#'!$A:$Z,24,FALSE)+VLOOKUP($A150,A:AL,34,FALSE)-50))</f>
        <v>344</v>
      </c>
      <c r="AJ150" s="3">
        <f>IF(ISERROR(VLOOKUP($A150,'SegEnds_NonXtal_BW#'!$A:$Z,25,FALSE)+VLOOKUP($A150,A:AL,37,FALSE)-50),"-",(VLOOKUP($A150,'SegEnds_NonXtal_BW#'!$A:$Z,25,FALSE)+VLOOKUP($A150,A:AL,37,FALSE)-50))</f>
        <v>345</v>
      </c>
      <c r="AK150" s="3">
        <v>348</v>
      </c>
      <c r="AL150" s="3">
        <f>IF(ISERROR((VLOOKUP($A150,'SegEnds_NonXtal_BW#'!$A:$Z,26,FALSE)+VLOOKUP($A150,A:AL,37,FALSE)-50)),"-",(VLOOKUP($A150,'SegEnds_NonXtal_BW#'!$A:$Z,26,FALSE)+VLOOKUP($A150,A:AL,37,FALSE)-50))</f>
        <v>361</v>
      </c>
      <c r="AM150" s="28" t="str">
        <f>VLOOKUP(A150,Classification!A:B,2,FALSE)</f>
        <v>A</v>
      </c>
      <c r="AN150" s="28" t="b">
        <f t="shared" si="98"/>
        <v>1</v>
      </c>
      <c r="AO150" s="3" t="str">
        <f>IF(ISERROR(MATCH(A150,'SegEnds_Xtal_Prot#'!B:B, 0)), "NoXtal", "Xtal")</f>
        <v>NoXtal</v>
      </c>
      <c r="AP150" s="3" t="str">
        <f t="shared" si="81"/>
        <v>-</v>
      </c>
      <c r="AQ150" s="3" t="str">
        <f t="shared" si="82"/>
        <v>-</v>
      </c>
      <c r="AR150" s="3">
        <f t="shared" si="83"/>
        <v>2</v>
      </c>
      <c r="AS150" s="3">
        <f t="shared" si="84"/>
        <v>1</v>
      </c>
      <c r="AT150" s="3">
        <f t="shared" si="85"/>
        <v>1</v>
      </c>
      <c r="AU150" s="3">
        <f t="shared" si="86"/>
        <v>1</v>
      </c>
      <c r="AV150" s="3">
        <f t="shared" si="87"/>
        <v>14</v>
      </c>
      <c r="AW150" s="3">
        <f t="shared" si="88"/>
        <v>8</v>
      </c>
      <c r="AX150" s="3">
        <f t="shared" si="89"/>
        <v>30</v>
      </c>
      <c r="AY150" s="3">
        <f t="shared" si="90"/>
        <v>6</v>
      </c>
      <c r="AZ150" s="3">
        <f t="shared" si="91"/>
        <v>1</v>
      </c>
      <c r="BA150" s="3">
        <f>IF(ISERROR(LEN(VLOOKUP(A150,Seqs!A:E,2,FALSE))-AL150),"-",LEN(VLOOKUP(A150,Seqs!A:E,2,FALSE))-AL150)</f>
        <v>90</v>
      </c>
      <c r="BB150" s="16">
        <f t="shared" si="92"/>
        <v>26</v>
      </c>
      <c r="BC150" s="9">
        <f t="shared" si="93"/>
        <v>20</v>
      </c>
      <c r="BD150" s="3">
        <f t="shared" si="94"/>
        <v>26</v>
      </c>
      <c r="BE150" s="3">
        <f t="shared" si="95"/>
        <v>82</v>
      </c>
    </row>
    <row r="151" spans="1:58" s="3" customFormat="1" x14ac:dyDescent="0.2">
      <c r="A151" s="3" t="s">
        <v>266</v>
      </c>
      <c r="B151" s="3" t="str">
        <f>LOWER(VLOOKUP(A151,Xtal_Templ!A:B,2,FALSE))</f>
        <v>drd2_human</v>
      </c>
      <c r="C151" s="3">
        <f>VLOOKUP($A151,'SegEnds_NonXtal_BW#'!$A:$Z,3,FALSE)+D151-50</f>
        <v>2</v>
      </c>
      <c r="D151" s="3">
        <v>23</v>
      </c>
      <c r="E151" s="3">
        <f>IF(ISERROR(VLOOKUP($A151,'SegEnds_NonXtal_BW#'!$A:$Z,4,FALSE)+VLOOKUP($A151,A:AL,4,FALSE)-50),"-",(VLOOKUP($A151,'SegEnds_NonXtal_BW#'!$A:$Z,4,FALSE)+VLOOKUP($A151,A:AL,4,FALSE)-50))</f>
        <v>33</v>
      </c>
      <c r="F151" s="3">
        <f>G151-2</f>
        <v>34</v>
      </c>
      <c r="G151" s="3">
        <v>36</v>
      </c>
      <c r="H151" s="3">
        <f>G151+1</f>
        <v>37</v>
      </c>
      <c r="I151" s="3">
        <f>H151+1</f>
        <v>38</v>
      </c>
      <c r="J151" s="3">
        <v>52</v>
      </c>
      <c r="K151" s="3">
        <f>VLOOKUP($A151,'SegEnds_NonXtal_BW#'!$A:$Z,8,FALSE)+VLOOKUP($A151,A:AL,10,FALSE)-50</f>
        <v>70</v>
      </c>
      <c r="L151" s="3" t="str">
        <f>IF(ISERROR(VLOOKUP($A151,'SegEnds_NonXtal_BW#'!$A:$Z,9,FALSE)+VLOOKUP($A151,A:AL,13,FALSE)-50),"-",(VLOOKUP($A151,'SegEnds_NonXtal_BW#'!$A:$Z,9,FALSE)+VLOOKUP($A151,A:AL,13,FALSE)-50))</f>
        <v>-</v>
      </c>
      <c r="M151" s="3" t="s">
        <v>23</v>
      </c>
      <c r="N151" s="3" t="str">
        <f>IF(ISERROR(VLOOKUP($A151,'SegEnds_NonXtal_BW#'!$A:$Z,10,FALSE)+VLOOKUP($A151,A:AL,13,FALSE)-50),"-",(VLOOKUP($A151,'SegEnds_NonXtal_BW#'!$A:$Z,10,FALSE)+VLOOKUP($A151,A:AL,13,FALSE)-50))</f>
        <v>-</v>
      </c>
      <c r="O151" s="3">
        <f>VLOOKUP($A151,'SegEnds_NonXtal_BW#'!$A:$Z,11,FALSE)+VLOOKUP($A151,A:AL,16,FALSE)-50</f>
        <v>75</v>
      </c>
      <c r="P151" s="3">
        <v>104</v>
      </c>
      <c r="Q151" s="3">
        <f>VLOOKUP($A151,'SegEnds_NonXtal_BW#'!$A:$Z,12,FALSE)+VLOOKUP($A151,A:AL,16,FALSE)-50</f>
        <v>110</v>
      </c>
      <c r="R151" s="3">
        <f>IF(ISERROR(VLOOKUP($A151,'SegEnds_NonXtal_BW#'!$A:$Z,13,FALSE)+VLOOKUP($A151,A:AL,19,FALSE)-50),"-",VLOOKUP($A151,'SegEnds_NonXtal_BW#'!$A:$Z,13,FALSE)+VLOOKUP($A151,A:AL,19,FALSE)-50)</f>
        <v>111</v>
      </c>
      <c r="S151" s="3">
        <v>111</v>
      </c>
      <c r="T151" s="100">
        <f>IF(ISERROR(VLOOKUP($A151,'SegEnds_NonXtal_BW#'!$A:$Z,14,FALSE)+VLOOKUP($A151,A:AL,19,FALSE)-50),"-",(VLOOKUP($A151,'SegEnds_NonXtal_BW#'!$A:$Z,14,FALSE)+VLOOKUP($A151,A:AL,19,FALSE)-50))</f>
        <v>118</v>
      </c>
      <c r="U151" s="9">
        <f>IF(ISERROR(VLOOKUP($A151,'SegEnds_NonXtal_BW#'!$A:$Z,15,FALSE)+VLOOKUP($A151,A:AL,22,FALSE)-50),"-",VLOOKUP($A151,'SegEnds_NonXtal_BW#'!$A:$Z,15,FALSE)+VLOOKUP($A151,A:AL,22,FALSE)-50)</f>
        <v>119</v>
      </c>
      <c r="V151" s="3">
        <v>131</v>
      </c>
      <c r="W151" s="3">
        <f>IF(ISERROR(VLOOKUP($A151,'SegEnds_NonXtal_BW#'!$A:$Z,16,FALSE)+VLOOKUP($A151,A:AL,22,FALSE)-50),"-",(VLOOKUP($A151,'SegEnds_NonXtal_BW#'!$A:$Z,16,FALSE)+VLOOKUP($A151,A:AL,22,FALSE)-50))</f>
        <v>143</v>
      </c>
      <c r="X151" s="3">
        <f>IF(ISERROR(VLOOKUP($A151,'SegEnds_NonXtal_BW#'!$A:$Z,17,FALSE)+VLOOKUP($A151,A:AL,25,FALSE)-50),"-",(VLOOKUP($A151,'SegEnds_NonXtal_BW#'!$A:$Z,17,FALSE)+VLOOKUP($A151,A:AL,25,FALSE)-50))</f>
        <v>156</v>
      </c>
      <c r="Y151" s="3">
        <v>156</v>
      </c>
      <c r="Z151" s="3">
        <f>Y151+2</f>
        <v>158</v>
      </c>
      <c r="AA151" s="3">
        <f>IF(ISERROR(VLOOKUP($A151,'SegEnds_NonXtal_BW#'!$A:$Z,19,FALSE)+VLOOKUP($A151,A:AL,28,FALSE)-50),"-",(VLOOKUP($A151,'SegEnds_NonXtal_BW#'!$A:$Z,19,FALSE)+VLOOKUP($A151,A:AL,28,FALSE)-50))</f>
        <v>169</v>
      </c>
      <c r="AB151" s="3">
        <v>184</v>
      </c>
      <c r="AC151" s="3">
        <f>IF(ISERROR((VLOOKUP($A151,'SegEnds_NonXtal_BW#'!$A:$Z,20,FALSE)+VLOOKUP($A151,A:AL,28,FALSE)-50)),"-",(VLOOKUP($A151,'SegEnds_NonXtal_BW#'!$A:$Z,20,FALSE)+VLOOKUP($A151,A:AL,28,FALSE)-50))</f>
        <v>210</v>
      </c>
      <c r="AD151" s="3">
        <f>IF(ISERROR(VLOOKUP($A151,'SegEnds_NonXtal_BW#'!$A:$Z,21,FALSE)+VLOOKUP($A151,A:AL,31,FALSE)-50),"-",(VLOOKUP($A151,'SegEnds_NonXtal_BW#'!$A:$Z,21,FALSE)+VLOOKUP($A151,A:AL,31,FALSE)-50))</f>
        <v>230</v>
      </c>
      <c r="AE151" s="3">
        <v>256</v>
      </c>
      <c r="AF151" s="3">
        <f>IF(ISERROR((VLOOKUP($A151,'SegEnds_NonXtal_BW#'!$A:$Z,22,FALSE)+VLOOKUP($A151,A:AL,31,FALSE)-50)),"-",(VLOOKUP($A151,'SegEnds_NonXtal_BW#'!$A:$Z,22,FALSE)+VLOOKUP($A151,A:AL,31,FALSE)-50))</f>
        <v>267</v>
      </c>
      <c r="AG151" s="3">
        <f>IF(ISERROR(VLOOKUP($A151,'SegEnds_NonXtal_BW#'!$A:$Z,23,FALSE)+VLOOKUP($A151,A:AL,34,FALSE)-50),"-",(VLOOKUP($A151,'SegEnds_NonXtal_BW#'!$A:$Z,23,FALSE)+VLOOKUP($A151,A:AL,34,FALSE)-50))</f>
        <v>272</v>
      </c>
      <c r="AH151" s="3">
        <v>291</v>
      </c>
      <c r="AI151" s="3">
        <f>IF(ISERROR((VLOOKUP($A151,'SegEnds_NonXtal_BW#'!$A:$Z,24,FALSE)+VLOOKUP($A151,A:AL,34,FALSE)-50)),"-",(VLOOKUP($A151,'SegEnds_NonXtal_BW#'!$A:$Z,24,FALSE)+VLOOKUP($A151,A:AL,34,FALSE)-50))</f>
        <v>297</v>
      </c>
      <c r="AJ151" s="3">
        <f>IF(ISERROR(VLOOKUP($A151,'SegEnds_NonXtal_BW#'!$A:$Z,25,FALSE)+VLOOKUP($A151,A:AL,37,FALSE)-50),"-",(VLOOKUP($A151,'SegEnds_NonXtal_BW#'!$A:$Z,25,FALSE)+VLOOKUP($A151,A:AL,37,FALSE)-50))</f>
        <v>298</v>
      </c>
      <c r="AK151" s="3">
        <v>301</v>
      </c>
      <c r="AL151" s="3">
        <f>IF(ISERROR((VLOOKUP($A151,'SegEnds_NonXtal_BW#'!$A:$Z,26,FALSE)+VLOOKUP($A151,A:AL,37,FALSE)-50)),"-",(VLOOKUP($A151,'SegEnds_NonXtal_BW#'!$A:$Z,26,FALSE)+VLOOKUP($A151,A:AL,37,FALSE)-50))</f>
        <v>310</v>
      </c>
      <c r="AM151" s="28" t="str">
        <f>VLOOKUP(A151,Classification!A:B,2,FALSE)</f>
        <v>A</v>
      </c>
      <c r="AN151" s="28" t="b">
        <f t="shared" si="98"/>
        <v>1</v>
      </c>
      <c r="AO151" s="3" t="str">
        <f>IF(ISERROR(MATCH(A151,'SegEnds_Xtal_Prot#'!B:B, 0)), "NoXtal", "Xtal")</f>
        <v>NoXtal</v>
      </c>
      <c r="AP151" s="3">
        <f t="shared" si="81"/>
        <v>1</v>
      </c>
      <c r="AQ151" s="3">
        <f t="shared" si="82"/>
        <v>1</v>
      </c>
      <c r="AR151" s="3" t="str">
        <f t="shared" si="83"/>
        <v>-</v>
      </c>
      <c r="AS151" s="3" t="str">
        <f t="shared" si="84"/>
        <v>-</v>
      </c>
      <c r="AT151" s="3">
        <f t="shared" si="85"/>
        <v>1</v>
      </c>
      <c r="AU151" s="3">
        <f t="shared" si="86"/>
        <v>1</v>
      </c>
      <c r="AV151" s="3">
        <f t="shared" si="87"/>
        <v>13</v>
      </c>
      <c r="AW151" s="3">
        <f t="shared" si="88"/>
        <v>11</v>
      </c>
      <c r="AX151" s="3">
        <f t="shared" si="89"/>
        <v>20</v>
      </c>
      <c r="AY151" s="3">
        <f t="shared" si="90"/>
        <v>5</v>
      </c>
      <c r="AZ151" s="3">
        <f t="shared" si="91"/>
        <v>1</v>
      </c>
      <c r="BA151" s="3">
        <f>IF(ISERROR(LEN(VLOOKUP(A151,Seqs!A:E,2,FALSE))-AL151),"-",LEN(VLOOKUP(A151,Seqs!A:E,2,FALSE))-AL151)</f>
        <v>53</v>
      </c>
      <c r="BB151" s="16">
        <f t="shared" si="92"/>
        <v>29</v>
      </c>
      <c r="BC151" s="9">
        <f t="shared" si="93"/>
        <v>20</v>
      </c>
      <c r="BD151" s="3">
        <f t="shared" si="94"/>
        <v>29</v>
      </c>
      <c r="BE151" s="3">
        <f t="shared" si="95"/>
        <v>72</v>
      </c>
    </row>
    <row r="152" spans="1:58" s="3" customFormat="1" x14ac:dyDescent="0.2">
      <c r="A152" s="3" t="s">
        <v>267</v>
      </c>
      <c r="B152" s="3" t="str">
        <f>LOWER(VLOOKUP(A152,Xtal_Templ!A:B,2,FALSE))</f>
        <v>oprd_human</v>
      </c>
      <c r="C152" s="3">
        <f>VLOOKUP($A152,'SegEnds_NonXtal_BW#'!$A:$Z,3,FALSE)+D152-50</f>
        <v>5</v>
      </c>
      <c r="D152" s="3">
        <v>33</v>
      </c>
      <c r="E152" s="3">
        <f>IF(ISERROR(VLOOKUP($A152,'SegEnds_NonXtal_BW#'!$A:$Z,4,FALSE)+VLOOKUP($A152,A:AL,4,FALSE)-50),"-",(VLOOKUP($A152,'SegEnds_NonXtal_BW#'!$A:$Z,4,FALSE)+VLOOKUP($A152,A:AL,4,FALSE)-50))</f>
        <v>43</v>
      </c>
      <c r="F152" s="3" t="str">
        <f>IF(ISERROR(VLOOKUP($A152,'SegEnds_NonXtal_BW#'!$A:$Z,5,FALSE)+VLOOKUP($A152,A:AL,7,FALSE)-50),"-",(VLOOKUP($A152,'SegEnds_NonXtal_BW#'!$A:$Z,5,FALSE)+VLOOKUP($A152,A:AL,7,FALSE)-50))</f>
        <v>-</v>
      </c>
      <c r="G152" s="3" t="s">
        <v>23</v>
      </c>
      <c r="H152" s="3" t="str">
        <f>IF(ISERROR(VLOOKUP($A152,'SegEnds_NonXtal_BW#'!$A:$Z,6,FALSE)+VLOOKUP($A152,A:AL,7,FALSE)-50),"-",(VLOOKUP($A152,'SegEnds_NonXtal_BW#'!$A:$Z,6,FALSE)+VLOOKUP($A152,A:AL,7,FALSE)-50))</f>
        <v>-</v>
      </c>
      <c r="I152" s="3">
        <f>VLOOKUP($A152,'SegEnds_NonXtal_BW#'!$A:$Z,7,FALSE)+J152-50</f>
        <v>48</v>
      </c>
      <c r="J152" s="3">
        <v>61</v>
      </c>
      <c r="K152" s="3">
        <f>VLOOKUP($A152,'SegEnds_NonXtal_BW#'!$A:$Z,8,FALSE)+VLOOKUP($A152,A:AL,10,FALSE)-50</f>
        <v>78</v>
      </c>
      <c r="L152" s="3">
        <f>M152-1</f>
        <v>80</v>
      </c>
      <c r="M152" s="3">
        <v>81</v>
      </c>
      <c r="N152" s="3">
        <f>M152+2</f>
        <v>83</v>
      </c>
      <c r="O152" s="3">
        <f>N152+1</f>
        <v>84</v>
      </c>
      <c r="P152" s="3">
        <v>117</v>
      </c>
      <c r="Q152" s="3">
        <f>VLOOKUP($A152,'SegEnds_NonXtal_BW#'!$A:$Z,12,FALSE)+VLOOKUP($A152,A:AL,16,FALSE)-50</f>
        <v>123</v>
      </c>
      <c r="R152" s="3">
        <f>IF(ISERROR(VLOOKUP($A152,'SegEnds_NonXtal_BW#'!$A:$Z,13,FALSE)+VLOOKUP($A152,A:AL,19,FALSE)-50),"-",VLOOKUP($A152,'SegEnds_NonXtal_BW#'!$A:$Z,13,FALSE)+VLOOKUP($A152,A:AL,19,FALSE)-50)</f>
        <v>140</v>
      </c>
      <c r="S152" s="3">
        <v>140</v>
      </c>
      <c r="T152" s="100">
        <f>IF(ISERROR(VLOOKUP($A152,'SegEnds_NonXtal_BW#'!$A:$Z,14,FALSE)+VLOOKUP($A152,A:AL,19,FALSE)-50),"-",(VLOOKUP($A152,'SegEnds_NonXtal_BW#'!$A:$Z,14,FALSE)+VLOOKUP($A152,A:AL,19,FALSE)-50))</f>
        <v>147</v>
      </c>
      <c r="U152" s="9">
        <f>IF(ISERROR(VLOOKUP($A152,'SegEnds_NonXtal_BW#'!$A:$Z,15,FALSE)+VLOOKUP($A152,A:AL,22,FALSE)-50),"-",VLOOKUP($A152,'SegEnds_NonXtal_BW#'!$A:$Z,15,FALSE)+VLOOKUP($A152,A:AL,22,FALSE)-50)</f>
        <v>148</v>
      </c>
      <c r="V152" s="3">
        <v>160</v>
      </c>
      <c r="W152" s="3">
        <f>IF(ISERROR(VLOOKUP($A152,'SegEnds_NonXtal_BW#'!$A:$Z,16,FALSE)+VLOOKUP($A152,A:AL,22,FALSE)-50),"-",(VLOOKUP($A152,'SegEnds_NonXtal_BW#'!$A:$Z,16,FALSE)+VLOOKUP($A152,A:AL,22,FALSE)-50))</f>
        <v>174</v>
      </c>
      <c r="X152" s="3" t="str">
        <f>IF(ISERROR(VLOOKUP($A152,'SegEnds_NonXtal_BW#'!$A:$Z,17,FALSE)+VLOOKUP($A152,A:AL,25,FALSE)-50),"-",(VLOOKUP($A152,'SegEnds_NonXtal_BW#'!$A:$Z,17,FALSE)+VLOOKUP($A152,A:AL,25,FALSE)-50))</f>
        <v>-</v>
      </c>
      <c r="Y152" s="3" t="s">
        <v>23</v>
      </c>
      <c r="Z152" s="3" t="str">
        <f>IF(ISERROR(VLOOKUP($A152,'SegEnds_NonXtal_BW#'!$A:$Z,18,FALSE)+VLOOKUP($A152,A:AL,25,FALSE)-50),"-",(VLOOKUP($A152,'SegEnds_NonXtal_BW#'!$A:$Z,18,FALSE)+VLOOKUP($A152,A:AL,25,FALSE)-50))</f>
        <v>-</v>
      </c>
      <c r="AA152" s="3">
        <f>IF(ISERROR(VLOOKUP($A152,'SegEnds_NonXtal_BW#'!$A:$Z,19,FALSE)+VLOOKUP($A152,A:AL,28,FALSE)-50),"-",(VLOOKUP($A152,'SegEnds_NonXtal_BW#'!$A:$Z,19,FALSE)+VLOOKUP($A152,A:AL,28,FALSE)-50))</f>
        <v>194</v>
      </c>
      <c r="AB152" s="3">
        <v>213</v>
      </c>
      <c r="AC152" s="3">
        <f>IF(ISERROR((VLOOKUP($A152,'SegEnds_NonXtal_BW#'!$A:$Z,20,FALSE)+VLOOKUP($A152,A:AL,28,FALSE)-50)),"-",(VLOOKUP($A152,'SegEnds_NonXtal_BW#'!$A:$Z,20,FALSE)+VLOOKUP($A152,A:AL,28,FALSE)-50))</f>
        <v>231</v>
      </c>
      <c r="AD152" s="3">
        <f>IF(ISERROR(VLOOKUP($A152,'SegEnds_NonXtal_BW#'!$A:$Z,21,FALSE)+VLOOKUP($A152,A:AL,31,FALSE)-50),"-",(VLOOKUP($A152,'SegEnds_NonXtal_BW#'!$A:$Z,21,FALSE)+VLOOKUP($A152,A:AL,31,FALSE)-50))</f>
        <v>237</v>
      </c>
      <c r="AE152" s="3">
        <v>264</v>
      </c>
      <c r="AF152" s="3">
        <f>IF(ISERROR((VLOOKUP($A152,'SegEnds_NonXtal_BW#'!$A:$Z,22,FALSE)+VLOOKUP($A152,A:AL,31,FALSE)-50)),"-",(VLOOKUP($A152,'SegEnds_NonXtal_BW#'!$A:$Z,22,FALSE)+VLOOKUP($A152,A:AL,31,FALSE)-50))</f>
        <v>275</v>
      </c>
      <c r="AG152" s="3">
        <f>IF(ISERROR(VLOOKUP($A152,'SegEnds_NonXtal_BW#'!$A:$Z,23,FALSE)+VLOOKUP($A152,A:AL,34,FALSE)-50),"-",(VLOOKUP($A152,'SegEnds_NonXtal_BW#'!$A:$Z,23,FALSE)+VLOOKUP($A152,A:AL,34,FALSE)-50))</f>
        <v>284</v>
      </c>
      <c r="AH152" s="3">
        <v>306</v>
      </c>
      <c r="AI152" s="3">
        <f>IF(ISERROR((VLOOKUP($A152,'SegEnds_NonXtal_BW#'!$A:$Z,24,FALSE)+VLOOKUP($A152,A:AL,34,FALSE)-50)),"-",(VLOOKUP($A152,'SegEnds_NonXtal_BW#'!$A:$Z,24,FALSE)+VLOOKUP($A152,A:AL,34,FALSE)-50))</f>
        <v>312</v>
      </c>
      <c r="AJ152" s="3">
        <f>IF(ISERROR(VLOOKUP($A152,'SegEnds_NonXtal_BW#'!$A:$Z,25,FALSE)+VLOOKUP($A152,A:AL,37,FALSE)-50),"-",(VLOOKUP($A152,'SegEnds_NonXtal_BW#'!$A:$Z,25,FALSE)+VLOOKUP($A152,A:AL,37,FALSE)-50))</f>
        <v>313</v>
      </c>
      <c r="AK152" s="3">
        <v>316</v>
      </c>
      <c r="AL152" s="3">
        <f>IF(ISERROR((VLOOKUP($A152,'SegEnds_NonXtal_BW#'!$A:$Z,26,FALSE)+VLOOKUP($A152,A:AL,37,FALSE)-50)),"-",(VLOOKUP($A152,'SegEnds_NonXtal_BW#'!$A:$Z,26,FALSE)+VLOOKUP($A152,A:AL,37,FALSE)-50))</f>
        <v>326</v>
      </c>
      <c r="AM152" s="28" t="str">
        <f>VLOOKUP(A152,Classification!A:B,2,FALSE)</f>
        <v>A</v>
      </c>
      <c r="AN152" s="28" t="b">
        <f t="shared" si="98"/>
        <v>1</v>
      </c>
      <c r="AO152" s="3" t="str">
        <f>IF(ISERROR(MATCH(A152,'SegEnds_Xtal_Prot#'!B:B, 0)), "NoXtal", "Xtal")</f>
        <v>NoXtal</v>
      </c>
      <c r="AP152" s="3" t="str">
        <f t="shared" si="81"/>
        <v>-</v>
      </c>
      <c r="AQ152" s="3" t="str">
        <f t="shared" si="82"/>
        <v>-</v>
      </c>
      <c r="AR152" s="3">
        <f t="shared" si="83"/>
        <v>2</v>
      </c>
      <c r="AS152" s="3">
        <f t="shared" si="84"/>
        <v>1</v>
      </c>
      <c r="AT152" s="3">
        <f t="shared" si="85"/>
        <v>17</v>
      </c>
      <c r="AU152" s="3">
        <f t="shared" si="86"/>
        <v>1</v>
      </c>
      <c r="AV152" s="3" t="str">
        <f t="shared" si="87"/>
        <v>-</v>
      </c>
      <c r="AW152" s="3" t="str">
        <f t="shared" si="88"/>
        <v>-</v>
      </c>
      <c r="AX152" s="3">
        <f t="shared" si="89"/>
        <v>6</v>
      </c>
      <c r="AY152" s="3">
        <f t="shared" si="90"/>
        <v>9</v>
      </c>
      <c r="AZ152" s="3">
        <f t="shared" si="91"/>
        <v>1</v>
      </c>
      <c r="BA152" s="3">
        <f>IF(ISERROR(LEN(VLOOKUP(A152,Seqs!A:E,2,FALSE))-AL152),"-",LEN(VLOOKUP(A152,Seqs!A:E,2,FALSE))-AL152)</f>
        <v>10</v>
      </c>
      <c r="BB152" s="16">
        <f t="shared" si="92"/>
        <v>28</v>
      </c>
      <c r="BC152" s="9">
        <f t="shared" si="93"/>
        <v>20</v>
      </c>
      <c r="BD152" s="3">
        <f t="shared" si="94"/>
        <v>28</v>
      </c>
      <c r="BE152" s="3">
        <f t="shared" si="95"/>
        <v>51</v>
      </c>
      <c r="BF152" s="3">
        <f>AH152-AE152</f>
        <v>42</v>
      </c>
    </row>
    <row r="153" spans="1:58" s="3" customFormat="1" x14ac:dyDescent="0.2">
      <c r="A153" s="3" t="s">
        <v>269</v>
      </c>
      <c r="B153" s="3" t="str">
        <f>LOWER(VLOOKUP(A153,Xtal_Templ!A:B,2,FALSE))</f>
        <v>ednrb_human</v>
      </c>
      <c r="C153" s="3">
        <f>VLOOKUP($A153,'SegEnds_NonXtal_BW#'!$A:$Z,3,FALSE)+D153-50</f>
        <v>10</v>
      </c>
      <c r="D153" s="3">
        <v>38</v>
      </c>
      <c r="E153" s="3">
        <f>IF(ISERROR(VLOOKUP($A153,'SegEnds_NonXtal_BW#'!$A:$Z,4,FALSE)+VLOOKUP($A153,A:AL,4,FALSE)-50),"-",(VLOOKUP($A153,'SegEnds_NonXtal_BW#'!$A:$Z,4,FALSE)+VLOOKUP($A153,A:AL,4,FALSE)-50))</f>
        <v>48</v>
      </c>
      <c r="F153" s="3">
        <f>G153-2</f>
        <v>49</v>
      </c>
      <c r="G153" s="3">
        <v>51</v>
      </c>
      <c r="H153" s="3">
        <f>G153+1</f>
        <v>52</v>
      </c>
      <c r="I153" s="3">
        <f>H153+1</f>
        <v>53</v>
      </c>
      <c r="J153" s="3">
        <v>66</v>
      </c>
      <c r="K153" s="3">
        <f>VLOOKUP($A153,'SegEnds_NonXtal_BW#'!$A:$Z,8,FALSE)+VLOOKUP($A153,A:AL,10,FALSE)-50</f>
        <v>83</v>
      </c>
      <c r="L153" s="3" t="str">
        <f>IF(ISERROR(VLOOKUP($A153,'SegEnds_NonXtal_BW#'!$A:$Z,9,FALSE)+VLOOKUP($A153,A:AL,13,FALSE)-50),"-",(VLOOKUP($A153,'SegEnds_NonXtal_BW#'!$A:$Z,9,FALSE)+VLOOKUP($A153,A:AL,13,FALSE)-50))</f>
        <v>-</v>
      </c>
      <c r="M153" s="3" t="s">
        <v>23</v>
      </c>
      <c r="N153" s="3" t="str">
        <f>IF(ISERROR(VLOOKUP($A153,'SegEnds_NonXtal_BW#'!$A:$Z,10,FALSE)+VLOOKUP($A153,A:AL,13,FALSE)-50),"-",(VLOOKUP($A153,'SegEnds_NonXtal_BW#'!$A:$Z,10,FALSE)+VLOOKUP($A153,A:AL,13,FALSE)-50))</f>
        <v>-</v>
      </c>
      <c r="O153" s="3">
        <f>VLOOKUP($A153,'SegEnds_NonXtal_BW#'!$A:$Z,11,FALSE)+VLOOKUP($A153,A:AL,16,FALSE)-50</f>
        <v>89</v>
      </c>
      <c r="P153" s="3">
        <v>118</v>
      </c>
      <c r="Q153" s="3">
        <f>VLOOKUP($A153,'SegEnds_NonXtal_BW#'!$A:$Z,12,FALSE)+VLOOKUP($A153,A:AL,16,FALSE)-50</f>
        <v>124</v>
      </c>
      <c r="R153" s="3">
        <f>IF(ISERROR(VLOOKUP($A153,'SegEnds_NonXtal_BW#'!$A:$Z,13,FALSE)+VLOOKUP($A153,A:AL,19,FALSE)-50),"-",VLOOKUP($A153,'SegEnds_NonXtal_BW#'!$A:$Z,13,FALSE)+VLOOKUP($A153,A:AL,19,FALSE)-50)</f>
        <v>125</v>
      </c>
      <c r="S153" s="3">
        <v>125</v>
      </c>
      <c r="T153" s="100">
        <f>IF(ISERROR(VLOOKUP($A153,'SegEnds_NonXtal_BW#'!$A:$Z,14,FALSE)+VLOOKUP($A153,A:AL,19,FALSE)-50),"-",(VLOOKUP($A153,'SegEnds_NonXtal_BW#'!$A:$Z,14,FALSE)+VLOOKUP($A153,A:AL,19,FALSE)-50))</f>
        <v>132</v>
      </c>
      <c r="U153" s="9">
        <f>IF(ISERROR(VLOOKUP($A153,'SegEnds_NonXtal_BW#'!$A:$Z,15,FALSE)+VLOOKUP($A153,A:AL,22,FALSE)-50),"-",VLOOKUP($A153,'SegEnds_NonXtal_BW#'!$A:$Z,15,FALSE)+VLOOKUP($A153,A:AL,22,FALSE)-50)</f>
        <v>133</v>
      </c>
      <c r="V153" s="3">
        <v>145</v>
      </c>
      <c r="W153" s="3">
        <f>IF(ISERROR(VLOOKUP($A153,'SegEnds_NonXtal_BW#'!$A:$Z,16,FALSE)+VLOOKUP($A153,A:AL,22,FALSE)-50),"-",(VLOOKUP($A153,'SegEnds_NonXtal_BW#'!$A:$Z,16,FALSE)+VLOOKUP($A153,A:AL,22,FALSE)-50))</f>
        <v>159</v>
      </c>
      <c r="X153" s="3">
        <f>IF(ISERROR(VLOOKUP($A153,'SegEnds_NonXtal_BW#'!$A:$Z,17,FALSE)+VLOOKUP($A153,A:AL,25,FALSE)-50),"-",(VLOOKUP($A153,'SegEnds_NonXtal_BW#'!$A:$Z,17,FALSE)+VLOOKUP($A153,A:AL,25,FALSE)-50))</f>
        <v>168</v>
      </c>
      <c r="Y153" s="3">
        <v>168</v>
      </c>
      <c r="Z153" s="3">
        <f>Y153+2</f>
        <v>170</v>
      </c>
      <c r="AA153" s="3">
        <f>IF(ISERROR(VLOOKUP($A153,'SegEnds_NonXtal_BW#'!$A:$Z,19,FALSE)+VLOOKUP($A153,A:AL,28,FALSE)-50),"-",(VLOOKUP($A153,'SegEnds_NonXtal_BW#'!$A:$Z,19,FALSE)+VLOOKUP($A153,A:AL,28,FALSE)-50))</f>
        <v>213</v>
      </c>
      <c r="AB153" s="3">
        <v>235</v>
      </c>
      <c r="AC153" s="3">
        <f>IF(ISERROR((VLOOKUP($A153,'SegEnds_NonXtal_BW#'!$A:$Z,20,FALSE)+VLOOKUP($A153,A:AL,28,FALSE)-50)),"-",(VLOOKUP($A153,'SegEnds_NonXtal_BW#'!$A:$Z,20,FALSE)+VLOOKUP($A153,A:AL,28,FALSE)-50))</f>
        <v>259</v>
      </c>
      <c r="AD153" s="3">
        <f>IF(ISERROR(VLOOKUP($A153,'SegEnds_NonXtal_BW#'!$A:$Z,21,FALSE)+VLOOKUP($A153,A:AL,31,FALSE)-50),"-",(VLOOKUP($A153,'SegEnds_NonXtal_BW#'!$A:$Z,21,FALSE)+VLOOKUP($A153,A:AL,31,FALSE)-50))</f>
        <v>308</v>
      </c>
      <c r="AE153" s="3">
        <v>334</v>
      </c>
      <c r="AF153" s="3">
        <f>IF(ISERROR((VLOOKUP($A153,'SegEnds_NonXtal_BW#'!$A:$Z,22,FALSE)+VLOOKUP($A153,A:AL,31,FALSE)-50)),"-",(VLOOKUP($A153,'SegEnds_NonXtal_BW#'!$A:$Z,22,FALSE)+VLOOKUP($A153,A:AL,31,FALSE)-50))</f>
        <v>345</v>
      </c>
      <c r="AG153" s="3">
        <f>IF(ISERROR(VLOOKUP($A153,'SegEnds_NonXtal_BW#'!$A:$Z,23,FALSE)+VLOOKUP($A153,A:AL,34,FALSE)-50),"-",(VLOOKUP($A153,'SegEnds_NonXtal_BW#'!$A:$Z,23,FALSE)+VLOOKUP($A153,A:AL,34,FALSE)-50))</f>
        <v>350</v>
      </c>
      <c r="AH153" s="3">
        <v>367</v>
      </c>
      <c r="AI153" s="3">
        <f>IF(ISERROR((VLOOKUP($A153,'SegEnds_NonXtal_BW#'!$A:$Z,24,FALSE)+VLOOKUP($A153,A:AL,34,FALSE)-50)),"-",(VLOOKUP($A153,'SegEnds_NonXtal_BW#'!$A:$Z,24,FALSE)+VLOOKUP($A153,A:AL,34,FALSE)-50))</f>
        <v>373</v>
      </c>
      <c r="AJ153" s="3">
        <f>IF(ISERROR(VLOOKUP($A153,'SegEnds_NonXtal_BW#'!$A:$Z,25,FALSE)+VLOOKUP($A153,A:AL,37,FALSE)-50),"-",(VLOOKUP($A153,'SegEnds_NonXtal_BW#'!$A:$Z,25,FALSE)+VLOOKUP($A153,A:AL,37,FALSE)-50))</f>
        <v>374</v>
      </c>
      <c r="AK153" s="3">
        <v>377</v>
      </c>
      <c r="AL153" s="3">
        <f>IF(ISERROR((VLOOKUP($A153,'SegEnds_NonXtal_BW#'!$A:$Z,26,FALSE)+VLOOKUP($A153,A:AL,37,FALSE)-50)),"-",(VLOOKUP($A153,'SegEnds_NonXtal_BW#'!$A:$Z,26,FALSE)+VLOOKUP($A153,A:AL,37,FALSE)-50))</f>
        <v>387</v>
      </c>
      <c r="AM153" s="28" t="str">
        <f>VLOOKUP(A153,Classification!A:B,2,FALSE)</f>
        <v>A</v>
      </c>
      <c r="AN153" s="28" t="b">
        <f t="shared" si="98"/>
        <v>1</v>
      </c>
      <c r="AO153" s="3" t="str">
        <f>IF(ISERROR(MATCH(A153,'SegEnds_Xtal_Prot#'!B:B, 0)), "NoXtal", "Xtal")</f>
        <v>NoXtal</v>
      </c>
      <c r="AP153" s="3">
        <f t="shared" si="81"/>
        <v>1</v>
      </c>
      <c r="AQ153" s="3">
        <f t="shared" si="82"/>
        <v>1</v>
      </c>
      <c r="AR153" s="3" t="str">
        <f t="shared" si="83"/>
        <v>-</v>
      </c>
      <c r="AS153" s="3" t="str">
        <f t="shared" si="84"/>
        <v>-</v>
      </c>
      <c r="AT153" s="3">
        <f t="shared" si="85"/>
        <v>1</v>
      </c>
      <c r="AU153" s="3">
        <f t="shared" si="86"/>
        <v>1</v>
      </c>
      <c r="AV153" s="3">
        <f t="shared" si="87"/>
        <v>9</v>
      </c>
      <c r="AW153" s="3">
        <f t="shared" si="88"/>
        <v>43</v>
      </c>
      <c r="AX153" s="3">
        <f t="shared" si="89"/>
        <v>49</v>
      </c>
      <c r="AY153" s="3">
        <f t="shared" si="90"/>
        <v>5</v>
      </c>
      <c r="AZ153" s="3">
        <f t="shared" si="91"/>
        <v>1</v>
      </c>
      <c r="BA153" s="3">
        <f>IF(ISERROR(LEN(VLOOKUP(A153,Seqs!A:E,2,FALSE))-AL153),"-",LEN(VLOOKUP(A153,Seqs!A:E,2,FALSE))-AL153)</f>
        <v>9</v>
      </c>
      <c r="BB153" s="16">
        <f t="shared" si="92"/>
        <v>28</v>
      </c>
      <c r="BC153" s="9">
        <f t="shared" si="93"/>
        <v>20</v>
      </c>
      <c r="BD153" s="3">
        <f t="shared" si="94"/>
        <v>28</v>
      </c>
      <c r="BE153" s="3">
        <f t="shared" si="95"/>
        <v>99</v>
      </c>
      <c r="BF153" s="3">
        <f>AH153-AE153</f>
        <v>33</v>
      </c>
    </row>
    <row r="154" spans="1:58" s="3" customFormat="1" x14ac:dyDescent="0.2">
      <c r="A154" s="3" t="s">
        <v>270</v>
      </c>
      <c r="B154" s="3" t="str">
        <f>LOWER(VLOOKUP(A154,Xtal_Templ!A:B,2,FALSE))</f>
        <v>5ht2c_human</v>
      </c>
      <c r="C154" s="3">
        <f>VLOOKUP($A154,'SegEnds_NonXtal_BW#'!$A:$Z,3,FALSE)+D154-50</f>
        <v>21</v>
      </c>
      <c r="D154" s="3">
        <v>38</v>
      </c>
      <c r="E154" s="3">
        <f>IF(ISERROR(VLOOKUP($A154,'SegEnds_NonXtal_BW#'!$A:$Z,4,FALSE)+VLOOKUP($A154,A:AL,4,FALSE)-50),"-",(VLOOKUP($A154,'SegEnds_NonXtal_BW#'!$A:$Z,4,FALSE)+VLOOKUP($A154,A:AL,4,FALSE)-50))</f>
        <v>48</v>
      </c>
      <c r="F154" s="3">
        <f>G154-2</f>
        <v>49</v>
      </c>
      <c r="G154" s="3">
        <v>51</v>
      </c>
      <c r="H154" s="3">
        <f>G154+1</f>
        <v>52</v>
      </c>
      <c r="I154" s="3">
        <f>H154+1</f>
        <v>53</v>
      </c>
      <c r="J154" s="3">
        <v>66</v>
      </c>
      <c r="K154" s="3">
        <f>VLOOKUP($A154,'SegEnds_NonXtal_BW#'!$A:$Z,8,FALSE)+VLOOKUP($A154,A:AL,10,FALSE)-50</f>
        <v>84</v>
      </c>
      <c r="L154" s="3">
        <f>M154-1</f>
        <v>86</v>
      </c>
      <c r="M154" s="3">
        <v>87</v>
      </c>
      <c r="N154" s="3">
        <f>M154+2</f>
        <v>89</v>
      </c>
      <c r="O154" s="3">
        <f>N154+1</f>
        <v>90</v>
      </c>
      <c r="P154" s="3">
        <v>119</v>
      </c>
      <c r="Q154" s="3">
        <f>VLOOKUP($A154,'SegEnds_NonXtal_BW#'!$A:$Z,12,FALSE)+VLOOKUP($A154,A:AL,16,FALSE)-50</f>
        <v>125</v>
      </c>
      <c r="R154" s="3">
        <f>IF(ISERROR(VLOOKUP($A154,'SegEnds_NonXtal_BW#'!$A:$Z,13,FALSE)+VLOOKUP($A154,A:AL,19,FALSE)-50),"-",VLOOKUP($A154,'SegEnds_NonXtal_BW#'!$A:$Z,13,FALSE)+VLOOKUP($A154,A:AL,19,FALSE)-50)</f>
        <v>126</v>
      </c>
      <c r="S154" s="3">
        <v>126</v>
      </c>
      <c r="T154" s="100">
        <f>IF(ISERROR(VLOOKUP($A154,'SegEnds_NonXtal_BW#'!$A:$Z,14,FALSE)+VLOOKUP($A154,A:AL,19,FALSE)-50),"-",(VLOOKUP($A154,'SegEnds_NonXtal_BW#'!$A:$Z,14,FALSE)+VLOOKUP($A154,A:AL,19,FALSE)-50))</f>
        <v>133</v>
      </c>
      <c r="U154" s="9">
        <f>IF(ISERROR(VLOOKUP($A154,'SegEnds_NonXtal_BW#'!$A:$Z,15,FALSE)+VLOOKUP($A154,A:AL,22,FALSE)-50),"-",VLOOKUP($A154,'SegEnds_NonXtal_BW#'!$A:$Z,15,FALSE)+VLOOKUP($A154,A:AL,22,FALSE)-50)</f>
        <v>134</v>
      </c>
      <c r="V154" s="3">
        <v>146</v>
      </c>
      <c r="W154" s="3">
        <f>IF(ISERROR(VLOOKUP($A154,'SegEnds_NonXtal_BW#'!$A:$Z,16,FALSE)+VLOOKUP($A154,A:AL,22,FALSE)-50),"-",(VLOOKUP($A154,'SegEnds_NonXtal_BW#'!$A:$Z,16,FALSE)+VLOOKUP($A154,A:AL,22,FALSE)-50))</f>
        <v>163</v>
      </c>
      <c r="X154" s="3">
        <f>IF(ISERROR(VLOOKUP($A154,'SegEnds_NonXtal_BW#'!$A:$Z,17,FALSE)+VLOOKUP($A154,A:AL,25,FALSE)-50),"-",(VLOOKUP($A154,'SegEnds_NonXtal_BW#'!$A:$Z,17,FALSE)+VLOOKUP($A154,A:AL,25,FALSE)-50))</f>
        <v>172</v>
      </c>
      <c r="Y154" s="3">
        <v>172</v>
      </c>
      <c r="Z154" s="3">
        <f>Y154+2</f>
        <v>174</v>
      </c>
      <c r="AA154" s="3">
        <f>IF(ISERROR(VLOOKUP($A154,'SegEnds_NonXtal_BW#'!$A:$Z,19,FALSE)+VLOOKUP($A154,A:AL,28,FALSE)-50),"-",(VLOOKUP($A154,'SegEnds_NonXtal_BW#'!$A:$Z,19,FALSE)+VLOOKUP($A154,A:AL,28,FALSE)-50))</f>
        <v>218</v>
      </c>
      <c r="AB154" s="3">
        <v>233</v>
      </c>
      <c r="AC154" s="3">
        <f>IF(ISERROR((VLOOKUP($A154,'SegEnds_NonXtal_BW#'!$A:$Z,20,FALSE)+VLOOKUP($A154,A:AL,28,FALSE)-50)),"-",(VLOOKUP($A154,'SegEnds_NonXtal_BW#'!$A:$Z,20,FALSE)+VLOOKUP($A154,A:AL,28,FALSE)-50))</f>
        <v>259</v>
      </c>
      <c r="AD154" s="3">
        <f>IF(ISERROR(VLOOKUP($A154,'SegEnds_NonXtal_BW#'!$A:$Z,21,FALSE)+VLOOKUP($A154,A:AL,31,FALSE)-50),"-",(VLOOKUP($A154,'SegEnds_NonXtal_BW#'!$A:$Z,21,FALSE)+VLOOKUP($A154,A:AL,31,FALSE)-50))</f>
        <v>274</v>
      </c>
      <c r="AE154" s="3">
        <v>300</v>
      </c>
      <c r="AF154" s="3">
        <f>IF(ISERROR((VLOOKUP($A154,'SegEnds_NonXtal_BW#'!$A:$Z,22,FALSE)+VLOOKUP($A154,A:AL,31,FALSE)-50)),"-",(VLOOKUP($A154,'SegEnds_NonXtal_BW#'!$A:$Z,22,FALSE)+VLOOKUP($A154,A:AL,31,FALSE)-50))</f>
        <v>311</v>
      </c>
      <c r="AG154" s="3">
        <f>IF(ISERROR(VLOOKUP($A154,'SegEnds_NonXtal_BW#'!$A:$Z,23,FALSE)+VLOOKUP($A154,A:AL,34,FALSE)-50),"-",(VLOOKUP($A154,'SegEnds_NonXtal_BW#'!$A:$Z,23,FALSE)+VLOOKUP($A154,A:AL,34,FALSE)-50))</f>
        <v>317</v>
      </c>
      <c r="AH154" s="3">
        <v>336</v>
      </c>
      <c r="AI154" s="3">
        <f>IF(ISERROR((VLOOKUP($A154,'SegEnds_NonXtal_BW#'!$A:$Z,24,FALSE)+VLOOKUP($A154,A:AL,34,FALSE)-50)),"-",(VLOOKUP($A154,'SegEnds_NonXtal_BW#'!$A:$Z,24,FALSE)+VLOOKUP($A154,A:AL,34,FALSE)-50))</f>
        <v>342</v>
      </c>
      <c r="AJ154" s="3">
        <f>IF(ISERROR(VLOOKUP($A154,'SegEnds_NonXtal_BW#'!$A:$Z,25,FALSE)+VLOOKUP($A154,A:AL,37,FALSE)-50),"-",(VLOOKUP($A154,'SegEnds_NonXtal_BW#'!$A:$Z,25,FALSE)+VLOOKUP($A154,A:AL,37,FALSE)-50))</f>
        <v>343</v>
      </c>
      <c r="AK154" s="3">
        <v>346</v>
      </c>
      <c r="AL154" s="3">
        <f>IF(ISERROR((VLOOKUP($A154,'SegEnds_NonXtal_BW#'!$A:$Z,26,FALSE)+VLOOKUP($A154,A:AL,37,FALSE)-50)),"-",(VLOOKUP($A154,'SegEnds_NonXtal_BW#'!$A:$Z,26,FALSE)+VLOOKUP($A154,A:AL,37,FALSE)-50))</f>
        <v>356</v>
      </c>
      <c r="AM154" s="28" t="str">
        <f>VLOOKUP(A154,Classification!A:B,2,FALSE)</f>
        <v>A</v>
      </c>
      <c r="AN154" s="28" t="b">
        <f t="shared" si="98"/>
        <v>1</v>
      </c>
      <c r="AO154" s="3" t="str">
        <f>IF(ISERROR(MATCH(A154,'SegEnds_Xtal_Prot#'!B:B, 0)), "NoXtal", "Xtal")</f>
        <v>NoXtal</v>
      </c>
      <c r="AP154" s="3">
        <f t="shared" si="81"/>
        <v>1</v>
      </c>
      <c r="AQ154" s="3">
        <f t="shared" si="82"/>
        <v>1</v>
      </c>
      <c r="AR154" s="3">
        <f t="shared" si="83"/>
        <v>2</v>
      </c>
      <c r="AS154" s="3">
        <f t="shared" si="84"/>
        <v>1</v>
      </c>
      <c r="AT154" s="3">
        <f t="shared" si="85"/>
        <v>1</v>
      </c>
      <c r="AU154" s="3">
        <f t="shared" si="86"/>
        <v>1</v>
      </c>
      <c r="AV154" s="3">
        <f t="shared" si="87"/>
        <v>9</v>
      </c>
      <c r="AW154" s="3">
        <f t="shared" si="88"/>
        <v>44</v>
      </c>
      <c r="AX154" s="3">
        <f t="shared" si="89"/>
        <v>15</v>
      </c>
      <c r="AY154" s="3">
        <f t="shared" si="90"/>
        <v>6</v>
      </c>
      <c r="AZ154" s="3">
        <f t="shared" si="91"/>
        <v>1</v>
      </c>
      <c r="BA154" s="3">
        <f>IF(ISERROR(LEN(VLOOKUP(A154,Seqs!A:E,2,FALSE))-AL154),"-",LEN(VLOOKUP(A154,Seqs!A:E,2,FALSE))-AL154)</f>
        <v>14</v>
      </c>
      <c r="BB154" s="16">
        <f t="shared" si="92"/>
        <v>28</v>
      </c>
      <c r="BC154" s="9">
        <f t="shared" si="93"/>
        <v>20</v>
      </c>
      <c r="BD154" s="3">
        <f t="shared" si="94"/>
        <v>28</v>
      </c>
      <c r="BE154" s="3">
        <f t="shared" si="95"/>
        <v>67</v>
      </c>
      <c r="BF154" s="3">
        <f>AH154-AE154</f>
        <v>36</v>
      </c>
    </row>
    <row r="155" spans="1:58" s="3" customFormat="1" x14ac:dyDescent="0.2">
      <c r="A155" s="3" t="s">
        <v>271</v>
      </c>
      <c r="B155" s="3" t="str">
        <f>LOWER(VLOOKUP(A155,Xtal_Templ!A:B,2,FALSE))</f>
        <v>p2y12_human</v>
      </c>
      <c r="C155" s="3">
        <f>VLOOKUP($A155,'SegEnds_NonXtal_BW#'!$A:$Z,3,FALSE)+D155-50</f>
        <v>38</v>
      </c>
      <c r="D155" s="3">
        <v>60</v>
      </c>
      <c r="E155" s="3">
        <f>IF(ISERROR(VLOOKUP($A155,'SegEnds_NonXtal_BW#'!$A:$Z,4,FALSE)+VLOOKUP($A155,A:AL,4,FALSE)-50),"-",(VLOOKUP($A155,'SegEnds_NonXtal_BW#'!$A:$Z,4,FALSE)+VLOOKUP($A155,A:AL,4,FALSE)-50))</f>
        <v>70</v>
      </c>
      <c r="F155" s="3" t="str">
        <f>IF(ISERROR(VLOOKUP($A155,'SegEnds_NonXtal_BW#'!$A:$Z,5,FALSE)+VLOOKUP($A155,A:AL,7,FALSE)-50),"-",(VLOOKUP($A155,'SegEnds_NonXtal_BW#'!$A:$Z,5,FALSE)+VLOOKUP($A155,A:AL,7,FALSE)-50))</f>
        <v>-</v>
      </c>
      <c r="G155" s="3" t="s">
        <v>23</v>
      </c>
      <c r="H155" s="3" t="str">
        <f>IF(ISERROR(VLOOKUP($A155,'SegEnds_NonXtal_BW#'!$A:$Z,6,FALSE)+VLOOKUP($A155,A:AL,7,FALSE)-50),"-",(VLOOKUP($A155,'SegEnds_NonXtal_BW#'!$A:$Z,6,FALSE)+VLOOKUP($A155,A:AL,7,FALSE)-50))</f>
        <v>-</v>
      </c>
      <c r="I155" s="3">
        <f>VLOOKUP($A155,'SegEnds_NonXtal_BW#'!$A:$Z,7,FALSE)+J155-50</f>
        <v>74</v>
      </c>
      <c r="J155" s="3">
        <v>87</v>
      </c>
      <c r="K155" s="3">
        <f>VLOOKUP($A155,'SegEnds_NonXtal_BW#'!$A:$Z,8,FALSE)+VLOOKUP($A155,A:AL,10,FALSE)-50</f>
        <v>103</v>
      </c>
      <c r="L155" s="3">
        <f>M155-1</f>
        <v>106</v>
      </c>
      <c r="M155" s="3">
        <v>107</v>
      </c>
      <c r="N155" s="3">
        <f>M155+2</f>
        <v>109</v>
      </c>
      <c r="O155" s="3">
        <f>N155+1</f>
        <v>110</v>
      </c>
      <c r="P155" s="3">
        <v>139</v>
      </c>
      <c r="Q155" s="3">
        <f>VLOOKUP($A155,'SegEnds_NonXtal_BW#'!$A:$Z,12,FALSE)+VLOOKUP($A155,A:AL,16,FALSE)-50</f>
        <v>145</v>
      </c>
      <c r="R155" s="3">
        <f>IF(ISERROR(VLOOKUP($A155,'SegEnds_NonXtal_BW#'!$A:$Z,13,FALSE)+VLOOKUP($A155,A:AL,19,FALSE)-50),"-",VLOOKUP($A155,'SegEnds_NonXtal_BW#'!$A:$Z,13,FALSE)+VLOOKUP($A155,A:AL,19,FALSE)-50)</f>
        <v>146</v>
      </c>
      <c r="S155" s="3">
        <v>146</v>
      </c>
      <c r="T155" s="100">
        <f>IF(ISERROR(VLOOKUP($A155,'SegEnds_NonXtal_BW#'!$A:$Z,14,FALSE)+VLOOKUP($A155,A:AL,19,FALSE)-50),"-",(VLOOKUP($A155,'SegEnds_NonXtal_BW#'!$A:$Z,14,FALSE)+VLOOKUP($A155,A:AL,19,FALSE)-50))</f>
        <v>153</v>
      </c>
      <c r="U155" s="9">
        <f>IF(ISERROR(VLOOKUP($A155,'SegEnds_NonXtal_BW#'!$A:$Z,15,FALSE)+VLOOKUP($A155,A:AL,22,FALSE)-50),"-",VLOOKUP($A155,'SegEnds_NonXtal_BW#'!$A:$Z,15,FALSE)+VLOOKUP($A155,A:AL,22,FALSE)-50)</f>
        <v>154</v>
      </c>
      <c r="V155" s="3">
        <v>166</v>
      </c>
      <c r="W155" s="3">
        <f>IF(ISERROR(VLOOKUP($A155,'SegEnds_NonXtal_BW#'!$A:$Z,16,FALSE)+VLOOKUP($A155,A:AL,22,FALSE)-50),"-",(VLOOKUP($A155,'SegEnds_NonXtal_BW#'!$A:$Z,16,FALSE)+VLOOKUP($A155,A:AL,22,FALSE)-50))</f>
        <v>180</v>
      </c>
      <c r="X155" s="3">
        <f>IF(ISERROR(VLOOKUP($A155,'SegEnds_NonXtal_BW#'!$A:$Z,17,FALSE)+VLOOKUP($A155,A:AL,25,FALSE)-50),"-",(VLOOKUP($A155,'SegEnds_NonXtal_BW#'!$A:$Z,17,FALSE)+VLOOKUP($A155,A:AL,25,FALSE)-50))</f>
        <v>192</v>
      </c>
      <c r="Y155" s="3">
        <v>192</v>
      </c>
      <c r="Z155" s="3">
        <f>Y155+2</f>
        <v>194</v>
      </c>
      <c r="AA155" s="3">
        <f>IF(ISERROR(VLOOKUP($A155,'SegEnds_NonXtal_BW#'!$A:$Z,19,FALSE)+VLOOKUP($A155,A:AL,28,FALSE)-50),"-",(VLOOKUP($A155,'SegEnds_NonXtal_BW#'!$A:$Z,19,FALSE)+VLOOKUP($A155,A:AL,28,FALSE)-50))</f>
        <v>198</v>
      </c>
      <c r="AB155" s="3">
        <v>218</v>
      </c>
      <c r="AC155" s="3">
        <f>IF(ISERROR((VLOOKUP($A155,'SegEnds_NonXtal_BW#'!$A:$Z,20,FALSE)+VLOOKUP($A155,A:AL,28,FALSE)-50)),"-",(VLOOKUP($A155,'SegEnds_NonXtal_BW#'!$A:$Z,20,FALSE)+VLOOKUP($A155,A:AL,28,FALSE)-50))</f>
        <v>236</v>
      </c>
      <c r="AD155" s="3">
        <f>IF(ISERROR(VLOOKUP($A155,'SegEnds_NonXtal_BW#'!$A:$Z,21,FALSE)+VLOOKUP($A155,A:AL,31,FALSE)-50),"-",(VLOOKUP($A155,'SegEnds_NonXtal_BW#'!$A:$Z,21,FALSE)+VLOOKUP($A155,A:AL,31,FALSE)-50))</f>
        <v>241</v>
      </c>
      <c r="AE155" s="3">
        <v>267</v>
      </c>
      <c r="AF155" s="3">
        <f>IF(ISERROR((VLOOKUP($A155,'SegEnds_NonXtal_BW#'!$A:$Z,22,FALSE)+VLOOKUP($A155,A:AL,31,FALSE)-50)),"-",(VLOOKUP($A155,'SegEnds_NonXtal_BW#'!$A:$Z,22,FALSE)+VLOOKUP($A155,A:AL,31,FALSE)-50))</f>
        <v>281</v>
      </c>
      <c r="AG155" s="3">
        <f>IF(ISERROR(VLOOKUP($A155,'SegEnds_NonXtal_BW#'!$A:$Z,23,FALSE)+VLOOKUP($A155,A:AL,34,FALSE)-50),"-",(VLOOKUP($A155,'SegEnds_NonXtal_BW#'!$A:$Z,23,FALSE)+VLOOKUP($A155,A:AL,34,FALSE)-50))</f>
        <v>285</v>
      </c>
      <c r="AH155" s="3">
        <v>311</v>
      </c>
      <c r="AI155" s="3">
        <f>IF(ISERROR((VLOOKUP($A155,'SegEnds_NonXtal_BW#'!$A:$Z,24,FALSE)+VLOOKUP($A155,A:AL,34,FALSE)-50)),"-",(VLOOKUP($A155,'SegEnds_NonXtal_BW#'!$A:$Z,24,FALSE)+VLOOKUP($A155,A:AL,34,FALSE)-50))</f>
        <v>317</v>
      </c>
      <c r="AJ155" s="3">
        <f>IF(ISERROR(VLOOKUP($A155,'SegEnds_NonXtal_BW#'!$A:$Z,25,FALSE)+VLOOKUP($A155,A:AL,37,FALSE)-50),"-",(VLOOKUP($A155,'SegEnds_NonXtal_BW#'!$A:$Z,25,FALSE)+VLOOKUP($A155,A:AL,37,FALSE)-50))</f>
        <v>318</v>
      </c>
      <c r="AK155" s="3">
        <v>321</v>
      </c>
      <c r="AL155" s="3">
        <f>IF(ISERROR((VLOOKUP($A155,'SegEnds_NonXtal_BW#'!$A:$Z,26,FALSE)+VLOOKUP($A155,A:AL,37,FALSE)-50)),"-",(VLOOKUP($A155,'SegEnds_NonXtal_BW#'!$A:$Z,26,FALSE)+VLOOKUP($A155,A:AL,37,FALSE)-50))</f>
        <v>328</v>
      </c>
      <c r="AM155" s="28" t="str">
        <f>VLOOKUP(A155,Classification!A:B,2,FALSE)</f>
        <v>A</v>
      </c>
      <c r="AN155" s="28" t="b">
        <f t="shared" si="98"/>
        <v>1</v>
      </c>
      <c r="AO155" s="3" t="str">
        <f>IF(ISERROR(MATCH(A155,'SegEnds_Xtal_Prot#'!B:B, 0)), "NoXtal", "Xtal")</f>
        <v>NoXtal</v>
      </c>
      <c r="AP155" s="3" t="str">
        <f t="shared" si="81"/>
        <v>-</v>
      </c>
      <c r="AQ155" s="3" t="str">
        <f t="shared" si="82"/>
        <v>-</v>
      </c>
      <c r="AR155" s="3">
        <f t="shared" si="83"/>
        <v>3</v>
      </c>
      <c r="AS155" s="3">
        <f t="shared" si="84"/>
        <v>1</v>
      </c>
      <c r="AT155" s="3">
        <f t="shared" si="85"/>
        <v>1</v>
      </c>
      <c r="AU155" s="3">
        <f t="shared" si="86"/>
        <v>1</v>
      </c>
      <c r="AV155" s="3">
        <f t="shared" si="87"/>
        <v>12</v>
      </c>
      <c r="AW155" s="3">
        <f t="shared" si="88"/>
        <v>4</v>
      </c>
      <c r="AX155" s="3">
        <f t="shared" si="89"/>
        <v>5</v>
      </c>
      <c r="AY155" s="3">
        <f t="shared" si="90"/>
        <v>4</v>
      </c>
      <c r="AZ155" s="3">
        <f t="shared" si="91"/>
        <v>1</v>
      </c>
      <c r="BA155" s="3">
        <f>IF(ISERROR(LEN(VLOOKUP(A155,Seqs!A:E,2,FALSE))-AL155),"-",LEN(VLOOKUP(A155,Seqs!A:E,2,FALSE))-AL155)</f>
        <v>30</v>
      </c>
      <c r="BB155" s="16">
        <f t="shared" si="92"/>
        <v>27</v>
      </c>
      <c r="BC155" s="9">
        <f t="shared" si="93"/>
        <v>20</v>
      </c>
      <c r="BD155" s="3">
        <f t="shared" si="94"/>
        <v>27</v>
      </c>
      <c r="BE155" s="3">
        <f t="shared" si="95"/>
        <v>49</v>
      </c>
    </row>
    <row r="156" spans="1:58" s="3" customFormat="1" x14ac:dyDescent="0.2">
      <c r="A156" s="3" t="s">
        <v>272</v>
      </c>
      <c r="B156" s="3" t="str">
        <f>LOWER(VLOOKUP(A156,Xtal_Templ!A:B,2,FALSE))</f>
        <v>ox1r_human</v>
      </c>
      <c r="C156" s="3">
        <f>VLOOKUP($A156,'SegEnds_NonXtal_BW#'!$A:$Z,3,FALSE)+D156-50</f>
        <v>31</v>
      </c>
      <c r="D156" s="3">
        <v>49</v>
      </c>
      <c r="E156" s="3">
        <f>IF(ISERROR(VLOOKUP($A156,'SegEnds_NonXtal_BW#'!$A:$Z,4,FALSE)+VLOOKUP($A156,A:AL,4,FALSE)-50),"-",(VLOOKUP($A156,'SegEnds_NonXtal_BW#'!$A:$Z,4,FALSE)+VLOOKUP($A156,A:AL,4,FALSE)-50))</f>
        <v>59</v>
      </c>
      <c r="F156" s="3">
        <f>G156-2</f>
        <v>60</v>
      </c>
      <c r="G156" s="3">
        <v>62</v>
      </c>
      <c r="H156" s="3">
        <f>G156+1</f>
        <v>63</v>
      </c>
      <c r="I156" s="3">
        <f>H156+1</f>
        <v>64</v>
      </c>
      <c r="J156" s="3">
        <v>77</v>
      </c>
      <c r="K156" s="3">
        <f>VLOOKUP($A156,'SegEnds_NonXtal_BW#'!$A:$Z,8,FALSE)+VLOOKUP($A156,A:AL,10,FALSE)-50</f>
        <v>95</v>
      </c>
      <c r="L156" s="3" t="str">
        <f>IF(ISERROR(VLOOKUP($A156,'SegEnds_NonXtal_BW#'!$A:$Z,9,FALSE)+VLOOKUP($A156,A:AL,13,FALSE)-50),"-",(VLOOKUP($A156,'SegEnds_NonXtal_BW#'!$A:$Z,9,FALSE)+VLOOKUP($A156,A:AL,13,FALSE)-50))</f>
        <v>-</v>
      </c>
      <c r="M156" s="3" t="s">
        <v>23</v>
      </c>
      <c r="N156" s="3" t="str">
        <f>IF(ISERROR(VLOOKUP($A156,'SegEnds_NonXtal_BW#'!$A:$Z,10,FALSE)+VLOOKUP($A156,A:AL,13,FALSE)-50),"-",(VLOOKUP($A156,'SegEnds_NonXtal_BW#'!$A:$Z,10,FALSE)+VLOOKUP($A156,A:AL,13,FALSE)-50))</f>
        <v>-</v>
      </c>
      <c r="O156" s="3">
        <f>VLOOKUP($A156,'SegEnds_NonXtal_BW#'!$A:$Z,11,FALSE)+VLOOKUP($A156,A:AL,16,FALSE)-50</f>
        <v>106</v>
      </c>
      <c r="P156" s="3">
        <v>138</v>
      </c>
      <c r="Q156" s="3">
        <f>VLOOKUP($A156,'SegEnds_NonXtal_BW#'!$A:$Z,12,FALSE)+VLOOKUP($A156,A:AL,16,FALSE)-50</f>
        <v>144</v>
      </c>
      <c r="R156" s="3">
        <f>IF(ISERROR(VLOOKUP($A156,'SegEnds_NonXtal_BW#'!$A:$Z,13,FALSE)+VLOOKUP($A156,A:AL,19,FALSE)-50),"-",VLOOKUP($A156,'SegEnds_NonXtal_BW#'!$A:$Z,13,FALSE)+VLOOKUP($A156,A:AL,19,FALSE)-50)</f>
        <v>146</v>
      </c>
      <c r="S156" s="3">
        <v>146</v>
      </c>
      <c r="T156" s="100">
        <f>IF(ISERROR(VLOOKUP($A156,'SegEnds_NonXtal_BW#'!$A:$Z,14,FALSE)+VLOOKUP($A156,A:AL,19,FALSE)-50),"-",(VLOOKUP($A156,'SegEnds_NonXtal_BW#'!$A:$Z,14,FALSE)+VLOOKUP($A156,A:AL,19,FALSE)-50))</f>
        <v>153</v>
      </c>
      <c r="U156" s="9">
        <f>IF(ISERROR(VLOOKUP($A156,'SegEnds_NonXtal_BW#'!$A:$Z,15,FALSE)+VLOOKUP($A156,A:AL,22,FALSE)-50),"-",VLOOKUP($A156,'SegEnds_NonXtal_BW#'!$A:$Z,15,FALSE)+VLOOKUP($A156,A:AL,22,FALSE)-50)</f>
        <v>154</v>
      </c>
      <c r="V156" s="3">
        <v>166</v>
      </c>
      <c r="W156" s="3">
        <f>IF(ISERROR(VLOOKUP($A156,'SegEnds_NonXtal_BW#'!$A:$Z,16,FALSE)+VLOOKUP($A156,A:AL,22,FALSE)-50),"-",(VLOOKUP($A156,'SegEnds_NonXtal_BW#'!$A:$Z,16,FALSE)+VLOOKUP($A156,A:AL,22,FALSE)-50))</f>
        <v>180</v>
      </c>
      <c r="X156" s="3" t="str">
        <f>IF(ISERROR(VLOOKUP($A156,'SegEnds_NonXtal_BW#'!$A:$Z,17,FALSE)+VLOOKUP($A156,A:AL,25,FALSE)-50),"-",(VLOOKUP($A156,'SegEnds_NonXtal_BW#'!$A:$Z,17,FALSE)+VLOOKUP($A156,A:AL,25,FALSE)-50))</f>
        <v>-</v>
      </c>
      <c r="Y156" s="3" t="s">
        <v>23</v>
      </c>
      <c r="Z156" s="3" t="str">
        <f>IF(ISERROR(VLOOKUP($A156,'SegEnds_NonXtal_BW#'!$A:$Z,18,FALSE)+VLOOKUP($A156,A:AL,25,FALSE)-50),"-",(VLOOKUP($A156,'SegEnds_NonXtal_BW#'!$A:$Z,18,FALSE)+VLOOKUP($A156,A:AL,25,FALSE)-50))</f>
        <v>-</v>
      </c>
      <c r="AA156" s="3">
        <f>IF(ISERROR(VLOOKUP($A156,'SegEnds_NonXtal_BW#'!$A:$Z,19,FALSE)+VLOOKUP($A156,A:AL,28,FALSE)-50),"-",(VLOOKUP($A156,'SegEnds_NonXtal_BW#'!$A:$Z,19,FALSE)+VLOOKUP($A156,A:AL,28,FALSE)-50))</f>
        <v>223</v>
      </c>
      <c r="AB156" s="3">
        <v>238</v>
      </c>
      <c r="AC156" s="3">
        <f>IF(ISERROR((VLOOKUP($A156,'SegEnds_NonXtal_BW#'!$A:$Z,20,FALSE)+VLOOKUP($A156,A:AL,28,FALSE)-50)),"-",(VLOOKUP($A156,'SegEnds_NonXtal_BW#'!$A:$Z,20,FALSE)+VLOOKUP($A156,A:AL,28,FALSE)-50))</f>
        <v>262</v>
      </c>
      <c r="AD156" s="3">
        <f>IF(ISERROR(VLOOKUP($A156,'SegEnds_NonXtal_BW#'!$A:$Z,21,FALSE)+VLOOKUP($A156,A:AL,31,FALSE)-50),"-",(VLOOKUP($A156,'SegEnds_NonXtal_BW#'!$A:$Z,21,FALSE)+VLOOKUP($A156,A:AL,31,FALSE)-50))</f>
        <v>270</v>
      </c>
      <c r="AE156" s="3">
        <v>299</v>
      </c>
      <c r="AF156" s="3">
        <f>IF(ISERROR((VLOOKUP($A156,'SegEnds_NonXtal_BW#'!$A:$Z,22,FALSE)+VLOOKUP($A156,A:AL,31,FALSE)-50)),"-",(VLOOKUP($A156,'SegEnds_NonXtal_BW#'!$A:$Z,22,FALSE)+VLOOKUP($A156,A:AL,31,FALSE)-50))</f>
        <v>310</v>
      </c>
      <c r="AG156" s="3">
        <f>IF(ISERROR(VLOOKUP($A156,'SegEnds_NonXtal_BW#'!$A:$Z,23,FALSE)+VLOOKUP($A156,A:AL,34,FALSE)-50),"-",(VLOOKUP($A156,'SegEnds_NonXtal_BW#'!$A:$Z,23,FALSE)+VLOOKUP($A156,A:AL,34,FALSE)-50))</f>
        <v>315</v>
      </c>
      <c r="AH156" s="3">
        <v>333</v>
      </c>
      <c r="AI156" s="3">
        <f>IF(ISERROR((VLOOKUP($A156,'SegEnds_NonXtal_BW#'!$A:$Z,24,FALSE)+VLOOKUP($A156,A:AL,34,FALSE)-50)),"-",(VLOOKUP($A156,'SegEnds_NonXtal_BW#'!$A:$Z,24,FALSE)+VLOOKUP($A156,A:AL,34,FALSE)-50))</f>
        <v>339</v>
      </c>
      <c r="AJ156" s="3">
        <f>IF(ISERROR(VLOOKUP($A156,'SegEnds_NonXtal_BW#'!$A:$Z,25,FALSE)+VLOOKUP($A156,A:AL,37,FALSE)-50),"-",(VLOOKUP($A156,'SegEnds_NonXtal_BW#'!$A:$Z,25,FALSE)+VLOOKUP($A156,A:AL,37,FALSE)-50))</f>
        <v>340</v>
      </c>
      <c r="AK156" s="3">
        <v>343</v>
      </c>
      <c r="AL156" s="3">
        <f>IF(ISERROR((VLOOKUP($A156,'SegEnds_NonXtal_BW#'!$A:$Z,26,FALSE)+VLOOKUP($A156,A:AL,37,FALSE)-50)),"-",(VLOOKUP($A156,'SegEnds_NonXtal_BW#'!$A:$Z,26,FALSE)+VLOOKUP($A156,A:AL,37,FALSE)-50))</f>
        <v>356</v>
      </c>
      <c r="AM156" s="28" t="str">
        <f>VLOOKUP(A156,Classification!A:B,2,FALSE)</f>
        <v>A</v>
      </c>
      <c r="AN156" s="28" t="b">
        <f t="shared" si="98"/>
        <v>1</v>
      </c>
      <c r="AO156" s="3" t="str">
        <f>IF(ISERROR(MATCH(A156,'SegEnds_Xtal_Prot#'!B:B, 0)), "NoXtal", "Xtal")</f>
        <v>NoXtal</v>
      </c>
      <c r="AP156" s="3">
        <f t="shared" si="81"/>
        <v>1</v>
      </c>
      <c r="AQ156" s="3">
        <f t="shared" si="82"/>
        <v>1</v>
      </c>
      <c r="AR156" s="3" t="str">
        <f t="shared" si="83"/>
        <v>-</v>
      </c>
      <c r="AS156" s="3" t="str">
        <f t="shared" si="84"/>
        <v>-</v>
      </c>
      <c r="AT156" s="3">
        <f t="shared" si="85"/>
        <v>2</v>
      </c>
      <c r="AU156" s="3">
        <f t="shared" si="86"/>
        <v>1</v>
      </c>
      <c r="AV156" s="3" t="str">
        <f t="shared" si="87"/>
        <v>-</v>
      </c>
      <c r="AW156" s="3" t="str">
        <f t="shared" si="88"/>
        <v>-</v>
      </c>
      <c r="AX156" s="3">
        <f t="shared" si="89"/>
        <v>8</v>
      </c>
      <c r="AY156" s="3">
        <f t="shared" si="90"/>
        <v>5</v>
      </c>
      <c r="AZ156" s="3">
        <f t="shared" si="91"/>
        <v>1</v>
      </c>
      <c r="BA156" s="3">
        <f>IF(ISERROR(LEN(VLOOKUP(A156,Seqs!A:E,2,FALSE))-AL156),"-",LEN(VLOOKUP(A156,Seqs!A:E,2,FALSE))-AL156)</f>
        <v>28</v>
      </c>
      <c r="BB156" s="16">
        <f t="shared" si="92"/>
        <v>28</v>
      </c>
      <c r="BC156" s="9">
        <f t="shared" si="93"/>
        <v>20</v>
      </c>
      <c r="BD156" s="3">
        <f t="shared" si="94"/>
        <v>28</v>
      </c>
      <c r="BE156" s="3">
        <f t="shared" si="95"/>
        <v>61</v>
      </c>
    </row>
    <row r="157" spans="1:58" s="3" customFormat="1" x14ac:dyDescent="0.2">
      <c r="A157" s="3" t="s">
        <v>273</v>
      </c>
      <c r="B157" s="3" t="str">
        <f>LOWER(VLOOKUP(A157,Xtal_Templ!A:B,2,FALSE))</f>
        <v>ednrb_human</v>
      </c>
      <c r="C157" s="3">
        <f>VLOOKUP($A157,'SegEnds_NonXtal_BW#'!$A:$Z,3,FALSE)+D157-50</f>
        <v>30</v>
      </c>
      <c r="D157" s="3">
        <v>58</v>
      </c>
      <c r="E157" s="3">
        <f>IF(ISERROR(VLOOKUP($A157,'SegEnds_NonXtal_BW#'!$A:$Z,4,FALSE)+VLOOKUP($A157,A:AL,4,FALSE)-50),"-",(VLOOKUP($A157,'SegEnds_NonXtal_BW#'!$A:$Z,4,FALSE)+VLOOKUP($A157,A:AL,4,FALSE)-50))</f>
        <v>68</v>
      </c>
      <c r="F157" s="3">
        <f>G157-2</f>
        <v>69</v>
      </c>
      <c r="G157" s="3">
        <v>71</v>
      </c>
      <c r="H157" s="3">
        <f>G157+1</f>
        <v>72</v>
      </c>
      <c r="I157" s="3">
        <f>H157+1</f>
        <v>73</v>
      </c>
      <c r="J157" s="3">
        <v>86</v>
      </c>
      <c r="K157" s="3">
        <f>VLOOKUP($A157,'SegEnds_NonXtal_BW#'!$A:$Z,8,FALSE)+VLOOKUP($A157,A:AL,10,FALSE)-50</f>
        <v>103</v>
      </c>
      <c r="L157" s="3">
        <f t="shared" ref="L157:L163" si="100">M157-1</f>
        <v>105</v>
      </c>
      <c r="M157" s="3">
        <v>106</v>
      </c>
      <c r="N157" s="3">
        <f t="shared" ref="N157:N163" si="101">M157+2</f>
        <v>108</v>
      </c>
      <c r="O157" s="3">
        <f t="shared" ref="O157:O163" si="102">N157+1</f>
        <v>109</v>
      </c>
      <c r="P157" s="3">
        <v>138</v>
      </c>
      <c r="Q157" s="3">
        <f>VLOOKUP($A157,'SegEnds_NonXtal_BW#'!$A:$Z,12,FALSE)+VLOOKUP($A157,A:AL,16,FALSE)-50</f>
        <v>144</v>
      </c>
      <c r="R157" s="3">
        <f>IF(ISERROR(VLOOKUP($A157,'SegEnds_NonXtal_BW#'!$A:$Z,13,FALSE)+VLOOKUP($A157,A:AL,19,FALSE)-50),"-",VLOOKUP($A157,'SegEnds_NonXtal_BW#'!$A:$Z,13,FALSE)+VLOOKUP($A157,A:AL,19,FALSE)-50)</f>
        <v>145</v>
      </c>
      <c r="S157" s="3">
        <v>145</v>
      </c>
      <c r="T157" s="100">
        <f>IF(ISERROR(VLOOKUP($A157,'SegEnds_NonXtal_BW#'!$A:$Z,14,FALSE)+VLOOKUP($A157,A:AL,19,FALSE)-50),"-",(VLOOKUP($A157,'SegEnds_NonXtal_BW#'!$A:$Z,14,FALSE)+VLOOKUP($A157,A:AL,19,FALSE)-50))</f>
        <v>152</v>
      </c>
      <c r="U157" s="9">
        <f>IF(ISERROR(VLOOKUP($A157,'SegEnds_NonXtal_BW#'!$A:$Z,15,FALSE)+VLOOKUP($A157,A:AL,22,FALSE)-50),"-",VLOOKUP($A157,'SegEnds_NonXtal_BW#'!$A:$Z,15,FALSE)+VLOOKUP($A157,A:AL,22,FALSE)-50)</f>
        <v>153</v>
      </c>
      <c r="V157" s="3">
        <v>165</v>
      </c>
      <c r="W157" s="3">
        <f>IF(ISERROR(VLOOKUP($A157,'SegEnds_NonXtal_BW#'!$A:$Z,16,FALSE)+VLOOKUP($A157,A:AL,22,FALSE)-50),"-",(VLOOKUP($A157,'SegEnds_NonXtal_BW#'!$A:$Z,16,FALSE)+VLOOKUP($A157,A:AL,22,FALSE)-50))</f>
        <v>179</v>
      </c>
      <c r="X157" s="3">
        <f>IF(ISERROR(VLOOKUP($A157,'SegEnds_NonXtal_BW#'!$A:$Z,17,FALSE)+VLOOKUP($A157,A:AL,25,FALSE)-50),"-",(VLOOKUP($A157,'SegEnds_NonXtal_BW#'!$A:$Z,17,FALSE)+VLOOKUP($A157,A:AL,25,FALSE)-50))</f>
        <v>196</v>
      </c>
      <c r="Y157" s="3">
        <v>196</v>
      </c>
      <c r="Z157" s="3">
        <f t="shared" ref="Z157:Z172" si="103">Y157+2</f>
        <v>198</v>
      </c>
      <c r="AA157" s="3">
        <f>IF(ISERROR(VLOOKUP($A157,'SegEnds_NonXtal_BW#'!$A:$Z,19,FALSE)+VLOOKUP($A157,A:AL,28,FALSE)-50),"-",(VLOOKUP($A157,'SegEnds_NonXtal_BW#'!$A:$Z,19,FALSE)+VLOOKUP($A157,A:AL,28,FALSE)-50))</f>
        <v>200</v>
      </c>
      <c r="AB157" s="3">
        <v>222</v>
      </c>
      <c r="AC157" s="3">
        <f>IF(ISERROR((VLOOKUP($A157,'SegEnds_NonXtal_BW#'!$A:$Z,20,FALSE)+VLOOKUP($A157,A:AL,28,FALSE)-50)),"-",(VLOOKUP($A157,'SegEnds_NonXtal_BW#'!$A:$Z,20,FALSE)+VLOOKUP($A157,A:AL,28,FALSE)-50))</f>
        <v>245</v>
      </c>
      <c r="AD157" s="3">
        <f>IF(ISERROR(VLOOKUP($A157,'SegEnds_NonXtal_BW#'!$A:$Z,21,FALSE)+VLOOKUP($A157,A:AL,31,FALSE)-50),"-",(VLOOKUP($A157,'SegEnds_NonXtal_BW#'!$A:$Z,21,FALSE)+VLOOKUP($A157,A:AL,31,FALSE)-50))</f>
        <v>251</v>
      </c>
      <c r="AE157" s="3">
        <v>279</v>
      </c>
      <c r="AF157" s="3">
        <f>IF(ISERROR((VLOOKUP($A157,'SegEnds_NonXtal_BW#'!$A:$Z,22,FALSE)+VLOOKUP($A157,A:AL,31,FALSE)-50)),"-",(VLOOKUP($A157,'SegEnds_NonXtal_BW#'!$A:$Z,22,FALSE)+VLOOKUP($A157,A:AL,31,FALSE)-50))</f>
        <v>290</v>
      </c>
      <c r="AG157" s="3">
        <f>IF(ISERROR(VLOOKUP($A157,'SegEnds_NonXtal_BW#'!$A:$Z,23,FALSE)+VLOOKUP($A157,A:AL,34,FALSE)-50),"-",(VLOOKUP($A157,'SegEnds_NonXtal_BW#'!$A:$Z,23,FALSE)+VLOOKUP($A157,A:AL,34,FALSE)-50))</f>
        <v>297</v>
      </c>
      <c r="AH157" s="3">
        <v>319</v>
      </c>
      <c r="AI157" s="3">
        <f>IF(ISERROR((VLOOKUP($A157,'SegEnds_NonXtal_BW#'!$A:$Z,24,FALSE)+VLOOKUP($A157,A:AL,34,FALSE)-50)),"-",(VLOOKUP($A157,'SegEnds_NonXtal_BW#'!$A:$Z,24,FALSE)+VLOOKUP($A157,A:AL,34,FALSE)-50))</f>
        <v>325</v>
      </c>
      <c r="AJ157" s="3">
        <f>IF(ISERROR(VLOOKUP($A157,'SegEnds_NonXtal_BW#'!$A:$Z,25,FALSE)+VLOOKUP($A157,A:AL,37,FALSE)-50),"-",(VLOOKUP($A157,'SegEnds_NonXtal_BW#'!$A:$Z,25,FALSE)+VLOOKUP($A157,A:AL,37,FALSE)-50))</f>
        <v>326</v>
      </c>
      <c r="AK157" s="3">
        <v>329</v>
      </c>
      <c r="AL157" s="3">
        <f>IF(ISERROR((VLOOKUP($A157,'SegEnds_NonXtal_BW#'!$A:$Z,26,FALSE)+VLOOKUP($A157,A:AL,37,FALSE)-50)),"-",(VLOOKUP($A157,'SegEnds_NonXtal_BW#'!$A:$Z,26,FALSE)+VLOOKUP($A157,A:AL,37,FALSE)-50))</f>
        <v>339</v>
      </c>
      <c r="AM157" s="28" t="str">
        <f>VLOOKUP(A157,Classification!A:B,2,FALSE)</f>
        <v>A</v>
      </c>
      <c r="AN157" s="28" t="b">
        <f t="shared" si="98"/>
        <v>1</v>
      </c>
      <c r="AO157" s="3" t="str">
        <f>IF(ISERROR(MATCH(A157,'SegEnds_Xtal_Prot#'!B:B, 0)), "NoXtal", "Xtal")</f>
        <v>NoXtal</v>
      </c>
      <c r="AP157" s="3">
        <f t="shared" si="81"/>
        <v>1</v>
      </c>
      <c r="AQ157" s="3">
        <f t="shared" si="82"/>
        <v>1</v>
      </c>
      <c r="AR157" s="3">
        <f t="shared" si="83"/>
        <v>2</v>
      </c>
      <c r="AS157" s="3">
        <f t="shared" si="84"/>
        <v>1</v>
      </c>
      <c r="AT157" s="3">
        <f t="shared" si="85"/>
        <v>1</v>
      </c>
      <c r="AU157" s="3">
        <f t="shared" si="86"/>
        <v>1</v>
      </c>
      <c r="AV157" s="3">
        <f t="shared" si="87"/>
        <v>17</v>
      </c>
      <c r="AW157" s="3">
        <f t="shared" si="88"/>
        <v>2</v>
      </c>
      <c r="AX157" s="3">
        <f t="shared" si="89"/>
        <v>6</v>
      </c>
      <c r="AY157" s="3">
        <f t="shared" si="90"/>
        <v>7</v>
      </c>
      <c r="AZ157" s="3">
        <f t="shared" si="91"/>
        <v>1</v>
      </c>
      <c r="BA157" s="3">
        <f>IF(ISERROR(LEN(VLOOKUP(A157,Seqs!A:E,2,FALSE))-AL157),"-",LEN(VLOOKUP(A157,Seqs!A:E,2,FALSE))-AL157)</f>
        <v>45</v>
      </c>
      <c r="BB157" s="16">
        <f t="shared" si="92"/>
        <v>28</v>
      </c>
      <c r="BC157" s="9">
        <f t="shared" si="93"/>
        <v>20</v>
      </c>
      <c r="BD157" s="3">
        <f t="shared" si="94"/>
        <v>28</v>
      </c>
      <c r="BE157" s="3">
        <f t="shared" si="95"/>
        <v>57</v>
      </c>
    </row>
    <row r="158" spans="1:58" s="3" customFormat="1" x14ac:dyDescent="0.2">
      <c r="A158" s="3" t="s">
        <v>274</v>
      </c>
      <c r="B158" s="3" t="str">
        <f>LOWER(VLOOKUP(A158,Xtal_Templ!A:B,2,FALSE))</f>
        <v>p2ry1_human</v>
      </c>
      <c r="C158" s="3">
        <f>VLOOKUP($A158,'SegEnds_NonXtal_BW#'!$A:$Z,3,FALSE)+D158-50</f>
        <v>13</v>
      </c>
      <c r="D158" s="3">
        <v>33</v>
      </c>
      <c r="E158" s="3">
        <f>IF(ISERROR(VLOOKUP($A158,'SegEnds_NonXtal_BW#'!$A:$Z,4,FALSE)+VLOOKUP($A158,A:AL,4,FALSE)-50),"-",(VLOOKUP($A158,'SegEnds_NonXtal_BW#'!$A:$Z,4,FALSE)+VLOOKUP($A158,A:AL,4,FALSE)-50))</f>
        <v>43</v>
      </c>
      <c r="F158" s="3" t="str">
        <f>IF(ISERROR(VLOOKUP($A158,'SegEnds_NonXtal_BW#'!$A:$Z,5,FALSE)+VLOOKUP($A158,A:AL,7,FALSE)-50),"-",(VLOOKUP($A158,'SegEnds_NonXtal_BW#'!$A:$Z,5,FALSE)+VLOOKUP($A158,A:AL,7,FALSE)-50))</f>
        <v>-</v>
      </c>
      <c r="G158" s="3" t="s">
        <v>23</v>
      </c>
      <c r="H158" s="3" t="str">
        <f>IF(ISERROR(VLOOKUP($A158,'SegEnds_NonXtal_BW#'!$A:$Z,6,FALSE)+VLOOKUP($A158,A:AL,7,FALSE)-50),"-",(VLOOKUP($A158,'SegEnds_NonXtal_BW#'!$A:$Z,6,FALSE)+VLOOKUP($A158,A:AL,7,FALSE)-50))</f>
        <v>-</v>
      </c>
      <c r="I158" s="3">
        <f>VLOOKUP($A158,'SegEnds_NonXtal_BW#'!$A:$Z,7,FALSE)+J158-50</f>
        <v>48</v>
      </c>
      <c r="J158" s="3">
        <v>61</v>
      </c>
      <c r="K158" s="3">
        <f>VLOOKUP($A158,'SegEnds_NonXtal_BW#'!$A:$Z,8,FALSE)+VLOOKUP($A158,A:AL,10,FALSE)-50</f>
        <v>77</v>
      </c>
      <c r="L158" s="3">
        <f t="shared" si="100"/>
        <v>80</v>
      </c>
      <c r="M158" s="3">
        <v>81</v>
      </c>
      <c r="N158" s="3">
        <f t="shared" si="101"/>
        <v>83</v>
      </c>
      <c r="O158" s="3">
        <f t="shared" si="102"/>
        <v>84</v>
      </c>
      <c r="P158" s="3">
        <v>113</v>
      </c>
      <c r="Q158" s="3">
        <f>VLOOKUP($A158,'SegEnds_NonXtal_BW#'!$A:$Z,12,FALSE)+VLOOKUP($A158,A:AL,16,FALSE)-50</f>
        <v>119</v>
      </c>
      <c r="R158" s="3">
        <f>IF(ISERROR(VLOOKUP($A158,'SegEnds_NonXtal_BW#'!$A:$Z,13,FALSE)+VLOOKUP($A158,A:AL,19,FALSE)-50),"-",VLOOKUP($A158,'SegEnds_NonXtal_BW#'!$A:$Z,13,FALSE)+VLOOKUP($A158,A:AL,19,FALSE)-50)</f>
        <v>120</v>
      </c>
      <c r="S158" s="3">
        <v>120</v>
      </c>
      <c r="T158" s="100">
        <f>IF(ISERROR(VLOOKUP($A158,'SegEnds_NonXtal_BW#'!$A:$Z,14,FALSE)+VLOOKUP($A158,A:AL,19,FALSE)-50),"-",(VLOOKUP($A158,'SegEnds_NonXtal_BW#'!$A:$Z,14,FALSE)+VLOOKUP($A158,A:AL,19,FALSE)-50))</f>
        <v>127</v>
      </c>
      <c r="U158" s="9">
        <f>IF(ISERROR(VLOOKUP($A158,'SegEnds_NonXtal_BW#'!$A:$Z,15,FALSE)+VLOOKUP($A158,A:AL,22,FALSE)-50),"-",VLOOKUP($A158,'SegEnds_NonXtal_BW#'!$A:$Z,15,FALSE)+VLOOKUP($A158,A:AL,22,FALSE)-50)</f>
        <v>128</v>
      </c>
      <c r="V158" s="3">
        <v>140</v>
      </c>
      <c r="W158" s="3">
        <f>IF(ISERROR(VLOOKUP($A158,'SegEnds_NonXtal_BW#'!$A:$Z,16,FALSE)+VLOOKUP($A158,A:AL,22,FALSE)-50),"-",(VLOOKUP($A158,'SegEnds_NonXtal_BW#'!$A:$Z,16,FALSE)+VLOOKUP($A158,A:AL,22,FALSE)-50))</f>
        <v>154</v>
      </c>
      <c r="X158" s="3">
        <f>IF(ISERROR(VLOOKUP($A158,'SegEnds_NonXtal_BW#'!$A:$Z,17,FALSE)+VLOOKUP($A158,A:AL,25,FALSE)-50),"-",(VLOOKUP($A158,'SegEnds_NonXtal_BW#'!$A:$Z,17,FALSE)+VLOOKUP($A158,A:AL,25,FALSE)-50))</f>
        <v>165</v>
      </c>
      <c r="Y158" s="3">
        <v>165</v>
      </c>
      <c r="Z158" s="3">
        <f t="shared" si="103"/>
        <v>167</v>
      </c>
      <c r="AA158" s="3">
        <f>IF(ISERROR(VLOOKUP($A158,'SegEnds_NonXtal_BW#'!$A:$Z,19,FALSE)+VLOOKUP($A158,A:AL,28,FALSE)-50),"-",(VLOOKUP($A158,'SegEnds_NonXtal_BW#'!$A:$Z,19,FALSE)+VLOOKUP($A158,A:AL,28,FALSE)-50))</f>
        <v>170</v>
      </c>
      <c r="AB158" s="3">
        <v>188</v>
      </c>
      <c r="AC158" s="3">
        <f>IF(ISERROR((VLOOKUP($A158,'SegEnds_NonXtal_BW#'!$A:$Z,20,FALSE)+VLOOKUP($A158,A:AL,28,FALSE)-50)),"-",(VLOOKUP($A158,'SegEnds_NonXtal_BW#'!$A:$Z,20,FALSE)+VLOOKUP($A158,A:AL,28,FALSE)-50))</f>
        <v>205</v>
      </c>
      <c r="AD158" s="3">
        <f>IF(ISERROR(VLOOKUP($A158,'SegEnds_NonXtal_BW#'!$A:$Z,21,FALSE)+VLOOKUP($A158,A:AL,31,FALSE)-50),"-",(VLOOKUP($A158,'SegEnds_NonXtal_BW#'!$A:$Z,21,FALSE)+VLOOKUP($A158,A:AL,31,FALSE)-50))</f>
        <v>211</v>
      </c>
      <c r="AE158" s="3">
        <v>235</v>
      </c>
      <c r="AF158" s="3">
        <f>IF(ISERROR((VLOOKUP($A158,'SegEnds_NonXtal_BW#'!$A:$Z,22,FALSE)+VLOOKUP($A158,A:AL,31,FALSE)-50)),"-",(VLOOKUP($A158,'SegEnds_NonXtal_BW#'!$A:$Z,22,FALSE)+VLOOKUP($A158,A:AL,31,FALSE)-50))</f>
        <v>246</v>
      </c>
      <c r="AG158" s="3">
        <f>IF(ISERROR(VLOOKUP($A158,'SegEnds_NonXtal_BW#'!$A:$Z,23,FALSE)+VLOOKUP($A158,A:AL,34,FALSE)-50),"-",(VLOOKUP($A158,'SegEnds_NonXtal_BW#'!$A:$Z,23,FALSE)+VLOOKUP($A158,A:AL,34,FALSE)-50))</f>
        <v>253</v>
      </c>
      <c r="AH158" s="3">
        <v>275</v>
      </c>
      <c r="AI158" s="3">
        <f>IF(ISERROR((VLOOKUP($A158,'SegEnds_NonXtal_BW#'!$A:$Z,24,FALSE)+VLOOKUP($A158,A:AL,34,FALSE)-50)),"-",(VLOOKUP($A158,'SegEnds_NonXtal_BW#'!$A:$Z,24,FALSE)+VLOOKUP($A158,A:AL,34,FALSE)-50))</f>
        <v>281</v>
      </c>
      <c r="AJ158" s="3">
        <f>IF(ISERROR(VLOOKUP($A158,'SegEnds_NonXtal_BW#'!$A:$Z,25,FALSE)+VLOOKUP($A158,A:AL,37,FALSE)-50),"-",(VLOOKUP($A158,'SegEnds_NonXtal_BW#'!$A:$Z,25,FALSE)+VLOOKUP($A158,A:AL,37,FALSE)-50))</f>
        <v>282</v>
      </c>
      <c r="AK158" s="3">
        <v>285</v>
      </c>
      <c r="AL158" s="3">
        <f>IF(ISERROR((VLOOKUP($A158,'SegEnds_NonXtal_BW#'!$A:$Z,26,FALSE)+VLOOKUP($A158,A:AL,37,FALSE)-50)),"-",(VLOOKUP($A158,'SegEnds_NonXtal_BW#'!$A:$Z,26,FALSE)+VLOOKUP($A158,A:AL,37,FALSE)-50))</f>
        <v>294</v>
      </c>
      <c r="AM158" s="28" t="str">
        <f>VLOOKUP(A158,Classification!A:B,2,FALSE)</f>
        <v>A</v>
      </c>
      <c r="AN158" s="28" t="b">
        <f t="shared" si="98"/>
        <v>1</v>
      </c>
      <c r="AO158" s="3" t="str">
        <f>IF(ISERROR(MATCH(A158,'SegEnds_Xtal_Prot#'!B:B, 0)), "NoXtal", "Xtal")</f>
        <v>NoXtal</v>
      </c>
      <c r="AP158" s="3" t="str">
        <f t="shared" si="81"/>
        <v>-</v>
      </c>
      <c r="AQ158" s="3" t="str">
        <f t="shared" si="82"/>
        <v>-</v>
      </c>
      <c r="AR158" s="3">
        <f t="shared" si="83"/>
        <v>3</v>
      </c>
      <c r="AS158" s="3">
        <f t="shared" si="84"/>
        <v>1</v>
      </c>
      <c r="AT158" s="3">
        <f t="shared" si="85"/>
        <v>1</v>
      </c>
      <c r="AU158" s="3">
        <f t="shared" si="86"/>
        <v>1</v>
      </c>
      <c r="AV158" s="3">
        <f t="shared" si="87"/>
        <v>11</v>
      </c>
      <c r="AW158" s="3">
        <f t="shared" si="88"/>
        <v>3</v>
      </c>
      <c r="AX158" s="3">
        <f t="shared" si="89"/>
        <v>6</v>
      </c>
      <c r="AY158" s="3">
        <f t="shared" si="90"/>
        <v>7</v>
      </c>
      <c r="AZ158" s="3">
        <f t="shared" si="91"/>
        <v>1</v>
      </c>
      <c r="BA158" s="3">
        <f>IF(ISERROR(LEN(VLOOKUP(A158,Seqs!A:E,2,FALSE))-AL158),"-",LEN(VLOOKUP(A158,Seqs!A:E,2,FALSE))-AL158)</f>
        <v>52</v>
      </c>
      <c r="BB158" s="16">
        <f t="shared" si="92"/>
        <v>28</v>
      </c>
      <c r="BC158" s="9">
        <f t="shared" si="93"/>
        <v>20</v>
      </c>
      <c r="BD158" s="3">
        <f t="shared" si="94"/>
        <v>28</v>
      </c>
      <c r="BE158" s="3">
        <f t="shared" si="95"/>
        <v>47</v>
      </c>
    </row>
    <row r="159" spans="1:58" s="3" customFormat="1" x14ac:dyDescent="0.2">
      <c r="A159" s="3" t="s">
        <v>275</v>
      </c>
      <c r="B159" s="3" t="str">
        <f>LOWER(VLOOKUP(A159,Xtal_Templ!A:B,2,FALSE))</f>
        <v>p2ry1_human</v>
      </c>
      <c r="C159" s="3">
        <f>VLOOKUP($A159,'SegEnds_NonXtal_BW#'!$A:$Z,3,FALSE)+D159-50</f>
        <v>25</v>
      </c>
      <c r="D159" s="3">
        <v>45</v>
      </c>
      <c r="E159" s="3">
        <f>IF(ISERROR(VLOOKUP($A159,'SegEnds_NonXtal_BW#'!$A:$Z,4,FALSE)+VLOOKUP($A159,A:AL,4,FALSE)-50),"-",(VLOOKUP($A159,'SegEnds_NonXtal_BW#'!$A:$Z,4,FALSE)+VLOOKUP($A159,A:AL,4,FALSE)-50))</f>
        <v>55</v>
      </c>
      <c r="F159" s="3" t="str">
        <f>IF(ISERROR(VLOOKUP($A159,'SegEnds_NonXtal_BW#'!$A:$Z,5,FALSE)+VLOOKUP($A159,A:AL,7,FALSE)-50),"-",(VLOOKUP($A159,'SegEnds_NonXtal_BW#'!$A:$Z,5,FALSE)+VLOOKUP($A159,A:AL,7,FALSE)-50))</f>
        <v>-</v>
      </c>
      <c r="G159" s="3" t="s">
        <v>23</v>
      </c>
      <c r="H159" s="3" t="str">
        <f>IF(ISERROR(VLOOKUP($A159,'SegEnds_NonXtal_BW#'!$A:$Z,6,FALSE)+VLOOKUP($A159,A:AL,7,FALSE)-50),"-",(VLOOKUP($A159,'SegEnds_NonXtal_BW#'!$A:$Z,6,FALSE)+VLOOKUP($A159,A:AL,7,FALSE)-50))</f>
        <v>-</v>
      </c>
      <c r="I159" s="3">
        <f>VLOOKUP($A159,'SegEnds_NonXtal_BW#'!$A:$Z,7,FALSE)+J159-50</f>
        <v>60</v>
      </c>
      <c r="J159" s="3">
        <v>73</v>
      </c>
      <c r="K159" s="3">
        <f>VLOOKUP($A159,'SegEnds_NonXtal_BW#'!$A:$Z,8,FALSE)+VLOOKUP($A159,A:AL,10,FALSE)-50</f>
        <v>89</v>
      </c>
      <c r="L159" s="3">
        <f t="shared" si="100"/>
        <v>92</v>
      </c>
      <c r="M159" s="3">
        <v>93</v>
      </c>
      <c r="N159" s="3">
        <f t="shared" si="101"/>
        <v>95</v>
      </c>
      <c r="O159" s="3">
        <f t="shared" si="102"/>
        <v>96</v>
      </c>
      <c r="P159" s="3">
        <v>125</v>
      </c>
      <c r="Q159" s="3">
        <f>VLOOKUP($A159,'SegEnds_NonXtal_BW#'!$A:$Z,12,FALSE)+VLOOKUP($A159,A:AL,16,FALSE)-50</f>
        <v>131</v>
      </c>
      <c r="R159" s="3">
        <f>IF(ISERROR(VLOOKUP($A159,'SegEnds_NonXtal_BW#'!$A:$Z,13,FALSE)+VLOOKUP($A159,A:AL,19,FALSE)-50),"-",VLOOKUP($A159,'SegEnds_NonXtal_BW#'!$A:$Z,13,FALSE)+VLOOKUP($A159,A:AL,19,FALSE)-50)</f>
        <v>132</v>
      </c>
      <c r="S159" s="3">
        <v>132</v>
      </c>
      <c r="T159" s="100">
        <f>IF(ISERROR(VLOOKUP($A159,'SegEnds_NonXtal_BW#'!$A:$Z,14,FALSE)+VLOOKUP($A159,A:AL,19,FALSE)-50),"-",(VLOOKUP($A159,'SegEnds_NonXtal_BW#'!$A:$Z,14,FALSE)+VLOOKUP($A159,A:AL,19,FALSE)-50))</f>
        <v>139</v>
      </c>
      <c r="U159" s="9">
        <f>IF(ISERROR(VLOOKUP($A159,'SegEnds_NonXtal_BW#'!$A:$Z,15,FALSE)+VLOOKUP($A159,A:AL,22,FALSE)-50),"-",VLOOKUP($A159,'SegEnds_NonXtal_BW#'!$A:$Z,15,FALSE)+VLOOKUP($A159,A:AL,22,FALSE)-50)</f>
        <v>140</v>
      </c>
      <c r="V159" s="3">
        <v>152</v>
      </c>
      <c r="W159" s="3">
        <f>IF(ISERROR(VLOOKUP($A159,'SegEnds_NonXtal_BW#'!$A:$Z,16,FALSE)+VLOOKUP($A159,A:AL,22,FALSE)-50),"-",(VLOOKUP($A159,'SegEnds_NonXtal_BW#'!$A:$Z,16,FALSE)+VLOOKUP($A159,A:AL,22,FALSE)-50))</f>
        <v>166</v>
      </c>
      <c r="X159" s="3">
        <f>IF(ISERROR(VLOOKUP($A159,'SegEnds_NonXtal_BW#'!$A:$Z,17,FALSE)+VLOOKUP($A159,A:AL,25,FALSE)-50),"-",(VLOOKUP($A159,'SegEnds_NonXtal_BW#'!$A:$Z,17,FALSE)+VLOOKUP($A159,A:AL,25,FALSE)-50))</f>
        <v>177</v>
      </c>
      <c r="Y159" s="3">
        <v>177</v>
      </c>
      <c r="Z159" s="3">
        <f t="shared" si="103"/>
        <v>179</v>
      </c>
      <c r="AA159" s="3">
        <f>IF(ISERROR(VLOOKUP($A159,'SegEnds_NonXtal_BW#'!$A:$Z,19,FALSE)+VLOOKUP($A159,A:AL,28,FALSE)-50),"-",(VLOOKUP($A159,'SegEnds_NonXtal_BW#'!$A:$Z,19,FALSE)+VLOOKUP($A159,A:AL,28,FALSE)-50))</f>
        <v>182</v>
      </c>
      <c r="AB159" s="3">
        <v>200</v>
      </c>
      <c r="AC159" s="3">
        <f>IF(ISERROR((VLOOKUP($A159,'SegEnds_NonXtal_BW#'!$A:$Z,20,FALSE)+VLOOKUP($A159,A:AL,28,FALSE)-50)),"-",(VLOOKUP($A159,'SegEnds_NonXtal_BW#'!$A:$Z,20,FALSE)+VLOOKUP($A159,A:AL,28,FALSE)-50))</f>
        <v>217</v>
      </c>
      <c r="AD159" s="3">
        <f>IF(ISERROR(VLOOKUP($A159,'SegEnds_NonXtal_BW#'!$A:$Z,21,FALSE)+VLOOKUP($A159,A:AL,31,FALSE)-50),"-",(VLOOKUP($A159,'SegEnds_NonXtal_BW#'!$A:$Z,21,FALSE)+VLOOKUP($A159,A:AL,31,FALSE)-50))</f>
        <v>222</v>
      </c>
      <c r="AE159" s="3">
        <v>246</v>
      </c>
      <c r="AF159" s="3">
        <f>IF(ISERROR((VLOOKUP($A159,'SegEnds_NonXtal_BW#'!$A:$Z,22,FALSE)+VLOOKUP($A159,A:AL,31,FALSE)-50)),"-",(VLOOKUP($A159,'SegEnds_NonXtal_BW#'!$A:$Z,22,FALSE)+VLOOKUP($A159,A:AL,31,FALSE)-50))</f>
        <v>260</v>
      </c>
      <c r="AG159" s="3">
        <f>IF(ISERROR(VLOOKUP($A159,'SegEnds_NonXtal_BW#'!$A:$Z,23,FALSE)+VLOOKUP($A159,A:AL,34,FALSE)-50),"-",(VLOOKUP($A159,'SegEnds_NonXtal_BW#'!$A:$Z,23,FALSE)+VLOOKUP($A159,A:AL,34,FALSE)-50))</f>
        <v>265</v>
      </c>
      <c r="AH159" s="3">
        <v>291</v>
      </c>
      <c r="AI159" s="3">
        <f>IF(ISERROR((VLOOKUP($A159,'SegEnds_NonXtal_BW#'!$A:$Z,24,FALSE)+VLOOKUP($A159,A:AL,34,FALSE)-50)),"-",(VLOOKUP($A159,'SegEnds_NonXtal_BW#'!$A:$Z,24,FALSE)+VLOOKUP($A159,A:AL,34,FALSE)-50))</f>
        <v>297</v>
      </c>
      <c r="AJ159" s="3">
        <f>IF(ISERROR(VLOOKUP($A159,'SegEnds_NonXtal_BW#'!$A:$Z,25,FALSE)+VLOOKUP($A159,A:AL,37,FALSE)-50),"-",(VLOOKUP($A159,'SegEnds_NonXtal_BW#'!$A:$Z,25,FALSE)+VLOOKUP($A159,A:AL,37,FALSE)-50))</f>
        <v>298</v>
      </c>
      <c r="AK159" s="3">
        <v>301</v>
      </c>
      <c r="AL159" s="3">
        <f>IF(ISERROR((VLOOKUP($A159,'SegEnds_NonXtal_BW#'!$A:$Z,26,FALSE)+VLOOKUP($A159,A:AL,37,FALSE)-50)),"-",(VLOOKUP($A159,'SegEnds_NonXtal_BW#'!$A:$Z,26,FALSE)+VLOOKUP($A159,A:AL,37,FALSE)-50))</f>
        <v>310</v>
      </c>
      <c r="AM159" s="28" t="str">
        <f>VLOOKUP(A159,Classification!A:B,2,FALSE)</f>
        <v>A</v>
      </c>
      <c r="AN159" s="28" t="b">
        <f t="shared" si="98"/>
        <v>1</v>
      </c>
      <c r="AO159" s="3" t="str">
        <f>IF(ISERROR(MATCH(A159,'SegEnds_Xtal_Prot#'!B:B, 0)), "NoXtal", "Xtal")</f>
        <v>NoXtal</v>
      </c>
      <c r="AP159" s="3" t="str">
        <f t="shared" si="81"/>
        <v>-</v>
      </c>
      <c r="AQ159" s="3" t="str">
        <f t="shared" si="82"/>
        <v>-</v>
      </c>
      <c r="AR159" s="3">
        <f t="shared" si="83"/>
        <v>3</v>
      </c>
      <c r="AS159" s="3">
        <f t="shared" si="84"/>
        <v>1</v>
      </c>
      <c r="AT159" s="3">
        <f t="shared" si="85"/>
        <v>1</v>
      </c>
      <c r="AU159" s="3">
        <f t="shared" si="86"/>
        <v>1</v>
      </c>
      <c r="AV159" s="3">
        <f t="shared" si="87"/>
        <v>11</v>
      </c>
      <c r="AW159" s="3">
        <f t="shared" si="88"/>
        <v>3</v>
      </c>
      <c r="AX159" s="3">
        <f t="shared" si="89"/>
        <v>5</v>
      </c>
      <c r="AY159" s="3">
        <f t="shared" si="90"/>
        <v>5</v>
      </c>
      <c r="AZ159" s="3">
        <f t="shared" si="91"/>
        <v>1</v>
      </c>
      <c r="BA159" s="3">
        <f>IF(ISERROR(LEN(VLOOKUP(A159,Seqs!A:E,2,FALSE))-AL159),"-",LEN(VLOOKUP(A159,Seqs!A:E,2,FALSE))-AL159)</f>
        <v>53</v>
      </c>
      <c r="BB159" s="16">
        <f t="shared" si="92"/>
        <v>28</v>
      </c>
      <c r="BC159" s="9">
        <f t="shared" si="93"/>
        <v>20</v>
      </c>
      <c r="BD159" s="3">
        <f t="shared" si="94"/>
        <v>28</v>
      </c>
      <c r="BE159" s="3">
        <f t="shared" si="95"/>
        <v>46</v>
      </c>
    </row>
    <row r="160" spans="1:58" s="3" customFormat="1" x14ac:dyDescent="0.2">
      <c r="A160" s="3" t="s">
        <v>276</v>
      </c>
      <c r="B160" s="3" t="str">
        <f>LOWER(VLOOKUP(A160,Xtal_Templ!A:B,2,FALSE))</f>
        <v>p2ry1_human</v>
      </c>
      <c r="C160" s="3">
        <f>VLOOKUP($A160,'SegEnds_NonXtal_BW#'!$A:$Z,3,FALSE)+D160-50</f>
        <v>25</v>
      </c>
      <c r="D160" s="3">
        <v>45</v>
      </c>
      <c r="E160" s="3">
        <f>IF(ISERROR(VLOOKUP($A160,'SegEnds_NonXtal_BW#'!$A:$Z,4,FALSE)+VLOOKUP($A160,A:AL,4,FALSE)-50),"-",(VLOOKUP($A160,'SegEnds_NonXtal_BW#'!$A:$Z,4,FALSE)+VLOOKUP($A160,A:AL,4,FALSE)-50))</f>
        <v>55</v>
      </c>
      <c r="F160" s="3" t="str">
        <f>IF(ISERROR(VLOOKUP($A160,'SegEnds_NonXtal_BW#'!$A:$Z,5,FALSE)+VLOOKUP($A160,A:AL,7,FALSE)-50),"-",(VLOOKUP($A160,'SegEnds_NonXtal_BW#'!$A:$Z,5,FALSE)+VLOOKUP($A160,A:AL,7,FALSE)-50))</f>
        <v>-</v>
      </c>
      <c r="G160" s="3" t="s">
        <v>23</v>
      </c>
      <c r="H160" s="3" t="str">
        <f>IF(ISERROR(VLOOKUP($A160,'SegEnds_NonXtal_BW#'!$A:$Z,6,FALSE)+VLOOKUP($A160,A:AL,7,FALSE)-50),"-",(VLOOKUP($A160,'SegEnds_NonXtal_BW#'!$A:$Z,6,FALSE)+VLOOKUP($A160,A:AL,7,FALSE)-50))</f>
        <v>-</v>
      </c>
      <c r="I160" s="3">
        <f>VLOOKUP($A160,'SegEnds_NonXtal_BW#'!$A:$Z,7,FALSE)+J160-50</f>
        <v>60</v>
      </c>
      <c r="J160" s="3">
        <v>73</v>
      </c>
      <c r="K160" s="3">
        <f>VLOOKUP($A160,'SegEnds_NonXtal_BW#'!$A:$Z,8,FALSE)+VLOOKUP($A160,A:AL,10,FALSE)-50</f>
        <v>89</v>
      </c>
      <c r="L160" s="3">
        <f t="shared" si="100"/>
        <v>92</v>
      </c>
      <c r="M160" s="3">
        <v>93</v>
      </c>
      <c r="N160" s="3">
        <f t="shared" si="101"/>
        <v>95</v>
      </c>
      <c r="O160" s="3">
        <f t="shared" si="102"/>
        <v>96</v>
      </c>
      <c r="P160" s="3">
        <v>125</v>
      </c>
      <c r="Q160" s="3">
        <f>VLOOKUP($A160,'SegEnds_NonXtal_BW#'!$A:$Z,12,FALSE)+VLOOKUP($A160,A:AL,16,FALSE)-50</f>
        <v>131</v>
      </c>
      <c r="R160" s="3">
        <f>IF(ISERROR(VLOOKUP($A160,'SegEnds_NonXtal_BW#'!$A:$Z,13,FALSE)+VLOOKUP($A160,A:AL,19,FALSE)-50),"-",VLOOKUP($A160,'SegEnds_NonXtal_BW#'!$A:$Z,13,FALSE)+VLOOKUP($A160,A:AL,19,FALSE)-50)</f>
        <v>132</v>
      </c>
      <c r="S160" s="3">
        <v>132</v>
      </c>
      <c r="T160" s="100">
        <f>IF(ISERROR(VLOOKUP($A160,'SegEnds_NonXtal_BW#'!$A:$Z,14,FALSE)+VLOOKUP($A160,A:AL,19,FALSE)-50),"-",(VLOOKUP($A160,'SegEnds_NonXtal_BW#'!$A:$Z,14,FALSE)+VLOOKUP($A160,A:AL,19,FALSE)-50))</f>
        <v>139</v>
      </c>
      <c r="U160" s="9">
        <f>IF(ISERROR(VLOOKUP($A160,'SegEnds_NonXtal_BW#'!$A:$Z,15,FALSE)+VLOOKUP($A160,A:AL,22,FALSE)-50),"-",VLOOKUP($A160,'SegEnds_NonXtal_BW#'!$A:$Z,15,FALSE)+VLOOKUP($A160,A:AL,22,FALSE)-50)</f>
        <v>140</v>
      </c>
      <c r="V160" s="3">
        <v>152</v>
      </c>
      <c r="W160" s="3">
        <f>IF(ISERROR(VLOOKUP($A160,'SegEnds_NonXtal_BW#'!$A:$Z,16,FALSE)+VLOOKUP($A160,A:AL,22,FALSE)-50),"-",(VLOOKUP($A160,'SegEnds_NonXtal_BW#'!$A:$Z,16,FALSE)+VLOOKUP($A160,A:AL,22,FALSE)-50))</f>
        <v>166</v>
      </c>
      <c r="X160" s="3">
        <f>IF(ISERROR(VLOOKUP($A160,'SegEnds_NonXtal_BW#'!$A:$Z,17,FALSE)+VLOOKUP($A160,A:AL,25,FALSE)-50),"-",(VLOOKUP($A160,'SegEnds_NonXtal_BW#'!$A:$Z,17,FALSE)+VLOOKUP($A160,A:AL,25,FALSE)-50))</f>
        <v>177</v>
      </c>
      <c r="Y160" s="3">
        <v>177</v>
      </c>
      <c r="Z160" s="3">
        <f t="shared" si="103"/>
        <v>179</v>
      </c>
      <c r="AA160" s="3">
        <f>IF(ISERROR(VLOOKUP($A160,'SegEnds_NonXtal_BW#'!$A:$Z,19,FALSE)+VLOOKUP($A160,A:AL,28,FALSE)-50),"-",(VLOOKUP($A160,'SegEnds_NonXtal_BW#'!$A:$Z,19,FALSE)+VLOOKUP($A160,A:AL,28,FALSE)-50))</f>
        <v>182</v>
      </c>
      <c r="AB160" s="3">
        <v>200</v>
      </c>
      <c r="AC160" s="3">
        <f>IF(ISERROR((VLOOKUP($A160,'SegEnds_NonXtal_BW#'!$A:$Z,20,FALSE)+VLOOKUP($A160,A:AL,28,FALSE)-50)),"-",(VLOOKUP($A160,'SegEnds_NonXtal_BW#'!$A:$Z,20,FALSE)+VLOOKUP($A160,A:AL,28,FALSE)-50))</f>
        <v>217</v>
      </c>
      <c r="AD160" s="3">
        <f>IF(ISERROR(VLOOKUP($A160,'SegEnds_NonXtal_BW#'!$A:$Z,21,FALSE)+VLOOKUP($A160,A:AL,31,FALSE)-50),"-",(VLOOKUP($A160,'SegEnds_NonXtal_BW#'!$A:$Z,21,FALSE)+VLOOKUP($A160,A:AL,31,FALSE)-50))</f>
        <v>222</v>
      </c>
      <c r="AE160" s="3">
        <v>246</v>
      </c>
      <c r="AF160" s="3">
        <f>IF(ISERROR((VLOOKUP($A160,'SegEnds_NonXtal_BW#'!$A:$Z,22,FALSE)+VLOOKUP($A160,A:AL,31,FALSE)-50)),"-",(VLOOKUP($A160,'SegEnds_NonXtal_BW#'!$A:$Z,22,FALSE)+VLOOKUP($A160,A:AL,31,FALSE)-50))</f>
        <v>260</v>
      </c>
      <c r="AG160" s="3">
        <f>IF(ISERROR(VLOOKUP($A160,'SegEnds_NonXtal_BW#'!$A:$Z,23,FALSE)+VLOOKUP($A160,A:AL,34,FALSE)-50),"-",(VLOOKUP($A160,'SegEnds_NonXtal_BW#'!$A:$Z,23,FALSE)+VLOOKUP($A160,A:AL,34,FALSE)-50))</f>
        <v>265</v>
      </c>
      <c r="AH160" s="3">
        <v>291</v>
      </c>
      <c r="AI160" s="3">
        <f>IF(ISERROR((VLOOKUP($A160,'SegEnds_NonXtal_BW#'!$A:$Z,24,FALSE)+VLOOKUP($A160,A:AL,34,FALSE)-50)),"-",(VLOOKUP($A160,'SegEnds_NonXtal_BW#'!$A:$Z,24,FALSE)+VLOOKUP($A160,A:AL,34,FALSE)-50))</f>
        <v>297</v>
      </c>
      <c r="AJ160" s="3">
        <f>IF(ISERROR(VLOOKUP($A160,'SegEnds_NonXtal_BW#'!$A:$Z,25,FALSE)+VLOOKUP($A160,A:AL,37,FALSE)-50),"-",(VLOOKUP($A160,'SegEnds_NonXtal_BW#'!$A:$Z,25,FALSE)+VLOOKUP($A160,A:AL,37,FALSE)-50))</f>
        <v>298</v>
      </c>
      <c r="AK160" s="3">
        <v>301</v>
      </c>
      <c r="AL160" s="3">
        <f>IF(ISERROR((VLOOKUP($A160,'SegEnds_NonXtal_BW#'!$A:$Z,26,FALSE)+VLOOKUP($A160,A:AL,37,FALSE)-50)),"-",(VLOOKUP($A160,'SegEnds_NonXtal_BW#'!$A:$Z,26,FALSE)+VLOOKUP($A160,A:AL,37,FALSE)-50))</f>
        <v>310</v>
      </c>
      <c r="AM160" s="28" t="str">
        <f>VLOOKUP(A160,Classification!A:B,2,FALSE)</f>
        <v>A</v>
      </c>
      <c r="AN160" s="28" t="b">
        <f t="shared" si="98"/>
        <v>1</v>
      </c>
      <c r="AO160" s="3" t="str">
        <f>IF(ISERROR(MATCH(A160,'SegEnds_Xtal_Prot#'!B:B, 0)), "NoXtal", "Xtal")</f>
        <v>NoXtal</v>
      </c>
      <c r="AP160" s="3" t="str">
        <f t="shared" si="81"/>
        <v>-</v>
      </c>
      <c r="AQ160" s="3" t="str">
        <f t="shared" si="82"/>
        <v>-</v>
      </c>
      <c r="AR160" s="3">
        <f t="shared" si="83"/>
        <v>3</v>
      </c>
      <c r="AS160" s="3">
        <f t="shared" si="84"/>
        <v>1</v>
      </c>
      <c r="AT160" s="3">
        <f t="shared" si="85"/>
        <v>1</v>
      </c>
      <c r="AU160" s="3">
        <f t="shared" si="86"/>
        <v>1</v>
      </c>
      <c r="AV160" s="3">
        <f t="shared" si="87"/>
        <v>11</v>
      </c>
      <c r="AW160" s="3">
        <f t="shared" si="88"/>
        <v>3</v>
      </c>
      <c r="AX160" s="3">
        <f t="shared" si="89"/>
        <v>5</v>
      </c>
      <c r="AY160" s="3">
        <f t="shared" si="90"/>
        <v>5</v>
      </c>
      <c r="AZ160" s="3">
        <f t="shared" si="91"/>
        <v>1</v>
      </c>
      <c r="BA160" s="3">
        <f>IF(ISERROR(LEN(VLOOKUP(A160,Seqs!A:E,2,FALSE))-AL160),"-",LEN(VLOOKUP(A160,Seqs!A:E,2,FALSE))-AL160)</f>
        <v>77</v>
      </c>
      <c r="BB160" s="16">
        <f t="shared" si="92"/>
        <v>28</v>
      </c>
      <c r="BC160" s="9">
        <f t="shared" si="93"/>
        <v>20</v>
      </c>
      <c r="BD160" s="3">
        <f t="shared" si="94"/>
        <v>28</v>
      </c>
      <c r="BE160" s="3">
        <f t="shared" si="95"/>
        <v>46</v>
      </c>
    </row>
    <row r="161" spans="1:58" s="3" customFormat="1" x14ac:dyDescent="0.2">
      <c r="A161" s="3" t="s">
        <v>277</v>
      </c>
      <c r="B161" s="3" t="str">
        <f>LOWER(VLOOKUP(A161,Xtal_Templ!A:B,2,FALSE))</f>
        <v>hrh1_human</v>
      </c>
      <c r="C161" s="3">
        <f>VLOOKUP($A161,'SegEnds_NonXtal_BW#'!$A:$Z,3,FALSE)+D161-50</f>
        <v>29</v>
      </c>
      <c r="D161" s="3">
        <v>45</v>
      </c>
      <c r="E161" s="3">
        <f>IF(ISERROR(VLOOKUP($A161,'SegEnds_NonXtal_BW#'!$A:$Z,4,FALSE)+VLOOKUP($A161,A:AL,4,FALSE)-50),"-",(VLOOKUP($A161,'SegEnds_NonXtal_BW#'!$A:$Z,4,FALSE)+VLOOKUP($A161,A:AL,4,FALSE)-50))</f>
        <v>55</v>
      </c>
      <c r="F161" s="3">
        <f>G161-2</f>
        <v>56</v>
      </c>
      <c r="G161" s="3">
        <v>58</v>
      </c>
      <c r="H161" s="3">
        <f t="shared" ref="H161:I163" si="104">G161+1</f>
        <v>59</v>
      </c>
      <c r="I161" s="3">
        <f t="shared" si="104"/>
        <v>60</v>
      </c>
      <c r="J161" s="3">
        <v>73</v>
      </c>
      <c r="K161" s="3">
        <f>VLOOKUP($A161,'SegEnds_NonXtal_BW#'!$A:$Z,8,FALSE)+VLOOKUP($A161,A:AL,10,FALSE)-50</f>
        <v>90</v>
      </c>
      <c r="L161" s="3">
        <f t="shared" si="100"/>
        <v>92</v>
      </c>
      <c r="M161" s="3">
        <v>93</v>
      </c>
      <c r="N161" s="3">
        <f t="shared" si="101"/>
        <v>95</v>
      </c>
      <c r="O161" s="3">
        <f t="shared" si="102"/>
        <v>96</v>
      </c>
      <c r="P161" s="3">
        <v>125</v>
      </c>
      <c r="Q161" s="3">
        <f>VLOOKUP($A161,'SegEnds_NonXtal_BW#'!$A:$Z,12,FALSE)+VLOOKUP($A161,A:AL,16,FALSE)-50</f>
        <v>131</v>
      </c>
      <c r="R161" s="3">
        <f>IF(ISERROR(VLOOKUP($A161,'SegEnds_NonXtal_BW#'!$A:$Z,13,FALSE)+VLOOKUP($A161,A:AL,19,FALSE)-50),"-",VLOOKUP($A161,'SegEnds_NonXtal_BW#'!$A:$Z,13,FALSE)+VLOOKUP($A161,A:AL,19,FALSE)-50)</f>
        <v>132</v>
      </c>
      <c r="S161" s="3">
        <v>132</v>
      </c>
      <c r="T161" s="100">
        <f>IF(ISERROR(VLOOKUP($A161,'SegEnds_NonXtal_BW#'!$A:$Z,14,FALSE)+VLOOKUP($A161,A:AL,19,FALSE)-50),"-",(VLOOKUP($A161,'SegEnds_NonXtal_BW#'!$A:$Z,14,FALSE)+VLOOKUP($A161,A:AL,19,FALSE)-50))</f>
        <v>139</v>
      </c>
      <c r="U161" s="9">
        <f>IF(ISERROR(VLOOKUP($A161,'SegEnds_NonXtal_BW#'!$A:$Z,15,FALSE)+VLOOKUP($A161,A:AL,22,FALSE)-50),"-",VLOOKUP($A161,'SegEnds_NonXtal_BW#'!$A:$Z,15,FALSE)+VLOOKUP($A161,A:AL,22,FALSE)-50)</f>
        <v>140</v>
      </c>
      <c r="V161" s="3">
        <v>152</v>
      </c>
      <c r="W161" s="3">
        <f>IF(ISERROR(VLOOKUP($A161,'SegEnds_NonXtal_BW#'!$A:$Z,16,FALSE)+VLOOKUP($A161,A:AL,22,FALSE)-50),"-",(VLOOKUP($A161,'SegEnds_NonXtal_BW#'!$A:$Z,16,FALSE)+VLOOKUP($A161,A:AL,22,FALSE)-50))</f>
        <v>164</v>
      </c>
      <c r="X161" s="3">
        <f>IF(ISERROR(VLOOKUP($A161,'SegEnds_NonXtal_BW#'!$A:$Z,17,FALSE)+VLOOKUP($A161,A:AL,25,FALSE)-50),"-",(VLOOKUP($A161,'SegEnds_NonXtal_BW#'!$A:$Z,17,FALSE)+VLOOKUP($A161,A:AL,25,FALSE)-50))</f>
        <v>180</v>
      </c>
      <c r="Y161" s="3">
        <v>180</v>
      </c>
      <c r="Z161" s="3">
        <f t="shared" si="103"/>
        <v>182</v>
      </c>
      <c r="AA161" s="3">
        <f>IF(ISERROR(VLOOKUP($A161,'SegEnds_NonXtal_BW#'!$A:$Z,19,FALSE)+VLOOKUP($A161,A:AL,28,FALSE)-50),"-",(VLOOKUP($A161,'SegEnds_NonXtal_BW#'!$A:$Z,19,FALSE)+VLOOKUP($A161,A:AL,28,FALSE)-50))</f>
        <v>187</v>
      </c>
      <c r="AB161" s="3">
        <v>202</v>
      </c>
      <c r="AC161" s="3">
        <f>IF(ISERROR((VLOOKUP($A161,'SegEnds_NonXtal_BW#'!$A:$Z,20,FALSE)+VLOOKUP($A161,A:AL,28,FALSE)-50)),"-",(VLOOKUP($A161,'SegEnds_NonXtal_BW#'!$A:$Z,20,FALSE)+VLOOKUP($A161,A:AL,28,FALSE)-50))</f>
        <v>228</v>
      </c>
      <c r="AD161" s="3">
        <f>IF(ISERROR(VLOOKUP($A161,'SegEnds_NonXtal_BW#'!$A:$Z,21,FALSE)+VLOOKUP($A161,A:AL,31,FALSE)-50),"-",(VLOOKUP($A161,'SegEnds_NonXtal_BW#'!$A:$Z,21,FALSE)+VLOOKUP($A161,A:AL,31,FALSE)-50))</f>
        <v>404</v>
      </c>
      <c r="AE161" s="3">
        <v>430</v>
      </c>
      <c r="AF161" s="3">
        <f>IF(ISERROR((VLOOKUP($A161,'SegEnds_NonXtal_BW#'!$A:$Z,22,FALSE)+VLOOKUP($A161,A:AL,31,FALSE)-50)),"-",(VLOOKUP($A161,'SegEnds_NonXtal_BW#'!$A:$Z,22,FALSE)+VLOOKUP($A161,A:AL,31,FALSE)-50))</f>
        <v>441</v>
      </c>
      <c r="AG161" s="3">
        <f>IF(ISERROR(VLOOKUP($A161,'SegEnds_NonXtal_BW#'!$A:$Z,23,FALSE)+VLOOKUP($A161,A:AL,34,FALSE)-50),"-",(VLOOKUP($A161,'SegEnds_NonXtal_BW#'!$A:$Z,23,FALSE)+VLOOKUP($A161,A:AL,34,FALSE)-50))</f>
        <v>446</v>
      </c>
      <c r="AH161" s="3">
        <v>465</v>
      </c>
      <c r="AI161" s="3">
        <f>IF(ISERROR((VLOOKUP($A161,'SegEnds_NonXtal_BW#'!$A:$Z,24,FALSE)+VLOOKUP($A161,A:AL,34,FALSE)-50)),"-",(VLOOKUP($A161,'SegEnds_NonXtal_BW#'!$A:$Z,24,FALSE)+VLOOKUP($A161,A:AL,34,FALSE)-50))</f>
        <v>471</v>
      </c>
      <c r="AJ161" s="3">
        <f>IF(ISERROR(VLOOKUP($A161,'SegEnds_NonXtal_BW#'!$A:$Z,25,FALSE)+VLOOKUP($A161,A:AL,37,FALSE)-50),"-",(VLOOKUP($A161,'SegEnds_NonXtal_BW#'!$A:$Z,25,FALSE)+VLOOKUP($A161,A:AL,37,FALSE)-50))</f>
        <v>472</v>
      </c>
      <c r="AK161" s="3">
        <v>475</v>
      </c>
      <c r="AL161" s="3">
        <f>IF(ISERROR((VLOOKUP($A161,'SegEnds_NonXtal_BW#'!$A:$Z,26,FALSE)+VLOOKUP($A161,A:AL,37,FALSE)-50)),"-",(VLOOKUP($A161,'SegEnds_NonXtal_BW#'!$A:$Z,26,FALSE)+VLOOKUP($A161,A:AL,37,FALSE)-50))</f>
        <v>484</v>
      </c>
      <c r="AM161" s="28" t="str">
        <f>VLOOKUP(A161,Classification!A:B,2,FALSE)</f>
        <v>A</v>
      </c>
      <c r="AN161" s="28" t="b">
        <f t="shared" si="98"/>
        <v>1</v>
      </c>
      <c r="AO161" s="3" t="str">
        <f>IF(ISERROR(MATCH(A161,'SegEnds_Xtal_Prot#'!B:B, 0)), "NoXtal", "Xtal")</f>
        <v>Xtal</v>
      </c>
      <c r="AP161" s="3">
        <f t="shared" si="81"/>
        <v>1</v>
      </c>
      <c r="AQ161" s="3">
        <f t="shared" si="82"/>
        <v>1</v>
      </c>
      <c r="AR161" s="3">
        <f t="shared" si="83"/>
        <v>2</v>
      </c>
      <c r="AS161" s="3">
        <f t="shared" si="84"/>
        <v>1</v>
      </c>
      <c r="AT161" s="3">
        <f t="shared" si="85"/>
        <v>1</v>
      </c>
      <c r="AU161" s="3">
        <f t="shared" si="86"/>
        <v>1</v>
      </c>
      <c r="AV161" s="3">
        <f t="shared" si="87"/>
        <v>16</v>
      </c>
      <c r="AW161" s="3">
        <f t="shared" si="88"/>
        <v>5</v>
      </c>
      <c r="AX161" s="3">
        <f t="shared" si="89"/>
        <v>176</v>
      </c>
      <c r="AY161" s="3">
        <f t="shared" si="90"/>
        <v>5</v>
      </c>
      <c r="AZ161" s="3">
        <f t="shared" si="91"/>
        <v>1</v>
      </c>
      <c r="BA161" s="3">
        <f>IF(ISERROR(LEN(VLOOKUP(A161,Seqs!A:E,2,FALSE))-AL161),"-",LEN(VLOOKUP(A161,Seqs!A:E,2,FALSE))-AL161)</f>
        <v>3</v>
      </c>
      <c r="BB161" s="16">
        <f t="shared" si="92"/>
        <v>28</v>
      </c>
      <c r="BC161" s="9">
        <f t="shared" si="93"/>
        <v>20</v>
      </c>
      <c r="BD161" s="3">
        <f t="shared" si="94"/>
        <v>28</v>
      </c>
      <c r="BE161" s="3">
        <f t="shared" si="95"/>
        <v>228</v>
      </c>
      <c r="BF161" s="3">
        <f>AH161-AE161</f>
        <v>35</v>
      </c>
    </row>
    <row r="162" spans="1:58" s="3" customFormat="1" x14ac:dyDescent="0.2">
      <c r="A162" s="3" t="s">
        <v>278</v>
      </c>
      <c r="B162" s="3" t="str">
        <f>LOWER(VLOOKUP(A162,Xtal_Templ!A:B,2,FALSE))</f>
        <v>adrb2_human</v>
      </c>
      <c r="C162" s="3">
        <f>VLOOKUP($A162,'SegEnds_NonXtal_BW#'!$A:$Z,3,FALSE)+D162-50</f>
        <v>11</v>
      </c>
      <c r="D162" s="3">
        <v>36</v>
      </c>
      <c r="E162" s="3">
        <f>IF(ISERROR(VLOOKUP($A162,'SegEnds_NonXtal_BW#'!$A:$Z,4,FALSE)+VLOOKUP($A162,A:AL,4,FALSE)-50),"-",(VLOOKUP($A162,'SegEnds_NonXtal_BW#'!$A:$Z,4,FALSE)+VLOOKUP($A162,A:AL,4,FALSE)-50))</f>
        <v>46</v>
      </c>
      <c r="F162" s="3">
        <f>G162-2</f>
        <v>47</v>
      </c>
      <c r="G162" s="3">
        <v>49</v>
      </c>
      <c r="H162" s="3">
        <f t="shared" si="104"/>
        <v>50</v>
      </c>
      <c r="I162" s="3">
        <f t="shared" si="104"/>
        <v>51</v>
      </c>
      <c r="J162" s="3">
        <v>64</v>
      </c>
      <c r="K162" s="3">
        <f>VLOOKUP($A162,'SegEnds_NonXtal_BW#'!$A:$Z,8,FALSE)+VLOOKUP($A162,A:AL,10,FALSE)-50</f>
        <v>81</v>
      </c>
      <c r="L162" s="3">
        <f t="shared" si="100"/>
        <v>83</v>
      </c>
      <c r="M162" s="3">
        <v>84</v>
      </c>
      <c r="N162" s="3">
        <f t="shared" si="101"/>
        <v>86</v>
      </c>
      <c r="O162" s="3">
        <f t="shared" si="102"/>
        <v>87</v>
      </c>
      <c r="P162" s="3">
        <v>116</v>
      </c>
      <c r="Q162" s="3">
        <f>VLOOKUP($A162,'SegEnds_NonXtal_BW#'!$A:$Z,12,FALSE)+VLOOKUP($A162,A:AL,16,FALSE)-50</f>
        <v>122</v>
      </c>
      <c r="R162" s="3">
        <f>IF(ISERROR(VLOOKUP($A162,'SegEnds_NonXtal_BW#'!$A:$Z,13,FALSE)+VLOOKUP($A162,A:AL,19,FALSE)-50),"-",VLOOKUP($A162,'SegEnds_NonXtal_BW#'!$A:$Z,13,FALSE)+VLOOKUP($A162,A:AL,19,FALSE)-50)</f>
        <v>123</v>
      </c>
      <c r="S162" s="3">
        <v>123</v>
      </c>
      <c r="T162" s="100">
        <f>IF(ISERROR(VLOOKUP($A162,'SegEnds_NonXtal_BW#'!$A:$Z,14,FALSE)+VLOOKUP($A162,A:AL,19,FALSE)-50),"-",(VLOOKUP($A162,'SegEnds_NonXtal_BW#'!$A:$Z,14,FALSE)+VLOOKUP($A162,A:AL,19,FALSE)-50))</f>
        <v>130</v>
      </c>
      <c r="U162" s="9">
        <f>IF(ISERROR(VLOOKUP($A162,'SegEnds_NonXtal_BW#'!$A:$Z,15,FALSE)+VLOOKUP($A162,A:AL,22,FALSE)-50),"-",VLOOKUP($A162,'SegEnds_NonXtal_BW#'!$A:$Z,15,FALSE)+VLOOKUP($A162,A:AL,22,FALSE)-50)</f>
        <v>131</v>
      </c>
      <c r="V162" s="3">
        <v>143</v>
      </c>
      <c r="W162" s="3">
        <f>IF(ISERROR(VLOOKUP($A162,'SegEnds_NonXtal_BW#'!$A:$Z,16,FALSE)+VLOOKUP($A162,A:AL,22,FALSE)-50),"-",(VLOOKUP($A162,'SegEnds_NonXtal_BW#'!$A:$Z,16,FALSE)+VLOOKUP($A162,A:AL,22,FALSE)-50))</f>
        <v>157</v>
      </c>
      <c r="X162" s="3">
        <f>IF(ISERROR(VLOOKUP($A162,'SegEnds_NonXtal_BW#'!$A:$Z,17,FALSE)+VLOOKUP($A162,A:AL,25,FALSE)-50),"-",(VLOOKUP($A162,'SegEnds_NonXtal_BW#'!$A:$Z,17,FALSE)+VLOOKUP($A162,A:AL,25,FALSE)-50))</f>
        <v>174</v>
      </c>
      <c r="Y162" s="3">
        <v>174</v>
      </c>
      <c r="Z162" s="3">
        <f t="shared" si="103"/>
        <v>176</v>
      </c>
      <c r="AA162" s="3">
        <f>IF(ISERROR(VLOOKUP($A162,'SegEnds_NonXtal_BW#'!$A:$Z,19,FALSE)+VLOOKUP($A162,A:AL,28,FALSE)-50),"-",(VLOOKUP($A162,'SegEnds_NonXtal_BW#'!$A:$Z,19,FALSE)+VLOOKUP($A162,A:AL,28,FALSE)-50))</f>
        <v>179</v>
      </c>
      <c r="AB162" s="3">
        <v>194</v>
      </c>
      <c r="AC162" s="3">
        <f>IF(ISERROR((VLOOKUP($A162,'SegEnds_NonXtal_BW#'!$A:$Z,20,FALSE)+VLOOKUP($A162,A:AL,28,FALSE)-50)),"-",(VLOOKUP($A162,'SegEnds_NonXtal_BW#'!$A:$Z,20,FALSE)+VLOOKUP($A162,A:AL,28,FALSE)-50))</f>
        <v>217</v>
      </c>
      <c r="AD162" s="3">
        <f>IF(ISERROR(VLOOKUP($A162,'SegEnds_NonXtal_BW#'!$A:$Z,21,FALSE)+VLOOKUP($A162,A:AL,31,FALSE)-50),"-",(VLOOKUP($A162,'SegEnds_NonXtal_BW#'!$A:$Z,21,FALSE)+VLOOKUP($A162,A:AL,31,FALSE)-50))</f>
        <v>221</v>
      </c>
      <c r="AE162" s="3">
        <v>249</v>
      </c>
      <c r="AF162" s="3">
        <f>IF(ISERROR((VLOOKUP($A162,'SegEnds_NonXtal_BW#'!$A:$Z,22,FALSE)+VLOOKUP($A162,A:AL,31,FALSE)-50)),"-",(VLOOKUP($A162,'SegEnds_NonXtal_BW#'!$A:$Z,22,FALSE)+VLOOKUP($A162,A:AL,31,FALSE)-50))</f>
        <v>260</v>
      </c>
      <c r="AG162" s="3">
        <f>IF(ISERROR(VLOOKUP($A162,'SegEnds_NonXtal_BW#'!$A:$Z,23,FALSE)+VLOOKUP($A162,A:AL,34,FALSE)-50),"-",(VLOOKUP($A162,'SegEnds_NonXtal_BW#'!$A:$Z,23,FALSE)+VLOOKUP($A162,A:AL,34,FALSE)-50))</f>
        <v>266</v>
      </c>
      <c r="AH162" s="3">
        <v>285</v>
      </c>
      <c r="AI162" s="3">
        <v>291</v>
      </c>
      <c r="AJ162" s="3">
        <f>IF(ISERROR(VLOOKUP($A162,'SegEnds_NonXtal_BW#'!$A:$Z,25,FALSE)+VLOOKUP($A162,A:AL,37,FALSE)-50),"-",(VLOOKUP($A162,'SegEnds_NonXtal_BW#'!$A:$Z,25,FALSE)+VLOOKUP($A162,A:AL,37,FALSE)-50))</f>
        <v>292</v>
      </c>
      <c r="AK162" s="3">
        <v>295</v>
      </c>
      <c r="AL162" s="3">
        <f>IF(ISERROR((VLOOKUP($A162,'SegEnds_NonXtal_BW#'!$A:$Z,26,FALSE)+VLOOKUP($A162,A:AL,37,FALSE)-50)),"-",(VLOOKUP($A162,'SegEnds_NonXtal_BW#'!$A:$Z,26,FALSE)+VLOOKUP($A162,A:AL,37,FALSE)-50))</f>
        <v>304</v>
      </c>
      <c r="AM162" s="28" t="str">
        <f>VLOOKUP(A162,Classification!A:B,2,FALSE)</f>
        <v>A</v>
      </c>
      <c r="AN162" s="28" t="b">
        <f t="shared" si="98"/>
        <v>1</v>
      </c>
      <c r="AO162" s="3" t="str">
        <f>IF(ISERROR(MATCH(A162,'SegEnds_Xtal_Prot#'!B:B, 0)), "NoXtal", "Xtal")</f>
        <v>NoXtal</v>
      </c>
      <c r="AP162" s="3">
        <f t="shared" si="81"/>
        <v>1</v>
      </c>
      <c r="AQ162" s="3">
        <f t="shared" si="82"/>
        <v>1</v>
      </c>
      <c r="AR162" s="3">
        <f t="shared" si="83"/>
        <v>2</v>
      </c>
      <c r="AS162" s="3">
        <f t="shared" si="84"/>
        <v>1</v>
      </c>
      <c r="AT162" s="3">
        <f t="shared" si="85"/>
        <v>1</v>
      </c>
      <c r="AU162" s="3">
        <f t="shared" si="86"/>
        <v>1</v>
      </c>
      <c r="AV162" s="3">
        <f t="shared" si="87"/>
        <v>17</v>
      </c>
      <c r="AW162" s="3">
        <f t="shared" si="88"/>
        <v>3</v>
      </c>
      <c r="AX162" s="3">
        <f t="shared" si="89"/>
        <v>4</v>
      </c>
      <c r="AY162" s="3">
        <f t="shared" si="90"/>
        <v>6</v>
      </c>
      <c r="AZ162" s="3">
        <f t="shared" si="91"/>
        <v>1</v>
      </c>
      <c r="BA162" s="3">
        <f>IF(ISERROR(LEN(VLOOKUP(A162,Seqs!A:E,2,FALSE))-AL162),"-",LEN(VLOOKUP(A162,Seqs!A:E,2,FALSE))-AL162)</f>
        <v>55</v>
      </c>
      <c r="BB162" s="16">
        <f t="shared" si="92"/>
        <v>28</v>
      </c>
      <c r="BC162" s="9">
        <f t="shared" si="93"/>
        <v>20</v>
      </c>
      <c r="BD162" s="3">
        <f t="shared" si="94"/>
        <v>28</v>
      </c>
      <c r="BE162" s="3">
        <f t="shared" si="95"/>
        <v>55</v>
      </c>
    </row>
    <row r="163" spans="1:58" s="3" customFormat="1" x14ac:dyDescent="0.2">
      <c r="A163" s="3" t="s">
        <v>281</v>
      </c>
      <c r="B163" s="3" t="str">
        <f>LOWER(VLOOKUP(A163,Xtal_Templ!A:B,2,FALSE))</f>
        <v>oprk_human</v>
      </c>
      <c r="C163" s="3">
        <f>VLOOKUP($A163,'SegEnds_NonXtal_BW#'!$A:$Z,3,FALSE)+D163-50</f>
        <v>40</v>
      </c>
      <c r="D163" s="3">
        <v>60</v>
      </c>
      <c r="E163" s="3">
        <f>IF(ISERROR(VLOOKUP($A163,'SegEnds_NonXtal_BW#'!$A:$Z,4,FALSE)+VLOOKUP($A163,A:AL,4,FALSE)-50),"-",(VLOOKUP($A163,'SegEnds_NonXtal_BW#'!$A:$Z,4,FALSE)+VLOOKUP($A163,A:AL,4,FALSE)-50))</f>
        <v>70</v>
      </c>
      <c r="F163" s="3">
        <f>G163-2</f>
        <v>71</v>
      </c>
      <c r="G163" s="3">
        <v>73</v>
      </c>
      <c r="H163" s="3">
        <f t="shared" si="104"/>
        <v>74</v>
      </c>
      <c r="I163" s="3">
        <f t="shared" si="104"/>
        <v>75</v>
      </c>
      <c r="J163" s="3">
        <v>88</v>
      </c>
      <c r="K163" s="3">
        <f>VLOOKUP($A163,'SegEnds_NonXtal_BW#'!$A:$Z,8,FALSE)+VLOOKUP($A163,A:AL,10,FALSE)-50</f>
        <v>105</v>
      </c>
      <c r="L163" s="3">
        <f t="shared" si="100"/>
        <v>107</v>
      </c>
      <c r="M163" s="3">
        <v>108</v>
      </c>
      <c r="N163" s="3">
        <f t="shared" si="101"/>
        <v>110</v>
      </c>
      <c r="O163" s="3">
        <f t="shared" si="102"/>
        <v>111</v>
      </c>
      <c r="P163" s="3">
        <v>140</v>
      </c>
      <c r="Q163" s="3">
        <f>VLOOKUP($A163,'SegEnds_NonXtal_BW#'!$A:$Z,12,FALSE)+VLOOKUP($A163,A:AL,16,FALSE)-50</f>
        <v>146</v>
      </c>
      <c r="R163" s="3">
        <f>IF(ISERROR(VLOOKUP($A163,'SegEnds_NonXtal_BW#'!$A:$Z,13,FALSE)+VLOOKUP($A163,A:AL,19,FALSE)-50),"-",VLOOKUP($A163,'SegEnds_NonXtal_BW#'!$A:$Z,13,FALSE)+VLOOKUP($A163,A:AL,19,FALSE)-50)</f>
        <v>147</v>
      </c>
      <c r="S163" s="3">
        <v>147</v>
      </c>
      <c r="T163" s="100">
        <f>IF(ISERROR(VLOOKUP($A163,'SegEnds_NonXtal_BW#'!$A:$Z,14,FALSE)+VLOOKUP($A163,A:AL,19,FALSE)-50),"-",(VLOOKUP($A163,'SegEnds_NonXtal_BW#'!$A:$Z,14,FALSE)+VLOOKUP($A163,A:AL,19,FALSE)-50))</f>
        <v>154</v>
      </c>
      <c r="U163" s="9">
        <f>IF(ISERROR(VLOOKUP($A163,'SegEnds_NonXtal_BW#'!$A:$Z,15,FALSE)+VLOOKUP($A163,A:AL,22,FALSE)-50),"-",VLOOKUP($A163,'SegEnds_NonXtal_BW#'!$A:$Z,15,FALSE)+VLOOKUP($A163,A:AL,22,FALSE)-50)</f>
        <v>155</v>
      </c>
      <c r="V163" s="3">
        <v>167</v>
      </c>
      <c r="W163" s="3">
        <f>IF(ISERROR(VLOOKUP($A163,'SegEnds_NonXtal_BW#'!$A:$Z,16,FALSE)+VLOOKUP($A163,A:AL,22,FALSE)-50),"-",(VLOOKUP($A163,'SegEnds_NonXtal_BW#'!$A:$Z,16,FALSE)+VLOOKUP($A163,A:AL,22,FALSE)-50))</f>
        <v>181</v>
      </c>
      <c r="X163" s="3">
        <f>IF(ISERROR(VLOOKUP($A163,'SegEnds_NonXtal_BW#'!$A:$Z,17,FALSE)+VLOOKUP($A163,A:AL,25,FALSE)-50),"-",(VLOOKUP($A163,'SegEnds_NonXtal_BW#'!$A:$Z,17,FALSE)+VLOOKUP($A163,A:AL,25,FALSE)-50))</f>
        <v>191</v>
      </c>
      <c r="Y163" s="3">
        <v>191</v>
      </c>
      <c r="Z163" s="3">
        <f t="shared" si="103"/>
        <v>193</v>
      </c>
      <c r="AA163" s="3">
        <f>IF(ISERROR(VLOOKUP($A163,'SegEnds_NonXtal_BW#'!$A:$Z,19,FALSE)+VLOOKUP($A163,A:AL,28,FALSE)-50),"-",(VLOOKUP($A163,'SegEnds_NonXtal_BW#'!$A:$Z,19,FALSE)+VLOOKUP($A163,A:AL,28,FALSE)-50))</f>
        <v>196</v>
      </c>
      <c r="AB163" s="3">
        <v>216</v>
      </c>
      <c r="AC163" s="3">
        <f>IF(ISERROR((VLOOKUP($A163,'SegEnds_NonXtal_BW#'!$A:$Z,20,FALSE)+VLOOKUP($A163,A:AL,28,FALSE)-50)),"-",(VLOOKUP($A163,'SegEnds_NonXtal_BW#'!$A:$Z,20,FALSE)+VLOOKUP($A163,A:AL,28,FALSE)-50))</f>
        <v>240</v>
      </c>
      <c r="AD163" s="3">
        <f>IF(ISERROR(VLOOKUP($A163,'SegEnds_NonXtal_BW#'!$A:$Z,21,FALSE)+VLOOKUP($A163,A:AL,31,FALSE)-50),"-",(VLOOKUP($A163,'SegEnds_NonXtal_BW#'!$A:$Z,21,FALSE)+VLOOKUP($A163,A:AL,31,FALSE)-50))</f>
        <v>249</v>
      </c>
      <c r="AE163" s="3">
        <v>278</v>
      </c>
      <c r="AF163" s="3">
        <f>IF(ISERROR((VLOOKUP($A163,'SegEnds_NonXtal_BW#'!$A:$Z,22,FALSE)+VLOOKUP($A163,A:AL,31,FALSE)-50)),"-",(VLOOKUP($A163,'SegEnds_NonXtal_BW#'!$A:$Z,22,FALSE)+VLOOKUP($A163,A:AL,31,FALSE)-50))</f>
        <v>289</v>
      </c>
      <c r="AG163" s="3">
        <f>IF(ISERROR(VLOOKUP($A163,'SegEnds_NonXtal_BW#'!$A:$Z,23,FALSE)+VLOOKUP($A163,A:AL,34,FALSE)-50),"-",(VLOOKUP($A163,'SegEnds_NonXtal_BW#'!$A:$Z,23,FALSE)+VLOOKUP($A163,A:AL,34,FALSE)-50))</f>
        <v>298</v>
      </c>
      <c r="AH163" s="3">
        <v>320</v>
      </c>
      <c r="AI163" s="3">
        <f>IF(ISERROR((VLOOKUP($A163,'SegEnds_NonXtal_BW#'!$A:$Z,24,FALSE)+VLOOKUP($A163,A:AL,34,FALSE)-50)),"-",(VLOOKUP($A163,'SegEnds_NonXtal_BW#'!$A:$Z,24,FALSE)+VLOOKUP($A163,A:AL,34,FALSE)-50))</f>
        <v>326</v>
      </c>
      <c r="AJ163" s="3">
        <f>IF(ISERROR(VLOOKUP($A163,'SegEnds_NonXtal_BW#'!$A:$Z,25,FALSE)+VLOOKUP($A163,A:AL,37,FALSE)-50),"-",(VLOOKUP($A163,'SegEnds_NonXtal_BW#'!$A:$Z,25,FALSE)+VLOOKUP($A163,A:AL,37,FALSE)-50))</f>
        <v>327</v>
      </c>
      <c r="AK163" s="3">
        <v>330</v>
      </c>
      <c r="AL163" s="3">
        <f>IF(ISERROR((VLOOKUP($A163,'SegEnds_NonXtal_BW#'!$A:$Z,26,FALSE)+VLOOKUP($A163,A:AL,37,FALSE)-50)),"-",(VLOOKUP($A163,'SegEnds_NonXtal_BW#'!$A:$Z,26,FALSE)+VLOOKUP($A163,A:AL,37,FALSE)-50))</f>
        <v>339</v>
      </c>
      <c r="AM163" s="28" t="str">
        <f>VLOOKUP(A163,Classification!A:B,2,FALSE)</f>
        <v>A</v>
      </c>
      <c r="AN163" s="28" t="b">
        <f t="shared" si="98"/>
        <v>1</v>
      </c>
      <c r="AO163" s="3" t="str">
        <f>IF(ISERROR(MATCH(A163,'SegEnds_Xtal_Prot#'!B:B, 0)), "NoXtal", "Xtal")</f>
        <v>NoXtal</v>
      </c>
      <c r="AP163" s="3">
        <f t="shared" si="81"/>
        <v>1</v>
      </c>
      <c r="AQ163" s="3">
        <f t="shared" si="82"/>
        <v>1</v>
      </c>
      <c r="AR163" s="3">
        <f t="shared" si="83"/>
        <v>2</v>
      </c>
      <c r="AS163" s="3">
        <f t="shared" si="84"/>
        <v>1</v>
      </c>
      <c r="AT163" s="3">
        <f t="shared" si="85"/>
        <v>1</v>
      </c>
      <c r="AU163" s="3">
        <f t="shared" si="86"/>
        <v>1</v>
      </c>
      <c r="AV163" s="3">
        <f t="shared" si="87"/>
        <v>10</v>
      </c>
      <c r="AW163" s="3">
        <f t="shared" si="88"/>
        <v>3</v>
      </c>
      <c r="AX163" s="3">
        <f t="shared" si="89"/>
        <v>9</v>
      </c>
      <c r="AY163" s="3">
        <f t="shared" si="90"/>
        <v>9</v>
      </c>
      <c r="AZ163" s="3">
        <f t="shared" si="91"/>
        <v>1</v>
      </c>
      <c r="BA163" s="3">
        <f>IF(ISERROR(LEN(VLOOKUP(A163,Seqs!A:E,2,FALSE))-AL163),"-",LEN(VLOOKUP(A163,Seqs!A:E,2,FALSE))-AL163)</f>
        <v>59</v>
      </c>
      <c r="BB163" s="16">
        <f t="shared" si="92"/>
        <v>28</v>
      </c>
      <c r="BC163" s="9">
        <f t="shared" si="93"/>
        <v>20</v>
      </c>
      <c r="BD163" s="3">
        <f t="shared" si="94"/>
        <v>28</v>
      </c>
      <c r="BE163" s="3">
        <f t="shared" si="95"/>
        <v>62</v>
      </c>
    </row>
    <row r="164" spans="1:58" s="3" customFormat="1" x14ac:dyDescent="0.2">
      <c r="A164" s="3" t="s">
        <v>282</v>
      </c>
      <c r="B164" s="3" t="str">
        <f>LOWER(VLOOKUP(A164,Xtal_Templ!A:B,2,FALSE))</f>
        <v>agtr1_human</v>
      </c>
      <c r="C164" s="3">
        <f>VLOOKUP($A164,'SegEnds_NonXtal_BW#'!$A:$Z,3,FALSE)+D164-50</f>
        <v>534</v>
      </c>
      <c r="D164" s="3">
        <v>556</v>
      </c>
      <c r="E164" s="3">
        <f>IF(ISERROR(VLOOKUP($A164,'SegEnds_NonXtal_BW#'!$A:$Z,4,FALSE)+VLOOKUP($A164,A:AL,4,FALSE)-50),"-",(VLOOKUP($A164,'SegEnds_NonXtal_BW#'!$A:$Z,4,FALSE)+VLOOKUP($A164,A:AL,4,FALSE)-50))</f>
        <v>566</v>
      </c>
      <c r="F164" s="3" t="str">
        <f>IF(ISERROR(VLOOKUP($A164,'SegEnds_NonXtal_BW#'!$A:$Z,5,FALSE)+VLOOKUP($A164,A:AL,7,FALSE)-50),"-",(VLOOKUP($A164,'SegEnds_NonXtal_BW#'!$A:$Z,5,FALSE)+VLOOKUP($A164,A:AL,7,FALSE)-50))</f>
        <v>-</v>
      </c>
      <c r="G164" s="3" t="s">
        <v>23</v>
      </c>
      <c r="H164" s="3" t="str">
        <f>IF(ISERROR(VLOOKUP($A164,'SegEnds_NonXtal_BW#'!$A:$Z,6,FALSE)+VLOOKUP($A164,A:AL,7,FALSE)-50),"-",(VLOOKUP($A164,'SegEnds_NonXtal_BW#'!$A:$Z,6,FALSE)+VLOOKUP($A164,A:AL,7,FALSE)-50))</f>
        <v>-</v>
      </c>
      <c r="I164" s="3">
        <f>VLOOKUP($A164,'SegEnds_NonXtal_BW#'!$A:$Z,7,FALSE)+J164-50</f>
        <v>571</v>
      </c>
      <c r="J164" s="3">
        <v>584</v>
      </c>
      <c r="K164" s="3">
        <f>VLOOKUP($A164,'SegEnds_NonXtal_BW#'!$A:$Z,8,FALSE)+VLOOKUP($A164,A:AL,10,FALSE)-50</f>
        <v>601</v>
      </c>
      <c r="L164" s="3" t="str">
        <f>IF(ISERROR(VLOOKUP($A164,'SegEnds_NonXtal_BW#'!$A:$Z,9,FALSE)+VLOOKUP($A164,A:AL,13,FALSE)-50),"-",(VLOOKUP($A164,'SegEnds_NonXtal_BW#'!$A:$Z,9,FALSE)+VLOOKUP($A164,A:AL,13,FALSE)-50))</f>
        <v>-</v>
      </c>
      <c r="M164" s="3" t="s">
        <v>23</v>
      </c>
      <c r="N164" s="3" t="str">
        <f>IF(ISERROR(VLOOKUP($A164,'SegEnds_NonXtal_BW#'!$A:$Z,10,FALSE)+VLOOKUP($A164,A:AL,13,FALSE)-50),"-",(VLOOKUP($A164,'SegEnds_NonXtal_BW#'!$A:$Z,10,FALSE)+VLOOKUP($A164,A:AL,13,FALSE)-50))</f>
        <v>-</v>
      </c>
      <c r="O164" s="3">
        <f>VLOOKUP($A164,'SegEnds_NonXtal_BW#'!$A:$Z,11,FALSE)+VLOOKUP($A164,A:AL,16,FALSE)-50</f>
        <v>611</v>
      </c>
      <c r="P164" s="3">
        <v>643</v>
      </c>
      <c r="Q164" s="3">
        <f>VLOOKUP($A164,'SegEnds_NonXtal_BW#'!$A:$Z,12,FALSE)+VLOOKUP($A164,A:AL,16,FALSE)-50</f>
        <v>649</v>
      </c>
      <c r="R164" s="3">
        <f>IF(ISERROR(VLOOKUP($A164,'SegEnds_NonXtal_BW#'!$A:$Z,13,FALSE)+VLOOKUP($A164,A:AL,19,FALSE)-50),"-",VLOOKUP($A164,'SegEnds_NonXtal_BW#'!$A:$Z,13,FALSE)+VLOOKUP($A164,A:AL,19,FALSE)-50)</f>
        <v>650</v>
      </c>
      <c r="S164" s="3">
        <v>650</v>
      </c>
      <c r="T164" s="100">
        <f>IF(ISERROR(VLOOKUP($A164,'SegEnds_NonXtal_BW#'!$A:$Z,14,FALSE)+VLOOKUP($A164,A:AL,19,FALSE)-50),"-",(VLOOKUP($A164,'SegEnds_NonXtal_BW#'!$A:$Z,14,FALSE)+VLOOKUP($A164,A:AL,19,FALSE)-50))</f>
        <v>657</v>
      </c>
      <c r="U164" s="9">
        <f>IF(ISERROR(VLOOKUP($A164,'SegEnds_NonXtal_BW#'!$A:$Z,15,FALSE)+VLOOKUP($A164,A:AL,22,FALSE)-50),"-",VLOOKUP($A164,'SegEnds_NonXtal_BW#'!$A:$Z,15,FALSE)+VLOOKUP($A164,A:AL,22,FALSE)-50)</f>
        <v>658</v>
      </c>
      <c r="V164" s="3">
        <v>670</v>
      </c>
      <c r="W164" s="3">
        <f>IF(ISERROR(VLOOKUP($A164,'SegEnds_NonXtal_BW#'!$A:$Z,16,FALSE)+VLOOKUP($A164,A:AL,22,FALSE)-50),"-",(VLOOKUP($A164,'SegEnds_NonXtal_BW#'!$A:$Z,16,FALSE)+VLOOKUP($A164,A:AL,22,FALSE)-50))</f>
        <v>684</v>
      </c>
      <c r="X164" s="3">
        <f>IF(ISERROR(VLOOKUP($A164,'SegEnds_NonXtal_BW#'!$A:$Z,17,FALSE)+VLOOKUP($A164,A:AL,25,FALSE)-50),"-",(VLOOKUP($A164,'SegEnds_NonXtal_BW#'!$A:$Z,17,FALSE)+VLOOKUP($A164,A:AL,25,FALSE)-50))</f>
        <v>693</v>
      </c>
      <c r="Y164" s="3">
        <v>693</v>
      </c>
      <c r="Z164" s="3">
        <f t="shared" si="103"/>
        <v>695</v>
      </c>
      <c r="AA164" s="3">
        <f>IF(ISERROR(VLOOKUP($A164,'SegEnds_NonXtal_BW#'!$A:$Z,19,FALSE)+VLOOKUP($A164,A:AL,28,FALSE)-50),"-",(VLOOKUP($A164,'SegEnds_NonXtal_BW#'!$A:$Z,19,FALSE)+VLOOKUP($A164,A:AL,28,FALSE)-50))</f>
        <v>701</v>
      </c>
      <c r="AB164" s="3">
        <v>717</v>
      </c>
      <c r="AC164" s="3">
        <f>IF(ISERROR((VLOOKUP($A164,'SegEnds_NonXtal_BW#'!$A:$Z,20,FALSE)+VLOOKUP($A164,A:AL,28,FALSE)-50)),"-",(VLOOKUP($A164,'SegEnds_NonXtal_BW#'!$A:$Z,20,FALSE)+VLOOKUP($A164,A:AL,28,FALSE)-50))</f>
        <v>734</v>
      </c>
      <c r="AD164" s="3">
        <f>IF(ISERROR(VLOOKUP($A164,'SegEnds_NonXtal_BW#'!$A:$Z,21,FALSE)+VLOOKUP($A164,A:AL,31,FALSE)-50),"-",(VLOOKUP($A164,'SegEnds_NonXtal_BW#'!$A:$Z,21,FALSE)+VLOOKUP($A164,A:AL,31,FALSE)-50))</f>
        <v>740</v>
      </c>
      <c r="AE164" s="3">
        <v>762</v>
      </c>
      <c r="AF164" s="3">
        <f>IF(ISERROR((VLOOKUP($A164,'SegEnds_NonXtal_BW#'!$A:$Z,22,FALSE)+VLOOKUP($A164,A:AL,31,FALSE)-50)),"-",(VLOOKUP($A164,'SegEnds_NonXtal_BW#'!$A:$Z,22,FALSE)+VLOOKUP($A164,A:AL,31,FALSE)-50))</f>
        <v>773</v>
      </c>
      <c r="AG164" s="3">
        <f>IF(ISERROR(VLOOKUP($A164,'SegEnds_NonXtal_BW#'!$A:$Z,23,FALSE)+VLOOKUP($A164,A:AL,34,FALSE)-50),"-",(VLOOKUP($A164,'SegEnds_NonXtal_BW#'!$A:$Z,23,FALSE)+VLOOKUP($A164,A:AL,34,FALSE)-50))</f>
        <v>779</v>
      </c>
      <c r="AH164" s="3">
        <v>798</v>
      </c>
      <c r="AI164" s="3">
        <f>IF(ISERROR((VLOOKUP($A164,'SegEnds_NonXtal_BW#'!$A:$Z,24,FALSE)+VLOOKUP($A164,A:AL,34,FALSE)-50)),"-",(VLOOKUP($A164,'SegEnds_NonXtal_BW#'!$A:$Z,24,FALSE)+VLOOKUP($A164,A:AL,34,FALSE)-50))</f>
        <v>804</v>
      </c>
      <c r="AJ164" s="3">
        <f>IF(ISERROR(VLOOKUP($A164,'SegEnds_NonXtal_BW#'!$A:$Z,25,FALSE)+VLOOKUP($A164,A:AL,37,FALSE)-50),"-",(VLOOKUP($A164,'SegEnds_NonXtal_BW#'!$A:$Z,25,FALSE)+VLOOKUP($A164,A:AL,37,FALSE)-50))</f>
        <v>805</v>
      </c>
      <c r="AK164" s="3">
        <v>808</v>
      </c>
      <c r="AL164" s="3">
        <f>IF(ISERROR((VLOOKUP($A164,'SegEnds_NonXtal_BW#'!$A:$Z,26,FALSE)+VLOOKUP($A164,A:AL,37,FALSE)-50)),"-",(VLOOKUP($A164,'SegEnds_NonXtal_BW#'!$A:$Z,26,FALSE)+VLOOKUP($A164,A:AL,37,FALSE)-50))</f>
        <v>819</v>
      </c>
      <c r="AM164" s="28" t="str">
        <f>VLOOKUP(A164,Classification!A:B,2,FALSE)</f>
        <v>A</v>
      </c>
      <c r="AN164" s="28" t="b">
        <f t="shared" si="98"/>
        <v>1</v>
      </c>
      <c r="AO164" s="3" t="str">
        <f>IF(ISERROR(MATCH(A164,'SegEnds_Xtal_Prot#'!B:B, 0)), "NoXtal", "Xtal")</f>
        <v>NoXtal</v>
      </c>
      <c r="AP164" s="3" t="str">
        <f t="shared" si="81"/>
        <v>-</v>
      </c>
      <c r="AQ164" s="3" t="str">
        <f t="shared" si="82"/>
        <v>-</v>
      </c>
      <c r="AR164" s="3" t="str">
        <f t="shared" si="83"/>
        <v>-</v>
      </c>
      <c r="AS164" s="3" t="str">
        <f t="shared" si="84"/>
        <v>-</v>
      </c>
      <c r="AT164" s="3">
        <f t="shared" si="85"/>
        <v>1</v>
      </c>
      <c r="AU164" s="3">
        <f t="shared" si="86"/>
        <v>1</v>
      </c>
      <c r="AV164" s="3">
        <f t="shared" si="87"/>
        <v>9</v>
      </c>
      <c r="AW164" s="3">
        <f t="shared" si="88"/>
        <v>6</v>
      </c>
      <c r="AX164" s="3">
        <f t="shared" si="89"/>
        <v>6</v>
      </c>
      <c r="AY164" s="3">
        <f t="shared" si="90"/>
        <v>6</v>
      </c>
      <c r="AZ164" s="3">
        <f t="shared" si="91"/>
        <v>1</v>
      </c>
      <c r="BA164" s="3">
        <f>IF(ISERROR(LEN(VLOOKUP(A164,Seqs!A:E,2,FALSE))-AL164),"-",LEN(VLOOKUP(A164,Seqs!A:E,2,FALSE))-AL164)</f>
        <v>132</v>
      </c>
      <c r="BB164" s="16">
        <f t="shared" si="92"/>
        <v>28</v>
      </c>
      <c r="BC164" s="9">
        <f t="shared" si="93"/>
        <v>20</v>
      </c>
      <c r="BD164" s="3">
        <f t="shared" si="94"/>
        <v>28</v>
      </c>
      <c r="BE164" s="3">
        <f t="shared" si="95"/>
        <v>45</v>
      </c>
    </row>
    <row r="165" spans="1:58" s="3" customFormat="1" x14ac:dyDescent="0.2">
      <c r="A165" s="3" t="s">
        <v>283</v>
      </c>
      <c r="B165" s="3" t="str">
        <f>LOWER(VLOOKUP(A165,Xtal_Templ!A:B,2,FALSE))</f>
        <v>aa2ar_human</v>
      </c>
      <c r="C165" s="3">
        <f>VLOOKUP($A165,'SegEnds_NonXtal_BW#'!$A:$Z,3,FALSE)+D165-50</f>
        <v>552</v>
      </c>
      <c r="D165" s="3">
        <v>575</v>
      </c>
      <c r="E165" s="3">
        <f>IF(ISERROR(VLOOKUP($A165,'SegEnds_NonXtal_BW#'!$A:$Z,4,FALSE)+VLOOKUP($A165,A:AL,4,FALSE)-50),"-",(VLOOKUP($A165,'SegEnds_NonXtal_BW#'!$A:$Z,4,FALSE)+VLOOKUP($A165,A:AL,4,FALSE)-50))</f>
        <v>585</v>
      </c>
      <c r="F165" s="3" t="str">
        <f>IF(ISERROR(VLOOKUP($A165,'SegEnds_NonXtal_BW#'!$A:$Z,5,FALSE)+VLOOKUP($A165,A:AL,7,FALSE)-50),"-",(VLOOKUP($A165,'SegEnds_NonXtal_BW#'!$A:$Z,5,FALSE)+VLOOKUP($A165,A:AL,7,FALSE)-50))</f>
        <v>-</v>
      </c>
      <c r="G165" s="3" t="s">
        <v>23</v>
      </c>
      <c r="H165" s="3" t="str">
        <f>IF(ISERROR(VLOOKUP($A165,'SegEnds_NonXtal_BW#'!$A:$Z,6,FALSE)+VLOOKUP($A165,A:AL,7,FALSE)-50),"-",(VLOOKUP($A165,'SegEnds_NonXtal_BW#'!$A:$Z,6,FALSE)+VLOOKUP($A165,A:AL,7,FALSE)-50))</f>
        <v>-</v>
      </c>
      <c r="I165" s="3">
        <f>VLOOKUP($A165,'SegEnds_NonXtal_BW#'!$A:$Z,7,FALSE)+J165-50</f>
        <v>590</v>
      </c>
      <c r="J165" s="3">
        <v>603</v>
      </c>
      <c r="K165" s="3">
        <f>VLOOKUP($A165,'SegEnds_NonXtal_BW#'!$A:$Z,8,FALSE)+VLOOKUP($A165,A:AL,10,FALSE)-50</f>
        <v>620</v>
      </c>
      <c r="L165" s="3" t="str">
        <f>IF(ISERROR(VLOOKUP($A165,'SegEnds_NonXtal_BW#'!$A:$Z,9,FALSE)+VLOOKUP($A165,A:AL,13,FALSE)-50),"-",(VLOOKUP($A165,'SegEnds_NonXtal_BW#'!$A:$Z,9,FALSE)+VLOOKUP($A165,A:AL,13,FALSE)-50))</f>
        <v>-</v>
      </c>
      <c r="M165" s="3" t="s">
        <v>23</v>
      </c>
      <c r="N165" s="3" t="str">
        <f>IF(ISERROR(VLOOKUP($A165,'SegEnds_NonXtal_BW#'!$A:$Z,10,FALSE)+VLOOKUP($A165,A:AL,13,FALSE)-50),"-",(VLOOKUP($A165,'SegEnds_NonXtal_BW#'!$A:$Z,10,FALSE)+VLOOKUP($A165,A:AL,13,FALSE)-50))</f>
        <v>-</v>
      </c>
      <c r="O165" s="3">
        <f>VLOOKUP($A165,'SegEnds_NonXtal_BW#'!$A:$Z,11,FALSE)+VLOOKUP($A165,A:AL,16,FALSE)-50</f>
        <v>630</v>
      </c>
      <c r="P165" s="3">
        <v>662</v>
      </c>
      <c r="Q165" s="3">
        <f>VLOOKUP($A165,'SegEnds_NonXtal_BW#'!$A:$Z,12,FALSE)+VLOOKUP($A165,A:AL,16,FALSE)-50</f>
        <v>668</v>
      </c>
      <c r="R165" s="3">
        <f>IF(ISERROR(VLOOKUP($A165,'SegEnds_NonXtal_BW#'!$A:$Z,13,FALSE)+VLOOKUP($A165,A:AL,19,FALSE)-50),"-",VLOOKUP($A165,'SegEnds_NonXtal_BW#'!$A:$Z,13,FALSE)+VLOOKUP($A165,A:AL,19,FALSE)-50)</f>
        <v>669</v>
      </c>
      <c r="S165" s="3">
        <v>669</v>
      </c>
      <c r="T165" s="100">
        <f>IF(ISERROR(VLOOKUP($A165,'SegEnds_NonXtal_BW#'!$A:$Z,14,FALSE)+VLOOKUP($A165,A:AL,19,FALSE)-50),"-",(VLOOKUP($A165,'SegEnds_NonXtal_BW#'!$A:$Z,14,FALSE)+VLOOKUP($A165,A:AL,19,FALSE)-50))</f>
        <v>676</v>
      </c>
      <c r="U165" s="9">
        <f>IF(ISERROR(VLOOKUP($A165,'SegEnds_NonXtal_BW#'!$A:$Z,15,FALSE)+VLOOKUP($A165,A:AL,22,FALSE)-50),"-",VLOOKUP($A165,'SegEnds_NonXtal_BW#'!$A:$Z,15,FALSE)+VLOOKUP($A165,A:AL,22,FALSE)-50)</f>
        <v>677</v>
      </c>
      <c r="V165" s="3">
        <v>689</v>
      </c>
      <c r="W165" s="3">
        <f>IF(ISERROR(VLOOKUP($A165,'SegEnds_NonXtal_BW#'!$A:$Z,16,FALSE)+VLOOKUP($A165,A:AL,22,FALSE)-50),"-",(VLOOKUP($A165,'SegEnds_NonXtal_BW#'!$A:$Z,16,FALSE)+VLOOKUP($A165,A:AL,22,FALSE)-50))</f>
        <v>702</v>
      </c>
      <c r="X165" s="3">
        <f>IF(ISERROR(VLOOKUP($A165,'SegEnds_NonXtal_BW#'!$A:$Z,17,FALSE)+VLOOKUP($A165,A:AL,25,FALSE)-50),"-",(VLOOKUP($A165,'SegEnds_NonXtal_BW#'!$A:$Z,17,FALSE)+VLOOKUP($A165,A:AL,25,FALSE)-50))</f>
        <v>712</v>
      </c>
      <c r="Y165" s="3">
        <v>712</v>
      </c>
      <c r="Z165" s="3">
        <f t="shared" si="103"/>
        <v>714</v>
      </c>
      <c r="AA165" s="3">
        <f>IF(ISERROR(VLOOKUP($A165,'SegEnds_NonXtal_BW#'!$A:$Z,19,FALSE)+VLOOKUP($A165,A:AL,28,FALSE)-50),"-",(VLOOKUP($A165,'SegEnds_NonXtal_BW#'!$A:$Z,19,FALSE)+VLOOKUP($A165,A:AL,28,FALSE)-50))</f>
        <v>720</v>
      </c>
      <c r="AB165" s="3">
        <v>736</v>
      </c>
      <c r="AC165" s="3">
        <f>IF(ISERROR((VLOOKUP($A165,'SegEnds_NonXtal_BW#'!$A:$Z,20,FALSE)+VLOOKUP($A165,A:AL,28,FALSE)-50)),"-",(VLOOKUP($A165,'SegEnds_NonXtal_BW#'!$A:$Z,20,FALSE)+VLOOKUP($A165,A:AL,28,FALSE)-50))</f>
        <v>753</v>
      </c>
      <c r="AD165" s="3">
        <f>IF(ISERROR(VLOOKUP($A165,'SegEnds_NonXtal_BW#'!$A:$Z,21,FALSE)+VLOOKUP($A165,A:AL,31,FALSE)-50),"-",(VLOOKUP($A165,'SegEnds_NonXtal_BW#'!$A:$Z,21,FALSE)+VLOOKUP($A165,A:AL,31,FALSE)-50))</f>
        <v>759</v>
      </c>
      <c r="AE165" s="3">
        <v>781</v>
      </c>
      <c r="AF165" s="3">
        <f>IF(ISERROR((VLOOKUP($A165,'SegEnds_NonXtal_BW#'!$A:$Z,22,FALSE)+VLOOKUP($A165,A:AL,31,FALSE)-50)),"-",(VLOOKUP($A165,'SegEnds_NonXtal_BW#'!$A:$Z,22,FALSE)+VLOOKUP($A165,A:AL,31,FALSE)-50))</f>
        <v>792</v>
      </c>
      <c r="AG165" s="3">
        <f>IF(ISERROR(VLOOKUP($A165,'SegEnds_NonXtal_BW#'!$A:$Z,23,FALSE)+VLOOKUP($A165,A:AL,34,FALSE)-50),"-",(VLOOKUP($A165,'SegEnds_NonXtal_BW#'!$A:$Z,23,FALSE)+VLOOKUP($A165,A:AL,34,FALSE)-50))</f>
        <v>798</v>
      </c>
      <c r="AH165" s="3">
        <v>817</v>
      </c>
      <c r="AI165" s="3">
        <f>IF(ISERROR((VLOOKUP($A165,'SegEnds_NonXtal_BW#'!$A:$Z,24,FALSE)+VLOOKUP($A165,A:AL,34,FALSE)-50)),"-",(VLOOKUP($A165,'SegEnds_NonXtal_BW#'!$A:$Z,24,FALSE)+VLOOKUP($A165,A:AL,34,FALSE)-50))</f>
        <v>823</v>
      </c>
      <c r="AJ165" s="3">
        <f>IF(ISERROR(VLOOKUP($A165,'SegEnds_NonXtal_BW#'!$A:$Z,25,FALSE)+VLOOKUP($A165,A:AL,37,FALSE)-50),"-",(VLOOKUP($A165,'SegEnds_NonXtal_BW#'!$A:$Z,25,FALSE)+VLOOKUP($A165,A:AL,37,FALSE)-50))</f>
        <v>824</v>
      </c>
      <c r="AK165" s="3">
        <v>827</v>
      </c>
      <c r="AL165" s="3">
        <f>IF(ISERROR((VLOOKUP($A165,'SegEnds_NonXtal_BW#'!$A:$Z,26,FALSE)+VLOOKUP($A165,A:AL,37,FALSE)-50)),"-",(VLOOKUP($A165,'SegEnds_NonXtal_BW#'!$A:$Z,26,FALSE)+VLOOKUP($A165,A:AL,37,FALSE)-50))</f>
        <v>846</v>
      </c>
      <c r="AM165" s="28" t="str">
        <f>VLOOKUP(A165,Classification!A:B,2,FALSE)</f>
        <v>A</v>
      </c>
      <c r="AN165" s="28" t="b">
        <f t="shared" si="98"/>
        <v>1</v>
      </c>
      <c r="AO165" s="3" t="str">
        <f>IF(ISERROR(MATCH(A165,'SegEnds_Xtal_Prot#'!B:B, 0)), "NoXtal", "Xtal")</f>
        <v>NoXtal</v>
      </c>
      <c r="AP165" s="3" t="str">
        <f t="shared" si="81"/>
        <v>-</v>
      </c>
      <c r="AQ165" s="3" t="str">
        <f t="shared" si="82"/>
        <v>-</v>
      </c>
      <c r="AR165" s="3" t="str">
        <f t="shared" si="83"/>
        <v>-</v>
      </c>
      <c r="AS165" s="3" t="str">
        <f t="shared" si="84"/>
        <v>-</v>
      </c>
      <c r="AT165" s="3">
        <f t="shared" si="85"/>
        <v>1</v>
      </c>
      <c r="AU165" s="3">
        <f t="shared" si="86"/>
        <v>1</v>
      </c>
      <c r="AV165" s="3">
        <f t="shared" si="87"/>
        <v>10</v>
      </c>
      <c r="AW165" s="3">
        <f t="shared" si="88"/>
        <v>6</v>
      </c>
      <c r="AX165" s="3">
        <f t="shared" si="89"/>
        <v>6</v>
      </c>
      <c r="AY165" s="3">
        <f t="shared" si="90"/>
        <v>6</v>
      </c>
      <c r="AZ165" s="3">
        <f t="shared" si="91"/>
        <v>1</v>
      </c>
      <c r="BA165" s="3">
        <f>IF(ISERROR(LEN(VLOOKUP(A165,Seqs!A:E,2,FALSE))-AL165),"-",LEN(VLOOKUP(A165,Seqs!A:E,2,FALSE))-AL165)</f>
        <v>61</v>
      </c>
      <c r="BB165" s="16">
        <f t="shared" si="92"/>
        <v>28</v>
      </c>
      <c r="BC165" s="9">
        <f t="shared" si="93"/>
        <v>20</v>
      </c>
      <c r="BD165" s="3">
        <f t="shared" si="94"/>
        <v>28</v>
      </c>
      <c r="BE165" s="3">
        <f t="shared" si="95"/>
        <v>45</v>
      </c>
    </row>
    <row r="166" spans="1:58" s="3" customFormat="1" x14ac:dyDescent="0.2">
      <c r="A166" s="3" t="s">
        <v>284</v>
      </c>
      <c r="B166" s="3" t="str">
        <f>LOWER(VLOOKUP(A166,Xtal_Templ!A:B,2,FALSE))</f>
        <v>mtr1a_human</v>
      </c>
      <c r="C166" s="3">
        <f>VLOOKUP($A166,'SegEnds_NonXtal_BW#'!$A:$Z,3,FALSE)+D166-50</f>
        <v>557</v>
      </c>
      <c r="D166" s="3">
        <v>579</v>
      </c>
      <c r="E166" s="3">
        <f>IF(ISERROR(VLOOKUP($A166,'SegEnds_NonXtal_BW#'!$A:$Z,4,FALSE)+VLOOKUP($A166,A:AL,4,FALSE)-50),"-",(VLOOKUP($A166,'SegEnds_NonXtal_BW#'!$A:$Z,4,FALSE)+VLOOKUP($A166,A:AL,4,FALSE)-50))</f>
        <v>589</v>
      </c>
      <c r="F166" s="3" t="str">
        <f>IF(ISERROR(VLOOKUP($A166,'SegEnds_NonXtal_BW#'!$A:$Z,5,FALSE)+VLOOKUP($A166,A:AL,7,FALSE)-50),"-",(VLOOKUP($A166,'SegEnds_NonXtal_BW#'!$A:$Z,5,FALSE)+VLOOKUP($A166,A:AL,7,FALSE)-50))</f>
        <v>-</v>
      </c>
      <c r="G166" s="3" t="s">
        <v>23</v>
      </c>
      <c r="H166" s="3" t="str">
        <f>IF(ISERROR(VLOOKUP($A166,'SegEnds_NonXtal_BW#'!$A:$Z,6,FALSE)+VLOOKUP($A166,A:AL,7,FALSE)-50),"-",(VLOOKUP($A166,'SegEnds_NonXtal_BW#'!$A:$Z,6,FALSE)+VLOOKUP($A166,A:AL,7,FALSE)-50))</f>
        <v>-</v>
      </c>
      <c r="I166" s="3">
        <f>VLOOKUP($A166,'SegEnds_NonXtal_BW#'!$A:$Z,7,FALSE)+J166-50</f>
        <v>595</v>
      </c>
      <c r="J166" s="3">
        <v>608</v>
      </c>
      <c r="K166" s="3">
        <f>VLOOKUP($A166,'SegEnds_NonXtal_BW#'!$A:$Z,8,FALSE)+VLOOKUP($A166,A:AL,10,FALSE)-50</f>
        <v>626</v>
      </c>
      <c r="L166" s="3" t="str">
        <f>IF(ISERROR(VLOOKUP($A166,'SegEnds_NonXtal_BW#'!$A:$Z,9,FALSE)+VLOOKUP($A166,A:AL,13,FALSE)-50),"-",(VLOOKUP($A166,'SegEnds_NonXtal_BW#'!$A:$Z,9,FALSE)+VLOOKUP($A166,A:AL,13,FALSE)-50))</f>
        <v>-</v>
      </c>
      <c r="M166" s="3" t="s">
        <v>23</v>
      </c>
      <c r="N166" s="3" t="str">
        <f>IF(ISERROR(VLOOKUP($A166,'SegEnds_NonXtal_BW#'!$A:$Z,10,FALSE)+VLOOKUP($A166,A:AL,13,FALSE)-50),"-",(VLOOKUP($A166,'SegEnds_NonXtal_BW#'!$A:$Z,10,FALSE)+VLOOKUP($A166,A:AL,13,FALSE)-50))</f>
        <v>-</v>
      </c>
      <c r="O166" s="3">
        <f>VLOOKUP($A166,'SegEnds_NonXtal_BW#'!$A:$Z,11,FALSE)+VLOOKUP($A166,A:AL,16,FALSE)-50</f>
        <v>635</v>
      </c>
      <c r="P166" s="3">
        <v>667</v>
      </c>
      <c r="Q166" s="3">
        <f>VLOOKUP($A166,'SegEnds_NonXtal_BW#'!$A:$Z,12,FALSE)+VLOOKUP($A166,A:AL,16,FALSE)-50</f>
        <v>673</v>
      </c>
      <c r="R166" s="3">
        <f>IF(ISERROR(VLOOKUP($A166,'SegEnds_NonXtal_BW#'!$A:$Z,13,FALSE)+VLOOKUP($A166,A:AL,19,FALSE)-50),"-",VLOOKUP($A166,'SegEnds_NonXtal_BW#'!$A:$Z,13,FALSE)+VLOOKUP($A166,A:AL,19,FALSE)-50)</f>
        <v>674</v>
      </c>
      <c r="S166" s="3">
        <v>674</v>
      </c>
      <c r="T166" s="100">
        <f>IF(ISERROR(VLOOKUP($A166,'SegEnds_NonXtal_BW#'!$A:$Z,14,FALSE)+VLOOKUP($A166,A:AL,19,FALSE)-50),"-",(VLOOKUP($A166,'SegEnds_NonXtal_BW#'!$A:$Z,14,FALSE)+VLOOKUP($A166,A:AL,19,FALSE)-50))</f>
        <v>681</v>
      </c>
      <c r="U166" s="9">
        <f>IF(ISERROR(VLOOKUP($A166,'SegEnds_NonXtal_BW#'!$A:$Z,15,FALSE)+VLOOKUP($A166,A:AL,22,FALSE)-50),"-",VLOOKUP($A166,'SegEnds_NonXtal_BW#'!$A:$Z,15,FALSE)+VLOOKUP($A166,A:AL,22,FALSE)-50)</f>
        <v>682</v>
      </c>
      <c r="V166" s="3">
        <v>694</v>
      </c>
      <c r="W166" s="3">
        <f>IF(ISERROR(VLOOKUP($A166,'SegEnds_NonXtal_BW#'!$A:$Z,16,FALSE)+VLOOKUP($A166,A:AL,22,FALSE)-50),"-",(VLOOKUP($A166,'SegEnds_NonXtal_BW#'!$A:$Z,16,FALSE)+VLOOKUP($A166,A:AL,22,FALSE)-50))</f>
        <v>708</v>
      </c>
      <c r="X166" s="3">
        <f>IF(ISERROR(VLOOKUP($A166,'SegEnds_NonXtal_BW#'!$A:$Z,17,FALSE)+VLOOKUP($A166,A:AL,25,FALSE)-50),"-",(VLOOKUP($A166,'SegEnds_NonXtal_BW#'!$A:$Z,17,FALSE)+VLOOKUP($A166,A:AL,25,FALSE)-50))</f>
        <v>717</v>
      </c>
      <c r="Y166" s="3">
        <v>717</v>
      </c>
      <c r="Z166" s="3">
        <f t="shared" si="103"/>
        <v>719</v>
      </c>
      <c r="AA166" s="3">
        <f>IF(ISERROR(VLOOKUP($A166,'SegEnds_NonXtal_BW#'!$A:$Z,19,FALSE)+VLOOKUP($A166,A:AL,28,FALSE)-50),"-",(VLOOKUP($A166,'SegEnds_NonXtal_BW#'!$A:$Z,19,FALSE)+VLOOKUP($A166,A:AL,28,FALSE)-50))</f>
        <v>728</v>
      </c>
      <c r="AB166" s="3">
        <v>743</v>
      </c>
      <c r="AC166" s="3">
        <f>IF(ISERROR((VLOOKUP($A166,'SegEnds_NonXtal_BW#'!$A:$Z,20,FALSE)+VLOOKUP($A166,A:AL,28,FALSE)-50)),"-",(VLOOKUP($A166,'SegEnds_NonXtal_BW#'!$A:$Z,20,FALSE)+VLOOKUP($A166,A:AL,28,FALSE)-50))</f>
        <v>760</v>
      </c>
      <c r="AD166" s="3">
        <f>IF(ISERROR(VLOOKUP($A166,'SegEnds_NonXtal_BW#'!$A:$Z,21,FALSE)+VLOOKUP($A166,A:AL,31,FALSE)-50),"-",(VLOOKUP($A166,'SegEnds_NonXtal_BW#'!$A:$Z,21,FALSE)+VLOOKUP($A166,A:AL,31,FALSE)-50))</f>
        <v>766</v>
      </c>
      <c r="AE166" s="3">
        <v>788</v>
      </c>
      <c r="AF166" s="3">
        <f>IF(ISERROR((VLOOKUP($A166,'SegEnds_NonXtal_BW#'!$A:$Z,22,FALSE)+VLOOKUP($A166,A:AL,31,FALSE)-50)),"-",(VLOOKUP($A166,'SegEnds_NonXtal_BW#'!$A:$Z,22,FALSE)+VLOOKUP($A166,A:AL,31,FALSE)-50))</f>
        <v>799</v>
      </c>
      <c r="AG166" s="3">
        <f>IF(ISERROR(VLOOKUP($A166,'SegEnds_NonXtal_BW#'!$A:$Z,23,FALSE)+VLOOKUP($A166,A:AL,34,FALSE)-50),"-",(VLOOKUP($A166,'SegEnds_NonXtal_BW#'!$A:$Z,23,FALSE)+VLOOKUP($A166,A:AL,34,FALSE)-50))</f>
        <v>805</v>
      </c>
      <c r="AH166" s="3">
        <v>824</v>
      </c>
      <c r="AI166" s="3">
        <f>IF(ISERROR((VLOOKUP($A166,'SegEnds_NonXtal_BW#'!$A:$Z,24,FALSE)+VLOOKUP($A166,A:AL,34,FALSE)-50)),"-",(VLOOKUP($A166,'SegEnds_NonXtal_BW#'!$A:$Z,24,FALSE)+VLOOKUP($A166,A:AL,34,FALSE)-50))</f>
        <v>830</v>
      </c>
      <c r="AJ166" s="3">
        <f>IF(ISERROR(VLOOKUP($A166,'SegEnds_NonXtal_BW#'!$A:$Z,25,FALSE)+VLOOKUP($A166,A:AL,37,FALSE)-50),"-",(VLOOKUP($A166,'SegEnds_NonXtal_BW#'!$A:$Z,25,FALSE)+VLOOKUP($A166,A:AL,37,FALSE)-50))</f>
        <v>831</v>
      </c>
      <c r="AK166" s="3">
        <v>834</v>
      </c>
      <c r="AL166" s="3">
        <f>IF(ISERROR((VLOOKUP($A166,'SegEnds_NonXtal_BW#'!$A:$Z,26,FALSE)+VLOOKUP($A166,A:AL,37,FALSE)-50)),"-",(VLOOKUP($A166,'SegEnds_NonXtal_BW#'!$A:$Z,26,FALSE)+VLOOKUP($A166,A:AL,37,FALSE)-50))</f>
        <v>847</v>
      </c>
      <c r="AM166" s="28" t="str">
        <f>VLOOKUP(A166,Classification!A:B,2,FALSE)</f>
        <v>A</v>
      </c>
      <c r="AN166" s="28" t="b">
        <f t="shared" si="98"/>
        <v>1</v>
      </c>
      <c r="AO166" s="3" t="str">
        <f>IF(ISERROR(MATCH(A166,'SegEnds_Xtal_Prot#'!B:B, 0)), "NoXtal", "Xtal")</f>
        <v>NoXtal</v>
      </c>
      <c r="AP166" s="3" t="str">
        <f t="shared" si="81"/>
        <v>-</v>
      </c>
      <c r="AQ166" s="3" t="str">
        <f t="shared" si="82"/>
        <v>-</v>
      </c>
      <c r="AR166" s="3" t="str">
        <f t="shared" si="83"/>
        <v>-</v>
      </c>
      <c r="AS166" s="3" t="str">
        <f t="shared" si="84"/>
        <v>-</v>
      </c>
      <c r="AT166" s="3">
        <f t="shared" si="85"/>
        <v>1</v>
      </c>
      <c r="AU166" s="3">
        <f t="shared" si="86"/>
        <v>1</v>
      </c>
      <c r="AV166" s="3">
        <f t="shared" si="87"/>
        <v>9</v>
      </c>
      <c r="AW166" s="3">
        <f t="shared" si="88"/>
        <v>9</v>
      </c>
      <c r="AX166" s="3">
        <f t="shared" si="89"/>
        <v>6</v>
      </c>
      <c r="AY166" s="3">
        <f t="shared" si="90"/>
        <v>6</v>
      </c>
      <c r="AZ166" s="3">
        <f t="shared" si="91"/>
        <v>1</v>
      </c>
      <c r="BA166" s="3">
        <f>IF(ISERROR(LEN(VLOOKUP(A166,Seqs!A:E,2,FALSE))-AL166),"-",LEN(VLOOKUP(A166,Seqs!A:E,2,FALSE))-AL166)</f>
        <v>120</v>
      </c>
      <c r="BB166" s="16">
        <f t="shared" si="92"/>
        <v>29</v>
      </c>
      <c r="BC166" s="9">
        <f t="shared" si="93"/>
        <v>20</v>
      </c>
      <c r="BD166" s="3">
        <f t="shared" si="94"/>
        <v>29</v>
      </c>
      <c r="BE166" s="3">
        <f t="shared" si="95"/>
        <v>45</v>
      </c>
    </row>
    <row r="167" spans="1:58" s="3" customFormat="1" x14ac:dyDescent="0.2">
      <c r="A167" s="3" t="s">
        <v>287</v>
      </c>
      <c r="B167" s="3" t="str">
        <f>LOWER(VLOOKUP(A167,Xtal_Templ!A:B,2,FALSE))</f>
        <v>oprk_human</v>
      </c>
      <c r="C167" s="3">
        <f>VLOOKUP($A167,'SegEnds_NonXtal_BW#'!$A:$Z,3,FALSE)+D167-50</f>
        <v>37</v>
      </c>
      <c r="D167" s="3">
        <v>57</v>
      </c>
      <c r="E167" s="3">
        <f>IF(ISERROR(VLOOKUP($A167,'SegEnds_NonXtal_BW#'!$A:$Z,4,FALSE)+VLOOKUP($A167,A:AL,4,FALSE)-50),"-",(VLOOKUP($A167,'SegEnds_NonXtal_BW#'!$A:$Z,4,FALSE)+VLOOKUP($A167,A:AL,4,FALSE)-50))</f>
        <v>67</v>
      </c>
      <c r="F167" s="3">
        <f t="shared" ref="F167:F172" si="105">G167-2</f>
        <v>68</v>
      </c>
      <c r="G167" s="3">
        <v>70</v>
      </c>
      <c r="H167" s="3">
        <f t="shared" ref="H167:I172" si="106">G167+1</f>
        <v>71</v>
      </c>
      <c r="I167" s="3">
        <f t="shared" si="106"/>
        <v>72</v>
      </c>
      <c r="J167" s="3">
        <v>85</v>
      </c>
      <c r="K167" s="3">
        <f>VLOOKUP($A167,'SegEnds_NonXtal_BW#'!$A:$Z,8,FALSE)+VLOOKUP($A167,A:AL,10,FALSE)-50</f>
        <v>101</v>
      </c>
      <c r="L167" s="3">
        <f t="shared" ref="L167:L172" si="107">M167-1</f>
        <v>103</v>
      </c>
      <c r="M167" s="3">
        <v>104</v>
      </c>
      <c r="N167" s="3">
        <f t="shared" ref="N167:N172" si="108">M167+2</f>
        <v>106</v>
      </c>
      <c r="O167" s="3">
        <f t="shared" ref="O167:O172" si="109">N167+1</f>
        <v>107</v>
      </c>
      <c r="P167" s="3">
        <v>136</v>
      </c>
      <c r="Q167" s="3">
        <f>VLOOKUP($A167,'SegEnds_NonXtal_BW#'!$A:$Z,12,FALSE)+VLOOKUP($A167,A:AL,16,FALSE)-50</f>
        <v>142</v>
      </c>
      <c r="R167" s="3">
        <f>IF(ISERROR(VLOOKUP($A167,'SegEnds_NonXtal_BW#'!$A:$Z,13,FALSE)+VLOOKUP($A167,A:AL,19,FALSE)-50),"-",VLOOKUP($A167,'SegEnds_NonXtal_BW#'!$A:$Z,13,FALSE)+VLOOKUP($A167,A:AL,19,FALSE)-50)</f>
        <v>143</v>
      </c>
      <c r="S167" s="3">
        <v>143</v>
      </c>
      <c r="T167" s="100">
        <f>IF(ISERROR(VLOOKUP($A167,'SegEnds_NonXtal_BW#'!$A:$Z,14,FALSE)+VLOOKUP($A167,A:AL,19,FALSE)-50),"-",(VLOOKUP($A167,'SegEnds_NonXtal_BW#'!$A:$Z,14,FALSE)+VLOOKUP($A167,A:AL,19,FALSE)-50))</f>
        <v>150</v>
      </c>
      <c r="U167" s="9">
        <f>IF(ISERROR(VLOOKUP($A167,'SegEnds_NonXtal_BW#'!$A:$Z,15,FALSE)+VLOOKUP($A167,A:AL,22,FALSE)-50),"-",VLOOKUP($A167,'SegEnds_NonXtal_BW#'!$A:$Z,15,FALSE)+VLOOKUP($A167,A:AL,22,FALSE)-50)</f>
        <v>151</v>
      </c>
      <c r="V167" s="3">
        <v>163</v>
      </c>
      <c r="W167" s="3">
        <f>IF(ISERROR(VLOOKUP($A167,'SegEnds_NonXtal_BW#'!$A:$Z,16,FALSE)+VLOOKUP($A167,A:AL,22,FALSE)-50),"-",(VLOOKUP($A167,'SegEnds_NonXtal_BW#'!$A:$Z,16,FALSE)+VLOOKUP($A167,A:AL,22,FALSE)-50))</f>
        <v>177</v>
      </c>
      <c r="X167" s="3">
        <f>IF(ISERROR(VLOOKUP($A167,'SegEnds_NonXtal_BW#'!$A:$Z,17,FALSE)+VLOOKUP($A167,A:AL,25,FALSE)-50),"-",(VLOOKUP($A167,'SegEnds_NonXtal_BW#'!$A:$Z,17,FALSE)+VLOOKUP($A167,A:AL,25,FALSE)-50))</f>
        <v>188</v>
      </c>
      <c r="Y167" s="3">
        <v>188</v>
      </c>
      <c r="Z167" s="3">
        <f t="shared" si="103"/>
        <v>190</v>
      </c>
      <c r="AA167" s="3">
        <f>IF(ISERROR(VLOOKUP($A167,'SegEnds_NonXtal_BW#'!$A:$Z,19,FALSE)+VLOOKUP($A167,A:AL,28,FALSE)-50),"-",(VLOOKUP($A167,'SegEnds_NonXtal_BW#'!$A:$Z,19,FALSE)+VLOOKUP($A167,A:AL,28,FALSE)-50))</f>
        <v>196</v>
      </c>
      <c r="AB167" s="3">
        <v>216</v>
      </c>
      <c r="AC167" s="3">
        <f>IF(ISERROR((VLOOKUP($A167,'SegEnds_NonXtal_BW#'!$A:$Z,20,FALSE)+VLOOKUP($A167,A:AL,28,FALSE)-50)),"-",(VLOOKUP($A167,'SegEnds_NonXtal_BW#'!$A:$Z,20,FALSE)+VLOOKUP($A167,A:AL,28,FALSE)-50))</f>
        <v>234</v>
      </c>
      <c r="AD167" s="3">
        <f>IF(ISERROR(VLOOKUP($A167,'SegEnds_NonXtal_BW#'!$A:$Z,21,FALSE)+VLOOKUP($A167,A:AL,31,FALSE)-50),"-",(VLOOKUP($A167,'SegEnds_NonXtal_BW#'!$A:$Z,21,FALSE)+VLOOKUP($A167,A:AL,31,FALSE)-50))</f>
        <v>238</v>
      </c>
      <c r="AE167" s="3">
        <v>264</v>
      </c>
      <c r="AF167" s="3">
        <f>IF(ISERROR((VLOOKUP($A167,'SegEnds_NonXtal_BW#'!$A:$Z,22,FALSE)+VLOOKUP($A167,A:AL,31,FALSE)-50)),"-",(VLOOKUP($A167,'SegEnds_NonXtal_BW#'!$A:$Z,22,FALSE)+VLOOKUP($A167,A:AL,31,FALSE)-50))</f>
        <v>278</v>
      </c>
      <c r="AG167" s="3">
        <f>IF(ISERROR(VLOOKUP($A167,'SegEnds_NonXtal_BW#'!$A:$Z,23,FALSE)+VLOOKUP($A167,A:AL,34,FALSE)-50),"-",(VLOOKUP($A167,'SegEnds_NonXtal_BW#'!$A:$Z,23,FALSE)+VLOOKUP($A167,A:AL,34,FALSE)-50))</f>
        <v>282</v>
      </c>
      <c r="AH167" s="3">
        <v>308</v>
      </c>
      <c r="AI167" s="3">
        <f>IF(ISERROR((VLOOKUP($A167,'SegEnds_NonXtal_BW#'!$A:$Z,24,FALSE)+VLOOKUP($A167,A:AL,34,FALSE)-50)),"-",(VLOOKUP($A167,'SegEnds_NonXtal_BW#'!$A:$Z,24,FALSE)+VLOOKUP($A167,A:AL,34,FALSE)-50))</f>
        <v>314</v>
      </c>
      <c r="AJ167" s="3">
        <f>IF(ISERROR(VLOOKUP($A167,'SegEnds_NonXtal_BW#'!$A:$Z,25,FALSE)+VLOOKUP($A167,A:AL,37,FALSE)-50),"-",(VLOOKUP($A167,'SegEnds_NonXtal_BW#'!$A:$Z,25,FALSE)+VLOOKUP($A167,A:AL,37,FALSE)-50))</f>
        <v>315</v>
      </c>
      <c r="AK167" s="3">
        <v>318</v>
      </c>
      <c r="AL167" s="3">
        <f>IF(ISERROR((VLOOKUP($A167,'SegEnds_NonXtal_BW#'!$A:$Z,26,FALSE)+VLOOKUP($A167,A:AL,37,FALSE)-50)),"-",(VLOOKUP($A167,'SegEnds_NonXtal_BW#'!$A:$Z,26,FALSE)+VLOOKUP($A167,A:AL,37,FALSE)-50))</f>
        <v>327</v>
      </c>
      <c r="AM167" s="28" t="str">
        <f>VLOOKUP(A167,Classification!A:B,2,FALSE)</f>
        <v>A</v>
      </c>
      <c r="AN167" s="28" t="b">
        <f t="shared" si="98"/>
        <v>1</v>
      </c>
      <c r="AO167" s="3" t="str">
        <f>IF(ISERROR(MATCH(A167,'SegEnds_Xtal_Prot#'!B:B, 0)), "NoXtal", "Xtal")</f>
        <v>NoXtal</v>
      </c>
      <c r="AP167" s="3">
        <f t="shared" si="81"/>
        <v>1</v>
      </c>
      <c r="AQ167" s="3">
        <f t="shared" si="82"/>
        <v>1</v>
      </c>
      <c r="AR167" s="3">
        <f t="shared" si="83"/>
        <v>2</v>
      </c>
      <c r="AS167" s="3">
        <f t="shared" si="84"/>
        <v>1</v>
      </c>
      <c r="AT167" s="3">
        <f t="shared" si="85"/>
        <v>1</v>
      </c>
      <c r="AU167" s="3">
        <f t="shared" si="86"/>
        <v>1</v>
      </c>
      <c r="AV167" s="3">
        <f t="shared" si="87"/>
        <v>11</v>
      </c>
      <c r="AW167" s="3">
        <f t="shared" si="88"/>
        <v>6</v>
      </c>
      <c r="AX167" s="3">
        <f t="shared" si="89"/>
        <v>4</v>
      </c>
      <c r="AY167" s="3">
        <f t="shared" si="90"/>
        <v>4</v>
      </c>
      <c r="AZ167" s="3">
        <f t="shared" si="91"/>
        <v>1</v>
      </c>
      <c r="BA167" s="3">
        <f>IF(ISERROR(LEN(VLOOKUP(A167,Seqs!A:E,2,FALSE))-AL167),"-",LEN(VLOOKUP(A167,Seqs!A:E,2,FALSE))-AL167)</f>
        <v>43</v>
      </c>
      <c r="BB167" s="16">
        <f t="shared" si="92"/>
        <v>28</v>
      </c>
      <c r="BC167" s="9">
        <f t="shared" si="93"/>
        <v>20</v>
      </c>
      <c r="BD167" s="3">
        <f t="shared" si="94"/>
        <v>28</v>
      </c>
      <c r="BE167" s="3">
        <f t="shared" si="95"/>
        <v>48</v>
      </c>
    </row>
    <row r="168" spans="1:58" s="3" customFormat="1" x14ac:dyDescent="0.2">
      <c r="A168" s="3" t="s">
        <v>288</v>
      </c>
      <c r="B168" s="3" t="str">
        <f>LOWER(VLOOKUP(A168,Xtal_Templ!A:B,2,FALSE))</f>
        <v>cltr2_human</v>
      </c>
      <c r="C168" s="3">
        <f>VLOOKUP($A168,'SegEnds_NonXtal_BW#'!$A:$Z,3,FALSE)+D168-50</f>
        <v>15</v>
      </c>
      <c r="D168" s="3">
        <v>40</v>
      </c>
      <c r="E168" s="3">
        <f>IF(ISERROR(VLOOKUP($A168,'SegEnds_NonXtal_BW#'!$A:$Z,4,FALSE)+VLOOKUP($A168,A:AL,4,FALSE)-50),"-",(VLOOKUP($A168,'SegEnds_NonXtal_BW#'!$A:$Z,4,FALSE)+VLOOKUP($A168,A:AL,4,FALSE)-50))</f>
        <v>50</v>
      </c>
      <c r="F168" s="3">
        <f t="shared" si="105"/>
        <v>51</v>
      </c>
      <c r="G168" s="3">
        <v>53</v>
      </c>
      <c r="H168" s="3">
        <f t="shared" si="106"/>
        <v>54</v>
      </c>
      <c r="I168" s="3">
        <f t="shared" si="106"/>
        <v>55</v>
      </c>
      <c r="J168" s="3">
        <v>68</v>
      </c>
      <c r="K168" s="3">
        <f>VLOOKUP($A168,'SegEnds_NonXtal_BW#'!$A:$Z,8,FALSE)+VLOOKUP($A168,A:AL,10,FALSE)-50</f>
        <v>84</v>
      </c>
      <c r="L168" s="3">
        <f t="shared" si="107"/>
        <v>86</v>
      </c>
      <c r="M168" s="3">
        <v>87</v>
      </c>
      <c r="N168" s="3">
        <f t="shared" si="108"/>
        <v>89</v>
      </c>
      <c r="O168" s="3">
        <f t="shared" si="109"/>
        <v>90</v>
      </c>
      <c r="P168" s="3">
        <v>119</v>
      </c>
      <c r="Q168" s="3">
        <f>VLOOKUP($A168,'SegEnds_NonXtal_BW#'!$A:$Z,12,FALSE)+VLOOKUP($A168,A:AL,16,FALSE)-50</f>
        <v>125</v>
      </c>
      <c r="R168" s="3">
        <f>IF(ISERROR(VLOOKUP($A168,'SegEnds_NonXtal_BW#'!$A:$Z,13,FALSE)+VLOOKUP($A168,A:AL,19,FALSE)-50),"-",VLOOKUP($A168,'SegEnds_NonXtal_BW#'!$A:$Z,13,FALSE)+VLOOKUP($A168,A:AL,19,FALSE)-50)</f>
        <v>126</v>
      </c>
      <c r="S168" s="3">
        <v>126</v>
      </c>
      <c r="T168" s="100">
        <f>IF(ISERROR(VLOOKUP($A168,'SegEnds_NonXtal_BW#'!$A:$Z,14,FALSE)+VLOOKUP($A168,A:AL,19,FALSE)-50),"-",(VLOOKUP($A168,'SegEnds_NonXtal_BW#'!$A:$Z,14,FALSE)+VLOOKUP($A168,A:AL,19,FALSE)-50))</f>
        <v>133</v>
      </c>
      <c r="U168" s="9">
        <f>IF(ISERROR(VLOOKUP($A168,'SegEnds_NonXtal_BW#'!$A:$Z,15,FALSE)+VLOOKUP($A168,A:AL,22,FALSE)-50),"-",VLOOKUP($A168,'SegEnds_NonXtal_BW#'!$A:$Z,15,FALSE)+VLOOKUP($A168,A:AL,22,FALSE)-50)</f>
        <v>134</v>
      </c>
      <c r="V168" s="3">
        <v>146</v>
      </c>
      <c r="W168" s="3">
        <f>IF(ISERROR(VLOOKUP($A168,'SegEnds_NonXtal_BW#'!$A:$Z,16,FALSE)+VLOOKUP($A168,A:AL,22,FALSE)-50),"-",(VLOOKUP($A168,'SegEnds_NonXtal_BW#'!$A:$Z,16,FALSE)+VLOOKUP($A168,A:AL,22,FALSE)-50))</f>
        <v>159</v>
      </c>
      <c r="X168" s="3">
        <f>IF(ISERROR(VLOOKUP($A168,'SegEnds_NonXtal_BW#'!$A:$Z,17,FALSE)+VLOOKUP($A168,A:AL,25,FALSE)-50),"-",(VLOOKUP($A168,'SegEnds_NonXtal_BW#'!$A:$Z,17,FALSE)+VLOOKUP($A168,A:AL,25,FALSE)-50))</f>
        <v>175</v>
      </c>
      <c r="Y168" s="3">
        <v>175</v>
      </c>
      <c r="Z168" s="3">
        <f t="shared" si="103"/>
        <v>177</v>
      </c>
      <c r="AA168" s="3">
        <f>IF(ISERROR(VLOOKUP($A168,'SegEnds_NonXtal_BW#'!$A:$Z,19,FALSE)+VLOOKUP($A168,A:AL,28,FALSE)-50),"-",(VLOOKUP($A168,'SegEnds_NonXtal_BW#'!$A:$Z,19,FALSE)+VLOOKUP($A168,A:AL,28,FALSE)-50))</f>
        <v>185</v>
      </c>
      <c r="AB168" s="3">
        <v>203</v>
      </c>
      <c r="AC168" s="3">
        <f>IF(ISERROR((VLOOKUP($A168,'SegEnds_NonXtal_BW#'!$A:$Z,20,FALSE)+VLOOKUP($A168,A:AL,28,FALSE)-50)),"-",(VLOOKUP($A168,'SegEnds_NonXtal_BW#'!$A:$Z,20,FALSE)+VLOOKUP($A168,A:AL,28,FALSE)-50))</f>
        <v>220</v>
      </c>
      <c r="AD168" s="3">
        <f>IF(ISERROR(VLOOKUP($A168,'SegEnds_NonXtal_BW#'!$A:$Z,21,FALSE)+VLOOKUP($A168,A:AL,31,FALSE)-50),"-",(VLOOKUP($A168,'SegEnds_NonXtal_BW#'!$A:$Z,21,FALSE)+VLOOKUP($A168,A:AL,31,FALSE)-50))</f>
        <v>225</v>
      </c>
      <c r="AE168" s="3">
        <v>249</v>
      </c>
      <c r="AF168" s="3">
        <f>IF(ISERROR((VLOOKUP($A168,'SegEnds_NonXtal_BW#'!$A:$Z,22,FALSE)+VLOOKUP($A168,A:AL,31,FALSE)-50)),"-",(VLOOKUP($A168,'SegEnds_NonXtal_BW#'!$A:$Z,22,FALSE)+VLOOKUP($A168,A:AL,31,FALSE)-50))</f>
        <v>263</v>
      </c>
      <c r="AG168" s="3">
        <f>IF(ISERROR(VLOOKUP($A168,'SegEnds_NonXtal_BW#'!$A:$Z,23,FALSE)+VLOOKUP($A168,A:AL,34,FALSE)-50),"-",(VLOOKUP($A168,'SegEnds_NonXtal_BW#'!$A:$Z,23,FALSE)+VLOOKUP($A168,A:AL,34,FALSE)-50))</f>
        <v>268</v>
      </c>
      <c r="AH168" s="3">
        <v>294</v>
      </c>
      <c r="AI168" s="3">
        <f>IF(ISERROR((VLOOKUP($A168,'SegEnds_NonXtal_BW#'!$A:$Z,24,FALSE)+VLOOKUP($A168,A:AL,34,FALSE)-50)),"-",(VLOOKUP($A168,'SegEnds_NonXtal_BW#'!$A:$Z,24,FALSE)+VLOOKUP($A168,A:AL,34,FALSE)-50))</f>
        <v>300</v>
      </c>
      <c r="AJ168" s="3">
        <f>IF(ISERROR(VLOOKUP($A168,'SegEnds_NonXtal_BW#'!$A:$Z,25,FALSE)+VLOOKUP($A168,A:AL,37,FALSE)-50),"-",(VLOOKUP($A168,'SegEnds_NonXtal_BW#'!$A:$Z,25,FALSE)+VLOOKUP($A168,A:AL,37,FALSE)-50))</f>
        <v>301</v>
      </c>
      <c r="AK168" s="3">
        <v>304</v>
      </c>
      <c r="AL168" s="3">
        <f>IF(ISERROR((VLOOKUP($A168,'SegEnds_NonXtal_BW#'!$A:$Z,26,FALSE)+VLOOKUP($A168,A:AL,37,FALSE)-50)),"-",(VLOOKUP($A168,'SegEnds_NonXtal_BW#'!$A:$Z,26,FALSE)+VLOOKUP($A168,A:AL,37,FALSE)-50))</f>
        <v>314</v>
      </c>
      <c r="AM168" s="28" t="str">
        <f>VLOOKUP(A168,Classification!A:B,2,FALSE)</f>
        <v>A</v>
      </c>
      <c r="AN168" s="28" t="b">
        <f t="shared" si="98"/>
        <v>1</v>
      </c>
      <c r="AO168" s="3" t="str">
        <f>IF(ISERROR(MATCH(A168,'SegEnds_Xtal_Prot#'!B:B, 0)), "NoXtal", "Xtal")</f>
        <v>NoXtal</v>
      </c>
      <c r="AP168" s="3">
        <f t="shared" si="81"/>
        <v>1</v>
      </c>
      <c r="AQ168" s="3">
        <f t="shared" si="82"/>
        <v>1</v>
      </c>
      <c r="AR168" s="3">
        <f t="shared" si="83"/>
        <v>2</v>
      </c>
      <c r="AS168" s="3">
        <f t="shared" si="84"/>
        <v>1</v>
      </c>
      <c r="AT168" s="3">
        <f t="shared" si="85"/>
        <v>1</v>
      </c>
      <c r="AU168" s="3">
        <f t="shared" si="86"/>
        <v>1</v>
      </c>
      <c r="AV168" s="3">
        <f t="shared" si="87"/>
        <v>16</v>
      </c>
      <c r="AW168" s="3">
        <f t="shared" si="88"/>
        <v>8</v>
      </c>
      <c r="AX168" s="3">
        <f t="shared" si="89"/>
        <v>5</v>
      </c>
      <c r="AY168" s="3">
        <f t="shared" si="90"/>
        <v>5</v>
      </c>
      <c r="AZ168" s="3">
        <f t="shared" si="91"/>
        <v>1</v>
      </c>
      <c r="BA168" s="3">
        <f>IF(ISERROR(LEN(VLOOKUP(A168,Seqs!A:E,2,FALSE))-AL168),"-",LEN(VLOOKUP(A168,Seqs!A:E,2,FALSE))-AL168)</f>
        <v>58</v>
      </c>
      <c r="BB168" s="16">
        <f t="shared" si="92"/>
        <v>28</v>
      </c>
      <c r="BC168" s="9">
        <f t="shared" si="93"/>
        <v>20</v>
      </c>
      <c r="BD168" s="3">
        <f t="shared" si="94"/>
        <v>28</v>
      </c>
      <c r="BE168" s="3">
        <f t="shared" si="95"/>
        <v>46</v>
      </c>
    </row>
    <row r="169" spans="1:58" s="3" customFormat="1" x14ac:dyDescent="0.2">
      <c r="A169" s="3" t="s">
        <v>289</v>
      </c>
      <c r="B169" s="3" t="str">
        <f>LOWER(VLOOKUP(A169,Xtal_Templ!A:B,2,FALSE))</f>
        <v>cltr1_human</v>
      </c>
      <c r="C169" s="3">
        <f>VLOOKUP($A169,'SegEnds_NonXtal_BW#'!$A:$Z,3,FALSE)+D169-50</f>
        <v>5</v>
      </c>
      <c r="D169" s="3">
        <v>35</v>
      </c>
      <c r="E169" s="3">
        <f>IF(ISERROR(VLOOKUP($A169,'SegEnds_NonXtal_BW#'!$A:$Z,4,FALSE)+VLOOKUP($A169,A:AL,4,FALSE)-50),"-",(VLOOKUP($A169,'SegEnds_NonXtal_BW#'!$A:$Z,4,FALSE)+VLOOKUP($A169,A:AL,4,FALSE)-50))</f>
        <v>45</v>
      </c>
      <c r="F169" s="3">
        <f t="shared" si="105"/>
        <v>46</v>
      </c>
      <c r="G169" s="3">
        <v>48</v>
      </c>
      <c r="H169" s="3">
        <f t="shared" si="106"/>
        <v>49</v>
      </c>
      <c r="I169" s="3">
        <f t="shared" si="106"/>
        <v>50</v>
      </c>
      <c r="J169" s="3">
        <v>63</v>
      </c>
      <c r="K169" s="3">
        <f>VLOOKUP($A169,'SegEnds_NonXtal_BW#'!$A:$Z,8,FALSE)+VLOOKUP($A169,A:AL,10,FALSE)-50</f>
        <v>79</v>
      </c>
      <c r="L169" s="3">
        <f t="shared" si="107"/>
        <v>81</v>
      </c>
      <c r="M169" s="3">
        <v>82</v>
      </c>
      <c r="N169" s="3">
        <f t="shared" si="108"/>
        <v>84</v>
      </c>
      <c r="O169" s="3">
        <f t="shared" si="109"/>
        <v>85</v>
      </c>
      <c r="P169" s="3">
        <v>114</v>
      </c>
      <c r="Q169" s="3">
        <f>VLOOKUP($A169,'SegEnds_NonXtal_BW#'!$A:$Z,12,FALSE)+VLOOKUP($A169,A:AL,16,FALSE)-50</f>
        <v>120</v>
      </c>
      <c r="R169" s="3">
        <f>IF(ISERROR(VLOOKUP($A169,'SegEnds_NonXtal_BW#'!$A:$Z,13,FALSE)+VLOOKUP($A169,A:AL,19,FALSE)-50),"-",VLOOKUP($A169,'SegEnds_NonXtal_BW#'!$A:$Z,13,FALSE)+VLOOKUP($A169,A:AL,19,FALSE)-50)</f>
        <v>121</v>
      </c>
      <c r="S169" s="3">
        <v>121</v>
      </c>
      <c r="T169" s="100">
        <f>IF(ISERROR(VLOOKUP($A169,'SegEnds_NonXtal_BW#'!$A:$Z,14,FALSE)+VLOOKUP($A169,A:AL,19,FALSE)-50),"-",(VLOOKUP($A169,'SegEnds_NonXtal_BW#'!$A:$Z,14,FALSE)+VLOOKUP($A169,A:AL,19,FALSE)-50))</f>
        <v>128</v>
      </c>
      <c r="U169" s="9">
        <f>IF(ISERROR(VLOOKUP($A169,'SegEnds_NonXtal_BW#'!$A:$Z,15,FALSE)+VLOOKUP($A169,A:AL,22,FALSE)-50),"-",VLOOKUP($A169,'SegEnds_NonXtal_BW#'!$A:$Z,15,FALSE)+VLOOKUP($A169,A:AL,22,FALSE)-50)</f>
        <v>129</v>
      </c>
      <c r="V169" s="3">
        <v>141</v>
      </c>
      <c r="W169" s="3">
        <f>IF(ISERROR(VLOOKUP($A169,'SegEnds_NonXtal_BW#'!$A:$Z,16,FALSE)+VLOOKUP($A169,A:AL,22,FALSE)-50),"-",(VLOOKUP($A169,'SegEnds_NonXtal_BW#'!$A:$Z,16,FALSE)+VLOOKUP($A169,A:AL,22,FALSE)-50))</f>
        <v>154</v>
      </c>
      <c r="X169" s="3">
        <f>IF(ISERROR(VLOOKUP($A169,'SegEnds_NonXtal_BW#'!$A:$Z,17,FALSE)+VLOOKUP($A169,A:AL,25,FALSE)-50),"-",(VLOOKUP($A169,'SegEnds_NonXtal_BW#'!$A:$Z,17,FALSE)+VLOOKUP($A169,A:AL,25,FALSE)-50))</f>
        <v>168</v>
      </c>
      <c r="Y169" s="3">
        <v>168</v>
      </c>
      <c r="Z169" s="3">
        <f t="shared" si="103"/>
        <v>170</v>
      </c>
      <c r="AA169" s="3">
        <f>IF(ISERROR(VLOOKUP($A169,'SegEnds_NonXtal_BW#'!$A:$Z,19,FALSE)+VLOOKUP($A169,A:AL,28,FALSE)-50),"-",(VLOOKUP($A169,'SegEnds_NonXtal_BW#'!$A:$Z,19,FALSE)+VLOOKUP($A169,A:AL,28,FALSE)-50))</f>
        <v>174</v>
      </c>
      <c r="AB169" s="3">
        <v>196</v>
      </c>
      <c r="AC169" s="3">
        <f>IF(ISERROR((VLOOKUP($A169,'SegEnds_NonXtal_BW#'!$A:$Z,20,FALSE)+VLOOKUP($A169,A:AL,28,FALSE)-50)),"-",(VLOOKUP($A169,'SegEnds_NonXtal_BW#'!$A:$Z,20,FALSE)+VLOOKUP($A169,A:AL,28,FALSE)-50))</f>
        <v>214</v>
      </c>
      <c r="AD169" s="3">
        <f>IF(ISERROR(VLOOKUP($A169,'SegEnds_NonXtal_BW#'!$A:$Z,21,FALSE)+VLOOKUP($A169,A:AL,31,FALSE)-50),"-",(VLOOKUP($A169,'SegEnds_NonXtal_BW#'!$A:$Z,21,FALSE)+VLOOKUP($A169,A:AL,31,FALSE)-50))</f>
        <v>218</v>
      </c>
      <c r="AE169" s="3">
        <v>244</v>
      </c>
      <c r="AF169" s="3">
        <f>IF(ISERROR((VLOOKUP($A169,'SegEnds_NonXtal_BW#'!$A:$Z,22,FALSE)+VLOOKUP($A169,A:AL,31,FALSE)-50)),"-",(VLOOKUP($A169,'SegEnds_NonXtal_BW#'!$A:$Z,22,FALSE)+VLOOKUP($A169,A:AL,31,FALSE)-50))</f>
        <v>258</v>
      </c>
      <c r="AG169" s="3">
        <f>IF(ISERROR(VLOOKUP($A169,'SegEnds_NonXtal_BW#'!$A:$Z,23,FALSE)+VLOOKUP($A169,A:AL,34,FALSE)-50),"-",(VLOOKUP($A169,'SegEnds_NonXtal_BW#'!$A:$Z,23,FALSE)+VLOOKUP($A169,A:AL,34,FALSE)-50))</f>
        <v>262</v>
      </c>
      <c r="AH169" s="3">
        <v>288</v>
      </c>
      <c r="AI169" s="3">
        <f>IF(ISERROR((VLOOKUP($A169,'SegEnds_NonXtal_BW#'!$A:$Z,24,FALSE)+VLOOKUP($A169,A:AL,34,FALSE)-50)),"-",(VLOOKUP($A169,'SegEnds_NonXtal_BW#'!$A:$Z,24,FALSE)+VLOOKUP($A169,A:AL,34,FALSE)-50))</f>
        <v>294</v>
      </c>
      <c r="AJ169" s="3">
        <f>IF(ISERROR(VLOOKUP($A169,'SegEnds_NonXtal_BW#'!$A:$Z,25,FALSE)+VLOOKUP($A169,A:AL,37,FALSE)-50),"-",(VLOOKUP($A169,'SegEnds_NonXtal_BW#'!$A:$Z,25,FALSE)+VLOOKUP($A169,A:AL,37,FALSE)-50))</f>
        <v>295</v>
      </c>
      <c r="AK169" s="3">
        <v>298</v>
      </c>
      <c r="AL169" s="3">
        <f>IF(ISERROR((VLOOKUP($A169,'SegEnds_NonXtal_BW#'!$A:$Z,26,FALSE)+VLOOKUP($A169,A:AL,37,FALSE)-50)),"-",(VLOOKUP($A169,'SegEnds_NonXtal_BW#'!$A:$Z,26,FALSE)+VLOOKUP($A169,A:AL,37,FALSE)-50))</f>
        <v>307</v>
      </c>
      <c r="AM169" s="28" t="str">
        <f>VLOOKUP(A169,Classification!A:B,2,FALSE)</f>
        <v>A</v>
      </c>
      <c r="AN169" s="28" t="b">
        <f t="shared" si="98"/>
        <v>1</v>
      </c>
      <c r="AO169" s="3" t="str">
        <f>IF(ISERROR(MATCH(A169,'SegEnds_Xtal_Prot#'!B:B, 0)), "NoXtal", "Xtal")</f>
        <v>NoXtal</v>
      </c>
      <c r="AP169" s="3">
        <f t="shared" si="81"/>
        <v>1</v>
      </c>
      <c r="AQ169" s="3">
        <f t="shared" si="82"/>
        <v>1</v>
      </c>
      <c r="AR169" s="3">
        <f t="shared" si="83"/>
        <v>2</v>
      </c>
      <c r="AS169" s="3">
        <f t="shared" si="84"/>
        <v>1</v>
      </c>
      <c r="AT169" s="3">
        <f t="shared" si="85"/>
        <v>1</v>
      </c>
      <c r="AU169" s="3">
        <f t="shared" si="86"/>
        <v>1</v>
      </c>
      <c r="AV169" s="3">
        <f t="shared" si="87"/>
        <v>14</v>
      </c>
      <c r="AW169" s="3">
        <f t="shared" si="88"/>
        <v>4</v>
      </c>
      <c r="AX169" s="3">
        <f t="shared" si="89"/>
        <v>4</v>
      </c>
      <c r="AY169" s="3">
        <f t="shared" si="90"/>
        <v>4</v>
      </c>
      <c r="AZ169" s="3">
        <f t="shared" si="91"/>
        <v>1</v>
      </c>
      <c r="BA169" s="3">
        <f>IF(ISERROR(LEN(VLOOKUP(A169,Seqs!A:E,2,FALSE))-AL169),"-",LEN(VLOOKUP(A169,Seqs!A:E,2,FALSE))-AL169)</f>
        <v>37</v>
      </c>
      <c r="BB169" s="16">
        <f t="shared" si="92"/>
        <v>28</v>
      </c>
      <c r="BC169" s="9">
        <f t="shared" si="93"/>
        <v>20</v>
      </c>
      <c r="BD169" s="3">
        <f t="shared" si="94"/>
        <v>28</v>
      </c>
      <c r="BE169" s="3">
        <f t="shared" si="95"/>
        <v>48</v>
      </c>
    </row>
    <row r="170" spans="1:58" s="3" customFormat="1" x14ac:dyDescent="0.2">
      <c r="A170" s="3" t="s">
        <v>290</v>
      </c>
      <c r="B170" s="3" t="str">
        <f>LOWER(VLOOKUP(A170,Xtal_Templ!A:B,2,FALSE))</f>
        <v>hrh1_human</v>
      </c>
      <c r="C170" s="3">
        <f>VLOOKUP($A170,'SegEnds_NonXtal_BW#'!$A:$Z,3,FALSE)+D170-50</f>
        <v>361</v>
      </c>
      <c r="D170" s="3">
        <v>377</v>
      </c>
      <c r="E170" s="3">
        <f>IF(ISERROR(VLOOKUP($A170,'SegEnds_NonXtal_BW#'!$A:$Z,4,FALSE)+VLOOKUP($A170,A:AL,4,FALSE)-50),"-",(VLOOKUP($A170,'SegEnds_NonXtal_BW#'!$A:$Z,4,FALSE)+VLOOKUP($A170,A:AL,4,FALSE)-50))</f>
        <v>387</v>
      </c>
      <c r="F170" s="3">
        <f t="shared" si="105"/>
        <v>389</v>
      </c>
      <c r="G170" s="3">
        <v>391</v>
      </c>
      <c r="H170" s="3">
        <f t="shared" si="106"/>
        <v>392</v>
      </c>
      <c r="I170" s="3">
        <f t="shared" si="106"/>
        <v>393</v>
      </c>
      <c r="J170" s="3">
        <v>405</v>
      </c>
      <c r="K170" s="3">
        <f>VLOOKUP($A170,'SegEnds_NonXtal_BW#'!$A:$Z,8,FALSE)+VLOOKUP($A170,A:AL,10,FALSE)-50</f>
        <v>422</v>
      </c>
      <c r="L170" s="3">
        <f t="shared" si="107"/>
        <v>432</v>
      </c>
      <c r="M170" s="3">
        <v>433</v>
      </c>
      <c r="N170" s="3">
        <f t="shared" si="108"/>
        <v>435</v>
      </c>
      <c r="O170" s="3">
        <f t="shared" si="109"/>
        <v>436</v>
      </c>
      <c r="P170" s="3">
        <v>464</v>
      </c>
      <c r="Q170" s="3">
        <f>VLOOKUP($A170,'SegEnds_NonXtal_BW#'!$A:$Z,12,FALSE)+VLOOKUP($A170,A:AL,16,FALSE)-50</f>
        <v>470</v>
      </c>
      <c r="R170" s="3">
        <f>IF(ISERROR(VLOOKUP($A170,'SegEnds_NonXtal_BW#'!$A:$Z,13,FALSE)+VLOOKUP($A170,A:AL,19,FALSE)-50),"-",VLOOKUP($A170,'SegEnds_NonXtal_BW#'!$A:$Z,13,FALSE)+VLOOKUP($A170,A:AL,19,FALSE)-50)</f>
        <v>471</v>
      </c>
      <c r="S170" s="3">
        <v>471</v>
      </c>
      <c r="T170" s="100">
        <f>IF(ISERROR(VLOOKUP($A170,'SegEnds_NonXtal_BW#'!$A:$Z,14,FALSE)+VLOOKUP($A170,A:AL,19,FALSE)-50),"-",(VLOOKUP($A170,'SegEnds_NonXtal_BW#'!$A:$Z,14,FALSE)+VLOOKUP($A170,A:AL,19,FALSE)-50))</f>
        <v>478</v>
      </c>
      <c r="U170" s="9">
        <f>IF(ISERROR(VLOOKUP($A170,'SegEnds_NonXtal_BW#'!$A:$Z,15,FALSE)+VLOOKUP($A170,A:AL,22,FALSE)-50),"-",VLOOKUP($A170,'SegEnds_NonXtal_BW#'!$A:$Z,15,FALSE)+VLOOKUP($A170,A:AL,22,FALSE)-50)</f>
        <v>479</v>
      </c>
      <c r="V170" s="3">
        <v>491</v>
      </c>
      <c r="W170" s="3">
        <f>IF(ISERROR(VLOOKUP($A170,'SegEnds_NonXtal_BW#'!$A:$Z,16,FALSE)+VLOOKUP($A170,A:AL,22,FALSE)-50),"-",(VLOOKUP($A170,'SegEnds_NonXtal_BW#'!$A:$Z,16,FALSE)+VLOOKUP($A170,A:AL,22,FALSE)-50))</f>
        <v>503</v>
      </c>
      <c r="X170" s="3">
        <f>IF(ISERROR(VLOOKUP($A170,'SegEnds_NonXtal_BW#'!$A:$Z,17,FALSE)+VLOOKUP($A170,A:AL,25,FALSE)-50),"-",(VLOOKUP($A170,'SegEnds_NonXtal_BW#'!$A:$Z,17,FALSE)+VLOOKUP($A170,A:AL,25,FALSE)-50))</f>
        <v>514</v>
      </c>
      <c r="Y170" s="3">
        <v>514</v>
      </c>
      <c r="Z170" s="3">
        <f t="shared" si="103"/>
        <v>516</v>
      </c>
      <c r="AA170" s="3">
        <f>IF(ISERROR(VLOOKUP($A170,'SegEnds_NonXtal_BW#'!$A:$Z,19,FALSE)+VLOOKUP($A170,A:AL,28,FALSE)-50),"-",(VLOOKUP($A170,'SegEnds_NonXtal_BW#'!$A:$Z,19,FALSE)+VLOOKUP($A170,A:AL,28,FALSE)-50))</f>
        <v>523</v>
      </c>
      <c r="AB170" s="3">
        <v>538</v>
      </c>
      <c r="AC170" s="3">
        <f>IF(ISERROR((VLOOKUP($A170,'SegEnds_NonXtal_BW#'!$A:$Z,20,FALSE)+VLOOKUP($A170,A:AL,28,FALSE)-50)),"-",(VLOOKUP($A170,'SegEnds_NonXtal_BW#'!$A:$Z,20,FALSE)+VLOOKUP($A170,A:AL,28,FALSE)-50))</f>
        <v>555</v>
      </c>
      <c r="AD170" s="3">
        <f>IF(ISERROR(VLOOKUP($A170,'SegEnds_NonXtal_BW#'!$A:$Z,21,FALSE)+VLOOKUP($A170,A:AL,31,FALSE)-50),"-",(VLOOKUP($A170,'SegEnds_NonXtal_BW#'!$A:$Z,21,FALSE)+VLOOKUP($A170,A:AL,31,FALSE)-50))</f>
        <v>560</v>
      </c>
      <c r="AE170" s="3">
        <v>584</v>
      </c>
      <c r="AF170" s="3">
        <f>IF(ISERROR((VLOOKUP($A170,'SegEnds_NonXtal_BW#'!$A:$Z,22,FALSE)+VLOOKUP($A170,A:AL,31,FALSE)-50)),"-",(VLOOKUP($A170,'SegEnds_NonXtal_BW#'!$A:$Z,22,FALSE)+VLOOKUP($A170,A:AL,31,FALSE)-50))</f>
        <v>595</v>
      </c>
      <c r="AG170" s="3">
        <f>IF(ISERROR(VLOOKUP($A170,'SegEnds_NonXtal_BW#'!$A:$Z,23,FALSE)+VLOOKUP($A170,A:AL,34,FALSE)-50),"-",(VLOOKUP($A170,'SegEnds_NonXtal_BW#'!$A:$Z,23,FALSE)+VLOOKUP($A170,A:AL,34,FALSE)-50))</f>
        <v>601</v>
      </c>
      <c r="AH170" s="3">
        <v>620</v>
      </c>
      <c r="AI170" s="3">
        <f>IF(ISERROR((VLOOKUP($A170,'SegEnds_NonXtal_BW#'!$A:$Z,24,FALSE)+VLOOKUP($A170,A:AL,34,FALSE)-50)),"-",(VLOOKUP($A170,'SegEnds_NonXtal_BW#'!$A:$Z,24,FALSE)+VLOOKUP($A170,A:AL,34,FALSE)-50))</f>
        <v>626</v>
      </c>
      <c r="AJ170" s="3">
        <f>IF(ISERROR(VLOOKUP($A170,'SegEnds_NonXtal_BW#'!$A:$Z,25,FALSE)+VLOOKUP($A170,A:AL,37,FALSE)-50),"-",(VLOOKUP($A170,'SegEnds_NonXtal_BW#'!$A:$Z,25,FALSE)+VLOOKUP($A170,A:AL,37,FALSE)-50))</f>
        <v>627</v>
      </c>
      <c r="AK170" s="3">
        <v>630</v>
      </c>
      <c r="AL170" s="3">
        <f>IF(ISERROR((VLOOKUP($A170,'SegEnds_NonXtal_BW#'!$A:$Z,26,FALSE)+VLOOKUP($A170,A:AL,37,FALSE)-50)),"-",(VLOOKUP($A170,'SegEnds_NonXtal_BW#'!$A:$Z,26,FALSE)+VLOOKUP($A170,A:AL,37,FALSE)-50))</f>
        <v>639</v>
      </c>
      <c r="AM170" s="28" t="str">
        <f>VLOOKUP(A170,Classification!A:B,2,FALSE)</f>
        <v>A</v>
      </c>
      <c r="AN170" s="28" t="b">
        <f t="shared" si="98"/>
        <v>1</v>
      </c>
      <c r="AO170" s="3" t="str">
        <f>IF(ISERROR(MATCH(A170,'SegEnds_Xtal_Prot#'!B:B, 0)), "NoXtal", "Xtal")</f>
        <v>NoXtal</v>
      </c>
      <c r="AP170" s="3">
        <f t="shared" si="81"/>
        <v>2</v>
      </c>
      <c r="AQ170" s="3">
        <f t="shared" si="82"/>
        <v>1</v>
      </c>
      <c r="AR170" s="3">
        <f t="shared" si="83"/>
        <v>10</v>
      </c>
      <c r="AS170" s="3">
        <f t="shared" si="84"/>
        <v>1</v>
      </c>
      <c r="AT170" s="3">
        <f t="shared" si="85"/>
        <v>1</v>
      </c>
      <c r="AU170" s="3">
        <f t="shared" si="86"/>
        <v>1</v>
      </c>
      <c r="AV170" s="3">
        <f t="shared" si="87"/>
        <v>11</v>
      </c>
      <c r="AW170" s="3">
        <f t="shared" si="88"/>
        <v>7</v>
      </c>
      <c r="AX170" s="3">
        <f t="shared" si="89"/>
        <v>5</v>
      </c>
      <c r="AY170" s="3">
        <f t="shared" si="90"/>
        <v>6</v>
      </c>
      <c r="AZ170" s="3">
        <f t="shared" si="91"/>
        <v>1</v>
      </c>
      <c r="BA170" s="3">
        <f>IF(ISERROR(LEN(VLOOKUP(A170,Seqs!A:E,2,FALSE))-AL170),"-",LEN(VLOOKUP(A170,Seqs!A:E,2,FALSE))-AL170)</f>
        <v>60</v>
      </c>
      <c r="BB170" s="16">
        <f t="shared" si="92"/>
        <v>28</v>
      </c>
      <c r="BC170" s="9">
        <f t="shared" si="93"/>
        <v>20</v>
      </c>
      <c r="BD170" s="3">
        <f t="shared" si="94"/>
        <v>28</v>
      </c>
      <c r="BE170" s="3">
        <f t="shared" si="95"/>
        <v>46</v>
      </c>
    </row>
    <row r="171" spans="1:58" s="3" customFormat="1" x14ac:dyDescent="0.2">
      <c r="A171" s="3" t="s">
        <v>291</v>
      </c>
      <c r="B171" s="3" t="str">
        <f>LOWER(VLOOKUP(A171,Xtal_Templ!A:B,2,FALSE))</f>
        <v>ccr7_human</v>
      </c>
      <c r="C171" s="3">
        <f>VLOOKUP($A171,'SegEnds_NonXtal_BW#'!$A:$Z,3,FALSE)+D171-50</f>
        <v>15</v>
      </c>
      <c r="D171" s="3">
        <v>36</v>
      </c>
      <c r="E171" s="3">
        <f>IF(ISERROR(VLOOKUP($A171,'SegEnds_NonXtal_BW#'!$A:$Z,4,FALSE)+VLOOKUP($A171,A:AL,4,FALSE)-50),"-",(VLOOKUP($A171,'SegEnds_NonXtal_BW#'!$A:$Z,4,FALSE)+VLOOKUP($A171,A:AL,4,FALSE)-50))</f>
        <v>46</v>
      </c>
      <c r="F171" s="3">
        <f t="shared" si="105"/>
        <v>47</v>
      </c>
      <c r="G171" s="3">
        <v>49</v>
      </c>
      <c r="H171" s="3">
        <f t="shared" si="106"/>
        <v>50</v>
      </c>
      <c r="I171" s="3">
        <f t="shared" si="106"/>
        <v>51</v>
      </c>
      <c r="J171" s="3">
        <v>64</v>
      </c>
      <c r="K171" s="3">
        <f>VLOOKUP($A171,'SegEnds_NonXtal_BW#'!$A:$Z,8,FALSE)+VLOOKUP($A171,A:AL,10,FALSE)-50</f>
        <v>80</v>
      </c>
      <c r="L171" s="3">
        <f t="shared" si="107"/>
        <v>82</v>
      </c>
      <c r="M171" s="3">
        <v>83</v>
      </c>
      <c r="N171" s="3">
        <f t="shared" si="108"/>
        <v>85</v>
      </c>
      <c r="O171" s="3">
        <f t="shared" si="109"/>
        <v>86</v>
      </c>
      <c r="P171" s="3">
        <v>115</v>
      </c>
      <c r="Q171" s="3">
        <f>VLOOKUP($A171,'SegEnds_NonXtal_BW#'!$A:$Z,12,FALSE)+VLOOKUP($A171,A:AL,16,FALSE)-50</f>
        <v>121</v>
      </c>
      <c r="R171" s="3">
        <f>IF(ISERROR(VLOOKUP($A171,'SegEnds_NonXtal_BW#'!$A:$Z,13,FALSE)+VLOOKUP($A171,A:AL,19,FALSE)-50),"-",VLOOKUP($A171,'SegEnds_NonXtal_BW#'!$A:$Z,13,FALSE)+VLOOKUP($A171,A:AL,19,FALSE)-50)</f>
        <v>122</v>
      </c>
      <c r="S171" s="3">
        <v>122</v>
      </c>
      <c r="T171" s="100">
        <f>IF(ISERROR(VLOOKUP($A171,'SegEnds_NonXtal_BW#'!$A:$Z,14,FALSE)+VLOOKUP($A171,A:AL,19,FALSE)-50),"-",(VLOOKUP($A171,'SegEnds_NonXtal_BW#'!$A:$Z,14,FALSE)+VLOOKUP($A171,A:AL,19,FALSE)-50))</f>
        <v>129</v>
      </c>
      <c r="U171" s="9">
        <f>IF(ISERROR(VLOOKUP($A171,'SegEnds_NonXtal_BW#'!$A:$Z,15,FALSE)+VLOOKUP($A171,A:AL,22,FALSE)-50),"-",VLOOKUP($A171,'SegEnds_NonXtal_BW#'!$A:$Z,15,FALSE)+VLOOKUP($A171,A:AL,22,FALSE)-50)</f>
        <v>130</v>
      </c>
      <c r="V171" s="3">
        <v>142</v>
      </c>
      <c r="W171" s="3">
        <f>IF(ISERROR(VLOOKUP($A171,'SegEnds_NonXtal_BW#'!$A:$Z,16,FALSE)+VLOOKUP($A171,A:AL,22,FALSE)-50),"-",(VLOOKUP($A171,'SegEnds_NonXtal_BW#'!$A:$Z,16,FALSE)+VLOOKUP($A171,A:AL,22,FALSE)-50))</f>
        <v>156</v>
      </c>
      <c r="X171" s="3">
        <f>IF(ISERROR(VLOOKUP($A171,'SegEnds_NonXtal_BW#'!$A:$Z,17,FALSE)+VLOOKUP($A171,A:AL,25,FALSE)-50),"-",(VLOOKUP($A171,'SegEnds_NonXtal_BW#'!$A:$Z,17,FALSE)+VLOOKUP($A171,A:AL,25,FALSE)-50))</f>
        <v>168</v>
      </c>
      <c r="Y171" s="3">
        <v>168</v>
      </c>
      <c r="Z171" s="3">
        <f t="shared" si="103"/>
        <v>170</v>
      </c>
      <c r="AA171" s="3">
        <f>IF(ISERROR(VLOOKUP($A171,'SegEnds_NonXtal_BW#'!$A:$Z,19,FALSE)+VLOOKUP($A171,A:AL,28,FALSE)-50),"-",(VLOOKUP($A171,'SegEnds_NonXtal_BW#'!$A:$Z,19,FALSE)+VLOOKUP($A171,A:AL,28,FALSE)-50))</f>
        <v>172</v>
      </c>
      <c r="AB171" s="3">
        <v>193</v>
      </c>
      <c r="AC171" s="3">
        <f>IF(ISERROR((VLOOKUP($A171,'SegEnds_NonXtal_BW#'!$A:$Z,20,FALSE)+VLOOKUP($A171,A:AL,28,FALSE)-50)),"-",(VLOOKUP($A171,'SegEnds_NonXtal_BW#'!$A:$Z,20,FALSE)+VLOOKUP($A171,A:AL,28,FALSE)-50))</f>
        <v>211</v>
      </c>
      <c r="AD171" s="3">
        <f>IF(ISERROR(VLOOKUP($A171,'SegEnds_NonXtal_BW#'!$A:$Z,21,FALSE)+VLOOKUP($A171,A:AL,31,FALSE)-50),"-",(VLOOKUP($A171,'SegEnds_NonXtal_BW#'!$A:$Z,21,FALSE)+VLOOKUP($A171,A:AL,31,FALSE)-50))</f>
        <v>216</v>
      </c>
      <c r="AE171" s="3">
        <v>236</v>
      </c>
      <c r="AF171" s="3">
        <f>IF(ISERROR((VLOOKUP($A171,'SegEnds_NonXtal_BW#'!$A:$Z,22,FALSE)+VLOOKUP($A171,A:AL,31,FALSE)-50)),"-",(VLOOKUP($A171,'SegEnds_NonXtal_BW#'!$A:$Z,22,FALSE)+VLOOKUP($A171,A:AL,31,FALSE)-50))</f>
        <v>250</v>
      </c>
      <c r="AG171" s="3">
        <f>IF(ISERROR(VLOOKUP($A171,'SegEnds_NonXtal_BW#'!$A:$Z,23,FALSE)+VLOOKUP($A171,A:AL,34,FALSE)-50),"-",(VLOOKUP($A171,'SegEnds_NonXtal_BW#'!$A:$Z,23,FALSE)+VLOOKUP($A171,A:AL,34,FALSE)-50))</f>
        <v>256</v>
      </c>
      <c r="AH171" s="3">
        <v>282</v>
      </c>
      <c r="AI171" s="3">
        <f>IF(ISERROR((VLOOKUP($A171,'SegEnds_NonXtal_BW#'!$A:$Z,24,FALSE)+VLOOKUP($A171,A:AL,34,FALSE)-50)),"-",(VLOOKUP($A171,'SegEnds_NonXtal_BW#'!$A:$Z,24,FALSE)+VLOOKUP($A171,A:AL,34,FALSE)-50))</f>
        <v>288</v>
      </c>
      <c r="AJ171" s="3">
        <f>IF(ISERROR(VLOOKUP($A171,'SegEnds_NonXtal_BW#'!$A:$Z,25,FALSE)+VLOOKUP($A171,A:AL,37,FALSE)-50),"-",(VLOOKUP($A171,'SegEnds_NonXtal_BW#'!$A:$Z,25,FALSE)+VLOOKUP($A171,A:AL,37,FALSE)-50))</f>
        <v>289</v>
      </c>
      <c r="AK171" s="3">
        <v>292</v>
      </c>
      <c r="AL171" s="3">
        <f>IF(ISERROR((VLOOKUP($A171,'SegEnds_NonXtal_BW#'!$A:$Z,26,FALSE)+VLOOKUP($A171,A:AL,37,FALSE)-50)),"-",(VLOOKUP($A171,'SegEnds_NonXtal_BW#'!$A:$Z,26,FALSE)+VLOOKUP($A171,A:AL,37,FALSE)-50))</f>
        <v>301</v>
      </c>
      <c r="AM171" s="28" t="str">
        <f>VLOOKUP(A171,Classification!A:B,2,FALSE)</f>
        <v>A</v>
      </c>
      <c r="AN171" s="28" t="b">
        <f>AND(IF(Y171="-",IF(AA171-W171&gt;3,TRUE,FALSE),TRUE),IF(M171="-",IF(O171-K171&gt;3,TRUE,FALSE),TRUE),IF(AG171-AF171&gt;1,TRUE,FALSE),C171&lt;E171,OR(E171&lt;F171,F171="-"),OR(F171&lt;H171,F171="-"),OR(H171&lt;I171,H171="-"),I171&lt;K171,OR(K171&lt;L171,L171="-"),OR(L171&lt;N171,L171="-"),OR(N171&lt;O171,N171="-"),O171&lt;Q171,OR(Q171&lt;R171,R171="-"),OR(R171&lt;T171,R171="-"),OR(T171&lt;U171,T171="-"),U171&lt;W171,OR(W171&lt;X171,X171="-"),OR(X171&lt;Z171,X171="-"),OR(Z171&lt;AA171,Z171="-"),AA171&lt;AC171,AC171&lt;AD171,AD171&lt;AF171,AF171&lt;AG171,AG171&lt;AI171,OR(AI171&lt;AJ171,AJ171="-"),OR(AJ171&lt;AL171,AJ171="-"))</f>
        <v>1</v>
      </c>
      <c r="AO171" s="3" t="str">
        <f>IF(ISERROR(MATCH(A171,'SegEnds_Xtal_Prot#'!B:B, 0)), "NoXtal", "Xtal")</f>
        <v>NoXtal</v>
      </c>
      <c r="AP171" s="3">
        <f t="shared" si="81"/>
        <v>1</v>
      </c>
      <c r="AQ171" s="3">
        <f t="shared" si="82"/>
        <v>1</v>
      </c>
      <c r="AR171" s="3">
        <f t="shared" si="83"/>
        <v>2</v>
      </c>
      <c r="AS171" s="3">
        <f t="shared" si="84"/>
        <v>1</v>
      </c>
      <c r="AT171" s="3">
        <f t="shared" si="85"/>
        <v>1</v>
      </c>
      <c r="AU171" s="3">
        <f t="shared" si="86"/>
        <v>1</v>
      </c>
      <c r="AV171" s="3">
        <f t="shared" si="87"/>
        <v>12</v>
      </c>
      <c r="AW171" s="3">
        <f t="shared" si="88"/>
        <v>2</v>
      </c>
      <c r="AX171" s="3">
        <f t="shared" si="89"/>
        <v>5</v>
      </c>
      <c r="AY171" s="3">
        <f t="shared" si="90"/>
        <v>6</v>
      </c>
      <c r="AZ171" s="3">
        <f t="shared" si="91"/>
        <v>1</v>
      </c>
      <c r="BA171" s="3">
        <f>IF(ISERROR(LEN(VLOOKUP(A171,Seqs!A:E,2,FALSE))-AL171),"-",LEN(VLOOKUP(A171,Seqs!A:E,2,FALSE))-AL171)</f>
        <v>51</v>
      </c>
      <c r="BB171" s="16">
        <f t="shared" si="92"/>
        <v>28</v>
      </c>
      <c r="BC171" s="9">
        <f t="shared" si="93"/>
        <v>20</v>
      </c>
      <c r="BD171" s="3">
        <f t="shared" si="94"/>
        <v>28</v>
      </c>
      <c r="BE171" s="3">
        <f t="shared" si="95"/>
        <v>43</v>
      </c>
    </row>
    <row r="172" spans="1:58" s="3" customFormat="1" x14ac:dyDescent="0.2">
      <c r="A172" s="3" t="s">
        <v>292</v>
      </c>
      <c r="B172" s="3" t="str">
        <f>LOWER(VLOOKUP(A172,Xtal_Templ!A:B,2,FALSE))</f>
        <v>pd2r2_human</v>
      </c>
      <c r="C172" s="3">
        <f>VLOOKUP($A172,'SegEnds_NonXtal_BW#'!$A:$Z,3,FALSE)+D172-50</f>
        <v>51</v>
      </c>
      <c r="D172" s="3">
        <v>69</v>
      </c>
      <c r="E172" s="3">
        <f>IF(ISERROR(VLOOKUP($A172,'SegEnds_NonXtal_BW#'!$A:$Z,4,FALSE)+VLOOKUP($A172,A:AL,4,FALSE)-50),"-",(VLOOKUP($A172,'SegEnds_NonXtal_BW#'!$A:$Z,4,FALSE)+VLOOKUP($A172,A:AL,4,FALSE)-50))</f>
        <v>79</v>
      </c>
      <c r="F172" s="3">
        <f t="shared" si="105"/>
        <v>80</v>
      </c>
      <c r="G172" s="3">
        <v>82</v>
      </c>
      <c r="H172" s="3">
        <f t="shared" si="106"/>
        <v>83</v>
      </c>
      <c r="I172" s="3">
        <f t="shared" si="106"/>
        <v>84</v>
      </c>
      <c r="J172" s="3">
        <v>99</v>
      </c>
      <c r="K172" s="3">
        <f>VLOOKUP($A172,'SegEnds_NonXtal_BW#'!$A:$Z,8,FALSE)+VLOOKUP($A172,A:AL,10,FALSE)-50</f>
        <v>115</v>
      </c>
      <c r="L172" s="3">
        <f t="shared" si="107"/>
        <v>117</v>
      </c>
      <c r="M172" s="3">
        <v>118</v>
      </c>
      <c r="N172" s="3">
        <f t="shared" si="108"/>
        <v>120</v>
      </c>
      <c r="O172" s="3">
        <f t="shared" si="109"/>
        <v>121</v>
      </c>
      <c r="P172" s="3">
        <v>150</v>
      </c>
      <c r="Q172" s="3">
        <f>VLOOKUP($A172,'SegEnds_NonXtal_BW#'!$A:$Z,12,FALSE)+VLOOKUP($A172,A:AL,16,FALSE)-50</f>
        <v>156</v>
      </c>
      <c r="R172" s="3">
        <f>IF(ISERROR(VLOOKUP($A172,'SegEnds_NonXtal_BW#'!$A:$Z,13,FALSE)+VLOOKUP($A172,A:AL,19,FALSE)-50),"-",VLOOKUP($A172,'SegEnds_NonXtal_BW#'!$A:$Z,13,FALSE)+VLOOKUP($A172,A:AL,19,FALSE)-50)</f>
        <v>157</v>
      </c>
      <c r="S172" s="3">
        <v>157</v>
      </c>
      <c r="T172" s="100">
        <f>IF(ISERROR(VLOOKUP($A172,'SegEnds_NonXtal_BW#'!$A:$Z,14,FALSE)+VLOOKUP($A172,A:AL,19,FALSE)-50),"-",(VLOOKUP($A172,'SegEnds_NonXtal_BW#'!$A:$Z,14,FALSE)+VLOOKUP($A172,A:AL,19,FALSE)-50))</f>
        <v>164</v>
      </c>
      <c r="U172" s="9">
        <f>IF(ISERROR(VLOOKUP($A172,'SegEnds_NonXtal_BW#'!$A:$Z,15,FALSE)+VLOOKUP($A172,A:AL,22,FALSE)-50),"-",VLOOKUP($A172,'SegEnds_NonXtal_BW#'!$A:$Z,15,FALSE)+VLOOKUP($A172,A:AL,22,FALSE)-50)</f>
        <v>165</v>
      </c>
      <c r="V172" s="3">
        <v>177</v>
      </c>
      <c r="W172" s="3">
        <f>IF(ISERROR(VLOOKUP($A172,'SegEnds_NonXtal_BW#'!$A:$Z,16,FALSE)+VLOOKUP($A172,A:AL,22,FALSE)-50),"-",(VLOOKUP($A172,'SegEnds_NonXtal_BW#'!$A:$Z,16,FALSE)+VLOOKUP($A172,A:AL,22,FALSE)-50))</f>
        <v>191</v>
      </c>
      <c r="X172" s="3">
        <f>IF(ISERROR(VLOOKUP($A172,'SegEnds_NonXtal_BW#'!$A:$Z,17,FALSE)+VLOOKUP($A172,A:AL,25,FALSE)-50),"-",(VLOOKUP($A172,'SegEnds_NonXtal_BW#'!$A:$Z,17,FALSE)+VLOOKUP($A172,A:AL,25,FALSE)-50))</f>
        <v>202</v>
      </c>
      <c r="Y172" s="3">
        <v>202</v>
      </c>
      <c r="Z172" s="3">
        <f t="shared" si="103"/>
        <v>204</v>
      </c>
      <c r="AA172" s="3">
        <f>IF(ISERROR(VLOOKUP($A172,'SegEnds_NonXtal_BW#'!$A:$Z,19,FALSE)+VLOOKUP($A172,A:AL,28,FALSE)-50),"-",(VLOOKUP($A172,'SegEnds_NonXtal_BW#'!$A:$Z,19,FALSE)+VLOOKUP($A172,A:AL,28,FALSE)-50))</f>
        <v>209</v>
      </c>
      <c r="AB172" s="3">
        <v>224</v>
      </c>
      <c r="AC172" s="3">
        <f>IF(ISERROR((VLOOKUP($A172,'SegEnds_NonXtal_BW#'!$A:$Z,20,FALSE)+VLOOKUP($A172,A:AL,28,FALSE)-50)),"-",(VLOOKUP($A172,'SegEnds_NonXtal_BW#'!$A:$Z,20,FALSE)+VLOOKUP($A172,A:AL,28,FALSE)-50))</f>
        <v>241</v>
      </c>
      <c r="AD172" s="3">
        <f>IF(ISERROR(VLOOKUP($A172,'SegEnds_NonXtal_BW#'!$A:$Z,21,FALSE)+VLOOKUP($A172,A:AL,31,FALSE)-50),"-",(VLOOKUP($A172,'SegEnds_NonXtal_BW#'!$A:$Z,21,FALSE)+VLOOKUP($A172,A:AL,31,FALSE)-50))</f>
        <v>246</v>
      </c>
      <c r="AE172" s="3">
        <v>270</v>
      </c>
      <c r="AF172" s="3">
        <f>IF(ISERROR((VLOOKUP($A172,'SegEnds_NonXtal_BW#'!$A:$Z,22,FALSE)+VLOOKUP($A172,A:AL,31,FALSE)-50)),"-",(VLOOKUP($A172,'SegEnds_NonXtal_BW#'!$A:$Z,22,FALSE)+VLOOKUP($A172,A:AL,31,FALSE)-50))</f>
        <v>284</v>
      </c>
      <c r="AG172" s="3">
        <f>IF(ISERROR(VLOOKUP($A172,'SegEnds_NonXtal_BW#'!$A:$Z,23,FALSE)+VLOOKUP($A172,A:AL,34,FALSE)-50),"-",(VLOOKUP($A172,'SegEnds_NonXtal_BW#'!$A:$Z,23,FALSE)+VLOOKUP($A172,A:AL,34,FALSE)-50))</f>
        <v>290</v>
      </c>
      <c r="AH172" s="3">
        <v>316</v>
      </c>
      <c r="AI172" s="3">
        <f>IF(ISERROR((VLOOKUP($A172,'SegEnds_NonXtal_BW#'!$A:$Z,24,FALSE)+VLOOKUP($A172,A:AL,34,FALSE)-50)),"-",(VLOOKUP($A172,'SegEnds_NonXtal_BW#'!$A:$Z,24,FALSE)+VLOOKUP($A172,A:AL,34,FALSE)-50))</f>
        <v>322</v>
      </c>
      <c r="AJ172" s="3">
        <f>IF(ISERROR(VLOOKUP($A172,'SegEnds_NonXtal_BW#'!$A:$Z,25,FALSE)+VLOOKUP($A172,A:AL,37,FALSE)-50),"-",(VLOOKUP($A172,'SegEnds_NonXtal_BW#'!$A:$Z,25,FALSE)+VLOOKUP($A172,A:AL,37,FALSE)-50))</f>
        <v>323</v>
      </c>
      <c r="AK172" s="3">
        <v>326</v>
      </c>
      <c r="AL172" s="3">
        <f>IF(ISERROR((VLOOKUP($A172,'SegEnds_NonXtal_BW#'!$A:$Z,26,FALSE)+VLOOKUP($A172,A:AL,37,FALSE)-50)),"-",(VLOOKUP($A172,'SegEnds_NonXtal_BW#'!$A:$Z,26,FALSE)+VLOOKUP($A172,A:AL,37,FALSE)-50))</f>
        <v>340</v>
      </c>
      <c r="AM172" s="28" t="str">
        <f>VLOOKUP(A172,Classification!A:B,2,FALSE)</f>
        <v>A</v>
      </c>
      <c r="AN172" s="28" t="b">
        <f t="shared" si="98"/>
        <v>1</v>
      </c>
      <c r="AO172" s="3" t="str">
        <f>IF(ISERROR(MATCH(A172,'SegEnds_Xtal_Prot#'!B:B, 0)), "NoXtal", "Xtal")</f>
        <v>NoXtal</v>
      </c>
      <c r="AP172" s="3">
        <f t="shared" si="81"/>
        <v>1</v>
      </c>
      <c r="AQ172" s="3">
        <f t="shared" si="82"/>
        <v>1</v>
      </c>
      <c r="AR172" s="3">
        <f t="shared" si="83"/>
        <v>2</v>
      </c>
      <c r="AS172" s="3">
        <f t="shared" si="84"/>
        <v>1</v>
      </c>
      <c r="AT172" s="3">
        <f t="shared" si="85"/>
        <v>1</v>
      </c>
      <c r="AU172" s="3">
        <f t="shared" si="86"/>
        <v>1</v>
      </c>
      <c r="AV172" s="3">
        <f t="shared" si="87"/>
        <v>11</v>
      </c>
      <c r="AW172" s="3">
        <f t="shared" si="88"/>
        <v>5</v>
      </c>
      <c r="AX172" s="3">
        <f t="shared" si="89"/>
        <v>5</v>
      </c>
      <c r="AY172" s="3">
        <f t="shared" si="90"/>
        <v>6</v>
      </c>
      <c r="AZ172" s="3">
        <f t="shared" si="91"/>
        <v>1</v>
      </c>
      <c r="BA172" s="3">
        <f>IF(ISERROR(LEN(VLOOKUP(A172,Seqs!A:E,2,FALSE))-AL172),"-",LEN(VLOOKUP(A172,Seqs!A:E,2,FALSE))-AL172)</f>
        <v>49</v>
      </c>
      <c r="BB172" s="16">
        <f t="shared" si="92"/>
        <v>30</v>
      </c>
      <c r="BC172" s="9">
        <f t="shared" si="93"/>
        <v>20</v>
      </c>
      <c r="BD172" s="3">
        <f t="shared" si="94"/>
        <v>30</v>
      </c>
      <c r="BE172" s="3">
        <f t="shared" si="95"/>
        <v>46</v>
      </c>
    </row>
    <row r="173" spans="1:58" s="3" customFormat="1" x14ac:dyDescent="0.2">
      <c r="A173" s="3" t="s">
        <v>293</v>
      </c>
      <c r="B173" s="3" t="str">
        <f>LOWER(VLOOKUP(A173,Xtal_Templ!A:B,2,FALSE))</f>
        <v>agtr1_human</v>
      </c>
      <c r="C173" s="3">
        <f>VLOOKUP($A173,'SegEnds_NonXtal_BW#'!$A:$Z,3,FALSE)+D173-50</f>
        <v>28</v>
      </c>
      <c r="D173" s="3">
        <v>50</v>
      </c>
      <c r="E173" s="3">
        <f>IF(ISERROR(VLOOKUP($A173,'SegEnds_NonXtal_BW#'!$A:$Z,4,FALSE)+VLOOKUP($A173,A:AL,4,FALSE)-50),"-",(VLOOKUP($A173,'SegEnds_NonXtal_BW#'!$A:$Z,4,FALSE)+VLOOKUP($A173,A:AL,4,FALSE)-50))</f>
        <v>60</v>
      </c>
      <c r="F173" s="3" t="str">
        <f>IF(ISERROR(VLOOKUP($A173,'SegEnds_NonXtal_BW#'!$A:$Z,5,FALSE)+VLOOKUP($A173,A:AL,7,FALSE)-50),"-",(VLOOKUP($A173,'SegEnds_NonXtal_BW#'!$A:$Z,5,FALSE)+VLOOKUP($A173,A:AL,7,FALSE)-50))</f>
        <v>-</v>
      </c>
      <c r="G173" s="3" t="s">
        <v>23</v>
      </c>
      <c r="H173" s="3" t="str">
        <f>IF(ISERROR(VLOOKUP($A173,'SegEnds_NonXtal_BW#'!$A:$Z,6,FALSE)+VLOOKUP($A173,A:AL,7,FALSE)-50),"-",(VLOOKUP($A173,'SegEnds_NonXtal_BW#'!$A:$Z,6,FALSE)+VLOOKUP($A173,A:AL,7,FALSE)-50))</f>
        <v>-</v>
      </c>
      <c r="I173" s="3">
        <f>VLOOKUP($A173,'SegEnds_NonXtal_BW#'!$A:$Z,7,FALSE)+J173-50</f>
        <v>64</v>
      </c>
      <c r="J173" s="3">
        <v>77</v>
      </c>
      <c r="K173" s="3">
        <f>VLOOKUP($A173,'SegEnds_NonXtal_BW#'!$A:$Z,8,FALSE)+VLOOKUP($A173,A:AL,10,FALSE)-50</f>
        <v>94</v>
      </c>
      <c r="L173" s="3" t="s">
        <v>23</v>
      </c>
      <c r="M173" s="3" t="s">
        <v>23</v>
      </c>
      <c r="N173" s="3" t="s">
        <v>23</v>
      </c>
      <c r="O173" s="3">
        <f>VLOOKUP($A173,'SegEnds_NonXtal_BW#'!$A:$Z,11,FALSE)+VLOOKUP($A173,A:AL,16,FALSE)-50</f>
        <v>98</v>
      </c>
      <c r="P173" s="3">
        <v>130</v>
      </c>
      <c r="Q173" s="3">
        <f>VLOOKUP($A173,'SegEnds_NonXtal_BW#'!$A:$Z,12,FALSE)+VLOOKUP($A173,A:AL,16,FALSE)-50</f>
        <v>136</v>
      </c>
      <c r="R173" s="3">
        <f>IF(ISERROR(VLOOKUP($A173,'SegEnds_NonXtal_BW#'!$A:$Z,13,FALSE)+VLOOKUP($A173,A:AL,19,FALSE)-50),"-",VLOOKUP($A173,'SegEnds_NonXtal_BW#'!$A:$Z,13,FALSE)+VLOOKUP($A173,A:AL,19,FALSE)-50)</f>
        <v>137</v>
      </c>
      <c r="S173" s="3">
        <v>137</v>
      </c>
      <c r="T173" s="100">
        <f>IF(ISERROR(VLOOKUP($A173,'SegEnds_NonXtal_BW#'!$A:$Z,14,FALSE)+VLOOKUP($A173,A:AL,19,FALSE)-50),"-",(VLOOKUP($A173,'SegEnds_NonXtal_BW#'!$A:$Z,14,FALSE)+VLOOKUP($A173,A:AL,19,FALSE)-50))</f>
        <v>144</v>
      </c>
      <c r="U173" s="9">
        <f>IF(ISERROR(VLOOKUP($A173,'SegEnds_NonXtal_BW#'!$A:$Z,15,FALSE)+VLOOKUP($A173,A:AL,22,FALSE)-50),"-",VLOOKUP($A173,'SegEnds_NonXtal_BW#'!$A:$Z,15,FALSE)+VLOOKUP($A173,A:AL,22,FALSE)-50)</f>
        <v>145</v>
      </c>
      <c r="V173" s="3">
        <v>157</v>
      </c>
      <c r="W173" s="3">
        <f>IF(ISERROR(VLOOKUP($A173,'SegEnds_NonXtal_BW#'!$A:$Z,16,FALSE)+VLOOKUP($A173,A:AL,22,FALSE)-50),"-",(VLOOKUP($A173,'SegEnds_NonXtal_BW#'!$A:$Z,16,FALSE)+VLOOKUP($A173,A:AL,22,FALSE)-50))</f>
        <v>171</v>
      </c>
      <c r="X173" s="3" t="str">
        <f>IF(ISERROR(VLOOKUP($A173,'SegEnds_NonXtal_BW#'!$A:$Z,17,FALSE)+VLOOKUP($A173,A:AL,25,FALSE)-50),"-",(VLOOKUP($A173,'SegEnds_NonXtal_BW#'!$A:$Z,17,FALSE)+VLOOKUP($A173,A:AL,25,FALSE)-50))</f>
        <v>-</v>
      </c>
      <c r="Y173" s="3" t="s">
        <v>23</v>
      </c>
      <c r="Z173" s="3" t="str">
        <f>IF(ISERROR(VLOOKUP($A173,'SegEnds_NonXtal_BW#'!$A:$Z,18,FALSE)+VLOOKUP($A173,A:AL,25,FALSE)-50),"-",(VLOOKUP($A173,'SegEnds_NonXtal_BW#'!$A:$Z,18,FALSE)+VLOOKUP($A173,A:AL,25,FALSE)-50))</f>
        <v>-</v>
      </c>
      <c r="AA173" s="3">
        <f>IF(ISERROR(VLOOKUP($A173,'SegEnds_NonXtal_BW#'!$A:$Z,19,FALSE)+VLOOKUP($A173,A:AL,28,FALSE)-50),"-",(VLOOKUP($A173,'SegEnds_NonXtal_BW#'!$A:$Z,19,FALSE)+VLOOKUP($A173,A:AL,28,FALSE)-50))</f>
        <v>185</v>
      </c>
      <c r="AB173" s="3">
        <v>201</v>
      </c>
      <c r="AC173" s="3">
        <f>IF(ISERROR((VLOOKUP($A173,'SegEnds_NonXtal_BW#'!$A:$Z,20,FALSE)+VLOOKUP($A173,A:AL,28,FALSE)-50)),"-",(VLOOKUP($A173,'SegEnds_NonXtal_BW#'!$A:$Z,20,FALSE)+VLOOKUP($A173,A:AL,28,FALSE)-50))</f>
        <v>219</v>
      </c>
      <c r="AD173" s="3">
        <f>IF(ISERROR(VLOOKUP($A173,'SegEnds_NonXtal_BW#'!$A:$Z,21,FALSE)+VLOOKUP($A173,A:AL,31,FALSE)-50),"-",(VLOOKUP($A173,'SegEnds_NonXtal_BW#'!$A:$Z,21,FALSE)+VLOOKUP($A173,A:AL,31,FALSE)-50))</f>
        <v>223</v>
      </c>
      <c r="AE173" s="3">
        <v>243</v>
      </c>
      <c r="AF173" s="3">
        <f>IF(ISERROR((VLOOKUP($A173,'SegEnds_NonXtal_BW#'!$A:$Z,22,FALSE)+VLOOKUP($A173,A:AL,31,FALSE)-50)),"-",(VLOOKUP($A173,'SegEnds_NonXtal_BW#'!$A:$Z,22,FALSE)+VLOOKUP($A173,A:AL,31,FALSE)-50))</f>
        <v>254</v>
      </c>
      <c r="AG173" s="3">
        <f>IF(ISERROR(VLOOKUP($A173,'SegEnds_NonXtal_BW#'!$A:$Z,23,FALSE)+VLOOKUP($A173,A:AL,34,FALSE)-50),"-",(VLOOKUP($A173,'SegEnds_NonXtal_BW#'!$A:$Z,23,FALSE)+VLOOKUP($A173,A:AL,34,FALSE)-50))</f>
        <v>259</v>
      </c>
      <c r="AH173" s="3">
        <v>277</v>
      </c>
      <c r="AI173" s="3">
        <f>IF(ISERROR((VLOOKUP($A173,'SegEnds_NonXtal_BW#'!$A:$Z,24,FALSE)+VLOOKUP($A173,A:AL,34,FALSE)-50)),"-",(VLOOKUP($A173,'SegEnds_NonXtal_BW#'!$A:$Z,24,FALSE)+VLOOKUP($A173,A:AL,34,FALSE)-50))</f>
        <v>283</v>
      </c>
      <c r="AJ173" s="3">
        <f>IF(ISERROR(VLOOKUP($A173,'SegEnds_NonXtal_BW#'!$A:$Z,25,FALSE)+VLOOKUP($A173,A:AL,37,FALSE)-50),"-",(VLOOKUP($A173,'SegEnds_NonXtal_BW#'!$A:$Z,25,FALSE)+VLOOKUP($A173,A:AL,37,FALSE)-50))</f>
        <v>284</v>
      </c>
      <c r="AK173" s="3">
        <v>287</v>
      </c>
      <c r="AL173" s="3">
        <f>IF(ISERROR((VLOOKUP($A173,'SegEnds_NonXtal_BW#'!$A:$Z,26,FALSE)+VLOOKUP($A173,A:AL,37,FALSE)-50)),"-",(VLOOKUP($A173,'SegEnds_NonXtal_BW#'!$A:$Z,26,FALSE)+VLOOKUP($A173,A:AL,37,FALSE)-50))</f>
        <v>298</v>
      </c>
      <c r="AM173" s="28" t="str">
        <f>VLOOKUP(A173,Classification!A:B,2,FALSE)</f>
        <v>A</v>
      </c>
      <c r="AN173" s="28" t="b">
        <f t="shared" si="98"/>
        <v>1</v>
      </c>
      <c r="AO173" s="3" t="str">
        <f>IF(ISERROR(MATCH(A173,'SegEnds_Xtal_Prot#'!B:B, 0)), "NoXtal", "Xtal")</f>
        <v>NoXtal</v>
      </c>
      <c r="AP173" s="3" t="str">
        <f t="shared" si="81"/>
        <v>-</v>
      </c>
      <c r="AQ173" s="3" t="str">
        <f t="shared" si="82"/>
        <v>-</v>
      </c>
      <c r="AR173" s="3" t="str">
        <f t="shared" si="83"/>
        <v>-</v>
      </c>
      <c r="AS173" s="3" t="str">
        <f t="shared" si="84"/>
        <v>-</v>
      </c>
      <c r="AT173" s="3">
        <f t="shared" si="85"/>
        <v>1</v>
      </c>
      <c r="AU173" s="3">
        <f t="shared" si="86"/>
        <v>1</v>
      </c>
      <c r="AV173" s="3" t="str">
        <f t="shared" si="87"/>
        <v>-</v>
      </c>
      <c r="AW173" s="3" t="str">
        <f t="shared" si="88"/>
        <v>-</v>
      </c>
      <c r="AX173" s="3">
        <f t="shared" si="89"/>
        <v>4</v>
      </c>
      <c r="AY173" s="3">
        <f t="shared" si="90"/>
        <v>5</v>
      </c>
      <c r="AZ173" s="3">
        <f t="shared" si="91"/>
        <v>1</v>
      </c>
      <c r="BA173" s="3">
        <f>IF(ISERROR(LEN(VLOOKUP(A173,Seqs!A:E,2,FALSE))-AL173),"-",LEN(VLOOKUP(A173,Seqs!A:E,2,FALSE))-AL173)</f>
        <v>27</v>
      </c>
      <c r="BB173" s="16">
        <f t="shared" si="92"/>
        <v>27</v>
      </c>
      <c r="BC173" s="9">
        <f t="shared" si="93"/>
        <v>20</v>
      </c>
      <c r="BD173" s="3">
        <f t="shared" si="94"/>
        <v>27</v>
      </c>
      <c r="BE173" s="3">
        <f t="shared" si="95"/>
        <v>42</v>
      </c>
      <c r="BF173" s="3">
        <f>AH173-AE173</f>
        <v>34</v>
      </c>
    </row>
    <row r="174" spans="1:58" s="3" customFormat="1" x14ac:dyDescent="0.2">
      <c r="A174" s="3" t="s">
        <v>294</v>
      </c>
      <c r="B174" s="3" t="str">
        <f>LOWER(VLOOKUP(A174,Xtal_Templ!A:B,2,FALSE))</f>
        <v>ccr9_human</v>
      </c>
      <c r="C174" s="3">
        <f>VLOOKUP($A174,'SegEnds_NonXtal_BW#'!$A:$Z,3,FALSE)+D174-50</f>
        <v>70</v>
      </c>
      <c r="D174" s="3">
        <v>93</v>
      </c>
      <c r="E174" s="3">
        <f>IF(ISERROR(VLOOKUP($A174,'SegEnds_NonXtal_BW#'!$A:$Z,4,FALSE)+VLOOKUP($A174,A:AL,4,FALSE)-50),"-",(VLOOKUP($A174,'SegEnds_NonXtal_BW#'!$A:$Z,4,FALSE)+VLOOKUP($A174,A:AL,4,FALSE)-50))</f>
        <v>103</v>
      </c>
      <c r="F174" s="3" t="str">
        <f>IF(ISERROR(VLOOKUP($A174,'SegEnds_NonXtal_BW#'!$A:$Z,5,FALSE)+VLOOKUP($A174,A:AL,7,FALSE)-50),"-",(VLOOKUP($A174,'SegEnds_NonXtal_BW#'!$A:$Z,5,FALSE)+VLOOKUP($A174,A:AL,7,FALSE)-50))</f>
        <v>-</v>
      </c>
      <c r="G174" s="3" t="s">
        <v>23</v>
      </c>
      <c r="H174" s="3" t="str">
        <f>IF(ISERROR(VLOOKUP($A174,'SegEnds_NonXtal_BW#'!$A:$Z,6,FALSE)+VLOOKUP($A174,A:AL,7,FALSE)-50),"-",(VLOOKUP($A174,'SegEnds_NonXtal_BW#'!$A:$Z,6,FALSE)+VLOOKUP($A174,A:AL,7,FALSE)-50))</f>
        <v>-</v>
      </c>
      <c r="I174" s="3">
        <f>VLOOKUP($A174,'SegEnds_NonXtal_BW#'!$A:$Z,7,FALSE)+J174-50</f>
        <v>106</v>
      </c>
      <c r="J174" s="3">
        <v>119</v>
      </c>
      <c r="K174" s="3">
        <f>VLOOKUP($A174,'SegEnds_NonXtal_BW#'!$A:$Z,8,FALSE)+VLOOKUP($A174,A:AL,10,FALSE)-50</f>
        <v>135</v>
      </c>
      <c r="L174" s="3" t="str">
        <f>IF(ISERROR(VLOOKUP($A174,'SegEnds_NonXtal_BW#'!$A:$Z,9,FALSE)+VLOOKUP($A174,A:AL,13,FALSE)-50),"-",(VLOOKUP($A174,'SegEnds_NonXtal_BW#'!$A:$Z,9,FALSE)+VLOOKUP($A174,A:AL,13,FALSE)-50))</f>
        <v>-</v>
      </c>
      <c r="M174" s="3" t="s">
        <v>23</v>
      </c>
      <c r="N174" s="3" t="str">
        <f>IF(ISERROR(VLOOKUP($A174,'SegEnds_NonXtal_BW#'!$A:$Z,10,FALSE)+VLOOKUP($A174,A:AL,13,FALSE)-50),"-",(VLOOKUP($A174,'SegEnds_NonXtal_BW#'!$A:$Z,10,FALSE)+VLOOKUP($A174,A:AL,13,FALSE)-50))</f>
        <v>-</v>
      </c>
      <c r="O174" s="3">
        <f>VLOOKUP($A174,'SegEnds_NonXtal_BW#'!$A:$Z,11,FALSE)+VLOOKUP($A174,A:AL,16,FALSE)-50</f>
        <v>139</v>
      </c>
      <c r="P174" s="3">
        <v>171</v>
      </c>
      <c r="Q174" s="3">
        <f>VLOOKUP($A174,'SegEnds_NonXtal_BW#'!$A:$Z,12,FALSE)+VLOOKUP($A174,A:AL,16,FALSE)-50</f>
        <v>177</v>
      </c>
      <c r="R174" s="3">
        <f>IF(ISERROR(VLOOKUP($A174,'SegEnds_NonXtal_BW#'!$A:$Z,13,FALSE)+VLOOKUP($A174,A:AL,19,FALSE)-50),"-",VLOOKUP($A174,'SegEnds_NonXtal_BW#'!$A:$Z,13,FALSE)+VLOOKUP($A174,A:AL,19,FALSE)-50)</f>
        <v>178</v>
      </c>
      <c r="S174" s="3">
        <v>178</v>
      </c>
      <c r="T174" s="100">
        <f>IF(ISERROR(VLOOKUP($A174,'SegEnds_NonXtal_BW#'!$A:$Z,14,FALSE)+VLOOKUP($A174,A:AL,19,FALSE)-50),"-",(VLOOKUP($A174,'SegEnds_NonXtal_BW#'!$A:$Z,14,FALSE)+VLOOKUP($A174,A:AL,19,FALSE)-50))</f>
        <v>185</v>
      </c>
      <c r="U174" s="9">
        <f>IF(ISERROR(VLOOKUP($A174,'SegEnds_NonXtal_BW#'!$A:$Z,15,FALSE)+VLOOKUP($A174,A:AL,22,FALSE)-50),"-",VLOOKUP($A174,'SegEnds_NonXtal_BW#'!$A:$Z,15,FALSE)+VLOOKUP($A174,A:AL,22,FALSE)-50)</f>
        <v>186</v>
      </c>
      <c r="V174" s="3">
        <v>198</v>
      </c>
      <c r="W174" s="3">
        <f>IF(ISERROR(VLOOKUP($A174,'SegEnds_NonXtal_BW#'!$A:$Z,16,FALSE)+VLOOKUP($A174,A:AL,22,FALSE)-50),"-",(VLOOKUP($A174,'SegEnds_NonXtal_BW#'!$A:$Z,16,FALSE)+VLOOKUP($A174,A:AL,22,FALSE)-50))</f>
        <v>212</v>
      </c>
      <c r="X174" s="3" t="str">
        <f>IF(ISERROR(VLOOKUP($A174,'SegEnds_NonXtal_BW#'!$A:$Z,17,FALSE)+VLOOKUP($A174,A:AL,25,FALSE)-50),"-",(VLOOKUP($A174,'SegEnds_NonXtal_BW#'!$A:$Z,17,FALSE)+VLOOKUP($A174,A:AL,25,FALSE)-50))</f>
        <v>-</v>
      </c>
      <c r="Y174" s="3" t="s">
        <v>23</v>
      </c>
      <c r="Z174" s="3" t="str">
        <f>IF(ISERROR(VLOOKUP($A174,'SegEnds_NonXtal_BW#'!$A:$Z,18,FALSE)+VLOOKUP($A174,A:AL,25,FALSE)-50),"-",(VLOOKUP($A174,'SegEnds_NonXtal_BW#'!$A:$Z,18,FALSE)+VLOOKUP($A174,A:AL,25,FALSE)-50))</f>
        <v>-</v>
      </c>
      <c r="AA174" s="3">
        <f>IF(ISERROR(VLOOKUP($A174,'SegEnds_NonXtal_BW#'!$A:$Z,19,FALSE)+VLOOKUP($A174,A:AL,28,FALSE)-50),"-",(VLOOKUP($A174,'SegEnds_NonXtal_BW#'!$A:$Z,19,FALSE)+VLOOKUP($A174,A:AL,28,FALSE)-50))</f>
        <v>220</v>
      </c>
      <c r="AB174" s="3">
        <v>237</v>
      </c>
      <c r="AC174" s="3">
        <f>IF(ISERROR((VLOOKUP($A174,'SegEnds_NonXtal_BW#'!$A:$Z,20,FALSE)+VLOOKUP($A174,A:AL,28,FALSE)-50)),"-",(VLOOKUP($A174,'SegEnds_NonXtal_BW#'!$A:$Z,20,FALSE)+VLOOKUP($A174,A:AL,28,FALSE)-50))</f>
        <v>255</v>
      </c>
      <c r="AD174" s="3">
        <f>IF(ISERROR(VLOOKUP($A174,'SegEnds_NonXtal_BW#'!$A:$Z,21,FALSE)+VLOOKUP($A174,A:AL,31,FALSE)-50),"-",(VLOOKUP($A174,'SegEnds_NonXtal_BW#'!$A:$Z,21,FALSE)+VLOOKUP($A174,A:AL,31,FALSE)-50))</f>
        <v>259</v>
      </c>
      <c r="AE174" s="3">
        <v>279</v>
      </c>
      <c r="AF174" s="3">
        <f>IF(ISERROR((VLOOKUP($A174,'SegEnds_NonXtal_BW#'!$A:$Z,22,FALSE)+VLOOKUP($A174,A:AL,31,FALSE)-50)),"-",(VLOOKUP($A174,'SegEnds_NonXtal_BW#'!$A:$Z,22,FALSE)+VLOOKUP($A174,A:AL,31,FALSE)-50))</f>
        <v>290</v>
      </c>
      <c r="AG174" s="3">
        <f>IF(ISERROR(VLOOKUP($A174,'SegEnds_NonXtal_BW#'!$A:$Z,23,FALSE)+VLOOKUP($A174,A:AL,34,FALSE)-50),"-",(VLOOKUP($A174,'SegEnds_NonXtal_BW#'!$A:$Z,23,FALSE)+VLOOKUP($A174,A:AL,34,FALSE)-50))</f>
        <v>295</v>
      </c>
      <c r="AH174" s="3">
        <v>311</v>
      </c>
      <c r="AI174" s="3">
        <f>IF(ISERROR((VLOOKUP($A174,'SegEnds_NonXtal_BW#'!$A:$Z,24,FALSE)+VLOOKUP($A174,A:AL,34,FALSE)-50)),"-",(VLOOKUP($A174,'SegEnds_NonXtal_BW#'!$A:$Z,24,FALSE)+VLOOKUP($A174,A:AL,34,FALSE)-50))</f>
        <v>317</v>
      </c>
      <c r="AJ174" s="3">
        <f>IF(ISERROR(VLOOKUP($A174,'SegEnds_NonXtal_BW#'!$A:$Z,25,FALSE)+VLOOKUP($A174,A:AL,37,FALSE)-50),"-",(VLOOKUP($A174,'SegEnds_NonXtal_BW#'!$A:$Z,25,FALSE)+VLOOKUP($A174,A:AL,37,FALSE)-50))</f>
        <v>318</v>
      </c>
      <c r="AK174" s="3">
        <v>321</v>
      </c>
      <c r="AL174" s="3">
        <f>IF(ISERROR((VLOOKUP($A174,'SegEnds_NonXtal_BW#'!$A:$Z,26,FALSE)+VLOOKUP($A174,A:AL,37,FALSE)-50)),"-",(VLOOKUP($A174,'SegEnds_NonXtal_BW#'!$A:$Z,26,FALSE)+VLOOKUP($A174,A:AL,37,FALSE)-50))</f>
        <v>338</v>
      </c>
      <c r="AM174" s="28" t="str">
        <f>VLOOKUP(A174,Classification!A:B,2,FALSE)</f>
        <v>A</v>
      </c>
      <c r="AN174" s="28" t="b">
        <f t="shared" si="98"/>
        <v>1</v>
      </c>
      <c r="AO174" s="3" t="str">
        <f>IF(ISERROR(MATCH(A174,'SegEnds_Xtal_Prot#'!B:B, 0)), "NoXtal", "Xtal")</f>
        <v>NoXtal</v>
      </c>
      <c r="AP174" s="3" t="str">
        <f t="shared" si="81"/>
        <v>-</v>
      </c>
      <c r="AQ174" s="3" t="str">
        <f t="shared" si="82"/>
        <v>-</v>
      </c>
      <c r="AR174" s="3" t="str">
        <f t="shared" si="83"/>
        <v>-</v>
      </c>
      <c r="AS174" s="3" t="str">
        <f t="shared" si="84"/>
        <v>-</v>
      </c>
      <c r="AT174" s="3">
        <f t="shared" si="85"/>
        <v>1</v>
      </c>
      <c r="AU174" s="3">
        <f t="shared" si="86"/>
        <v>1</v>
      </c>
      <c r="AV174" s="3" t="str">
        <f t="shared" si="87"/>
        <v>-</v>
      </c>
      <c r="AW174" s="3" t="str">
        <f t="shared" si="88"/>
        <v>-</v>
      </c>
      <c r="AX174" s="3">
        <f t="shared" si="89"/>
        <v>4</v>
      </c>
      <c r="AY174" s="3">
        <f t="shared" si="90"/>
        <v>5</v>
      </c>
      <c r="AZ174" s="3">
        <f t="shared" si="91"/>
        <v>1</v>
      </c>
      <c r="BA174" s="3">
        <f>IF(ISERROR(LEN(VLOOKUP(A174,Seqs!A:E,2,FALSE))-AL174),"-",LEN(VLOOKUP(A174,Seqs!A:E,2,FALSE))-AL174)</f>
        <v>40</v>
      </c>
      <c r="BB174" s="16">
        <f t="shared" si="92"/>
        <v>26</v>
      </c>
      <c r="BC174" s="9">
        <f t="shared" si="93"/>
        <v>20</v>
      </c>
      <c r="BD174" s="3">
        <f t="shared" si="94"/>
        <v>26</v>
      </c>
      <c r="BE174" s="3">
        <f t="shared" si="95"/>
        <v>42</v>
      </c>
    </row>
    <row r="175" spans="1:58" s="3" customFormat="1" x14ac:dyDescent="0.2">
      <c r="A175" s="3" t="s">
        <v>295</v>
      </c>
      <c r="B175" s="3" t="str">
        <f>LOWER(VLOOKUP(A175,Xtal_Templ!A:B,2,FALSE))</f>
        <v>lpar1_human</v>
      </c>
      <c r="C175" s="3">
        <f>VLOOKUP($A175,'SegEnds_NonXtal_BW#'!$A:$Z,3,FALSE)+D175-50</f>
        <v>36</v>
      </c>
      <c r="D175" s="3">
        <v>56</v>
      </c>
      <c r="E175" s="3">
        <f>IF(ISERROR(VLOOKUP($A175,'SegEnds_NonXtal_BW#'!$A:$Z,4,FALSE)+VLOOKUP($A175,A:AL,4,FALSE)-50),"-",(VLOOKUP($A175,'SegEnds_NonXtal_BW#'!$A:$Z,4,FALSE)+VLOOKUP($A175,A:AL,4,FALSE)-50))</f>
        <v>66</v>
      </c>
      <c r="F175" s="3">
        <f>G175-2</f>
        <v>67</v>
      </c>
      <c r="G175" s="3">
        <v>69</v>
      </c>
      <c r="H175" s="3">
        <f t="shared" ref="H175:I178" si="110">G175+1</f>
        <v>70</v>
      </c>
      <c r="I175" s="3">
        <f t="shared" si="110"/>
        <v>71</v>
      </c>
      <c r="J175" s="3">
        <v>84</v>
      </c>
      <c r="K175" s="3">
        <f>VLOOKUP($A175,'SegEnds_NonXtal_BW#'!$A:$Z,8,FALSE)+VLOOKUP($A175,A:AL,10,FALSE)-50</f>
        <v>101</v>
      </c>
      <c r="L175" s="3" t="str">
        <f>IF(ISERROR(VLOOKUP($A175,'SegEnds_NonXtal_BW#'!$A:$Z,9,FALSE)+VLOOKUP($A175,A:AL,13,FALSE)-50),"-",(VLOOKUP($A175,'SegEnds_NonXtal_BW#'!$A:$Z,9,FALSE)+VLOOKUP($A175,A:AL,13,FALSE)-50))</f>
        <v>-</v>
      </c>
      <c r="M175" s="3" t="s">
        <v>23</v>
      </c>
      <c r="N175" s="3" t="str">
        <f>IF(ISERROR(VLOOKUP($A175,'SegEnds_NonXtal_BW#'!$A:$Z,10,FALSE)+VLOOKUP($A175,A:AL,13,FALSE)-50),"-",(VLOOKUP($A175,'SegEnds_NonXtal_BW#'!$A:$Z,10,FALSE)+VLOOKUP($A175,A:AL,13,FALSE)-50))</f>
        <v>-</v>
      </c>
      <c r="O175" s="3">
        <f>VLOOKUP($A175,'SegEnds_NonXtal_BW#'!$A:$Z,11,FALSE)+VLOOKUP($A175,A:AL,16,FALSE)-50</f>
        <v>110</v>
      </c>
      <c r="P175" s="3">
        <v>142</v>
      </c>
      <c r="Q175" s="3">
        <f>VLOOKUP($A175,'SegEnds_NonXtal_BW#'!$A:$Z,12,FALSE)+VLOOKUP($A175,A:AL,16,FALSE)-50</f>
        <v>148</v>
      </c>
      <c r="R175" s="3">
        <f>S175</f>
        <v>149</v>
      </c>
      <c r="S175" s="3">
        <v>149</v>
      </c>
      <c r="T175" s="100">
        <f>S175+7</f>
        <v>156</v>
      </c>
      <c r="U175" s="9">
        <f>IF(ISERROR(VLOOKUP($A175,'SegEnds_NonXtal_BW#'!$A:$Z,15,FALSE)+VLOOKUP($A175,A:AL,22,FALSE)-50),"-",VLOOKUP($A175,'SegEnds_NonXtal_BW#'!$A:$Z,15,FALSE)+VLOOKUP($A175,A:AL,22,FALSE)-50)</f>
        <v>157</v>
      </c>
      <c r="V175" s="3">
        <v>169</v>
      </c>
      <c r="W175" s="3">
        <f>IF(ISERROR(VLOOKUP($A175,'SegEnds_NonXtal_BW#'!$A:$Z,16,FALSE)+VLOOKUP($A175,A:AL,22,FALSE)-50),"-",(VLOOKUP($A175,'SegEnds_NonXtal_BW#'!$A:$Z,16,FALSE)+VLOOKUP($A175,A:AL,22,FALSE)-50))</f>
        <v>182</v>
      </c>
      <c r="X175" s="3" t="str">
        <f>IF(ISERROR(VLOOKUP($A175,'SegEnds_NonXtal_BW#'!$A:$Z,17,FALSE)+VLOOKUP($A175,A:AL,25,FALSE)-50),"-",(VLOOKUP($A175,'SegEnds_NonXtal_BW#'!$A:$Z,17,FALSE)+VLOOKUP($A175,A:AL,25,FALSE)-50))</f>
        <v>-</v>
      </c>
      <c r="Y175" s="3" t="s">
        <v>23</v>
      </c>
      <c r="Z175" s="3" t="str">
        <f>IF(ISERROR(VLOOKUP($A175,'SegEnds_NonXtal_BW#'!$A:$Z,18,FALSE)+VLOOKUP($A175,A:AL,25,FALSE)-50),"-",(VLOOKUP($A175,'SegEnds_NonXtal_BW#'!$A:$Z,18,FALSE)+VLOOKUP($A175,A:AL,25,FALSE)-50))</f>
        <v>-</v>
      </c>
      <c r="AA175" s="3">
        <f>IF(ISERROR(VLOOKUP($A175,'SegEnds_NonXtal_BW#'!$A:$Z,19,FALSE)+VLOOKUP($A175,A:AL,28,FALSE)-50),"-",(VLOOKUP($A175,'SegEnds_NonXtal_BW#'!$A:$Z,19,FALSE)+VLOOKUP($A175,A:AL,28,FALSE)-50))</f>
        <v>192</v>
      </c>
      <c r="AB175" s="9">
        <v>209</v>
      </c>
      <c r="AC175" s="3">
        <f>IF(ISERROR((VLOOKUP($A175,'SegEnds_NonXtal_BW#'!$A:$Z,20,FALSE)+VLOOKUP($A175,A:AL,28,FALSE)-50)),"-",(VLOOKUP($A175,'SegEnds_NonXtal_BW#'!$A:$Z,20,FALSE)+VLOOKUP($A175,A:AL,28,FALSE)-50))</f>
        <v>227</v>
      </c>
      <c r="AD175" s="3">
        <f>IF(ISERROR(VLOOKUP($A175,'SegEnds_NonXtal_BW#'!$A:$Z,21,FALSE)+VLOOKUP($A175,A:AL,31,FALSE)-50),"-",(VLOOKUP($A175,'SegEnds_NonXtal_BW#'!$A:$Z,21,FALSE)+VLOOKUP($A175,A:AL,31,FALSE)-50))</f>
        <v>234</v>
      </c>
      <c r="AE175" s="3">
        <v>257</v>
      </c>
      <c r="AF175" s="3">
        <f>IF(ISERROR((VLOOKUP($A175,'SegEnds_NonXtal_BW#'!$A:$Z,22,FALSE)+VLOOKUP($A175,A:AL,31,FALSE)-50)),"-",(VLOOKUP($A175,'SegEnds_NonXtal_BW#'!$A:$Z,22,FALSE)+VLOOKUP($A175,A:AL,31,FALSE)-50))</f>
        <v>268</v>
      </c>
      <c r="AG175" s="3">
        <f>IF(ISERROR(VLOOKUP($A175,'SegEnds_NonXtal_BW#'!$A:$Z,23,FALSE)+VLOOKUP($A175,A:AL,34,FALSE)-50),"-",(VLOOKUP($A175,'SegEnds_NonXtal_BW#'!$A:$Z,23,FALSE)+VLOOKUP($A175,A:AL,34,FALSE)-50))</f>
        <v>276</v>
      </c>
      <c r="AH175" s="3">
        <v>296</v>
      </c>
      <c r="AI175" s="3">
        <f>IF(ISERROR((VLOOKUP($A175,'SegEnds_NonXtal_BW#'!$A:$Z,24,FALSE)+VLOOKUP($A175,A:AL,34,FALSE)-50)),"-",(VLOOKUP($A175,'SegEnds_NonXtal_BW#'!$A:$Z,24,FALSE)+VLOOKUP($A175,A:AL,34,FALSE)-50))</f>
        <v>302</v>
      </c>
      <c r="AJ175" s="3">
        <f>IF(ISERROR(VLOOKUP($A175,'SegEnds_NonXtal_BW#'!$A:$Z,25,FALSE)+VLOOKUP($A175,A:AL,37,FALSE)-50),"-",(VLOOKUP($A175,'SegEnds_NonXtal_BW#'!$A:$Z,25,FALSE)+VLOOKUP($A175,A:AL,37,FALSE)-50))</f>
        <v>303</v>
      </c>
      <c r="AK175" s="3">
        <v>306</v>
      </c>
      <c r="AL175" s="3">
        <f>IF(ISERROR((VLOOKUP($A175,'SegEnds_NonXtal_BW#'!$A:$Z,26,FALSE)+VLOOKUP($A175,A:AL,37,FALSE)-50)),"-",(VLOOKUP($A175,'SegEnds_NonXtal_BW#'!$A:$Z,26,FALSE)+VLOOKUP($A175,A:AL,37,FALSE)-50))</f>
        <v>315</v>
      </c>
      <c r="AM175" s="28" t="str">
        <f>VLOOKUP(A175,Classification!A:B,2,FALSE)</f>
        <v>A</v>
      </c>
      <c r="AN175" s="28" t="b">
        <f t="shared" si="98"/>
        <v>1</v>
      </c>
      <c r="AO175" s="3" t="str">
        <f>IF(ISERROR(MATCH(A175,'SegEnds_Xtal_Prot#'!B:B, 0)), "NoXtal", "Xtal")</f>
        <v>NoXtal</v>
      </c>
      <c r="AP175" s="3">
        <f t="shared" si="81"/>
        <v>1</v>
      </c>
      <c r="AQ175" s="3">
        <f t="shared" si="82"/>
        <v>1</v>
      </c>
      <c r="AR175" s="3" t="str">
        <f t="shared" si="83"/>
        <v>-</v>
      </c>
      <c r="AS175" s="3" t="str">
        <f t="shared" si="84"/>
        <v>-</v>
      </c>
      <c r="AT175" s="3">
        <f t="shared" si="85"/>
        <v>1</v>
      </c>
      <c r="AU175" s="3">
        <f t="shared" si="86"/>
        <v>1</v>
      </c>
      <c r="AV175" s="3" t="str">
        <f t="shared" si="87"/>
        <v>-</v>
      </c>
      <c r="AW175" s="3" t="str">
        <f t="shared" si="88"/>
        <v>-</v>
      </c>
      <c r="AX175" s="3">
        <f t="shared" si="89"/>
        <v>7</v>
      </c>
      <c r="AY175" s="3">
        <f t="shared" si="90"/>
        <v>8</v>
      </c>
      <c r="AZ175" s="3">
        <f t="shared" si="91"/>
        <v>1</v>
      </c>
      <c r="BA175" s="3">
        <f>IF(ISERROR(LEN(VLOOKUP(A175,Seqs!A:E,2,FALSE))-AL175),"-",LEN(VLOOKUP(A175,Seqs!A:E,2,FALSE))-AL175)</f>
        <v>8</v>
      </c>
      <c r="BB175" s="16">
        <f t="shared" si="92"/>
        <v>28</v>
      </c>
      <c r="BC175" s="9">
        <f t="shared" si="93"/>
        <v>20</v>
      </c>
      <c r="BD175" s="3">
        <f t="shared" si="94"/>
        <v>28</v>
      </c>
      <c r="BE175" s="3">
        <f t="shared" si="95"/>
        <v>48</v>
      </c>
      <c r="BF175" s="3">
        <f t="shared" ref="BF175:BF181" si="111">AH175-AE175</f>
        <v>39</v>
      </c>
    </row>
    <row r="176" spans="1:58" s="3" customFormat="1" x14ac:dyDescent="0.2">
      <c r="A176" s="3" t="s">
        <v>296</v>
      </c>
      <c r="B176" s="3" t="str">
        <f>LOWER(VLOOKUP(A176,Xtal_Templ!A:B,2,FALSE))</f>
        <v>s1pr1_human</v>
      </c>
      <c r="C176" s="3">
        <f>VLOOKUP($A176,'SegEnds_NonXtal_BW#'!$A:$Z,3,FALSE)+D176-50</f>
        <v>41</v>
      </c>
      <c r="D176" s="3">
        <v>62</v>
      </c>
      <c r="E176" s="3">
        <f>IF(ISERROR(VLOOKUP($A176,'SegEnds_NonXtal_BW#'!$A:$Z,4,FALSE)+VLOOKUP($A176,A:AL,4,FALSE)-50),"-",(VLOOKUP($A176,'SegEnds_NonXtal_BW#'!$A:$Z,4,FALSE)+VLOOKUP($A176,A:AL,4,FALSE)-50))</f>
        <v>72</v>
      </c>
      <c r="F176" s="3">
        <f>G176-2</f>
        <v>73</v>
      </c>
      <c r="G176" s="3">
        <v>75</v>
      </c>
      <c r="H176" s="3">
        <f t="shared" si="110"/>
        <v>76</v>
      </c>
      <c r="I176" s="3">
        <f t="shared" si="110"/>
        <v>77</v>
      </c>
      <c r="J176" s="3">
        <v>90</v>
      </c>
      <c r="K176" s="3">
        <f>VLOOKUP($A176,'SegEnds_NonXtal_BW#'!$A:$Z,8,FALSE)+VLOOKUP($A176,A:AL,10,FALSE)-50</f>
        <v>107</v>
      </c>
      <c r="L176" s="3" t="str">
        <f>IF(ISERROR(VLOOKUP($A176,'SegEnds_NonXtal_BW#'!$A:$Z,9,FALSE)+VLOOKUP($A176,A:AL,13,FALSE)-50),"-",(VLOOKUP($A176,'SegEnds_NonXtal_BW#'!$A:$Z,9,FALSE)+VLOOKUP($A176,A:AL,13,FALSE)-50))</f>
        <v>-</v>
      </c>
      <c r="M176" s="3" t="s">
        <v>23</v>
      </c>
      <c r="N176" s="3" t="str">
        <f>IF(ISERROR(VLOOKUP($A176,'SegEnds_NonXtal_BW#'!$A:$Z,10,FALSE)+VLOOKUP($A176,A:AL,13,FALSE)-50),"-",(VLOOKUP($A176,'SegEnds_NonXtal_BW#'!$A:$Z,10,FALSE)+VLOOKUP($A176,A:AL,13,FALSE)-50))</f>
        <v>-</v>
      </c>
      <c r="O176" s="3">
        <f>VLOOKUP($A176,'SegEnds_NonXtal_BW#'!$A:$Z,11,FALSE)+VLOOKUP($A176,A:AL,16,FALSE)-50</f>
        <v>115</v>
      </c>
      <c r="P176" s="3">
        <v>147</v>
      </c>
      <c r="Q176" s="3">
        <f>VLOOKUP($A176,'SegEnds_NonXtal_BW#'!$A:$Z,12,FALSE)+VLOOKUP($A176,A:AL,16,FALSE)-50</f>
        <v>153</v>
      </c>
      <c r="R176" s="3">
        <f>S176</f>
        <v>154</v>
      </c>
      <c r="S176" s="3">
        <v>154</v>
      </c>
      <c r="T176" s="100">
        <f>S176+7</f>
        <v>161</v>
      </c>
      <c r="U176" s="9">
        <f>IF(ISERROR(VLOOKUP($A176,'SegEnds_NonXtal_BW#'!$A:$Z,15,FALSE)+VLOOKUP($A176,A:AL,22,FALSE)-50),"-",VLOOKUP($A176,'SegEnds_NonXtal_BW#'!$A:$Z,15,FALSE)+VLOOKUP($A176,A:AL,22,FALSE)-50)</f>
        <v>162</v>
      </c>
      <c r="V176" s="3">
        <v>174</v>
      </c>
      <c r="W176" s="3">
        <f>IF(ISERROR(VLOOKUP($A176,'SegEnds_NonXtal_BW#'!$A:$Z,16,FALSE)+VLOOKUP($A176,A:AL,22,FALSE)-50),"-",(VLOOKUP($A176,'SegEnds_NonXtal_BW#'!$A:$Z,16,FALSE)+VLOOKUP($A176,A:AL,22,FALSE)-50))</f>
        <v>187</v>
      </c>
      <c r="X176" s="3" t="str">
        <f>IF(ISERROR(VLOOKUP($A176,'SegEnds_NonXtal_BW#'!$A:$Z,17,FALSE)+VLOOKUP($A176,A:AL,25,FALSE)-50),"-",(VLOOKUP($A176,'SegEnds_NonXtal_BW#'!$A:$Z,17,FALSE)+VLOOKUP($A176,A:AL,25,FALSE)-50))</f>
        <v>-</v>
      </c>
      <c r="Y176" s="3" t="s">
        <v>23</v>
      </c>
      <c r="Z176" s="3" t="str">
        <f>IF(ISERROR(VLOOKUP($A176,'SegEnds_NonXtal_BW#'!$A:$Z,18,FALSE)+VLOOKUP($A176,A:AL,25,FALSE)-50),"-",(VLOOKUP($A176,'SegEnds_NonXtal_BW#'!$A:$Z,18,FALSE)+VLOOKUP($A176,A:AL,25,FALSE)-50))</f>
        <v>-</v>
      </c>
      <c r="AA176" s="3">
        <f>IF(ISERROR(VLOOKUP($A176,'SegEnds_NonXtal_BW#'!$A:$Z,19,FALSE)+VLOOKUP($A176,A:AL,28,FALSE)-50),"-",(VLOOKUP($A176,'SegEnds_NonXtal_BW#'!$A:$Z,19,FALSE)+VLOOKUP($A176,A:AL,28,FALSE)-50))</f>
        <v>197</v>
      </c>
      <c r="AB176" s="9">
        <v>214</v>
      </c>
      <c r="AC176" s="3">
        <f>IF(ISERROR((VLOOKUP($A176,'SegEnds_NonXtal_BW#'!$A:$Z,20,FALSE)+VLOOKUP($A176,A:AL,28,FALSE)-50)),"-",(VLOOKUP($A176,'SegEnds_NonXtal_BW#'!$A:$Z,20,FALSE)+VLOOKUP($A176,A:AL,28,FALSE)-50))</f>
        <v>231</v>
      </c>
      <c r="AD176" s="3">
        <f>IF(ISERROR(VLOOKUP($A176,'SegEnds_NonXtal_BW#'!$A:$Z,21,FALSE)+VLOOKUP($A176,A:AL,31,FALSE)-50),"-",(VLOOKUP($A176,'SegEnds_NonXtal_BW#'!$A:$Z,21,FALSE)+VLOOKUP($A176,A:AL,31,FALSE)-50))</f>
        <v>237</v>
      </c>
      <c r="AE176" s="3">
        <v>260</v>
      </c>
      <c r="AF176" s="3">
        <f>IF(ISERROR((VLOOKUP($A176,'SegEnds_NonXtal_BW#'!$A:$Z,22,FALSE)+VLOOKUP($A176,A:AL,31,FALSE)-50)),"-",(VLOOKUP($A176,'SegEnds_NonXtal_BW#'!$A:$Z,22,FALSE)+VLOOKUP($A176,A:AL,31,FALSE)-50))</f>
        <v>271</v>
      </c>
      <c r="AG176" s="3">
        <f>IF(ISERROR(VLOOKUP($A176,'SegEnds_NonXtal_BW#'!$A:$Z,23,FALSE)+VLOOKUP($A176,A:AL,34,FALSE)-50),"-",(VLOOKUP($A176,'SegEnds_NonXtal_BW#'!$A:$Z,23,FALSE)+VLOOKUP($A176,A:AL,34,FALSE)-50))</f>
        <v>279</v>
      </c>
      <c r="AH176" s="3">
        <v>299</v>
      </c>
      <c r="AI176" s="3">
        <f>IF(ISERROR((VLOOKUP($A176,'SegEnds_NonXtal_BW#'!$A:$Z,24,FALSE)+VLOOKUP($A176,A:AL,34,FALSE)-50)),"-",(VLOOKUP($A176,'SegEnds_NonXtal_BW#'!$A:$Z,24,FALSE)+VLOOKUP($A176,A:AL,34,FALSE)-50))</f>
        <v>305</v>
      </c>
      <c r="AJ176" s="3">
        <f>IF(ISERROR(VLOOKUP($A176,'SegEnds_NonXtal_BW#'!$A:$Z,25,FALSE)+VLOOKUP($A176,A:AL,37,FALSE)-50),"-",(VLOOKUP($A176,'SegEnds_NonXtal_BW#'!$A:$Z,25,FALSE)+VLOOKUP($A176,A:AL,37,FALSE)-50))</f>
        <v>306</v>
      </c>
      <c r="AK176" s="3">
        <v>309</v>
      </c>
      <c r="AL176" s="3">
        <f>IF(ISERROR((VLOOKUP($A176,'SegEnds_NonXtal_BW#'!$A:$Z,26,FALSE)+VLOOKUP($A176,A:AL,37,FALSE)-50)),"-",(VLOOKUP($A176,'SegEnds_NonXtal_BW#'!$A:$Z,26,FALSE)+VLOOKUP($A176,A:AL,37,FALSE)-50))</f>
        <v>318</v>
      </c>
      <c r="AM176" s="28" t="str">
        <f>VLOOKUP(A176,Classification!A:B,2,FALSE)</f>
        <v>A</v>
      </c>
      <c r="AN176" s="28" t="b">
        <f t="shared" si="98"/>
        <v>1</v>
      </c>
      <c r="AO176" s="3" t="str">
        <f>IF(ISERROR(MATCH(A176,'SegEnds_Xtal_Prot#'!B:B, 0)), "NoXtal", "Xtal")</f>
        <v>NoXtal</v>
      </c>
      <c r="AP176" s="3">
        <f t="shared" si="81"/>
        <v>1</v>
      </c>
      <c r="AQ176" s="3">
        <f t="shared" si="82"/>
        <v>1</v>
      </c>
      <c r="AR176" s="3" t="str">
        <f t="shared" si="83"/>
        <v>-</v>
      </c>
      <c r="AS176" s="3" t="str">
        <f t="shared" si="84"/>
        <v>-</v>
      </c>
      <c r="AT176" s="3">
        <f t="shared" si="85"/>
        <v>1</v>
      </c>
      <c r="AU176" s="3">
        <f t="shared" si="86"/>
        <v>1</v>
      </c>
      <c r="AV176" s="3" t="str">
        <f t="shared" si="87"/>
        <v>-</v>
      </c>
      <c r="AW176" s="3" t="str">
        <f t="shared" si="88"/>
        <v>-</v>
      </c>
      <c r="AX176" s="3">
        <f t="shared" si="89"/>
        <v>6</v>
      </c>
      <c r="AY176" s="3">
        <f t="shared" si="90"/>
        <v>8</v>
      </c>
      <c r="AZ176" s="3">
        <f t="shared" si="91"/>
        <v>1</v>
      </c>
      <c r="BA176" s="3">
        <f>IF(ISERROR(LEN(VLOOKUP(A176,Seqs!A:E,2,FALSE))-AL176),"-",LEN(VLOOKUP(A176,Seqs!A:E,2,FALSE))-AL176)</f>
        <v>14</v>
      </c>
      <c r="BB176" s="16">
        <f t="shared" si="92"/>
        <v>28</v>
      </c>
      <c r="BC176" s="9">
        <f t="shared" si="93"/>
        <v>20</v>
      </c>
      <c r="BD176" s="3">
        <f t="shared" si="94"/>
        <v>28</v>
      </c>
      <c r="BE176" s="3">
        <f t="shared" si="95"/>
        <v>46</v>
      </c>
      <c r="BF176" s="3">
        <f t="shared" si="111"/>
        <v>39</v>
      </c>
    </row>
    <row r="177" spans="1:58" s="3" customFormat="1" x14ac:dyDescent="0.2">
      <c r="A177" s="3" t="s">
        <v>297</v>
      </c>
      <c r="B177" s="3" t="str">
        <f>LOWER(VLOOKUP(A177,Xtal_Templ!A:B,2,FALSE))</f>
        <v>lpar1_human</v>
      </c>
      <c r="C177" s="3">
        <f>VLOOKUP($A177,'SegEnds_NonXtal_BW#'!$A:$Z,3,FALSE)+D177-50</f>
        <v>34</v>
      </c>
      <c r="D177" s="3">
        <v>54</v>
      </c>
      <c r="E177" s="3">
        <f>IF(ISERROR(VLOOKUP($A177,'SegEnds_NonXtal_BW#'!$A:$Z,4,FALSE)+VLOOKUP($A177,A:AL,4,FALSE)-50),"-",(VLOOKUP($A177,'SegEnds_NonXtal_BW#'!$A:$Z,4,FALSE)+VLOOKUP($A177,A:AL,4,FALSE)-50))</f>
        <v>64</v>
      </c>
      <c r="F177" s="3">
        <f>G177-2</f>
        <v>65</v>
      </c>
      <c r="G177" s="3">
        <v>67</v>
      </c>
      <c r="H177" s="3">
        <f t="shared" si="110"/>
        <v>68</v>
      </c>
      <c r="I177" s="3">
        <f t="shared" si="110"/>
        <v>69</v>
      </c>
      <c r="J177" s="3">
        <v>82</v>
      </c>
      <c r="K177" s="3">
        <f>VLOOKUP($A177,'SegEnds_NonXtal_BW#'!$A:$Z,8,FALSE)+VLOOKUP($A177,A:AL,10,FALSE)-50</f>
        <v>95</v>
      </c>
      <c r="L177" s="3" t="str">
        <f>IF(ISERROR(VLOOKUP($A177,'SegEnds_NonXtal_BW#'!$A:$Z,9,FALSE)+VLOOKUP($A177,A:AL,13,FALSE)-50),"-",(VLOOKUP($A177,'SegEnds_NonXtal_BW#'!$A:$Z,9,FALSE)+VLOOKUP($A177,A:AL,13,FALSE)-50))</f>
        <v>-</v>
      </c>
      <c r="M177" s="3" t="s">
        <v>23</v>
      </c>
      <c r="N177" s="3" t="str">
        <f>IF(ISERROR(VLOOKUP($A177,'SegEnds_NonXtal_BW#'!$A:$Z,10,FALSE)+VLOOKUP($A177,A:AL,13,FALSE)-50),"-",(VLOOKUP($A177,'SegEnds_NonXtal_BW#'!$A:$Z,10,FALSE)+VLOOKUP($A177,A:AL,13,FALSE)-50))</f>
        <v>-</v>
      </c>
      <c r="O177" s="3">
        <f>VLOOKUP($A177,'SegEnds_NonXtal_BW#'!$A:$Z,11,FALSE)+VLOOKUP($A177,A:AL,16,FALSE)-50</f>
        <v>108</v>
      </c>
      <c r="P177" s="3">
        <v>140</v>
      </c>
      <c r="Q177" s="3">
        <f>VLOOKUP($A177,'SegEnds_NonXtal_BW#'!$A:$Z,12,FALSE)+VLOOKUP($A177,A:AL,16,FALSE)-50</f>
        <v>146</v>
      </c>
      <c r="R177" s="3">
        <f>IF(ISERROR(VLOOKUP($A177,'SegEnds_NonXtal_BW#'!$A:$Z,13,FALSE)+VLOOKUP($A177,A:AL,19,FALSE)-50),"-",VLOOKUP($A177,'SegEnds_NonXtal_BW#'!$A:$Z,13,FALSE)+VLOOKUP($A177,A:AL,19,FALSE)-50)</f>
        <v>147</v>
      </c>
      <c r="S177" s="3">
        <v>147</v>
      </c>
      <c r="T177" s="100">
        <f>IF(ISERROR(VLOOKUP($A177,'SegEnds_NonXtal_BW#'!$A:$Z,14,FALSE)+VLOOKUP($A177,A:AL,19,FALSE)-50),"-",(VLOOKUP($A177,'SegEnds_NonXtal_BW#'!$A:$Z,14,FALSE)+VLOOKUP($A177,A:AL,19,FALSE)-50))</f>
        <v>154</v>
      </c>
      <c r="U177" s="9">
        <f>IF(ISERROR(VLOOKUP($A177,'SegEnds_NonXtal_BW#'!$A:$Z,15,FALSE)+VLOOKUP($A177,A:AL,22,FALSE)-50),"-",VLOOKUP($A177,'SegEnds_NonXtal_BW#'!$A:$Z,15,FALSE)+VLOOKUP($A177,A:AL,22,FALSE)-50)</f>
        <v>155</v>
      </c>
      <c r="V177" s="3">
        <v>167</v>
      </c>
      <c r="W177" s="3">
        <f>IF(ISERROR(VLOOKUP($A177,'SegEnds_NonXtal_BW#'!$A:$Z,16,FALSE)+VLOOKUP($A177,A:AL,22,FALSE)-50),"-",(VLOOKUP($A177,'SegEnds_NonXtal_BW#'!$A:$Z,16,FALSE)+VLOOKUP($A177,A:AL,22,FALSE)-50))</f>
        <v>180</v>
      </c>
      <c r="X177" s="3" t="str">
        <f>IF(ISERROR(VLOOKUP($A177,'SegEnds_NonXtal_BW#'!$A:$Z,17,FALSE)+VLOOKUP($A177,A:AL,25,FALSE)-50),"-",(VLOOKUP($A177,'SegEnds_NonXtal_BW#'!$A:$Z,17,FALSE)+VLOOKUP($A177,A:AL,25,FALSE)-50))</f>
        <v>-</v>
      </c>
      <c r="Y177" s="3" t="s">
        <v>23</v>
      </c>
      <c r="Z177" s="3" t="str">
        <f>IF(ISERROR(VLOOKUP($A177,'SegEnds_NonXtal_BW#'!$A:$Z,18,FALSE)+VLOOKUP($A177,A:AL,25,FALSE)-50),"-",(VLOOKUP($A177,'SegEnds_NonXtal_BW#'!$A:$Z,18,FALSE)+VLOOKUP($A177,A:AL,25,FALSE)-50))</f>
        <v>-</v>
      </c>
      <c r="AA177" s="3">
        <f>IF(ISERROR(VLOOKUP($A177,'SegEnds_NonXtal_BW#'!$A:$Z,19,FALSE)+VLOOKUP($A177,A:AL,28,FALSE)-50),"-",(VLOOKUP($A177,'SegEnds_NonXtal_BW#'!$A:$Z,19,FALSE)+VLOOKUP($A177,A:AL,28,FALSE)-50))</f>
        <v>190</v>
      </c>
      <c r="AB177" s="9">
        <v>207</v>
      </c>
      <c r="AC177" s="3">
        <f>IF(ISERROR((VLOOKUP($A177,'SegEnds_NonXtal_BW#'!$A:$Z,20,FALSE)+VLOOKUP($A177,A:AL,28,FALSE)-50)),"-",(VLOOKUP($A177,'SegEnds_NonXtal_BW#'!$A:$Z,20,FALSE)+VLOOKUP($A177,A:AL,28,FALSE)-50))</f>
        <v>224</v>
      </c>
      <c r="AD177" s="3">
        <f>IF(ISERROR(VLOOKUP($A177,'SegEnds_NonXtal_BW#'!$A:$Z,21,FALSE)+VLOOKUP($A177,A:AL,31,FALSE)-50),"-",(VLOOKUP($A177,'SegEnds_NonXtal_BW#'!$A:$Z,21,FALSE)+VLOOKUP($A177,A:AL,31,FALSE)-50))</f>
        <v>230</v>
      </c>
      <c r="AE177" s="3">
        <v>253</v>
      </c>
      <c r="AF177" s="3">
        <f>IF(ISERROR((VLOOKUP($A177,'SegEnds_NonXtal_BW#'!$A:$Z,22,FALSE)+VLOOKUP($A177,A:AL,31,FALSE)-50)),"-",(VLOOKUP($A177,'SegEnds_NonXtal_BW#'!$A:$Z,22,FALSE)+VLOOKUP($A177,A:AL,31,FALSE)-50))</f>
        <v>264</v>
      </c>
      <c r="AG177" s="3">
        <f>IF(ISERROR(VLOOKUP($A177,'SegEnds_NonXtal_BW#'!$A:$Z,23,FALSE)+VLOOKUP($A177,A:AL,34,FALSE)-50),"-",(VLOOKUP($A177,'SegEnds_NonXtal_BW#'!$A:$Z,23,FALSE)+VLOOKUP($A177,A:AL,34,FALSE)-50))</f>
        <v>272</v>
      </c>
      <c r="AH177" s="3">
        <v>292</v>
      </c>
      <c r="AI177" s="3">
        <f>IF(ISERROR((VLOOKUP($A177,'SegEnds_NonXtal_BW#'!$A:$Z,24,FALSE)+VLOOKUP($A177,A:AL,34,FALSE)-50)),"-",(VLOOKUP($A177,'SegEnds_NonXtal_BW#'!$A:$Z,24,FALSE)+VLOOKUP($A177,A:AL,34,FALSE)-50))</f>
        <v>298</v>
      </c>
      <c r="AJ177" s="3">
        <f>IF(ISERROR(VLOOKUP($A177,'SegEnds_NonXtal_BW#'!$A:$Z,25,FALSE)+VLOOKUP($A177,A:AL,37,FALSE)-50),"-",(VLOOKUP($A177,'SegEnds_NonXtal_BW#'!$A:$Z,25,FALSE)+VLOOKUP($A177,A:AL,37,FALSE)-50))</f>
        <v>299</v>
      </c>
      <c r="AK177" s="3">
        <v>302</v>
      </c>
      <c r="AL177" s="3">
        <f>IF(ISERROR((VLOOKUP($A177,'SegEnds_NonXtal_BW#'!$A:$Z,26,FALSE)+VLOOKUP($A177,A:AL,37,FALSE)-50)),"-",(VLOOKUP($A177,'SegEnds_NonXtal_BW#'!$A:$Z,26,FALSE)+VLOOKUP($A177,A:AL,37,FALSE)-50))</f>
        <v>311</v>
      </c>
      <c r="AM177" s="28" t="str">
        <f>VLOOKUP(A177,Classification!A:B,2,FALSE)</f>
        <v>A</v>
      </c>
      <c r="AN177" s="28" t="b">
        <f t="shared" si="98"/>
        <v>1</v>
      </c>
      <c r="AO177" s="3" t="str">
        <f>IF(ISERROR(MATCH(A177,'SegEnds_Xtal_Prot#'!B:B, 0)), "NoXtal", "Xtal")</f>
        <v>NoXtal</v>
      </c>
      <c r="AP177" s="3">
        <f t="shared" si="81"/>
        <v>1</v>
      </c>
      <c r="AQ177" s="3">
        <f t="shared" si="82"/>
        <v>1</v>
      </c>
      <c r="AR177" s="3" t="str">
        <f t="shared" si="83"/>
        <v>-</v>
      </c>
      <c r="AS177" s="3" t="str">
        <f t="shared" si="84"/>
        <v>-</v>
      </c>
      <c r="AT177" s="3">
        <f t="shared" si="85"/>
        <v>1</v>
      </c>
      <c r="AU177" s="3">
        <f t="shared" si="86"/>
        <v>1</v>
      </c>
      <c r="AV177" s="3" t="str">
        <f t="shared" si="87"/>
        <v>-</v>
      </c>
      <c r="AW177" s="3" t="str">
        <f t="shared" si="88"/>
        <v>-</v>
      </c>
      <c r="AX177" s="3">
        <f t="shared" si="89"/>
        <v>6</v>
      </c>
      <c r="AY177" s="3">
        <f t="shared" si="90"/>
        <v>8</v>
      </c>
      <c r="AZ177" s="3">
        <f t="shared" si="91"/>
        <v>1</v>
      </c>
      <c r="BA177" s="3">
        <f>IF(ISERROR(LEN(VLOOKUP(A177,Seqs!A:E,2,FALSE))-AL177),"-",LEN(VLOOKUP(A177,Seqs!A:E,2,FALSE))-AL177)</f>
        <v>14</v>
      </c>
      <c r="BB177" s="16">
        <f t="shared" si="92"/>
        <v>28</v>
      </c>
      <c r="BC177" s="9">
        <f t="shared" si="93"/>
        <v>20</v>
      </c>
      <c r="BD177" s="3">
        <f t="shared" si="94"/>
        <v>28</v>
      </c>
      <c r="BE177" s="3">
        <f t="shared" si="95"/>
        <v>46</v>
      </c>
      <c r="BF177" s="3">
        <f t="shared" si="111"/>
        <v>39</v>
      </c>
    </row>
    <row r="178" spans="1:58" s="3" customFormat="1" x14ac:dyDescent="0.2">
      <c r="A178" s="3" t="s">
        <v>298</v>
      </c>
      <c r="B178" s="3" t="str">
        <f>LOWER(VLOOKUP(A178,Xtal_Templ!A:B,2,FALSE))</f>
        <v>oprk_human</v>
      </c>
      <c r="C178" s="3">
        <f>VLOOKUP($A178,'SegEnds_NonXtal_BW#'!$A:$Z,3,FALSE)+D178-50</f>
        <v>107</v>
      </c>
      <c r="D178" s="3">
        <v>127</v>
      </c>
      <c r="E178" s="3">
        <f>IF(ISERROR(VLOOKUP($A178,'SegEnds_NonXtal_BW#'!$A:$Z,4,FALSE)+VLOOKUP($A178,A:AL,4,FALSE)-50),"-",(VLOOKUP($A178,'SegEnds_NonXtal_BW#'!$A:$Z,4,FALSE)+VLOOKUP($A178,A:AL,4,FALSE)-50))</f>
        <v>137</v>
      </c>
      <c r="F178" s="3">
        <f>G178-2</f>
        <v>138</v>
      </c>
      <c r="G178" s="3">
        <v>140</v>
      </c>
      <c r="H178" s="3">
        <f t="shared" si="110"/>
        <v>141</v>
      </c>
      <c r="I178" s="3">
        <f t="shared" si="110"/>
        <v>142</v>
      </c>
      <c r="J178" s="3">
        <v>158</v>
      </c>
      <c r="K178" s="3">
        <f>VLOOKUP($A178,'SegEnds_NonXtal_BW#'!$A:$Z,8,FALSE)+VLOOKUP($A178,A:AL,10,FALSE)-50</f>
        <v>175</v>
      </c>
      <c r="L178" s="3">
        <f>M178-1</f>
        <v>177</v>
      </c>
      <c r="M178" s="3">
        <v>178</v>
      </c>
      <c r="N178" s="3">
        <f>M178+2</f>
        <v>180</v>
      </c>
      <c r="O178" s="3">
        <f>N178+1</f>
        <v>181</v>
      </c>
      <c r="P178" s="3">
        <v>210</v>
      </c>
      <c r="Q178" s="3">
        <f>VLOOKUP($A178,'SegEnds_NonXtal_BW#'!$A:$Z,12,FALSE)+VLOOKUP($A178,A:AL,16,FALSE)-50</f>
        <v>216</v>
      </c>
      <c r="R178" s="3">
        <f>IF(ISERROR(VLOOKUP($A178,'SegEnds_NonXtal_BW#'!$A:$Z,13,FALSE)+VLOOKUP($A178,A:AL,19,FALSE)-50),"-",VLOOKUP($A178,'SegEnds_NonXtal_BW#'!$A:$Z,13,FALSE)+VLOOKUP($A178,A:AL,19,FALSE)-50)</f>
        <v>217</v>
      </c>
      <c r="S178" s="3">
        <v>217</v>
      </c>
      <c r="T178" s="100">
        <f>IF(ISERROR(VLOOKUP($A178,'SegEnds_NonXtal_BW#'!$A:$Z,14,FALSE)+VLOOKUP($A178,A:AL,19,FALSE)-50),"-",(VLOOKUP($A178,'SegEnds_NonXtal_BW#'!$A:$Z,14,FALSE)+VLOOKUP($A178,A:AL,19,FALSE)-50))</f>
        <v>224</v>
      </c>
      <c r="U178" s="9">
        <f>IF(ISERROR(VLOOKUP($A178,'SegEnds_NonXtal_BW#'!$A:$Z,15,FALSE)+VLOOKUP($A178,A:AL,22,FALSE)-50),"-",VLOOKUP($A178,'SegEnds_NonXtal_BW#'!$A:$Z,15,FALSE)+VLOOKUP($A178,A:AL,22,FALSE)-50)</f>
        <v>225</v>
      </c>
      <c r="V178" s="3">
        <v>237</v>
      </c>
      <c r="W178" s="3">
        <f>IF(ISERROR(VLOOKUP($A178,'SegEnds_NonXtal_BW#'!$A:$Z,16,FALSE)+VLOOKUP($A178,A:AL,22,FALSE)-50),"-",(VLOOKUP($A178,'SegEnds_NonXtal_BW#'!$A:$Z,16,FALSE)+VLOOKUP($A178,A:AL,22,FALSE)-50))</f>
        <v>251</v>
      </c>
      <c r="X178" s="3">
        <f>IF(ISERROR(VLOOKUP($A178,'SegEnds_NonXtal_BW#'!$A:$Z,17,FALSE)+VLOOKUP($A178,A:AL,25,FALSE)-50),"-",(VLOOKUP($A178,'SegEnds_NonXtal_BW#'!$A:$Z,17,FALSE)+VLOOKUP($A178,A:AL,25,FALSE)-50))</f>
        <v>263</v>
      </c>
      <c r="Y178" s="3">
        <v>263</v>
      </c>
      <c r="Z178" s="3">
        <f>Y178+2</f>
        <v>265</v>
      </c>
      <c r="AA178" s="3">
        <f>IF(ISERROR(VLOOKUP($A178,'SegEnds_NonXtal_BW#'!$A:$Z,19,FALSE)+VLOOKUP($A178,A:AL,28,FALSE)-50),"-",(VLOOKUP($A178,'SegEnds_NonXtal_BW#'!$A:$Z,19,FALSE)+VLOOKUP($A178,A:AL,28,FALSE)-50))</f>
        <v>269</v>
      </c>
      <c r="AB178" s="3">
        <v>289</v>
      </c>
      <c r="AC178" s="3">
        <f>IF(ISERROR((VLOOKUP($A178,'SegEnds_NonXtal_BW#'!$A:$Z,20,FALSE)+VLOOKUP($A178,A:AL,28,FALSE)-50)),"-",(VLOOKUP($A178,'SegEnds_NonXtal_BW#'!$A:$Z,20,FALSE)+VLOOKUP($A178,A:AL,28,FALSE)-50))</f>
        <v>307</v>
      </c>
      <c r="AD178" s="3">
        <f>IF(ISERROR(VLOOKUP($A178,'SegEnds_NonXtal_BW#'!$A:$Z,21,FALSE)+VLOOKUP($A178,A:AL,31,FALSE)-50),"-",(VLOOKUP($A178,'SegEnds_NonXtal_BW#'!$A:$Z,21,FALSE)+VLOOKUP($A178,A:AL,31,FALSE)-50))</f>
        <v>313</v>
      </c>
      <c r="AE178" s="3">
        <v>340</v>
      </c>
      <c r="AF178" s="3">
        <f>IF(ISERROR((VLOOKUP($A178,'SegEnds_NonXtal_BW#'!$A:$Z,22,FALSE)+VLOOKUP($A178,A:AL,31,FALSE)-50)),"-",(VLOOKUP($A178,'SegEnds_NonXtal_BW#'!$A:$Z,22,FALSE)+VLOOKUP($A178,A:AL,31,FALSE)-50))</f>
        <v>351</v>
      </c>
      <c r="AG178" s="3">
        <f>IF(ISERROR(VLOOKUP($A178,'SegEnds_NonXtal_BW#'!$A:$Z,23,FALSE)+VLOOKUP($A178,A:AL,34,FALSE)-50),"-",(VLOOKUP($A178,'SegEnds_NonXtal_BW#'!$A:$Z,23,FALSE)+VLOOKUP($A178,A:AL,34,FALSE)-50))</f>
        <v>358</v>
      </c>
      <c r="AH178" s="3">
        <v>377</v>
      </c>
      <c r="AI178" s="3">
        <f>IF(ISERROR((VLOOKUP($A178,'SegEnds_NonXtal_BW#'!$A:$Z,24,FALSE)+VLOOKUP($A178,A:AL,34,FALSE)-50)),"-",(VLOOKUP($A178,'SegEnds_NonXtal_BW#'!$A:$Z,24,FALSE)+VLOOKUP($A178,A:AL,34,FALSE)-50))</f>
        <v>383</v>
      </c>
      <c r="AJ178" s="3">
        <f>IF(ISERROR(VLOOKUP($A178,'SegEnds_NonXtal_BW#'!$A:$Z,25,FALSE)+VLOOKUP($A178,A:AL,37,FALSE)-50),"-",(VLOOKUP($A178,'SegEnds_NonXtal_BW#'!$A:$Z,25,FALSE)+VLOOKUP($A178,A:AL,37,FALSE)-50))</f>
        <v>384</v>
      </c>
      <c r="AK178" s="3">
        <v>387</v>
      </c>
      <c r="AL178" s="3">
        <f>IF(ISERROR((VLOOKUP($A178,'SegEnds_NonXtal_BW#'!$A:$Z,26,FALSE)+VLOOKUP($A178,A:AL,37,FALSE)-50)),"-",(VLOOKUP($A178,'SegEnds_NonXtal_BW#'!$A:$Z,26,FALSE)+VLOOKUP($A178,A:AL,37,FALSE)-50))</f>
        <v>396</v>
      </c>
      <c r="AM178" s="28" t="str">
        <f>VLOOKUP(A178,Classification!A:B,2,FALSE)</f>
        <v>A</v>
      </c>
      <c r="AN178" s="28" t="b">
        <f t="shared" si="98"/>
        <v>1</v>
      </c>
      <c r="AO178" s="3" t="str">
        <f>IF(ISERROR(MATCH(A178,'SegEnds_Xtal_Prot#'!B:B, 0)), "NoXtal", "Xtal")</f>
        <v>NoXtal</v>
      </c>
      <c r="AP178" s="3">
        <f t="shared" si="81"/>
        <v>1</v>
      </c>
      <c r="AQ178" s="3">
        <f t="shared" si="82"/>
        <v>1</v>
      </c>
      <c r="AR178" s="3">
        <f t="shared" si="83"/>
        <v>2</v>
      </c>
      <c r="AS178" s="3">
        <f t="shared" si="84"/>
        <v>1</v>
      </c>
      <c r="AT178" s="3">
        <f t="shared" si="85"/>
        <v>1</v>
      </c>
      <c r="AU178" s="3">
        <f t="shared" si="86"/>
        <v>1</v>
      </c>
      <c r="AV178" s="3">
        <f t="shared" si="87"/>
        <v>12</v>
      </c>
      <c r="AW178" s="3">
        <f t="shared" si="88"/>
        <v>4</v>
      </c>
      <c r="AX178" s="3">
        <f t="shared" si="89"/>
        <v>6</v>
      </c>
      <c r="AY178" s="3">
        <f t="shared" si="90"/>
        <v>7</v>
      </c>
      <c r="AZ178" s="3">
        <f t="shared" si="91"/>
        <v>1</v>
      </c>
      <c r="BA178" s="3">
        <f>IF(ISERROR(LEN(VLOOKUP(A178,Seqs!A:E,2,FALSE))-AL178),"-",LEN(VLOOKUP(A178,Seqs!A:E,2,FALSE))-AL178)</f>
        <v>26</v>
      </c>
      <c r="BB178" s="16">
        <f t="shared" si="92"/>
        <v>31</v>
      </c>
      <c r="BC178" s="9">
        <f t="shared" si="93"/>
        <v>20</v>
      </c>
      <c r="BD178" s="3">
        <f t="shared" si="94"/>
        <v>31</v>
      </c>
      <c r="BE178" s="3">
        <f t="shared" si="95"/>
        <v>51</v>
      </c>
      <c r="BF178" s="3">
        <f t="shared" si="111"/>
        <v>37</v>
      </c>
    </row>
    <row r="179" spans="1:58" s="3" customFormat="1" x14ac:dyDescent="0.2">
      <c r="A179" s="3" t="s">
        <v>299</v>
      </c>
      <c r="B179" s="3" t="str">
        <f>LOWER(VLOOKUP(A179,Xtal_Templ!A:B,2,FALSE))</f>
        <v>oprd_human</v>
      </c>
      <c r="C179" s="3">
        <f>VLOOKUP($A179,'SegEnds_NonXtal_BW#'!$A:$Z,3,FALSE)+D179-50</f>
        <v>24</v>
      </c>
      <c r="D179" s="3">
        <v>52</v>
      </c>
      <c r="E179" s="3">
        <f>IF(ISERROR(VLOOKUP($A179,'SegEnds_NonXtal_BW#'!$A:$Z,4,FALSE)+VLOOKUP($A179,A:AL,4,FALSE)-50),"-",(VLOOKUP($A179,'SegEnds_NonXtal_BW#'!$A:$Z,4,FALSE)+VLOOKUP($A179,A:AL,4,FALSE)-50))</f>
        <v>62</v>
      </c>
      <c r="F179" s="3" t="str">
        <f>IF(ISERROR(VLOOKUP($A179,'SegEnds_NonXtal_BW#'!$A:$Z,5,FALSE)+VLOOKUP($A179,A:AL,7,FALSE)-50),"-",(VLOOKUP($A179,'SegEnds_NonXtal_BW#'!$A:$Z,5,FALSE)+VLOOKUP($A179,A:AL,7,FALSE)-50))</f>
        <v>-</v>
      </c>
      <c r="G179" s="3" t="s">
        <v>23</v>
      </c>
      <c r="H179" s="3" t="str">
        <f>IF(ISERROR(VLOOKUP($A179,'SegEnds_NonXtal_BW#'!$A:$Z,6,FALSE)+VLOOKUP($A179,A:AL,7,FALSE)-50),"-",(VLOOKUP($A179,'SegEnds_NonXtal_BW#'!$A:$Z,6,FALSE)+VLOOKUP($A179,A:AL,7,FALSE)-50))</f>
        <v>-</v>
      </c>
      <c r="I179" s="3">
        <f>VLOOKUP($A179,'SegEnds_NonXtal_BW#'!$A:$Z,7,FALSE)+J179-50</f>
        <v>66</v>
      </c>
      <c r="J179" s="3">
        <v>79</v>
      </c>
      <c r="K179" s="3">
        <f>VLOOKUP($A179,'SegEnds_NonXtal_BW#'!$A:$Z,8,FALSE)+VLOOKUP($A179,A:AL,10,FALSE)-50</f>
        <v>95</v>
      </c>
      <c r="L179" s="3">
        <f>M179-1</f>
        <v>98</v>
      </c>
      <c r="M179" s="3">
        <v>99</v>
      </c>
      <c r="N179" s="3">
        <f>M179+2</f>
        <v>101</v>
      </c>
      <c r="O179" s="3">
        <f>N179+1</f>
        <v>102</v>
      </c>
      <c r="P179" s="3">
        <v>131</v>
      </c>
      <c r="Q179" s="3">
        <f>VLOOKUP($A179,'SegEnds_NonXtal_BW#'!$A:$Z,12,FALSE)+VLOOKUP($A179,A:AL,16,FALSE)-50</f>
        <v>137</v>
      </c>
      <c r="R179" s="3">
        <f>IF(ISERROR(VLOOKUP($A179,'SegEnds_NonXtal_BW#'!$A:$Z,13,FALSE)+VLOOKUP($A179,A:AL,19,FALSE)-50),"-",VLOOKUP($A179,'SegEnds_NonXtal_BW#'!$A:$Z,13,FALSE)+VLOOKUP($A179,A:AL,19,FALSE)-50)</f>
        <v>138</v>
      </c>
      <c r="S179" s="3">
        <v>138</v>
      </c>
      <c r="T179" s="100">
        <f>IF(ISERROR(VLOOKUP($A179,'SegEnds_NonXtal_BW#'!$A:$Z,14,FALSE)+VLOOKUP($A179,A:AL,19,FALSE)-50),"-",(VLOOKUP($A179,'SegEnds_NonXtal_BW#'!$A:$Z,14,FALSE)+VLOOKUP($A179,A:AL,19,FALSE)-50))</f>
        <v>145</v>
      </c>
      <c r="U179" s="9">
        <f>IF(ISERROR(VLOOKUP($A179,'SegEnds_NonXtal_BW#'!$A:$Z,15,FALSE)+VLOOKUP($A179,A:AL,22,FALSE)-50),"-",VLOOKUP($A179,'SegEnds_NonXtal_BW#'!$A:$Z,15,FALSE)+VLOOKUP($A179,A:AL,22,FALSE)-50)</f>
        <v>146</v>
      </c>
      <c r="V179" s="3">
        <v>158</v>
      </c>
      <c r="W179" s="3">
        <f>IF(ISERROR(VLOOKUP($A179,'SegEnds_NonXtal_BW#'!$A:$Z,16,FALSE)+VLOOKUP($A179,A:AL,22,FALSE)-50),"-",(VLOOKUP($A179,'SegEnds_NonXtal_BW#'!$A:$Z,16,FALSE)+VLOOKUP($A179,A:AL,22,FALSE)-50))</f>
        <v>172</v>
      </c>
      <c r="X179" s="3">
        <f>IF(ISERROR(VLOOKUP($A179,'SegEnds_NonXtal_BW#'!$A:$Z,17,FALSE)+VLOOKUP($A179,A:AL,25,FALSE)-50),"-",(VLOOKUP($A179,'SegEnds_NonXtal_BW#'!$A:$Z,17,FALSE)+VLOOKUP($A179,A:AL,25,FALSE)-50))</f>
        <v>184</v>
      </c>
      <c r="Y179" s="3">
        <v>184</v>
      </c>
      <c r="Z179" s="3">
        <f>Y179+2</f>
        <v>186</v>
      </c>
      <c r="AA179" s="3">
        <f>IF(ISERROR(VLOOKUP($A179,'SegEnds_NonXtal_BW#'!$A:$Z,19,FALSE)+VLOOKUP($A179,A:AL,28,FALSE)-50),"-",(VLOOKUP($A179,'SegEnds_NonXtal_BW#'!$A:$Z,19,FALSE)+VLOOKUP($A179,A:AL,28,FALSE)-50))</f>
        <v>190</v>
      </c>
      <c r="AB179" s="3">
        <v>209</v>
      </c>
      <c r="AC179" s="3">
        <f>IF(ISERROR((VLOOKUP($A179,'SegEnds_NonXtal_BW#'!$A:$Z,20,FALSE)+VLOOKUP($A179,A:AL,28,FALSE)-50)),"-",(VLOOKUP($A179,'SegEnds_NonXtal_BW#'!$A:$Z,20,FALSE)+VLOOKUP($A179,A:AL,28,FALSE)-50))</f>
        <v>232</v>
      </c>
      <c r="AD179" s="3">
        <f>IF(ISERROR(VLOOKUP($A179,'SegEnds_NonXtal_BW#'!$A:$Z,21,FALSE)+VLOOKUP($A179,A:AL,31,FALSE)-50),"-",(VLOOKUP($A179,'SegEnds_NonXtal_BW#'!$A:$Z,21,FALSE)+VLOOKUP($A179,A:AL,31,FALSE)-50))</f>
        <v>238</v>
      </c>
      <c r="AE179" s="3">
        <v>266</v>
      </c>
      <c r="AF179" s="3">
        <f>IF(ISERROR((VLOOKUP($A179,'SegEnds_NonXtal_BW#'!$A:$Z,22,FALSE)+VLOOKUP($A179,A:AL,31,FALSE)-50)),"-",(VLOOKUP($A179,'SegEnds_NonXtal_BW#'!$A:$Z,22,FALSE)+VLOOKUP($A179,A:AL,31,FALSE)-50))</f>
        <v>277</v>
      </c>
      <c r="AG179" s="3">
        <f>IF(ISERROR(VLOOKUP($A179,'SegEnds_NonXtal_BW#'!$A:$Z,23,FALSE)+VLOOKUP($A179,A:AL,34,FALSE)-50),"-",(VLOOKUP($A179,'SegEnds_NonXtal_BW#'!$A:$Z,23,FALSE)+VLOOKUP($A179,A:AL,34,FALSE)-50))</f>
        <v>284</v>
      </c>
      <c r="AH179" s="3">
        <v>303</v>
      </c>
      <c r="AI179" s="3">
        <f>IF(ISERROR((VLOOKUP($A179,'SegEnds_NonXtal_BW#'!$A:$Z,24,FALSE)+VLOOKUP($A179,A:AL,34,FALSE)-50)),"-",(VLOOKUP($A179,'SegEnds_NonXtal_BW#'!$A:$Z,24,FALSE)+VLOOKUP($A179,A:AL,34,FALSE)-50))</f>
        <v>309</v>
      </c>
      <c r="AJ179" s="3">
        <f>IF(ISERROR(VLOOKUP($A179,'SegEnds_NonXtal_BW#'!$A:$Z,25,FALSE)+VLOOKUP($A179,A:AL,37,FALSE)-50),"-",(VLOOKUP($A179,'SegEnds_NonXtal_BW#'!$A:$Z,25,FALSE)+VLOOKUP($A179,A:AL,37,FALSE)-50))</f>
        <v>310</v>
      </c>
      <c r="AK179" s="3">
        <v>313</v>
      </c>
      <c r="AL179" s="3">
        <f>IF(ISERROR((VLOOKUP($A179,'SegEnds_NonXtal_BW#'!$A:$Z,26,FALSE)+VLOOKUP($A179,A:AL,37,FALSE)-50)),"-",(VLOOKUP($A179,'SegEnds_NonXtal_BW#'!$A:$Z,26,FALSE)+VLOOKUP($A179,A:AL,37,FALSE)-50))</f>
        <v>323</v>
      </c>
      <c r="AM179" s="28" t="str">
        <f>VLOOKUP(A179,Classification!A:B,2,FALSE)</f>
        <v>A</v>
      </c>
      <c r="AN179" s="28" t="b">
        <f t="shared" si="98"/>
        <v>1</v>
      </c>
      <c r="AO179" s="3" t="str">
        <f>IF(ISERROR(MATCH(A179,'SegEnds_Xtal_Prot#'!B:B, 0)), "NoXtal", "Xtal")</f>
        <v>NoXtal</v>
      </c>
      <c r="AP179" s="3" t="str">
        <f t="shared" si="81"/>
        <v>-</v>
      </c>
      <c r="AQ179" s="3" t="str">
        <f t="shared" si="82"/>
        <v>-</v>
      </c>
      <c r="AR179" s="3">
        <f t="shared" si="83"/>
        <v>3</v>
      </c>
      <c r="AS179" s="3">
        <f t="shared" si="84"/>
        <v>1</v>
      </c>
      <c r="AT179" s="3">
        <f t="shared" si="85"/>
        <v>1</v>
      </c>
      <c r="AU179" s="3">
        <f t="shared" si="86"/>
        <v>1</v>
      </c>
      <c r="AV179" s="3">
        <f t="shared" si="87"/>
        <v>12</v>
      </c>
      <c r="AW179" s="3">
        <f t="shared" si="88"/>
        <v>4</v>
      </c>
      <c r="AX179" s="3">
        <f t="shared" si="89"/>
        <v>6</v>
      </c>
      <c r="AY179" s="3">
        <f t="shared" si="90"/>
        <v>7</v>
      </c>
      <c r="AZ179" s="3">
        <f t="shared" si="91"/>
        <v>1</v>
      </c>
      <c r="BA179" s="3">
        <f>IF(ISERROR(LEN(VLOOKUP(A179,Seqs!A:E,2,FALSE))-AL179),"-",LEN(VLOOKUP(A179,Seqs!A:E,2,FALSE))-AL179)</f>
        <v>17</v>
      </c>
      <c r="BB179" s="16">
        <f t="shared" si="92"/>
        <v>27</v>
      </c>
      <c r="BC179" s="9">
        <f t="shared" si="93"/>
        <v>20</v>
      </c>
      <c r="BD179" s="3">
        <f t="shared" si="94"/>
        <v>27</v>
      </c>
      <c r="BE179" s="3">
        <f t="shared" si="95"/>
        <v>57</v>
      </c>
      <c r="BF179" s="3">
        <f t="shared" si="111"/>
        <v>37</v>
      </c>
    </row>
    <row r="180" spans="1:58" s="3" customFormat="1" x14ac:dyDescent="0.2">
      <c r="A180" s="3" t="s">
        <v>300</v>
      </c>
      <c r="B180" s="3" t="str">
        <f>LOWER(VLOOKUP(A180,Xtal_Templ!A:B,2,FALSE))</f>
        <v>c5ar1_human</v>
      </c>
      <c r="C180" s="3">
        <f>VLOOKUP($A180,'SegEnds_NonXtal_BW#'!$A:$Z,3,FALSE)+D180-50</f>
        <v>24</v>
      </c>
      <c r="D180" s="3">
        <v>45</v>
      </c>
      <c r="E180" s="3">
        <f>IF(ISERROR(VLOOKUP($A180,'SegEnds_NonXtal_BW#'!$A:$Z,4,FALSE)+VLOOKUP($A180,A:AL,4,FALSE)-50),"-",(VLOOKUP($A180,'SegEnds_NonXtal_BW#'!$A:$Z,4,FALSE)+VLOOKUP($A180,A:AL,4,FALSE)-50))</f>
        <v>55</v>
      </c>
      <c r="F180" s="3" t="str">
        <f>IF(ISERROR(VLOOKUP($A180,'SegEnds_NonXtal_BW#'!$A:$Z,5,FALSE)+VLOOKUP($A180,A:AL,7,FALSE)-50),"-",(VLOOKUP($A180,'SegEnds_NonXtal_BW#'!$A:$Z,5,FALSE)+VLOOKUP($A180,A:AL,7,FALSE)-50))</f>
        <v>-</v>
      </c>
      <c r="G180" s="3" t="s">
        <v>23</v>
      </c>
      <c r="H180" s="3" t="str">
        <f>IF(ISERROR(VLOOKUP($A180,'SegEnds_NonXtal_BW#'!$A:$Z,6,FALSE)+VLOOKUP($A180,A:AL,7,FALSE)-50),"-",(VLOOKUP($A180,'SegEnds_NonXtal_BW#'!$A:$Z,6,FALSE)+VLOOKUP($A180,A:AL,7,FALSE)-50))</f>
        <v>-</v>
      </c>
      <c r="I180" s="3">
        <f>VLOOKUP($A180,'SegEnds_NonXtal_BW#'!$A:$Z,7,FALSE)+J180-50</f>
        <v>59</v>
      </c>
      <c r="J180" s="3">
        <v>72</v>
      </c>
      <c r="K180" s="3">
        <f>VLOOKUP($A180,'SegEnds_NonXtal_BW#'!$A:$Z,8,FALSE)+VLOOKUP($A180,A:AL,10,FALSE)-50</f>
        <v>88</v>
      </c>
      <c r="L180" s="3" t="str">
        <f>IF(ISERROR(VLOOKUP($A180,'SegEnds_NonXtal_BW#'!$A:$Z,9,FALSE)+VLOOKUP($A180,A:AL,13,FALSE)-50),"-",(VLOOKUP($A180,'SegEnds_NonXtal_BW#'!$A:$Z,9,FALSE)+VLOOKUP($A180,A:AL,13,FALSE)-50))</f>
        <v>-</v>
      </c>
      <c r="M180" s="3" t="s">
        <v>23</v>
      </c>
      <c r="N180" s="3" t="str">
        <f>IF(ISERROR(VLOOKUP($A180,'SegEnds_NonXtal_BW#'!$A:$Z,10,FALSE)+VLOOKUP($A180,A:AL,13,FALSE)-50),"-",(VLOOKUP($A180,'SegEnds_NonXtal_BW#'!$A:$Z,10,FALSE)+VLOOKUP($A180,A:AL,13,FALSE)-50))</f>
        <v>-</v>
      </c>
      <c r="O180" s="3">
        <f>VLOOKUP($A180,'SegEnds_NonXtal_BW#'!$A:$Z,11,FALSE)+VLOOKUP($A180,A:AL,16,FALSE)-50</f>
        <v>94</v>
      </c>
      <c r="P180" s="3">
        <v>123</v>
      </c>
      <c r="Q180" s="3">
        <f>VLOOKUP($A180,'SegEnds_NonXtal_BW#'!$A:$Z,12,FALSE)+VLOOKUP($A180,A:AL,16,FALSE)-50</f>
        <v>129</v>
      </c>
      <c r="R180" s="3">
        <f>IF(ISERROR(VLOOKUP($A180,'SegEnds_NonXtal_BW#'!$A:$Z,13,FALSE)+VLOOKUP($A180,A:AL,19,FALSE)-50),"-",VLOOKUP($A180,'SegEnds_NonXtal_BW#'!$A:$Z,13,FALSE)+VLOOKUP($A180,A:AL,19,FALSE)-50)</f>
        <v>130</v>
      </c>
      <c r="S180" s="3">
        <v>130</v>
      </c>
      <c r="T180" s="100">
        <f>IF(ISERROR(VLOOKUP($A180,'SegEnds_NonXtal_BW#'!$A:$Z,14,FALSE)+VLOOKUP($A180,A:AL,19,FALSE)-50),"-",(VLOOKUP($A180,'SegEnds_NonXtal_BW#'!$A:$Z,14,FALSE)+VLOOKUP($A180,A:AL,19,FALSE)-50))</f>
        <v>137</v>
      </c>
      <c r="U180" s="9">
        <f>IF(ISERROR(VLOOKUP($A180,'SegEnds_NonXtal_BW#'!$A:$Z,15,FALSE)+VLOOKUP($A180,A:AL,22,FALSE)-50),"-",VLOOKUP($A180,'SegEnds_NonXtal_BW#'!$A:$Z,15,FALSE)+VLOOKUP($A180,A:AL,22,FALSE)-50)</f>
        <v>138</v>
      </c>
      <c r="V180" s="3">
        <v>150</v>
      </c>
      <c r="W180" s="3">
        <f>IF(ISERROR(VLOOKUP($A180,'SegEnds_NonXtal_BW#'!$A:$Z,16,FALSE)+VLOOKUP($A180,A:AL,22,FALSE)-50),"-",(VLOOKUP($A180,'SegEnds_NonXtal_BW#'!$A:$Z,16,FALSE)+VLOOKUP($A180,A:AL,22,FALSE)-50))</f>
        <v>164</v>
      </c>
      <c r="X180" s="3" t="str">
        <f>IF(ISERROR(VLOOKUP($A180,'SegEnds_NonXtal_BW#'!$A:$Z,17,FALSE)+VLOOKUP($A180,A:AL,25,FALSE)-50),"-",(VLOOKUP($A180,'SegEnds_NonXtal_BW#'!$A:$Z,17,FALSE)+VLOOKUP($A180,A:AL,25,FALSE)-50))</f>
        <v>-</v>
      </c>
      <c r="Y180" s="3" t="s">
        <v>23</v>
      </c>
      <c r="Z180" s="3" t="str">
        <f>IF(ISERROR(VLOOKUP($A180,'SegEnds_NonXtal_BW#'!$A:$Z,18,FALSE)+VLOOKUP($A180,A:AL,25,FALSE)-50),"-",(VLOOKUP($A180,'SegEnds_NonXtal_BW#'!$A:$Z,18,FALSE)+VLOOKUP($A180,A:AL,25,FALSE)-50))</f>
        <v>-</v>
      </c>
      <c r="AA180" s="3">
        <f>IF(ISERROR(VLOOKUP($A180,'SegEnds_NonXtal_BW#'!$A:$Z,19,FALSE)+VLOOKUP($A180,A:AL,28,FALSE)-50),"-",(VLOOKUP($A180,'SegEnds_NonXtal_BW#'!$A:$Z,19,FALSE)+VLOOKUP($A180,A:AL,28,FALSE)-50))</f>
        <v>173</v>
      </c>
      <c r="AB180" s="3">
        <v>192</v>
      </c>
      <c r="AC180" s="3">
        <f>IF(ISERROR((VLOOKUP($A180,'SegEnds_NonXtal_BW#'!$A:$Z,20,FALSE)+VLOOKUP($A180,A:AL,28,FALSE)-50)),"-",(VLOOKUP($A180,'SegEnds_NonXtal_BW#'!$A:$Z,20,FALSE)+VLOOKUP($A180,A:AL,28,FALSE)-50))</f>
        <v>210</v>
      </c>
      <c r="AD180" s="3">
        <f>IF(ISERROR(VLOOKUP($A180,'SegEnds_NonXtal_BW#'!$A:$Z,21,FALSE)+VLOOKUP($A180,A:AL,31,FALSE)-50),"-",(VLOOKUP($A180,'SegEnds_NonXtal_BW#'!$A:$Z,21,FALSE)+VLOOKUP($A180,A:AL,31,FALSE)-50))</f>
        <v>214</v>
      </c>
      <c r="AE180" s="3">
        <v>236</v>
      </c>
      <c r="AF180" s="3">
        <f>IF(ISERROR((VLOOKUP($A180,'SegEnds_NonXtal_BW#'!$A:$Z,22,FALSE)+VLOOKUP($A180,A:AL,31,FALSE)-50)),"-",(VLOOKUP($A180,'SegEnds_NonXtal_BW#'!$A:$Z,22,FALSE)+VLOOKUP($A180,A:AL,31,FALSE)-50))</f>
        <v>247</v>
      </c>
      <c r="AG180" s="3">
        <f>IF(ISERROR(VLOOKUP($A180,'SegEnds_NonXtal_BW#'!$A:$Z,23,FALSE)+VLOOKUP($A180,A:AL,34,FALSE)-50),"-",(VLOOKUP($A180,'SegEnds_NonXtal_BW#'!$A:$Z,23,FALSE)+VLOOKUP($A180,A:AL,34,FALSE)-50))</f>
        <v>254</v>
      </c>
      <c r="AH180" s="3">
        <v>273</v>
      </c>
      <c r="AI180" s="3">
        <f>IF(ISERROR((VLOOKUP($A180,'SegEnds_NonXtal_BW#'!$A:$Z,24,FALSE)+VLOOKUP($A180,A:AL,34,FALSE)-50)),"-",(VLOOKUP($A180,'SegEnds_NonXtal_BW#'!$A:$Z,24,FALSE)+VLOOKUP($A180,A:AL,34,FALSE)-50))</f>
        <v>279</v>
      </c>
      <c r="AJ180" s="3">
        <f>IF(ISERROR(VLOOKUP($A180,'SegEnds_NonXtal_BW#'!$A:$Z,25,FALSE)+VLOOKUP($A180,A:AL,37,FALSE)-50),"-",(VLOOKUP($A180,'SegEnds_NonXtal_BW#'!$A:$Z,25,FALSE)+VLOOKUP($A180,A:AL,37,FALSE)-50))</f>
        <v>280</v>
      </c>
      <c r="AK180" s="3">
        <v>283</v>
      </c>
      <c r="AL180" s="3">
        <f>IF(ISERROR((VLOOKUP($A180,'SegEnds_NonXtal_BW#'!$A:$Z,26,FALSE)+VLOOKUP($A180,A:AL,37,FALSE)-50)),"-",(VLOOKUP($A180,'SegEnds_NonXtal_BW#'!$A:$Z,26,FALSE)+VLOOKUP($A180,A:AL,37,FALSE)-50))</f>
        <v>289</v>
      </c>
      <c r="AM180" s="28" t="str">
        <f>VLOOKUP(A180,Classification!A:B,2,FALSE)</f>
        <v>A</v>
      </c>
      <c r="AN180" s="28" t="b">
        <f t="shared" si="98"/>
        <v>1</v>
      </c>
      <c r="AO180" s="3" t="str">
        <f>IF(ISERROR(MATCH(A180,'SegEnds_Xtal_Prot#'!B:B, 0)), "NoXtal", "Xtal")</f>
        <v>NoXtal</v>
      </c>
      <c r="AP180" s="3" t="str">
        <f t="shared" si="81"/>
        <v>-</v>
      </c>
      <c r="AQ180" s="3" t="str">
        <f t="shared" si="82"/>
        <v>-</v>
      </c>
      <c r="AR180" s="3" t="str">
        <f t="shared" si="83"/>
        <v>-</v>
      </c>
      <c r="AS180" s="3" t="str">
        <f t="shared" si="84"/>
        <v>-</v>
      </c>
      <c r="AT180" s="3">
        <f t="shared" si="85"/>
        <v>1</v>
      </c>
      <c r="AU180" s="3">
        <f t="shared" si="86"/>
        <v>1</v>
      </c>
      <c r="AV180" s="3" t="str">
        <f t="shared" si="87"/>
        <v>-</v>
      </c>
      <c r="AW180" s="3" t="str">
        <f t="shared" si="88"/>
        <v>-</v>
      </c>
      <c r="AX180" s="3">
        <f t="shared" si="89"/>
        <v>4</v>
      </c>
      <c r="AY180" s="3">
        <f t="shared" si="90"/>
        <v>7</v>
      </c>
      <c r="AZ180" s="3">
        <f t="shared" si="91"/>
        <v>1</v>
      </c>
      <c r="BA180" s="3">
        <f>IF(ISERROR(LEN(VLOOKUP(A180,Seqs!A:E,2,FALSE))-AL180),"-",LEN(VLOOKUP(A180,Seqs!A:E,2,FALSE))-AL180)</f>
        <v>32</v>
      </c>
      <c r="BB180" s="16">
        <f t="shared" si="92"/>
        <v>27</v>
      </c>
      <c r="BC180" s="9">
        <f t="shared" si="93"/>
        <v>20</v>
      </c>
      <c r="BD180" s="3">
        <f t="shared" si="94"/>
        <v>27</v>
      </c>
      <c r="BE180" s="3">
        <f t="shared" si="95"/>
        <v>44</v>
      </c>
      <c r="BF180" s="3">
        <f t="shared" si="111"/>
        <v>37</v>
      </c>
    </row>
    <row r="181" spans="1:58" s="3" customFormat="1" x14ac:dyDescent="0.2">
      <c r="A181" s="3" t="s">
        <v>301</v>
      </c>
      <c r="B181" s="3" t="str">
        <f>LOWER(VLOOKUP(A181,Xtal_Templ!A:B,2,FALSE))</f>
        <v>cxcr4_human</v>
      </c>
      <c r="C181" s="3">
        <f>VLOOKUP($A181,'SegEnds_NonXtal_BW#'!$A:$Z,3,FALSE)+D181-50</f>
        <v>16</v>
      </c>
      <c r="D181" s="3">
        <v>42</v>
      </c>
      <c r="E181" s="3">
        <f>IF(ISERROR(VLOOKUP($A181,'SegEnds_NonXtal_BW#'!$A:$Z,4,FALSE)+VLOOKUP($A181,A:AL,4,FALSE)-50),"-",(VLOOKUP($A181,'SegEnds_NonXtal_BW#'!$A:$Z,4,FALSE)+VLOOKUP($A181,A:AL,4,FALSE)-50))</f>
        <v>52</v>
      </c>
      <c r="F181" s="3" t="str">
        <f>IF(ISERROR(VLOOKUP($A181,'SegEnds_NonXtal_BW#'!$A:$Z,5,FALSE)+VLOOKUP($A181,A:AL,7,FALSE)-50),"-",(VLOOKUP($A181,'SegEnds_NonXtal_BW#'!$A:$Z,5,FALSE)+VLOOKUP($A181,A:AL,7,FALSE)-50))</f>
        <v>-</v>
      </c>
      <c r="G181" s="3" t="s">
        <v>23</v>
      </c>
      <c r="H181" s="3" t="str">
        <f>IF(ISERROR(VLOOKUP($A181,'SegEnds_NonXtal_BW#'!$A:$Z,6,FALSE)+VLOOKUP($A181,A:AL,7,FALSE)-50),"-",(VLOOKUP($A181,'SegEnds_NonXtal_BW#'!$A:$Z,6,FALSE)+VLOOKUP($A181,A:AL,7,FALSE)-50))</f>
        <v>-</v>
      </c>
      <c r="I181" s="3">
        <f>VLOOKUP($A181,'SegEnds_NonXtal_BW#'!$A:$Z,7,FALSE)+J181-50</f>
        <v>56</v>
      </c>
      <c r="J181" s="3">
        <v>69</v>
      </c>
      <c r="K181" s="3">
        <f>VLOOKUP($A181,'SegEnds_NonXtal_BW#'!$A:$Z,8,FALSE)+VLOOKUP($A181,A:AL,10,FALSE)-50</f>
        <v>85</v>
      </c>
      <c r="L181" s="3" t="str">
        <f>IF(ISERROR(VLOOKUP($A181,'SegEnds_NonXtal_BW#'!$A:$Z,9,FALSE)+VLOOKUP($A181,A:AL,13,FALSE)-50),"-",(VLOOKUP($A181,'SegEnds_NonXtal_BW#'!$A:$Z,9,FALSE)+VLOOKUP($A181,A:AL,13,FALSE)-50))</f>
        <v>-</v>
      </c>
      <c r="M181" s="3" t="s">
        <v>23</v>
      </c>
      <c r="N181" s="3" t="str">
        <f>IF(ISERROR(VLOOKUP($A181,'SegEnds_NonXtal_BW#'!$A:$Z,10,FALSE)+VLOOKUP($A181,A:AL,13,FALSE)-50),"-",(VLOOKUP($A181,'SegEnds_NonXtal_BW#'!$A:$Z,10,FALSE)+VLOOKUP($A181,A:AL,13,FALSE)-50))</f>
        <v>-</v>
      </c>
      <c r="O181" s="3">
        <f>VLOOKUP($A181,'SegEnds_NonXtal_BW#'!$A:$Z,11,FALSE)+VLOOKUP($A181,A:AL,16,FALSE)-50</f>
        <v>92</v>
      </c>
      <c r="P181" s="3">
        <v>121</v>
      </c>
      <c r="Q181" s="3">
        <f>VLOOKUP($A181,'SegEnds_NonXtal_BW#'!$A:$Z,12,FALSE)+VLOOKUP($A181,A:AL,16,FALSE)-50</f>
        <v>127</v>
      </c>
      <c r="R181" s="3">
        <f>IF(ISERROR(VLOOKUP($A181,'SegEnds_NonXtal_BW#'!$A:$Z,13,FALSE)+VLOOKUP($A181,A:AL,19,FALSE)-50),"-",VLOOKUP($A181,'SegEnds_NonXtal_BW#'!$A:$Z,13,FALSE)+VLOOKUP($A181,A:AL,19,FALSE)-50)</f>
        <v>128</v>
      </c>
      <c r="S181" s="3">
        <v>128</v>
      </c>
      <c r="T181" s="100">
        <f>IF(ISERROR(VLOOKUP($A181,'SegEnds_NonXtal_BW#'!$A:$Z,14,FALSE)+VLOOKUP($A181,A:AL,19,FALSE)-50),"-",(VLOOKUP($A181,'SegEnds_NonXtal_BW#'!$A:$Z,14,FALSE)+VLOOKUP($A181,A:AL,19,FALSE)-50))</f>
        <v>135</v>
      </c>
      <c r="U181" s="9">
        <f>IF(ISERROR(VLOOKUP($A181,'SegEnds_NonXtal_BW#'!$A:$Z,15,FALSE)+VLOOKUP($A181,A:AL,22,FALSE)-50),"-",VLOOKUP($A181,'SegEnds_NonXtal_BW#'!$A:$Z,15,FALSE)+VLOOKUP($A181,A:AL,22,FALSE)-50)</f>
        <v>136</v>
      </c>
      <c r="V181" s="3">
        <v>148</v>
      </c>
      <c r="W181" s="3">
        <f>IF(ISERROR(VLOOKUP($A181,'SegEnds_NonXtal_BW#'!$A:$Z,16,FALSE)+VLOOKUP($A181,A:AL,22,FALSE)-50),"-",(VLOOKUP($A181,'SegEnds_NonXtal_BW#'!$A:$Z,16,FALSE)+VLOOKUP($A181,A:AL,22,FALSE)-50))</f>
        <v>162</v>
      </c>
      <c r="X181" s="3" t="str">
        <f>IF(ISERROR(VLOOKUP($A181,'SegEnds_NonXtal_BW#'!$A:$Z,17,FALSE)+VLOOKUP($A181,A:AL,25,FALSE)-50),"-",(VLOOKUP($A181,'SegEnds_NonXtal_BW#'!$A:$Z,17,FALSE)+VLOOKUP($A181,A:AL,25,FALSE)-50))</f>
        <v>-</v>
      </c>
      <c r="Y181" s="3" t="s">
        <v>23</v>
      </c>
      <c r="Z181" s="3" t="str">
        <f>IF(ISERROR(VLOOKUP($A181,'SegEnds_NonXtal_BW#'!$A:$Z,18,FALSE)+VLOOKUP($A181,A:AL,25,FALSE)-50),"-",(VLOOKUP($A181,'SegEnds_NonXtal_BW#'!$A:$Z,18,FALSE)+VLOOKUP($A181,A:AL,25,FALSE)-50))</f>
        <v>-</v>
      </c>
      <c r="AA181" s="3">
        <f>IF(ISERROR(VLOOKUP($A181,'SegEnds_NonXtal_BW#'!$A:$Z,19,FALSE)+VLOOKUP($A181,A:AL,28,FALSE)-50),"-",(VLOOKUP($A181,'SegEnds_NonXtal_BW#'!$A:$Z,19,FALSE)+VLOOKUP($A181,A:AL,28,FALSE)-50))</f>
        <v>172</v>
      </c>
      <c r="AB181" s="3">
        <v>190</v>
      </c>
      <c r="AC181" s="3">
        <f>IF(ISERROR((VLOOKUP($A181,'SegEnds_NonXtal_BW#'!$A:$Z,20,FALSE)+VLOOKUP($A181,A:AL,28,FALSE)-50)),"-",(VLOOKUP($A181,'SegEnds_NonXtal_BW#'!$A:$Z,20,FALSE)+VLOOKUP($A181,A:AL,28,FALSE)-50))</f>
        <v>208</v>
      </c>
      <c r="AD181" s="3">
        <f>IF(ISERROR(VLOOKUP($A181,'SegEnds_NonXtal_BW#'!$A:$Z,21,FALSE)+VLOOKUP($A181,A:AL,31,FALSE)-50),"-",(VLOOKUP($A181,'SegEnds_NonXtal_BW#'!$A:$Z,21,FALSE)+VLOOKUP($A181,A:AL,31,FALSE)-50))</f>
        <v>212</v>
      </c>
      <c r="AE181" s="3">
        <v>232</v>
      </c>
      <c r="AF181" s="3">
        <f>IF(ISERROR((VLOOKUP($A181,'SegEnds_NonXtal_BW#'!$A:$Z,22,FALSE)+VLOOKUP($A181,A:AL,31,FALSE)-50)),"-",(VLOOKUP($A181,'SegEnds_NonXtal_BW#'!$A:$Z,22,FALSE)+VLOOKUP($A181,A:AL,31,FALSE)-50))</f>
        <v>243</v>
      </c>
      <c r="AG181" s="3">
        <f>IF(ISERROR(VLOOKUP($A181,'SegEnds_NonXtal_BW#'!$A:$Z,23,FALSE)+VLOOKUP($A181,A:AL,34,FALSE)-50),"-",(VLOOKUP($A181,'SegEnds_NonXtal_BW#'!$A:$Z,23,FALSE)+VLOOKUP($A181,A:AL,34,FALSE)-50))</f>
        <v>248</v>
      </c>
      <c r="AH181" s="3">
        <v>266</v>
      </c>
      <c r="AI181" s="3">
        <f>IF(ISERROR((VLOOKUP($A181,'SegEnds_NonXtal_BW#'!$A:$Z,24,FALSE)+VLOOKUP($A181,A:AL,34,FALSE)-50)),"-",(VLOOKUP($A181,'SegEnds_NonXtal_BW#'!$A:$Z,24,FALSE)+VLOOKUP($A181,A:AL,34,FALSE)-50))</f>
        <v>272</v>
      </c>
      <c r="AJ181" s="3">
        <f>IF(ISERROR(VLOOKUP($A181,'SegEnds_NonXtal_BW#'!$A:$Z,25,FALSE)+VLOOKUP($A181,A:AL,37,FALSE)-50),"-",(VLOOKUP($A181,'SegEnds_NonXtal_BW#'!$A:$Z,25,FALSE)+VLOOKUP($A181,A:AL,37,FALSE)-50))</f>
        <v>273</v>
      </c>
      <c r="AK181" s="3">
        <v>276</v>
      </c>
      <c r="AL181" s="3">
        <f>IF(ISERROR((VLOOKUP($A181,'SegEnds_NonXtal_BW#'!$A:$Z,26,FALSE)+VLOOKUP($A181,A:AL,37,FALSE)-50)),"-",(VLOOKUP($A181,'SegEnds_NonXtal_BW#'!$A:$Z,26,FALSE)+VLOOKUP($A181,A:AL,37,FALSE)-50))</f>
        <v>285</v>
      </c>
      <c r="AM181" s="28" t="str">
        <f>VLOOKUP(A181,Classification!A:B,2,FALSE)</f>
        <v>A</v>
      </c>
      <c r="AN181" s="28" t="b">
        <f t="shared" si="98"/>
        <v>1</v>
      </c>
      <c r="AO181" s="3" t="str">
        <f>IF(ISERROR(MATCH(A181,'SegEnds_Xtal_Prot#'!B:B, 0)), "NoXtal", "Xtal")</f>
        <v>NoXtal</v>
      </c>
      <c r="AP181" s="3" t="str">
        <f t="shared" si="81"/>
        <v>-</v>
      </c>
      <c r="AQ181" s="3" t="str">
        <f t="shared" si="82"/>
        <v>-</v>
      </c>
      <c r="AR181" s="3" t="str">
        <f t="shared" si="83"/>
        <v>-</v>
      </c>
      <c r="AS181" s="3" t="str">
        <f t="shared" si="84"/>
        <v>-</v>
      </c>
      <c r="AT181" s="3">
        <f t="shared" si="85"/>
        <v>1</v>
      </c>
      <c r="AU181" s="3">
        <f t="shared" si="86"/>
        <v>1</v>
      </c>
      <c r="AV181" s="3" t="str">
        <f t="shared" si="87"/>
        <v>-</v>
      </c>
      <c r="AW181" s="3" t="str">
        <f t="shared" si="88"/>
        <v>-</v>
      </c>
      <c r="AX181" s="3">
        <f t="shared" si="89"/>
        <v>4</v>
      </c>
      <c r="AY181" s="3">
        <f t="shared" si="90"/>
        <v>5</v>
      </c>
      <c r="AZ181" s="3">
        <f t="shared" si="91"/>
        <v>1</v>
      </c>
      <c r="BA181" s="3">
        <f>IF(ISERROR(LEN(VLOOKUP(A181,Seqs!A:E,2,FALSE))-AL181),"-",LEN(VLOOKUP(A181,Seqs!A:E,2,FALSE))-AL181)</f>
        <v>27</v>
      </c>
      <c r="BB181" s="16">
        <f t="shared" si="92"/>
        <v>27</v>
      </c>
      <c r="BC181" s="9">
        <f t="shared" si="93"/>
        <v>20</v>
      </c>
      <c r="BD181" s="3">
        <f t="shared" si="94"/>
        <v>27</v>
      </c>
      <c r="BE181" s="3">
        <f t="shared" si="95"/>
        <v>42</v>
      </c>
      <c r="BF181" s="3">
        <f t="shared" si="111"/>
        <v>34</v>
      </c>
    </row>
    <row r="182" spans="1:58" s="3" customFormat="1" x14ac:dyDescent="0.2">
      <c r="A182" s="3" t="s">
        <v>302</v>
      </c>
      <c r="B182" s="3" t="str">
        <f>LOWER(VLOOKUP(A182,Xtal_Templ!A:B,2,FALSE))</f>
        <v>c5ar1_human</v>
      </c>
      <c r="C182" s="3">
        <f>VLOOKUP($A182,'SegEnds_NonXtal_BW#'!$A:$Z,3,FALSE)+D182-50</f>
        <v>41</v>
      </c>
      <c r="D182" s="3">
        <v>62</v>
      </c>
      <c r="E182" s="3">
        <f>IF(ISERROR(VLOOKUP($A182,'SegEnds_NonXtal_BW#'!$A:$Z,4,FALSE)+VLOOKUP($A182,A:AL,4,FALSE)-50),"-",(VLOOKUP($A182,'SegEnds_NonXtal_BW#'!$A:$Z,4,FALSE)+VLOOKUP($A182,A:AL,4,FALSE)-50))</f>
        <v>72</v>
      </c>
      <c r="F182" s="3" t="str">
        <f>IF(ISERROR(VLOOKUP($A182,'SegEnds_NonXtal_BW#'!$A:$Z,5,FALSE)+VLOOKUP($A182,A:AL,7,FALSE)-50),"-",(VLOOKUP($A182,'SegEnds_NonXtal_BW#'!$A:$Z,5,FALSE)+VLOOKUP($A182,A:AL,7,FALSE)-50))</f>
        <v>-</v>
      </c>
      <c r="G182" s="3" t="s">
        <v>23</v>
      </c>
      <c r="H182" s="3" t="str">
        <f>IF(ISERROR(VLOOKUP($A182,'SegEnds_NonXtal_BW#'!$A:$Z,6,FALSE)+VLOOKUP($A182,A:AL,7,FALSE)-50),"-",(VLOOKUP($A182,'SegEnds_NonXtal_BW#'!$A:$Z,6,FALSE)+VLOOKUP($A182,A:AL,7,FALSE)-50))</f>
        <v>-</v>
      </c>
      <c r="I182" s="3">
        <f>VLOOKUP($A182,'SegEnds_NonXtal_BW#'!$A:$Z,7,FALSE)+J182-50</f>
        <v>76</v>
      </c>
      <c r="J182" s="3">
        <v>89</v>
      </c>
      <c r="K182" s="3">
        <f>VLOOKUP($A182,'SegEnds_NonXtal_BW#'!$A:$Z,8,FALSE)+VLOOKUP($A182,A:AL,10,FALSE)-50</f>
        <v>106</v>
      </c>
      <c r="L182" s="3" t="str">
        <f>IF(ISERROR(VLOOKUP($A182,'SegEnds_NonXtal_BW#'!$A:$Z,9,FALSE)+VLOOKUP($A182,A:AL,13,FALSE)-50),"-",(VLOOKUP($A182,'SegEnds_NonXtal_BW#'!$A:$Z,9,FALSE)+VLOOKUP($A182,A:AL,13,FALSE)-50))</f>
        <v>-</v>
      </c>
      <c r="M182" s="3" t="s">
        <v>23</v>
      </c>
      <c r="N182" s="3" t="str">
        <f>IF(ISERROR(VLOOKUP($A182,'SegEnds_NonXtal_BW#'!$A:$Z,10,FALSE)+VLOOKUP($A182,A:AL,13,FALSE)-50),"-",(VLOOKUP($A182,'SegEnds_NonXtal_BW#'!$A:$Z,10,FALSE)+VLOOKUP($A182,A:AL,13,FALSE)-50))</f>
        <v>-</v>
      </c>
      <c r="O182" s="3">
        <f>VLOOKUP($A182,'SegEnds_NonXtal_BW#'!$A:$Z,11,FALSE)+VLOOKUP($A182,A:AL,16,FALSE)-50</f>
        <v>112</v>
      </c>
      <c r="P182" s="3">
        <v>141</v>
      </c>
      <c r="Q182" s="3">
        <f>VLOOKUP($A182,'SegEnds_NonXtal_BW#'!$A:$Z,12,FALSE)+VLOOKUP($A182,A:AL,16,FALSE)-50</f>
        <v>147</v>
      </c>
      <c r="R182" s="3">
        <f>IF(ISERROR(VLOOKUP($A182,'SegEnds_NonXtal_BW#'!$A:$Z,13,FALSE)+VLOOKUP($A182,A:AL,19,FALSE)-50),"-",VLOOKUP($A182,'SegEnds_NonXtal_BW#'!$A:$Z,13,FALSE)+VLOOKUP($A182,A:AL,19,FALSE)-50)</f>
        <v>148</v>
      </c>
      <c r="S182" s="3">
        <v>148</v>
      </c>
      <c r="T182" s="100">
        <f>IF(ISERROR(VLOOKUP($A182,'SegEnds_NonXtal_BW#'!$A:$Z,14,FALSE)+VLOOKUP($A182,A:AL,19,FALSE)-50),"-",(VLOOKUP($A182,'SegEnds_NonXtal_BW#'!$A:$Z,14,FALSE)+VLOOKUP($A182,A:AL,19,FALSE)-50))</f>
        <v>155</v>
      </c>
      <c r="U182" s="9">
        <f>IF(ISERROR(VLOOKUP($A182,'SegEnds_NonXtal_BW#'!$A:$Z,15,FALSE)+VLOOKUP($A182,A:AL,22,FALSE)-50),"-",VLOOKUP($A182,'SegEnds_NonXtal_BW#'!$A:$Z,15,FALSE)+VLOOKUP($A182,A:AL,22,FALSE)-50)</f>
        <v>156</v>
      </c>
      <c r="V182" s="3">
        <v>168</v>
      </c>
      <c r="W182" s="3">
        <f>IF(ISERROR(VLOOKUP($A182,'SegEnds_NonXtal_BW#'!$A:$Z,16,FALSE)+VLOOKUP($A182,A:AL,22,FALSE)-50),"-",(VLOOKUP($A182,'SegEnds_NonXtal_BW#'!$A:$Z,16,FALSE)+VLOOKUP($A182,A:AL,22,FALSE)-50))</f>
        <v>182</v>
      </c>
      <c r="X182" s="3" t="str">
        <f>IF(ISERROR(VLOOKUP($A182,'SegEnds_NonXtal_BW#'!$A:$Z,17,FALSE)+VLOOKUP($A182,A:AL,25,FALSE)-50),"-",(VLOOKUP($A182,'SegEnds_NonXtal_BW#'!$A:$Z,17,FALSE)+VLOOKUP($A182,A:AL,25,FALSE)-50))</f>
        <v>-</v>
      </c>
      <c r="Y182" s="3" t="s">
        <v>23</v>
      </c>
      <c r="Z182" s="3" t="str">
        <f>IF(ISERROR(VLOOKUP($A182,'SegEnds_NonXtal_BW#'!$A:$Z,18,FALSE)+VLOOKUP($A182,A:AL,25,FALSE)-50),"-",(VLOOKUP($A182,'SegEnds_NonXtal_BW#'!$A:$Z,18,FALSE)+VLOOKUP($A182,A:AL,25,FALSE)-50))</f>
        <v>-</v>
      </c>
      <c r="AA182" s="3">
        <f>IF(ISERROR(VLOOKUP($A182,'SegEnds_NonXtal_BW#'!$A:$Z,19,FALSE)+VLOOKUP($A182,A:AL,28,FALSE)-50),"-",(VLOOKUP($A182,'SegEnds_NonXtal_BW#'!$A:$Z,19,FALSE)+VLOOKUP($A182,A:AL,28,FALSE)-50))</f>
        <v>192</v>
      </c>
      <c r="AB182" s="3">
        <v>211</v>
      </c>
      <c r="AC182" s="3">
        <f>IF(ISERROR((VLOOKUP($A182,'SegEnds_NonXtal_BW#'!$A:$Z,20,FALSE)+VLOOKUP($A182,A:AL,28,FALSE)-50)),"-",(VLOOKUP($A182,'SegEnds_NonXtal_BW#'!$A:$Z,20,FALSE)+VLOOKUP($A182,A:AL,28,FALSE)-50))</f>
        <v>229</v>
      </c>
      <c r="AD182" s="3">
        <f>IF(ISERROR(VLOOKUP($A182,'SegEnds_NonXtal_BW#'!$A:$Z,21,FALSE)+VLOOKUP($A182,A:AL,31,FALSE)-50),"-",(VLOOKUP($A182,'SegEnds_NonXtal_BW#'!$A:$Z,21,FALSE)+VLOOKUP($A182,A:AL,31,FALSE)-50))</f>
        <v>234</v>
      </c>
      <c r="AE182" s="3">
        <v>254</v>
      </c>
      <c r="AF182" s="3">
        <f>IF(ISERROR((VLOOKUP($A182,'SegEnds_NonXtal_BW#'!$A:$Z,22,FALSE)+VLOOKUP($A182,A:AL,31,FALSE)-50)),"-",(VLOOKUP($A182,'SegEnds_NonXtal_BW#'!$A:$Z,22,FALSE)+VLOOKUP($A182,A:AL,31,FALSE)-50))</f>
        <v>265</v>
      </c>
      <c r="AG182" s="3">
        <f>IF(ISERROR(VLOOKUP($A182,'SegEnds_NonXtal_BW#'!$A:$Z,23,FALSE)+VLOOKUP($A182,A:AL,34,FALSE)-50),"-",(VLOOKUP($A182,'SegEnds_NonXtal_BW#'!$A:$Z,23,FALSE)+VLOOKUP($A182,A:AL,34,FALSE)-50))</f>
        <v>270</v>
      </c>
      <c r="AH182" s="3">
        <v>288</v>
      </c>
      <c r="AI182" s="3">
        <f>IF(ISERROR((VLOOKUP($A182,'SegEnds_NonXtal_BW#'!$A:$Z,24,FALSE)+VLOOKUP($A182,A:AL,34,FALSE)-50)),"-",(VLOOKUP($A182,'SegEnds_NonXtal_BW#'!$A:$Z,24,FALSE)+VLOOKUP($A182,A:AL,34,FALSE)-50))</f>
        <v>294</v>
      </c>
      <c r="AJ182" s="3">
        <f>IF(ISERROR(VLOOKUP($A182,'SegEnds_NonXtal_BW#'!$A:$Z,25,FALSE)+VLOOKUP($A182,A:AL,37,FALSE)-50),"-",(VLOOKUP($A182,'SegEnds_NonXtal_BW#'!$A:$Z,25,FALSE)+VLOOKUP($A182,A:AL,37,FALSE)-50))</f>
        <v>295</v>
      </c>
      <c r="AK182" s="3">
        <v>298</v>
      </c>
      <c r="AL182" s="3">
        <f>IF(ISERROR((VLOOKUP($A182,'SegEnds_NonXtal_BW#'!$A:$Z,26,FALSE)+VLOOKUP($A182,A:AL,37,FALSE)-50)),"-",(VLOOKUP($A182,'SegEnds_NonXtal_BW#'!$A:$Z,26,FALSE)+VLOOKUP($A182,A:AL,37,FALSE)-50))</f>
        <v>304</v>
      </c>
      <c r="AM182" s="28" t="str">
        <f>VLOOKUP(A182,Classification!A:B,2,FALSE)</f>
        <v>A</v>
      </c>
      <c r="AN182" s="28" t="b">
        <f t="shared" si="98"/>
        <v>1</v>
      </c>
      <c r="AO182" s="3" t="str">
        <f>IF(ISERROR(MATCH(A182,'SegEnds_Xtal_Prot#'!B:B, 0)), "NoXtal", "Xtal")</f>
        <v>NoXtal</v>
      </c>
      <c r="AP182" s="3" t="str">
        <f t="shared" si="81"/>
        <v>-</v>
      </c>
      <c r="AQ182" s="3" t="str">
        <f t="shared" si="82"/>
        <v>-</v>
      </c>
      <c r="AR182" s="3" t="str">
        <f t="shared" si="83"/>
        <v>-</v>
      </c>
      <c r="AS182" s="3" t="str">
        <f t="shared" si="84"/>
        <v>-</v>
      </c>
      <c r="AT182" s="3">
        <f t="shared" si="85"/>
        <v>1</v>
      </c>
      <c r="AU182" s="3">
        <f t="shared" si="86"/>
        <v>1</v>
      </c>
      <c r="AV182" s="3" t="str">
        <f t="shared" si="87"/>
        <v>-</v>
      </c>
      <c r="AW182" s="3" t="str">
        <f t="shared" si="88"/>
        <v>-</v>
      </c>
      <c r="AX182" s="3">
        <f t="shared" si="89"/>
        <v>5</v>
      </c>
      <c r="AY182" s="3">
        <f t="shared" si="90"/>
        <v>5</v>
      </c>
      <c r="AZ182" s="3">
        <f t="shared" si="91"/>
        <v>1</v>
      </c>
      <c r="BA182" s="3">
        <f>IF(ISERROR(LEN(VLOOKUP(A182,Seqs!A:E,2,FALSE))-AL182),"-",LEN(VLOOKUP(A182,Seqs!A:E,2,FALSE))-AL182)</f>
        <v>39</v>
      </c>
      <c r="BB182" s="16">
        <f t="shared" si="92"/>
        <v>27</v>
      </c>
      <c r="BC182" s="9">
        <f t="shared" si="93"/>
        <v>20</v>
      </c>
      <c r="BD182" s="3">
        <f t="shared" si="94"/>
        <v>27</v>
      </c>
      <c r="BE182" s="3">
        <f t="shared" si="95"/>
        <v>43</v>
      </c>
    </row>
    <row r="183" spans="1:58" s="3" customFormat="1" x14ac:dyDescent="0.2">
      <c r="A183" s="3" t="s">
        <v>303</v>
      </c>
      <c r="B183" s="3" t="str">
        <f>LOWER(VLOOKUP(A183,Xtal_Templ!A:B,2,FALSE))</f>
        <v>agtr1_human</v>
      </c>
      <c r="C183" s="3">
        <f>VLOOKUP($A183,'SegEnds_NonXtal_BW#'!$A:$Z,3,FALSE)+D183-50</f>
        <v>8</v>
      </c>
      <c r="D183" s="3">
        <v>30</v>
      </c>
      <c r="E183" s="3">
        <f>IF(ISERROR(VLOOKUP($A183,'SegEnds_NonXtal_BW#'!$A:$Z,4,FALSE)+VLOOKUP($A183,A:AL,4,FALSE)-50),"-",(VLOOKUP($A183,'SegEnds_NonXtal_BW#'!$A:$Z,4,FALSE)+VLOOKUP($A183,A:AL,4,FALSE)-50))</f>
        <v>40</v>
      </c>
      <c r="F183" s="3" t="str">
        <f>IF(ISERROR(VLOOKUP($A183,'SegEnds_NonXtal_BW#'!$A:$Z,5,FALSE)+VLOOKUP($A183,A:AL,7,FALSE)-50),"-",(VLOOKUP($A183,'SegEnds_NonXtal_BW#'!$A:$Z,5,FALSE)+VLOOKUP($A183,A:AL,7,FALSE)-50))</f>
        <v>-</v>
      </c>
      <c r="G183" s="3" t="s">
        <v>23</v>
      </c>
      <c r="H183" s="3" t="str">
        <f>IF(ISERROR(VLOOKUP($A183,'SegEnds_NonXtal_BW#'!$A:$Z,6,FALSE)+VLOOKUP($A183,A:AL,7,FALSE)-50),"-",(VLOOKUP($A183,'SegEnds_NonXtal_BW#'!$A:$Z,6,FALSE)+VLOOKUP($A183,A:AL,7,FALSE)-50))</f>
        <v>-</v>
      </c>
      <c r="I183" s="3">
        <f>VLOOKUP($A183,'SegEnds_NonXtal_BW#'!$A:$Z,7,FALSE)+J183-50</f>
        <v>44</v>
      </c>
      <c r="J183" s="3">
        <v>57</v>
      </c>
      <c r="K183" s="3">
        <f>VLOOKUP($A183,'SegEnds_NonXtal_BW#'!$A:$Z,8,FALSE)+VLOOKUP($A183,A:AL,10,FALSE)-50</f>
        <v>70</v>
      </c>
      <c r="L183" s="3" t="str">
        <f>IF(ISERROR(VLOOKUP($A183,'SegEnds_NonXtal_BW#'!$A:$Z,9,FALSE)+VLOOKUP($A183,A:AL,13,FALSE)-50),"-",(VLOOKUP($A183,'SegEnds_NonXtal_BW#'!$A:$Z,9,FALSE)+VLOOKUP($A183,A:AL,13,FALSE)-50))</f>
        <v>-</v>
      </c>
      <c r="M183" s="3" t="s">
        <v>23</v>
      </c>
      <c r="N183" s="3" t="str">
        <f>IF(ISERROR(VLOOKUP($A183,'SegEnds_NonXtal_BW#'!$A:$Z,10,FALSE)+VLOOKUP($A183,A:AL,13,FALSE)-50),"-",(VLOOKUP($A183,'SegEnds_NonXtal_BW#'!$A:$Z,10,FALSE)+VLOOKUP($A183,A:AL,13,FALSE)-50))</f>
        <v>-</v>
      </c>
      <c r="O183" s="3">
        <f>VLOOKUP($A183,'SegEnds_NonXtal_BW#'!$A:$Z,11,FALSE)+VLOOKUP($A183,A:AL,16,FALSE)-50</f>
        <v>77</v>
      </c>
      <c r="P183" s="3">
        <v>103</v>
      </c>
      <c r="Q183" s="3">
        <f>VLOOKUP($A183,'SegEnds_NonXtal_BW#'!$A:$Z,12,FALSE)+VLOOKUP($A183,A:AL,16,FALSE)-50</f>
        <v>109</v>
      </c>
      <c r="R183" s="3">
        <f>IF(ISERROR(VLOOKUP($A183,'SegEnds_NonXtal_BW#'!$A:$Z,13,FALSE)+VLOOKUP($A183,A:AL,19,FALSE)-50),"-",VLOOKUP($A183,'SegEnds_NonXtal_BW#'!$A:$Z,13,FALSE)+VLOOKUP($A183,A:AL,19,FALSE)-50)</f>
        <v>110</v>
      </c>
      <c r="S183" s="3">
        <v>110</v>
      </c>
      <c r="T183" s="100">
        <f>IF(ISERROR(VLOOKUP($A183,'SegEnds_NonXtal_BW#'!$A:$Z,14,FALSE)+VLOOKUP($A183,A:AL,19,FALSE)-50),"-",(VLOOKUP($A183,'SegEnds_NonXtal_BW#'!$A:$Z,14,FALSE)+VLOOKUP($A183,A:AL,19,FALSE)-50))</f>
        <v>117</v>
      </c>
      <c r="U183" s="9">
        <f>IF(ISERROR(VLOOKUP($A183,'SegEnds_NonXtal_BW#'!$A:$Z,15,FALSE)+VLOOKUP($A183,A:AL,22,FALSE)-50),"-",VLOOKUP($A183,'SegEnds_NonXtal_BW#'!$A:$Z,15,FALSE)+VLOOKUP($A183,A:AL,22,FALSE)-50)</f>
        <v>118</v>
      </c>
      <c r="V183" s="3">
        <v>130</v>
      </c>
      <c r="W183" s="3">
        <f>IF(ISERROR(VLOOKUP($A183,'SegEnds_NonXtal_BW#'!$A:$Z,16,FALSE)+VLOOKUP($A183,A:AL,22,FALSE)-50),"-",(VLOOKUP($A183,'SegEnds_NonXtal_BW#'!$A:$Z,16,FALSE)+VLOOKUP($A183,A:AL,22,FALSE)-50))</f>
        <v>144</v>
      </c>
      <c r="X183" s="3" t="str">
        <f>IF(ISERROR(VLOOKUP($A183,'SegEnds_NonXtal_BW#'!$A:$Z,17,FALSE)+VLOOKUP($A183,A:AL,25,FALSE)-50),"-",(VLOOKUP($A183,'SegEnds_NonXtal_BW#'!$A:$Z,17,FALSE)+VLOOKUP($A183,A:AL,25,FALSE)-50))</f>
        <v>-</v>
      </c>
      <c r="Y183" s="3" t="s">
        <v>23</v>
      </c>
      <c r="Z183" s="3" t="str">
        <f>IF(ISERROR(VLOOKUP($A183,'SegEnds_NonXtal_BW#'!$A:$Z,18,FALSE)+VLOOKUP($A183,A:AL,25,FALSE)-50),"-",(VLOOKUP($A183,'SegEnds_NonXtal_BW#'!$A:$Z,18,FALSE)+VLOOKUP($A183,A:AL,25,FALSE)-50))</f>
        <v>-</v>
      </c>
      <c r="AA183" s="3">
        <f>IF(ISERROR(VLOOKUP($A183,'SegEnds_NonXtal_BW#'!$A:$Z,19,FALSE)+VLOOKUP($A183,A:AL,28,FALSE)-50),"-",(VLOOKUP($A183,'SegEnds_NonXtal_BW#'!$A:$Z,19,FALSE)+VLOOKUP($A183,A:AL,28,FALSE)-50))</f>
        <v>156</v>
      </c>
      <c r="AB183" s="3">
        <v>172</v>
      </c>
      <c r="AC183" s="3">
        <f>IF(ISERROR((VLOOKUP($A183,'SegEnds_NonXtal_BW#'!$A:$Z,20,FALSE)+VLOOKUP($A183,A:AL,28,FALSE)-50)),"-",(VLOOKUP($A183,'SegEnds_NonXtal_BW#'!$A:$Z,20,FALSE)+VLOOKUP($A183,A:AL,28,FALSE)-50))</f>
        <v>189</v>
      </c>
      <c r="AD183" s="3">
        <f>IF(ISERROR(VLOOKUP($A183,'SegEnds_NonXtal_BW#'!$A:$Z,21,FALSE)+VLOOKUP($A183,A:AL,31,FALSE)-50),"-",(VLOOKUP($A183,'SegEnds_NonXtal_BW#'!$A:$Z,21,FALSE)+VLOOKUP($A183,A:AL,31,FALSE)-50))</f>
        <v>193</v>
      </c>
      <c r="AE183" s="3">
        <v>213</v>
      </c>
      <c r="AF183" s="3">
        <f>IF(ISERROR((VLOOKUP($A183,'SegEnds_NonXtal_BW#'!$A:$Z,22,FALSE)+VLOOKUP($A183,A:AL,31,FALSE)-50)),"-",(VLOOKUP($A183,'SegEnds_NonXtal_BW#'!$A:$Z,22,FALSE)+VLOOKUP($A183,A:AL,31,FALSE)-50))</f>
        <v>224</v>
      </c>
      <c r="AG183" s="3">
        <f>IF(ISERROR(VLOOKUP($A183,'SegEnds_NonXtal_BW#'!$A:$Z,23,FALSE)+VLOOKUP($A183,A:AL,34,FALSE)-50),"-",(VLOOKUP($A183,'SegEnds_NonXtal_BW#'!$A:$Z,23,FALSE)+VLOOKUP($A183,A:AL,34,FALSE)-50))</f>
        <v>229</v>
      </c>
      <c r="AH183" s="3">
        <v>247</v>
      </c>
      <c r="AI183" s="3">
        <f>IF(ISERROR((VLOOKUP($A183,'SegEnds_NonXtal_BW#'!$A:$Z,24,FALSE)+VLOOKUP($A183,A:AL,34,FALSE)-50)),"-",(VLOOKUP($A183,'SegEnds_NonXtal_BW#'!$A:$Z,24,FALSE)+VLOOKUP($A183,A:AL,34,FALSE)-50))</f>
        <v>253</v>
      </c>
      <c r="AJ183" s="3">
        <f>IF(ISERROR(VLOOKUP($A183,'SegEnds_NonXtal_BW#'!$A:$Z,25,FALSE)+VLOOKUP($A183,A:AL,37,FALSE)-50),"-",(VLOOKUP($A183,'SegEnds_NonXtal_BW#'!$A:$Z,25,FALSE)+VLOOKUP($A183,A:AL,37,FALSE)-50))</f>
        <v>254</v>
      </c>
      <c r="AK183" s="3">
        <v>257</v>
      </c>
      <c r="AL183" s="3">
        <f>IF(ISERROR((VLOOKUP($A183,'SegEnds_NonXtal_BW#'!$A:$Z,26,FALSE)+VLOOKUP($A183,A:AL,37,FALSE)-50)),"-",(VLOOKUP($A183,'SegEnds_NonXtal_BW#'!$A:$Z,26,FALSE)+VLOOKUP($A183,A:AL,37,FALSE)-50))</f>
        <v>268</v>
      </c>
      <c r="AM183" s="28" t="str">
        <f>VLOOKUP(A183,Classification!A:B,2,FALSE)</f>
        <v>A</v>
      </c>
      <c r="AN183" s="28" t="b">
        <f t="shared" si="98"/>
        <v>1</v>
      </c>
      <c r="AO183" s="3" t="str">
        <f>IF(ISERROR(MATCH(A183,'SegEnds_Xtal_Prot#'!B:B, 0)), "NoXtal", "Xtal")</f>
        <v>NoXtal</v>
      </c>
      <c r="AP183" s="3" t="str">
        <f t="shared" si="81"/>
        <v>-</v>
      </c>
      <c r="AQ183" s="3" t="str">
        <f t="shared" si="82"/>
        <v>-</v>
      </c>
      <c r="AR183" s="3" t="str">
        <f t="shared" si="83"/>
        <v>-</v>
      </c>
      <c r="AS183" s="3" t="str">
        <f t="shared" si="84"/>
        <v>-</v>
      </c>
      <c r="AT183" s="3">
        <f t="shared" si="85"/>
        <v>1</v>
      </c>
      <c r="AU183" s="3">
        <f t="shared" si="86"/>
        <v>1</v>
      </c>
      <c r="AV183" s="3" t="str">
        <f t="shared" si="87"/>
        <v>-</v>
      </c>
      <c r="AW183" s="3" t="str">
        <f t="shared" si="88"/>
        <v>-</v>
      </c>
      <c r="AX183" s="3">
        <f t="shared" si="89"/>
        <v>4</v>
      </c>
      <c r="AY183" s="3">
        <f t="shared" si="90"/>
        <v>5</v>
      </c>
      <c r="AZ183" s="3">
        <f t="shared" si="91"/>
        <v>1</v>
      </c>
      <c r="BA183" s="3">
        <f>IF(ISERROR(LEN(VLOOKUP(A183,Seqs!A:E,2,FALSE))-AL183),"-",LEN(VLOOKUP(A183,Seqs!A:E,2,FALSE))-AL183)</f>
        <v>21</v>
      </c>
      <c r="BB183" s="16">
        <f t="shared" si="92"/>
        <v>27</v>
      </c>
      <c r="BC183" s="9">
        <f t="shared" si="93"/>
        <v>20</v>
      </c>
      <c r="BD183" s="3">
        <f t="shared" si="94"/>
        <v>27</v>
      </c>
      <c r="BE183" s="3">
        <f t="shared" si="95"/>
        <v>41</v>
      </c>
      <c r="BF183" s="3">
        <f>AH183-AE183</f>
        <v>34</v>
      </c>
    </row>
    <row r="184" spans="1:58" s="3" customFormat="1" x14ac:dyDescent="0.2">
      <c r="A184" s="3" t="s">
        <v>304</v>
      </c>
      <c r="B184" s="3" t="str">
        <f>LOWER(VLOOKUP(A184,Xtal_Templ!A:B,2,FALSE))</f>
        <v>agtr1_human</v>
      </c>
      <c r="C184" s="3">
        <f>VLOOKUP($A184,'SegEnds_NonXtal_BW#'!$A:$Z,3,FALSE)+D184-50</f>
        <v>23</v>
      </c>
      <c r="D184" s="3">
        <v>45</v>
      </c>
      <c r="E184" s="3">
        <f>IF(ISERROR(VLOOKUP($A184,'SegEnds_NonXtal_BW#'!$A:$Z,4,FALSE)+VLOOKUP($A184,A:AL,4,FALSE)-50),"-",(VLOOKUP($A184,'SegEnds_NonXtal_BW#'!$A:$Z,4,FALSE)+VLOOKUP($A184,A:AL,4,FALSE)-50))</f>
        <v>55</v>
      </c>
      <c r="F184" s="3" t="str">
        <f>IF(ISERROR(VLOOKUP($A184,'SegEnds_NonXtal_BW#'!$A:$Z,5,FALSE)+VLOOKUP($A184,A:AL,7,FALSE)-50),"-",(VLOOKUP($A184,'SegEnds_NonXtal_BW#'!$A:$Z,5,FALSE)+VLOOKUP($A184,A:AL,7,FALSE)-50))</f>
        <v>-</v>
      </c>
      <c r="G184" s="3" t="s">
        <v>23</v>
      </c>
      <c r="H184" s="3" t="str">
        <f>IF(ISERROR(VLOOKUP($A184,'SegEnds_NonXtal_BW#'!$A:$Z,6,FALSE)+VLOOKUP($A184,A:AL,7,FALSE)-50),"-",(VLOOKUP($A184,'SegEnds_NonXtal_BW#'!$A:$Z,6,FALSE)+VLOOKUP($A184,A:AL,7,FALSE)-50))</f>
        <v>-</v>
      </c>
      <c r="I184" s="3">
        <f>VLOOKUP($A184,'SegEnds_NonXtal_BW#'!$A:$Z,7,FALSE)+J184-50</f>
        <v>59</v>
      </c>
      <c r="J184" s="3">
        <v>72</v>
      </c>
      <c r="K184" s="3">
        <f>VLOOKUP($A184,'SegEnds_NonXtal_BW#'!$A:$Z,8,FALSE)+VLOOKUP($A184,A:AL,10,FALSE)-50</f>
        <v>88</v>
      </c>
      <c r="L184" s="3" t="str">
        <f>IF(ISERROR(VLOOKUP($A184,'SegEnds_NonXtal_BW#'!$A:$Z,9,FALSE)+VLOOKUP($A184,A:AL,13,FALSE)-50),"-",(VLOOKUP($A184,'SegEnds_NonXtal_BW#'!$A:$Z,9,FALSE)+VLOOKUP($A184,A:AL,13,FALSE)-50))</f>
        <v>-</v>
      </c>
      <c r="M184" s="3" t="s">
        <v>23</v>
      </c>
      <c r="N184" s="3" t="str">
        <f>IF(ISERROR(VLOOKUP($A184,'SegEnds_NonXtal_BW#'!$A:$Z,10,FALSE)+VLOOKUP($A184,A:AL,13,FALSE)-50),"-",(VLOOKUP($A184,'SegEnds_NonXtal_BW#'!$A:$Z,10,FALSE)+VLOOKUP($A184,A:AL,13,FALSE)-50))</f>
        <v>-</v>
      </c>
      <c r="O184" s="3">
        <f>VLOOKUP($A184,'SegEnds_NonXtal_BW#'!$A:$Z,11,FALSE)+VLOOKUP($A184,A:AL,16,FALSE)-50</f>
        <v>94</v>
      </c>
      <c r="P184" s="3">
        <v>120</v>
      </c>
      <c r="Q184" s="3">
        <f>VLOOKUP($A184,'SegEnds_NonXtal_BW#'!$A:$Z,12,FALSE)+VLOOKUP($A184,A:AL,16,FALSE)-50</f>
        <v>126</v>
      </c>
      <c r="R184" s="3">
        <f>IF(ISERROR(VLOOKUP($A184,'SegEnds_NonXtal_BW#'!$A:$Z,13,FALSE)+VLOOKUP($A184,A:AL,19,FALSE)-50),"-",VLOOKUP($A184,'SegEnds_NonXtal_BW#'!$A:$Z,13,FALSE)+VLOOKUP($A184,A:AL,19,FALSE)-50)</f>
        <v>127</v>
      </c>
      <c r="S184" s="3">
        <v>127</v>
      </c>
      <c r="T184" s="100">
        <f>IF(ISERROR(VLOOKUP($A184,'SegEnds_NonXtal_BW#'!$A:$Z,14,FALSE)+VLOOKUP($A184,A:AL,19,FALSE)-50),"-",(VLOOKUP($A184,'SegEnds_NonXtal_BW#'!$A:$Z,14,FALSE)+VLOOKUP($A184,A:AL,19,FALSE)-50))</f>
        <v>134</v>
      </c>
      <c r="U184" s="9">
        <f>IF(ISERROR(VLOOKUP($A184,'SegEnds_NonXtal_BW#'!$A:$Z,15,FALSE)+VLOOKUP($A184,A:AL,22,FALSE)-50),"-",VLOOKUP($A184,'SegEnds_NonXtal_BW#'!$A:$Z,15,FALSE)+VLOOKUP($A184,A:AL,22,FALSE)-50)</f>
        <v>135</v>
      </c>
      <c r="V184" s="3">
        <v>147</v>
      </c>
      <c r="W184" s="3">
        <f>IF(ISERROR(VLOOKUP($A184,'SegEnds_NonXtal_BW#'!$A:$Z,16,FALSE)+VLOOKUP($A184,A:AL,22,FALSE)-50),"-",(VLOOKUP($A184,'SegEnds_NonXtal_BW#'!$A:$Z,16,FALSE)+VLOOKUP($A184,A:AL,22,FALSE)-50))</f>
        <v>161</v>
      </c>
      <c r="X184" s="3" t="str">
        <f>IF(ISERROR(VLOOKUP($A184,'SegEnds_NonXtal_BW#'!$A:$Z,17,FALSE)+VLOOKUP($A184,A:AL,25,FALSE)-50),"-",(VLOOKUP($A184,'SegEnds_NonXtal_BW#'!$A:$Z,17,FALSE)+VLOOKUP($A184,A:AL,25,FALSE)-50))</f>
        <v>-</v>
      </c>
      <c r="Y184" s="3" t="s">
        <v>23</v>
      </c>
      <c r="Z184" s="3" t="str">
        <f>IF(ISERROR(VLOOKUP($A184,'SegEnds_NonXtal_BW#'!$A:$Z,18,FALSE)+VLOOKUP($A184,A:AL,25,FALSE)-50),"-",(VLOOKUP($A184,'SegEnds_NonXtal_BW#'!$A:$Z,18,FALSE)+VLOOKUP($A184,A:AL,25,FALSE)-50))</f>
        <v>-</v>
      </c>
      <c r="AA184" s="3">
        <f>IF(ISERROR(VLOOKUP($A184,'SegEnds_NonXtal_BW#'!$A:$Z,19,FALSE)+VLOOKUP($A184,A:AL,28,FALSE)-50),"-",(VLOOKUP($A184,'SegEnds_NonXtal_BW#'!$A:$Z,19,FALSE)+VLOOKUP($A184,A:AL,28,FALSE)-50))</f>
        <v>173</v>
      </c>
      <c r="AB184" s="3">
        <v>189</v>
      </c>
      <c r="AC184" s="3">
        <f>IF(ISERROR((VLOOKUP($A184,'SegEnds_NonXtal_BW#'!$A:$Z,20,FALSE)+VLOOKUP($A184,A:AL,28,FALSE)-50)),"-",(VLOOKUP($A184,'SegEnds_NonXtal_BW#'!$A:$Z,20,FALSE)+VLOOKUP($A184,A:AL,28,FALSE)-50))</f>
        <v>207</v>
      </c>
      <c r="AD184" s="3">
        <f>IF(ISERROR(VLOOKUP($A184,'SegEnds_NonXtal_BW#'!$A:$Z,21,FALSE)+VLOOKUP($A184,A:AL,31,FALSE)-50),"-",(VLOOKUP($A184,'SegEnds_NonXtal_BW#'!$A:$Z,21,FALSE)+VLOOKUP($A184,A:AL,31,FALSE)-50))</f>
        <v>211</v>
      </c>
      <c r="AE184" s="3">
        <v>231</v>
      </c>
      <c r="AF184" s="3">
        <f>IF(ISERROR((VLOOKUP($A184,'SegEnds_NonXtal_BW#'!$A:$Z,22,FALSE)+VLOOKUP($A184,A:AL,31,FALSE)-50)),"-",(VLOOKUP($A184,'SegEnds_NonXtal_BW#'!$A:$Z,22,FALSE)+VLOOKUP($A184,A:AL,31,FALSE)-50))</f>
        <v>242</v>
      </c>
      <c r="AG184" s="3">
        <f>IF(ISERROR(VLOOKUP($A184,'SegEnds_NonXtal_BW#'!$A:$Z,23,FALSE)+VLOOKUP($A184,A:AL,34,FALSE)-50),"-",(VLOOKUP($A184,'SegEnds_NonXtal_BW#'!$A:$Z,23,FALSE)+VLOOKUP($A184,A:AL,34,FALSE)-50))</f>
        <v>244</v>
      </c>
      <c r="AH184" s="3">
        <v>269</v>
      </c>
      <c r="AI184" s="3">
        <f>IF(ISERROR((VLOOKUP($A184,'SegEnds_NonXtal_BW#'!$A:$Z,24,FALSE)+VLOOKUP($A184,A:AL,34,FALSE)-50)),"-",(VLOOKUP($A184,'SegEnds_NonXtal_BW#'!$A:$Z,24,FALSE)+VLOOKUP($A184,A:AL,34,FALSE)-50))</f>
        <v>275</v>
      </c>
      <c r="AJ184" s="3">
        <f>IF(ISERROR(VLOOKUP($A184,'SegEnds_NonXtal_BW#'!$A:$Z,25,FALSE)+VLOOKUP($A184,A:AL,37,FALSE)-50),"-",(VLOOKUP($A184,'SegEnds_NonXtal_BW#'!$A:$Z,25,FALSE)+VLOOKUP($A184,A:AL,37,FALSE)-50))</f>
        <v>276</v>
      </c>
      <c r="AK184" s="3">
        <v>279</v>
      </c>
      <c r="AL184" s="3">
        <f>IF(ISERROR((VLOOKUP($A184,'SegEnds_NonXtal_BW#'!$A:$Z,26,FALSE)+VLOOKUP($A184,A:AL,37,FALSE)-50)),"-",(VLOOKUP($A184,'SegEnds_NonXtal_BW#'!$A:$Z,26,FALSE)+VLOOKUP($A184,A:AL,37,FALSE)-50))</f>
        <v>290</v>
      </c>
      <c r="AM184" s="28" t="str">
        <f>VLOOKUP(A184,Classification!A:B,2,FALSE)</f>
        <v>A</v>
      </c>
      <c r="AN184" s="28" t="b">
        <f t="shared" si="98"/>
        <v>1</v>
      </c>
      <c r="AO184" s="3" t="str">
        <f>IF(ISERROR(MATCH(A184,'SegEnds_Xtal_Prot#'!B:B, 0)), "NoXtal", "Xtal")</f>
        <v>NoXtal</v>
      </c>
      <c r="AP184" s="3" t="str">
        <f t="shared" si="81"/>
        <v>-</v>
      </c>
      <c r="AQ184" s="3" t="str">
        <f t="shared" si="82"/>
        <v>-</v>
      </c>
      <c r="AR184" s="3" t="str">
        <f t="shared" si="83"/>
        <v>-</v>
      </c>
      <c r="AS184" s="3" t="str">
        <f t="shared" si="84"/>
        <v>-</v>
      </c>
      <c r="AT184" s="3">
        <f t="shared" si="85"/>
        <v>1</v>
      </c>
      <c r="AU184" s="3">
        <f t="shared" si="86"/>
        <v>1</v>
      </c>
      <c r="AV184" s="3" t="str">
        <f t="shared" si="87"/>
        <v>-</v>
      </c>
      <c r="AW184" s="3" t="str">
        <f t="shared" si="88"/>
        <v>-</v>
      </c>
      <c r="AX184" s="3">
        <f t="shared" si="89"/>
        <v>4</v>
      </c>
      <c r="AY184" s="3">
        <f t="shared" si="90"/>
        <v>2</v>
      </c>
      <c r="AZ184" s="3">
        <f t="shared" si="91"/>
        <v>1</v>
      </c>
      <c r="BA184" s="3">
        <f>IF(ISERROR(LEN(VLOOKUP(A184,Seqs!A:E,2,FALSE))-AL184),"-",LEN(VLOOKUP(A184,Seqs!A:E,2,FALSE))-AL184)</f>
        <v>32</v>
      </c>
      <c r="BB184" s="16">
        <f t="shared" si="92"/>
        <v>27</v>
      </c>
      <c r="BC184" s="9">
        <f t="shared" si="93"/>
        <v>20</v>
      </c>
      <c r="BD184" s="3">
        <f t="shared" si="94"/>
        <v>27</v>
      </c>
      <c r="BE184" s="3">
        <f t="shared" si="95"/>
        <v>42</v>
      </c>
    </row>
    <row r="185" spans="1:58" s="3" customFormat="1" x14ac:dyDescent="0.2">
      <c r="A185" s="3" t="s">
        <v>305</v>
      </c>
      <c r="B185" s="3" t="str">
        <f>LOWER(VLOOKUP(A185,Xtal_Templ!A:B,2,FALSE))</f>
        <v>c5ar1_human</v>
      </c>
      <c r="C185" s="3">
        <f>VLOOKUP($A185,'SegEnds_NonXtal_BW#'!$A:$Z,3,FALSE)+D185-50</f>
        <v>27</v>
      </c>
      <c r="D185" s="3">
        <v>48</v>
      </c>
      <c r="E185" s="3">
        <f>IF(ISERROR(VLOOKUP($A185,'SegEnds_NonXtal_BW#'!$A:$Z,4,FALSE)+VLOOKUP($A185,A:AL,4,FALSE)-50),"-",(VLOOKUP($A185,'SegEnds_NonXtal_BW#'!$A:$Z,4,FALSE)+VLOOKUP($A185,A:AL,4,FALSE)-50))</f>
        <v>58</v>
      </c>
      <c r="F185" s="3" t="str">
        <f>IF(ISERROR(VLOOKUP($A185,'SegEnds_NonXtal_BW#'!$A:$Z,5,FALSE)+VLOOKUP($A185,A:AL,7,FALSE)-50),"-",(VLOOKUP($A185,'SegEnds_NonXtal_BW#'!$A:$Z,5,FALSE)+VLOOKUP($A185,A:AL,7,FALSE)-50))</f>
        <v>-</v>
      </c>
      <c r="G185" s="3" t="s">
        <v>23</v>
      </c>
      <c r="H185" s="3" t="str">
        <f>IF(ISERROR(VLOOKUP($A185,'SegEnds_NonXtal_BW#'!$A:$Z,6,FALSE)+VLOOKUP($A185,A:AL,7,FALSE)-50),"-",(VLOOKUP($A185,'SegEnds_NonXtal_BW#'!$A:$Z,6,FALSE)+VLOOKUP($A185,A:AL,7,FALSE)-50))</f>
        <v>-</v>
      </c>
      <c r="I185" s="3">
        <f>VLOOKUP($A185,'SegEnds_NonXtal_BW#'!$A:$Z,7,FALSE)+J185-50</f>
        <v>62</v>
      </c>
      <c r="J185" s="3">
        <v>75</v>
      </c>
      <c r="K185" s="3">
        <f>VLOOKUP($A185,'SegEnds_NonXtal_BW#'!$A:$Z,8,FALSE)+VLOOKUP($A185,A:AL,10,FALSE)-50</f>
        <v>92</v>
      </c>
      <c r="L185" s="3" t="str">
        <f>IF(ISERROR(VLOOKUP($A185,'SegEnds_NonXtal_BW#'!$A:$Z,9,FALSE)+VLOOKUP($A185,A:AL,13,FALSE)-50),"-",(VLOOKUP($A185,'SegEnds_NonXtal_BW#'!$A:$Z,9,FALSE)+VLOOKUP($A185,A:AL,13,FALSE)-50))</f>
        <v>-</v>
      </c>
      <c r="M185" s="3" t="s">
        <v>23</v>
      </c>
      <c r="N185" s="3" t="str">
        <f>IF(ISERROR(VLOOKUP($A185,'SegEnds_NonXtal_BW#'!$A:$Z,10,FALSE)+VLOOKUP($A185,A:AL,13,FALSE)-50),"-",(VLOOKUP($A185,'SegEnds_NonXtal_BW#'!$A:$Z,10,FALSE)+VLOOKUP($A185,A:AL,13,FALSE)-50))</f>
        <v>-</v>
      </c>
      <c r="O185" s="3">
        <f>VLOOKUP($A185,'SegEnds_NonXtal_BW#'!$A:$Z,11,FALSE)+VLOOKUP($A185,A:AL,16,FALSE)-50</f>
        <v>98</v>
      </c>
      <c r="P185" s="3">
        <v>127</v>
      </c>
      <c r="Q185" s="3">
        <f>VLOOKUP($A185,'SegEnds_NonXtal_BW#'!$A:$Z,12,FALSE)+VLOOKUP($A185,A:AL,16,FALSE)-50</f>
        <v>133</v>
      </c>
      <c r="R185" s="3">
        <f>IF(ISERROR(VLOOKUP($A185,'SegEnds_NonXtal_BW#'!$A:$Z,13,FALSE)+VLOOKUP($A185,A:AL,19,FALSE)-50),"-",VLOOKUP($A185,'SegEnds_NonXtal_BW#'!$A:$Z,13,FALSE)+VLOOKUP($A185,A:AL,19,FALSE)-50)</f>
        <v>134</v>
      </c>
      <c r="S185" s="3">
        <v>134</v>
      </c>
      <c r="T185" s="100">
        <f>IF(ISERROR(VLOOKUP($A185,'SegEnds_NonXtal_BW#'!$A:$Z,14,FALSE)+VLOOKUP($A185,A:AL,19,FALSE)-50),"-",(VLOOKUP($A185,'SegEnds_NonXtal_BW#'!$A:$Z,14,FALSE)+VLOOKUP($A185,A:AL,19,FALSE)-50))</f>
        <v>141</v>
      </c>
      <c r="U185" s="9">
        <f>IF(ISERROR(VLOOKUP($A185,'SegEnds_NonXtal_BW#'!$A:$Z,15,FALSE)+VLOOKUP($A185,A:AL,22,FALSE)-50),"-",VLOOKUP($A185,'SegEnds_NonXtal_BW#'!$A:$Z,15,FALSE)+VLOOKUP($A185,A:AL,22,FALSE)-50)</f>
        <v>142</v>
      </c>
      <c r="V185" s="3">
        <v>154</v>
      </c>
      <c r="W185" s="3">
        <f>IF(ISERROR(VLOOKUP($A185,'SegEnds_NonXtal_BW#'!$A:$Z,16,FALSE)+VLOOKUP($A185,A:AL,22,FALSE)-50),"-",(VLOOKUP($A185,'SegEnds_NonXtal_BW#'!$A:$Z,16,FALSE)+VLOOKUP($A185,A:AL,22,FALSE)-50))</f>
        <v>168</v>
      </c>
      <c r="X185" s="3" t="str">
        <f>IF(ISERROR(VLOOKUP($A185,'SegEnds_NonXtal_BW#'!$A:$Z,17,FALSE)+VLOOKUP($A185,A:AL,25,FALSE)-50),"-",(VLOOKUP($A185,'SegEnds_NonXtal_BW#'!$A:$Z,17,FALSE)+VLOOKUP($A185,A:AL,25,FALSE)-50))</f>
        <v>-</v>
      </c>
      <c r="Y185" s="3" t="s">
        <v>23</v>
      </c>
      <c r="Z185" s="3" t="str">
        <f>IF(ISERROR(VLOOKUP($A185,'SegEnds_NonXtal_BW#'!$A:$Z,18,FALSE)+VLOOKUP($A185,A:AL,25,FALSE)-50),"-",(VLOOKUP($A185,'SegEnds_NonXtal_BW#'!$A:$Z,18,FALSE)+VLOOKUP($A185,A:AL,25,FALSE)-50))</f>
        <v>-</v>
      </c>
      <c r="AA185" s="3">
        <f>IF(ISERROR(VLOOKUP($A185,'SegEnds_NonXtal_BW#'!$A:$Z,19,FALSE)+VLOOKUP($A185,A:AL,28,FALSE)-50),"-",(VLOOKUP($A185,'SegEnds_NonXtal_BW#'!$A:$Z,19,FALSE)+VLOOKUP($A185,A:AL,28,FALSE)-50))</f>
        <v>177</v>
      </c>
      <c r="AB185" s="3">
        <v>196</v>
      </c>
      <c r="AC185" s="3">
        <f>IF(ISERROR((VLOOKUP($A185,'SegEnds_NonXtal_BW#'!$A:$Z,20,FALSE)+VLOOKUP($A185,A:AL,28,FALSE)-50)),"-",(VLOOKUP($A185,'SegEnds_NonXtal_BW#'!$A:$Z,20,FALSE)+VLOOKUP($A185,A:AL,28,FALSE)-50))</f>
        <v>214</v>
      </c>
      <c r="AD185" s="3">
        <f>IF(ISERROR(VLOOKUP($A185,'SegEnds_NonXtal_BW#'!$A:$Z,21,FALSE)+VLOOKUP($A185,A:AL,31,FALSE)-50),"-",(VLOOKUP($A185,'SegEnds_NonXtal_BW#'!$A:$Z,21,FALSE)+VLOOKUP($A185,A:AL,31,FALSE)-50))</f>
        <v>218</v>
      </c>
      <c r="AE185" s="3">
        <v>238</v>
      </c>
      <c r="AF185" s="3">
        <f>IF(ISERROR((VLOOKUP($A185,'SegEnds_NonXtal_BW#'!$A:$Z,22,FALSE)+VLOOKUP($A185,A:AL,31,FALSE)-50)),"-",(VLOOKUP($A185,'SegEnds_NonXtal_BW#'!$A:$Z,22,FALSE)+VLOOKUP($A185,A:AL,31,FALSE)-50))</f>
        <v>249</v>
      </c>
      <c r="AG185" s="3">
        <f>IF(ISERROR(VLOOKUP($A185,'SegEnds_NonXtal_BW#'!$A:$Z,23,FALSE)+VLOOKUP($A185,A:AL,34,FALSE)-50),"-",(VLOOKUP($A185,'SegEnds_NonXtal_BW#'!$A:$Z,23,FALSE)+VLOOKUP($A185,A:AL,34,FALSE)-50))</f>
        <v>251</v>
      </c>
      <c r="AH185" s="3">
        <v>276</v>
      </c>
      <c r="AI185" s="3">
        <f>IF(ISERROR((VLOOKUP($A185,'SegEnds_NonXtal_BW#'!$A:$Z,24,FALSE)+VLOOKUP($A185,A:AL,34,FALSE)-50)),"-",(VLOOKUP($A185,'SegEnds_NonXtal_BW#'!$A:$Z,24,FALSE)+VLOOKUP($A185,A:AL,34,FALSE)-50))</f>
        <v>282</v>
      </c>
      <c r="AJ185" s="3">
        <f>IF(ISERROR(VLOOKUP($A185,'SegEnds_NonXtal_BW#'!$A:$Z,25,FALSE)+VLOOKUP($A185,A:AL,37,FALSE)-50),"-",(VLOOKUP($A185,'SegEnds_NonXtal_BW#'!$A:$Z,25,FALSE)+VLOOKUP($A185,A:AL,37,FALSE)-50))</f>
        <v>283</v>
      </c>
      <c r="AK185" s="3">
        <v>286</v>
      </c>
      <c r="AL185" s="3">
        <f>IF(ISERROR((VLOOKUP($A185,'SegEnds_NonXtal_BW#'!$A:$Z,26,FALSE)+VLOOKUP($A185,A:AL,37,FALSE)-50)),"-",(VLOOKUP($A185,'SegEnds_NonXtal_BW#'!$A:$Z,26,FALSE)+VLOOKUP($A185,A:AL,37,FALSE)-50))</f>
        <v>292</v>
      </c>
      <c r="AM185" s="28" t="str">
        <f>VLOOKUP(A185,Classification!A:B,2,FALSE)</f>
        <v>A</v>
      </c>
      <c r="AN185" s="28" t="b">
        <f t="shared" si="98"/>
        <v>1</v>
      </c>
      <c r="AO185" s="3" t="str">
        <f>IF(ISERROR(MATCH(A185,'SegEnds_Xtal_Prot#'!B:B, 0)), "NoXtal", "Xtal")</f>
        <v>NoXtal</v>
      </c>
      <c r="AP185" s="3" t="str">
        <f t="shared" si="81"/>
        <v>-</v>
      </c>
      <c r="AQ185" s="3" t="str">
        <f t="shared" si="82"/>
        <v>-</v>
      </c>
      <c r="AR185" s="3" t="str">
        <f t="shared" si="83"/>
        <v>-</v>
      </c>
      <c r="AS185" s="3" t="str">
        <f t="shared" si="84"/>
        <v>-</v>
      </c>
      <c r="AT185" s="3">
        <f t="shared" si="85"/>
        <v>1</v>
      </c>
      <c r="AU185" s="3">
        <f t="shared" si="86"/>
        <v>1</v>
      </c>
      <c r="AV185" s="3" t="str">
        <f t="shared" si="87"/>
        <v>-</v>
      </c>
      <c r="AW185" s="3" t="str">
        <f t="shared" si="88"/>
        <v>-</v>
      </c>
      <c r="AX185" s="3">
        <f t="shared" si="89"/>
        <v>4</v>
      </c>
      <c r="AY185" s="3">
        <f t="shared" si="90"/>
        <v>2</v>
      </c>
      <c r="AZ185" s="3">
        <f t="shared" si="91"/>
        <v>1</v>
      </c>
      <c r="BA185" s="3">
        <f>IF(ISERROR(LEN(VLOOKUP(A185,Seqs!A:E,2,FALSE))-AL185),"-",LEN(VLOOKUP(A185,Seqs!A:E,2,FALSE))-AL185)</f>
        <v>38</v>
      </c>
      <c r="BB185" s="16">
        <f t="shared" si="92"/>
        <v>27</v>
      </c>
      <c r="BC185" s="9">
        <f t="shared" si="93"/>
        <v>20</v>
      </c>
      <c r="BD185" s="3">
        <f t="shared" si="94"/>
        <v>27</v>
      </c>
      <c r="BE185" s="3">
        <f t="shared" si="95"/>
        <v>42</v>
      </c>
    </row>
    <row r="186" spans="1:58" s="3" customFormat="1" x14ac:dyDescent="0.2">
      <c r="A186" s="3" t="s">
        <v>306</v>
      </c>
      <c r="B186" s="3" t="str">
        <f>LOWER(VLOOKUP(A186,Xtal_Templ!A:B,2,FALSE))</f>
        <v>pd2r2_human</v>
      </c>
      <c r="C186" s="3">
        <f>VLOOKUP($A186,'SegEnds_NonXtal_BW#'!$A:$Z,3,FALSE)+D186-50</f>
        <v>27</v>
      </c>
      <c r="D186" s="3">
        <v>45</v>
      </c>
      <c r="E186" s="3">
        <f>IF(ISERROR(VLOOKUP($A186,'SegEnds_NonXtal_BW#'!$A:$Z,4,FALSE)+VLOOKUP($A186,A:AL,4,FALSE)-50),"-",(VLOOKUP($A186,'SegEnds_NonXtal_BW#'!$A:$Z,4,FALSE)+VLOOKUP($A186,A:AL,4,FALSE)-50))</f>
        <v>55</v>
      </c>
      <c r="F186" s="3" t="str">
        <f>IF(ISERROR(VLOOKUP($A186,'SegEnds_NonXtal_BW#'!$A:$Z,5,FALSE)+VLOOKUP($A186,A:AL,7,FALSE)-50),"-",(VLOOKUP($A186,'SegEnds_NonXtal_BW#'!$A:$Z,5,FALSE)+VLOOKUP($A186,A:AL,7,FALSE)-50))</f>
        <v>-</v>
      </c>
      <c r="G186" s="3" t="s">
        <v>23</v>
      </c>
      <c r="H186" s="3" t="str">
        <f>IF(ISERROR(VLOOKUP($A186,'SegEnds_NonXtal_BW#'!$A:$Z,6,FALSE)+VLOOKUP($A186,A:AL,7,FALSE)-50),"-",(VLOOKUP($A186,'SegEnds_NonXtal_BW#'!$A:$Z,6,FALSE)+VLOOKUP($A186,A:AL,7,FALSE)-50))</f>
        <v>-</v>
      </c>
      <c r="I186" s="3">
        <f>VLOOKUP($A186,'SegEnds_NonXtal_BW#'!$A:$Z,7,FALSE)+J186-50</f>
        <v>59</v>
      </c>
      <c r="J186" s="3">
        <v>72</v>
      </c>
      <c r="K186" s="3">
        <f>VLOOKUP($A186,'SegEnds_NonXtal_BW#'!$A:$Z,8,FALSE)+VLOOKUP($A186,A:AL,10,FALSE)-50</f>
        <v>88</v>
      </c>
      <c r="L186" s="3" t="str">
        <f>IF(ISERROR(VLOOKUP($A186,'SegEnds_NonXtal_BW#'!$A:$Z,9,FALSE)+VLOOKUP($A186,A:AL,13,FALSE)-50),"-",(VLOOKUP($A186,'SegEnds_NonXtal_BW#'!$A:$Z,9,FALSE)+VLOOKUP($A186,A:AL,13,FALSE)-50))</f>
        <v>-</v>
      </c>
      <c r="M186" s="3" t="s">
        <v>23</v>
      </c>
      <c r="N186" s="3" t="str">
        <f>IF(ISERROR(VLOOKUP($A186,'SegEnds_NonXtal_BW#'!$A:$Z,10,FALSE)+VLOOKUP($A186,A:AL,13,FALSE)-50),"-",(VLOOKUP($A186,'SegEnds_NonXtal_BW#'!$A:$Z,10,FALSE)+VLOOKUP($A186,A:AL,13,FALSE)-50))</f>
        <v>-</v>
      </c>
      <c r="O186" s="3">
        <f>VLOOKUP($A186,'SegEnds_NonXtal_BW#'!$A:$Z,11,FALSE)+VLOOKUP($A186,A:AL,16,FALSE)-50</f>
        <v>94</v>
      </c>
      <c r="P186" s="3">
        <v>120</v>
      </c>
      <c r="Q186" s="3">
        <f>VLOOKUP($A186,'SegEnds_NonXtal_BW#'!$A:$Z,12,FALSE)+VLOOKUP($A186,A:AL,16,FALSE)-50</f>
        <v>126</v>
      </c>
      <c r="R186" s="3">
        <f>IF(ISERROR(VLOOKUP($A186,'SegEnds_NonXtal_BW#'!$A:$Z,13,FALSE)+VLOOKUP($A186,A:AL,19,FALSE)-50),"-",VLOOKUP($A186,'SegEnds_NonXtal_BW#'!$A:$Z,13,FALSE)+VLOOKUP($A186,A:AL,19,FALSE)-50)</f>
        <v>127</v>
      </c>
      <c r="S186" s="3">
        <v>127</v>
      </c>
      <c r="T186" s="100">
        <f>IF(ISERROR(VLOOKUP($A186,'SegEnds_NonXtal_BW#'!$A:$Z,14,FALSE)+VLOOKUP($A186,A:AL,19,FALSE)-50),"-",(VLOOKUP($A186,'SegEnds_NonXtal_BW#'!$A:$Z,14,FALSE)+VLOOKUP($A186,A:AL,19,FALSE)-50))</f>
        <v>134</v>
      </c>
      <c r="U186" s="9">
        <f>IF(ISERROR(VLOOKUP($A186,'SegEnds_NonXtal_BW#'!$A:$Z,15,FALSE)+VLOOKUP($A186,A:AL,22,FALSE)-50),"-",VLOOKUP($A186,'SegEnds_NonXtal_BW#'!$A:$Z,15,FALSE)+VLOOKUP($A186,A:AL,22,FALSE)-50)</f>
        <v>135</v>
      </c>
      <c r="V186" s="3">
        <v>147</v>
      </c>
      <c r="W186" s="3">
        <f>IF(ISERROR(VLOOKUP($A186,'SegEnds_NonXtal_BW#'!$A:$Z,16,FALSE)+VLOOKUP($A186,A:AL,22,FALSE)-50),"-",(VLOOKUP($A186,'SegEnds_NonXtal_BW#'!$A:$Z,16,FALSE)+VLOOKUP($A186,A:AL,22,FALSE)-50))</f>
        <v>161</v>
      </c>
      <c r="X186" s="3" t="str">
        <f>IF(ISERROR(VLOOKUP($A186,'SegEnds_NonXtal_BW#'!$A:$Z,17,FALSE)+VLOOKUP($A186,A:AL,25,FALSE)-50),"-",(VLOOKUP($A186,'SegEnds_NonXtal_BW#'!$A:$Z,17,FALSE)+VLOOKUP($A186,A:AL,25,FALSE)-50))</f>
        <v>-</v>
      </c>
      <c r="Y186" s="3" t="s">
        <v>23</v>
      </c>
      <c r="Z186" s="3" t="str">
        <f>IF(ISERROR(VLOOKUP($A186,'SegEnds_NonXtal_BW#'!$A:$Z,18,FALSE)+VLOOKUP($A186,A:AL,25,FALSE)-50),"-",(VLOOKUP($A186,'SegEnds_NonXtal_BW#'!$A:$Z,18,FALSE)+VLOOKUP($A186,A:AL,25,FALSE)-50))</f>
        <v>-</v>
      </c>
      <c r="AA186" s="3">
        <f>IF(ISERROR(VLOOKUP($A186,'SegEnds_NonXtal_BW#'!$A:$Z,19,FALSE)+VLOOKUP($A186,A:AL,28,FALSE)-50),"-",(VLOOKUP($A186,'SegEnds_NonXtal_BW#'!$A:$Z,19,FALSE)+VLOOKUP($A186,A:AL,28,FALSE)-50))</f>
        <v>165</v>
      </c>
      <c r="AB186" s="3">
        <v>189</v>
      </c>
      <c r="AC186" s="3">
        <f>IF(ISERROR((VLOOKUP($A186,'SegEnds_NonXtal_BW#'!$A:$Z,20,FALSE)+VLOOKUP($A186,A:AL,28,FALSE)-50)),"-",(VLOOKUP($A186,'SegEnds_NonXtal_BW#'!$A:$Z,20,FALSE)+VLOOKUP($A186,A:AL,28,FALSE)-50))</f>
        <v>207</v>
      </c>
      <c r="AD186" s="3">
        <f>IF(ISERROR(VLOOKUP($A186,'SegEnds_NonXtal_BW#'!$A:$Z,21,FALSE)+VLOOKUP($A186,A:AL,31,FALSE)-50),"-",(VLOOKUP($A186,'SegEnds_NonXtal_BW#'!$A:$Z,21,FALSE)+VLOOKUP($A186,A:AL,31,FALSE)-50))</f>
        <v>211</v>
      </c>
      <c r="AE186" s="3">
        <v>231</v>
      </c>
      <c r="AF186" s="3">
        <f>IF(ISERROR((VLOOKUP($A186,'SegEnds_NonXtal_BW#'!$A:$Z,22,FALSE)+VLOOKUP($A186,A:AL,31,FALSE)-50)),"-",(VLOOKUP($A186,'SegEnds_NonXtal_BW#'!$A:$Z,22,FALSE)+VLOOKUP($A186,A:AL,31,FALSE)-50))</f>
        <v>242</v>
      </c>
      <c r="AG186" s="3">
        <f>IF(ISERROR(VLOOKUP($A186,'SegEnds_NonXtal_BW#'!$A:$Z,23,FALSE)+VLOOKUP($A186,A:AL,34,FALSE)-50),"-",(VLOOKUP($A186,'SegEnds_NonXtal_BW#'!$A:$Z,23,FALSE)+VLOOKUP($A186,A:AL,34,FALSE)-50))</f>
        <v>246</v>
      </c>
      <c r="AH186" s="3">
        <v>269</v>
      </c>
      <c r="AI186" s="3">
        <f>IF(ISERROR((VLOOKUP($A186,'SegEnds_NonXtal_BW#'!$A:$Z,24,FALSE)+VLOOKUP($A186,A:AL,34,FALSE)-50)),"-",(VLOOKUP($A186,'SegEnds_NonXtal_BW#'!$A:$Z,24,FALSE)+VLOOKUP($A186,A:AL,34,FALSE)-50))</f>
        <v>275</v>
      </c>
      <c r="AJ186" s="3">
        <f>IF(ISERROR(VLOOKUP($A186,'SegEnds_NonXtal_BW#'!$A:$Z,25,FALSE)+VLOOKUP($A186,A:AL,37,FALSE)-50),"-",(VLOOKUP($A186,'SegEnds_NonXtal_BW#'!$A:$Z,25,FALSE)+VLOOKUP($A186,A:AL,37,FALSE)-50))</f>
        <v>276</v>
      </c>
      <c r="AK186" s="3">
        <v>279</v>
      </c>
      <c r="AL186" s="3">
        <f>IF(ISERROR((VLOOKUP($A186,'SegEnds_NonXtal_BW#'!$A:$Z,26,FALSE)+VLOOKUP($A186,A:AL,37,FALSE)-50)),"-",(VLOOKUP($A186,'SegEnds_NonXtal_BW#'!$A:$Z,26,FALSE)+VLOOKUP($A186,A:AL,37,FALSE)-50))</f>
        <v>293</v>
      </c>
      <c r="AM186" s="28" t="str">
        <f>VLOOKUP(A186,Classification!A:B,2,FALSE)</f>
        <v>A</v>
      </c>
      <c r="AN186" s="28" t="b">
        <f t="shared" si="98"/>
        <v>1</v>
      </c>
      <c r="AO186" s="3" t="str">
        <f>IF(ISERROR(MATCH(A186,'SegEnds_Xtal_Prot#'!B:B, 0)), "NoXtal", "Xtal")</f>
        <v>NoXtal</v>
      </c>
      <c r="AP186" s="3" t="str">
        <f t="shared" si="81"/>
        <v>-</v>
      </c>
      <c r="AQ186" s="3" t="str">
        <f t="shared" si="82"/>
        <v>-</v>
      </c>
      <c r="AR186" s="3" t="str">
        <f t="shared" si="83"/>
        <v>-</v>
      </c>
      <c r="AS186" s="3" t="str">
        <f t="shared" si="84"/>
        <v>-</v>
      </c>
      <c r="AT186" s="3">
        <f t="shared" si="85"/>
        <v>1</v>
      </c>
      <c r="AU186" s="3">
        <f t="shared" si="86"/>
        <v>1</v>
      </c>
      <c r="AV186" s="3" t="str">
        <f t="shared" si="87"/>
        <v>-</v>
      </c>
      <c r="AW186" s="3" t="str">
        <f t="shared" si="88"/>
        <v>-</v>
      </c>
      <c r="AX186" s="3">
        <f t="shared" si="89"/>
        <v>4</v>
      </c>
      <c r="AY186" s="3">
        <f t="shared" si="90"/>
        <v>4</v>
      </c>
      <c r="AZ186" s="3">
        <f t="shared" si="91"/>
        <v>1</v>
      </c>
      <c r="BA186" s="3">
        <f>IF(ISERROR(LEN(VLOOKUP(A186,Seqs!A:E,2,FALSE))-AL186),"-",LEN(VLOOKUP(A186,Seqs!A:E,2,FALSE))-AL186)</f>
        <v>29</v>
      </c>
      <c r="BB186" s="16">
        <f t="shared" si="92"/>
        <v>27</v>
      </c>
      <c r="BC186" s="9">
        <f t="shared" si="93"/>
        <v>20</v>
      </c>
      <c r="BD186" s="3">
        <f t="shared" si="94"/>
        <v>27</v>
      </c>
      <c r="BE186" s="3">
        <f t="shared" si="95"/>
        <v>42</v>
      </c>
    </row>
    <row r="187" spans="1:58" s="3" customFormat="1" x14ac:dyDescent="0.2">
      <c r="A187" s="3" t="s">
        <v>307</v>
      </c>
      <c r="B187" s="3" t="str">
        <f>LOWER(VLOOKUP(A187,Xtal_Templ!A:B,2,FALSE))</f>
        <v>par2_human</v>
      </c>
      <c r="C187" s="3">
        <f>VLOOKUP($A187,'SegEnds_NonXtal_BW#'!$A:$Z,3,FALSE)+D187-50</f>
        <v>23</v>
      </c>
      <c r="D187" s="3">
        <v>45</v>
      </c>
      <c r="E187" s="3">
        <f>IF(ISERROR(VLOOKUP($A187,'SegEnds_NonXtal_BW#'!$A:$Z,4,FALSE)+VLOOKUP($A187,A:AL,4,FALSE)-50),"-",(VLOOKUP($A187,'SegEnds_NonXtal_BW#'!$A:$Z,4,FALSE)+VLOOKUP($A187,A:AL,4,FALSE)-50))</f>
        <v>55</v>
      </c>
      <c r="F187" s="3" t="str">
        <f>IF(ISERROR(VLOOKUP($A187,'SegEnds_NonXtal_BW#'!$A:$Z,5,FALSE)+VLOOKUP($A187,A:AL,7,FALSE)-50),"-",(VLOOKUP($A187,'SegEnds_NonXtal_BW#'!$A:$Z,5,FALSE)+VLOOKUP($A187,A:AL,7,FALSE)-50))</f>
        <v>-</v>
      </c>
      <c r="G187" s="3" t="s">
        <v>23</v>
      </c>
      <c r="H187" s="3" t="str">
        <f>IF(ISERROR(VLOOKUP($A187,'SegEnds_NonXtal_BW#'!$A:$Z,6,FALSE)+VLOOKUP($A187,A:AL,7,FALSE)-50),"-",(VLOOKUP($A187,'SegEnds_NonXtal_BW#'!$A:$Z,6,FALSE)+VLOOKUP($A187,A:AL,7,FALSE)-50))</f>
        <v>-</v>
      </c>
      <c r="I187" s="3">
        <f>VLOOKUP($A187,'SegEnds_NonXtal_BW#'!$A:$Z,7,FALSE)+J187-50</f>
        <v>59</v>
      </c>
      <c r="J187" s="3">
        <v>72</v>
      </c>
      <c r="K187" s="3">
        <f>VLOOKUP($A187,'SegEnds_NonXtal_BW#'!$A:$Z,8,FALSE)+VLOOKUP($A187,A:AL,10,FALSE)-50</f>
        <v>88</v>
      </c>
      <c r="L187" s="3" t="str">
        <f>IF(ISERROR(VLOOKUP($A187,'SegEnds_NonXtal_BW#'!$A:$Z,9,FALSE)+VLOOKUP($A187,A:AL,13,FALSE)-50),"-",(VLOOKUP($A187,'SegEnds_NonXtal_BW#'!$A:$Z,9,FALSE)+VLOOKUP($A187,A:AL,13,FALSE)-50))</f>
        <v>-</v>
      </c>
      <c r="M187" s="3" t="s">
        <v>23</v>
      </c>
      <c r="N187" s="3" t="str">
        <f>IF(ISERROR(VLOOKUP($A187,'SegEnds_NonXtal_BW#'!$A:$Z,10,FALSE)+VLOOKUP($A187,A:AL,13,FALSE)-50),"-",(VLOOKUP($A187,'SegEnds_NonXtal_BW#'!$A:$Z,10,FALSE)+VLOOKUP($A187,A:AL,13,FALSE)-50))</f>
        <v>-</v>
      </c>
      <c r="O187" s="3">
        <f>VLOOKUP($A187,'SegEnds_NonXtal_BW#'!$A:$Z,11,FALSE)+VLOOKUP($A187,A:AL,16,FALSE)-50</f>
        <v>94</v>
      </c>
      <c r="P187" s="3">
        <v>120</v>
      </c>
      <c r="Q187" s="3">
        <f>VLOOKUP($A187,'SegEnds_NonXtal_BW#'!$A:$Z,12,FALSE)+VLOOKUP($A187,A:AL,16,FALSE)-50</f>
        <v>126</v>
      </c>
      <c r="R187" s="3">
        <f>IF(ISERROR(VLOOKUP($A187,'SegEnds_NonXtal_BW#'!$A:$Z,13,FALSE)+VLOOKUP($A187,A:AL,19,FALSE)-50),"-",VLOOKUP($A187,'SegEnds_NonXtal_BW#'!$A:$Z,13,FALSE)+VLOOKUP($A187,A:AL,19,FALSE)-50)</f>
        <v>127</v>
      </c>
      <c r="S187" s="3">
        <v>127</v>
      </c>
      <c r="T187" s="100">
        <f>IF(ISERROR(VLOOKUP($A187,'SegEnds_NonXtal_BW#'!$A:$Z,14,FALSE)+VLOOKUP($A187,A:AL,19,FALSE)-50),"-",(VLOOKUP($A187,'SegEnds_NonXtal_BW#'!$A:$Z,14,FALSE)+VLOOKUP($A187,A:AL,19,FALSE)-50))</f>
        <v>134</v>
      </c>
      <c r="U187" s="9">
        <f>IF(ISERROR(VLOOKUP($A187,'SegEnds_NonXtal_BW#'!$A:$Z,15,FALSE)+VLOOKUP($A187,A:AL,22,FALSE)-50),"-",VLOOKUP($A187,'SegEnds_NonXtal_BW#'!$A:$Z,15,FALSE)+VLOOKUP($A187,A:AL,22,FALSE)-50)</f>
        <v>135</v>
      </c>
      <c r="V187" s="3">
        <v>147</v>
      </c>
      <c r="W187" s="3">
        <f>IF(ISERROR(VLOOKUP($A187,'SegEnds_NonXtal_BW#'!$A:$Z,16,FALSE)+VLOOKUP($A187,A:AL,22,FALSE)-50),"-",(VLOOKUP($A187,'SegEnds_NonXtal_BW#'!$A:$Z,16,FALSE)+VLOOKUP($A187,A:AL,22,FALSE)-50))</f>
        <v>159</v>
      </c>
      <c r="X187" s="3" t="str">
        <f>IF(ISERROR(VLOOKUP($A187,'SegEnds_NonXtal_BW#'!$A:$Z,17,FALSE)+VLOOKUP($A187,A:AL,25,FALSE)-50),"-",(VLOOKUP($A187,'SegEnds_NonXtal_BW#'!$A:$Z,17,FALSE)+VLOOKUP($A187,A:AL,25,FALSE)-50))</f>
        <v>-</v>
      </c>
      <c r="Y187" s="3" t="s">
        <v>23</v>
      </c>
      <c r="Z187" s="3" t="str">
        <f>IF(ISERROR(VLOOKUP($A187,'SegEnds_NonXtal_BW#'!$A:$Z,18,FALSE)+VLOOKUP($A187,A:AL,25,FALSE)-50),"-",(VLOOKUP($A187,'SegEnds_NonXtal_BW#'!$A:$Z,18,FALSE)+VLOOKUP($A187,A:AL,25,FALSE)-50))</f>
        <v>-</v>
      </c>
      <c r="AA187" s="3">
        <f>IF(ISERROR(VLOOKUP($A187,'SegEnds_NonXtal_BW#'!$A:$Z,19,FALSE)+VLOOKUP($A187,A:AL,28,FALSE)-50),"-",(VLOOKUP($A187,'SegEnds_NonXtal_BW#'!$A:$Z,19,FALSE)+VLOOKUP($A187,A:AL,28,FALSE)-50))</f>
        <v>170</v>
      </c>
      <c r="AB187" s="3">
        <v>189</v>
      </c>
      <c r="AC187" s="3">
        <f>IF(ISERROR((VLOOKUP($A187,'SegEnds_NonXtal_BW#'!$A:$Z,20,FALSE)+VLOOKUP($A187,A:AL,28,FALSE)-50)),"-",(VLOOKUP($A187,'SegEnds_NonXtal_BW#'!$A:$Z,20,FALSE)+VLOOKUP($A187,A:AL,28,FALSE)-50))</f>
        <v>207</v>
      </c>
      <c r="AD187" s="3">
        <f>IF(ISERROR(VLOOKUP($A187,'SegEnds_NonXtal_BW#'!$A:$Z,21,FALSE)+VLOOKUP($A187,A:AL,31,FALSE)-50),"-",(VLOOKUP($A187,'SegEnds_NonXtal_BW#'!$A:$Z,21,FALSE)+VLOOKUP($A187,A:AL,31,FALSE)-50))</f>
        <v>211</v>
      </c>
      <c r="AE187" s="3">
        <v>231</v>
      </c>
      <c r="AF187" s="3">
        <f>IF(ISERROR((VLOOKUP($A187,'SegEnds_NonXtal_BW#'!$A:$Z,22,FALSE)+VLOOKUP($A187,A:AL,31,FALSE)-50)),"-",(VLOOKUP($A187,'SegEnds_NonXtal_BW#'!$A:$Z,22,FALSE)+VLOOKUP($A187,A:AL,31,FALSE)-50))</f>
        <v>242</v>
      </c>
      <c r="AG187" s="3">
        <f>IF(ISERROR(VLOOKUP($A187,'SegEnds_NonXtal_BW#'!$A:$Z,23,FALSE)+VLOOKUP($A187,A:AL,34,FALSE)-50),"-",(VLOOKUP($A187,'SegEnds_NonXtal_BW#'!$A:$Z,23,FALSE)+VLOOKUP($A187,A:AL,34,FALSE)-50))</f>
        <v>250</v>
      </c>
      <c r="AH187" s="3">
        <v>269</v>
      </c>
      <c r="AI187" s="3">
        <f>IF(ISERROR((VLOOKUP($A187,'SegEnds_NonXtal_BW#'!$A:$Z,24,FALSE)+VLOOKUP($A187,A:AL,34,FALSE)-50)),"-",(VLOOKUP($A187,'SegEnds_NonXtal_BW#'!$A:$Z,24,FALSE)+VLOOKUP($A187,A:AL,34,FALSE)-50))</f>
        <v>275</v>
      </c>
      <c r="AJ187" s="3">
        <f>IF(ISERROR(VLOOKUP($A187,'SegEnds_NonXtal_BW#'!$A:$Z,25,FALSE)+VLOOKUP($A187,A:AL,37,FALSE)-50),"-",(VLOOKUP($A187,'SegEnds_NonXtal_BW#'!$A:$Z,25,FALSE)+VLOOKUP($A187,A:AL,37,FALSE)-50))</f>
        <v>276</v>
      </c>
      <c r="AK187" s="3">
        <v>279</v>
      </c>
      <c r="AL187" s="3">
        <f>IF(ISERROR((VLOOKUP($A187,'SegEnds_NonXtal_BW#'!$A:$Z,26,FALSE)+VLOOKUP($A187,A:AL,37,FALSE)-50)),"-",(VLOOKUP($A187,'SegEnds_NonXtal_BW#'!$A:$Z,26,FALSE)+VLOOKUP($A187,A:AL,37,FALSE)-50))</f>
        <v>290</v>
      </c>
      <c r="AM187" s="28" t="str">
        <f>VLOOKUP(A187,Classification!A:B,2,FALSE)</f>
        <v>A</v>
      </c>
      <c r="AN187" s="28" t="b">
        <f t="shared" si="98"/>
        <v>1</v>
      </c>
      <c r="AO187" s="3" t="str">
        <f>IF(ISERROR(MATCH(A187,'SegEnds_Xtal_Prot#'!B:B, 0)), "NoXtal", "Xtal")</f>
        <v>NoXtal</v>
      </c>
      <c r="AP187" s="3" t="str">
        <f t="shared" si="81"/>
        <v>-</v>
      </c>
      <c r="AQ187" s="3" t="str">
        <f t="shared" si="82"/>
        <v>-</v>
      </c>
      <c r="AR187" s="3" t="str">
        <f t="shared" si="83"/>
        <v>-</v>
      </c>
      <c r="AS187" s="3" t="str">
        <f t="shared" si="84"/>
        <v>-</v>
      </c>
      <c r="AT187" s="3">
        <f t="shared" si="85"/>
        <v>1</v>
      </c>
      <c r="AU187" s="3">
        <f t="shared" si="86"/>
        <v>1</v>
      </c>
      <c r="AV187" s="3" t="str">
        <f t="shared" si="87"/>
        <v>-</v>
      </c>
      <c r="AW187" s="3" t="str">
        <f t="shared" si="88"/>
        <v>-</v>
      </c>
      <c r="AX187" s="3">
        <f t="shared" si="89"/>
        <v>4</v>
      </c>
      <c r="AY187" s="3">
        <f t="shared" si="90"/>
        <v>8</v>
      </c>
      <c r="AZ187" s="3">
        <f t="shared" si="91"/>
        <v>1</v>
      </c>
      <c r="BA187" s="3">
        <f>IF(ISERROR(LEN(VLOOKUP(A187,Seqs!A:E,2,FALSE))-AL187),"-",LEN(VLOOKUP(A187,Seqs!A:E,2,FALSE))-AL187)</f>
        <v>32</v>
      </c>
      <c r="BB187" s="16">
        <f t="shared" si="92"/>
        <v>27</v>
      </c>
      <c r="BC187" s="9">
        <f t="shared" si="93"/>
        <v>20</v>
      </c>
      <c r="BD187" s="3">
        <f t="shared" si="94"/>
        <v>27</v>
      </c>
      <c r="BE187" s="3">
        <f t="shared" si="95"/>
        <v>42</v>
      </c>
    </row>
    <row r="188" spans="1:58" s="3" customFormat="1" x14ac:dyDescent="0.2">
      <c r="A188" s="3" t="s">
        <v>308</v>
      </c>
      <c r="B188" s="3" t="str">
        <f>LOWER(VLOOKUP(A188,Xtal_Templ!A:B,2,FALSE))</f>
        <v>s1pr1_human</v>
      </c>
      <c r="C188" s="3">
        <f>VLOOKUP($A188,'SegEnds_NonXtal_BW#'!$A:$Z,3,FALSE)+D188-50</f>
        <v>35</v>
      </c>
      <c r="D188" s="3">
        <v>56</v>
      </c>
      <c r="E188" s="3">
        <f>IF(ISERROR(VLOOKUP($A188,'SegEnds_NonXtal_BW#'!$A:$Z,4,FALSE)+VLOOKUP($A188,A:AL,4,FALSE)-50),"-",(VLOOKUP($A188,'SegEnds_NonXtal_BW#'!$A:$Z,4,FALSE)+VLOOKUP($A188,A:AL,4,FALSE)-50))</f>
        <v>66</v>
      </c>
      <c r="F188" s="3">
        <f t="shared" ref="F188:F195" si="112">G188-2</f>
        <v>67</v>
      </c>
      <c r="G188" s="3">
        <v>69</v>
      </c>
      <c r="H188" s="3">
        <f t="shared" ref="H188:I195" si="113">G188+1</f>
        <v>70</v>
      </c>
      <c r="I188" s="3">
        <f t="shared" si="113"/>
        <v>71</v>
      </c>
      <c r="J188" s="3">
        <v>84</v>
      </c>
      <c r="K188" s="3">
        <f>VLOOKUP($A188,'SegEnds_NonXtal_BW#'!$A:$Z,8,FALSE)+VLOOKUP($A188,A:AL,10,FALSE)-50</f>
        <v>101</v>
      </c>
      <c r="L188" s="3" t="str">
        <f>IF(ISERROR(VLOOKUP($A188,'SegEnds_NonXtal_BW#'!$A:$Z,9,FALSE)+VLOOKUP($A188,A:AL,13,FALSE)-50),"-",(VLOOKUP($A188,'SegEnds_NonXtal_BW#'!$A:$Z,9,FALSE)+VLOOKUP($A188,A:AL,13,FALSE)-50))</f>
        <v>-</v>
      </c>
      <c r="M188" s="3" t="s">
        <v>23</v>
      </c>
      <c r="N188" s="3" t="str">
        <f>IF(ISERROR(VLOOKUP($A188,'SegEnds_NonXtal_BW#'!$A:$Z,10,FALSE)+VLOOKUP($A188,A:AL,13,FALSE)-50),"-",(VLOOKUP($A188,'SegEnds_NonXtal_BW#'!$A:$Z,10,FALSE)+VLOOKUP($A188,A:AL,13,FALSE)-50))</f>
        <v>-</v>
      </c>
      <c r="O188" s="3">
        <f>VLOOKUP($A188,'SegEnds_NonXtal_BW#'!$A:$Z,11,FALSE)+VLOOKUP($A188,A:AL,16,FALSE)-50</f>
        <v>110</v>
      </c>
      <c r="P188" s="3">
        <v>142</v>
      </c>
      <c r="Q188" s="3">
        <f>VLOOKUP($A188,'SegEnds_NonXtal_BW#'!$A:$Z,12,FALSE)+VLOOKUP($A188,A:AL,16,FALSE)-50</f>
        <v>148</v>
      </c>
      <c r="R188" s="3">
        <f>S188</f>
        <v>149</v>
      </c>
      <c r="S188" s="3">
        <v>149</v>
      </c>
      <c r="T188" s="100">
        <f>S188+7</f>
        <v>156</v>
      </c>
      <c r="U188" s="9">
        <f>IF(ISERROR(VLOOKUP($A188,'SegEnds_NonXtal_BW#'!$A:$Z,15,FALSE)+VLOOKUP($A188,A:AL,22,FALSE)-50),"-",VLOOKUP($A188,'SegEnds_NonXtal_BW#'!$A:$Z,15,FALSE)+VLOOKUP($A188,A:AL,22,FALSE)-50)</f>
        <v>157</v>
      </c>
      <c r="V188" s="3">
        <v>169</v>
      </c>
      <c r="W188" s="3">
        <f>IF(ISERROR(VLOOKUP($A188,'SegEnds_NonXtal_BW#'!$A:$Z,16,FALSE)+VLOOKUP($A188,A:AL,22,FALSE)-50),"-",(VLOOKUP($A188,'SegEnds_NonXtal_BW#'!$A:$Z,16,FALSE)+VLOOKUP($A188,A:AL,22,FALSE)-50))</f>
        <v>182</v>
      </c>
      <c r="X188" s="3" t="str">
        <f>IF(ISERROR(VLOOKUP($A188,'SegEnds_NonXtal_BW#'!$A:$Z,17,FALSE)+VLOOKUP($A188,A:AL,25,FALSE)-50),"-",(VLOOKUP($A188,'SegEnds_NonXtal_BW#'!$A:$Z,17,FALSE)+VLOOKUP($A188,A:AL,25,FALSE)-50))</f>
        <v>-</v>
      </c>
      <c r="Y188" s="3" t="s">
        <v>23</v>
      </c>
      <c r="Z188" s="3" t="str">
        <f>IF(ISERROR(VLOOKUP($A188,'SegEnds_NonXtal_BW#'!$A:$Z,18,FALSE)+VLOOKUP($A188,A:AL,25,FALSE)-50),"-",(VLOOKUP($A188,'SegEnds_NonXtal_BW#'!$A:$Z,18,FALSE)+VLOOKUP($A188,A:AL,25,FALSE)-50))</f>
        <v>-</v>
      </c>
      <c r="AA188" s="3">
        <f>IF(ISERROR(VLOOKUP($A188,'SegEnds_NonXtal_BW#'!$A:$Z,19,FALSE)+VLOOKUP($A188,A:AL,28,FALSE)-50),"-",(VLOOKUP($A188,'SegEnds_NonXtal_BW#'!$A:$Z,19,FALSE)+VLOOKUP($A188,A:AL,28,FALSE)-50))</f>
        <v>192</v>
      </c>
      <c r="AB188" s="9">
        <v>209</v>
      </c>
      <c r="AC188" s="3">
        <f>IF(ISERROR((VLOOKUP($A188,'SegEnds_NonXtal_BW#'!$A:$Z,20,FALSE)+VLOOKUP($A188,A:AL,28,FALSE)-50)),"-",(VLOOKUP($A188,'SegEnds_NonXtal_BW#'!$A:$Z,20,FALSE)+VLOOKUP($A188,A:AL,28,FALSE)-50))</f>
        <v>226</v>
      </c>
      <c r="AD188" s="3">
        <f>IF(ISERROR(VLOOKUP($A188,'SegEnds_NonXtal_BW#'!$A:$Z,21,FALSE)+VLOOKUP($A188,A:AL,31,FALSE)-50),"-",(VLOOKUP($A188,'SegEnds_NonXtal_BW#'!$A:$Z,21,FALSE)+VLOOKUP($A188,A:AL,31,FALSE)-50))</f>
        <v>233</v>
      </c>
      <c r="AE188" s="3">
        <v>256</v>
      </c>
      <c r="AF188" s="3">
        <f>IF(ISERROR((VLOOKUP($A188,'SegEnds_NonXtal_BW#'!$A:$Z,22,FALSE)+VLOOKUP($A188,A:AL,31,FALSE)-50)),"-",(VLOOKUP($A188,'SegEnds_NonXtal_BW#'!$A:$Z,22,FALSE)+VLOOKUP($A188,A:AL,31,FALSE)-50))</f>
        <v>267</v>
      </c>
      <c r="AG188" s="3">
        <f>IF(ISERROR(VLOOKUP($A188,'SegEnds_NonXtal_BW#'!$A:$Z,23,FALSE)+VLOOKUP($A188,A:AL,34,FALSE)-50),"-",(VLOOKUP($A188,'SegEnds_NonXtal_BW#'!$A:$Z,23,FALSE)+VLOOKUP($A188,A:AL,34,FALSE)-50))</f>
        <v>275</v>
      </c>
      <c r="AH188" s="3">
        <v>295</v>
      </c>
      <c r="AI188" s="3">
        <f>IF(ISERROR((VLOOKUP($A188,'SegEnds_NonXtal_BW#'!$A:$Z,24,FALSE)+VLOOKUP($A188,A:AL,34,FALSE)-50)),"-",(VLOOKUP($A188,'SegEnds_NonXtal_BW#'!$A:$Z,24,FALSE)+VLOOKUP($A188,A:AL,34,FALSE)-50))</f>
        <v>301</v>
      </c>
      <c r="AJ188" s="3">
        <f>IF(ISERROR(VLOOKUP($A188,'SegEnds_NonXtal_BW#'!$A:$Z,25,FALSE)+VLOOKUP($A188,A:AL,37,FALSE)-50),"-",(VLOOKUP($A188,'SegEnds_NonXtal_BW#'!$A:$Z,25,FALSE)+VLOOKUP($A188,A:AL,37,FALSE)-50))</f>
        <v>302</v>
      </c>
      <c r="AK188" s="3">
        <v>305</v>
      </c>
      <c r="AL188" s="3">
        <f>IF(ISERROR((VLOOKUP($A188,'SegEnds_NonXtal_BW#'!$A:$Z,26,FALSE)+VLOOKUP($A188,A:AL,37,FALSE)-50)),"-",(VLOOKUP($A188,'SegEnds_NonXtal_BW#'!$A:$Z,26,FALSE)+VLOOKUP($A188,A:AL,37,FALSE)-50))</f>
        <v>314</v>
      </c>
      <c r="AM188" s="28" t="str">
        <f>VLOOKUP(A188,Classification!A:B,2,FALSE)</f>
        <v>A</v>
      </c>
      <c r="AN188" s="28" t="b">
        <f t="shared" si="98"/>
        <v>1</v>
      </c>
      <c r="AO188" s="3" t="str">
        <f>IF(ISERROR(MATCH(A188,'SegEnds_Xtal_Prot#'!B:B, 0)), "NoXtal", "Xtal")</f>
        <v>NoXtal</v>
      </c>
      <c r="AP188" s="3">
        <f t="shared" si="81"/>
        <v>1</v>
      </c>
      <c r="AQ188" s="3">
        <f t="shared" si="82"/>
        <v>1</v>
      </c>
      <c r="AR188" s="3" t="str">
        <f t="shared" si="83"/>
        <v>-</v>
      </c>
      <c r="AS188" s="3" t="str">
        <f t="shared" si="84"/>
        <v>-</v>
      </c>
      <c r="AT188" s="3">
        <f t="shared" si="85"/>
        <v>1</v>
      </c>
      <c r="AU188" s="3">
        <f t="shared" si="86"/>
        <v>1</v>
      </c>
      <c r="AV188" s="3" t="str">
        <f t="shared" si="87"/>
        <v>-</v>
      </c>
      <c r="AW188" s="3" t="str">
        <f t="shared" si="88"/>
        <v>-</v>
      </c>
      <c r="AX188" s="3">
        <f t="shared" si="89"/>
        <v>7</v>
      </c>
      <c r="AY188" s="3">
        <f t="shared" si="90"/>
        <v>8</v>
      </c>
      <c r="AZ188" s="3">
        <f t="shared" si="91"/>
        <v>1</v>
      </c>
      <c r="BA188" s="3">
        <f>IF(ISERROR(LEN(VLOOKUP(A188,Seqs!A:E,2,FALSE))-AL188),"-",LEN(VLOOKUP(A188,Seqs!A:E,2,FALSE))-AL188)</f>
        <v>3</v>
      </c>
      <c r="BB188" s="16">
        <f t="shared" si="92"/>
        <v>28</v>
      </c>
      <c r="BC188" s="9">
        <f t="shared" si="93"/>
        <v>20</v>
      </c>
      <c r="BD188" s="3">
        <f t="shared" si="94"/>
        <v>28</v>
      </c>
      <c r="BE188" s="3">
        <f t="shared" si="95"/>
        <v>47</v>
      </c>
      <c r="BF188" s="3">
        <f>AH188-AE188</f>
        <v>39</v>
      </c>
    </row>
    <row r="189" spans="1:58" s="3" customFormat="1" x14ac:dyDescent="0.2">
      <c r="A189" s="3" t="s">
        <v>309</v>
      </c>
      <c r="B189" s="3" t="str">
        <f>LOWER(VLOOKUP(A189,Xtal_Templ!A:B,2,FALSE))</f>
        <v>ntr1_rat</v>
      </c>
      <c r="C189" s="3">
        <f>VLOOKUP($A189,'SegEnds_NonXtal_BW#'!$A:$Z,3,FALSE)+D189-50</f>
        <v>35</v>
      </c>
      <c r="D189" s="3">
        <v>56</v>
      </c>
      <c r="E189" s="3">
        <f>IF(ISERROR(VLOOKUP($A189,'SegEnds_NonXtal_BW#'!$A:$Z,4,FALSE)+VLOOKUP($A189,A:AL,4,FALSE)-50),"-",(VLOOKUP($A189,'SegEnds_NonXtal_BW#'!$A:$Z,4,FALSE)+VLOOKUP($A189,A:AL,4,FALSE)-50))</f>
        <v>66</v>
      </c>
      <c r="F189" s="3">
        <f t="shared" si="112"/>
        <v>67</v>
      </c>
      <c r="G189" s="3">
        <v>69</v>
      </c>
      <c r="H189" s="3">
        <f t="shared" si="113"/>
        <v>70</v>
      </c>
      <c r="I189" s="3">
        <f t="shared" si="113"/>
        <v>71</v>
      </c>
      <c r="J189" s="3">
        <v>84</v>
      </c>
      <c r="K189" s="3">
        <f>VLOOKUP($A189,'SegEnds_NonXtal_BW#'!$A:$Z,8,FALSE)+VLOOKUP($A189,A:AL,10,FALSE)-50</f>
        <v>101</v>
      </c>
      <c r="L189" s="3">
        <f t="shared" ref="L189:L196" si="114">M189-1</f>
        <v>103</v>
      </c>
      <c r="M189" s="3">
        <v>104</v>
      </c>
      <c r="N189" s="3">
        <f t="shared" ref="N189:N196" si="115">M189+2</f>
        <v>106</v>
      </c>
      <c r="O189" s="3">
        <f t="shared" ref="O189:O214" si="116">N189+1</f>
        <v>107</v>
      </c>
      <c r="P189" s="3">
        <v>136</v>
      </c>
      <c r="Q189" s="3">
        <f>VLOOKUP($A189,'SegEnds_NonXtal_BW#'!$A:$Z,12,FALSE)+VLOOKUP($A189,A:AL,16,FALSE)-50</f>
        <v>142</v>
      </c>
      <c r="R189" s="3">
        <f>IF(ISERROR(VLOOKUP($A189,'SegEnds_NonXtal_BW#'!$A:$Z,13,FALSE)+VLOOKUP($A189,A:AL,19,FALSE)-50),"-",VLOOKUP($A189,'SegEnds_NonXtal_BW#'!$A:$Z,13,FALSE)+VLOOKUP($A189,A:AL,19,FALSE)-50)</f>
        <v>143</v>
      </c>
      <c r="S189" s="3">
        <v>143</v>
      </c>
      <c r="T189" s="100">
        <f>IF(ISERROR(VLOOKUP($A189,'SegEnds_NonXtal_BW#'!$A:$Z,14,FALSE)+VLOOKUP($A189,A:AL,19,FALSE)-50),"-",(VLOOKUP($A189,'SegEnds_NonXtal_BW#'!$A:$Z,14,FALSE)+VLOOKUP($A189,A:AL,19,FALSE)-50))</f>
        <v>150</v>
      </c>
      <c r="U189" s="9">
        <f>IF(ISERROR(VLOOKUP($A189,'SegEnds_NonXtal_BW#'!$A:$Z,15,FALSE)+VLOOKUP($A189,A:AL,22,FALSE)-50),"-",VLOOKUP($A189,'SegEnds_NonXtal_BW#'!$A:$Z,15,FALSE)+VLOOKUP($A189,A:AL,22,FALSE)-50)</f>
        <v>151</v>
      </c>
      <c r="V189" s="3">
        <v>163</v>
      </c>
      <c r="W189" s="3">
        <f>IF(ISERROR(VLOOKUP($A189,'SegEnds_NonXtal_BW#'!$A:$Z,16,FALSE)+VLOOKUP($A189,A:AL,22,FALSE)-50),"-",(VLOOKUP($A189,'SegEnds_NonXtal_BW#'!$A:$Z,16,FALSE)+VLOOKUP($A189,A:AL,22,FALSE)-50))</f>
        <v>177</v>
      </c>
      <c r="X189" s="3">
        <f>IF(ISERROR(VLOOKUP($A189,'SegEnds_NonXtal_BW#'!$A:$Z,17,FALSE)+VLOOKUP($A189,A:AL,25,FALSE)-50),"-",(VLOOKUP($A189,'SegEnds_NonXtal_BW#'!$A:$Z,17,FALSE)+VLOOKUP($A189,A:AL,25,FALSE)-50))</f>
        <v>235</v>
      </c>
      <c r="Y189" s="3">
        <v>235</v>
      </c>
      <c r="Z189" s="3">
        <f t="shared" ref="Z189:Z225" si="117">Y189+2</f>
        <v>237</v>
      </c>
      <c r="AA189" s="3">
        <f>IF(ISERROR(VLOOKUP($A189,'SegEnds_NonXtal_BW#'!$A:$Z,19,FALSE)+VLOOKUP($A189,A:AL,28,FALSE)-50),"-",(VLOOKUP($A189,'SegEnds_NonXtal_BW#'!$A:$Z,19,FALSE)+VLOOKUP($A189,A:AL,28,FALSE)-50))</f>
        <v>241</v>
      </c>
      <c r="AB189" s="3">
        <v>259</v>
      </c>
      <c r="AC189" s="3">
        <f>IF(ISERROR((VLOOKUP($A189,'SegEnds_NonXtal_BW#'!$A:$Z,20,FALSE)+VLOOKUP($A189,A:AL,28,FALSE)-50)),"-",(VLOOKUP($A189,'SegEnds_NonXtal_BW#'!$A:$Z,20,FALSE)+VLOOKUP($A189,A:AL,28,FALSE)-50))</f>
        <v>281</v>
      </c>
      <c r="AD189" s="3">
        <f>IF(ISERROR(VLOOKUP($A189,'SegEnds_NonXtal_BW#'!$A:$Z,21,FALSE)+VLOOKUP($A189,A:AL,31,FALSE)-50),"-",(VLOOKUP($A189,'SegEnds_NonXtal_BW#'!$A:$Z,21,FALSE)+VLOOKUP($A189,A:AL,31,FALSE)-50))</f>
        <v>287</v>
      </c>
      <c r="AE189" s="3">
        <v>313</v>
      </c>
      <c r="AF189" s="3">
        <f>IF(ISERROR((VLOOKUP($A189,'SegEnds_NonXtal_BW#'!$A:$Z,22,FALSE)+VLOOKUP($A189,A:AL,31,FALSE)-50)),"-",(VLOOKUP($A189,'SegEnds_NonXtal_BW#'!$A:$Z,22,FALSE)+VLOOKUP($A189,A:AL,31,FALSE)-50))</f>
        <v>324</v>
      </c>
      <c r="AG189" s="3">
        <f>IF(ISERROR(VLOOKUP($A189,'SegEnds_NonXtal_BW#'!$A:$Z,23,FALSE)+VLOOKUP($A189,A:AL,34,FALSE)-50),"-",(VLOOKUP($A189,'SegEnds_NonXtal_BW#'!$A:$Z,23,FALSE)+VLOOKUP($A189,A:AL,34,FALSE)-50))</f>
        <v>326</v>
      </c>
      <c r="AH189" s="3">
        <v>352</v>
      </c>
      <c r="AI189" s="3">
        <f>IF(ISERROR((VLOOKUP($A189,'SegEnds_NonXtal_BW#'!$A:$Z,24,FALSE)+VLOOKUP($A189,A:AL,34,FALSE)-50)),"-",(VLOOKUP($A189,'SegEnds_NonXtal_BW#'!$A:$Z,24,FALSE)+VLOOKUP($A189,A:AL,34,FALSE)-50))</f>
        <v>358</v>
      </c>
      <c r="AJ189" s="3">
        <f>IF(ISERROR(VLOOKUP($A189,'SegEnds_NonXtal_BW#'!$A:$Z,25,FALSE)+VLOOKUP($A189,A:AL,37,FALSE)-50),"-",(VLOOKUP($A189,'SegEnds_NonXtal_BW#'!$A:$Z,25,FALSE)+VLOOKUP($A189,A:AL,37,FALSE)-50))</f>
        <v>359</v>
      </c>
      <c r="AK189" s="3">
        <v>362</v>
      </c>
      <c r="AL189" s="3">
        <f>IF(ISERROR((VLOOKUP($A189,'SegEnds_NonXtal_BW#'!$A:$Z,26,FALSE)+VLOOKUP($A189,A:AL,37,FALSE)-50)),"-",(VLOOKUP($A189,'SegEnds_NonXtal_BW#'!$A:$Z,26,FALSE)+VLOOKUP($A189,A:AL,37,FALSE)-50))</f>
        <v>374</v>
      </c>
      <c r="AM189" s="28" t="str">
        <f>VLOOKUP(A189,Classification!A:B,2,FALSE)</f>
        <v>A</v>
      </c>
      <c r="AN189" s="28" t="b">
        <f t="shared" si="98"/>
        <v>1</v>
      </c>
      <c r="AO189" s="3" t="str">
        <f>IF(ISERROR(MATCH(A189,'SegEnds_Xtal_Prot#'!B:B, 0)), "NoXtal", "Xtal")</f>
        <v>NoXtal</v>
      </c>
      <c r="AP189" s="3">
        <f t="shared" si="81"/>
        <v>1</v>
      </c>
      <c r="AQ189" s="3">
        <f t="shared" si="82"/>
        <v>1</v>
      </c>
      <c r="AR189" s="3">
        <f t="shared" si="83"/>
        <v>2</v>
      </c>
      <c r="AS189" s="3">
        <f t="shared" si="84"/>
        <v>1</v>
      </c>
      <c r="AT189" s="3">
        <f t="shared" si="85"/>
        <v>1</v>
      </c>
      <c r="AU189" s="3">
        <f t="shared" si="86"/>
        <v>1</v>
      </c>
      <c r="AV189" s="3">
        <f t="shared" si="87"/>
        <v>58</v>
      </c>
      <c r="AW189" s="3">
        <f t="shared" si="88"/>
        <v>4</v>
      </c>
      <c r="AX189" s="3">
        <f t="shared" si="89"/>
        <v>6</v>
      </c>
      <c r="AY189" s="3">
        <f t="shared" si="90"/>
        <v>2</v>
      </c>
      <c r="AZ189" s="3">
        <f t="shared" si="91"/>
        <v>1</v>
      </c>
      <c r="BA189" s="3">
        <f>IF(ISERROR(LEN(VLOOKUP(A189,Seqs!A:E,2,FALSE))-AL189),"-",LEN(VLOOKUP(A189,Seqs!A:E,2,FALSE))-AL189)</f>
        <v>38</v>
      </c>
      <c r="BB189" s="16">
        <f t="shared" si="92"/>
        <v>28</v>
      </c>
      <c r="BC189" s="9">
        <f t="shared" si="93"/>
        <v>20</v>
      </c>
      <c r="BD189" s="3">
        <f t="shared" si="94"/>
        <v>28</v>
      </c>
      <c r="BE189" s="3">
        <f t="shared" si="95"/>
        <v>54</v>
      </c>
    </row>
    <row r="190" spans="1:58" s="3" customFormat="1" x14ac:dyDescent="0.2">
      <c r="A190" s="3" t="s">
        <v>310</v>
      </c>
      <c r="B190" s="3" t="str">
        <f>LOWER(VLOOKUP(A190,Xtal_Templ!A:B,2,FALSE))</f>
        <v>mtr1a_human</v>
      </c>
      <c r="C190" s="3">
        <f>VLOOKUP($A190,'SegEnds_NonXtal_BW#'!$A:$Z,3,FALSE)+D190-50</f>
        <v>23</v>
      </c>
      <c r="D190" s="3">
        <v>45</v>
      </c>
      <c r="E190" s="3">
        <f>IF(ISERROR(VLOOKUP($A190,'SegEnds_NonXtal_BW#'!$A:$Z,4,FALSE)+VLOOKUP($A190,A:AL,4,FALSE)-50),"-",(VLOOKUP($A190,'SegEnds_NonXtal_BW#'!$A:$Z,4,FALSE)+VLOOKUP($A190,A:AL,4,FALSE)-50))</f>
        <v>55</v>
      </c>
      <c r="F190" s="3">
        <f t="shared" si="112"/>
        <v>56</v>
      </c>
      <c r="G190" s="3">
        <v>58</v>
      </c>
      <c r="H190" s="3">
        <f t="shared" si="113"/>
        <v>59</v>
      </c>
      <c r="I190" s="3">
        <f t="shared" si="113"/>
        <v>60</v>
      </c>
      <c r="J190" s="3">
        <v>73</v>
      </c>
      <c r="K190" s="3">
        <f>VLOOKUP($A190,'SegEnds_NonXtal_BW#'!$A:$Z,8,FALSE)+VLOOKUP($A190,A:AL,10,FALSE)-50</f>
        <v>91</v>
      </c>
      <c r="L190" s="3">
        <f t="shared" si="114"/>
        <v>92</v>
      </c>
      <c r="M190" s="3">
        <v>93</v>
      </c>
      <c r="N190" s="3">
        <f t="shared" si="115"/>
        <v>95</v>
      </c>
      <c r="O190" s="3">
        <f t="shared" si="116"/>
        <v>96</v>
      </c>
      <c r="P190" s="3">
        <v>125</v>
      </c>
      <c r="Q190" s="3">
        <f>VLOOKUP($A190,'SegEnds_NonXtal_BW#'!$A:$Z,12,FALSE)+VLOOKUP($A190,A:AL,16,FALSE)-50</f>
        <v>131</v>
      </c>
      <c r="R190" s="3">
        <f>IF(ISERROR(VLOOKUP($A190,'SegEnds_NonXtal_BW#'!$A:$Z,13,FALSE)+VLOOKUP($A190,A:AL,19,FALSE)-50),"-",VLOOKUP($A190,'SegEnds_NonXtal_BW#'!$A:$Z,13,FALSE)+VLOOKUP($A190,A:AL,19,FALSE)-50)</f>
        <v>132</v>
      </c>
      <c r="S190" s="3">
        <v>132</v>
      </c>
      <c r="T190" s="100">
        <f>IF(ISERROR(VLOOKUP($A190,'SegEnds_NonXtal_BW#'!$A:$Z,14,FALSE)+VLOOKUP($A190,A:AL,19,FALSE)-50),"-",(VLOOKUP($A190,'SegEnds_NonXtal_BW#'!$A:$Z,14,FALSE)+VLOOKUP($A190,A:AL,19,FALSE)-50))</f>
        <v>139</v>
      </c>
      <c r="U190" s="9">
        <f>IF(ISERROR(VLOOKUP($A190,'SegEnds_NonXtal_BW#'!$A:$Z,15,FALSE)+VLOOKUP($A190,A:AL,22,FALSE)-50),"-",VLOOKUP($A190,'SegEnds_NonXtal_BW#'!$A:$Z,15,FALSE)+VLOOKUP($A190,A:AL,22,FALSE)-50)</f>
        <v>140</v>
      </c>
      <c r="V190" s="3">
        <v>152</v>
      </c>
      <c r="W190" s="3">
        <f>IF(ISERROR(VLOOKUP($A190,'SegEnds_NonXtal_BW#'!$A:$Z,16,FALSE)+VLOOKUP($A190,A:AL,22,FALSE)-50),"-",(VLOOKUP($A190,'SegEnds_NonXtal_BW#'!$A:$Z,16,FALSE)+VLOOKUP($A190,A:AL,22,FALSE)-50))</f>
        <v>166</v>
      </c>
      <c r="X190" s="3">
        <f>IF(ISERROR(VLOOKUP($A190,'SegEnds_NonXtal_BW#'!$A:$Z,17,FALSE)+VLOOKUP($A190,A:AL,25,FALSE)-50),"-",(VLOOKUP($A190,'SegEnds_NonXtal_BW#'!$A:$Z,17,FALSE)+VLOOKUP($A190,A:AL,25,FALSE)-50))</f>
        <v>177</v>
      </c>
      <c r="Y190" s="3">
        <v>177</v>
      </c>
      <c r="Z190" s="3">
        <f t="shared" si="117"/>
        <v>179</v>
      </c>
      <c r="AA190" s="3">
        <f>IF(ISERROR(VLOOKUP($A190,'SegEnds_NonXtal_BW#'!$A:$Z,19,FALSE)+VLOOKUP($A190,A:AL,28,FALSE)-50),"-",(VLOOKUP($A190,'SegEnds_NonXtal_BW#'!$A:$Z,19,FALSE)+VLOOKUP($A190,A:AL,28,FALSE)-50))</f>
        <v>184</v>
      </c>
      <c r="AB190" s="3">
        <v>199</v>
      </c>
      <c r="AC190" s="3">
        <f>IF(ISERROR((VLOOKUP($A190,'SegEnds_NonXtal_BW#'!$A:$Z,20,FALSE)+VLOOKUP($A190,A:AL,28,FALSE)-50)),"-",(VLOOKUP($A190,'SegEnds_NonXtal_BW#'!$A:$Z,20,FALSE)+VLOOKUP($A190,A:AL,28,FALSE)-50))</f>
        <v>221</v>
      </c>
      <c r="AD190" s="3">
        <f>IF(ISERROR(VLOOKUP($A190,'SegEnds_NonXtal_BW#'!$A:$Z,21,FALSE)+VLOOKUP($A190,A:AL,31,FALSE)-50),"-",(VLOOKUP($A190,'SegEnds_NonXtal_BW#'!$A:$Z,21,FALSE)+VLOOKUP($A190,A:AL,31,FALSE)-50))</f>
        <v>227</v>
      </c>
      <c r="AE190" s="3">
        <v>253</v>
      </c>
      <c r="AF190" s="3">
        <f>IF(ISERROR((VLOOKUP($A190,'SegEnds_NonXtal_BW#'!$A:$Z,22,FALSE)+VLOOKUP($A190,A:AL,31,FALSE)-50)),"-",(VLOOKUP($A190,'SegEnds_NonXtal_BW#'!$A:$Z,22,FALSE)+VLOOKUP($A190,A:AL,31,FALSE)-50))</f>
        <v>264</v>
      </c>
      <c r="AG190" s="3">
        <f>IF(ISERROR(VLOOKUP($A190,'SegEnds_NonXtal_BW#'!$A:$Z,23,FALSE)+VLOOKUP($A190,A:AL,34,FALSE)-50),"-",(VLOOKUP($A190,'SegEnds_NonXtal_BW#'!$A:$Z,23,FALSE)+VLOOKUP($A190,A:AL,34,FALSE)-50))</f>
        <v>273</v>
      </c>
      <c r="AH190" s="3">
        <v>292</v>
      </c>
      <c r="AI190" s="3">
        <f>IF(ISERROR((VLOOKUP($A190,'SegEnds_NonXtal_BW#'!$A:$Z,24,FALSE)+VLOOKUP($A190,A:AL,34,FALSE)-50)),"-",(VLOOKUP($A190,'SegEnds_NonXtal_BW#'!$A:$Z,24,FALSE)+VLOOKUP($A190,A:AL,34,FALSE)-50))</f>
        <v>298</v>
      </c>
      <c r="AJ190" s="3">
        <f>IF(ISERROR(VLOOKUP($A190,'SegEnds_NonXtal_BW#'!$A:$Z,25,FALSE)+VLOOKUP($A190,A:AL,37,FALSE)-50),"-",(VLOOKUP($A190,'SegEnds_NonXtal_BW#'!$A:$Z,25,FALSE)+VLOOKUP($A190,A:AL,37,FALSE)-50))</f>
        <v>299</v>
      </c>
      <c r="AK190" s="3">
        <v>302</v>
      </c>
      <c r="AL190" s="3">
        <f>IF(ISERROR((VLOOKUP($A190,'SegEnds_NonXtal_BW#'!$A:$Z,26,FALSE)+VLOOKUP($A190,A:AL,37,FALSE)-50)),"-",(VLOOKUP($A190,'SegEnds_NonXtal_BW#'!$A:$Z,26,FALSE)+VLOOKUP($A190,A:AL,37,FALSE)-50))</f>
        <v>315</v>
      </c>
      <c r="AM190" s="28" t="str">
        <f>VLOOKUP(A190,Classification!A:B,2,FALSE)</f>
        <v>A</v>
      </c>
      <c r="AN190" s="28" t="b">
        <f t="shared" si="98"/>
        <v>1</v>
      </c>
      <c r="AO190" s="3" t="str">
        <f>IF(ISERROR(MATCH(A190,'SegEnds_Xtal_Prot#'!B:B, 0)), "NoXtal", "Xtal")</f>
        <v>Xtal</v>
      </c>
      <c r="AP190" s="3">
        <f t="shared" si="81"/>
        <v>1</v>
      </c>
      <c r="AQ190" s="3">
        <f t="shared" si="82"/>
        <v>1</v>
      </c>
      <c r="AR190" s="3">
        <f t="shared" si="83"/>
        <v>1</v>
      </c>
      <c r="AS190" s="3">
        <f t="shared" si="84"/>
        <v>1</v>
      </c>
      <c r="AT190" s="3">
        <f t="shared" si="85"/>
        <v>1</v>
      </c>
      <c r="AU190" s="3">
        <f t="shared" si="86"/>
        <v>1</v>
      </c>
      <c r="AV190" s="3">
        <f t="shared" si="87"/>
        <v>11</v>
      </c>
      <c r="AW190" s="3">
        <f t="shared" si="88"/>
        <v>5</v>
      </c>
      <c r="AX190" s="3">
        <f t="shared" si="89"/>
        <v>6</v>
      </c>
      <c r="AY190" s="3">
        <f t="shared" si="90"/>
        <v>9</v>
      </c>
      <c r="AZ190" s="3">
        <f t="shared" si="91"/>
        <v>1</v>
      </c>
      <c r="BA190" s="3">
        <f>IF(ISERROR(LEN(VLOOKUP(A190,Seqs!A:E,2,FALSE))-AL190),"-",LEN(VLOOKUP(A190,Seqs!A:E,2,FALSE))-AL190)</f>
        <v>35</v>
      </c>
      <c r="BB190" s="16">
        <f t="shared" si="92"/>
        <v>28</v>
      </c>
      <c r="BC190" s="9">
        <f t="shared" si="93"/>
        <v>20</v>
      </c>
      <c r="BD190" s="3">
        <f t="shared" si="94"/>
        <v>28</v>
      </c>
      <c r="BE190" s="3">
        <f t="shared" si="95"/>
        <v>54</v>
      </c>
    </row>
    <row r="191" spans="1:58" s="3" customFormat="1" x14ac:dyDescent="0.2">
      <c r="A191" s="3" t="s">
        <v>311</v>
      </c>
      <c r="B191" s="3" t="str">
        <f>LOWER(VLOOKUP(A191,Xtal_Templ!A:B,2,FALSE))</f>
        <v>mtr1b_human</v>
      </c>
      <c r="C191" s="3">
        <f>VLOOKUP($A191,'SegEnds_NonXtal_BW#'!$A:$Z,3,FALSE)+D191-50</f>
        <v>38</v>
      </c>
      <c r="D191" s="3">
        <v>58</v>
      </c>
      <c r="E191" s="3">
        <f>IF(ISERROR(VLOOKUP($A191,'SegEnds_NonXtal_BW#'!$A:$Z,4,FALSE)+VLOOKUP($A191,A:AL,4,FALSE)-50),"-",(VLOOKUP($A191,'SegEnds_NonXtal_BW#'!$A:$Z,4,FALSE)+VLOOKUP($A191,A:AL,4,FALSE)-50))</f>
        <v>68</v>
      </c>
      <c r="F191" s="3">
        <f t="shared" si="112"/>
        <v>69</v>
      </c>
      <c r="G191" s="3">
        <v>71</v>
      </c>
      <c r="H191" s="3">
        <f t="shared" si="113"/>
        <v>72</v>
      </c>
      <c r="I191" s="3">
        <f t="shared" si="113"/>
        <v>73</v>
      </c>
      <c r="J191" s="3">
        <v>86</v>
      </c>
      <c r="K191" s="3">
        <f>VLOOKUP($A191,'SegEnds_NonXtal_BW#'!$A:$Z,8,FALSE)+VLOOKUP($A191,A:AL,10,FALSE)-50</f>
        <v>104</v>
      </c>
      <c r="L191" s="3">
        <f t="shared" si="114"/>
        <v>105</v>
      </c>
      <c r="M191" s="3">
        <v>106</v>
      </c>
      <c r="N191" s="3">
        <f t="shared" si="115"/>
        <v>108</v>
      </c>
      <c r="O191" s="3">
        <f t="shared" si="116"/>
        <v>109</v>
      </c>
      <c r="P191" s="3">
        <v>138</v>
      </c>
      <c r="Q191" s="3">
        <f>VLOOKUP($A191,'SegEnds_NonXtal_BW#'!$A:$Z,12,FALSE)+VLOOKUP($A191,A:AL,16,FALSE)-50</f>
        <v>144</v>
      </c>
      <c r="R191" s="3">
        <f>IF(ISERROR(VLOOKUP($A191,'SegEnds_NonXtal_BW#'!$A:$Z,13,FALSE)+VLOOKUP($A191,A:AL,19,FALSE)-50),"-",VLOOKUP($A191,'SegEnds_NonXtal_BW#'!$A:$Z,13,FALSE)+VLOOKUP($A191,A:AL,19,FALSE)-50)</f>
        <v>145</v>
      </c>
      <c r="S191" s="3">
        <v>145</v>
      </c>
      <c r="T191" s="100">
        <f>IF(ISERROR(VLOOKUP($A191,'SegEnds_NonXtal_BW#'!$A:$Z,14,FALSE)+VLOOKUP($A191,A:AL,19,FALSE)-50),"-",(VLOOKUP($A191,'SegEnds_NonXtal_BW#'!$A:$Z,14,FALSE)+VLOOKUP($A191,A:AL,19,FALSE)-50))</f>
        <v>152</v>
      </c>
      <c r="U191" s="9">
        <f>IF(ISERROR(VLOOKUP($A191,'SegEnds_NonXtal_BW#'!$A:$Z,15,FALSE)+VLOOKUP($A191,A:AL,22,FALSE)-50),"-",VLOOKUP($A191,'SegEnds_NonXtal_BW#'!$A:$Z,15,FALSE)+VLOOKUP($A191,A:AL,22,FALSE)-50)</f>
        <v>153</v>
      </c>
      <c r="V191" s="3">
        <v>165</v>
      </c>
      <c r="W191" s="3">
        <f>IF(ISERROR(VLOOKUP($A191,'SegEnds_NonXtal_BW#'!$A:$Z,16,FALSE)+VLOOKUP($A191,A:AL,22,FALSE)-50),"-",(VLOOKUP($A191,'SegEnds_NonXtal_BW#'!$A:$Z,16,FALSE)+VLOOKUP($A191,A:AL,22,FALSE)-50))</f>
        <v>179</v>
      </c>
      <c r="X191" s="3">
        <f>IF(ISERROR(VLOOKUP($A191,'SegEnds_NonXtal_BW#'!$A:$Z,17,FALSE)+VLOOKUP($A191,A:AL,25,FALSE)-50),"-",(VLOOKUP($A191,'SegEnds_NonXtal_BW#'!$A:$Z,17,FALSE)+VLOOKUP($A191,A:AL,25,FALSE)-50))</f>
        <v>190</v>
      </c>
      <c r="Y191" s="3">
        <v>190</v>
      </c>
      <c r="Z191" s="3">
        <f t="shared" si="117"/>
        <v>192</v>
      </c>
      <c r="AA191" s="3">
        <f>IF(ISERROR(VLOOKUP($A191,'SegEnds_NonXtal_BW#'!$A:$Z,19,FALSE)+VLOOKUP($A191,A:AL,28,FALSE)-50),"-",(VLOOKUP($A191,'SegEnds_NonXtal_BW#'!$A:$Z,19,FALSE)+VLOOKUP($A191,A:AL,28,FALSE)-50))</f>
        <v>197</v>
      </c>
      <c r="AB191" s="3">
        <v>212</v>
      </c>
      <c r="AC191" s="3">
        <f>IF(ISERROR((VLOOKUP($A191,'SegEnds_NonXtal_BW#'!$A:$Z,20,FALSE)+VLOOKUP($A191,A:AL,28,FALSE)-50)),"-",(VLOOKUP($A191,'SegEnds_NonXtal_BW#'!$A:$Z,20,FALSE)+VLOOKUP($A191,A:AL,28,FALSE)-50))</f>
        <v>234</v>
      </c>
      <c r="AD191" s="3">
        <f>IF(ISERROR(VLOOKUP($A191,'SegEnds_NonXtal_BW#'!$A:$Z,21,FALSE)+VLOOKUP($A191,A:AL,31,FALSE)-50),"-",(VLOOKUP($A191,'SegEnds_NonXtal_BW#'!$A:$Z,21,FALSE)+VLOOKUP($A191,A:AL,31,FALSE)-50))</f>
        <v>240</v>
      </c>
      <c r="AE191" s="3">
        <v>266</v>
      </c>
      <c r="AF191" s="3">
        <f>IF(ISERROR((VLOOKUP($A191,'SegEnds_NonXtal_BW#'!$A:$Z,22,FALSE)+VLOOKUP($A191,A:AL,31,FALSE)-50)),"-",(VLOOKUP($A191,'SegEnds_NonXtal_BW#'!$A:$Z,22,FALSE)+VLOOKUP($A191,A:AL,31,FALSE)-50))</f>
        <v>277</v>
      </c>
      <c r="AG191" s="3">
        <f>IF(ISERROR(VLOOKUP($A191,'SegEnds_NonXtal_BW#'!$A:$Z,23,FALSE)+VLOOKUP($A191,A:AL,34,FALSE)-50),"-",(VLOOKUP($A191,'SegEnds_NonXtal_BW#'!$A:$Z,23,FALSE)+VLOOKUP($A191,A:AL,34,FALSE)-50))</f>
        <v>286</v>
      </c>
      <c r="AH191" s="3">
        <v>305</v>
      </c>
      <c r="AI191" s="3">
        <f>IF(ISERROR((VLOOKUP($A191,'SegEnds_NonXtal_BW#'!$A:$Z,24,FALSE)+VLOOKUP($A191,A:AL,34,FALSE)-50)),"-",(VLOOKUP($A191,'SegEnds_NonXtal_BW#'!$A:$Z,24,FALSE)+VLOOKUP($A191,A:AL,34,FALSE)-50))</f>
        <v>311</v>
      </c>
      <c r="AJ191" s="3">
        <f>IF(ISERROR(VLOOKUP($A191,'SegEnds_NonXtal_BW#'!$A:$Z,25,FALSE)+VLOOKUP($A191,A:AL,37,FALSE)-50),"-",(VLOOKUP($A191,'SegEnds_NonXtal_BW#'!$A:$Z,25,FALSE)+VLOOKUP($A191,A:AL,37,FALSE)-50))</f>
        <v>312</v>
      </c>
      <c r="AK191" s="3">
        <v>315</v>
      </c>
      <c r="AL191" s="3">
        <f>IF(ISERROR((VLOOKUP($A191,'SegEnds_NonXtal_BW#'!$A:$Z,26,FALSE)+VLOOKUP($A191,A:AL,37,FALSE)-50)),"-",(VLOOKUP($A191,'SegEnds_NonXtal_BW#'!$A:$Z,26,FALSE)+VLOOKUP($A191,A:AL,37,FALSE)-50))</f>
        <v>328</v>
      </c>
      <c r="AM191" s="28" t="str">
        <f>VLOOKUP(A191,Classification!A:B,2,FALSE)</f>
        <v>A</v>
      </c>
      <c r="AN191" s="28" t="b">
        <f t="shared" si="98"/>
        <v>1</v>
      </c>
      <c r="AO191" s="3" t="str">
        <f>IF(ISERROR(MATCH(A191,'SegEnds_Xtal_Prot#'!B:B, 0)), "NoXtal", "Xtal")</f>
        <v>Xtal</v>
      </c>
      <c r="AP191" s="3">
        <f t="shared" si="81"/>
        <v>1</v>
      </c>
      <c r="AQ191" s="3">
        <f t="shared" si="82"/>
        <v>1</v>
      </c>
      <c r="AR191" s="3">
        <f t="shared" si="83"/>
        <v>1</v>
      </c>
      <c r="AS191" s="3">
        <f t="shared" si="84"/>
        <v>1</v>
      </c>
      <c r="AT191" s="3">
        <f t="shared" si="85"/>
        <v>1</v>
      </c>
      <c r="AU191" s="3">
        <f t="shared" si="86"/>
        <v>1</v>
      </c>
      <c r="AV191" s="3">
        <f t="shared" si="87"/>
        <v>11</v>
      </c>
      <c r="AW191" s="3">
        <f t="shared" si="88"/>
        <v>5</v>
      </c>
      <c r="AX191" s="3">
        <f t="shared" si="89"/>
        <v>6</v>
      </c>
      <c r="AY191" s="3">
        <f t="shared" si="90"/>
        <v>9</v>
      </c>
      <c r="AZ191" s="3">
        <f t="shared" si="91"/>
        <v>1</v>
      </c>
      <c r="BA191" s="3">
        <f>IF(ISERROR(LEN(VLOOKUP(A191,Seqs!A:E,2,FALSE))-AL191),"-",LEN(VLOOKUP(A191,Seqs!A:E,2,FALSE))-AL191)</f>
        <v>34</v>
      </c>
      <c r="BB191" s="16">
        <f t="shared" si="92"/>
        <v>28</v>
      </c>
      <c r="BC191" s="9">
        <f t="shared" si="93"/>
        <v>20</v>
      </c>
      <c r="BD191" s="3">
        <f t="shared" si="94"/>
        <v>28</v>
      </c>
      <c r="BE191" s="3">
        <f t="shared" si="95"/>
        <v>54</v>
      </c>
    </row>
    <row r="192" spans="1:58" s="3" customFormat="1" x14ac:dyDescent="0.2">
      <c r="A192" s="3" t="s">
        <v>312</v>
      </c>
      <c r="B192" s="3" t="str">
        <f>LOWER(VLOOKUP(A192,Xtal_Templ!A:B,2,FALSE))</f>
        <v>mtr1a_human</v>
      </c>
      <c r="C192" s="3">
        <f>VLOOKUP($A192,'SegEnds_NonXtal_BW#'!$A:$Z,3,FALSE)+D192-50</f>
        <v>24</v>
      </c>
      <c r="D192" s="3">
        <v>46</v>
      </c>
      <c r="E192" s="3">
        <f>IF(ISERROR(VLOOKUP($A192,'SegEnds_NonXtal_BW#'!$A:$Z,4,FALSE)+VLOOKUP($A192,A:AL,4,FALSE)-50),"-",(VLOOKUP($A192,'SegEnds_NonXtal_BW#'!$A:$Z,4,FALSE)+VLOOKUP($A192,A:AL,4,FALSE)-50))</f>
        <v>56</v>
      </c>
      <c r="F192" s="3">
        <f t="shared" si="112"/>
        <v>57</v>
      </c>
      <c r="G192" s="3">
        <v>59</v>
      </c>
      <c r="H192" s="3">
        <f t="shared" si="113"/>
        <v>60</v>
      </c>
      <c r="I192" s="3">
        <f t="shared" si="113"/>
        <v>61</v>
      </c>
      <c r="J192" s="3">
        <v>74</v>
      </c>
      <c r="K192" s="3">
        <f>VLOOKUP($A192,'SegEnds_NonXtal_BW#'!$A:$Z,8,FALSE)+VLOOKUP($A192,A:AL,10,FALSE)-50</f>
        <v>92</v>
      </c>
      <c r="L192" s="3">
        <f t="shared" si="114"/>
        <v>93</v>
      </c>
      <c r="M192" s="3">
        <v>94</v>
      </c>
      <c r="N192" s="3">
        <f t="shared" si="115"/>
        <v>96</v>
      </c>
      <c r="O192" s="3">
        <f t="shared" si="116"/>
        <v>97</v>
      </c>
      <c r="P192" s="3">
        <v>126</v>
      </c>
      <c r="Q192" s="3">
        <f>VLOOKUP($A192,'SegEnds_NonXtal_BW#'!$A:$Z,12,FALSE)+VLOOKUP($A192,A:AL,16,FALSE)-50</f>
        <v>132</v>
      </c>
      <c r="R192" s="3">
        <f>IF(ISERROR(VLOOKUP($A192,'SegEnds_NonXtal_BW#'!$A:$Z,13,FALSE)+VLOOKUP($A192,A:AL,19,FALSE)-50),"-",VLOOKUP($A192,'SegEnds_NonXtal_BW#'!$A:$Z,13,FALSE)+VLOOKUP($A192,A:AL,19,FALSE)-50)</f>
        <v>133</v>
      </c>
      <c r="S192" s="3">
        <v>133</v>
      </c>
      <c r="T192" s="100">
        <f>IF(ISERROR(VLOOKUP($A192,'SegEnds_NonXtal_BW#'!$A:$Z,14,FALSE)+VLOOKUP($A192,A:AL,19,FALSE)-50),"-",(VLOOKUP($A192,'SegEnds_NonXtal_BW#'!$A:$Z,14,FALSE)+VLOOKUP($A192,A:AL,19,FALSE)-50))</f>
        <v>140</v>
      </c>
      <c r="U192" s="9">
        <f>IF(ISERROR(VLOOKUP($A192,'SegEnds_NonXtal_BW#'!$A:$Z,15,FALSE)+VLOOKUP($A192,A:AL,22,FALSE)-50),"-",VLOOKUP($A192,'SegEnds_NonXtal_BW#'!$A:$Z,15,FALSE)+VLOOKUP($A192,A:AL,22,FALSE)-50)</f>
        <v>141</v>
      </c>
      <c r="V192" s="3">
        <v>153</v>
      </c>
      <c r="W192" s="3">
        <f>IF(ISERROR(VLOOKUP($A192,'SegEnds_NonXtal_BW#'!$A:$Z,16,FALSE)+VLOOKUP($A192,A:AL,22,FALSE)-50),"-",(VLOOKUP($A192,'SegEnds_NonXtal_BW#'!$A:$Z,16,FALSE)+VLOOKUP($A192,A:AL,22,FALSE)-50))</f>
        <v>167</v>
      </c>
      <c r="X192" s="3">
        <f>IF(ISERROR(VLOOKUP($A192,'SegEnds_NonXtal_BW#'!$A:$Z,17,FALSE)+VLOOKUP($A192,A:AL,25,FALSE)-50),"-",(VLOOKUP($A192,'SegEnds_NonXtal_BW#'!$A:$Z,17,FALSE)+VLOOKUP($A192,A:AL,25,FALSE)-50))</f>
        <v>178</v>
      </c>
      <c r="Y192" s="3">
        <v>178</v>
      </c>
      <c r="Z192" s="3">
        <f t="shared" si="117"/>
        <v>180</v>
      </c>
      <c r="AA192" s="3">
        <f>IF(ISERROR(VLOOKUP($A192,'SegEnds_NonXtal_BW#'!$A:$Z,19,FALSE)+VLOOKUP($A192,A:AL,28,FALSE)-50),"-",(VLOOKUP($A192,'SegEnds_NonXtal_BW#'!$A:$Z,19,FALSE)+VLOOKUP($A192,A:AL,28,FALSE)-50))</f>
        <v>185</v>
      </c>
      <c r="AB192" s="3">
        <v>200</v>
      </c>
      <c r="AC192" s="3">
        <f>IF(ISERROR((VLOOKUP($A192,'SegEnds_NonXtal_BW#'!$A:$Z,20,FALSE)+VLOOKUP($A192,A:AL,28,FALSE)-50)),"-",(VLOOKUP($A192,'SegEnds_NonXtal_BW#'!$A:$Z,20,FALSE)+VLOOKUP($A192,A:AL,28,FALSE)-50))</f>
        <v>222</v>
      </c>
      <c r="AD192" s="3">
        <f>IF(ISERROR(VLOOKUP($A192,'SegEnds_NonXtal_BW#'!$A:$Z,21,FALSE)+VLOOKUP($A192,A:AL,31,FALSE)-50),"-",(VLOOKUP($A192,'SegEnds_NonXtal_BW#'!$A:$Z,21,FALSE)+VLOOKUP($A192,A:AL,31,FALSE)-50))</f>
        <v>225</v>
      </c>
      <c r="AE192" s="3">
        <v>252</v>
      </c>
      <c r="AF192" s="3">
        <f>IF(ISERROR((VLOOKUP($A192,'SegEnds_NonXtal_BW#'!$A:$Z,22,FALSE)+VLOOKUP($A192,A:AL,31,FALSE)-50)),"-",(VLOOKUP($A192,'SegEnds_NonXtal_BW#'!$A:$Z,22,FALSE)+VLOOKUP($A192,A:AL,31,FALSE)-50))</f>
        <v>263</v>
      </c>
      <c r="AG192" s="3">
        <f>IF(ISERROR(VLOOKUP($A192,'SegEnds_NonXtal_BW#'!$A:$Z,23,FALSE)+VLOOKUP($A192,A:AL,34,FALSE)-50),"-",(VLOOKUP($A192,'SegEnds_NonXtal_BW#'!$A:$Z,23,FALSE)+VLOOKUP($A192,A:AL,34,FALSE)-50))</f>
        <v>272</v>
      </c>
      <c r="AH192" s="3">
        <v>291</v>
      </c>
      <c r="AI192" s="3">
        <f>IF(ISERROR((VLOOKUP($A192,'SegEnds_NonXtal_BW#'!$A:$Z,24,FALSE)+VLOOKUP($A192,A:AL,34,FALSE)-50)),"-",(VLOOKUP($A192,'SegEnds_NonXtal_BW#'!$A:$Z,24,FALSE)+VLOOKUP($A192,A:AL,34,FALSE)-50))</f>
        <v>297</v>
      </c>
      <c r="AJ192" s="3">
        <f>IF(ISERROR(VLOOKUP($A192,'SegEnds_NonXtal_BW#'!$A:$Z,25,FALSE)+VLOOKUP($A192,A:AL,37,FALSE)-50),"-",(VLOOKUP($A192,'SegEnds_NonXtal_BW#'!$A:$Z,25,FALSE)+VLOOKUP($A192,A:AL,37,FALSE)-50))</f>
        <v>298</v>
      </c>
      <c r="AK192" s="3">
        <v>301</v>
      </c>
      <c r="AL192" s="3">
        <f>IF(ISERROR((VLOOKUP($A192,'SegEnds_NonXtal_BW#'!$A:$Z,26,FALSE)+VLOOKUP($A192,A:AL,37,FALSE)-50)),"-",(VLOOKUP($A192,'SegEnds_NonXtal_BW#'!$A:$Z,26,FALSE)+VLOOKUP($A192,A:AL,37,FALSE)-50))</f>
        <v>314</v>
      </c>
      <c r="AM192" s="28" t="str">
        <f>VLOOKUP(A192,Classification!A:B,2,FALSE)</f>
        <v>A</v>
      </c>
      <c r="AN192" s="28" t="b">
        <f t="shared" si="98"/>
        <v>1</v>
      </c>
      <c r="AO192" s="3" t="str">
        <f>IF(ISERROR(MATCH(A192,'SegEnds_Xtal_Prot#'!B:B, 0)), "NoXtal", "Xtal")</f>
        <v>NoXtal</v>
      </c>
      <c r="AP192" s="3">
        <f t="shared" si="81"/>
        <v>1</v>
      </c>
      <c r="AQ192" s="3">
        <f t="shared" si="82"/>
        <v>1</v>
      </c>
      <c r="AR192" s="3">
        <f t="shared" si="83"/>
        <v>1</v>
      </c>
      <c r="AS192" s="3">
        <f t="shared" si="84"/>
        <v>1</v>
      </c>
      <c r="AT192" s="3">
        <f t="shared" si="85"/>
        <v>1</v>
      </c>
      <c r="AU192" s="3">
        <f t="shared" si="86"/>
        <v>1</v>
      </c>
      <c r="AV192" s="3">
        <f t="shared" si="87"/>
        <v>11</v>
      </c>
      <c r="AW192" s="3">
        <f t="shared" si="88"/>
        <v>5</v>
      </c>
      <c r="AX192" s="3">
        <f t="shared" si="89"/>
        <v>3</v>
      </c>
      <c r="AY192" s="3">
        <f t="shared" si="90"/>
        <v>9</v>
      </c>
      <c r="AZ192" s="3">
        <f t="shared" si="91"/>
        <v>1</v>
      </c>
      <c r="BA192" s="3">
        <f>IF(ISERROR(LEN(VLOOKUP(A192,Seqs!A:E,2,FALSE))-AL192),"-",LEN(VLOOKUP(A192,Seqs!A:E,2,FALSE))-AL192)</f>
        <v>303</v>
      </c>
      <c r="BB192" s="16">
        <f t="shared" si="92"/>
        <v>28</v>
      </c>
      <c r="BC192" s="9">
        <f t="shared" si="93"/>
        <v>20</v>
      </c>
      <c r="BD192" s="3">
        <f t="shared" si="94"/>
        <v>28</v>
      </c>
      <c r="BE192" s="3">
        <f t="shared" si="95"/>
        <v>52</v>
      </c>
    </row>
    <row r="193" spans="1:57" s="3" customFormat="1" x14ac:dyDescent="0.2">
      <c r="A193" s="3" t="s">
        <v>316</v>
      </c>
      <c r="B193" s="3" t="str">
        <f>LOWER(VLOOKUP(A193,Xtal_Templ!A:B,2,FALSE))</f>
        <v>ednrb_human</v>
      </c>
      <c r="C193" s="3">
        <f>VLOOKUP($A193,'SegEnds_NonXtal_BW#'!$A:$Z,3,FALSE)+D193-50</f>
        <v>33</v>
      </c>
      <c r="D193" s="3">
        <v>61</v>
      </c>
      <c r="E193" s="3">
        <f>IF(ISERROR(VLOOKUP($A193,'SegEnds_NonXtal_BW#'!$A:$Z,4,FALSE)+VLOOKUP($A193,A:AL,4,FALSE)-50),"-",(VLOOKUP($A193,'SegEnds_NonXtal_BW#'!$A:$Z,4,FALSE)+VLOOKUP($A193,A:AL,4,FALSE)-50))</f>
        <v>71</v>
      </c>
      <c r="F193" s="3">
        <f t="shared" si="112"/>
        <v>72</v>
      </c>
      <c r="G193" s="3">
        <v>74</v>
      </c>
      <c r="H193" s="3">
        <f t="shared" si="113"/>
        <v>75</v>
      </c>
      <c r="I193" s="3">
        <f t="shared" si="113"/>
        <v>76</v>
      </c>
      <c r="J193" s="3">
        <v>89</v>
      </c>
      <c r="K193" s="3">
        <f>VLOOKUP($A193,'SegEnds_NonXtal_BW#'!$A:$Z,8,FALSE)+VLOOKUP($A193,A:AL,10,FALSE)-50</f>
        <v>106</v>
      </c>
      <c r="L193" s="3">
        <f t="shared" si="114"/>
        <v>108</v>
      </c>
      <c r="M193" s="3">
        <v>109</v>
      </c>
      <c r="N193" s="3">
        <f t="shared" si="115"/>
        <v>111</v>
      </c>
      <c r="O193" s="3">
        <f t="shared" si="116"/>
        <v>112</v>
      </c>
      <c r="P193" s="3">
        <v>141</v>
      </c>
      <c r="Q193" s="3">
        <f>VLOOKUP($A193,'SegEnds_NonXtal_BW#'!$A:$Z,12,FALSE)+VLOOKUP($A193,A:AL,16,FALSE)-50</f>
        <v>147</v>
      </c>
      <c r="R193" s="3">
        <f>IF(ISERROR(VLOOKUP($A193,'SegEnds_NonXtal_BW#'!$A:$Z,13,FALSE)+VLOOKUP($A193,A:AL,19,FALSE)-50),"-",VLOOKUP($A193,'SegEnds_NonXtal_BW#'!$A:$Z,13,FALSE)+VLOOKUP($A193,A:AL,19,FALSE)-50)</f>
        <v>148</v>
      </c>
      <c r="S193" s="3">
        <v>148</v>
      </c>
      <c r="T193" s="100">
        <f>IF(ISERROR(VLOOKUP($A193,'SegEnds_NonXtal_BW#'!$A:$Z,14,FALSE)+VLOOKUP($A193,A:AL,19,FALSE)-50),"-",(VLOOKUP($A193,'SegEnds_NonXtal_BW#'!$A:$Z,14,FALSE)+VLOOKUP($A193,A:AL,19,FALSE)-50))</f>
        <v>155</v>
      </c>
      <c r="U193" s="9">
        <f>IF(ISERROR(VLOOKUP($A193,'SegEnds_NonXtal_BW#'!$A:$Z,15,FALSE)+VLOOKUP($A193,A:AL,22,FALSE)-50),"-",VLOOKUP($A193,'SegEnds_NonXtal_BW#'!$A:$Z,15,FALSE)+VLOOKUP($A193,A:AL,22,FALSE)-50)</f>
        <v>156</v>
      </c>
      <c r="V193" s="3">
        <v>168</v>
      </c>
      <c r="W193" s="3">
        <f>IF(ISERROR(VLOOKUP($A193,'SegEnds_NonXtal_BW#'!$A:$Z,16,FALSE)+VLOOKUP($A193,A:AL,22,FALSE)-50),"-",(VLOOKUP($A193,'SegEnds_NonXtal_BW#'!$A:$Z,16,FALSE)+VLOOKUP($A193,A:AL,22,FALSE)-50))</f>
        <v>182</v>
      </c>
      <c r="X193" s="3">
        <f>IF(ISERROR(VLOOKUP($A193,'SegEnds_NonXtal_BW#'!$A:$Z,17,FALSE)+VLOOKUP($A193,A:AL,25,FALSE)-50),"-",(VLOOKUP($A193,'SegEnds_NonXtal_BW#'!$A:$Z,17,FALSE)+VLOOKUP($A193,A:AL,25,FALSE)-50))</f>
        <v>198</v>
      </c>
      <c r="Y193" s="3">
        <v>198</v>
      </c>
      <c r="Z193" s="3">
        <f t="shared" si="117"/>
        <v>200</v>
      </c>
      <c r="AA193" s="3">
        <f>IF(ISERROR(VLOOKUP($A193,'SegEnds_NonXtal_BW#'!$A:$Z,19,FALSE)+VLOOKUP($A193,A:AL,28,FALSE)-50),"-",(VLOOKUP($A193,'SegEnds_NonXtal_BW#'!$A:$Z,19,FALSE)+VLOOKUP($A193,A:AL,28,FALSE)-50))</f>
        <v>202</v>
      </c>
      <c r="AB193" s="3">
        <v>224</v>
      </c>
      <c r="AC193" s="3">
        <f>IF(ISERROR((VLOOKUP($A193,'SegEnds_NonXtal_BW#'!$A:$Z,20,FALSE)+VLOOKUP($A193,A:AL,28,FALSE)-50)),"-",(VLOOKUP($A193,'SegEnds_NonXtal_BW#'!$A:$Z,20,FALSE)+VLOOKUP($A193,A:AL,28,FALSE)-50))</f>
        <v>247</v>
      </c>
      <c r="AD193" s="3">
        <f>IF(ISERROR(VLOOKUP($A193,'SegEnds_NonXtal_BW#'!$A:$Z,21,FALSE)+VLOOKUP($A193,A:AL,31,FALSE)-50),"-",(VLOOKUP($A193,'SegEnds_NonXtal_BW#'!$A:$Z,21,FALSE)+VLOOKUP($A193,A:AL,31,FALSE)-50))</f>
        <v>253</v>
      </c>
      <c r="AE193" s="3">
        <v>281</v>
      </c>
      <c r="AF193" s="3">
        <f>IF(ISERROR((VLOOKUP($A193,'SegEnds_NonXtal_BW#'!$A:$Z,22,FALSE)+VLOOKUP($A193,A:AL,31,FALSE)-50)),"-",(VLOOKUP($A193,'SegEnds_NonXtal_BW#'!$A:$Z,22,FALSE)+VLOOKUP($A193,A:AL,31,FALSE)-50))</f>
        <v>292</v>
      </c>
      <c r="AG193" s="3">
        <f>IF(ISERROR(VLOOKUP($A193,'SegEnds_NonXtal_BW#'!$A:$Z,23,FALSE)+VLOOKUP($A193,A:AL,34,FALSE)-50),"-",(VLOOKUP($A193,'SegEnds_NonXtal_BW#'!$A:$Z,23,FALSE)+VLOOKUP($A193,A:AL,34,FALSE)-50))</f>
        <v>299</v>
      </c>
      <c r="AH193" s="3">
        <v>321</v>
      </c>
      <c r="AI193" s="3">
        <f>IF(ISERROR((VLOOKUP($A193,'SegEnds_NonXtal_BW#'!$A:$Z,24,FALSE)+VLOOKUP($A193,A:AL,34,FALSE)-50)),"-",(VLOOKUP($A193,'SegEnds_NonXtal_BW#'!$A:$Z,24,FALSE)+VLOOKUP($A193,A:AL,34,FALSE)-50))</f>
        <v>327</v>
      </c>
      <c r="AJ193" s="3">
        <f>IF(ISERROR(VLOOKUP($A193,'SegEnds_NonXtal_BW#'!$A:$Z,25,FALSE)+VLOOKUP($A193,A:AL,37,FALSE)-50),"-",(VLOOKUP($A193,'SegEnds_NonXtal_BW#'!$A:$Z,25,FALSE)+VLOOKUP($A193,A:AL,37,FALSE)-50))</f>
        <v>328</v>
      </c>
      <c r="AK193" s="3">
        <v>331</v>
      </c>
      <c r="AL193" s="3">
        <f>IF(ISERROR((VLOOKUP($A193,'SegEnds_NonXtal_BW#'!$A:$Z,26,FALSE)+VLOOKUP($A193,A:AL,37,FALSE)-50)),"-",(VLOOKUP($A193,'SegEnds_NonXtal_BW#'!$A:$Z,26,FALSE)+VLOOKUP($A193,A:AL,37,FALSE)-50))</f>
        <v>341</v>
      </c>
      <c r="AM193" s="28" t="str">
        <f>VLOOKUP(A193,Classification!A:B,2,FALSE)</f>
        <v>A</v>
      </c>
      <c r="AN193" s="28" t="b">
        <f t="shared" si="98"/>
        <v>1</v>
      </c>
      <c r="AO193" s="3" t="str">
        <f>IF(ISERROR(MATCH(A193,'SegEnds_Xtal_Prot#'!B:B, 0)), "NoXtal", "Xtal")</f>
        <v>NoXtal</v>
      </c>
      <c r="AP193" s="3">
        <f t="shared" si="81"/>
        <v>1</v>
      </c>
      <c r="AQ193" s="3">
        <f t="shared" si="82"/>
        <v>1</v>
      </c>
      <c r="AR193" s="3">
        <f t="shared" si="83"/>
        <v>2</v>
      </c>
      <c r="AS193" s="3">
        <f t="shared" si="84"/>
        <v>1</v>
      </c>
      <c r="AT193" s="3">
        <f t="shared" si="85"/>
        <v>1</v>
      </c>
      <c r="AU193" s="3">
        <f t="shared" si="86"/>
        <v>1</v>
      </c>
      <c r="AV193" s="3">
        <f t="shared" si="87"/>
        <v>16</v>
      </c>
      <c r="AW193" s="3">
        <f t="shared" si="88"/>
        <v>2</v>
      </c>
      <c r="AX193" s="3">
        <f t="shared" si="89"/>
        <v>6</v>
      </c>
      <c r="AY193" s="3">
        <f t="shared" si="90"/>
        <v>7</v>
      </c>
      <c r="AZ193" s="3">
        <f t="shared" si="91"/>
        <v>1</v>
      </c>
      <c r="BA193" s="3">
        <f>IF(ISERROR(LEN(VLOOKUP(A193,Seqs!A:E,2,FALSE))-AL193),"-",LEN(VLOOKUP(A193,Seqs!A:E,2,FALSE))-AL193)</f>
        <v>49</v>
      </c>
      <c r="BB193" s="16">
        <f t="shared" si="92"/>
        <v>28</v>
      </c>
      <c r="BC193" s="9">
        <f t="shared" si="93"/>
        <v>20</v>
      </c>
      <c r="BD193" s="3">
        <f t="shared" si="94"/>
        <v>28</v>
      </c>
      <c r="BE193" s="3">
        <f t="shared" si="95"/>
        <v>57</v>
      </c>
    </row>
    <row r="194" spans="1:57" s="3" customFormat="1" x14ac:dyDescent="0.2">
      <c r="A194" s="3" t="s">
        <v>317</v>
      </c>
      <c r="B194" s="3" t="str">
        <f>LOWER(VLOOKUP(A194,Xtal_Templ!A:B,2,FALSE))</f>
        <v>ntr1_rat</v>
      </c>
      <c r="C194" s="3">
        <f>VLOOKUP($A194,'SegEnds_NonXtal_BW#'!$A:$Z,3,FALSE)+D194-50</f>
        <v>57</v>
      </c>
      <c r="D194" s="3">
        <v>78</v>
      </c>
      <c r="E194" s="3">
        <f>IF(ISERROR(VLOOKUP($A194,'SegEnds_NonXtal_BW#'!$A:$Z,4,FALSE)+VLOOKUP($A194,A:AL,4,FALSE)-50),"-",(VLOOKUP($A194,'SegEnds_NonXtal_BW#'!$A:$Z,4,FALSE)+VLOOKUP($A194,A:AL,4,FALSE)-50))</f>
        <v>88</v>
      </c>
      <c r="F194" s="3">
        <f t="shared" si="112"/>
        <v>89</v>
      </c>
      <c r="G194" s="3">
        <v>91</v>
      </c>
      <c r="H194" s="3">
        <f t="shared" si="113"/>
        <v>92</v>
      </c>
      <c r="I194" s="3">
        <f t="shared" si="113"/>
        <v>93</v>
      </c>
      <c r="J194" s="3">
        <v>106</v>
      </c>
      <c r="K194" s="3">
        <f>VLOOKUP($A194,'SegEnds_NonXtal_BW#'!$A:$Z,8,FALSE)+VLOOKUP($A194,A:AL,10,FALSE)-50</f>
        <v>122</v>
      </c>
      <c r="L194" s="3">
        <f t="shared" si="114"/>
        <v>124</v>
      </c>
      <c r="M194" s="3">
        <v>125</v>
      </c>
      <c r="N194" s="3">
        <f t="shared" si="115"/>
        <v>127</v>
      </c>
      <c r="O194" s="3">
        <f t="shared" si="116"/>
        <v>128</v>
      </c>
      <c r="P194" s="3">
        <v>159</v>
      </c>
      <c r="Q194" s="3">
        <f>VLOOKUP($A194,'SegEnds_NonXtal_BW#'!$A:$Z,12,FALSE)+VLOOKUP($A194,A:AL,16,FALSE)-50</f>
        <v>165</v>
      </c>
      <c r="R194" s="3">
        <f>IF(ISERROR(VLOOKUP($A194,'SegEnds_NonXtal_BW#'!$A:$Z,13,FALSE)+VLOOKUP($A194,A:AL,19,FALSE)-50),"-",VLOOKUP($A194,'SegEnds_NonXtal_BW#'!$A:$Z,13,FALSE)+VLOOKUP($A194,A:AL,19,FALSE)-50)</f>
        <v>166</v>
      </c>
      <c r="S194" s="3">
        <v>166</v>
      </c>
      <c r="T194" s="100">
        <f>IF(ISERROR(VLOOKUP($A194,'SegEnds_NonXtal_BW#'!$A:$Z,14,FALSE)+VLOOKUP($A194,A:AL,19,FALSE)-50),"-",(VLOOKUP($A194,'SegEnds_NonXtal_BW#'!$A:$Z,14,FALSE)+VLOOKUP($A194,A:AL,19,FALSE)-50))</f>
        <v>173</v>
      </c>
      <c r="U194" s="9">
        <f>IF(ISERROR(VLOOKUP($A194,'SegEnds_NonXtal_BW#'!$A:$Z,15,FALSE)+VLOOKUP($A194,A:AL,22,FALSE)-50),"-",VLOOKUP($A194,'SegEnds_NonXtal_BW#'!$A:$Z,15,FALSE)+VLOOKUP($A194,A:AL,22,FALSE)-50)</f>
        <v>174</v>
      </c>
      <c r="V194" s="3">
        <v>186</v>
      </c>
      <c r="W194" s="3">
        <f>IF(ISERROR(VLOOKUP($A194,'SegEnds_NonXtal_BW#'!$A:$Z,16,FALSE)+VLOOKUP($A194,A:AL,22,FALSE)-50),"-",(VLOOKUP($A194,'SegEnds_NonXtal_BW#'!$A:$Z,16,FALSE)+VLOOKUP($A194,A:AL,22,FALSE)-50))</f>
        <v>200</v>
      </c>
      <c r="X194" s="3">
        <f>IF(ISERROR(VLOOKUP($A194,'SegEnds_NonXtal_BW#'!$A:$Z,17,FALSE)+VLOOKUP($A194,A:AL,25,FALSE)-50),"-",(VLOOKUP($A194,'SegEnds_NonXtal_BW#'!$A:$Z,17,FALSE)+VLOOKUP($A194,A:AL,25,FALSE)-50))</f>
        <v>219</v>
      </c>
      <c r="Y194" s="3">
        <v>219</v>
      </c>
      <c r="Z194" s="3">
        <f t="shared" si="117"/>
        <v>221</v>
      </c>
      <c r="AA194" s="3">
        <f>IF(ISERROR(VLOOKUP($A194,'SegEnds_NonXtal_BW#'!$A:$Z,19,FALSE)+VLOOKUP($A194,A:AL,28,FALSE)-50),"-",(VLOOKUP($A194,'SegEnds_NonXtal_BW#'!$A:$Z,19,FALSE)+VLOOKUP($A194,A:AL,28,FALSE)-50))</f>
        <v>225</v>
      </c>
      <c r="AB194" s="3">
        <v>243</v>
      </c>
      <c r="AC194" s="3">
        <f>IF(ISERROR((VLOOKUP($A194,'SegEnds_NonXtal_BW#'!$A:$Z,20,FALSE)+VLOOKUP($A194,A:AL,28,FALSE)-50)),"-",(VLOOKUP($A194,'SegEnds_NonXtal_BW#'!$A:$Z,20,FALSE)+VLOOKUP($A194,A:AL,28,FALSE)-50))</f>
        <v>269</v>
      </c>
      <c r="AD194" s="3">
        <f>IF(ISERROR(VLOOKUP($A194,'SegEnds_NonXtal_BW#'!$A:$Z,21,FALSE)+VLOOKUP($A194,A:AL,31,FALSE)-50),"-",(VLOOKUP($A194,'SegEnds_NonXtal_BW#'!$A:$Z,21,FALSE)+VLOOKUP($A194,A:AL,31,FALSE)-50))</f>
        <v>286</v>
      </c>
      <c r="AE194" s="3">
        <v>312</v>
      </c>
      <c r="AF194" s="3">
        <f>IF(ISERROR((VLOOKUP($A194,'SegEnds_NonXtal_BW#'!$A:$Z,22,FALSE)+VLOOKUP($A194,A:AL,31,FALSE)-50)),"-",(VLOOKUP($A194,'SegEnds_NonXtal_BW#'!$A:$Z,22,FALSE)+VLOOKUP($A194,A:AL,31,FALSE)-50))</f>
        <v>323</v>
      </c>
      <c r="AG194" s="3">
        <f>IF(ISERROR(VLOOKUP($A194,'SegEnds_NonXtal_BW#'!$A:$Z,23,FALSE)+VLOOKUP($A194,A:AL,34,FALSE)-50),"-",(VLOOKUP($A194,'SegEnds_NonXtal_BW#'!$A:$Z,23,FALSE)+VLOOKUP($A194,A:AL,34,FALSE)-50))</f>
        <v>331</v>
      </c>
      <c r="AH194" s="3">
        <v>353</v>
      </c>
      <c r="AI194" s="3">
        <f>IF(ISERROR((VLOOKUP($A194,'SegEnds_NonXtal_BW#'!$A:$Z,24,FALSE)+VLOOKUP($A194,A:AL,34,FALSE)-50)),"-",(VLOOKUP($A194,'SegEnds_NonXtal_BW#'!$A:$Z,24,FALSE)+VLOOKUP($A194,A:AL,34,FALSE)-50))</f>
        <v>359</v>
      </c>
      <c r="AJ194" s="3">
        <f>IF(ISERROR(VLOOKUP($A194,'SegEnds_NonXtal_BW#'!$A:$Z,25,FALSE)+VLOOKUP($A194,A:AL,37,FALSE)-50),"-",(VLOOKUP($A194,'SegEnds_NonXtal_BW#'!$A:$Z,25,FALSE)+VLOOKUP($A194,A:AL,37,FALSE)-50))</f>
        <v>360</v>
      </c>
      <c r="AK194" s="3">
        <v>363</v>
      </c>
      <c r="AL194" s="3">
        <f>IF(ISERROR((VLOOKUP($A194,'SegEnds_NonXtal_BW#'!$A:$Z,26,FALSE)+VLOOKUP($A194,A:AL,37,FALSE)-50)),"-",(VLOOKUP($A194,'SegEnds_NonXtal_BW#'!$A:$Z,26,FALSE)+VLOOKUP($A194,A:AL,37,FALSE)-50))</f>
        <v>375</v>
      </c>
      <c r="AM194" s="28" t="str">
        <f>VLOOKUP(A194,Classification!A:B,2,FALSE)</f>
        <v>A</v>
      </c>
      <c r="AN194" s="28" t="b">
        <f t="shared" si="98"/>
        <v>1</v>
      </c>
      <c r="AO194" s="3" t="str">
        <f>IF(ISERROR(MATCH(A194,'SegEnds_Xtal_Prot#'!B:B, 0)), "NoXtal", "Xtal")</f>
        <v>NoXtal</v>
      </c>
      <c r="AP194" s="3">
        <f t="shared" si="81"/>
        <v>1</v>
      </c>
      <c r="AQ194" s="3">
        <f t="shared" si="82"/>
        <v>1</v>
      </c>
      <c r="AR194" s="3">
        <f t="shared" si="83"/>
        <v>2</v>
      </c>
      <c r="AS194" s="3">
        <f t="shared" si="84"/>
        <v>1</v>
      </c>
      <c r="AT194" s="3">
        <f t="shared" si="85"/>
        <v>1</v>
      </c>
      <c r="AU194" s="3">
        <f t="shared" si="86"/>
        <v>1</v>
      </c>
      <c r="AV194" s="3">
        <f t="shared" si="87"/>
        <v>19</v>
      </c>
      <c r="AW194" s="3">
        <f t="shared" si="88"/>
        <v>4</v>
      </c>
      <c r="AX194" s="3">
        <f t="shared" si="89"/>
        <v>17</v>
      </c>
      <c r="AY194" s="3">
        <f t="shared" si="90"/>
        <v>8</v>
      </c>
      <c r="AZ194" s="3">
        <f t="shared" si="91"/>
        <v>1</v>
      </c>
      <c r="BA194" s="3">
        <f>IF(ISERROR(LEN(VLOOKUP(A194,Seqs!A:E,2,FALSE))-AL194),"-",LEN(VLOOKUP(A194,Seqs!A:E,2,FALSE))-AL194)</f>
        <v>51</v>
      </c>
      <c r="BB194" s="16">
        <f t="shared" si="92"/>
        <v>28</v>
      </c>
      <c r="BC194" s="9">
        <f t="shared" si="93"/>
        <v>20</v>
      </c>
      <c r="BD194" s="3">
        <f t="shared" si="94"/>
        <v>28</v>
      </c>
      <c r="BE194" s="3">
        <f t="shared" si="95"/>
        <v>69</v>
      </c>
    </row>
    <row r="195" spans="1:57" s="3" customFormat="1" x14ac:dyDescent="0.2">
      <c r="A195" s="3" t="s">
        <v>318</v>
      </c>
      <c r="B195" s="3" t="str">
        <f>LOWER(VLOOKUP(A195,Xtal_Templ!A:B,2,FALSE))</f>
        <v>ntr1_rat</v>
      </c>
      <c r="C195" s="3">
        <f>VLOOKUP($A195,'SegEnds_NonXtal_BW#'!$A:$Z,3,FALSE)+D195-50</f>
        <v>42</v>
      </c>
      <c r="D195" s="3">
        <v>63</v>
      </c>
      <c r="E195" s="3">
        <f>IF(ISERROR(VLOOKUP($A195,'SegEnds_NonXtal_BW#'!$A:$Z,4,FALSE)+VLOOKUP($A195,A:AL,4,FALSE)-50),"-",(VLOOKUP($A195,'SegEnds_NonXtal_BW#'!$A:$Z,4,FALSE)+VLOOKUP($A195,A:AL,4,FALSE)-50))</f>
        <v>73</v>
      </c>
      <c r="F195" s="3">
        <f t="shared" si="112"/>
        <v>74</v>
      </c>
      <c r="G195" s="3">
        <v>76</v>
      </c>
      <c r="H195" s="3">
        <f t="shared" si="113"/>
        <v>77</v>
      </c>
      <c r="I195" s="3">
        <f t="shared" si="113"/>
        <v>78</v>
      </c>
      <c r="J195" s="3">
        <v>91</v>
      </c>
      <c r="K195" s="3">
        <f>VLOOKUP($A195,'SegEnds_NonXtal_BW#'!$A:$Z,8,FALSE)+VLOOKUP($A195,A:AL,10,FALSE)-50</f>
        <v>107</v>
      </c>
      <c r="L195" s="3">
        <f t="shared" si="114"/>
        <v>109</v>
      </c>
      <c r="M195" s="3">
        <v>110</v>
      </c>
      <c r="N195" s="3">
        <f t="shared" si="115"/>
        <v>112</v>
      </c>
      <c r="O195" s="3">
        <f t="shared" si="116"/>
        <v>113</v>
      </c>
      <c r="P195" s="3">
        <v>144</v>
      </c>
      <c r="Q195" s="3">
        <f>VLOOKUP($A195,'SegEnds_NonXtal_BW#'!$A:$Z,12,FALSE)+VLOOKUP($A195,A:AL,16,FALSE)-50</f>
        <v>150</v>
      </c>
      <c r="R195" s="3">
        <f>IF(ISERROR(VLOOKUP($A195,'SegEnds_NonXtal_BW#'!$A:$Z,13,FALSE)+VLOOKUP($A195,A:AL,19,FALSE)-50),"-",VLOOKUP($A195,'SegEnds_NonXtal_BW#'!$A:$Z,13,FALSE)+VLOOKUP($A195,A:AL,19,FALSE)-50)</f>
        <v>151</v>
      </c>
      <c r="S195" s="3">
        <v>151</v>
      </c>
      <c r="T195" s="100">
        <f>IF(ISERROR(VLOOKUP($A195,'SegEnds_NonXtal_BW#'!$A:$Z,14,FALSE)+VLOOKUP($A195,A:AL,19,FALSE)-50),"-",(VLOOKUP($A195,'SegEnds_NonXtal_BW#'!$A:$Z,14,FALSE)+VLOOKUP($A195,A:AL,19,FALSE)-50))</f>
        <v>158</v>
      </c>
      <c r="U195" s="9">
        <f>IF(ISERROR(VLOOKUP($A195,'SegEnds_NonXtal_BW#'!$A:$Z,15,FALSE)+VLOOKUP($A195,A:AL,22,FALSE)-50),"-",VLOOKUP($A195,'SegEnds_NonXtal_BW#'!$A:$Z,15,FALSE)+VLOOKUP($A195,A:AL,22,FALSE)-50)</f>
        <v>159</v>
      </c>
      <c r="V195" s="3">
        <v>171</v>
      </c>
      <c r="W195" s="3">
        <f>IF(ISERROR(VLOOKUP($A195,'SegEnds_NonXtal_BW#'!$A:$Z,16,FALSE)+VLOOKUP($A195,A:AL,22,FALSE)-50),"-",(VLOOKUP($A195,'SegEnds_NonXtal_BW#'!$A:$Z,16,FALSE)+VLOOKUP($A195,A:AL,22,FALSE)-50))</f>
        <v>185</v>
      </c>
      <c r="X195" s="3">
        <f>IF(ISERROR(VLOOKUP($A195,'SegEnds_NonXtal_BW#'!$A:$Z,17,FALSE)+VLOOKUP($A195,A:AL,25,FALSE)-50),"-",(VLOOKUP($A195,'SegEnds_NonXtal_BW#'!$A:$Z,17,FALSE)+VLOOKUP($A195,A:AL,25,FALSE)-50))</f>
        <v>204</v>
      </c>
      <c r="Y195" s="3">
        <v>204</v>
      </c>
      <c r="Z195" s="3">
        <f t="shared" si="117"/>
        <v>206</v>
      </c>
      <c r="AA195" s="3">
        <f>IF(ISERROR(VLOOKUP($A195,'SegEnds_NonXtal_BW#'!$A:$Z,19,FALSE)+VLOOKUP($A195,A:AL,28,FALSE)-50),"-",(VLOOKUP($A195,'SegEnds_NonXtal_BW#'!$A:$Z,19,FALSE)+VLOOKUP($A195,A:AL,28,FALSE)-50))</f>
        <v>210</v>
      </c>
      <c r="AB195" s="3">
        <v>228</v>
      </c>
      <c r="AC195" s="3">
        <f>IF(ISERROR((VLOOKUP($A195,'SegEnds_NonXtal_BW#'!$A:$Z,20,FALSE)+VLOOKUP($A195,A:AL,28,FALSE)-50)),"-",(VLOOKUP($A195,'SegEnds_NonXtal_BW#'!$A:$Z,20,FALSE)+VLOOKUP($A195,A:AL,28,FALSE)-50))</f>
        <v>251</v>
      </c>
      <c r="AD195" s="3">
        <f>IF(ISERROR(VLOOKUP($A195,'SegEnds_NonXtal_BW#'!$A:$Z,21,FALSE)+VLOOKUP($A195,A:AL,31,FALSE)-50),"-",(VLOOKUP($A195,'SegEnds_NonXtal_BW#'!$A:$Z,21,FALSE)+VLOOKUP($A195,A:AL,31,FALSE)-50))</f>
        <v>255</v>
      </c>
      <c r="AE195" s="3">
        <v>283</v>
      </c>
      <c r="AF195" s="3">
        <f>IF(ISERROR((VLOOKUP($A195,'SegEnds_NonXtal_BW#'!$A:$Z,22,FALSE)+VLOOKUP($A195,A:AL,31,FALSE)-50)),"-",(VLOOKUP($A195,'SegEnds_NonXtal_BW#'!$A:$Z,22,FALSE)+VLOOKUP($A195,A:AL,31,FALSE)-50))</f>
        <v>294</v>
      </c>
      <c r="AG195" s="3">
        <f>IF(ISERROR(VLOOKUP($A195,'SegEnds_NonXtal_BW#'!$A:$Z,23,FALSE)+VLOOKUP($A195,A:AL,34,FALSE)-50),"-",(VLOOKUP($A195,'SegEnds_NonXtal_BW#'!$A:$Z,23,FALSE)+VLOOKUP($A195,A:AL,34,FALSE)-50))</f>
        <v>302</v>
      </c>
      <c r="AH195" s="3">
        <v>324</v>
      </c>
      <c r="AI195" s="3">
        <f>IF(ISERROR((VLOOKUP($A195,'SegEnds_NonXtal_BW#'!$A:$Z,24,FALSE)+VLOOKUP($A195,A:AL,34,FALSE)-50)),"-",(VLOOKUP($A195,'SegEnds_NonXtal_BW#'!$A:$Z,24,FALSE)+VLOOKUP($A195,A:AL,34,FALSE)-50))</f>
        <v>330</v>
      </c>
      <c r="AJ195" s="3">
        <f>IF(ISERROR(VLOOKUP($A195,'SegEnds_NonXtal_BW#'!$A:$Z,25,FALSE)+VLOOKUP($A195,A:AL,37,FALSE)-50),"-",(VLOOKUP($A195,'SegEnds_NonXtal_BW#'!$A:$Z,25,FALSE)+VLOOKUP($A195,A:AL,37,FALSE)-50))</f>
        <v>331</v>
      </c>
      <c r="AK195" s="3">
        <v>334</v>
      </c>
      <c r="AL195" s="3">
        <f>IF(ISERROR((VLOOKUP($A195,'SegEnds_NonXtal_BW#'!$A:$Z,26,FALSE)+VLOOKUP($A195,A:AL,37,FALSE)-50)),"-",(VLOOKUP($A195,'SegEnds_NonXtal_BW#'!$A:$Z,26,FALSE)+VLOOKUP($A195,A:AL,37,FALSE)-50))</f>
        <v>346</v>
      </c>
      <c r="AM195" s="28" t="str">
        <f>VLOOKUP(A195,Classification!A:B,2,FALSE)</f>
        <v>A</v>
      </c>
      <c r="AN195" s="28" t="b">
        <f t="shared" si="98"/>
        <v>1</v>
      </c>
      <c r="AO195" s="3" t="str">
        <f>IF(ISERROR(MATCH(A195,'SegEnds_Xtal_Prot#'!B:B, 0)), "NoXtal", "Xtal")</f>
        <v>NoXtal</v>
      </c>
      <c r="AP195" s="3">
        <f t="shared" si="81"/>
        <v>1</v>
      </c>
      <c r="AQ195" s="3">
        <f t="shared" si="82"/>
        <v>1</v>
      </c>
      <c r="AR195" s="3">
        <f t="shared" si="83"/>
        <v>2</v>
      </c>
      <c r="AS195" s="3">
        <f t="shared" si="84"/>
        <v>1</v>
      </c>
      <c r="AT195" s="3">
        <f t="shared" si="85"/>
        <v>1</v>
      </c>
      <c r="AU195" s="3">
        <f t="shared" si="86"/>
        <v>1</v>
      </c>
      <c r="AV195" s="3">
        <f t="shared" si="87"/>
        <v>19</v>
      </c>
      <c r="AW195" s="3">
        <f t="shared" si="88"/>
        <v>4</v>
      </c>
      <c r="AX195" s="3">
        <f t="shared" si="89"/>
        <v>4</v>
      </c>
      <c r="AY195" s="3">
        <f t="shared" si="90"/>
        <v>8</v>
      </c>
      <c r="AZ195" s="3">
        <f t="shared" si="91"/>
        <v>1</v>
      </c>
      <c r="BA195" s="3">
        <f>IF(ISERROR(LEN(VLOOKUP(A195,Seqs!A:E,2,FALSE))-AL195),"-",LEN(VLOOKUP(A195,Seqs!A:E,2,FALSE))-AL195)</f>
        <v>69</v>
      </c>
      <c r="BB195" s="16">
        <f t="shared" si="92"/>
        <v>28</v>
      </c>
      <c r="BC195" s="9">
        <f t="shared" si="93"/>
        <v>20</v>
      </c>
      <c r="BD195" s="3">
        <f t="shared" si="94"/>
        <v>28</v>
      </c>
      <c r="BE195" s="3">
        <f t="shared" si="95"/>
        <v>55</v>
      </c>
    </row>
    <row r="196" spans="1:57" s="3" customFormat="1" x14ac:dyDescent="0.2">
      <c r="A196" s="3" t="s">
        <v>127</v>
      </c>
      <c r="B196" s="3" t="str">
        <f>LOWER(VLOOKUP(A196,Xtal_Templ!A:B,2,FALSE))</f>
        <v>ntr1_human</v>
      </c>
      <c r="C196" s="3">
        <f>VLOOKUP($A196,'SegEnds_NonXtal_BW#'!$A:$Z,3,FALSE)+D196-50</f>
        <v>59</v>
      </c>
      <c r="D196" s="3">
        <v>81</v>
      </c>
      <c r="E196" s="3">
        <f>IF(ISERROR(VLOOKUP($A196,'SegEnds_NonXtal_BW#'!$A:$Z,4,FALSE)+VLOOKUP($A196,A:AL,4,FALSE)-50),"-",(VLOOKUP($A196,'SegEnds_NonXtal_BW#'!$A:$Z,4,FALSE)+VLOOKUP($A196,A:AL,4,FALSE)-50))</f>
        <v>91</v>
      </c>
      <c r="F196" s="3" t="s">
        <v>23</v>
      </c>
      <c r="G196" s="3" t="s">
        <v>23</v>
      </c>
      <c r="H196" s="3" t="s">
        <v>23</v>
      </c>
      <c r="I196" s="3">
        <f>VLOOKUP($A196,'SegEnds_NonXtal_BW#'!$A:$Z,7,FALSE)+J196-50</f>
        <v>99</v>
      </c>
      <c r="J196" s="3">
        <v>112</v>
      </c>
      <c r="K196" s="3">
        <f>VLOOKUP($A196,'SegEnds_NonXtal_BW#'!$A:$Z,8,FALSE)+VLOOKUP($A196,A:AL,10,FALSE)-50</f>
        <v>130</v>
      </c>
      <c r="L196" s="3">
        <f t="shared" si="114"/>
        <v>133</v>
      </c>
      <c r="M196" s="3">
        <v>134</v>
      </c>
      <c r="N196" s="3">
        <f t="shared" si="115"/>
        <v>136</v>
      </c>
      <c r="O196" s="3">
        <f t="shared" si="116"/>
        <v>137</v>
      </c>
      <c r="P196" s="3">
        <v>166</v>
      </c>
      <c r="Q196" s="3">
        <f>VLOOKUP($A196,'SegEnds_NonXtal_BW#'!$A:$Z,12,FALSE)+VLOOKUP($A196,A:AL,16,FALSE)-50</f>
        <v>172</v>
      </c>
      <c r="R196" s="3">
        <f>IF(ISERROR(VLOOKUP($A196,'SegEnds_NonXtal_BW#'!$A:$Z,13,FALSE)+VLOOKUP($A196,A:AL,19,FALSE)-50),"-",VLOOKUP($A196,'SegEnds_NonXtal_BW#'!$A:$Z,13,FALSE)+VLOOKUP($A196,A:AL,19,FALSE)-50)</f>
        <v>173</v>
      </c>
      <c r="S196" s="3">
        <v>173</v>
      </c>
      <c r="T196" s="100">
        <f>IF(ISERROR(VLOOKUP($A196,'SegEnds_NonXtal_BW#'!$A:$Z,14,FALSE)+VLOOKUP($A196,A:AL,19,FALSE)-50),"-",(VLOOKUP($A196,'SegEnds_NonXtal_BW#'!$A:$Z,14,FALSE)+VLOOKUP($A196,A:AL,19,FALSE)-50))</f>
        <v>180</v>
      </c>
      <c r="U196" s="9">
        <f>IF(ISERROR(VLOOKUP($A196,'SegEnds_NonXtal_BW#'!$A:$Z,15,FALSE)+VLOOKUP($A196,A:AL,22,FALSE)-50),"-",VLOOKUP($A196,'SegEnds_NonXtal_BW#'!$A:$Z,15,FALSE)+VLOOKUP($A196,A:AL,22,FALSE)-50)</f>
        <v>181</v>
      </c>
      <c r="V196" s="3">
        <v>193</v>
      </c>
      <c r="W196" s="3">
        <f>IF(ISERROR(VLOOKUP($A196,'SegEnds_NonXtal_BW#'!$A:$Z,16,FALSE)+VLOOKUP($A196,A:AL,22,FALSE)-50),"-",(VLOOKUP($A196,'SegEnds_NonXtal_BW#'!$A:$Z,16,FALSE)+VLOOKUP($A196,A:AL,22,FALSE)-50))</f>
        <v>207</v>
      </c>
      <c r="X196" s="3">
        <f>IF(ISERROR(VLOOKUP($A196,'SegEnds_NonXtal_BW#'!$A:$Z,17,FALSE)+VLOOKUP($A196,A:AL,25,FALSE)-50),"-",(VLOOKUP($A196,'SegEnds_NonXtal_BW#'!$A:$Z,17,FALSE)+VLOOKUP($A196,A:AL,25,FALSE)-50))</f>
        <v>224</v>
      </c>
      <c r="Y196" s="3">
        <v>224</v>
      </c>
      <c r="Z196" s="3">
        <f t="shared" si="117"/>
        <v>226</v>
      </c>
      <c r="AA196" s="3">
        <f>IF(ISERROR(VLOOKUP($A196,'SegEnds_NonXtal_BW#'!$A:$Z,19,FALSE)+VLOOKUP($A196,A:AL,28,FALSE)-50),"-",(VLOOKUP($A196,'SegEnds_NonXtal_BW#'!$A:$Z,19,FALSE)+VLOOKUP($A196,A:AL,28,FALSE)-50))</f>
        <v>229</v>
      </c>
      <c r="AB196" s="3">
        <v>248</v>
      </c>
      <c r="AC196" s="3">
        <f>IF(ISERROR((VLOOKUP($A196,'SegEnds_NonXtal_BW#'!$A:$Z,20,FALSE)+VLOOKUP($A196,A:AL,28,FALSE)-50)),"-",(VLOOKUP($A196,'SegEnds_NonXtal_BW#'!$A:$Z,20,FALSE)+VLOOKUP($A196,A:AL,28,FALSE)-50))</f>
        <v>274</v>
      </c>
      <c r="AD196" s="3">
        <f>IF(ISERROR(VLOOKUP($A196,'SegEnds_NonXtal_BW#'!$A:$Z,21,FALSE)+VLOOKUP($A196,A:AL,31,FALSE)-50),"-",(VLOOKUP($A196,'SegEnds_NonXtal_BW#'!$A:$Z,21,FALSE)+VLOOKUP($A196,A:AL,31,FALSE)-50))</f>
        <v>292</v>
      </c>
      <c r="AE196" s="3">
        <v>318</v>
      </c>
      <c r="AF196" s="3">
        <f>IF(ISERROR((VLOOKUP($A196,'SegEnds_NonXtal_BW#'!$A:$Z,22,FALSE)+VLOOKUP($A196,A:AL,31,FALSE)-50)),"-",(VLOOKUP($A196,'SegEnds_NonXtal_BW#'!$A:$Z,22,FALSE)+VLOOKUP($A196,A:AL,31,FALSE)-50))</f>
        <v>329</v>
      </c>
      <c r="AG196" s="3">
        <f>IF(ISERROR(VLOOKUP($A196,'SegEnds_NonXtal_BW#'!$A:$Z,23,FALSE)+VLOOKUP($A196,A:AL,34,FALSE)-50),"-",(VLOOKUP($A196,'SegEnds_NonXtal_BW#'!$A:$Z,23,FALSE)+VLOOKUP($A196,A:AL,34,FALSE)-50))</f>
        <v>335</v>
      </c>
      <c r="AH196" s="3">
        <v>361</v>
      </c>
      <c r="AI196" s="3">
        <f>IF(ISERROR((VLOOKUP($A196,'SegEnds_NonXtal_BW#'!$A:$Z,24,FALSE)+VLOOKUP($A196,A:AL,34,FALSE)-50)),"-",(VLOOKUP($A196,'SegEnds_NonXtal_BW#'!$A:$Z,24,FALSE)+VLOOKUP($A196,A:AL,34,FALSE)-50))</f>
        <v>367</v>
      </c>
      <c r="AJ196" s="3">
        <f>IF(ISERROR(VLOOKUP($A196,'SegEnds_NonXtal_BW#'!$A:$Z,25,FALSE)+VLOOKUP($A196,A:AL,37,FALSE)-50),"-",(VLOOKUP($A196,'SegEnds_NonXtal_BW#'!$A:$Z,25,FALSE)+VLOOKUP($A196,A:AL,37,FALSE)-50))</f>
        <v>368</v>
      </c>
      <c r="AK196" s="3">
        <v>371</v>
      </c>
      <c r="AL196" s="3">
        <f>IF(ISERROR((VLOOKUP($A196,'SegEnds_NonXtal_BW#'!$A:$Z,26,FALSE)+VLOOKUP($A196,A:AL,37,FALSE)-50)),"-",(VLOOKUP($A196,'SegEnds_NonXtal_BW#'!$A:$Z,26,FALSE)+VLOOKUP($A196,A:AL,37,FALSE)-50))</f>
        <v>383</v>
      </c>
      <c r="AM196" s="28" t="str">
        <f>VLOOKUP(A196,Classification!A:B,2,FALSE)</f>
        <v>A</v>
      </c>
      <c r="AN196" s="28" t="b">
        <f t="shared" si="98"/>
        <v>1</v>
      </c>
      <c r="AO196" s="3" t="str">
        <f>IF(ISERROR(MATCH(A196,'SegEnds_Xtal_Prot#'!B:B, 0)), "NoXtal", "Xtal")</f>
        <v>Xtal</v>
      </c>
      <c r="AP196" s="3" t="str">
        <f t="shared" ref="AP196:AP260" si="118">IF(ISERROR(F196-E196),"-",F196-E196)</f>
        <v>-</v>
      </c>
      <c r="AQ196" s="3" t="str">
        <f t="shared" ref="AQ196:AQ260" si="119">IF(ISERROR(I196-H196),"-",I196-H196)</f>
        <v>-</v>
      </c>
      <c r="AR196" s="3">
        <f t="shared" ref="AR196:AR260" si="120">IF(ISERROR(L196-K196),"-",L196-K196)</f>
        <v>3</v>
      </c>
      <c r="AS196" s="3">
        <f t="shared" ref="AS196:AS260" si="121">IF(ISERROR(O196-N196),"-",O196-N196)</f>
        <v>1</v>
      </c>
      <c r="AT196" s="3">
        <f t="shared" ref="AT196:AT260" si="122">IF(ISERROR(R196-Q196),"-",R196-Q196)</f>
        <v>1</v>
      </c>
      <c r="AU196" s="3">
        <f t="shared" ref="AU196:AU260" si="123">IF(ISERROR(U196-T196),"-",U196-T196)</f>
        <v>1</v>
      </c>
      <c r="AV196" s="3">
        <f t="shared" ref="AV196:AV260" si="124">IF(ISERROR(X196-W196),"-",X196-W196)</f>
        <v>17</v>
      </c>
      <c r="AW196" s="3">
        <f t="shared" ref="AW196:AW260" si="125">IF(ISERROR(AA196-Z196),"-",AA196-Z196)</f>
        <v>3</v>
      </c>
      <c r="AX196" s="3">
        <f t="shared" ref="AX196:AX260" si="126">IF(ISERROR(AD196-AC196),"-",AD196-AC196)</f>
        <v>18</v>
      </c>
      <c r="AY196" s="3">
        <f t="shared" ref="AY196:AY260" si="127">IF(ISERROR(AG196-AF196),"-",AG196-AF196)</f>
        <v>6</v>
      </c>
      <c r="AZ196" s="3">
        <f t="shared" ref="AZ196:AZ260" si="128">IF(ISERROR(AJ196-AI196),"-",AJ196-AI196)</f>
        <v>1</v>
      </c>
      <c r="BA196" s="3">
        <f>IF(ISERROR(LEN(VLOOKUP(A196,Seqs!A:E,2,FALSE))-AL196),"-",LEN(VLOOKUP(A196,Seqs!A:E,2,FALSE))-AL196)</f>
        <v>35</v>
      </c>
      <c r="BB196" s="16">
        <f t="shared" ref="BB196:BB260" si="129">J196-D196</f>
        <v>31</v>
      </c>
      <c r="BC196" s="9">
        <f t="shared" ref="BC196:BC260" si="130">IF(ISERROR(V196-S196),"-",V196-S196)</f>
        <v>20</v>
      </c>
      <c r="BD196" s="3">
        <f t="shared" ref="BD196:BD260" si="131">J196-D196</f>
        <v>31</v>
      </c>
      <c r="BE196" s="3">
        <f t="shared" ref="BE196:BE260" si="132">AE196-AB196</f>
        <v>70</v>
      </c>
    </row>
    <row r="197" spans="1:57" s="3" customFormat="1" x14ac:dyDescent="0.2">
      <c r="A197" s="3" t="s">
        <v>907</v>
      </c>
      <c r="B197" s="3" t="str">
        <f>LOWER(VLOOKUP(A197,Xtal_Templ!A:B,2,FALSE))</f>
        <v>ntr1_rat</v>
      </c>
      <c r="C197" s="3">
        <f>VLOOKUP($A197,'SegEnds_NonXtal_BW#'!$A:$Z,3,FALSE)+D197-50</f>
        <v>61</v>
      </c>
      <c r="D197" s="3">
        <v>82</v>
      </c>
      <c r="E197" s="3">
        <f>IF(ISERROR(VLOOKUP($A197,'SegEnds_NonXtal_BW#'!$A:$Z,4,FALSE)+VLOOKUP($A197,A:AL,4,FALSE)-50),"-",(VLOOKUP($A197,'SegEnds_NonXtal_BW#'!$A:$Z,4,FALSE)+VLOOKUP($A197,A:AL,4,FALSE)-50))</f>
        <v>92</v>
      </c>
      <c r="F197" s="3" t="s">
        <v>23</v>
      </c>
      <c r="G197" s="3" t="s">
        <v>23</v>
      </c>
      <c r="H197" s="3" t="s">
        <v>23</v>
      </c>
      <c r="I197" s="3">
        <f>VLOOKUP($A197,'SegEnds_NonXtal_BW#'!$A:$Z,7,FALSE)+J197-50</f>
        <v>100</v>
      </c>
      <c r="J197" s="3">
        <v>113</v>
      </c>
      <c r="K197" s="3">
        <f>VLOOKUP($A197,'SegEnds_NonXtal_BW#'!$A:$Z,8,FALSE)+VLOOKUP($A197,A:AL,10,FALSE)-50</f>
        <v>131</v>
      </c>
      <c r="L197" s="3">
        <f>IF(ISERROR(VLOOKUP($A197,'SegEnds_NonXtal_BW#'!$A:$Z,9,FALSE)+VLOOKUP($A197,A:AL,13,FALSE)-50),"-",(VLOOKUP($A197,'SegEnds_NonXtal_BW#'!$A:$Z,9,FALSE)+VLOOKUP($A197,A:AL,13,FALSE)-50))</f>
        <v>134</v>
      </c>
      <c r="M197" s="3">
        <v>135</v>
      </c>
      <c r="N197" s="3">
        <f>IF(ISERROR(VLOOKUP($A197,'SegEnds_NonXtal_BW#'!$A:$Z,10,FALSE)+VLOOKUP($A197,A:AL,13,FALSE)-50),"-",(VLOOKUP($A197,'SegEnds_NonXtal_BW#'!$A:$Z,10,FALSE)+VLOOKUP($A197,A:AL,13,FALSE)-50))</f>
        <v>137</v>
      </c>
      <c r="O197" s="3">
        <f t="shared" si="116"/>
        <v>138</v>
      </c>
      <c r="P197" s="3">
        <v>167</v>
      </c>
      <c r="Q197" s="3">
        <f>VLOOKUP($A197,'SegEnds_NonXtal_BW#'!$A:$Z,12,FALSE)+VLOOKUP($A197,A:AL,16,FALSE)-50</f>
        <v>173</v>
      </c>
      <c r="R197" s="3">
        <f>IF(ISERROR(VLOOKUP($A197,'SegEnds_NonXtal_BW#'!$A:$Z,13,FALSE)+VLOOKUP($A197,A:AL,19,FALSE)-50),"-",VLOOKUP($A197,'SegEnds_NonXtal_BW#'!$A:$Z,13,FALSE)+VLOOKUP($A197,A:AL,19,FALSE)-50)</f>
        <v>174</v>
      </c>
      <c r="S197" s="3">
        <v>174</v>
      </c>
      <c r="T197" s="100">
        <f>IF(ISERROR(VLOOKUP($A197,'SegEnds_NonXtal_BW#'!$A:$Z,14,FALSE)+VLOOKUP($A197,A:AL,19,FALSE)-50),"-",(VLOOKUP($A197,'SegEnds_NonXtal_BW#'!$A:$Z,14,FALSE)+VLOOKUP($A197,A:AL,19,FALSE)-50))</f>
        <v>181</v>
      </c>
      <c r="U197" s="9">
        <f>IF(ISERROR(VLOOKUP($A197,'SegEnds_NonXtal_BW#'!$A:$Z,15,FALSE)+VLOOKUP($A197,A:AL,22,FALSE)-50),"-",VLOOKUP($A197,'SegEnds_NonXtal_BW#'!$A:$Z,15,FALSE)+VLOOKUP($A197,A:AL,22,FALSE)-50)</f>
        <v>182</v>
      </c>
      <c r="V197" s="3">
        <v>194</v>
      </c>
      <c r="W197" s="3">
        <f>IF(ISERROR(VLOOKUP($A197,'SegEnds_NonXtal_BW#'!$A:$Z,16,FALSE)+VLOOKUP($A197,A:AL,22,FALSE)-50),"-",(VLOOKUP($A197,'SegEnds_NonXtal_BW#'!$A:$Z,16,FALSE)+VLOOKUP($A197,A:AL,22,FALSE)-50))</f>
        <v>208</v>
      </c>
      <c r="X197" s="3">
        <f>IF(ISERROR(VLOOKUP($A197,'SegEnds_NonXtal_BW#'!$A:$Z,17,FALSE)+VLOOKUP($A197,A:AL,25,FALSE)-50),"-",(VLOOKUP($A197,'SegEnds_NonXtal_BW#'!$A:$Z,17,FALSE)+VLOOKUP($A197,A:AL,25,FALSE)-50))</f>
        <v>225</v>
      </c>
      <c r="Y197" s="3">
        <v>225</v>
      </c>
      <c r="Z197" s="3">
        <f t="shared" si="117"/>
        <v>227</v>
      </c>
      <c r="AA197" s="3">
        <f>IF(ISERROR(VLOOKUP($A197,'SegEnds_NonXtal_BW#'!$A:$Z,19,FALSE)+VLOOKUP($A197,A:AL,28,FALSE)-50),"-",(VLOOKUP($A197,'SegEnds_NonXtal_BW#'!$A:$Z,19,FALSE)+VLOOKUP($A197,A:AL,28,FALSE)-50))</f>
        <v>231</v>
      </c>
      <c r="AB197" s="3">
        <v>249</v>
      </c>
      <c r="AC197" s="3">
        <f>IF(ISERROR((VLOOKUP($A197,'SegEnds_NonXtal_BW#'!$A:$Z,20,FALSE)+VLOOKUP($A197,A:AL,28,FALSE)-50)),"-",(VLOOKUP($A197,'SegEnds_NonXtal_BW#'!$A:$Z,20,FALSE)+VLOOKUP($A197,A:AL,28,FALSE)-50))</f>
        <v>275</v>
      </c>
      <c r="AD197" s="3">
        <f>IF(ISERROR(VLOOKUP($A197,'SegEnds_NonXtal_BW#'!$A:$Z,21,FALSE)+VLOOKUP($A197,A:AL,31,FALSE)-50),"-",(VLOOKUP($A197,'SegEnds_NonXtal_BW#'!$A:$Z,21,FALSE)+VLOOKUP($A197,A:AL,31,FALSE)-50))</f>
        <v>297</v>
      </c>
      <c r="AE197" s="3">
        <v>323</v>
      </c>
      <c r="AF197" s="3">
        <f>IF(ISERROR((VLOOKUP($A197,'SegEnds_NonXtal_BW#'!$A:$Z,22,FALSE)+VLOOKUP($A197,A:AL,31,FALSE)-50)),"-",(VLOOKUP($A197,'SegEnds_NonXtal_BW#'!$A:$Z,22,FALSE)+VLOOKUP($A197,A:AL,31,FALSE)-50))</f>
        <v>334</v>
      </c>
      <c r="AG197" s="3">
        <f>IF(ISERROR(VLOOKUP($A197,'SegEnds_NonXtal_BW#'!$A:$Z,23,FALSE)+VLOOKUP($A197,A:AL,34,FALSE)-50),"-",(VLOOKUP($A197,'SegEnds_NonXtal_BW#'!$A:$Z,23,FALSE)+VLOOKUP($A197,A:AL,34,FALSE)-50))</f>
        <v>340</v>
      </c>
      <c r="AH197" s="3">
        <v>366</v>
      </c>
      <c r="AI197" s="3">
        <f>IF(ISERROR((VLOOKUP($A197,'SegEnds_NonXtal_BW#'!$A:$Z,24,FALSE)+VLOOKUP($A197,A:AL,34,FALSE)-50)),"-",(VLOOKUP($A197,'SegEnds_NonXtal_BW#'!$A:$Z,24,FALSE)+VLOOKUP($A197,A:AL,34,FALSE)-50))</f>
        <v>372</v>
      </c>
      <c r="AJ197" s="3">
        <f>IF(ISERROR(VLOOKUP($A197,'SegEnds_NonXtal_BW#'!$A:$Z,25,FALSE)+VLOOKUP($A197,A:AL,37,FALSE)-50),"-",(VLOOKUP($A197,'SegEnds_NonXtal_BW#'!$A:$Z,25,FALSE)+VLOOKUP($A197,A:AL,37,FALSE)-50))</f>
        <v>373</v>
      </c>
      <c r="AK197" s="3">
        <v>376</v>
      </c>
      <c r="AL197" s="3">
        <f>IF(ISERROR((VLOOKUP($A197,'SegEnds_NonXtal_BW#'!$A:$Z,26,FALSE)+VLOOKUP($A197,A:AL,37,FALSE)-50)),"-",(VLOOKUP($A197,'SegEnds_NonXtal_BW#'!$A:$Z,26,FALSE)+VLOOKUP($A197,A:AL,37,FALSE)-50))</f>
        <v>388</v>
      </c>
      <c r="AM197" s="28" t="str">
        <f>VLOOKUP(A197,Classification!A:B,2,FALSE)</f>
        <v>A</v>
      </c>
      <c r="AN197" s="28" t="b">
        <f t="shared" ref="AN197:AN261" si="133">AND(IF(Y197="-",IF(AA197-W197&gt;3,TRUE,FALSE),TRUE),IF(M197="-",IF(O197-K197&gt;3,TRUE,FALSE),TRUE),IF(AG197-AF197&gt;1,TRUE,FALSE),C197&lt;E197,OR(E197&lt;F197,F197="-"),OR(F197&lt;H197,F197="-"),OR(H197&lt;I197,H197="-"),I197&lt;K197,OR(K197&lt;L197,L197="-"),OR(L197&lt;N197,L197="-"),OR(N197&lt;O197,N197="-"),O197&lt;Q197,OR(Q197&lt;R197,R197="-"),OR(R197&lt;T197,R197="-"),OR(T197&lt;U197,T197="-"),U197&lt;W197,OR(W197&lt;X197,X197="-"),OR(X197&lt;Z197,X197="-"),OR(Z197&lt;AA197,Z197="-"),AA197&lt;AC197,AC197&lt;AD197,AD197&lt;AF197,AF197&lt;AG197,AG197&lt;AI197,OR(AI197&lt;AJ197,AJ197="-"),OR(AJ197&lt;AL197,AJ197="-"))</f>
        <v>1</v>
      </c>
      <c r="AO197" s="3" t="str">
        <f>IF(ISERROR(MATCH(A197,'SegEnds_Xtal_Prot#'!B:B, 0)), "NoXtal", "Xtal")</f>
        <v>Xtal</v>
      </c>
      <c r="AP197" s="3" t="str">
        <f t="shared" si="118"/>
        <v>-</v>
      </c>
      <c r="AQ197" s="3" t="str">
        <f t="shared" si="119"/>
        <v>-</v>
      </c>
      <c r="AR197" s="3">
        <f t="shared" si="120"/>
        <v>3</v>
      </c>
      <c r="AS197" s="3">
        <f t="shared" si="121"/>
        <v>1</v>
      </c>
      <c r="AT197" s="3">
        <f t="shared" si="122"/>
        <v>1</v>
      </c>
      <c r="AU197" s="3">
        <f t="shared" si="123"/>
        <v>1</v>
      </c>
      <c r="AV197" s="3">
        <f t="shared" si="124"/>
        <v>17</v>
      </c>
      <c r="AW197" s="3">
        <f t="shared" si="125"/>
        <v>4</v>
      </c>
      <c r="AX197" s="3">
        <f t="shared" si="126"/>
        <v>22</v>
      </c>
      <c r="AY197" s="3">
        <f t="shared" si="127"/>
        <v>6</v>
      </c>
      <c r="AZ197" s="3">
        <f t="shared" si="128"/>
        <v>1</v>
      </c>
      <c r="BA197" s="3">
        <f>IF(ISERROR(LEN(VLOOKUP(A197,Seqs!A:E,2,FALSE))-AL197),"-",LEN(VLOOKUP(A197,Seqs!A:E,2,FALSE))-AL197)</f>
        <v>36</v>
      </c>
      <c r="BB197" s="16">
        <f t="shared" si="129"/>
        <v>31</v>
      </c>
      <c r="BC197" s="9">
        <f t="shared" si="130"/>
        <v>20</v>
      </c>
      <c r="BD197" s="3">
        <f t="shared" si="131"/>
        <v>31</v>
      </c>
      <c r="BE197" s="3">
        <f t="shared" si="132"/>
        <v>74</v>
      </c>
    </row>
    <row r="198" spans="1:57" s="3" customFormat="1" x14ac:dyDescent="0.2">
      <c r="A198" s="3" t="s">
        <v>329</v>
      </c>
      <c r="B198" s="3" t="str">
        <f>LOWER(VLOOKUP(A198,Xtal_Templ!A:B,2,FALSE))</f>
        <v>ntr1_rat</v>
      </c>
      <c r="C198" s="3">
        <f>VLOOKUP($A198,'SegEnds_NonXtal_BW#'!$A:$Z,3,FALSE)+D198-50</f>
        <v>29</v>
      </c>
      <c r="D198" s="3">
        <v>50</v>
      </c>
      <c r="E198" s="3">
        <f>IF(ISERROR(VLOOKUP($A198,'SegEnds_NonXtal_BW#'!$A:$Z,4,FALSE)+VLOOKUP($A198,A:AL,4,FALSE)-50),"-",(VLOOKUP($A198,'SegEnds_NonXtal_BW#'!$A:$Z,4,FALSE)+VLOOKUP($A198,A:AL,4,FALSE)-50))</f>
        <v>60</v>
      </c>
      <c r="F198" s="3" t="str">
        <f>IF(ISERROR(VLOOKUP($A198,'SegEnds_NonXtal_BW#'!$A:$Z,5,FALSE)+VLOOKUP($A198,A:AL,7,FALSE)-50),"-",(VLOOKUP($A198,'SegEnds_NonXtal_BW#'!$A:$Z,5,FALSE)+VLOOKUP($A198,A:AL,7,FALSE)-50))</f>
        <v>-</v>
      </c>
      <c r="G198" s="3" t="s">
        <v>23</v>
      </c>
      <c r="H198" s="3" t="str">
        <f>IF(ISERROR(VLOOKUP($A198,'SegEnds_NonXtal_BW#'!$A:$Z,6,FALSE)+VLOOKUP($A198,A:AL,7,FALSE)-50),"-",(VLOOKUP($A198,'SegEnds_NonXtal_BW#'!$A:$Z,6,FALSE)+VLOOKUP($A198,A:AL,7,FALSE)-50))</f>
        <v>-</v>
      </c>
      <c r="I198" s="3">
        <f>VLOOKUP($A198,'SegEnds_NonXtal_BW#'!$A:$Z,7,FALSE)+J198-50</f>
        <v>66</v>
      </c>
      <c r="J198" s="3">
        <v>79</v>
      </c>
      <c r="K198" s="3">
        <f>VLOOKUP($A198,'SegEnds_NonXtal_BW#'!$A:$Z,8,FALSE)+VLOOKUP($A198,A:AL,10,FALSE)-50</f>
        <v>97</v>
      </c>
      <c r="L198" s="3">
        <f>M198-1</f>
        <v>100</v>
      </c>
      <c r="M198" s="3">
        <v>101</v>
      </c>
      <c r="N198" s="3">
        <f>M198+2</f>
        <v>103</v>
      </c>
      <c r="O198" s="3">
        <f t="shared" si="116"/>
        <v>104</v>
      </c>
      <c r="P198" s="3">
        <v>133</v>
      </c>
      <c r="Q198" s="3">
        <f>VLOOKUP($A198,'SegEnds_NonXtal_BW#'!$A:$Z,12,FALSE)+VLOOKUP($A198,A:AL,16,FALSE)-50</f>
        <v>139</v>
      </c>
      <c r="R198" s="3">
        <f>IF(ISERROR(VLOOKUP($A198,'SegEnds_NonXtal_BW#'!$A:$Z,13,FALSE)+VLOOKUP($A198,A:AL,19,FALSE)-50),"-",VLOOKUP($A198,'SegEnds_NonXtal_BW#'!$A:$Z,13,FALSE)+VLOOKUP($A198,A:AL,19,FALSE)-50)</f>
        <v>140</v>
      </c>
      <c r="S198" s="3">
        <v>140</v>
      </c>
      <c r="T198" s="100">
        <f>IF(ISERROR(VLOOKUP($A198,'SegEnds_NonXtal_BW#'!$A:$Z,14,FALSE)+VLOOKUP($A198,A:AL,19,FALSE)-50),"-",(VLOOKUP($A198,'SegEnds_NonXtal_BW#'!$A:$Z,14,FALSE)+VLOOKUP($A198,A:AL,19,FALSE)-50))</f>
        <v>147</v>
      </c>
      <c r="U198" s="9">
        <f>IF(ISERROR(VLOOKUP($A198,'SegEnds_NonXtal_BW#'!$A:$Z,15,FALSE)+VLOOKUP($A198,A:AL,22,FALSE)-50),"-",VLOOKUP($A198,'SegEnds_NonXtal_BW#'!$A:$Z,15,FALSE)+VLOOKUP($A198,A:AL,22,FALSE)-50)</f>
        <v>148</v>
      </c>
      <c r="V198" s="3">
        <v>160</v>
      </c>
      <c r="W198" s="3">
        <f>IF(ISERROR(VLOOKUP($A198,'SegEnds_NonXtal_BW#'!$A:$Z,16,FALSE)+VLOOKUP($A198,A:AL,22,FALSE)-50),"-",(VLOOKUP($A198,'SegEnds_NonXtal_BW#'!$A:$Z,16,FALSE)+VLOOKUP($A198,A:AL,22,FALSE)-50))</f>
        <v>174</v>
      </c>
      <c r="X198" s="3">
        <f>IF(ISERROR(VLOOKUP($A198,'SegEnds_NonXtal_BW#'!$A:$Z,17,FALSE)+VLOOKUP($A198,A:AL,25,FALSE)-50),"-",(VLOOKUP($A198,'SegEnds_NonXtal_BW#'!$A:$Z,17,FALSE)+VLOOKUP($A198,A:AL,25,FALSE)-50))</f>
        <v>194</v>
      </c>
      <c r="Y198" s="3">
        <v>194</v>
      </c>
      <c r="Z198" s="3">
        <f t="shared" si="117"/>
        <v>196</v>
      </c>
      <c r="AA198" s="3">
        <f>IF(ISERROR(VLOOKUP($A198,'SegEnds_NonXtal_BW#'!$A:$Z,19,FALSE)+VLOOKUP($A198,A:AL,28,FALSE)-50),"-",(VLOOKUP($A198,'SegEnds_NonXtal_BW#'!$A:$Z,19,FALSE)+VLOOKUP($A198,A:AL,28,FALSE)-50))</f>
        <v>200</v>
      </c>
      <c r="AB198" s="3">
        <v>218</v>
      </c>
      <c r="AC198" s="3">
        <f>IF(ISERROR((VLOOKUP($A198,'SegEnds_NonXtal_BW#'!$A:$Z,20,FALSE)+VLOOKUP($A198,A:AL,28,FALSE)-50)),"-",(VLOOKUP($A198,'SegEnds_NonXtal_BW#'!$A:$Z,20,FALSE)+VLOOKUP($A198,A:AL,28,FALSE)-50))</f>
        <v>242</v>
      </c>
      <c r="AD198" s="3">
        <f>IF(ISERROR(VLOOKUP($A198,'SegEnds_NonXtal_BW#'!$A:$Z,21,FALSE)+VLOOKUP($A198,A:AL,31,FALSE)-50),"-",(VLOOKUP($A198,'SegEnds_NonXtal_BW#'!$A:$Z,21,FALSE)+VLOOKUP($A198,A:AL,31,FALSE)-50))</f>
        <v>286</v>
      </c>
      <c r="AE198" s="3">
        <v>312</v>
      </c>
      <c r="AF198" s="3">
        <f>IF(ISERROR((VLOOKUP($A198,'SegEnds_NonXtal_BW#'!$A:$Z,22,FALSE)+VLOOKUP($A198,A:AL,31,FALSE)-50)),"-",(VLOOKUP($A198,'SegEnds_NonXtal_BW#'!$A:$Z,22,FALSE)+VLOOKUP($A198,A:AL,31,FALSE)-50))</f>
        <v>323</v>
      </c>
      <c r="AG198" s="3">
        <f>IF(ISERROR(VLOOKUP($A198,'SegEnds_NonXtal_BW#'!$A:$Z,23,FALSE)+VLOOKUP($A198,A:AL,34,FALSE)-50),"-",(VLOOKUP($A198,'SegEnds_NonXtal_BW#'!$A:$Z,23,FALSE)+VLOOKUP($A198,A:AL,34,FALSE)-50))</f>
        <v>329</v>
      </c>
      <c r="AH198" s="3">
        <v>355</v>
      </c>
      <c r="AI198" s="3">
        <f>IF(ISERROR((VLOOKUP($A198,'SegEnds_NonXtal_BW#'!$A:$Z,24,FALSE)+VLOOKUP($A198,A:AL,34,FALSE)-50)),"-",(VLOOKUP($A198,'SegEnds_NonXtal_BW#'!$A:$Z,24,FALSE)+VLOOKUP($A198,A:AL,34,FALSE)-50))</f>
        <v>361</v>
      </c>
      <c r="AJ198" s="3">
        <f>IF(ISERROR(VLOOKUP($A198,'SegEnds_NonXtal_BW#'!$A:$Z,25,FALSE)+VLOOKUP($A198,A:AL,37,FALSE)-50),"-",(VLOOKUP($A198,'SegEnds_NonXtal_BW#'!$A:$Z,25,FALSE)+VLOOKUP($A198,A:AL,37,FALSE)-50))</f>
        <v>362</v>
      </c>
      <c r="AK198" s="3">
        <v>365</v>
      </c>
      <c r="AL198" s="3">
        <f>IF(ISERROR((VLOOKUP($A198,'SegEnds_NonXtal_BW#'!$A:$Z,26,FALSE)+VLOOKUP($A198,A:AL,37,FALSE)-50)),"-",(VLOOKUP($A198,'SegEnds_NonXtal_BW#'!$A:$Z,26,FALSE)+VLOOKUP($A198,A:AL,37,FALSE)-50))</f>
        <v>377</v>
      </c>
      <c r="AM198" s="28" t="str">
        <f>VLOOKUP(A198,Classification!A:B,2,FALSE)</f>
        <v>A</v>
      </c>
      <c r="AN198" s="28" t="b">
        <f t="shared" si="133"/>
        <v>1</v>
      </c>
      <c r="AO198" s="3" t="str">
        <f>IF(ISERROR(MATCH(A198,'SegEnds_Xtal_Prot#'!B:B, 0)), "NoXtal", "Xtal")</f>
        <v>NoXtal</v>
      </c>
      <c r="AP198" s="3" t="str">
        <f t="shared" si="118"/>
        <v>-</v>
      </c>
      <c r="AQ198" s="3" t="str">
        <f t="shared" si="119"/>
        <v>-</v>
      </c>
      <c r="AR198" s="3">
        <f t="shared" si="120"/>
        <v>3</v>
      </c>
      <c r="AS198" s="3">
        <f t="shared" si="121"/>
        <v>1</v>
      </c>
      <c r="AT198" s="3">
        <f t="shared" si="122"/>
        <v>1</v>
      </c>
      <c r="AU198" s="3">
        <f t="shared" si="123"/>
        <v>1</v>
      </c>
      <c r="AV198" s="3">
        <f t="shared" si="124"/>
        <v>20</v>
      </c>
      <c r="AW198" s="3">
        <f t="shared" si="125"/>
        <v>4</v>
      </c>
      <c r="AX198" s="3">
        <f t="shared" si="126"/>
        <v>44</v>
      </c>
      <c r="AY198" s="3">
        <f t="shared" si="127"/>
        <v>6</v>
      </c>
      <c r="AZ198" s="3">
        <f t="shared" si="128"/>
        <v>1</v>
      </c>
      <c r="BA198" s="3">
        <f>IF(ISERROR(LEN(VLOOKUP(A198,Seqs!A:E,2,FALSE))-AL198),"-",LEN(VLOOKUP(A198,Seqs!A:E,2,FALSE))-AL198)</f>
        <v>33</v>
      </c>
      <c r="BB198" s="16">
        <f t="shared" si="129"/>
        <v>29</v>
      </c>
      <c r="BC198" s="9">
        <f t="shared" si="130"/>
        <v>20</v>
      </c>
      <c r="BD198" s="3">
        <f t="shared" si="131"/>
        <v>29</v>
      </c>
      <c r="BE198" s="3">
        <f t="shared" si="132"/>
        <v>94</v>
      </c>
    </row>
    <row r="199" spans="1:57" s="3" customFormat="1" x14ac:dyDescent="0.2">
      <c r="A199" s="3" t="s">
        <v>330</v>
      </c>
      <c r="B199" s="3" t="str">
        <f>LOWER(VLOOKUP(A199,Xtal_Templ!A:B,2,FALSE))</f>
        <v>ptafr_human</v>
      </c>
      <c r="C199" s="3">
        <f>VLOOKUP($A199,'SegEnds_NonXtal_BW#'!$A:$Z,3,FALSE)+D199-50</f>
        <v>16</v>
      </c>
      <c r="D199" s="3">
        <v>39</v>
      </c>
      <c r="E199" s="3">
        <f>IF(ISERROR(VLOOKUP($A199,'SegEnds_NonXtal_BW#'!$A:$Z,4,FALSE)+VLOOKUP($A199,A:AL,4,FALSE)-50),"-",(VLOOKUP($A199,'SegEnds_NonXtal_BW#'!$A:$Z,4,FALSE)+VLOOKUP($A199,A:AL,4,FALSE)-50))</f>
        <v>49</v>
      </c>
      <c r="F199" s="3">
        <f>IF(ISERROR(VLOOKUP($A199,'SegEnds_NonXtal_BW#'!$A:$Z,5,FALSE)+VLOOKUP($A199,A:AL,7,FALSE)-50),"-",(VLOOKUP($A199,'SegEnds_NonXtal_BW#'!$A:$Z,5,FALSE)+VLOOKUP($A199,A:AL,7,FALSE)-50))</f>
        <v>50</v>
      </c>
      <c r="G199" s="3">
        <v>52</v>
      </c>
      <c r="H199" s="3">
        <f>IF(ISERROR(VLOOKUP($A199,'SegEnds_NonXtal_BW#'!$A:$Z,6,FALSE)+VLOOKUP($A199,A:AL,7,FALSE)-50),"-",(VLOOKUP($A199,'SegEnds_NonXtal_BW#'!$A:$Z,6,FALSE)+VLOOKUP($A199,A:AL,7,FALSE)-50))</f>
        <v>53</v>
      </c>
      <c r="I199" s="3">
        <f>VLOOKUP($A199,'SegEnds_NonXtal_BW#'!$A:$Z,7,FALSE)+J199-50</f>
        <v>54</v>
      </c>
      <c r="J199" s="3">
        <v>67</v>
      </c>
      <c r="K199" s="3">
        <f>VLOOKUP($A199,'SegEnds_NonXtal_BW#'!$A:$Z,8,FALSE)+VLOOKUP($A199,A:AL,10,FALSE)-50</f>
        <v>84</v>
      </c>
      <c r="L199" s="3">
        <f>M199-1</f>
        <v>86</v>
      </c>
      <c r="M199" s="3">
        <v>87</v>
      </c>
      <c r="N199" s="3">
        <f>M199+2</f>
        <v>89</v>
      </c>
      <c r="O199" s="3">
        <f t="shared" si="116"/>
        <v>90</v>
      </c>
      <c r="P199" s="3">
        <v>119</v>
      </c>
      <c r="Q199" s="3">
        <f>VLOOKUP($A199,'SegEnds_NonXtal_BW#'!$A:$Z,12,FALSE)+VLOOKUP($A199,A:AL,16,FALSE)-50</f>
        <v>125</v>
      </c>
      <c r="R199" s="3">
        <f>IF(ISERROR(VLOOKUP($A199,'SegEnds_NonXtal_BW#'!$A:$Z,13,FALSE)+VLOOKUP($A199,A:AL,19,FALSE)-50),"-",VLOOKUP($A199,'SegEnds_NonXtal_BW#'!$A:$Z,13,FALSE)+VLOOKUP($A199,A:AL,19,FALSE)-50)</f>
        <v>126</v>
      </c>
      <c r="S199" s="3">
        <v>126</v>
      </c>
      <c r="T199" s="100">
        <f>IF(ISERROR(VLOOKUP($A199,'SegEnds_NonXtal_BW#'!$A:$Z,14,FALSE)+VLOOKUP($A199,A:AL,19,FALSE)-50),"-",(VLOOKUP($A199,'SegEnds_NonXtal_BW#'!$A:$Z,14,FALSE)+VLOOKUP($A199,A:AL,19,FALSE)-50))</f>
        <v>133</v>
      </c>
      <c r="U199" s="9">
        <f>IF(ISERROR(VLOOKUP($A199,'SegEnds_NonXtal_BW#'!$A:$Z,15,FALSE)+VLOOKUP($A199,A:AL,22,FALSE)-50),"-",VLOOKUP($A199,'SegEnds_NonXtal_BW#'!$A:$Z,15,FALSE)+VLOOKUP($A199,A:AL,22,FALSE)-50)</f>
        <v>134</v>
      </c>
      <c r="V199" s="3">
        <v>146</v>
      </c>
      <c r="W199" s="3">
        <f>IF(ISERROR(VLOOKUP($A199,'SegEnds_NonXtal_BW#'!$A:$Z,16,FALSE)+VLOOKUP($A199,A:AL,22,FALSE)-50),"-",(VLOOKUP($A199,'SegEnds_NonXtal_BW#'!$A:$Z,16,FALSE)+VLOOKUP($A199,A:AL,22,FALSE)-50))</f>
        <v>159</v>
      </c>
      <c r="X199" s="3">
        <f>IF(ISERROR(VLOOKUP($A199,'SegEnds_NonXtal_BW#'!$A:$Z,17,FALSE)+VLOOKUP($A199,A:AL,25,FALSE)-50),"-",(VLOOKUP($A199,'SegEnds_NonXtal_BW#'!$A:$Z,17,FALSE)+VLOOKUP($A199,A:AL,25,FALSE)-50))</f>
        <v>172</v>
      </c>
      <c r="Y199" s="3">
        <v>172</v>
      </c>
      <c r="Z199" s="3">
        <f t="shared" si="117"/>
        <v>174</v>
      </c>
      <c r="AA199" s="3">
        <f>IF(ISERROR(VLOOKUP($A199,'SegEnds_NonXtal_BW#'!$A:$Z,19,FALSE)+VLOOKUP($A199,A:AL,28,FALSE)-50),"-",(VLOOKUP($A199,'SegEnds_NonXtal_BW#'!$A:$Z,19,FALSE)+VLOOKUP($A199,A:AL,28,FALSE)-50))</f>
        <v>180</v>
      </c>
      <c r="AB199" s="3">
        <v>197</v>
      </c>
      <c r="AC199" s="3">
        <f>IF(ISERROR((VLOOKUP($A199,'SegEnds_NonXtal_BW#'!$A:$Z,20,FALSE)+VLOOKUP($A199,A:AL,28,FALSE)-50)),"-",(VLOOKUP($A199,'SegEnds_NonXtal_BW#'!$A:$Z,20,FALSE)+VLOOKUP($A199,A:AL,28,FALSE)-50))</f>
        <v>214</v>
      </c>
      <c r="AD199" s="3">
        <f>IF(ISERROR(VLOOKUP($A199,'SegEnds_NonXtal_BW#'!$A:$Z,21,FALSE)+VLOOKUP($A199,A:AL,31,FALSE)-50),"-",(VLOOKUP($A199,'SegEnds_NonXtal_BW#'!$A:$Z,21,FALSE)+VLOOKUP($A199,A:AL,31,FALSE)-50))</f>
        <v>219</v>
      </c>
      <c r="AE199" s="3">
        <v>243</v>
      </c>
      <c r="AF199" s="3">
        <f>IF(ISERROR((VLOOKUP($A199,'SegEnds_NonXtal_BW#'!$A:$Z,22,FALSE)+VLOOKUP($A199,A:AL,31,FALSE)-50)),"-",(VLOOKUP($A199,'SegEnds_NonXtal_BW#'!$A:$Z,22,FALSE)+VLOOKUP($A199,A:AL,31,FALSE)-50))</f>
        <v>254</v>
      </c>
      <c r="AG199" s="3">
        <f>IF(ISERROR(VLOOKUP($A199,'SegEnds_NonXtal_BW#'!$A:$Z,23,FALSE)+VLOOKUP($A199,A:AL,34,FALSE)-50),"-",(VLOOKUP($A199,'SegEnds_NonXtal_BW#'!$A:$Z,23,FALSE)+VLOOKUP($A199,A:AL,34,FALSE)-50))</f>
        <v>261</v>
      </c>
      <c r="AH199" s="3">
        <v>283</v>
      </c>
      <c r="AI199" s="3">
        <f>IF(ISERROR((VLOOKUP($A199,'SegEnds_NonXtal_BW#'!$A:$Z,24,FALSE)+VLOOKUP($A199,A:AL,34,FALSE)-50)),"-",(VLOOKUP($A199,'SegEnds_NonXtal_BW#'!$A:$Z,24,FALSE)+VLOOKUP($A199,A:AL,34,FALSE)-50))</f>
        <v>292</v>
      </c>
      <c r="AJ199" s="3">
        <f>IF(ISERROR(VLOOKUP($A199,'SegEnds_NonXtal_BW#'!$A:$Z,25,FALSE)+VLOOKUP($A199,A:AL,37,FALSE)-50),"-",(VLOOKUP($A199,'SegEnds_NonXtal_BW#'!$A:$Z,25,FALSE)+VLOOKUP($A199,A:AL,37,FALSE)-50))</f>
        <v>293</v>
      </c>
      <c r="AK199" s="3">
        <v>293</v>
      </c>
      <c r="AL199" s="3">
        <f>IF(ISERROR((VLOOKUP($A199,'SegEnds_NonXtal_BW#'!$A:$Z,26,FALSE)+VLOOKUP($A199,A:AL,37,FALSE)-50)),"-",(VLOOKUP($A199,'SegEnds_NonXtal_BW#'!$A:$Z,26,FALSE)+VLOOKUP($A199,A:AL,37,FALSE)-50))</f>
        <v>306</v>
      </c>
      <c r="AM199" s="28" t="str">
        <f>VLOOKUP(A199,Classification!A:B,2,FALSE)</f>
        <v>A</v>
      </c>
      <c r="AN199" s="28" t="b">
        <f t="shared" si="133"/>
        <v>1</v>
      </c>
      <c r="AO199" s="3" t="str">
        <f>IF(ISERROR(MATCH(A199,'SegEnds_Xtal_Prot#'!B:B, 0)), "NoXtal", "Xtal")</f>
        <v>NoXtal</v>
      </c>
      <c r="AP199" s="3">
        <f t="shared" si="118"/>
        <v>1</v>
      </c>
      <c r="AQ199" s="3">
        <f t="shared" si="119"/>
        <v>1</v>
      </c>
      <c r="AR199" s="3">
        <f t="shared" si="120"/>
        <v>2</v>
      </c>
      <c r="AS199" s="3">
        <f t="shared" si="121"/>
        <v>1</v>
      </c>
      <c r="AT199" s="3">
        <f t="shared" si="122"/>
        <v>1</v>
      </c>
      <c r="AU199" s="3">
        <f t="shared" si="123"/>
        <v>1</v>
      </c>
      <c r="AV199" s="3">
        <f t="shared" si="124"/>
        <v>13</v>
      </c>
      <c r="AW199" s="3">
        <f t="shared" si="125"/>
        <v>6</v>
      </c>
      <c r="AX199" s="3">
        <f t="shared" si="126"/>
        <v>5</v>
      </c>
      <c r="AY199" s="3">
        <f t="shared" si="127"/>
        <v>7</v>
      </c>
      <c r="AZ199" s="3">
        <f t="shared" si="128"/>
        <v>1</v>
      </c>
      <c r="BA199" s="3">
        <f>IF(ISERROR(LEN(VLOOKUP(A199,Seqs!A:E,2,FALSE))-AL199),"-",LEN(VLOOKUP(A199,Seqs!A:E,2,FALSE))-AL199)</f>
        <v>59</v>
      </c>
      <c r="BB199" s="16">
        <f t="shared" si="129"/>
        <v>28</v>
      </c>
      <c r="BC199" s="9">
        <f t="shared" si="130"/>
        <v>20</v>
      </c>
      <c r="BD199" s="3">
        <f t="shared" si="131"/>
        <v>28</v>
      </c>
      <c r="BE199" s="3">
        <f t="shared" si="132"/>
        <v>46</v>
      </c>
    </row>
    <row r="200" spans="1:57" s="3" customFormat="1" x14ac:dyDescent="0.2">
      <c r="A200" s="3" t="s">
        <v>332</v>
      </c>
      <c r="B200" s="3" t="s">
        <v>913</v>
      </c>
      <c r="C200" s="3">
        <f>VLOOKUP($A200,'SegEnds_NonXtal_BW#'!$A:$Z,3,FALSE)+D200-50</f>
        <v>66</v>
      </c>
      <c r="D200" s="3">
        <v>88</v>
      </c>
      <c r="E200" s="3">
        <f>IF(ISERROR(VLOOKUP($A200,'SegEnds_NonXtal_BW#'!$A:$Z,4,FALSE)+VLOOKUP($A200,A:AL,4,FALSE)-50),"-",(VLOOKUP($A200,'SegEnds_NonXtal_BW#'!$A:$Z,4,FALSE)+VLOOKUP($A200,A:AL,4,FALSE)-50))</f>
        <v>98</v>
      </c>
      <c r="F200" s="3">
        <f t="shared" ref="F200:F208" si="134">G200-2</f>
        <v>99</v>
      </c>
      <c r="G200" s="3">
        <v>101</v>
      </c>
      <c r="H200" s="3">
        <f t="shared" ref="H200:I208" si="135">G200+1</f>
        <v>102</v>
      </c>
      <c r="I200" s="3">
        <f t="shared" si="135"/>
        <v>103</v>
      </c>
      <c r="J200" s="3">
        <v>116</v>
      </c>
      <c r="K200" s="3">
        <v>134</v>
      </c>
      <c r="L200" s="3">
        <f>M200-1</f>
        <v>135</v>
      </c>
      <c r="M200" s="3">
        <v>136</v>
      </c>
      <c r="N200" s="3">
        <f>M200+2</f>
        <v>138</v>
      </c>
      <c r="O200" s="3">
        <f t="shared" si="116"/>
        <v>139</v>
      </c>
      <c r="P200" s="3">
        <v>168</v>
      </c>
      <c r="Q200" s="3">
        <f>VLOOKUP($A200,'SegEnds_NonXtal_BW#'!$A:$Z,12,FALSE)+VLOOKUP($A200,A:AL,16,FALSE)-50</f>
        <v>174</v>
      </c>
      <c r="R200" s="3">
        <f>IF(ISERROR(VLOOKUP($A200,'SegEnds_NonXtal_BW#'!$A:$Z,13,FALSE)+VLOOKUP($A200,A:AL,19,FALSE)-50),"-",VLOOKUP($A200,'SegEnds_NonXtal_BW#'!$A:$Z,13,FALSE)+VLOOKUP($A200,A:AL,19,FALSE)-50)</f>
        <v>175</v>
      </c>
      <c r="S200" s="3">
        <v>175</v>
      </c>
      <c r="T200" s="100">
        <f>IF(ISERROR(VLOOKUP($A200,'SegEnds_NonXtal_BW#'!$A:$Z,14,FALSE)+VLOOKUP($A200,A:AL,19,FALSE)-50),"-",(VLOOKUP($A200,'SegEnds_NonXtal_BW#'!$A:$Z,14,FALSE)+VLOOKUP($A200,A:AL,19,FALSE)-50))</f>
        <v>182</v>
      </c>
      <c r="U200" s="9">
        <f>IF(ISERROR(VLOOKUP($A200,'SegEnds_NonXtal_BW#'!$A:$Z,15,FALSE)+VLOOKUP($A200,A:AL,22,FALSE)-50),"-",VLOOKUP($A200,'SegEnds_NonXtal_BW#'!$A:$Z,15,FALSE)+VLOOKUP($A200,A:AL,22,FALSE)-50)</f>
        <v>183</v>
      </c>
      <c r="V200" s="3">
        <v>195</v>
      </c>
      <c r="W200" s="3">
        <f>IF(ISERROR(VLOOKUP($A200,'SegEnds_NonXtal_BW#'!$A:$Z,16,FALSE)+VLOOKUP($A200,A:AL,22,FALSE)-50),"-",(VLOOKUP($A200,'SegEnds_NonXtal_BW#'!$A:$Z,16,FALSE)+VLOOKUP($A200,A:AL,22,FALSE)-50))</f>
        <v>207</v>
      </c>
      <c r="X200" s="3">
        <f>IF(ISERROR(VLOOKUP($A200,'SegEnds_NonXtal_BW#'!$A:$Z,17,FALSE)+VLOOKUP($A200,A:AL,25,FALSE)-50),"-",(VLOOKUP($A200,'SegEnds_NonXtal_BW#'!$A:$Z,17,FALSE)+VLOOKUP($A200,A:AL,25,FALSE)-50))</f>
        <v>221</v>
      </c>
      <c r="Y200" s="3">
        <v>221</v>
      </c>
      <c r="Z200" s="3">
        <f t="shared" si="117"/>
        <v>223</v>
      </c>
      <c r="AA200" s="3">
        <f>IF(ISERROR(VLOOKUP($A200,'SegEnds_NonXtal_BW#'!$A:$Z,19,FALSE)+VLOOKUP($A200,A:AL,28,FALSE)-50),"-",(VLOOKUP($A200,'SegEnds_NonXtal_BW#'!$A:$Z,19,FALSE)+VLOOKUP($A200,A:AL,28,FALSE)-50))</f>
        <v>231</v>
      </c>
      <c r="AB200" s="3">
        <v>247</v>
      </c>
      <c r="AC200" s="3">
        <f>IF(ISERROR((VLOOKUP($A200,'SegEnds_NonXtal_BW#'!$A:$Z,20,FALSE)+VLOOKUP($A200,A:AL,28,FALSE)-50)),"-",(VLOOKUP($A200,'SegEnds_NonXtal_BW#'!$A:$Z,20,FALSE)+VLOOKUP($A200,A:AL,28,FALSE)-50))</f>
        <v>271</v>
      </c>
      <c r="AD200" s="3">
        <f>IF(ISERROR(VLOOKUP($A200,'SegEnds_NonXtal_BW#'!$A:$Z,21,FALSE)+VLOOKUP($A200,A:AL,31,FALSE)-50),"-",(VLOOKUP($A200,'SegEnds_NonXtal_BW#'!$A:$Z,21,FALSE)+VLOOKUP($A200,A:AL,31,FALSE)-50))</f>
        <v>282</v>
      </c>
      <c r="AE200" s="3">
        <v>311</v>
      </c>
      <c r="AF200" s="3">
        <f>IF(ISERROR((VLOOKUP($A200,'SegEnds_NonXtal_BW#'!$A:$Z,22,FALSE)+VLOOKUP($A200,A:AL,31,FALSE)-50)),"-",(VLOOKUP($A200,'SegEnds_NonXtal_BW#'!$A:$Z,22,FALSE)+VLOOKUP($A200,A:AL,31,FALSE)-50))</f>
        <v>322</v>
      </c>
      <c r="AG200" s="3">
        <f>IF(ISERROR(VLOOKUP($A200,'SegEnds_NonXtal_BW#'!$A:$Z,23,FALSE)+VLOOKUP($A200,A:AL,34,FALSE)-50),"-",(VLOOKUP($A200,'SegEnds_NonXtal_BW#'!$A:$Z,23,FALSE)+VLOOKUP($A200,A:AL,34,FALSE)-50))</f>
        <v>328</v>
      </c>
      <c r="AH200" s="3">
        <v>347</v>
      </c>
      <c r="AI200" s="3">
        <f>IF(ISERROR((VLOOKUP($A200,'SegEnds_NonXtal_BW#'!$A:$Z,24,FALSE)+VLOOKUP($A200,A:AL,34,FALSE)-50)),"-",(VLOOKUP($A200,'SegEnds_NonXtal_BW#'!$A:$Z,24,FALSE)+VLOOKUP($A200,A:AL,34,FALSE)-50))</f>
        <v>353</v>
      </c>
      <c r="AJ200" s="3">
        <f>IF(ISERROR(VLOOKUP($A200,'SegEnds_NonXtal_BW#'!$A:$Z,25,FALSE)+VLOOKUP($A200,A:AL,37,FALSE)-50),"-",(VLOOKUP($A200,'SegEnds_NonXtal_BW#'!$A:$Z,25,FALSE)+VLOOKUP($A200,A:AL,37,FALSE)-50))</f>
        <v>354</v>
      </c>
      <c r="AK200" s="3">
        <v>357</v>
      </c>
      <c r="AL200" s="3">
        <f>IF(ISERROR((VLOOKUP($A200,'SegEnds_NonXtal_BW#'!$A:$Z,26,FALSE)+VLOOKUP($A200,A:AL,37,FALSE)-50)),"-",(VLOOKUP($A200,'SegEnds_NonXtal_BW#'!$A:$Z,26,FALSE)+VLOOKUP($A200,A:AL,37,FALSE)-50))</f>
        <v>366</v>
      </c>
      <c r="AM200" s="28" t="str">
        <f>VLOOKUP(A200,Classification!A:B,2,FALSE)</f>
        <v>A</v>
      </c>
      <c r="AN200" s="28" t="b">
        <f t="shared" si="133"/>
        <v>1</v>
      </c>
      <c r="AO200" s="3" t="str">
        <f>IF(ISERROR(MATCH(A200,'SegEnds_Xtal_Prot#'!B:B, 0)), "NoXtal", "Xtal")</f>
        <v>NoXtal</v>
      </c>
      <c r="AP200" s="3">
        <f t="shared" si="118"/>
        <v>1</v>
      </c>
      <c r="AQ200" s="3">
        <f t="shared" si="119"/>
        <v>1</v>
      </c>
      <c r="AR200" s="3">
        <f t="shared" si="120"/>
        <v>1</v>
      </c>
      <c r="AS200" s="3">
        <f t="shared" si="121"/>
        <v>1</v>
      </c>
      <c r="AT200" s="3">
        <f t="shared" si="122"/>
        <v>1</v>
      </c>
      <c r="AU200" s="3">
        <f t="shared" si="123"/>
        <v>1</v>
      </c>
      <c r="AV200" s="3">
        <f t="shared" si="124"/>
        <v>14</v>
      </c>
      <c r="AW200" s="3">
        <f t="shared" si="125"/>
        <v>8</v>
      </c>
      <c r="AX200" s="3">
        <f t="shared" si="126"/>
        <v>11</v>
      </c>
      <c r="AY200" s="3">
        <f t="shared" si="127"/>
        <v>6</v>
      </c>
      <c r="AZ200" s="3">
        <f t="shared" si="128"/>
        <v>1</v>
      </c>
      <c r="BA200" s="3">
        <f>IF(ISERROR(LEN(VLOOKUP(A200,Seqs!A:E,2,FALSE))-AL200),"-",LEN(VLOOKUP(A200,Seqs!A:E,2,FALSE))-AL200)</f>
        <v>112</v>
      </c>
      <c r="BB200" s="16">
        <f t="shared" si="129"/>
        <v>28</v>
      </c>
      <c r="BC200" s="9">
        <f t="shared" si="130"/>
        <v>20</v>
      </c>
      <c r="BD200" s="3">
        <f t="shared" si="131"/>
        <v>28</v>
      </c>
      <c r="BE200" s="3">
        <f t="shared" si="132"/>
        <v>64</v>
      </c>
    </row>
    <row r="201" spans="1:57" s="3" customFormat="1" x14ac:dyDescent="0.2">
      <c r="A201" s="3" t="s">
        <v>334</v>
      </c>
      <c r="B201" s="3" t="str">
        <f>LOWER(VLOOKUP(A201,Xtal_Templ!A:B,2,FALSE))</f>
        <v>oprd_human</v>
      </c>
      <c r="C201" s="3">
        <f>VLOOKUP($A201,'SegEnds_NonXtal_BW#'!$A:$Z,3,FALSE)+D201-50</f>
        <v>39</v>
      </c>
      <c r="D201" s="3">
        <v>67</v>
      </c>
      <c r="E201" s="3">
        <f>IF(ISERROR(VLOOKUP($A201,'SegEnds_NonXtal_BW#'!$A:$Z,4,FALSE)+VLOOKUP($A201,A:AL,4,FALSE)-50),"-",(VLOOKUP($A201,'SegEnds_NonXtal_BW#'!$A:$Z,4,FALSE)+VLOOKUP($A201,A:AL,4,FALSE)-50))</f>
        <v>77</v>
      </c>
      <c r="F201" s="3">
        <f t="shared" si="134"/>
        <v>78</v>
      </c>
      <c r="G201" s="3">
        <v>80</v>
      </c>
      <c r="H201" s="3">
        <f t="shared" si="135"/>
        <v>81</v>
      </c>
      <c r="I201" s="3">
        <f t="shared" si="135"/>
        <v>82</v>
      </c>
      <c r="J201" s="3">
        <v>95</v>
      </c>
      <c r="K201" s="3">
        <f>VLOOKUP($A201,'SegEnds_NonXtal_BW#'!$A:$Z,8,FALSE)+VLOOKUP($A201,A:AL,10,FALSE)-50</f>
        <v>111</v>
      </c>
      <c r="L201" s="3">
        <f>M201-1</f>
        <v>113</v>
      </c>
      <c r="M201" s="3">
        <v>114</v>
      </c>
      <c r="N201" s="3">
        <f>M201+2</f>
        <v>116</v>
      </c>
      <c r="O201" s="3">
        <f t="shared" si="116"/>
        <v>117</v>
      </c>
      <c r="P201" s="3">
        <v>146</v>
      </c>
      <c r="Q201" s="3">
        <f>VLOOKUP($A201,'SegEnds_NonXtal_BW#'!$A:$Z,12,FALSE)+VLOOKUP($A201,A:AL,16,FALSE)-50</f>
        <v>152</v>
      </c>
      <c r="R201" s="3">
        <f>IF(ISERROR(VLOOKUP($A201,'SegEnds_NonXtal_BW#'!$A:$Z,13,FALSE)+VLOOKUP($A201,A:AL,19,FALSE)-50),"-",VLOOKUP($A201,'SegEnds_NonXtal_BW#'!$A:$Z,13,FALSE)+VLOOKUP($A201,A:AL,19,FALSE)-50)</f>
        <v>153</v>
      </c>
      <c r="S201" s="3">
        <v>153</v>
      </c>
      <c r="T201" s="100">
        <f>IF(ISERROR(VLOOKUP($A201,'SegEnds_NonXtal_BW#'!$A:$Z,14,FALSE)+VLOOKUP($A201,A:AL,19,FALSE)-50),"-",(VLOOKUP($A201,'SegEnds_NonXtal_BW#'!$A:$Z,14,FALSE)+VLOOKUP($A201,A:AL,19,FALSE)-50))</f>
        <v>160</v>
      </c>
      <c r="U201" s="9">
        <f>IF(ISERROR(VLOOKUP($A201,'SegEnds_NonXtal_BW#'!$A:$Z,15,FALSE)+VLOOKUP($A201,A:AL,22,FALSE)-50),"-",VLOOKUP($A201,'SegEnds_NonXtal_BW#'!$A:$Z,15,FALSE)+VLOOKUP($A201,A:AL,22,FALSE)-50)</f>
        <v>161</v>
      </c>
      <c r="V201" s="3">
        <v>173</v>
      </c>
      <c r="W201" s="3">
        <f>IF(ISERROR(VLOOKUP($A201,'SegEnds_NonXtal_BW#'!$A:$Z,16,FALSE)+VLOOKUP($A201,A:AL,22,FALSE)-50),"-",(VLOOKUP($A201,'SegEnds_NonXtal_BW#'!$A:$Z,16,FALSE)+VLOOKUP($A201,A:AL,22,FALSE)-50))</f>
        <v>187</v>
      </c>
      <c r="X201" s="3">
        <f>IF(ISERROR(VLOOKUP($A201,'SegEnds_NonXtal_BW#'!$A:$Z,17,FALSE)+VLOOKUP($A201,A:AL,25,FALSE)-50),"-",(VLOOKUP($A201,'SegEnds_NonXtal_BW#'!$A:$Z,17,FALSE)+VLOOKUP($A201,A:AL,25,FALSE)-50))</f>
        <v>198</v>
      </c>
      <c r="Y201" s="3">
        <v>198</v>
      </c>
      <c r="Z201" s="3">
        <f t="shared" si="117"/>
        <v>200</v>
      </c>
      <c r="AA201" s="3">
        <f>IF(ISERROR(VLOOKUP($A201,'SegEnds_NonXtal_BW#'!$A:$Z,19,FALSE)+VLOOKUP($A201,A:AL,28,FALSE)-50),"-",(VLOOKUP($A201,'SegEnds_NonXtal_BW#'!$A:$Z,19,FALSE)+VLOOKUP($A201,A:AL,28,FALSE)-50))</f>
        <v>206</v>
      </c>
      <c r="AB201" s="3">
        <v>225</v>
      </c>
      <c r="AC201" s="3">
        <f>IF(ISERROR((VLOOKUP($A201,'SegEnds_NonXtal_BW#'!$A:$Z,20,FALSE)+VLOOKUP($A201,A:AL,28,FALSE)-50)),"-",(VLOOKUP($A201,'SegEnds_NonXtal_BW#'!$A:$Z,20,FALSE)+VLOOKUP($A201,A:AL,28,FALSE)-50))</f>
        <v>243</v>
      </c>
      <c r="AD201" s="3">
        <f>IF(ISERROR(VLOOKUP($A201,'SegEnds_NonXtal_BW#'!$A:$Z,21,FALSE)+VLOOKUP($A201,A:AL,31,FALSE)-50),"-",(VLOOKUP($A201,'SegEnds_NonXtal_BW#'!$A:$Z,21,FALSE)+VLOOKUP($A201,A:AL,31,FALSE)-50))</f>
        <v>249</v>
      </c>
      <c r="AE201" s="3">
        <v>276</v>
      </c>
      <c r="AF201" s="3">
        <f>IF(ISERROR((VLOOKUP($A201,'SegEnds_NonXtal_BW#'!$A:$Z,22,FALSE)+VLOOKUP($A201,A:AL,31,FALSE)-50)),"-",(VLOOKUP($A201,'SegEnds_NonXtal_BW#'!$A:$Z,22,FALSE)+VLOOKUP($A201,A:AL,31,FALSE)-50))</f>
        <v>287</v>
      </c>
      <c r="AG201" s="3">
        <f>IF(ISERROR(VLOOKUP($A201,'SegEnds_NonXtal_BW#'!$A:$Z,23,FALSE)+VLOOKUP($A201,A:AL,34,FALSE)-50),"-",(VLOOKUP($A201,'SegEnds_NonXtal_BW#'!$A:$Z,23,FALSE)+VLOOKUP($A201,A:AL,34,FALSE)-50))</f>
        <v>293</v>
      </c>
      <c r="AH201" s="3">
        <v>315</v>
      </c>
      <c r="AI201" s="3">
        <f>IF(ISERROR((VLOOKUP($A201,'SegEnds_NonXtal_BW#'!$A:$Z,24,FALSE)+VLOOKUP($A201,A:AL,34,FALSE)-50)),"-",(VLOOKUP($A201,'SegEnds_NonXtal_BW#'!$A:$Z,24,FALSE)+VLOOKUP($A201,A:AL,34,FALSE)-50))</f>
        <v>321</v>
      </c>
      <c r="AJ201" s="3">
        <f>IF(ISERROR(VLOOKUP($A201,'SegEnds_NonXtal_BW#'!$A:$Z,25,FALSE)+VLOOKUP($A201,A:AL,37,FALSE)-50),"-",(VLOOKUP($A201,'SegEnds_NonXtal_BW#'!$A:$Z,25,FALSE)+VLOOKUP($A201,A:AL,37,FALSE)-50))</f>
        <v>322</v>
      </c>
      <c r="AK201" s="3">
        <v>325</v>
      </c>
      <c r="AL201" s="3">
        <f>IF(ISERROR((VLOOKUP($A201,'SegEnds_NonXtal_BW#'!$A:$Z,26,FALSE)+VLOOKUP($A201,A:AL,37,FALSE)-50)),"-",(VLOOKUP($A201,'SegEnds_NonXtal_BW#'!$A:$Z,26,FALSE)+VLOOKUP($A201,A:AL,37,FALSE)-50))</f>
        <v>335</v>
      </c>
      <c r="AM201" s="28" t="str">
        <f>VLOOKUP(A201,Classification!A:B,2,FALSE)</f>
        <v>A</v>
      </c>
      <c r="AN201" s="28" t="b">
        <f t="shared" si="133"/>
        <v>1</v>
      </c>
      <c r="AO201" s="3" t="str">
        <f>IF(ISERROR(MATCH(A201,'SegEnds_Xtal_Prot#'!B:B, 0)), "NoXtal", "Xtal")</f>
        <v>Xtal</v>
      </c>
      <c r="AP201" s="3">
        <f t="shared" si="118"/>
        <v>1</v>
      </c>
      <c r="AQ201" s="3">
        <f t="shared" si="119"/>
        <v>1</v>
      </c>
      <c r="AR201" s="3">
        <f t="shared" si="120"/>
        <v>2</v>
      </c>
      <c r="AS201" s="3">
        <f t="shared" si="121"/>
        <v>1</v>
      </c>
      <c r="AT201" s="3">
        <f t="shared" si="122"/>
        <v>1</v>
      </c>
      <c r="AU201" s="3">
        <f t="shared" si="123"/>
        <v>1</v>
      </c>
      <c r="AV201" s="3">
        <f t="shared" si="124"/>
        <v>11</v>
      </c>
      <c r="AW201" s="3">
        <f t="shared" si="125"/>
        <v>6</v>
      </c>
      <c r="AX201" s="3">
        <f t="shared" si="126"/>
        <v>6</v>
      </c>
      <c r="AY201" s="3">
        <f t="shared" si="127"/>
        <v>6</v>
      </c>
      <c r="AZ201" s="3">
        <f t="shared" si="128"/>
        <v>1</v>
      </c>
      <c r="BA201" s="3">
        <f>IF(ISERROR(LEN(VLOOKUP(A201,Seqs!A:E,2,FALSE))-AL201),"-",LEN(VLOOKUP(A201,Seqs!A:E,2,FALSE))-AL201)</f>
        <v>37</v>
      </c>
      <c r="BB201" s="16">
        <f t="shared" si="129"/>
        <v>28</v>
      </c>
      <c r="BC201" s="9">
        <f t="shared" si="130"/>
        <v>20</v>
      </c>
      <c r="BD201" s="3">
        <f t="shared" si="131"/>
        <v>28</v>
      </c>
      <c r="BE201" s="3">
        <f t="shared" si="132"/>
        <v>51</v>
      </c>
    </row>
    <row r="202" spans="1:57" s="3" customFormat="1" x14ac:dyDescent="0.2">
      <c r="A202" s="3" t="s">
        <v>909</v>
      </c>
      <c r="B202" s="3" t="str">
        <f>LOWER(VLOOKUP(A202,Xtal_Templ!A:B,2,FALSE))</f>
        <v>oprd_mouse</v>
      </c>
      <c r="C202" s="3">
        <f>VLOOKUP($A202,'SegEnds_NonXtal_BW#'!$A:$Z,3,FALSE)+D202-50</f>
        <v>41</v>
      </c>
      <c r="D202" s="3">
        <v>67</v>
      </c>
      <c r="E202" s="3">
        <f>IF(ISERROR(VLOOKUP($A202,'SegEnds_NonXtal_BW#'!$A:$Z,4,FALSE)+VLOOKUP($A202,A:AL,4,FALSE)-50),"-",(VLOOKUP($A202,'SegEnds_NonXtal_BW#'!$A:$Z,4,FALSE)+VLOOKUP($A202,A:AL,4,FALSE)-50))</f>
        <v>77</v>
      </c>
      <c r="F202" s="3">
        <f t="shared" si="134"/>
        <v>78</v>
      </c>
      <c r="G202" s="3">
        <v>80</v>
      </c>
      <c r="H202" s="3">
        <f t="shared" si="135"/>
        <v>81</v>
      </c>
      <c r="I202" s="3">
        <f t="shared" si="135"/>
        <v>82</v>
      </c>
      <c r="J202" s="3">
        <v>95</v>
      </c>
      <c r="K202" s="3">
        <f>VLOOKUP($A202,'SegEnds_NonXtal_BW#'!$A:$Z,8,FALSE)+VLOOKUP($A202,A:AL,10,FALSE)-50</f>
        <v>111</v>
      </c>
      <c r="L202" s="3">
        <f>IF(ISERROR(VLOOKUP($A202,'SegEnds_NonXtal_BW#'!$A:$Z,9,FALSE)+VLOOKUP($A202,A:AL,13,FALSE)-50),"-",(VLOOKUP($A202,'SegEnds_NonXtal_BW#'!$A:$Z,9,FALSE)+VLOOKUP($A202,A:AL,13,FALSE)-50))</f>
        <v>113</v>
      </c>
      <c r="M202" s="3">
        <v>114</v>
      </c>
      <c r="N202" s="3">
        <f>IF(ISERROR(VLOOKUP($A202,'SegEnds_NonXtal_BW#'!$A:$Z,10,FALSE)+VLOOKUP($A202,A:AL,13,FALSE)-50),"-",(VLOOKUP($A202,'SegEnds_NonXtal_BW#'!$A:$Z,10,FALSE)+VLOOKUP($A202,A:AL,13,FALSE)-50))</f>
        <v>116</v>
      </c>
      <c r="O202" s="3">
        <f t="shared" si="116"/>
        <v>117</v>
      </c>
      <c r="P202" s="3">
        <v>146</v>
      </c>
      <c r="Q202" s="3">
        <f>VLOOKUP($A202,'SegEnds_NonXtal_BW#'!$A:$Z,12,FALSE)+VLOOKUP($A202,A:AL,16,FALSE)-50</f>
        <v>152</v>
      </c>
      <c r="R202" s="3">
        <f>IF(ISERROR(VLOOKUP($A202,'SegEnds_NonXtal_BW#'!$A:$Z,13,FALSE)+VLOOKUP($A202,A:AL,19,FALSE)-50),"-",VLOOKUP($A202,'SegEnds_NonXtal_BW#'!$A:$Z,13,FALSE)+VLOOKUP($A202,A:AL,19,FALSE)-50)</f>
        <v>153</v>
      </c>
      <c r="S202" s="3">
        <v>153</v>
      </c>
      <c r="T202" s="100">
        <f>IF(ISERROR(VLOOKUP($A202,'SegEnds_NonXtal_BW#'!$A:$Z,14,FALSE)+VLOOKUP($A202,A:AL,19,FALSE)-50),"-",(VLOOKUP($A202,'SegEnds_NonXtal_BW#'!$A:$Z,14,FALSE)+VLOOKUP($A202,A:AL,19,FALSE)-50))</f>
        <v>160</v>
      </c>
      <c r="U202" s="9">
        <f>IF(ISERROR(VLOOKUP($A202,'SegEnds_NonXtal_BW#'!$A:$Z,15,FALSE)+VLOOKUP($A202,A:AL,22,FALSE)-50),"-",VLOOKUP($A202,'SegEnds_NonXtal_BW#'!$A:$Z,15,FALSE)+VLOOKUP($A202,A:AL,22,FALSE)-50)</f>
        <v>161</v>
      </c>
      <c r="V202" s="3">
        <v>173</v>
      </c>
      <c r="W202" s="3">
        <f>IF(ISERROR(VLOOKUP($A202,'SegEnds_NonXtal_BW#'!$A:$Z,16,FALSE)+VLOOKUP($A202,A:AL,22,FALSE)-50),"-",(VLOOKUP($A202,'SegEnds_NonXtal_BW#'!$A:$Z,16,FALSE)+VLOOKUP($A202,A:AL,22,FALSE)-50))</f>
        <v>187</v>
      </c>
      <c r="X202" s="3">
        <f>IF(ISERROR(VLOOKUP($A202,'SegEnds_NonXtal_BW#'!$A:$Z,17,FALSE)+VLOOKUP($A202,A:AL,25,FALSE)-50),"-",(VLOOKUP($A202,'SegEnds_NonXtal_BW#'!$A:$Z,17,FALSE)+VLOOKUP($A202,A:AL,25,FALSE)-50))</f>
        <v>198</v>
      </c>
      <c r="Y202" s="3">
        <v>198</v>
      </c>
      <c r="Z202" s="3">
        <f t="shared" si="117"/>
        <v>200</v>
      </c>
      <c r="AA202" s="3">
        <f>IF(ISERROR(VLOOKUP($A202,'SegEnds_NonXtal_BW#'!$A:$Z,19,FALSE)+VLOOKUP($A202,A:AL,28,FALSE)-50),"-",(VLOOKUP($A202,'SegEnds_NonXtal_BW#'!$A:$Z,19,FALSE)+VLOOKUP($A202,A:AL,28,FALSE)-50))</f>
        <v>206</v>
      </c>
      <c r="AB202" s="3">
        <v>225</v>
      </c>
      <c r="AC202" s="3">
        <f>IF(ISERROR((VLOOKUP($A202,'SegEnds_NonXtal_BW#'!$A:$Z,20,FALSE)+VLOOKUP($A202,A:AL,28,FALSE)-50)),"-",(VLOOKUP($A202,'SegEnds_NonXtal_BW#'!$A:$Z,20,FALSE)+VLOOKUP($A202,A:AL,28,FALSE)-50))</f>
        <v>243</v>
      </c>
      <c r="AD202" s="3">
        <f>IF(ISERROR(VLOOKUP($A202,'SegEnds_NonXtal_BW#'!$A:$Z,21,FALSE)+VLOOKUP($A202,A:AL,31,FALSE)-50),"-",(VLOOKUP($A202,'SegEnds_NonXtal_BW#'!$A:$Z,21,FALSE)+VLOOKUP($A202,A:AL,31,FALSE)-50))</f>
        <v>249</v>
      </c>
      <c r="AE202" s="3">
        <v>276</v>
      </c>
      <c r="AF202" s="3">
        <f>IF(ISERROR((VLOOKUP($A202,'SegEnds_NonXtal_BW#'!$A:$Z,22,FALSE)+VLOOKUP($A202,A:AL,31,FALSE)-50)),"-",(VLOOKUP($A202,'SegEnds_NonXtal_BW#'!$A:$Z,22,FALSE)+VLOOKUP($A202,A:AL,31,FALSE)-50))</f>
        <v>287</v>
      </c>
      <c r="AG202" s="3">
        <f>IF(ISERROR(VLOOKUP($A202,'SegEnds_NonXtal_BW#'!$A:$Z,23,FALSE)+VLOOKUP($A202,A:AL,34,FALSE)-50),"-",(VLOOKUP($A202,'SegEnds_NonXtal_BW#'!$A:$Z,23,FALSE)+VLOOKUP($A202,A:AL,34,FALSE)-50))</f>
        <v>293</v>
      </c>
      <c r="AH202" s="3">
        <v>315</v>
      </c>
      <c r="AI202" s="3">
        <f>IF(ISERROR((VLOOKUP($A202,'SegEnds_NonXtal_BW#'!$A:$Z,24,FALSE)+VLOOKUP($A202,A:AL,34,FALSE)-50)),"-",(VLOOKUP($A202,'SegEnds_NonXtal_BW#'!$A:$Z,24,FALSE)+VLOOKUP($A202,A:AL,34,FALSE)-50))</f>
        <v>321</v>
      </c>
      <c r="AJ202" s="3">
        <f>IF(ISERROR(VLOOKUP($A202,'SegEnds_NonXtal_BW#'!$A:$Z,25,FALSE)+VLOOKUP($A202,A:AL,37,FALSE)-50),"-",(VLOOKUP($A202,'SegEnds_NonXtal_BW#'!$A:$Z,25,FALSE)+VLOOKUP($A202,A:AL,37,FALSE)-50))</f>
        <v>322</v>
      </c>
      <c r="AK202" s="3">
        <v>325</v>
      </c>
      <c r="AL202" s="3">
        <f>IF(ISERROR((VLOOKUP($A202,'SegEnds_NonXtal_BW#'!$A:$Z,26,FALSE)+VLOOKUP($A202,A:AL,37,FALSE)-50)),"-",(VLOOKUP($A202,'SegEnds_NonXtal_BW#'!$A:$Z,26,FALSE)+VLOOKUP($A202,A:AL,37,FALSE)-50))</f>
        <v>335</v>
      </c>
      <c r="AM202" s="28" t="str">
        <f>VLOOKUP(A202,Classification!A:B,2,FALSE)</f>
        <v>A</v>
      </c>
      <c r="AN202" s="28" t="b">
        <f t="shared" si="133"/>
        <v>1</v>
      </c>
      <c r="AO202" s="3" t="str">
        <f>IF(ISERROR(MATCH(A202,'SegEnds_Xtal_Prot#'!B:B, 0)), "NoXtal", "Xtal")</f>
        <v>Xtal</v>
      </c>
      <c r="AP202" s="3">
        <f t="shared" si="118"/>
        <v>1</v>
      </c>
      <c r="AQ202" s="3">
        <f t="shared" si="119"/>
        <v>1</v>
      </c>
      <c r="AR202" s="3">
        <f t="shared" si="120"/>
        <v>2</v>
      </c>
      <c r="AS202" s="3">
        <f t="shared" si="121"/>
        <v>1</v>
      </c>
      <c r="AT202" s="3">
        <f t="shared" si="122"/>
        <v>1</v>
      </c>
      <c r="AU202" s="3">
        <f t="shared" si="123"/>
        <v>1</v>
      </c>
      <c r="AV202" s="3">
        <f t="shared" si="124"/>
        <v>11</v>
      </c>
      <c r="AW202" s="3">
        <f t="shared" si="125"/>
        <v>6</v>
      </c>
      <c r="AX202" s="3">
        <f t="shared" si="126"/>
        <v>6</v>
      </c>
      <c r="AY202" s="3">
        <f t="shared" si="127"/>
        <v>6</v>
      </c>
      <c r="AZ202" s="3">
        <f t="shared" si="128"/>
        <v>1</v>
      </c>
      <c r="BA202" s="3">
        <f>IF(ISERROR(LEN(VLOOKUP(A202,Seqs!A:E,2,FALSE))-AL202),"-",LEN(VLOOKUP(A202,Seqs!A:E,2,FALSE))-AL202)</f>
        <v>37</v>
      </c>
      <c r="BB202" s="16">
        <f t="shared" si="129"/>
        <v>28</v>
      </c>
      <c r="BC202" s="9">
        <f t="shared" si="130"/>
        <v>20</v>
      </c>
      <c r="BD202" s="3">
        <f t="shared" si="131"/>
        <v>28</v>
      </c>
      <c r="BE202" s="3">
        <f t="shared" si="132"/>
        <v>51</v>
      </c>
    </row>
    <row r="203" spans="1:57" s="3" customFormat="1" x14ac:dyDescent="0.2">
      <c r="A203" s="3" t="s">
        <v>335</v>
      </c>
      <c r="B203" s="3" t="str">
        <f>LOWER(VLOOKUP(A203,Xtal_Templ!A:B,2,FALSE))</f>
        <v>oprk_human</v>
      </c>
      <c r="C203" s="3">
        <f>VLOOKUP($A203,'SegEnds_NonXtal_BW#'!$A:$Z,3,FALSE)+D203-50</f>
        <v>57</v>
      </c>
      <c r="D203" s="3">
        <v>77</v>
      </c>
      <c r="E203" s="3">
        <f>IF(ISERROR(VLOOKUP($A203,'SegEnds_NonXtal_BW#'!$A:$Z,4,FALSE)+VLOOKUP($A203,A:AL,4,FALSE)-50),"-",(VLOOKUP($A203,'SegEnds_NonXtal_BW#'!$A:$Z,4,FALSE)+VLOOKUP($A203,A:AL,4,FALSE)-50))</f>
        <v>87</v>
      </c>
      <c r="F203" s="3">
        <f t="shared" si="134"/>
        <v>88</v>
      </c>
      <c r="G203" s="3">
        <v>90</v>
      </c>
      <c r="H203" s="3">
        <f t="shared" si="135"/>
        <v>91</v>
      </c>
      <c r="I203" s="3">
        <f t="shared" si="135"/>
        <v>92</v>
      </c>
      <c r="J203" s="3">
        <v>105</v>
      </c>
      <c r="K203" s="3">
        <f>VLOOKUP($A203,'SegEnds_NonXtal_BW#'!$A:$Z,8,FALSE)+VLOOKUP($A203,A:AL,10,FALSE)-50</f>
        <v>121</v>
      </c>
      <c r="L203" s="3">
        <f>M203-1</f>
        <v>123</v>
      </c>
      <c r="M203" s="3">
        <v>124</v>
      </c>
      <c r="N203" s="3">
        <f>M203+2</f>
        <v>126</v>
      </c>
      <c r="O203" s="3">
        <f t="shared" si="116"/>
        <v>127</v>
      </c>
      <c r="P203" s="3">
        <v>156</v>
      </c>
      <c r="Q203" s="3">
        <f>VLOOKUP($A203,'SegEnds_NonXtal_BW#'!$A:$Z,12,FALSE)+VLOOKUP($A203,A:AL,16,FALSE)-50</f>
        <v>162</v>
      </c>
      <c r="R203" s="3">
        <f>IF(ISERROR(VLOOKUP($A203,'SegEnds_NonXtal_BW#'!$A:$Z,13,FALSE)+VLOOKUP($A203,A:AL,19,FALSE)-50),"-",VLOOKUP($A203,'SegEnds_NonXtal_BW#'!$A:$Z,13,FALSE)+VLOOKUP($A203,A:AL,19,FALSE)-50)</f>
        <v>163</v>
      </c>
      <c r="S203" s="3">
        <v>163</v>
      </c>
      <c r="T203" s="100">
        <f>IF(ISERROR(VLOOKUP($A203,'SegEnds_NonXtal_BW#'!$A:$Z,14,FALSE)+VLOOKUP($A203,A:AL,19,FALSE)-50),"-",(VLOOKUP($A203,'SegEnds_NonXtal_BW#'!$A:$Z,14,FALSE)+VLOOKUP($A203,A:AL,19,FALSE)-50))</f>
        <v>170</v>
      </c>
      <c r="U203" s="9">
        <f>IF(ISERROR(VLOOKUP($A203,'SegEnds_NonXtal_BW#'!$A:$Z,15,FALSE)+VLOOKUP($A203,A:AL,22,FALSE)-50),"-",VLOOKUP($A203,'SegEnds_NonXtal_BW#'!$A:$Z,15,FALSE)+VLOOKUP($A203,A:AL,22,FALSE)-50)</f>
        <v>171</v>
      </c>
      <c r="V203" s="3">
        <v>183</v>
      </c>
      <c r="W203" s="3">
        <f>IF(ISERROR(VLOOKUP($A203,'SegEnds_NonXtal_BW#'!$A:$Z,16,FALSE)+VLOOKUP($A203,A:AL,22,FALSE)-50),"-",(VLOOKUP($A203,'SegEnds_NonXtal_BW#'!$A:$Z,16,FALSE)+VLOOKUP($A203,A:AL,22,FALSE)-50))</f>
        <v>197</v>
      </c>
      <c r="X203" s="3">
        <f>IF(ISERROR(VLOOKUP($A203,'SegEnds_NonXtal_BW#'!$A:$Z,17,FALSE)+VLOOKUP($A203,A:AL,25,FALSE)-50),"-",(VLOOKUP($A203,'SegEnds_NonXtal_BW#'!$A:$Z,17,FALSE)+VLOOKUP($A203,A:AL,25,FALSE)-50))</f>
        <v>210</v>
      </c>
      <c r="Y203" s="3">
        <v>210</v>
      </c>
      <c r="Z203" s="3">
        <f t="shared" si="117"/>
        <v>212</v>
      </c>
      <c r="AA203" s="3">
        <f>IF(ISERROR(VLOOKUP($A203,'SegEnds_NonXtal_BW#'!$A:$Z,19,FALSE)+VLOOKUP($A203,A:AL,28,FALSE)-50),"-",(VLOOKUP($A203,'SegEnds_NonXtal_BW#'!$A:$Z,19,FALSE)+VLOOKUP($A203,A:AL,28,FALSE)-50))</f>
        <v>218</v>
      </c>
      <c r="AB203" s="3">
        <v>238</v>
      </c>
      <c r="AC203" s="3">
        <f>IF(ISERROR((VLOOKUP($A203,'SegEnds_NonXtal_BW#'!$A:$Z,20,FALSE)+VLOOKUP($A203,A:AL,28,FALSE)-50)),"-",(VLOOKUP($A203,'SegEnds_NonXtal_BW#'!$A:$Z,20,FALSE)+VLOOKUP($A203,A:AL,28,FALSE)-50))</f>
        <v>256</v>
      </c>
      <c r="AD203" s="3">
        <f>IF(ISERROR(VLOOKUP($A203,'SegEnds_NonXtal_BW#'!$A:$Z,21,FALSE)+VLOOKUP($A203,A:AL,31,FALSE)-50),"-",(VLOOKUP($A203,'SegEnds_NonXtal_BW#'!$A:$Z,21,FALSE)+VLOOKUP($A203,A:AL,31,FALSE)-50))</f>
        <v>262</v>
      </c>
      <c r="AE203" s="3">
        <v>289</v>
      </c>
      <c r="AF203" s="3">
        <f>IF(ISERROR((VLOOKUP($A203,'SegEnds_NonXtal_BW#'!$A:$Z,22,FALSE)+VLOOKUP($A203,A:AL,31,FALSE)-50)),"-",(VLOOKUP($A203,'SegEnds_NonXtal_BW#'!$A:$Z,22,FALSE)+VLOOKUP($A203,A:AL,31,FALSE)-50))</f>
        <v>300</v>
      </c>
      <c r="AG203" s="3">
        <f>IF(ISERROR(VLOOKUP($A203,'SegEnds_NonXtal_BW#'!$A:$Z,23,FALSE)+VLOOKUP($A203,A:AL,34,FALSE)-50),"-",(VLOOKUP($A203,'SegEnds_NonXtal_BW#'!$A:$Z,23,FALSE)+VLOOKUP($A203,A:AL,34,FALSE)-50))</f>
        <v>305</v>
      </c>
      <c r="AH203" s="3">
        <v>327</v>
      </c>
      <c r="AI203" s="3">
        <f>IF(ISERROR((VLOOKUP($A203,'SegEnds_NonXtal_BW#'!$A:$Z,24,FALSE)+VLOOKUP($A203,A:AL,34,FALSE)-50)),"-",(VLOOKUP($A203,'SegEnds_NonXtal_BW#'!$A:$Z,24,FALSE)+VLOOKUP($A203,A:AL,34,FALSE)-50))</f>
        <v>333</v>
      </c>
      <c r="AJ203" s="3">
        <f>IF(ISERROR(VLOOKUP($A203,'SegEnds_NonXtal_BW#'!$A:$Z,25,FALSE)+VLOOKUP($A203,A:AL,37,FALSE)-50),"-",(VLOOKUP($A203,'SegEnds_NonXtal_BW#'!$A:$Z,25,FALSE)+VLOOKUP($A203,A:AL,37,FALSE)-50))</f>
        <v>334</v>
      </c>
      <c r="AK203" s="3">
        <v>337</v>
      </c>
      <c r="AL203" s="3">
        <f>IF(ISERROR((VLOOKUP($A203,'SegEnds_NonXtal_BW#'!$A:$Z,26,FALSE)+VLOOKUP($A203,A:AL,37,FALSE)-50)),"-",(VLOOKUP($A203,'SegEnds_NonXtal_BW#'!$A:$Z,26,FALSE)+VLOOKUP($A203,A:AL,37,FALSE)-50))</f>
        <v>346</v>
      </c>
      <c r="AM203" s="28" t="str">
        <f>VLOOKUP(A203,Classification!A:B,2,FALSE)</f>
        <v>A</v>
      </c>
      <c r="AN203" s="28" t="b">
        <f t="shared" si="133"/>
        <v>1</v>
      </c>
      <c r="AO203" s="3" t="str">
        <f>IF(ISERROR(MATCH(A203,'SegEnds_Xtal_Prot#'!B:B, 0)), "NoXtal", "Xtal")</f>
        <v>Xtal</v>
      </c>
      <c r="AP203" s="3">
        <f t="shared" si="118"/>
        <v>1</v>
      </c>
      <c r="AQ203" s="3">
        <f t="shared" si="119"/>
        <v>1</v>
      </c>
      <c r="AR203" s="3">
        <f t="shared" si="120"/>
        <v>2</v>
      </c>
      <c r="AS203" s="3">
        <f t="shared" si="121"/>
        <v>1</v>
      </c>
      <c r="AT203" s="3">
        <f t="shared" si="122"/>
        <v>1</v>
      </c>
      <c r="AU203" s="3">
        <f t="shared" si="123"/>
        <v>1</v>
      </c>
      <c r="AV203" s="3">
        <f t="shared" si="124"/>
        <v>13</v>
      </c>
      <c r="AW203" s="3">
        <f t="shared" si="125"/>
        <v>6</v>
      </c>
      <c r="AX203" s="3">
        <f t="shared" si="126"/>
        <v>6</v>
      </c>
      <c r="AY203" s="3">
        <f t="shared" si="127"/>
        <v>5</v>
      </c>
      <c r="AZ203" s="3">
        <f t="shared" si="128"/>
        <v>1</v>
      </c>
      <c r="BA203" s="3">
        <f>IF(ISERROR(LEN(VLOOKUP(A203,Seqs!A:E,2,FALSE))-AL203),"-",LEN(VLOOKUP(A203,Seqs!A:E,2,FALSE))-AL203)</f>
        <v>34</v>
      </c>
      <c r="BB203" s="16">
        <f t="shared" si="129"/>
        <v>28</v>
      </c>
      <c r="BC203" s="9">
        <f t="shared" si="130"/>
        <v>20</v>
      </c>
      <c r="BD203" s="3">
        <f t="shared" si="131"/>
        <v>28</v>
      </c>
      <c r="BE203" s="3">
        <f t="shared" si="132"/>
        <v>51</v>
      </c>
    </row>
    <row r="204" spans="1:57" s="3" customFormat="1" x14ac:dyDescent="0.2">
      <c r="A204" s="3" t="s">
        <v>336</v>
      </c>
      <c r="B204" s="3" t="str">
        <f>LOWER(VLOOKUP(A204,Xtal_Templ!A:B,2,FALSE))</f>
        <v>oprm_mouse</v>
      </c>
      <c r="C204" s="3">
        <f>VLOOKUP($A204,'SegEnds_NonXtal_BW#'!$A:$Z,3,FALSE)+D204-50</f>
        <v>67</v>
      </c>
      <c r="D204" s="3">
        <v>88</v>
      </c>
      <c r="E204" s="3">
        <f>IF(ISERROR(VLOOKUP($A204,'SegEnds_NonXtal_BW#'!$A:$Z,4,FALSE)+VLOOKUP($A204,A:AL,4,FALSE)-50),"-",(VLOOKUP($A204,'SegEnds_NonXtal_BW#'!$A:$Z,4,FALSE)+VLOOKUP($A204,A:AL,4,FALSE)-50))</f>
        <v>98</v>
      </c>
      <c r="F204" s="3">
        <f t="shared" si="134"/>
        <v>99</v>
      </c>
      <c r="G204" s="3">
        <v>101</v>
      </c>
      <c r="H204" s="3">
        <f t="shared" si="135"/>
        <v>102</v>
      </c>
      <c r="I204" s="3">
        <f t="shared" si="135"/>
        <v>103</v>
      </c>
      <c r="J204" s="3">
        <v>116</v>
      </c>
      <c r="K204" s="3">
        <f>VLOOKUP($A204,'SegEnds_NonXtal_BW#'!$A:$Z,8,FALSE)+VLOOKUP($A204,A:AL,10,FALSE)-50</f>
        <v>132</v>
      </c>
      <c r="L204" s="3">
        <f>M204-1</f>
        <v>134</v>
      </c>
      <c r="M204" s="3">
        <v>135</v>
      </c>
      <c r="N204" s="3">
        <f>M204+2</f>
        <v>137</v>
      </c>
      <c r="O204" s="3">
        <f t="shared" si="116"/>
        <v>138</v>
      </c>
      <c r="P204" s="3">
        <v>167</v>
      </c>
      <c r="Q204" s="3">
        <f>VLOOKUP($A204,'SegEnds_NonXtal_BW#'!$A:$Z,12,FALSE)+VLOOKUP($A204,A:AL,16,FALSE)-50</f>
        <v>173</v>
      </c>
      <c r="R204" s="3">
        <f>IF(ISERROR(VLOOKUP($A204,'SegEnds_NonXtal_BW#'!$A:$Z,13,FALSE)+VLOOKUP($A204,A:AL,19,FALSE)-50),"-",VLOOKUP($A204,'SegEnds_NonXtal_BW#'!$A:$Z,13,FALSE)+VLOOKUP($A204,A:AL,19,FALSE)-50)</f>
        <v>174</v>
      </c>
      <c r="S204" s="3">
        <v>174</v>
      </c>
      <c r="T204" s="100">
        <f>IF(ISERROR(VLOOKUP($A204,'SegEnds_NonXtal_BW#'!$A:$Z,14,FALSE)+VLOOKUP($A204,A:AL,19,FALSE)-50),"-",(VLOOKUP($A204,'SegEnds_NonXtal_BW#'!$A:$Z,14,FALSE)+VLOOKUP($A204,A:AL,19,FALSE)-50))</f>
        <v>181</v>
      </c>
      <c r="U204" s="9">
        <f>IF(ISERROR(VLOOKUP($A204,'SegEnds_NonXtal_BW#'!$A:$Z,15,FALSE)+VLOOKUP($A204,A:AL,22,FALSE)-50),"-",VLOOKUP($A204,'SegEnds_NonXtal_BW#'!$A:$Z,15,FALSE)+VLOOKUP($A204,A:AL,22,FALSE)-50)</f>
        <v>182</v>
      </c>
      <c r="V204" s="3">
        <v>194</v>
      </c>
      <c r="W204" s="3">
        <f>IF(ISERROR(VLOOKUP($A204,'SegEnds_NonXtal_BW#'!$A:$Z,16,FALSE)+VLOOKUP($A204,A:AL,22,FALSE)-50),"-",(VLOOKUP($A204,'SegEnds_NonXtal_BW#'!$A:$Z,16,FALSE)+VLOOKUP($A204,A:AL,22,FALSE)-50))</f>
        <v>208</v>
      </c>
      <c r="X204" s="3">
        <f>IF(ISERROR(VLOOKUP($A204,'SegEnds_NonXtal_BW#'!$A:$Z,17,FALSE)+VLOOKUP($A204,A:AL,25,FALSE)-50),"-",(VLOOKUP($A204,'SegEnds_NonXtal_BW#'!$A:$Z,17,FALSE)+VLOOKUP($A204,A:AL,25,FALSE)-50))</f>
        <v>219</v>
      </c>
      <c r="Y204" s="3">
        <v>219</v>
      </c>
      <c r="Z204" s="3">
        <f t="shared" si="117"/>
        <v>221</v>
      </c>
      <c r="AA204" s="3">
        <f>IF(ISERROR(VLOOKUP($A204,'SegEnds_NonXtal_BW#'!$A:$Z,19,FALSE)+VLOOKUP($A204,A:AL,28,FALSE)-50),"-",(VLOOKUP($A204,'SegEnds_NonXtal_BW#'!$A:$Z,19,FALSE)+VLOOKUP($A204,A:AL,28,FALSE)-50))</f>
        <v>227</v>
      </c>
      <c r="AB204" s="3">
        <v>246</v>
      </c>
      <c r="AC204" s="3">
        <f>IF(ISERROR((VLOOKUP($A204,'SegEnds_NonXtal_BW#'!$A:$Z,20,FALSE)+VLOOKUP($A204,A:AL,28,FALSE)-50)),"-",(VLOOKUP($A204,'SegEnds_NonXtal_BW#'!$A:$Z,20,FALSE)+VLOOKUP($A204,A:AL,28,FALSE)-50))</f>
        <v>264</v>
      </c>
      <c r="AD204" s="3">
        <f>IF(ISERROR(VLOOKUP($A204,'SegEnds_NonXtal_BW#'!$A:$Z,21,FALSE)+VLOOKUP($A204,A:AL,31,FALSE)-50),"-",(VLOOKUP($A204,'SegEnds_NonXtal_BW#'!$A:$Z,21,FALSE)+VLOOKUP($A204,A:AL,31,FALSE)-50))</f>
        <v>270</v>
      </c>
      <c r="AE204" s="3">
        <v>297</v>
      </c>
      <c r="AF204" s="3">
        <f>IF(ISERROR((VLOOKUP($A204,'SegEnds_NonXtal_BW#'!$A:$Z,22,FALSE)+VLOOKUP($A204,A:AL,31,FALSE)-50)),"-",(VLOOKUP($A204,'SegEnds_NonXtal_BW#'!$A:$Z,22,FALSE)+VLOOKUP($A204,A:AL,31,FALSE)-50))</f>
        <v>308</v>
      </c>
      <c r="AG204" s="3">
        <f>IF(ISERROR(VLOOKUP($A204,'SegEnds_NonXtal_BW#'!$A:$Z,23,FALSE)+VLOOKUP($A204,A:AL,34,FALSE)-50),"-",(VLOOKUP($A204,'SegEnds_NonXtal_BW#'!$A:$Z,23,FALSE)+VLOOKUP($A204,A:AL,34,FALSE)-50))</f>
        <v>313</v>
      </c>
      <c r="AH204" s="3">
        <v>335</v>
      </c>
      <c r="AI204" s="3">
        <f>IF(ISERROR((VLOOKUP($A204,'SegEnds_NonXtal_BW#'!$A:$Z,24,FALSE)+VLOOKUP($A204,A:AL,34,FALSE)-50)),"-",(VLOOKUP($A204,'SegEnds_NonXtal_BW#'!$A:$Z,24,FALSE)+VLOOKUP($A204,A:AL,34,FALSE)-50))</f>
        <v>341</v>
      </c>
      <c r="AJ204" s="3">
        <f>IF(ISERROR(VLOOKUP($A204,'SegEnds_NonXtal_BW#'!$A:$Z,25,FALSE)+VLOOKUP($A204,A:AL,37,FALSE)-50),"-",(VLOOKUP($A204,'SegEnds_NonXtal_BW#'!$A:$Z,25,FALSE)+VLOOKUP($A204,A:AL,37,FALSE)-50))</f>
        <v>342</v>
      </c>
      <c r="AK204" s="3">
        <v>345</v>
      </c>
      <c r="AL204" s="3">
        <f>IF(ISERROR((VLOOKUP($A204,'SegEnds_NonXtal_BW#'!$A:$Z,26,FALSE)+VLOOKUP($A204,A:AL,37,FALSE)-50)),"-",(VLOOKUP($A204,'SegEnds_NonXtal_BW#'!$A:$Z,26,FALSE)+VLOOKUP($A204,A:AL,37,FALSE)-50))</f>
        <v>354</v>
      </c>
      <c r="AM204" s="28" t="str">
        <f>VLOOKUP(A204,Classification!A:B,2,FALSE)</f>
        <v>A</v>
      </c>
      <c r="AN204" s="28" t="b">
        <f t="shared" si="133"/>
        <v>1</v>
      </c>
      <c r="AO204" s="3" t="str">
        <f>IF(ISERROR(MATCH(A204,'SegEnds_Xtal_Prot#'!B:B, 0)), "NoXtal", "Xtal")</f>
        <v>NoXtal</v>
      </c>
      <c r="AP204" s="3">
        <f t="shared" si="118"/>
        <v>1</v>
      </c>
      <c r="AQ204" s="3">
        <f t="shared" si="119"/>
        <v>1</v>
      </c>
      <c r="AR204" s="3">
        <f t="shared" si="120"/>
        <v>2</v>
      </c>
      <c r="AS204" s="3">
        <f t="shared" si="121"/>
        <v>1</v>
      </c>
      <c r="AT204" s="3">
        <f t="shared" si="122"/>
        <v>1</v>
      </c>
      <c r="AU204" s="3">
        <f t="shared" si="123"/>
        <v>1</v>
      </c>
      <c r="AV204" s="3">
        <f t="shared" si="124"/>
        <v>11</v>
      </c>
      <c r="AW204" s="3">
        <f t="shared" si="125"/>
        <v>6</v>
      </c>
      <c r="AX204" s="3">
        <f t="shared" si="126"/>
        <v>6</v>
      </c>
      <c r="AY204" s="3">
        <f t="shared" si="127"/>
        <v>5</v>
      </c>
      <c r="AZ204" s="3">
        <f t="shared" si="128"/>
        <v>1</v>
      </c>
      <c r="BA204" s="3">
        <f>IF(ISERROR(LEN(VLOOKUP(A204,Seqs!A:E,2,FALSE))-AL204),"-",LEN(VLOOKUP(A204,Seqs!A:E,2,FALSE))-AL204)</f>
        <v>46</v>
      </c>
      <c r="BB204" s="16">
        <f t="shared" si="129"/>
        <v>28</v>
      </c>
      <c r="BC204" s="9">
        <f t="shared" si="130"/>
        <v>20</v>
      </c>
      <c r="BD204" s="3">
        <f t="shared" si="131"/>
        <v>28</v>
      </c>
      <c r="BE204" s="3">
        <f t="shared" si="132"/>
        <v>51</v>
      </c>
    </row>
    <row r="205" spans="1:57" s="3" customFormat="1" x14ac:dyDescent="0.2">
      <c r="A205" s="3" t="s">
        <v>911</v>
      </c>
      <c r="B205" s="3" t="str">
        <f>LOWER(VLOOKUP(A205,Xtal_Templ!A:B,2,FALSE))</f>
        <v>oprm_mouse</v>
      </c>
      <c r="C205" s="3">
        <f>VLOOKUP($A205,'SegEnds_NonXtal_BW#'!$A:$Z,3,FALSE)+D205-50</f>
        <v>65</v>
      </c>
      <c r="D205" s="3">
        <v>86</v>
      </c>
      <c r="E205" s="3">
        <f>IF(ISERROR(VLOOKUP($A205,'SegEnds_NonXtal_BW#'!$A:$Z,4,FALSE)+VLOOKUP($A205,A:AL,4,FALSE)-50),"-",(VLOOKUP($A205,'SegEnds_NonXtal_BW#'!$A:$Z,4,FALSE)+VLOOKUP($A205,A:AL,4,FALSE)-50))</f>
        <v>96</v>
      </c>
      <c r="F205" s="3">
        <f t="shared" si="134"/>
        <v>97</v>
      </c>
      <c r="G205" s="3">
        <v>99</v>
      </c>
      <c r="H205" s="3">
        <f t="shared" si="135"/>
        <v>100</v>
      </c>
      <c r="I205" s="3">
        <f t="shared" si="135"/>
        <v>101</v>
      </c>
      <c r="J205" s="3">
        <v>114</v>
      </c>
      <c r="K205" s="3">
        <f>VLOOKUP($A205,'SegEnds_NonXtal_BW#'!$A:$Z,8,FALSE)+VLOOKUP($A205,A:AL,10,FALSE)-50</f>
        <v>130</v>
      </c>
      <c r="L205" s="3">
        <f>IF(ISERROR(VLOOKUP($A205,'SegEnds_NonXtal_BW#'!$A:$Z,9,FALSE)+VLOOKUP($A205,A:AL,13,FALSE)-50),"-",(VLOOKUP($A205,'SegEnds_NonXtal_BW#'!$A:$Z,9,FALSE)+VLOOKUP($A205,A:AL,13,FALSE)-50))</f>
        <v>132</v>
      </c>
      <c r="M205" s="3">
        <v>133</v>
      </c>
      <c r="N205" s="3">
        <f>IF(ISERROR(VLOOKUP($A205,'SegEnds_NonXtal_BW#'!$A:$Z,10,FALSE)+VLOOKUP($A205,A:AL,13,FALSE)-50),"-",(VLOOKUP($A205,'SegEnds_NonXtal_BW#'!$A:$Z,10,FALSE)+VLOOKUP($A205,A:AL,13,FALSE)-50))</f>
        <v>135</v>
      </c>
      <c r="O205" s="3">
        <f t="shared" si="116"/>
        <v>136</v>
      </c>
      <c r="P205" s="3">
        <v>165</v>
      </c>
      <c r="Q205" s="3">
        <f>VLOOKUP($A205,'SegEnds_NonXtal_BW#'!$A:$Z,12,FALSE)+VLOOKUP($A205,A:AL,16,FALSE)-50</f>
        <v>171</v>
      </c>
      <c r="R205" s="3">
        <f>IF(ISERROR(VLOOKUP($A205,'SegEnds_NonXtal_BW#'!$A:$Z,13,FALSE)+VLOOKUP($A205,A:AL,19,FALSE)-50),"-",VLOOKUP($A205,'SegEnds_NonXtal_BW#'!$A:$Z,13,FALSE)+VLOOKUP($A205,A:AL,19,FALSE)-50)</f>
        <v>172</v>
      </c>
      <c r="S205" s="3">
        <v>172</v>
      </c>
      <c r="T205" s="100">
        <f>IF(ISERROR(VLOOKUP($A205,'SegEnds_NonXtal_BW#'!$A:$Z,14,FALSE)+VLOOKUP($A205,A:AL,19,FALSE)-50),"-",(VLOOKUP($A205,'SegEnds_NonXtal_BW#'!$A:$Z,14,FALSE)+VLOOKUP($A205,A:AL,19,FALSE)-50))</f>
        <v>179</v>
      </c>
      <c r="U205" s="9">
        <f>IF(ISERROR(VLOOKUP($A205,'SegEnds_NonXtal_BW#'!$A:$Z,15,FALSE)+VLOOKUP($A205,A:AL,22,FALSE)-50),"-",VLOOKUP($A205,'SegEnds_NonXtal_BW#'!$A:$Z,15,FALSE)+VLOOKUP($A205,A:AL,22,FALSE)-50)</f>
        <v>180</v>
      </c>
      <c r="V205" s="3">
        <v>192</v>
      </c>
      <c r="W205" s="3">
        <f>IF(ISERROR(VLOOKUP($A205,'SegEnds_NonXtal_BW#'!$A:$Z,16,FALSE)+VLOOKUP($A205,A:AL,22,FALSE)-50),"-",(VLOOKUP($A205,'SegEnds_NonXtal_BW#'!$A:$Z,16,FALSE)+VLOOKUP($A205,A:AL,22,FALSE)-50))</f>
        <v>206</v>
      </c>
      <c r="X205" s="3">
        <f>IF(ISERROR(VLOOKUP($A205,'SegEnds_NonXtal_BW#'!$A:$Z,17,FALSE)+VLOOKUP($A205,A:AL,25,FALSE)-50),"-",(VLOOKUP($A205,'SegEnds_NonXtal_BW#'!$A:$Z,17,FALSE)+VLOOKUP($A205,A:AL,25,FALSE)-50))</f>
        <v>217</v>
      </c>
      <c r="Y205" s="3">
        <v>217</v>
      </c>
      <c r="Z205" s="3">
        <f t="shared" si="117"/>
        <v>219</v>
      </c>
      <c r="AA205" s="3">
        <f>IF(ISERROR(VLOOKUP($A205,'SegEnds_NonXtal_BW#'!$A:$Z,19,FALSE)+VLOOKUP($A205,A:AL,28,FALSE)-50),"-",(VLOOKUP($A205,'SegEnds_NonXtal_BW#'!$A:$Z,19,FALSE)+VLOOKUP($A205,A:AL,28,FALSE)-50))</f>
        <v>225</v>
      </c>
      <c r="AB205" s="3">
        <v>244</v>
      </c>
      <c r="AC205" s="3">
        <f>IF(ISERROR((VLOOKUP($A205,'SegEnds_NonXtal_BW#'!$A:$Z,20,FALSE)+VLOOKUP($A205,A:AL,28,FALSE)-50)),"-",(VLOOKUP($A205,'SegEnds_NonXtal_BW#'!$A:$Z,20,FALSE)+VLOOKUP($A205,A:AL,28,FALSE)-50))</f>
        <v>262</v>
      </c>
      <c r="AD205" s="3">
        <f>IF(ISERROR(VLOOKUP($A205,'SegEnds_NonXtal_BW#'!$A:$Z,21,FALSE)+VLOOKUP($A205,A:AL,31,FALSE)-50),"-",(VLOOKUP($A205,'SegEnds_NonXtal_BW#'!$A:$Z,21,FALSE)+VLOOKUP($A205,A:AL,31,FALSE)-50))</f>
        <v>268</v>
      </c>
      <c r="AE205" s="3">
        <v>295</v>
      </c>
      <c r="AF205" s="3">
        <f>IF(ISERROR((VLOOKUP($A205,'SegEnds_NonXtal_BW#'!$A:$Z,22,FALSE)+VLOOKUP($A205,A:AL,31,FALSE)-50)),"-",(VLOOKUP($A205,'SegEnds_NonXtal_BW#'!$A:$Z,22,FALSE)+VLOOKUP($A205,A:AL,31,FALSE)-50))</f>
        <v>306</v>
      </c>
      <c r="AG205" s="3">
        <f>IF(ISERROR(VLOOKUP($A205,'SegEnds_NonXtal_BW#'!$A:$Z,23,FALSE)+VLOOKUP($A205,A:AL,34,FALSE)-50),"-",(VLOOKUP($A205,'SegEnds_NonXtal_BW#'!$A:$Z,23,FALSE)+VLOOKUP($A205,A:AL,34,FALSE)-50))</f>
        <v>311</v>
      </c>
      <c r="AH205" s="3">
        <v>333</v>
      </c>
      <c r="AI205" s="3">
        <f>IF(ISERROR((VLOOKUP($A205,'SegEnds_NonXtal_BW#'!$A:$Z,24,FALSE)+VLOOKUP($A205,A:AL,34,FALSE)-50)),"-",(VLOOKUP($A205,'SegEnds_NonXtal_BW#'!$A:$Z,24,FALSE)+VLOOKUP($A205,A:AL,34,FALSE)-50))</f>
        <v>339</v>
      </c>
      <c r="AJ205" s="3">
        <f>IF(ISERROR(VLOOKUP($A205,'SegEnds_NonXtal_BW#'!$A:$Z,25,FALSE)+VLOOKUP($A205,A:AL,37,FALSE)-50),"-",(VLOOKUP($A205,'SegEnds_NonXtal_BW#'!$A:$Z,25,FALSE)+VLOOKUP($A205,A:AL,37,FALSE)-50))</f>
        <v>340</v>
      </c>
      <c r="AK205" s="3">
        <v>343</v>
      </c>
      <c r="AL205" s="3">
        <f>IF(ISERROR((VLOOKUP($A205,'SegEnds_NonXtal_BW#'!$A:$Z,26,FALSE)+VLOOKUP($A205,A:AL,37,FALSE)-50)),"-",(VLOOKUP($A205,'SegEnds_NonXtal_BW#'!$A:$Z,26,FALSE)+VLOOKUP($A205,A:AL,37,FALSE)-50))</f>
        <v>352</v>
      </c>
      <c r="AM205" s="28" t="str">
        <f>VLOOKUP(A205,Classification!A:B,2,FALSE)</f>
        <v>A</v>
      </c>
      <c r="AN205" s="28" t="b">
        <f t="shared" si="133"/>
        <v>1</v>
      </c>
      <c r="AO205" s="3" t="str">
        <f>IF(ISERROR(MATCH(A205,'SegEnds_Xtal_Prot#'!B:B, 0)), "NoXtal", "Xtal")</f>
        <v>Xtal</v>
      </c>
      <c r="AP205" s="3">
        <f t="shared" si="118"/>
        <v>1</v>
      </c>
      <c r="AQ205" s="3">
        <f t="shared" si="119"/>
        <v>1</v>
      </c>
      <c r="AR205" s="3">
        <f t="shared" si="120"/>
        <v>2</v>
      </c>
      <c r="AS205" s="3">
        <f t="shared" si="121"/>
        <v>1</v>
      </c>
      <c r="AT205" s="3">
        <f t="shared" si="122"/>
        <v>1</v>
      </c>
      <c r="AU205" s="3">
        <f t="shared" si="123"/>
        <v>1</v>
      </c>
      <c r="AV205" s="3">
        <f t="shared" si="124"/>
        <v>11</v>
      </c>
      <c r="AW205" s="3">
        <f t="shared" si="125"/>
        <v>6</v>
      </c>
      <c r="AX205" s="3">
        <f t="shared" si="126"/>
        <v>6</v>
      </c>
      <c r="AY205" s="3">
        <f t="shared" si="127"/>
        <v>5</v>
      </c>
      <c r="AZ205" s="3">
        <f t="shared" si="128"/>
        <v>1</v>
      </c>
      <c r="BA205" s="3">
        <f>IF(ISERROR(LEN(VLOOKUP(A205,Seqs!A:E,2,FALSE))-AL205),"-",LEN(VLOOKUP(A205,Seqs!A:E,2,FALSE))-AL205)</f>
        <v>46</v>
      </c>
      <c r="BB205" s="16">
        <f t="shared" si="129"/>
        <v>28</v>
      </c>
      <c r="BC205" s="9">
        <f t="shared" si="130"/>
        <v>20</v>
      </c>
      <c r="BD205" s="3">
        <f t="shared" si="131"/>
        <v>28</v>
      </c>
      <c r="BE205" s="3">
        <f t="shared" si="132"/>
        <v>51</v>
      </c>
    </row>
    <row r="206" spans="1:57" s="3" customFormat="1" x14ac:dyDescent="0.2">
      <c r="A206" s="3" t="s">
        <v>1167</v>
      </c>
      <c r="B206" s="3" t="str">
        <f>LOWER(VLOOKUP(A206,Xtal_Templ!A:B,2,FALSE))</f>
        <v>oprx_human</v>
      </c>
      <c r="C206" s="3">
        <f>VLOOKUP($A206,'SegEnds_NonXtal_BW#'!$A:$Z,3,FALSE)+D206-50</f>
        <v>48</v>
      </c>
      <c r="D206" s="3">
        <v>69</v>
      </c>
      <c r="E206" s="3">
        <f>IF(ISERROR(VLOOKUP($A206,'SegEnds_NonXtal_BW#'!$A:$Z,4,FALSE)+VLOOKUP($A206,A:AL,4,FALSE)-50),"-",(VLOOKUP($A206,'SegEnds_NonXtal_BW#'!$A:$Z,4,FALSE)+VLOOKUP($A206,A:AL,4,FALSE)-50))</f>
        <v>79</v>
      </c>
      <c r="F206" s="3">
        <f t="shared" si="134"/>
        <v>80</v>
      </c>
      <c r="G206" s="3">
        <v>82</v>
      </c>
      <c r="H206" s="3">
        <f t="shared" si="135"/>
        <v>83</v>
      </c>
      <c r="I206" s="3">
        <f t="shared" si="135"/>
        <v>84</v>
      </c>
      <c r="J206" s="3">
        <v>97</v>
      </c>
      <c r="K206" s="3">
        <f>VLOOKUP($A206,'SegEnds_NonXtal_BW#'!$A:$Z,8,FALSE)+VLOOKUP($A206,A:AL,10,FALSE)-50</f>
        <v>113</v>
      </c>
      <c r="L206" s="3">
        <f>M206-1</f>
        <v>115</v>
      </c>
      <c r="M206" s="3">
        <v>116</v>
      </c>
      <c r="N206" s="3">
        <f>M206+2</f>
        <v>118</v>
      </c>
      <c r="O206" s="3">
        <f t="shared" si="116"/>
        <v>119</v>
      </c>
      <c r="P206" s="3">
        <v>148</v>
      </c>
      <c r="Q206" s="3">
        <f>VLOOKUP($A206,'SegEnds_NonXtal_BW#'!$A:$Z,12,FALSE)+VLOOKUP($A206,A:AL,16,FALSE)-50</f>
        <v>154</v>
      </c>
      <c r="R206" s="3">
        <f>IF(ISERROR(VLOOKUP($A206,'SegEnds_NonXtal_BW#'!$A:$Z,13,FALSE)+VLOOKUP($A206,A:AL,19,FALSE)-50),"-",VLOOKUP($A206,'SegEnds_NonXtal_BW#'!$A:$Z,13,FALSE)+VLOOKUP($A206,A:AL,19,FALSE)-50)</f>
        <v>155</v>
      </c>
      <c r="S206" s="3">
        <v>155</v>
      </c>
      <c r="T206" s="100">
        <f>IF(ISERROR(VLOOKUP($A206,'SegEnds_NonXtal_BW#'!$A:$Z,14,FALSE)+VLOOKUP($A206,A:AL,19,FALSE)-50),"-",(VLOOKUP($A206,'SegEnds_NonXtal_BW#'!$A:$Z,14,FALSE)+VLOOKUP($A206,A:AL,19,FALSE)-50))</f>
        <v>162</v>
      </c>
      <c r="U206" s="9">
        <f>IF(ISERROR(VLOOKUP($A206,'SegEnds_NonXtal_BW#'!$A:$Z,15,FALSE)+VLOOKUP($A206,A:AL,22,FALSE)-50),"-",VLOOKUP($A206,'SegEnds_NonXtal_BW#'!$A:$Z,15,FALSE)+VLOOKUP($A206,A:AL,22,FALSE)-50)</f>
        <v>163</v>
      </c>
      <c r="V206" s="3">
        <v>175</v>
      </c>
      <c r="W206" s="3">
        <f>IF(ISERROR(VLOOKUP($A206,'SegEnds_NonXtal_BW#'!$A:$Z,16,FALSE)+VLOOKUP($A206,A:AL,22,FALSE)-50),"-",(VLOOKUP($A206,'SegEnds_NonXtal_BW#'!$A:$Z,16,FALSE)+VLOOKUP($A206,A:AL,22,FALSE)-50))</f>
        <v>189</v>
      </c>
      <c r="X206" s="3">
        <f>IF(ISERROR(VLOOKUP($A206,'SegEnds_NonXtal_BW#'!$A:$Z,17,FALSE)+VLOOKUP($A206,A:AL,25,FALSE)-50),"-",(VLOOKUP($A206,'SegEnds_NonXtal_BW#'!$A:$Z,17,FALSE)+VLOOKUP($A206,A:AL,25,FALSE)-50))</f>
        <v>200</v>
      </c>
      <c r="Y206" s="3">
        <v>200</v>
      </c>
      <c r="Z206" s="3">
        <f t="shared" si="117"/>
        <v>202</v>
      </c>
      <c r="AA206" s="3">
        <f>IF(ISERROR(VLOOKUP($A206,'SegEnds_NonXtal_BW#'!$A:$Z,19,FALSE)+VLOOKUP($A206,A:AL,28,FALSE)-50),"-",(VLOOKUP($A206,'SegEnds_NonXtal_BW#'!$A:$Z,19,FALSE)+VLOOKUP($A206,A:AL,28,FALSE)-50))</f>
        <v>208</v>
      </c>
      <c r="AB206" s="3">
        <v>227</v>
      </c>
      <c r="AC206" s="3">
        <f>IF(ISERROR((VLOOKUP($A206,'SegEnds_NonXtal_BW#'!$A:$Z,20,FALSE)+VLOOKUP($A206,A:AL,28,FALSE)-50)),"-",(VLOOKUP($A206,'SegEnds_NonXtal_BW#'!$A:$Z,20,FALSE)+VLOOKUP($A206,A:AL,28,FALSE)-50))</f>
        <v>245</v>
      </c>
      <c r="AD206" s="3">
        <f>IF(ISERROR(VLOOKUP($A206,'SegEnds_NonXtal_BW#'!$A:$Z,21,FALSE)+VLOOKUP($A206,A:AL,31,FALSE)-50),"-",(VLOOKUP($A206,'SegEnds_NonXtal_BW#'!$A:$Z,21,FALSE)+VLOOKUP($A206,A:AL,31,FALSE)-50))</f>
        <v>251</v>
      </c>
      <c r="AE206" s="3">
        <v>278</v>
      </c>
      <c r="AF206" s="3">
        <f>IF(ISERROR((VLOOKUP($A206,'SegEnds_NonXtal_BW#'!$A:$Z,22,FALSE)+VLOOKUP($A206,A:AL,31,FALSE)-50)),"-",(VLOOKUP($A206,'SegEnds_NonXtal_BW#'!$A:$Z,22,FALSE)+VLOOKUP($A206,A:AL,31,FALSE)-50))</f>
        <v>289</v>
      </c>
      <c r="AG206" s="3">
        <f>IF(ISERROR(VLOOKUP($A206,'SegEnds_NonXtal_BW#'!$A:$Z,23,FALSE)+VLOOKUP($A206,A:AL,34,FALSE)-50),"-",(VLOOKUP($A206,'SegEnds_NonXtal_BW#'!$A:$Z,23,FALSE)+VLOOKUP($A206,A:AL,34,FALSE)-50))</f>
        <v>294</v>
      </c>
      <c r="AH206" s="3">
        <v>316</v>
      </c>
      <c r="AI206" s="3">
        <f>IF(ISERROR((VLOOKUP($A206,'SegEnds_NonXtal_BW#'!$A:$Z,24,FALSE)+VLOOKUP($A206,A:AL,34,FALSE)-50)),"-",(VLOOKUP($A206,'SegEnds_NonXtal_BW#'!$A:$Z,24,FALSE)+VLOOKUP($A206,A:AL,34,FALSE)-50))</f>
        <v>322</v>
      </c>
      <c r="AJ206" s="3">
        <f>IF(ISERROR(VLOOKUP($A206,'SegEnds_NonXtal_BW#'!$A:$Z,25,FALSE)+VLOOKUP($A206,A:AL,37,FALSE)-50),"-",(VLOOKUP($A206,'SegEnds_NonXtal_BW#'!$A:$Z,25,FALSE)+VLOOKUP($A206,A:AL,37,FALSE)-50))</f>
        <v>323</v>
      </c>
      <c r="AK206" s="3">
        <v>326</v>
      </c>
      <c r="AL206" s="3">
        <f>IF(ISERROR((VLOOKUP($A206,'SegEnds_NonXtal_BW#'!$A:$Z,26,FALSE)+VLOOKUP($A206,A:AL,37,FALSE)-50)),"-",(VLOOKUP($A206,'SegEnds_NonXtal_BW#'!$A:$Z,26,FALSE)+VLOOKUP($A206,A:AL,37,FALSE)-50))</f>
        <v>335</v>
      </c>
      <c r="AM206" s="28" t="str">
        <f>VLOOKUP(A206,Classification!A:B,2,FALSE)</f>
        <v>A</v>
      </c>
      <c r="AN206" s="28" t="b">
        <f t="shared" si="133"/>
        <v>1</v>
      </c>
      <c r="AO206" s="3" t="str">
        <f>IF(ISERROR(MATCH(A206,'SegEnds_Xtal_Prot#'!B:B, 0)), "NoXtal", "Xtal")</f>
        <v>Xtal</v>
      </c>
      <c r="AP206" s="3">
        <f t="shared" si="118"/>
        <v>1</v>
      </c>
      <c r="AQ206" s="3">
        <f t="shared" si="119"/>
        <v>1</v>
      </c>
      <c r="AR206" s="3">
        <f t="shared" si="120"/>
        <v>2</v>
      </c>
      <c r="AS206" s="3">
        <f t="shared" si="121"/>
        <v>1</v>
      </c>
      <c r="AT206" s="3">
        <f t="shared" si="122"/>
        <v>1</v>
      </c>
      <c r="AU206" s="3">
        <f t="shared" si="123"/>
        <v>1</v>
      </c>
      <c r="AV206" s="3">
        <f t="shared" si="124"/>
        <v>11</v>
      </c>
      <c r="AW206" s="3">
        <f t="shared" si="125"/>
        <v>6</v>
      </c>
      <c r="AX206" s="3">
        <f t="shared" si="126"/>
        <v>6</v>
      </c>
      <c r="AY206" s="3">
        <f t="shared" si="127"/>
        <v>5</v>
      </c>
      <c r="AZ206" s="3">
        <f t="shared" si="128"/>
        <v>1</v>
      </c>
      <c r="BA206" s="3">
        <f>IF(ISERROR(LEN(VLOOKUP(A206,Seqs!A:E,2,FALSE))-AL206),"-",LEN(VLOOKUP(A206,Seqs!A:E,2,FALSE))-AL206)</f>
        <v>35</v>
      </c>
      <c r="BB206" s="16">
        <f t="shared" si="129"/>
        <v>28</v>
      </c>
      <c r="BC206" s="9">
        <f t="shared" si="130"/>
        <v>20</v>
      </c>
      <c r="BD206" s="3">
        <f t="shared" si="131"/>
        <v>28</v>
      </c>
      <c r="BE206" s="3">
        <f t="shared" si="132"/>
        <v>51</v>
      </c>
    </row>
    <row r="207" spans="1:57" s="3" customFormat="1" x14ac:dyDescent="0.2">
      <c r="A207" s="3" t="s">
        <v>915</v>
      </c>
      <c r="B207" s="3" t="str">
        <f>LOWER(VLOOKUP(A207,Xtal_Templ!A:B,2,FALSE))</f>
        <v>opsd_todpa</v>
      </c>
      <c r="C207" s="3">
        <f>VLOOKUP($A207,'SegEnds_NonXtal_BW#'!$A:$Z,3,FALSE)+D207-50</f>
        <v>31</v>
      </c>
      <c r="D207" s="3">
        <v>52</v>
      </c>
      <c r="E207" s="3">
        <f>IF(ISERROR(VLOOKUP($A207,'SegEnds_NonXtal_BW#'!$A:$Z,4,FALSE)+VLOOKUP($A207,A:AL,4,FALSE)-50),"-",(VLOOKUP($A207,'SegEnds_NonXtal_BW#'!$A:$Z,4,FALSE)+VLOOKUP($A207,A:AL,4,FALSE)-50))</f>
        <v>62</v>
      </c>
      <c r="F207" s="3">
        <f t="shared" si="134"/>
        <v>63</v>
      </c>
      <c r="G207" s="3">
        <v>65</v>
      </c>
      <c r="H207" s="3">
        <f t="shared" si="135"/>
        <v>66</v>
      </c>
      <c r="I207" s="3">
        <f t="shared" si="135"/>
        <v>67</v>
      </c>
      <c r="J207" s="3">
        <v>80</v>
      </c>
      <c r="K207" s="3">
        <f>VLOOKUP($A207,'SegEnds_NonXtal_BW#'!$A:$Z,8,FALSE)+VLOOKUP($A207,A:AL,10,FALSE)-50</f>
        <v>99</v>
      </c>
      <c r="L207" s="3">
        <f>IF(ISERROR(VLOOKUP($A207,'SegEnds_NonXtal_BW#'!$A:$Z,9,FALSE)+VLOOKUP($A207,A:AL,13,FALSE)-50),"-",(VLOOKUP($A207,'SegEnds_NonXtal_BW#'!$A:$Z,9,FALSE)+VLOOKUP($A207,A:AL,13,FALSE)-50))</f>
        <v>100</v>
      </c>
      <c r="M207" s="3">
        <v>101</v>
      </c>
      <c r="N207" s="3">
        <f>IF(ISERROR(VLOOKUP($A207,'SegEnds_NonXtal_BW#'!$A:$Z,10,FALSE)+VLOOKUP($A207,A:AL,13,FALSE)-50),"-",(VLOOKUP($A207,'SegEnds_NonXtal_BW#'!$A:$Z,10,FALSE)+VLOOKUP($A207,A:AL,13,FALSE)-50))</f>
        <v>103</v>
      </c>
      <c r="O207" s="3">
        <f t="shared" si="116"/>
        <v>104</v>
      </c>
      <c r="P207" s="3">
        <v>133</v>
      </c>
      <c r="Q207" s="3">
        <f>VLOOKUP($A207,'SegEnds_NonXtal_BW#'!$A:$Z,12,FALSE)+VLOOKUP($A207,A:AL,16,FALSE)-50</f>
        <v>139</v>
      </c>
      <c r="R207" s="3">
        <f>IF(ISERROR(VLOOKUP($A207,'SegEnds_NonXtal_BW#'!$A:$Z,13,FALSE)+VLOOKUP($A207,A:AL,19,FALSE)-50),"-",VLOOKUP($A207,'SegEnds_NonXtal_BW#'!$A:$Z,13,FALSE)+VLOOKUP($A207,A:AL,19,FALSE)-50)</f>
        <v>140</v>
      </c>
      <c r="S207" s="3">
        <v>140</v>
      </c>
      <c r="T207" s="100">
        <f>IF(ISERROR(VLOOKUP($A207,'SegEnds_NonXtal_BW#'!$A:$Z,14,FALSE)+VLOOKUP($A207,A:AL,19,FALSE)-50),"-",(VLOOKUP($A207,'SegEnds_NonXtal_BW#'!$A:$Z,14,FALSE)+VLOOKUP($A207,A:AL,19,FALSE)-50))</f>
        <v>147</v>
      </c>
      <c r="U207" s="9">
        <f>IF(ISERROR(VLOOKUP($A207,'SegEnds_NonXtal_BW#'!$A:$Z,15,FALSE)+VLOOKUP($A207,A:AL,22,FALSE)-50),"-",VLOOKUP($A207,'SegEnds_NonXtal_BW#'!$A:$Z,15,FALSE)+VLOOKUP($A207,A:AL,22,FALSE)-50)</f>
        <v>148</v>
      </c>
      <c r="V207" s="3">
        <v>160</v>
      </c>
      <c r="W207" s="3">
        <f>IF(ISERROR(VLOOKUP($A207,'SegEnds_NonXtal_BW#'!$A:$Z,16,FALSE)+VLOOKUP($A207,A:AL,22,FALSE)-50),"-",(VLOOKUP($A207,'SegEnds_NonXtal_BW#'!$A:$Z,16,FALSE)+VLOOKUP($A207,A:AL,22,FALSE)-50))</f>
        <v>172</v>
      </c>
      <c r="X207" s="3">
        <f>IF(ISERROR(VLOOKUP($A207,'SegEnds_NonXtal_BW#'!$A:$Z,17,FALSE)+VLOOKUP($A207,A:AL,25,FALSE)-50),"-",(VLOOKUP($A207,'SegEnds_NonXtal_BW#'!$A:$Z,17,FALSE)+VLOOKUP($A207,A:AL,25,FALSE)-50))</f>
        <v>186</v>
      </c>
      <c r="Y207" s="3">
        <v>186</v>
      </c>
      <c r="Z207" s="3">
        <f t="shared" si="117"/>
        <v>188</v>
      </c>
      <c r="AA207" s="3">
        <f>IF(ISERROR(VLOOKUP($A207,'SegEnds_NonXtal_BW#'!$A:$Z,19,FALSE)+VLOOKUP($A207,A:AL,28,FALSE)-50),"-",(VLOOKUP($A207,'SegEnds_NonXtal_BW#'!$A:$Z,19,FALSE)+VLOOKUP($A207,A:AL,28,FALSE)-50))</f>
        <v>194</v>
      </c>
      <c r="AB207" s="3">
        <v>212</v>
      </c>
      <c r="AC207" s="3">
        <v>239</v>
      </c>
      <c r="AD207" s="3">
        <v>244</v>
      </c>
      <c r="AE207" s="3">
        <v>276</v>
      </c>
      <c r="AF207" s="3">
        <f>IF(ISERROR((VLOOKUP($A207,'SegEnds_NonXtal_BW#'!$A:$Z,22,FALSE)+VLOOKUP($A207,A:AL,31,FALSE)-50)),"-",(VLOOKUP($A207,'SegEnds_NonXtal_BW#'!$A:$Z,22,FALSE)+VLOOKUP($A207,A:AL,31,FALSE)-50))</f>
        <v>287</v>
      </c>
      <c r="AG207" s="3">
        <f>IF(ISERROR(VLOOKUP($A207,'SegEnds_NonXtal_BW#'!$A:$Z,23,FALSE)+VLOOKUP($A207,A:AL,34,FALSE)-50),"-",(VLOOKUP($A207,'SegEnds_NonXtal_BW#'!$A:$Z,23,FALSE)+VLOOKUP($A207,A:AL,34,FALSE)-50))</f>
        <v>293</v>
      </c>
      <c r="AH207" s="3">
        <v>312</v>
      </c>
      <c r="AI207" s="3">
        <f>IF(ISERROR((VLOOKUP($A207,'SegEnds_NonXtal_BW#'!$A:$Z,24,FALSE)+VLOOKUP($A207,A:AL,34,FALSE)-50)),"-",(VLOOKUP($A207,'SegEnds_NonXtal_BW#'!$A:$Z,24,FALSE)+VLOOKUP($A207,A:AL,34,FALSE)-50))</f>
        <v>318</v>
      </c>
      <c r="AJ207" s="3">
        <f>IF(ISERROR(VLOOKUP($A207,'SegEnds_NonXtal_BW#'!$A:$Z,25,FALSE)+VLOOKUP($A207,A:AL,37,FALSE)-50),"-",(VLOOKUP($A207,'SegEnds_NonXtal_BW#'!$A:$Z,25,FALSE)+VLOOKUP($A207,A:AL,37,FALSE)-50))</f>
        <v>319</v>
      </c>
      <c r="AK207" s="3">
        <v>322</v>
      </c>
      <c r="AL207" s="3">
        <f>IF(ISERROR((VLOOKUP($A207,'SegEnds_NonXtal_BW#'!$A:$Z,26,FALSE)+VLOOKUP($A207,A:AL,37,FALSE)-50)),"-",(VLOOKUP($A207,'SegEnds_NonXtal_BW#'!$A:$Z,26,FALSE)+VLOOKUP($A207,A:AL,37,FALSE)-50))</f>
        <v>330</v>
      </c>
      <c r="AM207" s="28" t="str">
        <f>VLOOKUP(A207,Classification!A:B,2,FALSE)</f>
        <v>A</v>
      </c>
      <c r="AN207" s="28" t="b">
        <f t="shared" si="133"/>
        <v>1</v>
      </c>
      <c r="AO207" s="3" t="str">
        <f>IF(ISERROR(MATCH(A207,'SegEnds_Xtal_Prot#'!B:B, 0)), "NoXtal", "Xtal")</f>
        <v>Xtal</v>
      </c>
      <c r="AP207" s="3">
        <f t="shared" si="118"/>
        <v>1</v>
      </c>
      <c r="AQ207" s="3">
        <f t="shared" si="119"/>
        <v>1</v>
      </c>
      <c r="AR207" s="3">
        <f t="shared" si="120"/>
        <v>1</v>
      </c>
      <c r="AS207" s="3">
        <f t="shared" si="121"/>
        <v>1</v>
      </c>
      <c r="AT207" s="3">
        <f t="shared" si="122"/>
        <v>1</v>
      </c>
      <c r="AU207" s="3">
        <f t="shared" si="123"/>
        <v>1</v>
      </c>
      <c r="AV207" s="3">
        <f t="shared" si="124"/>
        <v>14</v>
      </c>
      <c r="AW207" s="3">
        <f t="shared" si="125"/>
        <v>6</v>
      </c>
      <c r="AX207" s="3">
        <f t="shared" si="126"/>
        <v>5</v>
      </c>
      <c r="AY207" s="3">
        <f t="shared" si="127"/>
        <v>6</v>
      </c>
      <c r="AZ207" s="3">
        <f t="shared" si="128"/>
        <v>1</v>
      </c>
      <c r="BA207" s="3">
        <f>IF(ISERROR(LEN(VLOOKUP(A207,Seqs!A:E,2,FALSE))-AL207),"-",LEN(VLOOKUP(A207,Seqs!A:E,2,FALSE))-AL207)</f>
        <v>118</v>
      </c>
      <c r="BB207" s="16">
        <f t="shared" si="129"/>
        <v>28</v>
      </c>
      <c r="BC207" s="9">
        <f t="shared" si="130"/>
        <v>20</v>
      </c>
      <c r="BD207" s="3">
        <f t="shared" si="131"/>
        <v>28</v>
      </c>
      <c r="BE207" s="3">
        <f t="shared" si="132"/>
        <v>64</v>
      </c>
    </row>
    <row r="208" spans="1:57" s="3" customFormat="1" x14ac:dyDescent="0.2">
      <c r="A208" s="3" t="s">
        <v>341</v>
      </c>
      <c r="B208" s="3" t="str">
        <f>LOWER(VLOOKUP(A208,Xtal_Templ!A:B,2,FALSE))</f>
        <v>pd2r2_human</v>
      </c>
      <c r="C208" s="3">
        <f>VLOOKUP($A208,'SegEnds_NonXtal_BW#'!$A:$Z,3,FALSE)+D208-50</f>
        <v>92</v>
      </c>
      <c r="D208" s="3">
        <v>110</v>
      </c>
      <c r="E208" s="3">
        <f>IF(ISERROR(VLOOKUP($A208,'SegEnds_NonXtal_BW#'!$A:$Z,4,FALSE)+VLOOKUP($A208,A:AL,4,FALSE)-50),"-",(VLOOKUP($A208,'SegEnds_NonXtal_BW#'!$A:$Z,4,FALSE)+VLOOKUP($A208,A:AL,4,FALSE)-50))</f>
        <v>120</v>
      </c>
      <c r="F208" s="3">
        <f t="shared" si="134"/>
        <v>121</v>
      </c>
      <c r="G208" s="3">
        <v>123</v>
      </c>
      <c r="H208" s="3">
        <f t="shared" si="135"/>
        <v>124</v>
      </c>
      <c r="I208" s="3">
        <f t="shared" si="135"/>
        <v>125</v>
      </c>
      <c r="J208" s="3">
        <v>138</v>
      </c>
      <c r="K208" s="3">
        <f>VLOOKUP($A208,'SegEnds_NonXtal_BW#'!$A:$Z,8,FALSE)+VLOOKUP($A208,A:AL,10,FALSE)-50</f>
        <v>155</v>
      </c>
      <c r="L208" s="3">
        <f t="shared" ref="L208:L214" si="136">M208-1</f>
        <v>157</v>
      </c>
      <c r="M208" s="3">
        <v>158</v>
      </c>
      <c r="N208" s="3">
        <f t="shared" ref="N208:N214" si="137">M208+2</f>
        <v>160</v>
      </c>
      <c r="O208" s="3">
        <f t="shared" si="116"/>
        <v>161</v>
      </c>
      <c r="P208" s="3">
        <v>190</v>
      </c>
      <c r="Q208" s="3">
        <f>VLOOKUP($A208,'SegEnds_NonXtal_BW#'!$A:$Z,12,FALSE)+VLOOKUP($A208,A:AL,16,FALSE)-50</f>
        <v>196</v>
      </c>
      <c r="R208" s="3">
        <f>IF(ISERROR(VLOOKUP($A208,'SegEnds_NonXtal_BW#'!$A:$Z,13,FALSE)+VLOOKUP($A208,A:AL,19,FALSE)-50),"-",VLOOKUP($A208,'SegEnds_NonXtal_BW#'!$A:$Z,13,FALSE)+VLOOKUP($A208,A:AL,19,FALSE)-50)</f>
        <v>197</v>
      </c>
      <c r="S208" s="3">
        <v>197</v>
      </c>
      <c r="T208" s="100">
        <f>IF(ISERROR(VLOOKUP($A208,'SegEnds_NonXtal_BW#'!$A:$Z,14,FALSE)+VLOOKUP($A208,A:AL,19,FALSE)-50),"-",(VLOOKUP($A208,'SegEnds_NonXtal_BW#'!$A:$Z,14,FALSE)+VLOOKUP($A208,A:AL,19,FALSE)-50))</f>
        <v>204</v>
      </c>
      <c r="U208" s="9">
        <f>IF(ISERROR(VLOOKUP($A208,'SegEnds_NonXtal_BW#'!$A:$Z,15,FALSE)+VLOOKUP($A208,A:AL,22,FALSE)-50),"-",VLOOKUP($A208,'SegEnds_NonXtal_BW#'!$A:$Z,15,FALSE)+VLOOKUP($A208,A:AL,22,FALSE)-50)</f>
        <v>205</v>
      </c>
      <c r="V208" s="3">
        <v>217</v>
      </c>
      <c r="W208" s="3">
        <f>IF(ISERROR(VLOOKUP($A208,'SegEnds_NonXtal_BW#'!$A:$Z,16,FALSE)+VLOOKUP($A208,A:AL,22,FALSE)-50),"-",(VLOOKUP($A208,'SegEnds_NonXtal_BW#'!$A:$Z,16,FALSE)+VLOOKUP($A208,A:AL,22,FALSE)-50))</f>
        <v>231</v>
      </c>
      <c r="X208" s="3">
        <f>IF(ISERROR(VLOOKUP($A208,'SegEnds_NonXtal_BW#'!$A:$Z,17,FALSE)+VLOOKUP($A208,A:AL,25,FALSE)-50),"-",(VLOOKUP($A208,'SegEnds_NonXtal_BW#'!$A:$Z,17,FALSE)+VLOOKUP($A208,A:AL,25,FALSE)-50))</f>
        <v>237</v>
      </c>
      <c r="Y208" s="3">
        <v>237</v>
      </c>
      <c r="Z208" s="3">
        <f t="shared" si="117"/>
        <v>239</v>
      </c>
      <c r="AA208" s="3">
        <f>IF(ISERROR(VLOOKUP($A208,'SegEnds_NonXtal_BW#'!$A:$Z,19,FALSE)+VLOOKUP($A208,A:AL,28,FALSE)-50),"-",(VLOOKUP($A208,'SegEnds_NonXtal_BW#'!$A:$Z,19,FALSE)+VLOOKUP($A208,A:AL,28,FALSE)-50))</f>
        <v>240</v>
      </c>
      <c r="AB208" s="3">
        <v>264</v>
      </c>
      <c r="AC208" s="3">
        <f>IF(ISERROR((VLOOKUP($A208,'SegEnds_NonXtal_BW#'!$A:$Z,20,FALSE)+VLOOKUP($A208,A:AL,28,FALSE)-50)),"-",(VLOOKUP($A208,'SegEnds_NonXtal_BW#'!$A:$Z,20,FALSE)+VLOOKUP($A208,A:AL,28,FALSE)-50))</f>
        <v>281</v>
      </c>
      <c r="AD208" s="3">
        <f>IF(ISERROR(VLOOKUP($A208,'SegEnds_NonXtal_BW#'!$A:$Z,21,FALSE)+VLOOKUP($A208,A:AL,31,FALSE)-50),"-",(VLOOKUP($A208,'SegEnds_NonXtal_BW#'!$A:$Z,21,FALSE)+VLOOKUP($A208,A:AL,31,FALSE)-50))</f>
        <v>286</v>
      </c>
      <c r="AE208" s="3">
        <v>310</v>
      </c>
      <c r="AF208" s="3">
        <f>IF(ISERROR((VLOOKUP($A208,'SegEnds_NonXtal_BW#'!$A:$Z,22,FALSE)+VLOOKUP($A208,A:AL,31,FALSE)-50)),"-",(VLOOKUP($A208,'SegEnds_NonXtal_BW#'!$A:$Z,22,FALSE)+VLOOKUP($A208,A:AL,31,FALSE)-50))</f>
        <v>321</v>
      </c>
      <c r="AG208" s="3">
        <f>IF(ISERROR(VLOOKUP($A208,'SegEnds_NonXtal_BW#'!$A:$Z,23,FALSE)+VLOOKUP($A208,A:AL,34,FALSE)-50),"-",(VLOOKUP($A208,'SegEnds_NonXtal_BW#'!$A:$Z,23,FALSE)+VLOOKUP($A208,A:AL,34,FALSE)-50))</f>
        <v>330</v>
      </c>
      <c r="AH208" s="3">
        <v>352</v>
      </c>
      <c r="AI208" s="3">
        <f>IF(ISERROR((VLOOKUP($A208,'SegEnds_NonXtal_BW#'!$A:$Z,24,FALSE)+VLOOKUP($A208,A:AL,34,FALSE)-50)),"-",(VLOOKUP($A208,'SegEnds_NonXtal_BW#'!$A:$Z,24,FALSE)+VLOOKUP($A208,A:AL,34,FALSE)-50))</f>
        <v>358</v>
      </c>
      <c r="AJ208" s="3">
        <f>IF(ISERROR(VLOOKUP($A208,'SegEnds_NonXtal_BW#'!$A:$Z,25,FALSE)+VLOOKUP($A208,A:AL,37,FALSE)-50),"-",(VLOOKUP($A208,'SegEnds_NonXtal_BW#'!$A:$Z,25,FALSE)+VLOOKUP($A208,A:AL,37,FALSE)-50))</f>
        <v>359</v>
      </c>
      <c r="AK208" s="3">
        <v>362</v>
      </c>
      <c r="AL208" s="3">
        <f>IF(ISERROR((VLOOKUP($A208,'SegEnds_NonXtal_BW#'!$A:$Z,26,FALSE)+VLOOKUP($A208,A:AL,37,FALSE)-50)),"-",(VLOOKUP($A208,'SegEnds_NonXtal_BW#'!$A:$Z,26,FALSE)+VLOOKUP($A208,A:AL,37,FALSE)-50))</f>
        <v>376</v>
      </c>
      <c r="AM208" s="28" t="str">
        <f>VLOOKUP(A208,Classification!A:B,2,FALSE)</f>
        <v>A</v>
      </c>
      <c r="AN208" s="28" t="b">
        <f t="shared" si="133"/>
        <v>1</v>
      </c>
      <c r="AO208" s="3" t="str">
        <f>IF(ISERROR(MATCH(A208,'SegEnds_Xtal_Prot#'!B:B, 0)), "NoXtal", "Xtal")</f>
        <v>NoXtal</v>
      </c>
      <c r="AP208" s="3">
        <f t="shared" si="118"/>
        <v>1</v>
      </c>
      <c r="AQ208" s="3">
        <f t="shared" si="119"/>
        <v>1</v>
      </c>
      <c r="AR208" s="3">
        <f t="shared" si="120"/>
        <v>2</v>
      </c>
      <c r="AS208" s="3">
        <f t="shared" si="121"/>
        <v>1</v>
      </c>
      <c r="AT208" s="3">
        <f t="shared" si="122"/>
        <v>1</v>
      </c>
      <c r="AU208" s="3">
        <f t="shared" si="123"/>
        <v>1</v>
      </c>
      <c r="AV208" s="3">
        <f t="shared" si="124"/>
        <v>6</v>
      </c>
      <c r="AW208" s="3">
        <f t="shared" si="125"/>
        <v>1</v>
      </c>
      <c r="AX208" s="3">
        <f t="shared" si="126"/>
        <v>5</v>
      </c>
      <c r="AY208" s="3">
        <f t="shared" si="127"/>
        <v>9</v>
      </c>
      <c r="AZ208" s="3">
        <f t="shared" si="128"/>
        <v>1</v>
      </c>
      <c r="BA208" s="3">
        <f>IF(ISERROR(LEN(VLOOKUP(A208,Seqs!A:E,2,FALSE))-AL208),"-",LEN(VLOOKUP(A208,Seqs!A:E,2,FALSE))-AL208)</f>
        <v>47</v>
      </c>
      <c r="BB208" s="16">
        <f t="shared" si="129"/>
        <v>28</v>
      </c>
      <c r="BC208" s="9">
        <f t="shared" si="130"/>
        <v>20</v>
      </c>
      <c r="BD208" s="3">
        <f t="shared" si="131"/>
        <v>28</v>
      </c>
      <c r="BE208" s="3">
        <f t="shared" si="132"/>
        <v>46</v>
      </c>
    </row>
    <row r="209" spans="1:59" s="3" customFormat="1" x14ac:dyDescent="0.2">
      <c r="A209" s="3" t="s">
        <v>342</v>
      </c>
      <c r="B209" s="3" t="str">
        <f>LOWER(VLOOKUP(A209,Xtal_Templ!A:B,2,FALSE))</f>
        <v>p2ry1_human</v>
      </c>
      <c r="C209" s="3">
        <f>VLOOKUP($A209,'SegEnds_NonXtal_BW#'!$A:$Z,3,FALSE)+D209-50</f>
        <v>31</v>
      </c>
      <c r="D209" s="3">
        <v>51</v>
      </c>
      <c r="E209" s="3">
        <f>IF(ISERROR(VLOOKUP($A209,'SegEnds_NonXtal_BW#'!$A:$Z,4,FALSE)+VLOOKUP($A209,A:AL,4,FALSE)-50),"-",(VLOOKUP($A209,'SegEnds_NonXtal_BW#'!$A:$Z,4,FALSE)+VLOOKUP($A209,A:AL,4,FALSE)-50))</f>
        <v>61</v>
      </c>
      <c r="F209" s="3" t="str">
        <f>IF(ISERROR(VLOOKUP($A209,'SegEnds_NonXtal_BW#'!$A:$Z,5,FALSE)+VLOOKUP($A209,A:AL,7,FALSE)-50),"-",(VLOOKUP($A209,'SegEnds_NonXtal_BW#'!$A:$Z,5,FALSE)+VLOOKUP($A209,A:AL,7,FALSE)-50))</f>
        <v>-</v>
      </c>
      <c r="G209" s="3" t="s">
        <v>23</v>
      </c>
      <c r="H209" s="3" t="str">
        <f>IF(ISERROR(VLOOKUP($A209,'SegEnds_NonXtal_BW#'!$A:$Z,6,FALSE)+VLOOKUP($A209,A:AL,7,FALSE)-50),"-",(VLOOKUP($A209,'SegEnds_NonXtal_BW#'!$A:$Z,6,FALSE)+VLOOKUP($A209,A:AL,7,FALSE)-50))</f>
        <v>-</v>
      </c>
      <c r="I209" s="3">
        <f>VLOOKUP($A209,'SegEnds_NonXtal_BW#'!$A:$Z,7,FALSE)+J209-50</f>
        <v>66</v>
      </c>
      <c r="J209" s="3">
        <v>79</v>
      </c>
      <c r="K209" s="3">
        <f>VLOOKUP($A209,'SegEnds_NonXtal_BW#'!$A:$Z,8,FALSE)+VLOOKUP($A209,A:AL,10,FALSE)-50</f>
        <v>95</v>
      </c>
      <c r="L209" s="3">
        <f t="shared" si="136"/>
        <v>98</v>
      </c>
      <c r="M209" s="3">
        <v>99</v>
      </c>
      <c r="N209" s="3">
        <f t="shared" si="137"/>
        <v>101</v>
      </c>
      <c r="O209" s="3">
        <f t="shared" si="116"/>
        <v>102</v>
      </c>
      <c r="P209" s="3">
        <v>131</v>
      </c>
      <c r="Q209" s="3">
        <f>VLOOKUP($A209,'SegEnds_NonXtal_BW#'!$A:$Z,12,FALSE)+VLOOKUP($A209,A:AL,16,FALSE)-50</f>
        <v>137</v>
      </c>
      <c r="R209" s="3">
        <f>IF(ISERROR(VLOOKUP($A209,'SegEnds_NonXtal_BW#'!$A:$Z,13,FALSE)+VLOOKUP($A209,A:AL,19,FALSE)-50),"-",VLOOKUP($A209,'SegEnds_NonXtal_BW#'!$A:$Z,13,FALSE)+VLOOKUP($A209,A:AL,19,FALSE)-50)</f>
        <v>138</v>
      </c>
      <c r="S209" s="3">
        <v>138</v>
      </c>
      <c r="T209" s="100">
        <f>IF(ISERROR(VLOOKUP($A209,'SegEnds_NonXtal_BW#'!$A:$Z,14,FALSE)+VLOOKUP($A209,A:AL,19,FALSE)-50),"-",(VLOOKUP($A209,'SegEnds_NonXtal_BW#'!$A:$Z,14,FALSE)+VLOOKUP($A209,A:AL,19,FALSE)-50))</f>
        <v>145</v>
      </c>
      <c r="U209" s="9">
        <f>IF(ISERROR(VLOOKUP($A209,'SegEnds_NonXtal_BW#'!$A:$Z,15,FALSE)+VLOOKUP($A209,A:AL,22,FALSE)-50),"-",VLOOKUP($A209,'SegEnds_NonXtal_BW#'!$A:$Z,15,FALSE)+VLOOKUP($A209,A:AL,22,FALSE)-50)</f>
        <v>146</v>
      </c>
      <c r="V209" s="3">
        <v>158</v>
      </c>
      <c r="W209" s="3">
        <f>IF(ISERROR(VLOOKUP($A209,'SegEnds_NonXtal_BW#'!$A:$Z,16,FALSE)+VLOOKUP($A209,A:AL,22,FALSE)-50),"-",(VLOOKUP($A209,'SegEnds_NonXtal_BW#'!$A:$Z,16,FALSE)+VLOOKUP($A209,A:AL,22,FALSE)-50))</f>
        <v>172</v>
      </c>
      <c r="X209" s="3">
        <f>IF(ISERROR(VLOOKUP($A209,'SegEnds_NonXtal_BW#'!$A:$Z,17,FALSE)+VLOOKUP($A209,A:AL,25,FALSE)-50),"-",(VLOOKUP($A209,'SegEnds_NonXtal_BW#'!$A:$Z,17,FALSE)+VLOOKUP($A209,A:AL,25,FALSE)-50))</f>
        <v>183</v>
      </c>
      <c r="Y209" s="3">
        <v>183</v>
      </c>
      <c r="Z209" s="3">
        <f t="shared" si="117"/>
        <v>185</v>
      </c>
      <c r="AA209" s="3">
        <f>IF(ISERROR(VLOOKUP($A209,'SegEnds_NonXtal_BW#'!$A:$Z,19,FALSE)+VLOOKUP($A209,A:AL,28,FALSE)-50),"-",(VLOOKUP($A209,'SegEnds_NonXtal_BW#'!$A:$Z,19,FALSE)+VLOOKUP($A209,A:AL,28,FALSE)-50))</f>
        <v>192</v>
      </c>
      <c r="AB209" s="3">
        <v>210</v>
      </c>
      <c r="AC209" s="3">
        <f>IF(ISERROR((VLOOKUP($A209,'SegEnds_NonXtal_BW#'!$A:$Z,20,FALSE)+VLOOKUP($A209,A:AL,28,FALSE)-50)),"-",(VLOOKUP($A209,'SegEnds_NonXtal_BW#'!$A:$Z,20,FALSE)+VLOOKUP($A209,A:AL,28,FALSE)-50))</f>
        <v>227</v>
      </c>
      <c r="AD209" s="3">
        <f>IF(ISERROR(VLOOKUP($A209,'SegEnds_NonXtal_BW#'!$A:$Z,21,FALSE)+VLOOKUP($A209,A:AL,31,FALSE)-50),"-",(VLOOKUP($A209,'SegEnds_NonXtal_BW#'!$A:$Z,21,FALSE)+VLOOKUP($A209,A:AL,31,FALSE)-50))</f>
        <v>232</v>
      </c>
      <c r="AE209" s="3">
        <v>256</v>
      </c>
      <c r="AF209" s="3">
        <f>IF(ISERROR((VLOOKUP($A209,'SegEnds_NonXtal_BW#'!$A:$Z,22,FALSE)+VLOOKUP($A209,A:AL,31,FALSE)-50)),"-",(VLOOKUP($A209,'SegEnds_NonXtal_BW#'!$A:$Z,22,FALSE)+VLOOKUP($A209,A:AL,31,FALSE)-50))</f>
        <v>267</v>
      </c>
      <c r="AG209" s="3">
        <f>IF(ISERROR(VLOOKUP($A209,'SegEnds_NonXtal_BW#'!$A:$Z,23,FALSE)+VLOOKUP($A209,A:AL,34,FALSE)-50),"-",(VLOOKUP($A209,'SegEnds_NonXtal_BW#'!$A:$Z,23,FALSE)+VLOOKUP($A209,A:AL,34,FALSE)-50))</f>
        <v>273</v>
      </c>
      <c r="AH209" s="3">
        <v>299</v>
      </c>
      <c r="AI209" s="3">
        <f>IF(ISERROR((VLOOKUP($A209,'SegEnds_NonXtal_BW#'!$A:$Z,24,FALSE)+VLOOKUP($A209,A:AL,34,FALSE)-50)),"-",(VLOOKUP($A209,'SegEnds_NonXtal_BW#'!$A:$Z,24,FALSE)+VLOOKUP($A209,A:AL,34,FALSE)-50))</f>
        <v>305</v>
      </c>
      <c r="AJ209" s="3">
        <f>IF(ISERROR(VLOOKUP($A209,'SegEnds_NonXtal_BW#'!$A:$Z,25,FALSE)+VLOOKUP($A209,A:AL,37,FALSE)-50),"-",(VLOOKUP($A209,'SegEnds_NonXtal_BW#'!$A:$Z,25,FALSE)+VLOOKUP($A209,A:AL,37,FALSE)-50))</f>
        <v>306</v>
      </c>
      <c r="AK209" s="3">
        <v>309</v>
      </c>
      <c r="AL209" s="3">
        <f>IF(ISERROR((VLOOKUP($A209,'SegEnds_NonXtal_BW#'!$A:$Z,26,FALSE)+VLOOKUP($A209,A:AL,37,FALSE)-50)),"-",(VLOOKUP($A209,'SegEnds_NonXtal_BW#'!$A:$Z,26,FALSE)+VLOOKUP($A209,A:AL,37,FALSE)-50))</f>
        <v>318</v>
      </c>
      <c r="AM209" s="28" t="str">
        <f>VLOOKUP(A209,Classification!A:B,2,FALSE)</f>
        <v>A</v>
      </c>
      <c r="AN209" s="28" t="b">
        <f t="shared" si="133"/>
        <v>1</v>
      </c>
      <c r="AO209" s="3" t="str">
        <f>IF(ISERROR(MATCH(A209,'SegEnds_Xtal_Prot#'!B:B, 0)), "NoXtal", "Xtal")</f>
        <v>NoXtal</v>
      </c>
      <c r="AP209" s="3" t="str">
        <f t="shared" si="118"/>
        <v>-</v>
      </c>
      <c r="AQ209" s="3" t="str">
        <f t="shared" si="119"/>
        <v>-</v>
      </c>
      <c r="AR209" s="3">
        <f t="shared" si="120"/>
        <v>3</v>
      </c>
      <c r="AS209" s="3">
        <f t="shared" si="121"/>
        <v>1</v>
      </c>
      <c r="AT209" s="3">
        <f t="shared" si="122"/>
        <v>1</v>
      </c>
      <c r="AU209" s="3">
        <f t="shared" si="123"/>
        <v>1</v>
      </c>
      <c r="AV209" s="3">
        <f t="shared" si="124"/>
        <v>11</v>
      </c>
      <c r="AW209" s="3">
        <f t="shared" si="125"/>
        <v>7</v>
      </c>
      <c r="AX209" s="3">
        <f t="shared" si="126"/>
        <v>5</v>
      </c>
      <c r="AY209" s="3">
        <f t="shared" si="127"/>
        <v>6</v>
      </c>
      <c r="AZ209" s="3">
        <f t="shared" si="128"/>
        <v>1</v>
      </c>
      <c r="BA209" s="3">
        <f>IF(ISERROR(LEN(VLOOKUP(A209,Seqs!A:E,2,FALSE))-AL209),"-",LEN(VLOOKUP(A209,Seqs!A:E,2,FALSE))-AL209)</f>
        <v>19</v>
      </c>
      <c r="BB209" s="16">
        <f t="shared" si="129"/>
        <v>28</v>
      </c>
      <c r="BC209" s="9">
        <f t="shared" si="130"/>
        <v>20</v>
      </c>
      <c r="BD209" s="3">
        <f t="shared" si="131"/>
        <v>28</v>
      </c>
      <c r="BE209" s="3">
        <f t="shared" si="132"/>
        <v>46</v>
      </c>
      <c r="BF209" s="3">
        <f>AH209-AE209</f>
        <v>43</v>
      </c>
    </row>
    <row r="210" spans="1:59" s="3" customFormat="1" x14ac:dyDescent="0.2">
      <c r="A210" s="3" t="s">
        <v>344</v>
      </c>
      <c r="B210" s="3" t="str">
        <f>LOWER(VLOOKUP(A210,Xtal_Templ!A:B,2,FALSE))</f>
        <v>p2ry1_human</v>
      </c>
      <c r="C210" s="3">
        <f>VLOOKUP($A210,'SegEnds_NonXtal_BW#'!$A:$Z,3,FALSE)+D210-50</f>
        <v>49</v>
      </c>
      <c r="D210" s="3">
        <v>69</v>
      </c>
      <c r="E210" s="3">
        <f>IF(ISERROR(VLOOKUP($A210,'SegEnds_NonXtal_BW#'!$A:$Z,4,FALSE)+VLOOKUP($A210,A:AL,4,FALSE)-50),"-",(VLOOKUP($A210,'SegEnds_NonXtal_BW#'!$A:$Z,4,FALSE)+VLOOKUP($A210,A:AL,4,FALSE)-50))</f>
        <v>79</v>
      </c>
      <c r="F210" s="3" t="str">
        <f>IF(ISERROR(VLOOKUP($A210,'SegEnds_NonXtal_BW#'!$A:$Z,5,FALSE)+VLOOKUP($A210,A:AL,7,FALSE)-50),"-",(VLOOKUP($A210,'SegEnds_NonXtal_BW#'!$A:$Z,5,FALSE)+VLOOKUP($A210,A:AL,7,FALSE)-50))</f>
        <v>-</v>
      </c>
      <c r="G210" s="3" t="s">
        <v>23</v>
      </c>
      <c r="H210" s="3" t="str">
        <f>IF(ISERROR(VLOOKUP($A210,'SegEnds_NonXtal_BW#'!$A:$Z,6,FALSE)+VLOOKUP($A210,A:AL,7,FALSE)-50),"-",(VLOOKUP($A210,'SegEnds_NonXtal_BW#'!$A:$Z,6,FALSE)+VLOOKUP($A210,A:AL,7,FALSE)-50))</f>
        <v>-</v>
      </c>
      <c r="I210" s="3">
        <f>VLOOKUP($A210,'SegEnds_NonXtal_BW#'!$A:$Z,7,FALSE)+J210-50</f>
        <v>84</v>
      </c>
      <c r="J210" s="3">
        <v>97</v>
      </c>
      <c r="K210" s="3">
        <f>VLOOKUP($A210,'SegEnds_NonXtal_BW#'!$A:$Z,8,FALSE)+VLOOKUP($A210,A:AL,10,FALSE)-50</f>
        <v>113</v>
      </c>
      <c r="L210" s="3">
        <f t="shared" si="136"/>
        <v>116</v>
      </c>
      <c r="M210" s="3">
        <v>117</v>
      </c>
      <c r="N210" s="3">
        <f t="shared" si="137"/>
        <v>119</v>
      </c>
      <c r="O210" s="3">
        <f t="shared" si="116"/>
        <v>120</v>
      </c>
      <c r="P210" s="3">
        <v>149</v>
      </c>
      <c r="Q210" s="3">
        <f>VLOOKUP($A210,'SegEnds_NonXtal_BW#'!$A:$Z,12,FALSE)+VLOOKUP($A210,A:AL,16,FALSE)-50</f>
        <v>155</v>
      </c>
      <c r="R210" s="3">
        <f>IF(ISERROR(VLOOKUP($A210,'SegEnds_NonXtal_BW#'!$A:$Z,13,FALSE)+VLOOKUP($A210,A:AL,19,FALSE)-50),"-",VLOOKUP($A210,'SegEnds_NonXtal_BW#'!$A:$Z,13,FALSE)+VLOOKUP($A210,A:AL,19,FALSE)-50)</f>
        <v>156</v>
      </c>
      <c r="S210" s="3">
        <v>156</v>
      </c>
      <c r="T210" s="100">
        <f>IF(ISERROR(VLOOKUP($A210,'SegEnds_NonXtal_BW#'!$A:$Z,14,FALSE)+VLOOKUP($A210,A:AL,19,FALSE)-50),"-",(VLOOKUP($A210,'SegEnds_NonXtal_BW#'!$A:$Z,14,FALSE)+VLOOKUP($A210,A:AL,19,FALSE)-50))</f>
        <v>163</v>
      </c>
      <c r="U210" s="9">
        <f>IF(ISERROR(VLOOKUP($A210,'SegEnds_NonXtal_BW#'!$A:$Z,15,FALSE)+VLOOKUP($A210,A:AL,22,FALSE)-50),"-",VLOOKUP($A210,'SegEnds_NonXtal_BW#'!$A:$Z,15,FALSE)+VLOOKUP($A210,A:AL,22,FALSE)-50)</f>
        <v>164</v>
      </c>
      <c r="V210" s="3">
        <v>176</v>
      </c>
      <c r="W210" s="3">
        <f>IF(ISERROR(VLOOKUP($A210,'SegEnds_NonXtal_BW#'!$A:$Z,16,FALSE)+VLOOKUP($A210,A:AL,22,FALSE)-50),"-",(VLOOKUP($A210,'SegEnds_NonXtal_BW#'!$A:$Z,16,FALSE)+VLOOKUP($A210,A:AL,22,FALSE)-50))</f>
        <v>190</v>
      </c>
      <c r="X210" s="3">
        <f>IF(ISERROR(VLOOKUP($A210,'SegEnds_NonXtal_BW#'!$A:$Z,17,FALSE)+VLOOKUP($A210,A:AL,25,FALSE)-50),"-",(VLOOKUP($A210,'SegEnds_NonXtal_BW#'!$A:$Z,17,FALSE)+VLOOKUP($A210,A:AL,25,FALSE)-50))</f>
        <v>202</v>
      </c>
      <c r="Y210" s="3">
        <v>202</v>
      </c>
      <c r="Z210" s="3">
        <f t="shared" si="117"/>
        <v>204</v>
      </c>
      <c r="AA210" s="3">
        <f>IF(ISERROR(VLOOKUP($A210,'SegEnds_NonXtal_BW#'!$A:$Z,19,FALSE)+VLOOKUP($A210,A:AL,28,FALSE)-50),"-",(VLOOKUP($A210,'SegEnds_NonXtal_BW#'!$A:$Z,19,FALSE)+VLOOKUP($A210,A:AL,28,FALSE)-50))</f>
        <v>211</v>
      </c>
      <c r="AB210" s="3">
        <v>229</v>
      </c>
      <c r="AC210" s="3">
        <f>IF(ISERROR((VLOOKUP($A210,'SegEnds_NonXtal_BW#'!$A:$Z,20,FALSE)+VLOOKUP($A210,A:AL,28,FALSE)-50)),"-",(VLOOKUP($A210,'SegEnds_NonXtal_BW#'!$A:$Z,20,FALSE)+VLOOKUP($A210,A:AL,28,FALSE)-50))</f>
        <v>247</v>
      </c>
      <c r="AD210" s="3">
        <f>IF(ISERROR(VLOOKUP($A210,'SegEnds_NonXtal_BW#'!$A:$Z,21,FALSE)+VLOOKUP($A210,A:AL,31,FALSE)-50),"-",(VLOOKUP($A210,'SegEnds_NonXtal_BW#'!$A:$Z,21,FALSE)+VLOOKUP($A210,A:AL,31,FALSE)-50))</f>
        <v>253</v>
      </c>
      <c r="AE210" s="3">
        <v>275</v>
      </c>
      <c r="AF210" s="3">
        <f>IF(ISERROR((VLOOKUP($A210,'SegEnds_NonXtal_BW#'!$A:$Z,22,FALSE)+VLOOKUP($A210,A:AL,31,FALSE)-50)),"-",(VLOOKUP($A210,'SegEnds_NonXtal_BW#'!$A:$Z,22,FALSE)+VLOOKUP($A210,A:AL,31,FALSE)-50))</f>
        <v>289</v>
      </c>
      <c r="AG210" s="3">
        <f>IF(ISERROR(VLOOKUP($A210,'SegEnds_NonXtal_BW#'!$A:$Z,23,FALSE)+VLOOKUP($A210,A:AL,34,FALSE)-50),"-",(VLOOKUP($A210,'SegEnds_NonXtal_BW#'!$A:$Z,23,FALSE)+VLOOKUP($A210,A:AL,34,FALSE)-50))</f>
        <v>295</v>
      </c>
      <c r="AH210" s="3">
        <v>321</v>
      </c>
      <c r="AI210" s="3">
        <f>IF(ISERROR((VLOOKUP($A210,'SegEnds_NonXtal_BW#'!$A:$Z,24,FALSE)+VLOOKUP($A210,A:AL,34,FALSE)-50)),"-",(VLOOKUP($A210,'SegEnds_NonXtal_BW#'!$A:$Z,24,FALSE)+VLOOKUP($A210,A:AL,34,FALSE)-50))</f>
        <v>327</v>
      </c>
      <c r="AJ210" s="3">
        <f>IF(ISERROR(VLOOKUP($A210,'SegEnds_NonXtal_BW#'!$A:$Z,25,FALSE)+VLOOKUP($A210,A:AL,37,FALSE)-50),"-",(VLOOKUP($A210,'SegEnds_NonXtal_BW#'!$A:$Z,25,FALSE)+VLOOKUP($A210,A:AL,37,FALSE)-50))</f>
        <v>328</v>
      </c>
      <c r="AK210" s="3">
        <v>331</v>
      </c>
      <c r="AL210" s="3">
        <f>IF(ISERROR((VLOOKUP($A210,'SegEnds_NonXtal_BW#'!$A:$Z,26,FALSE)+VLOOKUP($A210,A:AL,37,FALSE)-50)),"-",(VLOOKUP($A210,'SegEnds_NonXtal_BW#'!$A:$Z,26,FALSE)+VLOOKUP($A210,A:AL,37,FALSE)-50))</f>
        <v>340</v>
      </c>
      <c r="AM210" s="28" t="str">
        <f>VLOOKUP(A210,Classification!A:B,2,FALSE)</f>
        <v>A</v>
      </c>
      <c r="AN210" s="28" t="b">
        <f t="shared" si="133"/>
        <v>1</v>
      </c>
      <c r="AO210" s="3" t="str">
        <f>IF(ISERROR(MATCH(A210,'SegEnds_Xtal_Prot#'!B:B, 0)), "NoXtal", "Xtal")</f>
        <v>Xtal</v>
      </c>
      <c r="AP210" s="3" t="str">
        <f t="shared" si="118"/>
        <v>-</v>
      </c>
      <c r="AQ210" s="3" t="str">
        <f t="shared" si="119"/>
        <v>-</v>
      </c>
      <c r="AR210" s="3">
        <f t="shared" si="120"/>
        <v>3</v>
      </c>
      <c r="AS210" s="3">
        <f t="shared" si="121"/>
        <v>1</v>
      </c>
      <c r="AT210" s="3">
        <f t="shared" si="122"/>
        <v>1</v>
      </c>
      <c r="AU210" s="3">
        <f t="shared" si="123"/>
        <v>1</v>
      </c>
      <c r="AV210" s="3">
        <f t="shared" si="124"/>
        <v>12</v>
      </c>
      <c r="AW210" s="3">
        <f t="shared" si="125"/>
        <v>7</v>
      </c>
      <c r="AX210" s="3">
        <f t="shared" si="126"/>
        <v>6</v>
      </c>
      <c r="AY210" s="3">
        <f t="shared" si="127"/>
        <v>6</v>
      </c>
      <c r="AZ210" s="3">
        <f t="shared" si="128"/>
        <v>1</v>
      </c>
      <c r="BA210" s="3">
        <f>IF(ISERROR(LEN(VLOOKUP(A210,Seqs!A:E,2,FALSE))-AL210),"-",LEN(VLOOKUP(A210,Seqs!A:E,2,FALSE))-AL210)</f>
        <v>33</v>
      </c>
      <c r="BB210" s="16">
        <f t="shared" si="129"/>
        <v>28</v>
      </c>
      <c r="BC210" s="9">
        <f t="shared" si="130"/>
        <v>20</v>
      </c>
      <c r="BD210" s="3">
        <f t="shared" si="131"/>
        <v>28</v>
      </c>
      <c r="BE210" s="3">
        <f t="shared" si="132"/>
        <v>46</v>
      </c>
    </row>
    <row r="211" spans="1:59" s="3" customFormat="1" x14ac:dyDescent="0.2">
      <c r="A211" s="3" t="s">
        <v>345</v>
      </c>
      <c r="B211" s="3" t="str">
        <f>LOWER(VLOOKUP(A211,Xtal_Templ!A:B,2,FALSE))</f>
        <v>p2ry1_human</v>
      </c>
      <c r="C211" s="3">
        <f>VLOOKUP($A211,'SegEnds_NonXtal_BW#'!$A:$Z,3,FALSE)+D211-50</f>
        <v>31</v>
      </c>
      <c r="D211" s="3">
        <v>51</v>
      </c>
      <c r="E211" s="3">
        <f>IF(ISERROR(VLOOKUP($A211,'SegEnds_NonXtal_BW#'!$A:$Z,4,FALSE)+VLOOKUP($A211,A:AL,4,FALSE)-50),"-",(VLOOKUP($A211,'SegEnds_NonXtal_BW#'!$A:$Z,4,FALSE)+VLOOKUP($A211,A:AL,4,FALSE)-50))</f>
        <v>61</v>
      </c>
      <c r="F211" s="3" t="str">
        <f>IF(ISERROR(VLOOKUP($A211,'SegEnds_NonXtal_BW#'!$A:$Z,5,FALSE)+VLOOKUP($A211,A:AL,7,FALSE)-50),"-",(VLOOKUP($A211,'SegEnds_NonXtal_BW#'!$A:$Z,5,FALSE)+VLOOKUP($A211,A:AL,7,FALSE)-50))</f>
        <v>-</v>
      </c>
      <c r="G211" s="3" t="s">
        <v>23</v>
      </c>
      <c r="H211" s="3" t="str">
        <f>IF(ISERROR(VLOOKUP($A211,'SegEnds_NonXtal_BW#'!$A:$Z,6,FALSE)+VLOOKUP($A211,A:AL,7,FALSE)-50),"-",(VLOOKUP($A211,'SegEnds_NonXtal_BW#'!$A:$Z,6,FALSE)+VLOOKUP($A211,A:AL,7,FALSE)-50))</f>
        <v>-</v>
      </c>
      <c r="I211" s="3">
        <f>VLOOKUP($A211,'SegEnds_NonXtal_BW#'!$A:$Z,7,FALSE)+J211-50</f>
        <v>66</v>
      </c>
      <c r="J211" s="3">
        <v>79</v>
      </c>
      <c r="K211" s="3">
        <f>VLOOKUP($A211,'SegEnds_NonXtal_BW#'!$A:$Z,8,FALSE)+VLOOKUP($A211,A:AL,10,FALSE)-50</f>
        <v>95</v>
      </c>
      <c r="L211" s="3">
        <f t="shared" si="136"/>
        <v>98</v>
      </c>
      <c r="M211" s="3">
        <v>99</v>
      </c>
      <c r="N211" s="3">
        <f t="shared" si="137"/>
        <v>101</v>
      </c>
      <c r="O211" s="3">
        <f t="shared" si="116"/>
        <v>102</v>
      </c>
      <c r="P211" s="3">
        <v>131</v>
      </c>
      <c r="Q211" s="3">
        <f>VLOOKUP($A211,'SegEnds_NonXtal_BW#'!$A:$Z,12,FALSE)+VLOOKUP($A211,A:AL,16,FALSE)-50</f>
        <v>137</v>
      </c>
      <c r="R211" s="3">
        <f>IF(ISERROR(VLOOKUP($A211,'SegEnds_NonXtal_BW#'!$A:$Z,13,FALSE)+VLOOKUP($A211,A:AL,19,FALSE)-50),"-",VLOOKUP($A211,'SegEnds_NonXtal_BW#'!$A:$Z,13,FALSE)+VLOOKUP($A211,A:AL,19,FALSE)-50)</f>
        <v>138</v>
      </c>
      <c r="S211" s="3">
        <v>138</v>
      </c>
      <c r="T211" s="100">
        <f>IF(ISERROR(VLOOKUP($A211,'SegEnds_NonXtal_BW#'!$A:$Z,14,FALSE)+VLOOKUP($A211,A:AL,19,FALSE)-50),"-",(VLOOKUP($A211,'SegEnds_NonXtal_BW#'!$A:$Z,14,FALSE)+VLOOKUP($A211,A:AL,19,FALSE)-50))</f>
        <v>145</v>
      </c>
      <c r="U211" s="9">
        <f>IF(ISERROR(VLOOKUP($A211,'SegEnds_NonXtal_BW#'!$A:$Z,15,FALSE)+VLOOKUP($A211,A:AL,22,FALSE)-50),"-",VLOOKUP($A211,'SegEnds_NonXtal_BW#'!$A:$Z,15,FALSE)+VLOOKUP($A211,A:AL,22,FALSE)-50)</f>
        <v>146</v>
      </c>
      <c r="V211" s="3">
        <v>158</v>
      </c>
      <c r="W211" s="3">
        <f>IF(ISERROR(VLOOKUP($A211,'SegEnds_NonXtal_BW#'!$A:$Z,16,FALSE)+VLOOKUP($A211,A:AL,22,FALSE)-50),"-",(VLOOKUP($A211,'SegEnds_NonXtal_BW#'!$A:$Z,16,FALSE)+VLOOKUP($A211,A:AL,22,FALSE)-50))</f>
        <v>172</v>
      </c>
      <c r="X211" s="3">
        <f>IF(ISERROR(VLOOKUP($A211,'SegEnds_NonXtal_BW#'!$A:$Z,17,FALSE)+VLOOKUP($A211,A:AL,25,FALSE)-50),"-",(VLOOKUP($A211,'SegEnds_NonXtal_BW#'!$A:$Z,17,FALSE)+VLOOKUP($A211,A:AL,25,FALSE)-50))</f>
        <v>183</v>
      </c>
      <c r="Y211" s="3">
        <v>183</v>
      </c>
      <c r="Z211" s="3">
        <f t="shared" si="117"/>
        <v>185</v>
      </c>
      <c r="AA211" s="3">
        <f>IF(ISERROR(VLOOKUP($A211,'SegEnds_NonXtal_BW#'!$A:$Z,19,FALSE)+VLOOKUP($A211,A:AL,28,FALSE)-50),"-",(VLOOKUP($A211,'SegEnds_NonXtal_BW#'!$A:$Z,19,FALSE)+VLOOKUP($A211,A:AL,28,FALSE)-50))</f>
        <v>192</v>
      </c>
      <c r="AB211" s="3">
        <v>210</v>
      </c>
      <c r="AC211" s="3">
        <f>IF(ISERROR((VLOOKUP($A211,'SegEnds_NonXtal_BW#'!$A:$Z,20,FALSE)+VLOOKUP($A211,A:AL,28,FALSE)-50)),"-",(VLOOKUP($A211,'SegEnds_NonXtal_BW#'!$A:$Z,20,FALSE)+VLOOKUP($A211,A:AL,28,FALSE)-50))</f>
        <v>232</v>
      </c>
      <c r="AD211" s="3">
        <f>IF(ISERROR(VLOOKUP($A211,'SegEnds_NonXtal_BW#'!$A:$Z,21,FALSE)+VLOOKUP($A211,A:AL,31,FALSE)-50),"-",(VLOOKUP($A211,'SegEnds_NonXtal_BW#'!$A:$Z,21,FALSE)+VLOOKUP($A211,A:AL,31,FALSE)-50))</f>
        <v>239</v>
      </c>
      <c r="AE211" s="3">
        <v>260</v>
      </c>
      <c r="AF211" s="3">
        <f>IF(ISERROR((VLOOKUP($A211,'SegEnds_NonXtal_BW#'!$A:$Z,22,FALSE)+VLOOKUP($A211,A:AL,31,FALSE)-50)),"-",(VLOOKUP($A211,'SegEnds_NonXtal_BW#'!$A:$Z,22,FALSE)+VLOOKUP($A211,A:AL,31,FALSE)-50))</f>
        <v>271</v>
      </c>
      <c r="AG211" s="3">
        <f>IF(ISERROR(VLOOKUP($A211,'SegEnds_NonXtal_BW#'!$A:$Z,23,FALSE)+VLOOKUP($A211,A:AL,34,FALSE)-50),"-",(VLOOKUP($A211,'SegEnds_NonXtal_BW#'!$A:$Z,23,FALSE)+VLOOKUP($A211,A:AL,34,FALSE)-50))</f>
        <v>277</v>
      </c>
      <c r="AH211" s="3">
        <v>303</v>
      </c>
      <c r="AI211" s="3">
        <f>IF(ISERROR((VLOOKUP($A211,'SegEnds_NonXtal_BW#'!$A:$Z,24,FALSE)+VLOOKUP($A211,A:AL,34,FALSE)-50)),"-",(VLOOKUP($A211,'SegEnds_NonXtal_BW#'!$A:$Z,24,FALSE)+VLOOKUP($A211,A:AL,34,FALSE)-50))</f>
        <v>309</v>
      </c>
      <c r="AJ211" s="3">
        <f>IF(ISERROR(VLOOKUP($A211,'SegEnds_NonXtal_BW#'!$A:$Z,25,FALSE)+VLOOKUP($A211,A:AL,37,FALSE)-50),"-",(VLOOKUP($A211,'SegEnds_NonXtal_BW#'!$A:$Z,25,FALSE)+VLOOKUP($A211,A:AL,37,FALSE)-50))</f>
        <v>310</v>
      </c>
      <c r="AK211" s="3">
        <v>313</v>
      </c>
      <c r="AL211" s="3">
        <f>IF(ISERROR((VLOOKUP($A211,'SegEnds_NonXtal_BW#'!$A:$Z,26,FALSE)+VLOOKUP($A211,A:AL,37,FALSE)-50)),"-",(VLOOKUP($A211,'SegEnds_NonXtal_BW#'!$A:$Z,26,FALSE)+VLOOKUP($A211,A:AL,37,FALSE)-50))</f>
        <v>322</v>
      </c>
      <c r="AM211" s="28" t="str">
        <f>VLOOKUP(A211,Classification!A:B,2,FALSE)</f>
        <v>A</v>
      </c>
      <c r="AN211" s="28" t="b">
        <f t="shared" si="133"/>
        <v>1</v>
      </c>
      <c r="AO211" s="3" t="str">
        <f>IF(ISERROR(MATCH(A211,'SegEnds_Xtal_Prot#'!B:B, 0)), "NoXtal", "Xtal")</f>
        <v>NoXtal</v>
      </c>
      <c r="AP211" s="3" t="str">
        <f t="shared" si="118"/>
        <v>-</v>
      </c>
      <c r="AQ211" s="3" t="str">
        <f t="shared" si="119"/>
        <v>-</v>
      </c>
      <c r="AR211" s="3">
        <f t="shared" si="120"/>
        <v>3</v>
      </c>
      <c r="AS211" s="3">
        <f t="shared" si="121"/>
        <v>1</v>
      </c>
      <c r="AT211" s="3">
        <f t="shared" si="122"/>
        <v>1</v>
      </c>
      <c r="AU211" s="3">
        <f t="shared" si="123"/>
        <v>1</v>
      </c>
      <c r="AV211" s="3">
        <f t="shared" si="124"/>
        <v>11</v>
      </c>
      <c r="AW211" s="3">
        <f t="shared" si="125"/>
        <v>7</v>
      </c>
      <c r="AX211" s="3">
        <f t="shared" si="126"/>
        <v>7</v>
      </c>
      <c r="AY211" s="3">
        <f t="shared" si="127"/>
        <v>6</v>
      </c>
      <c r="AZ211" s="3">
        <f t="shared" si="128"/>
        <v>1</v>
      </c>
      <c r="BA211" s="3">
        <f>IF(ISERROR(LEN(VLOOKUP(A211,Seqs!A:E,2,FALSE))-AL211),"-",LEN(VLOOKUP(A211,Seqs!A:E,2,FALSE))-AL211)</f>
        <v>55</v>
      </c>
      <c r="BB211" s="16">
        <f t="shared" si="129"/>
        <v>28</v>
      </c>
      <c r="BC211" s="9">
        <f t="shared" si="130"/>
        <v>20</v>
      </c>
      <c r="BD211" s="3">
        <f t="shared" si="131"/>
        <v>28</v>
      </c>
      <c r="BE211" s="3">
        <f t="shared" si="132"/>
        <v>50</v>
      </c>
    </row>
    <row r="212" spans="1:59" s="3" customFormat="1" x14ac:dyDescent="0.2">
      <c r="A212" s="3" t="s">
        <v>346</v>
      </c>
      <c r="B212" s="3" t="str">
        <f>LOWER(VLOOKUP(A212,Xtal_Templ!A:B,2,FALSE))</f>
        <v>p2ry1_human</v>
      </c>
      <c r="C212" s="3">
        <f>VLOOKUP($A212,'SegEnds_NonXtal_BW#'!$A:$Z,3,FALSE)+D212-50</f>
        <v>33</v>
      </c>
      <c r="D212" s="3">
        <v>53</v>
      </c>
      <c r="E212" s="3">
        <f>IF(ISERROR(VLOOKUP($A212,'SegEnds_NonXtal_BW#'!$A:$Z,4,FALSE)+VLOOKUP($A212,A:AL,4,FALSE)-50),"-",(VLOOKUP($A212,'SegEnds_NonXtal_BW#'!$A:$Z,4,FALSE)+VLOOKUP($A212,A:AL,4,FALSE)-50))</f>
        <v>63</v>
      </c>
      <c r="F212" s="3" t="str">
        <f>IF(ISERROR(VLOOKUP($A212,'SegEnds_NonXtal_BW#'!$A:$Z,5,FALSE)+VLOOKUP($A212,A:AL,7,FALSE)-50),"-",(VLOOKUP($A212,'SegEnds_NonXtal_BW#'!$A:$Z,5,FALSE)+VLOOKUP($A212,A:AL,7,FALSE)-50))</f>
        <v>-</v>
      </c>
      <c r="G212" s="3" t="s">
        <v>23</v>
      </c>
      <c r="H212" s="3" t="str">
        <f>IF(ISERROR(VLOOKUP($A212,'SegEnds_NonXtal_BW#'!$A:$Z,6,FALSE)+VLOOKUP($A212,A:AL,7,FALSE)-50),"-",(VLOOKUP($A212,'SegEnds_NonXtal_BW#'!$A:$Z,6,FALSE)+VLOOKUP($A212,A:AL,7,FALSE)-50))</f>
        <v>-</v>
      </c>
      <c r="I212" s="3">
        <f>VLOOKUP($A212,'SegEnds_NonXtal_BW#'!$A:$Z,7,FALSE)+J212-50</f>
        <v>68</v>
      </c>
      <c r="J212" s="3">
        <v>81</v>
      </c>
      <c r="K212" s="3">
        <f>VLOOKUP($A212,'SegEnds_NonXtal_BW#'!$A:$Z,8,FALSE)+VLOOKUP($A212,A:AL,10,FALSE)-50</f>
        <v>97</v>
      </c>
      <c r="L212" s="3">
        <f t="shared" si="136"/>
        <v>100</v>
      </c>
      <c r="M212" s="3">
        <v>101</v>
      </c>
      <c r="N212" s="3">
        <f t="shared" si="137"/>
        <v>103</v>
      </c>
      <c r="O212" s="3">
        <f t="shared" si="116"/>
        <v>104</v>
      </c>
      <c r="P212" s="3">
        <v>133</v>
      </c>
      <c r="Q212" s="3">
        <f>VLOOKUP($A212,'SegEnds_NonXtal_BW#'!$A:$Z,12,FALSE)+VLOOKUP($A212,A:AL,16,FALSE)-50</f>
        <v>139</v>
      </c>
      <c r="R212" s="3">
        <f>IF(ISERROR(VLOOKUP($A212,'SegEnds_NonXtal_BW#'!$A:$Z,13,FALSE)+VLOOKUP($A212,A:AL,19,FALSE)-50),"-",VLOOKUP($A212,'SegEnds_NonXtal_BW#'!$A:$Z,13,FALSE)+VLOOKUP($A212,A:AL,19,FALSE)-50)</f>
        <v>140</v>
      </c>
      <c r="S212" s="3">
        <v>140</v>
      </c>
      <c r="T212" s="100">
        <f>IF(ISERROR(VLOOKUP($A212,'SegEnds_NonXtal_BW#'!$A:$Z,14,FALSE)+VLOOKUP($A212,A:AL,19,FALSE)-50),"-",(VLOOKUP($A212,'SegEnds_NonXtal_BW#'!$A:$Z,14,FALSE)+VLOOKUP($A212,A:AL,19,FALSE)-50))</f>
        <v>147</v>
      </c>
      <c r="U212" s="9">
        <f>IF(ISERROR(VLOOKUP($A212,'SegEnds_NonXtal_BW#'!$A:$Z,15,FALSE)+VLOOKUP($A212,A:AL,22,FALSE)-50),"-",VLOOKUP($A212,'SegEnds_NonXtal_BW#'!$A:$Z,15,FALSE)+VLOOKUP($A212,A:AL,22,FALSE)-50)</f>
        <v>148</v>
      </c>
      <c r="V212" s="3">
        <v>160</v>
      </c>
      <c r="W212" s="3">
        <f>IF(ISERROR(VLOOKUP($A212,'SegEnds_NonXtal_BW#'!$A:$Z,16,FALSE)+VLOOKUP($A212,A:AL,22,FALSE)-50),"-",(VLOOKUP($A212,'SegEnds_NonXtal_BW#'!$A:$Z,16,FALSE)+VLOOKUP($A212,A:AL,22,FALSE)-50))</f>
        <v>174</v>
      </c>
      <c r="X212" s="3">
        <f>IF(ISERROR(VLOOKUP($A212,'SegEnds_NonXtal_BW#'!$A:$Z,17,FALSE)+VLOOKUP($A212,A:AL,25,FALSE)-50),"-",(VLOOKUP($A212,'SegEnds_NonXtal_BW#'!$A:$Z,17,FALSE)+VLOOKUP($A212,A:AL,25,FALSE)-50))</f>
        <v>185</v>
      </c>
      <c r="Y212" s="3">
        <v>185</v>
      </c>
      <c r="Z212" s="3">
        <f t="shared" si="117"/>
        <v>187</v>
      </c>
      <c r="AA212" s="3">
        <f>IF(ISERROR(VLOOKUP($A212,'SegEnds_NonXtal_BW#'!$A:$Z,19,FALSE)+VLOOKUP($A212,A:AL,28,FALSE)-50),"-",(VLOOKUP($A212,'SegEnds_NonXtal_BW#'!$A:$Z,19,FALSE)+VLOOKUP($A212,A:AL,28,FALSE)-50))</f>
        <v>194</v>
      </c>
      <c r="AB212" s="3">
        <v>212</v>
      </c>
      <c r="AC212" s="3">
        <f>IF(ISERROR((VLOOKUP($A212,'SegEnds_NonXtal_BW#'!$A:$Z,20,FALSE)+VLOOKUP($A212,A:AL,28,FALSE)-50)),"-",(VLOOKUP($A212,'SegEnds_NonXtal_BW#'!$A:$Z,20,FALSE)+VLOOKUP($A212,A:AL,28,FALSE)-50))</f>
        <v>230</v>
      </c>
      <c r="AD212" s="3">
        <f>IF(ISERROR(VLOOKUP($A212,'SegEnds_NonXtal_BW#'!$A:$Z,21,FALSE)+VLOOKUP($A212,A:AL,31,FALSE)-50),"-",(VLOOKUP($A212,'SegEnds_NonXtal_BW#'!$A:$Z,21,FALSE)+VLOOKUP($A212,A:AL,31,FALSE)-50))</f>
        <v>234</v>
      </c>
      <c r="AE212" s="3">
        <v>260</v>
      </c>
      <c r="AF212" s="3">
        <f>IF(ISERROR((VLOOKUP($A212,'SegEnds_NonXtal_BW#'!$A:$Z,22,FALSE)+VLOOKUP($A212,A:AL,31,FALSE)-50)),"-",(VLOOKUP($A212,'SegEnds_NonXtal_BW#'!$A:$Z,22,FALSE)+VLOOKUP($A212,A:AL,31,FALSE)-50))</f>
        <v>271</v>
      </c>
      <c r="AG212" s="3">
        <f>IF(ISERROR(VLOOKUP($A212,'SegEnds_NonXtal_BW#'!$A:$Z,23,FALSE)+VLOOKUP($A212,A:AL,34,FALSE)-50),"-",(VLOOKUP($A212,'SegEnds_NonXtal_BW#'!$A:$Z,23,FALSE)+VLOOKUP($A212,A:AL,34,FALSE)-50))</f>
        <v>277</v>
      </c>
      <c r="AH212" s="3">
        <v>303</v>
      </c>
      <c r="AI212" s="3">
        <f>IF(ISERROR((VLOOKUP($A212,'SegEnds_NonXtal_BW#'!$A:$Z,24,FALSE)+VLOOKUP($A212,A:AL,34,FALSE)-50)),"-",(VLOOKUP($A212,'SegEnds_NonXtal_BW#'!$A:$Z,24,FALSE)+VLOOKUP($A212,A:AL,34,FALSE)-50))</f>
        <v>309</v>
      </c>
      <c r="AJ212" s="3">
        <f>IF(ISERROR(VLOOKUP($A212,'SegEnds_NonXtal_BW#'!$A:$Z,25,FALSE)+VLOOKUP($A212,A:AL,37,FALSE)-50),"-",(VLOOKUP($A212,'SegEnds_NonXtal_BW#'!$A:$Z,25,FALSE)+VLOOKUP($A212,A:AL,37,FALSE)-50))</f>
        <v>310</v>
      </c>
      <c r="AK212" s="3">
        <v>313</v>
      </c>
      <c r="AL212" s="3">
        <f>IF(ISERROR((VLOOKUP($A212,'SegEnds_NonXtal_BW#'!$A:$Z,26,FALSE)+VLOOKUP($A212,A:AL,37,FALSE)-50)),"-",(VLOOKUP($A212,'SegEnds_NonXtal_BW#'!$A:$Z,26,FALSE)+VLOOKUP($A212,A:AL,37,FALSE)-50))</f>
        <v>322</v>
      </c>
      <c r="AM212" s="28" t="str">
        <f>VLOOKUP(A212,Classification!A:B,2,FALSE)</f>
        <v>A</v>
      </c>
      <c r="AN212" s="28" t="b">
        <f t="shared" si="133"/>
        <v>1</v>
      </c>
      <c r="AO212" s="3" t="str">
        <f>IF(ISERROR(MATCH(A212,'SegEnds_Xtal_Prot#'!B:B, 0)), "NoXtal", "Xtal")</f>
        <v>NoXtal</v>
      </c>
      <c r="AP212" s="3" t="str">
        <f t="shared" si="118"/>
        <v>-</v>
      </c>
      <c r="AQ212" s="3" t="str">
        <f t="shared" si="119"/>
        <v>-</v>
      </c>
      <c r="AR212" s="3">
        <f t="shared" si="120"/>
        <v>3</v>
      </c>
      <c r="AS212" s="3">
        <f t="shared" si="121"/>
        <v>1</v>
      </c>
      <c r="AT212" s="3">
        <f t="shared" si="122"/>
        <v>1</v>
      </c>
      <c r="AU212" s="3">
        <f t="shared" si="123"/>
        <v>1</v>
      </c>
      <c r="AV212" s="3">
        <f t="shared" si="124"/>
        <v>11</v>
      </c>
      <c r="AW212" s="3">
        <f t="shared" si="125"/>
        <v>7</v>
      </c>
      <c r="AX212" s="3">
        <f t="shared" si="126"/>
        <v>4</v>
      </c>
      <c r="AY212" s="3">
        <f t="shared" si="127"/>
        <v>6</v>
      </c>
      <c r="AZ212" s="3">
        <f t="shared" si="128"/>
        <v>1</v>
      </c>
      <c r="BA212" s="3">
        <f>IF(ISERROR(LEN(VLOOKUP(A212,Seqs!A:E,2,FALSE))-AL212),"-",LEN(VLOOKUP(A212,Seqs!A:E,2,FALSE))-AL212)</f>
        <v>43</v>
      </c>
      <c r="BB212" s="16">
        <f t="shared" si="129"/>
        <v>28</v>
      </c>
      <c r="BC212" s="9">
        <f t="shared" si="130"/>
        <v>20</v>
      </c>
      <c r="BD212" s="3">
        <f t="shared" si="131"/>
        <v>28</v>
      </c>
      <c r="BE212" s="3">
        <f t="shared" si="132"/>
        <v>48</v>
      </c>
    </row>
    <row r="213" spans="1:59" s="3" customFormat="1" x14ac:dyDescent="0.2">
      <c r="A213" s="3" t="s">
        <v>348</v>
      </c>
      <c r="B213" s="3" t="str">
        <f>LOWER(VLOOKUP(A213,Xtal_Templ!A:B,2,FALSE))</f>
        <v>par2_human</v>
      </c>
      <c r="C213" s="3">
        <f>VLOOKUP($A213,'SegEnds_NonXtal_BW#'!$A:$Z,3,FALSE)+D213-50</f>
        <v>19</v>
      </c>
      <c r="D213" s="3">
        <v>41</v>
      </c>
      <c r="E213" s="3">
        <f>IF(ISERROR(VLOOKUP($A213,'SegEnds_NonXtal_BW#'!$A:$Z,4,FALSE)+VLOOKUP($A213,A:AL,4,FALSE)-50),"-",(VLOOKUP($A213,'SegEnds_NonXtal_BW#'!$A:$Z,4,FALSE)+VLOOKUP($A213,A:AL,4,FALSE)-50))</f>
        <v>51</v>
      </c>
      <c r="F213" s="3" t="str">
        <f>IF(ISERROR(VLOOKUP($A213,'SegEnds_NonXtal_BW#'!$A:$Z,5,FALSE)+VLOOKUP($A213,A:AL,7,FALSE)-50),"-",(VLOOKUP($A213,'SegEnds_NonXtal_BW#'!$A:$Z,5,FALSE)+VLOOKUP($A213,A:AL,7,FALSE)-50))</f>
        <v>-</v>
      </c>
      <c r="G213" s="3" t="s">
        <v>23</v>
      </c>
      <c r="H213" s="3" t="str">
        <f>IF(ISERROR(VLOOKUP($A213,'SegEnds_NonXtal_BW#'!$A:$Z,6,FALSE)+VLOOKUP($A213,A:AL,7,FALSE)-50),"-",(VLOOKUP($A213,'SegEnds_NonXtal_BW#'!$A:$Z,6,FALSE)+VLOOKUP($A213,A:AL,7,FALSE)-50))</f>
        <v>-</v>
      </c>
      <c r="I213" s="3">
        <f>VLOOKUP($A213,'SegEnds_NonXtal_BW#'!$A:$Z,7,FALSE)+J213-50</f>
        <v>56</v>
      </c>
      <c r="J213" s="3">
        <v>69</v>
      </c>
      <c r="K213" s="3">
        <f>VLOOKUP($A213,'SegEnds_NonXtal_BW#'!$A:$Z,8,FALSE)+VLOOKUP($A213,A:AL,10,FALSE)-50</f>
        <v>85</v>
      </c>
      <c r="L213" s="3">
        <f t="shared" si="136"/>
        <v>88</v>
      </c>
      <c r="M213" s="3">
        <v>89</v>
      </c>
      <c r="N213" s="3">
        <f t="shared" si="137"/>
        <v>91</v>
      </c>
      <c r="O213" s="3">
        <f t="shared" si="116"/>
        <v>92</v>
      </c>
      <c r="P213" s="3">
        <v>121</v>
      </c>
      <c r="Q213" s="3">
        <f>VLOOKUP($A213,'SegEnds_NonXtal_BW#'!$A:$Z,12,FALSE)+VLOOKUP($A213,A:AL,16,FALSE)-50</f>
        <v>127</v>
      </c>
      <c r="R213" s="3">
        <f>IF(ISERROR(VLOOKUP($A213,'SegEnds_NonXtal_BW#'!$A:$Z,13,FALSE)+VLOOKUP($A213,A:AL,19,FALSE)-50),"-",VLOOKUP($A213,'SegEnds_NonXtal_BW#'!$A:$Z,13,FALSE)+VLOOKUP($A213,A:AL,19,FALSE)-50)</f>
        <v>128</v>
      </c>
      <c r="S213" s="3">
        <v>128</v>
      </c>
      <c r="T213" s="100">
        <f>IF(ISERROR(VLOOKUP($A213,'SegEnds_NonXtal_BW#'!$A:$Z,14,FALSE)+VLOOKUP($A213,A:AL,19,FALSE)-50),"-",(VLOOKUP($A213,'SegEnds_NonXtal_BW#'!$A:$Z,14,FALSE)+VLOOKUP($A213,A:AL,19,FALSE)-50))</f>
        <v>135</v>
      </c>
      <c r="U213" s="9">
        <f>IF(ISERROR(VLOOKUP($A213,'SegEnds_NonXtal_BW#'!$A:$Z,15,FALSE)+VLOOKUP($A213,A:AL,22,FALSE)-50),"-",VLOOKUP($A213,'SegEnds_NonXtal_BW#'!$A:$Z,15,FALSE)+VLOOKUP($A213,A:AL,22,FALSE)-50)</f>
        <v>136</v>
      </c>
      <c r="V213" s="3">
        <v>148</v>
      </c>
      <c r="W213" s="3">
        <f>IF(ISERROR(VLOOKUP($A213,'SegEnds_NonXtal_BW#'!$A:$Z,16,FALSE)+VLOOKUP($A213,A:AL,22,FALSE)-50),"-",(VLOOKUP($A213,'SegEnds_NonXtal_BW#'!$A:$Z,16,FALSE)+VLOOKUP($A213,A:AL,22,FALSE)-50))</f>
        <v>160</v>
      </c>
      <c r="X213" s="3">
        <f>IF(ISERROR(VLOOKUP($A213,'SegEnds_NonXtal_BW#'!$A:$Z,17,FALSE)+VLOOKUP($A213,A:AL,25,FALSE)-50),"-",(VLOOKUP($A213,'SegEnds_NonXtal_BW#'!$A:$Z,17,FALSE)+VLOOKUP($A213,A:AL,25,FALSE)-50))</f>
        <v>175</v>
      </c>
      <c r="Y213" s="3">
        <v>175</v>
      </c>
      <c r="Z213" s="3">
        <f t="shared" si="117"/>
        <v>177</v>
      </c>
      <c r="AA213" s="3">
        <f>IF(ISERROR(VLOOKUP($A213,'SegEnds_NonXtal_BW#'!$A:$Z,19,FALSE)+VLOOKUP($A213,A:AL,28,FALSE)-50),"-",(VLOOKUP($A213,'SegEnds_NonXtal_BW#'!$A:$Z,19,FALSE)+VLOOKUP($A213,A:AL,28,FALSE)-50))</f>
        <v>186</v>
      </c>
      <c r="AB213" s="3">
        <v>205</v>
      </c>
      <c r="AC213" s="3">
        <f>IF(ISERROR((VLOOKUP($A213,'SegEnds_NonXtal_BW#'!$A:$Z,20,FALSE)+VLOOKUP($A213,A:AL,28,FALSE)-50)),"-",(VLOOKUP($A213,'SegEnds_NonXtal_BW#'!$A:$Z,20,FALSE)+VLOOKUP($A213,A:AL,28,FALSE)-50))</f>
        <v>222</v>
      </c>
      <c r="AD213" s="3">
        <f>IF(ISERROR(VLOOKUP($A213,'SegEnds_NonXtal_BW#'!$A:$Z,21,FALSE)+VLOOKUP($A213,A:AL,31,FALSE)-50),"-",(VLOOKUP($A213,'SegEnds_NonXtal_BW#'!$A:$Z,21,FALSE)+VLOOKUP($A213,A:AL,31,FALSE)-50))</f>
        <v>228</v>
      </c>
      <c r="AE213" s="3">
        <v>252</v>
      </c>
      <c r="AF213" s="3">
        <f>IF(ISERROR((VLOOKUP($A213,'SegEnds_NonXtal_BW#'!$A:$Z,22,FALSE)+VLOOKUP($A213,A:AL,31,FALSE)-50)),"-",(VLOOKUP($A213,'SegEnds_NonXtal_BW#'!$A:$Z,22,FALSE)+VLOOKUP($A213,A:AL,31,FALSE)-50))</f>
        <v>263</v>
      </c>
      <c r="AG213" s="3">
        <f>IF(ISERROR(VLOOKUP($A213,'SegEnds_NonXtal_BW#'!$A:$Z,23,FALSE)+VLOOKUP($A213,A:AL,34,FALSE)-50),"-",(VLOOKUP($A213,'SegEnds_NonXtal_BW#'!$A:$Z,23,FALSE)+VLOOKUP($A213,A:AL,34,FALSE)-50))</f>
        <v>271</v>
      </c>
      <c r="AH213" s="3">
        <v>290</v>
      </c>
      <c r="AI213" s="3">
        <f>IF(ISERROR((VLOOKUP($A213,'SegEnds_NonXtal_BW#'!$A:$Z,24,FALSE)+VLOOKUP($A213,A:AL,34,FALSE)-50)),"-",(VLOOKUP($A213,'SegEnds_NonXtal_BW#'!$A:$Z,24,FALSE)+VLOOKUP($A213,A:AL,34,FALSE)-50))</f>
        <v>296</v>
      </c>
      <c r="AJ213" s="3">
        <f>IF(ISERROR(VLOOKUP($A213,'SegEnds_NonXtal_BW#'!$A:$Z,25,FALSE)+VLOOKUP($A213,A:AL,37,FALSE)-50),"-",(VLOOKUP($A213,'SegEnds_NonXtal_BW#'!$A:$Z,25,FALSE)+VLOOKUP($A213,A:AL,37,FALSE)-50))</f>
        <v>297</v>
      </c>
      <c r="AK213" s="3">
        <v>300</v>
      </c>
      <c r="AL213" s="3">
        <f>IF(ISERROR((VLOOKUP($A213,'SegEnds_NonXtal_BW#'!$A:$Z,26,FALSE)+VLOOKUP($A213,A:AL,37,FALSE)-50)),"-",(VLOOKUP($A213,'SegEnds_NonXtal_BW#'!$A:$Z,26,FALSE)+VLOOKUP($A213,A:AL,37,FALSE)-50))</f>
        <v>311</v>
      </c>
      <c r="AM213" s="28" t="str">
        <f>VLOOKUP(A213,Classification!A:B,2,FALSE)</f>
        <v>A</v>
      </c>
      <c r="AN213" s="28" t="b">
        <f t="shared" si="133"/>
        <v>1</v>
      </c>
      <c r="AO213" s="3" t="str">
        <f>IF(ISERROR(MATCH(A213,'SegEnds_Xtal_Prot#'!B:B, 0)), "NoXtal", "Xtal")</f>
        <v>NoXtal</v>
      </c>
      <c r="AP213" s="3" t="str">
        <f t="shared" si="118"/>
        <v>-</v>
      </c>
      <c r="AQ213" s="3" t="str">
        <f t="shared" si="119"/>
        <v>-</v>
      </c>
      <c r="AR213" s="3">
        <f t="shared" si="120"/>
        <v>3</v>
      </c>
      <c r="AS213" s="3">
        <f t="shared" si="121"/>
        <v>1</v>
      </c>
      <c r="AT213" s="3">
        <f t="shared" si="122"/>
        <v>1</v>
      </c>
      <c r="AU213" s="3">
        <f t="shared" si="123"/>
        <v>1</v>
      </c>
      <c r="AV213" s="3">
        <f t="shared" si="124"/>
        <v>15</v>
      </c>
      <c r="AW213" s="3">
        <f t="shared" si="125"/>
        <v>9</v>
      </c>
      <c r="AX213" s="3">
        <f t="shared" si="126"/>
        <v>6</v>
      </c>
      <c r="AY213" s="3">
        <f t="shared" si="127"/>
        <v>8</v>
      </c>
      <c r="AZ213" s="3">
        <f t="shared" si="128"/>
        <v>1</v>
      </c>
      <c r="BA213" s="3">
        <f>IF(ISERROR(LEN(VLOOKUP(A213,Seqs!A:E,2,FALSE))-AL213),"-",LEN(VLOOKUP(A213,Seqs!A:E,2,FALSE))-AL213)</f>
        <v>48</v>
      </c>
      <c r="BB213" s="16">
        <f t="shared" si="129"/>
        <v>28</v>
      </c>
      <c r="BC213" s="9">
        <f t="shared" si="130"/>
        <v>20</v>
      </c>
      <c r="BD213" s="3">
        <f t="shared" si="131"/>
        <v>28</v>
      </c>
      <c r="BE213" s="3">
        <f t="shared" si="132"/>
        <v>47</v>
      </c>
    </row>
    <row r="214" spans="1:59" s="3" customFormat="1" x14ac:dyDescent="0.2">
      <c r="A214" s="3" t="s">
        <v>350</v>
      </c>
      <c r="B214" s="3" t="str">
        <f>LOWER(VLOOKUP(A214,Xtal_Templ!A:B,2,FALSE))</f>
        <v>p2ry1_human</v>
      </c>
      <c r="C214" s="3">
        <f>VLOOKUP($A214,'SegEnds_NonXtal_BW#'!$A:$Z,3,FALSE)+D214-50</f>
        <v>26</v>
      </c>
      <c r="D214" s="3">
        <v>46</v>
      </c>
      <c r="E214" s="3">
        <f>IF(ISERROR(VLOOKUP($A214,'SegEnds_NonXtal_BW#'!$A:$Z,4,FALSE)+VLOOKUP($A214,A:AL,4,FALSE)-50),"-",(VLOOKUP($A214,'SegEnds_NonXtal_BW#'!$A:$Z,4,FALSE)+VLOOKUP($A214,A:AL,4,FALSE)-50))</f>
        <v>56</v>
      </c>
      <c r="F214" s="3" t="str">
        <f>IF(ISERROR(VLOOKUP($A214,'SegEnds_NonXtal_BW#'!$A:$Z,5,FALSE)+VLOOKUP($A214,A:AL,7,FALSE)-50),"-",(VLOOKUP($A214,'SegEnds_NonXtal_BW#'!$A:$Z,5,FALSE)+VLOOKUP($A214,A:AL,7,FALSE)-50))</f>
        <v>-</v>
      </c>
      <c r="G214" s="3" t="s">
        <v>23</v>
      </c>
      <c r="H214" s="3" t="str">
        <f>IF(ISERROR(VLOOKUP($A214,'SegEnds_NonXtal_BW#'!$A:$Z,6,FALSE)+VLOOKUP($A214,A:AL,7,FALSE)-50),"-",(VLOOKUP($A214,'SegEnds_NonXtal_BW#'!$A:$Z,6,FALSE)+VLOOKUP($A214,A:AL,7,FALSE)-50))</f>
        <v>-</v>
      </c>
      <c r="I214" s="3">
        <f>VLOOKUP($A214,'SegEnds_NonXtal_BW#'!$A:$Z,7,FALSE)+J214-50</f>
        <v>62</v>
      </c>
      <c r="J214" s="3">
        <v>75</v>
      </c>
      <c r="K214" s="3">
        <f>VLOOKUP($A214,'SegEnds_NonXtal_BW#'!$A:$Z,8,FALSE)+VLOOKUP($A214,A:AL,10,FALSE)-50</f>
        <v>91</v>
      </c>
      <c r="L214" s="3">
        <f t="shared" si="136"/>
        <v>94</v>
      </c>
      <c r="M214" s="3">
        <v>95</v>
      </c>
      <c r="N214" s="3">
        <f t="shared" si="137"/>
        <v>97</v>
      </c>
      <c r="O214" s="3">
        <f t="shared" si="116"/>
        <v>98</v>
      </c>
      <c r="P214" s="3">
        <v>127</v>
      </c>
      <c r="Q214" s="3">
        <f>VLOOKUP($A214,'SegEnds_NonXtal_BW#'!$A:$Z,12,FALSE)+VLOOKUP($A214,A:AL,16,FALSE)-50</f>
        <v>133</v>
      </c>
      <c r="R214" s="3">
        <f>IF(ISERROR(VLOOKUP($A214,'SegEnds_NonXtal_BW#'!$A:$Z,13,FALSE)+VLOOKUP($A214,A:AL,19,FALSE)-50),"-",VLOOKUP($A214,'SegEnds_NonXtal_BW#'!$A:$Z,13,FALSE)+VLOOKUP($A214,A:AL,19,FALSE)-50)</f>
        <v>134</v>
      </c>
      <c r="S214" s="3">
        <v>134</v>
      </c>
      <c r="T214" s="100">
        <f>IF(ISERROR(VLOOKUP($A214,'SegEnds_NonXtal_BW#'!$A:$Z,14,FALSE)+VLOOKUP($A214,A:AL,19,FALSE)-50),"-",(VLOOKUP($A214,'SegEnds_NonXtal_BW#'!$A:$Z,14,FALSE)+VLOOKUP($A214,A:AL,19,FALSE)-50))</f>
        <v>141</v>
      </c>
      <c r="U214" s="9">
        <f>IF(ISERROR(VLOOKUP($A214,'SegEnds_NonXtal_BW#'!$A:$Z,15,FALSE)+VLOOKUP($A214,A:AL,22,FALSE)-50),"-",VLOOKUP($A214,'SegEnds_NonXtal_BW#'!$A:$Z,15,FALSE)+VLOOKUP($A214,A:AL,22,FALSE)-50)</f>
        <v>142</v>
      </c>
      <c r="V214" s="3">
        <v>154</v>
      </c>
      <c r="W214" s="3">
        <f>IF(ISERROR(VLOOKUP($A214,'SegEnds_NonXtal_BW#'!$A:$Z,16,FALSE)+VLOOKUP($A214,A:AL,22,FALSE)-50),"-",(VLOOKUP($A214,'SegEnds_NonXtal_BW#'!$A:$Z,16,FALSE)+VLOOKUP($A214,A:AL,22,FALSE)-50))</f>
        <v>168</v>
      </c>
      <c r="X214" s="3">
        <f>IF(ISERROR(VLOOKUP($A214,'SegEnds_NonXtal_BW#'!$A:$Z,17,FALSE)+VLOOKUP($A214,A:AL,25,FALSE)-50),"-",(VLOOKUP($A214,'SegEnds_NonXtal_BW#'!$A:$Z,17,FALSE)+VLOOKUP($A214,A:AL,25,FALSE)-50))</f>
        <v>191</v>
      </c>
      <c r="Y214" s="3">
        <v>191</v>
      </c>
      <c r="Z214" s="3">
        <f t="shared" si="117"/>
        <v>193</v>
      </c>
      <c r="AA214" s="3">
        <f>IF(ISERROR(VLOOKUP($A214,'SegEnds_NonXtal_BW#'!$A:$Z,19,FALSE)+VLOOKUP($A214,A:AL,28,FALSE)-50),"-",(VLOOKUP($A214,'SegEnds_NonXtal_BW#'!$A:$Z,19,FALSE)+VLOOKUP($A214,A:AL,28,FALSE)-50))</f>
        <v>199</v>
      </c>
      <c r="AB214" s="3">
        <v>217</v>
      </c>
      <c r="AC214" s="3">
        <f>IF(ISERROR((VLOOKUP($A214,'SegEnds_NonXtal_BW#'!$A:$Z,20,FALSE)+VLOOKUP($A214,A:AL,28,FALSE)-50)),"-",(VLOOKUP($A214,'SegEnds_NonXtal_BW#'!$A:$Z,20,FALSE)+VLOOKUP($A214,A:AL,28,FALSE)-50))</f>
        <v>234</v>
      </c>
      <c r="AD214" s="3">
        <f>IF(ISERROR(VLOOKUP($A214,'SegEnds_NonXtal_BW#'!$A:$Z,21,FALSE)+VLOOKUP($A214,A:AL,31,FALSE)-50),"-",(VLOOKUP($A214,'SegEnds_NonXtal_BW#'!$A:$Z,21,FALSE)+VLOOKUP($A214,A:AL,31,FALSE)-50))</f>
        <v>239</v>
      </c>
      <c r="AE214" s="3">
        <v>263</v>
      </c>
      <c r="AF214" s="3">
        <f>IF(ISERROR((VLOOKUP($A214,'SegEnds_NonXtal_BW#'!$A:$Z,22,FALSE)+VLOOKUP($A214,A:AL,31,FALSE)-50)),"-",(VLOOKUP($A214,'SegEnds_NonXtal_BW#'!$A:$Z,22,FALSE)+VLOOKUP($A214,A:AL,31,FALSE)-50))</f>
        <v>277</v>
      </c>
      <c r="AG214" s="3">
        <f>IF(ISERROR(VLOOKUP($A214,'SegEnds_NonXtal_BW#'!$A:$Z,23,FALSE)+VLOOKUP($A214,A:AL,34,FALSE)-50),"-",(VLOOKUP($A214,'SegEnds_NonXtal_BW#'!$A:$Z,23,FALSE)+VLOOKUP($A214,A:AL,34,FALSE)-50))</f>
        <v>292</v>
      </c>
      <c r="AH214" s="3">
        <v>318</v>
      </c>
      <c r="AI214" s="3">
        <f>IF(ISERROR((VLOOKUP($A214,'SegEnds_NonXtal_BW#'!$A:$Z,24,FALSE)+VLOOKUP($A214,A:AL,34,FALSE)-50)),"-",(VLOOKUP($A214,'SegEnds_NonXtal_BW#'!$A:$Z,24,FALSE)+VLOOKUP($A214,A:AL,34,FALSE)-50))</f>
        <v>324</v>
      </c>
      <c r="AJ214" s="3">
        <f>IF(ISERROR(VLOOKUP($A214,'SegEnds_NonXtal_BW#'!$A:$Z,25,FALSE)+VLOOKUP($A214,A:AL,37,FALSE)-50),"-",(VLOOKUP($A214,'SegEnds_NonXtal_BW#'!$A:$Z,25,FALSE)+VLOOKUP($A214,A:AL,37,FALSE)-50))</f>
        <v>325</v>
      </c>
      <c r="AK214" s="3">
        <v>328</v>
      </c>
      <c r="AL214" s="3">
        <f>IF(ISERROR((VLOOKUP($A214,'SegEnds_NonXtal_BW#'!$A:$Z,26,FALSE)+VLOOKUP($A214,A:AL,37,FALSE)-50)),"-",(VLOOKUP($A214,'SegEnds_NonXtal_BW#'!$A:$Z,26,FALSE)+VLOOKUP($A214,A:AL,37,FALSE)-50))</f>
        <v>337</v>
      </c>
      <c r="AM214" s="28" t="str">
        <f>VLOOKUP(A214,Classification!A:B,2,FALSE)</f>
        <v>A</v>
      </c>
      <c r="AN214" s="28" t="b">
        <f t="shared" si="133"/>
        <v>1</v>
      </c>
      <c r="AO214" s="3" t="str">
        <f>IF(ISERROR(MATCH(A214,'SegEnds_Xtal_Prot#'!B:B, 0)), "NoXtal", "Xtal")</f>
        <v>NoXtal</v>
      </c>
      <c r="AP214" s="3" t="str">
        <f t="shared" si="118"/>
        <v>-</v>
      </c>
      <c r="AQ214" s="3" t="str">
        <f t="shared" si="119"/>
        <v>-</v>
      </c>
      <c r="AR214" s="3">
        <f t="shared" si="120"/>
        <v>3</v>
      </c>
      <c r="AS214" s="3">
        <f t="shared" si="121"/>
        <v>1</v>
      </c>
      <c r="AT214" s="3">
        <f t="shared" si="122"/>
        <v>1</v>
      </c>
      <c r="AU214" s="3">
        <f t="shared" si="123"/>
        <v>1</v>
      </c>
      <c r="AV214" s="3">
        <f t="shared" si="124"/>
        <v>23</v>
      </c>
      <c r="AW214" s="3">
        <f t="shared" si="125"/>
        <v>6</v>
      </c>
      <c r="AX214" s="3">
        <f t="shared" si="126"/>
        <v>5</v>
      </c>
      <c r="AY214" s="3">
        <f t="shared" si="127"/>
        <v>15</v>
      </c>
      <c r="AZ214" s="3">
        <f t="shared" si="128"/>
        <v>1</v>
      </c>
      <c r="BA214" s="3">
        <f>IF(ISERROR(LEN(VLOOKUP(A214,Seqs!A:E,2,FALSE))-AL214),"-",LEN(VLOOKUP(A214,Seqs!A:E,2,FALSE))-AL214)</f>
        <v>37</v>
      </c>
      <c r="BB214" s="16">
        <f t="shared" si="129"/>
        <v>29</v>
      </c>
      <c r="BC214" s="9">
        <f t="shared" si="130"/>
        <v>20</v>
      </c>
      <c r="BD214" s="3">
        <f t="shared" si="131"/>
        <v>29</v>
      </c>
      <c r="BE214" s="3">
        <f t="shared" si="132"/>
        <v>46</v>
      </c>
    </row>
    <row r="215" spans="1:59" s="3" customFormat="1" x14ac:dyDescent="0.2">
      <c r="A215" s="3" t="s">
        <v>351</v>
      </c>
      <c r="B215" s="3" t="str">
        <f>LOWER(VLOOKUP(A215,Xtal_Templ!A:B,2,FALSE))</f>
        <v>p2y12_human</v>
      </c>
      <c r="C215" s="3">
        <f>VLOOKUP($A215,'SegEnds_NonXtal_BW#'!$A:$Z,3,FALSE)+D215-50</f>
        <v>21</v>
      </c>
      <c r="D215" s="3">
        <v>43</v>
      </c>
      <c r="E215" s="3">
        <f>IF(ISERROR(VLOOKUP($A215,'SegEnds_NonXtal_BW#'!$A:$Z,4,FALSE)+VLOOKUP($A215,A:AL,4,FALSE)-50),"-",(VLOOKUP($A215,'SegEnds_NonXtal_BW#'!$A:$Z,4,FALSE)+VLOOKUP($A215,A:AL,4,FALSE)-50))</f>
        <v>53</v>
      </c>
      <c r="F215" s="3" t="str">
        <f>IF(ISERROR(VLOOKUP($A215,'SegEnds_NonXtal_BW#'!$A:$Z,5,FALSE)+VLOOKUP($A215,A:AL,7,FALSE)-50),"-",(VLOOKUP($A215,'SegEnds_NonXtal_BW#'!$A:$Z,5,FALSE)+VLOOKUP($A215,A:AL,7,FALSE)-50))</f>
        <v>-</v>
      </c>
      <c r="G215" s="3" t="s">
        <v>23</v>
      </c>
      <c r="H215" s="3" t="str">
        <f>IF(ISERROR(VLOOKUP($A215,'SegEnds_NonXtal_BW#'!$A:$Z,6,FALSE)+VLOOKUP($A215,A:AL,7,FALSE)-50),"-",(VLOOKUP($A215,'SegEnds_NonXtal_BW#'!$A:$Z,6,FALSE)+VLOOKUP($A215,A:AL,7,FALSE)-50))</f>
        <v>-</v>
      </c>
      <c r="I215" s="3">
        <f>VLOOKUP($A215,'SegEnds_NonXtal_BW#'!$A:$Z,7,FALSE)+J215-50</f>
        <v>57</v>
      </c>
      <c r="J215" s="3">
        <v>70</v>
      </c>
      <c r="K215" s="3">
        <f>VLOOKUP($A215,'SegEnds_NonXtal_BW#'!$A:$Z,8,FALSE)+VLOOKUP($A215,A:AL,10,FALSE)-50</f>
        <v>86</v>
      </c>
      <c r="L215" s="3" t="str">
        <f>IF(ISERROR(VLOOKUP($A215,'SegEnds_NonXtal_BW#'!$A:$Z,9,FALSE)+VLOOKUP($A215,A:AL,13,FALSE)-50),"-",(VLOOKUP($A215,'SegEnds_NonXtal_BW#'!$A:$Z,9,FALSE)+VLOOKUP($A215,A:AL,13,FALSE)-50))</f>
        <v>-</v>
      </c>
      <c r="M215" s="3" t="s">
        <v>23</v>
      </c>
      <c r="N215" s="3" t="str">
        <f>IF(ISERROR(VLOOKUP($A215,'SegEnds_NonXtal_BW#'!$A:$Z,10,FALSE)+VLOOKUP($A215,A:AL,13,FALSE)-50),"-",(VLOOKUP($A215,'SegEnds_NonXtal_BW#'!$A:$Z,10,FALSE)+VLOOKUP($A215,A:AL,13,FALSE)-50))</f>
        <v>-</v>
      </c>
      <c r="O215" s="3">
        <f>VLOOKUP($A215,'SegEnds_NonXtal_BW#'!$A:$Z,11,FALSE)+VLOOKUP($A215,A:AL,16,FALSE)-50</f>
        <v>90</v>
      </c>
      <c r="P215" s="3">
        <v>122</v>
      </c>
      <c r="Q215" s="3">
        <f>VLOOKUP($A215,'SegEnds_NonXtal_BW#'!$A:$Z,12,FALSE)+VLOOKUP($A215,A:AL,16,FALSE)-50</f>
        <v>128</v>
      </c>
      <c r="R215" s="3">
        <f>IF(ISERROR(VLOOKUP($A215,'SegEnds_NonXtal_BW#'!$A:$Z,13,FALSE)+VLOOKUP($A215,A:AL,19,FALSE)-50),"-",VLOOKUP($A215,'SegEnds_NonXtal_BW#'!$A:$Z,13,FALSE)+VLOOKUP($A215,A:AL,19,FALSE)-50)</f>
        <v>129</v>
      </c>
      <c r="S215" s="3">
        <v>129</v>
      </c>
      <c r="T215" s="100">
        <f>IF(ISERROR(VLOOKUP($A215,'SegEnds_NonXtal_BW#'!$A:$Z,14,FALSE)+VLOOKUP($A215,A:AL,19,FALSE)-50),"-",(VLOOKUP($A215,'SegEnds_NonXtal_BW#'!$A:$Z,14,FALSE)+VLOOKUP($A215,A:AL,19,FALSE)-50))</f>
        <v>136</v>
      </c>
      <c r="U215" s="9">
        <f>IF(ISERROR(VLOOKUP($A215,'SegEnds_NonXtal_BW#'!$A:$Z,15,FALSE)+VLOOKUP($A215,A:AL,22,FALSE)-50),"-",VLOOKUP($A215,'SegEnds_NonXtal_BW#'!$A:$Z,15,FALSE)+VLOOKUP($A215,A:AL,22,FALSE)-50)</f>
        <v>137</v>
      </c>
      <c r="V215" s="3">
        <v>149</v>
      </c>
      <c r="W215" s="3">
        <f>IF(ISERROR(VLOOKUP($A215,'SegEnds_NonXtal_BW#'!$A:$Z,16,FALSE)+VLOOKUP($A215,A:AL,22,FALSE)-50),"-",(VLOOKUP($A215,'SegEnds_NonXtal_BW#'!$A:$Z,16,FALSE)+VLOOKUP($A215,A:AL,22,FALSE)-50))</f>
        <v>163</v>
      </c>
      <c r="X215" s="3">
        <f>IF(ISERROR(VLOOKUP($A215,'SegEnds_NonXtal_BW#'!$A:$Z,17,FALSE)+VLOOKUP($A215,A:AL,25,FALSE)-50),"-",(VLOOKUP($A215,'SegEnds_NonXtal_BW#'!$A:$Z,17,FALSE)+VLOOKUP($A215,A:AL,25,FALSE)-50))</f>
        <v>175</v>
      </c>
      <c r="Y215" s="3">
        <v>175</v>
      </c>
      <c r="Z215" s="3">
        <f t="shared" si="117"/>
        <v>177</v>
      </c>
      <c r="AA215" s="3">
        <f>IF(ISERROR(VLOOKUP($A215,'SegEnds_NonXtal_BW#'!$A:$Z,19,FALSE)+VLOOKUP($A215,A:AL,28,FALSE)-50),"-",(VLOOKUP($A215,'SegEnds_NonXtal_BW#'!$A:$Z,19,FALSE)+VLOOKUP($A215,A:AL,28,FALSE)-50))</f>
        <v>181</v>
      </c>
      <c r="AB215" s="3">
        <v>201</v>
      </c>
      <c r="AC215" s="3">
        <f>IF(ISERROR((VLOOKUP($A215,'SegEnds_NonXtal_BW#'!$A:$Z,20,FALSE)+VLOOKUP($A215,A:AL,28,FALSE)-50)),"-",(VLOOKUP($A215,'SegEnds_NonXtal_BW#'!$A:$Z,20,FALSE)+VLOOKUP($A215,A:AL,28,FALSE)-50))</f>
        <v>223</v>
      </c>
      <c r="AD215" s="3">
        <f>IF(ISERROR(VLOOKUP($A215,'SegEnds_NonXtal_BW#'!$A:$Z,21,FALSE)+VLOOKUP($A215,A:AL,31,FALSE)-50),"-",(VLOOKUP($A215,'SegEnds_NonXtal_BW#'!$A:$Z,21,FALSE)+VLOOKUP($A215,A:AL,31,FALSE)-50))</f>
        <v>230</v>
      </c>
      <c r="AE215" s="3">
        <v>251</v>
      </c>
      <c r="AF215" s="3">
        <f>IF(ISERROR((VLOOKUP($A215,'SegEnds_NonXtal_BW#'!$A:$Z,22,FALSE)+VLOOKUP($A215,A:AL,31,FALSE)-50)),"-",(VLOOKUP($A215,'SegEnds_NonXtal_BW#'!$A:$Z,22,FALSE)+VLOOKUP($A215,A:AL,31,FALSE)-50))</f>
        <v>265</v>
      </c>
      <c r="AG215" s="3">
        <f>IF(ISERROR(VLOOKUP($A215,'SegEnds_NonXtal_BW#'!$A:$Z,23,FALSE)+VLOOKUP($A215,A:AL,34,FALSE)-50),"-",(VLOOKUP($A215,'SegEnds_NonXtal_BW#'!$A:$Z,23,FALSE)+VLOOKUP($A215,A:AL,34,FALSE)-50))</f>
        <v>269</v>
      </c>
      <c r="AH215" s="3">
        <v>295</v>
      </c>
      <c r="AI215" s="3">
        <f>IF(ISERROR((VLOOKUP($A215,'SegEnds_NonXtal_BW#'!$A:$Z,24,FALSE)+VLOOKUP($A215,A:AL,34,FALSE)-50)),"-",(VLOOKUP($A215,'SegEnds_NonXtal_BW#'!$A:$Z,24,FALSE)+VLOOKUP($A215,A:AL,34,FALSE)-50))</f>
        <v>301</v>
      </c>
      <c r="AJ215" s="3">
        <f>IF(ISERROR(VLOOKUP($A215,'SegEnds_NonXtal_BW#'!$A:$Z,25,FALSE)+VLOOKUP($A215,A:AL,37,FALSE)-50),"-",(VLOOKUP($A215,'SegEnds_NonXtal_BW#'!$A:$Z,25,FALSE)+VLOOKUP($A215,A:AL,37,FALSE)-50))</f>
        <v>302</v>
      </c>
      <c r="AK215" s="3">
        <v>305</v>
      </c>
      <c r="AL215" s="3">
        <f>IF(ISERROR((VLOOKUP($A215,'SegEnds_NonXtal_BW#'!$A:$Z,26,FALSE)+VLOOKUP($A215,A:AL,37,FALSE)-50)),"-",(VLOOKUP($A215,'SegEnds_NonXtal_BW#'!$A:$Z,26,FALSE)+VLOOKUP($A215,A:AL,37,FALSE)-50))</f>
        <v>312</v>
      </c>
      <c r="AM215" s="28" t="str">
        <f>VLOOKUP(A215,Classification!A:B,2,FALSE)</f>
        <v>A</v>
      </c>
      <c r="AN215" s="28" t="b">
        <f t="shared" si="133"/>
        <v>1</v>
      </c>
      <c r="AO215" s="3" t="str">
        <f>IF(ISERROR(MATCH(A215,'SegEnds_Xtal_Prot#'!B:B, 0)), "NoXtal", "Xtal")</f>
        <v>Xtal</v>
      </c>
      <c r="AP215" s="3" t="str">
        <f t="shared" si="118"/>
        <v>-</v>
      </c>
      <c r="AQ215" s="3" t="str">
        <f t="shared" si="119"/>
        <v>-</v>
      </c>
      <c r="AR215" s="3" t="str">
        <f t="shared" si="120"/>
        <v>-</v>
      </c>
      <c r="AS215" s="3" t="str">
        <f t="shared" si="121"/>
        <v>-</v>
      </c>
      <c r="AT215" s="3">
        <f t="shared" si="122"/>
        <v>1</v>
      </c>
      <c r="AU215" s="3">
        <f t="shared" si="123"/>
        <v>1</v>
      </c>
      <c r="AV215" s="3">
        <f t="shared" si="124"/>
        <v>12</v>
      </c>
      <c r="AW215" s="3">
        <f t="shared" si="125"/>
        <v>4</v>
      </c>
      <c r="AX215" s="3">
        <f t="shared" si="126"/>
        <v>7</v>
      </c>
      <c r="AY215" s="3">
        <f t="shared" si="127"/>
        <v>4</v>
      </c>
      <c r="AZ215" s="3">
        <f t="shared" si="128"/>
        <v>1</v>
      </c>
      <c r="BA215" s="3">
        <f>IF(ISERROR(LEN(VLOOKUP(A215,Seqs!A:E,2,FALSE))-AL215),"-",LEN(VLOOKUP(A215,Seqs!A:E,2,FALSE))-AL215)</f>
        <v>30</v>
      </c>
      <c r="BB215" s="16">
        <f t="shared" si="129"/>
        <v>27</v>
      </c>
      <c r="BC215" s="9">
        <f t="shared" si="130"/>
        <v>20</v>
      </c>
      <c r="BD215" s="3">
        <f t="shared" si="131"/>
        <v>27</v>
      </c>
      <c r="BE215" s="3">
        <f t="shared" si="132"/>
        <v>50</v>
      </c>
    </row>
    <row r="216" spans="1:59" s="3" customFormat="1" x14ac:dyDescent="0.2">
      <c r="A216" s="3" t="s">
        <v>352</v>
      </c>
      <c r="B216" s="3" t="str">
        <f>LOWER(VLOOKUP(A216,Xtal_Templ!A:B,2,FALSE))</f>
        <v>p2y12_human</v>
      </c>
      <c r="C216" s="3">
        <f>VLOOKUP($A216,'SegEnds_NonXtal_BW#'!$A:$Z,3,FALSE)+D216-50</f>
        <v>40</v>
      </c>
      <c r="D216" s="3">
        <v>62</v>
      </c>
      <c r="E216" s="3">
        <f>IF(ISERROR(VLOOKUP($A216,'SegEnds_NonXtal_BW#'!$A:$Z,4,FALSE)+VLOOKUP($A216,A:AL,4,FALSE)-50),"-",(VLOOKUP($A216,'SegEnds_NonXtal_BW#'!$A:$Z,4,FALSE)+VLOOKUP($A216,A:AL,4,FALSE)-50))</f>
        <v>72</v>
      </c>
      <c r="F216" s="3" t="str">
        <f>IF(ISERROR(VLOOKUP($A216,'SegEnds_NonXtal_BW#'!$A:$Z,5,FALSE)+VLOOKUP($A216,A:AL,7,FALSE)-50),"-",(VLOOKUP($A216,'SegEnds_NonXtal_BW#'!$A:$Z,5,FALSE)+VLOOKUP($A216,A:AL,7,FALSE)-50))</f>
        <v>-</v>
      </c>
      <c r="G216" s="3" t="s">
        <v>23</v>
      </c>
      <c r="H216" s="3" t="str">
        <f>IF(ISERROR(VLOOKUP($A216,'SegEnds_NonXtal_BW#'!$A:$Z,6,FALSE)+VLOOKUP($A216,A:AL,7,FALSE)-50),"-",(VLOOKUP($A216,'SegEnds_NonXtal_BW#'!$A:$Z,6,FALSE)+VLOOKUP($A216,A:AL,7,FALSE)-50))</f>
        <v>-</v>
      </c>
      <c r="I216" s="3">
        <f>VLOOKUP($A216,'SegEnds_NonXtal_BW#'!$A:$Z,7,FALSE)+J216-50</f>
        <v>76</v>
      </c>
      <c r="J216" s="3">
        <v>89</v>
      </c>
      <c r="K216" s="3">
        <f>VLOOKUP($A216,'SegEnds_NonXtal_BW#'!$A:$Z,8,FALSE)+VLOOKUP($A216,A:AL,10,FALSE)-50</f>
        <v>105</v>
      </c>
      <c r="L216" s="3" t="s">
        <v>23</v>
      </c>
      <c r="M216" s="3" t="s">
        <v>23</v>
      </c>
      <c r="N216" s="3" t="s">
        <v>23</v>
      </c>
      <c r="O216" s="3">
        <f>VLOOKUP($A216,'SegEnds_NonXtal_BW#'!$A:$Z,11,FALSE)+VLOOKUP($A216,A:AL,16,FALSE)-50</f>
        <v>109</v>
      </c>
      <c r="P216" s="3">
        <v>141</v>
      </c>
      <c r="Q216" s="3">
        <f>VLOOKUP($A216,'SegEnds_NonXtal_BW#'!$A:$Z,12,FALSE)+VLOOKUP($A216,A:AL,16,FALSE)-50</f>
        <v>147</v>
      </c>
      <c r="R216" s="3">
        <f>IF(ISERROR(VLOOKUP($A216,'SegEnds_NonXtal_BW#'!$A:$Z,13,FALSE)+VLOOKUP($A216,A:AL,19,FALSE)-50),"-",VLOOKUP($A216,'SegEnds_NonXtal_BW#'!$A:$Z,13,FALSE)+VLOOKUP($A216,A:AL,19,FALSE)-50)</f>
        <v>148</v>
      </c>
      <c r="S216" s="3">
        <v>148</v>
      </c>
      <c r="T216" s="100">
        <f>IF(ISERROR(VLOOKUP($A216,'SegEnds_NonXtal_BW#'!$A:$Z,14,FALSE)+VLOOKUP($A216,A:AL,19,FALSE)-50),"-",(VLOOKUP($A216,'SegEnds_NonXtal_BW#'!$A:$Z,14,FALSE)+VLOOKUP($A216,A:AL,19,FALSE)-50))</f>
        <v>155</v>
      </c>
      <c r="U216" s="9">
        <f>IF(ISERROR(VLOOKUP($A216,'SegEnds_NonXtal_BW#'!$A:$Z,15,FALSE)+VLOOKUP($A216,A:AL,22,FALSE)-50),"-",VLOOKUP($A216,'SegEnds_NonXtal_BW#'!$A:$Z,15,FALSE)+VLOOKUP($A216,A:AL,22,FALSE)-50)</f>
        <v>156</v>
      </c>
      <c r="V216" s="3">
        <v>168</v>
      </c>
      <c r="W216" s="3">
        <f>IF(ISERROR(VLOOKUP($A216,'SegEnds_NonXtal_BW#'!$A:$Z,16,FALSE)+VLOOKUP($A216,A:AL,22,FALSE)-50),"-",(VLOOKUP($A216,'SegEnds_NonXtal_BW#'!$A:$Z,16,FALSE)+VLOOKUP($A216,A:AL,22,FALSE)-50))</f>
        <v>182</v>
      </c>
      <c r="X216" s="3">
        <f>IF(ISERROR(VLOOKUP($A216,'SegEnds_NonXtal_BW#'!$A:$Z,17,FALSE)+VLOOKUP($A216,A:AL,25,FALSE)-50),"-",(VLOOKUP($A216,'SegEnds_NonXtal_BW#'!$A:$Z,17,FALSE)+VLOOKUP($A216,A:AL,25,FALSE)-50))</f>
        <v>194</v>
      </c>
      <c r="Y216" s="3">
        <v>194</v>
      </c>
      <c r="Z216" s="3">
        <f t="shared" si="117"/>
        <v>196</v>
      </c>
      <c r="AA216" s="3">
        <f>IF(ISERROR(VLOOKUP($A216,'SegEnds_NonXtal_BW#'!$A:$Z,19,FALSE)+VLOOKUP($A216,A:AL,28,FALSE)-50),"-",(VLOOKUP($A216,'SegEnds_NonXtal_BW#'!$A:$Z,19,FALSE)+VLOOKUP($A216,A:AL,28,FALSE)-50))</f>
        <v>200</v>
      </c>
      <c r="AB216" s="3">
        <v>220</v>
      </c>
      <c r="AC216" s="3">
        <f>IF(ISERROR((VLOOKUP($A216,'SegEnds_NonXtal_BW#'!$A:$Z,20,FALSE)+VLOOKUP($A216,A:AL,28,FALSE)-50)),"-",(VLOOKUP($A216,'SegEnds_NonXtal_BW#'!$A:$Z,20,FALSE)+VLOOKUP($A216,A:AL,28,FALSE)-50))</f>
        <v>242</v>
      </c>
      <c r="AD216" s="3">
        <f>IF(ISERROR(VLOOKUP($A216,'SegEnds_NonXtal_BW#'!$A:$Z,21,FALSE)+VLOOKUP($A216,A:AL,31,FALSE)-50),"-",(VLOOKUP($A216,'SegEnds_NonXtal_BW#'!$A:$Z,21,FALSE)+VLOOKUP($A216,A:AL,31,FALSE)-50))</f>
        <v>249</v>
      </c>
      <c r="AE216" s="3">
        <v>270</v>
      </c>
      <c r="AF216" s="3">
        <f>IF(ISERROR((VLOOKUP($A216,'SegEnds_NonXtal_BW#'!$A:$Z,22,FALSE)+VLOOKUP($A216,A:AL,31,FALSE)-50)),"-",(VLOOKUP($A216,'SegEnds_NonXtal_BW#'!$A:$Z,22,FALSE)+VLOOKUP($A216,A:AL,31,FALSE)-50))</f>
        <v>284</v>
      </c>
      <c r="AG216" s="3">
        <f>IF(ISERROR(VLOOKUP($A216,'SegEnds_NonXtal_BW#'!$A:$Z,23,FALSE)+VLOOKUP($A216,A:AL,34,FALSE)-50),"-",(VLOOKUP($A216,'SegEnds_NonXtal_BW#'!$A:$Z,23,FALSE)+VLOOKUP($A216,A:AL,34,FALSE)-50))</f>
        <v>288</v>
      </c>
      <c r="AH216" s="3">
        <v>314</v>
      </c>
      <c r="AI216" s="3">
        <f>IF(ISERROR((VLOOKUP($A216,'SegEnds_NonXtal_BW#'!$A:$Z,24,FALSE)+VLOOKUP($A216,A:AL,34,FALSE)-50)),"-",(VLOOKUP($A216,'SegEnds_NonXtal_BW#'!$A:$Z,24,FALSE)+VLOOKUP($A216,A:AL,34,FALSE)-50))</f>
        <v>320</v>
      </c>
      <c r="AJ216" s="3">
        <f>IF(ISERROR(VLOOKUP($A216,'SegEnds_NonXtal_BW#'!$A:$Z,25,FALSE)+VLOOKUP($A216,A:AL,37,FALSE)-50),"-",(VLOOKUP($A216,'SegEnds_NonXtal_BW#'!$A:$Z,25,FALSE)+VLOOKUP($A216,A:AL,37,FALSE)-50))</f>
        <v>321</v>
      </c>
      <c r="AK216" s="3">
        <v>324</v>
      </c>
      <c r="AL216" s="3">
        <f>IF(ISERROR((VLOOKUP($A216,'SegEnds_NonXtal_BW#'!$A:$Z,26,FALSE)+VLOOKUP($A216,A:AL,37,FALSE)-50)),"-",(VLOOKUP($A216,'SegEnds_NonXtal_BW#'!$A:$Z,26,FALSE)+VLOOKUP($A216,A:AL,37,FALSE)-50))</f>
        <v>331</v>
      </c>
      <c r="AM216" s="28" t="str">
        <f>VLOOKUP(A216,Classification!A:B,2,FALSE)</f>
        <v>A</v>
      </c>
      <c r="AN216" s="28" t="b">
        <f t="shared" si="133"/>
        <v>1</v>
      </c>
      <c r="AO216" s="3" t="str">
        <f>IF(ISERROR(MATCH(A216,'SegEnds_Xtal_Prot#'!B:B, 0)), "NoXtal", "Xtal")</f>
        <v>NoXtal</v>
      </c>
      <c r="AP216" s="3" t="str">
        <f t="shared" si="118"/>
        <v>-</v>
      </c>
      <c r="AQ216" s="3" t="str">
        <f t="shared" si="119"/>
        <v>-</v>
      </c>
      <c r="AR216" s="3" t="str">
        <f t="shared" si="120"/>
        <v>-</v>
      </c>
      <c r="AS216" s="3" t="str">
        <f t="shared" si="121"/>
        <v>-</v>
      </c>
      <c r="AT216" s="3">
        <f t="shared" si="122"/>
        <v>1</v>
      </c>
      <c r="AU216" s="3">
        <f t="shared" si="123"/>
        <v>1</v>
      </c>
      <c r="AV216" s="3">
        <f t="shared" si="124"/>
        <v>12</v>
      </c>
      <c r="AW216" s="3">
        <f t="shared" si="125"/>
        <v>4</v>
      </c>
      <c r="AX216" s="3">
        <f t="shared" si="126"/>
        <v>7</v>
      </c>
      <c r="AY216" s="3">
        <f t="shared" si="127"/>
        <v>4</v>
      </c>
      <c r="AZ216" s="3">
        <f t="shared" si="128"/>
        <v>1</v>
      </c>
      <c r="BA216" s="3">
        <f>IF(ISERROR(LEN(VLOOKUP(A216,Seqs!A:E,2,FALSE))-AL216),"-",LEN(VLOOKUP(A216,Seqs!A:E,2,FALSE))-AL216)</f>
        <v>23</v>
      </c>
      <c r="BB216" s="16">
        <f t="shared" si="129"/>
        <v>27</v>
      </c>
      <c r="BC216" s="9">
        <f t="shared" si="130"/>
        <v>20</v>
      </c>
      <c r="BD216" s="3">
        <f t="shared" si="131"/>
        <v>27</v>
      </c>
      <c r="BE216" s="3">
        <f t="shared" si="132"/>
        <v>50</v>
      </c>
      <c r="BF216" s="3">
        <f>AH216-AE216</f>
        <v>44</v>
      </c>
    </row>
    <row r="217" spans="1:59" s="3" customFormat="1" x14ac:dyDescent="0.2">
      <c r="A217" s="3" t="s">
        <v>353</v>
      </c>
      <c r="B217" s="3" t="str">
        <f>LOWER(VLOOKUP(A217,Xtal_Templ!A:B,2,FALSE))</f>
        <v>p2y12_human</v>
      </c>
      <c r="C217" s="3">
        <f>VLOOKUP($A217,'SegEnds_NonXtal_BW#'!$A:$Z,3,FALSE)+D217-50</f>
        <v>18</v>
      </c>
      <c r="D217" s="3">
        <v>40</v>
      </c>
      <c r="E217" s="3">
        <f>IF(ISERROR(VLOOKUP($A217,'SegEnds_NonXtal_BW#'!$A:$Z,4,FALSE)+VLOOKUP($A217,A:AL,4,FALSE)-50),"-",(VLOOKUP($A217,'SegEnds_NonXtal_BW#'!$A:$Z,4,FALSE)+VLOOKUP($A217,A:AL,4,FALSE)-50))</f>
        <v>50</v>
      </c>
      <c r="F217" s="3" t="str">
        <f>IF(ISERROR(VLOOKUP($A217,'SegEnds_NonXtal_BW#'!$A:$Z,5,FALSE)+VLOOKUP($A217,A:AL,7,FALSE)-50),"-",(VLOOKUP($A217,'SegEnds_NonXtal_BW#'!$A:$Z,5,FALSE)+VLOOKUP($A217,A:AL,7,FALSE)-50))</f>
        <v>-</v>
      </c>
      <c r="G217" s="3" t="s">
        <v>23</v>
      </c>
      <c r="H217" s="3" t="str">
        <f>IF(ISERROR(VLOOKUP($A217,'SegEnds_NonXtal_BW#'!$A:$Z,6,FALSE)+VLOOKUP($A217,A:AL,7,FALSE)-50),"-",(VLOOKUP($A217,'SegEnds_NonXtal_BW#'!$A:$Z,6,FALSE)+VLOOKUP($A217,A:AL,7,FALSE)-50))</f>
        <v>-</v>
      </c>
      <c r="I217" s="3">
        <f>VLOOKUP($A217,'SegEnds_NonXtal_BW#'!$A:$Z,7,FALSE)+J217-50</f>
        <v>54</v>
      </c>
      <c r="J217" s="3">
        <v>67</v>
      </c>
      <c r="K217" s="3">
        <f>VLOOKUP($A217,'SegEnds_NonXtal_BW#'!$A:$Z,8,FALSE)+VLOOKUP($A217,A:AL,10,FALSE)-50</f>
        <v>83</v>
      </c>
      <c r="L217" s="3" t="str">
        <f>IF(ISERROR(VLOOKUP($A217,'SegEnds_NonXtal_BW#'!$A:$Z,9,FALSE)+VLOOKUP($A217,A:AL,13,FALSE)-50),"-",(VLOOKUP($A217,'SegEnds_NonXtal_BW#'!$A:$Z,9,FALSE)+VLOOKUP($A217,A:AL,13,FALSE)-50))</f>
        <v>-</v>
      </c>
      <c r="M217" s="3" t="s">
        <v>23</v>
      </c>
      <c r="N217" s="3" t="str">
        <f>IF(ISERROR(VLOOKUP($A217,'SegEnds_NonXtal_BW#'!$A:$Z,10,FALSE)+VLOOKUP($A217,A:AL,13,FALSE)-50),"-",(VLOOKUP($A217,'SegEnds_NonXtal_BW#'!$A:$Z,10,FALSE)+VLOOKUP($A217,A:AL,13,FALSE)-50))</f>
        <v>-</v>
      </c>
      <c r="O217" s="3">
        <f>VLOOKUP($A217,'SegEnds_NonXtal_BW#'!$A:$Z,11,FALSE)+VLOOKUP($A217,A:AL,16,FALSE)-50</f>
        <v>87</v>
      </c>
      <c r="P217" s="3">
        <v>119</v>
      </c>
      <c r="Q217" s="3">
        <f>VLOOKUP($A217,'SegEnds_NonXtal_BW#'!$A:$Z,12,FALSE)+VLOOKUP($A217,A:AL,16,FALSE)-50</f>
        <v>125</v>
      </c>
      <c r="R217" s="3">
        <f>IF(ISERROR(VLOOKUP($A217,'SegEnds_NonXtal_BW#'!$A:$Z,13,FALSE)+VLOOKUP($A217,A:AL,19,FALSE)-50),"-",VLOOKUP($A217,'SegEnds_NonXtal_BW#'!$A:$Z,13,FALSE)+VLOOKUP($A217,A:AL,19,FALSE)-50)</f>
        <v>126</v>
      </c>
      <c r="S217" s="3">
        <v>126</v>
      </c>
      <c r="T217" s="100">
        <f>IF(ISERROR(VLOOKUP($A217,'SegEnds_NonXtal_BW#'!$A:$Z,14,FALSE)+VLOOKUP($A217,A:AL,19,FALSE)-50),"-",(VLOOKUP($A217,'SegEnds_NonXtal_BW#'!$A:$Z,14,FALSE)+VLOOKUP($A217,A:AL,19,FALSE)-50))</f>
        <v>133</v>
      </c>
      <c r="U217" s="9">
        <f>IF(ISERROR(VLOOKUP($A217,'SegEnds_NonXtal_BW#'!$A:$Z,15,FALSE)+VLOOKUP($A217,A:AL,22,FALSE)-50),"-",VLOOKUP($A217,'SegEnds_NonXtal_BW#'!$A:$Z,15,FALSE)+VLOOKUP($A217,A:AL,22,FALSE)-50)</f>
        <v>134</v>
      </c>
      <c r="V217" s="3">
        <v>146</v>
      </c>
      <c r="W217" s="3">
        <f>IF(ISERROR(VLOOKUP($A217,'SegEnds_NonXtal_BW#'!$A:$Z,16,FALSE)+VLOOKUP($A217,A:AL,22,FALSE)-50),"-",(VLOOKUP($A217,'SegEnds_NonXtal_BW#'!$A:$Z,16,FALSE)+VLOOKUP($A217,A:AL,22,FALSE)-50))</f>
        <v>160</v>
      </c>
      <c r="X217" s="3">
        <f>IF(ISERROR(VLOOKUP($A217,'SegEnds_NonXtal_BW#'!$A:$Z,17,FALSE)+VLOOKUP($A217,A:AL,25,FALSE)-50),"-",(VLOOKUP($A217,'SegEnds_NonXtal_BW#'!$A:$Z,17,FALSE)+VLOOKUP($A217,A:AL,25,FALSE)-50))</f>
        <v>172</v>
      </c>
      <c r="Y217" s="3">
        <v>172</v>
      </c>
      <c r="Z217" s="3">
        <f t="shared" si="117"/>
        <v>174</v>
      </c>
      <c r="AA217" s="3">
        <f>IF(ISERROR(VLOOKUP($A217,'SegEnds_NonXtal_BW#'!$A:$Z,19,FALSE)+VLOOKUP($A217,A:AL,28,FALSE)-50),"-",(VLOOKUP($A217,'SegEnds_NonXtal_BW#'!$A:$Z,19,FALSE)+VLOOKUP($A217,A:AL,28,FALSE)-50))</f>
        <v>178</v>
      </c>
      <c r="AB217" s="3">
        <v>198</v>
      </c>
      <c r="AC217" s="3">
        <f>IF(ISERROR((VLOOKUP($A217,'SegEnds_NonXtal_BW#'!$A:$Z,20,FALSE)+VLOOKUP($A217,A:AL,28,FALSE)-50)),"-",(VLOOKUP($A217,'SegEnds_NonXtal_BW#'!$A:$Z,20,FALSE)+VLOOKUP($A217,A:AL,28,FALSE)-50))</f>
        <v>220</v>
      </c>
      <c r="AD217" s="3">
        <f>IF(ISERROR(VLOOKUP($A217,'SegEnds_NonXtal_BW#'!$A:$Z,21,FALSE)+VLOOKUP($A217,A:AL,31,FALSE)-50),"-",(VLOOKUP($A217,'SegEnds_NonXtal_BW#'!$A:$Z,21,FALSE)+VLOOKUP($A217,A:AL,31,FALSE)-50))</f>
        <v>227</v>
      </c>
      <c r="AE217" s="3">
        <v>248</v>
      </c>
      <c r="AF217" s="3">
        <f>IF(ISERROR((VLOOKUP($A217,'SegEnds_NonXtal_BW#'!$A:$Z,22,FALSE)+VLOOKUP($A217,A:AL,31,FALSE)-50)),"-",(VLOOKUP($A217,'SegEnds_NonXtal_BW#'!$A:$Z,22,FALSE)+VLOOKUP($A217,A:AL,31,FALSE)-50))</f>
        <v>262</v>
      </c>
      <c r="AG217" s="3">
        <f>IF(ISERROR(VLOOKUP($A217,'SegEnds_NonXtal_BW#'!$A:$Z,23,FALSE)+VLOOKUP($A217,A:AL,34,FALSE)-50),"-",(VLOOKUP($A217,'SegEnds_NonXtal_BW#'!$A:$Z,23,FALSE)+VLOOKUP($A217,A:AL,34,FALSE)-50))</f>
        <v>266</v>
      </c>
      <c r="AH217" s="3">
        <v>292</v>
      </c>
      <c r="AI217" s="3">
        <f>IF(ISERROR((VLOOKUP($A217,'SegEnds_NonXtal_BW#'!$A:$Z,24,FALSE)+VLOOKUP($A217,A:AL,34,FALSE)-50)),"-",(VLOOKUP($A217,'SegEnds_NonXtal_BW#'!$A:$Z,24,FALSE)+VLOOKUP($A217,A:AL,34,FALSE)-50))</f>
        <v>298</v>
      </c>
      <c r="AJ217" s="3">
        <f>IF(ISERROR(VLOOKUP($A217,'SegEnds_NonXtal_BW#'!$A:$Z,25,FALSE)+VLOOKUP($A217,A:AL,37,FALSE)-50),"-",(VLOOKUP($A217,'SegEnds_NonXtal_BW#'!$A:$Z,25,FALSE)+VLOOKUP($A217,A:AL,37,FALSE)-50))</f>
        <v>299</v>
      </c>
      <c r="AK217" s="3">
        <v>302</v>
      </c>
      <c r="AL217" s="3">
        <f>IF(ISERROR((VLOOKUP($A217,'SegEnds_NonXtal_BW#'!$A:$Z,26,FALSE)+VLOOKUP($A217,A:AL,37,FALSE)-50)),"-",(VLOOKUP($A217,'SegEnds_NonXtal_BW#'!$A:$Z,26,FALSE)+VLOOKUP($A217,A:AL,37,FALSE)-50))</f>
        <v>309</v>
      </c>
      <c r="AM217" s="28" t="str">
        <f>VLOOKUP(A217,Classification!A:B,2,FALSE)</f>
        <v>A</v>
      </c>
      <c r="AN217" s="28" t="b">
        <f t="shared" si="133"/>
        <v>1</v>
      </c>
      <c r="AO217" s="3" t="str">
        <f>IF(ISERROR(MATCH(A217,'SegEnds_Xtal_Prot#'!B:B, 0)), "NoXtal", "Xtal")</f>
        <v>NoXtal</v>
      </c>
      <c r="AP217" s="3" t="str">
        <f t="shared" si="118"/>
        <v>-</v>
      </c>
      <c r="AQ217" s="3" t="str">
        <f t="shared" si="119"/>
        <v>-</v>
      </c>
      <c r="AR217" s="3" t="str">
        <f t="shared" si="120"/>
        <v>-</v>
      </c>
      <c r="AS217" s="3" t="str">
        <f t="shared" si="121"/>
        <v>-</v>
      </c>
      <c r="AT217" s="3">
        <f t="shared" si="122"/>
        <v>1</v>
      </c>
      <c r="AU217" s="3">
        <f t="shared" si="123"/>
        <v>1</v>
      </c>
      <c r="AV217" s="3">
        <f t="shared" si="124"/>
        <v>12</v>
      </c>
      <c r="AW217" s="3">
        <f t="shared" si="125"/>
        <v>4</v>
      </c>
      <c r="AX217" s="3">
        <f t="shared" si="126"/>
        <v>7</v>
      </c>
      <c r="AY217" s="3">
        <f t="shared" si="127"/>
        <v>4</v>
      </c>
      <c r="AZ217" s="3">
        <f t="shared" si="128"/>
        <v>1</v>
      </c>
      <c r="BA217" s="3">
        <f>IF(ISERROR(LEN(VLOOKUP(A217,Seqs!A:E,2,FALSE))-AL217),"-",LEN(VLOOKUP(A217,Seqs!A:E,2,FALSE))-AL217)</f>
        <v>29</v>
      </c>
      <c r="BB217" s="16">
        <f t="shared" si="129"/>
        <v>27</v>
      </c>
      <c r="BC217" s="9">
        <f t="shared" si="130"/>
        <v>20</v>
      </c>
      <c r="BD217" s="3">
        <f t="shared" si="131"/>
        <v>27</v>
      </c>
      <c r="BE217" s="3">
        <f t="shared" si="132"/>
        <v>50</v>
      </c>
      <c r="BF217" s="3">
        <f>AH217-AE217</f>
        <v>44</v>
      </c>
    </row>
    <row r="218" spans="1:59" s="3" customFormat="1" x14ac:dyDescent="0.2">
      <c r="A218" s="3" t="s">
        <v>354</v>
      </c>
      <c r="B218" s="3" t="str">
        <f>LOWER(VLOOKUP(A218,Xtal_Templ!A:B,2,FALSE))</f>
        <v>par1_human</v>
      </c>
      <c r="C218" s="3">
        <f>VLOOKUP($A218,'SegEnds_NonXtal_BW#'!$A:$Z,3,FALSE)+D218-50</f>
        <v>99</v>
      </c>
      <c r="D218" s="3">
        <v>120</v>
      </c>
      <c r="E218" s="3">
        <f>IF(ISERROR(VLOOKUP($A218,'SegEnds_NonXtal_BW#'!$A:$Z,4,FALSE)+VLOOKUP($A218,A:AL,4,FALSE)-50),"-",(VLOOKUP($A218,'SegEnds_NonXtal_BW#'!$A:$Z,4,FALSE)+VLOOKUP($A218,A:AL,4,FALSE)-50))</f>
        <v>130</v>
      </c>
      <c r="F218" s="3">
        <f>G218-2</f>
        <v>131</v>
      </c>
      <c r="G218" s="3">
        <v>133</v>
      </c>
      <c r="H218" s="3">
        <f>G218+1</f>
        <v>134</v>
      </c>
      <c r="I218" s="3">
        <f>H218+1</f>
        <v>135</v>
      </c>
      <c r="J218" s="3">
        <v>148</v>
      </c>
      <c r="K218" s="3">
        <f>VLOOKUP($A218,'SegEnds_NonXtal_BW#'!$A:$Z,8,FALSE)+VLOOKUP($A218,A:AL,10,FALSE)-50</f>
        <v>164</v>
      </c>
      <c r="L218" s="3">
        <f>M218-1</f>
        <v>167</v>
      </c>
      <c r="M218" s="3">
        <v>168</v>
      </c>
      <c r="N218" s="3">
        <f>M218+2</f>
        <v>170</v>
      </c>
      <c r="O218" s="3">
        <f>N218+1</f>
        <v>171</v>
      </c>
      <c r="P218" s="3">
        <v>200</v>
      </c>
      <c r="Q218" s="3">
        <f>VLOOKUP($A218,'SegEnds_NonXtal_BW#'!$A:$Z,12,FALSE)+VLOOKUP($A218,A:AL,16,FALSE)-50</f>
        <v>206</v>
      </c>
      <c r="R218" s="3">
        <f>IF(ISERROR(VLOOKUP($A218,'SegEnds_NonXtal_BW#'!$A:$Z,13,FALSE)+VLOOKUP($A218,A:AL,19,FALSE)-50),"-",VLOOKUP($A218,'SegEnds_NonXtal_BW#'!$A:$Z,13,FALSE)+VLOOKUP($A218,A:AL,19,FALSE)-50)</f>
        <v>207</v>
      </c>
      <c r="S218" s="3">
        <v>207</v>
      </c>
      <c r="T218" s="100">
        <f>IF(ISERROR(VLOOKUP($A218,'SegEnds_NonXtal_BW#'!$A:$Z,14,FALSE)+VLOOKUP($A218,A:AL,19,FALSE)-50),"-",(VLOOKUP($A218,'SegEnds_NonXtal_BW#'!$A:$Z,14,FALSE)+VLOOKUP($A218,A:AL,19,FALSE)-50))</f>
        <v>214</v>
      </c>
      <c r="U218" s="9">
        <f>IF(ISERROR(VLOOKUP($A218,'SegEnds_NonXtal_BW#'!$A:$Z,15,FALSE)+VLOOKUP($A218,A:AL,22,FALSE)-50),"-",VLOOKUP($A218,'SegEnds_NonXtal_BW#'!$A:$Z,15,FALSE)+VLOOKUP($A218,A:AL,22,FALSE)-50)</f>
        <v>215</v>
      </c>
      <c r="V218" s="3">
        <v>227</v>
      </c>
      <c r="W218" s="3">
        <f>IF(ISERROR(VLOOKUP($A218,'SegEnds_NonXtal_BW#'!$A:$Z,16,FALSE)+VLOOKUP($A218,A:AL,22,FALSE)-50),"-",(VLOOKUP($A218,'SegEnds_NonXtal_BW#'!$A:$Z,16,FALSE)+VLOOKUP($A218,A:AL,22,FALSE)-50))</f>
        <v>240</v>
      </c>
      <c r="X218" s="3">
        <f>IF(ISERROR(VLOOKUP($A218,'SegEnds_NonXtal_BW#'!$A:$Z,17,FALSE)+VLOOKUP($A218,A:AL,25,FALSE)-50),"-",(VLOOKUP($A218,'SegEnds_NonXtal_BW#'!$A:$Z,17,FALSE)+VLOOKUP($A218,A:AL,25,FALSE)-50))</f>
        <v>254</v>
      </c>
      <c r="Y218" s="3">
        <v>254</v>
      </c>
      <c r="Z218" s="3">
        <f t="shared" si="117"/>
        <v>256</v>
      </c>
      <c r="AA218" s="3">
        <f>IF(ISERROR(VLOOKUP($A218,'SegEnds_NonXtal_BW#'!$A:$Z,19,FALSE)+VLOOKUP($A218,A:AL,28,FALSE)-50),"-",(VLOOKUP($A218,'SegEnds_NonXtal_BW#'!$A:$Z,19,FALSE)+VLOOKUP($A218,A:AL,28,FALSE)-50))</f>
        <v>264</v>
      </c>
      <c r="AB218" s="3">
        <v>282</v>
      </c>
      <c r="AC218" s="3">
        <f>IF(ISERROR((VLOOKUP($A218,'SegEnds_NonXtal_BW#'!$A:$Z,20,FALSE)+VLOOKUP($A218,A:AL,28,FALSE)-50)),"-",(VLOOKUP($A218,'SegEnds_NonXtal_BW#'!$A:$Z,20,FALSE)+VLOOKUP($A218,A:AL,28,FALSE)-50))</f>
        <v>299</v>
      </c>
      <c r="AD218" s="3">
        <f>IF(ISERROR(VLOOKUP($A218,'SegEnds_NonXtal_BW#'!$A:$Z,21,FALSE)+VLOOKUP($A218,A:AL,31,FALSE)-50),"-",(VLOOKUP($A218,'SegEnds_NonXtal_BW#'!$A:$Z,21,FALSE)+VLOOKUP($A218,A:AL,31,FALSE)-50))</f>
        <v>304</v>
      </c>
      <c r="AE218" s="3">
        <v>328</v>
      </c>
      <c r="AF218" s="3">
        <f>IF(ISERROR((VLOOKUP($A218,'SegEnds_NonXtal_BW#'!$A:$Z,22,FALSE)+VLOOKUP($A218,A:AL,31,FALSE)-50)),"-",(VLOOKUP($A218,'SegEnds_NonXtal_BW#'!$A:$Z,22,FALSE)+VLOOKUP($A218,A:AL,31,FALSE)-50))</f>
        <v>340</v>
      </c>
      <c r="AG218" s="3">
        <f>IF(ISERROR(VLOOKUP($A218,'SegEnds_NonXtal_BW#'!$A:$Z,23,FALSE)+VLOOKUP($A218,A:AL,34,FALSE)-50),"-",(VLOOKUP($A218,'SegEnds_NonXtal_BW#'!$A:$Z,23,FALSE)+VLOOKUP($A218,A:AL,34,FALSE)-50))</f>
        <v>346</v>
      </c>
      <c r="AH218" s="3">
        <v>368</v>
      </c>
      <c r="AI218" s="3">
        <f>IF(ISERROR((VLOOKUP($A218,'SegEnds_NonXtal_BW#'!$A:$Z,24,FALSE)+VLOOKUP($A218,A:AL,34,FALSE)-50)),"-",(VLOOKUP($A218,'SegEnds_NonXtal_BW#'!$A:$Z,24,FALSE)+VLOOKUP($A218,A:AL,34,FALSE)-50))</f>
        <v>374</v>
      </c>
      <c r="AJ218" s="3">
        <f>IF(ISERROR(VLOOKUP($A218,'SegEnds_NonXtal_BW#'!$A:$Z,25,FALSE)+VLOOKUP($A218,A:AL,37,FALSE)-50),"-",(VLOOKUP($A218,'SegEnds_NonXtal_BW#'!$A:$Z,25,FALSE)+VLOOKUP($A218,A:AL,37,FALSE)-50))</f>
        <v>375</v>
      </c>
      <c r="AK218" s="3">
        <v>378</v>
      </c>
      <c r="AL218" s="3">
        <f>IF(ISERROR((VLOOKUP($A218,'SegEnds_NonXtal_BW#'!$A:$Z,26,FALSE)+VLOOKUP($A218,A:AL,37,FALSE)-50)),"-",(VLOOKUP($A218,'SegEnds_NonXtal_BW#'!$A:$Z,26,FALSE)+VLOOKUP($A218,A:AL,37,FALSE)-50))</f>
        <v>389</v>
      </c>
      <c r="AM218" s="28" t="str">
        <f>VLOOKUP(A218,Classification!A:B,2,FALSE)</f>
        <v>A</v>
      </c>
      <c r="AN218" s="28" t="b">
        <f t="shared" si="133"/>
        <v>1</v>
      </c>
      <c r="AO218" s="3" t="str">
        <f>IF(ISERROR(MATCH(A218,'SegEnds_Xtal_Prot#'!B:B, 0)), "NoXtal", "Xtal")</f>
        <v>Xtal</v>
      </c>
      <c r="AP218" s="3">
        <f t="shared" si="118"/>
        <v>1</v>
      </c>
      <c r="AQ218" s="3">
        <f t="shared" si="119"/>
        <v>1</v>
      </c>
      <c r="AR218" s="3">
        <f t="shared" si="120"/>
        <v>3</v>
      </c>
      <c r="AS218" s="3">
        <f t="shared" si="121"/>
        <v>1</v>
      </c>
      <c r="AT218" s="3">
        <f t="shared" si="122"/>
        <v>1</v>
      </c>
      <c r="AU218" s="3">
        <f t="shared" si="123"/>
        <v>1</v>
      </c>
      <c r="AV218" s="3">
        <f t="shared" si="124"/>
        <v>14</v>
      </c>
      <c r="AW218" s="3">
        <f t="shared" si="125"/>
        <v>8</v>
      </c>
      <c r="AX218" s="3">
        <f t="shared" si="126"/>
        <v>5</v>
      </c>
      <c r="AY218" s="3">
        <f t="shared" si="127"/>
        <v>6</v>
      </c>
      <c r="AZ218" s="3">
        <f t="shared" si="128"/>
        <v>1</v>
      </c>
      <c r="BA218" s="3">
        <f>IF(ISERROR(LEN(VLOOKUP(A218,Seqs!A:E,2,FALSE))-AL218),"-",LEN(VLOOKUP(A218,Seqs!A:E,2,FALSE))-AL218)</f>
        <v>36</v>
      </c>
      <c r="BB218" s="16">
        <f t="shared" si="129"/>
        <v>28</v>
      </c>
      <c r="BC218" s="9">
        <f t="shared" si="130"/>
        <v>20</v>
      </c>
      <c r="BD218" s="3">
        <f t="shared" si="131"/>
        <v>28</v>
      </c>
      <c r="BE218" s="3">
        <f t="shared" si="132"/>
        <v>46</v>
      </c>
    </row>
    <row r="219" spans="1:59" s="3" customFormat="1" x14ac:dyDescent="0.2">
      <c r="A219" s="3" t="s">
        <v>356</v>
      </c>
      <c r="B219" s="3" t="str">
        <f>LOWER(VLOOKUP(A219,Xtal_Templ!A:B,2,FALSE))</f>
        <v>par2_human</v>
      </c>
      <c r="C219" s="3">
        <f>VLOOKUP($A219,'SegEnds_NonXtal_BW#'!$A:$Z,3,FALSE)+D219-50</f>
        <v>90</v>
      </c>
      <c r="D219" s="3">
        <v>112</v>
      </c>
      <c r="E219" s="3">
        <f>IF(ISERROR(VLOOKUP($A219,'SegEnds_NonXtal_BW#'!$A:$Z,4,FALSE)+VLOOKUP($A219,A:AL,4,FALSE)-50),"-",(VLOOKUP($A219,'SegEnds_NonXtal_BW#'!$A:$Z,4,FALSE)+VLOOKUP($A219,A:AL,4,FALSE)-50))</f>
        <v>122</v>
      </c>
      <c r="F219" s="3" t="str">
        <f>IF(ISERROR(VLOOKUP($A219,'SegEnds_NonXtal_BW#'!$A:$Z,5,FALSE)+VLOOKUP($A219,A:AL,7,FALSE)-50),"-",(VLOOKUP($A219,'SegEnds_NonXtal_BW#'!$A:$Z,5,FALSE)+VLOOKUP($A219,A:AL,7,FALSE)-50))</f>
        <v>-</v>
      </c>
      <c r="G219" s="3" t="s">
        <v>23</v>
      </c>
      <c r="H219" s="3" t="str">
        <f>IF(ISERROR(VLOOKUP($A219,'SegEnds_NonXtal_BW#'!$A:$Z,6,FALSE)+VLOOKUP($A219,A:AL,7,FALSE)-50),"-",(VLOOKUP($A219,'SegEnds_NonXtal_BW#'!$A:$Z,6,FALSE)+VLOOKUP($A219,A:AL,7,FALSE)-50))</f>
        <v>-</v>
      </c>
      <c r="I219" s="3">
        <f>VLOOKUP($A219,'SegEnds_NonXtal_BW#'!$A:$Z,7,FALSE)+J219-50</f>
        <v>126</v>
      </c>
      <c r="J219" s="3">
        <v>139</v>
      </c>
      <c r="K219" s="3">
        <f>VLOOKUP($A219,'SegEnds_NonXtal_BW#'!$A:$Z,8,FALSE)+VLOOKUP($A219,A:AL,10,FALSE)-50</f>
        <v>155</v>
      </c>
      <c r="L219" s="3">
        <f>M219-1</f>
        <v>158</v>
      </c>
      <c r="M219" s="3">
        <v>159</v>
      </c>
      <c r="N219" s="3">
        <f>M219+2</f>
        <v>161</v>
      </c>
      <c r="O219" s="3">
        <f>N219+1</f>
        <v>162</v>
      </c>
      <c r="P219" s="3">
        <v>191</v>
      </c>
      <c r="Q219" s="3">
        <f>VLOOKUP($A219,'SegEnds_NonXtal_BW#'!$A:$Z,12,FALSE)+VLOOKUP($A219,A:AL,16,FALSE)-50</f>
        <v>197</v>
      </c>
      <c r="R219" s="3">
        <f>IF(ISERROR(VLOOKUP($A219,'SegEnds_NonXtal_BW#'!$A:$Z,13,FALSE)+VLOOKUP($A219,A:AL,19,FALSE)-50),"-",VLOOKUP($A219,'SegEnds_NonXtal_BW#'!$A:$Z,13,FALSE)+VLOOKUP($A219,A:AL,19,FALSE)-50)</f>
        <v>198</v>
      </c>
      <c r="S219" s="3">
        <v>198</v>
      </c>
      <c r="T219" s="100">
        <f>IF(ISERROR(VLOOKUP($A219,'SegEnds_NonXtal_BW#'!$A:$Z,14,FALSE)+VLOOKUP($A219,A:AL,19,FALSE)-50),"-",(VLOOKUP($A219,'SegEnds_NonXtal_BW#'!$A:$Z,14,FALSE)+VLOOKUP($A219,A:AL,19,FALSE)-50))</f>
        <v>205</v>
      </c>
      <c r="U219" s="9">
        <f>IF(ISERROR(VLOOKUP($A219,'SegEnds_NonXtal_BW#'!$A:$Z,15,FALSE)+VLOOKUP($A219,A:AL,22,FALSE)-50),"-",VLOOKUP($A219,'SegEnds_NonXtal_BW#'!$A:$Z,15,FALSE)+VLOOKUP($A219,A:AL,22,FALSE)-50)</f>
        <v>206</v>
      </c>
      <c r="V219" s="3">
        <v>218</v>
      </c>
      <c r="W219" s="3">
        <f>IF(ISERROR(VLOOKUP($A219,'SegEnds_NonXtal_BW#'!$A:$Z,16,FALSE)+VLOOKUP($A219,A:AL,22,FALSE)-50),"-",(VLOOKUP($A219,'SegEnds_NonXtal_BW#'!$A:$Z,16,FALSE)+VLOOKUP($A219,A:AL,22,FALSE)-50))</f>
        <v>230</v>
      </c>
      <c r="X219" s="3">
        <f>IF(ISERROR(VLOOKUP($A219,'SegEnds_NonXtal_BW#'!$A:$Z,17,FALSE)+VLOOKUP($A219,A:AL,25,FALSE)-50),"-",(VLOOKUP($A219,'SegEnds_NonXtal_BW#'!$A:$Z,17,FALSE)+VLOOKUP($A219,A:AL,25,FALSE)-50))</f>
        <v>252</v>
      </c>
      <c r="Y219" s="3">
        <v>252</v>
      </c>
      <c r="Z219" s="3">
        <f t="shared" si="117"/>
        <v>254</v>
      </c>
      <c r="AA219" s="3">
        <f>IF(ISERROR(VLOOKUP($A219,'SegEnds_NonXtal_BW#'!$A:$Z,19,FALSE)+VLOOKUP($A219,A:AL,28,FALSE)-50),"-",(VLOOKUP($A219,'SegEnds_NonXtal_BW#'!$A:$Z,19,FALSE)+VLOOKUP($A219,A:AL,28,FALSE)-50))</f>
        <v>259</v>
      </c>
      <c r="AB219" s="3">
        <v>274</v>
      </c>
      <c r="AC219" s="3">
        <f>IF(ISERROR((VLOOKUP($A219,'SegEnds_NonXtal_BW#'!$A:$Z,20,FALSE)+VLOOKUP($A219,A:AL,28,FALSE)-50)),"-",(VLOOKUP($A219,'SegEnds_NonXtal_BW#'!$A:$Z,20,FALSE)+VLOOKUP($A219,A:AL,28,FALSE)-50))</f>
        <v>292</v>
      </c>
      <c r="AD219" s="3">
        <f>IF(ISERROR(VLOOKUP($A219,'SegEnds_NonXtal_BW#'!$A:$Z,21,FALSE)+VLOOKUP($A219,A:AL,31,FALSE)-50),"-",(VLOOKUP($A219,'SegEnds_NonXtal_BW#'!$A:$Z,21,FALSE)+VLOOKUP($A219,A:AL,31,FALSE)-50))</f>
        <v>296</v>
      </c>
      <c r="AE219" s="3">
        <v>316</v>
      </c>
      <c r="AF219" s="3">
        <f>IF(ISERROR((VLOOKUP($A219,'SegEnds_NonXtal_BW#'!$A:$Z,22,FALSE)+VLOOKUP($A219,A:AL,31,FALSE)-50)),"-",(VLOOKUP($A219,'SegEnds_NonXtal_BW#'!$A:$Z,22,FALSE)+VLOOKUP($A219,A:AL,31,FALSE)-50))</f>
        <v>328</v>
      </c>
      <c r="AG219" s="3">
        <f>IF(ISERROR(VLOOKUP($A219,'SegEnds_NonXtal_BW#'!$A:$Z,23,FALSE)+VLOOKUP($A219,A:AL,34,FALSE)-50),"-",(VLOOKUP($A219,'SegEnds_NonXtal_BW#'!$A:$Z,23,FALSE)+VLOOKUP($A219,A:AL,34,FALSE)-50))</f>
        <v>336</v>
      </c>
      <c r="AH219" s="3">
        <v>355</v>
      </c>
      <c r="AI219" s="3">
        <f>IF(ISERROR((VLOOKUP($A219,'SegEnds_NonXtal_BW#'!$A:$Z,24,FALSE)+VLOOKUP($A219,A:AL,34,FALSE)-50)),"-",(VLOOKUP($A219,'SegEnds_NonXtal_BW#'!$A:$Z,24,FALSE)+VLOOKUP($A219,A:AL,34,FALSE)-50))</f>
        <v>361</v>
      </c>
      <c r="AJ219" s="3" t="s">
        <v>23</v>
      </c>
      <c r="AK219" s="3" t="s">
        <v>23</v>
      </c>
      <c r="AL219" s="3" t="s">
        <v>23</v>
      </c>
      <c r="AM219" s="28" t="str">
        <f>VLOOKUP(A219,Classification!A:B,2,FALSE)</f>
        <v>A</v>
      </c>
      <c r="AN219" s="28" t="b">
        <f t="shared" si="133"/>
        <v>1</v>
      </c>
      <c r="AO219" s="3" t="str">
        <f>IF(ISERROR(MATCH(A219,'SegEnds_Xtal_Prot#'!B:B, 0)), "NoXtal", "Xtal")</f>
        <v>NoXtal</v>
      </c>
      <c r="AP219" s="3" t="str">
        <f t="shared" si="118"/>
        <v>-</v>
      </c>
      <c r="AQ219" s="3" t="str">
        <f t="shared" si="119"/>
        <v>-</v>
      </c>
      <c r="AR219" s="3">
        <f t="shared" si="120"/>
        <v>3</v>
      </c>
      <c r="AS219" s="3">
        <f t="shared" si="121"/>
        <v>1</v>
      </c>
      <c r="AT219" s="3">
        <f t="shared" si="122"/>
        <v>1</v>
      </c>
      <c r="AU219" s="3">
        <f t="shared" si="123"/>
        <v>1</v>
      </c>
      <c r="AV219" s="3">
        <f t="shared" si="124"/>
        <v>22</v>
      </c>
      <c r="AW219" s="3">
        <f t="shared" si="125"/>
        <v>5</v>
      </c>
      <c r="AX219" s="3">
        <f t="shared" si="126"/>
        <v>4</v>
      </c>
      <c r="AY219" s="3">
        <f t="shared" si="127"/>
        <v>8</v>
      </c>
      <c r="AZ219" s="3" t="str">
        <f t="shared" si="128"/>
        <v>-</v>
      </c>
      <c r="BA219" s="3" t="str">
        <f>IF(ISERROR(LEN(VLOOKUP(A219,Seqs!A:E,2,FALSE))-AL219),"-",LEN(VLOOKUP(A219,Seqs!A:E,2,FALSE))-AL219)</f>
        <v>-</v>
      </c>
      <c r="BB219" s="16">
        <f t="shared" si="129"/>
        <v>27</v>
      </c>
      <c r="BC219" s="9">
        <f t="shared" si="130"/>
        <v>20</v>
      </c>
      <c r="BD219" s="3">
        <f t="shared" si="131"/>
        <v>27</v>
      </c>
      <c r="BE219" s="3">
        <f t="shared" si="132"/>
        <v>42</v>
      </c>
      <c r="BF219" s="3">
        <f>AH219-AE219</f>
        <v>39</v>
      </c>
      <c r="BG219" s="3" t="s">
        <v>1301</v>
      </c>
    </row>
    <row r="220" spans="1:59" s="3" customFormat="1" x14ac:dyDescent="0.2">
      <c r="A220" s="3" t="s">
        <v>357</v>
      </c>
      <c r="B220" s="3" t="str">
        <f>LOWER(VLOOKUP(A220,Xtal_Templ!A:B,2,FALSE))</f>
        <v>par2_human</v>
      </c>
      <c r="C220" s="3">
        <f>VLOOKUP($A220,'SegEnds_NonXtal_BW#'!$A:$Z,3,FALSE)+D220-50</f>
        <v>73</v>
      </c>
      <c r="D220" s="3">
        <v>95</v>
      </c>
      <c r="E220" s="3">
        <f>IF(ISERROR(VLOOKUP($A220,'SegEnds_NonXtal_BW#'!$A:$Z,4,FALSE)+VLOOKUP($A220,A:AL,4,FALSE)-50),"-",(VLOOKUP($A220,'SegEnds_NonXtal_BW#'!$A:$Z,4,FALSE)+VLOOKUP($A220,A:AL,4,FALSE)-50))</f>
        <v>105</v>
      </c>
      <c r="F220" s="3" t="str">
        <f>IF(ISERROR(VLOOKUP($A220,'SegEnds_NonXtal_BW#'!$A:$Z,5,FALSE)+VLOOKUP($A220,A:AL,7,FALSE)-50),"-",(VLOOKUP($A220,'SegEnds_NonXtal_BW#'!$A:$Z,5,FALSE)+VLOOKUP($A220,A:AL,7,FALSE)-50))</f>
        <v>-</v>
      </c>
      <c r="G220" s="3" t="s">
        <v>23</v>
      </c>
      <c r="H220" s="3" t="str">
        <f>IF(ISERROR(VLOOKUP($A220,'SegEnds_NonXtal_BW#'!$A:$Z,6,FALSE)+VLOOKUP($A220,A:AL,7,FALSE)-50),"-",(VLOOKUP($A220,'SegEnds_NonXtal_BW#'!$A:$Z,6,FALSE)+VLOOKUP($A220,A:AL,7,FALSE)-50))</f>
        <v>-</v>
      </c>
      <c r="I220" s="3">
        <f>VLOOKUP($A220,'SegEnds_NonXtal_BW#'!$A:$Z,7,FALSE)+J220-50</f>
        <v>109</v>
      </c>
      <c r="J220" s="3">
        <v>122</v>
      </c>
      <c r="K220" s="3">
        <f>VLOOKUP($A220,'SegEnds_NonXtal_BW#'!$A:$Z,8,FALSE)+VLOOKUP($A220,A:AL,10,FALSE)-50</f>
        <v>138</v>
      </c>
      <c r="L220" s="3">
        <f>M220-1</f>
        <v>141</v>
      </c>
      <c r="M220" s="3">
        <v>142</v>
      </c>
      <c r="N220" s="3">
        <f>M220+2</f>
        <v>144</v>
      </c>
      <c r="O220" s="3">
        <f>N220+1</f>
        <v>145</v>
      </c>
      <c r="P220" s="3">
        <v>174</v>
      </c>
      <c r="Q220" s="3">
        <f>VLOOKUP($A220,'SegEnds_NonXtal_BW#'!$A:$Z,12,FALSE)+VLOOKUP($A220,A:AL,16,FALSE)-50</f>
        <v>180</v>
      </c>
      <c r="R220" s="3">
        <f>IF(ISERROR(VLOOKUP($A220,'SegEnds_NonXtal_BW#'!$A:$Z,13,FALSE)+VLOOKUP($A220,A:AL,19,FALSE)-50),"-",VLOOKUP($A220,'SegEnds_NonXtal_BW#'!$A:$Z,13,FALSE)+VLOOKUP($A220,A:AL,19,FALSE)-50)</f>
        <v>181</v>
      </c>
      <c r="S220" s="3">
        <v>181</v>
      </c>
      <c r="T220" s="100">
        <f>IF(ISERROR(VLOOKUP($A220,'SegEnds_NonXtal_BW#'!$A:$Z,14,FALSE)+VLOOKUP($A220,A:AL,19,FALSE)-50),"-",(VLOOKUP($A220,'SegEnds_NonXtal_BW#'!$A:$Z,14,FALSE)+VLOOKUP($A220,A:AL,19,FALSE)-50))</f>
        <v>188</v>
      </c>
      <c r="U220" s="9">
        <f>IF(ISERROR(VLOOKUP($A220,'SegEnds_NonXtal_BW#'!$A:$Z,15,FALSE)+VLOOKUP($A220,A:AL,22,FALSE)-50),"-",VLOOKUP($A220,'SegEnds_NonXtal_BW#'!$A:$Z,15,FALSE)+VLOOKUP($A220,A:AL,22,FALSE)-50)</f>
        <v>189</v>
      </c>
      <c r="V220" s="3">
        <v>201</v>
      </c>
      <c r="W220" s="3">
        <f>IF(ISERROR(VLOOKUP($A220,'SegEnds_NonXtal_BW#'!$A:$Z,16,FALSE)+VLOOKUP($A220,A:AL,22,FALSE)-50),"-",(VLOOKUP($A220,'SegEnds_NonXtal_BW#'!$A:$Z,16,FALSE)+VLOOKUP($A220,A:AL,22,FALSE)-50))</f>
        <v>213</v>
      </c>
      <c r="X220" s="3">
        <f>IF(ISERROR(VLOOKUP($A220,'SegEnds_NonXtal_BW#'!$A:$Z,17,FALSE)+VLOOKUP($A220,A:AL,25,FALSE)-50),"-",(VLOOKUP($A220,'SegEnds_NonXtal_BW#'!$A:$Z,17,FALSE)+VLOOKUP($A220,A:AL,25,FALSE)-50))</f>
        <v>228</v>
      </c>
      <c r="Y220" s="3">
        <v>228</v>
      </c>
      <c r="Z220" s="3">
        <f t="shared" si="117"/>
        <v>230</v>
      </c>
      <c r="AA220" s="3">
        <f>IF(ISERROR(VLOOKUP($A220,'SegEnds_NonXtal_BW#'!$A:$Z,19,FALSE)+VLOOKUP($A220,A:AL,28,FALSE)-50),"-",(VLOOKUP($A220,'SegEnds_NonXtal_BW#'!$A:$Z,19,FALSE)+VLOOKUP($A220,A:AL,28,FALSE)-50))</f>
        <v>237</v>
      </c>
      <c r="AB220" s="3">
        <v>256</v>
      </c>
      <c r="AC220" s="3">
        <f>IF(ISERROR((VLOOKUP($A220,'SegEnds_NonXtal_BW#'!$A:$Z,20,FALSE)+VLOOKUP($A220,A:AL,28,FALSE)-50)),"-",(VLOOKUP($A220,'SegEnds_NonXtal_BW#'!$A:$Z,20,FALSE)+VLOOKUP($A220,A:AL,28,FALSE)-50))</f>
        <v>274</v>
      </c>
      <c r="AD220" s="3">
        <f>IF(ISERROR(VLOOKUP($A220,'SegEnds_NonXtal_BW#'!$A:$Z,21,FALSE)+VLOOKUP($A220,A:AL,31,FALSE)-50),"-",(VLOOKUP($A220,'SegEnds_NonXtal_BW#'!$A:$Z,21,FALSE)+VLOOKUP($A220,A:AL,31,FALSE)-50))</f>
        <v>278</v>
      </c>
      <c r="AE220" s="3">
        <v>298</v>
      </c>
      <c r="AF220" s="3">
        <f>IF(ISERROR((VLOOKUP($A220,'SegEnds_NonXtal_BW#'!$A:$Z,22,FALSE)+VLOOKUP($A220,A:AL,31,FALSE)-50)),"-",(VLOOKUP($A220,'SegEnds_NonXtal_BW#'!$A:$Z,22,FALSE)+VLOOKUP($A220,A:AL,31,FALSE)-50))</f>
        <v>310</v>
      </c>
      <c r="AG220" s="3">
        <f>IF(ISERROR(VLOOKUP($A220,'SegEnds_NonXtal_BW#'!$A:$Z,23,FALSE)+VLOOKUP($A220,A:AL,34,FALSE)-50),"-",(VLOOKUP($A220,'SegEnds_NonXtal_BW#'!$A:$Z,23,FALSE)+VLOOKUP($A220,A:AL,34,FALSE)-50))</f>
        <v>318</v>
      </c>
      <c r="AH220" s="3">
        <v>337</v>
      </c>
      <c r="AI220" s="3">
        <f>IF(ISERROR((VLOOKUP($A220,'SegEnds_NonXtal_BW#'!$A:$Z,24,FALSE)+VLOOKUP($A220,A:AL,34,FALSE)-50)),"-",(VLOOKUP($A220,'SegEnds_NonXtal_BW#'!$A:$Z,24,FALSE)+VLOOKUP($A220,A:AL,34,FALSE)-50))</f>
        <v>343</v>
      </c>
      <c r="AJ220" s="3">
        <f>IF(ISERROR(VLOOKUP($A220,'SegEnds_NonXtal_BW#'!$A:$Z,25,FALSE)+VLOOKUP($A220,A:AL,37,FALSE)-50),"-",(VLOOKUP($A220,'SegEnds_NonXtal_BW#'!$A:$Z,25,FALSE)+VLOOKUP($A220,A:AL,37,FALSE)-50))</f>
        <v>344</v>
      </c>
      <c r="AK220" s="3">
        <v>347</v>
      </c>
      <c r="AL220" s="3">
        <f>IF(ISERROR((VLOOKUP($A220,'SegEnds_NonXtal_BW#'!$A:$Z,26,FALSE)+VLOOKUP($A220,A:AL,37,FALSE)-50)),"-",(VLOOKUP($A220,'SegEnds_NonXtal_BW#'!$A:$Z,26,FALSE)+VLOOKUP($A220,A:AL,37,FALSE)-50))</f>
        <v>358</v>
      </c>
      <c r="AM220" s="28" t="str">
        <f>VLOOKUP(A220,Classification!A:B,2,FALSE)</f>
        <v>A</v>
      </c>
      <c r="AN220" s="28" t="b">
        <f t="shared" si="133"/>
        <v>1</v>
      </c>
      <c r="AO220" s="3" t="str">
        <f>IF(ISERROR(MATCH(A220,'SegEnds_Xtal_Prot#'!B:B, 0)), "NoXtal", "Xtal")</f>
        <v>NoXtal</v>
      </c>
      <c r="AP220" s="3" t="str">
        <f t="shared" si="118"/>
        <v>-</v>
      </c>
      <c r="AQ220" s="3" t="str">
        <f t="shared" si="119"/>
        <v>-</v>
      </c>
      <c r="AR220" s="3">
        <f t="shared" si="120"/>
        <v>3</v>
      </c>
      <c r="AS220" s="3">
        <f t="shared" si="121"/>
        <v>1</v>
      </c>
      <c r="AT220" s="3">
        <f t="shared" si="122"/>
        <v>1</v>
      </c>
      <c r="AU220" s="3">
        <f t="shared" si="123"/>
        <v>1</v>
      </c>
      <c r="AV220" s="3">
        <f t="shared" si="124"/>
        <v>15</v>
      </c>
      <c r="AW220" s="3">
        <f t="shared" si="125"/>
        <v>7</v>
      </c>
      <c r="AX220" s="3">
        <f t="shared" si="126"/>
        <v>4</v>
      </c>
      <c r="AY220" s="3">
        <f t="shared" si="127"/>
        <v>8</v>
      </c>
      <c r="AZ220" s="3">
        <f t="shared" si="128"/>
        <v>1</v>
      </c>
      <c r="BA220" s="3">
        <f>IF(ISERROR(LEN(VLOOKUP(A220,Seqs!A:E,2,FALSE))-AL220),"-",LEN(VLOOKUP(A220,Seqs!A:E,2,FALSE))-AL220)</f>
        <v>27</v>
      </c>
      <c r="BB220" s="16">
        <f t="shared" si="129"/>
        <v>27</v>
      </c>
      <c r="BC220" s="9">
        <f t="shared" si="130"/>
        <v>20</v>
      </c>
      <c r="BD220" s="3">
        <f t="shared" si="131"/>
        <v>27</v>
      </c>
      <c r="BE220" s="3">
        <f t="shared" si="132"/>
        <v>42</v>
      </c>
      <c r="BF220" s="3">
        <f>AH220-AE220</f>
        <v>39</v>
      </c>
    </row>
    <row r="221" spans="1:59" s="3" customFormat="1" x14ac:dyDescent="0.2">
      <c r="A221" s="3" t="s">
        <v>358</v>
      </c>
      <c r="B221" s="3" t="str">
        <f>LOWER(VLOOKUP(A221,Xtal_Templ!A:B,2,FALSE))</f>
        <v>pe2r4_human</v>
      </c>
      <c r="C221" s="3">
        <f>VLOOKUP($A221,'SegEnds_NonXtal_BW#'!$A:$Z,3,FALSE)+D221-50</f>
        <v>17</v>
      </c>
      <c r="D221" s="3">
        <v>34</v>
      </c>
      <c r="E221" s="3">
        <f>IF(ISERROR(VLOOKUP($A221,'SegEnds_NonXtal_BW#'!$A:$Z,4,FALSE)+VLOOKUP($A221,A:AL,4,FALSE)-50),"-",(VLOOKUP($A221,'SegEnds_NonXtal_BW#'!$A:$Z,4,FALSE)+VLOOKUP($A221,A:AL,4,FALSE)-50))</f>
        <v>42</v>
      </c>
      <c r="F221" s="3" t="str">
        <f>IF(ISERROR(VLOOKUP($A221,'SegEnds_NonXtal_BW#'!$A:$Z,5,FALSE)+VLOOKUP($A221,A:AL,7,FALSE)-50),"-",(VLOOKUP($A221,'SegEnds_NonXtal_BW#'!$A:$Z,5,FALSE)+VLOOKUP($A221,A:AL,7,FALSE)-50))</f>
        <v>-</v>
      </c>
      <c r="G221" s="3" t="s">
        <v>23</v>
      </c>
      <c r="H221" s="3" t="str">
        <f>IF(ISERROR(VLOOKUP($A221,'SegEnds_NonXtal_BW#'!$A:$Z,6,FALSE)+VLOOKUP($A221,A:AL,7,FALSE)-50),"-",(VLOOKUP($A221,'SegEnds_NonXtal_BW#'!$A:$Z,6,FALSE)+VLOOKUP($A221,A:AL,7,FALSE)-50))</f>
        <v>-</v>
      </c>
      <c r="I221" s="3">
        <f>VLOOKUP($A221,'SegEnds_NonXtal_BW#'!$A:$Z,7,FALSE)+J221-50</f>
        <v>59</v>
      </c>
      <c r="J221" s="3">
        <v>72</v>
      </c>
      <c r="K221" s="3">
        <f>VLOOKUP($A221,'SegEnds_NonXtal_BW#'!$A:$Z,8,FALSE)+VLOOKUP($A221,A:AL,10,FALSE)-50</f>
        <v>89</v>
      </c>
      <c r="L221" s="3" t="str">
        <f>IF(ISERROR(VLOOKUP($A221,'SegEnds_NonXtal_BW#'!$A:$Z,9,FALSE)+VLOOKUP($A221,A:AL,13,FALSE)-50),"-",(VLOOKUP($A221,'SegEnds_NonXtal_BW#'!$A:$Z,9,FALSE)+VLOOKUP($A221,A:AL,13,FALSE)-50))</f>
        <v>-</v>
      </c>
      <c r="M221" s="3" t="s">
        <v>23</v>
      </c>
      <c r="N221" s="3" t="str">
        <f>IF(ISERROR(VLOOKUP($A221,'SegEnds_NonXtal_BW#'!$A:$Z,10,FALSE)+VLOOKUP($A221,A:AL,13,FALSE)-50),"-",(VLOOKUP($A221,'SegEnds_NonXtal_BW#'!$A:$Z,10,FALSE)+VLOOKUP($A221,A:AL,13,FALSE)-50))</f>
        <v>-</v>
      </c>
      <c r="O221" s="3">
        <f>VLOOKUP($A221,'SegEnds_NonXtal_BW#'!$A:$Z,11,FALSE)+VLOOKUP($A221,A:AL,16,FALSE)-50</f>
        <v>98</v>
      </c>
      <c r="P221" s="3">
        <v>130</v>
      </c>
      <c r="Q221" s="3">
        <f>VLOOKUP($A221,'SegEnds_NonXtal_BW#'!$A:$Z,12,FALSE)+VLOOKUP($A221,A:AL,16,FALSE)-50</f>
        <v>136</v>
      </c>
      <c r="R221" s="3">
        <f>IF(ISERROR(VLOOKUP($A221,'SegEnds_NonXtal_BW#'!$A:$Z,13,FALSE)+VLOOKUP($A221,A:AL,19,FALSE)-50),"-",VLOOKUP($A221,'SegEnds_NonXtal_BW#'!$A:$Z,13,FALSE)+VLOOKUP($A221,A:AL,19,FALSE)-50)</f>
        <v>137</v>
      </c>
      <c r="S221" s="3">
        <v>137</v>
      </c>
      <c r="T221" s="100">
        <f>IF(ISERROR(VLOOKUP($A221,'SegEnds_NonXtal_BW#'!$A:$Z,14,FALSE)+VLOOKUP($A221,A:AL,19,FALSE)-50),"-",(VLOOKUP($A221,'SegEnds_NonXtal_BW#'!$A:$Z,14,FALSE)+VLOOKUP($A221,A:AL,19,FALSE)-50))</f>
        <v>144</v>
      </c>
      <c r="U221" s="9">
        <f>IF(ISERROR(VLOOKUP($A221,'SegEnds_NonXtal_BW#'!$A:$Z,15,FALSE)+VLOOKUP($A221,A:AL,22,FALSE)-50),"-",VLOOKUP($A221,'SegEnds_NonXtal_BW#'!$A:$Z,15,FALSE)+VLOOKUP($A221,A:AL,22,FALSE)-50)</f>
        <v>145</v>
      </c>
      <c r="V221" s="3">
        <v>157</v>
      </c>
      <c r="W221" s="3">
        <f>IF(ISERROR(VLOOKUP($A221,'SegEnds_NonXtal_BW#'!$A:$Z,16,FALSE)+VLOOKUP($A221,A:AL,22,FALSE)-50),"-",(VLOOKUP($A221,'SegEnds_NonXtal_BW#'!$A:$Z,16,FALSE)+VLOOKUP($A221,A:AL,22,FALSE)-50))</f>
        <v>170</v>
      </c>
      <c r="X221" s="3">
        <f>IF(ISERROR(VLOOKUP($A221,'SegEnds_NonXtal_BW#'!$A:$Z,17,FALSE)+VLOOKUP($A221,A:AL,25,FALSE)-50),"-",(VLOOKUP($A221,'SegEnds_NonXtal_BW#'!$A:$Z,17,FALSE)+VLOOKUP($A221,A:AL,25,FALSE)-50))</f>
        <v>183</v>
      </c>
      <c r="Y221" s="3">
        <v>183</v>
      </c>
      <c r="Z221" s="3">
        <f t="shared" si="117"/>
        <v>185</v>
      </c>
      <c r="AA221" s="3">
        <f>IF(ISERROR(VLOOKUP($A221,'SegEnds_NonXtal_BW#'!$A:$Z,19,FALSE)+VLOOKUP($A221,A:AL,28,FALSE)-50),"-",(VLOOKUP($A221,'SegEnds_NonXtal_BW#'!$A:$Z,19,FALSE)+VLOOKUP($A221,A:AL,28,FALSE)-50))</f>
        <v>195</v>
      </c>
      <c r="AB221" s="3">
        <v>212</v>
      </c>
      <c r="AC221" s="3">
        <f>IF(ISERROR((VLOOKUP($A221,'SegEnds_NonXtal_BW#'!$A:$Z,20,FALSE)+VLOOKUP($A221,A:AL,28,FALSE)-50)),"-",(VLOOKUP($A221,'SegEnds_NonXtal_BW#'!$A:$Z,20,FALSE)+VLOOKUP($A221,A:AL,28,FALSE)-50))</f>
        <v>238</v>
      </c>
      <c r="AD221" s="3">
        <f>IF(ISERROR(VLOOKUP($A221,'SegEnds_NonXtal_BW#'!$A:$Z,21,FALSE)+VLOOKUP($A221,A:AL,31,FALSE)-50),"-",(VLOOKUP($A221,'SegEnds_NonXtal_BW#'!$A:$Z,21,FALSE)+VLOOKUP($A221,A:AL,31,FALSE)-50))</f>
        <v>254</v>
      </c>
      <c r="AE221" s="3">
        <v>280</v>
      </c>
      <c r="AF221" s="3">
        <f>IF(ISERROR((VLOOKUP($A221,'SegEnds_NonXtal_BW#'!$A:$Z,22,FALSE)+VLOOKUP($A221,A:AL,31,FALSE)-50)),"-",(VLOOKUP($A221,'SegEnds_NonXtal_BW#'!$A:$Z,22,FALSE)+VLOOKUP($A221,A:AL,31,FALSE)-50))</f>
        <v>291</v>
      </c>
      <c r="AG221" s="3">
        <f>IF(ISERROR(VLOOKUP($A221,'SegEnds_NonXtal_BW#'!$A:$Z,23,FALSE)+VLOOKUP($A221,A:AL,34,FALSE)-50),"-",(VLOOKUP($A221,'SegEnds_NonXtal_BW#'!$A:$Z,23,FALSE)+VLOOKUP($A221,A:AL,34,FALSE)-50))</f>
        <v>298</v>
      </c>
      <c r="AH221" s="3">
        <v>320</v>
      </c>
      <c r="AI221" s="3">
        <f>IF(ISERROR((VLOOKUP($A221,'SegEnds_NonXtal_BW#'!$A:$Z,24,FALSE)+VLOOKUP($A221,A:AL,34,FALSE)-50)),"-",(VLOOKUP($A221,'SegEnds_NonXtal_BW#'!$A:$Z,24,FALSE)+VLOOKUP($A221,A:AL,34,FALSE)-50))</f>
        <v>326</v>
      </c>
      <c r="AJ221" s="3">
        <f>IF(ISERROR(VLOOKUP($A221,'SegEnds_NonXtal_BW#'!$A:$Z,25,FALSE)+VLOOKUP($A221,A:AL,37,FALSE)-50),"-",(VLOOKUP($A221,'SegEnds_NonXtal_BW#'!$A:$Z,25,FALSE)+VLOOKUP($A221,A:AL,37,FALSE)-50))</f>
        <v>327</v>
      </c>
      <c r="AK221" s="3">
        <v>330</v>
      </c>
      <c r="AL221" s="3">
        <f>IF(ISERROR((VLOOKUP($A221,'SegEnds_NonXtal_BW#'!$A:$Z,26,FALSE)+VLOOKUP($A221,A:AL,37,FALSE)-50)),"-",(VLOOKUP($A221,'SegEnds_NonXtal_BW#'!$A:$Z,26,FALSE)+VLOOKUP($A221,A:AL,37,FALSE)-50))</f>
        <v>340</v>
      </c>
      <c r="AM221" s="28" t="str">
        <f>VLOOKUP(A221,Classification!A:B,2,FALSE)</f>
        <v>A</v>
      </c>
      <c r="AN221" s="28" t="b">
        <f t="shared" si="133"/>
        <v>1</v>
      </c>
      <c r="AO221" s="3" t="str">
        <f>IF(ISERROR(MATCH(A221,'SegEnds_Xtal_Prot#'!B:B, 0)), "NoXtal", "Xtal")</f>
        <v>NoXtal</v>
      </c>
      <c r="AP221" s="3" t="str">
        <f t="shared" si="118"/>
        <v>-</v>
      </c>
      <c r="AQ221" s="3" t="str">
        <f t="shared" si="119"/>
        <v>-</v>
      </c>
      <c r="AR221" s="3" t="str">
        <f t="shared" si="120"/>
        <v>-</v>
      </c>
      <c r="AS221" s="3" t="str">
        <f t="shared" si="121"/>
        <v>-</v>
      </c>
      <c r="AT221" s="3">
        <f t="shared" si="122"/>
        <v>1</v>
      </c>
      <c r="AU221" s="3">
        <f t="shared" si="123"/>
        <v>1</v>
      </c>
      <c r="AV221" s="3">
        <f t="shared" si="124"/>
        <v>13</v>
      </c>
      <c r="AW221" s="3">
        <f t="shared" si="125"/>
        <v>10</v>
      </c>
      <c r="AX221" s="3">
        <f t="shared" si="126"/>
        <v>16</v>
      </c>
      <c r="AY221" s="3">
        <f t="shared" si="127"/>
        <v>7</v>
      </c>
      <c r="AZ221" s="3">
        <f t="shared" si="128"/>
        <v>1</v>
      </c>
      <c r="BA221" s="3">
        <f>IF(ISERROR(LEN(VLOOKUP(A221,Seqs!A:E,2,FALSE))-AL221),"-",LEN(VLOOKUP(A221,Seqs!A:E,2,FALSE))-AL221)</f>
        <v>19</v>
      </c>
      <c r="BB221" s="16">
        <f t="shared" si="129"/>
        <v>38</v>
      </c>
      <c r="BC221" s="9">
        <f t="shared" si="130"/>
        <v>20</v>
      </c>
      <c r="BD221" s="3">
        <f t="shared" si="131"/>
        <v>38</v>
      </c>
      <c r="BE221" s="3">
        <f t="shared" si="132"/>
        <v>68</v>
      </c>
      <c r="BF221" s="3">
        <f>AH221-AE221</f>
        <v>40</v>
      </c>
    </row>
    <row r="222" spans="1:59" s="3" customFormat="1" x14ac:dyDescent="0.2">
      <c r="A222" s="3" t="s">
        <v>359</v>
      </c>
      <c r="B222" s="3" t="str">
        <f>LOWER(VLOOKUP(A222,Xtal_Templ!A:B,2,FALSE))</f>
        <v>pd2r2_human</v>
      </c>
      <c r="C222" s="3">
        <f>VLOOKUP($A222,'SegEnds_NonXtal_BW#'!$A:$Z,3,FALSE)+D222-50</f>
        <v>32</v>
      </c>
      <c r="D222" s="3">
        <v>50</v>
      </c>
      <c r="E222" s="3">
        <f>IF(ISERROR(VLOOKUP($A222,'SegEnds_NonXtal_BW#'!$A:$Z,4,FALSE)+VLOOKUP($A222,A:AL,4,FALSE)-50),"-",(VLOOKUP($A222,'SegEnds_NonXtal_BW#'!$A:$Z,4,FALSE)+VLOOKUP($A222,A:AL,4,FALSE)-50))</f>
        <v>60</v>
      </c>
      <c r="F222" s="3" t="str">
        <f>IF(ISERROR(VLOOKUP($A222,'SegEnds_NonXtal_BW#'!$A:$Z,5,FALSE)+VLOOKUP($A222,A:AL,7,FALSE)-50),"-",(VLOOKUP($A222,'SegEnds_NonXtal_BW#'!$A:$Z,5,FALSE)+VLOOKUP($A222,A:AL,7,FALSE)-50))</f>
        <v>-</v>
      </c>
      <c r="G222" s="3" t="s">
        <v>23</v>
      </c>
      <c r="H222" s="3" t="str">
        <f>IF(ISERROR(VLOOKUP($A222,'SegEnds_NonXtal_BW#'!$A:$Z,6,FALSE)+VLOOKUP($A222,A:AL,7,FALSE)-50),"-",(VLOOKUP($A222,'SegEnds_NonXtal_BW#'!$A:$Z,6,FALSE)+VLOOKUP($A222,A:AL,7,FALSE)-50))</f>
        <v>-</v>
      </c>
      <c r="I222" s="3">
        <f>VLOOKUP($A222,'SegEnds_NonXtal_BW#'!$A:$Z,7,FALSE)+J222-50</f>
        <v>64</v>
      </c>
      <c r="J222" s="3">
        <v>77</v>
      </c>
      <c r="K222" s="3">
        <f>VLOOKUP($A222,'SegEnds_NonXtal_BW#'!$A:$Z,8,FALSE)+VLOOKUP($A222,A:AL,10,FALSE)-50</f>
        <v>94</v>
      </c>
      <c r="L222" s="3">
        <f>M222-1</f>
        <v>96</v>
      </c>
      <c r="M222" s="3">
        <v>97</v>
      </c>
      <c r="N222" s="3">
        <f>M222+2</f>
        <v>99</v>
      </c>
      <c r="O222" s="3">
        <f>N222+1</f>
        <v>100</v>
      </c>
      <c r="P222" s="3">
        <v>129</v>
      </c>
      <c r="Q222" s="3">
        <f>VLOOKUP($A222,'SegEnds_NonXtal_BW#'!$A:$Z,12,FALSE)+VLOOKUP($A222,A:AL,16,FALSE)-50</f>
        <v>135</v>
      </c>
      <c r="R222" s="3">
        <f>IF(ISERROR(VLOOKUP($A222,'SegEnds_NonXtal_BW#'!$A:$Z,13,FALSE)+VLOOKUP($A222,A:AL,19,FALSE)-50),"-",VLOOKUP($A222,'SegEnds_NonXtal_BW#'!$A:$Z,13,FALSE)+VLOOKUP($A222,A:AL,19,FALSE)-50)</f>
        <v>136</v>
      </c>
      <c r="S222" s="3">
        <v>136</v>
      </c>
      <c r="T222" s="100">
        <f>IF(ISERROR(VLOOKUP($A222,'SegEnds_NonXtal_BW#'!$A:$Z,14,FALSE)+VLOOKUP($A222,A:AL,19,FALSE)-50),"-",(VLOOKUP($A222,'SegEnds_NonXtal_BW#'!$A:$Z,14,FALSE)+VLOOKUP($A222,A:AL,19,FALSE)-50))</f>
        <v>143</v>
      </c>
      <c r="U222" s="9">
        <f>IF(ISERROR(VLOOKUP($A222,'SegEnds_NonXtal_BW#'!$A:$Z,15,FALSE)+VLOOKUP($A222,A:AL,22,FALSE)-50),"-",VLOOKUP($A222,'SegEnds_NonXtal_BW#'!$A:$Z,15,FALSE)+VLOOKUP($A222,A:AL,22,FALSE)-50)</f>
        <v>144</v>
      </c>
      <c r="V222" s="3">
        <v>156</v>
      </c>
      <c r="W222" s="3">
        <f>IF(ISERROR(VLOOKUP($A222,'SegEnds_NonXtal_BW#'!$A:$Z,16,FALSE)+VLOOKUP($A222,A:AL,22,FALSE)-50),"-",(VLOOKUP($A222,'SegEnds_NonXtal_BW#'!$A:$Z,16,FALSE)+VLOOKUP($A222,A:AL,22,FALSE)-50))</f>
        <v>170</v>
      </c>
      <c r="X222" s="3">
        <f>IF(ISERROR(VLOOKUP($A222,'SegEnds_NonXtal_BW#'!$A:$Z,17,FALSE)+VLOOKUP($A222,A:AL,25,FALSE)-50),"-",(VLOOKUP($A222,'SegEnds_NonXtal_BW#'!$A:$Z,17,FALSE)+VLOOKUP($A222,A:AL,25,FALSE)-50))</f>
        <v>182</v>
      </c>
      <c r="Y222" s="3">
        <v>182</v>
      </c>
      <c r="Z222" s="3">
        <f t="shared" si="117"/>
        <v>184</v>
      </c>
      <c r="AA222" s="3">
        <f>IF(ISERROR(VLOOKUP($A222,'SegEnds_NonXtal_BW#'!$A:$Z,19,FALSE)+VLOOKUP($A222,A:AL,28,FALSE)-50),"-",(VLOOKUP($A222,'SegEnds_NonXtal_BW#'!$A:$Z,19,FALSE)+VLOOKUP($A222,A:AL,28,FALSE)-50))</f>
        <v>194</v>
      </c>
      <c r="AB222" s="3">
        <v>218</v>
      </c>
      <c r="AC222" s="3">
        <f>IF(ISERROR((VLOOKUP($A222,'SegEnds_NonXtal_BW#'!$A:$Z,20,FALSE)+VLOOKUP($A222,A:AL,28,FALSE)-50)),"-",(VLOOKUP($A222,'SegEnds_NonXtal_BW#'!$A:$Z,20,FALSE)+VLOOKUP($A222,A:AL,28,FALSE)-50))</f>
        <v>236</v>
      </c>
      <c r="AD222" s="3">
        <f>IF(ISERROR(VLOOKUP($A222,'SegEnds_NonXtal_BW#'!$A:$Z,21,FALSE)+VLOOKUP($A222,A:AL,31,FALSE)-50),"-",(VLOOKUP($A222,'SegEnds_NonXtal_BW#'!$A:$Z,21,FALSE)+VLOOKUP($A222,A:AL,31,FALSE)-50))</f>
        <v>241</v>
      </c>
      <c r="AE222" s="3">
        <v>261</v>
      </c>
      <c r="AF222" s="3">
        <f>IF(ISERROR((VLOOKUP($A222,'SegEnds_NonXtal_BW#'!$A:$Z,22,FALSE)+VLOOKUP($A222,A:AL,31,FALSE)-50)),"-",(VLOOKUP($A222,'SegEnds_NonXtal_BW#'!$A:$Z,22,FALSE)+VLOOKUP($A222,A:AL,31,FALSE)-50))</f>
        <v>272</v>
      </c>
      <c r="AG222" s="3">
        <f>IF(ISERROR(VLOOKUP($A222,'SegEnds_NonXtal_BW#'!$A:$Z,23,FALSE)+VLOOKUP($A222,A:AL,34,FALSE)-50),"-",(VLOOKUP($A222,'SegEnds_NonXtal_BW#'!$A:$Z,23,FALSE)+VLOOKUP($A222,A:AL,34,FALSE)-50))</f>
        <v>278</v>
      </c>
      <c r="AH222" s="3">
        <v>301</v>
      </c>
      <c r="AI222" s="3">
        <f>IF(ISERROR((VLOOKUP($A222,'SegEnds_NonXtal_BW#'!$A:$Z,24,FALSE)+VLOOKUP($A222,A:AL,34,FALSE)-50)),"-",(VLOOKUP($A222,'SegEnds_NonXtal_BW#'!$A:$Z,24,FALSE)+VLOOKUP($A222,A:AL,34,FALSE)-50))</f>
        <v>307</v>
      </c>
      <c r="AJ222" s="3">
        <f>IF(ISERROR(VLOOKUP($A222,'SegEnds_NonXtal_BW#'!$A:$Z,25,FALSE)+VLOOKUP($A222,A:AL,37,FALSE)-50),"-",(VLOOKUP($A222,'SegEnds_NonXtal_BW#'!$A:$Z,25,FALSE)+VLOOKUP($A222,A:AL,37,FALSE)-50))</f>
        <v>308</v>
      </c>
      <c r="AK222" s="3">
        <v>311</v>
      </c>
      <c r="AL222" s="3">
        <f>IF(ISERROR((VLOOKUP($A222,'SegEnds_NonXtal_BW#'!$A:$Z,26,FALSE)+VLOOKUP($A222,A:AL,37,FALSE)-50)),"-",(VLOOKUP($A222,'SegEnds_NonXtal_BW#'!$A:$Z,26,FALSE)+VLOOKUP($A222,A:AL,37,FALSE)-50))</f>
        <v>325</v>
      </c>
      <c r="AM222" s="28" t="str">
        <f>VLOOKUP(A222,Classification!A:B,2,FALSE)</f>
        <v>A</v>
      </c>
      <c r="AN222" s="28" t="b">
        <f t="shared" si="133"/>
        <v>1</v>
      </c>
      <c r="AO222" s="3" t="str">
        <f>IF(ISERROR(MATCH(A222,'SegEnds_Xtal_Prot#'!B:B, 0)), "NoXtal", "Xtal")</f>
        <v>Xtal</v>
      </c>
      <c r="AP222" s="3" t="str">
        <f t="shared" si="118"/>
        <v>-</v>
      </c>
      <c r="AQ222" s="3" t="str">
        <f t="shared" si="119"/>
        <v>-</v>
      </c>
      <c r="AR222" s="3">
        <f t="shared" si="120"/>
        <v>2</v>
      </c>
      <c r="AS222" s="3">
        <f t="shared" si="121"/>
        <v>1</v>
      </c>
      <c r="AT222" s="3">
        <f t="shared" si="122"/>
        <v>1</v>
      </c>
      <c r="AU222" s="3">
        <f t="shared" si="123"/>
        <v>1</v>
      </c>
      <c r="AV222" s="3">
        <f t="shared" si="124"/>
        <v>12</v>
      </c>
      <c r="AW222" s="3">
        <f t="shared" si="125"/>
        <v>10</v>
      </c>
      <c r="AX222" s="3">
        <f t="shared" si="126"/>
        <v>5</v>
      </c>
      <c r="AY222" s="3">
        <f t="shared" si="127"/>
        <v>6</v>
      </c>
      <c r="AZ222" s="3">
        <f t="shared" si="128"/>
        <v>1</v>
      </c>
      <c r="BA222" s="3">
        <f>IF(ISERROR(LEN(VLOOKUP(A222,Seqs!A:E,2,FALSE))-AL222),"-",LEN(VLOOKUP(A222,Seqs!A:E,2,FALSE))-AL222)</f>
        <v>70</v>
      </c>
      <c r="BB222" s="16">
        <f t="shared" si="129"/>
        <v>27</v>
      </c>
      <c r="BC222" s="9">
        <f t="shared" si="130"/>
        <v>20</v>
      </c>
      <c r="BD222" s="3">
        <f t="shared" si="131"/>
        <v>27</v>
      </c>
      <c r="BE222" s="3">
        <f t="shared" si="132"/>
        <v>43</v>
      </c>
    </row>
    <row r="223" spans="1:59" s="3" customFormat="1" x14ac:dyDescent="0.2">
      <c r="A223" s="3" t="s">
        <v>360</v>
      </c>
      <c r="B223" s="3" t="str">
        <f>LOWER(VLOOKUP(A223,Xtal_Templ!A:B,2,FALSE))</f>
        <v>ta2r_human</v>
      </c>
      <c r="C223" s="3">
        <f>VLOOKUP($A223,'SegEnds_NonXtal_BW#'!$A:$Z,3,FALSE)+D223-50</f>
        <v>35</v>
      </c>
      <c r="D223" s="3">
        <v>50</v>
      </c>
      <c r="E223" s="3">
        <f>IF(ISERROR(VLOOKUP($A223,'SegEnds_NonXtal_BW#'!$A:$Z,4,FALSE)+VLOOKUP($A223,A:AL,4,FALSE)-50),"-",(VLOOKUP($A223,'SegEnds_NonXtal_BW#'!$A:$Z,4,FALSE)+VLOOKUP($A223,A:AL,4,FALSE)-50))</f>
        <v>61</v>
      </c>
      <c r="F223" s="3">
        <f>G223-2</f>
        <v>62</v>
      </c>
      <c r="G223" s="3">
        <v>64</v>
      </c>
      <c r="H223" s="3">
        <f>G223+1</f>
        <v>65</v>
      </c>
      <c r="I223" s="3">
        <f>H223+1</f>
        <v>66</v>
      </c>
      <c r="J223" s="3">
        <v>84</v>
      </c>
      <c r="K223" s="3">
        <f>VLOOKUP($A223,'SegEnds_NonXtal_BW#'!$A:$Z,8,FALSE)+VLOOKUP($A223,A:AL,10,FALSE)-50</f>
        <v>100</v>
      </c>
      <c r="L223" s="3">
        <f>M223-1</f>
        <v>103</v>
      </c>
      <c r="M223" s="3">
        <v>104</v>
      </c>
      <c r="N223" s="3">
        <f>M223+2</f>
        <v>106</v>
      </c>
      <c r="O223" s="3">
        <f>N223+1</f>
        <v>107</v>
      </c>
      <c r="P223" s="3">
        <v>135</v>
      </c>
      <c r="Q223" s="3">
        <f>VLOOKUP($A223,'SegEnds_NonXtal_BW#'!$A:$Z,12,FALSE)+VLOOKUP($A223,A:AL,16,FALSE)-50</f>
        <v>141</v>
      </c>
      <c r="R223" s="3">
        <f>IF(ISERROR(VLOOKUP($A223,'SegEnds_NonXtal_BW#'!$A:$Z,13,FALSE)+VLOOKUP($A223,A:AL,19,FALSE)-50),"-",VLOOKUP($A223,'SegEnds_NonXtal_BW#'!$A:$Z,13,FALSE)+VLOOKUP($A223,A:AL,19,FALSE)-50)</f>
        <v>142</v>
      </c>
      <c r="S223" s="3">
        <v>142</v>
      </c>
      <c r="T223" s="100">
        <f>IF(ISERROR(VLOOKUP($A223,'SegEnds_NonXtal_BW#'!$A:$Z,14,FALSE)+VLOOKUP($A223,A:AL,19,FALSE)-50),"-",(VLOOKUP($A223,'SegEnds_NonXtal_BW#'!$A:$Z,14,FALSE)+VLOOKUP($A223,A:AL,19,FALSE)-50))</f>
        <v>149</v>
      </c>
      <c r="U223" s="9">
        <f>IF(ISERROR(VLOOKUP($A223,'SegEnds_NonXtal_BW#'!$A:$Z,15,FALSE)+VLOOKUP($A223,A:AL,22,FALSE)-50),"-",VLOOKUP($A223,'SegEnds_NonXtal_BW#'!$A:$Z,15,FALSE)+VLOOKUP($A223,A:AL,22,FALSE)-50)</f>
        <v>150</v>
      </c>
      <c r="V223" s="3">
        <v>162</v>
      </c>
      <c r="W223" s="3">
        <f>IF(ISERROR(VLOOKUP($A223,'SegEnds_NonXtal_BW#'!$A:$Z,16,FALSE)+VLOOKUP($A223,A:AL,22,FALSE)-50),"-",(VLOOKUP($A223,'SegEnds_NonXtal_BW#'!$A:$Z,16,FALSE)+VLOOKUP($A223,A:AL,22,FALSE)-50))</f>
        <v>175</v>
      </c>
      <c r="X223" s="3">
        <f>IF(ISERROR(VLOOKUP($A223,'SegEnds_NonXtal_BW#'!$A:$Z,17,FALSE)+VLOOKUP($A223,A:AL,25,FALSE)-50),"-",(VLOOKUP($A223,'SegEnds_NonXtal_BW#'!$A:$Z,17,FALSE)+VLOOKUP($A223,A:AL,25,FALSE)-50))</f>
        <v>188</v>
      </c>
      <c r="Y223" s="3">
        <v>188</v>
      </c>
      <c r="Z223" s="3">
        <f t="shared" si="117"/>
        <v>190</v>
      </c>
      <c r="AA223" s="3">
        <f>IF(ISERROR(VLOOKUP($A223,'SegEnds_NonXtal_BW#'!$A:$Z,19,FALSE)+VLOOKUP($A223,A:AL,28,FALSE)-50),"-",(VLOOKUP($A223,'SegEnds_NonXtal_BW#'!$A:$Z,19,FALSE)+VLOOKUP($A223,A:AL,28,FALSE)-50))</f>
        <v>197</v>
      </c>
      <c r="AB223" s="3">
        <v>216</v>
      </c>
      <c r="AC223" s="3">
        <f>IF(ISERROR((VLOOKUP($A223,'SegEnds_NonXtal_BW#'!$A:$Z,20,FALSE)+VLOOKUP($A223,A:AL,28,FALSE)-50)),"-",(VLOOKUP($A223,'SegEnds_NonXtal_BW#'!$A:$Z,20,FALSE)+VLOOKUP($A223,A:AL,28,FALSE)-50))</f>
        <v>240</v>
      </c>
      <c r="AD223" s="3">
        <f>IF(ISERROR(VLOOKUP($A223,'SegEnds_NonXtal_BW#'!$A:$Z,21,FALSE)+VLOOKUP($A223,A:AL,31,FALSE)-50),"-",(VLOOKUP($A223,'SegEnds_NonXtal_BW#'!$A:$Z,21,FALSE)+VLOOKUP($A223,A:AL,31,FALSE)-50))</f>
        <v>286</v>
      </c>
      <c r="AE223" s="3">
        <v>312</v>
      </c>
      <c r="AF223" s="3">
        <f>IF(ISERROR((VLOOKUP($A223,'SegEnds_NonXtal_BW#'!$A:$Z,22,FALSE)+VLOOKUP($A223,A:AL,31,FALSE)-50)),"-",(VLOOKUP($A223,'SegEnds_NonXtal_BW#'!$A:$Z,22,FALSE)+VLOOKUP($A223,A:AL,31,FALSE)-50))</f>
        <v>323</v>
      </c>
      <c r="AG223" s="3">
        <f>IF(ISERROR(VLOOKUP($A223,'SegEnds_NonXtal_BW#'!$A:$Z,23,FALSE)+VLOOKUP($A223,A:AL,34,FALSE)-50),"-",(VLOOKUP($A223,'SegEnds_NonXtal_BW#'!$A:$Z,23,FALSE)+VLOOKUP($A223,A:AL,34,FALSE)-50))</f>
        <v>329</v>
      </c>
      <c r="AH223" s="3">
        <v>348</v>
      </c>
      <c r="AI223" s="3">
        <f>IF(ISERROR((VLOOKUP($A223,'SegEnds_NonXtal_BW#'!$A:$Z,24,FALSE)+VLOOKUP($A223,A:AL,34,FALSE)-50)),"-",(VLOOKUP($A223,'SegEnds_NonXtal_BW#'!$A:$Z,24,FALSE)+VLOOKUP($A223,A:AL,34,FALSE)-50))</f>
        <v>354</v>
      </c>
      <c r="AJ223" s="3">
        <f>IF(ISERROR(VLOOKUP($A223,'SegEnds_NonXtal_BW#'!$A:$Z,25,FALSE)+VLOOKUP($A223,A:AL,37,FALSE)-50),"-",(VLOOKUP($A223,'SegEnds_NonXtal_BW#'!$A:$Z,25,FALSE)+VLOOKUP($A223,A:AL,37,FALSE)-50))</f>
        <v>355</v>
      </c>
      <c r="AK223" s="3">
        <v>358</v>
      </c>
      <c r="AL223" s="3">
        <f>IF(ISERROR((VLOOKUP($A223,'SegEnds_NonXtal_BW#'!$A:$Z,26,FALSE)+VLOOKUP($A223,A:AL,37,FALSE)-50)),"-",(VLOOKUP($A223,'SegEnds_NonXtal_BW#'!$A:$Z,26,FALSE)+VLOOKUP($A223,A:AL,37,FALSE)-50))</f>
        <v>374</v>
      </c>
      <c r="AM223" s="28" t="str">
        <f>VLOOKUP(A223,Classification!A:B,2,FALSE)</f>
        <v>A</v>
      </c>
      <c r="AN223" s="28" t="b">
        <f t="shared" si="133"/>
        <v>1</v>
      </c>
      <c r="AO223" s="3" t="str">
        <f>IF(ISERROR(MATCH(A223,'SegEnds_Xtal_Prot#'!B:B, 0)), "NoXtal", "Xtal")</f>
        <v>NoXtal</v>
      </c>
      <c r="AP223" s="3">
        <f t="shared" si="118"/>
        <v>1</v>
      </c>
      <c r="AQ223" s="3">
        <f t="shared" si="119"/>
        <v>1</v>
      </c>
      <c r="AR223" s="3">
        <f t="shared" si="120"/>
        <v>3</v>
      </c>
      <c r="AS223" s="3">
        <f t="shared" si="121"/>
        <v>1</v>
      </c>
      <c r="AT223" s="3">
        <f t="shared" si="122"/>
        <v>1</v>
      </c>
      <c r="AU223" s="3">
        <f t="shared" si="123"/>
        <v>1</v>
      </c>
      <c r="AV223" s="3">
        <f t="shared" si="124"/>
        <v>13</v>
      </c>
      <c r="AW223" s="3">
        <f t="shared" si="125"/>
        <v>7</v>
      </c>
      <c r="AX223" s="3">
        <f t="shared" si="126"/>
        <v>46</v>
      </c>
      <c r="AY223" s="3">
        <f t="shared" si="127"/>
        <v>6</v>
      </c>
      <c r="AZ223" s="3">
        <f t="shared" si="128"/>
        <v>1</v>
      </c>
      <c r="BA223" s="3">
        <f>IF(ISERROR(LEN(VLOOKUP(A223,Seqs!A:E,2,FALSE))-AL223),"-",LEN(VLOOKUP(A223,Seqs!A:E,2,FALSE))-AL223)</f>
        <v>28</v>
      </c>
      <c r="BB223" s="16">
        <f t="shared" si="129"/>
        <v>34</v>
      </c>
      <c r="BC223" s="9">
        <f t="shared" si="130"/>
        <v>20</v>
      </c>
      <c r="BD223" s="3">
        <f t="shared" si="131"/>
        <v>34</v>
      </c>
      <c r="BE223" s="3">
        <f t="shared" si="132"/>
        <v>96</v>
      </c>
    </row>
    <row r="224" spans="1:59" s="3" customFormat="1" x14ac:dyDescent="0.2">
      <c r="A224" s="3" t="s">
        <v>361</v>
      </c>
      <c r="B224" s="3" t="str">
        <f>LOWER(VLOOKUP(A224,Xtal_Templ!A:B,2,FALSE))</f>
        <v>pe2r4_human</v>
      </c>
      <c r="C224" s="3">
        <f>VLOOKUP($A224,'SegEnds_NonXtal_BW#'!$A:$Z,3,FALSE)+D224-50</f>
        <v>22</v>
      </c>
      <c r="D224" s="3">
        <v>39</v>
      </c>
      <c r="E224" s="3">
        <f>IF(ISERROR(VLOOKUP($A224,'SegEnds_NonXtal_BW#'!$A:$Z,4,FALSE)+VLOOKUP($A224,A:AL,4,FALSE)-50),"-",(VLOOKUP($A224,'SegEnds_NonXtal_BW#'!$A:$Z,4,FALSE)+VLOOKUP($A224,A:AL,4,FALSE)-50))</f>
        <v>47</v>
      </c>
      <c r="F224" s="3">
        <f>G224-2</f>
        <v>56</v>
      </c>
      <c r="G224" s="3">
        <v>58</v>
      </c>
      <c r="H224" s="3">
        <f>G224+1</f>
        <v>59</v>
      </c>
      <c r="I224" s="3">
        <f>H224+1</f>
        <v>60</v>
      </c>
      <c r="J224" s="3">
        <v>78</v>
      </c>
      <c r="K224" s="3">
        <f>VLOOKUP($A224,'SegEnds_NonXtal_BW#'!$A:$Z,8,FALSE)+VLOOKUP($A224,A:AL,10,FALSE)-50</f>
        <v>95</v>
      </c>
      <c r="L224" s="3" t="str">
        <f>IF(ISERROR(VLOOKUP($A224,'SegEnds_NonXtal_BW#'!$A:$Z,9,FALSE)+VLOOKUP($A224,A:AL,13,FALSE)-50),"-",(VLOOKUP($A224,'SegEnds_NonXtal_BW#'!$A:$Z,9,FALSE)+VLOOKUP($A224,A:AL,13,FALSE)-50))</f>
        <v>-</v>
      </c>
      <c r="M224" s="3" t="s">
        <v>23</v>
      </c>
      <c r="N224" s="3" t="str">
        <f>IF(ISERROR(VLOOKUP($A224,'SegEnds_NonXtal_BW#'!$A:$Z,10,FALSE)+VLOOKUP($A224,A:AL,13,FALSE)-50),"-",(VLOOKUP($A224,'SegEnds_NonXtal_BW#'!$A:$Z,10,FALSE)+VLOOKUP($A224,A:AL,13,FALSE)-50))</f>
        <v>-</v>
      </c>
      <c r="O224" s="3">
        <f>VLOOKUP($A224,'SegEnds_NonXtal_BW#'!$A:$Z,11,FALSE)+VLOOKUP($A224,A:AL,16,FALSE)-50</f>
        <v>102</v>
      </c>
      <c r="P224" s="3">
        <v>134</v>
      </c>
      <c r="Q224" s="3">
        <f>VLOOKUP($A224,'SegEnds_NonXtal_BW#'!$A:$Z,12,FALSE)+VLOOKUP($A224,A:AL,16,FALSE)-50</f>
        <v>140</v>
      </c>
      <c r="R224" s="3">
        <f>IF(ISERROR(VLOOKUP($A224,'SegEnds_NonXtal_BW#'!$A:$Z,13,FALSE)+VLOOKUP($A224,A:AL,19,FALSE)-50),"-",VLOOKUP($A224,'SegEnds_NonXtal_BW#'!$A:$Z,13,FALSE)+VLOOKUP($A224,A:AL,19,FALSE)-50)</f>
        <v>141</v>
      </c>
      <c r="S224" s="3">
        <v>141</v>
      </c>
      <c r="T224" s="100">
        <f>IF(ISERROR(VLOOKUP($A224,'SegEnds_NonXtal_BW#'!$A:$Z,14,FALSE)+VLOOKUP($A224,A:AL,19,FALSE)-50),"-",(VLOOKUP($A224,'SegEnds_NonXtal_BW#'!$A:$Z,14,FALSE)+VLOOKUP($A224,A:AL,19,FALSE)-50))</f>
        <v>148</v>
      </c>
      <c r="U224" s="9">
        <f>IF(ISERROR(VLOOKUP($A224,'SegEnds_NonXtal_BW#'!$A:$Z,15,FALSE)+VLOOKUP($A224,A:AL,22,FALSE)-50),"-",VLOOKUP($A224,'SegEnds_NonXtal_BW#'!$A:$Z,15,FALSE)+VLOOKUP($A224,A:AL,22,FALSE)-50)</f>
        <v>149</v>
      </c>
      <c r="V224" s="3">
        <v>161</v>
      </c>
      <c r="W224" s="3">
        <f>IF(ISERROR(VLOOKUP($A224,'SegEnds_NonXtal_BW#'!$A:$Z,16,FALSE)+VLOOKUP($A224,A:AL,22,FALSE)-50),"-",(VLOOKUP($A224,'SegEnds_NonXtal_BW#'!$A:$Z,16,FALSE)+VLOOKUP($A224,A:AL,22,FALSE)-50))</f>
        <v>174</v>
      </c>
      <c r="X224" s="3">
        <f>IF(ISERROR(VLOOKUP($A224,'SegEnds_NonXtal_BW#'!$A:$Z,17,FALSE)+VLOOKUP($A224,A:AL,25,FALSE)-50),"-",(VLOOKUP($A224,'SegEnds_NonXtal_BW#'!$A:$Z,17,FALSE)+VLOOKUP($A224,A:AL,25,FALSE)-50))</f>
        <v>187</v>
      </c>
      <c r="Y224" s="3">
        <v>187</v>
      </c>
      <c r="Z224" s="3">
        <f t="shared" si="117"/>
        <v>189</v>
      </c>
      <c r="AA224" s="3">
        <f>IF(ISERROR(VLOOKUP($A224,'SegEnds_NonXtal_BW#'!$A:$Z,19,FALSE)+VLOOKUP($A224,A:AL,28,FALSE)-50),"-",(VLOOKUP($A224,'SegEnds_NonXtal_BW#'!$A:$Z,19,FALSE)+VLOOKUP($A224,A:AL,28,FALSE)-50))</f>
        <v>194</v>
      </c>
      <c r="AB224" s="3">
        <v>209</v>
      </c>
      <c r="AC224" s="3">
        <f>IF(ISERROR((VLOOKUP($A224,'SegEnds_NonXtal_BW#'!$A:$Z,20,FALSE)+VLOOKUP($A224,A:AL,28,FALSE)-50)),"-",(VLOOKUP($A224,'SegEnds_NonXtal_BW#'!$A:$Z,20,FALSE)+VLOOKUP($A224,A:AL,28,FALSE)-50))</f>
        <v>235</v>
      </c>
      <c r="AD224" s="3">
        <f>IF(ISERROR(VLOOKUP($A224,'SegEnds_NonXtal_BW#'!$A:$Z,21,FALSE)+VLOOKUP($A224,A:AL,31,FALSE)-50),"-",(VLOOKUP($A224,'SegEnds_NonXtal_BW#'!$A:$Z,21,FALSE)+VLOOKUP($A224,A:AL,31,FALSE)-50))</f>
        <v>253</v>
      </c>
      <c r="AE224" s="3">
        <v>279</v>
      </c>
      <c r="AF224" s="3">
        <f>IF(ISERROR((VLOOKUP($A224,'SegEnds_NonXtal_BW#'!$A:$Z,22,FALSE)+VLOOKUP($A224,A:AL,31,FALSE)-50)),"-",(VLOOKUP($A224,'SegEnds_NonXtal_BW#'!$A:$Z,22,FALSE)+VLOOKUP($A224,A:AL,31,FALSE)-50))</f>
        <v>290</v>
      </c>
      <c r="AG224" s="3">
        <f>IF(ISERROR(VLOOKUP($A224,'SegEnds_NonXtal_BW#'!$A:$Z,23,FALSE)+VLOOKUP($A224,A:AL,34,FALSE)-50),"-",(VLOOKUP($A224,'SegEnds_NonXtal_BW#'!$A:$Z,23,FALSE)+VLOOKUP($A224,A:AL,34,FALSE)-50))</f>
        <v>295</v>
      </c>
      <c r="AH224" s="3">
        <v>312</v>
      </c>
      <c r="AI224" s="3">
        <f>IF(ISERROR((VLOOKUP($A224,'SegEnds_NonXtal_BW#'!$A:$Z,24,FALSE)+VLOOKUP($A224,A:AL,34,FALSE)-50)),"-",(VLOOKUP($A224,'SegEnds_NonXtal_BW#'!$A:$Z,24,FALSE)+VLOOKUP($A224,A:AL,34,FALSE)-50))</f>
        <v>318</v>
      </c>
      <c r="AJ224" s="3">
        <f>IF(ISERROR(VLOOKUP($A224,'SegEnds_NonXtal_BW#'!$A:$Z,25,FALSE)+VLOOKUP($A224,A:AL,37,FALSE)-50),"-",(VLOOKUP($A224,'SegEnds_NonXtal_BW#'!$A:$Z,25,FALSE)+VLOOKUP($A224,A:AL,37,FALSE)-50))</f>
        <v>319</v>
      </c>
      <c r="AK224" s="3">
        <v>322</v>
      </c>
      <c r="AL224" s="3">
        <f>IF(ISERROR((VLOOKUP($A224,'SegEnds_NonXtal_BW#'!$A:$Z,26,FALSE)+VLOOKUP($A224,A:AL,37,FALSE)-50)),"-",(VLOOKUP($A224,'SegEnds_NonXtal_BW#'!$A:$Z,26,FALSE)+VLOOKUP($A224,A:AL,37,FALSE)-50))</f>
        <v>332</v>
      </c>
      <c r="AM224" s="28" t="str">
        <f>VLOOKUP(A224,Classification!A:B,2,FALSE)</f>
        <v>A</v>
      </c>
      <c r="AN224" s="28" t="b">
        <f t="shared" si="133"/>
        <v>1</v>
      </c>
      <c r="AO224" s="3" t="str">
        <f>IF(ISERROR(MATCH(A224,'SegEnds_Xtal_Prot#'!B:B, 0)), "NoXtal", "Xtal")</f>
        <v>NoXtal</v>
      </c>
      <c r="AP224" s="3">
        <f t="shared" si="118"/>
        <v>9</v>
      </c>
      <c r="AQ224" s="3">
        <f t="shared" si="119"/>
        <v>1</v>
      </c>
      <c r="AR224" s="3" t="str">
        <f t="shared" si="120"/>
        <v>-</v>
      </c>
      <c r="AS224" s="3" t="str">
        <f t="shared" si="121"/>
        <v>-</v>
      </c>
      <c r="AT224" s="3">
        <f t="shared" si="122"/>
        <v>1</v>
      </c>
      <c r="AU224" s="3">
        <f t="shared" si="123"/>
        <v>1</v>
      </c>
      <c r="AV224" s="3">
        <f t="shared" si="124"/>
        <v>13</v>
      </c>
      <c r="AW224" s="3">
        <f t="shared" si="125"/>
        <v>5</v>
      </c>
      <c r="AX224" s="3">
        <f t="shared" si="126"/>
        <v>18</v>
      </c>
      <c r="AY224" s="3">
        <f t="shared" si="127"/>
        <v>5</v>
      </c>
      <c r="AZ224" s="3">
        <f t="shared" si="128"/>
        <v>1</v>
      </c>
      <c r="BA224" s="3">
        <f>IF(ISERROR(LEN(VLOOKUP(A224,Seqs!A:E,2,FALSE))-AL224),"-",LEN(VLOOKUP(A224,Seqs!A:E,2,FALSE))-AL224)</f>
        <v>26</v>
      </c>
      <c r="BB224" s="16">
        <f t="shared" si="129"/>
        <v>39</v>
      </c>
      <c r="BC224" s="9">
        <f t="shared" si="130"/>
        <v>20</v>
      </c>
      <c r="BD224" s="3">
        <f t="shared" si="131"/>
        <v>39</v>
      </c>
      <c r="BE224" s="3">
        <f t="shared" si="132"/>
        <v>70</v>
      </c>
      <c r="BF224" s="3">
        <f>AH224-AE224</f>
        <v>33</v>
      </c>
    </row>
    <row r="225" spans="1:58" s="3" customFormat="1" x14ac:dyDescent="0.2">
      <c r="A225" s="3" t="s">
        <v>362</v>
      </c>
      <c r="B225" s="3" t="str">
        <f>LOWER(VLOOKUP(A225,Xtal_Templ!A:B,2,FALSE))</f>
        <v>pe2r3_human</v>
      </c>
      <c r="C225" s="3">
        <f>VLOOKUP($A225,'SegEnds_NonXtal_BW#'!$A:$Z,3,FALSE)+D225-50</f>
        <v>52</v>
      </c>
      <c r="D225" s="3">
        <v>66</v>
      </c>
      <c r="E225" s="3">
        <f>IF(ISERROR(VLOOKUP($A225,'SegEnds_NonXtal_BW#'!$A:$Z,4,FALSE)+VLOOKUP($A225,A:AL,4,FALSE)-50),"-",(VLOOKUP($A225,'SegEnds_NonXtal_BW#'!$A:$Z,4,FALSE)+VLOOKUP($A225,A:AL,4,FALSE)-50))</f>
        <v>78</v>
      </c>
      <c r="F225" s="3" t="str">
        <f>IF(ISERROR(VLOOKUP($A225,'SegEnds_NonXtal_BW#'!$A:$Z,5,FALSE)+VLOOKUP($A225,A:AL,7,FALSE)-50),"-",(VLOOKUP($A225,'SegEnds_NonXtal_BW#'!$A:$Z,5,FALSE)+VLOOKUP($A225,A:AL,7,FALSE)-50))</f>
        <v>-</v>
      </c>
      <c r="G225" s="3" t="s">
        <v>23</v>
      </c>
      <c r="H225" s="3" t="str">
        <f>IF(ISERROR(VLOOKUP($A225,'SegEnds_NonXtal_BW#'!$A:$Z,6,FALSE)+VLOOKUP($A225,A:AL,7,FALSE)-50),"-",(VLOOKUP($A225,'SegEnds_NonXtal_BW#'!$A:$Z,6,FALSE)+VLOOKUP($A225,A:AL,7,FALSE)-50))</f>
        <v>-</v>
      </c>
      <c r="I225" s="3">
        <f>VLOOKUP($A225,'SegEnds_NonXtal_BW#'!$A:$Z,7,FALSE)+J225-50</f>
        <v>86</v>
      </c>
      <c r="J225" s="3">
        <v>99</v>
      </c>
      <c r="K225" s="3">
        <f>VLOOKUP($A225,'SegEnds_NonXtal_BW#'!$A:$Z,8,FALSE)+VLOOKUP($A225,A:AL,10,FALSE)-50</f>
        <v>117</v>
      </c>
      <c r="L225" s="3">
        <f>M225-1</f>
        <v>119</v>
      </c>
      <c r="M225" s="3">
        <v>120</v>
      </c>
      <c r="N225" s="3">
        <f>M225+2</f>
        <v>122</v>
      </c>
      <c r="O225" s="3">
        <f>N225+1</f>
        <v>123</v>
      </c>
      <c r="P225" s="3">
        <v>155</v>
      </c>
      <c r="Q225" s="3">
        <f>VLOOKUP($A225,'SegEnds_NonXtal_BW#'!$A:$Z,12,FALSE)+VLOOKUP($A225,A:AL,16,FALSE)-50</f>
        <v>161</v>
      </c>
      <c r="R225" s="3">
        <f>IF(ISERROR(VLOOKUP($A225,'SegEnds_NonXtal_BW#'!$A:$Z,13,FALSE)+VLOOKUP($A225,A:AL,19,FALSE)-50),"-",VLOOKUP($A225,'SegEnds_NonXtal_BW#'!$A:$Z,13,FALSE)+VLOOKUP($A225,A:AL,19,FALSE)-50)</f>
        <v>162</v>
      </c>
      <c r="S225" s="3">
        <v>162</v>
      </c>
      <c r="T225" s="100">
        <f>IF(ISERROR(VLOOKUP($A225,'SegEnds_NonXtal_BW#'!$A:$Z,14,FALSE)+VLOOKUP($A225,A:AL,19,FALSE)-50),"-",(VLOOKUP($A225,'SegEnds_NonXtal_BW#'!$A:$Z,14,FALSE)+VLOOKUP($A225,A:AL,19,FALSE)-50))</f>
        <v>169</v>
      </c>
      <c r="U225" s="9">
        <f>IF(ISERROR(VLOOKUP($A225,'SegEnds_NonXtal_BW#'!$A:$Z,15,FALSE)+VLOOKUP($A225,A:AL,22,FALSE)-50),"-",VLOOKUP($A225,'SegEnds_NonXtal_BW#'!$A:$Z,15,FALSE)+VLOOKUP($A225,A:AL,22,FALSE)-50)</f>
        <v>170</v>
      </c>
      <c r="V225" s="3">
        <v>182</v>
      </c>
      <c r="W225" s="3">
        <f>IF(ISERROR(VLOOKUP($A225,'SegEnds_NonXtal_BW#'!$A:$Z,16,FALSE)+VLOOKUP($A225,A:AL,22,FALSE)-50),"-",(VLOOKUP($A225,'SegEnds_NonXtal_BW#'!$A:$Z,16,FALSE)+VLOOKUP($A225,A:AL,22,FALSE)-50))</f>
        <v>195</v>
      </c>
      <c r="X225" s="3">
        <f>Y225</f>
        <v>208</v>
      </c>
      <c r="Y225" s="3">
        <v>208</v>
      </c>
      <c r="Z225" s="3">
        <f t="shared" si="117"/>
        <v>210</v>
      </c>
      <c r="AA225" s="3">
        <f>IF(ISERROR(VLOOKUP($A225,'SegEnds_NonXtal_BW#'!$A:$Z,19,FALSE)+VLOOKUP($A225,A:AL,28,FALSE)-50),"-",(VLOOKUP($A225,'SegEnds_NonXtal_BW#'!$A:$Z,19,FALSE)+VLOOKUP($A225,A:AL,28,FALSE)-50))</f>
        <v>225</v>
      </c>
      <c r="AB225" s="3">
        <v>241</v>
      </c>
      <c r="AC225" s="3">
        <f>IF(ISERROR((VLOOKUP($A225,'SegEnds_NonXtal_BW#'!$A:$Z,20,FALSE)+VLOOKUP($A225,A:AL,28,FALSE)-50)),"-",(VLOOKUP($A225,'SegEnds_NonXtal_BW#'!$A:$Z,20,FALSE)+VLOOKUP($A225,A:AL,28,FALSE)-50))</f>
        <v>264</v>
      </c>
      <c r="AD225" s="3">
        <f>IF(ISERROR(VLOOKUP($A225,'SegEnds_NonXtal_BW#'!$A:$Z,21,FALSE)+VLOOKUP($A225,A:AL,31,FALSE)-50),"-",(VLOOKUP($A225,'SegEnds_NonXtal_BW#'!$A:$Z,21,FALSE)+VLOOKUP($A225,A:AL,31,FALSE)-50))</f>
        <v>269</v>
      </c>
      <c r="AE225" s="3">
        <v>297</v>
      </c>
      <c r="AF225" s="3">
        <f>IF(ISERROR((VLOOKUP($A225,'SegEnds_NonXtal_BW#'!$A:$Z,22,FALSE)+VLOOKUP($A225,A:AL,31,FALSE)-50)),"-",(VLOOKUP($A225,'SegEnds_NonXtal_BW#'!$A:$Z,22,FALSE)+VLOOKUP($A225,A:AL,31,FALSE)-50))</f>
        <v>311</v>
      </c>
      <c r="AG225" s="3">
        <f>IF(ISERROR(VLOOKUP($A225,'SegEnds_NonXtal_BW#'!$A:$Z,23,FALSE)+VLOOKUP($A225,A:AL,34,FALSE)-50),"-",(VLOOKUP($A225,'SegEnds_NonXtal_BW#'!$A:$Z,23,FALSE)+VLOOKUP($A225,A:AL,34,FALSE)-50))</f>
        <v>317</v>
      </c>
      <c r="AH225" s="3">
        <v>343</v>
      </c>
      <c r="AI225" s="3">
        <f>IF(ISERROR((VLOOKUP($A225,'SegEnds_NonXtal_BW#'!$A:$Z,24,FALSE)+VLOOKUP($A225,A:AL,34,FALSE)-50)),"-",(VLOOKUP($A225,'SegEnds_NonXtal_BW#'!$A:$Z,24,FALSE)+VLOOKUP($A225,A:AL,34,FALSE)-50))</f>
        <v>346</v>
      </c>
      <c r="AJ225" s="3">
        <f>IF(ISERROR(VLOOKUP($A225,'SegEnds_NonXtal_BW#'!$A:$Z,25,FALSE)+VLOOKUP($A225,A:AL,37,FALSE)-50),"-",(VLOOKUP($A225,'SegEnds_NonXtal_BW#'!$A:$Z,25,FALSE)+VLOOKUP($A225,A:AL,37,FALSE)-50))</f>
        <v>347</v>
      </c>
      <c r="AK225" s="3">
        <v>353</v>
      </c>
      <c r="AL225" s="3">
        <f>IF(ISERROR((VLOOKUP($A225,'SegEnds_NonXtal_BW#'!$A:$Z,26,FALSE)+VLOOKUP($A225,A:AL,37,FALSE)-50)),"-",(VLOOKUP($A225,'SegEnds_NonXtal_BW#'!$A:$Z,26,FALSE)+VLOOKUP($A225,A:AL,37,FALSE)-50))</f>
        <v>369</v>
      </c>
      <c r="AM225" s="28" t="str">
        <f>VLOOKUP(A225,Classification!A:B,2,FALSE)</f>
        <v>A</v>
      </c>
      <c r="AN225" s="28" t="b">
        <f t="shared" si="133"/>
        <v>1</v>
      </c>
      <c r="AO225" s="3" t="str">
        <f>IF(ISERROR(MATCH(A225,'SegEnds_Xtal_Prot#'!B:B, 0)), "NoXtal", "Xtal")</f>
        <v>Xtal</v>
      </c>
      <c r="AP225" s="3" t="str">
        <f t="shared" si="118"/>
        <v>-</v>
      </c>
      <c r="AQ225" s="3" t="str">
        <f t="shared" si="119"/>
        <v>-</v>
      </c>
      <c r="AR225" s="3">
        <f t="shared" si="120"/>
        <v>2</v>
      </c>
      <c r="AS225" s="3">
        <f t="shared" si="121"/>
        <v>1</v>
      </c>
      <c r="AT225" s="3">
        <f t="shared" si="122"/>
        <v>1</v>
      </c>
      <c r="AU225" s="3">
        <f t="shared" si="123"/>
        <v>1</v>
      </c>
      <c r="AV225" s="3">
        <f t="shared" si="124"/>
        <v>13</v>
      </c>
      <c r="AW225" s="3">
        <f t="shared" si="125"/>
        <v>15</v>
      </c>
      <c r="AX225" s="3">
        <f t="shared" si="126"/>
        <v>5</v>
      </c>
      <c r="AY225" s="3">
        <f t="shared" si="127"/>
        <v>6</v>
      </c>
      <c r="AZ225" s="3">
        <f t="shared" si="128"/>
        <v>1</v>
      </c>
      <c r="BA225" s="3">
        <f>IF(ISERROR(LEN(VLOOKUP(A225,Seqs!A:E,2,FALSE))-AL225),"-",LEN(VLOOKUP(A225,Seqs!A:E,2,FALSE))-AL225)</f>
        <v>21</v>
      </c>
      <c r="BB225" s="16">
        <f t="shared" si="129"/>
        <v>33</v>
      </c>
      <c r="BC225" s="9">
        <f t="shared" si="130"/>
        <v>20</v>
      </c>
      <c r="BD225" s="3">
        <f t="shared" si="131"/>
        <v>33</v>
      </c>
      <c r="BE225" s="3">
        <f t="shared" si="132"/>
        <v>56</v>
      </c>
      <c r="BF225" s="3">
        <f>AH225-AE225</f>
        <v>46</v>
      </c>
    </row>
    <row r="226" spans="1:58" s="3" customFormat="1" x14ac:dyDescent="0.2">
      <c r="A226" s="3" t="s">
        <v>363</v>
      </c>
      <c r="B226" s="3" t="str">
        <f>LOWER(VLOOKUP(A226,Xtal_Templ!A:B,2,FALSE))</f>
        <v>pe2r4_human</v>
      </c>
      <c r="C226" s="3">
        <f>VLOOKUP($A226,'SegEnds_NonXtal_BW#'!$A:$Z,3,FALSE)+D226-50</f>
        <v>18</v>
      </c>
      <c r="D226" s="3">
        <v>35</v>
      </c>
      <c r="E226" s="3">
        <f>IF(ISERROR(VLOOKUP($A226,'SegEnds_NonXtal_BW#'!$A:$Z,4,FALSE)+VLOOKUP($A226,A:AL,4,FALSE)-50),"-",(VLOOKUP($A226,'SegEnds_NonXtal_BW#'!$A:$Z,4,FALSE)+VLOOKUP($A226,A:AL,4,FALSE)-50))</f>
        <v>43</v>
      </c>
      <c r="F226" s="3" t="str">
        <f>IF(ISERROR(VLOOKUP($A226,'SegEnds_NonXtal_BW#'!$A:$Z,5,FALSE)+VLOOKUP($A226,A:AL,7,FALSE)-50),"-",(VLOOKUP($A226,'SegEnds_NonXtal_BW#'!$A:$Z,5,FALSE)+VLOOKUP($A226,A:AL,7,FALSE)-50))</f>
        <v>-</v>
      </c>
      <c r="G226" s="3" t="s">
        <v>23</v>
      </c>
      <c r="H226" s="3" t="str">
        <f>IF(ISERROR(VLOOKUP($A226,'SegEnds_NonXtal_BW#'!$A:$Z,6,FALSE)+VLOOKUP($A226,A:AL,7,FALSE)-50),"-",(VLOOKUP($A226,'SegEnds_NonXtal_BW#'!$A:$Z,6,FALSE)+VLOOKUP($A226,A:AL,7,FALSE)-50))</f>
        <v>-</v>
      </c>
      <c r="I226" s="3">
        <f>VLOOKUP($A226,'SegEnds_NonXtal_BW#'!$A:$Z,7,FALSE)+J226-50</f>
        <v>52</v>
      </c>
      <c r="J226" s="3">
        <v>65</v>
      </c>
      <c r="K226" s="3">
        <f>VLOOKUP($A226,'SegEnds_NonXtal_BW#'!$A:$Z,8,FALSE)+VLOOKUP($A226,A:AL,10,FALSE)-50</f>
        <v>82</v>
      </c>
      <c r="L226" s="3">
        <f>M226-1</f>
        <v>84</v>
      </c>
      <c r="M226" s="3">
        <v>85</v>
      </c>
      <c r="N226" s="3">
        <f>M226+2</f>
        <v>87</v>
      </c>
      <c r="O226" s="3">
        <f>VLOOKUP($A226,'SegEnds_NonXtal_BW#'!$A:$Z,11,FALSE)+VLOOKUP($A226,A:AL,16,FALSE)-50</f>
        <v>88</v>
      </c>
      <c r="P226" s="3">
        <v>117</v>
      </c>
      <c r="Q226" s="3">
        <f>VLOOKUP($A226,'SegEnds_NonXtal_BW#'!$A:$Z,12,FALSE)+VLOOKUP($A226,A:AL,16,FALSE)-50</f>
        <v>123</v>
      </c>
      <c r="R226" s="3">
        <f>IF(ISERROR(VLOOKUP($A226,'SegEnds_NonXtal_BW#'!$A:$Z,13,FALSE)+VLOOKUP($A226,A:AL,19,FALSE)-50),"-",VLOOKUP($A226,'SegEnds_NonXtal_BW#'!$A:$Z,13,FALSE)+VLOOKUP($A226,A:AL,19,FALSE)-50)</f>
        <v>124</v>
      </c>
      <c r="S226" s="3">
        <v>124</v>
      </c>
      <c r="T226" s="100">
        <f>IF(ISERROR(VLOOKUP($A226,'SegEnds_NonXtal_BW#'!$A:$Z,14,FALSE)+VLOOKUP($A226,A:AL,19,FALSE)-50),"-",(VLOOKUP($A226,'SegEnds_NonXtal_BW#'!$A:$Z,14,FALSE)+VLOOKUP($A226,A:AL,19,FALSE)-50))</f>
        <v>131</v>
      </c>
      <c r="U226" s="9">
        <f>IF(ISERROR(VLOOKUP($A226,'SegEnds_NonXtal_BW#'!$A:$Z,15,FALSE)+VLOOKUP($A226,A:AL,22,FALSE)-50),"-",VLOOKUP($A226,'SegEnds_NonXtal_BW#'!$A:$Z,15,FALSE)+VLOOKUP($A226,A:AL,22,FALSE)-50)</f>
        <v>132</v>
      </c>
      <c r="V226" s="3">
        <v>144</v>
      </c>
      <c r="W226" s="3">
        <f>IF(ISERROR(VLOOKUP($A226,'SegEnds_NonXtal_BW#'!$A:$Z,16,FALSE)+VLOOKUP($A226,A:AL,22,FALSE)-50),"-",(VLOOKUP($A226,'SegEnds_NonXtal_BW#'!$A:$Z,16,FALSE)+VLOOKUP($A226,A:AL,22,FALSE)-50))</f>
        <v>157</v>
      </c>
      <c r="X226" s="3">
        <f>IF(ISERROR(VLOOKUP($A226,'SegEnds_NonXtal_BW#'!$A:$Z,17,FALSE)+VLOOKUP($A226,A:AL,25,FALSE)-50),"-",(VLOOKUP($A226,'SegEnds_NonXtal_BW#'!$A:$Z,17,FALSE)+VLOOKUP($A226,A:AL,25,FALSE)-50))</f>
        <v>170</v>
      </c>
      <c r="Y226" s="3">
        <v>170</v>
      </c>
      <c r="Z226" s="3">
        <f>IF(ISERROR(VLOOKUP($A226,'SegEnds_NonXtal_BW#'!$A:$Z,18,FALSE)+VLOOKUP($A226,A:AL,25,FALSE)-50),"-",(VLOOKUP($A226,'SegEnds_NonXtal_BW#'!$A:$Z,18,FALSE)+VLOOKUP($A226,A:AL,25,FALSE)-50))</f>
        <v>172</v>
      </c>
      <c r="AA226" s="3">
        <f>IF(ISERROR(VLOOKUP($A226,'SegEnds_NonXtal_BW#'!$A:$Z,19,FALSE)+VLOOKUP($A226,A:AL,28,FALSE)-50),"-",(VLOOKUP($A226,'SegEnds_NonXtal_BW#'!$A:$Z,19,FALSE)+VLOOKUP($A226,A:AL,28,FALSE)-50))</f>
        <v>178</v>
      </c>
      <c r="AB226" s="3">
        <v>195</v>
      </c>
      <c r="AC226" s="3">
        <f>IF(ISERROR((VLOOKUP($A226,'SegEnds_NonXtal_BW#'!$A:$Z,20,FALSE)+VLOOKUP($A226,A:AL,28,FALSE)-50)),"-",(VLOOKUP($A226,'SegEnds_NonXtal_BW#'!$A:$Z,20,FALSE)+VLOOKUP($A226,A:AL,28,FALSE)-50))</f>
        <v>221</v>
      </c>
      <c r="AD226" s="3">
        <f>IF(ISERROR(VLOOKUP($A226,'SegEnds_NonXtal_BW#'!$A:$Z,21,FALSE)+VLOOKUP($A226,A:AL,31,FALSE)-50),"-",(VLOOKUP($A226,'SegEnds_NonXtal_BW#'!$A:$Z,21,FALSE)+VLOOKUP($A226,A:AL,31,FALSE)-50))</f>
        <v>261</v>
      </c>
      <c r="AE226" s="3">
        <v>287</v>
      </c>
      <c r="AF226" s="3">
        <f>IF(ISERROR((VLOOKUP($A226,'SegEnds_NonXtal_BW#'!$A:$Z,22,FALSE)+VLOOKUP($A226,A:AL,31,FALSE)-50)),"-",(VLOOKUP($A226,'SegEnds_NonXtal_BW#'!$A:$Z,22,FALSE)+VLOOKUP($A226,A:AL,31,FALSE)-50))</f>
        <v>298</v>
      </c>
      <c r="AG226" s="3">
        <f>IF(ISERROR(VLOOKUP($A226,'SegEnds_NonXtal_BW#'!$A:$Z,23,FALSE)+VLOOKUP($A226,A:AL,34,FALSE)-50),"-",(VLOOKUP($A226,'SegEnds_NonXtal_BW#'!$A:$Z,23,FALSE)+VLOOKUP($A226,A:AL,34,FALSE)-50))</f>
        <v>309</v>
      </c>
      <c r="AH226" s="3">
        <v>326</v>
      </c>
      <c r="AI226" s="3">
        <f>IF(ISERROR((VLOOKUP($A226,'SegEnds_NonXtal_BW#'!$A:$Z,24,FALSE)+VLOOKUP($A226,A:AL,34,FALSE)-50)),"-",(VLOOKUP($A226,'SegEnds_NonXtal_BW#'!$A:$Z,24,FALSE)+VLOOKUP($A226,A:AL,34,FALSE)-50))</f>
        <v>332</v>
      </c>
      <c r="AJ226" s="3">
        <f>IF(ISERROR(VLOOKUP($A226,'SegEnds_NonXtal_BW#'!$A:$Z,25,FALSE)+VLOOKUP($A226,A:AL,37,FALSE)-50),"-",(VLOOKUP($A226,'SegEnds_NonXtal_BW#'!$A:$Z,25,FALSE)+VLOOKUP($A226,A:AL,37,FALSE)-50))</f>
        <v>333</v>
      </c>
      <c r="AK226" s="3">
        <v>336</v>
      </c>
      <c r="AL226" s="3">
        <f>IF(ISERROR((VLOOKUP($A226,'SegEnds_NonXtal_BW#'!$A:$Z,26,FALSE)+VLOOKUP($A226,A:AL,37,FALSE)-50)),"-",(VLOOKUP($A226,'SegEnds_NonXtal_BW#'!$A:$Z,26,FALSE)+VLOOKUP($A226,A:AL,37,FALSE)-50))</f>
        <v>346</v>
      </c>
      <c r="AM226" s="28" t="str">
        <f>VLOOKUP(A226,Classification!A:B,2,FALSE)</f>
        <v>A</v>
      </c>
      <c r="AN226" s="28" t="b">
        <f t="shared" si="133"/>
        <v>1</v>
      </c>
      <c r="AO226" s="3" t="str">
        <f>IF(ISERROR(MATCH(A226,'SegEnds_Xtal_Prot#'!B:B, 0)), "NoXtal", "Xtal")</f>
        <v>Xtal</v>
      </c>
      <c r="AP226" s="3" t="str">
        <f t="shared" si="118"/>
        <v>-</v>
      </c>
      <c r="AQ226" s="3" t="str">
        <f t="shared" si="119"/>
        <v>-</v>
      </c>
      <c r="AR226" s="3">
        <f t="shared" si="120"/>
        <v>2</v>
      </c>
      <c r="AS226" s="3">
        <f t="shared" si="121"/>
        <v>1</v>
      </c>
      <c r="AT226" s="3">
        <f t="shared" si="122"/>
        <v>1</v>
      </c>
      <c r="AU226" s="3">
        <f t="shared" si="123"/>
        <v>1</v>
      </c>
      <c r="AV226" s="3">
        <f t="shared" si="124"/>
        <v>13</v>
      </c>
      <c r="AW226" s="3">
        <f t="shared" si="125"/>
        <v>6</v>
      </c>
      <c r="AX226" s="3">
        <f t="shared" si="126"/>
        <v>40</v>
      </c>
      <c r="AY226" s="3">
        <f t="shared" si="127"/>
        <v>11</v>
      </c>
      <c r="AZ226" s="3">
        <f t="shared" si="128"/>
        <v>1</v>
      </c>
      <c r="BA226" s="3">
        <f>IF(ISERROR(LEN(VLOOKUP(A226,Seqs!A:E,2,FALSE))-AL226),"-",LEN(VLOOKUP(A226,Seqs!A:E,2,FALSE))-AL226)</f>
        <v>142</v>
      </c>
      <c r="BB226" s="16">
        <f t="shared" si="129"/>
        <v>30</v>
      </c>
      <c r="BC226" s="9">
        <f t="shared" si="130"/>
        <v>20</v>
      </c>
      <c r="BD226" s="3">
        <f t="shared" si="131"/>
        <v>30</v>
      </c>
      <c r="BE226" s="3">
        <f t="shared" si="132"/>
        <v>92</v>
      </c>
    </row>
    <row r="227" spans="1:58" s="3" customFormat="1" x14ac:dyDescent="0.2">
      <c r="A227" s="3" t="s">
        <v>364</v>
      </c>
      <c r="B227" s="3" t="str">
        <f>LOWER(VLOOKUP(A227,Xtal_Templ!A:B,2,FALSE))</f>
        <v>ta2r_human</v>
      </c>
      <c r="C227" s="3">
        <f>VLOOKUP($A227,'SegEnds_NonXtal_BW#'!$A:$Z,3,FALSE)+D227-50</f>
        <v>29</v>
      </c>
      <c r="D227" s="3">
        <v>44</v>
      </c>
      <c r="E227" s="3">
        <f>IF(ISERROR(VLOOKUP($A227,'SegEnds_NonXtal_BW#'!$A:$Z,4,FALSE)+VLOOKUP($A227,A:AL,4,FALSE)-50),"-",(VLOOKUP($A227,'SegEnds_NonXtal_BW#'!$A:$Z,4,FALSE)+VLOOKUP($A227,A:AL,4,FALSE)-50))</f>
        <v>55</v>
      </c>
      <c r="F227" s="3">
        <f>G227-2</f>
        <v>56</v>
      </c>
      <c r="G227" s="3">
        <v>58</v>
      </c>
      <c r="H227" s="3">
        <f>G227+1</f>
        <v>59</v>
      </c>
      <c r="I227" s="3">
        <f>H227+1</f>
        <v>60</v>
      </c>
      <c r="J227" s="3">
        <v>77</v>
      </c>
      <c r="K227" s="3">
        <f>VLOOKUP($A227,'SegEnds_NonXtal_BW#'!$A:$Z,8,FALSE)+VLOOKUP($A227,A:AL,10,FALSE)-50</f>
        <v>94</v>
      </c>
      <c r="L227" s="3">
        <f>M227-1</f>
        <v>97</v>
      </c>
      <c r="M227" s="3">
        <v>98</v>
      </c>
      <c r="N227" s="3">
        <f>M227+2</f>
        <v>100</v>
      </c>
      <c r="O227" s="3">
        <f>N227+1</f>
        <v>101</v>
      </c>
      <c r="P227" s="3">
        <v>133</v>
      </c>
      <c r="Q227" s="3">
        <f>VLOOKUP($A227,'SegEnds_NonXtal_BW#'!$A:$Z,12,FALSE)+VLOOKUP($A227,A:AL,16,FALSE)-50</f>
        <v>139</v>
      </c>
      <c r="R227" s="3">
        <f>IF(ISERROR(VLOOKUP($A227,'SegEnds_NonXtal_BW#'!$A:$Z,13,FALSE)+VLOOKUP($A227,A:AL,19,FALSE)-50),"-",VLOOKUP($A227,'SegEnds_NonXtal_BW#'!$A:$Z,13,FALSE)+VLOOKUP($A227,A:AL,19,FALSE)-50)</f>
        <v>140</v>
      </c>
      <c r="S227" s="3">
        <v>140</v>
      </c>
      <c r="T227" s="100">
        <f>IF(ISERROR(VLOOKUP($A227,'SegEnds_NonXtal_BW#'!$A:$Z,14,FALSE)+VLOOKUP($A227,A:AL,19,FALSE)-50),"-",(VLOOKUP($A227,'SegEnds_NonXtal_BW#'!$A:$Z,14,FALSE)+VLOOKUP($A227,A:AL,19,FALSE)-50))</f>
        <v>147</v>
      </c>
      <c r="U227" s="9">
        <f>IF(ISERROR(VLOOKUP($A227,'SegEnds_NonXtal_BW#'!$A:$Z,15,FALSE)+VLOOKUP($A227,A:AL,22,FALSE)-50),"-",VLOOKUP($A227,'SegEnds_NonXtal_BW#'!$A:$Z,15,FALSE)+VLOOKUP($A227,A:AL,22,FALSE)-50)</f>
        <v>148</v>
      </c>
      <c r="V227" s="3">
        <v>160</v>
      </c>
      <c r="W227" s="3">
        <f>IF(ISERROR(VLOOKUP($A227,'SegEnds_NonXtal_BW#'!$A:$Z,16,FALSE)+VLOOKUP($A227,A:AL,22,FALSE)-50),"-",(VLOOKUP($A227,'SegEnds_NonXtal_BW#'!$A:$Z,16,FALSE)+VLOOKUP($A227,A:AL,22,FALSE)-50))</f>
        <v>173</v>
      </c>
      <c r="X227" s="3">
        <f>IF(ISERROR(VLOOKUP($A227,'SegEnds_NonXtal_BW#'!$A:$Z,17,FALSE)+VLOOKUP($A227,A:AL,25,FALSE)-50),"-",(VLOOKUP($A227,'SegEnds_NonXtal_BW#'!$A:$Z,17,FALSE)+VLOOKUP($A227,A:AL,25,FALSE)-50))</f>
        <v>186</v>
      </c>
      <c r="Y227" s="3">
        <v>186</v>
      </c>
      <c r="Z227" s="3">
        <f t="shared" ref="Z227:Z232" si="138">Y227+2</f>
        <v>188</v>
      </c>
      <c r="AA227" s="3">
        <f>IF(ISERROR(VLOOKUP($A227,'SegEnds_NonXtal_BW#'!$A:$Z,19,FALSE)+VLOOKUP($A227,A:AL,28,FALSE)-50),"-",(VLOOKUP($A227,'SegEnds_NonXtal_BW#'!$A:$Z,19,FALSE)+VLOOKUP($A227,A:AL,28,FALSE)-50))</f>
        <v>199</v>
      </c>
      <c r="AB227" s="3">
        <v>214</v>
      </c>
      <c r="AC227" s="3">
        <f>IF(ISERROR((VLOOKUP($A227,'SegEnds_NonXtal_BW#'!$A:$Z,20,FALSE)+VLOOKUP($A227,A:AL,28,FALSE)-50)),"-",(VLOOKUP($A227,'SegEnds_NonXtal_BW#'!$A:$Z,20,FALSE)+VLOOKUP($A227,A:AL,28,FALSE)-50))</f>
        <v>236</v>
      </c>
      <c r="AD227" s="3">
        <f>IF(ISERROR(VLOOKUP($A227,'SegEnds_NonXtal_BW#'!$A:$Z,21,FALSE)+VLOOKUP($A227,A:AL,31,FALSE)-50),"-",(VLOOKUP($A227,'SegEnds_NonXtal_BW#'!$A:$Z,21,FALSE)+VLOOKUP($A227,A:AL,31,FALSE)-50))</f>
        <v>243</v>
      </c>
      <c r="AE227" s="3">
        <v>264</v>
      </c>
      <c r="AF227" s="3">
        <f>IF(ISERROR((VLOOKUP($A227,'SegEnds_NonXtal_BW#'!$A:$Z,22,FALSE)+VLOOKUP($A227,A:AL,31,FALSE)-50)),"-",(VLOOKUP($A227,'SegEnds_NonXtal_BW#'!$A:$Z,22,FALSE)+VLOOKUP($A227,A:AL,31,FALSE)-50))</f>
        <v>275</v>
      </c>
      <c r="AG227" s="3">
        <f>IF(ISERROR(VLOOKUP($A227,'SegEnds_NonXtal_BW#'!$A:$Z,23,FALSE)+VLOOKUP($A227,A:AL,34,FALSE)-50),"-",(VLOOKUP($A227,'SegEnds_NonXtal_BW#'!$A:$Z,23,FALSE)+VLOOKUP($A227,A:AL,34,FALSE)-50))</f>
        <v>282</v>
      </c>
      <c r="AH227" s="3">
        <v>301</v>
      </c>
      <c r="AI227" s="3">
        <f>IF(ISERROR((VLOOKUP($A227,'SegEnds_NonXtal_BW#'!$A:$Z,24,FALSE)+VLOOKUP($A227,A:AL,34,FALSE)-50)),"-",(VLOOKUP($A227,'SegEnds_NonXtal_BW#'!$A:$Z,24,FALSE)+VLOOKUP($A227,A:AL,34,FALSE)-50))</f>
        <v>307</v>
      </c>
      <c r="AJ227" s="3">
        <f>IF(ISERROR(VLOOKUP($A227,'SegEnds_NonXtal_BW#'!$A:$Z,25,FALSE)+VLOOKUP($A227,A:AL,37,FALSE)-50),"-",(VLOOKUP($A227,'SegEnds_NonXtal_BW#'!$A:$Z,25,FALSE)+VLOOKUP($A227,A:AL,37,FALSE)-50))</f>
        <v>308</v>
      </c>
      <c r="AK227" s="3">
        <v>311</v>
      </c>
      <c r="AL227" s="3">
        <f>IF(ISERROR((VLOOKUP($A227,'SegEnds_NonXtal_BW#'!$A:$Z,26,FALSE)+VLOOKUP($A227,A:AL,37,FALSE)-50)),"-",(VLOOKUP($A227,'SegEnds_NonXtal_BW#'!$A:$Z,26,FALSE)+VLOOKUP($A227,A:AL,37,FALSE)-50))</f>
        <v>327</v>
      </c>
      <c r="AM227" s="28" t="str">
        <f>VLOOKUP(A227,Classification!A:B,2,FALSE)</f>
        <v>A</v>
      </c>
      <c r="AN227" s="28" t="b">
        <f t="shared" si="133"/>
        <v>1</v>
      </c>
      <c r="AO227" s="3" t="str">
        <f>IF(ISERROR(MATCH(A227,'SegEnds_Xtal_Prot#'!B:B, 0)), "NoXtal", "Xtal")</f>
        <v>NoXtal</v>
      </c>
      <c r="AP227" s="3">
        <f t="shared" si="118"/>
        <v>1</v>
      </c>
      <c r="AQ227" s="3">
        <f t="shared" si="119"/>
        <v>1</v>
      </c>
      <c r="AR227" s="3">
        <f t="shared" si="120"/>
        <v>3</v>
      </c>
      <c r="AS227" s="3">
        <f t="shared" si="121"/>
        <v>1</v>
      </c>
      <c r="AT227" s="3">
        <f t="shared" si="122"/>
        <v>1</v>
      </c>
      <c r="AU227" s="3">
        <f t="shared" si="123"/>
        <v>1</v>
      </c>
      <c r="AV227" s="3">
        <f t="shared" si="124"/>
        <v>13</v>
      </c>
      <c r="AW227" s="3">
        <f t="shared" si="125"/>
        <v>11</v>
      </c>
      <c r="AX227" s="3">
        <f t="shared" si="126"/>
        <v>7</v>
      </c>
      <c r="AY227" s="3">
        <f t="shared" si="127"/>
        <v>7</v>
      </c>
      <c r="AZ227" s="3">
        <f t="shared" si="128"/>
        <v>1</v>
      </c>
      <c r="BA227" s="3">
        <f>IF(ISERROR(LEN(VLOOKUP(A227,Seqs!A:E,2,FALSE))-AL227),"-",LEN(VLOOKUP(A227,Seqs!A:E,2,FALSE))-AL227)</f>
        <v>32</v>
      </c>
      <c r="BB227" s="16">
        <f t="shared" si="129"/>
        <v>33</v>
      </c>
      <c r="BC227" s="9">
        <f t="shared" si="130"/>
        <v>20</v>
      </c>
      <c r="BD227" s="3">
        <f t="shared" si="131"/>
        <v>33</v>
      </c>
      <c r="BE227" s="3">
        <f t="shared" si="132"/>
        <v>50</v>
      </c>
    </row>
    <row r="228" spans="1:58" s="3" customFormat="1" x14ac:dyDescent="0.2">
      <c r="A228" s="3" t="s">
        <v>365</v>
      </c>
      <c r="B228" s="3" t="str">
        <f>LOWER(VLOOKUP(A228,Xtal_Templ!A:B,2,FALSE))</f>
        <v>pe2r4_human</v>
      </c>
      <c r="C228" s="3">
        <f>VLOOKUP($A228,'SegEnds_NonXtal_BW#'!$A:$Z,3,FALSE)+D228-50</f>
        <v>14</v>
      </c>
      <c r="D228" s="3">
        <v>31</v>
      </c>
      <c r="E228" s="3">
        <f>IF(ISERROR(VLOOKUP($A228,'SegEnds_NonXtal_BW#'!$A:$Z,4,FALSE)+VLOOKUP($A228,A:AL,4,FALSE)-50),"-",(VLOOKUP($A228,'SegEnds_NonXtal_BW#'!$A:$Z,4,FALSE)+VLOOKUP($A228,A:AL,4,FALSE)-50))</f>
        <v>39</v>
      </c>
      <c r="F228" s="3" t="str">
        <f>IF(ISERROR(VLOOKUP($A228,'SegEnds_NonXtal_BW#'!$A:$Z,5,FALSE)+VLOOKUP($A228,A:AL,7,FALSE)-50),"-",(VLOOKUP($A228,'SegEnds_NonXtal_BW#'!$A:$Z,5,FALSE)+VLOOKUP($A228,A:AL,7,FALSE)-50))</f>
        <v>-</v>
      </c>
      <c r="G228" s="3" t="s">
        <v>23</v>
      </c>
      <c r="H228" s="3" t="str">
        <f>IF(ISERROR(VLOOKUP($A228,'SegEnds_NonXtal_BW#'!$A:$Z,6,FALSE)+VLOOKUP($A228,A:AL,7,FALSE)-50),"-",(VLOOKUP($A228,'SegEnds_NonXtal_BW#'!$A:$Z,6,FALSE)+VLOOKUP($A228,A:AL,7,FALSE)-50))</f>
        <v>-</v>
      </c>
      <c r="I228" s="3">
        <f>VLOOKUP($A228,'SegEnds_NonXtal_BW#'!$A:$Z,7,FALSE)+J228-50</f>
        <v>47</v>
      </c>
      <c r="J228" s="3">
        <v>60</v>
      </c>
      <c r="K228" s="3">
        <f>VLOOKUP($A228,'SegEnds_NonXtal_BW#'!$A:$Z,8,FALSE)+VLOOKUP($A228,A:AL,10,FALSE)-50</f>
        <v>77</v>
      </c>
      <c r="L228" s="3" t="str">
        <f>IF(ISERROR(VLOOKUP($A228,'SegEnds_NonXtal_BW#'!$A:$Z,9,FALSE)+VLOOKUP($A228,A:AL,13,FALSE)-50),"-",(VLOOKUP($A228,'SegEnds_NonXtal_BW#'!$A:$Z,9,FALSE)+VLOOKUP($A228,A:AL,13,FALSE)-50))</f>
        <v>-</v>
      </c>
      <c r="M228" s="3" t="s">
        <v>23</v>
      </c>
      <c r="N228" s="3" t="str">
        <f>IF(ISERROR(VLOOKUP($A228,'SegEnds_NonXtal_BW#'!$A:$Z,10,FALSE)+VLOOKUP($A228,A:AL,13,FALSE)-50),"-",(VLOOKUP($A228,'SegEnds_NonXtal_BW#'!$A:$Z,10,FALSE)+VLOOKUP($A228,A:AL,13,FALSE)-50))</f>
        <v>-</v>
      </c>
      <c r="O228" s="3">
        <f>VLOOKUP($A228,'SegEnds_NonXtal_BW#'!$A:$Z,11,FALSE)+VLOOKUP($A228,A:AL,16,FALSE)-50</f>
        <v>85</v>
      </c>
      <c r="P228" s="3">
        <v>117</v>
      </c>
      <c r="Q228" s="3">
        <f>VLOOKUP($A228,'SegEnds_NonXtal_BW#'!$A:$Z,12,FALSE)+VLOOKUP($A228,A:AL,16,FALSE)-50</f>
        <v>123</v>
      </c>
      <c r="R228" s="3">
        <f>IF(ISERROR(VLOOKUP($A228,'SegEnds_NonXtal_BW#'!$A:$Z,13,FALSE)+VLOOKUP($A228,A:AL,19,FALSE)-50),"-",VLOOKUP($A228,'SegEnds_NonXtal_BW#'!$A:$Z,13,FALSE)+VLOOKUP($A228,A:AL,19,FALSE)-50)</f>
        <v>124</v>
      </c>
      <c r="S228" s="3">
        <v>124</v>
      </c>
      <c r="T228" s="100">
        <f>IF(ISERROR(VLOOKUP($A228,'SegEnds_NonXtal_BW#'!$A:$Z,14,FALSE)+VLOOKUP($A228,A:AL,19,FALSE)-50),"-",(VLOOKUP($A228,'SegEnds_NonXtal_BW#'!$A:$Z,14,FALSE)+VLOOKUP($A228,A:AL,19,FALSE)-50))</f>
        <v>131</v>
      </c>
      <c r="U228" s="9">
        <f>IF(ISERROR(VLOOKUP($A228,'SegEnds_NonXtal_BW#'!$A:$Z,15,FALSE)+VLOOKUP($A228,A:AL,22,FALSE)-50),"-",VLOOKUP($A228,'SegEnds_NonXtal_BW#'!$A:$Z,15,FALSE)+VLOOKUP($A228,A:AL,22,FALSE)-50)</f>
        <v>132</v>
      </c>
      <c r="V228" s="3">
        <v>144</v>
      </c>
      <c r="W228" s="3">
        <f>IF(ISERROR(VLOOKUP($A228,'SegEnds_NonXtal_BW#'!$A:$Z,16,FALSE)+VLOOKUP($A228,A:AL,22,FALSE)-50),"-",(VLOOKUP($A228,'SegEnds_NonXtal_BW#'!$A:$Z,16,FALSE)+VLOOKUP($A228,A:AL,22,FALSE)-50))</f>
        <v>157</v>
      </c>
      <c r="X228" s="3">
        <f>IF(ISERROR(VLOOKUP($A228,'SegEnds_NonXtal_BW#'!$A:$Z,17,FALSE)+VLOOKUP($A228,A:AL,25,FALSE)-50),"-",(VLOOKUP($A228,'SegEnds_NonXtal_BW#'!$A:$Z,17,FALSE)+VLOOKUP($A228,A:AL,25,FALSE)-50))</f>
        <v>170</v>
      </c>
      <c r="Y228" s="3">
        <v>170</v>
      </c>
      <c r="Z228" s="3">
        <f t="shared" si="138"/>
        <v>172</v>
      </c>
      <c r="AA228" s="3">
        <f>IF(ISERROR(VLOOKUP($A228,'SegEnds_NonXtal_BW#'!$A:$Z,19,FALSE)+VLOOKUP($A228,A:AL,28,FALSE)-50),"-",(VLOOKUP($A228,'SegEnds_NonXtal_BW#'!$A:$Z,19,FALSE)+VLOOKUP($A228,A:AL,28,FALSE)-50))</f>
        <v>180</v>
      </c>
      <c r="AB228" s="3">
        <v>197</v>
      </c>
      <c r="AC228" s="3">
        <f>IF(ISERROR((VLOOKUP($A228,'SegEnds_NonXtal_BW#'!$A:$Z,20,FALSE)+VLOOKUP($A228,A:AL,28,FALSE)-50)),"-",(VLOOKUP($A228,'SegEnds_NonXtal_BW#'!$A:$Z,20,FALSE)+VLOOKUP($A228,A:AL,28,FALSE)-50))</f>
        <v>220</v>
      </c>
      <c r="AD228" s="3">
        <f>IF(ISERROR(VLOOKUP($A228,'SegEnds_NonXtal_BW#'!$A:$Z,21,FALSE)+VLOOKUP($A228,A:AL,31,FALSE)-50),"-",(VLOOKUP($A228,'SegEnds_NonXtal_BW#'!$A:$Z,21,FALSE)+VLOOKUP($A228,A:AL,31,FALSE)-50))</f>
        <v>226</v>
      </c>
      <c r="AE228" s="3">
        <v>254</v>
      </c>
      <c r="AF228" s="3">
        <f>IF(ISERROR((VLOOKUP($A228,'SegEnds_NonXtal_BW#'!$A:$Z,22,FALSE)+VLOOKUP($A228,A:AL,31,FALSE)-50)),"-",(VLOOKUP($A228,'SegEnds_NonXtal_BW#'!$A:$Z,22,FALSE)+VLOOKUP($A228,A:AL,31,FALSE)-50))</f>
        <v>265</v>
      </c>
      <c r="AG228" s="3">
        <f>IF(ISERROR(VLOOKUP($A228,'SegEnds_NonXtal_BW#'!$A:$Z,23,FALSE)+VLOOKUP($A228,A:AL,34,FALSE)-50),"-",(VLOOKUP($A228,'SegEnds_NonXtal_BW#'!$A:$Z,23,FALSE)+VLOOKUP($A228,A:AL,34,FALSE)-50))</f>
        <v>270</v>
      </c>
      <c r="AH228" s="3">
        <v>289</v>
      </c>
      <c r="AI228" s="3">
        <f>IF(ISERROR((VLOOKUP($A228,'SegEnds_NonXtal_BW#'!$A:$Z,24,FALSE)+VLOOKUP($A228,A:AL,34,FALSE)-50)),"-",(VLOOKUP($A228,'SegEnds_NonXtal_BW#'!$A:$Z,24,FALSE)+VLOOKUP($A228,A:AL,34,FALSE)-50))</f>
        <v>295</v>
      </c>
      <c r="AJ228" s="3">
        <f>IF(ISERROR(VLOOKUP($A228,'SegEnds_NonXtal_BW#'!$A:$Z,25,FALSE)+VLOOKUP($A228,A:AL,37,FALSE)-50),"-",(VLOOKUP($A228,'SegEnds_NonXtal_BW#'!$A:$Z,25,FALSE)+VLOOKUP($A228,A:AL,37,FALSE)-50))</f>
        <v>296</v>
      </c>
      <c r="AK228" s="3">
        <v>299</v>
      </c>
      <c r="AL228" s="3">
        <f>IF(ISERROR((VLOOKUP($A228,'SegEnds_NonXtal_BW#'!$A:$Z,26,FALSE)+VLOOKUP($A228,A:AL,37,FALSE)-50)),"-",(VLOOKUP($A228,'SegEnds_NonXtal_BW#'!$A:$Z,26,FALSE)+VLOOKUP($A228,A:AL,37,FALSE)-50))</f>
        <v>309</v>
      </c>
      <c r="AM228" s="28" t="str">
        <f>VLOOKUP(A228,Classification!A:B,2,FALSE)</f>
        <v>A</v>
      </c>
      <c r="AN228" s="28" t="b">
        <f t="shared" si="133"/>
        <v>1</v>
      </c>
      <c r="AO228" s="3" t="str">
        <f>IF(ISERROR(MATCH(A228,'SegEnds_Xtal_Prot#'!B:B, 0)), "NoXtal", "Xtal")</f>
        <v>NoXtal</v>
      </c>
      <c r="AP228" s="3" t="str">
        <f t="shared" si="118"/>
        <v>-</v>
      </c>
      <c r="AQ228" s="3" t="str">
        <f t="shared" si="119"/>
        <v>-</v>
      </c>
      <c r="AR228" s="3" t="str">
        <f t="shared" si="120"/>
        <v>-</v>
      </c>
      <c r="AS228" s="3" t="str">
        <f t="shared" si="121"/>
        <v>-</v>
      </c>
      <c r="AT228" s="3">
        <f t="shared" si="122"/>
        <v>1</v>
      </c>
      <c r="AU228" s="3">
        <f t="shared" si="123"/>
        <v>1</v>
      </c>
      <c r="AV228" s="3">
        <f t="shared" si="124"/>
        <v>13</v>
      </c>
      <c r="AW228" s="3">
        <f t="shared" si="125"/>
        <v>8</v>
      </c>
      <c r="AX228" s="3">
        <f t="shared" si="126"/>
        <v>6</v>
      </c>
      <c r="AY228" s="3">
        <f t="shared" si="127"/>
        <v>5</v>
      </c>
      <c r="AZ228" s="3">
        <f t="shared" si="128"/>
        <v>1</v>
      </c>
      <c r="BA228" s="3">
        <f>IF(ISERROR(LEN(VLOOKUP(A228,Seqs!A:E,2,FALSE))-AL228),"-",LEN(VLOOKUP(A228,Seqs!A:E,2,FALSE))-AL228)</f>
        <v>77</v>
      </c>
      <c r="BB228" s="16">
        <f t="shared" si="129"/>
        <v>29</v>
      </c>
      <c r="BC228" s="9">
        <f t="shared" si="130"/>
        <v>20</v>
      </c>
      <c r="BD228" s="3">
        <f t="shared" si="131"/>
        <v>29</v>
      </c>
      <c r="BE228" s="3">
        <f t="shared" si="132"/>
        <v>57</v>
      </c>
    </row>
    <row r="229" spans="1:58" s="3" customFormat="1" x14ac:dyDescent="0.2">
      <c r="A229" s="3" t="s">
        <v>369</v>
      </c>
      <c r="B229" s="3" t="str">
        <f>LOWER(VLOOKUP(A229,Xtal_Templ!A:B,2,FALSE))</f>
        <v>ptafr_human</v>
      </c>
      <c r="C229" s="3">
        <f>VLOOKUP($A229,'SegEnds_NonXtal_BW#'!$A:$Z,3,FALSE)+D229-50</f>
        <v>9</v>
      </c>
      <c r="D229" s="3">
        <v>32</v>
      </c>
      <c r="E229" s="3">
        <f>IF(ISERROR(VLOOKUP($A229,'SegEnds_NonXtal_BW#'!$A:$Z,4,FALSE)+VLOOKUP($A229,A:AL,4,FALSE)-50),"-",(VLOOKUP($A229,'SegEnds_NonXtal_BW#'!$A:$Z,4,FALSE)+VLOOKUP($A229,A:AL,4,FALSE)-50))</f>
        <v>43</v>
      </c>
      <c r="F229" s="3" t="str">
        <f>IF(ISERROR(VLOOKUP($A229,'SegEnds_NonXtal_BW#'!$A:$Z,5,FALSE)+VLOOKUP($A229,A:AL,7,FALSE)-50),"-",(VLOOKUP($A229,'SegEnds_NonXtal_BW#'!$A:$Z,5,FALSE)+VLOOKUP($A229,A:AL,7,FALSE)-50))</f>
        <v>-</v>
      </c>
      <c r="G229" s="3" t="s">
        <v>23</v>
      </c>
      <c r="H229" s="3" t="str">
        <f>IF(ISERROR(VLOOKUP($A229,'SegEnds_NonXtal_BW#'!$A:$Z,6,FALSE)+VLOOKUP($A229,A:AL,7,FALSE)-50),"-",(VLOOKUP($A229,'SegEnds_NonXtal_BW#'!$A:$Z,6,FALSE)+VLOOKUP($A229,A:AL,7,FALSE)-50))</f>
        <v>-</v>
      </c>
      <c r="I229" s="3">
        <f>VLOOKUP($A229,'SegEnds_NonXtal_BW#'!$A:$Z,7,FALSE)+J229-50</f>
        <v>47</v>
      </c>
      <c r="J229" s="3">
        <v>60</v>
      </c>
      <c r="K229" s="3">
        <f>VLOOKUP($A229,'SegEnds_NonXtal_BW#'!$A:$Z,8,FALSE)+VLOOKUP($A229,A:AL,10,FALSE)-50</f>
        <v>77</v>
      </c>
      <c r="L229" s="3">
        <f>M229-1</f>
        <v>79</v>
      </c>
      <c r="M229" s="3">
        <v>80</v>
      </c>
      <c r="N229" s="3">
        <f>M229+2</f>
        <v>82</v>
      </c>
      <c r="O229" s="3">
        <f t="shared" ref="O229:O252" si="139">N229+1</f>
        <v>83</v>
      </c>
      <c r="P229" s="3">
        <v>112</v>
      </c>
      <c r="Q229" s="3">
        <f>VLOOKUP($A229,'SegEnds_NonXtal_BW#'!$A:$Z,12,FALSE)+VLOOKUP($A229,A:AL,16,FALSE)-50</f>
        <v>118</v>
      </c>
      <c r="R229" s="3">
        <f>IF(ISERROR(VLOOKUP($A229,'SegEnds_NonXtal_BW#'!$A:$Z,13,FALSE)+VLOOKUP($A229,A:AL,19,FALSE)-50),"-",VLOOKUP($A229,'SegEnds_NonXtal_BW#'!$A:$Z,13,FALSE)+VLOOKUP($A229,A:AL,19,FALSE)-50)</f>
        <v>119</v>
      </c>
      <c r="S229" s="3">
        <v>119</v>
      </c>
      <c r="T229" s="100">
        <f>IF(ISERROR(VLOOKUP($A229,'SegEnds_NonXtal_BW#'!$A:$Z,14,FALSE)+VLOOKUP($A229,A:AL,19,FALSE)-50),"-",(VLOOKUP($A229,'SegEnds_NonXtal_BW#'!$A:$Z,14,FALSE)+VLOOKUP($A229,A:AL,19,FALSE)-50))</f>
        <v>126</v>
      </c>
      <c r="U229" s="9">
        <f>IF(ISERROR(VLOOKUP($A229,'SegEnds_NonXtal_BW#'!$A:$Z,15,FALSE)+VLOOKUP($A229,A:AL,22,FALSE)-50),"-",VLOOKUP($A229,'SegEnds_NonXtal_BW#'!$A:$Z,15,FALSE)+VLOOKUP($A229,A:AL,22,FALSE)-50)</f>
        <v>127</v>
      </c>
      <c r="V229" s="3">
        <v>139</v>
      </c>
      <c r="W229" s="3">
        <f>IF(ISERROR(VLOOKUP($A229,'SegEnds_NonXtal_BW#'!$A:$Z,16,FALSE)+VLOOKUP($A229,A:AL,22,FALSE)-50),"-",(VLOOKUP($A229,'SegEnds_NonXtal_BW#'!$A:$Z,16,FALSE)+VLOOKUP($A229,A:AL,22,FALSE)-50))</f>
        <v>152</v>
      </c>
      <c r="X229" s="3">
        <f>IF(ISERROR(VLOOKUP($A229,'SegEnds_NonXtal_BW#'!$A:$Z,17,FALSE)+VLOOKUP($A229,A:AL,25,FALSE)-50),"-",(VLOOKUP($A229,'SegEnds_NonXtal_BW#'!$A:$Z,17,FALSE)+VLOOKUP($A229,A:AL,25,FALSE)-50))</f>
        <v>170</v>
      </c>
      <c r="Y229" s="3">
        <v>170</v>
      </c>
      <c r="Z229" s="3">
        <f t="shared" si="138"/>
        <v>172</v>
      </c>
      <c r="AA229" s="3">
        <f>IF(ISERROR(VLOOKUP($A229,'SegEnds_NonXtal_BW#'!$A:$Z,19,FALSE)+VLOOKUP($A229,A:AL,28,FALSE)-50),"-",(VLOOKUP($A229,'SegEnds_NonXtal_BW#'!$A:$Z,19,FALSE)+VLOOKUP($A229,A:AL,28,FALSE)-50))</f>
        <v>178</v>
      </c>
      <c r="AB229" s="3">
        <v>195</v>
      </c>
      <c r="AC229" s="3">
        <f>IF(ISERROR((VLOOKUP($A229,'SegEnds_NonXtal_BW#'!$A:$Z,20,FALSE)+VLOOKUP($A229,A:AL,28,FALSE)-50)),"-",(VLOOKUP($A229,'SegEnds_NonXtal_BW#'!$A:$Z,20,FALSE)+VLOOKUP($A229,A:AL,28,FALSE)-50))</f>
        <v>212</v>
      </c>
      <c r="AD229" s="3">
        <f>IF(ISERROR(VLOOKUP($A229,'SegEnds_NonXtal_BW#'!$A:$Z,21,FALSE)+VLOOKUP($A229,A:AL,31,FALSE)-50),"-",(VLOOKUP($A229,'SegEnds_NonXtal_BW#'!$A:$Z,21,FALSE)+VLOOKUP($A229,A:AL,31,FALSE)-50))</f>
        <v>217</v>
      </c>
      <c r="AE229" s="3">
        <v>241</v>
      </c>
      <c r="AF229" s="3">
        <f>IF(ISERROR((VLOOKUP($A229,'SegEnds_NonXtal_BW#'!$A:$Z,22,FALSE)+VLOOKUP($A229,A:AL,31,FALSE)-50)),"-",(VLOOKUP($A229,'SegEnds_NonXtal_BW#'!$A:$Z,22,FALSE)+VLOOKUP($A229,A:AL,31,FALSE)-50))</f>
        <v>255</v>
      </c>
      <c r="AG229" s="3">
        <f>IF(ISERROR(VLOOKUP($A229,'SegEnds_NonXtal_BW#'!$A:$Z,23,FALSE)+VLOOKUP($A229,A:AL,34,FALSE)-50),"-",(VLOOKUP($A229,'SegEnds_NonXtal_BW#'!$A:$Z,23,FALSE)+VLOOKUP($A229,A:AL,34,FALSE)-50))</f>
        <v>261</v>
      </c>
      <c r="AH229" s="3">
        <v>287</v>
      </c>
      <c r="AI229" s="3">
        <f>IF(ISERROR((VLOOKUP($A229,'SegEnds_NonXtal_BW#'!$A:$Z,24,FALSE)+VLOOKUP($A229,A:AL,34,FALSE)-50)),"-",(VLOOKUP($A229,'SegEnds_NonXtal_BW#'!$A:$Z,24,FALSE)+VLOOKUP($A229,A:AL,34,FALSE)-50))</f>
        <v>296</v>
      </c>
      <c r="AJ229" s="3">
        <f>IF(ISERROR(VLOOKUP($A229,'SegEnds_NonXtal_BW#'!$A:$Z,25,FALSE)+VLOOKUP($A229,A:AL,37,FALSE)-50),"-",(VLOOKUP($A229,'SegEnds_NonXtal_BW#'!$A:$Z,25,FALSE)+VLOOKUP($A229,A:AL,37,FALSE)-50))</f>
        <v>297</v>
      </c>
      <c r="AK229" s="3">
        <v>297</v>
      </c>
      <c r="AL229" s="3">
        <f>IF(ISERROR((VLOOKUP($A229,'SegEnds_NonXtal_BW#'!$A:$Z,26,FALSE)+VLOOKUP($A229,A:AL,37,FALSE)-50)),"-",(VLOOKUP($A229,'SegEnds_NonXtal_BW#'!$A:$Z,26,FALSE)+VLOOKUP($A229,A:AL,37,FALSE)-50))</f>
        <v>310</v>
      </c>
      <c r="AM229" s="28" t="str">
        <f>VLOOKUP(A229,Classification!A:B,2,FALSE)</f>
        <v>A</v>
      </c>
      <c r="AN229" s="28" t="b">
        <f t="shared" si="133"/>
        <v>1</v>
      </c>
      <c r="AO229" s="3" t="str">
        <f>IF(ISERROR(MATCH(A229,'SegEnds_Xtal_Prot#'!B:B, 0)), "NoXtal", "Xtal")</f>
        <v>NoXtal</v>
      </c>
      <c r="AP229" s="3" t="str">
        <f t="shared" si="118"/>
        <v>-</v>
      </c>
      <c r="AQ229" s="3" t="str">
        <f t="shared" si="119"/>
        <v>-</v>
      </c>
      <c r="AR229" s="3">
        <f t="shared" si="120"/>
        <v>2</v>
      </c>
      <c r="AS229" s="3">
        <f t="shared" si="121"/>
        <v>1</v>
      </c>
      <c r="AT229" s="3">
        <f t="shared" si="122"/>
        <v>1</v>
      </c>
      <c r="AU229" s="3">
        <f t="shared" si="123"/>
        <v>1</v>
      </c>
      <c r="AV229" s="3">
        <f t="shared" si="124"/>
        <v>18</v>
      </c>
      <c r="AW229" s="3">
        <f t="shared" si="125"/>
        <v>6</v>
      </c>
      <c r="AX229" s="3">
        <f t="shared" si="126"/>
        <v>5</v>
      </c>
      <c r="AY229" s="3">
        <f t="shared" si="127"/>
        <v>6</v>
      </c>
      <c r="AZ229" s="3">
        <f t="shared" si="128"/>
        <v>1</v>
      </c>
      <c r="BA229" s="3">
        <f>IF(ISERROR(LEN(VLOOKUP(A229,Seqs!A:E,2,FALSE))-AL229),"-",LEN(VLOOKUP(A229,Seqs!A:E,2,FALSE))-AL229)</f>
        <v>27</v>
      </c>
      <c r="BB229" s="16">
        <f t="shared" si="129"/>
        <v>28</v>
      </c>
      <c r="BC229" s="9">
        <f t="shared" si="130"/>
        <v>20</v>
      </c>
      <c r="BD229" s="3">
        <f t="shared" si="131"/>
        <v>28</v>
      </c>
      <c r="BE229" s="3">
        <f t="shared" si="132"/>
        <v>46</v>
      </c>
    </row>
    <row r="230" spans="1:58" s="3" customFormat="1" x14ac:dyDescent="0.2">
      <c r="A230" s="3" t="s">
        <v>370</v>
      </c>
      <c r="B230" s="3" t="str">
        <f>LOWER(VLOOKUP(A230,Xtal_Templ!A:B,2,FALSE))</f>
        <v>ptafr_human</v>
      </c>
      <c r="C230" s="3">
        <f>VLOOKUP($A230,'SegEnds_NonXtal_BW#'!$A:$Z,3,FALSE)+D230-50</f>
        <v>10</v>
      </c>
      <c r="D230" s="3">
        <v>33</v>
      </c>
      <c r="E230" s="3">
        <f>IF(ISERROR(VLOOKUP($A230,'SegEnds_NonXtal_BW#'!$A:$Z,4,FALSE)+VLOOKUP($A230,A:AL,4,FALSE)-50),"-",(VLOOKUP($A230,'SegEnds_NonXtal_BW#'!$A:$Z,4,FALSE)+VLOOKUP($A230,A:AL,4,FALSE)-50))</f>
        <v>44</v>
      </c>
      <c r="F230" s="3" t="str">
        <f>IF(ISERROR(VLOOKUP($A230,'SegEnds_NonXtal_BW#'!$A:$Z,5,FALSE)+VLOOKUP($A230,A:AL,7,FALSE)-50),"-",(VLOOKUP($A230,'SegEnds_NonXtal_BW#'!$A:$Z,5,FALSE)+VLOOKUP($A230,A:AL,7,FALSE)-50))</f>
        <v>-</v>
      </c>
      <c r="G230" s="3" t="s">
        <v>23</v>
      </c>
      <c r="H230" s="3" t="str">
        <f>IF(ISERROR(VLOOKUP($A230,'SegEnds_NonXtal_BW#'!$A:$Z,6,FALSE)+VLOOKUP($A230,A:AL,7,FALSE)-50),"-",(VLOOKUP($A230,'SegEnds_NonXtal_BW#'!$A:$Z,6,FALSE)+VLOOKUP($A230,A:AL,7,FALSE)-50))</f>
        <v>-</v>
      </c>
      <c r="I230" s="3">
        <f>VLOOKUP($A230,'SegEnds_NonXtal_BW#'!$A:$Z,7,FALSE)+J230-50</f>
        <v>49</v>
      </c>
      <c r="J230" s="3">
        <v>63</v>
      </c>
      <c r="K230" s="3">
        <f>VLOOKUP($A230,'SegEnds_NonXtal_BW#'!$A:$Z,8,FALSE)+VLOOKUP($A230,A:AL,10,FALSE)-50</f>
        <v>80</v>
      </c>
      <c r="L230" s="3">
        <f>M230-1</f>
        <v>82</v>
      </c>
      <c r="M230" s="3">
        <v>83</v>
      </c>
      <c r="N230" s="3">
        <f>M230+2</f>
        <v>85</v>
      </c>
      <c r="O230" s="3">
        <f t="shared" si="139"/>
        <v>86</v>
      </c>
      <c r="P230" s="3">
        <v>115</v>
      </c>
      <c r="Q230" s="3">
        <f>VLOOKUP($A230,'SegEnds_NonXtal_BW#'!$A:$Z,12,FALSE)+VLOOKUP($A230,A:AL,16,FALSE)-50</f>
        <v>121</v>
      </c>
      <c r="R230" s="3">
        <f>IF(ISERROR(VLOOKUP($A230,'SegEnds_NonXtal_BW#'!$A:$Z,13,FALSE)+VLOOKUP($A230,A:AL,19,FALSE)-50),"-",VLOOKUP($A230,'SegEnds_NonXtal_BW#'!$A:$Z,13,FALSE)+VLOOKUP($A230,A:AL,19,FALSE)-50)</f>
        <v>122</v>
      </c>
      <c r="S230" s="3">
        <v>122</v>
      </c>
      <c r="T230" s="100">
        <f>IF(ISERROR(VLOOKUP($A230,'SegEnds_NonXtal_BW#'!$A:$Z,14,FALSE)+VLOOKUP($A230,A:AL,19,FALSE)-50),"-",(VLOOKUP($A230,'SegEnds_NonXtal_BW#'!$A:$Z,14,FALSE)+VLOOKUP($A230,A:AL,19,FALSE)-50))</f>
        <v>129</v>
      </c>
      <c r="U230" s="9">
        <f>IF(ISERROR(VLOOKUP($A230,'SegEnds_NonXtal_BW#'!$A:$Z,15,FALSE)+VLOOKUP($A230,A:AL,22,FALSE)-50),"-",VLOOKUP($A230,'SegEnds_NonXtal_BW#'!$A:$Z,15,FALSE)+VLOOKUP($A230,A:AL,22,FALSE)-50)</f>
        <v>130</v>
      </c>
      <c r="V230" s="3">
        <v>142</v>
      </c>
      <c r="W230" s="3">
        <f>IF(ISERROR(VLOOKUP($A230,'SegEnds_NonXtal_BW#'!$A:$Z,16,FALSE)+VLOOKUP($A230,A:AL,22,FALSE)-50),"-",(VLOOKUP($A230,'SegEnds_NonXtal_BW#'!$A:$Z,16,FALSE)+VLOOKUP($A230,A:AL,22,FALSE)-50))</f>
        <v>155</v>
      </c>
      <c r="X230" s="3">
        <f>IF(ISERROR(VLOOKUP($A230,'SegEnds_NonXtal_BW#'!$A:$Z,17,FALSE)+VLOOKUP($A230,A:AL,25,FALSE)-50),"-",(VLOOKUP($A230,'SegEnds_NonXtal_BW#'!$A:$Z,17,FALSE)+VLOOKUP($A230,A:AL,25,FALSE)-50))</f>
        <v>173</v>
      </c>
      <c r="Y230" s="3">
        <v>173</v>
      </c>
      <c r="Z230" s="3">
        <f t="shared" si="138"/>
        <v>175</v>
      </c>
      <c r="AA230" s="3">
        <f>IF(ISERROR(VLOOKUP($A230,'SegEnds_NonXtal_BW#'!$A:$Z,19,FALSE)+VLOOKUP($A230,A:AL,28,FALSE)-50),"-",(VLOOKUP($A230,'SegEnds_NonXtal_BW#'!$A:$Z,19,FALSE)+VLOOKUP($A230,A:AL,28,FALSE)-50))</f>
        <v>181</v>
      </c>
      <c r="AB230" s="3">
        <v>198</v>
      </c>
      <c r="AC230" s="3">
        <f>IF(ISERROR((VLOOKUP($A230,'SegEnds_NonXtal_BW#'!$A:$Z,20,FALSE)+VLOOKUP($A230,A:AL,28,FALSE)-50)),"-",(VLOOKUP($A230,'SegEnds_NonXtal_BW#'!$A:$Z,20,FALSE)+VLOOKUP($A230,A:AL,28,FALSE)-50))</f>
        <v>216</v>
      </c>
      <c r="AD230" s="3">
        <f>IF(ISERROR(VLOOKUP($A230,'SegEnds_NonXtal_BW#'!$A:$Z,21,FALSE)+VLOOKUP($A230,A:AL,31,FALSE)-50),"-",(VLOOKUP($A230,'SegEnds_NonXtal_BW#'!$A:$Z,21,FALSE)+VLOOKUP($A230,A:AL,31,FALSE)-50))</f>
        <v>221</v>
      </c>
      <c r="AE230" s="3">
        <v>247</v>
      </c>
      <c r="AF230" s="3">
        <f>IF(ISERROR((VLOOKUP($A230,'SegEnds_NonXtal_BW#'!$A:$Z,22,FALSE)+VLOOKUP($A230,A:AL,31,FALSE)-50)),"-",(VLOOKUP($A230,'SegEnds_NonXtal_BW#'!$A:$Z,22,FALSE)+VLOOKUP($A230,A:AL,31,FALSE)-50))</f>
        <v>261</v>
      </c>
      <c r="AG230" s="3">
        <f>IF(ISERROR(VLOOKUP($A230,'SegEnds_NonXtal_BW#'!$A:$Z,23,FALSE)+VLOOKUP($A230,A:AL,34,FALSE)-50),"-",(VLOOKUP($A230,'SegEnds_NonXtal_BW#'!$A:$Z,23,FALSE)+VLOOKUP($A230,A:AL,34,FALSE)-50))</f>
        <v>264</v>
      </c>
      <c r="AH230" s="3">
        <v>290</v>
      </c>
      <c r="AI230" s="3">
        <f>IF(ISERROR((VLOOKUP($A230,'SegEnds_NonXtal_BW#'!$A:$Z,24,FALSE)+VLOOKUP($A230,A:AL,34,FALSE)-50)),"-",(VLOOKUP($A230,'SegEnds_NonXtal_BW#'!$A:$Z,24,FALSE)+VLOOKUP($A230,A:AL,34,FALSE)-50))</f>
        <v>299</v>
      </c>
      <c r="AJ230" s="3">
        <f>IF(ISERROR(VLOOKUP($A230,'SegEnds_NonXtal_BW#'!$A:$Z,25,FALSE)+VLOOKUP($A230,A:AL,37,FALSE)-50),"-",(VLOOKUP($A230,'SegEnds_NonXtal_BW#'!$A:$Z,25,FALSE)+VLOOKUP($A230,A:AL,37,FALSE)-50))</f>
        <v>300</v>
      </c>
      <c r="AK230" s="3">
        <v>300</v>
      </c>
      <c r="AL230" s="3">
        <f>IF(ISERROR((VLOOKUP($A230,'SegEnds_NonXtal_BW#'!$A:$Z,26,FALSE)+VLOOKUP($A230,A:AL,37,FALSE)-50)),"-",(VLOOKUP($A230,'SegEnds_NonXtal_BW#'!$A:$Z,26,FALSE)+VLOOKUP($A230,A:AL,37,FALSE)-50))</f>
        <v>313</v>
      </c>
      <c r="AM230" s="28" t="str">
        <f>VLOOKUP(A230,Classification!A:B,2,FALSE)</f>
        <v>A</v>
      </c>
      <c r="AN230" s="28" t="b">
        <f t="shared" si="133"/>
        <v>1</v>
      </c>
      <c r="AO230" s="3" t="str">
        <f>IF(ISERROR(MATCH(A230,'SegEnds_Xtal_Prot#'!B:B, 0)), "NoXtal", "Xtal")</f>
        <v>Xtal</v>
      </c>
      <c r="AP230" s="3" t="str">
        <f t="shared" si="118"/>
        <v>-</v>
      </c>
      <c r="AQ230" s="3" t="str">
        <f t="shared" si="119"/>
        <v>-</v>
      </c>
      <c r="AR230" s="3">
        <f t="shared" si="120"/>
        <v>2</v>
      </c>
      <c r="AS230" s="3">
        <f t="shared" si="121"/>
        <v>1</v>
      </c>
      <c r="AT230" s="3">
        <f t="shared" si="122"/>
        <v>1</v>
      </c>
      <c r="AU230" s="3">
        <f t="shared" si="123"/>
        <v>1</v>
      </c>
      <c r="AV230" s="3">
        <f t="shared" si="124"/>
        <v>18</v>
      </c>
      <c r="AW230" s="3">
        <f t="shared" si="125"/>
        <v>6</v>
      </c>
      <c r="AX230" s="3">
        <f t="shared" si="126"/>
        <v>5</v>
      </c>
      <c r="AY230" s="3">
        <f t="shared" si="127"/>
        <v>3</v>
      </c>
      <c r="AZ230" s="3">
        <f t="shared" si="128"/>
        <v>1</v>
      </c>
      <c r="BA230" s="3">
        <f>IF(ISERROR(LEN(VLOOKUP(A230,Seqs!A:E,2,FALSE))-AL230),"-",LEN(VLOOKUP(A230,Seqs!A:E,2,FALSE))-AL230)</f>
        <v>29</v>
      </c>
      <c r="BB230" s="16">
        <f t="shared" si="129"/>
        <v>30</v>
      </c>
      <c r="BC230" s="9">
        <f t="shared" si="130"/>
        <v>20</v>
      </c>
      <c r="BD230" s="3">
        <f t="shared" si="131"/>
        <v>30</v>
      </c>
      <c r="BE230" s="3">
        <f t="shared" si="132"/>
        <v>49</v>
      </c>
    </row>
    <row r="231" spans="1:58" s="3" customFormat="1" x14ac:dyDescent="0.2">
      <c r="A231" s="3" t="s">
        <v>371</v>
      </c>
      <c r="B231" s="3" t="str">
        <f>LOWER(VLOOKUP(A231,Xtal_Templ!A:B,2,FALSE))</f>
        <v>ox2r_human</v>
      </c>
      <c r="C231" s="3">
        <f>VLOOKUP($A231,'SegEnds_NonXtal_BW#'!$A:$Z,3,FALSE)+D231-50</f>
        <v>44</v>
      </c>
      <c r="D231" s="3">
        <v>63</v>
      </c>
      <c r="E231" s="3">
        <f>IF(ISERROR(VLOOKUP($A231,'SegEnds_NonXtal_BW#'!$A:$Z,4,FALSE)+VLOOKUP($A231,A:AL,4,FALSE)-50),"-",(VLOOKUP($A231,'SegEnds_NonXtal_BW#'!$A:$Z,4,FALSE)+VLOOKUP($A231,A:AL,4,FALSE)-50))</f>
        <v>73</v>
      </c>
      <c r="F231" s="3">
        <f t="shared" ref="F231:F238" si="140">G231-2</f>
        <v>74</v>
      </c>
      <c r="G231" s="3">
        <v>76</v>
      </c>
      <c r="H231" s="3">
        <f t="shared" ref="H231:I238" si="141">G231+1</f>
        <v>77</v>
      </c>
      <c r="I231" s="3">
        <f t="shared" si="141"/>
        <v>78</v>
      </c>
      <c r="J231" s="3">
        <v>91</v>
      </c>
      <c r="K231" s="3">
        <f>VLOOKUP($A231,'SegEnds_NonXtal_BW#'!$A:$Z,8,FALSE)+VLOOKUP($A231,A:AL,10,FALSE)-50</f>
        <v>109</v>
      </c>
      <c r="L231" s="3">
        <f>M231-1</f>
        <v>110</v>
      </c>
      <c r="M231" s="3">
        <v>111</v>
      </c>
      <c r="N231" s="3">
        <f>M231+2</f>
        <v>113</v>
      </c>
      <c r="O231" s="3">
        <f t="shared" si="139"/>
        <v>114</v>
      </c>
      <c r="P231" s="3">
        <v>143</v>
      </c>
      <c r="Q231" s="3">
        <f>VLOOKUP($A231,'SegEnds_NonXtal_BW#'!$A:$Z,12,FALSE)+VLOOKUP($A231,A:AL,16,FALSE)-50</f>
        <v>149</v>
      </c>
      <c r="R231" s="3">
        <f>IF(ISERROR(VLOOKUP($A231,'SegEnds_NonXtal_BW#'!$A:$Z,13,FALSE)+VLOOKUP($A231,A:AL,19,FALSE)-50),"-",VLOOKUP($A231,'SegEnds_NonXtal_BW#'!$A:$Z,13,FALSE)+VLOOKUP($A231,A:AL,19,FALSE)-50)</f>
        <v>150</v>
      </c>
      <c r="S231" s="3">
        <v>150</v>
      </c>
      <c r="T231" s="100">
        <f>IF(ISERROR(VLOOKUP($A231,'SegEnds_NonXtal_BW#'!$A:$Z,14,FALSE)+VLOOKUP($A231,A:AL,19,FALSE)-50),"-",(VLOOKUP($A231,'SegEnds_NonXtal_BW#'!$A:$Z,14,FALSE)+VLOOKUP($A231,A:AL,19,FALSE)-50))</f>
        <v>157</v>
      </c>
      <c r="U231" s="9">
        <f>IF(ISERROR(VLOOKUP($A231,'SegEnds_NonXtal_BW#'!$A:$Z,15,FALSE)+VLOOKUP($A231,A:AL,22,FALSE)-50),"-",VLOOKUP($A231,'SegEnds_NonXtal_BW#'!$A:$Z,15,FALSE)+VLOOKUP($A231,A:AL,22,FALSE)-50)</f>
        <v>158</v>
      </c>
      <c r="V231" s="3">
        <v>170</v>
      </c>
      <c r="W231" s="3">
        <f>IF(ISERROR(VLOOKUP($A231,'SegEnds_NonXtal_BW#'!$A:$Z,16,FALSE)+VLOOKUP($A231,A:AL,22,FALSE)-50),"-",(VLOOKUP($A231,'SegEnds_NonXtal_BW#'!$A:$Z,16,FALSE)+VLOOKUP($A231,A:AL,22,FALSE)-50))</f>
        <v>184</v>
      </c>
      <c r="X231" s="3">
        <f>IF(ISERROR(VLOOKUP($A231,'SegEnds_NonXtal_BW#'!$A:$Z,17,FALSE)+VLOOKUP($A231,A:AL,25,FALSE)-50),"-",(VLOOKUP($A231,'SegEnds_NonXtal_BW#'!$A:$Z,17,FALSE)+VLOOKUP($A231,A:AL,25,FALSE)-50))</f>
        <v>201</v>
      </c>
      <c r="Y231" s="3">
        <v>201</v>
      </c>
      <c r="Z231" s="3">
        <f t="shared" si="138"/>
        <v>203</v>
      </c>
      <c r="AA231" s="3">
        <f>IF(ISERROR(VLOOKUP($A231,'SegEnds_NonXtal_BW#'!$A:$Z,19,FALSE)+VLOOKUP($A231,A:AL,28,FALSE)-50),"-",(VLOOKUP($A231,'SegEnds_NonXtal_BW#'!$A:$Z,19,FALSE)+VLOOKUP($A231,A:AL,28,FALSE)-50))</f>
        <v>209</v>
      </c>
      <c r="AB231" s="3">
        <v>226</v>
      </c>
      <c r="AC231" s="3">
        <f>IF(ISERROR((VLOOKUP($A231,'SegEnds_NonXtal_BW#'!$A:$Z,20,FALSE)+VLOOKUP($A231,A:AL,28,FALSE)-50)),"-",(VLOOKUP($A231,'SegEnds_NonXtal_BW#'!$A:$Z,20,FALSE)+VLOOKUP($A231,A:AL,28,FALSE)-50))</f>
        <v>250</v>
      </c>
      <c r="AD231" s="3">
        <f>IF(ISERROR(VLOOKUP($A231,'SegEnds_NonXtal_BW#'!$A:$Z,21,FALSE)+VLOOKUP($A231,A:AL,31,FALSE)-50),"-",(VLOOKUP($A231,'SegEnds_NonXtal_BW#'!$A:$Z,21,FALSE)+VLOOKUP($A231,A:AL,31,FALSE)-50))</f>
        <v>259</v>
      </c>
      <c r="AE231" s="3">
        <v>288</v>
      </c>
      <c r="AF231" s="3">
        <f>IF(ISERROR((VLOOKUP($A231,'SegEnds_NonXtal_BW#'!$A:$Z,22,FALSE)+VLOOKUP($A231,A:AL,31,FALSE)-50)),"-",(VLOOKUP($A231,'SegEnds_NonXtal_BW#'!$A:$Z,22,FALSE)+VLOOKUP($A231,A:AL,31,FALSE)-50))</f>
        <v>299</v>
      </c>
      <c r="AG231" s="3">
        <f>IF(ISERROR(VLOOKUP($A231,'SegEnds_NonXtal_BW#'!$A:$Z,23,FALSE)+VLOOKUP($A231,A:AL,34,FALSE)-50),"-",(VLOOKUP($A231,'SegEnds_NonXtal_BW#'!$A:$Z,23,FALSE)+VLOOKUP($A231,A:AL,34,FALSE)-50))</f>
        <v>307</v>
      </c>
      <c r="AH231" s="3">
        <v>329</v>
      </c>
      <c r="AI231" s="3">
        <f>IF(ISERROR((VLOOKUP($A231,'SegEnds_NonXtal_BW#'!$A:$Z,24,FALSE)+VLOOKUP($A231,A:AL,34,FALSE)-50)),"-",(VLOOKUP($A231,'SegEnds_NonXtal_BW#'!$A:$Z,24,FALSE)+VLOOKUP($A231,A:AL,34,FALSE)-50))</f>
        <v>335</v>
      </c>
      <c r="AJ231" s="3">
        <f>IF(ISERROR(VLOOKUP($A231,'SegEnds_NonXtal_BW#'!$A:$Z,25,FALSE)+VLOOKUP($A231,A:AL,37,FALSE)-50),"-",(VLOOKUP($A231,'SegEnds_NonXtal_BW#'!$A:$Z,25,FALSE)+VLOOKUP($A231,A:AL,37,FALSE)-50))</f>
        <v>336</v>
      </c>
      <c r="AK231" s="3">
        <v>339</v>
      </c>
      <c r="AL231" s="3">
        <f>IF(ISERROR((VLOOKUP($A231,'SegEnds_NonXtal_BW#'!$A:$Z,26,FALSE)+VLOOKUP($A231,A:AL,37,FALSE)-50)),"-",(VLOOKUP($A231,'SegEnds_NonXtal_BW#'!$A:$Z,26,FALSE)+VLOOKUP($A231,A:AL,37,FALSE)-50))</f>
        <v>352</v>
      </c>
      <c r="AM231" s="28" t="str">
        <f>VLOOKUP(A231,Classification!A:B,2,FALSE)</f>
        <v>A</v>
      </c>
      <c r="AN231" s="28" t="b">
        <f t="shared" si="133"/>
        <v>1</v>
      </c>
      <c r="AO231" s="3" t="str">
        <f>IF(ISERROR(MATCH(A231,'SegEnds_Xtal_Prot#'!B:B, 0)), "NoXtal", "Xtal")</f>
        <v>NoXtal</v>
      </c>
      <c r="AP231" s="3">
        <f t="shared" si="118"/>
        <v>1</v>
      </c>
      <c r="AQ231" s="3">
        <f t="shared" si="119"/>
        <v>1</v>
      </c>
      <c r="AR231" s="3">
        <f t="shared" si="120"/>
        <v>1</v>
      </c>
      <c r="AS231" s="3">
        <f t="shared" si="121"/>
        <v>1</v>
      </c>
      <c r="AT231" s="3">
        <f t="shared" si="122"/>
        <v>1</v>
      </c>
      <c r="AU231" s="3">
        <f t="shared" si="123"/>
        <v>1</v>
      </c>
      <c r="AV231" s="3">
        <f t="shared" si="124"/>
        <v>17</v>
      </c>
      <c r="AW231" s="3">
        <f t="shared" si="125"/>
        <v>6</v>
      </c>
      <c r="AX231" s="3">
        <f t="shared" si="126"/>
        <v>9</v>
      </c>
      <c r="AY231" s="3">
        <f t="shared" si="127"/>
        <v>8</v>
      </c>
      <c r="AZ231" s="3">
        <f t="shared" si="128"/>
        <v>1</v>
      </c>
      <c r="BA231" s="3">
        <f>IF(ISERROR(LEN(VLOOKUP(A231,Seqs!A:E,2,FALSE))-AL231),"-",LEN(VLOOKUP(A231,Seqs!A:E,2,FALSE))-AL231)</f>
        <v>79</v>
      </c>
      <c r="BB231" s="16">
        <f t="shared" si="129"/>
        <v>28</v>
      </c>
      <c r="BC231" s="9">
        <f t="shared" si="130"/>
        <v>20</v>
      </c>
      <c r="BD231" s="3">
        <f t="shared" si="131"/>
        <v>28</v>
      </c>
      <c r="BE231" s="3">
        <f t="shared" si="132"/>
        <v>62</v>
      </c>
    </row>
    <row r="232" spans="1:58" s="3" customFormat="1" x14ac:dyDescent="0.2">
      <c r="A232" s="3" t="s">
        <v>373</v>
      </c>
      <c r="B232" s="3" t="str">
        <f>LOWER(VLOOKUP(A232,Xtal_Templ!A:B,2,FALSE))</f>
        <v>oprd_human</v>
      </c>
      <c r="C232" s="3">
        <f>VLOOKUP($A232,'SegEnds_NonXtal_BW#'!$A:$Z,3,FALSE)+D232-50</f>
        <v>29</v>
      </c>
      <c r="D232" s="3">
        <v>57</v>
      </c>
      <c r="E232" s="3">
        <f>IF(ISERROR(VLOOKUP($A232,'SegEnds_NonXtal_BW#'!$A:$Z,4,FALSE)+VLOOKUP($A232,A:AL,4,FALSE)-50),"-",(VLOOKUP($A232,'SegEnds_NonXtal_BW#'!$A:$Z,4,FALSE)+VLOOKUP($A232,A:AL,4,FALSE)-50))</f>
        <v>67</v>
      </c>
      <c r="F232" s="3">
        <f t="shared" si="140"/>
        <v>69</v>
      </c>
      <c r="G232" s="3">
        <v>71</v>
      </c>
      <c r="H232" s="3">
        <f t="shared" si="141"/>
        <v>72</v>
      </c>
      <c r="I232" s="3">
        <f t="shared" si="141"/>
        <v>73</v>
      </c>
      <c r="J232" s="3">
        <v>87</v>
      </c>
      <c r="K232" s="3">
        <f>VLOOKUP($A232,'SegEnds_NonXtal_BW#'!$A:$Z,8,FALSE)+VLOOKUP($A232,A:AL,10,FALSE)-50</f>
        <v>103</v>
      </c>
      <c r="L232" s="3">
        <f>M232-1</f>
        <v>106</v>
      </c>
      <c r="M232" s="3">
        <v>107</v>
      </c>
      <c r="N232" s="3">
        <f>M232+2</f>
        <v>109</v>
      </c>
      <c r="O232" s="3">
        <f t="shared" si="139"/>
        <v>110</v>
      </c>
      <c r="P232" s="3">
        <v>139</v>
      </c>
      <c r="Q232" s="3">
        <f>VLOOKUP($A232,'SegEnds_NonXtal_BW#'!$A:$Z,12,FALSE)+VLOOKUP($A232,A:AL,16,FALSE)-50</f>
        <v>145</v>
      </c>
      <c r="R232" s="3">
        <f>IF(ISERROR(VLOOKUP($A232,'SegEnds_NonXtal_BW#'!$A:$Z,13,FALSE)+VLOOKUP($A232,A:AL,19,FALSE)-50),"-",VLOOKUP($A232,'SegEnds_NonXtal_BW#'!$A:$Z,13,FALSE)+VLOOKUP($A232,A:AL,19,FALSE)-50)</f>
        <v>146</v>
      </c>
      <c r="S232" s="3">
        <v>146</v>
      </c>
      <c r="T232" s="100">
        <f>IF(ISERROR(VLOOKUP($A232,'SegEnds_NonXtal_BW#'!$A:$Z,14,FALSE)+VLOOKUP($A232,A:AL,19,FALSE)-50),"-",(VLOOKUP($A232,'SegEnds_NonXtal_BW#'!$A:$Z,14,FALSE)+VLOOKUP($A232,A:AL,19,FALSE)-50))</f>
        <v>153</v>
      </c>
      <c r="U232" s="9">
        <f>IF(ISERROR(VLOOKUP($A232,'SegEnds_NonXtal_BW#'!$A:$Z,15,FALSE)+VLOOKUP($A232,A:AL,22,FALSE)-50),"-",VLOOKUP($A232,'SegEnds_NonXtal_BW#'!$A:$Z,15,FALSE)+VLOOKUP($A232,A:AL,22,FALSE)-50)</f>
        <v>154</v>
      </c>
      <c r="V232" s="3">
        <v>166</v>
      </c>
      <c r="W232" s="3">
        <f>IF(ISERROR(VLOOKUP($A232,'SegEnds_NonXtal_BW#'!$A:$Z,16,FALSE)+VLOOKUP($A232,A:AL,22,FALSE)-50),"-",(VLOOKUP($A232,'SegEnds_NonXtal_BW#'!$A:$Z,16,FALSE)+VLOOKUP($A232,A:AL,22,FALSE)-50))</f>
        <v>180</v>
      </c>
      <c r="X232" s="3">
        <f>IF(ISERROR(VLOOKUP($A232,'SegEnds_NonXtal_BW#'!$A:$Z,17,FALSE)+VLOOKUP($A232,A:AL,25,FALSE)-50),"-",(VLOOKUP($A232,'SegEnds_NonXtal_BW#'!$A:$Z,17,FALSE)+VLOOKUP($A232,A:AL,25,FALSE)-50))</f>
        <v>191</v>
      </c>
      <c r="Y232" s="3">
        <v>191</v>
      </c>
      <c r="Z232" s="3">
        <f t="shared" si="138"/>
        <v>193</v>
      </c>
      <c r="AA232" s="3">
        <f>IF(ISERROR(VLOOKUP($A232,'SegEnds_NonXtal_BW#'!$A:$Z,19,FALSE)+VLOOKUP($A232,A:AL,28,FALSE)-50),"-",(VLOOKUP($A232,'SegEnds_NonXtal_BW#'!$A:$Z,19,FALSE)+VLOOKUP($A232,A:AL,28,FALSE)-50))</f>
        <v>197</v>
      </c>
      <c r="AB232" s="3">
        <v>216</v>
      </c>
      <c r="AC232" s="3">
        <f>IF(ISERROR((VLOOKUP($A232,'SegEnds_NonXtal_BW#'!$A:$Z,20,FALSE)+VLOOKUP($A232,A:AL,28,FALSE)-50)),"-",(VLOOKUP($A232,'SegEnds_NonXtal_BW#'!$A:$Z,20,FALSE)+VLOOKUP($A232,A:AL,28,FALSE)-50))</f>
        <v>233</v>
      </c>
      <c r="AD232" s="3">
        <f>IF(ISERROR(VLOOKUP($A232,'SegEnds_NonXtal_BW#'!$A:$Z,21,FALSE)+VLOOKUP($A232,A:AL,31,FALSE)-50),"-",(VLOOKUP($A232,'SegEnds_NonXtal_BW#'!$A:$Z,21,FALSE)+VLOOKUP($A232,A:AL,31,FALSE)-50))</f>
        <v>239</v>
      </c>
      <c r="AE232" s="3">
        <v>261</v>
      </c>
      <c r="AF232" s="3">
        <f>IF(ISERROR((VLOOKUP($A232,'SegEnds_NonXtal_BW#'!$A:$Z,22,FALSE)+VLOOKUP($A232,A:AL,31,FALSE)-50)),"-",(VLOOKUP($A232,'SegEnds_NonXtal_BW#'!$A:$Z,22,FALSE)+VLOOKUP($A232,A:AL,31,FALSE)-50))</f>
        <v>275</v>
      </c>
      <c r="AG232" s="3">
        <f>IF(ISERROR(VLOOKUP($A232,'SegEnds_NonXtal_BW#'!$A:$Z,23,FALSE)+VLOOKUP($A232,A:AL,34,FALSE)-50),"-",(VLOOKUP($A232,'SegEnds_NonXtal_BW#'!$A:$Z,23,FALSE)+VLOOKUP($A232,A:AL,34,FALSE)-50))</f>
        <v>280</v>
      </c>
      <c r="AH232" s="3">
        <v>306</v>
      </c>
      <c r="AI232" s="3">
        <f>IF(ISERROR((VLOOKUP($A232,'SegEnds_NonXtal_BW#'!$A:$Z,24,FALSE)+VLOOKUP($A232,A:AL,34,FALSE)-50)),"-",(VLOOKUP($A232,'SegEnds_NonXtal_BW#'!$A:$Z,24,FALSE)+VLOOKUP($A232,A:AL,34,FALSE)-50))</f>
        <v>312</v>
      </c>
      <c r="AJ232" s="3">
        <f>IF(ISERROR(VLOOKUP($A232,'SegEnds_NonXtal_BW#'!$A:$Z,25,FALSE)+VLOOKUP($A232,A:AL,37,FALSE)-50),"-",(VLOOKUP($A232,'SegEnds_NonXtal_BW#'!$A:$Z,25,FALSE)+VLOOKUP($A232,A:AL,37,FALSE)-50))</f>
        <v>313</v>
      </c>
      <c r="AK232" s="3">
        <v>316</v>
      </c>
      <c r="AL232" s="3">
        <f>IF(ISERROR((VLOOKUP($A232,'SegEnds_NonXtal_BW#'!$A:$Z,26,FALSE)+VLOOKUP($A232,A:AL,37,FALSE)-50)),"-",(VLOOKUP($A232,'SegEnds_NonXtal_BW#'!$A:$Z,26,FALSE)+VLOOKUP($A232,A:AL,37,FALSE)-50))</f>
        <v>326</v>
      </c>
      <c r="AM232" s="28" t="str">
        <f>VLOOKUP(A232,Classification!A:B,2,FALSE)</f>
        <v>A</v>
      </c>
      <c r="AN232" s="28" t="b">
        <f t="shared" si="133"/>
        <v>1</v>
      </c>
      <c r="AO232" s="3" t="str">
        <f>IF(ISERROR(MATCH(A232,'SegEnds_Xtal_Prot#'!B:B, 0)), "NoXtal", "Xtal")</f>
        <v>NoXtal</v>
      </c>
      <c r="AP232" s="3">
        <f t="shared" si="118"/>
        <v>2</v>
      </c>
      <c r="AQ232" s="3">
        <f t="shared" si="119"/>
        <v>1</v>
      </c>
      <c r="AR232" s="3">
        <f t="shared" si="120"/>
        <v>3</v>
      </c>
      <c r="AS232" s="3">
        <f t="shared" si="121"/>
        <v>1</v>
      </c>
      <c r="AT232" s="3">
        <f t="shared" si="122"/>
        <v>1</v>
      </c>
      <c r="AU232" s="3">
        <f t="shared" si="123"/>
        <v>1</v>
      </c>
      <c r="AV232" s="3">
        <f t="shared" si="124"/>
        <v>11</v>
      </c>
      <c r="AW232" s="3">
        <f t="shared" si="125"/>
        <v>4</v>
      </c>
      <c r="AX232" s="3">
        <f t="shared" si="126"/>
        <v>6</v>
      </c>
      <c r="AY232" s="3">
        <f t="shared" si="127"/>
        <v>5</v>
      </c>
      <c r="AZ232" s="3">
        <f t="shared" si="128"/>
        <v>1</v>
      </c>
      <c r="BA232" s="3">
        <f>IF(ISERROR(LEN(VLOOKUP(A232,Seqs!A:E,2,FALSE))-AL232),"-",LEN(VLOOKUP(A232,Seqs!A:E,2,FALSE))-AL232)</f>
        <v>48</v>
      </c>
      <c r="BB232" s="16">
        <f t="shared" si="129"/>
        <v>30</v>
      </c>
      <c r="BC232" s="9">
        <f t="shared" si="130"/>
        <v>20</v>
      </c>
      <c r="BD232" s="3">
        <f t="shared" si="131"/>
        <v>30</v>
      </c>
      <c r="BE232" s="3">
        <f t="shared" si="132"/>
        <v>45</v>
      </c>
    </row>
    <row r="233" spans="1:58" s="3" customFormat="1" x14ac:dyDescent="0.2">
      <c r="A233" s="3" t="s">
        <v>378</v>
      </c>
      <c r="B233" s="3" t="str">
        <f>LOWER(VLOOKUP(A233,Xtal_Templ!A:B,2,FALSE))</f>
        <v>s1pr1_human</v>
      </c>
      <c r="C233" s="3">
        <f>VLOOKUP($A233,'SegEnds_NonXtal_BW#'!$A:$Z,3,FALSE)+D233-50</f>
        <v>43</v>
      </c>
      <c r="D233" s="3">
        <v>64</v>
      </c>
      <c r="E233" s="3">
        <f>IF(ISERROR(VLOOKUP($A233,'SegEnds_NonXtal_BW#'!$A:$Z,4,FALSE)+VLOOKUP($A233,A:AL,4,FALSE)-50),"-",(VLOOKUP($A233,'SegEnds_NonXtal_BW#'!$A:$Z,4,FALSE)+VLOOKUP($A233,A:AL,4,FALSE)-50))</f>
        <v>74</v>
      </c>
      <c r="F233" s="3">
        <f t="shared" si="140"/>
        <v>75</v>
      </c>
      <c r="G233" s="3">
        <v>77</v>
      </c>
      <c r="H233" s="3">
        <f t="shared" si="141"/>
        <v>78</v>
      </c>
      <c r="I233" s="3">
        <f t="shared" si="141"/>
        <v>79</v>
      </c>
      <c r="J233" s="3">
        <v>92</v>
      </c>
      <c r="K233" s="3">
        <f>VLOOKUP($A233,'SegEnds_NonXtal_BW#'!$A:$Z,8,FALSE)+VLOOKUP($A233,A:AL,10,FALSE)-50</f>
        <v>105</v>
      </c>
      <c r="L233" s="3">
        <f>M233-3</f>
        <v>107</v>
      </c>
      <c r="M233" s="3">
        <v>110</v>
      </c>
      <c r="N233" s="3">
        <f>M233+3</f>
        <v>113</v>
      </c>
      <c r="O233" s="3">
        <f t="shared" si="139"/>
        <v>114</v>
      </c>
      <c r="P233" s="3">
        <v>143</v>
      </c>
      <c r="Q233" s="3">
        <f>VLOOKUP($A233,'SegEnds_NonXtal_BW#'!$A:$Z,12,FALSE)+VLOOKUP($A233,A:AL,16,FALSE)-50</f>
        <v>149</v>
      </c>
      <c r="R233" s="3">
        <f>IF(ISERROR(VLOOKUP($A233,'SegEnds_NonXtal_BW#'!$A:$Z,13,FALSE)+VLOOKUP($A233,A:AL,19,FALSE)-50),"-",VLOOKUP($A233,'SegEnds_NonXtal_BW#'!$A:$Z,13,FALSE)+VLOOKUP($A233,A:AL,19,FALSE)-50)</f>
        <v>150</v>
      </c>
      <c r="S233" s="3">
        <v>150</v>
      </c>
      <c r="T233" s="100">
        <f>IF(ISERROR(VLOOKUP($A233,'SegEnds_NonXtal_BW#'!$A:$Z,14,FALSE)+VLOOKUP($A233,A:AL,19,FALSE)-50),"-",(VLOOKUP($A233,'SegEnds_NonXtal_BW#'!$A:$Z,14,FALSE)+VLOOKUP($A233,A:AL,19,FALSE)-50))</f>
        <v>157</v>
      </c>
      <c r="U233" s="9">
        <f>IF(ISERROR(VLOOKUP($A233,'SegEnds_NonXtal_BW#'!$A:$Z,15,FALSE)+VLOOKUP($A233,A:AL,22,FALSE)-50),"-",VLOOKUP($A233,'SegEnds_NonXtal_BW#'!$A:$Z,15,FALSE)+VLOOKUP($A233,A:AL,22,FALSE)-50)</f>
        <v>158</v>
      </c>
      <c r="V233" s="3">
        <v>170</v>
      </c>
      <c r="W233" s="3">
        <f>IF(ISERROR(VLOOKUP($A233,'SegEnds_NonXtal_BW#'!$A:$Z,16,FALSE)+VLOOKUP($A233,A:AL,22,FALSE)-50),"-",(VLOOKUP($A233,'SegEnds_NonXtal_BW#'!$A:$Z,16,FALSE)+VLOOKUP($A233,A:AL,22,FALSE)-50))</f>
        <v>183</v>
      </c>
      <c r="X233" s="3" t="str">
        <f>IF(ISERROR(VLOOKUP($A233,'SegEnds_NonXtal_BW#'!$A:$Z,17,FALSE)+VLOOKUP($A233,A:AL,25,FALSE)-50),"-",(VLOOKUP($A233,'SegEnds_NonXtal_BW#'!$A:$Z,17,FALSE)+VLOOKUP($A233,A:AL,25,FALSE)-50))</f>
        <v>-</v>
      </c>
      <c r="Y233" s="3" t="s">
        <v>23</v>
      </c>
      <c r="Z233" s="3" t="str">
        <f>IF(ISERROR(VLOOKUP($A233,'SegEnds_NonXtal_BW#'!$A:$Z,18,FALSE)+VLOOKUP($A233,A:AL,25,FALSE)-50),"-",(VLOOKUP($A233,'SegEnds_NonXtal_BW#'!$A:$Z,18,FALSE)+VLOOKUP($A233,A:AL,25,FALSE)-50))</f>
        <v>-</v>
      </c>
      <c r="AA233" s="3">
        <f>IF(ISERROR(VLOOKUP($A233,'SegEnds_NonXtal_BW#'!$A:$Z,19,FALSE)+VLOOKUP($A233,A:AL,28,FALSE)-50),"-",(VLOOKUP($A233,'SegEnds_NonXtal_BW#'!$A:$Z,19,FALSE)+VLOOKUP($A233,A:AL,28,FALSE)-50))</f>
        <v>201</v>
      </c>
      <c r="AB233" s="3">
        <v>215</v>
      </c>
      <c r="AC233" s="3">
        <f>IF(ISERROR((VLOOKUP($A233,'SegEnds_NonXtal_BW#'!$A:$Z,20,FALSE)+VLOOKUP($A233,A:AL,28,FALSE)-50)),"-",(VLOOKUP($A233,'SegEnds_NonXtal_BW#'!$A:$Z,20,FALSE)+VLOOKUP($A233,A:AL,28,FALSE)-50))</f>
        <v>233</v>
      </c>
      <c r="AD233" s="3">
        <f>IF(ISERROR(VLOOKUP($A233,'SegEnds_NonXtal_BW#'!$A:$Z,21,FALSE)+VLOOKUP($A233,A:AL,31,FALSE)-50),"-",(VLOOKUP($A233,'SegEnds_NonXtal_BW#'!$A:$Z,21,FALSE)+VLOOKUP($A233,A:AL,31,FALSE)-50))</f>
        <v>239</v>
      </c>
      <c r="AE233" s="3">
        <v>266</v>
      </c>
      <c r="AF233" s="3">
        <f>IF(ISERROR((VLOOKUP($A233,'SegEnds_NonXtal_BW#'!$A:$Z,22,FALSE)+VLOOKUP($A233,A:AL,31,FALSE)-50)),"-",(VLOOKUP($A233,'SegEnds_NonXtal_BW#'!$A:$Z,22,FALSE)+VLOOKUP($A233,A:AL,31,FALSE)-50))</f>
        <v>277</v>
      </c>
      <c r="AG233" s="3">
        <f>IF(ISERROR(VLOOKUP($A233,'SegEnds_NonXtal_BW#'!$A:$Z,23,FALSE)+VLOOKUP($A233,A:AL,34,FALSE)-50),"-",(VLOOKUP($A233,'SegEnds_NonXtal_BW#'!$A:$Z,23,FALSE)+VLOOKUP($A233,A:AL,34,FALSE)-50))</f>
        <v>284</v>
      </c>
      <c r="AH233" s="3">
        <v>304</v>
      </c>
      <c r="AI233" s="3">
        <f>IF(ISERROR((VLOOKUP($A233,'SegEnds_NonXtal_BW#'!$A:$Z,24,FALSE)+VLOOKUP($A233,A:AL,34,FALSE)-50)),"-",(VLOOKUP($A233,'SegEnds_NonXtal_BW#'!$A:$Z,24,FALSE)+VLOOKUP($A233,A:AL,34,FALSE)-50))</f>
        <v>310</v>
      </c>
      <c r="AJ233" s="3">
        <f>IF(ISERROR(VLOOKUP($A233,'SegEnds_NonXtal_BW#'!$A:$Z,25,FALSE)+VLOOKUP($A233,A:AL,37,FALSE)-50),"-",(VLOOKUP($A233,'SegEnds_NonXtal_BW#'!$A:$Z,25,FALSE)+VLOOKUP($A233,A:AL,37,FALSE)-50))</f>
        <v>311</v>
      </c>
      <c r="AK233" s="3">
        <v>314</v>
      </c>
      <c r="AL233" s="3">
        <f>IF(ISERROR((VLOOKUP($A233,'SegEnds_NonXtal_BW#'!$A:$Z,26,FALSE)+VLOOKUP($A233,A:AL,37,FALSE)-50)),"-",(VLOOKUP($A233,'SegEnds_NonXtal_BW#'!$A:$Z,26,FALSE)+VLOOKUP($A233,A:AL,37,FALSE)-50))</f>
        <v>323</v>
      </c>
      <c r="AM233" s="28" t="str">
        <f>VLOOKUP(A233,Classification!A:B,2,FALSE)</f>
        <v>A</v>
      </c>
      <c r="AN233" s="28" t="b">
        <f t="shared" si="133"/>
        <v>1</v>
      </c>
      <c r="AO233" s="3" t="str">
        <f>IF(ISERROR(MATCH(A233,'SegEnds_Xtal_Prot#'!B:B, 0)), "NoXtal", "Xtal")</f>
        <v>NoXtal</v>
      </c>
      <c r="AP233" s="3">
        <f t="shared" si="118"/>
        <v>1</v>
      </c>
      <c r="AQ233" s="3">
        <f t="shared" si="119"/>
        <v>1</v>
      </c>
      <c r="AR233" s="3">
        <f t="shared" si="120"/>
        <v>2</v>
      </c>
      <c r="AS233" s="3">
        <f t="shared" si="121"/>
        <v>1</v>
      </c>
      <c r="AT233" s="3">
        <f t="shared" si="122"/>
        <v>1</v>
      </c>
      <c r="AU233" s="3">
        <f t="shared" si="123"/>
        <v>1</v>
      </c>
      <c r="AV233" s="3" t="str">
        <f t="shared" si="124"/>
        <v>-</v>
      </c>
      <c r="AW233" s="3" t="str">
        <f t="shared" si="125"/>
        <v>-</v>
      </c>
      <c r="AX233" s="3">
        <f t="shared" si="126"/>
        <v>6</v>
      </c>
      <c r="AY233" s="3">
        <f t="shared" si="127"/>
        <v>7</v>
      </c>
      <c r="AZ233" s="3">
        <f t="shared" si="128"/>
        <v>1</v>
      </c>
      <c r="BA233" s="3">
        <f>IF(ISERROR(LEN(VLOOKUP(A233,Seqs!A:E,2,FALSE))-AL233),"-",LEN(VLOOKUP(A233,Seqs!A:E,2,FALSE))-AL233)</f>
        <v>61</v>
      </c>
      <c r="BB233" s="16">
        <f t="shared" si="129"/>
        <v>28</v>
      </c>
      <c r="BC233" s="9">
        <f t="shared" si="130"/>
        <v>20</v>
      </c>
      <c r="BD233" s="3">
        <f t="shared" si="131"/>
        <v>28</v>
      </c>
      <c r="BE233" s="3">
        <f t="shared" si="132"/>
        <v>51</v>
      </c>
    </row>
    <row r="234" spans="1:58" s="3" customFormat="1" x14ac:dyDescent="0.2">
      <c r="A234" s="3" t="s">
        <v>380</v>
      </c>
      <c r="B234" s="3" t="str">
        <f>LOWER(VLOOKUP(A234,Xtal_Templ!A:B,2,FALSE))</f>
        <v>oprk_human</v>
      </c>
      <c r="C234" s="3">
        <f>VLOOKUP($A234,'SegEnds_NonXtal_BW#'!$A:$Z,3,FALSE)+D234-50</f>
        <v>56</v>
      </c>
      <c r="D234" s="3">
        <v>76</v>
      </c>
      <c r="E234" s="3">
        <f>IF(ISERROR(VLOOKUP($A234,'SegEnds_NonXtal_BW#'!$A:$Z,4,FALSE)+VLOOKUP($A234,A:AL,4,FALSE)-50),"-",(VLOOKUP($A234,'SegEnds_NonXtal_BW#'!$A:$Z,4,FALSE)+VLOOKUP($A234,A:AL,4,FALSE)-50))</f>
        <v>86</v>
      </c>
      <c r="F234" s="3">
        <f t="shared" si="140"/>
        <v>87</v>
      </c>
      <c r="G234" s="3">
        <v>89</v>
      </c>
      <c r="H234" s="3">
        <f t="shared" si="141"/>
        <v>90</v>
      </c>
      <c r="I234" s="3">
        <f t="shared" si="141"/>
        <v>91</v>
      </c>
      <c r="J234" s="3">
        <v>104</v>
      </c>
      <c r="K234" s="3">
        <f>VLOOKUP($A234,'SegEnds_NonXtal_BW#'!$A:$Z,8,FALSE)+VLOOKUP($A234,A:AL,10,FALSE)-50</f>
        <v>120</v>
      </c>
      <c r="L234" s="3">
        <f t="shared" ref="L234:L252" si="142">M234-1</f>
        <v>122</v>
      </c>
      <c r="M234" s="3">
        <v>123</v>
      </c>
      <c r="N234" s="3">
        <f t="shared" ref="N234:N252" si="143">M234+2</f>
        <v>125</v>
      </c>
      <c r="O234" s="3">
        <f t="shared" si="139"/>
        <v>126</v>
      </c>
      <c r="P234" s="3">
        <v>155</v>
      </c>
      <c r="Q234" s="3">
        <f>VLOOKUP($A234,'SegEnds_NonXtal_BW#'!$A:$Z,12,FALSE)+VLOOKUP($A234,A:AL,16,FALSE)-50</f>
        <v>161</v>
      </c>
      <c r="R234" s="3">
        <f>IF(ISERROR(VLOOKUP($A234,'SegEnds_NonXtal_BW#'!$A:$Z,13,FALSE)+VLOOKUP($A234,A:AL,19,FALSE)-50),"-",VLOOKUP($A234,'SegEnds_NonXtal_BW#'!$A:$Z,13,FALSE)+VLOOKUP($A234,A:AL,19,FALSE)-50)</f>
        <v>162</v>
      </c>
      <c r="S234" s="3">
        <v>162</v>
      </c>
      <c r="T234" s="100">
        <f>IF(ISERROR(VLOOKUP($A234,'SegEnds_NonXtal_BW#'!$A:$Z,14,FALSE)+VLOOKUP($A234,A:AL,19,FALSE)-50),"-",(VLOOKUP($A234,'SegEnds_NonXtal_BW#'!$A:$Z,14,FALSE)+VLOOKUP($A234,A:AL,19,FALSE)-50))</f>
        <v>169</v>
      </c>
      <c r="U234" s="9">
        <f>IF(ISERROR(VLOOKUP($A234,'SegEnds_NonXtal_BW#'!$A:$Z,15,FALSE)+VLOOKUP($A234,A:AL,22,FALSE)-50),"-",VLOOKUP($A234,'SegEnds_NonXtal_BW#'!$A:$Z,15,FALSE)+VLOOKUP($A234,A:AL,22,FALSE)-50)</f>
        <v>170</v>
      </c>
      <c r="V234" s="3">
        <v>182</v>
      </c>
      <c r="W234" s="3">
        <f>IF(ISERROR(VLOOKUP($A234,'SegEnds_NonXtal_BW#'!$A:$Z,16,FALSE)+VLOOKUP($A234,A:AL,22,FALSE)-50),"-",(VLOOKUP($A234,'SegEnds_NonXtal_BW#'!$A:$Z,16,FALSE)+VLOOKUP($A234,A:AL,22,FALSE)-50))</f>
        <v>196</v>
      </c>
      <c r="X234" s="3">
        <f>IF(ISERROR(VLOOKUP($A234,'SegEnds_NonXtal_BW#'!$A:$Z,17,FALSE)+VLOOKUP($A234,A:AL,25,FALSE)-50),"-",(VLOOKUP($A234,'SegEnds_NonXtal_BW#'!$A:$Z,17,FALSE)+VLOOKUP($A234,A:AL,25,FALSE)-50))</f>
        <v>208</v>
      </c>
      <c r="Y234" s="3">
        <v>208</v>
      </c>
      <c r="Z234" s="3">
        <f t="shared" ref="Z234:Z269" si="144">Y234+2</f>
        <v>210</v>
      </c>
      <c r="AA234" s="3">
        <f>IF(ISERROR(VLOOKUP($A234,'SegEnds_NonXtal_BW#'!$A:$Z,19,FALSE)+VLOOKUP($A234,A:AL,28,FALSE)-50),"-",(VLOOKUP($A234,'SegEnds_NonXtal_BW#'!$A:$Z,19,FALSE)+VLOOKUP($A234,A:AL,28,FALSE)-50))</f>
        <v>215</v>
      </c>
      <c r="AB234" s="3">
        <v>235</v>
      </c>
      <c r="AC234" s="3">
        <f>IF(ISERROR((VLOOKUP($A234,'SegEnds_NonXtal_BW#'!$A:$Z,20,FALSE)+VLOOKUP($A234,A:AL,28,FALSE)-50)),"-",(VLOOKUP($A234,'SegEnds_NonXtal_BW#'!$A:$Z,20,FALSE)+VLOOKUP($A234,A:AL,28,FALSE)-50))</f>
        <v>253</v>
      </c>
      <c r="AD234" s="3">
        <f>IF(ISERROR(VLOOKUP($A234,'SegEnds_NonXtal_BW#'!$A:$Z,21,FALSE)+VLOOKUP($A234,A:AL,31,FALSE)-50),"-",(VLOOKUP($A234,'SegEnds_NonXtal_BW#'!$A:$Z,21,FALSE)+VLOOKUP($A234,A:AL,31,FALSE)-50))</f>
        <v>259</v>
      </c>
      <c r="AE234" s="3">
        <v>286</v>
      </c>
      <c r="AF234" s="3">
        <f>IF(ISERROR((VLOOKUP($A234,'SegEnds_NonXtal_BW#'!$A:$Z,22,FALSE)+VLOOKUP($A234,A:AL,31,FALSE)-50)),"-",(VLOOKUP($A234,'SegEnds_NonXtal_BW#'!$A:$Z,22,FALSE)+VLOOKUP($A234,A:AL,31,FALSE)-50))</f>
        <v>297</v>
      </c>
      <c r="AG234" s="3">
        <f>IF(ISERROR(VLOOKUP($A234,'SegEnds_NonXtal_BW#'!$A:$Z,23,FALSE)+VLOOKUP($A234,A:AL,34,FALSE)-50),"-",(VLOOKUP($A234,'SegEnds_NonXtal_BW#'!$A:$Z,23,FALSE)+VLOOKUP($A234,A:AL,34,FALSE)-50))</f>
        <v>302</v>
      </c>
      <c r="AH234" s="3">
        <v>320</v>
      </c>
      <c r="AI234" s="3">
        <f>IF(ISERROR((VLOOKUP($A234,'SegEnds_NonXtal_BW#'!$A:$Z,24,FALSE)+VLOOKUP($A234,A:AL,34,FALSE)-50)),"-",(VLOOKUP($A234,'SegEnds_NonXtal_BW#'!$A:$Z,24,FALSE)+VLOOKUP($A234,A:AL,34,FALSE)-50))</f>
        <v>326</v>
      </c>
      <c r="AJ234" s="3">
        <f>IF(ISERROR(VLOOKUP($A234,'SegEnds_NonXtal_BW#'!$A:$Z,25,FALSE)+VLOOKUP($A234,A:AL,37,FALSE)-50),"-",(VLOOKUP($A234,'SegEnds_NonXtal_BW#'!$A:$Z,25,FALSE)+VLOOKUP($A234,A:AL,37,FALSE)-50))</f>
        <v>327</v>
      </c>
      <c r="AK234" s="3">
        <v>330</v>
      </c>
      <c r="AL234" s="3">
        <f>IF(ISERROR((VLOOKUP($A234,'SegEnds_NonXtal_BW#'!$A:$Z,26,FALSE)+VLOOKUP($A234,A:AL,37,FALSE)-50)),"-",(VLOOKUP($A234,'SegEnds_NonXtal_BW#'!$A:$Z,26,FALSE)+VLOOKUP($A234,A:AL,37,FALSE)-50))</f>
        <v>339</v>
      </c>
      <c r="AM234" s="28" t="str">
        <f>VLOOKUP(A234,Classification!A:B,2,FALSE)</f>
        <v>A</v>
      </c>
      <c r="AN234" s="28" t="b">
        <f t="shared" si="133"/>
        <v>1</v>
      </c>
      <c r="AO234" s="3" t="str">
        <f>IF(ISERROR(MATCH(A234,'SegEnds_Xtal_Prot#'!B:B, 0)), "NoXtal", "Xtal")</f>
        <v>NoXtal</v>
      </c>
      <c r="AP234" s="3">
        <f t="shared" si="118"/>
        <v>1</v>
      </c>
      <c r="AQ234" s="3">
        <f t="shared" si="119"/>
        <v>1</v>
      </c>
      <c r="AR234" s="3">
        <f t="shared" si="120"/>
        <v>2</v>
      </c>
      <c r="AS234" s="3">
        <f t="shared" si="121"/>
        <v>1</v>
      </c>
      <c r="AT234" s="3">
        <f t="shared" si="122"/>
        <v>1</v>
      </c>
      <c r="AU234" s="3">
        <f t="shared" si="123"/>
        <v>1</v>
      </c>
      <c r="AV234" s="3">
        <f t="shared" si="124"/>
        <v>12</v>
      </c>
      <c r="AW234" s="3">
        <f t="shared" si="125"/>
        <v>5</v>
      </c>
      <c r="AX234" s="3">
        <f t="shared" si="126"/>
        <v>6</v>
      </c>
      <c r="AY234" s="3">
        <f t="shared" si="127"/>
        <v>5</v>
      </c>
      <c r="AZ234" s="3">
        <f t="shared" si="128"/>
        <v>1</v>
      </c>
      <c r="BA234" s="3">
        <f>IF(ISERROR(LEN(VLOOKUP(A234,Seqs!A:E,2,FALSE))-AL234),"-",LEN(VLOOKUP(A234,Seqs!A:E,2,FALSE))-AL234)</f>
        <v>52</v>
      </c>
      <c r="BB234" s="16">
        <f t="shared" si="129"/>
        <v>28</v>
      </c>
      <c r="BC234" s="9">
        <f t="shared" si="130"/>
        <v>20</v>
      </c>
      <c r="BD234" s="3">
        <f t="shared" si="131"/>
        <v>28</v>
      </c>
      <c r="BE234" s="3">
        <f t="shared" si="132"/>
        <v>51</v>
      </c>
    </row>
    <row r="235" spans="1:58" s="3" customFormat="1" x14ac:dyDescent="0.2">
      <c r="A235" s="3" t="s">
        <v>381</v>
      </c>
      <c r="B235" s="3" t="str">
        <f>LOWER(VLOOKUP(A235,Xtal_Templ!A:B,2,FALSE))</f>
        <v>oprk_human</v>
      </c>
      <c r="C235" s="3">
        <f>VLOOKUP($A235,'SegEnds_NonXtal_BW#'!$A:$Z,3,FALSE)+D235-50</f>
        <v>41</v>
      </c>
      <c r="D235" s="3">
        <v>61</v>
      </c>
      <c r="E235" s="3">
        <f>IF(ISERROR(VLOOKUP($A235,'SegEnds_NonXtal_BW#'!$A:$Z,4,FALSE)+VLOOKUP($A235,A:AL,4,FALSE)-50),"-",(VLOOKUP($A235,'SegEnds_NonXtal_BW#'!$A:$Z,4,FALSE)+VLOOKUP($A235,A:AL,4,FALSE)-50))</f>
        <v>71</v>
      </c>
      <c r="F235" s="3">
        <f t="shared" si="140"/>
        <v>72</v>
      </c>
      <c r="G235" s="3">
        <v>74</v>
      </c>
      <c r="H235" s="3">
        <f t="shared" si="141"/>
        <v>75</v>
      </c>
      <c r="I235" s="3">
        <f t="shared" si="141"/>
        <v>76</v>
      </c>
      <c r="J235" s="3">
        <v>89</v>
      </c>
      <c r="K235" s="3">
        <f>VLOOKUP($A235,'SegEnds_NonXtal_BW#'!$A:$Z,8,FALSE)+VLOOKUP($A235,A:AL,10,FALSE)-50</f>
        <v>105</v>
      </c>
      <c r="L235" s="3">
        <f t="shared" si="142"/>
        <v>107</v>
      </c>
      <c r="M235" s="3">
        <v>108</v>
      </c>
      <c r="N235" s="3">
        <f t="shared" si="143"/>
        <v>110</v>
      </c>
      <c r="O235" s="3">
        <f t="shared" si="139"/>
        <v>111</v>
      </c>
      <c r="P235" s="3">
        <v>140</v>
      </c>
      <c r="Q235" s="3">
        <f>VLOOKUP($A235,'SegEnds_NonXtal_BW#'!$A:$Z,12,FALSE)+VLOOKUP($A235,A:AL,16,FALSE)-50</f>
        <v>146</v>
      </c>
      <c r="R235" s="3">
        <f>IF(ISERROR(VLOOKUP($A235,'SegEnds_NonXtal_BW#'!$A:$Z,13,FALSE)+VLOOKUP($A235,A:AL,19,FALSE)-50),"-",VLOOKUP($A235,'SegEnds_NonXtal_BW#'!$A:$Z,13,FALSE)+VLOOKUP($A235,A:AL,19,FALSE)-50)</f>
        <v>147</v>
      </c>
      <c r="S235" s="3">
        <v>147</v>
      </c>
      <c r="T235" s="100">
        <f>IF(ISERROR(VLOOKUP($A235,'SegEnds_NonXtal_BW#'!$A:$Z,14,FALSE)+VLOOKUP($A235,A:AL,19,FALSE)-50),"-",(VLOOKUP($A235,'SegEnds_NonXtal_BW#'!$A:$Z,14,FALSE)+VLOOKUP($A235,A:AL,19,FALSE)-50))</f>
        <v>154</v>
      </c>
      <c r="U235" s="9">
        <f>IF(ISERROR(VLOOKUP($A235,'SegEnds_NonXtal_BW#'!$A:$Z,15,FALSE)+VLOOKUP($A235,A:AL,22,FALSE)-50),"-",VLOOKUP($A235,'SegEnds_NonXtal_BW#'!$A:$Z,15,FALSE)+VLOOKUP($A235,A:AL,22,FALSE)-50)</f>
        <v>155</v>
      </c>
      <c r="V235" s="3">
        <v>167</v>
      </c>
      <c r="W235" s="3">
        <f>IF(ISERROR(VLOOKUP($A235,'SegEnds_NonXtal_BW#'!$A:$Z,16,FALSE)+VLOOKUP($A235,A:AL,22,FALSE)-50),"-",(VLOOKUP($A235,'SegEnds_NonXtal_BW#'!$A:$Z,16,FALSE)+VLOOKUP($A235,A:AL,22,FALSE)-50))</f>
        <v>181</v>
      </c>
      <c r="X235" s="3">
        <f>IF(ISERROR(VLOOKUP($A235,'SegEnds_NonXtal_BW#'!$A:$Z,17,FALSE)+VLOOKUP($A235,A:AL,25,FALSE)-50),"-",(VLOOKUP($A235,'SegEnds_NonXtal_BW#'!$A:$Z,17,FALSE)+VLOOKUP($A235,A:AL,25,FALSE)-50))</f>
        <v>193</v>
      </c>
      <c r="Y235" s="3">
        <v>193</v>
      </c>
      <c r="Z235" s="3">
        <f t="shared" si="144"/>
        <v>195</v>
      </c>
      <c r="AA235" s="3">
        <f>IF(ISERROR(VLOOKUP($A235,'SegEnds_NonXtal_BW#'!$A:$Z,19,FALSE)+VLOOKUP($A235,A:AL,28,FALSE)-50),"-",(VLOOKUP($A235,'SegEnds_NonXtal_BW#'!$A:$Z,19,FALSE)+VLOOKUP($A235,A:AL,28,FALSE)-50))</f>
        <v>200</v>
      </c>
      <c r="AB235" s="3">
        <v>220</v>
      </c>
      <c r="AC235" s="3">
        <f>IF(ISERROR((VLOOKUP($A235,'SegEnds_NonXtal_BW#'!$A:$Z,20,FALSE)+VLOOKUP($A235,A:AL,28,FALSE)-50)),"-",(VLOOKUP($A235,'SegEnds_NonXtal_BW#'!$A:$Z,20,FALSE)+VLOOKUP($A235,A:AL,28,FALSE)-50))</f>
        <v>238</v>
      </c>
      <c r="AD235" s="3">
        <f>IF(ISERROR(VLOOKUP($A235,'SegEnds_NonXtal_BW#'!$A:$Z,21,FALSE)+VLOOKUP($A235,A:AL,31,FALSE)-50),"-",(VLOOKUP($A235,'SegEnds_NonXtal_BW#'!$A:$Z,21,FALSE)+VLOOKUP($A235,A:AL,31,FALSE)-50))</f>
        <v>244</v>
      </c>
      <c r="AE235" s="3">
        <v>271</v>
      </c>
      <c r="AF235" s="3">
        <f>IF(ISERROR((VLOOKUP($A235,'SegEnds_NonXtal_BW#'!$A:$Z,22,FALSE)+VLOOKUP($A235,A:AL,31,FALSE)-50)),"-",(VLOOKUP($A235,'SegEnds_NonXtal_BW#'!$A:$Z,22,FALSE)+VLOOKUP($A235,A:AL,31,FALSE)-50))</f>
        <v>282</v>
      </c>
      <c r="AG235" s="3">
        <f>IF(ISERROR(VLOOKUP($A235,'SegEnds_NonXtal_BW#'!$A:$Z,23,FALSE)+VLOOKUP($A235,A:AL,34,FALSE)-50),"-",(VLOOKUP($A235,'SegEnds_NonXtal_BW#'!$A:$Z,23,FALSE)+VLOOKUP($A235,A:AL,34,FALSE)-50))</f>
        <v>287</v>
      </c>
      <c r="AH235" s="3">
        <v>309</v>
      </c>
      <c r="AI235" s="3">
        <f>IF(ISERROR((VLOOKUP($A235,'SegEnds_NonXtal_BW#'!$A:$Z,24,FALSE)+VLOOKUP($A235,A:AL,34,FALSE)-50)),"-",(VLOOKUP($A235,'SegEnds_NonXtal_BW#'!$A:$Z,24,FALSE)+VLOOKUP($A235,A:AL,34,FALSE)-50))</f>
        <v>315</v>
      </c>
      <c r="AJ235" s="3">
        <f>IF(ISERROR(VLOOKUP($A235,'SegEnds_NonXtal_BW#'!$A:$Z,25,FALSE)+VLOOKUP($A235,A:AL,37,FALSE)-50),"-",(VLOOKUP($A235,'SegEnds_NonXtal_BW#'!$A:$Z,25,FALSE)+VLOOKUP($A235,A:AL,37,FALSE)-50))</f>
        <v>316</v>
      </c>
      <c r="AK235" s="3">
        <v>319</v>
      </c>
      <c r="AL235" s="3">
        <f>IF(ISERROR((VLOOKUP($A235,'SegEnds_NonXtal_BW#'!$A:$Z,26,FALSE)+VLOOKUP($A235,A:AL,37,FALSE)-50)),"-",(VLOOKUP($A235,'SegEnds_NonXtal_BW#'!$A:$Z,26,FALSE)+VLOOKUP($A235,A:AL,37,FALSE)-50))</f>
        <v>328</v>
      </c>
      <c r="AM235" s="28" t="str">
        <f>VLOOKUP(A235,Classification!A:B,2,FALSE)</f>
        <v>A</v>
      </c>
      <c r="AN235" s="28" t="b">
        <f t="shared" si="133"/>
        <v>1</v>
      </c>
      <c r="AO235" s="3" t="str">
        <f>IF(ISERROR(MATCH(A235,'SegEnds_Xtal_Prot#'!B:B, 0)), "NoXtal", "Xtal")</f>
        <v>NoXtal</v>
      </c>
      <c r="AP235" s="3">
        <f t="shared" si="118"/>
        <v>1</v>
      </c>
      <c r="AQ235" s="3">
        <f t="shared" si="119"/>
        <v>1</v>
      </c>
      <c r="AR235" s="3">
        <f t="shared" si="120"/>
        <v>2</v>
      </c>
      <c r="AS235" s="3">
        <f t="shared" si="121"/>
        <v>1</v>
      </c>
      <c r="AT235" s="3">
        <f t="shared" si="122"/>
        <v>1</v>
      </c>
      <c r="AU235" s="3">
        <f t="shared" si="123"/>
        <v>1</v>
      </c>
      <c r="AV235" s="3">
        <f t="shared" si="124"/>
        <v>12</v>
      </c>
      <c r="AW235" s="3">
        <f t="shared" si="125"/>
        <v>5</v>
      </c>
      <c r="AX235" s="3">
        <f t="shared" si="126"/>
        <v>6</v>
      </c>
      <c r="AY235" s="3">
        <f t="shared" si="127"/>
        <v>5</v>
      </c>
      <c r="AZ235" s="3">
        <f t="shared" si="128"/>
        <v>1</v>
      </c>
      <c r="BA235" s="3">
        <f>IF(ISERROR(LEN(VLOOKUP(A235,Seqs!A:E,2,FALSE))-AL235),"-",LEN(VLOOKUP(A235,Seqs!A:E,2,FALSE))-AL235)</f>
        <v>41</v>
      </c>
      <c r="BB235" s="16">
        <f t="shared" si="129"/>
        <v>28</v>
      </c>
      <c r="BC235" s="9">
        <f t="shared" si="130"/>
        <v>20</v>
      </c>
      <c r="BD235" s="3">
        <f t="shared" si="131"/>
        <v>28</v>
      </c>
      <c r="BE235" s="3">
        <f t="shared" si="132"/>
        <v>51</v>
      </c>
    </row>
    <row r="236" spans="1:58" s="3" customFormat="1" x14ac:dyDescent="0.2">
      <c r="A236" s="3" t="s">
        <v>382</v>
      </c>
      <c r="B236" s="3" t="str">
        <f>LOWER(VLOOKUP(A236,Xtal_Templ!A:B,2,FALSE))</f>
        <v>oprk_human</v>
      </c>
      <c r="C236" s="3">
        <f>VLOOKUP($A236,'SegEnds_NonXtal_BW#'!$A:$Z,3,FALSE)+D236-50</f>
        <v>42</v>
      </c>
      <c r="D236" s="3">
        <v>62</v>
      </c>
      <c r="E236" s="3">
        <f>IF(ISERROR(VLOOKUP($A236,'SegEnds_NonXtal_BW#'!$A:$Z,4,FALSE)+VLOOKUP($A236,A:AL,4,FALSE)-50),"-",(VLOOKUP($A236,'SegEnds_NonXtal_BW#'!$A:$Z,4,FALSE)+VLOOKUP($A236,A:AL,4,FALSE)-50))</f>
        <v>72</v>
      </c>
      <c r="F236" s="3">
        <f t="shared" si="140"/>
        <v>73</v>
      </c>
      <c r="G236" s="3">
        <v>75</v>
      </c>
      <c r="H236" s="3">
        <f t="shared" si="141"/>
        <v>76</v>
      </c>
      <c r="I236" s="3">
        <f t="shared" si="141"/>
        <v>77</v>
      </c>
      <c r="J236" s="3">
        <v>90</v>
      </c>
      <c r="K236" s="3">
        <f>VLOOKUP($A236,'SegEnds_NonXtal_BW#'!$A:$Z,8,FALSE)+VLOOKUP($A236,A:AL,10,FALSE)-50</f>
        <v>106</v>
      </c>
      <c r="L236" s="3">
        <f t="shared" si="142"/>
        <v>108</v>
      </c>
      <c r="M236" s="3">
        <v>109</v>
      </c>
      <c r="N236" s="3">
        <f t="shared" si="143"/>
        <v>111</v>
      </c>
      <c r="O236" s="3">
        <f t="shared" si="139"/>
        <v>112</v>
      </c>
      <c r="P236" s="3">
        <v>141</v>
      </c>
      <c r="Q236" s="3">
        <f>VLOOKUP($A236,'SegEnds_NonXtal_BW#'!$A:$Z,12,FALSE)+VLOOKUP($A236,A:AL,16,FALSE)-50</f>
        <v>147</v>
      </c>
      <c r="R236" s="3">
        <f>IF(ISERROR(VLOOKUP($A236,'SegEnds_NonXtal_BW#'!$A:$Z,13,FALSE)+VLOOKUP($A236,A:AL,19,FALSE)-50),"-",VLOOKUP($A236,'SegEnds_NonXtal_BW#'!$A:$Z,13,FALSE)+VLOOKUP($A236,A:AL,19,FALSE)-50)</f>
        <v>148</v>
      </c>
      <c r="S236" s="3">
        <v>148</v>
      </c>
      <c r="T236" s="100">
        <f>IF(ISERROR(VLOOKUP($A236,'SegEnds_NonXtal_BW#'!$A:$Z,14,FALSE)+VLOOKUP($A236,A:AL,19,FALSE)-50),"-",(VLOOKUP($A236,'SegEnds_NonXtal_BW#'!$A:$Z,14,FALSE)+VLOOKUP($A236,A:AL,19,FALSE)-50))</f>
        <v>155</v>
      </c>
      <c r="U236" s="9">
        <f>IF(ISERROR(VLOOKUP($A236,'SegEnds_NonXtal_BW#'!$A:$Z,15,FALSE)+VLOOKUP($A236,A:AL,22,FALSE)-50),"-",VLOOKUP($A236,'SegEnds_NonXtal_BW#'!$A:$Z,15,FALSE)+VLOOKUP($A236,A:AL,22,FALSE)-50)</f>
        <v>156</v>
      </c>
      <c r="V236" s="3">
        <v>168</v>
      </c>
      <c r="W236" s="3">
        <f>IF(ISERROR(VLOOKUP($A236,'SegEnds_NonXtal_BW#'!$A:$Z,16,FALSE)+VLOOKUP($A236,A:AL,22,FALSE)-50),"-",(VLOOKUP($A236,'SegEnds_NonXtal_BW#'!$A:$Z,16,FALSE)+VLOOKUP($A236,A:AL,22,FALSE)-50))</f>
        <v>182</v>
      </c>
      <c r="X236" s="3">
        <f>IF(ISERROR(VLOOKUP($A236,'SegEnds_NonXtal_BW#'!$A:$Z,17,FALSE)+VLOOKUP($A236,A:AL,25,FALSE)-50),"-",(VLOOKUP($A236,'SegEnds_NonXtal_BW#'!$A:$Z,17,FALSE)+VLOOKUP($A236,A:AL,25,FALSE)-50))</f>
        <v>191</v>
      </c>
      <c r="Y236" s="3">
        <v>191</v>
      </c>
      <c r="Z236" s="3">
        <f t="shared" si="144"/>
        <v>193</v>
      </c>
      <c r="AA236" s="3">
        <f>IF(ISERROR(VLOOKUP($A236,'SegEnds_NonXtal_BW#'!$A:$Z,19,FALSE)+VLOOKUP($A236,A:AL,28,FALSE)-50),"-",(VLOOKUP($A236,'SegEnds_NonXtal_BW#'!$A:$Z,19,FALSE)+VLOOKUP($A236,A:AL,28,FALSE)-50))</f>
        <v>198</v>
      </c>
      <c r="AB236" s="3">
        <v>218</v>
      </c>
      <c r="AC236" s="3">
        <f>IF(ISERROR((VLOOKUP($A236,'SegEnds_NonXtal_BW#'!$A:$Z,20,FALSE)+VLOOKUP($A236,A:AL,28,FALSE)-50)),"-",(VLOOKUP($A236,'SegEnds_NonXtal_BW#'!$A:$Z,20,FALSE)+VLOOKUP($A236,A:AL,28,FALSE)-50))</f>
        <v>240</v>
      </c>
      <c r="AD236" s="3">
        <f>IF(ISERROR(VLOOKUP($A236,'SegEnds_NonXtal_BW#'!$A:$Z,21,FALSE)+VLOOKUP($A236,A:AL,31,FALSE)-50),"-",(VLOOKUP($A236,'SegEnds_NonXtal_BW#'!$A:$Z,21,FALSE)+VLOOKUP($A236,A:AL,31,FALSE)-50))</f>
        <v>246</v>
      </c>
      <c r="AE236" s="3">
        <v>272</v>
      </c>
      <c r="AF236" s="3">
        <f>IF(ISERROR((VLOOKUP($A236,'SegEnds_NonXtal_BW#'!$A:$Z,22,FALSE)+VLOOKUP($A236,A:AL,31,FALSE)-50)),"-",(VLOOKUP($A236,'SegEnds_NonXtal_BW#'!$A:$Z,22,FALSE)+VLOOKUP($A236,A:AL,31,FALSE)-50))</f>
        <v>283</v>
      </c>
      <c r="AG236" s="3">
        <f>IF(ISERROR(VLOOKUP($A236,'SegEnds_NonXtal_BW#'!$A:$Z,23,FALSE)+VLOOKUP($A236,A:AL,34,FALSE)-50),"-",(VLOOKUP($A236,'SegEnds_NonXtal_BW#'!$A:$Z,23,FALSE)+VLOOKUP($A236,A:AL,34,FALSE)-50))</f>
        <v>288</v>
      </c>
      <c r="AH236" s="3">
        <v>310</v>
      </c>
      <c r="AI236" s="3">
        <f>IF(ISERROR((VLOOKUP($A236,'SegEnds_NonXtal_BW#'!$A:$Z,24,FALSE)+VLOOKUP($A236,A:AL,34,FALSE)-50)),"-",(VLOOKUP($A236,'SegEnds_NonXtal_BW#'!$A:$Z,24,FALSE)+VLOOKUP($A236,A:AL,34,FALSE)-50))</f>
        <v>316</v>
      </c>
      <c r="AJ236" s="3">
        <f>IF(ISERROR(VLOOKUP($A236,'SegEnds_NonXtal_BW#'!$A:$Z,25,FALSE)+VLOOKUP($A236,A:AL,37,FALSE)-50),"-",(VLOOKUP($A236,'SegEnds_NonXtal_BW#'!$A:$Z,25,FALSE)+VLOOKUP($A236,A:AL,37,FALSE)-50))</f>
        <v>317</v>
      </c>
      <c r="AK236" s="3">
        <v>320</v>
      </c>
      <c r="AL236" s="3">
        <f>IF(ISERROR((VLOOKUP($A236,'SegEnds_NonXtal_BW#'!$A:$Z,26,FALSE)+VLOOKUP($A236,A:AL,37,FALSE)-50)),"-",(VLOOKUP($A236,'SegEnds_NonXtal_BW#'!$A:$Z,26,FALSE)+VLOOKUP($A236,A:AL,37,FALSE)-50))</f>
        <v>329</v>
      </c>
      <c r="AM236" s="28" t="str">
        <f>VLOOKUP(A236,Classification!A:B,2,FALSE)</f>
        <v>A</v>
      </c>
      <c r="AN236" s="28" t="b">
        <f t="shared" si="133"/>
        <v>1</v>
      </c>
      <c r="AO236" s="3" t="str">
        <f>IF(ISERROR(MATCH(A236,'SegEnds_Xtal_Prot#'!B:B, 0)), "NoXtal", "Xtal")</f>
        <v>NoXtal</v>
      </c>
      <c r="AP236" s="3">
        <f t="shared" si="118"/>
        <v>1</v>
      </c>
      <c r="AQ236" s="3">
        <f t="shared" si="119"/>
        <v>1</v>
      </c>
      <c r="AR236" s="3">
        <f t="shared" si="120"/>
        <v>2</v>
      </c>
      <c r="AS236" s="3">
        <f t="shared" si="121"/>
        <v>1</v>
      </c>
      <c r="AT236" s="3">
        <f t="shared" si="122"/>
        <v>1</v>
      </c>
      <c r="AU236" s="3">
        <f t="shared" si="123"/>
        <v>1</v>
      </c>
      <c r="AV236" s="3">
        <f t="shared" si="124"/>
        <v>9</v>
      </c>
      <c r="AW236" s="3">
        <f t="shared" si="125"/>
        <v>5</v>
      </c>
      <c r="AX236" s="3">
        <f t="shared" si="126"/>
        <v>6</v>
      </c>
      <c r="AY236" s="3">
        <f t="shared" si="127"/>
        <v>5</v>
      </c>
      <c r="AZ236" s="3">
        <f t="shared" si="128"/>
        <v>1</v>
      </c>
      <c r="BA236" s="3">
        <f>IF(ISERROR(LEN(VLOOKUP(A236,Seqs!A:E,2,FALSE))-AL236),"-",LEN(VLOOKUP(A236,Seqs!A:E,2,FALSE))-AL236)</f>
        <v>89</v>
      </c>
      <c r="BB236" s="16">
        <f t="shared" si="129"/>
        <v>28</v>
      </c>
      <c r="BC236" s="9">
        <f t="shared" si="130"/>
        <v>20</v>
      </c>
      <c r="BD236" s="3">
        <f t="shared" si="131"/>
        <v>28</v>
      </c>
      <c r="BE236" s="3">
        <f t="shared" si="132"/>
        <v>54</v>
      </c>
    </row>
    <row r="237" spans="1:58" s="3" customFormat="1" x14ac:dyDescent="0.2">
      <c r="A237" s="3" t="s">
        <v>383</v>
      </c>
      <c r="B237" s="3" t="str">
        <f>LOWER(VLOOKUP(A237,Xtal_Templ!A:B,2,FALSE))</f>
        <v>oprk_human</v>
      </c>
      <c r="C237" s="3">
        <f>VLOOKUP($A237,'SegEnds_NonXtal_BW#'!$A:$Z,3,FALSE)+D237-50</f>
        <v>45</v>
      </c>
      <c r="D237" s="3">
        <v>65</v>
      </c>
      <c r="E237" s="3">
        <f>IF(ISERROR(VLOOKUP($A237,'SegEnds_NonXtal_BW#'!$A:$Z,4,FALSE)+VLOOKUP($A237,A:AL,4,FALSE)-50),"-",(VLOOKUP($A237,'SegEnds_NonXtal_BW#'!$A:$Z,4,FALSE)+VLOOKUP($A237,A:AL,4,FALSE)-50))</f>
        <v>75</v>
      </c>
      <c r="F237" s="3">
        <f t="shared" si="140"/>
        <v>76</v>
      </c>
      <c r="G237" s="3">
        <v>78</v>
      </c>
      <c r="H237" s="3">
        <f t="shared" si="141"/>
        <v>79</v>
      </c>
      <c r="I237" s="3">
        <f t="shared" si="141"/>
        <v>80</v>
      </c>
      <c r="J237" s="3">
        <v>93</v>
      </c>
      <c r="K237" s="3">
        <f>VLOOKUP($A237,'SegEnds_NonXtal_BW#'!$A:$Z,8,FALSE)+VLOOKUP($A237,A:AL,10,FALSE)-50</f>
        <v>109</v>
      </c>
      <c r="L237" s="3">
        <f t="shared" si="142"/>
        <v>111</v>
      </c>
      <c r="M237" s="3">
        <v>112</v>
      </c>
      <c r="N237" s="3">
        <f t="shared" si="143"/>
        <v>114</v>
      </c>
      <c r="O237" s="3">
        <f t="shared" si="139"/>
        <v>115</v>
      </c>
      <c r="P237" s="3">
        <v>144</v>
      </c>
      <c r="Q237" s="3">
        <f>VLOOKUP($A237,'SegEnds_NonXtal_BW#'!$A:$Z,12,FALSE)+VLOOKUP($A237,A:AL,16,FALSE)-50</f>
        <v>150</v>
      </c>
      <c r="R237" s="3">
        <f>IF(ISERROR(VLOOKUP($A237,'SegEnds_NonXtal_BW#'!$A:$Z,13,FALSE)+VLOOKUP($A237,A:AL,19,FALSE)-50),"-",VLOOKUP($A237,'SegEnds_NonXtal_BW#'!$A:$Z,13,FALSE)+VLOOKUP($A237,A:AL,19,FALSE)-50)</f>
        <v>151</v>
      </c>
      <c r="S237" s="3">
        <v>151</v>
      </c>
      <c r="T237" s="100">
        <f>IF(ISERROR(VLOOKUP($A237,'SegEnds_NonXtal_BW#'!$A:$Z,14,FALSE)+VLOOKUP($A237,A:AL,19,FALSE)-50),"-",(VLOOKUP($A237,'SegEnds_NonXtal_BW#'!$A:$Z,14,FALSE)+VLOOKUP($A237,A:AL,19,FALSE)-50))</f>
        <v>158</v>
      </c>
      <c r="U237" s="9">
        <f>IF(ISERROR(VLOOKUP($A237,'SegEnds_NonXtal_BW#'!$A:$Z,15,FALSE)+VLOOKUP($A237,A:AL,22,FALSE)-50),"-",VLOOKUP($A237,'SegEnds_NonXtal_BW#'!$A:$Z,15,FALSE)+VLOOKUP($A237,A:AL,22,FALSE)-50)</f>
        <v>159</v>
      </c>
      <c r="V237" s="3">
        <v>171</v>
      </c>
      <c r="W237" s="3">
        <f>IF(ISERROR(VLOOKUP($A237,'SegEnds_NonXtal_BW#'!$A:$Z,16,FALSE)+VLOOKUP($A237,A:AL,22,FALSE)-50),"-",(VLOOKUP($A237,'SegEnds_NonXtal_BW#'!$A:$Z,16,FALSE)+VLOOKUP($A237,A:AL,22,FALSE)-50))</f>
        <v>185</v>
      </c>
      <c r="X237" s="3">
        <f>IF(ISERROR(VLOOKUP($A237,'SegEnds_NonXtal_BW#'!$A:$Z,17,FALSE)+VLOOKUP($A237,A:AL,25,FALSE)-50),"-",(VLOOKUP($A237,'SegEnds_NonXtal_BW#'!$A:$Z,17,FALSE)+VLOOKUP($A237,A:AL,25,FALSE)-50))</f>
        <v>198</v>
      </c>
      <c r="Y237" s="3">
        <v>198</v>
      </c>
      <c r="Z237" s="3">
        <f t="shared" si="144"/>
        <v>200</v>
      </c>
      <c r="AA237" s="3">
        <f>IF(ISERROR(VLOOKUP($A237,'SegEnds_NonXtal_BW#'!$A:$Z,19,FALSE)+VLOOKUP($A237,A:AL,28,FALSE)-50),"-",(VLOOKUP($A237,'SegEnds_NonXtal_BW#'!$A:$Z,19,FALSE)+VLOOKUP($A237,A:AL,28,FALSE)-50))</f>
        <v>203</v>
      </c>
      <c r="AB237" s="3">
        <v>223</v>
      </c>
      <c r="AC237" s="3">
        <f>IF(ISERROR((VLOOKUP($A237,'SegEnds_NonXtal_BW#'!$A:$Z,20,FALSE)+VLOOKUP($A237,A:AL,28,FALSE)-50)),"-",(VLOOKUP($A237,'SegEnds_NonXtal_BW#'!$A:$Z,20,FALSE)+VLOOKUP($A237,A:AL,28,FALSE)-50))</f>
        <v>241</v>
      </c>
      <c r="AD237" s="3">
        <f>IF(ISERROR(VLOOKUP($A237,'SegEnds_NonXtal_BW#'!$A:$Z,21,FALSE)+VLOOKUP($A237,A:AL,31,FALSE)-50),"-",(VLOOKUP($A237,'SegEnds_NonXtal_BW#'!$A:$Z,21,FALSE)+VLOOKUP($A237,A:AL,31,FALSE)-50))</f>
        <v>247</v>
      </c>
      <c r="AE237" s="3">
        <v>274</v>
      </c>
      <c r="AF237" s="3">
        <f>IF(ISERROR((VLOOKUP($A237,'SegEnds_NonXtal_BW#'!$A:$Z,22,FALSE)+VLOOKUP($A237,A:AL,31,FALSE)-50)),"-",(VLOOKUP($A237,'SegEnds_NonXtal_BW#'!$A:$Z,22,FALSE)+VLOOKUP($A237,A:AL,31,FALSE)-50))</f>
        <v>285</v>
      </c>
      <c r="AG237" s="3">
        <f>IF(ISERROR(VLOOKUP($A237,'SegEnds_NonXtal_BW#'!$A:$Z,23,FALSE)+VLOOKUP($A237,A:AL,34,FALSE)-50),"-",(VLOOKUP($A237,'SegEnds_NonXtal_BW#'!$A:$Z,23,FALSE)+VLOOKUP($A237,A:AL,34,FALSE)-50))</f>
        <v>290</v>
      </c>
      <c r="AH237" s="3">
        <v>308</v>
      </c>
      <c r="AI237" s="3">
        <f>IF(ISERROR((VLOOKUP($A237,'SegEnds_NonXtal_BW#'!$A:$Z,24,FALSE)+VLOOKUP($A237,A:AL,34,FALSE)-50)),"-",(VLOOKUP($A237,'SegEnds_NonXtal_BW#'!$A:$Z,24,FALSE)+VLOOKUP($A237,A:AL,34,FALSE)-50))</f>
        <v>314</v>
      </c>
      <c r="AJ237" s="3">
        <f>IF(ISERROR(VLOOKUP($A237,'SegEnds_NonXtal_BW#'!$A:$Z,25,FALSE)+VLOOKUP($A237,A:AL,37,FALSE)-50),"-",(VLOOKUP($A237,'SegEnds_NonXtal_BW#'!$A:$Z,25,FALSE)+VLOOKUP($A237,A:AL,37,FALSE)-50))</f>
        <v>315</v>
      </c>
      <c r="AK237" s="3">
        <v>318</v>
      </c>
      <c r="AL237" s="3">
        <f>IF(ISERROR((VLOOKUP($A237,'SegEnds_NonXtal_BW#'!$A:$Z,26,FALSE)+VLOOKUP($A237,A:AL,37,FALSE)-50)),"-",(VLOOKUP($A237,'SegEnds_NonXtal_BW#'!$A:$Z,26,FALSE)+VLOOKUP($A237,A:AL,37,FALSE)-50))</f>
        <v>327</v>
      </c>
      <c r="AM237" s="28" t="str">
        <f>VLOOKUP(A237,Classification!A:B,2,FALSE)</f>
        <v>A</v>
      </c>
      <c r="AN237" s="28" t="b">
        <f t="shared" si="133"/>
        <v>1</v>
      </c>
      <c r="AO237" s="3" t="str">
        <f>IF(ISERROR(MATCH(A237,'SegEnds_Xtal_Prot#'!B:B, 0)), "NoXtal", "Xtal")</f>
        <v>NoXtal</v>
      </c>
      <c r="AP237" s="3">
        <f t="shared" si="118"/>
        <v>1</v>
      </c>
      <c r="AQ237" s="3">
        <f t="shared" si="119"/>
        <v>1</v>
      </c>
      <c r="AR237" s="3">
        <f t="shared" si="120"/>
        <v>2</v>
      </c>
      <c r="AS237" s="3">
        <f t="shared" si="121"/>
        <v>1</v>
      </c>
      <c r="AT237" s="3">
        <f t="shared" si="122"/>
        <v>1</v>
      </c>
      <c r="AU237" s="3">
        <f t="shared" si="123"/>
        <v>1</v>
      </c>
      <c r="AV237" s="3">
        <f t="shared" si="124"/>
        <v>13</v>
      </c>
      <c r="AW237" s="3">
        <f t="shared" si="125"/>
        <v>3</v>
      </c>
      <c r="AX237" s="3">
        <f t="shared" si="126"/>
        <v>6</v>
      </c>
      <c r="AY237" s="3">
        <f t="shared" si="127"/>
        <v>5</v>
      </c>
      <c r="AZ237" s="3">
        <f t="shared" si="128"/>
        <v>1</v>
      </c>
      <c r="BA237" s="3">
        <f>IF(ISERROR(LEN(VLOOKUP(A237,Seqs!A:E,2,FALSE))-AL237),"-",LEN(VLOOKUP(A237,Seqs!A:E,2,FALSE))-AL237)</f>
        <v>61</v>
      </c>
      <c r="BB237" s="16">
        <f t="shared" si="129"/>
        <v>28</v>
      </c>
      <c r="BC237" s="9">
        <f t="shared" si="130"/>
        <v>20</v>
      </c>
      <c r="BD237" s="3">
        <f t="shared" si="131"/>
        <v>28</v>
      </c>
      <c r="BE237" s="3">
        <f t="shared" si="132"/>
        <v>51</v>
      </c>
    </row>
    <row r="238" spans="1:58" s="3" customFormat="1" x14ac:dyDescent="0.2">
      <c r="A238" s="3" t="s">
        <v>384</v>
      </c>
      <c r="B238" s="3" t="str">
        <f>LOWER(VLOOKUP(A238,Xtal_Templ!A:B,2,FALSE))</f>
        <v>oprk_human</v>
      </c>
      <c r="C238" s="3">
        <f>VLOOKUP($A238,'SegEnds_NonXtal_BW#'!$A:$Z,3,FALSE)+D238-50</f>
        <v>38</v>
      </c>
      <c r="D238" s="3">
        <v>58</v>
      </c>
      <c r="E238" s="3">
        <f>IF(ISERROR(VLOOKUP($A238,'SegEnds_NonXtal_BW#'!$A:$Z,4,FALSE)+VLOOKUP($A238,A:AL,4,FALSE)-50),"-",(VLOOKUP($A238,'SegEnds_NonXtal_BW#'!$A:$Z,4,FALSE)+VLOOKUP($A238,A:AL,4,FALSE)-50))</f>
        <v>68</v>
      </c>
      <c r="F238" s="3">
        <f t="shared" si="140"/>
        <v>69</v>
      </c>
      <c r="G238" s="3">
        <v>71</v>
      </c>
      <c r="H238" s="3">
        <f t="shared" si="141"/>
        <v>72</v>
      </c>
      <c r="I238" s="3">
        <f t="shared" si="141"/>
        <v>73</v>
      </c>
      <c r="J238" s="3">
        <v>86</v>
      </c>
      <c r="K238" s="3">
        <f>VLOOKUP($A238,'SegEnds_NonXtal_BW#'!$A:$Z,8,FALSE)+VLOOKUP($A238,A:AL,10,FALSE)-50</f>
        <v>102</v>
      </c>
      <c r="L238" s="3">
        <f t="shared" si="142"/>
        <v>104</v>
      </c>
      <c r="M238" s="3">
        <v>105</v>
      </c>
      <c r="N238" s="3">
        <f t="shared" si="143"/>
        <v>107</v>
      </c>
      <c r="O238" s="3">
        <f t="shared" si="139"/>
        <v>108</v>
      </c>
      <c r="P238" s="3">
        <v>137</v>
      </c>
      <c r="Q238" s="3">
        <f>VLOOKUP($A238,'SegEnds_NonXtal_BW#'!$A:$Z,12,FALSE)+VLOOKUP($A238,A:AL,16,FALSE)-50</f>
        <v>143</v>
      </c>
      <c r="R238" s="3">
        <f>IF(ISERROR(VLOOKUP($A238,'SegEnds_NonXtal_BW#'!$A:$Z,13,FALSE)+VLOOKUP($A238,A:AL,19,FALSE)-50),"-",VLOOKUP($A238,'SegEnds_NonXtal_BW#'!$A:$Z,13,FALSE)+VLOOKUP($A238,A:AL,19,FALSE)-50)</f>
        <v>144</v>
      </c>
      <c r="S238" s="3">
        <v>144</v>
      </c>
      <c r="T238" s="100">
        <f>IF(ISERROR(VLOOKUP($A238,'SegEnds_NonXtal_BW#'!$A:$Z,14,FALSE)+VLOOKUP($A238,A:AL,19,FALSE)-50),"-",(VLOOKUP($A238,'SegEnds_NonXtal_BW#'!$A:$Z,14,FALSE)+VLOOKUP($A238,A:AL,19,FALSE)-50))</f>
        <v>151</v>
      </c>
      <c r="U238" s="9">
        <f>IF(ISERROR(VLOOKUP($A238,'SegEnds_NonXtal_BW#'!$A:$Z,15,FALSE)+VLOOKUP($A238,A:AL,22,FALSE)-50),"-",VLOOKUP($A238,'SegEnds_NonXtal_BW#'!$A:$Z,15,FALSE)+VLOOKUP($A238,A:AL,22,FALSE)-50)</f>
        <v>152</v>
      </c>
      <c r="V238" s="3">
        <v>164</v>
      </c>
      <c r="W238" s="3">
        <f>IF(ISERROR(VLOOKUP($A238,'SegEnds_NonXtal_BW#'!$A:$Z,16,FALSE)+VLOOKUP($A238,A:AL,22,FALSE)-50),"-",(VLOOKUP($A238,'SegEnds_NonXtal_BW#'!$A:$Z,16,FALSE)+VLOOKUP($A238,A:AL,22,FALSE)-50))</f>
        <v>178</v>
      </c>
      <c r="X238" s="3">
        <f>IF(ISERROR(VLOOKUP($A238,'SegEnds_NonXtal_BW#'!$A:$Z,17,FALSE)+VLOOKUP($A238,A:AL,25,FALSE)-50),"-",(VLOOKUP($A238,'SegEnds_NonXtal_BW#'!$A:$Z,17,FALSE)+VLOOKUP($A238,A:AL,25,FALSE)-50))</f>
        <v>186</v>
      </c>
      <c r="Y238" s="3">
        <v>186</v>
      </c>
      <c r="Z238" s="3">
        <f t="shared" si="144"/>
        <v>188</v>
      </c>
      <c r="AA238" s="3">
        <f>IF(ISERROR(VLOOKUP($A238,'SegEnds_NonXtal_BW#'!$A:$Z,19,FALSE)+VLOOKUP($A238,A:AL,28,FALSE)-50),"-",(VLOOKUP($A238,'SegEnds_NonXtal_BW#'!$A:$Z,19,FALSE)+VLOOKUP($A238,A:AL,28,FALSE)-50))</f>
        <v>193</v>
      </c>
      <c r="AB238" s="3">
        <v>213</v>
      </c>
      <c r="AC238" s="3">
        <f>IF(ISERROR((VLOOKUP($A238,'SegEnds_NonXtal_BW#'!$A:$Z,20,FALSE)+VLOOKUP($A238,A:AL,28,FALSE)-50)),"-",(VLOOKUP($A238,'SegEnds_NonXtal_BW#'!$A:$Z,20,FALSE)+VLOOKUP($A238,A:AL,28,FALSE)-50))</f>
        <v>235</v>
      </c>
      <c r="AD238" s="3">
        <f>IF(ISERROR(VLOOKUP($A238,'SegEnds_NonXtal_BW#'!$A:$Z,21,FALSE)+VLOOKUP($A238,A:AL,31,FALSE)-50),"-",(VLOOKUP($A238,'SegEnds_NonXtal_BW#'!$A:$Z,21,FALSE)+VLOOKUP($A238,A:AL,31,FALSE)-50))</f>
        <v>242</v>
      </c>
      <c r="AE238" s="3">
        <v>263</v>
      </c>
      <c r="AF238" s="3">
        <f>IF(ISERROR((VLOOKUP($A238,'SegEnds_NonXtal_BW#'!$A:$Z,22,FALSE)+VLOOKUP($A238,A:AL,31,FALSE)-50)),"-",(VLOOKUP($A238,'SegEnds_NonXtal_BW#'!$A:$Z,22,FALSE)+VLOOKUP($A238,A:AL,31,FALSE)-50))</f>
        <v>274</v>
      </c>
      <c r="AG238" s="3">
        <f>IF(ISERROR(VLOOKUP($A238,'SegEnds_NonXtal_BW#'!$A:$Z,23,FALSE)+VLOOKUP($A238,A:AL,34,FALSE)-50),"-",(VLOOKUP($A238,'SegEnds_NonXtal_BW#'!$A:$Z,23,FALSE)+VLOOKUP($A238,A:AL,34,FALSE)-50))</f>
        <v>279</v>
      </c>
      <c r="AH238" s="3">
        <v>301</v>
      </c>
      <c r="AI238" s="3">
        <f>IF(ISERROR((VLOOKUP($A238,'SegEnds_NonXtal_BW#'!$A:$Z,24,FALSE)+VLOOKUP($A238,A:AL,34,FALSE)-50)),"-",(VLOOKUP($A238,'SegEnds_NonXtal_BW#'!$A:$Z,24,FALSE)+VLOOKUP($A238,A:AL,34,FALSE)-50))</f>
        <v>307</v>
      </c>
      <c r="AJ238" s="3">
        <f>IF(ISERROR(VLOOKUP($A238,'SegEnds_NonXtal_BW#'!$A:$Z,25,FALSE)+VLOOKUP($A238,A:AL,37,FALSE)-50),"-",(VLOOKUP($A238,'SegEnds_NonXtal_BW#'!$A:$Z,25,FALSE)+VLOOKUP($A238,A:AL,37,FALSE)-50))</f>
        <v>308</v>
      </c>
      <c r="AK238" s="3">
        <v>311</v>
      </c>
      <c r="AL238" s="3">
        <f>IF(ISERROR((VLOOKUP($A238,'SegEnds_NonXtal_BW#'!$A:$Z,26,FALSE)+VLOOKUP($A238,A:AL,37,FALSE)-50)),"-",(VLOOKUP($A238,'SegEnds_NonXtal_BW#'!$A:$Z,26,FALSE)+VLOOKUP($A238,A:AL,37,FALSE)-50))</f>
        <v>320</v>
      </c>
      <c r="AM238" s="28" t="str">
        <f>VLOOKUP(A238,Classification!A:B,2,FALSE)</f>
        <v>A</v>
      </c>
      <c r="AN238" s="28" t="b">
        <f t="shared" si="133"/>
        <v>1</v>
      </c>
      <c r="AO238" s="3" t="str">
        <f>IF(ISERROR(MATCH(A238,'SegEnds_Xtal_Prot#'!B:B, 0)), "NoXtal", "Xtal")</f>
        <v>NoXtal</v>
      </c>
      <c r="AP238" s="3">
        <f t="shared" si="118"/>
        <v>1</v>
      </c>
      <c r="AQ238" s="3">
        <f t="shared" si="119"/>
        <v>1</v>
      </c>
      <c r="AR238" s="3">
        <f t="shared" si="120"/>
        <v>2</v>
      </c>
      <c r="AS238" s="3">
        <f t="shared" si="121"/>
        <v>1</v>
      </c>
      <c r="AT238" s="3">
        <f t="shared" si="122"/>
        <v>1</v>
      </c>
      <c r="AU238" s="3">
        <f t="shared" si="123"/>
        <v>1</v>
      </c>
      <c r="AV238" s="3">
        <f t="shared" si="124"/>
        <v>8</v>
      </c>
      <c r="AW238" s="3">
        <f t="shared" si="125"/>
        <v>5</v>
      </c>
      <c r="AX238" s="3">
        <f t="shared" si="126"/>
        <v>7</v>
      </c>
      <c r="AY238" s="3">
        <f t="shared" si="127"/>
        <v>5</v>
      </c>
      <c r="AZ238" s="3">
        <f t="shared" si="128"/>
        <v>1</v>
      </c>
      <c r="BA238" s="3">
        <f>IF(ISERROR(LEN(VLOOKUP(A238,Seqs!A:E,2,FALSE))-AL238),"-",LEN(VLOOKUP(A238,Seqs!A:E,2,FALSE))-AL238)</f>
        <v>44</v>
      </c>
      <c r="BB238" s="16">
        <f t="shared" si="129"/>
        <v>28</v>
      </c>
      <c r="BC238" s="9">
        <f t="shared" si="130"/>
        <v>20</v>
      </c>
      <c r="BD238" s="3">
        <f t="shared" si="131"/>
        <v>28</v>
      </c>
      <c r="BE238" s="3">
        <f t="shared" si="132"/>
        <v>50</v>
      </c>
    </row>
    <row r="239" spans="1:58" s="3" customFormat="1" x14ac:dyDescent="0.2">
      <c r="A239" s="3" t="s">
        <v>385</v>
      </c>
      <c r="B239" s="3" t="str">
        <f>LOWER(VLOOKUP(A239,Xtal_Templ!A:B,2,FALSE))</f>
        <v>sucr1_rat</v>
      </c>
      <c r="C239" s="3">
        <f>VLOOKUP($A239,'SegEnds_NonXtal_BW#'!$A:$Z,3,FALSE)+D239-50</f>
        <v>11</v>
      </c>
      <c r="D239" s="3">
        <v>41</v>
      </c>
      <c r="E239" s="3">
        <f>IF(ISERROR(VLOOKUP($A239,'SegEnds_NonXtal_BW#'!$A:$Z,4,FALSE)+VLOOKUP($A239,A:AL,4,FALSE)-50),"-",(VLOOKUP($A239,'SegEnds_NonXtal_BW#'!$A:$Z,4,FALSE)+VLOOKUP($A239,A:AL,4,FALSE)-50))</f>
        <v>52</v>
      </c>
      <c r="F239" s="3" t="str">
        <f>IF(ISERROR(VLOOKUP($A239,'SegEnds_NonXtal_BW#'!$A:$Z,5,FALSE)+VLOOKUP($A239,A:AL,7,FALSE)-50),"-",(VLOOKUP($A239,'SegEnds_NonXtal_BW#'!$A:$Z,5,FALSE)+VLOOKUP($A239,A:AL,7,FALSE)-50))</f>
        <v>-</v>
      </c>
      <c r="G239" s="3" t="s">
        <v>23</v>
      </c>
      <c r="H239" s="3" t="str">
        <f>IF(ISERROR(VLOOKUP($A239,'SegEnds_NonXtal_BW#'!$A:$Z,6,FALSE)+VLOOKUP($A239,A:AL,7,FALSE)-50),"-",(VLOOKUP($A239,'SegEnds_NonXtal_BW#'!$A:$Z,6,FALSE)+VLOOKUP($A239,A:AL,7,FALSE)-50))</f>
        <v>-</v>
      </c>
      <c r="I239" s="3">
        <f>VLOOKUP($A239,'SegEnds_NonXtal_BW#'!$A:$Z,7,FALSE)+J239-50</f>
        <v>56</v>
      </c>
      <c r="J239" s="3">
        <v>69</v>
      </c>
      <c r="K239" s="3">
        <f>VLOOKUP($A239,'SegEnds_NonXtal_BW#'!$A:$Z,8,FALSE)+VLOOKUP($A239,A:AL,10,FALSE)-50</f>
        <v>85</v>
      </c>
      <c r="L239" s="3">
        <f t="shared" si="142"/>
        <v>87</v>
      </c>
      <c r="M239" s="3">
        <v>88</v>
      </c>
      <c r="N239" s="3">
        <f t="shared" si="143"/>
        <v>90</v>
      </c>
      <c r="O239" s="3">
        <f t="shared" si="139"/>
        <v>91</v>
      </c>
      <c r="P239" s="3">
        <v>120</v>
      </c>
      <c r="Q239" s="3">
        <f>VLOOKUP($A239,'SegEnds_NonXtal_BW#'!$A:$Z,12,FALSE)+VLOOKUP($A239,A:AL,16,FALSE)-50</f>
        <v>126</v>
      </c>
      <c r="R239" s="3">
        <f>IF(ISERROR(VLOOKUP($A239,'SegEnds_NonXtal_BW#'!$A:$Z,13,FALSE)+VLOOKUP($A239,A:AL,19,FALSE)-50),"-",VLOOKUP($A239,'SegEnds_NonXtal_BW#'!$A:$Z,13,FALSE)+VLOOKUP($A239,A:AL,19,FALSE)-50)</f>
        <v>127</v>
      </c>
      <c r="S239" s="3">
        <v>127</v>
      </c>
      <c r="T239" s="100">
        <f>IF(ISERROR(VLOOKUP($A239,'SegEnds_NonXtal_BW#'!$A:$Z,14,FALSE)+VLOOKUP($A239,A:AL,19,FALSE)-50),"-",(VLOOKUP($A239,'SegEnds_NonXtal_BW#'!$A:$Z,14,FALSE)+VLOOKUP($A239,A:AL,19,FALSE)-50))</f>
        <v>134</v>
      </c>
      <c r="U239" s="9">
        <f>IF(ISERROR(VLOOKUP($A239,'SegEnds_NonXtal_BW#'!$A:$Z,15,FALSE)+VLOOKUP($A239,A:AL,22,FALSE)-50),"-",VLOOKUP($A239,'SegEnds_NonXtal_BW#'!$A:$Z,15,FALSE)+VLOOKUP($A239,A:AL,22,FALSE)-50)</f>
        <v>135</v>
      </c>
      <c r="V239" s="3">
        <v>147</v>
      </c>
      <c r="W239" s="3">
        <f>IF(ISERROR(VLOOKUP($A239,'SegEnds_NonXtal_BW#'!$A:$Z,16,FALSE)+VLOOKUP($A239,A:AL,22,FALSE)-50),"-",(VLOOKUP($A239,'SegEnds_NonXtal_BW#'!$A:$Z,16,FALSE)+VLOOKUP($A239,A:AL,22,FALSE)-50))</f>
        <v>164</v>
      </c>
      <c r="X239" s="3">
        <f>IF(ISERROR(VLOOKUP($A239,'SegEnds_NonXtal_BW#'!$A:$Z,17,FALSE)+VLOOKUP($A239,A:AL,25,FALSE)-50),"-",(VLOOKUP($A239,'SegEnds_NonXtal_BW#'!$A:$Z,17,FALSE)+VLOOKUP($A239,A:AL,25,FALSE)-50))</f>
        <v>172</v>
      </c>
      <c r="Y239" s="3">
        <v>172</v>
      </c>
      <c r="Z239" s="3">
        <f t="shared" si="144"/>
        <v>174</v>
      </c>
      <c r="AA239" s="3">
        <f>IF(ISERROR(VLOOKUP($A239,'SegEnds_NonXtal_BW#'!$A:$Z,19,FALSE)+VLOOKUP($A239,A:AL,28,FALSE)-50),"-",(VLOOKUP($A239,'SegEnds_NonXtal_BW#'!$A:$Z,19,FALSE)+VLOOKUP($A239,A:AL,28,FALSE)-50))</f>
        <v>180</v>
      </c>
      <c r="AB239" s="3">
        <v>199</v>
      </c>
      <c r="AC239" s="3">
        <f>IF(ISERROR((VLOOKUP($A239,'SegEnds_NonXtal_BW#'!$A:$Z,20,FALSE)+VLOOKUP($A239,A:AL,28,FALSE)-50)),"-",(VLOOKUP($A239,'SegEnds_NonXtal_BW#'!$A:$Z,20,FALSE)+VLOOKUP($A239,A:AL,28,FALSE)-50))</f>
        <v>217</v>
      </c>
      <c r="AD239" s="3">
        <f>IF(ISERROR(VLOOKUP($A239,'SegEnds_NonXtal_BW#'!$A:$Z,21,FALSE)+VLOOKUP($A239,A:AL,31,FALSE)-50),"-",(VLOOKUP($A239,'SegEnds_NonXtal_BW#'!$A:$Z,21,FALSE)+VLOOKUP($A239,A:AL,31,FALSE)-50))</f>
        <v>221</v>
      </c>
      <c r="AE239" s="3">
        <v>247</v>
      </c>
      <c r="AF239" s="3">
        <f>IF(ISERROR((VLOOKUP($A239,'SegEnds_NonXtal_BW#'!$A:$Z,22,FALSE)+VLOOKUP($A239,A:AL,31,FALSE)-50)),"-",(VLOOKUP($A239,'SegEnds_NonXtal_BW#'!$A:$Z,22,FALSE)+VLOOKUP($A239,A:AL,31,FALSE)-50))</f>
        <v>261</v>
      </c>
      <c r="AG239" s="3">
        <f>IF(ISERROR(VLOOKUP($A239,'SegEnds_NonXtal_BW#'!$A:$Z,23,FALSE)+VLOOKUP($A239,A:AL,34,FALSE)-50),"-",(VLOOKUP($A239,'SegEnds_NonXtal_BW#'!$A:$Z,23,FALSE)+VLOOKUP($A239,A:AL,34,FALSE)-50))</f>
        <v>266</v>
      </c>
      <c r="AH239" s="3">
        <v>292</v>
      </c>
      <c r="AI239" s="3">
        <f>IF(ISERROR((VLOOKUP($A239,'SegEnds_NonXtal_BW#'!$A:$Z,24,FALSE)+VLOOKUP($A239,A:AL,34,FALSE)-50)),"-",(VLOOKUP($A239,'SegEnds_NonXtal_BW#'!$A:$Z,24,FALSE)+VLOOKUP($A239,A:AL,34,FALSE)-50))</f>
        <v>298</v>
      </c>
      <c r="AJ239" s="3">
        <f>IF(ISERROR(VLOOKUP($A239,'SegEnds_NonXtal_BW#'!$A:$Z,25,FALSE)+VLOOKUP($A239,A:AL,37,FALSE)-50),"-",(VLOOKUP($A239,'SegEnds_NonXtal_BW#'!$A:$Z,25,FALSE)+VLOOKUP($A239,A:AL,37,FALSE)-50))</f>
        <v>299</v>
      </c>
      <c r="AK239" s="3">
        <v>302</v>
      </c>
      <c r="AL239" s="3">
        <f>IF(ISERROR((VLOOKUP($A239,'SegEnds_NonXtal_BW#'!$A:$Z,26,FALSE)+VLOOKUP($A239,A:AL,37,FALSE)-50)),"-",(VLOOKUP($A239,'SegEnds_NonXtal_BW#'!$A:$Z,26,FALSE)+VLOOKUP($A239,A:AL,37,FALSE)-50))</f>
        <v>317</v>
      </c>
      <c r="AM239" s="28" t="str">
        <f>VLOOKUP(A239,Classification!A:B,2,FALSE)</f>
        <v>A</v>
      </c>
      <c r="AN239" s="28" t="b">
        <f t="shared" si="133"/>
        <v>1</v>
      </c>
      <c r="AO239" s="3" t="str">
        <f>IF(ISERROR(MATCH(A239,'SegEnds_Xtal_Prot#'!B:B, 0)), "NoXtal", "Xtal")</f>
        <v>NoXtal</v>
      </c>
      <c r="AP239" s="3" t="str">
        <f t="shared" si="118"/>
        <v>-</v>
      </c>
      <c r="AQ239" s="3" t="str">
        <f t="shared" si="119"/>
        <v>-</v>
      </c>
      <c r="AR239" s="3">
        <f t="shared" si="120"/>
        <v>2</v>
      </c>
      <c r="AS239" s="3">
        <f t="shared" si="121"/>
        <v>1</v>
      </c>
      <c r="AT239" s="3">
        <f t="shared" si="122"/>
        <v>1</v>
      </c>
      <c r="AU239" s="3">
        <f t="shared" si="123"/>
        <v>1</v>
      </c>
      <c r="AV239" s="3">
        <f t="shared" si="124"/>
        <v>8</v>
      </c>
      <c r="AW239" s="3">
        <f t="shared" si="125"/>
        <v>6</v>
      </c>
      <c r="AX239" s="3">
        <f t="shared" si="126"/>
        <v>4</v>
      </c>
      <c r="AY239" s="3">
        <f t="shared" si="127"/>
        <v>5</v>
      </c>
      <c r="AZ239" s="3">
        <f t="shared" si="128"/>
        <v>1</v>
      </c>
      <c r="BA239" s="3">
        <f>IF(ISERROR(LEN(VLOOKUP(A239,Seqs!A:E,2,FALSE))-AL239),"-",LEN(VLOOKUP(A239,Seqs!A:E,2,FALSE))-AL239)</f>
        <v>17</v>
      </c>
      <c r="BB239" s="16">
        <f t="shared" si="129"/>
        <v>28</v>
      </c>
      <c r="BC239" s="9">
        <f t="shared" si="130"/>
        <v>20</v>
      </c>
      <c r="BD239" s="3">
        <f t="shared" si="131"/>
        <v>28</v>
      </c>
      <c r="BE239" s="3">
        <f t="shared" si="132"/>
        <v>48</v>
      </c>
      <c r="BF239" s="3">
        <f t="shared" ref="BF239:BF248" si="145">AH239-AE239</f>
        <v>45</v>
      </c>
    </row>
    <row r="240" spans="1:58" s="3" customFormat="1" x14ac:dyDescent="0.2">
      <c r="A240" s="3" t="s">
        <v>1591</v>
      </c>
      <c r="B240" s="3" t="str">
        <f>LOWER(VLOOKUP(A240,Xtal_Templ!A:B,2,FALSE))</f>
        <v>sucr1_rat</v>
      </c>
      <c r="C240" s="3">
        <f>VLOOKUP($A240,'SegEnds_NonXtal_BW#'!$A:$Z,3,FALSE)+D240-50</f>
        <v>7</v>
      </c>
      <c r="D240" s="3">
        <v>37</v>
      </c>
      <c r="E240" s="3">
        <f>IF(ISERROR(VLOOKUP($A240,'SegEnds_NonXtal_BW#'!$A:$Z,4,FALSE)+VLOOKUP($A240,A:AL,4,FALSE)-50),"-",(VLOOKUP($A240,'SegEnds_NonXtal_BW#'!$A:$Z,4,FALSE)+VLOOKUP($A240,A:AL,4,FALSE)-50))</f>
        <v>48</v>
      </c>
      <c r="F240" s="3" t="str">
        <f>IF(ISERROR(VLOOKUP($A240,'SegEnds_NonXtal_BW#'!$A:$Z,5,FALSE)+VLOOKUP($A240,A:AL,7,FALSE)-50),"-",(VLOOKUP($A240,'SegEnds_NonXtal_BW#'!$A:$Z,5,FALSE)+VLOOKUP($A240,A:AL,7,FALSE)-50))</f>
        <v>-</v>
      </c>
      <c r="G240" s="3" t="s">
        <v>23</v>
      </c>
      <c r="H240" s="3" t="str">
        <f>IF(ISERROR(VLOOKUP($A240,'SegEnds_NonXtal_BW#'!$A:$Z,6,FALSE)+VLOOKUP($A240,A:AL,7,FALSE)-50),"-",(VLOOKUP($A240,'SegEnds_NonXtal_BW#'!$A:$Z,6,FALSE)+VLOOKUP($A240,A:AL,7,FALSE)-50))</f>
        <v>-</v>
      </c>
      <c r="I240" s="3">
        <f>VLOOKUP($A240,'SegEnds_NonXtal_BW#'!$A:$Z,7,FALSE)+J240-50</f>
        <v>52</v>
      </c>
      <c r="J240" s="3">
        <v>65</v>
      </c>
      <c r="K240" s="3">
        <f>VLOOKUP($A240,'SegEnds_NonXtal_BW#'!$A:$Z,8,FALSE)+VLOOKUP($A240,A:AL,10,FALSE)-50</f>
        <v>82</v>
      </c>
      <c r="L240" s="3">
        <f t="shared" ref="L240" si="146">M240-1</f>
        <v>83</v>
      </c>
      <c r="M240" s="3">
        <v>84</v>
      </c>
      <c r="N240" s="3">
        <f t="shared" ref="N240" si="147">M240+2</f>
        <v>86</v>
      </c>
      <c r="O240" s="3">
        <f t="shared" ref="O240" si="148">N240+1</f>
        <v>87</v>
      </c>
      <c r="P240" s="3">
        <v>116</v>
      </c>
      <c r="Q240" s="3">
        <f>VLOOKUP($A240,'SegEnds_NonXtal_BW#'!$A:$Z,12,FALSE)+VLOOKUP($A240,A:AL,16,FALSE)-50</f>
        <v>122</v>
      </c>
      <c r="R240" s="3">
        <f>IF(ISERROR(VLOOKUP($A240,'SegEnds_NonXtal_BW#'!$A:$Z,13,FALSE)+VLOOKUP($A240,A:AL,19,FALSE)-50),"-",VLOOKUP($A240,'SegEnds_NonXtal_BW#'!$A:$Z,13,FALSE)+VLOOKUP($A240,A:AL,19,FALSE)-50)</f>
        <v>123</v>
      </c>
      <c r="S240" s="3">
        <v>123</v>
      </c>
      <c r="T240" s="100">
        <f>IF(ISERROR(VLOOKUP($A240,'SegEnds_NonXtal_BW#'!$A:$Z,14,FALSE)+VLOOKUP($A240,A:AL,19,FALSE)-50),"-",(VLOOKUP($A240,'SegEnds_NonXtal_BW#'!$A:$Z,14,FALSE)+VLOOKUP($A240,A:AL,19,FALSE)-50))</f>
        <v>130</v>
      </c>
      <c r="U240" s="9">
        <f>IF(ISERROR(VLOOKUP($A240,'SegEnds_NonXtal_BW#'!$A:$Z,15,FALSE)+VLOOKUP($A240,A:AL,22,FALSE)-50),"-",VLOOKUP($A240,'SegEnds_NonXtal_BW#'!$A:$Z,15,FALSE)+VLOOKUP($A240,A:AL,22,FALSE)-50)</f>
        <v>131</v>
      </c>
      <c r="V240" s="3">
        <v>143</v>
      </c>
      <c r="W240" s="3">
        <f>IF(ISERROR(VLOOKUP($A240,'SegEnds_NonXtal_BW#'!$A:$Z,16,FALSE)+VLOOKUP($A240,A:AL,22,FALSE)-50),"-",(VLOOKUP($A240,'SegEnds_NonXtal_BW#'!$A:$Z,16,FALSE)+VLOOKUP($A240,A:AL,22,FALSE)-50))</f>
        <v>160</v>
      </c>
      <c r="X240" s="3">
        <f>IF(ISERROR(VLOOKUP($A240,'SegEnds_NonXtal_BW#'!$A:$Z,17,FALSE)+VLOOKUP($A240,A:AL,25,FALSE)-50),"-",(VLOOKUP($A240,'SegEnds_NonXtal_BW#'!$A:$Z,17,FALSE)+VLOOKUP($A240,A:AL,25,FALSE)-50))</f>
        <v>168</v>
      </c>
      <c r="Y240" s="3">
        <v>168</v>
      </c>
      <c r="Z240" s="3">
        <f t="shared" ref="Z240" si="149">Y240+2</f>
        <v>170</v>
      </c>
      <c r="AA240" s="3">
        <f>IF(ISERROR(VLOOKUP($A240,'SegEnds_NonXtal_BW#'!$A:$Z,19,FALSE)+VLOOKUP($A240,A:AL,28,FALSE)-50),"-",(VLOOKUP($A240,'SegEnds_NonXtal_BW#'!$A:$Z,19,FALSE)+VLOOKUP($A240,A:AL,28,FALSE)-50))</f>
        <v>176</v>
      </c>
      <c r="AB240" s="3">
        <v>195</v>
      </c>
      <c r="AC240" s="3">
        <f>IF(ISERROR((VLOOKUP($A240,'SegEnds_NonXtal_BW#'!$A:$Z,20,FALSE)+VLOOKUP($A240,A:AL,28,FALSE)-50)),"-",(VLOOKUP($A240,'SegEnds_NonXtal_BW#'!$A:$Z,20,FALSE)+VLOOKUP($A240,A:AL,28,FALSE)-50))</f>
        <v>213</v>
      </c>
      <c r="AD240" s="3">
        <f>IF(ISERROR(VLOOKUP($A240,'SegEnds_NonXtal_BW#'!$A:$Z,21,FALSE)+VLOOKUP($A240,A:AL,31,FALSE)-50),"-",(VLOOKUP($A240,'SegEnds_NonXtal_BW#'!$A:$Z,21,FALSE)+VLOOKUP($A240,A:AL,31,FALSE)-50))</f>
        <v>217</v>
      </c>
      <c r="AE240" s="3">
        <v>243</v>
      </c>
      <c r="AF240" s="3">
        <f>IF(ISERROR((VLOOKUP($A240,'SegEnds_NonXtal_BW#'!$A:$Z,22,FALSE)+VLOOKUP($A240,A:AL,31,FALSE)-50)),"-",(VLOOKUP($A240,'SegEnds_NonXtal_BW#'!$A:$Z,22,FALSE)+VLOOKUP($A240,A:AL,31,FALSE)-50))</f>
        <v>256</v>
      </c>
      <c r="AG240" s="3">
        <f>IF(ISERROR(VLOOKUP($A240,'SegEnds_NonXtal_BW#'!$A:$Z,23,FALSE)+VLOOKUP($A240,A:AL,34,FALSE)-50),"-",(VLOOKUP($A240,'SegEnds_NonXtal_BW#'!$A:$Z,23,FALSE)+VLOOKUP($A240,A:AL,34,FALSE)-50))</f>
        <v>263</v>
      </c>
      <c r="AH240" s="3">
        <v>287</v>
      </c>
      <c r="AI240" s="3">
        <f>IF(ISERROR((VLOOKUP($A240,'SegEnds_NonXtal_BW#'!$A:$Z,24,FALSE)+VLOOKUP($A240,A:AL,34,FALSE)-50)),"-",(VLOOKUP($A240,'SegEnds_NonXtal_BW#'!$A:$Z,24,FALSE)+VLOOKUP($A240,A:AL,34,FALSE)-50))</f>
        <v>293</v>
      </c>
      <c r="AJ240" s="3">
        <f>IF(ISERROR(VLOOKUP($A240,'SegEnds_NonXtal_BW#'!$A:$Z,25,FALSE)+VLOOKUP($A240,A:AL,37,FALSE)-50),"-",(VLOOKUP($A240,'SegEnds_NonXtal_BW#'!$A:$Z,25,FALSE)+VLOOKUP($A240,A:AL,37,FALSE)-50))</f>
        <v>294</v>
      </c>
      <c r="AK240" s="3">
        <v>297</v>
      </c>
      <c r="AL240" s="3">
        <f>IF(ISERROR((VLOOKUP($A240,'SegEnds_NonXtal_BW#'!$A:$Z,26,FALSE)+VLOOKUP($A240,A:AL,37,FALSE)-50)),"-",(VLOOKUP($A240,'SegEnds_NonXtal_BW#'!$A:$Z,26,FALSE)+VLOOKUP($A240,A:AL,37,FALSE)-50))</f>
        <v>312</v>
      </c>
      <c r="AM240" s="28" t="str">
        <f>VLOOKUP(A240,Classification!A:B,2,FALSE)</f>
        <v>A</v>
      </c>
      <c r="AN240" s="28" t="b">
        <f t="shared" ref="AN240" si="150">AND(IF(Y240="-",IF(AA240-W240&gt;3,TRUE,FALSE),TRUE),IF(M240="-",IF(O240-K240&gt;3,TRUE,FALSE),TRUE),IF(AG240-AF240&gt;1,TRUE,FALSE),C240&lt;E240,OR(E240&lt;F240,F240="-"),OR(F240&lt;H240,F240="-"),OR(H240&lt;I240,H240="-"),I240&lt;K240,OR(K240&lt;L240,L240="-"),OR(L240&lt;N240,L240="-"),OR(N240&lt;O240,N240="-"),O240&lt;Q240,OR(Q240&lt;R240,R240="-"),OR(R240&lt;T240,R240="-"),OR(T240&lt;U240,T240="-"),U240&lt;W240,OR(W240&lt;X240,X240="-"),OR(X240&lt;Z240,X240="-"),OR(Z240&lt;AA240,Z240="-"),AA240&lt;AC240,AC240&lt;AD240,AD240&lt;AF240,AF240&lt;AG240,AG240&lt;AI240,OR(AI240&lt;AJ240,AJ240="-"),OR(AJ240&lt;AL240,AJ240="-"))</f>
        <v>1</v>
      </c>
      <c r="AO240" s="3" t="str">
        <f>IF(ISERROR(MATCH(A240,'SegEnds_Xtal_Prot#'!B:B, 0)), "NoXtal", "Xtal")</f>
        <v>Xtal</v>
      </c>
      <c r="AP240" s="3" t="str">
        <f t="shared" ref="AP240" si="151">IF(ISERROR(F240-E240),"-",F240-E240)</f>
        <v>-</v>
      </c>
      <c r="AQ240" s="3" t="str">
        <f t="shared" ref="AQ240" si="152">IF(ISERROR(I240-H240),"-",I240-H240)</f>
        <v>-</v>
      </c>
      <c r="AR240" s="3">
        <f t="shared" ref="AR240" si="153">IF(ISERROR(L240-K240),"-",L240-K240)</f>
        <v>1</v>
      </c>
      <c r="AS240" s="3">
        <f t="shared" ref="AS240" si="154">IF(ISERROR(O240-N240),"-",O240-N240)</f>
        <v>1</v>
      </c>
      <c r="AT240" s="3">
        <f t="shared" ref="AT240" si="155">IF(ISERROR(R240-Q240),"-",R240-Q240)</f>
        <v>1</v>
      </c>
      <c r="AU240" s="3">
        <f t="shared" ref="AU240" si="156">IF(ISERROR(U240-T240),"-",U240-T240)</f>
        <v>1</v>
      </c>
      <c r="AV240" s="3">
        <f t="shared" ref="AV240" si="157">IF(ISERROR(X240-W240),"-",X240-W240)</f>
        <v>8</v>
      </c>
      <c r="AW240" s="3">
        <f t="shared" ref="AW240" si="158">IF(ISERROR(AA240-Z240),"-",AA240-Z240)</f>
        <v>6</v>
      </c>
      <c r="AX240" s="3">
        <f t="shared" ref="AX240" si="159">IF(ISERROR(AD240-AC240),"-",AD240-AC240)</f>
        <v>4</v>
      </c>
      <c r="AY240" s="3">
        <f t="shared" ref="AY240" si="160">IF(ISERROR(AG240-AF240),"-",AG240-AF240)</f>
        <v>7</v>
      </c>
      <c r="AZ240" s="3">
        <f t="shared" ref="AZ240" si="161">IF(ISERROR(AJ240-AI240),"-",AJ240-AI240)</f>
        <v>1</v>
      </c>
      <c r="BA240" s="3">
        <f>IF(ISERROR(LEN(VLOOKUP(A240,Seqs!A:E,2,FALSE))-AL240),"-",LEN(VLOOKUP(A240,Seqs!A:E,2,FALSE))-AL240)</f>
        <v>5</v>
      </c>
      <c r="BB240" s="16">
        <f t="shared" ref="BB240" si="162">J240-D240</f>
        <v>28</v>
      </c>
      <c r="BC240" s="9">
        <f t="shared" ref="BC240" si="163">IF(ISERROR(V240-S240),"-",V240-S240)</f>
        <v>20</v>
      </c>
      <c r="BD240" s="3">
        <f t="shared" ref="BD240" si="164">J240-D240</f>
        <v>28</v>
      </c>
      <c r="BE240" s="3">
        <f t="shared" ref="BE240" si="165">AE240-AB240</f>
        <v>48</v>
      </c>
      <c r="BF240" s="3">
        <f t="shared" ref="BF240" si="166">AH240-AE240</f>
        <v>44</v>
      </c>
    </row>
    <row r="241" spans="1:58" s="3" customFormat="1" x14ac:dyDescent="0.2">
      <c r="A241" s="3" t="s">
        <v>467</v>
      </c>
      <c r="B241" s="3" t="str">
        <f>LOWER(VLOOKUP(A241,Xtal_Templ!A:B,2,FALSE))</f>
        <v>ta2r_human</v>
      </c>
      <c r="C241" s="3">
        <f>VLOOKUP($A241,'SegEnds_NonXtal_BW#'!$A:$Z,3,FALSE)+D241-50</f>
        <v>27</v>
      </c>
      <c r="D241" s="3">
        <v>42</v>
      </c>
      <c r="E241" s="3">
        <f>IF(ISERROR(VLOOKUP($A241,'SegEnds_NonXtal_BW#'!$A:$Z,4,FALSE)+VLOOKUP($A241,A:AL,4,FALSE)-50),"-",(VLOOKUP($A241,'SegEnds_NonXtal_BW#'!$A:$Z,4,FALSE)+VLOOKUP($A241,A:AL,4,FALSE)-50))</f>
        <v>54</v>
      </c>
      <c r="F241" s="3" t="str">
        <f>IF(ISERROR(VLOOKUP($A241,'SegEnds_NonXtal_BW#'!$A:$Z,5,FALSE)+VLOOKUP($A241,A:AL,7,FALSE)-50),"-",(VLOOKUP($A241,'SegEnds_NonXtal_BW#'!$A:$Z,5,FALSE)+VLOOKUP($A241,A:AL,7,FALSE)-50))</f>
        <v>-</v>
      </c>
      <c r="G241" s="3" t="s">
        <v>23</v>
      </c>
      <c r="H241" s="3" t="str">
        <f>IF(ISERROR(VLOOKUP($A241,'SegEnds_NonXtal_BW#'!$A:$Z,6,FALSE)+VLOOKUP($A241,A:AL,7,FALSE)-50),"-",(VLOOKUP($A241,'SegEnds_NonXtal_BW#'!$A:$Z,6,FALSE)+VLOOKUP($A241,A:AL,7,FALSE)-50))</f>
        <v>-</v>
      </c>
      <c r="I241" s="3">
        <f>VLOOKUP($A241,'SegEnds_NonXtal_BW#'!$A:$Z,7,FALSE)+J241-50</f>
        <v>61</v>
      </c>
      <c r="J241" s="3">
        <v>74</v>
      </c>
      <c r="K241" s="3">
        <f>VLOOKUP($A241,'SegEnds_NonXtal_BW#'!$A:$Z,8,FALSE)+VLOOKUP($A241,A:AL,10,FALSE)-50</f>
        <v>91</v>
      </c>
      <c r="L241" s="3">
        <f t="shared" si="142"/>
        <v>94</v>
      </c>
      <c r="M241" s="3">
        <v>95</v>
      </c>
      <c r="N241" s="105">
        <v>98</v>
      </c>
      <c r="O241" s="105">
        <v>102</v>
      </c>
      <c r="P241" s="3">
        <v>130</v>
      </c>
      <c r="Q241" s="3">
        <f>VLOOKUP($A241,'SegEnds_NonXtal_BW#'!$A:$Z,12,FALSE)+VLOOKUP($A241,A:AL,16,FALSE)-50</f>
        <v>136</v>
      </c>
      <c r="R241" s="3">
        <f>IF(ISERROR(VLOOKUP($A241,'SegEnds_NonXtal_BW#'!$A:$Z,13,FALSE)+VLOOKUP($A241,A:AL,19,FALSE)-50),"-",VLOOKUP($A241,'SegEnds_NonXtal_BW#'!$A:$Z,13,FALSE)+VLOOKUP($A241,A:AL,19,FALSE)-50)</f>
        <v>137</v>
      </c>
      <c r="S241" s="3">
        <v>137</v>
      </c>
      <c r="T241" s="100">
        <f>IF(ISERROR(VLOOKUP($A241,'SegEnds_NonXtal_BW#'!$A:$Z,14,FALSE)+VLOOKUP($A241,A:AL,19,FALSE)-50),"-",(VLOOKUP($A241,'SegEnds_NonXtal_BW#'!$A:$Z,14,FALSE)+VLOOKUP($A241,A:AL,19,FALSE)-50))</f>
        <v>144</v>
      </c>
      <c r="U241" s="9">
        <f>IF(ISERROR(VLOOKUP($A241,'SegEnds_NonXtal_BW#'!$A:$Z,15,FALSE)+VLOOKUP($A241,A:AL,22,FALSE)-50),"-",VLOOKUP($A241,'SegEnds_NonXtal_BW#'!$A:$Z,15,FALSE)+VLOOKUP($A241,A:AL,22,FALSE)-50)</f>
        <v>145</v>
      </c>
      <c r="V241" s="3">
        <v>157</v>
      </c>
      <c r="W241" s="3">
        <f>IF(ISERROR(VLOOKUP($A241,'SegEnds_NonXtal_BW#'!$A:$Z,16,FALSE)+VLOOKUP($A241,A:AL,22,FALSE)-50),"-",(VLOOKUP($A241,'SegEnds_NonXtal_BW#'!$A:$Z,16,FALSE)+VLOOKUP($A241,A:AL,22,FALSE)-50))</f>
        <v>170</v>
      </c>
      <c r="X241" s="3">
        <f>Y241</f>
        <v>183</v>
      </c>
      <c r="Y241" s="3">
        <v>183</v>
      </c>
      <c r="Z241" s="3">
        <f t="shared" si="144"/>
        <v>185</v>
      </c>
      <c r="AA241" s="3">
        <f>IF(ISERROR(VLOOKUP($A241,'SegEnds_NonXtal_BW#'!$A:$Z,19,FALSE)+VLOOKUP($A241,A:AL,28,FALSE)-50),"-",(VLOOKUP($A241,'SegEnds_NonXtal_BW#'!$A:$Z,19,FALSE)+VLOOKUP($A241,A:AL,28,FALSE)-50))</f>
        <v>190</v>
      </c>
      <c r="AB241" s="3">
        <v>207</v>
      </c>
      <c r="AC241" s="3">
        <f>IF(ISERROR((VLOOKUP($A241,'SegEnds_NonXtal_BW#'!$A:$Z,20,FALSE)+VLOOKUP($A241,A:AL,28,FALSE)-50)),"-",(VLOOKUP($A241,'SegEnds_NonXtal_BW#'!$A:$Z,20,FALSE)+VLOOKUP($A241,A:AL,28,FALSE)-50))</f>
        <v>229</v>
      </c>
      <c r="AD241" s="3">
        <f>IF(ISERROR(VLOOKUP($A241,'SegEnds_NonXtal_BW#'!$A:$Z,21,FALSE)+VLOOKUP($A241,A:AL,31,FALSE)-50),"-",(VLOOKUP($A241,'SegEnds_NonXtal_BW#'!$A:$Z,21,FALSE)+VLOOKUP($A241,A:AL,31,FALSE)-50))</f>
        <v>234</v>
      </c>
      <c r="AE241" s="3">
        <v>260</v>
      </c>
      <c r="AF241" s="3">
        <f>IF(ISERROR((VLOOKUP($A241,'SegEnds_NonXtal_BW#'!$A:$Z,22,FALSE)+VLOOKUP($A241,A:AL,31,FALSE)-50)),"-",(VLOOKUP($A241,'SegEnds_NonXtal_BW#'!$A:$Z,22,FALSE)+VLOOKUP($A241,A:AL,31,FALSE)-50))</f>
        <v>271</v>
      </c>
      <c r="AG241" s="3">
        <f>IF(ISERROR(VLOOKUP($A241,'SegEnds_NonXtal_BW#'!$A:$Z,23,FALSE)+VLOOKUP($A241,A:AL,34,FALSE)-50),"-",(VLOOKUP($A241,'SegEnds_NonXtal_BW#'!$A:$Z,23,FALSE)+VLOOKUP($A241,A:AL,34,FALSE)-50))</f>
        <v>283</v>
      </c>
      <c r="AH241" s="3">
        <v>305</v>
      </c>
      <c r="AI241" s="3">
        <f>IF(ISERROR((VLOOKUP($A241,'SegEnds_NonXtal_BW#'!$A:$Z,24,FALSE)+VLOOKUP($A241,A:AL,34,FALSE)-50)),"-",(VLOOKUP($A241,'SegEnds_NonXtal_BW#'!$A:$Z,24,FALSE)+VLOOKUP($A241,A:AL,34,FALSE)-50))</f>
        <v>311</v>
      </c>
      <c r="AJ241" s="3">
        <f>IF(ISERROR(VLOOKUP($A241,'SegEnds_NonXtal_BW#'!$A:$Z,25,FALSE)+VLOOKUP($A241,A:AL,37,FALSE)-50),"-",(VLOOKUP($A241,'SegEnds_NonXtal_BW#'!$A:$Z,25,FALSE)+VLOOKUP($A241,A:AL,37,FALSE)-50))</f>
        <v>312</v>
      </c>
      <c r="AK241" s="3">
        <v>315</v>
      </c>
      <c r="AL241" s="3">
        <f>IF(ISERROR((VLOOKUP($A241,'SegEnds_NonXtal_BW#'!$A:$Z,26,FALSE)+VLOOKUP($A241,A:AL,37,FALSE)-50)),"-",(VLOOKUP($A241,'SegEnds_NonXtal_BW#'!$A:$Z,26,FALSE)+VLOOKUP($A241,A:AL,37,FALSE)-50))</f>
        <v>331</v>
      </c>
      <c r="AM241" s="28" t="str">
        <f>VLOOKUP(A241,Classification!A:B,2,FALSE)</f>
        <v>A</v>
      </c>
      <c r="AN241" s="28" t="b">
        <f t="shared" si="133"/>
        <v>1</v>
      </c>
      <c r="AO241" s="3" t="str">
        <f>IF(ISERROR(MATCH(A241,'SegEnds_Xtal_Prot#'!B:B, 0)), "NoXtal", "Xtal")</f>
        <v>Xtal</v>
      </c>
      <c r="AP241" s="3" t="str">
        <f t="shared" si="118"/>
        <v>-</v>
      </c>
      <c r="AQ241" s="3" t="str">
        <f t="shared" si="119"/>
        <v>-</v>
      </c>
      <c r="AR241" s="3">
        <f t="shared" si="120"/>
        <v>3</v>
      </c>
      <c r="AS241" s="3">
        <f t="shared" si="121"/>
        <v>4</v>
      </c>
      <c r="AT241" s="3">
        <f t="shared" si="122"/>
        <v>1</v>
      </c>
      <c r="AU241" s="3">
        <f t="shared" si="123"/>
        <v>1</v>
      </c>
      <c r="AV241" s="3">
        <f t="shared" si="124"/>
        <v>13</v>
      </c>
      <c r="AW241" s="3">
        <f t="shared" si="125"/>
        <v>5</v>
      </c>
      <c r="AX241" s="3">
        <f t="shared" si="126"/>
        <v>5</v>
      </c>
      <c r="AY241" s="3">
        <f t="shared" si="127"/>
        <v>12</v>
      </c>
      <c r="AZ241" s="3">
        <f t="shared" si="128"/>
        <v>1</v>
      </c>
      <c r="BA241" s="3">
        <f>IF(ISERROR(LEN(VLOOKUP(A241,Seqs!A:E,2,FALSE))-AL241),"-",LEN(VLOOKUP(A241,Seqs!A:E,2,FALSE))-AL241)</f>
        <v>12</v>
      </c>
      <c r="BB241" s="16">
        <f t="shared" si="129"/>
        <v>32</v>
      </c>
      <c r="BC241" s="9">
        <f t="shared" si="130"/>
        <v>20</v>
      </c>
      <c r="BD241" s="3">
        <f t="shared" si="131"/>
        <v>32</v>
      </c>
      <c r="BE241" s="3">
        <f t="shared" si="132"/>
        <v>53</v>
      </c>
      <c r="BF241" s="3">
        <f t="shared" si="145"/>
        <v>45</v>
      </c>
    </row>
    <row r="242" spans="1:58" s="3" customFormat="1" x14ac:dyDescent="0.2">
      <c r="A242" s="3" t="s">
        <v>386</v>
      </c>
      <c r="B242" s="3" t="str">
        <f>LOWER(VLOOKUP(A242,Xtal_Templ!A:B,2,FALSE))</f>
        <v>drd2_human</v>
      </c>
      <c r="C242" s="3">
        <f>VLOOKUP($A242,'SegEnds_NonXtal_BW#'!$A:$Z,3,FALSE)+D242-50</f>
        <v>20</v>
      </c>
      <c r="D242" s="3">
        <v>41</v>
      </c>
      <c r="E242" s="3">
        <f>IF(ISERROR(VLOOKUP($A242,'SegEnds_NonXtal_BW#'!$A:$Z,4,FALSE)+VLOOKUP($A242,A:AL,4,FALSE)-50),"-",(VLOOKUP($A242,'SegEnds_NonXtal_BW#'!$A:$Z,4,FALSE)+VLOOKUP($A242,A:AL,4,FALSE)-50))</f>
        <v>51</v>
      </c>
      <c r="F242" s="3">
        <f t="shared" ref="F242:F263" si="167">G242-2</f>
        <v>52</v>
      </c>
      <c r="G242" s="3">
        <v>54</v>
      </c>
      <c r="H242" s="3">
        <f t="shared" ref="H242:I263" si="168">G242+1</f>
        <v>55</v>
      </c>
      <c r="I242" s="3">
        <f t="shared" si="168"/>
        <v>56</v>
      </c>
      <c r="J242" s="3">
        <v>69</v>
      </c>
      <c r="K242" s="3">
        <f>VLOOKUP($A242,'SegEnds_NonXtal_BW#'!$A:$Z,8,FALSE)+VLOOKUP($A242,A:AL,10,FALSE)-50</f>
        <v>87</v>
      </c>
      <c r="L242" s="3">
        <f t="shared" si="142"/>
        <v>88</v>
      </c>
      <c r="M242" s="3">
        <v>89</v>
      </c>
      <c r="N242" s="3">
        <f t="shared" si="143"/>
        <v>91</v>
      </c>
      <c r="O242" s="3">
        <f t="shared" si="139"/>
        <v>92</v>
      </c>
      <c r="P242" s="3">
        <v>121</v>
      </c>
      <c r="Q242" s="3">
        <f>VLOOKUP($A242,'SegEnds_NonXtal_BW#'!$A:$Z,12,FALSE)+VLOOKUP($A242,A:AL,16,FALSE)-50</f>
        <v>127</v>
      </c>
      <c r="R242" s="3">
        <f>IF(ISERROR(VLOOKUP($A242,'SegEnds_NonXtal_BW#'!$A:$Z,13,FALSE)+VLOOKUP($A242,A:AL,19,FALSE)-50),"-",VLOOKUP($A242,'SegEnds_NonXtal_BW#'!$A:$Z,13,FALSE)+VLOOKUP($A242,A:AL,19,FALSE)-50)</f>
        <v>128</v>
      </c>
      <c r="S242" s="3">
        <v>128</v>
      </c>
      <c r="T242" s="100">
        <f>IF(ISERROR(VLOOKUP($A242,'SegEnds_NonXtal_BW#'!$A:$Z,14,FALSE)+VLOOKUP($A242,A:AL,19,FALSE)-50),"-",(VLOOKUP($A242,'SegEnds_NonXtal_BW#'!$A:$Z,14,FALSE)+VLOOKUP($A242,A:AL,19,FALSE)-50))</f>
        <v>135</v>
      </c>
      <c r="U242" s="9">
        <f>IF(ISERROR(VLOOKUP($A242,'SegEnds_NonXtal_BW#'!$A:$Z,15,FALSE)+VLOOKUP($A242,A:AL,22,FALSE)-50),"-",VLOOKUP($A242,'SegEnds_NonXtal_BW#'!$A:$Z,15,FALSE)+VLOOKUP($A242,A:AL,22,FALSE)-50)</f>
        <v>136</v>
      </c>
      <c r="V242" s="3">
        <v>148</v>
      </c>
      <c r="W242" s="3">
        <f>IF(ISERROR(VLOOKUP($A242,'SegEnds_NonXtal_BW#'!$A:$Z,16,FALSE)+VLOOKUP($A242,A:AL,22,FALSE)-50),"-",(VLOOKUP($A242,'SegEnds_NonXtal_BW#'!$A:$Z,16,FALSE)+VLOOKUP($A242,A:AL,22,FALSE)-50))</f>
        <v>160</v>
      </c>
      <c r="X242" s="3">
        <f>IF(ISERROR(VLOOKUP($A242,'SegEnds_NonXtal_BW#'!$A:$Z,17,FALSE)+VLOOKUP($A242,A:AL,25,FALSE)-50),"-",(VLOOKUP($A242,'SegEnds_NonXtal_BW#'!$A:$Z,17,FALSE)+VLOOKUP($A242,A:AL,25,FALSE)-50))</f>
        <v>182</v>
      </c>
      <c r="Y242" s="3">
        <v>182</v>
      </c>
      <c r="Z242" s="3">
        <f t="shared" si="144"/>
        <v>184</v>
      </c>
      <c r="AA242" s="3">
        <f>IF(ISERROR(VLOOKUP($A242,'SegEnds_NonXtal_BW#'!$A:$Z,19,FALSE)+VLOOKUP($A242,A:AL,28,FALSE)-50),"-",(VLOOKUP($A242,'SegEnds_NonXtal_BW#'!$A:$Z,19,FALSE)+VLOOKUP($A242,A:AL,28,FALSE)-50))</f>
        <v>187</v>
      </c>
      <c r="AB242" s="3">
        <v>202</v>
      </c>
      <c r="AC242" s="3">
        <f>IF(ISERROR((VLOOKUP($A242,'SegEnds_NonXtal_BW#'!$A:$Z,20,FALSE)+VLOOKUP($A242,A:AL,28,FALSE)-50)),"-",(VLOOKUP($A242,'SegEnds_NonXtal_BW#'!$A:$Z,20,FALSE)+VLOOKUP($A242,A:AL,28,FALSE)-50))</f>
        <v>226</v>
      </c>
      <c r="AD242" s="3">
        <f>IF(ISERROR(VLOOKUP($A242,'SegEnds_NonXtal_BW#'!$A:$Z,21,FALSE)+VLOOKUP($A242,A:AL,31,FALSE)-50),"-",(VLOOKUP($A242,'SegEnds_NonXtal_BW#'!$A:$Z,21,FALSE)+VLOOKUP($A242,A:AL,31,FALSE)-50))</f>
        <v>237</v>
      </c>
      <c r="AE242" s="3">
        <v>266</v>
      </c>
      <c r="AF242" s="3">
        <f>IF(ISERROR((VLOOKUP($A242,'SegEnds_NonXtal_BW#'!$A:$Z,22,FALSE)+VLOOKUP($A242,A:AL,31,FALSE)-50)),"-",(VLOOKUP($A242,'SegEnds_NonXtal_BW#'!$A:$Z,22,FALSE)+VLOOKUP($A242,A:AL,31,FALSE)-50))</f>
        <v>277</v>
      </c>
      <c r="AG242" s="3">
        <f>IF(ISERROR(VLOOKUP($A242,'SegEnds_NonXtal_BW#'!$A:$Z,23,FALSE)+VLOOKUP($A242,A:AL,34,FALSE)-50),"-",(VLOOKUP($A242,'SegEnds_NonXtal_BW#'!$A:$Z,23,FALSE)+VLOOKUP($A242,A:AL,34,FALSE)-50))</f>
        <v>282</v>
      </c>
      <c r="AH242" s="3">
        <v>301</v>
      </c>
      <c r="AI242" s="3">
        <v>307</v>
      </c>
      <c r="AJ242" s="3">
        <f>IF(ISERROR(VLOOKUP($A242,'SegEnds_NonXtal_BW#'!$A:$Z,25,FALSE)+VLOOKUP($A242,A:AL,37,FALSE)-50),"-",(VLOOKUP($A242,'SegEnds_NonXtal_BW#'!$A:$Z,25,FALSE)+VLOOKUP($A242,A:AL,37,FALSE)-50))</f>
        <v>308</v>
      </c>
      <c r="AK242" s="3">
        <v>311</v>
      </c>
      <c r="AL242" s="3">
        <f>IF(ISERROR((VLOOKUP($A242,'SegEnds_NonXtal_BW#'!$A:$Z,26,FALSE)+VLOOKUP($A242,A:AL,37,FALSE)-50)),"-",(VLOOKUP($A242,'SegEnds_NonXtal_BW#'!$A:$Z,26,FALSE)+VLOOKUP($A242,A:AL,37,FALSE)-50))</f>
        <v>320</v>
      </c>
      <c r="AM242" s="28" t="str">
        <f>VLOOKUP(A242,Classification!A:B,2,FALSE)</f>
        <v>A</v>
      </c>
      <c r="AN242" s="28" t="b">
        <f t="shared" si="133"/>
        <v>1</v>
      </c>
      <c r="AO242" s="3" t="str">
        <f>IF(ISERROR(MATCH(A242,'SegEnds_Xtal_Prot#'!B:B, 0)), "NoXtal", "Xtal")</f>
        <v>NoXtal</v>
      </c>
      <c r="AP242" s="3">
        <f t="shared" si="118"/>
        <v>1</v>
      </c>
      <c r="AQ242" s="3">
        <f t="shared" si="119"/>
        <v>1</v>
      </c>
      <c r="AR242" s="3">
        <f t="shared" si="120"/>
        <v>1</v>
      </c>
      <c r="AS242" s="3">
        <f t="shared" si="121"/>
        <v>1</v>
      </c>
      <c r="AT242" s="3">
        <f t="shared" si="122"/>
        <v>1</v>
      </c>
      <c r="AU242" s="3">
        <f t="shared" si="123"/>
        <v>1</v>
      </c>
      <c r="AV242" s="3">
        <f t="shared" si="124"/>
        <v>22</v>
      </c>
      <c r="AW242" s="3">
        <f t="shared" si="125"/>
        <v>3</v>
      </c>
      <c r="AX242" s="3">
        <f t="shared" si="126"/>
        <v>11</v>
      </c>
      <c r="AY242" s="3">
        <f t="shared" si="127"/>
        <v>5</v>
      </c>
      <c r="AZ242" s="3">
        <f t="shared" si="128"/>
        <v>1</v>
      </c>
      <c r="BA242" s="3">
        <f>IF(ISERROR(LEN(VLOOKUP(A242,Seqs!A:E,2,FALSE))-AL242),"-",LEN(VLOOKUP(A242,Seqs!A:E,2,FALSE))-AL242)</f>
        <v>19</v>
      </c>
      <c r="BB242" s="16">
        <f t="shared" si="129"/>
        <v>28</v>
      </c>
      <c r="BC242" s="9">
        <f t="shared" si="130"/>
        <v>20</v>
      </c>
      <c r="BD242" s="3">
        <f t="shared" si="131"/>
        <v>28</v>
      </c>
      <c r="BE242" s="3">
        <f t="shared" si="132"/>
        <v>64</v>
      </c>
      <c r="BF242" s="3">
        <f t="shared" si="145"/>
        <v>35</v>
      </c>
    </row>
    <row r="243" spans="1:58" s="3" customFormat="1" x14ac:dyDescent="0.2">
      <c r="A243" s="3" t="s">
        <v>387</v>
      </c>
      <c r="B243" s="3" t="str">
        <f>LOWER(VLOOKUP(A243,Xtal_Templ!A:B,2,FALSE))</f>
        <v>adrb2_human</v>
      </c>
      <c r="C243" s="3">
        <f>VLOOKUP($A243,'SegEnds_NonXtal_BW#'!$A:$Z,3,FALSE)+D243-50</f>
        <v>36</v>
      </c>
      <c r="D243" s="3">
        <v>61</v>
      </c>
      <c r="E243" s="3">
        <f>IF(ISERROR(VLOOKUP($A243,'SegEnds_NonXtal_BW#'!$A:$Z,4,FALSE)+VLOOKUP($A243,A:AL,4,FALSE)-50),"-",(VLOOKUP($A243,'SegEnds_NonXtal_BW#'!$A:$Z,4,FALSE)+VLOOKUP($A243,A:AL,4,FALSE)-50))</f>
        <v>71</v>
      </c>
      <c r="F243" s="3">
        <f t="shared" si="167"/>
        <v>72</v>
      </c>
      <c r="G243" s="3">
        <v>74</v>
      </c>
      <c r="H243" s="3">
        <f t="shared" si="168"/>
        <v>75</v>
      </c>
      <c r="I243" s="3">
        <f t="shared" si="168"/>
        <v>76</v>
      </c>
      <c r="J243" s="3">
        <v>89</v>
      </c>
      <c r="K243" s="3">
        <f>VLOOKUP($A243,'SegEnds_NonXtal_BW#'!$A:$Z,8,FALSE)+VLOOKUP($A243,A:AL,10,FALSE)-50</f>
        <v>106</v>
      </c>
      <c r="L243" s="3">
        <f t="shared" si="142"/>
        <v>108</v>
      </c>
      <c r="M243" s="3">
        <v>109</v>
      </c>
      <c r="N243" s="3">
        <f t="shared" si="143"/>
        <v>111</v>
      </c>
      <c r="O243" s="3">
        <f t="shared" si="139"/>
        <v>112</v>
      </c>
      <c r="P243" s="3">
        <v>141</v>
      </c>
      <c r="Q243" s="3">
        <f>VLOOKUP($A243,'SegEnds_NonXtal_BW#'!$A:$Z,12,FALSE)+VLOOKUP($A243,A:AL,16,FALSE)-50</f>
        <v>147</v>
      </c>
      <c r="R243" s="3">
        <f>IF(ISERROR(VLOOKUP($A243,'SegEnds_NonXtal_BW#'!$A:$Z,13,FALSE)+VLOOKUP($A243,A:AL,19,FALSE)-50),"-",VLOOKUP($A243,'SegEnds_NonXtal_BW#'!$A:$Z,13,FALSE)+VLOOKUP($A243,A:AL,19,FALSE)-50)</f>
        <v>148</v>
      </c>
      <c r="S243" s="3">
        <v>148</v>
      </c>
      <c r="T243" s="100">
        <f>IF(ISERROR(VLOOKUP($A243,'SegEnds_NonXtal_BW#'!$A:$Z,14,FALSE)+VLOOKUP($A243,A:AL,19,FALSE)-50),"-",(VLOOKUP($A243,'SegEnds_NonXtal_BW#'!$A:$Z,14,FALSE)+VLOOKUP($A243,A:AL,19,FALSE)-50))</f>
        <v>155</v>
      </c>
      <c r="U243" s="9">
        <f>IF(ISERROR(VLOOKUP($A243,'SegEnds_NonXtal_BW#'!$A:$Z,15,FALSE)+VLOOKUP($A243,A:AL,22,FALSE)-50),"-",VLOOKUP($A243,'SegEnds_NonXtal_BW#'!$A:$Z,15,FALSE)+VLOOKUP($A243,A:AL,22,FALSE)-50)</f>
        <v>156</v>
      </c>
      <c r="V243" s="3">
        <v>168</v>
      </c>
      <c r="W243" s="3">
        <f>IF(ISERROR(VLOOKUP($A243,'SegEnds_NonXtal_BW#'!$A:$Z,16,FALSE)+VLOOKUP($A243,A:AL,22,FALSE)-50),"-",(VLOOKUP($A243,'SegEnds_NonXtal_BW#'!$A:$Z,16,FALSE)+VLOOKUP($A243,A:AL,22,FALSE)-50))</f>
        <v>182</v>
      </c>
      <c r="X243" s="3">
        <f>IF(ISERROR(VLOOKUP($A243,'SegEnds_NonXtal_BW#'!$A:$Z,17,FALSE)+VLOOKUP($A243,A:AL,25,FALSE)-50),"-",(VLOOKUP($A243,'SegEnds_NonXtal_BW#'!$A:$Z,17,FALSE)+VLOOKUP($A243,A:AL,25,FALSE)-50))</f>
        <v>201</v>
      </c>
      <c r="Y243" s="3">
        <v>201</v>
      </c>
      <c r="Z243" s="3">
        <f t="shared" si="144"/>
        <v>203</v>
      </c>
      <c r="AA243" s="3">
        <f>IF(ISERROR(VLOOKUP($A243,'SegEnds_NonXtal_BW#'!$A:$Z,19,FALSE)+VLOOKUP($A243,A:AL,28,FALSE)-50),"-",(VLOOKUP($A243,'SegEnds_NonXtal_BW#'!$A:$Z,19,FALSE)+VLOOKUP($A243,A:AL,28,FALSE)-50))</f>
        <v>206</v>
      </c>
      <c r="AB243" s="3">
        <v>221</v>
      </c>
      <c r="AC243" s="3">
        <f>IF(ISERROR((VLOOKUP($A243,'SegEnds_NonXtal_BW#'!$A:$Z,20,FALSE)+VLOOKUP($A243,A:AL,28,FALSE)-50)),"-",(VLOOKUP($A243,'SegEnds_NonXtal_BW#'!$A:$Z,20,FALSE)+VLOOKUP($A243,A:AL,28,FALSE)-50))</f>
        <v>244</v>
      </c>
      <c r="AD243" s="3">
        <f>IF(ISERROR(VLOOKUP($A243,'SegEnds_NonXtal_BW#'!$A:$Z,21,FALSE)+VLOOKUP($A243,A:AL,31,FALSE)-50),"-",(VLOOKUP($A243,'SegEnds_NonXtal_BW#'!$A:$Z,21,FALSE)+VLOOKUP($A243,A:AL,31,FALSE)-50))</f>
        <v>249</v>
      </c>
      <c r="AE243" s="3">
        <v>277</v>
      </c>
      <c r="AF243" s="3">
        <f>IF(ISERROR((VLOOKUP($A243,'SegEnds_NonXtal_BW#'!$A:$Z,22,FALSE)+VLOOKUP($A243,A:AL,31,FALSE)-50)),"-",(VLOOKUP($A243,'SegEnds_NonXtal_BW#'!$A:$Z,22,FALSE)+VLOOKUP($A243,A:AL,31,FALSE)-50))</f>
        <v>288</v>
      </c>
      <c r="AG243" s="3">
        <f>IF(ISERROR(VLOOKUP($A243,'SegEnds_NonXtal_BW#'!$A:$Z,23,FALSE)+VLOOKUP($A243,A:AL,34,FALSE)-50),"-",(VLOOKUP($A243,'SegEnds_NonXtal_BW#'!$A:$Z,23,FALSE)+VLOOKUP($A243,A:AL,34,FALSE)-50))</f>
        <v>293</v>
      </c>
      <c r="AH243" s="3">
        <v>312</v>
      </c>
      <c r="AI243" s="3">
        <f>IF(ISERROR((VLOOKUP($A243,'SegEnds_NonXtal_BW#'!$A:$Z,24,FALSE)+VLOOKUP($A243,A:AL,34,FALSE)-50)),"-",(VLOOKUP($A243,'SegEnds_NonXtal_BW#'!$A:$Z,24,FALSE)+VLOOKUP($A243,A:AL,34,FALSE)-50))</f>
        <v>318</v>
      </c>
      <c r="AJ243" s="3">
        <f>IF(ISERROR(VLOOKUP($A243,'SegEnds_NonXtal_BW#'!$A:$Z,25,FALSE)+VLOOKUP($A243,A:AL,37,FALSE)-50),"-",(VLOOKUP($A243,'SegEnds_NonXtal_BW#'!$A:$Z,25,FALSE)+VLOOKUP($A243,A:AL,37,FALSE)-50))</f>
        <v>319</v>
      </c>
      <c r="AK243" s="3">
        <v>322</v>
      </c>
      <c r="AL243" s="3">
        <f>IF(ISERROR((VLOOKUP($A243,'SegEnds_NonXtal_BW#'!$A:$Z,26,FALSE)+VLOOKUP($A243,A:AL,37,FALSE)-50)),"-",(VLOOKUP($A243,'SegEnds_NonXtal_BW#'!$A:$Z,26,FALSE)+VLOOKUP($A243,A:AL,37,FALSE)-50))</f>
        <v>331</v>
      </c>
      <c r="AM243" s="28" t="str">
        <f>VLOOKUP(A243,Classification!A:B,2,FALSE)</f>
        <v>A</v>
      </c>
      <c r="AN243" s="28" t="b">
        <f t="shared" si="133"/>
        <v>1</v>
      </c>
      <c r="AO243" s="3" t="str">
        <f>IF(ISERROR(MATCH(A243,'SegEnds_Xtal_Prot#'!B:B, 0)), "NoXtal", "Xtal")</f>
        <v>NoXtal</v>
      </c>
      <c r="AP243" s="3">
        <f t="shared" si="118"/>
        <v>1</v>
      </c>
      <c r="AQ243" s="3">
        <f t="shared" si="119"/>
        <v>1</v>
      </c>
      <c r="AR243" s="3">
        <f t="shared" si="120"/>
        <v>2</v>
      </c>
      <c r="AS243" s="3">
        <f t="shared" si="121"/>
        <v>1</v>
      </c>
      <c r="AT243" s="3">
        <f t="shared" si="122"/>
        <v>1</v>
      </c>
      <c r="AU243" s="3">
        <f t="shared" si="123"/>
        <v>1</v>
      </c>
      <c r="AV243" s="3">
        <f t="shared" si="124"/>
        <v>19</v>
      </c>
      <c r="AW243" s="3">
        <f t="shared" si="125"/>
        <v>3</v>
      </c>
      <c r="AX243" s="3">
        <f t="shared" si="126"/>
        <v>5</v>
      </c>
      <c r="AY243" s="3">
        <f t="shared" si="127"/>
        <v>5</v>
      </c>
      <c r="AZ243" s="3">
        <f t="shared" si="128"/>
        <v>1</v>
      </c>
      <c r="BA243" s="3">
        <f>IF(ISERROR(LEN(VLOOKUP(A243,Seqs!A:E,2,FALSE))-AL243),"-",LEN(VLOOKUP(A243,Seqs!A:E,2,FALSE))-AL243)</f>
        <v>20</v>
      </c>
      <c r="BB243" s="16">
        <f t="shared" si="129"/>
        <v>28</v>
      </c>
      <c r="BC243" s="9">
        <f t="shared" si="130"/>
        <v>20</v>
      </c>
      <c r="BD243" s="3">
        <f t="shared" si="131"/>
        <v>28</v>
      </c>
      <c r="BE243" s="3">
        <f t="shared" si="132"/>
        <v>56</v>
      </c>
      <c r="BF243" s="3">
        <f t="shared" si="145"/>
        <v>35</v>
      </c>
    </row>
    <row r="244" spans="1:58" s="3" customFormat="1" x14ac:dyDescent="0.2">
      <c r="A244" s="3" t="s">
        <v>388</v>
      </c>
      <c r="B244" s="3" t="str">
        <f>LOWER(VLOOKUP(A244,Xtal_Templ!A:B,2,FALSE))</f>
        <v>drd2_human</v>
      </c>
      <c r="C244" s="3">
        <f>VLOOKUP($A244,'SegEnds_NonXtal_BW#'!$A:$Z,3,FALSE)+D244-50</f>
        <v>28</v>
      </c>
      <c r="D244" s="3">
        <v>49</v>
      </c>
      <c r="E244" s="3">
        <f>IF(ISERROR(VLOOKUP($A244,'SegEnds_NonXtal_BW#'!$A:$Z,4,FALSE)+VLOOKUP($A244,A:AL,4,FALSE)-50),"-",(VLOOKUP($A244,'SegEnds_NonXtal_BW#'!$A:$Z,4,FALSE)+VLOOKUP($A244,A:AL,4,FALSE)-50))</f>
        <v>59</v>
      </c>
      <c r="F244" s="3">
        <f t="shared" si="167"/>
        <v>60</v>
      </c>
      <c r="G244" s="3">
        <v>62</v>
      </c>
      <c r="H244" s="3">
        <f t="shared" si="168"/>
        <v>63</v>
      </c>
      <c r="I244" s="3">
        <f t="shared" si="168"/>
        <v>64</v>
      </c>
      <c r="J244" s="3">
        <v>77</v>
      </c>
      <c r="K244" s="3">
        <f>VLOOKUP($A244,'SegEnds_NonXtal_BW#'!$A:$Z,8,FALSE)+VLOOKUP($A244,A:AL,10,FALSE)-50</f>
        <v>95</v>
      </c>
      <c r="L244" s="3">
        <f t="shared" si="142"/>
        <v>96</v>
      </c>
      <c r="M244" s="3">
        <v>97</v>
      </c>
      <c r="N244" s="3">
        <f t="shared" si="143"/>
        <v>99</v>
      </c>
      <c r="O244" s="3">
        <f t="shared" si="139"/>
        <v>100</v>
      </c>
      <c r="P244" s="3">
        <v>129</v>
      </c>
      <c r="Q244" s="3">
        <f>VLOOKUP($A244,'SegEnds_NonXtal_BW#'!$A:$Z,12,FALSE)+VLOOKUP($A244,A:AL,16,FALSE)-50</f>
        <v>135</v>
      </c>
      <c r="R244" s="3">
        <f>IF(ISERROR(VLOOKUP($A244,'SegEnds_NonXtal_BW#'!$A:$Z,13,FALSE)+VLOOKUP($A244,A:AL,19,FALSE)-50),"-",VLOOKUP($A244,'SegEnds_NonXtal_BW#'!$A:$Z,13,FALSE)+VLOOKUP($A244,A:AL,19,FALSE)-50)</f>
        <v>136</v>
      </c>
      <c r="S244" s="3">
        <v>136</v>
      </c>
      <c r="T244" s="100">
        <f>IF(ISERROR(VLOOKUP($A244,'SegEnds_NonXtal_BW#'!$A:$Z,14,FALSE)+VLOOKUP($A244,A:AL,19,FALSE)-50),"-",(VLOOKUP($A244,'SegEnds_NonXtal_BW#'!$A:$Z,14,FALSE)+VLOOKUP($A244,A:AL,19,FALSE)-50))</f>
        <v>143</v>
      </c>
      <c r="U244" s="9">
        <f>IF(ISERROR(VLOOKUP($A244,'SegEnds_NonXtal_BW#'!$A:$Z,15,FALSE)+VLOOKUP($A244,A:AL,22,FALSE)-50),"-",VLOOKUP($A244,'SegEnds_NonXtal_BW#'!$A:$Z,15,FALSE)+VLOOKUP($A244,A:AL,22,FALSE)-50)</f>
        <v>144</v>
      </c>
      <c r="V244" s="3">
        <v>156</v>
      </c>
      <c r="W244" s="3">
        <f>IF(ISERROR(VLOOKUP($A244,'SegEnds_NonXtal_BW#'!$A:$Z,16,FALSE)+VLOOKUP($A244,A:AL,22,FALSE)-50),"-",(VLOOKUP($A244,'SegEnds_NonXtal_BW#'!$A:$Z,16,FALSE)+VLOOKUP($A244,A:AL,22,FALSE)-50))</f>
        <v>168</v>
      </c>
      <c r="X244" s="3">
        <f>IF(ISERROR(VLOOKUP($A244,'SegEnds_NonXtal_BW#'!$A:$Z,17,FALSE)+VLOOKUP($A244,A:AL,25,FALSE)-50),"-",(VLOOKUP($A244,'SegEnds_NonXtal_BW#'!$A:$Z,17,FALSE)+VLOOKUP($A244,A:AL,25,FALSE)-50))</f>
        <v>189</v>
      </c>
      <c r="Y244" s="3">
        <v>189</v>
      </c>
      <c r="Z244" s="3">
        <f t="shared" si="144"/>
        <v>191</v>
      </c>
      <c r="AA244" s="3">
        <f>IF(ISERROR(VLOOKUP($A244,'SegEnds_NonXtal_BW#'!$A:$Z,19,FALSE)+VLOOKUP($A244,A:AL,28,FALSE)-50),"-",(VLOOKUP($A244,'SegEnds_NonXtal_BW#'!$A:$Z,19,FALSE)+VLOOKUP($A244,A:AL,28,FALSE)-50))</f>
        <v>194</v>
      </c>
      <c r="AB244" s="3">
        <v>209</v>
      </c>
      <c r="AC244" s="3">
        <f>IF(ISERROR((VLOOKUP($A244,'SegEnds_NonXtal_BW#'!$A:$Z,20,FALSE)+VLOOKUP($A244,A:AL,28,FALSE)-50)),"-",(VLOOKUP($A244,'SegEnds_NonXtal_BW#'!$A:$Z,20,FALSE)+VLOOKUP($A244,A:AL,28,FALSE)-50))</f>
        <v>233</v>
      </c>
      <c r="AD244" s="3">
        <f>IF(ISERROR(VLOOKUP($A244,'SegEnds_NonXtal_BW#'!$A:$Z,21,FALSE)+VLOOKUP($A244,A:AL,31,FALSE)-50),"-",(VLOOKUP($A244,'SegEnds_NonXtal_BW#'!$A:$Z,21,FALSE)+VLOOKUP($A244,A:AL,31,FALSE)-50))</f>
        <v>242</v>
      </c>
      <c r="AE244" s="3">
        <v>271</v>
      </c>
      <c r="AF244" s="3">
        <f>IF(ISERROR((VLOOKUP($A244,'SegEnds_NonXtal_BW#'!$A:$Z,22,FALSE)+VLOOKUP($A244,A:AL,31,FALSE)-50)),"-",(VLOOKUP($A244,'SegEnds_NonXtal_BW#'!$A:$Z,22,FALSE)+VLOOKUP($A244,A:AL,31,FALSE)-50))</f>
        <v>282</v>
      </c>
      <c r="AG244" s="3">
        <f>IF(ISERROR(VLOOKUP($A244,'SegEnds_NonXtal_BW#'!$A:$Z,23,FALSE)+VLOOKUP($A244,A:AL,34,FALSE)-50),"-",(VLOOKUP($A244,'SegEnds_NonXtal_BW#'!$A:$Z,23,FALSE)+VLOOKUP($A244,A:AL,34,FALSE)-50))</f>
        <v>287</v>
      </c>
      <c r="AH244" s="3">
        <v>306</v>
      </c>
      <c r="AI244" s="3">
        <f>IF(ISERROR((VLOOKUP($A244,'SegEnds_NonXtal_BW#'!$A:$Z,24,FALSE)+VLOOKUP($A244,A:AL,34,FALSE)-50)),"-",(VLOOKUP($A244,'SegEnds_NonXtal_BW#'!$A:$Z,24,FALSE)+VLOOKUP($A244,A:AL,34,FALSE)-50))</f>
        <v>312</v>
      </c>
      <c r="AJ244" s="3">
        <f>IF(ISERROR(VLOOKUP($A244,'SegEnds_NonXtal_BW#'!$A:$Z,25,FALSE)+VLOOKUP($A244,A:AL,37,FALSE)-50),"-",(VLOOKUP($A244,'SegEnds_NonXtal_BW#'!$A:$Z,25,FALSE)+VLOOKUP($A244,A:AL,37,FALSE)-50))</f>
        <v>313</v>
      </c>
      <c r="AK244" s="3">
        <v>316</v>
      </c>
      <c r="AL244" s="3">
        <f>IF(ISERROR((VLOOKUP($A244,'SegEnds_NonXtal_BW#'!$A:$Z,26,FALSE)+VLOOKUP($A244,A:AL,37,FALSE)-50)),"-",(VLOOKUP($A244,'SegEnds_NonXtal_BW#'!$A:$Z,26,FALSE)+VLOOKUP($A244,A:AL,37,FALSE)-50))</f>
        <v>325</v>
      </c>
      <c r="AM244" s="28" t="str">
        <f>VLOOKUP(A244,Classification!A:B,2,FALSE)</f>
        <v>A</v>
      </c>
      <c r="AN244" s="28" t="b">
        <f t="shared" si="133"/>
        <v>1</v>
      </c>
      <c r="AO244" s="3" t="str">
        <f>IF(ISERROR(MATCH(A244,'SegEnds_Xtal_Prot#'!B:B, 0)), "NoXtal", "Xtal")</f>
        <v>NoXtal</v>
      </c>
      <c r="AP244" s="3">
        <f t="shared" si="118"/>
        <v>1</v>
      </c>
      <c r="AQ244" s="3">
        <f t="shared" si="119"/>
        <v>1</v>
      </c>
      <c r="AR244" s="3">
        <f t="shared" si="120"/>
        <v>1</v>
      </c>
      <c r="AS244" s="3">
        <f t="shared" si="121"/>
        <v>1</v>
      </c>
      <c r="AT244" s="3">
        <f t="shared" si="122"/>
        <v>1</v>
      </c>
      <c r="AU244" s="3">
        <f t="shared" si="123"/>
        <v>1</v>
      </c>
      <c r="AV244" s="3">
        <f t="shared" si="124"/>
        <v>21</v>
      </c>
      <c r="AW244" s="3">
        <f t="shared" si="125"/>
        <v>3</v>
      </c>
      <c r="AX244" s="3">
        <f t="shared" si="126"/>
        <v>9</v>
      </c>
      <c r="AY244" s="3">
        <f t="shared" si="127"/>
        <v>5</v>
      </c>
      <c r="AZ244" s="3">
        <f t="shared" si="128"/>
        <v>1</v>
      </c>
      <c r="BA244" s="3">
        <f>IF(ISERROR(LEN(VLOOKUP(A244,Seqs!A:E,2,FALSE))-AL244),"-",LEN(VLOOKUP(A244,Seqs!A:E,2,FALSE))-AL244)</f>
        <v>18</v>
      </c>
      <c r="BB244" s="16">
        <f t="shared" si="129"/>
        <v>28</v>
      </c>
      <c r="BC244" s="9">
        <f t="shared" si="130"/>
        <v>20</v>
      </c>
      <c r="BD244" s="3">
        <f t="shared" si="131"/>
        <v>28</v>
      </c>
      <c r="BE244" s="3">
        <f t="shared" si="132"/>
        <v>62</v>
      </c>
      <c r="BF244" s="3">
        <f t="shared" si="145"/>
        <v>35</v>
      </c>
    </row>
    <row r="245" spans="1:58" s="3" customFormat="1" x14ac:dyDescent="0.2">
      <c r="A245" s="3" t="s">
        <v>389</v>
      </c>
      <c r="B245" s="3" t="str">
        <f>LOWER(VLOOKUP(A245,Xtal_Templ!A:B,2,FALSE))</f>
        <v>5ht1b_human</v>
      </c>
      <c r="C245" s="3">
        <f>VLOOKUP($A245,'SegEnds_NonXtal_BW#'!$A:$Z,3,FALSE)+D245-50</f>
        <v>30</v>
      </c>
      <c r="D245" s="3">
        <v>52</v>
      </c>
      <c r="E245" s="3">
        <f>IF(ISERROR(VLOOKUP($A245,'SegEnds_NonXtal_BW#'!$A:$Z,4,FALSE)+VLOOKUP($A245,A:AL,4,FALSE)-50),"-",(VLOOKUP($A245,'SegEnds_NonXtal_BW#'!$A:$Z,4,FALSE)+VLOOKUP($A245,A:AL,4,FALSE)-50))</f>
        <v>62</v>
      </c>
      <c r="F245" s="3">
        <f t="shared" si="167"/>
        <v>63</v>
      </c>
      <c r="G245" s="3">
        <v>65</v>
      </c>
      <c r="H245" s="3">
        <f t="shared" si="168"/>
        <v>66</v>
      </c>
      <c r="I245" s="3">
        <f t="shared" si="168"/>
        <v>67</v>
      </c>
      <c r="J245" s="3">
        <v>80</v>
      </c>
      <c r="K245" s="3">
        <f>VLOOKUP($A245,'SegEnds_NonXtal_BW#'!$A:$Z,8,FALSE)+VLOOKUP($A245,A:AL,10,FALSE)-50</f>
        <v>98</v>
      </c>
      <c r="L245" s="3">
        <f t="shared" si="142"/>
        <v>99</v>
      </c>
      <c r="M245" s="3">
        <v>100</v>
      </c>
      <c r="N245" s="3">
        <f t="shared" si="143"/>
        <v>102</v>
      </c>
      <c r="O245" s="3">
        <f t="shared" si="139"/>
        <v>103</v>
      </c>
      <c r="P245" s="3">
        <v>132</v>
      </c>
      <c r="Q245" s="3">
        <f>VLOOKUP($A245,'SegEnds_NonXtal_BW#'!$A:$Z,12,FALSE)+VLOOKUP($A245,A:AL,16,FALSE)-50</f>
        <v>138</v>
      </c>
      <c r="R245" s="3">
        <f>IF(ISERROR(VLOOKUP($A245,'SegEnds_NonXtal_BW#'!$A:$Z,13,FALSE)+VLOOKUP($A245,A:AL,19,FALSE)-50),"-",VLOOKUP($A245,'SegEnds_NonXtal_BW#'!$A:$Z,13,FALSE)+VLOOKUP($A245,A:AL,19,FALSE)-50)</f>
        <v>139</v>
      </c>
      <c r="S245" s="3">
        <v>139</v>
      </c>
      <c r="T245" s="100">
        <f>IF(ISERROR(VLOOKUP($A245,'SegEnds_NonXtal_BW#'!$A:$Z,14,FALSE)+VLOOKUP($A245,A:AL,19,FALSE)-50),"-",(VLOOKUP($A245,'SegEnds_NonXtal_BW#'!$A:$Z,14,FALSE)+VLOOKUP($A245,A:AL,19,FALSE)-50))</f>
        <v>146</v>
      </c>
      <c r="U245" s="9">
        <f>IF(ISERROR(VLOOKUP($A245,'SegEnds_NonXtal_BW#'!$A:$Z,15,FALSE)+VLOOKUP($A245,A:AL,22,FALSE)-50),"-",VLOOKUP($A245,'SegEnds_NonXtal_BW#'!$A:$Z,15,FALSE)+VLOOKUP($A245,A:AL,22,FALSE)-50)</f>
        <v>147</v>
      </c>
      <c r="V245" s="3">
        <v>159</v>
      </c>
      <c r="W245" s="3">
        <f>IF(ISERROR(VLOOKUP($A245,'SegEnds_NonXtal_BW#'!$A:$Z,16,FALSE)+VLOOKUP($A245,A:AL,22,FALSE)-50),"-",(VLOOKUP($A245,'SegEnds_NonXtal_BW#'!$A:$Z,16,FALSE)+VLOOKUP($A245,A:AL,22,FALSE)-50))</f>
        <v>172</v>
      </c>
      <c r="X245" s="3">
        <f>IF(ISERROR(VLOOKUP($A245,'SegEnds_NonXtal_BW#'!$A:$Z,17,FALSE)+VLOOKUP($A245,A:AL,25,FALSE)-50),"-",(VLOOKUP($A245,'SegEnds_NonXtal_BW#'!$A:$Z,17,FALSE)+VLOOKUP($A245,A:AL,25,FALSE)-50))</f>
        <v>192</v>
      </c>
      <c r="Y245" s="3">
        <v>192</v>
      </c>
      <c r="Z245" s="3">
        <f t="shared" si="144"/>
        <v>194</v>
      </c>
      <c r="AA245" s="3">
        <f>IF(ISERROR(VLOOKUP($A245,'SegEnds_NonXtal_BW#'!$A:$Z,19,FALSE)+VLOOKUP($A245,A:AL,28,FALSE)-50),"-",(VLOOKUP($A245,'SegEnds_NonXtal_BW#'!$A:$Z,19,FALSE)+VLOOKUP($A245,A:AL,28,FALSE)-50))</f>
        <v>196</v>
      </c>
      <c r="AB245" s="3">
        <v>211</v>
      </c>
      <c r="AC245" s="3">
        <f>IF(ISERROR((VLOOKUP($A245,'SegEnds_NonXtal_BW#'!$A:$Z,20,FALSE)+VLOOKUP($A245,A:AL,28,FALSE)-50)),"-",(VLOOKUP($A245,'SegEnds_NonXtal_BW#'!$A:$Z,20,FALSE)+VLOOKUP($A245,A:AL,28,FALSE)-50))</f>
        <v>234</v>
      </c>
      <c r="AD245" s="3">
        <f>IF(ISERROR(VLOOKUP($A245,'SegEnds_NonXtal_BW#'!$A:$Z,21,FALSE)+VLOOKUP($A245,A:AL,31,FALSE)-50),"-",(VLOOKUP($A245,'SegEnds_NonXtal_BW#'!$A:$Z,21,FALSE)+VLOOKUP($A245,A:AL,31,FALSE)-50))</f>
        <v>239</v>
      </c>
      <c r="AE245" s="3">
        <v>267</v>
      </c>
      <c r="AF245" s="3">
        <f>IF(ISERROR((VLOOKUP($A245,'SegEnds_NonXtal_BW#'!$A:$Z,22,FALSE)+VLOOKUP($A245,A:AL,31,FALSE)-50)),"-",(VLOOKUP($A245,'SegEnds_NonXtal_BW#'!$A:$Z,22,FALSE)+VLOOKUP($A245,A:AL,31,FALSE)-50))</f>
        <v>278</v>
      </c>
      <c r="AG245" s="3">
        <f>IF(ISERROR(VLOOKUP($A245,'SegEnds_NonXtal_BW#'!$A:$Z,23,FALSE)+VLOOKUP($A245,A:AL,34,FALSE)-50),"-",(VLOOKUP($A245,'SegEnds_NonXtal_BW#'!$A:$Z,23,FALSE)+VLOOKUP($A245,A:AL,34,FALSE)-50))</f>
        <v>283</v>
      </c>
      <c r="AH245" s="3">
        <v>302</v>
      </c>
      <c r="AI245" s="3">
        <f>IF(ISERROR((VLOOKUP($A245,'SegEnds_NonXtal_BW#'!$A:$Z,24,FALSE)+VLOOKUP($A245,A:AL,34,FALSE)-50)),"-",(VLOOKUP($A245,'SegEnds_NonXtal_BW#'!$A:$Z,24,FALSE)+VLOOKUP($A245,A:AL,34,FALSE)-50))</f>
        <v>308</v>
      </c>
      <c r="AJ245" s="3">
        <f>IF(ISERROR(VLOOKUP($A245,'SegEnds_NonXtal_BW#'!$A:$Z,25,FALSE)+VLOOKUP($A245,A:AL,37,FALSE)-50),"-",(VLOOKUP($A245,'SegEnds_NonXtal_BW#'!$A:$Z,25,FALSE)+VLOOKUP($A245,A:AL,37,FALSE)-50))</f>
        <v>309</v>
      </c>
      <c r="AK245" s="3">
        <v>312</v>
      </c>
      <c r="AL245" s="3">
        <f>IF(ISERROR((VLOOKUP($A245,'SegEnds_NonXtal_BW#'!$A:$Z,26,FALSE)+VLOOKUP($A245,A:AL,37,FALSE)-50)),"-",(VLOOKUP($A245,'SegEnds_NonXtal_BW#'!$A:$Z,26,FALSE)+VLOOKUP($A245,A:AL,37,FALSE)-50))</f>
        <v>320</v>
      </c>
      <c r="AM245" s="28" t="str">
        <f>VLOOKUP(A245,Classification!A:B,2,FALSE)</f>
        <v>A</v>
      </c>
      <c r="AN245" s="28" t="b">
        <f t="shared" si="133"/>
        <v>1</v>
      </c>
      <c r="AO245" s="3" t="str">
        <f>IF(ISERROR(MATCH(A245,'SegEnds_Xtal_Prot#'!B:B, 0)), "NoXtal", "Xtal")</f>
        <v>NoXtal</v>
      </c>
      <c r="AP245" s="3">
        <f t="shared" si="118"/>
        <v>1</v>
      </c>
      <c r="AQ245" s="3">
        <f t="shared" si="119"/>
        <v>1</v>
      </c>
      <c r="AR245" s="3">
        <f t="shared" si="120"/>
        <v>1</v>
      </c>
      <c r="AS245" s="3">
        <f t="shared" si="121"/>
        <v>1</v>
      </c>
      <c r="AT245" s="3">
        <f t="shared" si="122"/>
        <v>1</v>
      </c>
      <c r="AU245" s="3">
        <f t="shared" si="123"/>
        <v>1</v>
      </c>
      <c r="AV245" s="3">
        <f t="shared" si="124"/>
        <v>20</v>
      </c>
      <c r="AW245" s="3">
        <f t="shared" si="125"/>
        <v>2</v>
      </c>
      <c r="AX245" s="3">
        <f t="shared" si="126"/>
        <v>5</v>
      </c>
      <c r="AY245" s="3">
        <f t="shared" si="127"/>
        <v>5</v>
      </c>
      <c r="AZ245" s="3">
        <f t="shared" si="128"/>
        <v>1</v>
      </c>
      <c r="BA245" s="3">
        <f>IF(ISERROR(LEN(VLOOKUP(A245,Seqs!A:E,2,FALSE))-AL245),"-",LEN(VLOOKUP(A245,Seqs!A:E,2,FALSE))-AL245)</f>
        <v>17</v>
      </c>
      <c r="BB245" s="16">
        <f t="shared" si="129"/>
        <v>28</v>
      </c>
      <c r="BC245" s="9">
        <f t="shared" si="130"/>
        <v>20</v>
      </c>
      <c r="BD245" s="3">
        <f t="shared" si="131"/>
        <v>28</v>
      </c>
      <c r="BE245" s="3">
        <f t="shared" si="132"/>
        <v>56</v>
      </c>
      <c r="BF245" s="3">
        <f t="shared" si="145"/>
        <v>35</v>
      </c>
    </row>
    <row r="246" spans="1:58" s="3" customFormat="1" x14ac:dyDescent="0.2">
      <c r="A246" s="3" t="s">
        <v>390</v>
      </c>
      <c r="B246" s="3" t="str">
        <f>LOWER(VLOOKUP(A246,Xtal_Templ!A:B,2,FALSE))</f>
        <v>5ht1b_human</v>
      </c>
      <c r="C246" s="3">
        <f>VLOOKUP($A246,'SegEnds_NonXtal_BW#'!$A:$Z,3,FALSE)+D246-50</f>
        <v>28</v>
      </c>
      <c r="D246" s="3">
        <v>50</v>
      </c>
      <c r="E246" s="3">
        <f>IF(ISERROR(VLOOKUP($A246,'SegEnds_NonXtal_BW#'!$A:$Z,4,FALSE)+VLOOKUP($A246,A:AL,4,FALSE)-50),"-",(VLOOKUP($A246,'SegEnds_NonXtal_BW#'!$A:$Z,4,FALSE)+VLOOKUP($A246,A:AL,4,FALSE)-50))</f>
        <v>60</v>
      </c>
      <c r="F246" s="3">
        <f t="shared" si="167"/>
        <v>61</v>
      </c>
      <c r="G246" s="3">
        <v>63</v>
      </c>
      <c r="H246" s="3">
        <f t="shared" si="168"/>
        <v>64</v>
      </c>
      <c r="I246" s="3">
        <f t="shared" si="168"/>
        <v>65</v>
      </c>
      <c r="J246" s="3">
        <v>78</v>
      </c>
      <c r="K246" s="3">
        <f>VLOOKUP($A246,'SegEnds_NonXtal_BW#'!$A:$Z,8,FALSE)+VLOOKUP($A246,A:AL,10,FALSE)-50</f>
        <v>96</v>
      </c>
      <c r="L246" s="3">
        <f t="shared" si="142"/>
        <v>97</v>
      </c>
      <c r="M246" s="3">
        <v>98</v>
      </c>
      <c r="N246" s="3">
        <f t="shared" si="143"/>
        <v>100</v>
      </c>
      <c r="O246" s="3">
        <f t="shared" si="139"/>
        <v>101</v>
      </c>
      <c r="P246" s="3">
        <v>130</v>
      </c>
      <c r="Q246" s="3">
        <f>VLOOKUP($A246,'SegEnds_NonXtal_BW#'!$A:$Z,12,FALSE)+VLOOKUP($A246,A:AL,16,FALSE)-50</f>
        <v>136</v>
      </c>
      <c r="R246" s="3">
        <f>IF(ISERROR(VLOOKUP($A246,'SegEnds_NonXtal_BW#'!$A:$Z,13,FALSE)+VLOOKUP($A246,A:AL,19,FALSE)-50),"-",VLOOKUP($A246,'SegEnds_NonXtal_BW#'!$A:$Z,13,FALSE)+VLOOKUP($A246,A:AL,19,FALSE)-50)</f>
        <v>137</v>
      </c>
      <c r="S246" s="3">
        <v>137</v>
      </c>
      <c r="T246" s="100">
        <f>IF(ISERROR(VLOOKUP($A246,'SegEnds_NonXtal_BW#'!$A:$Z,14,FALSE)+VLOOKUP($A246,A:AL,19,FALSE)-50),"-",(VLOOKUP($A246,'SegEnds_NonXtal_BW#'!$A:$Z,14,FALSE)+VLOOKUP($A246,A:AL,19,FALSE)-50))</f>
        <v>144</v>
      </c>
      <c r="U246" s="9">
        <f>IF(ISERROR(VLOOKUP($A246,'SegEnds_NonXtal_BW#'!$A:$Z,15,FALSE)+VLOOKUP($A246,A:AL,22,FALSE)-50),"-",VLOOKUP($A246,'SegEnds_NonXtal_BW#'!$A:$Z,15,FALSE)+VLOOKUP($A246,A:AL,22,FALSE)-50)</f>
        <v>145</v>
      </c>
      <c r="V246" s="3">
        <v>157</v>
      </c>
      <c r="W246" s="3">
        <f>IF(ISERROR(VLOOKUP($A246,'SegEnds_NonXtal_BW#'!$A:$Z,16,FALSE)+VLOOKUP($A246,A:AL,22,FALSE)-50),"-",(VLOOKUP($A246,'SegEnds_NonXtal_BW#'!$A:$Z,16,FALSE)+VLOOKUP($A246,A:AL,22,FALSE)-50))</f>
        <v>170</v>
      </c>
      <c r="X246" s="3">
        <f>IF(ISERROR(VLOOKUP($A246,'SegEnds_NonXtal_BW#'!$A:$Z,17,FALSE)+VLOOKUP($A246,A:AL,25,FALSE)-50),"-",(VLOOKUP($A246,'SegEnds_NonXtal_BW#'!$A:$Z,17,FALSE)+VLOOKUP($A246,A:AL,25,FALSE)-50))</f>
        <v>190</v>
      </c>
      <c r="Y246" s="3">
        <v>190</v>
      </c>
      <c r="Z246" s="3">
        <f t="shared" si="144"/>
        <v>192</v>
      </c>
      <c r="AA246" s="3">
        <f>IF(ISERROR(VLOOKUP($A246,'SegEnds_NonXtal_BW#'!$A:$Z,19,FALSE)+VLOOKUP($A246,A:AL,28,FALSE)-50),"-",(VLOOKUP($A246,'SegEnds_NonXtal_BW#'!$A:$Z,19,FALSE)+VLOOKUP($A246,A:AL,28,FALSE)-50))</f>
        <v>194</v>
      </c>
      <c r="AB246" s="3">
        <v>209</v>
      </c>
      <c r="AC246" s="3">
        <f>IF(ISERROR((VLOOKUP($A246,'SegEnds_NonXtal_BW#'!$A:$Z,20,FALSE)+VLOOKUP($A246,A:AL,28,FALSE)-50)),"-",(VLOOKUP($A246,'SegEnds_NonXtal_BW#'!$A:$Z,20,FALSE)+VLOOKUP($A246,A:AL,28,FALSE)-50))</f>
        <v>233</v>
      </c>
      <c r="AD246" s="3">
        <f>IF(ISERROR(VLOOKUP($A246,'SegEnds_NonXtal_BW#'!$A:$Z,21,FALSE)+VLOOKUP($A246,A:AL,31,FALSE)-50),"-",(VLOOKUP($A246,'SegEnds_NonXtal_BW#'!$A:$Z,21,FALSE)+VLOOKUP($A246,A:AL,31,FALSE)-50))</f>
        <v>244</v>
      </c>
      <c r="AE246" s="3">
        <v>273</v>
      </c>
      <c r="AF246" s="3">
        <f>IF(ISERROR((VLOOKUP($A246,'SegEnds_NonXtal_BW#'!$A:$Z,22,FALSE)+VLOOKUP($A246,A:AL,31,FALSE)-50)),"-",(VLOOKUP($A246,'SegEnds_NonXtal_BW#'!$A:$Z,22,FALSE)+VLOOKUP($A246,A:AL,31,FALSE)-50))</f>
        <v>284</v>
      </c>
      <c r="AG246" s="3">
        <f>IF(ISERROR(VLOOKUP($A246,'SegEnds_NonXtal_BW#'!$A:$Z,23,FALSE)+VLOOKUP($A246,A:AL,34,FALSE)-50),"-",(VLOOKUP($A246,'SegEnds_NonXtal_BW#'!$A:$Z,23,FALSE)+VLOOKUP($A246,A:AL,34,FALSE)-50))</f>
        <v>289</v>
      </c>
      <c r="AH246" s="3">
        <v>308</v>
      </c>
      <c r="AI246" s="3">
        <f>IF(ISERROR((VLOOKUP($A246,'SegEnds_NonXtal_BW#'!$A:$Z,24,FALSE)+VLOOKUP($A246,A:AL,34,FALSE)-50)),"-",(VLOOKUP($A246,'SegEnds_NonXtal_BW#'!$A:$Z,24,FALSE)+VLOOKUP($A246,A:AL,34,FALSE)-50))</f>
        <v>314</v>
      </c>
      <c r="AJ246" s="3">
        <f>IF(ISERROR(VLOOKUP($A246,'SegEnds_NonXtal_BW#'!$A:$Z,25,FALSE)+VLOOKUP($A246,A:AL,37,FALSE)-50),"-",(VLOOKUP($A246,'SegEnds_NonXtal_BW#'!$A:$Z,25,FALSE)+VLOOKUP($A246,A:AL,37,FALSE)-50))</f>
        <v>315</v>
      </c>
      <c r="AK246" s="3">
        <v>318</v>
      </c>
      <c r="AL246" s="3">
        <f>IF(ISERROR((VLOOKUP($A246,'SegEnds_NonXtal_BW#'!$A:$Z,26,FALSE)+VLOOKUP($A246,A:AL,37,FALSE)-50)),"-",(VLOOKUP($A246,'SegEnds_NonXtal_BW#'!$A:$Z,26,FALSE)+VLOOKUP($A246,A:AL,37,FALSE)-50))</f>
        <v>326</v>
      </c>
      <c r="AM246" s="28" t="str">
        <f>VLOOKUP(A246,Classification!A:B,2,FALSE)</f>
        <v>A</v>
      </c>
      <c r="AN246" s="28" t="b">
        <f t="shared" si="133"/>
        <v>1</v>
      </c>
      <c r="AO246" s="3" t="str">
        <f>IF(ISERROR(MATCH(A246,'SegEnds_Xtal_Prot#'!B:B, 0)), "NoXtal", "Xtal")</f>
        <v>NoXtal</v>
      </c>
      <c r="AP246" s="3">
        <f t="shared" si="118"/>
        <v>1</v>
      </c>
      <c r="AQ246" s="3">
        <f t="shared" si="119"/>
        <v>1</v>
      </c>
      <c r="AR246" s="3">
        <f t="shared" si="120"/>
        <v>1</v>
      </c>
      <c r="AS246" s="3">
        <f t="shared" si="121"/>
        <v>1</v>
      </c>
      <c r="AT246" s="3">
        <f t="shared" si="122"/>
        <v>1</v>
      </c>
      <c r="AU246" s="3">
        <f t="shared" si="123"/>
        <v>1</v>
      </c>
      <c r="AV246" s="3">
        <f t="shared" si="124"/>
        <v>20</v>
      </c>
      <c r="AW246" s="3">
        <f t="shared" si="125"/>
        <v>2</v>
      </c>
      <c r="AX246" s="3">
        <f t="shared" si="126"/>
        <v>11</v>
      </c>
      <c r="AY246" s="3">
        <f t="shared" si="127"/>
        <v>5</v>
      </c>
      <c r="AZ246" s="3">
        <f t="shared" si="128"/>
        <v>1</v>
      </c>
      <c r="BA246" s="3">
        <f>IF(ISERROR(LEN(VLOOKUP(A246,Seqs!A:E,2,FALSE))-AL246),"-",LEN(VLOOKUP(A246,Seqs!A:E,2,FALSE))-AL246)</f>
        <v>19</v>
      </c>
      <c r="BB246" s="16">
        <f t="shared" si="129"/>
        <v>28</v>
      </c>
      <c r="BC246" s="9">
        <f t="shared" si="130"/>
        <v>20</v>
      </c>
      <c r="BD246" s="3">
        <f t="shared" si="131"/>
        <v>28</v>
      </c>
      <c r="BE246" s="3">
        <f t="shared" si="132"/>
        <v>64</v>
      </c>
      <c r="BF246" s="3">
        <f t="shared" si="145"/>
        <v>35</v>
      </c>
    </row>
    <row r="247" spans="1:58" s="3" customFormat="1" x14ac:dyDescent="0.2">
      <c r="A247" s="3" t="s">
        <v>391</v>
      </c>
      <c r="B247" s="3" t="str">
        <f>LOWER(VLOOKUP(A247,Xtal_Templ!A:B,2,FALSE))</f>
        <v>5ht1b_human</v>
      </c>
      <c r="C247" s="3">
        <f>VLOOKUP($A247,'SegEnds_NonXtal_BW#'!$A:$Z,3,FALSE)+D247-50</f>
        <v>27</v>
      </c>
      <c r="D247" s="3">
        <v>49</v>
      </c>
      <c r="E247" s="3">
        <f>IF(ISERROR(VLOOKUP($A247,'SegEnds_NonXtal_BW#'!$A:$Z,4,FALSE)+VLOOKUP($A247,A:AL,4,FALSE)-50),"-",(VLOOKUP($A247,'SegEnds_NonXtal_BW#'!$A:$Z,4,FALSE)+VLOOKUP($A247,A:AL,4,FALSE)-50))</f>
        <v>59</v>
      </c>
      <c r="F247" s="3">
        <f t="shared" si="167"/>
        <v>60</v>
      </c>
      <c r="G247" s="3">
        <v>62</v>
      </c>
      <c r="H247" s="3">
        <f t="shared" si="168"/>
        <v>63</v>
      </c>
      <c r="I247" s="3">
        <f t="shared" si="168"/>
        <v>64</v>
      </c>
      <c r="J247" s="3">
        <v>77</v>
      </c>
      <c r="K247" s="3">
        <f>VLOOKUP($A247,'SegEnds_NonXtal_BW#'!$A:$Z,8,FALSE)+VLOOKUP($A247,A:AL,10,FALSE)-50</f>
        <v>95</v>
      </c>
      <c r="L247" s="3">
        <f t="shared" si="142"/>
        <v>96</v>
      </c>
      <c r="M247" s="3">
        <v>97</v>
      </c>
      <c r="N247" s="3">
        <f t="shared" si="143"/>
        <v>99</v>
      </c>
      <c r="O247" s="3">
        <f t="shared" si="139"/>
        <v>100</v>
      </c>
      <c r="P247" s="3">
        <v>129</v>
      </c>
      <c r="Q247" s="3">
        <f>VLOOKUP($A247,'SegEnds_NonXtal_BW#'!$A:$Z,12,FALSE)+VLOOKUP($A247,A:AL,16,FALSE)-50</f>
        <v>135</v>
      </c>
      <c r="R247" s="3">
        <f>IF(ISERROR(VLOOKUP($A247,'SegEnds_NonXtal_BW#'!$A:$Z,13,FALSE)+VLOOKUP($A247,A:AL,19,FALSE)-50),"-",VLOOKUP($A247,'SegEnds_NonXtal_BW#'!$A:$Z,13,FALSE)+VLOOKUP($A247,A:AL,19,FALSE)-50)</f>
        <v>136</v>
      </c>
      <c r="S247" s="3">
        <v>136</v>
      </c>
      <c r="T247" s="100">
        <f>IF(ISERROR(VLOOKUP($A247,'SegEnds_NonXtal_BW#'!$A:$Z,14,FALSE)+VLOOKUP($A247,A:AL,19,FALSE)-50),"-",(VLOOKUP($A247,'SegEnds_NonXtal_BW#'!$A:$Z,14,FALSE)+VLOOKUP($A247,A:AL,19,FALSE)-50))</f>
        <v>143</v>
      </c>
      <c r="U247" s="9">
        <f>IF(ISERROR(VLOOKUP($A247,'SegEnds_NonXtal_BW#'!$A:$Z,15,FALSE)+VLOOKUP($A247,A:AL,22,FALSE)-50),"-",VLOOKUP($A247,'SegEnds_NonXtal_BW#'!$A:$Z,15,FALSE)+VLOOKUP($A247,A:AL,22,FALSE)-50)</f>
        <v>144</v>
      </c>
      <c r="V247" s="3">
        <v>156</v>
      </c>
      <c r="W247" s="3">
        <f>IF(ISERROR(VLOOKUP($A247,'SegEnds_NonXtal_BW#'!$A:$Z,16,FALSE)+VLOOKUP($A247,A:AL,22,FALSE)-50),"-",(VLOOKUP($A247,'SegEnds_NonXtal_BW#'!$A:$Z,16,FALSE)+VLOOKUP($A247,A:AL,22,FALSE)-50))</f>
        <v>169</v>
      </c>
      <c r="X247" s="3">
        <f>IF(ISERROR(VLOOKUP($A247,'SegEnds_NonXtal_BW#'!$A:$Z,17,FALSE)+VLOOKUP($A247,A:AL,25,FALSE)-50),"-",(VLOOKUP($A247,'SegEnds_NonXtal_BW#'!$A:$Z,17,FALSE)+VLOOKUP($A247,A:AL,25,FALSE)-50))</f>
        <v>189</v>
      </c>
      <c r="Y247" s="3">
        <v>189</v>
      </c>
      <c r="Z247" s="3">
        <f t="shared" si="144"/>
        <v>191</v>
      </c>
      <c r="AA247" s="3">
        <f>IF(ISERROR(VLOOKUP($A247,'SegEnds_NonXtal_BW#'!$A:$Z,19,FALSE)+VLOOKUP($A247,A:AL,28,FALSE)-50),"-",(VLOOKUP($A247,'SegEnds_NonXtal_BW#'!$A:$Z,19,FALSE)+VLOOKUP($A247,A:AL,28,FALSE)-50))</f>
        <v>193</v>
      </c>
      <c r="AB247" s="3">
        <v>208</v>
      </c>
      <c r="AC247" s="3">
        <f>IF(ISERROR((VLOOKUP($A247,'SegEnds_NonXtal_BW#'!$A:$Z,20,FALSE)+VLOOKUP($A247,A:AL,28,FALSE)-50)),"-",(VLOOKUP($A247,'SegEnds_NonXtal_BW#'!$A:$Z,20,FALSE)+VLOOKUP($A247,A:AL,28,FALSE)-50))</f>
        <v>232</v>
      </c>
      <c r="AD247" s="3">
        <f>IF(ISERROR(VLOOKUP($A247,'SegEnds_NonXtal_BW#'!$A:$Z,21,FALSE)+VLOOKUP($A247,A:AL,31,FALSE)-50),"-",(VLOOKUP($A247,'SegEnds_NonXtal_BW#'!$A:$Z,21,FALSE)+VLOOKUP($A247,A:AL,31,FALSE)-50))</f>
        <v>243</v>
      </c>
      <c r="AE247" s="3">
        <v>272</v>
      </c>
      <c r="AF247" s="3">
        <f>IF(ISERROR((VLOOKUP($A247,'SegEnds_NonXtal_BW#'!$A:$Z,22,FALSE)+VLOOKUP($A247,A:AL,31,FALSE)-50)),"-",(VLOOKUP($A247,'SegEnds_NonXtal_BW#'!$A:$Z,22,FALSE)+VLOOKUP($A247,A:AL,31,FALSE)-50))</f>
        <v>283</v>
      </c>
      <c r="AG247" s="3">
        <f>IF(ISERROR(VLOOKUP($A247,'SegEnds_NonXtal_BW#'!$A:$Z,23,FALSE)+VLOOKUP($A247,A:AL,34,FALSE)-50),"-",(VLOOKUP($A247,'SegEnds_NonXtal_BW#'!$A:$Z,23,FALSE)+VLOOKUP($A247,A:AL,34,FALSE)-50))</f>
        <v>288</v>
      </c>
      <c r="AH247" s="3">
        <v>307</v>
      </c>
      <c r="AI247" s="3">
        <f>IF(ISERROR((VLOOKUP($A247,'SegEnds_NonXtal_BW#'!$A:$Z,24,FALSE)+VLOOKUP($A247,A:AL,34,FALSE)-50)),"-",(VLOOKUP($A247,'SegEnds_NonXtal_BW#'!$A:$Z,24,FALSE)+VLOOKUP($A247,A:AL,34,FALSE)-50))</f>
        <v>313</v>
      </c>
      <c r="AJ247" s="3">
        <f>IF(ISERROR(VLOOKUP($A247,'SegEnds_NonXtal_BW#'!$A:$Z,25,FALSE)+VLOOKUP($A247,A:AL,37,FALSE)-50),"-",(VLOOKUP($A247,'SegEnds_NonXtal_BW#'!$A:$Z,25,FALSE)+VLOOKUP($A247,A:AL,37,FALSE)-50))</f>
        <v>314</v>
      </c>
      <c r="AK247" s="3">
        <v>317</v>
      </c>
      <c r="AL247" s="3">
        <f>IF(ISERROR((VLOOKUP($A247,'SegEnds_NonXtal_BW#'!$A:$Z,26,FALSE)+VLOOKUP($A247,A:AL,37,FALSE)-50)),"-",(VLOOKUP($A247,'SegEnds_NonXtal_BW#'!$A:$Z,26,FALSE)+VLOOKUP($A247,A:AL,37,FALSE)-50))</f>
        <v>325</v>
      </c>
      <c r="AM247" s="28" t="str">
        <f>VLOOKUP(A247,Classification!A:B,2,FALSE)</f>
        <v>A</v>
      </c>
      <c r="AN247" s="28" t="b">
        <f t="shared" si="133"/>
        <v>1</v>
      </c>
      <c r="AO247" s="3" t="str">
        <f>IF(ISERROR(MATCH(A247,'SegEnds_Xtal_Prot#'!B:B, 0)), "NoXtal", "Xtal")</f>
        <v>NoXtal</v>
      </c>
      <c r="AP247" s="3">
        <f t="shared" si="118"/>
        <v>1</v>
      </c>
      <c r="AQ247" s="3">
        <f t="shared" si="119"/>
        <v>1</v>
      </c>
      <c r="AR247" s="3">
        <f t="shared" si="120"/>
        <v>1</v>
      </c>
      <c r="AS247" s="3">
        <f t="shared" si="121"/>
        <v>1</v>
      </c>
      <c r="AT247" s="3">
        <f t="shared" si="122"/>
        <v>1</v>
      </c>
      <c r="AU247" s="3">
        <f t="shared" si="123"/>
        <v>1</v>
      </c>
      <c r="AV247" s="3">
        <f t="shared" si="124"/>
        <v>20</v>
      </c>
      <c r="AW247" s="3">
        <f t="shared" si="125"/>
        <v>2</v>
      </c>
      <c r="AX247" s="3">
        <f t="shared" si="126"/>
        <v>11</v>
      </c>
      <c r="AY247" s="3">
        <f t="shared" si="127"/>
        <v>5</v>
      </c>
      <c r="AZ247" s="3">
        <f t="shared" si="128"/>
        <v>1</v>
      </c>
      <c r="BA247" s="3">
        <f>IF(ISERROR(LEN(VLOOKUP(A247,Seqs!A:E,2,FALSE))-AL247),"-",LEN(VLOOKUP(A247,Seqs!A:E,2,FALSE))-AL247)</f>
        <v>17</v>
      </c>
      <c r="BB247" s="16">
        <f t="shared" si="129"/>
        <v>28</v>
      </c>
      <c r="BC247" s="9">
        <f t="shared" si="130"/>
        <v>20</v>
      </c>
      <c r="BD247" s="3">
        <f t="shared" si="131"/>
        <v>28</v>
      </c>
      <c r="BE247" s="3">
        <f t="shared" si="132"/>
        <v>64</v>
      </c>
      <c r="BF247" s="3">
        <f t="shared" si="145"/>
        <v>35</v>
      </c>
    </row>
    <row r="248" spans="1:58" s="3" customFormat="1" x14ac:dyDescent="0.2">
      <c r="A248" s="3" t="s">
        <v>392</v>
      </c>
      <c r="B248" s="3" t="str">
        <f>LOWER(VLOOKUP(A248,Xtal_Templ!A:B,2,FALSE))</f>
        <v>5ht1b_human</v>
      </c>
      <c r="C248" s="3">
        <f>VLOOKUP($A248,'SegEnds_NonXtal_BW#'!$A:$Z,3,FALSE)+D248-50</f>
        <v>28</v>
      </c>
      <c r="D248" s="3">
        <v>50</v>
      </c>
      <c r="E248" s="3">
        <f>IF(ISERROR(VLOOKUP($A248,'SegEnds_NonXtal_BW#'!$A:$Z,4,FALSE)+VLOOKUP($A248,A:AL,4,FALSE)-50),"-",(VLOOKUP($A248,'SegEnds_NonXtal_BW#'!$A:$Z,4,FALSE)+VLOOKUP($A248,A:AL,4,FALSE)-50))</f>
        <v>60</v>
      </c>
      <c r="F248" s="3">
        <f t="shared" si="167"/>
        <v>61</v>
      </c>
      <c r="G248" s="3">
        <v>63</v>
      </c>
      <c r="H248" s="3">
        <f t="shared" si="168"/>
        <v>64</v>
      </c>
      <c r="I248" s="3">
        <f t="shared" si="168"/>
        <v>65</v>
      </c>
      <c r="J248" s="3">
        <v>78</v>
      </c>
      <c r="K248" s="3">
        <f>VLOOKUP($A248,'SegEnds_NonXtal_BW#'!$A:$Z,8,FALSE)+VLOOKUP($A248,A:AL,10,FALSE)-50</f>
        <v>96</v>
      </c>
      <c r="L248" s="3">
        <f t="shared" si="142"/>
        <v>97</v>
      </c>
      <c r="M248" s="3">
        <v>98</v>
      </c>
      <c r="N248" s="3">
        <f t="shared" si="143"/>
        <v>100</v>
      </c>
      <c r="O248" s="3">
        <f t="shared" si="139"/>
        <v>101</v>
      </c>
      <c r="P248" s="3">
        <v>130</v>
      </c>
      <c r="Q248" s="3">
        <f>VLOOKUP($A248,'SegEnds_NonXtal_BW#'!$A:$Z,12,FALSE)+VLOOKUP($A248,A:AL,16,FALSE)-50</f>
        <v>136</v>
      </c>
      <c r="R248" s="3">
        <f>IF(ISERROR(VLOOKUP($A248,'SegEnds_NonXtal_BW#'!$A:$Z,13,FALSE)+VLOOKUP($A248,A:AL,19,FALSE)-50),"-",VLOOKUP($A248,'SegEnds_NonXtal_BW#'!$A:$Z,13,FALSE)+VLOOKUP($A248,A:AL,19,FALSE)-50)</f>
        <v>137</v>
      </c>
      <c r="S248" s="3">
        <v>137</v>
      </c>
      <c r="T248" s="100">
        <f>IF(ISERROR(VLOOKUP($A248,'SegEnds_NonXtal_BW#'!$A:$Z,14,FALSE)+VLOOKUP($A248,A:AL,19,FALSE)-50),"-",(VLOOKUP($A248,'SegEnds_NonXtal_BW#'!$A:$Z,14,FALSE)+VLOOKUP($A248,A:AL,19,FALSE)-50))</f>
        <v>144</v>
      </c>
      <c r="U248" s="9">
        <f>IF(ISERROR(VLOOKUP($A248,'SegEnds_NonXtal_BW#'!$A:$Z,15,FALSE)+VLOOKUP($A248,A:AL,22,FALSE)-50),"-",VLOOKUP($A248,'SegEnds_NonXtal_BW#'!$A:$Z,15,FALSE)+VLOOKUP($A248,A:AL,22,FALSE)-50)</f>
        <v>145</v>
      </c>
      <c r="V248" s="3">
        <v>157</v>
      </c>
      <c r="W248" s="3">
        <f>IF(ISERROR(VLOOKUP($A248,'SegEnds_NonXtal_BW#'!$A:$Z,16,FALSE)+VLOOKUP($A248,A:AL,22,FALSE)-50),"-",(VLOOKUP($A248,'SegEnds_NonXtal_BW#'!$A:$Z,16,FALSE)+VLOOKUP($A248,A:AL,22,FALSE)-50))</f>
        <v>170</v>
      </c>
      <c r="X248" s="3">
        <f>IF(ISERROR(VLOOKUP($A248,'SegEnds_NonXtal_BW#'!$A:$Z,17,FALSE)+VLOOKUP($A248,A:AL,25,FALSE)-50),"-",(VLOOKUP($A248,'SegEnds_NonXtal_BW#'!$A:$Z,17,FALSE)+VLOOKUP($A248,A:AL,25,FALSE)-50))</f>
        <v>190</v>
      </c>
      <c r="Y248" s="3">
        <v>190</v>
      </c>
      <c r="Z248" s="3">
        <f t="shared" si="144"/>
        <v>192</v>
      </c>
      <c r="AA248" s="3">
        <f>IF(ISERROR(VLOOKUP($A248,'SegEnds_NonXtal_BW#'!$A:$Z,19,FALSE)+VLOOKUP($A248,A:AL,28,FALSE)-50),"-",(VLOOKUP($A248,'SegEnds_NonXtal_BW#'!$A:$Z,19,FALSE)+VLOOKUP($A248,A:AL,28,FALSE)-50))</f>
        <v>194</v>
      </c>
      <c r="AB248" s="3">
        <v>209</v>
      </c>
      <c r="AC248" s="3">
        <f>IF(ISERROR((VLOOKUP($A248,'SegEnds_NonXtal_BW#'!$A:$Z,20,FALSE)+VLOOKUP($A248,A:AL,28,FALSE)-50)),"-",(VLOOKUP($A248,'SegEnds_NonXtal_BW#'!$A:$Z,20,FALSE)+VLOOKUP($A248,A:AL,28,FALSE)-50))</f>
        <v>233</v>
      </c>
      <c r="AD248" s="3">
        <f>IF(ISERROR(VLOOKUP($A248,'SegEnds_NonXtal_BW#'!$A:$Z,21,FALSE)+VLOOKUP($A248,A:AL,31,FALSE)-50),"-",(VLOOKUP($A248,'SegEnds_NonXtal_BW#'!$A:$Z,21,FALSE)+VLOOKUP($A248,A:AL,31,FALSE)-50))</f>
        <v>244</v>
      </c>
      <c r="AE248" s="3">
        <v>273</v>
      </c>
      <c r="AF248" s="3">
        <f>IF(ISERROR((VLOOKUP($A248,'SegEnds_NonXtal_BW#'!$A:$Z,22,FALSE)+VLOOKUP($A248,A:AL,31,FALSE)-50)),"-",(VLOOKUP($A248,'SegEnds_NonXtal_BW#'!$A:$Z,22,FALSE)+VLOOKUP($A248,A:AL,31,FALSE)-50))</f>
        <v>284</v>
      </c>
      <c r="AG248" s="3">
        <f>IF(ISERROR(VLOOKUP($A248,'SegEnds_NonXtal_BW#'!$A:$Z,23,FALSE)+VLOOKUP($A248,A:AL,34,FALSE)-50),"-",(VLOOKUP($A248,'SegEnds_NonXtal_BW#'!$A:$Z,23,FALSE)+VLOOKUP($A248,A:AL,34,FALSE)-50))</f>
        <v>289</v>
      </c>
      <c r="AH248" s="3">
        <v>308</v>
      </c>
      <c r="AI248" s="3">
        <f>IF(ISERROR((VLOOKUP($A248,'SegEnds_NonXtal_BW#'!$A:$Z,24,FALSE)+VLOOKUP($A248,A:AL,34,FALSE)-50)),"-",(VLOOKUP($A248,'SegEnds_NonXtal_BW#'!$A:$Z,24,FALSE)+VLOOKUP($A248,A:AL,34,FALSE)-50))</f>
        <v>314</v>
      </c>
      <c r="AJ248" s="3">
        <f>IF(ISERROR(VLOOKUP($A248,'SegEnds_NonXtal_BW#'!$A:$Z,25,FALSE)+VLOOKUP($A248,A:AL,37,FALSE)-50),"-",(VLOOKUP($A248,'SegEnds_NonXtal_BW#'!$A:$Z,25,FALSE)+VLOOKUP($A248,A:AL,37,FALSE)-50))</f>
        <v>315</v>
      </c>
      <c r="AK248" s="3">
        <v>318</v>
      </c>
      <c r="AL248" s="3">
        <f>IF(ISERROR((VLOOKUP($A248,'SegEnds_NonXtal_BW#'!$A:$Z,26,FALSE)+VLOOKUP($A248,A:AL,37,FALSE)-50)),"-",(VLOOKUP($A248,'SegEnds_NonXtal_BW#'!$A:$Z,26,FALSE)+VLOOKUP($A248,A:AL,37,FALSE)-50))</f>
        <v>326</v>
      </c>
      <c r="AM248" s="28" t="str">
        <f>VLOOKUP(A248,Classification!A:B,2,FALSE)</f>
        <v>A</v>
      </c>
      <c r="AN248" s="28" t="b">
        <f t="shared" si="133"/>
        <v>1</v>
      </c>
      <c r="AO248" s="3" t="str">
        <f>IF(ISERROR(MATCH(A248,'SegEnds_Xtal_Prot#'!B:B, 0)), "NoXtal", "Xtal")</f>
        <v>NoXtal</v>
      </c>
      <c r="AP248" s="3">
        <f t="shared" si="118"/>
        <v>1</v>
      </c>
      <c r="AQ248" s="3">
        <f t="shared" si="119"/>
        <v>1</v>
      </c>
      <c r="AR248" s="3">
        <f t="shared" si="120"/>
        <v>1</v>
      </c>
      <c r="AS248" s="3">
        <f t="shared" si="121"/>
        <v>1</v>
      </c>
      <c r="AT248" s="3">
        <f t="shared" si="122"/>
        <v>1</v>
      </c>
      <c r="AU248" s="3">
        <f t="shared" si="123"/>
        <v>1</v>
      </c>
      <c r="AV248" s="3">
        <f t="shared" si="124"/>
        <v>20</v>
      </c>
      <c r="AW248" s="3">
        <f t="shared" si="125"/>
        <v>2</v>
      </c>
      <c r="AX248" s="3">
        <f t="shared" si="126"/>
        <v>11</v>
      </c>
      <c r="AY248" s="3">
        <f t="shared" si="127"/>
        <v>5</v>
      </c>
      <c r="AZ248" s="3">
        <f t="shared" si="128"/>
        <v>1</v>
      </c>
      <c r="BA248" s="3">
        <f>IF(ISERROR(LEN(VLOOKUP(A248,Seqs!A:E,2,FALSE))-AL248),"-",LEN(VLOOKUP(A248,Seqs!A:E,2,FALSE))-AL248)</f>
        <v>22</v>
      </c>
      <c r="BB248" s="16">
        <f t="shared" si="129"/>
        <v>28</v>
      </c>
      <c r="BC248" s="9">
        <f t="shared" si="130"/>
        <v>20</v>
      </c>
      <c r="BD248" s="3">
        <f t="shared" si="131"/>
        <v>28</v>
      </c>
      <c r="BE248" s="3">
        <f t="shared" si="132"/>
        <v>64</v>
      </c>
      <c r="BF248" s="3">
        <f t="shared" si="145"/>
        <v>35</v>
      </c>
    </row>
    <row r="249" spans="1:58" s="3" customFormat="1" x14ac:dyDescent="0.2">
      <c r="A249" s="3" t="s">
        <v>393</v>
      </c>
      <c r="B249" s="3" t="str">
        <f>LOWER(VLOOKUP(A249,Xtal_Templ!A:B,2,FALSE))</f>
        <v>oprx_human</v>
      </c>
      <c r="C249" s="3">
        <f>VLOOKUP($A249,'SegEnds_NonXtal_BW#'!$A:$Z,3,FALSE)+D249-50</f>
        <v>22</v>
      </c>
      <c r="D249" s="3">
        <v>43</v>
      </c>
      <c r="E249" s="3">
        <f>IF(ISERROR(VLOOKUP($A249,'SegEnds_NonXtal_BW#'!$A:$Z,4,FALSE)+VLOOKUP($A249,A:AL,4,FALSE)-50),"-",(VLOOKUP($A249,'SegEnds_NonXtal_BW#'!$A:$Z,4,FALSE)+VLOOKUP($A249,A:AL,4,FALSE)-50))</f>
        <v>53</v>
      </c>
      <c r="F249" s="3">
        <f t="shared" si="167"/>
        <v>54</v>
      </c>
      <c r="G249" s="3">
        <v>56</v>
      </c>
      <c r="H249" s="3">
        <f t="shared" si="168"/>
        <v>57</v>
      </c>
      <c r="I249" s="3">
        <f t="shared" si="168"/>
        <v>58</v>
      </c>
      <c r="J249" s="3">
        <v>71</v>
      </c>
      <c r="K249" s="3">
        <f>VLOOKUP($A249,'SegEnds_NonXtal_BW#'!$A:$Z,8,FALSE)+VLOOKUP($A249,A:AL,10,FALSE)-50</f>
        <v>87</v>
      </c>
      <c r="L249" s="3">
        <f t="shared" si="142"/>
        <v>90</v>
      </c>
      <c r="M249" s="3">
        <v>91</v>
      </c>
      <c r="N249" s="3">
        <f t="shared" si="143"/>
        <v>93</v>
      </c>
      <c r="O249" s="3">
        <f t="shared" si="139"/>
        <v>94</v>
      </c>
      <c r="P249" s="3">
        <v>123</v>
      </c>
      <c r="Q249" s="3">
        <f>VLOOKUP($A249,'SegEnds_NonXtal_BW#'!$A:$Z,12,FALSE)+VLOOKUP($A249,A:AL,16,FALSE)-50</f>
        <v>129</v>
      </c>
      <c r="R249" s="3">
        <f>IF(ISERROR(VLOOKUP($A249,'SegEnds_NonXtal_BW#'!$A:$Z,13,FALSE)+VLOOKUP($A249,A:AL,19,FALSE)-50),"-",VLOOKUP($A249,'SegEnds_NonXtal_BW#'!$A:$Z,13,FALSE)+VLOOKUP($A249,A:AL,19,FALSE)-50)</f>
        <v>130</v>
      </c>
      <c r="S249" s="3">
        <v>130</v>
      </c>
      <c r="T249" s="100">
        <f>IF(ISERROR(VLOOKUP($A249,'SegEnds_NonXtal_BW#'!$A:$Z,14,FALSE)+VLOOKUP($A249,A:AL,19,FALSE)-50),"-",(VLOOKUP($A249,'SegEnds_NonXtal_BW#'!$A:$Z,14,FALSE)+VLOOKUP($A249,A:AL,19,FALSE)-50))</f>
        <v>137</v>
      </c>
      <c r="U249" s="9">
        <f>IF(ISERROR(VLOOKUP($A249,'SegEnds_NonXtal_BW#'!$A:$Z,15,FALSE)+VLOOKUP($A249,A:AL,22,FALSE)-50),"-",VLOOKUP($A249,'SegEnds_NonXtal_BW#'!$A:$Z,15,FALSE)+VLOOKUP($A249,A:AL,22,FALSE)-50)</f>
        <v>138</v>
      </c>
      <c r="V249" s="3">
        <v>150</v>
      </c>
      <c r="W249" s="3">
        <f>IF(ISERROR(VLOOKUP($A249,'SegEnds_NonXtal_BW#'!$A:$Z,16,FALSE)+VLOOKUP($A249,A:AL,22,FALSE)-50),"-",(VLOOKUP($A249,'SegEnds_NonXtal_BW#'!$A:$Z,16,FALSE)+VLOOKUP($A249,A:AL,22,FALSE)-50))</f>
        <v>164</v>
      </c>
      <c r="X249" s="3">
        <f>IF(ISERROR(VLOOKUP($A249,'SegEnds_NonXtal_BW#'!$A:$Z,17,FALSE)+VLOOKUP($A249,A:AL,25,FALSE)-50),"-",(VLOOKUP($A249,'SegEnds_NonXtal_BW#'!$A:$Z,17,FALSE)+VLOOKUP($A249,A:AL,25,FALSE)-50))</f>
        <v>179</v>
      </c>
      <c r="Y249" s="3">
        <v>179</v>
      </c>
      <c r="Z249" s="3">
        <f t="shared" si="144"/>
        <v>181</v>
      </c>
      <c r="AA249" s="3">
        <f>IF(ISERROR(VLOOKUP($A249,'SegEnds_NonXtal_BW#'!$A:$Z,19,FALSE)+VLOOKUP($A249,A:AL,28,FALSE)-50),"-",(VLOOKUP($A249,'SegEnds_NonXtal_BW#'!$A:$Z,19,FALSE)+VLOOKUP($A249,A:AL,28,FALSE)-50))</f>
        <v>184</v>
      </c>
      <c r="AB249" s="3">
        <v>203</v>
      </c>
      <c r="AC249" s="3">
        <f>IF(ISERROR((VLOOKUP($A249,'SegEnds_NonXtal_BW#'!$A:$Z,20,FALSE)+VLOOKUP($A249,A:AL,28,FALSE)-50)),"-",(VLOOKUP($A249,'SegEnds_NonXtal_BW#'!$A:$Z,20,FALSE)+VLOOKUP($A249,A:AL,28,FALSE)-50))</f>
        <v>229</v>
      </c>
      <c r="AD249" s="3">
        <f>IF(ISERROR(VLOOKUP($A249,'SegEnds_NonXtal_BW#'!$A:$Z,21,FALSE)+VLOOKUP($A249,A:AL,31,FALSE)-50),"-",(VLOOKUP($A249,'SegEnds_NonXtal_BW#'!$A:$Z,21,FALSE)+VLOOKUP($A249,A:AL,31,FALSE)-50))</f>
        <v>255</v>
      </c>
      <c r="AE249" s="3">
        <v>281</v>
      </c>
      <c r="AF249" s="3">
        <f>IF(ISERROR((VLOOKUP($A249,'SegEnds_NonXtal_BW#'!$A:$Z,22,FALSE)+VLOOKUP($A249,A:AL,31,FALSE)-50)),"-",(VLOOKUP($A249,'SegEnds_NonXtal_BW#'!$A:$Z,22,FALSE)+VLOOKUP($A249,A:AL,31,FALSE)-50))</f>
        <v>292</v>
      </c>
      <c r="AG249" s="3">
        <f>IF(ISERROR(VLOOKUP($A249,'SegEnds_NonXtal_BW#'!$A:$Z,23,FALSE)+VLOOKUP($A249,A:AL,34,FALSE)-50),"-",(VLOOKUP($A249,'SegEnds_NonXtal_BW#'!$A:$Z,23,FALSE)+VLOOKUP($A249,A:AL,34,FALSE)-50))</f>
        <v>298</v>
      </c>
      <c r="AH249" s="3">
        <v>317</v>
      </c>
      <c r="AI249" s="3">
        <f>IF(ISERROR((VLOOKUP($A249,'SegEnds_NonXtal_BW#'!$A:$Z,24,FALSE)+VLOOKUP($A249,A:AL,34,FALSE)-50)),"-",(VLOOKUP($A249,'SegEnds_NonXtal_BW#'!$A:$Z,24,FALSE)+VLOOKUP($A249,A:AL,34,FALSE)-50))</f>
        <v>323</v>
      </c>
      <c r="AJ249" s="3">
        <f>IF(ISERROR(VLOOKUP($A249,'SegEnds_NonXtal_BW#'!$A:$Z,25,FALSE)+VLOOKUP($A249,A:AL,37,FALSE)-50),"-",(VLOOKUP($A249,'SegEnds_NonXtal_BW#'!$A:$Z,25,FALSE)+VLOOKUP($A249,A:AL,37,FALSE)-50))</f>
        <v>324</v>
      </c>
      <c r="AK249" s="3">
        <v>327</v>
      </c>
      <c r="AL249" s="3">
        <f>IF(ISERROR((VLOOKUP($A249,'SegEnds_NonXtal_BW#'!$A:$Z,26,FALSE)+VLOOKUP($A249,A:AL,37,FALSE)-50)),"-",(VLOOKUP($A249,'SegEnds_NonXtal_BW#'!$A:$Z,26,FALSE)+VLOOKUP($A249,A:AL,37,FALSE)-50))</f>
        <v>336</v>
      </c>
      <c r="AM249" s="28" t="str">
        <f>VLOOKUP(A249,Classification!A:B,2,FALSE)</f>
        <v>A</v>
      </c>
      <c r="AN249" s="28" t="b">
        <f t="shared" si="133"/>
        <v>1</v>
      </c>
      <c r="AO249" s="3" t="str">
        <f>IF(ISERROR(MATCH(A249,'SegEnds_Xtal_Prot#'!B:B, 0)), "NoXtal", "Xtal")</f>
        <v>NoXtal</v>
      </c>
      <c r="AP249" s="3">
        <f t="shared" si="118"/>
        <v>1</v>
      </c>
      <c r="AQ249" s="3">
        <f t="shared" si="119"/>
        <v>1</v>
      </c>
      <c r="AR249" s="3">
        <f t="shared" si="120"/>
        <v>3</v>
      </c>
      <c r="AS249" s="3">
        <f t="shared" si="121"/>
        <v>1</v>
      </c>
      <c r="AT249" s="3">
        <f t="shared" si="122"/>
        <v>1</v>
      </c>
      <c r="AU249" s="3">
        <f t="shared" si="123"/>
        <v>1</v>
      </c>
      <c r="AV249" s="3">
        <f t="shared" si="124"/>
        <v>15</v>
      </c>
      <c r="AW249" s="3">
        <f t="shared" si="125"/>
        <v>3</v>
      </c>
      <c r="AX249" s="3">
        <f t="shared" si="126"/>
        <v>26</v>
      </c>
      <c r="AY249" s="3">
        <f t="shared" si="127"/>
        <v>6</v>
      </c>
      <c r="AZ249" s="3">
        <f t="shared" si="128"/>
        <v>1</v>
      </c>
      <c r="BA249" s="3">
        <f>IF(ISERROR(LEN(VLOOKUP(A249,Seqs!A:E,2,FALSE))-AL249),"-",LEN(VLOOKUP(A249,Seqs!A:E,2,FALSE))-AL249)</f>
        <v>62</v>
      </c>
      <c r="BB249" s="16">
        <f t="shared" si="129"/>
        <v>28</v>
      </c>
      <c r="BC249" s="9">
        <f t="shared" si="130"/>
        <v>20</v>
      </c>
      <c r="BD249" s="3">
        <f t="shared" si="131"/>
        <v>28</v>
      </c>
      <c r="BE249" s="3">
        <f t="shared" si="132"/>
        <v>78</v>
      </c>
    </row>
    <row r="250" spans="1:58" s="3" customFormat="1" x14ac:dyDescent="0.2">
      <c r="A250" s="3" t="s">
        <v>394</v>
      </c>
      <c r="B250" s="3" t="str">
        <f>LOWER(VLOOKUP(A250,Xtal_Templ!A:B,2,FALSE))</f>
        <v>aa2ar_human</v>
      </c>
      <c r="C250" s="3">
        <f>VLOOKUP($A250,'SegEnds_NonXtal_BW#'!$A:$Z,3,FALSE)+D250-50</f>
        <v>409</v>
      </c>
      <c r="D250" s="3">
        <v>432</v>
      </c>
      <c r="E250" s="3">
        <f>IF(ISERROR(VLOOKUP($A250,'SegEnds_NonXtal_BW#'!$A:$Z,4,FALSE)+VLOOKUP($A250,A:AL,4,FALSE)-50),"-",(VLOOKUP($A250,'SegEnds_NonXtal_BW#'!$A:$Z,4,FALSE)+VLOOKUP($A250,A:AL,4,FALSE)-50))</f>
        <v>442</v>
      </c>
      <c r="F250" s="3">
        <f t="shared" si="167"/>
        <v>444</v>
      </c>
      <c r="G250" s="3">
        <v>446</v>
      </c>
      <c r="H250" s="3">
        <f t="shared" si="168"/>
        <v>447</v>
      </c>
      <c r="I250" s="3">
        <f t="shared" si="168"/>
        <v>448</v>
      </c>
      <c r="J250" s="3">
        <v>460</v>
      </c>
      <c r="K250" s="3">
        <f>VLOOKUP($A250,'SegEnds_NonXtal_BW#'!$A:$Z,8,FALSE)+VLOOKUP($A250,A:AL,10,FALSE)-50</f>
        <v>477</v>
      </c>
      <c r="L250" s="3">
        <f t="shared" si="142"/>
        <v>487</v>
      </c>
      <c r="M250" s="3">
        <v>488</v>
      </c>
      <c r="N250" s="3">
        <f t="shared" si="143"/>
        <v>490</v>
      </c>
      <c r="O250" s="3">
        <f t="shared" si="139"/>
        <v>491</v>
      </c>
      <c r="P250" s="3">
        <v>519</v>
      </c>
      <c r="Q250" s="3">
        <f>VLOOKUP($A250,'SegEnds_NonXtal_BW#'!$A:$Z,12,FALSE)+VLOOKUP($A250,A:AL,16,FALSE)-50</f>
        <v>525</v>
      </c>
      <c r="R250" s="3">
        <f>IF(ISERROR(VLOOKUP($A250,'SegEnds_NonXtal_BW#'!$A:$Z,13,FALSE)+VLOOKUP($A250,A:AL,19,FALSE)-50),"-",VLOOKUP($A250,'SegEnds_NonXtal_BW#'!$A:$Z,13,FALSE)+VLOOKUP($A250,A:AL,19,FALSE)-50)</f>
        <v>526</v>
      </c>
      <c r="S250" s="3">
        <v>526</v>
      </c>
      <c r="T250" s="100">
        <f>IF(ISERROR(VLOOKUP($A250,'SegEnds_NonXtal_BW#'!$A:$Z,14,FALSE)+VLOOKUP($A250,A:AL,19,FALSE)-50),"-",(VLOOKUP($A250,'SegEnds_NonXtal_BW#'!$A:$Z,14,FALSE)+VLOOKUP($A250,A:AL,19,FALSE)-50))</f>
        <v>533</v>
      </c>
      <c r="U250" s="9">
        <f>IF(ISERROR(VLOOKUP($A250,'SegEnds_NonXtal_BW#'!$A:$Z,15,FALSE)+VLOOKUP($A250,A:AL,22,FALSE)-50),"-",VLOOKUP($A250,'SegEnds_NonXtal_BW#'!$A:$Z,15,FALSE)+VLOOKUP($A250,A:AL,22,FALSE)-50)</f>
        <v>534</v>
      </c>
      <c r="V250" s="3">
        <v>546</v>
      </c>
      <c r="W250" s="3">
        <f>IF(ISERROR(VLOOKUP($A250,'SegEnds_NonXtal_BW#'!$A:$Z,16,FALSE)+VLOOKUP($A250,A:AL,22,FALSE)-50),"-",(VLOOKUP($A250,'SegEnds_NonXtal_BW#'!$A:$Z,16,FALSE)+VLOOKUP($A250,A:AL,22,FALSE)-50))</f>
        <v>559</v>
      </c>
      <c r="X250" s="3">
        <f>IF(ISERROR(VLOOKUP($A250,'SegEnds_NonXtal_BW#'!$A:$Z,17,FALSE)+VLOOKUP($A250,A:AL,25,FALSE)-50),"-",(VLOOKUP($A250,'SegEnds_NonXtal_BW#'!$A:$Z,17,FALSE)+VLOOKUP($A250,A:AL,25,FALSE)-50))</f>
        <v>569</v>
      </c>
      <c r="Y250" s="3">
        <v>569</v>
      </c>
      <c r="Z250" s="3">
        <f t="shared" si="144"/>
        <v>571</v>
      </c>
      <c r="AA250" s="3">
        <f>IF(ISERROR(VLOOKUP($A250,'SegEnds_NonXtal_BW#'!$A:$Z,19,FALSE)+VLOOKUP($A250,A:AL,28,FALSE)-50),"-",(VLOOKUP($A250,'SegEnds_NonXtal_BW#'!$A:$Z,19,FALSE)+VLOOKUP($A250,A:AL,28,FALSE)-50))</f>
        <v>577</v>
      </c>
      <c r="AB250" s="3">
        <v>593</v>
      </c>
      <c r="AC250" s="3">
        <f>IF(ISERROR((VLOOKUP($A250,'SegEnds_NonXtal_BW#'!$A:$Z,20,FALSE)+VLOOKUP($A250,A:AL,28,FALSE)-50)),"-",(VLOOKUP($A250,'SegEnds_NonXtal_BW#'!$A:$Z,20,FALSE)+VLOOKUP($A250,A:AL,28,FALSE)-50))</f>
        <v>610</v>
      </c>
      <c r="AD250" s="3">
        <f>IF(ISERROR(VLOOKUP($A250,'SegEnds_NonXtal_BW#'!$A:$Z,21,FALSE)+VLOOKUP($A250,A:AL,31,FALSE)-50),"-",(VLOOKUP($A250,'SegEnds_NonXtal_BW#'!$A:$Z,21,FALSE)+VLOOKUP($A250,A:AL,31,FALSE)-50))</f>
        <v>615</v>
      </c>
      <c r="AE250" s="3">
        <v>639</v>
      </c>
      <c r="AF250" s="3">
        <f>IF(ISERROR((VLOOKUP($A250,'SegEnds_NonXtal_BW#'!$A:$Z,22,FALSE)+VLOOKUP($A250,A:AL,31,FALSE)-50)),"-",(VLOOKUP($A250,'SegEnds_NonXtal_BW#'!$A:$Z,22,FALSE)+VLOOKUP($A250,A:AL,31,FALSE)-50))</f>
        <v>650</v>
      </c>
      <c r="AG250" s="3">
        <f>IF(ISERROR(VLOOKUP($A250,'SegEnds_NonXtal_BW#'!$A:$Z,23,FALSE)+VLOOKUP($A250,A:AL,34,FALSE)-50),"-",(VLOOKUP($A250,'SegEnds_NonXtal_BW#'!$A:$Z,23,FALSE)+VLOOKUP($A250,A:AL,34,FALSE)-50))</f>
        <v>656</v>
      </c>
      <c r="AH250" s="3">
        <v>675</v>
      </c>
      <c r="AI250" s="3">
        <f>IF(ISERROR((VLOOKUP($A250,'SegEnds_NonXtal_BW#'!$A:$Z,24,FALSE)+VLOOKUP($A250,A:AL,34,FALSE)-50)),"-",(VLOOKUP($A250,'SegEnds_NonXtal_BW#'!$A:$Z,24,FALSE)+VLOOKUP($A250,A:AL,34,FALSE)-50))</f>
        <v>681</v>
      </c>
      <c r="AJ250" s="3">
        <f>IF(ISERROR(VLOOKUP($A250,'SegEnds_NonXtal_BW#'!$A:$Z,25,FALSE)+VLOOKUP($A250,A:AL,37,FALSE)-50),"-",(VLOOKUP($A250,'SegEnds_NonXtal_BW#'!$A:$Z,25,FALSE)+VLOOKUP($A250,A:AL,37,FALSE)-50))</f>
        <v>682</v>
      </c>
      <c r="AK250" s="3">
        <v>685</v>
      </c>
      <c r="AL250" s="3">
        <f>IF(ISERROR((VLOOKUP($A250,'SegEnds_NonXtal_BW#'!$A:$Z,26,FALSE)+VLOOKUP($A250,A:AL,37,FALSE)-50)),"-",(VLOOKUP($A250,'SegEnds_NonXtal_BW#'!$A:$Z,26,FALSE)+VLOOKUP($A250,A:AL,37,FALSE)-50))</f>
        <v>704</v>
      </c>
      <c r="AM250" s="28" t="str">
        <f>VLOOKUP(A250,Classification!A:B,2,FALSE)</f>
        <v>A</v>
      </c>
      <c r="AN250" s="28" t="b">
        <f t="shared" si="133"/>
        <v>1</v>
      </c>
      <c r="AO250" s="3" t="str">
        <f>IF(ISERROR(MATCH(A250,'SegEnds_Xtal_Prot#'!B:B, 0)), "NoXtal", "Xtal")</f>
        <v>NoXtal</v>
      </c>
      <c r="AP250" s="3">
        <f t="shared" si="118"/>
        <v>2</v>
      </c>
      <c r="AQ250" s="3">
        <f t="shared" si="119"/>
        <v>1</v>
      </c>
      <c r="AR250" s="3">
        <f t="shared" si="120"/>
        <v>10</v>
      </c>
      <c r="AS250" s="3">
        <f t="shared" si="121"/>
        <v>1</v>
      </c>
      <c r="AT250" s="3">
        <f t="shared" si="122"/>
        <v>1</v>
      </c>
      <c r="AU250" s="3">
        <f t="shared" si="123"/>
        <v>1</v>
      </c>
      <c r="AV250" s="3">
        <f t="shared" si="124"/>
        <v>10</v>
      </c>
      <c r="AW250" s="3">
        <f t="shared" si="125"/>
        <v>6</v>
      </c>
      <c r="AX250" s="3">
        <f t="shared" si="126"/>
        <v>5</v>
      </c>
      <c r="AY250" s="3">
        <f t="shared" si="127"/>
        <v>6</v>
      </c>
      <c r="AZ250" s="3">
        <f t="shared" si="128"/>
        <v>1</v>
      </c>
      <c r="BA250" s="3">
        <f>IF(ISERROR(LEN(VLOOKUP(A250,Seqs!A:E,2,FALSE))-AL250),"-",LEN(VLOOKUP(A250,Seqs!A:E,2,FALSE))-AL250)</f>
        <v>60</v>
      </c>
      <c r="BB250" s="16">
        <f t="shared" si="129"/>
        <v>28</v>
      </c>
      <c r="BC250" s="9">
        <f t="shared" si="130"/>
        <v>20</v>
      </c>
      <c r="BD250" s="3">
        <f t="shared" si="131"/>
        <v>28</v>
      </c>
      <c r="BE250" s="3">
        <f t="shared" si="132"/>
        <v>46</v>
      </c>
    </row>
    <row r="251" spans="1:58" s="3" customFormat="1" x14ac:dyDescent="0.2">
      <c r="A251" s="3" t="s">
        <v>398</v>
      </c>
      <c r="B251" s="3" t="str">
        <f>LOWER(VLOOKUP(A251,Xtal_Templ!A:B,2,FALSE))</f>
        <v>mtr1b_human</v>
      </c>
      <c r="C251" s="3">
        <f>VLOOKUP($A251,'SegEnds_NonXtal_BW#'!$A:$Z,3,FALSE)+D251-50</f>
        <v>35</v>
      </c>
      <c r="D251" s="3">
        <v>55</v>
      </c>
      <c r="E251" s="3">
        <f>IF(ISERROR(VLOOKUP($A251,'SegEnds_NonXtal_BW#'!$A:$Z,4,FALSE)+VLOOKUP($A251,A:AL,4,FALSE)-50),"-",(VLOOKUP($A251,'SegEnds_NonXtal_BW#'!$A:$Z,4,FALSE)+VLOOKUP($A251,A:AL,4,FALSE)-50))</f>
        <v>65</v>
      </c>
      <c r="F251" s="3">
        <f t="shared" si="167"/>
        <v>67</v>
      </c>
      <c r="G251" s="3">
        <v>69</v>
      </c>
      <c r="H251" s="3">
        <f t="shared" si="168"/>
        <v>70</v>
      </c>
      <c r="I251" s="3">
        <f t="shared" si="168"/>
        <v>71</v>
      </c>
      <c r="J251" s="3">
        <v>85</v>
      </c>
      <c r="K251" s="3">
        <f>VLOOKUP($A251,'SegEnds_NonXtal_BW#'!$A:$Z,8,FALSE)+VLOOKUP($A251,A:AL,10,FALSE)-50</f>
        <v>101</v>
      </c>
      <c r="L251" s="3">
        <f t="shared" si="142"/>
        <v>102</v>
      </c>
      <c r="M251" s="3">
        <v>103</v>
      </c>
      <c r="N251" s="3">
        <f t="shared" si="143"/>
        <v>105</v>
      </c>
      <c r="O251" s="3">
        <f t="shared" si="139"/>
        <v>106</v>
      </c>
      <c r="P251" s="3">
        <v>137</v>
      </c>
      <c r="Q251" s="3">
        <f>VLOOKUP($A251,'SegEnds_NonXtal_BW#'!$A:$Z,12,FALSE)+VLOOKUP($A251,A:AL,16,FALSE)-50</f>
        <v>143</v>
      </c>
      <c r="R251" s="3">
        <f>IF(ISERROR(VLOOKUP($A251,'SegEnds_NonXtal_BW#'!$A:$Z,13,FALSE)+VLOOKUP($A251,A:AL,19,FALSE)-50),"-",VLOOKUP($A251,'SegEnds_NonXtal_BW#'!$A:$Z,13,FALSE)+VLOOKUP($A251,A:AL,19,FALSE)-50)</f>
        <v>144</v>
      </c>
      <c r="S251" s="3">
        <v>144</v>
      </c>
      <c r="T251" s="100">
        <f>IF(ISERROR(VLOOKUP($A251,'SegEnds_NonXtal_BW#'!$A:$Z,14,FALSE)+VLOOKUP($A251,A:AL,19,FALSE)-50),"-",(VLOOKUP($A251,'SegEnds_NonXtal_BW#'!$A:$Z,14,FALSE)+VLOOKUP($A251,A:AL,19,FALSE)-50))</f>
        <v>151</v>
      </c>
      <c r="U251" s="9">
        <f>IF(ISERROR(VLOOKUP($A251,'SegEnds_NonXtal_BW#'!$A:$Z,15,FALSE)+VLOOKUP($A251,A:AL,22,FALSE)-50),"-",VLOOKUP($A251,'SegEnds_NonXtal_BW#'!$A:$Z,15,FALSE)+VLOOKUP($A251,A:AL,22,FALSE)-50)</f>
        <v>152</v>
      </c>
      <c r="V251" s="3">
        <v>164</v>
      </c>
      <c r="W251" s="3">
        <f>IF(ISERROR(VLOOKUP($A251,'SegEnds_NonXtal_BW#'!$A:$Z,16,FALSE)+VLOOKUP($A251,A:AL,22,FALSE)-50),"-",(VLOOKUP($A251,'SegEnds_NonXtal_BW#'!$A:$Z,16,FALSE)+VLOOKUP($A251,A:AL,22,FALSE)-50))</f>
        <v>178</v>
      </c>
      <c r="X251" s="3">
        <f>IF(ISERROR(VLOOKUP($A251,'SegEnds_NonXtal_BW#'!$A:$Z,17,FALSE)+VLOOKUP($A251,A:AL,25,FALSE)-50),"-",(VLOOKUP($A251,'SegEnds_NonXtal_BW#'!$A:$Z,17,FALSE)+VLOOKUP($A251,A:AL,25,FALSE)-50))</f>
        <v>192</v>
      </c>
      <c r="Y251" s="3">
        <v>192</v>
      </c>
      <c r="Z251" s="3">
        <f t="shared" si="144"/>
        <v>194</v>
      </c>
      <c r="AA251" s="3">
        <f>IF(ISERROR(VLOOKUP($A251,'SegEnds_NonXtal_BW#'!$A:$Z,19,FALSE)+VLOOKUP($A251,A:AL,28,FALSE)-50),"-",(VLOOKUP($A251,'SegEnds_NonXtal_BW#'!$A:$Z,19,FALSE)+VLOOKUP($A251,A:AL,28,FALSE)-50))</f>
        <v>202</v>
      </c>
      <c r="AB251" s="3">
        <v>217</v>
      </c>
      <c r="AC251" s="3">
        <f>IF(ISERROR((VLOOKUP($A251,'SegEnds_NonXtal_BW#'!$A:$Z,20,FALSE)+VLOOKUP($A251,A:AL,28,FALSE)-50)),"-",(VLOOKUP($A251,'SegEnds_NonXtal_BW#'!$A:$Z,20,FALSE)+VLOOKUP($A251,A:AL,28,FALSE)-50))</f>
        <v>243</v>
      </c>
      <c r="AD251" s="3">
        <f>IF(ISERROR(VLOOKUP($A251,'SegEnds_NonXtal_BW#'!$A:$Z,21,FALSE)+VLOOKUP($A251,A:AL,31,FALSE)-50),"-",(VLOOKUP($A251,'SegEnds_NonXtal_BW#'!$A:$Z,21,FALSE)+VLOOKUP($A251,A:AL,31,FALSE)-50))</f>
        <v>260</v>
      </c>
      <c r="AE251" s="3">
        <v>286</v>
      </c>
      <c r="AF251" s="3">
        <f>IF(ISERROR((VLOOKUP($A251,'SegEnds_NonXtal_BW#'!$A:$Z,22,FALSE)+VLOOKUP($A251,A:AL,31,FALSE)-50)),"-",(VLOOKUP($A251,'SegEnds_NonXtal_BW#'!$A:$Z,22,FALSE)+VLOOKUP($A251,A:AL,31,FALSE)-50))</f>
        <v>297</v>
      </c>
      <c r="AG251" s="3">
        <f>IF(ISERROR(VLOOKUP($A251,'SegEnds_NonXtal_BW#'!$A:$Z,23,FALSE)+VLOOKUP($A251,A:AL,34,FALSE)-50),"-",(VLOOKUP($A251,'SegEnds_NonXtal_BW#'!$A:$Z,23,FALSE)+VLOOKUP($A251,A:AL,34,FALSE)-50))</f>
        <v>303</v>
      </c>
      <c r="AH251" s="3">
        <v>322</v>
      </c>
      <c r="AI251" s="3">
        <f>IF(ISERROR((VLOOKUP($A251,'SegEnds_NonXtal_BW#'!$A:$Z,24,FALSE)+VLOOKUP($A251,A:AL,34,FALSE)-50)),"-",(VLOOKUP($A251,'SegEnds_NonXtal_BW#'!$A:$Z,24,FALSE)+VLOOKUP($A251,A:AL,34,FALSE)-50))</f>
        <v>328</v>
      </c>
      <c r="AJ251" s="3">
        <f>IF(ISERROR(VLOOKUP($A251,'SegEnds_NonXtal_BW#'!$A:$Z,25,FALSE)+VLOOKUP($A251,A:AL,37,FALSE)-50),"-",(VLOOKUP($A251,'SegEnds_NonXtal_BW#'!$A:$Z,25,FALSE)+VLOOKUP($A251,A:AL,37,FALSE)-50))</f>
        <v>329</v>
      </c>
      <c r="AK251" s="3">
        <v>332</v>
      </c>
      <c r="AL251" s="3">
        <f>IF(ISERROR((VLOOKUP($A251,'SegEnds_NonXtal_BW#'!$A:$Z,26,FALSE)+VLOOKUP($A251,A:AL,37,FALSE)-50)),"-",(VLOOKUP($A251,'SegEnds_NonXtal_BW#'!$A:$Z,26,FALSE)+VLOOKUP($A251,A:AL,37,FALSE)-50))</f>
        <v>345</v>
      </c>
      <c r="AM251" s="28" t="str">
        <f>VLOOKUP(A251,Classification!A:B,2,FALSE)</f>
        <v>A</v>
      </c>
      <c r="AN251" s="28" t="b">
        <f t="shared" si="133"/>
        <v>1</v>
      </c>
      <c r="AO251" s="3" t="str">
        <f>IF(ISERROR(MATCH(A251,'SegEnds_Xtal_Prot#'!B:B, 0)), "NoXtal", "Xtal")</f>
        <v>NoXtal</v>
      </c>
      <c r="AP251" s="3">
        <f t="shared" si="118"/>
        <v>2</v>
      </c>
      <c r="AQ251" s="3">
        <f t="shared" si="119"/>
        <v>1</v>
      </c>
      <c r="AR251" s="3">
        <f t="shared" si="120"/>
        <v>1</v>
      </c>
      <c r="AS251" s="3">
        <f t="shared" si="121"/>
        <v>1</v>
      </c>
      <c r="AT251" s="3">
        <f t="shared" si="122"/>
        <v>1</v>
      </c>
      <c r="AU251" s="3">
        <f t="shared" si="123"/>
        <v>1</v>
      </c>
      <c r="AV251" s="3">
        <f t="shared" si="124"/>
        <v>14</v>
      </c>
      <c r="AW251" s="3">
        <f t="shared" si="125"/>
        <v>8</v>
      </c>
      <c r="AX251" s="3">
        <f t="shared" si="126"/>
        <v>17</v>
      </c>
      <c r="AY251" s="3">
        <f t="shared" si="127"/>
        <v>6</v>
      </c>
      <c r="AZ251" s="3">
        <f t="shared" si="128"/>
        <v>1</v>
      </c>
      <c r="BA251" s="3">
        <f>IF(ISERROR(LEN(VLOOKUP(A251,Seqs!A:E,2,FALSE))-AL251),"-",LEN(VLOOKUP(A251,Seqs!A:E,2,FALSE))-AL251)</f>
        <v>26</v>
      </c>
      <c r="BB251" s="16">
        <f t="shared" si="129"/>
        <v>30</v>
      </c>
      <c r="BC251" s="9">
        <f t="shared" si="130"/>
        <v>20</v>
      </c>
      <c r="BD251" s="3">
        <f t="shared" si="131"/>
        <v>30</v>
      </c>
      <c r="BE251" s="3">
        <f t="shared" si="132"/>
        <v>69</v>
      </c>
    </row>
    <row r="252" spans="1:58" s="3" customFormat="1" x14ac:dyDescent="0.2">
      <c r="A252" s="3" t="s">
        <v>399</v>
      </c>
      <c r="B252" s="3" t="str">
        <f>LOWER(VLOOKUP(A252,Xtal_Templ!A:B,2,FALSE))</f>
        <v>ccr5_human</v>
      </c>
      <c r="C252" s="3">
        <f>VLOOKUP($A252,'SegEnds_NonXtal_BW#'!$A:$Z,3,FALSE)+D252-50</f>
        <v>23</v>
      </c>
      <c r="D252" s="3">
        <v>49</v>
      </c>
      <c r="E252" s="3">
        <f>IF(ISERROR(VLOOKUP($A252,'SegEnds_NonXtal_BW#'!$A:$Z,4,FALSE)+VLOOKUP($A252,A:AL,4,FALSE)-50),"-",(VLOOKUP($A252,'SegEnds_NonXtal_BW#'!$A:$Z,4,FALSE)+VLOOKUP($A252,A:AL,4,FALSE)-50))</f>
        <v>59</v>
      </c>
      <c r="F252" s="3">
        <f t="shared" si="167"/>
        <v>60</v>
      </c>
      <c r="G252" s="3">
        <v>62</v>
      </c>
      <c r="H252" s="3">
        <f t="shared" si="168"/>
        <v>63</v>
      </c>
      <c r="I252" s="3">
        <f t="shared" si="168"/>
        <v>64</v>
      </c>
      <c r="J252" s="3">
        <v>77</v>
      </c>
      <c r="K252" s="3">
        <f>VLOOKUP($A252,'SegEnds_NonXtal_BW#'!$A:$Z,8,FALSE)+VLOOKUP($A252,A:AL,10,FALSE)-50</f>
        <v>93</v>
      </c>
      <c r="L252" s="3">
        <f t="shared" si="142"/>
        <v>94</v>
      </c>
      <c r="M252" s="3">
        <v>95</v>
      </c>
      <c r="N252" s="3">
        <f t="shared" si="143"/>
        <v>97</v>
      </c>
      <c r="O252" s="3">
        <f t="shared" si="139"/>
        <v>98</v>
      </c>
      <c r="P252" s="3">
        <v>127</v>
      </c>
      <c r="Q252" s="3">
        <f>VLOOKUP($A252,'SegEnds_NonXtal_BW#'!$A:$Z,12,FALSE)+VLOOKUP($A252,A:AL,16,FALSE)-50</f>
        <v>133</v>
      </c>
      <c r="R252" s="3">
        <f>IF(ISERROR(VLOOKUP($A252,'SegEnds_NonXtal_BW#'!$A:$Z,13,FALSE)+VLOOKUP($A252,A:AL,19,FALSE)-50),"-",VLOOKUP($A252,'SegEnds_NonXtal_BW#'!$A:$Z,13,FALSE)+VLOOKUP($A252,A:AL,19,FALSE)-50)</f>
        <v>134</v>
      </c>
      <c r="S252" s="3">
        <v>134</v>
      </c>
      <c r="T252" s="100">
        <f>IF(ISERROR(VLOOKUP($A252,'SegEnds_NonXtal_BW#'!$A:$Z,14,FALSE)+VLOOKUP($A252,A:AL,19,FALSE)-50),"-",(VLOOKUP($A252,'SegEnds_NonXtal_BW#'!$A:$Z,14,FALSE)+VLOOKUP($A252,A:AL,19,FALSE)-50))</f>
        <v>141</v>
      </c>
      <c r="U252" s="9">
        <f>IF(ISERROR(VLOOKUP($A252,'SegEnds_NonXtal_BW#'!$A:$Z,15,FALSE)+VLOOKUP($A252,A:AL,22,FALSE)-50),"-",VLOOKUP($A252,'SegEnds_NonXtal_BW#'!$A:$Z,15,FALSE)+VLOOKUP($A252,A:AL,22,FALSE)-50)</f>
        <v>142</v>
      </c>
      <c r="V252" s="3">
        <v>154</v>
      </c>
      <c r="W252" s="3">
        <f>IF(ISERROR(VLOOKUP($A252,'SegEnds_NonXtal_BW#'!$A:$Z,16,FALSE)+VLOOKUP($A252,A:AL,22,FALSE)-50),"-",(VLOOKUP($A252,'SegEnds_NonXtal_BW#'!$A:$Z,16,FALSE)+VLOOKUP($A252,A:AL,22,FALSE)-50))</f>
        <v>168</v>
      </c>
      <c r="X252" s="3">
        <f>IF(ISERROR(VLOOKUP($A252,'SegEnds_NonXtal_BW#'!$A:$Z,17,FALSE)+VLOOKUP($A252,A:AL,25,FALSE)-50),"-",(VLOOKUP($A252,'SegEnds_NonXtal_BW#'!$A:$Z,17,FALSE)+VLOOKUP($A252,A:AL,25,FALSE)-50))</f>
        <v>175</v>
      </c>
      <c r="Y252" s="3">
        <v>175</v>
      </c>
      <c r="Z252" s="3">
        <f t="shared" si="144"/>
        <v>177</v>
      </c>
      <c r="AA252" s="3">
        <f>IF(ISERROR(VLOOKUP($A252,'SegEnds_NonXtal_BW#'!$A:$Z,19,FALSE)+VLOOKUP($A252,A:AL,28,FALSE)-50),"-",(VLOOKUP($A252,'SegEnds_NonXtal_BW#'!$A:$Z,19,FALSE)+VLOOKUP($A252,A:AL,28,FALSE)-50))</f>
        <v>182</v>
      </c>
      <c r="AB252" s="3">
        <v>197</v>
      </c>
      <c r="AC252" s="3">
        <f>IF(ISERROR((VLOOKUP($A252,'SegEnds_NonXtal_BW#'!$A:$Z,20,FALSE)+VLOOKUP($A252,A:AL,28,FALSE)-50)),"-",(VLOOKUP($A252,'SegEnds_NonXtal_BW#'!$A:$Z,20,FALSE)+VLOOKUP($A252,A:AL,28,FALSE)-50))</f>
        <v>215</v>
      </c>
      <c r="AD252" s="3">
        <f>IF(ISERROR(VLOOKUP($A252,'SegEnds_NonXtal_BW#'!$A:$Z,21,FALSE)+VLOOKUP($A252,A:AL,31,FALSE)-50),"-",(VLOOKUP($A252,'SegEnds_NonXtal_BW#'!$A:$Z,21,FALSE)+VLOOKUP($A252,A:AL,31,FALSE)-50))</f>
        <v>220</v>
      </c>
      <c r="AE252" s="3">
        <v>240</v>
      </c>
      <c r="AF252" s="3">
        <f>IF(ISERROR((VLOOKUP($A252,'SegEnds_NonXtal_BW#'!$A:$Z,22,FALSE)+VLOOKUP($A252,A:AL,31,FALSE)-50)),"-",(VLOOKUP($A252,'SegEnds_NonXtal_BW#'!$A:$Z,22,FALSE)+VLOOKUP($A252,A:AL,31,FALSE)-50))</f>
        <v>254</v>
      </c>
      <c r="AG252" s="3">
        <f>IF(ISERROR(VLOOKUP($A252,'SegEnds_NonXtal_BW#'!$A:$Z,23,FALSE)+VLOOKUP($A252,A:AL,34,FALSE)-50),"-",(VLOOKUP($A252,'SegEnds_NonXtal_BW#'!$A:$Z,23,FALSE)+VLOOKUP($A252,A:AL,34,FALSE)-50))</f>
        <v>258</v>
      </c>
      <c r="AH252" s="3">
        <v>284</v>
      </c>
      <c r="AI252" s="3">
        <f>IF(ISERROR((VLOOKUP($A252,'SegEnds_NonXtal_BW#'!$A:$Z,24,FALSE)+VLOOKUP($A252,A:AL,34,FALSE)-50)),"-",(VLOOKUP($A252,'SegEnds_NonXtal_BW#'!$A:$Z,24,FALSE)+VLOOKUP($A252,A:AL,34,FALSE)-50))</f>
        <v>290</v>
      </c>
      <c r="AJ252" s="3">
        <f>IF(ISERROR(VLOOKUP($A252,'SegEnds_NonXtal_BW#'!$A:$Z,25,FALSE)+VLOOKUP($A252,A:AL,37,FALSE)-50),"-",(VLOOKUP($A252,'SegEnds_NonXtal_BW#'!$A:$Z,25,FALSE)+VLOOKUP($A252,A:AL,37,FALSE)-50))</f>
        <v>291</v>
      </c>
      <c r="AK252" s="3">
        <v>294</v>
      </c>
      <c r="AL252" s="3">
        <f>IF(ISERROR((VLOOKUP($A252,'SegEnds_NonXtal_BW#'!$A:$Z,26,FALSE)+VLOOKUP($A252,A:AL,37,FALSE)-50)),"-",(VLOOKUP($A252,'SegEnds_NonXtal_BW#'!$A:$Z,26,FALSE)+VLOOKUP($A252,A:AL,37,FALSE)-50))</f>
        <v>303</v>
      </c>
      <c r="AM252" s="28" t="str">
        <f>VLOOKUP(A252,Classification!A:B,2,FALSE)</f>
        <v>A</v>
      </c>
      <c r="AN252" s="28" t="b">
        <f t="shared" si="133"/>
        <v>1</v>
      </c>
      <c r="AO252" s="3" t="str">
        <f>IF(ISERROR(MATCH(A252,'SegEnds_Xtal_Prot#'!B:B, 0)), "NoXtal", "Xtal")</f>
        <v>NoXtal</v>
      </c>
      <c r="AP252" s="3">
        <f t="shared" si="118"/>
        <v>1</v>
      </c>
      <c r="AQ252" s="3">
        <f t="shared" si="119"/>
        <v>1</v>
      </c>
      <c r="AR252" s="3">
        <f t="shared" si="120"/>
        <v>1</v>
      </c>
      <c r="AS252" s="3">
        <f t="shared" si="121"/>
        <v>1</v>
      </c>
      <c r="AT252" s="3">
        <f t="shared" si="122"/>
        <v>1</v>
      </c>
      <c r="AU252" s="3">
        <f t="shared" si="123"/>
        <v>1</v>
      </c>
      <c r="AV252" s="3">
        <f t="shared" si="124"/>
        <v>7</v>
      </c>
      <c r="AW252" s="3">
        <f t="shared" si="125"/>
        <v>5</v>
      </c>
      <c r="AX252" s="3">
        <f t="shared" si="126"/>
        <v>5</v>
      </c>
      <c r="AY252" s="3">
        <f t="shared" si="127"/>
        <v>4</v>
      </c>
      <c r="AZ252" s="3">
        <f t="shared" si="128"/>
        <v>1</v>
      </c>
      <c r="BA252" s="3">
        <f>IF(ISERROR(LEN(VLOOKUP(A252,Seqs!A:E,2,FALSE))-AL252),"-",LEN(VLOOKUP(A252,Seqs!A:E,2,FALSE))-AL252)</f>
        <v>30</v>
      </c>
      <c r="BB252" s="16">
        <f t="shared" si="129"/>
        <v>28</v>
      </c>
      <c r="BC252" s="9">
        <f t="shared" si="130"/>
        <v>20</v>
      </c>
      <c r="BD252" s="3">
        <f t="shared" si="131"/>
        <v>28</v>
      </c>
      <c r="BE252" s="3">
        <f t="shared" si="132"/>
        <v>43</v>
      </c>
    </row>
    <row r="253" spans="1:58" s="3" customFormat="1" x14ac:dyDescent="0.2">
      <c r="A253" s="3" t="s">
        <v>178</v>
      </c>
      <c r="B253" s="3" t="str">
        <f>LOWER(VLOOKUP(A253,Xtal_Templ!A:B,2,FALSE))</f>
        <v>ccr5_human</v>
      </c>
      <c r="C253" s="3">
        <f>VLOOKUP($A253,'SegEnds_NonXtal_BW#'!$A:$Z,3,FALSE)+D253-50</f>
        <v>30</v>
      </c>
      <c r="D253" s="3">
        <v>56</v>
      </c>
      <c r="E253" s="3">
        <f>IF(ISERROR(VLOOKUP($A253,'SegEnds_NonXtal_BW#'!$A:$Z,4,FALSE)+VLOOKUP($A253,A:AL,4,FALSE)-50),"-",(VLOOKUP($A253,'SegEnds_NonXtal_BW#'!$A:$Z,4,FALSE)+VLOOKUP($A253,A:AL,4,FALSE)-50))</f>
        <v>66</v>
      </c>
      <c r="F253" s="3">
        <f t="shared" si="167"/>
        <v>67</v>
      </c>
      <c r="G253" s="3">
        <v>69</v>
      </c>
      <c r="H253" s="3">
        <f t="shared" si="168"/>
        <v>70</v>
      </c>
      <c r="I253" s="3">
        <f t="shared" si="168"/>
        <v>71</v>
      </c>
      <c r="J253" s="3">
        <v>84</v>
      </c>
      <c r="K253" s="3">
        <f>VLOOKUP($A253,'SegEnds_NonXtal_BW#'!$A:$Z,8,FALSE)+VLOOKUP($A253,A:AL,10,FALSE)-50</f>
        <v>97</v>
      </c>
      <c r="L253" s="3" t="str">
        <f>IF(ISERROR(VLOOKUP($A253,'SegEnds_NonXtal_BW#'!$A:$Z,9,FALSE)+VLOOKUP($A253,A:AL,13,FALSE)-50),"-",(VLOOKUP($A253,'SegEnds_NonXtal_BW#'!$A:$Z,9,FALSE)+VLOOKUP($A253,A:AL,13,FALSE)-50))</f>
        <v>-</v>
      </c>
      <c r="M253" s="3" t="s">
        <v>23</v>
      </c>
      <c r="N253" s="3" t="str">
        <f>IF(ISERROR(VLOOKUP($A253,'SegEnds_NonXtal_BW#'!$A:$Z,10,FALSE)+VLOOKUP($A253,A:AL,13,FALSE)-50),"-",(VLOOKUP($A253,'SegEnds_NonXtal_BW#'!$A:$Z,10,FALSE)+VLOOKUP($A253,A:AL,13,FALSE)-50))</f>
        <v>-</v>
      </c>
      <c r="O253" s="3">
        <f>VLOOKUP($A253,'SegEnds_NonXtal_BW#'!$A:$Z,11,FALSE)+VLOOKUP($A253,A:AL,16,FALSE)-50</f>
        <v>102</v>
      </c>
      <c r="P253" s="3">
        <v>128</v>
      </c>
      <c r="Q253" s="3">
        <f>VLOOKUP($A253,'SegEnds_NonXtal_BW#'!$A:$Z,12,FALSE)+VLOOKUP($A253,A:AL,16,FALSE)-50</f>
        <v>134</v>
      </c>
      <c r="R253" s="3">
        <f>IF(ISERROR(VLOOKUP($A253,'SegEnds_NonXtal_BW#'!$A:$Z,13,FALSE)+VLOOKUP($A253,A:AL,19,FALSE)-50),"-",VLOOKUP($A253,'SegEnds_NonXtal_BW#'!$A:$Z,13,FALSE)+VLOOKUP($A253,A:AL,19,FALSE)-50)</f>
        <v>135</v>
      </c>
      <c r="S253" s="3">
        <v>135</v>
      </c>
      <c r="T253" s="100">
        <f>IF(ISERROR(VLOOKUP($A253,'SegEnds_NonXtal_BW#'!$A:$Z,14,FALSE)+VLOOKUP($A253,A:AL,19,FALSE)-50),"-",(VLOOKUP($A253,'SegEnds_NonXtal_BW#'!$A:$Z,14,FALSE)+VLOOKUP($A253,A:AL,19,FALSE)-50))</f>
        <v>143</v>
      </c>
      <c r="U253" s="9">
        <f>IF(ISERROR(VLOOKUP($A253,'SegEnds_NonXtal_BW#'!$A:$Z,15,FALSE)+VLOOKUP($A253,A:AL,22,FALSE)-50),"-",VLOOKUP($A253,'SegEnds_NonXtal_BW#'!$A:$Z,15,FALSE)+VLOOKUP($A253,A:AL,22,FALSE)-50)</f>
        <v>144</v>
      </c>
      <c r="V253" s="3">
        <v>156</v>
      </c>
      <c r="W253" s="3">
        <f>IF(ISERROR(VLOOKUP($A253,'SegEnds_NonXtal_BW#'!$A:$Z,16,FALSE)+VLOOKUP($A253,A:AL,22,FALSE)-50),"-",(VLOOKUP($A253,'SegEnds_NonXtal_BW#'!$A:$Z,16,FALSE)+VLOOKUP($A253,A:AL,22,FALSE)-50))</f>
        <v>170</v>
      </c>
      <c r="X253" s="3">
        <f>IF(ISERROR(VLOOKUP($A253,'SegEnds_NonXtal_BW#'!$A:$Z,17,FALSE)+VLOOKUP($A253,A:AL,25,FALSE)-50),"-",(VLOOKUP($A253,'SegEnds_NonXtal_BW#'!$A:$Z,17,FALSE)+VLOOKUP($A253,A:AL,25,FALSE)-50))</f>
        <v>181</v>
      </c>
      <c r="Y253" s="3">
        <v>181</v>
      </c>
      <c r="Z253" s="3">
        <f t="shared" si="144"/>
        <v>183</v>
      </c>
      <c r="AA253" s="3">
        <f>IF(ISERROR(VLOOKUP($A253,'SegEnds_NonXtal_BW#'!$A:$Z,19,FALSE)+VLOOKUP($A253,A:AL,28,FALSE)-50),"-",(VLOOKUP($A253,'SegEnds_NonXtal_BW#'!$A:$Z,19,FALSE)+VLOOKUP($A253,A:AL,28,FALSE)-50))</f>
        <v>192</v>
      </c>
      <c r="AB253" s="3">
        <v>212</v>
      </c>
      <c r="AC253" s="3">
        <f>IF(ISERROR((VLOOKUP($A253,'SegEnds_NonXtal_BW#'!$A:$Z,20,FALSE)+VLOOKUP($A253,A:AL,28,FALSE)-50)),"-",(VLOOKUP($A253,'SegEnds_NonXtal_BW#'!$A:$Z,20,FALSE)+VLOOKUP($A253,A:AL,28,FALSE)-50))</f>
        <v>229</v>
      </c>
      <c r="AD253" s="3">
        <f>IF(ISERROR(VLOOKUP($A253,'SegEnds_NonXtal_BW#'!$A:$Z,21,FALSE)+VLOOKUP($A253,A:AL,31,FALSE)-50),"-",(VLOOKUP($A253,'SegEnds_NonXtal_BW#'!$A:$Z,21,FALSE)+VLOOKUP($A253,A:AL,31,FALSE)-50))</f>
        <v>233</v>
      </c>
      <c r="AE253" s="3">
        <v>253</v>
      </c>
      <c r="AF253" s="3">
        <f>IF(ISERROR((VLOOKUP($A253,'SegEnds_NonXtal_BW#'!$A:$Z,22,FALSE)+VLOOKUP($A253,A:AL,31,FALSE)-50)),"-",(VLOOKUP($A253,'SegEnds_NonXtal_BW#'!$A:$Z,22,FALSE)+VLOOKUP($A253,A:AL,31,FALSE)-50))</f>
        <v>267</v>
      </c>
      <c r="AG253" s="3">
        <f>IF(ISERROR(VLOOKUP($A253,'SegEnds_NonXtal_BW#'!$A:$Z,23,FALSE)+VLOOKUP($A253,A:AL,34,FALSE)-50),"-",(VLOOKUP($A253,'SegEnds_NonXtal_BW#'!$A:$Z,23,FALSE)+VLOOKUP($A253,A:AL,34,FALSE)-50))</f>
        <v>271</v>
      </c>
      <c r="AH253" s="3">
        <v>297</v>
      </c>
      <c r="AI253" s="3">
        <f>IF(ISERROR((VLOOKUP($A253,'SegEnds_NonXtal_BW#'!$A:$Z,24,FALSE)+VLOOKUP($A253,A:AL,34,FALSE)-50)),"-",(VLOOKUP($A253,'SegEnds_NonXtal_BW#'!$A:$Z,24,FALSE)+VLOOKUP($A253,A:AL,34,FALSE)-50))</f>
        <v>303</v>
      </c>
      <c r="AJ253" s="3">
        <f>IF(ISERROR(VLOOKUP($A253,'SegEnds_NonXtal_BW#'!$A:$Z,25,FALSE)+VLOOKUP($A253,A:AL,37,FALSE)-50),"-",(VLOOKUP($A253,'SegEnds_NonXtal_BW#'!$A:$Z,25,FALSE)+VLOOKUP($A253,A:AL,37,FALSE)-50))</f>
        <v>304</v>
      </c>
      <c r="AK253" s="3">
        <v>307</v>
      </c>
      <c r="AL253" s="3">
        <f>IF(ISERROR((VLOOKUP($A253,'SegEnds_NonXtal_BW#'!$A:$Z,26,FALSE)+VLOOKUP($A253,A:AL,37,FALSE)-50)),"-",(VLOOKUP($A253,'SegEnds_NonXtal_BW#'!$A:$Z,26,FALSE)+VLOOKUP($A253,A:AL,37,FALSE)-50))</f>
        <v>316</v>
      </c>
      <c r="AM253" s="28" t="str">
        <f>VLOOKUP(A253,Classification!A:B,2,FALSE)</f>
        <v>A</v>
      </c>
      <c r="AN253" s="28" t="b">
        <f t="shared" si="133"/>
        <v>1</v>
      </c>
      <c r="AO253" s="3" t="str">
        <f>IF(ISERROR(MATCH(A253,'SegEnds_Xtal_Prot#'!B:B, 0)), "NoXtal", "Xtal")</f>
        <v>NoXtal</v>
      </c>
      <c r="AP253" s="3">
        <f t="shared" si="118"/>
        <v>1</v>
      </c>
      <c r="AQ253" s="3">
        <f t="shared" si="119"/>
        <v>1</v>
      </c>
      <c r="AR253" s="3" t="str">
        <f t="shared" si="120"/>
        <v>-</v>
      </c>
      <c r="AS253" s="3" t="str">
        <f t="shared" si="121"/>
        <v>-</v>
      </c>
      <c r="AT253" s="3">
        <f t="shared" si="122"/>
        <v>1</v>
      </c>
      <c r="AU253" s="3">
        <f t="shared" si="123"/>
        <v>1</v>
      </c>
      <c r="AV253" s="3">
        <f t="shared" si="124"/>
        <v>11</v>
      </c>
      <c r="AW253" s="3">
        <f t="shared" si="125"/>
        <v>9</v>
      </c>
      <c r="AX253" s="3">
        <f t="shared" si="126"/>
        <v>4</v>
      </c>
      <c r="AY253" s="3">
        <f t="shared" si="127"/>
        <v>4</v>
      </c>
      <c r="AZ253" s="3">
        <f t="shared" si="128"/>
        <v>1</v>
      </c>
      <c r="BA253" s="3">
        <f>IF(ISERROR(LEN(VLOOKUP(A253,Seqs!A:E,2,FALSE))-AL253),"-",LEN(VLOOKUP(A253,Seqs!A:E,2,FALSE))-AL253)</f>
        <v>28</v>
      </c>
      <c r="BB253" s="16">
        <f t="shared" si="129"/>
        <v>28</v>
      </c>
      <c r="BC253" s="9">
        <f t="shared" si="130"/>
        <v>21</v>
      </c>
      <c r="BD253" s="3">
        <f t="shared" si="131"/>
        <v>28</v>
      </c>
      <c r="BE253" s="3">
        <f t="shared" si="132"/>
        <v>41</v>
      </c>
      <c r="BF253" s="3">
        <f t="shared" ref="BF253:BF258" si="169">AH253-AE253</f>
        <v>44</v>
      </c>
    </row>
    <row r="254" spans="1:58" s="3" customFormat="1" x14ac:dyDescent="0.2">
      <c r="A254" s="3" t="s">
        <v>191</v>
      </c>
      <c r="B254" s="3" t="str">
        <f>LOWER(VLOOKUP(A254,Xtal_Templ!A:B,2,FALSE))</f>
        <v>drd2_human</v>
      </c>
      <c r="C254" s="3">
        <f>VLOOKUP($A254,'SegEnds_NonXtal_BW#'!$A:$Z,3,FALSE)+D254-50</f>
        <v>31</v>
      </c>
      <c r="D254" s="3">
        <v>52</v>
      </c>
      <c r="E254" s="3">
        <f>IF(ISERROR(VLOOKUP($A254,'SegEnds_NonXtal_BW#'!$A:$Z,4,FALSE)+VLOOKUP($A254,A:AL,4,FALSE)-50),"-",(VLOOKUP($A254,'SegEnds_NonXtal_BW#'!$A:$Z,4,FALSE)+VLOOKUP($A254,A:AL,4,FALSE)-50))</f>
        <v>62</v>
      </c>
      <c r="F254" s="3">
        <f t="shared" si="167"/>
        <v>63</v>
      </c>
      <c r="G254" s="3">
        <v>65</v>
      </c>
      <c r="H254" s="3">
        <f t="shared" si="168"/>
        <v>66</v>
      </c>
      <c r="I254" s="3">
        <f t="shared" si="168"/>
        <v>67</v>
      </c>
      <c r="J254" s="3">
        <v>80</v>
      </c>
      <c r="K254" s="3">
        <f>VLOOKUP($A254,'SegEnds_NonXtal_BW#'!$A:$Z,8,FALSE)+VLOOKUP($A254,A:AL,10,FALSE)-50</f>
        <v>98</v>
      </c>
      <c r="L254" s="3">
        <f>M254-1</f>
        <v>99</v>
      </c>
      <c r="M254" s="3">
        <v>100</v>
      </c>
      <c r="N254" s="3">
        <f>M254+2</f>
        <v>102</v>
      </c>
      <c r="O254" s="3">
        <f>N254+1</f>
        <v>103</v>
      </c>
      <c r="P254" s="3">
        <v>132</v>
      </c>
      <c r="Q254" s="3">
        <f>VLOOKUP($A254,'SegEnds_NonXtal_BW#'!$A:$Z,12,FALSE)+VLOOKUP($A254,A:AL,16,FALSE)-50</f>
        <v>138</v>
      </c>
      <c r="R254" s="3">
        <f>IF(ISERROR(VLOOKUP($A254,'SegEnds_NonXtal_BW#'!$A:$Z,13,FALSE)+VLOOKUP($A254,A:AL,19,FALSE)-50),"-",VLOOKUP($A254,'SegEnds_NonXtal_BW#'!$A:$Z,13,FALSE)+VLOOKUP($A254,A:AL,19,FALSE)-50)</f>
        <v>139</v>
      </c>
      <c r="S254" s="3">
        <v>139</v>
      </c>
      <c r="T254" s="100">
        <f>IF(ISERROR(VLOOKUP($A254,'SegEnds_NonXtal_BW#'!$A:$Z,14,FALSE)+VLOOKUP($A254,A:AL,19,FALSE)-50),"-",(VLOOKUP($A254,'SegEnds_NonXtal_BW#'!$A:$Z,14,FALSE)+VLOOKUP($A254,A:AL,19,FALSE)-50))</f>
        <v>147</v>
      </c>
      <c r="U254" s="9">
        <f>IF(ISERROR(VLOOKUP($A254,'SegEnds_NonXtal_BW#'!$A:$Z,15,FALSE)+VLOOKUP($A254,A:AL,22,FALSE)-50),"-",VLOOKUP($A254,'SegEnds_NonXtal_BW#'!$A:$Z,15,FALSE)+VLOOKUP($A254,A:AL,22,FALSE)-50)</f>
        <v>148</v>
      </c>
      <c r="V254" s="3">
        <v>160</v>
      </c>
      <c r="W254" s="3">
        <f>IF(ISERROR(VLOOKUP($A254,'SegEnds_NonXtal_BW#'!$A:$Z,16,FALSE)+VLOOKUP($A254,A:AL,22,FALSE)-50),"-",(VLOOKUP($A254,'SegEnds_NonXtal_BW#'!$A:$Z,16,FALSE)+VLOOKUP($A254,A:AL,22,FALSE)-50))</f>
        <v>172</v>
      </c>
      <c r="X254" s="3">
        <f>IF(ISERROR(VLOOKUP($A254,'SegEnds_NonXtal_BW#'!$A:$Z,17,FALSE)+VLOOKUP($A254,A:AL,25,FALSE)-50),"-",(VLOOKUP($A254,'SegEnds_NonXtal_BW#'!$A:$Z,17,FALSE)+VLOOKUP($A254,A:AL,25,FALSE)-50))</f>
        <v>182</v>
      </c>
      <c r="Y254" s="3">
        <v>182</v>
      </c>
      <c r="Z254" s="3">
        <f t="shared" si="144"/>
        <v>184</v>
      </c>
      <c r="AA254" s="3">
        <f>IF(ISERROR(VLOOKUP($A254,'SegEnds_NonXtal_BW#'!$A:$Z,19,FALSE)+VLOOKUP($A254,A:AL,28,FALSE)-50),"-",(VLOOKUP($A254,'SegEnds_NonXtal_BW#'!$A:$Z,19,FALSE)+VLOOKUP($A254,A:AL,28,FALSE)-50))</f>
        <v>186</v>
      </c>
      <c r="AB254" s="3">
        <v>201</v>
      </c>
      <c r="AC254" s="3">
        <f>IF(ISERROR((VLOOKUP($A254,'SegEnds_NonXtal_BW#'!$A:$Z,20,FALSE)+VLOOKUP($A254,A:AL,28,FALSE)-50)),"-",(VLOOKUP($A254,'SegEnds_NonXtal_BW#'!$A:$Z,20,FALSE)+VLOOKUP($A254,A:AL,28,FALSE)-50))</f>
        <v>226</v>
      </c>
      <c r="AD254" s="3">
        <f>IF(ISERROR(VLOOKUP($A254,'SegEnds_NonXtal_BW#'!$A:$Z,21,FALSE)+VLOOKUP($A254,A:AL,31,FALSE)-50),"-",(VLOOKUP($A254,'SegEnds_NonXtal_BW#'!$A:$Z,21,FALSE)+VLOOKUP($A254,A:AL,31,FALSE)-50))</f>
        <v>362</v>
      </c>
      <c r="AE254" s="3">
        <v>388</v>
      </c>
      <c r="AF254" s="3">
        <f>IF(ISERROR((VLOOKUP($A254,'SegEnds_NonXtal_BW#'!$A:$Z,22,FALSE)+VLOOKUP($A254,A:AL,31,FALSE)-50)),"-",(VLOOKUP($A254,'SegEnds_NonXtal_BW#'!$A:$Z,22,FALSE)+VLOOKUP($A254,A:AL,31,FALSE)-50))</f>
        <v>399</v>
      </c>
      <c r="AG254" s="3">
        <f>IF(ISERROR(VLOOKUP($A254,'SegEnds_NonXtal_BW#'!$A:$Z,23,FALSE)+VLOOKUP($A254,A:AL,34,FALSE)-50),"-",(VLOOKUP($A254,'SegEnds_NonXtal_BW#'!$A:$Z,23,FALSE)+VLOOKUP($A254,A:AL,34,FALSE)-50))</f>
        <v>404</v>
      </c>
      <c r="AH254" s="3">
        <v>423</v>
      </c>
      <c r="AI254" s="3">
        <f>IF(ISERROR((VLOOKUP($A254,'SegEnds_NonXtal_BW#'!$A:$Z,24,FALSE)+VLOOKUP($A254,A:AL,34,FALSE)-50)),"-",(VLOOKUP($A254,'SegEnds_NonXtal_BW#'!$A:$Z,24,FALSE)+VLOOKUP($A254,A:AL,34,FALSE)-50))</f>
        <v>429</v>
      </c>
      <c r="AJ254" s="3">
        <f>IF(ISERROR(VLOOKUP($A254,'SegEnds_NonXtal_BW#'!$A:$Z,25,FALSE)+VLOOKUP($A254,A:AL,37,FALSE)-50),"-",(VLOOKUP($A254,'SegEnds_NonXtal_BW#'!$A:$Z,25,FALSE)+VLOOKUP($A254,A:AL,37,FALSE)-50))</f>
        <v>430</v>
      </c>
      <c r="AK254" s="3">
        <v>433</v>
      </c>
      <c r="AL254" s="3">
        <f>IF(ISERROR((VLOOKUP($A254,'SegEnds_NonXtal_BW#'!$A:$Z,26,FALSE)+VLOOKUP($A254,A:AL,37,FALSE)-50)),"-",(VLOOKUP($A254,'SegEnds_NonXtal_BW#'!$A:$Z,26,FALSE)+VLOOKUP($A254,A:AL,37,FALSE)-50))</f>
        <v>442</v>
      </c>
      <c r="AM254" s="28" t="str">
        <f>VLOOKUP(A254,Classification!A:B,2,FALSE)</f>
        <v>A</v>
      </c>
      <c r="AN254" s="28" t="b">
        <f t="shared" si="133"/>
        <v>1</v>
      </c>
      <c r="AO254" s="3" t="str">
        <f>IF(ISERROR(MATCH(A254,'SegEnds_Xtal_Prot#'!B:B, 0)), "NoXtal", "Xtal")</f>
        <v>Xtal</v>
      </c>
      <c r="AP254" s="3">
        <f t="shared" si="118"/>
        <v>1</v>
      </c>
      <c r="AQ254" s="3">
        <f t="shared" si="119"/>
        <v>1</v>
      </c>
      <c r="AR254" s="3">
        <f t="shared" si="120"/>
        <v>1</v>
      </c>
      <c r="AS254" s="3">
        <f t="shared" si="121"/>
        <v>1</v>
      </c>
      <c r="AT254" s="3">
        <f t="shared" si="122"/>
        <v>1</v>
      </c>
      <c r="AU254" s="3">
        <f t="shared" si="123"/>
        <v>1</v>
      </c>
      <c r="AV254" s="3">
        <f t="shared" si="124"/>
        <v>10</v>
      </c>
      <c r="AW254" s="3">
        <f t="shared" si="125"/>
        <v>2</v>
      </c>
      <c r="AX254" s="3">
        <f t="shared" si="126"/>
        <v>136</v>
      </c>
      <c r="AY254" s="3">
        <f t="shared" si="127"/>
        <v>5</v>
      </c>
      <c r="AZ254" s="3">
        <f t="shared" si="128"/>
        <v>1</v>
      </c>
      <c r="BA254" s="3">
        <f>IF(ISERROR(LEN(VLOOKUP(A254,Seqs!A:E,2,FALSE))-AL254),"-",LEN(VLOOKUP(A254,Seqs!A:E,2,FALSE))-AL254)</f>
        <v>1</v>
      </c>
      <c r="BB254" s="16">
        <f t="shared" si="129"/>
        <v>28</v>
      </c>
      <c r="BC254" s="9">
        <f t="shared" si="130"/>
        <v>21</v>
      </c>
      <c r="BD254" s="3">
        <f t="shared" si="131"/>
        <v>28</v>
      </c>
      <c r="BE254" s="3">
        <f t="shared" si="132"/>
        <v>187</v>
      </c>
      <c r="BF254" s="3">
        <f t="shared" si="169"/>
        <v>35</v>
      </c>
    </row>
    <row r="255" spans="1:58" s="3" customFormat="1" x14ac:dyDescent="0.2">
      <c r="A255" s="3" t="s">
        <v>247</v>
      </c>
      <c r="B255" s="3" t="str">
        <f>LOWER(VLOOKUP(A255,Xtal_Templ!A:B,2,FALSE))</f>
        <v>ox1r_human</v>
      </c>
      <c r="C255" s="3">
        <f>VLOOKUP($A255,'SegEnds_NonXtal_BW#'!$A:$Z,3,FALSE)+D255-50</f>
        <v>18</v>
      </c>
      <c r="D255" s="3">
        <v>36</v>
      </c>
      <c r="E255" s="3">
        <f>IF(ISERROR(VLOOKUP($A255,'SegEnds_NonXtal_BW#'!$A:$Z,4,FALSE)+VLOOKUP($A255,A:AL,4,FALSE)-50),"-",(VLOOKUP($A255,'SegEnds_NonXtal_BW#'!$A:$Z,4,FALSE)+VLOOKUP($A255,A:AL,4,FALSE)-50))</f>
        <v>46</v>
      </c>
      <c r="F255" s="3">
        <f t="shared" si="167"/>
        <v>47</v>
      </c>
      <c r="G255" s="3">
        <v>49</v>
      </c>
      <c r="H255" s="3">
        <f t="shared" si="168"/>
        <v>50</v>
      </c>
      <c r="I255" s="3">
        <f t="shared" si="168"/>
        <v>51</v>
      </c>
      <c r="J255" s="3">
        <v>64</v>
      </c>
      <c r="K255" s="3">
        <f>VLOOKUP($A255,'SegEnds_NonXtal_BW#'!$A:$Z,8,FALSE)+VLOOKUP($A255,A:AL,10,FALSE)-50</f>
        <v>82</v>
      </c>
      <c r="L255" s="3" t="str">
        <f>IF(ISERROR(VLOOKUP($A255,'SegEnds_NonXtal_BW#'!$A:$Z,9,FALSE)+VLOOKUP($A255,A:AL,13,FALSE)-50),"-",(VLOOKUP($A255,'SegEnds_NonXtal_BW#'!$A:$Z,9,FALSE)+VLOOKUP($A255,A:AL,13,FALSE)-50))</f>
        <v>-</v>
      </c>
      <c r="M255" s="3" t="s">
        <v>23</v>
      </c>
      <c r="N255" s="3" t="str">
        <f>IF(ISERROR(VLOOKUP($A255,'SegEnds_NonXtal_BW#'!$A:$Z,10,FALSE)+VLOOKUP($A255,A:AL,13,FALSE)-50),"-",(VLOOKUP($A255,'SegEnds_NonXtal_BW#'!$A:$Z,10,FALSE)+VLOOKUP($A255,A:AL,13,FALSE)-50))</f>
        <v>-</v>
      </c>
      <c r="O255" s="3">
        <f>VLOOKUP($A255,'SegEnds_NonXtal_BW#'!$A:$Z,11,FALSE)+VLOOKUP($A255,A:AL,16,FALSE)-50</f>
        <v>88</v>
      </c>
      <c r="P255" s="3">
        <v>120</v>
      </c>
      <c r="Q255" s="3">
        <f>VLOOKUP($A255,'SegEnds_NonXtal_BW#'!$A:$Z,12,FALSE)+VLOOKUP($A255,A:AL,16,FALSE)-50</f>
        <v>126</v>
      </c>
      <c r="R255" s="3">
        <f>IF(ISERROR(VLOOKUP($A255,'SegEnds_NonXtal_BW#'!$A:$Z,13,FALSE)+VLOOKUP($A255,A:AL,19,FALSE)-50),"-",VLOOKUP($A255,'SegEnds_NonXtal_BW#'!$A:$Z,13,FALSE)+VLOOKUP($A255,A:AL,19,FALSE)-50)</f>
        <v>127</v>
      </c>
      <c r="S255" s="3">
        <v>127</v>
      </c>
      <c r="T255" s="100">
        <f>IF(ISERROR(VLOOKUP($A255,'SegEnds_NonXtal_BW#'!$A:$Z,14,FALSE)+VLOOKUP($A255,A:AL,19,FALSE)-50),"-",(VLOOKUP($A255,'SegEnds_NonXtal_BW#'!$A:$Z,14,FALSE)+VLOOKUP($A255,A:AL,19,FALSE)-50))</f>
        <v>135</v>
      </c>
      <c r="U255" s="9">
        <f>IF(ISERROR(VLOOKUP($A255,'SegEnds_NonXtal_BW#'!$A:$Z,15,FALSE)+VLOOKUP($A255,A:AL,22,FALSE)-50),"-",VLOOKUP($A255,'SegEnds_NonXtal_BW#'!$A:$Z,15,FALSE)+VLOOKUP($A255,A:AL,22,FALSE)-50)</f>
        <v>136</v>
      </c>
      <c r="V255" s="3">
        <v>148</v>
      </c>
      <c r="W255" s="3">
        <f>IF(ISERROR(VLOOKUP($A255,'SegEnds_NonXtal_BW#'!$A:$Z,16,FALSE)+VLOOKUP($A255,A:AL,22,FALSE)-50),"-",(VLOOKUP($A255,'SegEnds_NonXtal_BW#'!$A:$Z,16,FALSE)+VLOOKUP($A255,A:AL,22,FALSE)-50))</f>
        <v>162</v>
      </c>
      <c r="X255" s="3">
        <f>IF(ISERROR(VLOOKUP($A255,'SegEnds_NonXtal_BW#'!$A:$Z,17,FALSE)+VLOOKUP($A255,A:AL,25,FALSE)-50),"-",(VLOOKUP($A255,'SegEnds_NonXtal_BW#'!$A:$Z,17,FALSE)+VLOOKUP($A255,A:AL,25,FALSE)-50))</f>
        <v>171</v>
      </c>
      <c r="Y255" s="3">
        <v>171</v>
      </c>
      <c r="Z255" s="3">
        <f t="shared" si="144"/>
        <v>173</v>
      </c>
      <c r="AA255" s="3">
        <f>IF(ISERROR(VLOOKUP($A255,'SegEnds_NonXtal_BW#'!$A:$Z,19,FALSE)+VLOOKUP($A255,A:AL,28,FALSE)-50),"-",(VLOOKUP($A255,'SegEnds_NonXtal_BW#'!$A:$Z,19,FALSE)+VLOOKUP($A255,A:AL,28,FALSE)-50))</f>
        <v>174</v>
      </c>
      <c r="AB255" s="3">
        <v>189</v>
      </c>
      <c r="AC255" s="3">
        <f>IF(ISERROR((VLOOKUP($A255,'SegEnds_NonXtal_BW#'!$A:$Z,20,FALSE)+VLOOKUP($A255,A:AL,28,FALSE)-50)),"-",(VLOOKUP($A255,'SegEnds_NonXtal_BW#'!$A:$Z,20,FALSE)+VLOOKUP($A255,A:AL,28,FALSE)-50))</f>
        <v>215</v>
      </c>
      <c r="AD255" s="3">
        <f>IF(ISERROR(VLOOKUP($A255,'SegEnds_NonXtal_BW#'!$A:$Z,21,FALSE)+VLOOKUP($A255,A:AL,31,FALSE)-50),"-",(VLOOKUP($A255,'SegEnds_NonXtal_BW#'!$A:$Z,21,FALSE)+VLOOKUP($A255,A:AL,31,FALSE)-50))</f>
        <v>273</v>
      </c>
      <c r="AE255" s="3">
        <v>299</v>
      </c>
      <c r="AF255" s="3">
        <f>IF(ISERROR((VLOOKUP($A255,'SegEnds_NonXtal_BW#'!$A:$Z,22,FALSE)+VLOOKUP($A255,A:AL,31,FALSE)-50)),"-",(VLOOKUP($A255,'SegEnds_NonXtal_BW#'!$A:$Z,22,FALSE)+VLOOKUP($A255,A:AL,31,FALSE)-50))</f>
        <v>310</v>
      </c>
      <c r="AG255" s="3">
        <f>IF(ISERROR(VLOOKUP($A255,'SegEnds_NonXtal_BW#'!$A:$Z,23,FALSE)+VLOOKUP($A255,A:AL,34,FALSE)-50),"-",(VLOOKUP($A255,'SegEnds_NonXtal_BW#'!$A:$Z,23,FALSE)+VLOOKUP($A255,A:AL,34,FALSE)-50))</f>
        <v>316</v>
      </c>
      <c r="AH255" s="3">
        <v>335</v>
      </c>
      <c r="AI255" s="3">
        <f>IF(ISERROR((VLOOKUP($A255,'SegEnds_NonXtal_BW#'!$A:$Z,24,FALSE)+VLOOKUP($A255,A:AL,34,FALSE)-50)),"-",(VLOOKUP($A255,'SegEnds_NonXtal_BW#'!$A:$Z,24,FALSE)+VLOOKUP($A255,A:AL,34,FALSE)-50))</f>
        <v>341</v>
      </c>
      <c r="AJ255" s="3">
        <f>IF(ISERROR(VLOOKUP($A255,'SegEnds_NonXtal_BW#'!$A:$Z,25,FALSE)+VLOOKUP($A255,A:AL,37,FALSE)-50),"-",(VLOOKUP($A255,'SegEnds_NonXtal_BW#'!$A:$Z,25,FALSE)+VLOOKUP($A255,A:AL,37,FALSE)-50))</f>
        <v>342</v>
      </c>
      <c r="AK255" s="3">
        <v>345</v>
      </c>
      <c r="AL255" s="3">
        <f>IF(ISERROR((VLOOKUP($A255,'SegEnds_NonXtal_BW#'!$A:$Z,26,FALSE)+VLOOKUP($A255,A:AL,37,FALSE)-50)),"-",(VLOOKUP($A255,'SegEnds_NonXtal_BW#'!$A:$Z,26,FALSE)+VLOOKUP($A255,A:AL,37,FALSE)-50))</f>
        <v>358</v>
      </c>
      <c r="AM255" s="28" t="str">
        <f>VLOOKUP(A255,Classification!A:B,2,FALSE)</f>
        <v>A</v>
      </c>
      <c r="AN255" s="28" t="b">
        <f t="shared" si="133"/>
        <v>1</v>
      </c>
      <c r="AO255" s="3" t="str">
        <f>IF(ISERROR(MATCH(A255,'SegEnds_Xtal_Prot#'!B:B, 0)), "NoXtal", "Xtal")</f>
        <v>NoXtal</v>
      </c>
      <c r="AP255" s="3">
        <f t="shared" si="118"/>
        <v>1</v>
      </c>
      <c r="AQ255" s="3">
        <f t="shared" si="119"/>
        <v>1</v>
      </c>
      <c r="AR255" s="3" t="str">
        <f t="shared" si="120"/>
        <v>-</v>
      </c>
      <c r="AS255" s="3" t="str">
        <f t="shared" si="121"/>
        <v>-</v>
      </c>
      <c r="AT255" s="3">
        <f t="shared" si="122"/>
        <v>1</v>
      </c>
      <c r="AU255" s="3">
        <f t="shared" si="123"/>
        <v>1</v>
      </c>
      <c r="AV255" s="3">
        <f t="shared" si="124"/>
        <v>9</v>
      </c>
      <c r="AW255" s="3">
        <f t="shared" si="125"/>
        <v>1</v>
      </c>
      <c r="AX255" s="3">
        <f t="shared" si="126"/>
        <v>58</v>
      </c>
      <c r="AY255" s="3">
        <f t="shared" si="127"/>
        <v>6</v>
      </c>
      <c r="AZ255" s="3">
        <f t="shared" si="128"/>
        <v>1</v>
      </c>
      <c r="BA255" s="3">
        <f>IF(ISERROR(LEN(VLOOKUP(A255,Seqs!A:E,2,FALSE))-AL255),"-",LEN(VLOOKUP(A255,Seqs!A:E,2,FALSE))-AL255)</f>
        <v>17</v>
      </c>
      <c r="BB255" s="16">
        <f t="shared" si="129"/>
        <v>28</v>
      </c>
      <c r="BC255" s="9">
        <f t="shared" si="130"/>
        <v>21</v>
      </c>
      <c r="BD255" s="3">
        <f t="shared" si="131"/>
        <v>28</v>
      </c>
      <c r="BE255" s="3">
        <f t="shared" si="132"/>
        <v>110</v>
      </c>
      <c r="BF255" s="3">
        <f t="shared" si="169"/>
        <v>36</v>
      </c>
    </row>
    <row r="256" spans="1:58" s="3" customFormat="1" x14ac:dyDescent="0.2">
      <c r="A256" s="3" t="s">
        <v>279</v>
      </c>
      <c r="B256" s="3" t="str">
        <f>LOWER(VLOOKUP(A256,Xtal_Templ!A:B,2,FALSE))</f>
        <v>hrh1_human</v>
      </c>
      <c r="C256" s="3">
        <f>VLOOKUP($A256,'SegEnds_NonXtal_BW#'!$A:$Z,3,FALSE)+D256-50</f>
        <v>36</v>
      </c>
      <c r="D256" s="3">
        <v>52</v>
      </c>
      <c r="E256" s="3">
        <f>IF(ISERROR(VLOOKUP($A256,'SegEnds_NonXtal_BW#'!$A:$Z,4,FALSE)+VLOOKUP($A256,A:AL,4,FALSE)-50),"-",(VLOOKUP($A256,'SegEnds_NonXtal_BW#'!$A:$Z,4,FALSE)+VLOOKUP($A256,A:AL,4,FALSE)-50))</f>
        <v>62</v>
      </c>
      <c r="F256" s="3">
        <f t="shared" si="167"/>
        <v>63</v>
      </c>
      <c r="G256" s="3">
        <v>65</v>
      </c>
      <c r="H256" s="3">
        <f t="shared" si="168"/>
        <v>66</v>
      </c>
      <c r="I256" s="3">
        <f t="shared" si="168"/>
        <v>67</v>
      </c>
      <c r="J256" s="3">
        <v>80</v>
      </c>
      <c r="K256" s="3">
        <f>VLOOKUP($A256,'SegEnds_NonXtal_BW#'!$A:$Z,8,FALSE)+VLOOKUP($A256,A:AL,10,FALSE)-50</f>
        <v>97</v>
      </c>
      <c r="L256" s="3">
        <f t="shared" ref="L256:L263" si="170">M256-1</f>
        <v>99</v>
      </c>
      <c r="M256" s="3">
        <v>100</v>
      </c>
      <c r="N256" s="3">
        <f t="shared" ref="N256:N263" si="171">M256+2</f>
        <v>102</v>
      </c>
      <c r="O256" s="3">
        <f t="shared" ref="O256:O263" si="172">N256+1</f>
        <v>103</v>
      </c>
      <c r="P256" s="3">
        <v>132</v>
      </c>
      <c r="Q256" s="3">
        <f>VLOOKUP($A256,'SegEnds_NonXtal_BW#'!$A:$Z,12,FALSE)+VLOOKUP($A256,A:AL,16,FALSE)-50</f>
        <v>138</v>
      </c>
      <c r="R256" s="3">
        <f>IF(ISERROR(VLOOKUP($A256,'SegEnds_NonXtal_BW#'!$A:$Z,13,FALSE)+VLOOKUP($A256,A:AL,19,FALSE)-50),"-",VLOOKUP($A256,'SegEnds_NonXtal_BW#'!$A:$Z,13,FALSE)+VLOOKUP($A256,A:AL,19,FALSE)-50)</f>
        <v>139</v>
      </c>
      <c r="S256" s="3">
        <v>139</v>
      </c>
      <c r="T256" s="100">
        <f>IF(ISERROR(VLOOKUP($A256,'SegEnds_NonXtal_BW#'!$A:$Z,14,FALSE)+VLOOKUP($A256,A:AL,19,FALSE)-50),"-",(VLOOKUP($A256,'SegEnds_NonXtal_BW#'!$A:$Z,14,FALSE)+VLOOKUP($A256,A:AL,19,FALSE)-50))</f>
        <v>147</v>
      </c>
      <c r="U256" s="9">
        <f>IF(ISERROR(VLOOKUP($A256,'SegEnds_NonXtal_BW#'!$A:$Z,15,FALSE)+VLOOKUP($A256,A:AL,22,FALSE)-50),"-",VLOOKUP($A256,'SegEnds_NonXtal_BW#'!$A:$Z,15,FALSE)+VLOOKUP($A256,A:AL,22,FALSE)-50)</f>
        <v>148</v>
      </c>
      <c r="V256" s="3">
        <v>160</v>
      </c>
      <c r="W256" s="3">
        <f>IF(ISERROR(VLOOKUP($A256,'SegEnds_NonXtal_BW#'!$A:$Z,16,FALSE)+VLOOKUP($A256,A:AL,22,FALSE)-50),"-",(VLOOKUP($A256,'SegEnds_NonXtal_BW#'!$A:$Z,16,FALSE)+VLOOKUP($A256,A:AL,22,FALSE)-50))</f>
        <v>173</v>
      </c>
      <c r="X256" s="3">
        <f>IF(ISERROR(VLOOKUP($A256,'SegEnds_NonXtal_BW#'!$A:$Z,17,FALSE)+VLOOKUP($A256,A:AL,25,FALSE)-50),"-",(VLOOKUP($A256,'SegEnds_NonXtal_BW#'!$A:$Z,17,FALSE)+VLOOKUP($A256,A:AL,25,FALSE)-50))</f>
        <v>188</v>
      </c>
      <c r="Y256" s="3">
        <v>188</v>
      </c>
      <c r="Z256" s="3">
        <f t="shared" si="144"/>
        <v>190</v>
      </c>
      <c r="AA256" s="3">
        <f>IF(ISERROR(VLOOKUP($A256,'SegEnds_NonXtal_BW#'!$A:$Z,19,FALSE)+VLOOKUP($A256,A:AL,28,FALSE)-50),"-",(VLOOKUP($A256,'SegEnds_NonXtal_BW#'!$A:$Z,19,FALSE)+VLOOKUP($A256,A:AL,28,FALSE)-50))</f>
        <v>195</v>
      </c>
      <c r="AB256" s="3">
        <v>210</v>
      </c>
      <c r="AC256" s="3">
        <f>IF(ISERROR((VLOOKUP($A256,'SegEnds_NonXtal_BW#'!$A:$Z,20,FALSE)+VLOOKUP($A256,A:AL,28,FALSE)-50)),"-",(VLOOKUP($A256,'SegEnds_NonXtal_BW#'!$A:$Z,20,FALSE)+VLOOKUP($A256,A:AL,28,FALSE)-50))</f>
        <v>235</v>
      </c>
      <c r="AD256" s="3">
        <f>IF(ISERROR(VLOOKUP($A256,'SegEnds_NonXtal_BW#'!$A:$Z,21,FALSE)+VLOOKUP($A256,A:AL,31,FALSE)-50),"-",(VLOOKUP($A256,'SegEnds_NonXtal_BW#'!$A:$Z,21,FALSE)+VLOOKUP($A256,A:AL,31,FALSE)-50))</f>
        <v>347</v>
      </c>
      <c r="AE256" s="3">
        <v>373</v>
      </c>
      <c r="AF256" s="3">
        <f>IF(ISERROR((VLOOKUP($A256,'SegEnds_NonXtal_BW#'!$A:$Z,22,FALSE)+VLOOKUP($A256,A:AL,31,FALSE)-50)),"-",(VLOOKUP($A256,'SegEnds_NonXtal_BW#'!$A:$Z,22,FALSE)+VLOOKUP($A256,A:AL,31,FALSE)-50))</f>
        <v>384</v>
      </c>
      <c r="AG256" s="3">
        <f>IF(ISERROR(VLOOKUP($A256,'SegEnds_NonXtal_BW#'!$A:$Z,23,FALSE)+VLOOKUP($A256,A:AL,34,FALSE)-50),"-",(VLOOKUP($A256,'SegEnds_NonXtal_BW#'!$A:$Z,23,FALSE)+VLOOKUP($A256,A:AL,34,FALSE)-50))</f>
        <v>390</v>
      </c>
      <c r="AH256" s="3">
        <v>409</v>
      </c>
      <c r="AI256" s="3">
        <f>IF(ISERROR((VLOOKUP($A256,'SegEnds_NonXtal_BW#'!$A:$Z,24,FALSE)+VLOOKUP($A256,A:AL,34,FALSE)-50)),"-",(VLOOKUP($A256,'SegEnds_NonXtal_BW#'!$A:$Z,24,FALSE)+VLOOKUP($A256,A:AL,34,FALSE)-50))</f>
        <v>415</v>
      </c>
      <c r="AJ256" s="3">
        <f>IF(ISERROR(VLOOKUP($A256,'SegEnds_NonXtal_BW#'!$A:$Z,25,FALSE)+VLOOKUP($A256,A:AL,37,FALSE)-50),"-",(VLOOKUP($A256,'SegEnds_NonXtal_BW#'!$A:$Z,25,FALSE)+VLOOKUP($A256,A:AL,37,FALSE)-50))</f>
        <v>416</v>
      </c>
      <c r="AK256" s="3">
        <v>419</v>
      </c>
      <c r="AL256" s="3">
        <f>IF(ISERROR((VLOOKUP($A256,'SegEnds_NonXtal_BW#'!$A:$Z,26,FALSE)+VLOOKUP($A256,A:AL,37,FALSE)-50)),"-",(VLOOKUP($A256,'SegEnds_NonXtal_BW#'!$A:$Z,26,FALSE)+VLOOKUP($A256,A:AL,37,FALSE)-50))</f>
        <v>428</v>
      </c>
      <c r="AM256" s="28" t="str">
        <f>VLOOKUP(A256,Classification!A:B,2,FALSE)</f>
        <v>A</v>
      </c>
      <c r="AN256" s="28" t="b">
        <f t="shared" si="133"/>
        <v>1</v>
      </c>
      <c r="AO256" s="3" t="str">
        <f>IF(ISERROR(MATCH(A256,'SegEnds_Xtal_Prot#'!B:B, 0)), "NoXtal", "Xtal")</f>
        <v>NoXtal</v>
      </c>
      <c r="AP256" s="3">
        <f t="shared" si="118"/>
        <v>1</v>
      </c>
      <c r="AQ256" s="3">
        <f t="shared" si="119"/>
        <v>1</v>
      </c>
      <c r="AR256" s="3">
        <f t="shared" si="120"/>
        <v>2</v>
      </c>
      <c r="AS256" s="3">
        <f t="shared" si="121"/>
        <v>1</v>
      </c>
      <c r="AT256" s="3">
        <f t="shared" si="122"/>
        <v>1</v>
      </c>
      <c r="AU256" s="3">
        <f t="shared" si="123"/>
        <v>1</v>
      </c>
      <c r="AV256" s="3">
        <f t="shared" si="124"/>
        <v>15</v>
      </c>
      <c r="AW256" s="3">
        <f t="shared" si="125"/>
        <v>5</v>
      </c>
      <c r="AX256" s="3">
        <f t="shared" si="126"/>
        <v>112</v>
      </c>
      <c r="AY256" s="3">
        <f t="shared" si="127"/>
        <v>6</v>
      </c>
      <c r="AZ256" s="3">
        <f t="shared" si="128"/>
        <v>1</v>
      </c>
      <c r="BA256" s="3">
        <f>IF(ISERROR(LEN(VLOOKUP(A256,Seqs!A:E,2,FALSE))-AL256),"-",LEN(VLOOKUP(A256,Seqs!A:E,2,FALSE))-AL256)</f>
        <v>17</v>
      </c>
      <c r="BB256" s="16">
        <f t="shared" si="129"/>
        <v>28</v>
      </c>
      <c r="BC256" s="9">
        <f t="shared" si="130"/>
        <v>21</v>
      </c>
      <c r="BD256" s="3">
        <f t="shared" si="131"/>
        <v>28</v>
      </c>
      <c r="BE256" s="3">
        <f t="shared" si="132"/>
        <v>163</v>
      </c>
      <c r="BF256" s="3">
        <f t="shared" si="169"/>
        <v>36</v>
      </c>
    </row>
    <row r="257" spans="1:58" s="3" customFormat="1" x14ac:dyDescent="0.2">
      <c r="A257" s="3" t="s">
        <v>280</v>
      </c>
      <c r="B257" s="3" t="str">
        <f>LOWER(VLOOKUP(A257,Xtal_Templ!A:B,2,FALSE))</f>
        <v>acm3_rat</v>
      </c>
      <c r="C257" s="3">
        <f>VLOOKUP($A257,'SegEnds_NonXtal_BW#'!$A:$Z,3,FALSE)+D257-50</f>
        <v>11</v>
      </c>
      <c r="D257" s="3">
        <v>33</v>
      </c>
      <c r="E257" s="3">
        <f>IF(ISERROR(VLOOKUP($A257,'SegEnds_NonXtal_BW#'!$A:$Z,4,FALSE)+VLOOKUP($A257,A:AL,4,FALSE)-50),"-",(VLOOKUP($A257,'SegEnds_NonXtal_BW#'!$A:$Z,4,FALSE)+VLOOKUP($A257,A:AL,4,FALSE)-50))</f>
        <v>43</v>
      </c>
      <c r="F257" s="3">
        <f t="shared" si="167"/>
        <v>44</v>
      </c>
      <c r="G257" s="3">
        <v>46</v>
      </c>
      <c r="H257" s="3">
        <f t="shared" si="168"/>
        <v>47</v>
      </c>
      <c r="I257" s="3">
        <f t="shared" si="168"/>
        <v>48</v>
      </c>
      <c r="J257" s="3">
        <v>61</v>
      </c>
      <c r="K257" s="3">
        <f>VLOOKUP($A257,'SegEnds_NonXtal_BW#'!$A:$Z,8,FALSE)+VLOOKUP($A257,A:AL,10,FALSE)-50</f>
        <v>77</v>
      </c>
      <c r="L257" s="3">
        <f t="shared" si="170"/>
        <v>79</v>
      </c>
      <c r="M257" s="3">
        <v>80</v>
      </c>
      <c r="N257" s="3">
        <f t="shared" si="171"/>
        <v>82</v>
      </c>
      <c r="O257" s="3">
        <f t="shared" si="172"/>
        <v>83</v>
      </c>
      <c r="P257" s="3">
        <v>112</v>
      </c>
      <c r="Q257" s="3">
        <f>VLOOKUP($A257,'SegEnds_NonXtal_BW#'!$A:$Z,12,FALSE)+VLOOKUP($A257,A:AL,16,FALSE)-50</f>
        <v>118</v>
      </c>
      <c r="R257" s="3">
        <f>IF(ISERROR(VLOOKUP($A257,'SegEnds_NonXtal_BW#'!$A:$Z,13,FALSE)+VLOOKUP($A257,A:AL,19,FALSE)-50),"-",VLOOKUP($A257,'SegEnds_NonXtal_BW#'!$A:$Z,13,FALSE)+VLOOKUP($A257,A:AL,19,FALSE)-50)</f>
        <v>119</v>
      </c>
      <c r="S257" s="3">
        <v>119</v>
      </c>
      <c r="T257" s="100">
        <f>IF(ISERROR(VLOOKUP($A257,'SegEnds_NonXtal_BW#'!$A:$Z,14,FALSE)+VLOOKUP($A257,A:AL,19,FALSE)-50),"-",(VLOOKUP($A257,'SegEnds_NonXtal_BW#'!$A:$Z,14,FALSE)+VLOOKUP($A257,A:AL,19,FALSE)-50))</f>
        <v>127</v>
      </c>
      <c r="U257" s="9">
        <f>IF(ISERROR(VLOOKUP($A257,'SegEnds_NonXtal_BW#'!$A:$Z,15,FALSE)+VLOOKUP($A257,A:AL,22,FALSE)-50),"-",VLOOKUP($A257,'SegEnds_NonXtal_BW#'!$A:$Z,15,FALSE)+VLOOKUP($A257,A:AL,22,FALSE)-50)</f>
        <v>128</v>
      </c>
      <c r="V257" s="3">
        <v>140</v>
      </c>
      <c r="W257" s="3">
        <f>IF(ISERROR(VLOOKUP($A257,'SegEnds_NonXtal_BW#'!$A:$Z,16,FALSE)+VLOOKUP($A257,A:AL,22,FALSE)-50),"-",(VLOOKUP($A257,'SegEnds_NonXtal_BW#'!$A:$Z,16,FALSE)+VLOOKUP($A257,A:AL,22,FALSE)-50))</f>
        <v>153</v>
      </c>
      <c r="X257" s="3">
        <f>IF(ISERROR(VLOOKUP($A257,'SegEnds_NonXtal_BW#'!$A:$Z,17,FALSE)+VLOOKUP($A257,A:AL,25,FALSE)-50),"-",(VLOOKUP($A257,'SegEnds_NonXtal_BW#'!$A:$Z,17,FALSE)+VLOOKUP($A257,A:AL,25,FALSE)-50))</f>
        <v>164</v>
      </c>
      <c r="Y257" s="3">
        <v>164</v>
      </c>
      <c r="Z257" s="3">
        <f t="shared" si="144"/>
        <v>166</v>
      </c>
      <c r="AA257" s="3">
        <f>IF(ISERROR(VLOOKUP($A257,'SegEnds_NonXtal_BW#'!$A:$Z,19,FALSE)+VLOOKUP($A257,A:AL,28,FALSE)-50),"-",(VLOOKUP($A257,'SegEnds_NonXtal_BW#'!$A:$Z,19,FALSE)+VLOOKUP($A257,A:AL,28,FALSE)-50))</f>
        <v>171</v>
      </c>
      <c r="AB257" s="3">
        <v>186</v>
      </c>
      <c r="AC257" s="3">
        <f>IF(ISERROR((VLOOKUP($A257,'SegEnds_NonXtal_BW#'!$A:$Z,20,FALSE)+VLOOKUP($A257,A:AL,28,FALSE)-50)),"-",(VLOOKUP($A257,'SegEnds_NonXtal_BW#'!$A:$Z,20,FALSE)+VLOOKUP($A257,A:AL,28,FALSE)-50))</f>
        <v>212</v>
      </c>
      <c r="AD257" s="3">
        <f>IF(ISERROR(VLOOKUP($A257,'SegEnds_NonXtal_BW#'!$A:$Z,21,FALSE)+VLOOKUP($A257,A:AL,31,FALSE)-50),"-",(VLOOKUP($A257,'SegEnds_NonXtal_BW#'!$A:$Z,21,FALSE)+VLOOKUP($A257,A:AL,31,FALSE)-50))</f>
        <v>292</v>
      </c>
      <c r="AE257" s="3">
        <v>318</v>
      </c>
      <c r="AF257" s="3">
        <f>IF(ISERROR((VLOOKUP($A257,'SegEnds_NonXtal_BW#'!$A:$Z,22,FALSE)+VLOOKUP($A257,A:AL,31,FALSE)-50)),"-",(VLOOKUP($A257,'SegEnds_NonXtal_BW#'!$A:$Z,22,FALSE)+VLOOKUP($A257,A:AL,31,FALSE)-50))</f>
        <v>329</v>
      </c>
      <c r="AG257" s="3">
        <f>IF(ISERROR(VLOOKUP($A257,'SegEnds_NonXtal_BW#'!$A:$Z,23,FALSE)+VLOOKUP($A257,A:AL,34,FALSE)-50),"-",(VLOOKUP($A257,'SegEnds_NonXtal_BW#'!$A:$Z,23,FALSE)+VLOOKUP($A257,A:AL,34,FALSE)-50))</f>
        <v>336</v>
      </c>
      <c r="AH257" s="3">
        <v>355</v>
      </c>
      <c r="AI257" s="3">
        <f>IF(ISERROR((VLOOKUP($A257,'SegEnds_NonXtal_BW#'!$A:$Z,24,FALSE)+VLOOKUP($A257,A:AL,34,FALSE)-50)),"-",(VLOOKUP($A257,'SegEnds_NonXtal_BW#'!$A:$Z,24,FALSE)+VLOOKUP($A257,A:AL,34,FALSE)-50))</f>
        <v>361</v>
      </c>
      <c r="AJ257" s="3">
        <f>IF(ISERROR(VLOOKUP($A257,'SegEnds_NonXtal_BW#'!$A:$Z,25,FALSE)+VLOOKUP($A257,A:AL,37,FALSE)-50),"-",(VLOOKUP($A257,'SegEnds_NonXtal_BW#'!$A:$Z,25,FALSE)+VLOOKUP($A257,A:AL,37,FALSE)-50))</f>
        <v>362</v>
      </c>
      <c r="AK257" s="3">
        <v>365</v>
      </c>
      <c r="AL257" s="3">
        <f>IF(ISERROR((VLOOKUP($A257,'SegEnds_NonXtal_BW#'!$A:$Z,26,FALSE)+VLOOKUP($A257,A:AL,37,FALSE)-50)),"-",(VLOOKUP($A257,'SegEnds_NonXtal_BW#'!$A:$Z,26,FALSE)+VLOOKUP($A257,A:AL,37,FALSE)-50))</f>
        <v>375</v>
      </c>
      <c r="AM257" s="28" t="str">
        <f>VLOOKUP(A257,Classification!A:B,2,FALSE)</f>
        <v>A</v>
      </c>
      <c r="AN257" s="28" t="b">
        <f t="shared" si="133"/>
        <v>1</v>
      </c>
      <c r="AO257" s="3" t="str">
        <f>IF(ISERROR(MATCH(A257,'SegEnds_Xtal_Prot#'!B:B, 0)), "NoXtal", "Xtal")</f>
        <v>NoXtal</v>
      </c>
      <c r="AP257" s="3">
        <f t="shared" si="118"/>
        <v>1</v>
      </c>
      <c r="AQ257" s="3">
        <f t="shared" si="119"/>
        <v>1</v>
      </c>
      <c r="AR257" s="3">
        <f t="shared" si="120"/>
        <v>2</v>
      </c>
      <c r="AS257" s="3">
        <f t="shared" si="121"/>
        <v>1</v>
      </c>
      <c r="AT257" s="3">
        <f t="shared" si="122"/>
        <v>1</v>
      </c>
      <c r="AU257" s="3">
        <f t="shared" si="123"/>
        <v>1</v>
      </c>
      <c r="AV257" s="3">
        <f t="shared" si="124"/>
        <v>11</v>
      </c>
      <c r="AW257" s="3">
        <f t="shared" si="125"/>
        <v>5</v>
      </c>
      <c r="AX257" s="3">
        <f t="shared" si="126"/>
        <v>80</v>
      </c>
      <c r="AY257" s="3">
        <f t="shared" si="127"/>
        <v>7</v>
      </c>
      <c r="AZ257" s="3">
        <f t="shared" si="128"/>
        <v>1</v>
      </c>
      <c r="BA257" s="3">
        <f>IF(ISERROR(LEN(VLOOKUP(A257,Seqs!A:E,2,FALSE))-AL257),"-",LEN(VLOOKUP(A257,Seqs!A:E,2,FALSE))-AL257)</f>
        <v>15</v>
      </c>
      <c r="BB257" s="16">
        <f t="shared" si="129"/>
        <v>28</v>
      </c>
      <c r="BC257" s="9">
        <f t="shared" si="130"/>
        <v>21</v>
      </c>
      <c r="BD257" s="3">
        <f t="shared" si="131"/>
        <v>28</v>
      </c>
      <c r="BE257" s="3">
        <f t="shared" si="132"/>
        <v>132</v>
      </c>
      <c r="BF257" s="3">
        <f t="shared" si="169"/>
        <v>37</v>
      </c>
    </row>
    <row r="258" spans="1:58" s="3" customFormat="1" x14ac:dyDescent="0.2">
      <c r="A258" s="3" t="s">
        <v>347</v>
      </c>
      <c r="B258" s="3" t="str">
        <f>LOWER(VLOOKUP(A258,Xtal_Templ!A:B,2,FALSE))</f>
        <v>p2ry1_human</v>
      </c>
      <c r="C258" s="3">
        <f>VLOOKUP($A258,'SegEnds_NonXtal_BW#'!$A:$Z,3,FALSE)+D258-50</f>
        <v>24</v>
      </c>
      <c r="D258" s="3">
        <v>44</v>
      </c>
      <c r="E258" s="3">
        <f>IF(ISERROR(VLOOKUP($A258,'SegEnds_NonXtal_BW#'!$A:$Z,4,FALSE)+VLOOKUP($A258,A:AL,4,FALSE)-50),"-",(VLOOKUP($A258,'SegEnds_NonXtal_BW#'!$A:$Z,4,FALSE)+VLOOKUP($A258,A:AL,4,FALSE)-50))</f>
        <v>54</v>
      </c>
      <c r="F258" s="3">
        <f t="shared" si="167"/>
        <v>55</v>
      </c>
      <c r="G258" s="3">
        <v>57</v>
      </c>
      <c r="H258" s="3">
        <f t="shared" si="168"/>
        <v>58</v>
      </c>
      <c r="I258" s="3">
        <f t="shared" si="168"/>
        <v>59</v>
      </c>
      <c r="J258" s="3">
        <v>72</v>
      </c>
      <c r="K258" s="3">
        <f>VLOOKUP($A258,'SegEnds_NonXtal_BW#'!$A:$Z,8,FALSE)+VLOOKUP($A258,A:AL,10,FALSE)-50</f>
        <v>88</v>
      </c>
      <c r="L258" s="3">
        <f t="shared" si="170"/>
        <v>91</v>
      </c>
      <c r="M258" s="3">
        <v>92</v>
      </c>
      <c r="N258" s="3">
        <f t="shared" si="171"/>
        <v>94</v>
      </c>
      <c r="O258" s="3">
        <f t="shared" si="172"/>
        <v>95</v>
      </c>
      <c r="P258" s="3">
        <v>124</v>
      </c>
      <c r="Q258" s="3">
        <f>VLOOKUP($A258,'SegEnds_NonXtal_BW#'!$A:$Z,12,FALSE)+VLOOKUP($A258,A:AL,16,FALSE)-50</f>
        <v>130</v>
      </c>
      <c r="R258" s="3">
        <f>IF(ISERROR(VLOOKUP($A258,'SegEnds_NonXtal_BW#'!$A:$Z,13,FALSE)+VLOOKUP($A258,A:AL,19,FALSE)-50),"-",VLOOKUP($A258,'SegEnds_NonXtal_BW#'!$A:$Z,13,FALSE)+VLOOKUP($A258,A:AL,19,FALSE)-50)</f>
        <v>131</v>
      </c>
      <c r="S258" s="3">
        <v>131</v>
      </c>
      <c r="T258" s="100">
        <f>IF(ISERROR(VLOOKUP($A258,'SegEnds_NonXtal_BW#'!$A:$Z,14,FALSE)+VLOOKUP($A258,A:AL,19,FALSE)-50),"-",(VLOOKUP($A258,'SegEnds_NonXtal_BW#'!$A:$Z,14,FALSE)+VLOOKUP($A258,A:AL,19,FALSE)-50))</f>
        <v>139</v>
      </c>
      <c r="U258" s="9">
        <f>IF(ISERROR(VLOOKUP($A258,'SegEnds_NonXtal_BW#'!$A:$Z,15,FALSE)+VLOOKUP($A258,A:AL,22,FALSE)-50),"-",VLOOKUP($A258,'SegEnds_NonXtal_BW#'!$A:$Z,15,FALSE)+VLOOKUP($A258,A:AL,22,FALSE)-50)</f>
        <v>140</v>
      </c>
      <c r="V258" s="3">
        <v>152</v>
      </c>
      <c r="W258" s="3">
        <f>IF(ISERROR(VLOOKUP($A258,'SegEnds_NonXtal_BW#'!$A:$Z,16,FALSE)+VLOOKUP($A258,A:AL,22,FALSE)-50),"-",(VLOOKUP($A258,'SegEnds_NonXtal_BW#'!$A:$Z,16,FALSE)+VLOOKUP($A258,A:AL,22,FALSE)-50))</f>
        <v>166</v>
      </c>
      <c r="X258" s="3">
        <f>IF(ISERROR(VLOOKUP($A258,'SegEnds_NonXtal_BW#'!$A:$Z,17,FALSE)+VLOOKUP($A258,A:AL,25,FALSE)-50),"-",(VLOOKUP($A258,'SegEnds_NonXtal_BW#'!$A:$Z,17,FALSE)+VLOOKUP($A258,A:AL,25,FALSE)-50))</f>
        <v>177</v>
      </c>
      <c r="Y258" s="3">
        <v>177</v>
      </c>
      <c r="Z258" s="3">
        <f t="shared" si="144"/>
        <v>179</v>
      </c>
      <c r="AA258" s="3">
        <f>IF(ISERROR(VLOOKUP($A258,'SegEnds_NonXtal_BW#'!$A:$Z,19,FALSE)+VLOOKUP($A258,A:AL,28,FALSE)-50),"-",(VLOOKUP($A258,'SegEnds_NonXtal_BW#'!$A:$Z,19,FALSE)+VLOOKUP($A258,A:AL,28,FALSE)-50))</f>
        <v>186</v>
      </c>
      <c r="AB258" s="3">
        <v>204</v>
      </c>
      <c r="AC258" s="3">
        <f>IF(ISERROR((VLOOKUP($A258,'SegEnds_NonXtal_BW#'!$A:$Z,20,FALSE)+VLOOKUP($A258,A:AL,28,FALSE)-50)),"-",(VLOOKUP($A258,'SegEnds_NonXtal_BW#'!$A:$Z,20,FALSE)+VLOOKUP($A258,A:AL,28,FALSE)-50))</f>
        <v>226</v>
      </c>
      <c r="AD258" s="3">
        <f>IF(ISERROR(VLOOKUP($A258,'SegEnds_NonXtal_BW#'!$A:$Z,21,FALSE)+VLOOKUP($A258,A:AL,31,FALSE)-50),"-",(VLOOKUP($A258,'SegEnds_NonXtal_BW#'!$A:$Z,21,FALSE)+VLOOKUP($A258,A:AL,31,FALSE)-50))</f>
        <v>233</v>
      </c>
      <c r="AE258" s="3">
        <v>254</v>
      </c>
      <c r="AF258" s="3">
        <f>IF(ISERROR((VLOOKUP($A258,'SegEnds_NonXtal_BW#'!$A:$Z,22,FALSE)+VLOOKUP($A258,A:AL,31,FALSE)-50)),"-",(VLOOKUP($A258,'SegEnds_NonXtal_BW#'!$A:$Z,22,FALSE)+VLOOKUP($A258,A:AL,31,FALSE)-50))</f>
        <v>268</v>
      </c>
      <c r="AG258" s="3">
        <f>IF(ISERROR(VLOOKUP($A258,'SegEnds_NonXtal_BW#'!$A:$Z,23,FALSE)+VLOOKUP($A258,A:AL,34,FALSE)-50),"-",(VLOOKUP($A258,'SegEnds_NonXtal_BW#'!$A:$Z,23,FALSE)+VLOOKUP($A258,A:AL,34,FALSE)-50))</f>
        <v>272</v>
      </c>
      <c r="AH258" s="3">
        <v>298</v>
      </c>
      <c r="AI258" s="3">
        <f>IF(ISERROR((VLOOKUP($A258,'SegEnds_NonXtal_BW#'!$A:$Z,24,FALSE)+VLOOKUP($A258,A:AL,34,FALSE)-50)),"-",(VLOOKUP($A258,'SegEnds_NonXtal_BW#'!$A:$Z,24,FALSE)+VLOOKUP($A258,A:AL,34,FALSE)-50))</f>
        <v>304</v>
      </c>
      <c r="AJ258" s="3">
        <f>IF(ISERROR(VLOOKUP($A258,'SegEnds_NonXtal_BW#'!$A:$Z,25,FALSE)+VLOOKUP($A258,A:AL,37,FALSE)-50),"-",(VLOOKUP($A258,'SegEnds_NonXtal_BW#'!$A:$Z,25,FALSE)+VLOOKUP($A258,A:AL,37,FALSE)-50))</f>
        <v>305</v>
      </c>
      <c r="AK258" s="3">
        <v>308</v>
      </c>
      <c r="AL258" s="3">
        <f>IF(ISERROR((VLOOKUP($A258,'SegEnds_NonXtal_BW#'!$A:$Z,26,FALSE)+VLOOKUP($A258,A:AL,37,FALSE)-50)),"-",(VLOOKUP($A258,'SegEnds_NonXtal_BW#'!$A:$Z,26,FALSE)+VLOOKUP($A258,A:AL,37,FALSE)-50))</f>
        <v>317</v>
      </c>
      <c r="AM258" s="28" t="str">
        <f>VLOOKUP(A258,Classification!A:B,2,FALSE)</f>
        <v>A</v>
      </c>
      <c r="AN258" s="28" t="b">
        <f t="shared" si="133"/>
        <v>1</v>
      </c>
      <c r="AO258" s="3" t="str">
        <f>IF(ISERROR(MATCH(A258,'SegEnds_Xtal_Prot#'!B:B, 0)), "NoXtal", "Xtal")</f>
        <v>NoXtal</v>
      </c>
      <c r="AP258" s="3">
        <f t="shared" si="118"/>
        <v>1</v>
      </c>
      <c r="AQ258" s="3">
        <f t="shared" si="119"/>
        <v>1</v>
      </c>
      <c r="AR258" s="3">
        <f t="shared" si="120"/>
        <v>3</v>
      </c>
      <c r="AS258" s="3">
        <f t="shared" si="121"/>
        <v>1</v>
      </c>
      <c r="AT258" s="3">
        <f t="shared" si="122"/>
        <v>1</v>
      </c>
      <c r="AU258" s="3">
        <f t="shared" si="123"/>
        <v>1</v>
      </c>
      <c r="AV258" s="3">
        <f t="shared" si="124"/>
        <v>11</v>
      </c>
      <c r="AW258" s="3">
        <f t="shared" si="125"/>
        <v>7</v>
      </c>
      <c r="AX258" s="3">
        <f t="shared" si="126"/>
        <v>7</v>
      </c>
      <c r="AY258" s="3">
        <f t="shared" si="127"/>
        <v>4</v>
      </c>
      <c r="AZ258" s="3">
        <f t="shared" si="128"/>
        <v>1</v>
      </c>
      <c r="BA258" s="3">
        <f>IF(ISERROR(LEN(VLOOKUP(A258,Seqs!A:E,2,FALSE))-AL258),"-",LEN(VLOOKUP(A258,Seqs!A:E,2,FALSE))-AL258)</f>
        <v>11</v>
      </c>
      <c r="BB258" s="16">
        <f t="shared" si="129"/>
        <v>28</v>
      </c>
      <c r="BC258" s="9">
        <f t="shared" si="130"/>
        <v>21</v>
      </c>
      <c r="BD258" s="3">
        <f t="shared" si="131"/>
        <v>28</v>
      </c>
      <c r="BE258" s="3">
        <f t="shared" si="132"/>
        <v>50</v>
      </c>
      <c r="BF258" s="3">
        <f t="shared" si="169"/>
        <v>44</v>
      </c>
    </row>
    <row r="259" spans="1:58" s="3" customFormat="1" x14ac:dyDescent="0.2">
      <c r="A259" s="3" t="s">
        <v>174</v>
      </c>
      <c r="B259" s="3" t="str">
        <f>LOWER(VLOOKUP(A259,Xtal_Templ!A:B,2,FALSE))</f>
        <v>ccr7_human</v>
      </c>
      <c r="C259" s="3">
        <f>VLOOKUP($A259,'SegEnds_NonXtal_BW#'!$A:$Z,3,FALSE)+D259-50</f>
        <v>43</v>
      </c>
      <c r="D259" s="3">
        <v>64</v>
      </c>
      <c r="E259" s="3">
        <f>IF(ISERROR(VLOOKUP($A259,'SegEnds_NonXtal_BW#'!$A:$Z,4,FALSE)+VLOOKUP($A259,A:AL,4,FALSE)-50),"-",(VLOOKUP($A259,'SegEnds_NonXtal_BW#'!$A:$Z,4,FALSE)+VLOOKUP($A259,A:AL,4,FALSE)-50))</f>
        <v>74</v>
      </c>
      <c r="F259" s="3">
        <f t="shared" si="167"/>
        <v>75</v>
      </c>
      <c r="G259" s="3">
        <v>77</v>
      </c>
      <c r="H259" s="3">
        <f t="shared" si="168"/>
        <v>78</v>
      </c>
      <c r="I259" s="3">
        <f t="shared" si="168"/>
        <v>79</v>
      </c>
      <c r="J259" s="3">
        <v>92</v>
      </c>
      <c r="K259" s="3">
        <f>VLOOKUP($A259,'SegEnds_NonXtal_BW#'!$A:$Z,8,FALSE)+VLOOKUP($A259,A:AL,10,FALSE)-50</f>
        <v>108</v>
      </c>
      <c r="L259" s="3">
        <f t="shared" si="170"/>
        <v>110</v>
      </c>
      <c r="M259" s="3">
        <v>111</v>
      </c>
      <c r="N259" s="3">
        <f t="shared" si="171"/>
        <v>113</v>
      </c>
      <c r="O259" s="3">
        <f t="shared" si="172"/>
        <v>114</v>
      </c>
      <c r="P259" s="3">
        <v>143</v>
      </c>
      <c r="Q259" s="3">
        <f>VLOOKUP($A259,'SegEnds_NonXtal_BW#'!$A:$Z,12,FALSE)+VLOOKUP($A259,A:AL,16,FALSE)-50</f>
        <v>149</v>
      </c>
      <c r="R259" s="3">
        <f>IF(ISERROR(VLOOKUP($A259,'SegEnds_NonXtal_BW#'!$A:$Z,13,FALSE)+VLOOKUP($A259,A:AL,19,FALSE)-50),"-",VLOOKUP($A259,'SegEnds_NonXtal_BW#'!$A:$Z,13,FALSE)+VLOOKUP($A259,A:AL,19,FALSE)-50)</f>
        <v>150</v>
      </c>
      <c r="S259" s="3">
        <v>150</v>
      </c>
      <c r="T259" s="100">
        <f>IF(ISERROR(VLOOKUP($A259,'SegEnds_NonXtal_BW#'!$A:$Z,14,FALSE)+VLOOKUP($A259,A:AL,19,FALSE)-50),"-",(VLOOKUP($A259,'SegEnds_NonXtal_BW#'!$A:$Z,14,FALSE)+VLOOKUP($A259,A:AL,19,FALSE)-50))</f>
        <v>158</v>
      </c>
      <c r="U259" s="9">
        <f>IF(ISERROR(VLOOKUP($A259,'SegEnds_NonXtal_BW#'!$A:$Z,15,FALSE)+VLOOKUP($A259,A:AL,22,FALSE)-50),"-",VLOOKUP($A259,'SegEnds_NonXtal_BW#'!$A:$Z,15,FALSE)+VLOOKUP($A259,A:AL,22,FALSE)-50)</f>
        <v>160</v>
      </c>
      <c r="V259" s="3">
        <v>172</v>
      </c>
      <c r="W259" s="3">
        <f>IF(ISERROR(VLOOKUP($A259,'SegEnds_NonXtal_BW#'!$A:$Z,16,FALSE)+VLOOKUP($A259,A:AL,22,FALSE)-50),"-",(VLOOKUP($A259,'SegEnds_NonXtal_BW#'!$A:$Z,16,FALSE)+VLOOKUP($A259,A:AL,22,FALSE)-50))</f>
        <v>186</v>
      </c>
      <c r="X259" s="3">
        <f>IF(ISERROR(VLOOKUP($A259,'SegEnds_NonXtal_BW#'!$A:$Z,17,FALSE)+VLOOKUP($A259,A:AL,25,FALSE)-50),"-",(VLOOKUP($A259,'SegEnds_NonXtal_BW#'!$A:$Z,17,FALSE)+VLOOKUP($A259,A:AL,25,FALSE)-50))</f>
        <v>197</v>
      </c>
      <c r="Y259" s="3">
        <v>197</v>
      </c>
      <c r="Z259" s="3">
        <f t="shared" si="144"/>
        <v>199</v>
      </c>
      <c r="AA259" s="3">
        <f>IF(ISERROR(VLOOKUP($A259,'SegEnds_NonXtal_BW#'!$A:$Z,19,FALSE)+VLOOKUP($A259,A:AL,28,FALSE)-50),"-",(VLOOKUP($A259,'SegEnds_NonXtal_BW#'!$A:$Z,19,FALSE)+VLOOKUP($A259,A:AL,28,FALSE)-50))</f>
        <v>209</v>
      </c>
      <c r="AB259" s="3">
        <v>226</v>
      </c>
      <c r="AC259" s="3">
        <f>IF(ISERROR((VLOOKUP($A259,'SegEnds_NonXtal_BW#'!$A:$Z,20,FALSE)+VLOOKUP($A259,A:AL,28,FALSE)-50)),"-",(VLOOKUP($A259,'SegEnds_NonXtal_BW#'!$A:$Z,20,FALSE)+VLOOKUP($A259,A:AL,28,FALSE)-50))</f>
        <v>244</v>
      </c>
      <c r="AD259" s="3">
        <f>IF(ISERROR(VLOOKUP($A259,'SegEnds_NonXtal_BW#'!$A:$Z,21,FALSE)+VLOOKUP($A259,A:AL,31,FALSE)-50),"-",(VLOOKUP($A259,'SegEnds_NonXtal_BW#'!$A:$Z,21,FALSE)+VLOOKUP($A259,A:AL,31,FALSE)-50))</f>
        <v>249</v>
      </c>
      <c r="AE259" s="3">
        <v>269</v>
      </c>
      <c r="AF259" s="3">
        <f>IF(ISERROR((VLOOKUP($A259,'SegEnds_NonXtal_BW#'!$A:$Z,22,FALSE)+VLOOKUP($A259,A:AL,31,FALSE)-50)),"-",(VLOOKUP($A259,'SegEnds_NonXtal_BW#'!$A:$Z,22,FALSE)+VLOOKUP($A259,A:AL,31,FALSE)-50))</f>
        <v>284</v>
      </c>
      <c r="AG259" s="3">
        <f>IF(ISERROR(VLOOKUP($A259,'SegEnds_NonXtal_BW#'!$A:$Z,23,FALSE)+VLOOKUP($A259,A:AL,34,FALSE)-50),"-",(VLOOKUP($A259,'SegEnds_NonXtal_BW#'!$A:$Z,23,FALSE)+VLOOKUP($A259,A:AL,34,FALSE)-50))</f>
        <v>287</v>
      </c>
      <c r="AH259" s="3">
        <v>313</v>
      </c>
      <c r="AI259" s="3">
        <f>IF(ISERROR((VLOOKUP($A259,'SegEnds_NonXtal_BW#'!$A:$Z,24,FALSE)+VLOOKUP($A259,A:AL,34,FALSE)-50)),"-",(VLOOKUP($A259,'SegEnds_NonXtal_BW#'!$A:$Z,24,FALSE)+VLOOKUP($A259,A:AL,34,FALSE)-50))</f>
        <v>319</v>
      </c>
      <c r="AJ259" s="3">
        <f>IF(ISERROR(VLOOKUP($A259,'SegEnds_NonXtal_BW#'!$A:$Z,25,FALSE)+VLOOKUP($A259,A:AL,37,FALSE)-50),"-",(VLOOKUP($A259,'SegEnds_NonXtal_BW#'!$A:$Z,25,FALSE)+VLOOKUP($A259,A:AL,37,FALSE)-50))</f>
        <v>320</v>
      </c>
      <c r="AK259" s="3">
        <v>323</v>
      </c>
      <c r="AL259" s="3">
        <f>IF(ISERROR((VLOOKUP($A259,'SegEnds_NonXtal_BW#'!$A:$Z,26,FALSE)+VLOOKUP($A259,A:AL,37,FALSE)-50)),"-",(VLOOKUP($A259,'SegEnds_NonXtal_BW#'!$A:$Z,26,FALSE)+VLOOKUP($A259,A:AL,37,FALSE)-50))</f>
        <v>332</v>
      </c>
      <c r="AM259" s="28" t="str">
        <f>VLOOKUP(A259,Classification!A:B,2,FALSE)</f>
        <v>A</v>
      </c>
      <c r="AN259" s="28" t="b">
        <f t="shared" si="133"/>
        <v>1</v>
      </c>
      <c r="AO259" s="3" t="str">
        <f>IF(ISERROR(MATCH(A259,'SegEnds_Xtal_Prot#'!B:B, 0)), "NoXtal", "Xtal")</f>
        <v>NoXtal</v>
      </c>
      <c r="AP259" s="3">
        <f t="shared" si="118"/>
        <v>1</v>
      </c>
      <c r="AQ259" s="3">
        <f t="shared" si="119"/>
        <v>1</v>
      </c>
      <c r="AR259" s="3">
        <f t="shared" si="120"/>
        <v>2</v>
      </c>
      <c r="AS259" s="3">
        <f t="shared" si="121"/>
        <v>1</v>
      </c>
      <c r="AT259" s="3">
        <f t="shared" si="122"/>
        <v>1</v>
      </c>
      <c r="AU259" s="3">
        <f t="shared" si="123"/>
        <v>2</v>
      </c>
      <c r="AV259" s="3">
        <f t="shared" si="124"/>
        <v>11</v>
      </c>
      <c r="AW259" s="3">
        <f t="shared" si="125"/>
        <v>10</v>
      </c>
      <c r="AX259" s="3">
        <f t="shared" si="126"/>
        <v>5</v>
      </c>
      <c r="AY259" s="3">
        <f t="shared" si="127"/>
        <v>3</v>
      </c>
      <c r="AZ259" s="3">
        <f t="shared" si="128"/>
        <v>1</v>
      </c>
      <c r="BA259" s="3">
        <f>IF(ISERROR(LEN(VLOOKUP(A259,Seqs!A:E,2,FALSE))-AL259),"-",LEN(VLOOKUP(A259,Seqs!A:E,2,FALSE))-AL259)</f>
        <v>42</v>
      </c>
      <c r="BB259" s="16">
        <f t="shared" si="129"/>
        <v>28</v>
      </c>
      <c r="BC259" s="9">
        <f t="shared" si="130"/>
        <v>22</v>
      </c>
      <c r="BD259" s="3">
        <f t="shared" si="131"/>
        <v>28</v>
      </c>
      <c r="BE259" s="3">
        <f t="shared" si="132"/>
        <v>43</v>
      </c>
    </row>
    <row r="260" spans="1:58" s="3" customFormat="1" x14ac:dyDescent="0.2">
      <c r="A260" s="3" t="s">
        <v>175</v>
      </c>
      <c r="B260" s="3" t="str">
        <f>LOWER(VLOOKUP(A260,Xtal_Templ!A:B,2,FALSE))</f>
        <v>ccr7_human</v>
      </c>
      <c r="C260" s="3">
        <f>VLOOKUP($A260,'SegEnds_NonXtal_BW#'!$A:$Z,3,FALSE)+D260-50</f>
        <v>55</v>
      </c>
      <c r="D260" s="3">
        <v>76</v>
      </c>
      <c r="E260" s="3">
        <f>IF(ISERROR(VLOOKUP($A260,'SegEnds_NonXtal_BW#'!$A:$Z,4,FALSE)+VLOOKUP($A260,A:AL,4,FALSE)-50),"-",(VLOOKUP($A260,'SegEnds_NonXtal_BW#'!$A:$Z,4,FALSE)+VLOOKUP($A260,A:AL,4,FALSE)-50))</f>
        <v>86</v>
      </c>
      <c r="F260" s="3">
        <f t="shared" si="167"/>
        <v>87</v>
      </c>
      <c r="G260" s="3">
        <v>89</v>
      </c>
      <c r="H260" s="3">
        <f t="shared" si="168"/>
        <v>90</v>
      </c>
      <c r="I260" s="3">
        <f t="shared" si="168"/>
        <v>91</v>
      </c>
      <c r="J260" s="3">
        <v>104</v>
      </c>
      <c r="K260" s="3">
        <f>VLOOKUP($A260,'SegEnds_NonXtal_BW#'!$A:$Z,8,FALSE)+VLOOKUP($A260,A:AL,10,FALSE)-50</f>
        <v>120</v>
      </c>
      <c r="L260" s="3">
        <f t="shared" si="170"/>
        <v>121</v>
      </c>
      <c r="M260" s="3">
        <v>122</v>
      </c>
      <c r="N260" s="3">
        <f t="shared" si="171"/>
        <v>124</v>
      </c>
      <c r="O260" s="3">
        <f t="shared" si="172"/>
        <v>125</v>
      </c>
      <c r="P260" s="3">
        <v>154</v>
      </c>
      <c r="Q260" s="3">
        <f>VLOOKUP($A260,'SegEnds_NonXtal_BW#'!$A:$Z,12,FALSE)+VLOOKUP($A260,A:AL,16,FALSE)-50</f>
        <v>160</v>
      </c>
      <c r="R260" s="3">
        <f>IF(ISERROR(VLOOKUP($A260,'SegEnds_NonXtal_BW#'!$A:$Z,13,FALSE)+VLOOKUP($A260,A:AL,19,FALSE)-50),"-",VLOOKUP($A260,'SegEnds_NonXtal_BW#'!$A:$Z,13,FALSE)+VLOOKUP($A260,A:AL,19,FALSE)-50)</f>
        <v>161</v>
      </c>
      <c r="S260" s="3">
        <v>161</v>
      </c>
      <c r="T260" s="100">
        <f>IF(ISERROR(VLOOKUP($A260,'SegEnds_NonXtal_BW#'!$A:$Z,14,FALSE)+VLOOKUP($A260,A:AL,19,FALSE)-50),"-",(VLOOKUP($A260,'SegEnds_NonXtal_BW#'!$A:$Z,14,FALSE)+VLOOKUP($A260,A:AL,19,FALSE)-50))</f>
        <v>169</v>
      </c>
      <c r="U260" s="9">
        <f>IF(ISERROR(VLOOKUP($A260,'SegEnds_NonXtal_BW#'!$A:$Z,15,FALSE)+VLOOKUP($A260,A:AL,22,FALSE)-50),"-",VLOOKUP($A260,'SegEnds_NonXtal_BW#'!$A:$Z,15,FALSE)+VLOOKUP($A260,A:AL,22,FALSE)-50)</f>
        <v>171</v>
      </c>
      <c r="V260" s="3">
        <v>183</v>
      </c>
      <c r="W260" s="3">
        <f>IF(ISERROR(VLOOKUP($A260,'SegEnds_NonXtal_BW#'!$A:$Z,16,FALSE)+VLOOKUP($A260,A:AL,22,FALSE)-50),"-",(VLOOKUP($A260,'SegEnds_NonXtal_BW#'!$A:$Z,16,FALSE)+VLOOKUP($A260,A:AL,22,FALSE)-50))</f>
        <v>197</v>
      </c>
      <c r="X260" s="3">
        <f>IF(ISERROR(VLOOKUP($A260,'SegEnds_NonXtal_BW#'!$A:$Z,17,FALSE)+VLOOKUP($A260,A:AL,25,FALSE)-50),"-",(VLOOKUP($A260,'SegEnds_NonXtal_BW#'!$A:$Z,17,FALSE)+VLOOKUP($A260,A:AL,25,FALSE)-50))</f>
        <v>210</v>
      </c>
      <c r="Y260" s="3">
        <v>210</v>
      </c>
      <c r="Z260" s="3">
        <f t="shared" si="144"/>
        <v>212</v>
      </c>
      <c r="AA260" s="3">
        <f>IF(ISERROR(VLOOKUP($A260,'SegEnds_NonXtal_BW#'!$A:$Z,19,FALSE)+VLOOKUP($A260,A:AL,28,FALSE)-50),"-",(VLOOKUP($A260,'SegEnds_NonXtal_BW#'!$A:$Z,19,FALSE)+VLOOKUP($A260,A:AL,28,FALSE)-50))</f>
        <v>218</v>
      </c>
      <c r="AB260" s="3">
        <v>235</v>
      </c>
      <c r="AC260" s="3">
        <f>IF(ISERROR((VLOOKUP($A260,'SegEnds_NonXtal_BW#'!$A:$Z,20,FALSE)+VLOOKUP($A260,A:AL,28,FALSE)-50)),"-",(VLOOKUP($A260,'SegEnds_NonXtal_BW#'!$A:$Z,20,FALSE)+VLOOKUP($A260,A:AL,28,FALSE)-50))</f>
        <v>253</v>
      </c>
      <c r="AD260" s="3">
        <f>IF(ISERROR(VLOOKUP($A260,'SegEnds_NonXtal_BW#'!$A:$Z,21,FALSE)+VLOOKUP($A260,A:AL,31,FALSE)-50),"-",(VLOOKUP($A260,'SegEnds_NonXtal_BW#'!$A:$Z,21,FALSE)+VLOOKUP($A260,A:AL,31,FALSE)-50))</f>
        <v>258</v>
      </c>
      <c r="AE260" s="3">
        <v>278</v>
      </c>
      <c r="AF260" s="3">
        <f>IF(ISERROR((VLOOKUP($A260,'SegEnds_NonXtal_BW#'!$A:$Z,22,FALSE)+VLOOKUP($A260,A:AL,31,FALSE)-50)),"-",(VLOOKUP($A260,'SegEnds_NonXtal_BW#'!$A:$Z,22,FALSE)+VLOOKUP($A260,A:AL,31,FALSE)-50))</f>
        <v>293</v>
      </c>
      <c r="AG260" s="3">
        <f>IF(ISERROR(VLOOKUP($A260,'SegEnds_NonXtal_BW#'!$A:$Z,23,FALSE)+VLOOKUP($A260,A:AL,34,FALSE)-50),"-",(VLOOKUP($A260,'SegEnds_NonXtal_BW#'!$A:$Z,23,FALSE)+VLOOKUP($A260,A:AL,34,FALSE)-50))</f>
        <v>297</v>
      </c>
      <c r="AH260" s="3">
        <v>323</v>
      </c>
      <c r="AI260" s="3">
        <f>IF(ISERROR((VLOOKUP($A260,'SegEnds_NonXtal_BW#'!$A:$Z,24,FALSE)+VLOOKUP($A260,A:AL,34,FALSE)-50)),"-",(VLOOKUP($A260,'SegEnds_NonXtal_BW#'!$A:$Z,24,FALSE)+VLOOKUP($A260,A:AL,34,FALSE)-50))</f>
        <v>329</v>
      </c>
      <c r="AJ260" s="3">
        <f>IF(ISERROR(VLOOKUP($A260,'SegEnds_NonXtal_BW#'!$A:$Z,25,FALSE)+VLOOKUP($A260,A:AL,37,FALSE)-50),"-",(VLOOKUP($A260,'SegEnds_NonXtal_BW#'!$A:$Z,25,FALSE)+VLOOKUP($A260,A:AL,37,FALSE)-50))</f>
        <v>330</v>
      </c>
      <c r="AK260" s="3">
        <v>333</v>
      </c>
      <c r="AL260" s="3">
        <f>IF(ISERROR((VLOOKUP($A260,'SegEnds_NonXtal_BW#'!$A:$Z,26,FALSE)+VLOOKUP($A260,A:AL,37,FALSE)-50)),"-",(VLOOKUP($A260,'SegEnds_NonXtal_BW#'!$A:$Z,26,FALSE)+VLOOKUP($A260,A:AL,37,FALSE)-50))</f>
        <v>342</v>
      </c>
      <c r="AM260" s="28" t="str">
        <f>VLOOKUP(A260,Classification!A:B,2,FALSE)</f>
        <v>A</v>
      </c>
      <c r="AN260" s="28" t="b">
        <f t="shared" si="133"/>
        <v>1</v>
      </c>
      <c r="AO260" s="3" t="str">
        <f>IF(ISERROR(MATCH(A260,'SegEnds_Xtal_Prot#'!B:B, 0)), "NoXtal", "Xtal")</f>
        <v>Xtal</v>
      </c>
      <c r="AP260" s="3">
        <f t="shared" si="118"/>
        <v>1</v>
      </c>
      <c r="AQ260" s="3">
        <f t="shared" si="119"/>
        <v>1</v>
      </c>
      <c r="AR260" s="3">
        <f t="shared" si="120"/>
        <v>1</v>
      </c>
      <c r="AS260" s="3">
        <f t="shared" si="121"/>
        <v>1</v>
      </c>
      <c r="AT260" s="3">
        <f t="shared" si="122"/>
        <v>1</v>
      </c>
      <c r="AU260" s="3">
        <f t="shared" si="123"/>
        <v>2</v>
      </c>
      <c r="AV260" s="3">
        <f t="shared" si="124"/>
        <v>13</v>
      </c>
      <c r="AW260" s="3">
        <f t="shared" si="125"/>
        <v>6</v>
      </c>
      <c r="AX260" s="3">
        <f t="shared" si="126"/>
        <v>5</v>
      </c>
      <c r="AY260" s="3">
        <f t="shared" si="127"/>
        <v>4</v>
      </c>
      <c r="AZ260" s="3">
        <f t="shared" si="128"/>
        <v>1</v>
      </c>
      <c r="BA260" s="3">
        <f>IF(ISERROR(LEN(VLOOKUP(A260,Seqs!A:E,2,FALSE))-AL260),"-",LEN(VLOOKUP(A260,Seqs!A:E,2,FALSE))-AL260)</f>
        <v>36</v>
      </c>
      <c r="BB260" s="16">
        <f t="shared" si="129"/>
        <v>28</v>
      </c>
      <c r="BC260" s="9">
        <f t="shared" si="130"/>
        <v>22</v>
      </c>
      <c r="BD260" s="3">
        <f t="shared" si="131"/>
        <v>28</v>
      </c>
      <c r="BE260" s="3">
        <f t="shared" si="132"/>
        <v>43</v>
      </c>
    </row>
    <row r="261" spans="1:58" s="3" customFormat="1" x14ac:dyDescent="0.2">
      <c r="A261" s="3" t="s">
        <v>177</v>
      </c>
      <c r="B261" s="3" t="str">
        <f>LOWER(VLOOKUP(A261,Xtal_Templ!A:B,2,FALSE))</f>
        <v>ccr9_human</v>
      </c>
      <c r="C261" s="3">
        <f>VLOOKUP($A261,'SegEnds_NonXtal_BW#'!$A:$Z,3,FALSE)+D261-50</f>
        <v>43</v>
      </c>
      <c r="D261" s="3">
        <v>66</v>
      </c>
      <c r="E261" s="3">
        <f>IF(ISERROR(VLOOKUP($A261,'SegEnds_NonXtal_BW#'!$A:$Z,4,FALSE)+VLOOKUP($A261,A:AL,4,FALSE)-50),"-",(VLOOKUP($A261,'SegEnds_NonXtal_BW#'!$A:$Z,4,FALSE)+VLOOKUP($A261,A:AL,4,FALSE)-50))</f>
        <v>76</v>
      </c>
      <c r="F261" s="3">
        <f t="shared" si="167"/>
        <v>77</v>
      </c>
      <c r="G261" s="3">
        <v>79</v>
      </c>
      <c r="H261" s="3">
        <f t="shared" si="168"/>
        <v>80</v>
      </c>
      <c r="I261" s="3">
        <f t="shared" si="168"/>
        <v>81</v>
      </c>
      <c r="J261" s="3">
        <v>94</v>
      </c>
      <c r="K261" s="3">
        <f>VLOOKUP($A261,'SegEnds_NonXtal_BW#'!$A:$Z,8,FALSE)+VLOOKUP($A261,A:AL,10,FALSE)-50</f>
        <v>110</v>
      </c>
      <c r="L261" s="3">
        <f t="shared" si="170"/>
        <v>111</v>
      </c>
      <c r="M261" s="3">
        <v>112</v>
      </c>
      <c r="N261" s="3">
        <f t="shared" si="171"/>
        <v>114</v>
      </c>
      <c r="O261" s="3">
        <f t="shared" si="172"/>
        <v>115</v>
      </c>
      <c r="P261" s="3">
        <v>144</v>
      </c>
      <c r="Q261" s="3">
        <f>VLOOKUP($A261,'SegEnds_NonXtal_BW#'!$A:$Z,12,FALSE)+VLOOKUP($A261,A:AL,16,FALSE)-50</f>
        <v>150</v>
      </c>
      <c r="R261" s="3">
        <f>IF(ISERROR(VLOOKUP($A261,'SegEnds_NonXtal_BW#'!$A:$Z,13,FALSE)+VLOOKUP($A261,A:AL,19,FALSE)-50),"-",VLOOKUP($A261,'SegEnds_NonXtal_BW#'!$A:$Z,13,FALSE)+VLOOKUP($A261,A:AL,19,FALSE)-50)</f>
        <v>151</v>
      </c>
      <c r="S261" s="3">
        <v>151</v>
      </c>
      <c r="T261" s="100">
        <f>IF(ISERROR(VLOOKUP($A261,'SegEnds_NonXtal_BW#'!$A:$Z,14,FALSE)+VLOOKUP($A261,A:AL,19,FALSE)-50),"-",(VLOOKUP($A261,'SegEnds_NonXtal_BW#'!$A:$Z,14,FALSE)+VLOOKUP($A261,A:AL,19,FALSE)-50))</f>
        <v>157</v>
      </c>
      <c r="U261" s="9">
        <f>IF(ISERROR(VLOOKUP($A261,'SegEnds_NonXtal_BW#'!$A:$Z,15,FALSE)+VLOOKUP($A261,A:AL,22,FALSE)-50),"-",VLOOKUP($A261,'SegEnds_NonXtal_BW#'!$A:$Z,15,FALSE)+VLOOKUP($A261,A:AL,22,FALSE)-50)</f>
        <v>158</v>
      </c>
      <c r="V261" s="3">
        <v>173</v>
      </c>
      <c r="W261" s="3">
        <f>IF(ISERROR(VLOOKUP($A261,'SegEnds_NonXtal_BW#'!$A:$Z,16,FALSE)+VLOOKUP($A261,A:AL,22,FALSE)-50),"-",(VLOOKUP($A261,'SegEnds_NonXtal_BW#'!$A:$Z,16,FALSE)+VLOOKUP($A261,A:AL,22,FALSE)-50))</f>
        <v>187</v>
      </c>
      <c r="X261" s="3">
        <f>IF(ISERROR(VLOOKUP($A261,'SegEnds_NonXtal_BW#'!$A:$Z,17,FALSE)+VLOOKUP($A261,A:AL,25,FALSE)-50),"-",(VLOOKUP($A261,'SegEnds_NonXtal_BW#'!$A:$Z,17,FALSE)+VLOOKUP($A261,A:AL,25,FALSE)-50))</f>
        <v>198</v>
      </c>
      <c r="Y261" s="3">
        <v>198</v>
      </c>
      <c r="Z261" s="3">
        <f t="shared" si="144"/>
        <v>200</v>
      </c>
      <c r="AA261" s="3">
        <f>IF(ISERROR(VLOOKUP($A261,'SegEnds_NonXtal_BW#'!$A:$Z,19,FALSE)+VLOOKUP($A261,A:AL,28,FALSE)-50),"-",(VLOOKUP($A261,'SegEnds_NonXtal_BW#'!$A:$Z,19,FALSE)+VLOOKUP($A261,A:AL,28,FALSE)-50))</f>
        <v>209</v>
      </c>
      <c r="AB261" s="3">
        <v>226</v>
      </c>
      <c r="AC261" s="3">
        <f>IF(ISERROR((VLOOKUP($A261,'SegEnds_NonXtal_BW#'!$A:$Z,20,FALSE)+VLOOKUP($A261,A:AL,28,FALSE)-50)),"-",(VLOOKUP($A261,'SegEnds_NonXtal_BW#'!$A:$Z,20,FALSE)+VLOOKUP($A261,A:AL,28,FALSE)-50))</f>
        <v>244</v>
      </c>
      <c r="AD261" s="3">
        <f>IF(ISERROR(VLOOKUP($A261,'SegEnds_NonXtal_BW#'!$A:$Z,21,FALSE)+VLOOKUP($A261,A:AL,31,FALSE)-50),"-",(VLOOKUP($A261,'SegEnds_NonXtal_BW#'!$A:$Z,21,FALSE)+VLOOKUP($A261,A:AL,31,FALSE)-50))</f>
        <v>249</v>
      </c>
      <c r="AE261" s="3">
        <v>269</v>
      </c>
      <c r="AF261" s="3">
        <f>IF(ISERROR((VLOOKUP($A261,'SegEnds_NonXtal_BW#'!$A:$Z,22,FALSE)+VLOOKUP($A261,A:AL,31,FALSE)-50)),"-",(VLOOKUP($A261,'SegEnds_NonXtal_BW#'!$A:$Z,22,FALSE)+VLOOKUP($A261,A:AL,31,FALSE)-50))</f>
        <v>284</v>
      </c>
      <c r="AG261" s="3">
        <f>IF(ISERROR(VLOOKUP($A261,'SegEnds_NonXtal_BW#'!$A:$Z,23,FALSE)+VLOOKUP($A261,A:AL,34,FALSE)-50),"-",(VLOOKUP($A261,'SegEnds_NonXtal_BW#'!$A:$Z,23,FALSE)+VLOOKUP($A261,A:AL,34,FALSE)-50))</f>
        <v>288</v>
      </c>
      <c r="AH261" s="3">
        <v>314</v>
      </c>
      <c r="AI261" s="3">
        <f>IF(ISERROR((VLOOKUP($A261,'SegEnds_NonXtal_BW#'!$A:$Z,24,FALSE)+VLOOKUP($A261,A:AL,34,FALSE)-50)),"-",(VLOOKUP($A261,'SegEnds_NonXtal_BW#'!$A:$Z,24,FALSE)+VLOOKUP($A261,A:AL,34,FALSE)-50))</f>
        <v>320</v>
      </c>
      <c r="AJ261" s="3">
        <f>IF(ISERROR(VLOOKUP($A261,'SegEnds_NonXtal_BW#'!$A:$Z,25,FALSE)+VLOOKUP($A261,A:AL,37,FALSE)-50),"-",(VLOOKUP($A261,'SegEnds_NonXtal_BW#'!$A:$Z,25,FALSE)+VLOOKUP($A261,A:AL,37,FALSE)-50))</f>
        <v>321</v>
      </c>
      <c r="AK261" s="3">
        <v>324</v>
      </c>
      <c r="AL261" s="3">
        <f>IF(ISERROR((VLOOKUP($A261,'SegEnds_NonXtal_BW#'!$A:$Z,26,FALSE)+VLOOKUP($A261,A:AL,37,FALSE)-50)),"-",(VLOOKUP($A261,'SegEnds_NonXtal_BW#'!$A:$Z,26,FALSE)+VLOOKUP($A261,A:AL,37,FALSE)-50))</f>
        <v>341</v>
      </c>
      <c r="AM261" s="28" t="str">
        <f>VLOOKUP(A261,Classification!A:B,2,FALSE)</f>
        <v>A</v>
      </c>
      <c r="AN261" s="28" t="b">
        <f t="shared" si="133"/>
        <v>1</v>
      </c>
      <c r="AO261" s="3" t="str">
        <f>IF(ISERROR(MATCH(A261,'SegEnds_Xtal_Prot#'!B:B, 0)), "NoXtal", "Xtal")</f>
        <v>Xtal</v>
      </c>
      <c r="AP261" s="3">
        <f t="shared" ref="AP261:AP328" si="173">IF(ISERROR(F261-E261),"-",F261-E261)</f>
        <v>1</v>
      </c>
      <c r="AQ261" s="3">
        <f t="shared" ref="AQ261:AQ328" si="174">IF(ISERROR(I261-H261),"-",I261-H261)</f>
        <v>1</v>
      </c>
      <c r="AR261" s="3">
        <f t="shared" ref="AR261:AR328" si="175">IF(ISERROR(L261-K261),"-",L261-K261)</f>
        <v>1</v>
      </c>
      <c r="AS261" s="3">
        <f t="shared" ref="AS261:AS328" si="176">IF(ISERROR(O261-N261),"-",O261-N261)</f>
        <v>1</v>
      </c>
      <c r="AT261" s="3">
        <f t="shared" ref="AT261:AT328" si="177">IF(ISERROR(R261-Q261),"-",R261-Q261)</f>
        <v>1</v>
      </c>
      <c r="AU261" s="3">
        <f t="shared" ref="AU261:AU328" si="178">IF(ISERROR(U261-T261),"-",U261-T261)</f>
        <v>1</v>
      </c>
      <c r="AV261" s="3">
        <f t="shared" ref="AV261:AV328" si="179">IF(ISERROR(X261-W261),"-",X261-W261)</f>
        <v>11</v>
      </c>
      <c r="AW261" s="3">
        <f t="shared" ref="AW261:AW328" si="180">IF(ISERROR(AA261-Z261),"-",AA261-Z261)</f>
        <v>9</v>
      </c>
      <c r="AX261" s="3">
        <f t="shared" ref="AX261:AX328" si="181">IF(ISERROR(AD261-AC261),"-",AD261-AC261)</f>
        <v>5</v>
      </c>
      <c r="AY261" s="3">
        <f t="shared" ref="AY261:AY328" si="182">IF(ISERROR(AG261-AF261),"-",AG261-AF261)</f>
        <v>4</v>
      </c>
      <c r="AZ261" s="3">
        <f t="shared" ref="AZ261:AZ328" si="183">IF(ISERROR(AJ261-AI261),"-",AJ261-AI261)</f>
        <v>1</v>
      </c>
      <c r="BA261" s="3">
        <f>IF(ISERROR(LEN(VLOOKUP(A261,Seqs!A:E,2,FALSE))-AL261),"-",LEN(VLOOKUP(A261,Seqs!A:E,2,FALSE))-AL261)</f>
        <v>28</v>
      </c>
      <c r="BB261" s="16">
        <f t="shared" ref="BB261:BB328" si="184">J261-D261</f>
        <v>28</v>
      </c>
      <c r="BC261" s="9">
        <f t="shared" ref="BC261:BC328" si="185">IF(ISERROR(V261-S261),"-",V261-S261)</f>
        <v>22</v>
      </c>
      <c r="BD261" s="3">
        <f t="shared" ref="BD261:BD328" si="186">J261-D261</f>
        <v>28</v>
      </c>
      <c r="BE261" s="3">
        <f t="shared" ref="BE261:BE328" si="187">AE261-AB261</f>
        <v>43</v>
      </c>
    </row>
    <row r="262" spans="1:58" s="3" customFormat="1" x14ac:dyDescent="0.2">
      <c r="A262" s="3" t="s">
        <v>189</v>
      </c>
      <c r="B262" s="3" t="str">
        <f>LOWER(VLOOKUP(A262,Xtal_Templ!A:B,2,FALSE))</f>
        <v>ccr9_human</v>
      </c>
      <c r="C262" s="3">
        <f>VLOOKUP($A262,'SegEnds_NonXtal_BW#'!$A:$Z,3,FALSE)+D262-50</f>
        <v>26</v>
      </c>
      <c r="D262" s="3">
        <v>49</v>
      </c>
      <c r="E262" s="3">
        <f>IF(ISERROR(VLOOKUP($A262,'SegEnds_NonXtal_BW#'!$A:$Z,4,FALSE)+VLOOKUP($A262,A:AL,4,FALSE)-50),"-",(VLOOKUP($A262,'SegEnds_NonXtal_BW#'!$A:$Z,4,FALSE)+VLOOKUP($A262,A:AL,4,FALSE)-50))</f>
        <v>59</v>
      </c>
      <c r="F262" s="3">
        <f t="shared" si="167"/>
        <v>60</v>
      </c>
      <c r="G262" s="3">
        <v>62</v>
      </c>
      <c r="H262" s="3">
        <f t="shared" si="168"/>
        <v>63</v>
      </c>
      <c r="I262" s="3">
        <f t="shared" si="168"/>
        <v>64</v>
      </c>
      <c r="J262" s="3">
        <v>77</v>
      </c>
      <c r="K262" s="3">
        <f>VLOOKUP($A262,'SegEnds_NonXtal_BW#'!$A:$Z,8,FALSE)+VLOOKUP($A262,A:AL,10,FALSE)-50</f>
        <v>93</v>
      </c>
      <c r="L262" s="3">
        <f t="shared" si="170"/>
        <v>94</v>
      </c>
      <c r="M262" s="3">
        <v>95</v>
      </c>
      <c r="N262" s="3">
        <f t="shared" si="171"/>
        <v>97</v>
      </c>
      <c r="O262" s="3">
        <f t="shared" si="172"/>
        <v>98</v>
      </c>
      <c r="P262" s="3">
        <v>127</v>
      </c>
      <c r="Q262" s="3">
        <f>VLOOKUP($A262,'SegEnds_NonXtal_BW#'!$A:$Z,12,FALSE)+VLOOKUP($A262,A:AL,16,FALSE)-50</f>
        <v>133</v>
      </c>
      <c r="R262" s="3">
        <f>IF(ISERROR(VLOOKUP($A262,'SegEnds_NonXtal_BW#'!$A:$Z,13,FALSE)+VLOOKUP($A262,A:AL,19,FALSE)-50),"-",VLOOKUP($A262,'SegEnds_NonXtal_BW#'!$A:$Z,13,FALSE)+VLOOKUP($A262,A:AL,19,FALSE)-50)</f>
        <v>134</v>
      </c>
      <c r="S262" s="3">
        <v>134</v>
      </c>
      <c r="T262" s="100">
        <f>IF(ISERROR(VLOOKUP($A262,'SegEnds_NonXtal_BW#'!$A:$Z,14,FALSE)+VLOOKUP($A262,A:AL,19,FALSE)-50),"-",(VLOOKUP($A262,'SegEnds_NonXtal_BW#'!$A:$Z,14,FALSE)+VLOOKUP($A262,A:AL,19,FALSE)-50))</f>
        <v>142</v>
      </c>
      <c r="U262" s="9">
        <f>IF(ISERROR(VLOOKUP($A262,'SegEnds_NonXtal_BW#'!$A:$Z,15,FALSE)+VLOOKUP($A262,A:AL,22,FALSE)-50),"-",VLOOKUP($A262,'SegEnds_NonXtal_BW#'!$A:$Z,15,FALSE)+VLOOKUP($A262,A:AL,22,FALSE)-50)</f>
        <v>144</v>
      </c>
      <c r="V262" s="3">
        <v>156</v>
      </c>
      <c r="W262" s="3">
        <f>IF(ISERROR(VLOOKUP($A262,'SegEnds_NonXtal_BW#'!$A:$Z,16,FALSE)+VLOOKUP($A262,A:AL,22,FALSE)-50),"-",(VLOOKUP($A262,'SegEnds_NonXtal_BW#'!$A:$Z,16,FALSE)+VLOOKUP($A262,A:AL,22,FALSE)-50))</f>
        <v>170</v>
      </c>
      <c r="X262" s="3">
        <f>IF(ISERROR(VLOOKUP($A262,'SegEnds_NonXtal_BW#'!$A:$Z,17,FALSE)+VLOOKUP($A262,A:AL,25,FALSE)-50),"-",(VLOOKUP($A262,'SegEnds_NonXtal_BW#'!$A:$Z,17,FALSE)+VLOOKUP($A262,A:AL,25,FALSE)-50))</f>
        <v>180</v>
      </c>
      <c r="Y262" s="3">
        <v>180</v>
      </c>
      <c r="Z262" s="3">
        <f t="shared" si="144"/>
        <v>182</v>
      </c>
      <c r="AA262" s="3">
        <f>IF(ISERROR(VLOOKUP($A262,'SegEnds_NonXtal_BW#'!$A:$Z,19,FALSE)+VLOOKUP($A262,A:AL,28,FALSE)-50),"-",(VLOOKUP($A262,'SegEnds_NonXtal_BW#'!$A:$Z,19,FALSE)+VLOOKUP($A262,A:AL,28,FALSE)-50))</f>
        <v>186</v>
      </c>
      <c r="AB262" s="3">
        <v>203</v>
      </c>
      <c r="AC262" s="3">
        <f>IF(ISERROR((VLOOKUP($A262,'SegEnds_NonXtal_BW#'!$A:$Z,20,FALSE)+VLOOKUP($A262,A:AL,28,FALSE)-50)),"-",(VLOOKUP($A262,'SegEnds_NonXtal_BW#'!$A:$Z,20,FALSE)+VLOOKUP($A262,A:AL,28,FALSE)-50))</f>
        <v>221</v>
      </c>
      <c r="AD262" s="3">
        <f>IF(ISERROR(VLOOKUP($A262,'SegEnds_NonXtal_BW#'!$A:$Z,21,FALSE)+VLOOKUP($A262,A:AL,31,FALSE)-50),"-",(VLOOKUP($A262,'SegEnds_NonXtal_BW#'!$A:$Z,21,FALSE)+VLOOKUP($A262,A:AL,31,FALSE)-50))</f>
        <v>226</v>
      </c>
      <c r="AE262" s="3">
        <v>246</v>
      </c>
      <c r="AF262" s="3">
        <f>IF(ISERROR((VLOOKUP($A262,'SegEnds_NonXtal_BW#'!$A:$Z,22,FALSE)+VLOOKUP($A262,A:AL,31,FALSE)-50)),"-",(VLOOKUP($A262,'SegEnds_NonXtal_BW#'!$A:$Z,22,FALSE)+VLOOKUP($A262,A:AL,31,FALSE)-50))</f>
        <v>257</v>
      </c>
      <c r="AG262" s="3">
        <f>IF(ISERROR(VLOOKUP($A262,'SegEnds_NonXtal_BW#'!$A:$Z,23,FALSE)+VLOOKUP($A262,A:AL,34,FALSE)-50),"-",(VLOOKUP($A262,'SegEnds_NonXtal_BW#'!$A:$Z,23,FALSE)+VLOOKUP($A262,A:AL,34,FALSE)-50))</f>
        <v>259</v>
      </c>
      <c r="AH262" s="3">
        <v>285</v>
      </c>
      <c r="AI262" s="3">
        <f>IF(ISERROR((VLOOKUP($A262,'SegEnds_NonXtal_BW#'!$A:$Z,24,FALSE)+VLOOKUP($A262,A:AL,34,FALSE)-50)),"-",(VLOOKUP($A262,'SegEnds_NonXtal_BW#'!$A:$Z,24,FALSE)+VLOOKUP($A262,A:AL,34,FALSE)-50))</f>
        <v>291</v>
      </c>
      <c r="AJ262" s="3">
        <f>IF(ISERROR(VLOOKUP($A262,'SegEnds_NonXtal_BW#'!$A:$Z,25,FALSE)+VLOOKUP($A262,A:AL,37,FALSE)-50),"-",(VLOOKUP($A262,'SegEnds_NonXtal_BW#'!$A:$Z,25,FALSE)+VLOOKUP($A262,A:AL,37,FALSE)-50))</f>
        <v>292</v>
      </c>
      <c r="AK262" s="3">
        <v>295</v>
      </c>
      <c r="AL262" s="3">
        <f>IF(ISERROR((VLOOKUP($A262,'SegEnds_NonXtal_BW#'!$A:$Z,26,FALSE)+VLOOKUP($A262,A:AL,37,FALSE)-50)),"-",(VLOOKUP($A262,'SegEnds_NonXtal_BW#'!$A:$Z,26,FALSE)+VLOOKUP($A262,A:AL,37,FALSE)-50))</f>
        <v>312</v>
      </c>
      <c r="AM262" s="28" t="str">
        <f>VLOOKUP(A262,Classification!A:B,2,FALSE)</f>
        <v>A</v>
      </c>
      <c r="AN262" s="28" t="b">
        <f t="shared" ref="AN262:AN329" si="188">AND(IF(Y262="-",IF(AA262-W262&gt;3,TRUE,FALSE),TRUE),IF(M262="-",IF(O262-K262&gt;3,TRUE,FALSE),TRUE),IF(AG262-AF262&gt;1,TRUE,FALSE),C262&lt;E262,OR(E262&lt;F262,F262="-"),OR(F262&lt;H262,F262="-"),OR(H262&lt;I262,H262="-"),I262&lt;K262,OR(K262&lt;L262,L262="-"),OR(L262&lt;N262,L262="-"),OR(N262&lt;O262,N262="-"),O262&lt;Q262,OR(Q262&lt;R262,R262="-"),OR(R262&lt;T262,R262="-"),OR(T262&lt;U262,T262="-"),U262&lt;W262,OR(W262&lt;X262,X262="-"),OR(X262&lt;Z262,X262="-"),OR(Z262&lt;AA262,Z262="-"),AA262&lt;AC262,AC262&lt;AD262,AD262&lt;AF262,AF262&lt;AG262,AG262&lt;AI262,OR(AI262&lt;AJ262,AJ262="-"),OR(AJ262&lt;AL262,AJ262="-"))</f>
        <v>1</v>
      </c>
      <c r="AO262" s="3" t="str">
        <f>IF(ISERROR(MATCH(A262,'SegEnds_Xtal_Prot#'!B:B, 0)), "NoXtal", "Xtal")</f>
        <v>NoXtal</v>
      </c>
      <c r="AP262" s="3">
        <f t="shared" si="173"/>
        <v>1</v>
      </c>
      <c r="AQ262" s="3">
        <f t="shared" si="174"/>
        <v>1</v>
      </c>
      <c r="AR262" s="3">
        <f t="shared" si="175"/>
        <v>1</v>
      </c>
      <c r="AS262" s="3">
        <f t="shared" si="176"/>
        <v>1</v>
      </c>
      <c r="AT262" s="3">
        <f t="shared" si="177"/>
        <v>1</v>
      </c>
      <c r="AU262" s="3">
        <f t="shared" si="178"/>
        <v>2</v>
      </c>
      <c r="AV262" s="3">
        <f t="shared" si="179"/>
        <v>10</v>
      </c>
      <c r="AW262" s="3">
        <f t="shared" si="180"/>
        <v>4</v>
      </c>
      <c r="AX262" s="3">
        <f t="shared" si="181"/>
        <v>5</v>
      </c>
      <c r="AY262" s="3">
        <f t="shared" si="182"/>
        <v>2</v>
      </c>
      <c r="AZ262" s="3">
        <f t="shared" si="183"/>
        <v>1</v>
      </c>
      <c r="BA262" s="3">
        <f>IF(ISERROR(LEN(VLOOKUP(A262,Seqs!A:E,2,FALSE))-AL262),"-",LEN(VLOOKUP(A262,Seqs!A:E,2,FALSE))-AL262)</f>
        <v>30</v>
      </c>
      <c r="BB262" s="16">
        <f t="shared" si="184"/>
        <v>28</v>
      </c>
      <c r="BC262" s="9">
        <f t="shared" si="185"/>
        <v>22</v>
      </c>
      <c r="BD262" s="3">
        <f t="shared" si="186"/>
        <v>28</v>
      </c>
      <c r="BE262" s="3">
        <f t="shared" si="187"/>
        <v>43</v>
      </c>
    </row>
    <row r="263" spans="1:58" s="3" customFormat="1" x14ac:dyDescent="0.2">
      <c r="A263" s="3" t="s">
        <v>192</v>
      </c>
      <c r="B263" s="3" t="str">
        <f>LOWER(VLOOKUP(A263,Xtal_Templ!A:B,2,FALSE))</f>
        <v>drd3_human</v>
      </c>
      <c r="C263" s="3">
        <f>VLOOKUP($A263,'SegEnds_NonXtal_BW#'!$A:$Z,3,FALSE)+D263-50</f>
        <v>26</v>
      </c>
      <c r="D263" s="3">
        <v>47</v>
      </c>
      <c r="E263" s="3">
        <f>IF(ISERROR(VLOOKUP($A263,'SegEnds_NonXtal_BW#'!$A:$Z,4,FALSE)+VLOOKUP($A263,A:AL,4,FALSE)-50),"-",(VLOOKUP($A263,'SegEnds_NonXtal_BW#'!$A:$Z,4,FALSE)+VLOOKUP($A263,A:AL,4,FALSE)-50))</f>
        <v>57</v>
      </c>
      <c r="F263" s="3">
        <f t="shared" si="167"/>
        <v>58</v>
      </c>
      <c r="G263" s="3">
        <v>60</v>
      </c>
      <c r="H263" s="3">
        <f t="shared" si="168"/>
        <v>61</v>
      </c>
      <c r="I263" s="3">
        <f t="shared" si="168"/>
        <v>62</v>
      </c>
      <c r="J263" s="3">
        <v>75</v>
      </c>
      <c r="K263" s="3">
        <f>VLOOKUP($A263,'SegEnds_NonXtal_BW#'!$A:$Z,8,FALSE)+VLOOKUP($A263,A:AL,10,FALSE)-50</f>
        <v>92</v>
      </c>
      <c r="L263" s="3">
        <f t="shared" si="170"/>
        <v>95</v>
      </c>
      <c r="M263" s="3">
        <v>96</v>
      </c>
      <c r="N263" s="3">
        <f t="shared" si="171"/>
        <v>98</v>
      </c>
      <c r="O263" s="3">
        <f t="shared" si="172"/>
        <v>99</v>
      </c>
      <c r="P263" s="3">
        <v>128</v>
      </c>
      <c r="Q263" s="3">
        <f>VLOOKUP($A263,'SegEnds_NonXtal_BW#'!$A:$Z,12,FALSE)+VLOOKUP($A263,A:AL,16,FALSE)-50</f>
        <v>134</v>
      </c>
      <c r="R263" s="3">
        <f>IF(ISERROR(VLOOKUP($A263,'SegEnds_NonXtal_BW#'!$A:$Z,13,FALSE)+VLOOKUP($A263,A:AL,19,FALSE)-50),"-",VLOOKUP($A263,'SegEnds_NonXtal_BW#'!$A:$Z,13,FALSE)+VLOOKUP($A263,A:AL,19,FALSE)-50)</f>
        <v>135</v>
      </c>
      <c r="S263" s="3">
        <v>135</v>
      </c>
      <c r="T263" s="100">
        <f>IF(ISERROR(VLOOKUP($A263,'SegEnds_NonXtal_BW#'!$A:$Z,14,FALSE)+VLOOKUP($A263,A:AL,19,FALSE)-50),"-",(VLOOKUP($A263,'SegEnds_NonXtal_BW#'!$A:$Z,14,FALSE)+VLOOKUP($A263,A:AL,19,FALSE)-50))</f>
        <v>143</v>
      </c>
      <c r="U263" s="9">
        <f>IF(ISERROR(VLOOKUP($A263,'SegEnds_NonXtal_BW#'!$A:$Z,15,FALSE)+VLOOKUP($A263,A:AL,22,FALSE)-50),"-",VLOOKUP($A263,'SegEnds_NonXtal_BW#'!$A:$Z,15,FALSE)+VLOOKUP($A263,A:AL,22,FALSE)-50)</f>
        <v>146</v>
      </c>
      <c r="V263" s="3">
        <v>158</v>
      </c>
      <c r="W263" s="3">
        <f>IF(ISERROR(VLOOKUP($A263,'SegEnds_NonXtal_BW#'!$A:$Z,16,FALSE)+VLOOKUP($A263,A:AL,22,FALSE)-50),"-",(VLOOKUP($A263,'SegEnds_NonXtal_BW#'!$A:$Z,16,FALSE)+VLOOKUP($A263,A:AL,22,FALSE)-50))</f>
        <v>171</v>
      </c>
      <c r="X263" s="3">
        <f>IF(ISERROR(VLOOKUP($A263,'SegEnds_NonXtal_BW#'!$A:$Z,17,FALSE)+VLOOKUP($A263,A:AL,25,FALSE)-50),"-",(VLOOKUP($A263,'SegEnds_NonXtal_BW#'!$A:$Z,17,FALSE)+VLOOKUP($A263,A:AL,25,FALSE)-50))</f>
        <v>181</v>
      </c>
      <c r="Y263" s="3">
        <v>181</v>
      </c>
      <c r="Z263" s="3">
        <f t="shared" si="144"/>
        <v>183</v>
      </c>
      <c r="AA263" s="3">
        <f>IF(ISERROR(VLOOKUP($A263,'SegEnds_NonXtal_BW#'!$A:$Z,19,FALSE)+VLOOKUP($A263,A:AL,28,FALSE)-50),"-",(VLOOKUP($A263,'SegEnds_NonXtal_BW#'!$A:$Z,19,FALSE)+VLOOKUP($A263,A:AL,28,FALSE)-50))</f>
        <v>185</v>
      </c>
      <c r="AB263" s="3">
        <v>200</v>
      </c>
      <c r="AC263" s="3">
        <f>IF(ISERROR((VLOOKUP($A263,'SegEnds_NonXtal_BW#'!$A:$Z,20,FALSE)+VLOOKUP($A263,A:AL,28,FALSE)-50)),"-",(VLOOKUP($A263,'SegEnds_NonXtal_BW#'!$A:$Z,20,FALSE)+VLOOKUP($A263,A:AL,28,FALSE)-50))</f>
        <v>226</v>
      </c>
      <c r="AD263" s="3">
        <f>IF(ISERROR(VLOOKUP($A263,'SegEnds_NonXtal_BW#'!$A:$Z,21,FALSE)+VLOOKUP($A263,A:AL,31,FALSE)-50),"-",(VLOOKUP($A263,'SegEnds_NonXtal_BW#'!$A:$Z,21,FALSE)+VLOOKUP($A263,A:AL,31,FALSE)-50))</f>
        <v>318</v>
      </c>
      <c r="AE263" s="3">
        <v>344</v>
      </c>
      <c r="AF263" s="3">
        <f>IF(ISERROR((VLOOKUP($A263,'SegEnds_NonXtal_BW#'!$A:$Z,22,FALSE)+VLOOKUP($A263,A:AL,31,FALSE)-50)),"-",(VLOOKUP($A263,'SegEnds_NonXtal_BW#'!$A:$Z,22,FALSE)+VLOOKUP($A263,A:AL,31,FALSE)-50))</f>
        <v>354</v>
      </c>
      <c r="AG263" s="3">
        <f>IF(ISERROR(VLOOKUP($A263,'SegEnds_NonXtal_BW#'!$A:$Z,23,FALSE)+VLOOKUP($A263,A:AL,34,FALSE)-50),"-",(VLOOKUP($A263,'SegEnds_NonXtal_BW#'!$A:$Z,23,FALSE)+VLOOKUP($A263,A:AL,34,FALSE)-50))</f>
        <v>361</v>
      </c>
      <c r="AH263" s="3">
        <v>380</v>
      </c>
      <c r="AI263" s="3">
        <f>IF(ISERROR((VLOOKUP($A263,'SegEnds_NonXtal_BW#'!$A:$Z,24,FALSE)+VLOOKUP($A263,A:AL,34,FALSE)-50)),"-",(VLOOKUP($A263,'SegEnds_NonXtal_BW#'!$A:$Z,24,FALSE)+VLOOKUP($A263,A:AL,34,FALSE)-50))</f>
        <v>386</v>
      </c>
      <c r="AJ263" s="3">
        <f>IF(ISERROR(VLOOKUP($A263,'SegEnds_NonXtal_BW#'!$A:$Z,25,FALSE)+VLOOKUP($A263,A:AL,37,FALSE)-50),"-",(VLOOKUP($A263,'SegEnds_NonXtal_BW#'!$A:$Z,25,FALSE)+VLOOKUP($A263,A:AL,37,FALSE)-50))</f>
        <v>387</v>
      </c>
      <c r="AK263" s="3">
        <v>390</v>
      </c>
      <c r="AL263" s="3">
        <f>IF(ISERROR((VLOOKUP($A263,'SegEnds_NonXtal_BW#'!$A:$Z,26,FALSE)+VLOOKUP($A263,A:AL,37,FALSE)-50)),"-",(VLOOKUP($A263,'SegEnds_NonXtal_BW#'!$A:$Z,26,FALSE)+VLOOKUP($A263,A:AL,37,FALSE)-50))</f>
        <v>399</v>
      </c>
      <c r="AM263" s="28" t="str">
        <f>VLOOKUP(A263,Classification!A:B,2,FALSE)</f>
        <v>A</v>
      </c>
      <c r="AN263" s="28" t="b">
        <f t="shared" si="188"/>
        <v>1</v>
      </c>
      <c r="AO263" s="3" t="str">
        <f>IF(ISERROR(MATCH(A263,'SegEnds_Xtal_Prot#'!B:B, 0)), "NoXtal", "Xtal")</f>
        <v>Xtal</v>
      </c>
      <c r="AP263" s="3">
        <f t="shared" si="173"/>
        <v>1</v>
      </c>
      <c r="AQ263" s="3">
        <f t="shared" si="174"/>
        <v>1</v>
      </c>
      <c r="AR263" s="3">
        <f t="shared" si="175"/>
        <v>3</v>
      </c>
      <c r="AS263" s="3">
        <f t="shared" si="176"/>
        <v>1</v>
      </c>
      <c r="AT263" s="3">
        <f t="shared" si="177"/>
        <v>1</v>
      </c>
      <c r="AU263" s="3">
        <f t="shared" si="178"/>
        <v>3</v>
      </c>
      <c r="AV263" s="3">
        <f t="shared" si="179"/>
        <v>10</v>
      </c>
      <c r="AW263" s="3">
        <f t="shared" si="180"/>
        <v>2</v>
      </c>
      <c r="AX263" s="3">
        <f t="shared" si="181"/>
        <v>92</v>
      </c>
      <c r="AY263" s="3">
        <f t="shared" si="182"/>
        <v>7</v>
      </c>
      <c r="AZ263" s="3">
        <f t="shared" si="183"/>
        <v>1</v>
      </c>
      <c r="BA263" s="3">
        <f>IF(ISERROR(LEN(VLOOKUP(A263,Seqs!A:E,2,FALSE))-AL263),"-",LEN(VLOOKUP(A263,Seqs!A:E,2,FALSE))-AL263)</f>
        <v>1</v>
      </c>
      <c r="BB263" s="16">
        <f t="shared" si="184"/>
        <v>28</v>
      </c>
      <c r="BC263" s="9">
        <f t="shared" si="185"/>
        <v>23</v>
      </c>
      <c r="BD263" s="3">
        <f t="shared" si="186"/>
        <v>28</v>
      </c>
      <c r="BE263" s="3">
        <f t="shared" si="187"/>
        <v>144</v>
      </c>
      <c r="BF263" s="3">
        <f>AH263-AE263</f>
        <v>36</v>
      </c>
    </row>
    <row r="264" spans="1:58" s="3" customFormat="1" x14ac:dyDescent="0.2">
      <c r="A264" s="3" t="s">
        <v>142</v>
      </c>
      <c r="B264" s="3" t="str">
        <f>LOWER(VLOOKUP(A264,Xtal_Templ!A:B,2,FALSE))</f>
        <v>fpr2_human</v>
      </c>
      <c r="C264" s="3">
        <f>VLOOKUP($A264,'SegEnds_NonXtal_BW#'!$A:$Z,3,FALSE)+D264-50</f>
        <v>51</v>
      </c>
      <c r="D264" s="3">
        <v>76</v>
      </c>
      <c r="E264" s="3">
        <f>IF(ISERROR(VLOOKUP($A264,'SegEnds_NonXtal_BW#'!$A:$Z,4,FALSE)+VLOOKUP($A264,A:AL,4,FALSE)-50),"-",(VLOOKUP($A264,'SegEnds_NonXtal_BW#'!$A:$Z,4,FALSE)+VLOOKUP($A264,A:AL,4,FALSE)-50))</f>
        <v>87</v>
      </c>
      <c r="F264" s="3" t="str">
        <f>IF(ISERROR(VLOOKUP($A264,'SegEnds_NonXtal_BW#'!$A:$Z,5,FALSE)+VLOOKUP($A264,A:AL,7,FALSE)-50),"-",(VLOOKUP($A264,'SegEnds_NonXtal_BW#'!$A:$Z,5,FALSE)+VLOOKUP($A264,A:AL,7,FALSE)-50))</f>
        <v>-</v>
      </c>
      <c r="G264" s="3" t="s">
        <v>23</v>
      </c>
      <c r="H264" s="3" t="str">
        <f>IF(ISERROR(VLOOKUP($A264,'SegEnds_NonXtal_BW#'!$A:$Z,6,FALSE)+VLOOKUP($A264,A:AL,7,FALSE)-50),"-",(VLOOKUP($A264,'SegEnds_NonXtal_BW#'!$A:$Z,6,FALSE)+VLOOKUP($A264,A:AL,7,FALSE)-50))</f>
        <v>-</v>
      </c>
      <c r="I264" s="3">
        <f>VLOOKUP($A264,'SegEnds_NonXtal_BW#'!$A:$Z,7,FALSE)+J264-50</f>
        <v>93</v>
      </c>
      <c r="J264" s="3">
        <v>106</v>
      </c>
      <c r="K264" s="3">
        <f>VLOOKUP($A264,'SegEnds_NonXtal_BW#'!$A:$Z,8,FALSE)+VLOOKUP($A264,A:AL,10,FALSE)-50</f>
        <v>122</v>
      </c>
      <c r="L264" s="3" t="str">
        <f>IF(ISERROR(VLOOKUP($A264,'SegEnds_NonXtal_BW#'!$A:$Z,9,FALSE)+VLOOKUP($A264,A:AL,13,FALSE)-50),"-",(VLOOKUP($A264,'SegEnds_NonXtal_BW#'!$A:$Z,9,FALSE)+VLOOKUP($A264,A:AL,13,FALSE)-50))</f>
        <v>-</v>
      </c>
      <c r="M264" s="3" t="s">
        <v>23</v>
      </c>
      <c r="N264" s="3" t="str">
        <f>IF(ISERROR(VLOOKUP($A264,'SegEnds_NonXtal_BW#'!$A:$Z,10,FALSE)+VLOOKUP($A264,A:AL,13,FALSE)-50),"-",(VLOOKUP($A264,'SegEnds_NonXtal_BW#'!$A:$Z,10,FALSE)+VLOOKUP($A264,A:AL,13,FALSE)-50))</f>
        <v>-</v>
      </c>
      <c r="O264" s="3">
        <f>VLOOKUP($A264,'SegEnds_NonXtal_BW#'!$A:$Z,11,FALSE)+VLOOKUP($A264,A:AL,16,FALSE)-50</f>
        <v>128</v>
      </c>
      <c r="P264" s="3">
        <v>154</v>
      </c>
      <c r="Q264" s="3">
        <f>VLOOKUP($A264,'SegEnds_NonXtal_BW#'!$A:$Z,12,FALSE)+VLOOKUP($A264,A:AL,16,FALSE)-50</f>
        <v>160</v>
      </c>
      <c r="R264" s="3" t="str">
        <f>IF(ISERROR(VLOOKUP($A264,'SegEnds_NonXtal_BW#'!$A:$Z,13,FALSE)+VLOOKUP($A264,A:AL,19,FALSE)-50),"-",VLOOKUP($A264,'SegEnds_NonXtal_BW#'!$A:$Z,13,FALSE)+VLOOKUP($A264,A:AL,19,FALSE)-50)</f>
        <v>-</v>
      </c>
      <c r="S264" s="3" t="s">
        <v>23</v>
      </c>
      <c r="T264" s="100" t="str">
        <f>IF(ISERROR(VLOOKUP($A264,'SegEnds_NonXtal_BW#'!$A:$Z,14,FALSE)+VLOOKUP($A264,A:AL,19,FALSE)-50),"-",(VLOOKUP($A264,'SegEnds_NonXtal_BW#'!$A:$Z,14,FALSE)+VLOOKUP($A264,A:AL,19,FALSE)-50))</f>
        <v>-</v>
      </c>
      <c r="U264" s="9">
        <f>IF(ISERROR(VLOOKUP($A264,'SegEnds_NonXtal_BW#'!$A:$Z,15,FALSE)+VLOOKUP($A264,A:AL,22,FALSE)-50),"-",VLOOKUP($A264,'SegEnds_NonXtal_BW#'!$A:$Z,15,FALSE)+VLOOKUP($A264,A:AL,22,FALSE)-50)</f>
        <v>162</v>
      </c>
      <c r="V264" s="3">
        <v>174</v>
      </c>
      <c r="W264" s="3">
        <f>IF(ISERROR(VLOOKUP($A264,'SegEnds_NonXtal_BW#'!$A:$Z,16,FALSE)+VLOOKUP($A264,A:AL,22,FALSE)-50),"-",(VLOOKUP($A264,'SegEnds_NonXtal_BW#'!$A:$Z,16,FALSE)+VLOOKUP($A264,A:AL,22,FALSE)-50))</f>
        <v>188</v>
      </c>
      <c r="X264" s="3">
        <f>IF(ISERROR(VLOOKUP($A264,'SegEnds_NonXtal_BW#'!$A:$Z,17,FALSE)+VLOOKUP($A264,A:AL,25,FALSE)-50),"-",(VLOOKUP($A264,'SegEnds_NonXtal_BW#'!$A:$Z,17,FALSE)+VLOOKUP($A264,A:AL,25,FALSE)-50))</f>
        <v>195</v>
      </c>
      <c r="Y264" s="3">
        <v>195</v>
      </c>
      <c r="Z264" s="3">
        <f t="shared" si="144"/>
        <v>197</v>
      </c>
      <c r="AA264" s="3">
        <f>IF(ISERROR(VLOOKUP($A264,'SegEnds_NonXtal_BW#'!$A:$Z,19,FALSE)+VLOOKUP($A264,A:AL,28,FALSE)-50),"-",(VLOOKUP($A264,'SegEnds_NonXtal_BW#'!$A:$Z,19,FALSE)+VLOOKUP($A264,A:AL,28,FALSE)-50))</f>
        <v>203</v>
      </c>
      <c r="AB264" s="3">
        <v>218</v>
      </c>
      <c r="AC264" s="3">
        <f>IF(ISERROR((VLOOKUP($A264,'SegEnds_NonXtal_BW#'!$A:$Z,20,FALSE)+VLOOKUP($A264,A:AL,28,FALSE)-50)),"-",(VLOOKUP($A264,'SegEnds_NonXtal_BW#'!$A:$Z,20,FALSE)+VLOOKUP($A264,A:AL,28,FALSE)-50))</f>
        <v>232</v>
      </c>
      <c r="AD264" s="3">
        <f>IF(ISERROR(VLOOKUP($A264,'SegEnds_NonXtal_BW#'!$A:$Z,21,FALSE)+VLOOKUP($A264,A:AL,31,FALSE)-50),"-",(VLOOKUP($A264,'SegEnds_NonXtal_BW#'!$A:$Z,21,FALSE)+VLOOKUP($A264,A:AL,31,FALSE)-50))</f>
        <v>239</v>
      </c>
      <c r="AE264" s="3">
        <v>255</v>
      </c>
      <c r="AF264" s="3">
        <f>IF(ISERROR((VLOOKUP($A264,'SegEnds_NonXtal_BW#'!$A:$Z,22,FALSE)+VLOOKUP($A264,A:AL,31,FALSE)-50)),"-",(VLOOKUP($A264,'SegEnds_NonXtal_BW#'!$A:$Z,22,FALSE)+VLOOKUP($A264,A:AL,31,FALSE)-50))</f>
        <v>269</v>
      </c>
      <c r="AG264" s="3">
        <f>IF(ISERROR(VLOOKUP($A264,'SegEnds_NonXtal_BW#'!$A:$Z,23,FALSE)+VLOOKUP($A264,A:AL,34,FALSE)-50),"-",(VLOOKUP($A264,'SegEnds_NonXtal_BW#'!$A:$Z,23,FALSE)+VLOOKUP($A264,A:AL,34,FALSE)-50))</f>
        <v>275</v>
      </c>
      <c r="AH264" s="3">
        <v>301</v>
      </c>
      <c r="AI264" s="3">
        <f>IF(ISERROR((VLOOKUP($A264,'SegEnds_NonXtal_BW#'!$A:$Z,24,FALSE)+VLOOKUP($A264,A:AL,34,FALSE)-50)),"-",(VLOOKUP($A264,'SegEnds_NonXtal_BW#'!$A:$Z,24,FALSE)+VLOOKUP($A264,A:AL,34,FALSE)-50))</f>
        <v>307</v>
      </c>
      <c r="AJ264" s="3">
        <f>IF(ISERROR(VLOOKUP($A264,'SegEnds_NonXtal_BW#'!$A:$Z,25,FALSE)+VLOOKUP($A264,A:AL,37,FALSE)-50),"-",(VLOOKUP($A264,'SegEnds_NonXtal_BW#'!$A:$Z,25,FALSE)+VLOOKUP($A264,A:AL,37,FALSE)-50))</f>
        <v>308</v>
      </c>
      <c r="AK264" s="3">
        <v>311</v>
      </c>
      <c r="AL264" s="3">
        <f>IF(ISERROR((VLOOKUP($A264,'SegEnds_NonXtal_BW#'!$A:$Z,26,FALSE)+VLOOKUP($A264,A:AL,37,FALSE)-50)),"-",(VLOOKUP($A264,'SegEnds_NonXtal_BW#'!$A:$Z,26,FALSE)+VLOOKUP($A264,A:AL,37,FALSE)-50))</f>
        <v>319</v>
      </c>
      <c r="AM264" s="28" t="str">
        <f>VLOOKUP(A264,Classification!A:B,2,FALSE)</f>
        <v>A</v>
      </c>
      <c r="AN264" s="28" t="b">
        <f t="shared" si="188"/>
        <v>1</v>
      </c>
      <c r="AO264" s="3" t="str">
        <f>IF(ISERROR(MATCH(A264,'SegEnds_Xtal_Prot#'!B:B, 0)), "NoXtal", "Xtal")</f>
        <v>NoXtal</v>
      </c>
      <c r="AP264" s="3" t="str">
        <f t="shared" si="173"/>
        <v>-</v>
      </c>
      <c r="AQ264" s="3" t="str">
        <f t="shared" si="174"/>
        <v>-</v>
      </c>
      <c r="AR264" s="3" t="str">
        <f t="shared" si="175"/>
        <v>-</v>
      </c>
      <c r="AS264" s="3" t="str">
        <f t="shared" si="176"/>
        <v>-</v>
      </c>
      <c r="AT264" s="3" t="str">
        <f t="shared" si="177"/>
        <v>-</v>
      </c>
      <c r="AU264" s="3" t="str">
        <f t="shared" si="178"/>
        <v>-</v>
      </c>
      <c r="AV264" s="3">
        <f t="shared" si="179"/>
        <v>7</v>
      </c>
      <c r="AW264" s="3">
        <f t="shared" si="180"/>
        <v>6</v>
      </c>
      <c r="AX264" s="3">
        <f t="shared" si="181"/>
        <v>7</v>
      </c>
      <c r="AY264" s="3">
        <f t="shared" si="182"/>
        <v>6</v>
      </c>
      <c r="AZ264" s="3">
        <f t="shared" si="183"/>
        <v>1</v>
      </c>
      <c r="BA264" s="3">
        <f>IF(ISERROR(LEN(VLOOKUP(A264,Seqs!A:E,2,FALSE))-AL264),"-",LEN(VLOOKUP(A264,Seqs!A:E,2,FALSE))-AL264)</f>
        <v>17</v>
      </c>
      <c r="BB264" s="16">
        <f t="shared" si="184"/>
        <v>30</v>
      </c>
      <c r="BC264" s="9" t="str">
        <f t="shared" si="185"/>
        <v>-</v>
      </c>
      <c r="BD264" s="3">
        <f t="shared" si="186"/>
        <v>30</v>
      </c>
      <c r="BE264" s="3">
        <f t="shared" si="187"/>
        <v>37</v>
      </c>
      <c r="BF264" s="3">
        <f>AH264-AE264</f>
        <v>46</v>
      </c>
    </row>
    <row r="265" spans="1:58" s="3" customFormat="1" x14ac:dyDescent="0.2">
      <c r="A265" s="3" t="s">
        <v>144</v>
      </c>
      <c r="B265" s="3" t="str">
        <f>LOWER(VLOOKUP(A265,Xtal_Templ!A:B,2,FALSE))</f>
        <v>ccr7_human</v>
      </c>
      <c r="C265" s="3">
        <f>VLOOKUP($A265,'SegEnds_NonXtal_BW#'!$A:$Z,3,FALSE)+D265-50</f>
        <v>41</v>
      </c>
      <c r="D265" s="3">
        <v>62</v>
      </c>
      <c r="E265" s="3">
        <f>IF(ISERROR(VLOOKUP($A265,'SegEnds_NonXtal_BW#'!$A:$Z,4,FALSE)+VLOOKUP($A265,A:AL,4,FALSE)-50),"-",(VLOOKUP($A265,'SegEnds_NonXtal_BW#'!$A:$Z,4,FALSE)+VLOOKUP($A265,A:AL,4,FALSE)-50))</f>
        <v>72</v>
      </c>
      <c r="F265" s="3">
        <f>G265-2</f>
        <v>73</v>
      </c>
      <c r="G265" s="3">
        <v>75</v>
      </c>
      <c r="H265" s="3">
        <f t="shared" ref="H265:I267" si="189">G265+1</f>
        <v>76</v>
      </c>
      <c r="I265" s="3">
        <f t="shared" si="189"/>
        <v>77</v>
      </c>
      <c r="J265" s="3">
        <v>90</v>
      </c>
      <c r="K265" s="3">
        <f>VLOOKUP($A265,'SegEnds_NonXtal_BW#'!$A:$Z,8,FALSE)+VLOOKUP($A265,A:AL,10,FALSE)-50</f>
        <v>106</v>
      </c>
      <c r="L265" s="3">
        <f>IF(ISERROR(VLOOKUP($A265,'SegEnds_NonXtal_BW#'!$A:$Z,9,FALSE)+VLOOKUP($A265,A:AL,13,FALSE)-50),"-",(VLOOKUP($A265,'SegEnds_NonXtal_BW#'!$A:$Z,9,FALSE)+VLOOKUP($A265,A:AL,13,FALSE)-50))</f>
        <v>109</v>
      </c>
      <c r="M265" s="3">
        <v>110</v>
      </c>
      <c r="N265" s="3">
        <f>IF(ISERROR(VLOOKUP($A265,'SegEnds_NonXtal_BW#'!$A:$Z,10,FALSE)+VLOOKUP($A265,A:AL,13,FALSE)-50),"-",(VLOOKUP($A265,'SegEnds_NonXtal_BW#'!$A:$Z,10,FALSE)+VLOOKUP($A265,A:AL,13,FALSE)-50))</f>
        <v>112</v>
      </c>
      <c r="O265" s="3">
        <f>VLOOKUP($A265,'SegEnds_NonXtal_BW#'!$A:$Z,11,FALSE)+VLOOKUP($A265,A:AL,16,FALSE)-50</f>
        <v>113</v>
      </c>
      <c r="P265" s="3">
        <v>142</v>
      </c>
      <c r="Q265" s="3">
        <f>VLOOKUP($A265,'SegEnds_NonXtal_BW#'!$A:$Z,12,FALSE)+VLOOKUP($A265,A:AL,16,FALSE)-50</f>
        <v>148</v>
      </c>
      <c r="R265" s="3" t="str">
        <f>IF(ISERROR(VLOOKUP($A265,'SegEnds_NonXtal_BW#'!$A:$Z,13,FALSE)+VLOOKUP($A265,A:AL,19,FALSE)-50),"-",VLOOKUP($A265,'SegEnds_NonXtal_BW#'!$A:$Z,13,FALSE)+VLOOKUP($A265,A:AL,19,FALSE)-50)</f>
        <v>-</v>
      </c>
      <c r="S265" s="3" t="s">
        <v>23</v>
      </c>
      <c r="T265" s="100" t="str">
        <f>IF(ISERROR(VLOOKUP($A265,'SegEnds_NonXtal_BW#'!$A:$Z,14,FALSE)+VLOOKUP($A265,A:AL,19,FALSE)-50),"-",(VLOOKUP($A265,'SegEnds_NonXtal_BW#'!$A:$Z,14,FALSE)+VLOOKUP($A265,A:AL,19,FALSE)-50))</f>
        <v>-</v>
      </c>
      <c r="U265" s="9">
        <f>IF(ISERROR(VLOOKUP($A265,'SegEnds_NonXtal_BW#'!$A:$Z,15,FALSE)+VLOOKUP($A265,A:AL,22,FALSE)-50),"-",VLOOKUP($A265,'SegEnds_NonXtal_BW#'!$A:$Z,15,FALSE)+VLOOKUP($A265,A:AL,22,FALSE)-50)</f>
        <v>157</v>
      </c>
      <c r="V265" s="3">
        <v>169</v>
      </c>
      <c r="W265" s="3">
        <f>IF(ISERROR(VLOOKUP($A265,'SegEnds_NonXtal_BW#'!$A:$Z,16,FALSE)+VLOOKUP($A265,A:AL,22,FALSE)-50),"-",(VLOOKUP($A265,'SegEnds_NonXtal_BW#'!$A:$Z,16,FALSE)+VLOOKUP($A265,A:AL,22,FALSE)-50))</f>
        <v>183</v>
      </c>
      <c r="X265" s="3">
        <f>IF(ISERROR(VLOOKUP($A265,'SegEnds_NonXtal_BW#'!$A:$Z,17,FALSE)+VLOOKUP($A265,A:AL,25,FALSE)-50),"-",(VLOOKUP($A265,'SegEnds_NonXtal_BW#'!$A:$Z,17,FALSE)+VLOOKUP($A265,A:AL,25,FALSE)-50))</f>
        <v>196</v>
      </c>
      <c r="Y265" s="3">
        <v>196</v>
      </c>
      <c r="Z265" s="3">
        <f t="shared" si="144"/>
        <v>198</v>
      </c>
      <c r="AA265" s="3">
        <f>IF(ISERROR(VLOOKUP($A265,'SegEnds_NonXtal_BW#'!$A:$Z,19,FALSE)+VLOOKUP($A265,A:AL,28,FALSE)-50),"-",(VLOOKUP($A265,'SegEnds_NonXtal_BW#'!$A:$Z,19,FALSE)+VLOOKUP($A265,A:AL,28,FALSE)-50))</f>
        <v>207</v>
      </c>
      <c r="AB265" s="3">
        <v>224</v>
      </c>
      <c r="AC265" s="3">
        <f>IF(ISERROR((VLOOKUP($A265,'SegEnds_NonXtal_BW#'!$A:$Z,20,FALSE)+VLOOKUP($A265,A:AL,28,FALSE)-50)),"-",(VLOOKUP($A265,'SegEnds_NonXtal_BW#'!$A:$Z,20,FALSE)+VLOOKUP($A265,A:AL,28,FALSE)-50))</f>
        <v>242</v>
      </c>
      <c r="AD265" s="3">
        <f>IF(ISERROR(VLOOKUP($A265,'SegEnds_NonXtal_BW#'!$A:$Z,21,FALSE)+VLOOKUP($A265,A:AL,31,FALSE)-50),"-",(VLOOKUP($A265,'SegEnds_NonXtal_BW#'!$A:$Z,21,FALSE)+VLOOKUP($A265,A:AL,31,FALSE)-50))</f>
        <v>247</v>
      </c>
      <c r="AE265" s="3">
        <v>267</v>
      </c>
      <c r="AF265" s="3">
        <f>IF(ISERROR((VLOOKUP($A265,'SegEnds_NonXtal_BW#'!$A:$Z,22,FALSE)+VLOOKUP($A265,A:AL,31,FALSE)-50)),"-",(VLOOKUP($A265,'SegEnds_NonXtal_BW#'!$A:$Z,22,FALSE)+VLOOKUP($A265,A:AL,31,FALSE)-50))</f>
        <v>281</v>
      </c>
      <c r="AG265" s="3">
        <f>IF(ISERROR(VLOOKUP($A265,'SegEnds_NonXtal_BW#'!$A:$Z,23,FALSE)+VLOOKUP($A265,A:AL,34,FALSE)-50),"-",(VLOOKUP($A265,'SegEnds_NonXtal_BW#'!$A:$Z,23,FALSE)+VLOOKUP($A265,A:AL,34,FALSE)-50))</f>
        <v>286</v>
      </c>
      <c r="AH265" s="3">
        <v>312</v>
      </c>
      <c r="AI265" s="3">
        <f>IF(ISERROR((VLOOKUP($A265,'SegEnds_NonXtal_BW#'!$A:$Z,24,FALSE)+VLOOKUP($A265,A:AL,34,FALSE)-50)),"-",(VLOOKUP($A265,'SegEnds_NonXtal_BW#'!$A:$Z,24,FALSE)+VLOOKUP($A265,A:AL,34,FALSE)-50))</f>
        <v>318</v>
      </c>
      <c r="AJ265" s="3">
        <f>IF(ISERROR(VLOOKUP($A265,'SegEnds_NonXtal_BW#'!$A:$Z,25,FALSE)+VLOOKUP($A265,A:AL,37,FALSE)-50),"-",(VLOOKUP($A265,'SegEnds_NonXtal_BW#'!$A:$Z,25,FALSE)+VLOOKUP($A265,A:AL,37,FALSE)-50))</f>
        <v>319</v>
      </c>
      <c r="AK265" s="3">
        <v>322</v>
      </c>
      <c r="AL265" s="3">
        <f>IF(ISERROR((VLOOKUP($A265,'SegEnds_NonXtal_BW#'!$A:$Z,26,FALSE)+VLOOKUP($A265,A:AL,37,FALSE)-50)),"-",(VLOOKUP($A265,'SegEnds_NonXtal_BW#'!$A:$Z,26,FALSE)+VLOOKUP($A265,A:AL,37,FALSE)-50))</f>
        <v>331</v>
      </c>
      <c r="AM265" s="28" t="str">
        <f>VLOOKUP(A265,Classification!A:B,2,FALSE)</f>
        <v>A</v>
      </c>
      <c r="AN265" s="28" t="b">
        <f t="shared" si="188"/>
        <v>1</v>
      </c>
      <c r="AO265" s="3" t="str">
        <f>IF(ISERROR(MATCH(A265,'SegEnds_Xtal_Prot#'!B:B, 0)), "NoXtal", "Xtal")</f>
        <v>NoXtal</v>
      </c>
      <c r="AP265" s="3">
        <f t="shared" si="173"/>
        <v>1</v>
      </c>
      <c r="AQ265" s="3">
        <f t="shared" si="174"/>
        <v>1</v>
      </c>
      <c r="AR265" s="3">
        <f t="shared" si="175"/>
        <v>3</v>
      </c>
      <c r="AS265" s="3">
        <f t="shared" si="176"/>
        <v>1</v>
      </c>
      <c r="AT265" s="3" t="str">
        <f t="shared" si="177"/>
        <v>-</v>
      </c>
      <c r="AU265" s="3" t="str">
        <f t="shared" si="178"/>
        <v>-</v>
      </c>
      <c r="AV265" s="3">
        <f t="shared" si="179"/>
        <v>13</v>
      </c>
      <c r="AW265" s="3">
        <f t="shared" si="180"/>
        <v>9</v>
      </c>
      <c r="AX265" s="3">
        <f t="shared" si="181"/>
        <v>5</v>
      </c>
      <c r="AY265" s="3">
        <f t="shared" si="182"/>
        <v>5</v>
      </c>
      <c r="AZ265" s="3">
        <f t="shared" si="183"/>
        <v>1</v>
      </c>
      <c r="BA265" s="3">
        <f>IF(ISERROR(LEN(VLOOKUP(A265,Seqs!A:E,2,FALSE))-AL265),"-",LEN(VLOOKUP(A265,Seqs!A:E,2,FALSE))-AL265)</f>
        <v>31</v>
      </c>
      <c r="BB265" s="16">
        <f t="shared" si="184"/>
        <v>28</v>
      </c>
      <c r="BC265" s="9" t="str">
        <f t="shared" si="185"/>
        <v>-</v>
      </c>
      <c r="BD265" s="3">
        <f t="shared" si="186"/>
        <v>28</v>
      </c>
      <c r="BE265" s="3">
        <f t="shared" si="187"/>
        <v>43</v>
      </c>
      <c r="BF265" s="3">
        <f>AH265-AE265</f>
        <v>45</v>
      </c>
    </row>
    <row r="266" spans="1:58" s="3" customFormat="1" x14ac:dyDescent="0.2">
      <c r="A266" s="3" t="s">
        <v>145</v>
      </c>
      <c r="B266" s="3" t="str">
        <f>LOWER(VLOOKUP(A266,Xtal_Templ!A:B,2,FALSE))</f>
        <v>ccr9_human</v>
      </c>
      <c r="C266" s="3">
        <f>VLOOKUP($A266,'SegEnds_NonXtal_BW#'!$A:$Z,3,FALSE)+D266-50</f>
        <v>36</v>
      </c>
      <c r="D266" s="3">
        <v>59</v>
      </c>
      <c r="E266" s="3">
        <f>IF(ISERROR(VLOOKUP($A266,'SegEnds_NonXtal_BW#'!$A:$Z,4,FALSE)+VLOOKUP($A266,A:AL,4,FALSE)-50),"-",(VLOOKUP($A266,'SegEnds_NonXtal_BW#'!$A:$Z,4,FALSE)+VLOOKUP($A266,A:AL,4,FALSE)-50))</f>
        <v>69</v>
      </c>
      <c r="F266" s="3">
        <f>G266-2</f>
        <v>70</v>
      </c>
      <c r="G266" s="3">
        <v>72</v>
      </c>
      <c r="H266" s="3">
        <f t="shared" si="189"/>
        <v>73</v>
      </c>
      <c r="I266" s="3">
        <f t="shared" si="189"/>
        <v>74</v>
      </c>
      <c r="J266" s="3">
        <v>87</v>
      </c>
      <c r="K266" s="3">
        <f>VLOOKUP($A266,'SegEnds_NonXtal_BW#'!$A:$Z,8,FALSE)+VLOOKUP($A266,A:AL,10,FALSE)-50</f>
        <v>103</v>
      </c>
      <c r="L266" s="3">
        <f>IF(ISERROR(VLOOKUP($A266,'SegEnds_NonXtal_BW#'!$A:$Z,9,FALSE)+VLOOKUP($A266,A:AL,13,FALSE)-50),"-",(VLOOKUP($A266,'SegEnds_NonXtal_BW#'!$A:$Z,9,FALSE)+VLOOKUP($A266,A:AL,13,FALSE)-50))</f>
        <v>104</v>
      </c>
      <c r="M266" s="3">
        <v>105</v>
      </c>
      <c r="N266" s="3">
        <f>IF(ISERROR(VLOOKUP($A266,'SegEnds_NonXtal_BW#'!$A:$Z,10,FALSE)+VLOOKUP($A266,A:AL,13,FALSE)-50),"-",(VLOOKUP($A266,'SegEnds_NonXtal_BW#'!$A:$Z,10,FALSE)+VLOOKUP($A266,A:AL,13,FALSE)-50))</f>
        <v>107</v>
      </c>
      <c r="O266" s="3">
        <f>VLOOKUP($A266,'SegEnds_NonXtal_BW#'!$A:$Z,11,FALSE)+VLOOKUP($A266,A:AL,16,FALSE)-50</f>
        <v>108</v>
      </c>
      <c r="P266" s="3">
        <v>137</v>
      </c>
      <c r="Q266" s="3">
        <f>VLOOKUP($A266,'SegEnds_NonXtal_BW#'!$A:$Z,12,FALSE)+VLOOKUP($A266,A:AL,16,FALSE)-50</f>
        <v>143</v>
      </c>
      <c r="R266" s="3" t="str">
        <f>IF(ISERROR(VLOOKUP($A266,'SegEnds_NonXtal_BW#'!$A:$Z,13,FALSE)+VLOOKUP($A266,A:AL,19,FALSE)-50),"-",VLOOKUP($A266,'SegEnds_NonXtal_BW#'!$A:$Z,13,FALSE)+VLOOKUP($A266,A:AL,19,FALSE)-50)</f>
        <v>-</v>
      </c>
      <c r="S266" s="3" t="s">
        <v>23</v>
      </c>
      <c r="T266" s="100" t="str">
        <f>IF(ISERROR(VLOOKUP($A266,'SegEnds_NonXtal_BW#'!$A:$Z,14,FALSE)+VLOOKUP($A266,A:AL,19,FALSE)-50),"-",(VLOOKUP($A266,'SegEnds_NonXtal_BW#'!$A:$Z,14,FALSE)+VLOOKUP($A266,A:AL,19,FALSE)-50))</f>
        <v>-</v>
      </c>
      <c r="U266" s="9">
        <f>IF(ISERROR(VLOOKUP($A266,'SegEnds_NonXtal_BW#'!$A:$Z,15,FALSE)+VLOOKUP($A266,A:AL,22,FALSE)-50),"-",VLOOKUP($A266,'SegEnds_NonXtal_BW#'!$A:$Z,15,FALSE)+VLOOKUP($A266,A:AL,22,FALSE)-50)</f>
        <v>150</v>
      </c>
      <c r="V266" s="3">
        <v>162</v>
      </c>
      <c r="W266" s="3">
        <f>IF(ISERROR(VLOOKUP($A266,'SegEnds_NonXtal_BW#'!$A:$Z,16,FALSE)+VLOOKUP($A266,A:AL,22,FALSE)-50),"-",(VLOOKUP($A266,'SegEnds_NonXtal_BW#'!$A:$Z,16,FALSE)+VLOOKUP($A266,A:AL,22,FALSE)-50))</f>
        <v>176</v>
      </c>
      <c r="X266" s="3">
        <f>IF(ISERROR(VLOOKUP($A266,'SegEnds_NonXtal_BW#'!$A:$Z,17,FALSE)+VLOOKUP($A266,A:AL,25,FALSE)-50),"-",(VLOOKUP($A266,'SegEnds_NonXtal_BW#'!$A:$Z,17,FALSE)+VLOOKUP($A266,A:AL,25,FALSE)-50))</f>
        <v>184</v>
      </c>
      <c r="Y266" s="3">
        <v>184</v>
      </c>
      <c r="Z266" s="3">
        <f t="shared" si="144"/>
        <v>186</v>
      </c>
      <c r="AA266" s="3">
        <f>IF(ISERROR(VLOOKUP($A266,'SegEnds_NonXtal_BW#'!$A:$Z,19,FALSE)+VLOOKUP($A266,A:AL,28,FALSE)-50),"-",(VLOOKUP($A266,'SegEnds_NonXtal_BW#'!$A:$Z,19,FALSE)+VLOOKUP($A266,A:AL,28,FALSE)-50))</f>
        <v>195</v>
      </c>
      <c r="AB266" s="3">
        <v>212</v>
      </c>
      <c r="AC266" s="3">
        <f>IF(ISERROR((VLOOKUP($A266,'SegEnds_NonXtal_BW#'!$A:$Z,20,FALSE)+VLOOKUP($A266,A:AL,28,FALSE)-50)),"-",(VLOOKUP($A266,'SegEnds_NonXtal_BW#'!$A:$Z,20,FALSE)+VLOOKUP($A266,A:AL,28,FALSE)-50))</f>
        <v>230</v>
      </c>
      <c r="AD266" s="3">
        <f>IF(ISERROR(VLOOKUP($A266,'SegEnds_NonXtal_BW#'!$A:$Z,21,FALSE)+VLOOKUP($A266,A:AL,31,FALSE)-50),"-",(VLOOKUP($A266,'SegEnds_NonXtal_BW#'!$A:$Z,21,FALSE)+VLOOKUP($A266,A:AL,31,FALSE)-50))</f>
        <v>235</v>
      </c>
      <c r="AE266" s="3">
        <v>255</v>
      </c>
      <c r="AF266" s="3">
        <f>IF(ISERROR((VLOOKUP($A266,'SegEnds_NonXtal_BW#'!$A:$Z,22,FALSE)+VLOOKUP($A266,A:AL,31,FALSE)-50)),"-",(VLOOKUP($A266,'SegEnds_NonXtal_BW#'!$A:$Z,22,FALSE)+VLOOKUP($A266,A:AL,31,FALSE)-50))</f>
        <v>269</v>
      </c>
      <c r="AG266" s="3">
        <f>IF(ISERROR(VLOOKUP($A266,'SegEnds_NonXtal_BW#'!$A:$Z,23,FALSE)+VLOOKUP($A266,A:AL,34,FALSE)-50),"-",(VLOOKUP($A266,'SegEnds_NonXtal_BW#'!$A:$Z,23,FALSE)+VLOOKUP($A266,A:AL,34,FALSE)-50))</f>
        <v>274</v>
      </c>
      <c r="AH266" s="3">
        <v>300</v>
      </c>
      <c r="AI266" s="3">
        <f>IF(ISERROR((VLOOKUP($A266,'SegEnds_NonXtal_BW#'!$A:$Z,24,FALSE)+VLOOKUP($A266,A:AL,34,FALSE)-50)),"-",(VLOOKUP($A266,'SegEnds_NonXtal_BW#'!$A:$Z,24,FALSE)+VLOOKUP($A266,A:AL,34,FALSE)-50))</f>
        <v>306</v>
      </c>
      <c r="AJ266" s="3">
        <f>IF(ISERROR(VLOOKUP($A266,'SegEnds_NonXtal_BW#'!$A:$Z,25,FALSE)+VLOOKUP($A266,A:AL,37,FALSE)-50),"-",(VLOOKUP($A266,'SegEnds_NonXtal_BW#'!$A:$Z,25,FALSE)+VLOOKUP($A266,A:AL,37,FALSE)-50))</f>
        <v>307</v>
      </c>
      <c r="AK266" s="3">
        <v>310</v>
      </c>
      <c r="AL266" s="3">
        <f>IF(ISERROR((VLOOKUP($A266,'SegEnds_NonXtal_BW#'!$A:$Z,26,FALSE)+VLOOKUP($A266,A:AL,37,FALSE)-50)),"-",(VLOOKUP($A266,'SegEnds_NonXtal_BW#'!$A:$Z,26,FALSE)+VLOOKUP($A266,A:AL,37,FALSE)-50))</f>
        <v>327</v>
      </c>
      <c r="AM266" s="28" t="str">
        <f>VLOOKUP(A266,Classification!A:B,2,FALSE)</f>
        <v>A</v>
      </c>
      <c r="AN266" s="28" t="b">
        <f t="shared" si="188"/>
        <v>1</v>
      </c>
      <c r="AO266" s="3" t="str">
        <f>IF(ISERROR(MATCH(A266,'SegEnds_Xtal_Prot#'!B:B, 0)), "NoXtal", "Xtal")</f>
        <v>NoXtal</v>
      </c>
      <c r="AP266" s="3">
        <f t="shared" si="173"/>
        <v>1</v>
      </c>
      <c r="AQ266" s="3">
        <f t="shared" si="174"/>
        <v>1</v>
      </c>
      <c r="AR266" s="3">
        <f t="shared" si="175"/>
        <v>1</v>
      </c>
      <c r="AS266" s="3">
        <f t="shared" si="176"/>
        <v>1</v>
      </c>
      <c r="AT266" s="3" t="str">
        <f t="shared" si="177"/>
        <v>-</v>
      </c>
      <c r="AU266" s="3" t="str">
        <f t="shared" si="178"/>
        <v>-</v>
      </c>
      <c r="AV266" s="3">
        <f t="shared" si="179"/>
        <v>8</v>
      </c>
      <c r="AW266" s="3">
        <f t="shared" si="180"/>
        <v>9</v>
      </c>
      <c r="AX266" s="3">
        <f t="shared" si="181"/>
        <v>5</v>
      </c>
      <c r="AY266" s="3">
        <f t="shared" si="182"/>
        <v>5</v>
      </c>
      <c r="AZ266" s="3">
        <f t="shared" si="183"/>
        <v>1</v>
      </c>
      <c r="BA266" s="3">
        <f>IF(ISERROR(LEN(VLOOKUP(A266,Seqs!A:E,2,FALSE))-AL266),"-",LEN(VLOOKUP(A266,Seqs!A:E,2,FALSE))-AL266)</f>
        <v>23</v>
      </c>
      <c r="BB266" s="16">
        <f t="shared" si="184"/>
        <v>28</v>
      </c>
      <c r="BC266" s="9" t="str">
        <f t="shared" si="185"/>
        <v>-</v>
      </c>
      <c r="BD266" s="3">
        <f t="shared" si="186"/>
        <v>28</v>
      </c>
      <c r="BE266" s="3">
        <f t="shared" si="187"/>
        <v>43</v>
      </c>
    </row>
    <row r="267" spans="1:58" s="3" customFormat="1" x14ac:dyDescent="0.2">
      <c r="A267" s="3" t="s">
        <v>169</v>
      </c>
      <c r="B267" s="3" t="str">
        <f>LOWER(VLOOKUP(A267,Xtal_Templ!A:B,2,FALSE))</f>
        <v>ccr7_human</v>
      </c>
      <c r="C267" s="3">
        <f>VLOOKUP($A267,'SegEnds_NonXtal_BW#'!$A:$Z,3,FALSE)+D267-50</f>
        <v>38</v>
      </c>
      <c r="D267" s="3">
        <v>59</v>
      </c>
      <c r="E267" s="3">
        <f>IF(ISERROR(VLOOKUP($A267,'SegEnds_NonXtal_BW#'!$A:$Z,4,FALSE)+VLOOKUP($A267,A:AL,4,FALSE)-50),"-",(VLOOKUP($A267,'SegEnds_NonXtal_BW#'!$A:$Z,4,FALSE)+VLOOKUP($A267,A:AL,4,FALSE)-50))</f>
        <v>69</v>
      </c>
      <c r="F267" s="3">
        <f>G267-2</f>
        <v>70</v>
      </c>
      <c r="G267" s="3">
        <v>72</v>
      </c>
      <c r="H267" s="3">
        <f t="shared" si="189"/>
        <v>73</v>
      </c>
      <c r="I267" s="3">
        <f t="shared" si="189"/>
        <v>74</v>
      </c>
      <c r="J267" s="3">
        <v>88</v>
      </c>
      <c r="K267" s="3">
        <f>VLOOKUP($A267,'SegEnds_NonXtal_BW#'!$A:$Z,8,FALSE)+VLOOKUP($A267,A:AL,10,FALSE)-50</f>
        <v>104</v>
      </c>
      <c r="L267" s="3">
        <f>M267-1</f>
        <v>105</v>
      </c>
      <c r="M267" s="3">
        <v>106</v>
      </c>
      <c r="N267" s="3">
        <f>M267+2</f>
        <v>108</v>
      </c>
      <c r="O267" s="3">
        <f>N267+1</f>
        <v>109</v>
      </c>
      <c r="P267" s="3">
        <v>138</v>
      </c>
      <c r="Q267" s="3">
        <f>VLOOKUP($A267,'SegEnds_NonXtal_BW#'!$A:$Z,12,FALSE)+VLOOKUP($A267,A:AL,16,FALSE)-50</f>
        <v>144</v>
      </c>
      <c r="R267" s="3" t="str">
        <f>IF(ISERROR(VLOOKUP($A267,'SegEnds_NonXtal_BW#'!$A:$Z,13,FALSE)+VLOOKUP($A267,A:AL,19,FALSE)-50),"-",VLOOKUP($A267,'SegEnds_NonXtal_BW#'!$A:$Z,13,FALSE)+VLOOKUP($A267,A:AL,19,FALSE)-50)</f>
        <v>-</v>
      </c>
      <c r="S267" s="3" t="s">
        <v>23</v>
      </c>
      <c r="T267" s="100" t="str">
        <f>IF(ISERROR(VLOOKUP($A267,'SegEnds_NonXtal_BW#'!$A:$Z,14,FALSE)+VLOOKUP($A267,A:AL,19,FALSE)-50),"-",(VLOOKUP($A267,'SegEnds_NonXtal_BW#'!$A:$Z,14,FALSE)+VLOOKUP($A267,A:AL,19,FALSE)-50))</f>
        <v>-</v>
      </c>
      <c r="U267" s="9">
        <f>IF(ISERROR(VLOOKUP($A267,'SegEnds_NonXtal_BW#'!$A:$Z,15,FALSE)+VLOOKUP($A267,A:AL,22,FALSE)-50),"-",VLOOKUP($A267,'SegEnds_NonXtal_BW#'!$A:$Z,15,FALSE)+VLOOKUP($A267,A:AL,22,FALSE)-50)</f>
        <v>154</v>
      </c>
      <c r="V267" s="3">
        <v>166</v>
      </c>
      <c r="W267" s="3">
        <f>IF(ISERROR(VLOOKUP($A267,'SegEnds_NonXtal_BW#'!$A:$Z,16,FALSE)+VLOOKUP($A267,A:AL,22,FALSE)-50),"-",(VLOOKUP($A267,'SegEnds_NonXtal_BW#'!$A:$Z,16,FALSE)+VLOOKUP($A267,A:AL,22,FALSE)-50))</f>
        <v>180</v>
      </c>
      <c r="X267" s="3">
        <f>IF(ISERROR(VLOOKUP($A267,'SegEnds_NonXtal_BW#'!$A:$Z,17,FALSE)+VLOOKUP($A267,A:AL,25,FALSE)-50),"-",(VLOOKUP($A267,'SegEnds_NonXtal_BW#'!$A:$Z,17,FALSE)+VLOOKUP($A267,A:AL,25,FALSE)-50))</f>
        <v>191</v>
      </c>
      <c r="Y267" s="3">
        <v>191</v>
      </c>
      <c r="Z267" s="3">
        <f t="shared" si="144"/>
        <v>193</v>
      </c>
      <c r="AA267" s="3">
        <f>IF(ISERROR(VLOOKUP($A267,'SegEnds_NonXtal_BW#'!$A:$Z,19,FALSE)+VLOOKUP($A267,A:AL,28,FALSE)-50),"-",(VLOOKUP($A267,'SegEnds_NonXtal_BW#'!$A:$Z,19,FALSE)+VLOOKUP($A267,A:AL,28,FALSE)-50))</f>
        <v>202</v>
      </c>
      <c r="AB267" s="3">
        <v>219</v>
      </c>
      <c r="AC267" s="3">
        <f>IF(ISERROR((VLOOKUP($A267,'SegEnds_NonXtal_BW#'!$A:$Z,20,FALSE)+VLOOKUP($A267,A:AL,28,FALSE)-50)),"-",(VLOOKUP($A267,'SegEnds_NonXtal_BW#'!$A:$Z,20,FALSE)+VLOOKUP($A267,A:AL,28,FALSE)-50))</f>
        <v>237</v>
      </c>
      <c r="AD267" s="3">
        <f>IF(ISERROR(VLOOKUP($A267,'SegEnds_NonXtal_BW#'!$A:$Z,21,FALSE)+VLOOKUP($A267,A:AL,31,FALSE)-50),"-",(VLOOKUP($A267,'SegEnds_NonXtal_BW#'!$A:$Z,21,FALSE)+VLOOKUP($A267,A:AL,31,FALSE)-50))</f>
        <v>242</v>
      </c>
      <c r="AE267" s="3">
        <v>262</v>
      </c>
      <c r="AF267" s="3">
        <f>IF(ISERROR((VLOOKUP($A267,'SegEnds_NonXtal_BW#'!$A:$Z,22,FALSE)+VLOOKUP($A267,A:AL,31,FALSE)-50)),"-",(VLOOKUP($A267,'SegEnds_NonXtal_BW#'!$A:$Z,22,FALSE)+VLOOKUP($A267,A:AL,31,FALSE)-50))</f>
        <v>277</v>
      </c>
      <c r="AG267" s="3">
        <f>IF(ISERROR(VLOOKUP($A267,'SegEnds_NonXtal_BW#'!$A:$Z,23,FALSE)+VLOOKUP($A267,A:AL,34,FALSE)-50),"-",(VLOOKUP($A267,'SegEnds_NonXtal_BW#'!$A:$Z,23,FALSE)+VLOOKUP($A267,A:AL,34,FALSE)-50))</f>
        <v>281</v>
      </c>
      <c r="AH267" s="3">
        <v>307</v>
      </c>
      <c r="AI267" s="3">
        <f>IF(ISERROR((VLOOKUP($A267,'SegEnds_NonXtal_BW#'!$A:$Z,24,FALSE)+VLOOKUP($A267,A:AL,34,FALSE)-50)),"-",(VLOOKUP($A267,'SegEnds_NonXtal_BW#'!$A:$Z,24,FALSE)+VLOOKUP($A267,A:AL,34,FALSE)-50))</f>
        <v>313</v>
      </c>
      <c r="AJ267" s="3">
        <f>IF(ISERROR(VLOOKUP($A267,'SegEnds_NonXtal_BW#'!$A:$Z,25,FALSE)+VLOOKUP($A267,A:AL,37,FALSE)-50),"-",(VLOOKUP($A267,'SegEnds_NonXtal_BW#'!$A:$Z,25,FALSE)+VLOOKUP($A267,A:AL,37,FALSE)-50))</f>
        <v>314</v>
      </c>
      <c r="AK267" s="3">
        <v>317</v>
      </c>
      <c r="AL267" s="3">
        <f>IF(ISERROR((VLOOKUP($A267,'SegEnds_NonXtal_BW#'!$A:$Z,26,FALSE)+VLOOKUP($A267,A:AL,37,FALSE)-50)),"-",(VLOOKUP($A267,'SegEnds_NonXtal_BW#'!$A:$Z,26,FALSE)+VLOOKUP($A267,A:AL,37,FALSE)-50))</f>
        <v>326</v>
      </c>
      <c r="AM267" s="28" t="str">
        <f>VLOOKUP(A267,Classification!A:B,2,FALSE)</f>
        <v>A</v>
      </c>
      <c r="AN267" s="28" t="b">
        <f t="shared" si="188"/>
        <v>1</v>
      </c>
      <c r="AO267" s="3" t="str">
        <f>IF(ISERROR(MATCH(A267,'SegEnds_Xtal_Prot#'!B:B, 0)), "NoXtal", "Xtal")</f>
        <v>NoXtal</v>
      </c>
      <c r="AP267" s="3">
        <f t="shared" si="173"/>
        <v>1</v>
      </c>
      <c r="AQ267" s="3">
        <f t="shared" si="174"/>
        <v>1</v>
      </c>
      <c r="AR267" s="3">
        <f t="shared" si="175"/>
        <v>1</v>
      </c>
      <c r="AS267" s="3">
        <f t="shared" si="176"/>
        <v>1</v>
      </c>
      <c r="AT267" s="3" t="str">
        <f t="shared" si="177"/>
        <v>-</v>
      </c>
      <c r="AU267" s="3" t="str">
        <f t="shared" si="178"/>
        <v>-</v>
      </c>
      <c r="AV267" s="3">
        <f t="shared" si="179"/>
        <v>11</v>
      </c>
      <c r="AW267" s="3">
        <f t="shared" si="180"/>
        <v>9</v>
      </c>
      <c r="AX267" s="3">
        <f t="shared" si="181"/>
        <v>5</v>
      </c>
      <c r="AY267" s="3">
        <f t="shared" si="182"/>
        <v>4</v>
      </c>
      <c r="AZ267" s="3">
        <f t="shared" si="183"/>
        <v>1</v>
      </c>
      <c r="BA267" s="3">
        <f>IF(ISERROR(LEN(VLOOKUP(A267,Seqs!A:E,2,FALSE))-AL267),"-",LEN(VLOOKUP(A267,Seqs!A:E,2,FALSE))-AL267)</f>
        <v>36</v>
      </c>
      <c r="BB267" s="16">
        <f t="shared" si="184"/>
        <v>29</v>
      </c>
      <c r="BC267" s="9" t="str">
        <f t="shared" si="185"/>
        <v>-</v>
      </c>
      <c r="BD267" s="3">
        <f t="shared" si="186"/>
        <v>29</v>
      </c>
      <c r="BE267" s="3">
        <f t="shared" si="187"/>
        <v>43</v>
      </c>
    </row>
    <row r="268" spans="1:58" s="3" customFormat="1" x14ac:dyDescent="0.2">
      <c r="A268" s="3" t="s">
        <v>213</v>
      </c>
      <c r="B268" s="3" t="str">
        <f>LOWER(VLOOKUP(A268,Xtal_Templ!A:B,2,FALSE))</f>
        <v>par2_human</v>
      </c>
      <c r="C268" s="3">
        <f>VLOOKUP($A268,'SegEnds_NonXtal_BW#'!$A:$Z,3,FALSE)+D268-50</f>
        <v>38</v>
      </c>
      <c r="D268" s="3">
        <v>60</v>
      </c>
      <c r="E268" s="3">
        <f>IF(ISERROR(VLOOKUP($A268,'SegEnds_NonXtal_BW#'!$A:$Z,4,FALSE)+VLOOKUP($A268,A:AL,4,FALSE)-50),"-",(VLOOKUP($A268,'SegEnds_NonXtal_BW#'!$A:$Z,4,FALSE)+VLOOKUP($A268,A:AL,4,FALSE)-50))</f>
        <v>70</v>
      </c>
      <c r="F268" s="3" t="str">
        <f>IF(ISERROR(VLOOKUP($A268,'SegEnds_NonXtal_BW#'!$A:$Z,5,FALSE)+VLOOKUP($A268,A:AL,7,FALSE)-50),"-",(VLOOKUP($A268,'SegEnds_NonXtal_BW#'!$A:$Z,5,FALSE)+VLOOKUP($A268,A:AL,7,FALSE)-50))</f>
        <v>-</v>
      </c>
      <c r="G268" s="3" t="s">
        <v>23</v>
      </c>
      <c r="H268" s="3" t="str">
        <f>IF(ISERROR(VLOOKUP($A268,'SegEnds_NonXtal_BW#'!$A:$Z,6,FALSE)+VLOOKUP($A268,A:AL,7,FALSE)-50),"-",(VLOOKUP($A268,'SegEnds_NonXtal_BW#'!$A:$Z,6,FALSE)+VLOOKUP($A268,A:AL,7,FALSE)-50))</f>
        <v>-</v>
      </c>
      <c r="I268" s="3">
        <f>VLOOKUP($A268,'SegEnds_NonXtal_BW#'!$A:$Z,7,FALSE)+J268-50</f>
        <v>75</v>
      </c>
      <c r="J268" s="3">
        <v>88</v>
      </c>
      <c r="K268" s="3">
        <f>VLOOKUP($A268,'SegEnds_NonXtal_BW#'!$A:$Z,8,FALSE)+VLOOKUP($A268,A:AL,10,FALSE)-50</f>
        <v>104</v>
      </c>
      <c r="L268" s="3">
        <f>M268-1</f>
        <v>107</v>
      </c>
      <c r="M268" s="3">
        <v>108</v>
      </c>
      <c r="N268" s="3">
        <f>M268+2</f>
        <v>110</v>
      </c>
      <c r="O268" s="3">
        <f>N268+1</f>
        <v>111</v>
      </c>
      <c r="P268" s="3">
        <v>140</v>
      </c>
      <c r="Q268" s="3">
        <f>VLOOKUP($A268,'SegEnds_NonXtal_BW#'!$A:$Z,12,FALSE)+VLOOKUP($A268,A:AL,16,FALSE)-50</f>
        <v>146</v>
      </c>
      <c r="R268" s="3" t="str">
        <f>IF(ISERROR(VLOOKUP($A268,'SegEnds_NonXtal_BW#'!$A:$Z,13,FALSE)+VLOOKUP($A268,A:AL,19,FALSE)-50),"-",VLOOKUP($A268,'SegEnds_NonXtal_BW#'!$A:$Z,13,FALSE)+VLOOKUP($A268,A:AL,19,FALSE)-50)</f>
        <v>-</v>
      </c>
      <c r="S268" s="3" t="s">
        <v>23</v>
      </c>
      <c r="T268" s="100" t="str">
        <f>IF(ISERROR(VLOOKUP($A268,'SegEnds_NonXtal_BW#'!$A:$Z,14,FALSE)+VLOOKUP($A268,A:AL,19,FALSE)-50),"-",(VLOOKUP($A268,'SegEnds_NonXtal_BW#'!$A:$Z,14,FALSE)+VLOOKUP($A268,A:AL,19,FALSE)-50))</f>
        <v>-</v>
      </c>
      <c r="U268" s="9">
        <f>IF(ISERROR(VLOOKUP($A268,'SegEnds_NonXtal_BW#'!$A:$Z,15,FALSE)+VLOOKUP($A268,A:AL,22,FALSE)-50),"-",VLOOKUP($A268,'SegEnds_NonXtal_BW#'!$A:$Z,15,FALSE)+VLOOKUP($A268,A:AL,22,FALSE)-50)</f>
        <v>155</v>
      </c>
      <c r="V268" s="3">
        <v>167</v>
      </c>
      <c r="W268" s="3">
        <f>IF(ISERROR(VLOOKUP($A268,'SegEnds_NonXtal_BW#'!$A:$Z,16,FALSE)+VLOOKUP($A268,A:AL,22,FALSE)-50),"-",(VLOOKUP($A268,'SegEnds_NonXtal_BW#'!$A:$Z,16,FALSE)+VLOOKUP($A268,A:AL,22,FALSE)-50))</f>
        <v>179</v>
      </c>
      <c r="X268" s="3">
        <f>IF(ISERROR(VLOOKUP($A268,'SegEnds_NonXtal_BW#'!$A:$Z,17,FALSE)+VLOOKUP($A268,A:AL,25,FALSE)-50),"-",(VLOOKUP($A268,'SegEnds_NonXtal_BW#'!$A:$Z,17,FALSE)+VLOOKUP($A268,A:AL,25,FALSE)-50))</f>
        <v>186</v>
      </c>
      <c r="Y268" s="3">
        <v>186</v>
      </c>
      <c r="Z268" s="3">
        <f t="shared" si="144"/>
        <v>188</v>
      </c>
      <c r="AA268" s="3">
        <f>IF(ISERROR(VLOOKUP($A268,'SegEnds_NonXtal_BW#'!$A:$Z,19,FALSE)+VLOOKUP($A268,A:AL,28,FALSE)-50),"-",(VLOOKUP($A268,'SegEnds_NonXtal_BW#'!$A:$Z,19,FALSE)+VLOOKUP($A268,A:AL,28,FALSE)-50))</f>
        <v>192</v>
      </c>
      <c r="AB268" s="3">
        <v>211</v>
      </c>
      <c r="AC268" s="3">
        <f>IF(ISERROR((VLOOKUP($A268,'SegEnds_NonXtal_BW#'!$A:$Z,20,FALSE)+VLOOKUP($A268,A:AL,28,FALSE)-50)),"-",(VLOOKUP($A268,'SegEnds_NonXtal_BW#'!$A:$Z,20,FALSE)+VLOOKUP($A268,A:AL,28,FALSE)-50))</f>
        <v>228</v>
      </c>
      <c r="AD268" s="3">
        <f>IF(ISERROR(VLOOKUP($A268,'SegEnds_NonXtal_BW#'!$A:$Z,21,FALSE)+VLOOKUP($A268,A:AL,31,FALSE)-50),"-",(VLOOKUP($A268,'SegEnds_NonXtal_BW#'!$A:$Z,21,FALSE)+VLOOKUP($A268,A:AL,31,FALSE)-50))</f>
        <v>233</v>
      </c>
      <c r="AE268" s="3">
        <v>257</v>
      </c>
      <c r="AF268" s="3">
        <f>IF(ISERROR((VLOOKUP($A268,'SegEnds_NonXtal_BW#'!$A:$Z,22,FALSE)+VLOOKUP($A268,A:AL,31,FALSE)-50)),"-",(VLOOKUP($A268,'SegEnds_NonXtal_BW#'!$A:$Z,22,FALSE)+VLOOKUP($A268,A:AL,31,FALSE)-50))</f>
        <v>271</v>
      </c>
      <c r="AG268" s="3">
        <f>IF(ISERROR(VLOOKUP($A268,'SegEnds_NonXtal_BW#'!$A:$Z,23,FALSE)+VLOOKUP($A268,A:AL,34,FALSE)-50),"-",(VLOOKUP($A268,'SegEnds_NonXtal_BW#'!$A:$Z,23,FALSE)+VLOOKUP($A268,A:AL,34,FALSE)-50))</f>
        <v>279</v>
      </c>
      <c r="AH268" s="3">
        <v>305</v>
      </c>
      <c r="AI268" s="3">
        <f>IF(ISERROR((VLOOKUP($A268,'SegEnds_NonXtal_BW#'!$A:$Z,24,FALSE)+VLOOKUP($A268,A:AL,34,FALSE)-50)),"-",(VLOOKUP($A268,'SegEnds_NonXtal_BW#'!$A:$Z,24,FALSE)+VLOOKUP($A268,A:AL,34,FALSE)-50))</f>
        <v>311</v>
      </c>
      <c r="AJ268" s="3">
        <f>IF(ISERROR(VLOOKUP($A268,'SegEnds_NonXtal_BW#'!$A:$Z,25,FALSE)+VLOOKUP($A268,A:AL,37,FALSE)-50),"-",(VLOOKUP($A268,'SegEnds_NonXtal_BW#'!$A:$Z,25,FALSE)+VLOOKUP($A268,A:AL,37,FALSE)-50))</f>
        <v>312</v>
      </c>
      <c r="AK268" s="3">
        <v>315</v>
      </c>
      <c r="AL268" s="3">
        <f>IF(ISERROR((VLOOKUP($A268,'SegEnds_NonXtal_BW#'!$A:$Z,26,FALSE)+VLOOKUP($A268,A:AL,37,FALSE)-50)),"-",(VLOOKUP($A268,'SegEnds_NonXtal_BW#'!$A:$Z,26,FALSE)+VLOOKUP($A268,A:AL,37,FALSE)-50))</f>
        <v>326</v>
      </c>
      <c r="AM268" s="28" t="str">
        <f>VLOOKUP(A268,Classification!A:B,2,FALSE)</f>
        <v>A</v>
      </c>
      <c r="AN268" s="28" t="b">
        <f t="shared" si="188"/>
        <v>1</v>
      </c>
      <c r="AO268" s="3" t="str">
        <f>IF(ISERROR(MATCH(A268,'SegEnds_Xtal_Prot#'!B:B, 0)), "NoXtal", "Xtal")</f>
        <v>NoXtal</v>
      </c>
      <c r="AP268" s="3" t="str">
        <f t="shared" si="173"/>
        <v>-</v>
      </c>
      <c r="AQ268" s="3" t="str">
        <f t="shared" si="174"/>
        <v>-</v>
      </c>
      <c r="AR268" s="3">
        <f t="shared" si="175"/>
        <v>3</v>
      </c>
      <c r="AS268" s="3">
        <f t="shared" si="176"/>
        <v>1</v>
      </c>
      <c r="AT268" s="3" t="str">
        <f t="shared" si="177"/>
        <v>-</v>
      </c>
      <c r="AU268" s="3" t="str">
        <f t="shared" si="178"/>
        <v>-</v>
      </c>
      <c r="AV268" s="3">
        <f t="shared" si="179"/>
        <v>7</v>
      </c>
      <c r="AW268" s="3">
        <f t="shared" si="180"/>
        <v>4</v>
      </c>
      <c r="AX268" s="3">
        <f t="shared" si="181"/>
        <v>5</v>
      </c>
      <c r="AY268" s="3">
        <f t="shared" si="182"/>
        <v>8</v>
      </c>
      <c r="AZ268" s="3">
        <f t="shared" si="183"/>
        <v>1</v>
      </c>
      <c r="BA268" s="3">
        <f>IF(ISERROR(LEN(VLOOKUP(A268,Seqs!A:E,2,FALSE))-AL268),"-",LEN(VLOOKUP(A268,Seqs!A:E,2,FALSE))-AL268)</f>
        <v>54</v>
      </c>
      <c r="BB268" s="16">
        <f t="shared" si="184"/>
        <v>28</v>
      </c>
      <c r="BC268" s="9" t="str">
        <f t="shared" si="185"/>
        <v>-</v>
      </c>
      <c r="BD268" s="3">
        <f t="shared" si="186"/>
        <v>28</v>
      </c>
      <c r="BE268" s="3">
        <f t="shared" si="187"/>
        <v>46</v>
      </c>
    </row>
    <row r="269" spans="1:58" s="3" customFormat="1" x14ac:dyDescent="0.2">
      <c r="A269" s="3" t="s">
        <v>214</v>
      </c>
      <c r="B269" s="3" t="str">
        <f>LOWER(VLOOKUP(A269,Xtal_Templ!A:B,2,FALSE))</f>
        <v>mtr1a_human</v>
      </c>
      <c r="C269" s="3">
        <f>VLOOKUP($A269,'SegEnds_NonXtal_BW#'!$A:$Z,3,FALSE)+D269-50</f>
        <v>99</v>
      </c>
      <c r="D269" s="3">
        <v>121</v>
      </c>
      <c r="E269" s="3">
        <f>IF(ISERROR(VLOOKUP($A269,'SegEnds_NonXtal_BW#'!$A:$Z,4,FALSE)+VLOOKUP($A269,A:AL,4,FALSE)-50),"-",(VLOOKUP($A269,'SegEnds_NonXtal_BW#'!$A:$Z,4,FALSE)+VLOOKUP($A269,A:AL,4,FALSE)-50))</f>
        <v>131</v>
      </c>
      <c r="F269" s="3">
        <f>G269-2</f>
        <v>132</v>
      </c>
      <c r="G269" s="3">
        <v>134</v>
      </c>
      <c r="H269" s="3">
        <f>G269+1</f>
        <v>135</v>
      </c>
      <c r="I269" s="3">
        <f>H269+1</f>
        <v>136</v>
      </c>
      <c r="J269" s="3">
        <v>149</v>
      </c>
      <c r="K269" s="3">
        <f>VLOOKUP($A269,'SegEnds_NonXtal_BW#'!$A:$Z,8,FALSE)+VLOOKUP($A269,A:AL,10,FALSE)-50</f>
        <v>167</v>
      </c>
      <c r="L269" s="3" t="str">
        <f>IF(ISERROR(VLOOKUP($A269,'SegEnds_NonXtal_BW#'!$A:$Z,9,FALSE)+VLOOKUP($A269,A:AL,13,FALSE)-50),"-",(VLOOKUP($A269,'SegEnds_NonXtal_BW#'!$A:$Z,9,FALSE)+VLOOKUP($A269,A:AL,13,FALSE)-50))</f>
        <v>-</v>
      </c>
      <c r="M269" s="3" t="s">
        <v>23</v>
      </c>
      <c r="N269" s="3" t="str">
        <f>IF(ISERROR(VLOOKUP($A269,'SegEnds_NonXtal_BW#'!$A:$Z,10,FALSE)+VLOOKUP($A269,A:AL,13,FALSE)-50),"-",(VLOOKUP($A269,'SegEnds_NonXtal_BW#'!$A:$Z,10,FALSE)+VLOOKUP($A269,A:AL,13,FALSE)-50))</f>
        <v>-</v>
      </c>
      <c r="O269" s="3">
        <f>VLOOKUP($A269,'SegEnds_NonXtal_BW#'!$A:$Z,11,FALSE)+VLOOKUP($A269,A:AL,16,FALSE)-50</f>
        <v>177</v>
      </c>
      <c r="P269" s="3">
        <v>209</v>
      </c>
      <c r="Q269" s="3">
        <f>VLOOKUP($A269,'SegEnds_NonXtal_BW#'!$A:$Z,12,FALSE)+VLOOKUP($A269,A:AL,16,FALSE)-50</f>
        <v>215</v>
      </c>
      <c r="R269" s="3" t="str">
        <f>IF(ISERROR(VLOOKUP($A269,'SegEnds_NonXtal_BW#'!$A:$Z,13,FALSE)+VLOOKUP($A269,A:AL,19,FALSE)-50),"-",VLOOKUP($A269,'SegEnds_NonXtal_BW#'!$A:$Z,13,FALSE)+VLOOKUP($A269,A:AL,19,FALSE)-50)</f>
        <v>-</v>
      </c>
      <c r="S269" s="3" t="s">
        <v>23</v>
      </c>
      <c r="T269" s="100" t="str">
        <f>IF(ISERROR(VLOOKUP($A269,'SegEnds_NonXtal_BW#'!$A:$Z,14,FALSE)+VLOOKUP($A269,A:AL,19,FALSE)-50),"-",(VLOOKUP($A269,'SegEnds_NonXtal_BW#'!$A:$Z,14,FALSE)+VLOOKUP($A269,A:AL,19,FALSE)-50))</f>
        <v>-</v>
      </c>
      <c r="U269" s="9">
        <f>IF(ISERROR(VLOOKUP($A269,'SegEnds_NonXtal_BW#'!$A:$Z,15,FALSE)+VLOOKUP($A269,A:AL,22,FALSE)-50),"-",VLOOKUP($A269,'SegEnds_NonXtal_BW#'!$A:$Z,15,FALSE)+VLOOKUP($A269,A:AL,22,FALSE)-50)</f>
        <v>222</v>
      </c>
      <c r="V269" s="3">
        <v>234</v>
      </c>
      <c r="W269" s="3">
        <f>IF(ISERROR(VLOOKUP($A269,'SegEnds_NonXtal_BW#'!$A:$Z,16,FALSE)+VLOOKUP($A269,A:AL,22,FALSE)-50),"-",(VLOOKUP($A269,'SegEnds_NonXtal_BW#'!$A:$Z,16,FALSE)+VLOOKUP($A269,A:AL,22,FALSE)-50))</f>
        <v>248</v>
      </c>
      <c r="X269" s="3">
        <f>IF(ISERROR(VLOOKUP($A269,'SegEnds_NonXtal_BW#'!$A:$Z,17,FALSE)+VLOOKUP($A269,A:AL,25,FALSE)-50),"-",(VLOOKUP($A269,'SegEnds_NonXtal_BW#'!$A:$Z,17,FALSE)+VLOOKUP($A269,A:AL,25,FALSE)-50))</f>
        <v>262</v>
      </c>
      <c r="Y269" s="3">
        <v>262</v>
      </c>
      <c r="Z269" s="3">
        <f t="shared" si="144"/>
        <v>264</v>
      </c>
      <c r="AA269" s="3">
        <f>IF(ISERROR(VLOOKUP($A269,'SegEnds_NonXtal_BW#'!$A:$Z,19,FALSE)+VLOOKUP($A269,A:AL,28,FALSE)-50),"-",(VLOOKUP($A269,'SegEnds_NonXtal_BW#'!$A:$Z,19,FALSE)+VLOOKUP($A269,A:AL,28,FALSE)-50))</f>
        <v>274</v>
      </c>
      <c r="AB269" s="3">
        <v>289</v>
      </c>
      <c r="AC269" s="3">
        <f>IF(ISERROR((VLOOKUP($A269,'SegEnds_NonXtal_BW#'!$A:$Z,20,FALSE)+VLOOKUP($A269,A:AL,28,FALSE)-50)),"-",(VLOOKUP($A269,'SegEnds_NonXtal_BW#'!$A:$Z,20,FALSE)+VLOOKUP($A269,A:AL,28,FALSE)-50))</f>
        <v>312</v>
      </c>
      <c r="AD269" s="3">
        <f>IF(ISERROR(VLOOKUP($A269,'SegEnds_NonXtal_BW#'!$A:$Z,21,FALSE)+VLOOKUP($A269,A:AL,31,FALSE)-50),"-",(VLOOKUP($A269,'SegEnds_NonXtal_BW#'!$A:$Z,21,FALSE)+VLOOKUP($A269,A:AL,31,FALSE)-50))</f>
        <v>318</v>
      </c>
      <c r="AE269" s="3">
        <v>346</v>
      </c>
      <c r="AF269" s="3">
        <f>IF(ISERROR((VLOOKUP($A269,'SegEnds_NonXtal_BW#'!$A:$Z,22,FALSE)+VLOOKUP($A269,A:AL,31,FALSE)-50)),"-",(VLOOKUP($A269,'SegEnds_NonXtal_BW#'!$A:$Z,22,FALSE)+VLOOKUP($A269,A:AL,31,FALSE)-50))</f>
        <v>357</v>
      </c>
      <c r="AG269" s="3">
        <f>IF(ISERROR(VLOOKUP($A269,'SegEnds_NonXtal_BW#'!$A:$Z,23,FALSE)+VLOOKUP($A269,A:AL,34,FALSE)-50),"-",(VLOOKUP($A269,'SegEnds_NonXtal_BW#'!$A:$Z,23,FALSE)+VLOOKUP($A269,A:AL,34,FALSE)-50))</f>
        <v>365</v>
      </c>
      <c r="AH269" s="3">
        <v>384</v>
      </c>
      <c r="AI269" s="3">
        <f>IF(ISERROR((VLOOKUP($A269,'SegEnds_NonXtal_BW#'!$A:$Z,24,FALSE)+VLOOKUP($A269,A:AL,34,FALSE)-50)),"-",(VLOOKUP($A269,'SegEnds_NonXtal_BW#'!$A:$Z,24,FALSE)+VLOOKUP($A269,A:AL,34,FALSE)-50))</f>
        <v>390</v>
      </c>
      <c r="AJ269" s="3">
        <f>IF(ISERROR(VLOOKUP($A269,'SegEnds_NonXtal_BW#'!$A:$Z,25,FALSE)+VLOOKUP($A269,A:AL,37,FALSE)-50),"-",(VLOOKUP($A269,'SegEnds_NonXtal_BW#'!$A:$Z,25,FALSE)+VLOOKUP($A269,A:AL,37,FALSE)-50))</f>
        <v>391</v>
      </c>
      <c r="AK269" s="3">
        <v>394</v>
      </c>
      <c r="AL269" s="3">
        <f>IF(ISERROR((VLOOKUP($A269,'SegEnds_NonXtal_BW#'!$A:$Z,26,FALSE)+VLOOKUP($A269,A:AL,37,FALSE)-50)),"-",(VLOOKUP($A269,'SegEnds_NonXtal_BW#'!$A:$Z,26,FALSE)+VLOOKUP($A269,A:AL,37,FALSE)-50))</f>
        <v>407</v>
      </c>
      <c r="AM269" s="28" t="str">
        <f>VLOOKUP(A269,Classification!A:B,2,FALSE)</f>
        <v>A</v>
      </c>
      <c r="AN269" s="28" t="b">
        <f t="shared" si="188"/>
        <v>1</v>
      </c>
      <c r="AO269" s="3" t="str">
        <f>IF(ISERROR(MATCH(A269,'SegEnds_Xtal_Prot#'!B:B, 0)), "NoXtal", "Xtal")</f>
        <v>NoXtal</v>
      </c>
      <c r="AP269" s="3">
        <f t="shared" si="173"/>
        <v>1</v>
      </c>
      <c r="AQ269" s="3">
        <f t="shared" si="174"/>
        <v>1</v>
      </c>
      <c r="AR269" s="3" t="str">
        <f t="shared" si="175"/>
        <v>-</v>
      </c>
      <c r="AS269" s="3" t="str">
        <f t="shared" si="176"/>
        <v>-</v>
      </c>
      <c r="AT269" s="3" t="str">
        <f t="shared" si="177"/>
        <v>-</v>
      </c>
      <c r="AU269" s="3" t="str">
        <f t="shared" si="178"/>
        <v>-</v>
      </c>
      <c r="AV269" s="3">
        <f t="shared" si="179"/>
        <v>14</v>
      </c>
      <c r="AW269" s="3">
        <f t="shared" si="180"/>
        <v>10</v>
      </c>
      <c r="AX269" s="3">
        <f t="shared" si="181"/>
        <v>6</v>
      </c>
      <c r="AY269" s="3">
        <f t="shared" si="182"/>
        <v>8</v>
      </c>
      <c r="AZ269" s="3">
        <f t="shared" si="183"/>
        <v>1</v>
      </c>
      <c r="BA269" s="3">
        <f>IF(ISERROR(LEN(VLOOKUP(A269,Seqs!A:E,2,FALSE))-AL269),"-",LEN(VLOOKUP(A269,Seqs!A:E,2,FALSE))-AL269)</f>
        <v>87</v>
      </c>
      <c r="BB269" s="16">
        <f t="shared" si="184"/>
        <v>28</v>
      </c>
      <c r="BC269" s="9" t="str">
        <f t="shared" si="185"/>
        <v>-</v>
      </c>
      <c r="BD269" s="3">
        <f t="shared" si="186"/>
        <v>28</v>
      </c>
      <c r="BE269" s="3">
        <f t="shared" si="187"/>
        <v>57</v>
      </c>
    </row>
    <row r="270" spans="1:58" s="3" customFormat="1" x14ac:dyDescent="0.2">
      <c r="A270" s="3" t="s">
        <v>218</v>
      </c>
      <c r="B270" s="3" t="str">
        <f>LOWER(VLOOKUP(A270,Xtal_Templ!A:B,2,FALSE))</f>
        <v>fpr2_human</v>
      </c>
      <c r="C270" s="3">
        <f>VLOOKUP($A270,'SegEnds_NonXtal_BW#'!$A:$Z,3,FALSE)+D270-50</f>
        <v>20</v>
      </c>
      <c r="D270" s="3">
        <v>45</v>
      </c>
      <c r="E270" s="3">
        <f>IF(ISERROR(VLOOKUP($A270,'SegEnds_NonXtal_BW#'!$A:$Z,4,FALSE)+VLOOKUP($A270,A:AL,4,FALSE)-50),"-",(VLOOKUP($A270,'SegEnds_NonXtal_BW#'!$A:$Z,4,FALSE)+VLOOKUP($A270,A:AL,4,FALSE)-50))</f>
        <v>56</v>
      </c>
      <c r="F270" s="3" t="str">
        <f>IF(ISERROR(VLOOKUP($A270,'SegEnds_NonXtal_BW#'!$A:$Z,5,FALSE)+VLOOKUP($A270,A:AL,7,FALSE)-50),"-",(VLOOKUP($A270,'SegEnds_NonXtal_BW#'!$A:$Z,5,FALSE)+VLOOKUP($A270,A:AL,7,FALSE)-50))</f>
        <v>-</v>
      </c>
      <c r="G270" s="3" t="s">
        <v>23</v>
      </c>
      <c r="H270" s="3" t="str">
        <f>IF(ISERROR(VLOOKUP($A270,'SegEnds_NonXtal_BW#'!$A:$Z,6,FALSE)+VLOOKUP($A270,A:AL,7,FALSE)-50),"-",(VLOOKUP($A270,'SegEnds_NonXtal_BW#'!$A:$Z,6,FALSE)+VLOOKUP($A270,A:AL,7,FALSE)-50))</f>
        <v>-</v>
      </c>
      <c r="I270" s="3">
        <f>VLOOKUP($A270,'SegEnds_NonXtal_BW#'!$A:$Z,7,FALSE)+J270-50</f>
        <v>65</v>
      </c>
      <c r="J270" s="3">
        <v>78</v>
      </c>
      <c r="K270" s="3">
        <f>VLOOKUP($A270,'SegEnds_NonXtal_BW#'!$A:$Z,8,FALSE)+VLOOKUP($A270,A:AL,10,FALSE)-50</f>
        <v>91</v>
      </c>
      <c r="L270" s="3">
        <f>M270-1</f>
        <v>94</v>
      </c>
      <c r="M270" s="3">
        <v>95</v>
      </c>
      <c r="N270" s="3">
        <f>M270+2</f>
        <v>97</v>
      </c>
      <c r="O270" s="3">
        <f>N270+1</f>
        <v>98</v>
      </c>
      <c r="P270" s="3">
        <v>127</v>
      </c>
      <c r="Q270" s="3">
        <f>VLOOKUP($A270,'SegEnds_NonXtal_BW#'!$A:$Z,12,FALSE)+VLOOKUP($A270,A:AL,16,FALSE)-50</f>
        <v>133</v>
      </c>
      <c r="R270" s="3" t="str">
        <f>IF(ISERROR(VLOOKUP($A270,'SegEnds_NonXtal_BW#'!$A:$Z,13,FALSE)+VLOOKUP($A270,A:AL,19,FALSE)-50),"-",VLOOKUP($A270,'SegEnds_NonXtal_BW#'!$A:$Z,13,FALSE)+VLOOKUP($A270,A:AL,19,FALSE)-50)</f>
        <v>-</v>
      </c>
      <c r="S270" s="3" t="s">
        <v>23</v>
      </c>
      <c r="T270" s="100" t="str">
        <f>IF(ISERROR(VLOOKUP($A270,'SegEnds_NonXtal_BW#'!$A:$Z,14,FALSE)+VLOOKUP($A270,A:AL,19,FALSE)-50),"-",(VLOOKUP($A270,'SegEnds_NonXtal_BW#'!$A:$Z,14,FALSE)+VLOOKUP($A270,A:AL,19,FALSE)-50))</f>
        <v>-</v>
      </c>
      <c r="U270" s="9">
        <f>IF(ISERROR(VLOOKUP($A270,'SegEnds_NonXtal_BW#'!$A:$Z,15,FALSE)+VLOOKUP($A270,A:AL,22,FALSE)-50),"-",VLOOKUP($A270,'SegEnds_NonXtal_BW#'!$A:$Z,15,FALSE)+VLOOKUP($A270,A:AL,22,FALSE)-50)</f>
        <v>140</v>
      </c>
      <c r="V270" s="3">
        <v>152</v>
      </c>
      <c r="W270" s="3">
        <f>IF(ISERROR(VLOOKUP($A270,'SegEnds_NonXtal_BW#'!$A:$Z,16,FALSE)+VLOOKUP($A270,A:AL,22,FALSE)-50),"-",(VLOOKUP($A270,'SegEnds_NonXtal_BW#'!$A:$Z,16,FALSE)+VLOOKUP($A270,A:AL,22,FALSE)-50))</f>
        <v>166</v>
      </c>
      <c r="X270" s="3" t="str">
        <f>IF(ISERROR(VLOOKUP($A270,'SegEnds_NonXtal_BW#'!$A:$Z,17,FALSE)+VLOOKUP($A270,A:AL,25,FALSE)-50),"-",(VLOOKUP($A270,'SegEnds_NonXtal_BW#'!$A:$Z,17,FALSE)+VLOOKUP($A270,A:AL,25,FALSE)-50))</f>
        <v>-</v>
      </c>
      <c r="Y270" s="3" t="s">
        <v>23</v>
      </c>
      <c r="Z270" s="3" t="str">
        <f>IF(ISERROR(VLOOKUP($A270,'SegEnds_NonXtal_BW#'!$A:$Z,18,FALSE)+VLOOKUP($A270,A:AL,25,FALSE)-50),"-",(VLOOKUP($A270,'SegEnds_NonXtal_BW#'!$A:$Z,18,FALSE)+VLOOKUP($A270,A:AL,25,FALSE)-50))</f>
        <v>-</v>
      </c>
      <c r="AA270" s="3">
        <f>IF(ISERROR(VLOOKUP($A270,'SegEnds_NonXtal_BW#'!$A:$Z,19,FALSE)+VLOOKUP($A270,A:AL,28,FALSE)-50),"-",(VLOOKUP($A270,'SegEnds_NonXtal_BW#'!$A:$Z,19,FALSE)+VLOOKUP($A270,A:AL,28,FALSE)-50))</f>
        <v>172</v>
      </c>
      <c r="AB270" s="3">
        <v>199</v>
      </c>
      <c r="AC270" s="3">
        <f>IF(ISERROR((VLOOKUP($A270,'SegEnds_NonXtal_BW#'!$A:$Z,20,FALSE)+VLOOKUP($A270,A:AL,28,FALSE)-50)),"-",(VLOOKUP($A270,'SegEnds_NonXtal_BW#'!$A:$Z,20,FALSE)+VLOOKUP($A270,A:AL,28,FALSE)-50))</f>
        <v>217</v>
      </c>
      <c r="AD270" s="3">
        <f>IF(ISERROR(VLOOKUP($A270,'SegEnds_NonXtal_BW#'!$A:$Z,21,FALSE)+VLOOKUP($A270,A:AL,31,FALSE)-50),"-",(VLOOKUP($A270,'SegEnds_NonXtal_BW#'!$A:$Z,21,FALSE)+VLOOKUP($A270,A:AL,31,FALSE)-50))</f>
        <v>222</v>
      </c>
      <c r="AE270" s="3">
        <v>248</v>
      </c>
      <c r="AF270" s="3">
        <f>IF(ISERROR((VLOOKUP($A270,'SegEnds_NonXtal_BW#'!$A:$Z,22,FALSE)+VLOOKUP($A270,A:AL,31,FALSE)-50)),"-",(VLOOKUP($A270,'SegEnds_NonXtal_BW#'!$A:$Z,22,FALSE)+VLOOKUP($A270,A:AL,31,FALSE)-50))</f>
        <v>262</v>
      </c>
      <c r="AG270" s="3">
        <f>IF(ISERROR(VLOOKUP($A270,'SegEnds_NonXtal_BW#'!$A:$Z,23,FALSE)+VLOOKUP($A270,A:AL,34,FALSE)-50),"-",(VLOOKUP($A270,'SegEnds_NonXtal_BW#'!$A:$Z,23,FALSE)+VLOOKUP($A270,A:AL,34,FALSE)-50))</f>
        <v>267</v>
      </c>
      <c r="AH270" s="3">
        <v>293</v>
      </c>
      <c r="AI270" s="3">
        <f>IF(ISERROR((VLOOKUP($A270,'SegEnds_NonXtal_BW#'!$A:$Z,24,FALSE)+VLOOKUP($A270,A:AL,34,FALSE)-50)),"-",(VLOOKUP($A270,'SegEnds_NonXtal_BW#'!$A:$Z,24,FALSE)+VLOOKUP($A270,A:AL,34,FALSE)-50))</f>
        <v>299</v>
      </c>
      <c r="AJ270" s="3">
        <f>IF(ISERROR(VLOOKUP($A270,'SegEnds_NonXtal_BW#'!$A:$Z,25,FALSE)+VLOOKUP($A270,A:AL,37,FALSE)-50),"-",(VLOOKUP($A270,'SegEnds_NonXtal_BW#'!$A:$Z,25,FALSE)+VLOOKUP($A270,A:AL,37,FALSE)-50))</f>
        <v>300</v>
      </c>
      <c r="AK270" s="3">
        <v>303</v>
      </c>
      <c r="AL270" s="3">
        <f>IF(ISERROR((VLOOKUP($A270,'SegEnds_NonXtal_BW#'!$A:$Z,26,FALSE)+VLOOKUP($A270,A:AL,37,FALSE)-50)),"-",(VLOOKUP($A270,'SegEnds_NonXtal_BW#'!$A:$Z,26,FALSE)+VLOOKUP($A270,A:AL,37,FALSE)-50))</f>
        <v>311</v>
      </c>
      <c r="AM270" s="28" t="str">
        <f>VLOOKUP(A270,Classification!A:B,2,FALSE)</f>
        <v>A</v>
      </c>
      <c r="AN270" s="28" t="b">
        <f t="shared" si="188"/>
        <v>1</v>
      </c>
      <c r="AO270" s="3" t="str">
        <f>IF(ISERROR(MATCH(A270,'SegEnds_Xtal_Prot#'!B:B, 0)), "NoXtal", "Xtal")</f>
        <v>NoXtal</v>
      </c>
      <c r="AP270" s="3" t="str">
        <f t="shared" si="173"/>
        <v>-</v>
      </c>
      <c r="AQ270" s="3" t="str">
        <f t="shared" si="174"/>
        <v>-</v>
      </c>
      <c r="AR270" s="3">
        <f t="shared" si="175"/>
        <v>3</v>
      </c>
      <c r="AS270" s="3">
        <f t="shared" si="176"/>
        <v>1</v>
      </c>
      <c r="AT270" s="3" t="str">
        <f t="shared" si="177"/>
        <v>-</v>
      </c>
      <c r="AU270" s="3" t="str">
        <f t="shared" si="178"/>
        <v>-</v>
      </c>
      <c r="AV270" s="3" t="str">
        <f t="shared" si="179"/>
        <v>-</v>
      </c>
      <c r="AW270" s="3" t="str">
        <f t="shared" si="180"/>
        <v>-</v>
      </c>
      <c r="AX270" s="3">
        <f t="shared" si="181"/>
        <v>5</v>
      </c>
      <c r="AY270" s="3">
        <f t="shared" si="182"/>
        <v>5</v>
      </c>
      <c r="AZ270" s="3">
        <f t="shared" si="183"/>
        <v>1</v>
      </c>
      <c r="BA270" s="3">
        <f>IF(ISERROR(LEN(VLOOKUP(A270,Seqs!A:E,2,FALSE))-AL270),"-",LEN(VLOOKUP(A270,Seqs!A:E,2,FALSE))-AL270)</f>
        <v>22</v>
      </c>
      <c r="BB270" s="16">
        <f t="shared" si="184"/>
        <v>33</v>
      </c>
      <c r="BC270" s="9" t="str">
        <f t="shared" si="185"/>
        <v>-</v>
      </c>
      <c r="BD270" s="3">
        <f t="shared" si="186"/>
        <v>33</v>
      </c>
      <c r="BE270" s="3">
        <f t="shared" si="187"/>
        <v>49</v>
      </c>
      <c r="BF270" s="3">
        <f>AH270-AE270</f>
        <v>45</v>
      </c>
    </row>
    <row r="271" spans="1:58" s="3" customFormat="1" x14ac:dyDescent="0.2">
      <c r="A271" s="3" t="s">
        <v>220</v>
      </c>
      <c r="B271" s="3" t="str">
        <f>LOWER(VLOOKUP(A271,Xtal_Templ!A:B,2,FALSE))</f>
        <v>s1pr1_human</v>
      </c>
      <c r="C271" s="3">
        <f>VLOOKUP($A271,'SegEnds_NonXtal_BW#'!$A:$Z,3,FALSE)+D271-50</f>
        <v>12</v>
      </c>
      <c r="D271" s="3">
        <v>33</v>
      </c>
      <c r="E271" s="3">
        <f>IF(ISERROR(VLOOKUP($A271,'SegEnds_NonXtal_BW#'!$A:$Z,4,FALSE)+VLOOKUP($A271,A:AL,4,FALSE)-50),"-",(VLOOKUP($A271,'SegEnds_NonXtal_BW#'!$A:$Z,4,FALSE)+VLOOKUP($A271,A:AL,4,FALSE)-50))</f>
        <v>43</v>
      </c>
      <c r="F271" s="3" t="str">
        <f>IF(ISERROR(VLOOKUP($A271,'SegEnds_NonXtal_BW#'!$A:$Z,5,FALSE)+VLOOKUP($A271,A:AL,7,FALSE)-50),"-",(VLOOKUP($A271,'SegEnds_NonXtal_BW#'!$A:$Z,5,FALSE)+VLOOKUP($A271,A:AL,7,FALSE)-50))</f>
        <v>-</v>
      </c>
      <c r="G271" s="3" t="s">
        <v>23</v>
      </c>
      <c r="H271" s="3" t="str">
        <f>IF(ISERROR(VLOOKUP($A271,'SegEnds_NonXtal_BW#'!$A:$Z,6,FALSE)+VLOOKUP($A271,A:AL,7,FALSE)-50),"-",(VLOOKUP($A271,'SegEnds_NonXtal_BW#'!$A:$Z,6,FALSE)+VLOOKUP($A271,A:AL,7,FALSE)-50))</f>
        <v>-</v>
      </c>
      <c r="I271" s="3">
        <f>VLOOKUP($A271,'SegEnds_NonXtal_BW#'!$A:$Z,7,FALSE)+J271-50</f>
        <v>49</v>
      </c>
      <c r="J271" s="3">
        <v>62</v>
      </c>
      <c r="K271" s="3">
        <f>VLOOKUP($A271,'SegEnds_NonXtal_BW#'!$A:$Z,8,FALSE)+VLOOKUP($A271,A:AL,10,FALSE)-50</f>
        <v>79</v>
      </c>
      <c r="L271" s="3">
        <f>M271-1</f>
        <v>87</v>
      </c>
      <c r="M271" s="3">
        <v>88</v>
      </c>
      <c r="N271" s="3">
        <f>M271+2</f>
        <v>90</v>
      </c>
      <c r="O271" s="3">
        <f>N271+1</f>
        <v>91</v>
      </c>
      <c r="P271" s="3">
        <v>131</v>
      </c>
      <c r="Q271" s="3">
        <f>VLOOKUP($A271,'SegEnds_NonXtal_BW#'!$A:$Z,12,FALSE)+VLOOKUP($A271,A:AL,16,FALSE)-50</f>
        <v>137</v>
      </c>
      <c r="R271" s="3" t="str">
        <f>S271</f>
        <v>-</v>
      </c>
      <c r="S271" s="3" t="s">
        <v>23</v>
      </c>
      <c r="T271" s="100" t="s">
        <v>23</v>
      </c>
      <c r="U271" s="9">
        <f>IF(ISERROR(VLOOKUP($A271,'SegEnds_NonXtal_BW#'!$A:$Z,15,FALSE)+VLOOKUP($A271,A:AL,22,FALSE)-50),"-",VLOOKUP($A271,'SegEnds_NonXtal_BW#'!$A:$Z,15,FALSE)+VLOOKUP($A271,A:AL,22,FALSE)-50)</f>
        <v>146</v>
      </c>
      <c r="V271" s="3">
        <v>158</v>
      </c>
      <c r="W271" s="3">
        <f>IF(ISERROR(VLOOKUP($A271,'SegEnds_NonXtal_BW#'!$A:$Z,16,FALSE)+VLOOKUP($A271,A:AL,22,FALSE)-50),"-",(VLOOKUP($A271,'SegEnds_NonXtal_BW#'!$A:$Z,16,FALSE)+VLOOKUP($A271,A:AL,22,FALSE)-50))</f>
        <v>171</v>
      </c>
      <c r="X271" s="3" t="str">
        <f>IF(ISERROR(VLOOKUP($A271,'SegEnds_NonXtal_BW#'!$A:$Z,17,FALSE)+VLOOKUP($A271,A:AL,25,FALSE)-50),"-",(VLOOKUP($A271,'SegEnds_NonXtal_BW#'!$A:$Z,17,FALSE)+VLOOKUP($A271,A:AL,25,FALSE)-50))</f>
        <v>-</v>
      </c>
      <c r="Y271" s="3" t="s">
        <v>23</v>
      </c>
      <c r="Z271" s="3" t="str">
        <f>IF(ISERROR(VLOOKUP($A271,'SegEnds_NonXtal_BW#'!$A:$Z,18,FALSE)+VLOOKUP($A271,A:AL,25,FALSE)-50),"-",(VLOOKUP($A271,'SegEnds_NonXtal_BW#'!$A:$Z,18,FALSE)+VLOOKUP($A271,A:AL,25,FALSE)-50))</f>
        <v>-</v>
      </c>
      <c r="AA271" s="3">
        <f>IF(ISERROR(VLOOKUP($A271,'SegEnds_NonXtal_BW#'!$A:$Z,19,FALSE)+VLOOKUP($A271,A:AL,28,FALSE)-50),"-",(VLOOKUP($A271,'SegEnds_NonXtal_BW#'!$A:$Z,19,FALSE)+VLOOKUP($A271,A:AL,28,FALSE)-50))</f>
        <v>197</v>
      </c>
      <c r="AB271" s="3">
        <v>211</v>
      </c>
      <c r="AC271" s="3">
        <f>IF(ISERROR((VLOOKUP($A271,'SegEnds_NonXtal_BW#'!$A:$Z,20,FALSE)+VLOOKUP($A271,A:AL,28,FALSE)-50)),"-",(VLOOKUP($A271,'SegEnds_NonXtal_BW#'!$A:$Z,20,FALSE)+VLOOKUP($A271,A:AL,28,FALSE)-50))</f>
        <v>237</v>
      </c>
      <c r="AD271" s="3">
        <f>IF(ISERROR(VLOOKUP($A271,'SegEnds_NonXtal_BW#'!$A:$Z,21,FALSE)+VLOOKUP($A271,A:AL,31,FALSE)-50),"-",(VLOOKUP($A271,'SegEnds_NonXtal_BW#'!$A:$Z,21,FALSE)+VLOOKUP($A271,A:AL,31,FALSE)-50))</f>
        <v>299</v>
      </c>
      <c r="AE271" s="3">
        <v>325</v>
      </c>
      <c r="AF271" s="3">
        <f>IF(ISERROR((VLOOKUP($A271,'SegEnds_NonXtal_BW#'!$A:$Z,22,FALSE)+VLOOKUP($A271,A:AL,31,FALSE)-50)),"-",(VLOOKUP($A271,'SegEnds_NonXtal_BW#'!$A:$Z,22,FALSE)+VLOOKUP($A271,A:AL,31,FALSE)-50))</f>
        <v>336</v>
      </c>
      <c r="AG271" s="3">
        <f>IF(ISERROR(VLOOKUP($A271,'SegEnds_NonXtal_BW#'!$A:$Z,23,FALSE)+VLOOKUP($A271,A:AL,34,FALSE)-50),"-",(VLOOKUP($A271,'SegEnds_NonXtal_BW#'!$A:$Z,23,FALSE)+VLOOKUP($A271,A:AL,34,FALSE)-50))</f>
        <v>341</v>
      </c>
      <c r="AH271" s="3">
        <v>359</v>
      </c>
      <c r="AI271" s="3">
        <f>IF(ISERROR((VLOOKUP($A271,'SegEnds_NonXtal_BW#'!$A:$Z,24,FALSE)+VLOOKUP($A271,A:AL,34,FALSE)-50)),"-",(VLOOKUP($A271,'SegEnds_NonXtal_BW#'!$A:$Z,24,FALSE)+VLOOKUP($A271,A:AL,34,FALSE)-50))</f>
        <v>365</v>
      </c>
      <c r="AJ271" s="3">
        <f>IF(ISERROR(VLOOKUP($A271,'SegEnds_NonXtal_BW#'!$A:$Z,25,FALSE)+VLOOKUP($A271,A:AL,37,FALSE)-50),"-",(VLOOKUP($A271,'SegEnds_NonXtal_BW#'!$A:$Z,25,FALSE)+VLOOKUP($A271,A:AL,37,FALSE)-50))</f>
        <v>366</v>
      </c>
      <c r="AK271" s="3">
        <v>369</v>
      </c>
      <c r="AL271" s="3">
        <f>IF(ISERROR((VLOOKUP($A271,'SegEnds_NonXtal_BW#'!$A:$Z,26,FALSE)+VLOOKUP($A271,A:AL,37,FALSE)-50)),"-",(VLOOKUP($A271,'SegEnds_NonXtal_BW#'!$A:$Z,26,FALSE)+VLOOKUP($A271,A:AL,37,FALSE)-50))</f>
        <v>378</v>
      </c>
      <c r="AM271" s="28" t="str">
        <f>VLOOKUP(A271,Classification!A:B,2,FALSE)</f>
        <v>A</v>
      </c>
      <c r="AN271" s="28" t="b">
        <f t="shared" si="188"/>
        <v>1</v>
      </c>
      <c r="AO271" s="3" t="str">
        <f>IF(ISERROR(MATCH(A271,'SegEnds_Xtal_Prot#'!B:B, 0)), "NoXtal", "Xtal")</f>
        <v>NoXtal</v>
      </c>
      <c r="AP271" s="3" t="str">
        <f t="shared" si="173"/>
        <v>-</v>
      </c>
      <c r="AQ271" s="3" t="str">
        <f t="shared" si="174"/>
        <v>-</v>
      </c>
      <c r="AR271" s="3">
        <f t="shared" si="175"/>
        <v>8</v>
      </c>
      <c r="AS271" s="3">
        <f t="shared" si="176"/>
        <v>1</v>
      </c>
      <c r="AT271" s="3" t="str">
        <f t="shared" si="177"/>
        <v>-</v>
      </c>
      <c r="AU271" s="3" t="str">
        <f t="shared" si="178"/>
        <v>-</v>
      </c>
      <c r="AV271" s="3" t="str">
        <f t="shared" si="179"/>
        <v>-</v>
      </c>
      <c r="AW271" s="3" t="str">
        <f t="shared" si="180"/>
        <v>-</v>
      </c>
      <c r="AX271" s="3">
        <f t="shared" si="181"/>
        <v>62</v>
      </c>
      <c r="AY271" s="3">
        <f t="shared" si="182"/>
        <v>5</v>
      </c>
      <c r="AZ271" s="3">
        <f t="shared" si="183"/>
        <v>1</v>
      </c>
      <c r="BA271" s="3">
        <f>IF(ISERROR(LEN(VLOOKUP(A271,Seqs!A:E,2,FALSE))-AL271),"-",LEN(VLOOKUP(A271,Seqs!A:E,2,FALSE))-AL271)</f>
        <v>353</v>
      </c>
      <c r="BB271" s="16">
        <f t="shared" si="184"/>
        <v>29</v>
      </c>
      <c r="BC271" s="9" t="str">
        <f t="shared" si="185"/>
        <v>-</v>
      </c>
      <c r="BD271" s="3">
        <f t="shared" si="186"/>
        <v>29</v>
      </c>
      <c r="BE271" s="3">
        <f t="shared" si="187"/>
        <v>114</v>
      </c>
    </row>
    <row r="272" spans="1:58" s="3" customFormat="1" x14ac:dyDescent="0.2">
      <c r="A272" s="3" t="s">
        <v>221</v>
      </c>
      <c r="B272" s="3" t="str">
        <f>LOWER(VLOOKUP(A272,Xtal_Templ!A:B,2,FALSE))</f>
        <v>cxcr4_human</v>
      </c>
      <c r="C272" s="3">
        <f>VLOOKUP($A272,'SegEnds_NonXtal_BW#'!$A:$Z,3,FALSE)+D272-50</f>
        <v>34</v>
      </c>
      <c r="D272" s="3">
        <v>60</v>
      </c>
      <c r="E272" s="3">
        <f>IF(ISERROR(VLOOKUP($A272,'SegEnds_NonXtal_BW#'!$A:$Z,4,FALSE)+VLOOKUP($A272,A:AL,4,FALSE)-50),"-",(VLOOKUP($A272,'SegEnds_NonXtal_BW#'!$A:$Z,4,FALSE)+VLOOKUP($A272,A:AL,4,FALSE)-50))</f>
        <v>70</v>
      </c>
      <c r="F272" s="3" t="str">
        <f>IF(ISERROR(VLOOKUP($A272,'SegEnds_NonXtal_BW#'!$A:$Z,5,FALSE)+VLOOKUP($A272,A:AL,7,FALSE)-50),"-",(VLOOKUP($A272,'SegEnds_NonXtal_BW#'!$A:$Z,5,FALSE)+VLOOKUP($A272,A:AL,7,FALSE)-50))</f>
        <v>-</v>
      </c>
      <c r="G272" s="3" t="s">
        <v>23</v>
      </c>
      <c r="H272" s="3" t="str">
        <f>IF(ISERROR(VLOOKUP($A272,'SegEnds_NonXtal_BW#'!$A:$Z,6,FALSE)+VLOOKUP($A272,A:AL,7,FALSE)-50),"-",(VLOOKUP($A272,'SegEnds_NonXtal_BW#'!$A:$Z,6,FALSE)+VLOOKUP($A272,A:AL,7,FALSE)-50))</f>
        <v>-</v>
      </c>
      <c r="I272" s="3">
        <f>VLOOKUP($A272,'SegEnds_NonXtal_BW#'!$A:$Z,7,FALSE)+J272-50</f>
        <v>80</v>
      </c>
      <c r="J272" s="3">
        <v>93</v>
      </c>
      <c r="K272" s="3">
        <f>VLOOKUP($A272,'SegEnds_NonXtal_BW#'!$A:$Z,8,FALSE)+VLOOKUP($A272,A:AL,10,FALSE)-50</f>
        <v>109</v>
      </c>
      <c r="L272" s="3" t="str">
        <f>IF(ISERROR(VLOOKUP($A272,'SegEnds_NonXtal_BW#'!$A:$Z,9,FALSE)+VLOOKUP($A272,A:AL,13,FALSE)-50),"-",(VLOOKUP($A272,'SegEnds_NonXtal_BW#'!$A:$Z,9,FALSE)+VLOOKUP($A272,A:AL,13,FALSE)-50))</f>
        <v>-</v>
      </c>
      <c r="M272" s="3" t="s">
        <v>23</v>
      </c>
      <c r="N272" s="3" t="str">
        <f>IF(ISERROR(VLOOKUP($A272,'SegEnds_NonXtal_BW#'!$A:$Z,10,FALSE)+VLOOKUP($A272,A:AL,13,FALSE)-50),"-",(VLOOKUP($A272,'SegEnds_NonXtal_BW#'!$A:$Z,10,FALSE)+VLOOKUP($A272,A:AL,13,FALSE)-50))</f>
        <v>-</v>
      </c>
      <c r="O272" s="3">
        <f>VLOOKUP($A272,'SegEnds_NonXtal_BW#'!$A:$Z,11,FALSE)+VLOOKUP($A272,A:AL,16,FALSE)-50</f>
        <v>115</v>
      </c>
      <c r="P272" s="3">
        <v>147</v>
      </c>
      <c r="Q272" s="3">
        <f>VLOOKUP($A272,'SegEnds_NonXtal_BW#'!$A:$Z,12,FALSE)+VLOOKUP($A272,A:AL,16,FALSE)-50</f>
        <v>153</v>
      </c>
      <c r="R272" s="3" t="str">
        <f>IF(ISERROR(VLOOKUP($A272,'SegEnds_NonXtal_BW#'!$A:$Z,13,FALSE)+VLOOKUP($A272,A:AL,19,FALSE)-50),"-",VLOOKUP($A272,'SegEnds_NonXtal_BW#'!$A:$Z,13,FALSE)+VLOOKUP($A272,A:AL,19,FALSE)-50)</f>
        <v>-</v>
      </c>
      <c r="S272" s="3" t="s">
        <v>23</v>
      </c>
      <c r="T272" s="100" t="str">
        <f>IF(ISERROR(VLOOKUP($A272,'SegEnds_NonXtal_BW#'!$A:$Z,14,FALSE)+VLOOKUP($A272,A:AL,19,FALSE)-50),"-",(VLOOKUP($A272,'SegEnds_NonXtal_BW#'!$A:$Z,14,FALSE)+VLOOKUP($A272,A:AL,19,FALSE)-50))</f>
        <v>-</v>
      </c>
      <c r="U272" s="9">
        <f>IF(ISERROR(VLOOKUP($A272,'SegEnds_NonXtal_BW#'!$A:$Z,15,FALSE)+VLOOKUP($A272,A:AL,22,FALSE)-50),"-",VLOOKUP($A272,'SegEnds_NonXtal_BW#'!$A:$Z,15,FALSE)+VLOOKUP($A272,A:AL,22,FALSE)-50)</f>
        <v>157</v>
      </c>
      <c r="V272" s="3">
        <v>169</v>
      </c>
      <c r="W272" s="3">
        <f>IF(ISERROR(VLOOKUP($A272,'SegEnds_NonXtal_BW#'!$A:$Z,16,FALSE)+VLOOKUP($A272,A:AL,22,FALSE)-50),"-",(VLOOKUP($A272,'SegEnds_NonXtal_BW#'!$A:$Z,16,FALSE)+VLOOKUP($A272,A:AL,22,FALSE)-50))</f>
        <v>183</v>
      </c>
      <c r="X272" s="3">
        <f>IF(ISERROR(VLOOKUP($A272,'SegEnds_NonXtal_BW#'!$A:$Z,17,FALSE)+VLOOKUP($A272,A:AL,25,FALSE)-50),"-",(VLOOKUP($A272,'SegEnds_NonXtal_BW#'!$A:$Z,17,FALSE)+VLOOKUP($A272,A:AL,25,FALSE)-50))</f>
        <v>217</v>
      </c>
      <c r="Y272" s="3">
        <v>217</v>
      </c>
      <c r="Z272" s="3">
        <f t="shared" ref="Z272:Z291" si="190">Y272+2</f>
        <v>219</v>
      </c>
      <c r="AA272" s="3">
        <f>IF(ISERROR(VLOOKUP($A272,'SegEnds_NonXtal_BW#'!$A:$Z,19,FALSE)+VLOOKUP($A272,A:AL,28,FALSE)-50),"-",(VLOOKUP($A272,'SegEnds_NonXtal_BW#'!$A:$Z,19,FALSE)+VLOOKUP($A272,A:AL,28,FALSE)-50))</f>
        <v>226</v>
      </c>
      <c r="AB272" s="3">
        <v>244</v>
      </c>
      <c r="AC272" s="3">
        <f>IF(ISERROR((VLOOKUP($A272,'SegEnds_NonXtal_BW#'!$A:$Z,20,FALSE)+VLOOKUP($A272,A:AL,28,FALSE)-50)),"-",(VLOOKUP($A272,'SegEnds_NonXtal_BW#'!$A:$Z,20,FALSE)+VLOOKUP($A272,A:AL,28,FALSE)-50))</f>
        <v>268</v>
      </c>
      <c r="AD272" s="3">
        <f>IF(ISERROR(VLOOKUP($A272,'SegEnds_NonXtal_BW#'!$A:$Z,21,FALSE)+VLOOKUP($A272,A:AL,31,FALSE)-50),"-",(VLOOKUP($A272,'SegEnds_NonXtal_BW#'!$A:$Z,21,FALSE)+VLOOKUP($A272,A:AL,31,FALSE)-50))</f>
        <v>281</v>
      </c>
      <c r="AE272" s="3">
        <v>310</v>
      </c>
      <c r="AF272" s="3">
        <f>IF(ISERROR((VLOOKUP($A272,'SegEnds_NonXtal_BW#'!$A:$Z,22,FALSE)+VLOOKUP($A272,A:AL,31,FALSE)-50)),"-",(VLOOKUP($A272,'SegEnds_NonXtal_BW#'!$A:$Z,22,FALSE)+VLOOKUP($A272,A:AL,31,FALSE)-50))</f>
        <v>321</v>
      </c>
      <c r="AG272" s="3">
        <f>IF(ISERROR(VLOOKUP($A272,'SegEnds_NonXtal_BW#'!$A:$Z,23,FALSE)+VLOOKUP($A272,A:AL,34,FALSE)-50),"-",(VLOOKUP($A272,'SegEnds_NonXtal_BW#'!$A:$Z,23,FALSE)+VLOOKUP($A272,A:AL,34,FALSE)-50))</f>
        <v>323</v>
      </c>
      <c r="AH272" s="3">
        <v>349</v>
      </c>
      <c r="AI272" s="3">
        <f>IF(ISERROR((VLOOKUP($A272,'SegEnds_NonXtal_BW#'!$A:$Z,24,FALSE)+VLOOKUP($A272,A:AL,34,FALSE)-50)),"-",(VLOOKUP($A272,'SegEnds_NonXtal_BW#'!$A:$Z,24,FALSE)+VLOOKUP($A272,A:AL,34,FALSE)-50))</f>
        <v>355</v>
      </c>
      <c r="AJ272" s="3">
        <f>IF(ISERROR(VLOOKUP($A272,'SegEnds_NonXtal_BW#'!$A:$Z,25,FALSE)+VLOOKUP($A272,A:AL,37,FALSE)-50),"-",(VLOOKUP($A272,'SegEnds_NonXtal_BW#'!$A:$Z,25,FALSE)+VLOOKUP($A272,A:AL,37,FALSE)-50))</f>
        <v>356</v>
      </c>
      <c r="AK272" s="3">
        <v>359</v>
      </c>
      <c r="AL272" s="3">
        <f>IF(ISERROR((VLOOKUP($A272,'SegEnds_NonXtal_BW#'!$A:$Z,26,FALSE)+VLOOKUP($A272,A:AL,37,FALSE)-50)),"-",(VLOOKUP($A272,'SegEnds_NonXtal_BW#'!$A:$Z,26,FALSE)+VLOOKUP($A272,A:AL,37,FALSE)-50))</f>
        <v>368</v>
      </c>
      <c r="AM272" s="28" t="str">
        <f>VLOOKUP(A272,Classification!A:B,2,FALSE)</f>
        <v>A</v>
      </c>
      <c r="AN272" s="28" t="b">
        <f t="shared" si="188"/>
        <v>1</v>
      </c>
      <c r="AO272" s="3" t="str">
        <f>IF(ISERROR(MATCH(A272,'SegEnds_Xtal_Prot#'!B:B, 0)), "NoXtal", "Xtal")</f>
        <v>NoXtal</v>
      </c>
      <c r="AP272" s="3" t="str">
        <f t="shared" si="173"/>
        <v>-</v>
      </c>
      <c r="AQ272" s="3" t="str">
        <f t="shared" si="174"/>
        <v>-</v>
      </c>
      <c r="AR272" s="3" t="str">
        <f t="shared" si="175"/>
        <v>-</v>
      </c>
      <c r="AS272" s="3" t="str">
        <f t="shared" si="176"/>
        <v>-</v>
      </c>
      <c r="AT272" s="3" t="str">
        <f t="shared" si="177"/>
        <v>-</v>
      </c>
      <c r="AU272" s="3" t="str">
        <f t="shared" si="178"/>
        <v>-</v>
      </c>
      <c r="AV272" s="3">
        <f t="shared" si="179"/>
        <v>34</v>
      </c>
      <c r="AW272" s="3">
        <f t="shared" si="180"/>
        <v>7</v>
      </c>
      <c r="AX272" s="3">
        <f t="shared" si="181"/>
        <v>13</v>
      </c>
      <c r="AY272" s="3">
        <f t="shared" si="182"/>
        <v>2</v>
      </c>
      <c r="AZ272" s="3">
        <f t="shared" si="183"/>
        <v>1</v>
      </c>
      <c r="BA272" s="3">
        <f>IF(ISERROR(LEN(VLOOKUP(A272,Seqs!A:E,2,FALSE))-AL272),"-",LEN(VLOOKUP(A272,Seqs!A:E,2,FALSE))-AL272)</f>
        <v>66</v>
      </c>
      <c r="BB272" s="16">
        <f t="shared" si="184"/>
        <v>33</v>
      </c>
      <c r="BC272" s="9" t="str">
        <f t="shared" si="185"/>
        <v>-</v>
      </c>
      <c r="BD272" s="3">
        <f t="shared" si="186"/>
        <v>33</v>
      </c>
      <c r="BE272" s="3">
        <f t="shared" si="187"/>
        <v>66</v>
      </c>
    </row>
    <row r="273" spans="1:58" s="3" customFormat="1" x14ac:dyDescent="0.2">
      <c r="A273" s="3" t="s">
        <v>225</v>
      </c>
      <c r="B273" s="3" t="str">
        <f>LOWER(VLOOKUP(A273,Xtal_Templ!A:B,2,FALSE))</f>
        <v>p2y12_human</v>
      </c>
      <c r="C273" s="3">
        <f>VLOOKUP($A273,'SegEnds_NonXtal_BW#'!$A:$Z,3,FALSE)+D273-50</f>
        <v>17</v>
      </c>
      <c r="D273" s="3">
        <v>39</v>
      </c>
      <c r="E273" s="3">
        <f>IF(ISERROR(VLOOKUP($A273,'SegEnds_NonXtal_BW#'!$A:$Z,4,FALSE)+VLOOKUP($A273,A:AL,4,FALSE)-50),"-",(VLOOKUP($A273,'SegEnds_NonXtal_BW#'!$A:$Z,4,FALSE)+VLOOKUP($A273,A:AL,4,FALSE)-50))</f>
        <v>49</v>
      </c>
      <c r="F273" s="3" t="str">
        <f>IF(ISERROR(VLOOKUP($A273,'SegEnds_NonXtal_BW#'!$A:$Z,5,FALSE)+VLOOKUP($A273,A:AL,7,FALSE)-50),"-",(VLOOKUP($A273,'SegEnds_NonXtal_BW#'!$A:$Z,5,FALSE)+VLOOKUP($A273,A:AL,7,FALSE)-50))</f>
        <v>-</v>
      </c>
      <c r="G273" s="3" t="s">
        <v>23</v>
      </c>
      <c r="H273" s="3" t="str">
        <f>IF(ISERROR(VLOOKUP($A273,'SegEnds_NonXtal_BW#'!$A:$Z,6,FALSE)+VLOOKUP($A273,A:AL,7,FALSE)-50),"-",(VLOOKUP($A273,'SegEnds_NonXtal_BW#'!$A:$Z,6,FALSE)+VLOOKUP($A273,A:AL,7,FALSE)-50))</f>
        <v>-</v>
      </c>
      <c r="I273" s="3">
        <f>VLOOKUP($A273,'SegEnds_NonXtal_BW#'!$A:$Z,7,FALSE)+J273-50</f>
        <v>53</v>
      </c>
      <c r="J273" s="3">
        <v>66</v>
      </c>
      <c r="K273" s="3">
        <f>VLOOKUP($A273,'SegEnds_NonXtal_BW#'!$A:$Z,8,FALSE)+VLOOKUP($A273,A:AL,10,FALSE)-50</f>
        <v>82</v>
      </c>
      <c r="L273" s="3" t="str">
        <f>IF(ISERROR(VLOOKUP($A273,'SegEnds_NonXtal_BW#'!$A:$Z,9,FALSE)+VLOOKUP($A273,A:AL,13,FALSE)-50),"-",(VLOOKUP($A273,'SegEnds_NonXtal_BW#'!$A:$Z,9,FALSE)+VLOOKUP($A273,A:AL,13,FALSE)-50))</f>
        <v>-</v>
      </c>
      <c r="M273" s="3" t="s">
        <v>23</v>
      </c>
      <c r="N273" s="3" t="str">
        <f>IF(ISERROR(VLOOKUP($A273,'SegEnds_NonXtal_BW#'!$A:$Z,10,FALSE)+VLOOKUP($A273,A:AL,13,FALSE)-50),"-",(VLOOKUP($A273,'SegEnds_NonXtal_BW#'!$A:$Z,10,FALSE)+VLOOKUP($A273,A:AL,13,FALSE)-50))</f>
        <v>-</v>
      </c>
      <c r="O273" s="3">
        <f>VLOOKUP($A273,'SegEnds_NonXtal_BW#'!$A:$Z,11,FALSE)+VLOOKUP($A273,A:AL,16,FALSE)-50</f>
        <v>88</v>
      </c>
      <c r="P273" s="3">
        <v>120</v>
      </c>
      <c r="Q273" s="3">
        <f>VLOOKUP($A273,'SegEnds_NonXtal_BW#'!$A:$Z,12,FALSE)+VLOOKUP($A273,A:AL,16,FALSE)-50</f>
        <v>126</v>
      </c>
      <c r="R273" s="3" t="str">
        <f>IF(ISERROR(VLOOKUP($A273,'SegEnds_NonXtal_BW#'!$A:$Z,13,FALSE)+VLOOKUP($A273,A:AL,19,FALSE)-50),"-",VLOOKUP($A273,'SegEnds_NonXtal_BW#'!$A:$Z,13,FALSE)+VLOOKUP($A273,A:AL,19,FALSE)-50)</f>
        <v>-</v>
      </c>
      <c r="S273" s="3" t="s">
        <v>23</v>
      </c>
      <c r="T273" s="100" t="str">
        <f>IF(ISERROR(VLOOKUP($A273,'SegEnds_NonXtal_BW#'!$A:$Z,14,FALSE)+VLOOKUP($A273,A:AL,19,FALSE)-50),"-",(VLOOKUP($A273,'SegEnds_NonXtal_BW#'!$A:$Z,14,FALSE)+VLOOKUP($A273,A:AL,19,FALSE)-50))</f>
        <v>-</v>
      </c>
      <c r="U273" s="9">
        <f>IF(ISERROR(VLOOKUP($A273,'SegEnds_NonXtal_BW#'!$A:$Z,15,FALSE)+VLOOKUP($A273,A:AL,22,FALSE)-50),"-",VLOOKUP($A273,'SegEnds_NonXtal_BW#'!$A:$Z,15,FALSE)+VLOOKUP($A273,A:AL,22,FALSE)-50)</f>
        <v>135</v>
      </c>
      <c r="V273" s="3">
        <v>147</v>
      </c>
      <c r="W273" s="3">
        <f>IF(ISERROR(VLOOKUP($A273,'SegEnds_NonXtal_BW#'!$A:$Z,16,FALSE)+VLOOKUP($A273,A:AL,22,FALSE)-50),"-",(VLOOKUP($A273,'SegEnds_NonXtal_BW#'!$A:$Z,16,FALSE)+VLOOKUP($A273,A:AL,22,FALSE)-50))</f>
        <v>160</v>
      </c>
      <c r="X273" s="3">
        <f>IF(ISERROR(VLOOKUP($A273,'SegEnds_NonXtal_BW#'!$A:$Z,17,FALSE)+VLOOKUP($A273,A:AL,25,FALSE)-50),"-",(VLOOKUP($A273,'SegEnds_NonXtal_BW#'!$A:$Z,17,FALSE)+VLOOKUP($A273,A:AL,25,FALSE)-50))</f>
        <v>174</v>
      </c>
      <c r="Y273" s="3">
        <v>174</v>
      </c>
      <c r="Z273" s="3">
        <f t="shared" si="190"/>
        <v>176</v>
      </c>
      <c r="AA273" s="3">
        <f>IF(ISERROR(VLOOKUP($A273,'SegEnds_NonXtal_BW#'!$A:$Z,19,FALSE)+VLOOKUP($A273,A:AL,28,FALSE)-50),"-",(VLOOKUP($A273,'SegEnds_NonXtal_BW#'!$A:$Z,19,FALSE)+VLOOKUP($A273,A:AL,28,FALSE)-50))</f>
        <v>181</v>
      </c>
      <c r="AB273" s="3">
        <v>196</v>
      </c>
      <c r="AC273" s="3">
        <f>IF(ISERROR((VLOOKUP($A273,'SegEnds_NonXtal_BW#'!$A:$Z,20,FALSE)+VLOOKUP($A273,A:AL,28,FALSE)-50)),"-",(VLOOKUP($A273,'SegEnds_NonXtal_BW#'!$A:$Z,20,FALSE)+VLOOKUP($A273,A:AL,28,FALSE)-50))</f>
        <v>219</v>
      </c>
      <c r="AD273" s="3">
        <f>IF(ISERROR(VLOOKUP($A273,'SegEnds_NonXtal_BW#'!$A:$Z,21,FALSE)+VLOOKUP($A273,A:AL,31,FALSE)-50),"-",(VLOOKUP($A273,'SegEnds_NonXtal_BW#'!$A:$Z,21,FALSE)+VLOOKUP($A273,A:AL,31,FALSE)-50))</f>
        <v>228</v>
      </c>
      <c r="AE273" s="3">
        <v>254</v>
      </c>
      <c r="AF273" s="3">
        <f>IF(ISERROR((VLOOKUP($A273,'SegEnds_NonXtal_BW#'!$A:$Z,22,FALSE)+VLOOKUP($A273,A:AL,31,FALSE)-50)),"-",(VLOOKUP($A273,'SegEnds_NonXtal_BW#'!$A:$Z,22,FALSE)+VLOOKUP($A273,A:AL,31,FALSE)-50))</f>
        <v>265</v>
      </c>
      <c r="AG273" s="3">
        <f>IF(ISERROR(VLOOKUP($A273,'SegEnds_NonXtal_BW#'!$A:$Z,23,FALSE)+VLOOKUP($A273,A:AL,34,FALSE)-50),"-",(VLOOKUP($A273,'SegEnds_NonXtal_BW#'!$A:$Z,23,FALSE)+VLOOKUP($A273,A:AL,34,FALSE)-50))</f>
        <v>270</v>
      </c>
      <c r="AH273" s="3">
        <v>289</v>
      </c>
      <c r="AI273" s="3">
        <f>IF(ISERROR((VLOOKUP($A273,'SegEnds_NonXtal_BW#'!$A:$Z,24,FALSE)+VLOOKUP($A273,A:AL,34,FALSE)-50)),"-",(VLOOKUP($A273,'SegEnds_NonXtal_BW#'!$A:$Z,24,FALSE)+VLOOKUP($A273,A:AL,34,FALSE)-50))</f>
        <v>295</v>
      </c>
      <c r="AJ273" s="3">
        <f>IF(ISERROR(VLOOKUP($A273,'SegEnds_NonXtal_BW#'!$A:$Z,25,FALSE)+VLOOKUP($A273,A:AL,37,FALSE)-50),"-",(VLOOKUP($A273,'SegEnds_NonXtal_BW#'!$A:$Z,25,FALSE)+VLOOKUP($A273,A:AL,37,FALSE)-50))</f>
        <v>296</v>
      </c>
      <c r="AK273" s="3">
        <v>299</v>
      </c>
      <c r="AL273" s="3">
        <f>IF(ISERROR((VLOOKUP($A273,'SegEnds_NonXtal_BW#'!$A:$Z,26,FALSE)+VLOOKUP($A273,A:AL,37,FALSE)-50)),"-",(VLOOKUP($A273,'SegEnds_NonXtal_BW#'!$A:$Z,26,FALSE)+VLOOKUP($A273,A:AL,37,FALSE)-50))</f>
        <v>306</v>
      </c>
      <c r="AM273" s="28" t="str">
        <f>VLOOKUP(A273,Classification!A:B,2,FALSE)</f>
        <v>A</v>
      </c>
      <c r="AN273" s="28" t="b">
        <f t="shared" si="188"/>
        <v>1</v>
      </c>
      <c r="AO273" s="3" t="str">
        <f>IF(ISERROR(MATCH(A273,'SegEnds_Xtal_Prot#'!B:B, 0)), "NoXtal", "Xtal")</f>
        <v>NoXtal</v>
      </c>
      <c r="AP273" s="3" t="str">
        <f t="shared" si="173"/>
        <v>-</v>
      </c>
      <c r="AQ273" s="3" t="str">
        <f t="shared" si="174"/>
        <v>-</v>
      </c>
      <c r="AR273" s="3" t="str">
        <f t="shared" si="175"/>
        <v>-</v>
      </c>
      <c r="AS273" s="3" t="str">
        <f t="shared" si="176"/>
        <v>-</v>
      </c>
      <c r="AT273" s="3" t="str">
        <f t="shared" si="177"/>
        <v>-</v>
      </c>
      <c r="AU273" s="3" t="str">
        <f t="shared" si="178"/>
        <v>-</v>
      </c>
      <c r="AV273" s="3">
        <f t="shared" si="179"/>
        <v>14</v>
      </c>
      <c r="AW273" s="3">
        <f t="shared" si="180"/>
        <v>5</v>
      </c>
      <c r="AX273" s="3">
        <f t="shared" si="181"/>
        <v>9</v>
      </c>
      <c r="AY273" s="3">
        <f t="shared" si="182"/>
        <v>5</v>
      </c>
      <c r="AZ273" s="3">
        <f t="shared" si="183"/>
        <v>1</v>
      </c>
      <c r="BA273" s="3">
        <f>IF(ISERROR(LEN(VLOOKUP(A273,Seqs!A:E,2,FALSE))-AL273),"-",LEN(VLOOKUP(A273,Seqs!A:E,2,FALSE))-AL273)</f>
        <v>32</v>
      </c>
      <c r="BB273" s="16">
        <f t="shared" si="184"/>
        <v>27</v>
      </c>
      <c r="BC273" s="9" t="str">
        <f t="shared" si="185"/>
        <v>-</v>
      </c>
      <c r="BD273" s="3">
        <f t="shared" si="186"/>
        <v>27</v>
      </c>
      <c r="BE273" s="3">
        <f t="shared" si="187"/>
        <v>58</v>
      </c>
    </row>
    <row r="274" spans="1:58" s="3" customFormat="1" x14ac:dyDescent="0.2">
      <c r="A274" s="3" t="s">
        <v>231</v>
      </c>
      <c r="B274" s="3" t="str">
        <f>LOWER(VLOOKUP(A274,Xtal_Templ!A:B,2,FALSE))</f>
        <v>ox1r_human</v>
      </c>
      <c r="C274" s="3">
        <f>VLOOKUP($A274,'SegEnds_NonXtal_BW#'!$A:$Z,3,FALSE)+D274-50</f>
        <v>41</v>
      </c>
      <c r="D274" s="3">
        <v>59</v>
      </c>
      <c r="E274" s="3">
        <f>IF(ISERROR(VLOOKUP($A274,'SegEnds_NonXtal_BW#'!$A:$Z,4,FALSE)+VLOOKUP($A274,A:AL,4,FALSE)-50),"-",(VLOOKUP($A274,'SegEnds_NonXtal_BW#'!$A:$Z,4,FALSE)+VLOOKUP($A274,A:AL,4,FALSE)-50))</f>
        <v>69</v>
      </c>
      <c r="F274" s="3">
        <f>G274-2</f>
        <v>70</v>
      </c>
      <c r="G274" s="3">
        <v>72</v>
      </c>
      <c r="H274" s="3">
        <f t="shared" ref="H274:I276" si="191">G274+1</f>
        <v>73</v>
      </c>
      <c r="I274" s="3">
        <f t="shared" si="191"/>
        <v>74</v>
      </c>
      <c r="J274" s="3">
        <v>87</v>
      </c>
      <c r="K274" s="3">
        <f>VLOOKUP($A274,'SegEnds_NonXtal_BW#'!$A:$Z,8,FALSE)+VLOOKUP($A274,A:AL,10,FALSE)-50</f>
        <v>105</v>
      </c>
      <c r="L274" s="3">
        <f>M274-1</f>
        <v>108</v>
      </c>
      <c r="M274" s="3">
        <v>109</v>
      </c>
      <c r="N274" s="3">
        <f>M274+2</f>
        <v>111</v>
      </c>
      <c r="O274" s="3">
        <f>N274+1</f>
        <v>112</v>
      </c>
      <c r="P274" s="3">
        <v>142</v>
      </c>
      <c r="Q274" s="3">
        <f>VLOOKUP($A274,'SegEnds_NonXtal_BW#'!$A:$Z,12,FALSE)+VLOOKUP($A274,A:AL,16,FALSE)-50</f>
        <v>148</v>
      </c>
      <c r="R274" s="3" t="str">
        <f>IF(ISERROR(VLOOKUP($A274,'SegEnds_NonXtal_BW#'!$A:$Z,13,FALSE)+VLOOKUP($A274,A:AL,19,FALSE)-50),"-",VLOOKUP($A274,'SegEnds_NonXtal_BW#'!$A:$Z,13,FALSE)+VLOOKUP($A274,A:AL,19,FALSE)-50)</f>
        <v>-</v>
      </c>
      <c r="S274" s="3" t="s">
        <v>23</v>
      </c>
      <c r="T274" s="100" t="str">
        <f>IF(ISERROR(VLOOKUP($A274,'SegEnds_NonXtal_BW#'!$A:$Z,14,FALSE)+VLOOKUP($A274,A:AL,19,FALSE)-50),"-",(VLOOKUP($A274,'SegEnds_NonXtal_BW#'!$A:$Z,14,FALSE)+VLOOKUP($A274,A:AL,19,FALSE)-50))</f>
        <v>-</v>
      </c>
      <c r="U274" s="9">
        <f>IF(ISERROR(VLOOKUP($A274,'SegEnds_NonXtal_BW#'!$A:$Z,15,FALSE)+VLOOKUP($A274,A:AL,22,FALSE)-50),"-",VLOOKUP($A274,'SegEnds_NonXtal_BW#'!$A:$Z,15,FALSE)+VLOOKUP($A274,A:AL,22,FALSE)-50)</f>
        <v>155</v>
      </c>
      <c r="V274" s="3">
        <v>167</v>
      </c>
      <c r="W274" s="3">
        <f>IF(ISERROR(VLOOKUP($A274,'SegEnds_NonXtal_BW#'!$A:$Z,16,FALSE)+VLOOKUP($A274,A:AL,22,FALSE)-50),"-",(VLOOKUP($A274,'SegEnds_NonXtal_BW#'!$A:$Z,16,FALSE)+VLOOKUP($A274,A:AL,22,FALSE)-50))</f>
        <v>181</v>
      </c>
      <c r="X274" s="3">
        <f>IF(ISERROR(VLOOKUP($A274,'SegEnds_NonXtal_BW#'!$A:$Z,17,FALSE)+VLOOKUP($A274,A:AL,25,FALSE)-50),"-",(VLOOKUP($A274,'SegEnds_NonXtal_BW#'!$A:$Z,17,FALSE)+VLOOKUP($A274,A:AL,25,FALSE)-50))</f>
        <v>192</v>
      </c>
      <c r="Y274" s="3">
        <v>192</v>
      </c>
      <c r="Z274" s="3">
        <f t="shared" si="190"/>
        <v>194</v>
      </c>
      <c r="AA274" s="3">
        <f>IF(ISERROR(VLOOKUP($A274,'SegEnds_NonXtal_BW#'!$A:$Z,19,FALSE)+VLOOKUP($A274,A:AL,28,FALSE)-50),"-",(VLOOKUP($A274,'SegEnds_NonXtal_BW#'!$A:$Z,19,FALSE)+VLOOKUP($A274,A:AL,28,FALSE)-50))</f>
        <v>200</v>
      </c>
      <c r="AB274" s="3">
        <v>217</v>
      </c>
      <c r="AC274" s="3">
        <f>IF(ISERROR((VLOOKUP($A274,'SegEnds_NonXtal_BW#'!$A:$Z,20,FALSE)+VLOOKUP($A274,A:AL,28,FALSE)-50)),"-",(VLOOKUP($A274,'SegEnds_NonXtal_BW#'!$A:$Z,20,FALSE)+VLOOKUP($A274,A:AL,28,FALSE)-50))</f>
        <v>241</v>
      </c>
      <c r="AD274" s="3">
        <f>IF(ISERROR(VLOOKUP($A274,'SegEnds_NonXtal_BW#'!$A:$Z,21,FALSE)+VLOOKUP($A274,A:AL,31,FALSE)-50),"-",(VLOOKUP($A274,'SegEnds_NonXtal_BW#'!$A:$Z,21,FALSE)+VLOOKUP($A274,A:AL,31,FALSE)-50))</f>
        <v>252</v>
      </c>
      <c r="AE274" s="3">
        <v>281</v>
      </c>
      <c r="AF274" s="3">
        <f>IF(ISERROR((VLOOKUP($A274,'SegEnds_NonXtal_BW#'!$A:$Z,22,FALSE)+VLOOKUP($A274,A:AL,31,FALSE)-50)),"-",(VLOOKUP($A274,'SegEnds_NonXtal_BW#'!$A:$Z,22,FALSE)+VLOOKUP($A274,A:AL,31,FALSE)-50))</f>
        <v>292</v>
      </c>
      <c r="AG274" s="3">
        <f>IF(ISERROR(VLOOKUP($A274,'SegEnds_NonXtal_BW#'!$A:$Z,23,FALSE)+VLOOKUP($A274,A:AL,34,FALSE)-50),"-",(VLOOKUP($A274,'SegEnds_NonXtal_BW#'!$A:$Z,23,FALSE)+VLOOKUP($A274,A:AL,34,FALSE)-50))</f>
        <v>298</v>
      </c>
      <c r="AH274" s="3">
        <v>317</v>
      </c>
      <c r="AI274" s="3">
        <f>IF(ISERROR((VLOOKUP($A274,'SegEnds_NonXtal_BW#'!$A:$Z,24,FALSE)+VLOOKUP($A274,A:AL,34,FALSE)-50)),"-",(VLOOKUP($A274,'SegEnds_NonXtal_BW#'!$A:$Z,24,FALSE)+VLOOKUP($A274,A:AL,34,FALSE)-50))</f>
        <v>323</v>
      </c>
      <c r="AJ274" s="3">
        <f>IF(ISERROR(VLOOKUP($A274,'SegEnds_NonXtal_BW#'!$A:$Z,25,FALSE)+VLOOKUP($A274,A:AL,37,FALSE)-50),"-",(VLOOKUP($A274,'SegEnds_NonXtal_BW#'!$A:$Z,25,FALSE)+VLOOKUP($A274,A:AL,37,FALSE)-50))</f>
        <v>324</v>
      </c>
      <c r="AK274" s="3">
        <v>327</v>
      </c>
      <c r="AL274" s="3">
        <f>IF(ISERROR((VLOOKUP($A274,'SegEnds_NonXtal_BW#'!$A:$Z,26,FALSE)+VLOOKUP($A274,A:AL,37,FALSE)-50)),"-",(VLOOKUP($A274,'SegEnds_NonXtal_BW#'!$A:$Z,26,FALSE)+VLOOKUP($A274,A:AL,37,FALSE)-50))</f>
        <v>340</v>
      </c>
      <c r="AM274" s="28" t="str">
        <f>VLOOKUP(A274,Classification!A:B,2,FALSE)</f>
        <v>A</v>
      </c>
      <c r="AN274" s="28" t="b">
        <f t="shared" si="188"/>
        <v>1</v>
      </c>
      <c r="AO274" s="3" t="str">
        <f>IF(ISERROR(MATCH(A274,'SegEnds_Xtal_Prot#'!B:B, 0)), "NoXtal", "Xtal")</f>
        <v>NoXtal</v>
      </c>
      <c r="AP274" s="3">
        <f t="shared" si="173"/>
        <v>1</v>
      </c>
      <c r="AQ274" s="3">
        <f t="shared" si="174"/>
        <v>1</v>
      </c>
      <c r="AR274" s="3">
        <f t="shared" si="175"/>
        <v>3</v>
      </c>
      <c r="AS274" s="3">
        <f t="shared" si="176"/>
        <v>1</v>
      </c>
      <c r="AT274" s="3" t="str">
        <f t="shared" si="177"/>
        <v>-</v>
      </c>
      <c r="AU274" s="3" t="str">
        <f t="shared" si="178"/>
        <v>-</v>
      </c>
      <c r="AV274" s="3">
        <f t="shared" si="179"/>
        <v>11</v>
      </c>
      <c r="AW274" s="3">
        <f t="shared" si="180"/>
        <v>6</v>
      </c>
      <c r="AX274" s="3">
        <f t="shared" si="181"/>
        <v>11</v>
      </c>
      <c r="AY274" s="3">
        <f t="shared" si="182"/>
        <v>6</v>
      </c>
      <c r="AZ274" s="3">
        <f t="shared" si="183"/>
        <v>1</v>
      </c>
      <c r="BA274" s="3">
        <f>IF(ISERROR(LEN(VLOOKUP(A274,Seqs!A:E,2,FALSE))-AL274),"-",LEN(VLOOKUP(A274,Seqs!A:E,2,FALSE))-AL274)</f>
        <v>175</v>
      </c>
      <c r="BB274" s="16">
        <f t="shared" si="184"/>
        <v>28</v>
      </c>
      <c r="BC274" s="9" t="str">
        <f t="shared" si="185"/>
        <v>-</v>
      </c>
      <c r="BD274" s="3">
        <f t="shared" si="186"/>
        <v>28</v>
      </c>
      <c r="BE274" s="3">
        <f t="shared" si="187"/>
        <v>64</v>
      </c>
    </row>
    <row r="275" spans="1:58" s="3" customFormat="1" x14ac:dyDescent="0.2">
      <c r="A275" s="3" t="s">
        <v>234</v>
      </c>
      <c r="B275" s="3" t="str">
        <f>LOWER(VLOOKUP(A275,Xtal_Templ!A:B,2,FALSE))</f>
        <v>lpar1_human</v>
      </c>
      <c r="C275" s="3">
        <f>VLOOKUP($A275,'SegEnds_NonXtal_BW#'!$A:$Z,3,FALSE)+D275-50</f>
        <v>12</v>
      </c>
      <c r="D275" s="3">
        <v>32</v>
      </c>
      <c r="E275" s="3">
        <f>IF(ISERROR(VLOOKUP($A275,'SegEnds_NonXtal_BW#'!$A:$Z,4,FALSE)+VLOOKUP($A275,A:AL,4,FALSE)-50),"-",(VLOOKUP($A275,'SegEnds_NonXtal_BW#'!$A:$Z,4,FALSE)+VLOOKUP($A275,A:AL,4,FALSE)-50))</f>
        <v>42</v>
      </c>
      <c r="F275" s="3">
        <f>G275-2</f>
        <v>43</v>
      </c>
      <c r="G275" s="3">
        <v>45</v>
      </c>
      <c r="H275" s="3">
        <f t="shared" si="191"/>
        <v>46</v>
      </c>
      <c r="I275" s="3">
        <f t="shared" si="191"/>
        <v>47</v>
      </c>
      <c r="J275" s="3">
        <v>61</v>
      </c>
      <c r="K275" s="3">
        <f>VLOOKUP($A275,'SegEnds_NonXtal_BW#'!$A:$Z,8,FALSE)+VLOOKUP($A275,A:AL,10,FALSE)-50</f>
        <v>77</v>
      </c>
      <c r="L275" s="3" t="str">
        <f>IF(ISERROR(VLOOKUP($A275,'SegEnds_NonXtal_BW#'!$A:$Z,9,FALSE)+VLOOKUP($A275,A:AL,13,FALSE)-50),"-",(VLOOKUP($A275,'SegEnds_NonXtal_BW#'!$A:$Z,9,FALSE)+VLOOKUP($A275,A:AL,13,FALSE)-50))</f>
        <v>-</v>
      </c>
      <c r="M275" s="3" t="s">
        <v>23</v>
      </c>
      <c r="N275" s="3" t="str">
        <f>IF(ISERROR(VLOOKUP($A275,'SegEnds_NonXtal_BW#'!$A:$Z,10,FALSE)+VLOOKUP($A275,A:AL,13,FALSE)-50),"-",(VLOOKUP($A275,'SegEnds_NonXtal_BW#'!$A:$Z,10,FALSE)+VLOOKUP($A275,A:AL,13,FALSE)-50))</f>
        <v>-</v>
      </c>
      <c r="O275" s="3">
        <f>VLOOKUP($A275,'SegEnds_NonXtal_BW#'!$A:$Z,11,FALSE)+VLOOKUP($A275,A:AL,16,FALSE)-50</f>
        <v>84</v>
      </c>
      <c r="P275" s="3">
        <v>110</v>
      </c>
      <c r="Q275" s="3">
        <f>VLOOKUP($A275,'SegEnds_NonXtal_BW#'!$A:$Z,12,FALSE)+VLOOKUP($A275,A:AL,16,FALSE)-50</f>
        <v>116</v>
      </c>
      <c r="R275" s="3" t="str">
        <f>IF(ISERROR(VLOOKUP($A275,'SegEnds_NonXtal_BW#'!$A:$Z,13,FALSE)+VLOOKUP($A275,A:AL,19,FALSE)-50),"-",VLOOKUP($A275,'SegEnds_NonXtal_BW#'!$A:$Z,13,FALSE)+VLOOKUP($A275,A:AL,19,FALSE)-50)</f>
        <v>-</v>
      </c>
      <c r="S275" s="3" t="s">
        <v>23</v>
      </c>
      <c r="T275" s="100" t="str">
        <f>IF(ISERROR(VLOOKUP($A275,'SegEnds_NonXtal_BW#'!$A:$Z,14,FALSE)+VLOOKUP($A275,A:AL,19,FALSE)-50),"-",(VLOOKUP($A275,'SegEnds_NonXtal_BW#'!$A:$Z,14,FALSE)+VLOOKUP($A275,A:AL,19,FALSE)-50))</f>
        <v>-</v>
      </c>
      <c r="U275" s="9">
        <f>IF(ISERROR(VLOOKUP($A275,'SegEnds_NonXtal_BW#'!$A:$Z,15,FALSE)+VLOOKUP($A275,A:AL,22,FALSE)-50),"-",VLOOKUP($A275,'SegEnds_NonXtal_BW#'!$A:$Z,15,FALSE)+VLOOKUP($A275,A:AL,22,FALSE)-50)</f>
        <v>120</v>
      </c>
      <c r="V275" s="3">
        <v>132</v>
      </c>
      <c r="W275" s="3">
        <f>IF(ISERROR(VLOOKUP($A275,'SegEnds_NonXtal_BW#'!$A:$Z,16,FALSE)+VLOOKUP($A275,A:AL,22,FALSE)-50),"-",(VLOOKUP($A275,'SegEnds_NonXtal_BW#'!$A:$Z,16,FALSE)+VLOOKUP($A275,A:AL,22,FALSE)-50))</f>
        <v>145</v>
      </c>
      <c r="X275" s="3">
        <f>IF(ISERROR(VLOOKUP($A275,'SegEnds_NonXtal_BW#'!$A:$Z,17,FALSE)+VLOOKUP($A275,A:AL,25,FALSE)-50),"-",(VLOOKUP($A275,'SegEnds_NonXtal_BW#'!$A:$Z,17,FALSE)+VLOOKUP($A275,A:AL,25,FALSE)-50))</f>
        <v>155</v>
      </c>
      <c r="Y275" s="3">
        <v>155</v>
      </c>
      <c r="Z275" s="3">
        <f t="shared" si="190"/>
        <v>157</v>
      </c>
      <c r="AA275" s="3">
        <f>IF(ISERROR(VLOOKUP($A275,'SegEnds_NonXtal_BW#'!$A:$Z,19,FALSE)+VLOOKUP($A275,A:AL,28,FALSE)-50),"-",(VLOOKUP($A275,'SegEnds_NonXtal_BW#'!$A:$Z,19,FALSE)+VLOOKUP($A275,A:AL,28,FALSE)-50))</f>
        <v>161</v>
      </c>
      <c r="AB275" s="3">
        <v>176</v>
      </c>
      <c r="AC275" s="3">
        <f>IF(ISERROR((VLOOKUP($A275,'SegEnds_NonXtal_BW#'!$A:$Z,20,FALSE)+VLOOKUP($A275,A:AL,28,FALSE)-50)),"-",(VLOOKUP($A275,'SegEnds_NonXtal_BW#'!$A:$Z,20,FALSE)+VLOOKUP($A275,A:AL,28,FALSE)-50))</f>
        <v>200</v>
      </c>
      <c r="AD275" s="3">
        <f>IF(ISERROR(VLOOKUP($A275,'SegEnds_NonXtal_BW#'!$A:$Z,21,FALSE)+VLOOKUP($A275,A:AL,31,FALSE)-50),"-",(VLOOKUP($A275,'SegEnds_NonXtal_BW#'!$A:$Z,21,FALSE)+VLOOKUP($A275,A:AL,31,FALSE)-50))</f>
        <v>210</v>
      </c>
      <c r="AE275" s="3">
        <v>239</v>
      </c>
      <c r="AF275" s="3">
        <f>IF(ISERROR((VLOOKUP($A275,'SegEnds_NonXtal_BW#'!$A:$Z,22,FALSE)+VLOOKUP($A275,A:AL,31,FALSE)-50)),"-",(VLOOKUP($A275,'SegEnds_NonXtal_BW#'!$A:$Z,22,FALSE)+VLOOKUP($A275,A:AL,31,FALSE)-50))</f>
        <v>250</v>
      </c>
      <c r="AG275" s="3">
        <f>IF(ISERROR(VLOOKUP($A275,'SegEnds_NonXtal_BW#'!$A:$Z,23,FALSE)+VLOOKUP($A275,A:AL,34,FALSE)-50),"-",(VLOOKUP($A275,'SegEnds_NonXtal_BW#'!$A:$Z,23,FALSE)+VLOOKUP($A275,A:AL,34,FALSE)-50))</f>
        <v>257</v>
      </c>
      <c r="AH275" s="3">
        <v>277</v>
      </c>
      <c r="AI275" s="3">
        <f>IF(ISERROR((VLOOKUP($A275,'SegEnds_NonXtal_BW#'!$A:$Z,24,FALSE)+VLOOKUP($A275,A:AL,34,FALSE)-50)),"-",(VLOOKUP($A275,'SegEnds_NonXtal_BW#'!$A:$Z,24,FALSE)+VLOOKUP($A275,A:AL,34,FALSE)-50))</f>
        <v>283</v>
      </c>
      <c r="AJ275" s="3">
        <f>IF(ISERROR(VLOOKUP($A275,'SegEnds_NonXtal_BW#'!$A:$Z,25,FALSE)+VLOOKUP($A275,A:AL,37,FALSE)-50),"-",(VLOOKUP($A275,'SegEnds_NonXtal_BW#'!$A:$Z,25,FALSE)+VLOOKUP($A275,A:AL,37,FALSE)-50))</f>
        <v>284</v>
      </c>
      <c r="AK275" s="3">
        <v>287</v>
      </c>
      <c r="AL275" s="3">
        <f>IF(ISERROR((VLOOKUP($A275,'SegEnds_NonXtal_BW#'!$A:$Z,26,FALSE)+VLOOKUP($A275,A:AL,37,FALSE)-50)),"-",(VLOOKUP($A275,'SegEnds_NonXtal_BW#'!$A:$Z,26,FALSE)+VLOOKUP($A275,A:AL,37,FALSE)-50))</f>
        <v>296</v>
      </c>
      <c r="AM275" s="28" t="str">
        <f>VLOOKUP(A275,Classification!A:B,2,FALSE)</f>
        <v>A</v>
      </c>
      <c r="AN275" s="28" t="b">
        <f t="shared" si="188"/>
        <v>1</v>
      </c>
      <c r="AO275" s="3" t="str">
        <f>IF(ISERROR(MATCH(A275,'SegEnds_Xtal_Prot#'!B:B, 0)), "NoXtal", "Xtal")</f>
        <v>NoXtal</v>
      </c>
      <c r="AP275" s="3">
        <f t="shared" si="173"/>
        <v>1</v>
      </c>
      <c r="AQ275" s="3">
        <f t="shared" si="174"/>
        <v>1</v>
      </c>
      <c r="AR275" s="3" t="str">
        <f t="shared" si="175"/>
        <v>-</v>
      </c>
      <c r="AS275" s="3" t="str">
        <f t="shared" si="176"/>
        <v>-</v>
      </c>
      <c r="AT275" s="3" t="str">
        <f t="shared" si="177"/>
        <v>-</v>
      </c>
      <c r="AU275" s="3" t="str">
        <f t="shared" si="178"/>
        <v>-</v>
      </c>
      <c r="AV275" s="3">
        <f t="shared" si="179"/>
        <v>10</v>
      </c>
      <c r="AW275" s="3">
        <f t="shared" si="180"/>
        <v>4</v>
      </c>
      <c r="AX275" s="3">
        <f t="shared" si="181"/>
        <v>10</v>
      </c>
      <c r="AY275" s="3">
        <f t="shared" si="182"/>
        <v>7</v>
      </c>
      <c r="AZ275" s="3">
        <f t="shared" si="183"/>
        <v>1</v>
      </c>
      <c r="BA275" s="3">
        <f>IF(ISERROR(LEN(VLOOKUP(A275,Seqs!A:E,2,FALSE))-AL275),"-",LEN(VLOOKUP(A275,Seqs!A:E,2,FALSE))-AL275)</f>
        <v>34</v>
      </c>
      <c r="BB275" s="16">
        <f t="shared" si="184"/>
        <v>29</v>
      </c>
      <c r="BC275" s="9" t="str">
        <f t="shared" si="185"/>
        <v>-</v>
      </c>
      <c r="BD275" s="3">
        <f t="shared" si="186"/>
        <v>29</v>
      </c>
      <c r="BE275" s="3">
        <f t="shared" si="187"/>
        <v>63</v>
      </c>
    </row>
    <row r="276" spans="1:58" s="3" customFormat="1" x14ac:dyDescent="0.2">
      <c r="A276" s="3" t="s">
        <v>258</v>
      </c>
      <c r="B276" s="3" t="str">
        <f>LOWER(VLOOKUP(A276,Xtal_Templ!A:B,2,FALSE))</f>
        <v>5ht1b_human</v>
      </c>
      <c r="C276" s="3">
        <f>VLOOKUP($A276,'SegEnds_NonXtal_BW#'!$A:$Z,3,FALSE)+D276-50</f>
        <v>30</v>
      </c>
      <c r="D276" s="3">
        <v>52</v>
      </c>
      <c r="E276" s="3">
        <f>IF(ISERROR(VLOOKUP($A276,'SegEnds_NonXtal_BW#'!$A:$Z,4,FALSE)+VLOOKUP($A276,A:AL,4,FALSE)-50),"-",(VLOOKUP($A276,'SegEnds_NonXtal_BW#'!$A:$Z,4,FALSE)+VLOOKUP($A276,A:AL,4,FALSE)-50))</f>
        <v>62</v>
      </c>
      <c r="F276" s="3">
        <f>G276-2</f>
        <v>63</v>
      </c>
      <c r="G276" s="3">
        <v>65</v>
      </c>
      <c r="H276" s="3">
        <f t="shared" si="191"/>
        <v>66</v>
      </c>
      <c r="I276" s="3">
        <f t="shared" si="191"/>
        <v>67</v>
      </c>
      <c r="J276" s="3">
        <v>80</v>
      </c>
      <c r="K276" s="3">
        <f>VLOOKUP($A276,'SegEnds_NonXtal_BW#'!$A:$Z,8,FALSE)+VLOOKUP($A276,A:AL,10,FALSE)-50</f>
        <v>98</v>
      </c>
      <c r="L276" s="3">
        <f>M276-1</f>
        <v>99</v>
      </c>
      <c r="M276" s="3">
        <v>100</v>
      </c>
      <c r="N276" s="3">
        <f>M276+2</f>
        <v>102</v>
      </c>
      <c r="O276" s="3">
        <f>N276+1</f>
        <v>103</v>
      </c>
      <c r="P276" s="3">
        <v>132</v>
      </c>
      <c r="Q276" s="3">
        <f>VLOOKUP($A276,'SegEnds_NonXtal_BW#'!$A:$Z,12,FALSE)+VLOOKUP($A276,A:AL,16,FALSE)-50</f>
        <v>138</v>
      </c>
      <c r="R276" s="3" t="str">
        <f>IF(ISERROR(VLOOKUP($A276,'SegEnds_NonXtal_BW#'!$A:$Z,13,FALSE)+VLOOKUP($A276,A:AL,19,FALSE)-50),"-",VLOOKUP($A276,'SegEnds_NonXtal_BW#'!$A:$Z,13,FALSE)+VLOOKUP($A276,A:AL,19,FALSE)-50)</f>
        <v>-</v>
      </c>
      <c r="S276" s="3" t="s">
        <v>23</v>
      </c>
      <c r="T276" s="100" t="str">
        <f>IF(ISERROR(VLOOKUP($A276,'SegEnds_NonXtal_BW#'!$A:$Z,14,FALSE)+VLOOKUP($A276,A:AL,19,FALSE)-50),"-",(VLOOKUP($A276,'SegEnds_NonXtal_BW#'!$A:$Z,14,FALSE)+VLOOKUP($A276,A:AL,19,FALSE)-50))</f>
        <v>-</v>
      </c>
      <c r="U276" s="9">
        <f>IF(ISERROR(VLOOKUP($A276,'SegEnds_NonXtal_BW#'!$A:$Z,15,FALSE)+VLOOKUP($A276,A:AL,22,FALSE)-50),"-",VLOOKUP($A276,'SegEnds_NonXtal_BW#'!$A:$Z,15,FALSE)+VLOOKUP($A276,A:AL,22,FALSE)-50)</f>
        <v>144</v>
      </c>
      <c r="V276" s="3">
        <v>156</v>
      </c>
      <c r="W276" s="3">
        <f>IF(ISERROR(VLOOKUP($A276,'SegEnds_NonXtal_BW#'!$A:$Z,16,FALSE)+VLOOKUP($A276,A:AL,22,FALSE)-50),"-",(VLOOKUP($A276,'SegEnds_NonXtal_BW#'!$A:$Z,16,FALSE)+VLOOKUP($A276,A:AL,22,FALSE)-50))</f>
        <v>169</v>
      </c>
      <c r="X276" s="3">
        <f>IF(ISERROR(VLOOKUP($A276,'SegEnds_NonXtal_BW#'!$A:$Z,17,FALSE)+VLOOKUP($A276,A:AL,25,FALSE)-50),"-",(VLOOKUP($A276,'SegEnds_NonXtal_BW#'!$A:$Z,17,FALSE)+VLOOKUP($A276,A:AL,25,FALSE)-50))</f>
        <v>182</v>
      </c>
      <c r="Y276" s="3">
        <v>182</v>
      </c>
      <c r="Z276" s="3">
        <f t="shared" si="190"/>
        <v>184</v>
      </c>
      <c r="AA276" s="3">
        <f>IF(ISERROR(VLOOKUP($A276,'SegEnds_NonXtal_BW#'!$A:$Z,19,FALSE)+VLOOKUP($A276,A:AL,28,FALSE)-50),"-",(VLOOKUP($A276,'SegEnds_NonXtal_BW#'!$A:$Z,19,FALSE)+VLOOKUP($A276,A:AL,28,FALSE)-50))</f>
        <v>192</v>
      </c>
      <c r="AB276" s="3">
        <v>207</v>
      </c>
      <c r="AC276" s="3">
        <f>IF(ISERROR((VLOOKUP($A276,'SegEnds_NonXtal_BW#'!$A:$Z,20,FALSE)+VLOOKUP($A276,A:AL,28,FALSE)-50)),"-",(VLOOKUP($A276,'SegEnds_NonXtal_BW#'!$A:$Z,20,FALSE)+VLOOKUP($A276,A:AL,28,FALSE)-50))</f>
        <v>233</v>
      </c>
      <c r="AD276" s="3">
        <f>IF(ISERROR(VLOOKUP($A276,'SegEnds_NonXtal_BW#'!$A:$Z,21,FALSE)+VLOOKUP($A276,A:AL,31,FALSE)-50),"-",(VLOOKUP($A276,'SegEnds_NonXtal_BW#'!$A:$Z,21,FALSE)+VLOOKUP($A276,A:AL,31,FALSE)-50))</f>
        <v>256</v>
      </c>
      <c r="AE276" s="3">
        <v>282</v>
      </c>
      <c r="AF276" s="3">
        <f>IF(ISERROR((VLOOKUP($A276,'SegEnds_NonXtal_BW#'!$A:$Z,22,FALSE)+VLOOKUP($A276,A:AL,31,FALSE)-50)),"-",(VLOOKUP($A276,'SegEnds_NonXtal_BW#'!$A:$Z,22,FALSE)+VLOOKUP($A276,A:AL,31,FALSE)-50))</f>
        <v>293</v>
      </c>
      <c r="AG276" s="3">
        <f>IF(ISERROR(VLOOKUP($A276,'SegEnds_NonXtal_BW#'!$A:$Z,23,FALSE)+VLOOKUP($A276,A:AL,34,FALSE)-50),"-",(VLOOKUP($A276,'SegEnds_NonXtal_BW#'!$A:$Z,23,FALSE)+VLOOKUP($A276,A:AL,34,FALSE)-50))</f>
        <v>302</v>
      </c>
      <c r="AH276" s="3">
        <v>321</v>
      </c>
      <c r="AI276" s="3">
        <v>327</v>
      </c>
      <c r="AJ276" s="3">
        <f>IF(ISERROR(VLOOKUP($A276,'SegEnds_NonXtal_BW#'!$A:$Z,25,FALSE)+VLOOKUP($A276,A:AL,37,FALSE)-50),"-",(VLOOKUP($A276,'SegEnds_NonXtal_BW#'!$A:$Z,25,FALSE)+VLOOKUP($A276,A:AL,37,FALSE)-50))</f>
        <v>328</v>
      </c>
      <c r="AK276" s="3">
        <v>331</v>
      </c>
      <c r="AL276" s="3">
        <f>IF(ISERROR((VLOOKUP($A276,'SegEnds_NonXtal_BW#'!$A:$Z,26,FALSE)+VLOOKUP($A276,A:AL,37,FALSE)-50)),"-",(VLOOKUP($A276,'SegEnds_NonXtal_BW#'!$A:$Z,26,FALSE)+VLOOKUP($A276,A:AL,37,FALSE)-50))</f>
        <v>339</v>
      </c>
      <c r="AM276" s="28" t="str">
        <f>VLOOKUP(A276,Classification!A:B,2,FALSE)</f>
        <v>A</v>
      </c>
      <c r="AN276" s="28" t="b">
        <f t="shared" si="188"/>
        <v>1</v>
      </c>
      <c r="AO276" s="3" t="str">
        <f>IF(ISERROR(MATCH(A276,'SegEnds_Xtal_Prot#'!B:B, 0)), "NoXtal", "Xtal")</f>
        <v>NoXtal</v>
      </c>
      <c r="AP276" s="3">
        <f t="shared" si="173"/>
        <v>1</v>
      </c>
      <c r="AQ276" s="3">
        <f t="shared" si="174"/>
        <v>1</v>
      </c>
      <c r="AR276" s="3">
        <f t="shared" si="175"/>
        <v>1</v>
      </c>
      <c r="AS276" s="3">
        <f t="shared" si="176"/>
        <v>1</v>
      </c>
      <c r="AT276" s="3" t="str">
        <f t="shared" si="177"/>
        <v>-</v>
      </c>
      <c r="AU276" s="3" t="str">
        <f t="shared" si="178"/>
        <v>-</v>
      </c>
      <c r="AV276" s="3">
        <f t="shared" si="179"/>
        <v>13</v>
      </c>
      <c r="AW276" s="3">
        <f t="shared" si="180"/>
        <v>8</v>
      </c>
      <c r="AX276" s="3">
        <f t="shared" si="181"/>
        <v>23</v>
      </c>
      <c r="AY276" s="3">
        <f t="shared" si="182"/>
        <v>9</v>
      </c>
      <c r="AZ276" s="3">
        <f t="shared" si="183"/>
        <v>1</v>
      </c>
      <c r="BA276" s="3">
        <f>IF(ISERROR(LEN(VLOOKUP(A276,Seqs!A:E,2,FALSE))-AL276),"-",LEN(VLOOKUP(A276,Seqs!A:E,2,FALSE))-AL276)</f>
        <v>33</v>
      </c>
      <c r="BB276" s="16">
        <f t="shared" si="184"/>
        <v>28</v>
      </c>
      <c r="BC276" s="9" t="str">
        <f t="shared" si="185"/>
        <v>-</v>
      </c>
      <c r="BD276" s="3">
        <f t="shared" si="186"/>
        <v>28</v>
      </c>
      <c r="BE276" s="3">
        <f t="shared" si="187"/>
        <v>75</v>
      </c>
    </row>
    <row r="277" spans="1:58" s="3" customFormat="1" x14ac:dyDescent="0.2">
      <c r="A277" s="3" t="s">
        <v>263</v>
      </c>
      <c r="B277" s="3" t="str">
        <f>LOWER(VLOOKUP(A277,Xtal_Templ!A:B,2,FALSE))</f>
        <v>drd3_human</v>
      </c>
      <c r="C277" s="3">
        <f>VLOOKUP($A277,'SegEnds_NonXtal_BW#'!$A:$Z,3,FALSE)+D277-50</f>
        <v>11</v>
      </c>
      <c r="D277" s="3">
        <v>32</v>
      </c>
      <c r="E277" s="3">
        <f>IF(ISERROR(VLOOKUP($A277,'SegEnds_NonXtal_BW#'!$A:$Z,4,FALSE)+VLOOKUP($A277,A:AL,4,FALSE)-50),"-",(VLOOKUP($A277,'SegEnds_NonXtal_BW#'!$A:$Z,4,FALSE)+VLOOKUP($A277,A:AL,4,FALSE)-50))</f>
        <v>42</v>
      </c>
      <c r="F277" s="3" t="str">
        <f>IF(ISERROR(VLOOKUP($A277,'SegEnds_NonXtal_BW#'!$A:$Z,5,FALSE)+VLOOKUP($A277,A:AL,7,FALSE)-50),"-",(VLOOKUP($A277,'SegEnds_NonXtal_BW#'!$A:$Z,5,FALSE)+VLOOKUP($A277,A:AL,7,FALSE)-50))</f>
        <v>-</v>
      </c>
      <c r="G277" s="3" t="s">
        <v>23</v>
      </c>
      <c r="H277" s="3" t="str">
        <f>IF(ISERROR(VLOOKUP($A277,'SegEnds_NonXtal_BW#'!$A:$Z,6,FALSE)+VLOOKUP($A277,A:AL,7,FALSE)-50),"-",(VLOOKUP($A277,'SegEnds_NonXtal_BW#'!$A:$Z,6,FALSE)+VLOOKUP($A277,A:AL,7,FALSE)-50))</f>
        <v>-</v>
      </c>
      <c r="I277" s="3">
        <f>VLOOKUP($A277,'SegEnds_NonXtal_BW#'!$A:$Z,7,FALSE)+J277-50</f>
        <v>45</v>
      </c>
      <c r="J277" s="3">
        <v>58</v>
      </c>
      <c r="K277" s="3">
        <f>VLOOKUP($A277,'SegEnds_NonXtal_BW#'!$A:$Z,8,FALSE)+VLOOKUP($A277,A:AL,10,FALSE)-50</f>
        <v>75</v>
      </c>
      <c r="L277" s="3" t="str">
        <f>IF(ISERROR(VLOOKUP($A277,'SegEnds_NonXtal_BW#'!$A:$Z,9,FALSE)+VLOOKUP($A277,A:AL,13,FALSE)-50),"-",(VLOOKUP($A277,'SegEnds_NonXtal_BW#'!$A:$Z,9,FALSE)+VLOOKUP($A277,A:AL,13,FALSE)-50))</f>
        <v>-</v>
      </c>
      <c r="M277" s="3" t="s">
        <v>23</v>
      </c>
      <c r="N277" s="3" t="str">
        <f>IF(ISERROR(VLOOKUP($A277,'SegEnds_NonXtal_BW#'!$A:$Z,10,FALSE)+VLOOKUP($A277,A:AL,13,FALSE)-50),"-",(VLOOKUP($A277,'SegEnds_NonXtal_BW#'!$A:$Z,10,FALSE)+VLOOKUP($A277,A:AL,13,FALSE)-50))</f>
        <v>-</v>
      </c>
      <c r="O277" s="3">
        <f>VLOOKUP($A277,'SegEnds_NonXtal_BW#'!$A:$Z,11,FALSE)+VLOOKUP($A277,A:AL,16,FALSE)-50</f>
        <v>81</v>
      </c>
      <c r="P277" s="3">
        <v>113</v>
      </c>
      <c r="Q277" s="3">
        <f>VLOOKUP($A277,'SegEnds_NonXtal_BW#'!$A:$Z,12,FALSE)+VLOOKUP($A277,A:AL,16,FALSE)-50</f>
        <v>119</v>
      </c>
      <c r="R277" s="3" t="str">
        <f>IF(ISERROR(VLOOKUP($A277,'SegEnds_NonXtal_BW#'!$A:$Z,13,FALSE)+VLOOKUP($A277,A:AL,19,FALSE)-50),"-",VLOOKUP($A277,'SegEnds_NonXtal_BW#'!$A:$Z,13,FALSE)+VLOOKUP($A277,A:AL,19,FALSE)-50)</f>
        <v>-</v>
      </c>
      <c r="S277" s="3" t="s">
        <v>23</v>
      </c>
      <c r="T277" s="100" t="str">
        <f>IF(ISERROR(VLOOKUP($A277,'SegEnds_NonXtal_BW#'!$A:$Z,14,FALSE)+VLOOKUP($A277,A:AL,19,FALSE)-50),"-",(VLOOKUP($A277,'SegEnds_NonXtal_BW#'!$A:$Z,14,FALSE)+VLOOKUP($A277,A:AL,19,FALSE)-50))</f>
        <v>-</v>
      </c>
      <c r="U277" s="9">
        <f>IF(ISERROR(VLOOKUP($A277,'SegEnds_NonXtal_BW#'!$A:$Z,15,FALSE)+VLOOKUP($A277,A:AL,22,FALSE)-50),"-",VLOOKUP($A277,'SegEnds_NonXtal_BW#'!$A:$Z,15,FALSE)+VLOOKUP($A277,A:AL,22,FALSE)-50)</f>
        <v>125</v>
      </c>
      <c r="V277" s="3">
        <v>137</v>
      </c>
      <c r="W277" s="3">
        <f>IF(ISERROR(VLOOKUP($A277,'SegEnds_NonXtal_BW#'!$A:$Z,16,FALSE)+VLOOKUP($A277,A:AL,22,FALSE)-50),"-",(VLOOKUP($A277,'SegEnds_NonXtal_BW#'!$A:$Z,16,FALSE)+VLOOKUP($A277,A:AL,22,FALSE)-50))</f>
        <v>150</v>
      </c>
      <c r="X277" s="3">
        <f>IF(ISERROR(VLOOKUP($A277,'SegEnds_NonXtal_BW#'!$A:$Z,17,FALSE)+VLOOKUP($A277,A:AL,25,FALSE)-50),"-",(VLOOKUP($A277,'SegEnds_NonXtal_BW#'!$A:$Z,17,FALSE)+VLOOKUP($A277,A:AL,25,FALSE)-50))</f>
        <v>162</v>
      </c>
      <c r="Y277" s="3">
        <v>162</v>
      </c>
      <c r="Z277" s="3">
        <f t="shared" si="190"/>
        <v>164</v>
      </c>
      <c r="AA277" s="3">
        <f>IF(ISERROR(VLOOKUP($A277,'SegEnds_NonXtal_BW#'!$A:$Z,19,FALSE)+VLOOKUP($A277,A:AL,28,FALSE)-50),"-",(VLOOKUP($A277,'SegEnds_NonXtal_BW#'!$A:$Z,19,FALSE)+VLOOKUP($A277,A:AL,28,FALSE)-50))</f>
        <v>169</v>
      </c>
      <c r="AB277" s="3">
        <v>184</v>
      </c>
      <c r="AC277" s="3">
        <f>IF(ISERROR((VLOOKUP($A277,'SegEnds_NonXtal_BW#'!$A:$Z,20,FALSE)+VLOOKUP($A277,A:AL,28,FALSE)-50)),"-",(VLOOKUP($A277,'SegEnds_NonXtal_BW#'!$A:$Z,20,FALSE)+VLOOKUP($A277,A:AL,28,FALSE)-50))</f>
        <v>210</v>
      </c>
      <c r="AD277" s="3">
        <f>IF(ISERROR(VLOOKUP($A277,'SegEnds_NonXtal_BW#'!$A:$Z,21,FALSE)+VLOOKUP($A277,A:AL,31,FALSE)-50),"-",(VLOOKUP($A277,'SegEnds_NonXtal_BW#'!$A:$Z,21,FALSE)+VLOOKUP($A277,A:AL,31,FALSE)-50))</f>
        <v>230</v>
      </c>
      <c r="AE277" s="3">
        <v>256</v>
      </c>
      <c r="AF277" s="3">
        <f>IF(ISERROR((VLOOKUP($A277,'SegEnds_NonXtal_BW#'!$A:$Z,22,FALSE)+VLOOKUP($A277,A:AL,31,FALSE)-50)),"-",(VLOOKUP($A277,'SegEnds_NonXtal_BW#'!$A:$Z,22,FALSE)+VLOOKUP($A277,A:AL,31,FALSE)-50))</f>
        <v>264</v>
      </c>
      <c r="AG277" s="3">
        <f>IF(ISERROR(VLOOKUP($A277,'SegEnds_NonXtal_BW#'!$A:$Z,23,FALSE)+VLOOKUP($A277,A:AL,34,FALSE)-50),"-",(VLOOKUP($A277,'SegEnds_NonXtal_BW#'!$A:$Z,23,FALSE)+VLOOKUP($A277,A:AL,34,FALSE)-50))</f>
        <v>272</v>
      </c>
      <c r="AH277" s="3">
        <v>287</v>
      </c>
      <c r="AI277" s="3">
        <f>IF(ISERROR((VLOOKUP($A277,'SegEnds_NonXtal_BW#'!$A:$Z,24,FALSE)+VLOOKUP($A277,A:AL,34,FALSE)-50)),"-",(VLOOKUP($A277,'SegEnds_NonXtal_BW#'!$A:$Z,24,FALSE)+VLOOKUP($A277,A:AL,34,FALSE)-50))</f>
        <v>293</v>
      </c>
      <c r="AJ277" s="3">
        <f>IF(ISERROR(VLOOKUP($A277,'SegEnds_NonXtal_BW#'!$A:$Z,25,FALSE)+VLOOKUP($A277,A:AL,37,FALSE)-50),"-",(VLOOKUP($A277,'SegEnds_NonXtal_BW#'!$A:$Z,25,FALSE)+VLOOKUP($A277,A:AL,37,FALSE)-50))</f>
        <v>294</v>
      </c>
      <c r="AK277" s="3">
        <v>297</v>
      </c>
      <c r="AL277" s="3">
        <f>IF(ISERROR((VLOOKUP($A277,'SegEnds_NonXtal_BW#'!$A:$Z,26,FALSE)+VLOOKUP($A277,A:AL,37,FALSE)-50)),"-",(VLOOKUP($A277,'SegEnds_NonXtal_BW#'!$A:$Z,26,FALSE)+VLOOKUP($A277,A:AL,37,FALSE)-50))</f>
        <v>306</v>
      </c>
      <c r="AM277" s="28" t="str">
        <f>VLOOKUP(A277,Classification!A:B,2,FALSE)</f>
        <v>A</v>
      </c>
      <c r="AN277" s="28" t="b">
        <f t="shared" si="188"/>
        <v>1</v>
      </c>
      <c r="AO277" s="3" t="str">
        <f>IF(ISERROR(MATCH(A277,'SegEnds_Xtal_Prot#'!B:B, 0)), "NoXtal", "Xtal")</f>
        <v>NoXtal</v>
      </c>
      <c r="AP277" s="3" t="str">
        <f t="shared" si="173"/>
        <v>-</v>
      </c>
      <c r="AQ277" s="3" t="str">
        <f t="shared" si="174"/>
        <v>-</v>
      </c>
      <c r="AR277" s="3" t="str">
        <f t="shared" si="175"/>
        <v>-</v>
      </c>
      <c r="AS277" s="3" t="str">
        <f t="shared" si="176"/>
        <v>-</v>
      </c>
      <c r="AT277" s="3" t="str">
        <f t="shared" si="177"/>
        <v>-</v>
      </c>
      <c r="AU277" s="3" t="str">
        <f t="shared" si="178"/>
        <v>-</v>
      </c>
      <c r="AV277" s="3">
        <f t="shared" si="179"/>
        <v>12</v>
      </c>
      <c r="AW277" s="3">
        <f t="shared" si="180"/>
        <v>5</v>
      </c>
      <c r="AX277" s="3">
        <f t="shared" si="181"/>
        <v>20</v>
      </c>
      <c r="AY277" s="3">
        <f t="shared" si="182"/>
        <v>8</v>
      </c>
      <c r="AZ277" s="3">
        <f t="shared" si="183"/>
        <v>1</v>
      </c>
      <c r="BA277" s="3">
        <f>IF(ISERROR(LEN(VLOOKUP(A277,Seqs!A:E,2,FALSE))-AL277),"-",LEN(VLOOKUP(A277,Seqs!A:E,2,FALSE))-AL277)</f>
        <v>62</v>
      </c>
      <c r="BB277" s="16">
        <f t="shared" si="184"/>
        <v>26</v>
      </c>
      <c r="BC277" s="9" t="str">
        <f t="shared" si="185"/>
        <v>-</v>
      </c>
      <c r="BD277" s="3">
        <f t="shared" si="186"/>
        <v>26</v>
      </c>
      <c r="BE277" s="3">
        <f t="shared" si="187"/>
        <v>72</v>
      </c>
    </row>
    <row r="278" spans="1:58" s="3" customFormat="1" x14ac:dyDescent="0.2">
      <c r="A278" s="3" t="s">
        <v>264</v>
      </c>
      <c r="B278" s="3" t="str">
        <f>LOWER(VLOOKUP(A278,Xtal_Templ!A:B,2,FALSE))</f>
        <v>drd2_human</v>
      </c>
      <c r="C278" s="3">
        <f>VLOOKUP($A278,'SegEnds_NonXtal_BW#'!$A:$Z,3,FALSE)+D278-50</f>
        <v>78</v>
      </c>
      <c r="D278" s="3">
        <v>99</v>
      </c>
      <c r="E278" s="3">
        <f>IF(ISERROR(VLOOKUP($A278,'SegEnds_NonXtal_BW#'!$A:$Z,4,FALSE)+VLOOKUP($A278,A:AL,4,FALSE)-50),"-",(VLOOKUP($A278,'SegEnds_NonXtal_BW#'!$A:$Z,4,FALSE)+VLOOKUP($A278,A:AL,4,FALSE)-50))</f>
        <v>109</v>
      </c>
      <c r="F278" s="3">
        <f t="shared" ref="F278:F318" si="192">G278-2</f>
        <v>110</v>
      </c>
      <c r="G278" s="3">
        <v>112</v>
      </c>
      <c r="H278" s="3">
        <f t="shared" ref="H278:I297" si="193">G278+1</f>
        <v>113</v>
      </c>
      <c r="I278" s="3">
        <f t="shared" si="193"/>
        <v>114</v>
      </c>
      <c r="J278" s="3">
        <v>127</v>
      </c>
      <c r="K278" s="3">
        <f>VLOOKUP($A278,'SegEnds_NonXtal_BW#'!$A:$Z,8,FALSE)+VLOOKUP($A278,A:AL,10,FALSE)-50</f>
        <v>145</v>
      </c>
      <c r="L278" s="3">
        <f>M278-1</f>
        <v>146</v>
      </c>
      <c r="M278" s="3">
        <v>147</v>
      </c>
      <c r="N278" s="3">
        <f>M278+2</f>
        <v>149</v>
      </c>
      <c r="O278" s="3">
        <f>N278+1</f>
        <v>150</v>
      </c>
      <c r="P278" s="3">
        <v>179</v>
      </c>
      <c r="Q278" s="3">
        <f>VLOOKUP($A278,'SegEnds_NonXtal_BW#'!$A:$Z,12,FALSE)+VLOOKUP($A278,A:AL,16,FALSE)-50</f>
        <v>185</v>
      </c>
      <c r="R278" s="3" t="str">
        <f>IF(ISERROR(VLOOKUP($A278,'SegEnds_NonXtal_BW#'!$A:$Z,13,FALSE)+VLOOKUP($A278,A:AL,19,FALSE)-50),"-",VLOOKUP($A278,'SegEnds_NonXtal_BW#'!$A:$Z,13,FALSE)+VLOOKUP($A278,A:AL,19,FALSE)-50)</f>
        <v>-</v>
      </c>
      <c r="S278" s="3" t="s">
        <v>23</v>
      </c>
      <c r="T278" s="100" t="str">
        <f>IF(ISERROR(VLOOKUP($A278,'SegEnds_NonXtal_BW#'!$A:$Z,14,FALSE)+VLOOKUP($A278,A:AL,19,FALSE)-50),"-",(VLOOKUP($A278,'SegEnds_NonXtal_BW#'!$A:$Z,14,FALSE)+VLOOKUP($A278,A:AL,19,FALSE)-50))</f>
        <v>-</v>
      </c>
      <c r="U278" s="9">
        <f>IF(ISERROR(VLOOKUP($A278,'SegEnds_NonXtal_BW#'!$A:$Z,15,FALSE)+VLOOKUP($A278,A:AL,22,FALSE)-50),"-",VLOOKUP($A278,'SegEnds_NonXtal_BW#'!$A:$Z,15,FALSE)+VLOOKUP($A278,A:AL,22,FALSE)-50)</f>
        <v>191</v>
      </c>
      <c r="V278" s="3">
        <v>203</v>
      </c>
      <c r="W278" s="3">
        <f>IF(ISERROR(VLOOKUP($A278,'SegEnds_NonXtal_BW#'!$A:$Z,16,FALSE)+VLOOKUP($A278,A:AL,22,FALSE)-50),"-",(VLOOKUP($A278,'SegEnds_NonXtal_BW#'!$A:$Z,16,FALSE)+VLOOKUP($A278,A:AL,22,FALSE)-50))</f>
        <v>215</v>
      </c>
      <c r="X278" s="3">
        <f>IF(ISERROR(VLOOKUP($A278,'SegEnds_NonXtal_BW#'!$A:$Z,17,FALSE)+VLOOKUP($A278,A:AL,25,FALSE)-50),"-",(VLOOKUP($A278,'SegEnds_NonXtal_BW#'!$A:$Z,17,FALSE)+VLOOKUP($A278,A:AL,25,FALSE)-50))</f>
        <v>229</v>
      </c>
      <c r="Y278" s="3">
        <v>229</v>
      </c>
      <c r="Z278" s="3">
        <f t="shared" si="190"/>
        <v>231</v>
      </c>
      <c r="AA278" s="3">
        <f>IF(ISERROR(VLOOKUP($A278,'SegEnds_NonXtal_BW#'!$A:$Z,19,FALSE)+VLOOKUP($A278,A:AL,28,FALSE)-50),"-",(VLOOKUP($A278,'SegEnds_NonXtal_BW#'!$A:$Z,19,FALSE)+VLOOKUP($A278,A:AL,28,FALSE)-50))</f>
        <v>239</v>
      </c>
      <c r="AB278" s="3">
        <v>254</v>
      </c>
      <c r="AC278" s="3">
        <f>IF(ISERROR((VLOOKUP($A278,'SegEnds_NonXtal_BW#'!$A:$Z,20,FALSE)+VLOOKUP($A278,A:AL,28,FALSE)-50)),"-",(VLOOKUP($A278,'SegEnds_NonXtal_BW#'!$A:$Z,20,FALSE)+VLOOKUP($A278,A:AL,28,FALSE)-50))</f>
        <v>280</v>
      </c>
      <c r="AD278" s="3">
        <f>IF(ISERROR(VLOOKUP($A278,'SegEnds_NonXtal_BW#'!$A:$Z,21,FALSE)+VLOOKUP($A278,A:AL,31,FALSE)-50),"-",(VLOOKUP($A278,'SegEnds_NonXtal_BW#'!$A:$Z,21,FALSE)+VLOOKUP($A278,A:AL,31,FALSE)-50))</f>
        <v>303</v>
      </c>
      <c r="AE278" s="3">
        <v>329</v>
      </c>
      <c r="AF278" s="3">
        <f>IF(ISERROR((VLOOKUP($A278,'SegEnds_NonXtal_BW#'!$A:$Z,22,FALSE)+VLOOKUP($A278,A:AL,31,FALSE)-50)),"-",(VLOOKUP($A278,'SegEnds_NonXtal_BW#'!$A:$Z,22,FALSE)+VLOOKUP($A278,A:AL,31,FALSE)-50))</f>
        <v>340</v>
      </c>
      <c r="AG278" s="3">
        <f>IF(ISERROR(VLOOKUP($A278,'SegEnds_NonXtal_BW#'!$A:$Z,23,FALSE)+VLOOKUP($A278,A:AL,34,FALSE)-50),"-",(VLOOKUP($A278,'SegEnds_NonXtal_BW#'!$A:$Z,23,FALSE)+VLOOKUP($A278,A:AL,34,FALSE)-50))</f>
        <v>349</v>
      </c>
      <c r="AH278" s="3">
        <v>368</v>
      </c>
      <c r="AI278" s="3">
        <f>IF(ISERROR((VLOOKUP($A278,'SegEnds_NonXtal_BW#'!$A:$Z,24,FALSE)+VLOOKUP($A278,A:AL,34,FALSE)-50)),"-",(VLOOKUP($A278,'SegEnds_NonXtal_BW#'!$A:$Z,24,FALSE)+VLOOKUP($A278,A:AL,34,FALSE)-50))</f>
        <v>374</v>
      </c>
      <c r="AJ278" s="3">
        <f>IF(ISERROR(VLOOKUP($A278,'SegEnds_NonXtal_BW#'!$A:$Z,25,FALSE)+VLOOKUP($A278,A:AL,37,FALSE)-50),"-",(VLOOKUP($A278,'SegEnds_NonXtal_BW#'!$A:$Z,25,FALSE)+VLOOKUP($A278,A:AL,37,FALSE)-50))</f>
        <v>375</v>
      </c>
      <c r="AK278" s="3">
        <v>378</v>
      </c>
      <c r="AL278" s="3">
        <f>IF(ISERROR((VLOOKUP($A278,'SegEnds_NonXtal_BW#'!$A:$Z,26,FALSE)+VLOOKUP($A278,A:AL,37,FALSE)-50)),"-",(VLOOKUP($A278,'SegEnds_NonXtal_BW#'!$A:$Z,26,FALSE)+VLOOKUP($A278,A:AL,37,FALSE)-50))</f>
        <v>387</v>
      </c>
      <c r="AM278" s="28" t="str">
        <f>VLOOKUP(A278,Classification!A:B,2,FALSE)</f>
        <v>A</v>
      </c>
      <c r="AN278" s="28" t="b">
        <f t="shared" si="188"/>
        <v>1</v>
      </c>
      <c r="AO278" s="3" t="str">
        <f>IF(ISERROR(MATCH(A278,'SegEnds_Xtal_Prot#'!B:B, 0)), "NoXtal", "Xtal")</f>
        <v>NoXtal</v>
      </c>
      <c r="AP278" s="3">
        <f t="shared" si="173"/>
        <v>1</v>
      </c>
      <c r="AQ278" s="3">
        <f t="shared" si="174"/>
        <v>1</v>
      </c>
      <c r="AR278" s="3">
        <f t="shared" si="175"/>
        <v>1</v>
      </c>
      <c r="AS278" s="3">
        <f t="shared" si="176"/>
        <v>1</v>
      </c>
      <c r="AT278" s="3" t="str">
        <f t="shared" si="177"/>
        <v>-</v>
      </c>
      <c r="AU278" s="3" t="str">
        <f t="shared" si="178"/>
        <v>-</v>
      </c>
      <c r="AV278" s="3">
        <f t="shared" si="179"/>
        <v>14</v>
      </c>
      <c r="AW278" s="3">
        <f t="shared" si="180"/>
        <v>8</v>
      </c>
      <c r="AX278" s="3">
        <f t="shared" si="181"/>
        <v>23</v>
      </c>
      <c r="AY278" s="3">
        <f t="shared" si="182"/>
        <v>9</v>
      </c>
      <c r="AZ278" s="3">
        <f t="shared" si="183"/>
        <v>1</v>
      </c>
      <c r="BA278" s="3">
        <f>IF(ISERROR(LEN(VLOOKUP(A278,Seqs!A:E,2,FALSE))-AL278),"-",LEN(VLOOKUP(A278,Seqs!A:E,2,FALSE))-AL278)</f>
        <v>32</v>
      </c>
      <c r="BB278" s="16">
        <f t="shared" si="184"/>
        <v>28</v>
      </c>
      <c r="BC278" s="9" t="str">
        <f t="shared" si="185"/>
        <v>-</v>
      </c>
      <c r="BD278" s="3">
        <f t="shared" si="186"/>
        <v>28</v>
      </c>
      <c r="BE278" s="3">
        <f t="shared" si="187"/>
        <v>75</v>
      </c>
    </row>
    <row r="279" spans="1:58" s="3" customFormat="1" x14ac:dyDescent="0.2">
      <c r="A279" s="3" t="s">
        <v>265</v>
      </c>
      <c r="B279" s="3" t="str">
        <f>LOWER(VLOOKUP(A279,Xtal_Templ!A:B,2,FALSE))</f>
        <v>adrb2_human</v>
      </c>
      <c r="C279" s="3">
        <f>VLOOKUP($A279,'SegEnds_NonXtal_BW#'!$A:$Z,3,FALSE)+D279-50</f>
        <v>35</v>
      </c>
      <c r="D279" s="3">
        <v>60</v>
      </c>
      <c r="E279" s="3">
        <f>IF(ISERROR(VLOOKUP($A279,'SegEnds_NonXtal_BW#'!$A:$Z,4,FALSE)+VLOOKUP($A279,A:AL,4,FALSE)-50),"-",(VLOOKUP($A279,'SegEnds_NonXtal_BW#'!$A:$Z,4,FALSE)+VLOOKUP($A279,A:AL,4,FALSE)-50))</f>
        <v>70</v>
      </c>
      <c r="F279" s="3">
        <f t="shared" si="192"/>
        <v>73</v>
      </c>
      <c r="G279" s="3">
        <v>75</v>
      </c>
      <c r="H279" s="3">
        <f t="shared" si="193"/>
        <v>76</v>
      </c>
      <c r="I279" s="3">
        <f t="shared" si="193"/>
        <v>77</v>
      </c>
      <c r="J279" s="3">
        <v>90</v>
      </c>
      <c r="K279" s="3">
        <f>VLOOKUP($A279,'SegEnds_NonXtal_BW#'!$A:$Z,8,FALSE)+VLOOKUP($A279,A:AL,10,FALSE)-50</f>
        <v>107</v>
      </c>
      <c r="L279" s="3" t="str">
        <f>IF(ISERROR(VLOOKUP($A279,'SegEnds_NonXtal_BW#'!$A:$Z,9,FALSE)+VLOOKUP($A279,A:AL,13,FALSE)-50),"-",(VLOOKUP($A279,'SegEnds_NonXtal_BW#'!$A:$Z,9,FALSE)+VLOOKUP($A279,A:AL,13,FALSE)-50))</f>
        <v>-</v>
      </c>
      <c r="M279" s="3" t="s">
        <v>23</v>
      </c>
      <c r="N279" s="3" t="str">
        <f>IF(ISERROR(VLOOKUP($A279,'SegEnds_NonXtal_BW#'!$A:$Z,10,FALSE)+VLOOKUP($A279,A:AL,13,FALSE)-50),"-",(VLOOKUP($A279,'SegEnds_NonXtal_BW#'!$A:$Z,10,FALSE)+VLOOKUP($A279,A:AL,13,FALSE)-50))</f>
        <v>-</v>
      </c>
      <c r="O279" s="3">
        <f>VLOOKUP($A279,'SegEnds_NonXtal_BW#'!$A:$Z,11,FALSE)+VLOOKUP($A279,A:AL,16,FALSE)-50</f>
        <v>111</v>
      </c>
      <c r="P279" s="3">
        <v>143</v>
      </c>
      <c r="Q279" s="3">
        <f>VLOOKUP($A279,'SegEnds_NonXtal_BW#'!$A:$Z,12,FALSE)+VLOOKUP($A279,A:AL,16,FALSE)-50</f>
        <v>149</v>
      </c>
      <c r="R279" s="3" t="str">
        <f>IF(ISERROR(VLOOKUP($A279,'SegEnds_NonXtal_BW#'!$A:$Z,13,FALSE)+VLOOKUP($A279,A:AL,19,FALSE)-50),"-",VLOOKUP($A279,'SegEnds_NonXtal_BW#'!$A:$Z,13,FALSE)+VLOOKUP($A279,A:AL,19,FALSE)-50)</f>
        <v>-</v>
      </c>
      <c r="S279" s="3" t="s">
        <v>23</v>
      </c>
      <c r="T279" s="100" t="str">
        <f>IF(ISERROR(VLOOKUP($A279,'SegEnds_NonXtal_BW#'!$A:$Z,14,FALSE)+VLOOKUP($A279,A:AL,19,FALSE)-50),"-",(VLOOKUP($A279,'SegEnds_NonXtal_BW#'!$A:$Z,14,FALSE)+VLOOKUP($A279,A:AL,19,FALSE)-50))</f>
        <v>-</v>
      </c>
      <c r="U279" s="9">
        <f>IF(ISERROR(VLOOKUP($A279,'SegEnds_NonXtal_BW#'!$A:$Z,15,FALSE)+VLOOKUP($A279,A:AL,22,FALSE)-50),"-",VLOOKUP($A279,'SegEnds_NonXtal_BW#'!$A:$Z,15,FALSE)+VLOOKUP($A279,A:AL,22,FALSE)-50)</f>
        <v>157</v>
      </c>
      <c r="V279" s="3">
        <v>169</v>
      </c>
      <c r="W279" s="3">
        <f>IF(ISERROR(VLOOKUP($A279,'SegEnds_NonXtal_BW#'!$A:$Z,16,FALSE)+VLOOKUP($A279,A:AL,22,FALSE)-50),"-",(VLOOKUP($A279,'SegEnds_NonXtal_BW#'!$A:$Z,16,FALSE)+VLOOKUP($A279,A:AL,22,FALSE)-50))</f>
        <v>183</v>
      </c>
      <c r="X279" s="3">
        <f>IF(ISERROR(VLOOKUP($A279,'SegEnds_NonXtal_BW#'!$A:$Z,17,FALSE)+VLOOKUP($A279,A:AL,25,FALSE)-50),"-",(VLOOKUP($A279,'SegEnds_NonXtal_BW#'!$A:$Z,17,FALSE)+VLOOKUP($A279,A:AL,25,FALSE)-50))</f>
        <v>189</v>
      </c>
      <c r="Y279" s="3">
        <v>189</v>
      </c>
      <c r="Z279" s="3">
        <f t="shared" si="190"/>
        <v>191</v>
      </c>
      <c r="AA279" s="3">
        <f>IF(ISERROR(VLOOKUP($A279,'SegEnds_NonXtal_BW#'!$A:$Z,19,FALSE)+VLOOKUP($A279,A:AL,28,FALSE)-50),"-",(VLOOKUP($A279,'SegEnds_NonXtal_BW#'!$A:$Z,19,FALSE)+VLOOKUP($A279,A:AL,28,FALSE)-50))</f>
        <v>199</v>
      </c>
      <c r="AB279" s="3">
        <v>214</v>
      </c>
      <c r="AC279" s="3">
        <f>IF(ISERROR((VLOOKUP($A279,'SegEnds_NonXtal_BW#'!$A:$Z,20,FALSE)+VLOOKUP($A279,A:AL,28,FALSE)-50)),"-",(VLOOKUP($A279,'SegEnds_NonXtal_BW#'!$A:$Z,20,FALSE)+VLOOKUP($A279,A:AL,28,FALSE)-50))</f>
        <v>240</v>
      </c>
      <c r="AD279" s="3">
        <f>IF(ISERROR(VLOOKUP($A279,'SegEnds_NonXtal_BW#'!$A:$Z,21,FALSE)+VLOOKUP($A279,A:AL,31,FALSE)-50),"-",(VLOOKUP($A279,'SegEnds_NonXtal_BW#'!$A:$Z,21,FALSE)+VLOOKUP($A279,A:AL,31,FALSE)-50))</f>
        <v>310</v>
      </c>
      <c r="AE279" s="3">
        <v>336</v>
      </c>
      <c r="AF279" s="3">
        <f>IF(ISERROR((VLOOKUP($A279,'SegEnds_NonXtal_BW#'!$A:$Z,22,FALSE)+VLOOKUP($A279,A:AL,31,FALSE)-50)),"-",(VLOOKUP($A279,'SegEnds_NonXtal_BW#'!$A:$Z,22,FALSE)+VLOOKUP($A279,A:AL,31,FALSE)-50))</f>
        <v>347</v>
      </c>
      <c r="AG279" s="3">
        <f>IF(ISERROR(VLOOKUP($A279,'SegEnds_NonXtal_BW#'!$A:$Z,23,FALSE)+VLOOKUP($A279,A:AL,34,FALSE)-50),"-",(VLOOKUP($A279,'SegEnds_NonXtal_BW#'!$A:$Z,23,FALSE)+VLOOKUP($A279,A:AL,34,FALSE)-50))</f>
        <v>354</v>
      </c>
      <c r="AH279" s="3">
        <v>373</v>
      </c>
      <c r="AI279" s="3">
        <f>IF(ISERROR((VLOOKUP($A279,'SegEnds_NonXtal_BW#'!$A:$Z,24,FALSE)+VLOOKUP($A279,A:AL,34,FALSE)-50)),"-",(VLOOKUP($A279,'SegEnds_NonXtal_BW#'!$A:$Z,24,FALSE)+VLOOKUP($A279,A:AL,34,FALSE)-50))</f>
        <v>378</v>
      </c>
      <c r="AJ279" s="3">
        <f>IF(ISERROR(VLOOKUP($A279,'SegEnds_NonXtal_BW#'!$A:$Z,25,FALSE)+VLOOKUP($A279,A:AL,37,FALSE)-50),"-",(VLOOKUP($A279,'SegEnds_NonXtal_BW#'!$A:$Z,25,FALSE)+VLOOKUP($A279,A:AL,37,FALSE)-50))</f>
        <v>380</v>
      </c>
      <c r="AK279" s="3">
        <v>383</v>
      </c>
      <c r="AL279" s="3">
        <f>IF(ISERROR((VLOOKUP($A279,'SegEnds_NonXtal_BW#'!$A:$Z,26,FALSE)+VLOOKUP($A279,A:AL,37,FALSE)-50)),"-",(VLOOKUP($A279,'SegEnds_NonXtal_BW#'!$A:$Z,26,FALSE)+VLOOKUP($A279,A:AL,37,FALSE)-50))</f>
        <v>392</v>
      </c>
      <c r="AM279" s="28" t="str">
        <f>VLOOKUP(A279,Classification!A:B,2,FALSE)</f>
        <v>A</v>
      </c>
      <c r="AN279" s="28" t="b">
        <f t="shared" si="188"/>
        <v>1</v>
      </c>
      <c r="AO279" s="3" t="str">
        <f>IF(ISERROR(MATCH(A279,'SegEnds_Xtal_Prot#'!B:B, 0)), "NoXtal", "Xtal")</f>
        <v>NoXtal</v>
      </c>
      <c r="AP279" s="3">
        <f t="shared" si="173"/>
        <v>3</v>
      </c>
      <c r="AQ279" s="3">
        <f t="shared" si="174"/>
        <v>1</v>
      </c>
      <c r="AR279" s="3" t="str">
        <f t="shared" si="175"/>
        <v>-</v>
      </c>
      <c r="AS279" s="3" t="str">
        <f t="shared" si="176"/>
        <v>-</v>
      </c>
      <c r="AT279" s="3" t="str">
        <f t="shared" si="177"/>
        <v>-</v>
      </c>
      <c r="AU279" s="3" t="str">
        <f t="shared" si="178"/>
        <v>-</v>
      </c>
      <c r="AV279" s="3">
        <f t="shared" si="179"/>
        <v>6</v>
      </c>
      <c r="AW279" s="3">
        <f t="shared" si="180"/>
        <v>8</v>
      </c>
      <c r="AX279" s="3">
        <f t="shared" si="181"/>
        <v>70</v>
      </c>
      <c r="AY279" s="3">
        <f t="shared" si="182"/>
        <v>7</v>
      </c>
      <c r="AZ279" s="3">
        <f t="shared" si="183"/>
        <v>2</v>
      </c>
      <c r="BA279" s="3">
        <f>IF(ISERROR(LEN(VLOOKUP(A279,Seqs!A:E,2,FALSE))-AL279),"-",LEN(VLOOKUP(A279,Seqs!A:E,2,FALSE))-AL279)</f>
        <v>148</v>
      </c>
      <c r="BB279" s="16">
        <f t="shared" si="184"/>
        <v>30</v>
      </c>
      <c r="BC279" s="9" t="str">
        <f t="shared" si="185"/>
        <v>-</v>
      </c>
      <c r="BD279" s="3">
        <f t="shared" si="186"/>
        <v>30</v>
      </c>
      <c r="BE279" s="3">
        <f t="shared" si="187"/>
        <v>122</v>
      </c>
    </row>
    <row r="280" spans="1:58" s="3" customFormat="1" x14ac:dyDescent="0.2">
      <c r="A280" s="3" t="s">
        <v>268</v>
      </c>
      <c r="B280" s="3" t="str">
        <f>LOWER(VLOOKUP(A280,Xtal_Templ!A:B,2,FALSE))</f>
        <v>ox2r_human</v>
      </c>
      <c r="C280" s="3">
        <f>VLOOKUP($A280,'SegEnds_NonXtal_BW#'!$A:$Z,3,FALSE)+D280-50</f>
        <v>70</v>
      </c>
      <c r="D280" s="3">
        <v>89</v>
      </c>
      <c r="E280" s="3">
        <f>IF(ISERROR(VLOOKUP($A280,'SegEnds_NonXtal_BW#'!$A:$Z,4,FALSE)+VLOOKUP($A280,A:AL,4,FALSE)-50),"-",(VLOOKUP($A280,'SegEnds_NonXtal_BW#'!$A:$Z,4,FALSE)+VLOOKUP($A280,A:AL,4,FALSE)-50))</f>
        <v>99</v>
      </c>
      <c r="F280" s="3">
        <f t="shared" si="192"/>
        <v>100</v>
      </c>
      <c r="G280" s="3">
        <v>102</v>
      </c>
      <c r="H280" s="3">
        <f t="shared" si="193"/>
        <v>103</v>
      </c>
      <c r="I280" s="3">
        <f t="shared" si="193"/>
        <v>104</v>
      </c>
      <c r="J280" s="3">
        <v>117</v>
      </c>
      <c r="K280" s="3">
        <f>VLOOKUP($A280,'SegEnds_NonXtal_BW#'!$A:$Z,8,FALSE)+VLOOKUP($A280,A:AL,10,FALSE)-50</f>
        <v>135</v>
      </c>
      <c r="L280" s="3">
        <f t="shared" ref="L280:L297" si="194">M280-1</f>
        <v>136</v>
      </c>
      <c r="M280" s="3">
        <v>137</v>
      </c>
      <c r="N280" s="3">
        <f t="shared" ref="N280:N297" si="195">M280+2</f>
        <v>139</v>
      </c>
      <c r="O280" s="3">
        <f t="shared" ref="O280:O297" si="196">N280+1</f>
        <v>140</v>
      </c>
      <c r="P280" s="3">
        <v>169</v>
      </c>
      <c r="Q280" s="3">
        <f>VLOOKUP($A280,'SegEnds_NonXtal_BW#'!$A:$Z,12,FALSE)+VLOOKUP($A280,A:AL,16,FALSE)-50</f>
        <v>175</v>
      </c>
      <c r="R280" s="3" t="str">
        <f>IF(ISERROR(VLOOKUP($A280,'SegEnds_NonXtal_BW#'!$A:$Z,13,FALSE)+VLOOKUP($A280,A:AL,19,FALSE)-50),"-",VLOOKUP($A280,'SegEnds_NonXtal_BW#'!$A:$Z,13,FALSE)+VLOOKUP($A280,A:AL,19,FALSE)-50)</f>
        <v>-</v>
      </c>
      <c r="S280" s="3" t="s">
        <v>23</v>
      </c>
      <c r="T280" s="100" t="str">
        <f>IF(ISERROR(VLOOKUP($A280,'SegEnds_NonXtal_BW#'!$A:$Z,14,FALSE)+VLOOKUP($A280,A:AL,19,FALSE)-50),"-",(VLOOKUP($A280,'SegEnds_NonXtal_BW#'!$A:$Z,14,FALSE)+VLOOKUP($A280,A:AL,19,FALSE)-50))</f>
        <v>-</v>
      </c>
      <c r="U280" s="9">
        <f>IF(ISERROR(VLOOKUP($A280,'SegEnds_NonXtal_BW#'!$A:$Z,15,FALSE)+VLOOKUP($A280,A:AL,22,FALSE)-50),"-",VLOOKUP($A280,'SegEnds_NonXtal_BW#'!$A:$Z,15,FALSE)+VLOOKUP($A280,A:AL,22,FALSE)-50)</f>
        <v>182</v>
      </c>
      <c r="V280" s="3">
        <v>194</v>
      </c>
      <c r="W280" s="3">
        <f>IF(ISERROR(VLOOKUP($A280,'SegEnds_NonXtal_BW#'!$A:$Z,16,FALSE)+VLOOKUP($A280,A:AL,22,FALSE)-50),"-",(VLOOKUP($A280,'SegEnds_NonXtal_BW#'!$A:$Z,16,FALSE)+VLOOKUP($A280,A:AL,22,FALSE)-50))</f>
        <v>208</v>
      </c>
      <c r="X280" s="3">
        <f>IF(ISERROR(VLOOKUP($A280,'SegEnds_NonXtal_BW#'!$A:$Z,17,FALSE)+VLOOKUP($A280,A:AL,25,FALSE)-50),"-",(VLOOKUP($A280,'SegEnds_NonXtal_BW#'!$A:$Z,17,FALSE)+VLOOKUP($A280,A:AL,25,FALSE)-50))</f>
        <v>224</v>
      </c>
      <c r="Y280" s="3">
        <v>224</v>
      </c>
      <c r="Z280" s="3">
        <f t="shared" si="190"/>
        <v>226</v>
      </c>
      <c r="AA280" s="3">
        <f>IF(ISERROR(VLOOKUP($A280,'SegEnds_NonXtal_BW#'!$A:$Z,19,FALSE)+VLOOKUP($A280,A:AL,28,FALSE)-50),"-",(VLOOKUP($A280,'SegEnds_NonXtal_BW#'!$A:$Z,19,FALSE)+VLOOKUP($A280,A:AL,28,FALSE)-50))</f>
        <v>234</v>
      </c>
      <c r="AB280" s="3">
        <v>251</v>
      </c>
      <c r="AC280" s="3">
        <f>IF(ISERROR((VLOOKUP($A280,'SegEnds_NonXtal_BW#'!$A:$Z,20,FALSE)+VLOOKUP($A280,A:AL,28,FALSE)-50)),"-",(VLOOKUP($A280,'SegEnds_NonXtal_BW#'!$A:$Z,20,FALSE)+VLOOKUP($A280,A:AL,28,FALSE)-50))</f>
        <v>274</v>
      </c>
      <c r="AD280" s="3">
        <f>IF(ISERROR(VLOOKUP($A280,'SegEnds_NonXtal_BW#'!$A:$Z,21,FALSE)+VLOOKUP($A280,A:AL,31,FALSE)-50),"-",(VLOOKUP($A280,'SegEnds_NonXtal_BW#'!$A:$Z,21,FALSE)+VLOOKUP($A280,A:AL,31,FALSE)-50))</f>
        <v>279</v>
      </c>
      <c r="AE280" s="3">
        <v>307</v>
      </c>
      <c r="AF280" s="3">
        <f>IF(ISERROR((VLOOKUP($A280,'SegEnds_NonXtal_BW#'!$A:$Z,22,FALSE)+VLOOKUP($A280,A:AL,31,FALSE)-50)),"-",(VLOOKUP($A280,'SegEnds_NonXtal_BW#'!$A:$Z,22,FALSE)+VLOOKUP($A280,A:AL,31,FALSE)-50))</f>
        <v>318</v>
      </c>
      <c r="AG280" s="3">
        <f>IF(ISERROR(VLOOKUP($A280,'SegEnds_NonXtal_BW#'!$A:$Z,23,FALSE)+VLOOKUP($A280,A:AL,34,FALSE)-50),"-",(VLOOKUP($A280,'SegEnds_NonXtal_BW#'!$A:$Z,23,FALSE)+VLOOKUP($A280,A:AL,34,FALSE)-50))</f>
        <v>323</v>
      </c>
      <c r="AH280" s="3">
        <v>342</v>
      </c>
      <c r="AI280" s="3">
        <f>IF(ISERROR((VLOOKUP($A280,'SegEnds_NonXtal_BW#'!$A:$Z,24,FALSE)+VLOOKUP($A280,A:AL,34,FALSE)-50)),"-",(VLOOKUP($A280,'SegEnds_NonXtal_BW#'!$A:$Z,24,FALSE)+VLOOKUP($A280,A:AL,34,FALSE)-50))</f>
        <v>348</v>
      </c>
      <c r="AJ280" s="3">
        <f>IF(ISERROR(VLOOKUP($A280,'SegEnds_NonXtal_BW#'!$A:$Z,25,FALSE)+VLOOKUP($A280,A:AL,37,FALSE)-50),"-",(VLOOKUP($A280,'SegEnds_NonXtal_BW#'!$A:$Z,25,FALSE)+VLOOKUP($A280,A:AL,37,FALSE)-50))</f>
        <v>349</v>
      </c>
      <c r="AK280" s="3">
        <v>352</v>
      </c>
      <c r="AL280" s="3">
        <f>IF(ISERROR((VLOOKUP($A280,'SegEnds_NonXtal_BW#'!$A:$Z,26,FALSE)+VLOOKUP($A280,A:AL,37,FALSE)-50)),"-",(VLOOKUP($A280,'SegEnds_NonXtal_BW#'!$A:$Z,26,FALSE)+VLOOKUP($A280,A:AL,37,FALSE)-50))</f>
        <v>365</v>
      </c>
      <c r="AM280" s="28" t="str">
        <f>VLOOKUP(A280,Classification!A:B,2,FALSE)</f>
        <v>A</v>
      </c>
      <c r="AN280" s="28" t="b">
        <f t="shared" si="188"/>
        <v>1</v>
      </c>
      <c r="AO280" s="3" t="str">
        <f>IF(ISERROR(MATCH(A280,'SegEnds_Xtal_Prot#'!B:B, 0)), "NoXtal", "Xtal")</f>
        <v>NoXtal</v>
      </c>
      <c r="AP280" s="3">
        <f t="shared" si="173"/>
        <v>1</v>
      </c>
      <c r="AQ280" s="3">
        <f t="shared" si="174"/>
        <v>1</v>
      </c>
      <c r="AR280" s="3">
        <f t="shared" si="175"/>
        <v>1</v>
      </c>
      <c r="AS280" s="3">
        <f t="shared" si="176"/>
        <v>1</v>
      </c>
      <c r="AT280" s="3" t="str">
        <f t="shared" si="177"/>
        <v>-</v>
      </c>
      <c r="AU280" s="3" t="str">
        <f t="shared" si="178"/>
        <v>-</v>
      </c>
      <c r="AV280" s="3">
        <f t="shared" si="179"/>
        <v>16</v>
      </c>
      <c r="AW280" s="3">
        <f t="shared" si="180"/>
        <v>8</v>
      </c>
      <c r="AX280" s="3">
        <f t="shared" si="181"/>
        <v>5</v>
      </c>
      <c r="AY280" s="3">
        <f t="shared" si="182"/>
        <v>5</v>
      </c>
      <c r="AZ280" s="3">
        <f t="shared" si="183"/>
        <v>1</v>
      </c>
      <c r="BA280" s="3">
        <f>IF(ISERROR(LEN(VLOOKUP(A280,Seqs!A:E,2,FALSE))-AL280),"-",LEN(VLOOKUP(A280,Seqs!A:E,2,FALSE))-AL280)</f>
        <v>58</v>
      </c>
      <c r="BB280" s="16">
        <f t="shared" si="184"/>
        <v>28</v>
      </c>
      <c r="BC280" s="9" t="str">
        <f t="shared" si="185"/>
        <v>-</v>
      </c>
      <c r="BD280" s="3">
        <f t="shared" si="186"/>
        <v>28</v>
      </c>
      <c r="BE280" s="3">
        <f t="shared" si="187"/>
        <v>56</v>
      </c>
    </row>
    <row r="281" spans="1:58" s="3" customFormat="1" x14ac:dyDescent="0.2">
      <c r="A281" s="3" t="s">
        <v>313</v>
      </c>
      <c r="B281" s="3" t="str">
        <f>LOWER(VLOOKUP(A281,Xtal_Templ!A:B,2,FALSE))</f>
        <v>nk1r_human</v>
      </c>
      <c r="C281" s="3">
        <f>VLOOKUP($A281,'SegEnds_NonXtal_BW#'!$A:$Z,3,FALSE)+D281-50</f>
        <v>28</v>
      </c>
      <c r="D281" s="3">
        <v>50</v>
      </c>
      <c r="E281" s="3">
        <f>IF(ISERROR(VLOOKUP($A281,'SegEnds_NonXtal_BW#'!$A:$Z,4,FALSE)+VLOOKUP($A281,A:AL,4,FALSE)-50),"-",(VLOOKUP($A281,'SegEnds_NonXtal_BW#'!$A:$Z,4,FALSE)+VLOOKUP($A281,A:AL,4,FALSE)-50))</f>
        <v>60</v>
      </c>
      <c r="F281" s="3">
        <f t="shared" si="192"/>
        <v>61</v>
      </c>
      <c r="G281" s="3">
        <v>63</v>
      </c>
      <c r="H281" s="3">
        <f t="shared" si="193"/>
        <v>64</v>
      </c>
      <c r="I281" s="3">
        <f t="shared" si="193"/>
        <v>65</v>
      </c>
      <c r="J281" s="3">
        <v>78</v>
      </c>
      <c r="K281" s="3">
        <f>VLOOKUP($A281,'SegEnds_NonXtal_BW#'!$A:$Z,8,FALSE)+VLOOKUP($A281,A:AL,10,FALSE)-50</f>
        <v>96</v>
      </c>
      <c r="L281" s="3">
        <f t="shared" si="194"/>
        <v>97</v>
      </c>
      <c r="M281" s="3">
        <v>98</v>
      </c>
      <c r="N281" s="3">
        <f t="shared" si="195"/>
        <v>100</v>
      </c>
      <c r="O281" s="3">
        <f t="shared" si="196"/>
        <v>101</v>
      </c>
      <c r="P281" s="3">
        <v>130</v>
      </c>
      <c r="Q281" s="3">
        <f>VLOOKUP($A281,'SegEnds_NonXtal_BW#'!$A:$Z,12,FALSE)+VLOOKUP($A281,A:AL,16,FALSE)-50</f>
        <v>136</v>
      </c>
      <c r="R281" s="3" t="str">
        <f>IF(ISERROR(VLOOKUP($A281,'SegEnds_NonXtal_BW#'!$A:$Z,13,FALSE)+VLOOKUP($A281,A:AL,19,FALSE)-50),"-",VLOOKUP($A281,'SegEnds_NonXtal_BW#'!$A:$Z,13,FALSE)+VLOOKUP($A281,A:AL,19,FALSE)-50)</f>
        <v>-</v>
      </c>
      <c r="S281" s="3" t="s">
        <v>23</v>
      </c>
      <c r="T281" s="100" t="str">
        <f>IF(ISERROR(VLOOKUP($A281,'SegEnds_NonXtal_BW#'!$A:$Z,14,FALSE)+VLOOKUP($A281,A:AL,19,FALSE)-50),"-",(VLOOKUP($A281,'SegEnds_NonXtal_BW#'!$A:$Z,14,FALSE)+VLOOKUP($A281,A:AL,19,FALSE)-50))</f>
        <v>-</v>
      </c>
      <c r="U281" s="9">
        <f>IF(ISERROR(VLOOKUP($A281,'SegEnds_NonXtal_BW#'!$A:$Z,15,FALSE)+VLOOKUP($A281,A:AL,22,FALSE)-50),"-",VLOOKUP($A281,'SegEnds_NonXtal_BW#'!$A:$Z,15,FALSE)+VLOOKUP($A281,A:AL,22,FALSE)-50)</f>
        <v>143</v>
      </c>
      <c r="V281" s="3">
        <v>155</v>
      </c>
      <c r="W281" s="3">
        <f>IF(ISERROR(VLOOKUP($A281,'SegEnds_NonXtal_BW#'!$A:$Z,16,FALSE)+VLOOKUP($A281,A:AL,22,FALSE)-50),"-",(VLOOKUP($A281,'SegEnds_NonXtal_BW#'!$A:$Z,16,FALSE)+VLOOKUP($A281,A:AL,22,FALSE)-50))</f>
        <v>169</v>
      </c>
      <c r="X281" s="3">
        <f>IF(ISERROR(VLOOKUP($A281,'SegEnds_NonXtal_BW#'!$A:$Z,17,FALSE)+VLOOKUP($A281,A:AL,25,FALSE)-50),"-",(VLOOKUP($A281,'SegEnds_NonXtal_BW#'!$A:$Z,17,FALSE)+VLOOKUP($A281,A:AL,25,FALSE)-50))</f>
        <v>180</v>
      </c>
      <c r="Y281" s="3">
        <v>180</v>
      </c>
      <c r="Z281" s="3">
        <f t="shared" si="190"/>
        <v>182</v>
      </c>
      <c r="AA281" s="3">
        <f>IF(ISERROR(VLOOKUP($A281,'SegEnds_NonXtal_BW#'!$A:$Z,19,FALSE)+VLOOKUP($A281,A:AL,28,FALSE)-50),"-",(VLOOKUP($A281,'SegEnds_NonXtal_BW#'!$A:$Z,19,FALSE)+VLOOKUP($A281,A:AL,28,FALSE)-50))</f>
        <v>188</v>
      </c>
      <c r="AB281" s="3">
        <v>208</v>
      </c>
      <c r="AC281" s="3">
        <f>IF(ISERROR((VLOOKUP($A281,'SegEnds_NonXtal_BW#'!$A:$Z,20,FALSE)+VLOOKUP($A281,A:AL,28,FALSE)-50)),"-",(VLOOKUP($A281,'SegEnds_NonXtal_BW#'!$A:$Z,20,FALSE)+VLOOKUP($A281,A:AL,28,FALSE)-50))</f>
        <v>231</v>
      </c>
      <c r="AD281" s="3">
        <f>IF(ISERROR(VLOOKUP($A281,'SegEnds_NonXtal_BW#'!$A:$Z,21,FALSE)+VLOOKUP($A281,A:AL,31,FALSE)-50),"-",(VLOOKUP($A281,'SegEnds_NonXtal_BW#'!$A:$Z,21,FALSE)+VLOOKUP($A281,A:AL,31,FALSE)-50))</f>
        <v>235</v>
      </c>
      <c r="AE281" s="3">
        <v>263</v>
      </c>
      <c r="AF281" s="3">
        <f>IF(ISERROR((VLOOKUP($A281,'SegEnds_NonXtal_BW#'!$A:$Z,22,FALSE)+VLOOKUP($A281,A:AL,31,FALSE)-50)),"-",(VLOOKUP($A281,'SegEnds_NonXtal_BW#'!$A:$Z,22,FALSE)+VLOOKUP($A281,A:AL,31,FALSE)-50))</f>
        <v>274</v>
      </c>
      <c r="AG281" s="3">
        <f>IF(ISERROR(VLOOKUP($A281,'SegEnds_NonXtal_BW#'!$A:$Z,23,FALSE)+VLOOKUP($A281,A:AL,34,FALSE)-50),"-",(VLOOKUP($A281,'SegEnds_NonXtal_BW#'!$A:$Z,23,FALSE)+VLOOKUP($A281,A:AL,34,FALSE)-50))</f>
        <v>282</v>
      </c>
      <c r="AH281" s="3">
        <v>302</v>
      </c>
      <c r="AI281" s="3">
        <f>IF(ISERROR((VLOOKUP($A281,'SegEnds_NonXtal_BW#'!$A:$Z,24,FALSE)+VLOOKUP($A281,A:AL,34,FALSE)-50)),"-",(VLOOKUP($A281,'SegEnds_NonXtal_BW#'!$A:$Z,24,FALSE)+VLOOKUP($A281,A:AL,34,FALSE)-50))</f>
        <v>308</v>
      </c>
      <c r="AJ281" s="3">
        <f>IF(ISERROR(VLOOKUP($A281,'SegEnds_NonXtal_BW#'!$A:$Z,25,FALSE)+VLOOKUP($A281,A:AL,37,FALSE)-50),"-",(VLOOKUP($A281,'SegEnds_NonXtal_BW#'!$A:$Z,25,FALSE)+VLOOKUP($A281,A:AL,37,FALSE)-50))</f>
        <v>309</v>
      </c>
      <c r="AK281" s="3">
        <v>312</v>
      </c>
      <c r="AL281" s="3">
        <f>IF(ISERROR((VLOOKUP($A281,'SegEnds_NonXtal_BW#'!$A:$Z,26,FALSE)+VLOOKUP($A281,A:AL,37,FALSE)-50)),"-",(VLOOKUP($A281,'SegEnds_NonXtal_BW#'!$A:$Z,26,FALSE)+VLOOKUP($A281,A:AL,37,FALSE)-50))</f>
        <v>320</v>
      </c>
      <c r="AM281" s="28" t="str">
        <f>VLOOKUP(A281,Classification!A:B,2,FALSE)</f>
        <v>A</v>
      </c>
      <c r="AN281" s="28" t="b">
        <f t="shared" si="188"/>
        <v>1</v>
      </c>
      <c r="AO281" s="3" t="str">
        <f>IF(ISERROR(MATCH(A281,'SegEnds_Xtal_Prot#'!B:B, 0)), "NoXtal", "Xtal")</f>
        <v>Xtal</v>
      </c>
      <c r="AP281" s="3">
        <f t="shared" si="173"/>
        <v>1</v>
      </c>
      <c r="AQ281" s="3">
        <f t="shared" si="174"/>
        <v>1</v>
      </c>
      <c r="AR281" s="3">
        <f t="shared" si="175"/>
        <v>1</v>
      </c>
      <c r="AS281" s="3">
        <f t="shared" si="176"/>
        <v>1</v>
      </c>
      <c r="AT281" s="3" t="str">
        <f t="shared" si="177"/>
        <v>-</v>
      </c>
      <c r="AU281" s="3" t="str">
        <f t="shared" si="178"/>
        <v>-</v>
      </c>
      <c r="AV281" s="3">
        <f t="shared" si="179"/>
        <v>11</v>
      </c>
      <c r="AW281" s="3">
        <f t="shared" si="180"/>
        <v>6</v>
      </c>
      <c r="AX281" s="3">
        <f t="shared" si="181"/>
        <v>4</v>
      </c>
      <c r="AY281" s="3">
        <f t="shared" si="182"/>
        <v>8</v>
      </c>
      <c r="AZ281" s="3">
        <f t="shared" si="183"/>
        <v>1</v>
      </c>
      <c r="BA281" s="3">
        <f>IF(ISERROR(LEN(VLOOKUP(A281,Seqs!A:E,2,FALSE))-AL281),"-",LEN(VLOOKUP(A281,Seqs!A:E,2,FALSE))-AL281)</f>
        <v>87</v>
      </c>
      <c r="BB281" s="16">
        <f t="shared" si="184"/>
        <v>28</v>
      </c>
      <c r="BC281" s="9" t="str">
        <f t="shared" si="185"/>
        <v>-</v>
      </c>
      <c r="BD281" s="3">
        <f t="shared" si="186"/>
        <v>28</v>
      </c>
      <c r="BE281" s="3">
        <f t="shared" si="187"/>
        <v>55</v>
      </c>
    </row>
    <row r="282" spans="1:58" s="3" customFormat="1" x14ac:dyDescent="0.2">
      <c r="A282" s="3" t="s">
        <v>314</v>
      </c>
      <c r="B282" s="3" t="str">
        <f>LOWER(VLOOKUP(A282,Xtal_Templ!A:B,2,FALSE))</f>
        <v>nk1r_human</v>
      </c>
      <c r="C282" s="3">
        <f>VLOOKUP($A282,'SegEnds_NonXtal_BW#'!$A:$Z,3,FALSE)+D282-50</f>
        <v>29</v>
      </c>
      <c r="D282" s="3">
        <v>51</v>
      </c>
      <c r="E282" s="3">
        <f>IF(ISERROR(VLOOKUP($A282,'SegEnds_NonXtal_BW#'!$A:$Z,4,FALSE)+VLOOKUP($A282,A:AL,4,FALSE)-50),"-",(VLOOKUP($A282,'SegEnds_NonXtal_BW#'!$A:$Z,4,FALSE)+VLOOKUP($A282,A:AL,4,FALSE)-50))</f>
        <v>61</v>
      </c>
      <c r="F282" s="3">
        <f t="shared" si="192"/>
        <v>62</v>
      </c>
      <c r="G282" s="3">
        <v>64</v>
      </c>
      <c r="H282" s="3">
        <f t="shared" si="193"/>
        <v>65</v>
      </c>
      <c r="I282" s="3">
        <f t="shared" si="193"/>
        <v>66</v>
      </c>
      <c r="J282" s="3">
        <v>79</v>
      </c>
      <c r="K282" s="3">
        <f>VLOOKUP($A282,'SegEnds_NonXtal_BW#'!$A:$Z,8,FALSE)+VLOOKUP($A282,A:AL,10,FALSE)-50</f>
        <v>97</v>
      </c>
      <c r="L282" s="3">
        <f t="shared" si="194"/>
        <v>98</v>
      </c>
      <c r="M282" s="3">
        <v>99</v>
      </c>
      <c r="N282" s="3">
        <f t="shared" si="195"/>
        <v>101</v>
      </c>
      <c r="O282" s="3">
        <f t="shared" si="196"/>
        <v>102</v>
      </c>
      <c r="P282" s="3">
        <v>131</v>
      </c>
      <c r="Q282" s="3">
        <f>VLOOKUP($A282,'SegEnds_NonXtal_BW#'!$A:$Z,12,FALSE)+VLOOKUP($A282,A:AL,16,FALSE)-50</f>
        <v>137</v>
      </c>
      <c r="R282" s="3" t="str">
        <f>IF(ISERROR(VLOOKUP($A282,'SegEnds_NonXtal_BW#'!$A:$Z,13,FALSE)+VLOOKUP($A282,A:AL,19,FALSE)-50),"-",VLOOKUP($A282,'SegEnds_NonXtal_BW#'!$A:$Z,13,FALSE)+VLOOKUP($A282,A:AL,19,FALSE)-50)</f>
        <v>-</v>
      </c>
      <c r="S282" s="3" t="s">
        <v>23</v>
      </c>
      <c r="T282" s="100" t="str">
        <f>IF(ISERROR(VLOOKUP($A282,'SegEnds_NonXtal_BW#'!$A:$Z,14,FALSE)+VLOOKUP($A282,A:AL,19,FALSE)-50),"-",(VLOOKUP($A282,'SegEnds_NonXtal_BW#'!$A:$Z,14,FALSE)+VLOOKUP($A282,A:AL,19,FALSE)-50))</f>
        <v>-</v>
      </c>
      <c r="U282" s="9">
        <f>IF(ISERROR(VLOOKUP($A282,'SegEnds_NonXtal_BW#'!$A:$Z,15,FALSE)+VLOOKUP($A282,A:AL,22,FALSE)-50),"-",VLOOKUP($A282,'SegEnds_NonXtal_BW#'!$A:$Z,15,FALSE)+VLOOKUP($A282,A:AL,22,FALSE)-50)</f>
        <v>144</v>
      </c>
      <c r="V282" s="3">
        <v>156</v>
      </c>
      <c r="W282" s="3">
        <f>IF(ISERROR(VLOOKUP($A282,'SegEnds_NonXtal_BW#'!$A:$Z,16,FALSE)+VLOOKUP($A282,A:AL,22,FALSE)-50),"-",(VLOOKUP($A282,'SegEnds_NonXtal_BW#'!$A:$Z,16,FALSE)+VLOOKUP($A282,A:AL,22,FALSE)-50))</f>
        <v>170</v>
      </c>
      <c r="X282" s="3">
        <f>IF(ISERROR(VLOOKUP($A282,'SegEnds_NonXtal_BW#'!$A:$Z,17,FALSE)+VLOOKUP($A282,A:AL,25,FALSE)-50),"-",(VLOOKUP($A282,'SegEnds_NonXtal_BW#'!$A:$Z,17,FALSE)+VLOOKUP($A282,A:AL,25,FALSE)-50))</f>
        <v>181</v>
      </c>
      <c r="Y282" s="3">
        <v>181</v>
      </c>
      <c r="Z282" s="3">
        <f t="shared" si="190"/>
        <v>183</v>
      </c>
      <c r="AA282" s="3">
        <f>IF(ISERROR(VLOOKUP($A282,'SegEnds_NonXtal_BW#'!$A:$Z,19,FALSE)+VLOOKUP($A282,A:AL,28,FALSE)-50),"-",(VLOOKUP($A282,'SegEnds_NonXtal_BW#'!$A:$Z,19,FALSE)+VLOOKUP($A282,A:AL,28,FALSE)-50))</f>
        <v>189</v>
      </c>
      <c r="AB282" s="3">
        <v>209</v>
      </c>
      <c r="AC282" s="3">
        <f>IF(ISERROR((VLOOKUP($A282,'SegEnds_NonXtal_BW#'!$A:$Z,20,FALSE)+VLOOKUP($A282,A:AL,28,FALSE)-50)),"-",(VLOOKUP($A282,'SegEnds_NonXtal_BW#'!$A:$Z,20,FALSE)+VLOOKUP($A282,A:AL,28,FALSE)-50))</f>
        <v>232</v>
      </c>
      <c r="AD282" s="3">
        <f>IF(ISERROR(VLOOKUP($A282,'SegEnds_NonXtal_BW#'!$A:$Z,21,FALSE)+VLOOKUP($A282,A:AL,31,FALSE)-50),"-",(VLOOKUP($A282,'SegEnds_NonXtal_BW#'!$A:$Z,21,FALSE)+VLOOKUP($A282,A:AL,31,FALSE)-50))</f>
        <v>237</v>
      </c>
      <c r="AE282" s="3">
        <v>265</v>
      </c>
      <c r="AF282" s="3">
        <f>IF(ISERROR((VLOOKUP($A282,'SegEnds_NonXtal_BW#'!$A:$Z,22,FALSE)+VLOOKUP($A282,A:AL,31,FALSE)-50)),"-",(VLOOKUP($A282,'SegEnds_NonXtal_BW#'!$A:$Z,22,FALSE)+VLOOKUP($A282,A:AL,31,FALSE)-50))</f>
        <v>276</v>
      </c>
      <c r="AG282" s="3">
        <f>IF(ISERROR(VLOOKUP($A282,'SegEnds_NonXtal_BW#'!$A:$Z,23,FALSE)+VLOOKUP($A282,A:AL,34,FALSE)-50),"-",(VLOOKUP($A282,'SegEnds_NonXtal_BW#'!$A:$Z,23,FALSE)+VLOOKUP($A282,A:AL,34,FALSE)-50))</f>
        <v>284</v>
      </c>
      <c r="AH282" s="3">
        <v>304</v>
      </c>
      <c r="AI282" s="3">
        <f>IF(ISERROR((VLOOKUP($A282,'SegEnds_NonXtal_BW#'!$A:$Z,24,FALSE)+VLOOKUP($A282,A:AL,34,FALSE)-50)),"-",(VLOOKUP($A282,'SegEnds_NonXtal_BW#'!$A:$Z,24,FALSE)+VLOOKUP($A282,A:AL,34,FALSE)-50))</f>
        <v>310</v>
      </c>
      <c r="AJ282" s="3">
        <f>IF(ISERROR(VLOOKUP($A282,'SegEnds_NonXtal_BW#'!$A:$Z,25,FALSE)+VLOOKUP($A282,A:AL,37,FALSE)-50),"-",(VLOOKUP($A282,'SegEnds_NonXtal_BW#'!$A:$Z,25,FALSE)+VLOOKUP($A282,A:AL,37,FALSE)-50))</f>
        <v>311</v>
      </c>
      <c r="AK282" s="3">
        <v>314</v>
      </c>
      <c r="AL282" s="3">
        <f>IF(ISERROR((VLOOKUP($A282,'SegEnds_NonXtal_BW#'!$A:$Z,26,FALSE)+VLOOKUP($A282,A:AL,37,FALSE)-50)),"-",(VLOOKUP($A282,'SegEnds_NonXtal_BW#'!$A:$Z,26,FALSE)+VLOOKUP($A282,A:AL,37,FALSE)-50))</f>
        <v>322</v>
      </c>
      <c r="AM282" s="28" t="str">
        <f>VLOOKUP(A282,Classification!A:B,2,FALSE)</f>
        <v>A</v>
      </c>
      <c r="AN282" s="28" t="b">
        <f t="shared" si="188"/>
        <v>1</v>
      </c>
      <c r="AO282" s="3" t="str">
        <f>IF(ISERROR(MATCH(A282,'SegEnds_Xtal_Prot#'!B:B, 0)), "NoXtal", "Xtal")</f>
        <v>NoXtal</v>
      </c>
      <c r="AP282" s="3">
        <f t="shared" si="173"/>
        <v>1</v>
      </c>
      <c r="AQ282" s="3">
        <f t="shared" si="174"/>
        <v>1</v>
      </c>
      <c r="AR282" s="3">
        <f t="shared" si="175"/>
        <v>1</v>
      </c>
      <c r="AS282" s="3">
        <f t="shared" si="176"/>
        <v>1</v>
      </c>
      <c r="AT282" s="3" t="str">
        <f t="shared" si="177"/>
        <v>-</v>
      </c>
      <c r="AU282" s="3" t="str">
        <f t="shared" si="178"/>
        <v>-</v>
      </c>
      <c r="AV282" s="3">
        <f t="shared" si="179"/>
        <v>11</v>
      </c>
      <c r="AW282" s="3">
        <f t="shared" si="180"/>
        <v>6</v>
      </c>
      <c r="AX282" s="3">
        <f t="shared" si="181"/>
        <v>5</v>
      </c>
      <c r="AY282" s="3">
        <f t="shared" si="182"/>
        <v>8</v>
      </c>
      <c r="AZ282" s="3">
        <f t="shared" si="183"/>
        <v>1</v>
      </c>
      <c r="BA282" s="3">
        <f>IF(ISERROR(LEN(VLOOKUP(A282,Seqs!A:E,2,FALSE))-AL282),"-",LEN(VLOOKUP(A282,Seqs!A:E,2,FALSE))-AL282)</f>
        <v>76</v>
      </c>
      <c r="BB282" s="16">
        <f t="shared" si="184"/>
        <v>28</v>
      </c>
      <c r="BC282" s="9" t="str">
        <f t="shared" si="185"/>
        <v>-</v>
      </c>
      <c r="BD282" s="3">
        <f t="shared" si="186"/>
        <v>28</v>
      </c>
      <c r="BE282" s="3">
        <f t="shared" si="187"/>
        <v>56</v>
      </c>
    </row>
    <row r="283" spans="1:58" s="3" customFormat="1" x14ac:dyDescent="0.2">
      <c r="A283" s="3" t="s">
        <v>315</v>
      </c>
      <c r="B283" s="3" t="str">
        <f>LOWER(VLOOKUP(A283,Xtal_Templ!A:B,2,FALSE))</f>
        <v>nk1r_human</v>
      </c>
      <c r="C283" s="3">
        <f>VLOOKUP($A283,'SegEnds_NonXtal_BW#'!$A:$Z,3,FALSE)+D283-50</f>
        <v>81</v>
      </c>
      <c r="D283" s="3">
        <v>103</v>
      </c>
      <c r="E283" s="3">
        <f>IF(ISERROR(VLOOKUP($A283,'SegEnds_NonXtal_BW#'!$A:$Z,4,FALSE)+VLOOKUP($A283,A:AL,4,FALSE)-50),"-",(VLOOKUP($A283,'SegEnds_NonXtal_BW#'!$A:$Z,4,FALSE)+VLOOKUP($A283,A:AL,4,FALSE)-50))</f>
        <v>113</v>
      </c>
      <c r="F283" s="3">
        <f t="shared" si="192"/>
        <v>114</v>
      </c>
      <c r="G283" s="3">
        <v>116</v>
      </c>
      <c r="H283" s="3">
        <f t="shared" si="193"/>
        <v>117</v>
      </c>
      <c r="I283" s="3">
        <f t="shared" si="193"/>
        <v>118</v>
      </c>
      <c r="J283" s="3">
        <v>131</v>
      </c>
      <c r="K283" s="3">
        <f>VLOOKUP($A283,'SegEnds_NonXtal_BW#'!$A:$Z,8,FALSE)+VLOOKUP($A283,A:AL,10,FALSE)-50</f>
        <v>149</v>
      </c>
      <c r="L283" s="3">
        <f t="shared" si="194"/>
        <v>150</v>
      </c>
      <c r="M283" s="3">
        <v>151</v>
      </c>
      <c r="N283" s="3">
        <f t="shared" si="195"/>
        <v>153</v>
      </c>
      <c r="O283" s="3">
        <f t="shared" si="196"/>
        <v>154</v>
      </c>
      <c r="P283" s="3">
        <v>183</v>
      </c>
      <c r="Q283" s="3">
        <f>VLOOKUP($A283,'SegEnds_NonXtal_BW#'!$A:$Z,12,FALSE)+VLOOKUP($A283,A:AL,16,FALSE)-50</f>
        <v>189</v>
      </c>
      <c r="R283" s="3" t="str">
        <f>IF(ISERROR(VLOOKUP($A283,'SegEnds_NonXtal_BW#'!$A:$Z,13,FALSE)+VLOOKUP($A283,A:AL,19,FALSE)-50),"-",VLOOKUP($A283,'SegEnds_NonXtal_BW#'!$A:$Z,13,FALSE)+VLOOKUP($A283,A:AL,19,FALSE)-50)</f>
        <v>-</v>
      </c>
      <c r="S283" s="3" t="s">
        <v>23</v>
      </c>
      <c r="T283" s="100" t="str">
        <f>IF(ISERROR(VLOOKUP($A283,'SegEnds_NonXtal_BW#'!$A:$Z,14,FALSE)+VLOOKUP($A283,A:AL,19,FALSE)-50),"-",(VLOOKUP($A283,'SegEnds_NonXtal_BW#'!$A:$Z,14,FALSE)+VLOOKUP($A283,A:AL,19,FALSE)-50))</f>
        <v>-</v>
      </c>
      <c r="U283" s="9">
        <f>IF(ISERROR(VLOOKUP($A283,'SegEnds_NonXtal_BW#'!$A:$Z,15,FALSE)+VLOOKUP($A283,A:AL,22,FALSE)-50),"-",VLOOKUP($A283,'SegEnds_NonXtal_BW#'!$A:$Z,15,FALSE)+VLOOKUP($A283,A:AL,22,FALSE)-50)</f>
        <v>196</v>
      </c>
      <c r="V283" s="3">
        <v>208</v>
      </c>
      <c r="W283" s="3">
        <f>IF(ISERROR(VLOOKUP($A283,'SegEnds_NonXtal_BW#'!$A:$Z,16,FALSE)+VLOOKUP($A283,A:AL,22,FALSE)-50),"-",(VLOOKUP($A283,'SegEnds_NonXtal_BW#'!$A:$Z,16,FALSE)+VLOOKUP($A283,A:AL,22,FALSE)-50))</f>
        <v>222</v>
      </c>
      <c r="X283" s="3">
        <f>IF(ISERROR(VLOOKUP($A283,'SegEnds_NonXtal_BW#'!$A:$Z,17,FALSE)+VLOOKUP($A283,A:AL,25,FALSE)-50),"-",(VLOOKUP($A283,'SegEnds_NonXtal_BW#'!$A:$Z,17,FALSE)+VLOOKUP($A283,A:AL,25,FALSE)-50))</f>
        <v>233</v>
      </c>
      <c r="Y283" s="3">
        <v>233</v>
      </c>
      <c r="Z283" s="3">
        <f t="shared" si="190"/>
        <v>235</v>
      </c>
      <c r="AA283" s="3">
        <f>IF(ISERROR(VLOOKUP($A283,'SegEnds_NonXtal_BW#'!$A:$Z,19,FALSE)+VLOOKUP($A283,A:AL,28,FALSE)-50),"-",(VLOOKUP($A283,'SegEnds_NonXtal_BW#'!$A:$Z,19,FALSE)+VLOOKUP($A283,A:AL,28,FALSE)-50))</f>
        <v>239</v>
      </c>
      <c r="AB283" s="3">
        <v>259</v>
      </c>
      <c r="AC283" s="3">
        <f>IF(ISERROR((VLOOKUP($A283,'SegEnds_NonXtal_BW#'!$A:$Z,20,FALSE)+VLOOKUP($A283,A:AL,28,FALSE)-50)),"-",(VLOOKUP($A283,'SegEnds_NonXtal_BW#'!$A:$Z,20,FALSE)+VLOOKUP($A283,A:AL,28,FALSE)-50))</f>
        <v>282</v>
      </c>
      <c r="AD283" s="3">
        <f>IF(ISERROR(VLOOKUP($A283,'SegEnds_NonXtal_BW#'!$A:$Z,21,FALSE)+VLOOKUP($A283,A:AL,31,FALSE)-50),"-",(VLOOKUP($A283,'SegEnds_NonXtal_BW#'!$A:$Z,21,FALSE)+VLOOKUP($A283,A:AL,31,FALSE)-50))</f>
        <v>286</v>
      </c>
      <c r="AE283" s="3">
        <v>314</v>
      </c>
      <c r="AF283" s="3">
        <f>IF(ISERROR((VLOOKUP($A283,'SegEnds_NonXtal_BW#'!$A:$Z,22,FALSE)+VLOOKUP($A283,A:AL,31,FALSE)-50)),"-",(VLOOKUP($A283,'SegEnds_NonXtal_BW#'!$A:$Z,22,FALSE)+VLOOKUP($A283,A:AL,31,FALSE)-50))</f>
        <v>325</v>
      </c>
      <c r="AG283" s="3">
        <f>IF(ISERROR(VLOOKUP($A283,'SegEnds_NonXtal_BW#'!$A:$Z,23,FALSE)+VLOOKUP($A283,A:AL,34,FALSE)-50),"-",(VLOOKUP($A283,'SegEnds_NonXtal_BW#'!$A:$Z,23,FALSE)+VLOOKUP($A283,A:AL,34,FALSE)-50))</f>
        <v>333</v>
      </c>
      <c r="AH283" s="3">
        <v>353</v>
      </c>
      <c r="AI283" s="3">
        <f>IF(ISERROR((VLOOKUP($A283,'SegEnds_NonXtal_BW#'!$A:$Z,24,FALSE)+VLOOKUP($A283,A:AL,34,FALSE)-50)),"-",(VLOOKUP($A283,'SegEnds_NonXtal_BW#'!$A:$Z,24,FALSE)+VLOOKUP($A283,A:AL,34,FALSE)-50))</f>
        <v>359</v>
      </c>
      <c r="AJ283" s="3">
        <f>IF(ISERROR(VLOOKUP($A283,'SegEnds_NonXtal_BW#'!$A:$Z,25,FALSE)+VLOOKUP($A283,A:AL,37,FALSE)-50),"-",(VLOOKUP($A283,'SegEnds_NonXtal_BW#'!$A:$Z,25,FALSE)+VLOOKUP($A283,A:AL,37,FALSE)-50))</f>
        <v>360</v>
      </c>
      <c r="AK283" s="3">
        <v>363</v>
      </c>
      <c r="AL283" s="3">
        <f>IF(ISERROR((VLOOKUP($A283,'SegEnds_NonXtal_BW#'!$A:$Z,26,FALSE)+VLOOKUP($A283,A:AL,37,FALSE)-50)),"-",(VLOOKUP($A283,'SegEnds_NonXtal_BW#'!$A:$Z,26,FALSE)+VLOOKUP($A283,A:AL,37,FALSE)-50))</f>
        <v>371</v>
      </c>
      <c r="AM283" s="28" t="str">
        <f>VLOOKUP(A283,Classification!A:B,2,FALSE)</f>
        <v>A</v>
      </c>
      <c r="AN283" s="28" t="b">
        <f t="shared" si="188"/>
        <v>1</v>
      </c>
      <c r="AO283" s="3" t="str">
        <f>IF(ISERROR(MATCH(A283,'SegEnds_Xtal_Prot#'!B:B, 0)), "NoXtal", "Xtal")</f>
        <v>NoXtal</v>
      </c>
      <c r="AP283" s="3">
        <f t="shared" si="173"/>
        <v>1</v>
      </c>
      <c r="AQ283" s="3">
        <f t="shared" si="174"/>
        <v>1</v>
      </c>
      <c r="AR283" s="3">
        <f t="shared" si="175"/>
        <v>1</v>
      </c>
      <c r="AS283" s="3">
        <f t="shared" si="176"/>
        <v>1</v>
      </c>
      <c r="AT283" s="3" t="str">
        <f t="shared" si="177"/>
        <v>-</v>
      </c>
      <c r="AU283" s="3" t="str">
        <f t="shared" si="178"/>
        <v>-</v>
      </c>
      <c r="AV283" s="3">
        <f t="shared" si="179"/>
        <v>11</v>
      </c>
      <c r="AW283" s="3">
        <f t="shared" si="180"/>
        <v>4</v>
      </c>
      <c r="AX283" s="3">
        <f t="shared" si="181"/>
        <v>4</v>
      </c>
      <c r="AY283" s="3">
        <f t="shared" si="182"/>
        <v>8</v>
      </c>
      <c r="AZ283" s="3">
        <f t="shared" si="183"/>
        <v>1</v>
      </c>
      <c r="BA283" s="3">
        <f>IF(ISERROR(LEN(VLOOKUP(A283,Seqs!A:E,2,FALSE))-AL283),"-",LEN(VLOOKUP(A283,Seqs!A:E,2,FALSE))-AL283)</f>
        <v>94</v>
      </c>
      <c r="BB283" s="16">
        <f t="shared" si="184"/>
        <v>28</v>
      </c>
      <c r="BC283" s="9" t="str">
        <f t="shared" si="185"/>
        <v>-</v>
      </c>
      <c r="BD283" s="3">
        <f t="shared" si="186"/>
        <v>28</v>
      </c>
      <c r="BE283" s="3">
        <f t="shared" si="187"/>
        <v>55</v>
      </c>
    </row>
    <row r="284" spans="1:58" s="3" customFormat="1" x14ac:dyDescent="0.2">
      <c r="A284" s="3" t="s">
        <v>319</v>
      </c>
      <c r="B284" s="3" t="str">
        <f>LOWER(VLOOKUP(A284,Xtal_Templ!A:B,2,FALSE))</f>
        <v>oprd_human</v>
      </c>
      <c r="C284" s="3">
        <f>VLOOKUP($A284,'SegEnds_NonXtal_BW#'!$A:$Z,3,FALSE)+D284-50</f>
        <v>27</v>
      </c>
      <c r="D284" s="3">
        <v>55</v>
      </c>
      <c r="E284" s="3">
        <f>IF(ISERROR(VLOOKUP($A284,'SegEnds_NonXtal_BW#'!$A:$Z,4,FALSE)+VLOOKUP($A284,A:AL,4,FALSE)-50),"-",(VLOOKUP($A284,'SegEnds_NonXtal_BW#'!$A:$Z,4,FALSE)+VLOOKUP($A284,A:AL,4,FALSE)-50))</f>
        <v>65</v>
      </c>
      <c r="F284" s="3">
        <f t="shared" si="192"/>
        <v>66</v>
      </c>
      <c r="G284" s="3">
        <v>68</v>
      </c>
      <c r="H284" s="3">
        <f t="shared" si="193"/>
        <v>69</v>
      </c>
      <c r="I284" s="3">
        <f t="shared" si="193"/>
        <v>70</v>
      </c>
      <c r="J284" s="3">
        <v>83</v>
      </c>
      <c r="K284" s="3">
        <f>VLOOKUP($A284,'SegEnds_NonXtal_BW#'!$A:$Z,8,FALSE)+VLOOKUP($A284,A:AL,10,FALSE)-50</f>
        <v>99</v>
      </c>
      <c r="L284" s="3">
        <f t="shared" si="194"/>
        <v>101</v>
      </c>
      <c r="M284" s="3">
        <v>102</v>
      </c>
      <c r="N284" s="3">
        <f t="shared" si="195"/>
        <v>104</v>
      </c>
      <c r="O284" s="3">
        <f t="shared" si="196"/>
        <v>105</v>
      </c>
      <c r="P284" s="3">
        <v>134</v>
      </c>
      <c r="Q284" s="3">
        <f>VLOOKUP($A284,'SegEnds_NonXtal_BW#'!$A:$Z,12,FALSE)+VLOOKUP($A284,A:AL,16,FALSE)-50</f>
        <v>140</v>
      </c>
      <c r="R284" s="3" t="str">
        <f>IF(ISERROR(VLOOKUP($A284,'SegEnds_NonXtal_BW#'!$A:$Z,13,FALSE)+VLOOKUP($A284,A:AL,19,FALSE)-50),"-",VLOOKUP($A284,'SegEnds_NonXtal_BW#'!$A:$Z,13,FALSE)+VLOOKUP($A284,A:AL,19,FALSE)-50)</f>
        <v>-</v>
      </c>
      <c r="S284" s="3" t="s">
        <v>23</v>
      </c>
      <c r="T284" s="100" t="str">
        <f>IF(ISERROR(VLOOKUP($A284,'SegEnds_NonXtal_BW#'!$A:$Z,14,FALSE)+VLOOKUP($A284,A:AL,19,FALSE)-50),"-",(VLOOKUP($A284,'SegEnds_NonXtal_BW#'!$A:$Z,14,FALSE)+VLOOKUP($A284,A:AL,19,FALSE)-50))</f>
        <v>-</v>
      </c>
      <c r="U284" s="9">
        <f>IF(ISERROR(VLOOKUP($A284,'SegEnds_NonXtal_BW#'!$A:$Z,15,FALSE)+VLOOKUP($A284,A:AL,22,FALSE)-50),"-",VLOOKUP($A284,'SegEnds_NonXtal_BW#'!$A:$Z,15,FALSE)+VLOOKUP($A284,A:AL,22,FALSE)-50)</f>
        <v>151</v>
      </c>
      <c r="V284" s="3">
        <v>163</v>
      </c>
      <c r="W284" s="3">
        <f>IF(ISERROR(VLOOKUP($A284,'SegEnds_NonXtal_BW#'!$A:$Z,16,FALSE)+VLOOKUP($A284,A:AL,22,FALSE)-50),"-",(VLOOKUP($A284,'SegEnds_NonXtal_BW#'!$A:$Z,16,FALSE)+VLOOKUP($A284,A:AL,22,FALSE)-50))</f>
        <v>177</v>
      </c>
      <c r="X284" s="3">
        <f>IF(ISERROR(VLOOKUP($A284,'SegEnds_NonXtal_BW#'!$A:$Z,17,FALSE)+VLOOKUP($A284,A:AL,25,FALSE)-50),"-",(VLOOKUP($A284,'SegEnds_NonXtal_BW#'!$A:$Z,17,FALSE)+VLOOKUP($A284,A:AL,25,FALSE)-50))</f>
        <v>188</v>
      </c>
      <c r="Y284" s="3">
        <v>188</v>
      </c>
      <c r="Z284" s="3">
        <f t="shared" si="190"/>
        <v>190</v>
      </c>
      <c r="AA284" s="3">
        <f>IF(ISERROR(VLOOKUP($A284,'SegEnds_NonXtal_BW#'!$A:$Z,19,FALSE)+VLOOKUP($A284,A:AL,28,FALSE)-50),"-",(VLOOKUP($A284,'SegEnds_NonXtal_BW#'!$A:$Z,19,FALSE)+VLOOKUP($A284,A:AL,28,FALSE)-50))</f>
        <v>196</v>
      </c>
      <c r="AB284" s="3">
        <v>215</v>
      </c>
      <c r="AC284" s="3">
        <f>IF(ISERROR((VLOOKUP($A284,'SegEnds_NonXtal_BW#'!$A:$Z,20,FALSE)+VLOOKUP($A284,A:AL,28,FALSE)-50)),"-",(VLOOKUP($A284,'SegEnds_NonXtal_BW#'!$A:$Z,20,FALSE)+VLOOKUP($A284,A:AL,28,FALSE)-50))</f>
        <v>233</v>
      </c>
      <c r="AD284" s="3">
        <f>IF(ISERROR(VLOOKUP($A284,'SegEnds_NonXtal_BW#'!$A:$Z,21,FALSE)+VLOOKUP($A284,A:AL,31,FALSE)-50),"-",(VLOOKUP($A284,'SegEnds_NonXtal_BW#'!$A:$Z,21,FALSE)+VLOOKUP($A284,A:AL,31,FALSE)-50))</f>
        <v>239</v>
      </c>
      <c r="AE284" s="3">
        <v>266</v>
      </c>
      <c r="AF284" s="3">
        <f>IF(ISERROR((VLOOKUP($A284,'SegEnds_NonXtal_BW#'!$A:$Z,22,FALSE)+VLOOKUP($A284,A:AL,31,FALSE)-50)),"-",(VLOOKUP($A284,'SegEnds_NonXtal_BW#'!$A:$Z,22,FALSE)+VLOOKUP($A284,A:AL,31,FALSE)-50))</f>
        <v>277</v>
      </c>
      <c r="AG284" s="3">
        <f>IF(ISERROR(VLOOKUP($A284,'SegEnds_NonXtal_BW#'!$A:$Z,23,FALSE)+VLOOKUP($A284,A:AL,34,FALSE)-50),"-",(VLOOKUP($A284,'SegEnds_NonXtal_BW#'!$A:$Z,23,FALSE)+VLOOKUP($A284,A:AL,34,FALSE)-50))</f>
        <v>282</v>
      </c>
      <c r="AH284" s="3">
        <v>304</v>
      </c>
      <c r="AI284" s="3">
        <f>IF(ISERROR((VLOOKUP($A284,'SegEnds_NonXtal_BW#'!$A:$Z,24,FALSE)+VLOOKUP($A284,A:AL,34,FALSE)-50)),"-",(VLOOKUP($A284,'SegEnds_NonXtal_BW#'!$A:$Z,24,FALSE)+VLOOKUP($A284,A:AL,34,FALSE)-50))</f>
        <v>310</v>
      </c>
      <c r="AJ284" s="3">
        <f>IF(ISERROR(VLOOKUP($A284,'SegEnds_NonXtal_BW#'!$A:$Z,25,FALSE)+VLOOKUP($A284,A:AL,37,FALSE)-50),"-",(VLOOKUP($A284,'SegEnds_NonXtal_BW#'!$A:$Z,25,FALSE)+VLOOKUP($A284,A:AL,37,FALSE)-50))</f>
        <v>311</v>
      </c>
      <c r="AK284" s="3">
        <v>314</v>
      </c>
      <c r="AL284" s="3">
        <f>IF(ISERROR((VLOOKUP($A284,'SegEnds_NonXtal_BW#'!$A:$Z,26,FALSE)+VLOOKUP($A284,A:AL,37,FALSE)-50)),"-",(VLOOKUP($A284,'SegEnds_NonXtal_BW#'!$A:$Z,26,FALSE)+VLOOKUP($A284,A:AL,37,FALSE)-50))</f>
        <v>324</v>
      </c>
      <c r="AM284" s="28" t="str">
        <f>VLOOKUP(A284,Classification!A:B,2,FALSE)</f>
        <v>A</v>
      </c>
      <c r="AN284" s="28" t="b">
        <f t="shared" si="188"/>
        <v>1</v>
      </c>
      <c r="AO284" s="3" t="str">
        <f>IF(ISERROR(MATCH(A284,'SegEnds_Xtal_Prot#'!B:B, 0)), "NoXtal", "Xtal")</f>
        <v>NoXtal</v>
      </c>
      <c r="AP284" s="3">
        <f t="shared" si="173"/>
        <v>1</v>
      </c>
      <c r="AQ284" s="3">
        <f t="shared" si="174"/>
        <v>1</v>
      </c>
      <c r="AR284" s="3">
        <f t="shared" si="175"/>
        <v>2</v>
      </c>
      <c r="AS284" s="3">
        <f t="shared" si="176"/>
        <v>1</v>
      </c>
      <c r="AT284" s="3" t="str">
        <f t="shared" si="177"/>
        <v>-</v>
      </c>
      <c r="AU284" s="3" t="str">
        <f t="shared" si="178"/>
        <v>-</v>
      </c>
      <c r="AV284" s="3">
        <f t="shared" si="179"/>
        <v>11</v>
      </c>
      <c r="AW284" s="3">
        <f t="shared" si="180"/>
        <v>6</v>
      </c>
      <c r="AX284" s="3">
        <f t="shared" si="181"/>
        <v>6</v>
      </c>
      <c r="AY284" s="3">
        <f t="shared" si="182"/>
        <v>5</v>
      </c>
      <c r="AZ284" s="3">
        <f t="shared" si="183"/>
        <v>1</v>
      </c>
      <c r="BA284" s="3">
        <f>IF(ISERROR(LEN(VLOOKUP(A284,Seqs!A:E,2,FALSE))-AL284),"-",LEN(VLOOKUP(A284,Seqs!A:E,2,FALSE))-AL284)</f>
        <v>4</v>
      </c>
      <c r="BB284" s="16">
        <f t="shared" si="184"/>
        <v>28</v>
      </c>
      <c r="BC284" s="9" t="str">
        <f t="shared" si="185"/>
        <v>-</v>
      </c>
      <c r="BD284" s="3">
        <f t="shared" si="186"/>
        <v>28</v>
      </c>
      <c r="BE284" s="3">
        <f t="shared" si="187"/>
        <v>51</v>
      </c>
      <c r="BF284" s="3">
        <f>AH284-AE284</f>
        <v>38</v>
      </c>
    </row>
    <row r="285" spans="1:58" s="3" customFormat="1" x14ac:dyDescent="0.2">
      <c r="A285" s="3" t="s">
        <v>320</v>
      </c>
      <c r="B285" s="3" t="str">
        <f>LOWER(VLOOKUP(A285,Xtal_Templ!A:B,2,FALSE))</f>
        <v>oprd_human</v>
      </c>
      <c r="C285" s="3">
        <f>VLOOKUP($A285,'SegEnds_NonXtal_BW#'!$A:$Z,3,FALSE)+D285-50</f>
        <v>35</v>
      </c>
      <c r="D285" s="3">
        <v>63</v>
      </c>
      <c r="E285" s="3">
        <f>IF(ISERROR(VLOOKUP($A285,'SegEnds_NonXtal_BW#'!$A:$Z,4,FALSE)+VLOOKUP($A285,A:AL,4,FALSE)-50),"-",(VLOOKUP($A285,'SegEnds_NonXtal_BW#'!$A:$Z,4,FALSE)+VLOOKUP($A285,A:AL,4,FALSE)-50))</f>
        <v>73</v>
      </c>
      <c r="F285" s="3">
        <f t="shared" si="192"/>
        <v>74</v>
      </c>
      <c r="G285" s="3">
        <v>76</v>
      </c>
      <c r="H285" s="3">
        <f t="shared" si="193"/>
        <v>77</v>
      </c>
      <c r="I285" s="3">
        <f t="shared" si="193"/>
        <v>78</v>
      </c>
      <c r="J285" s="3">
        <v>91</v>
      </c>
      <c r="K285" s="3">
        <f>VLOOKUP($A285,'SegEnds_NonXtal_BW#'!$A:$Z,8,FALSE)+VLOOKUP($A285,A:AL,10,FALSE)-50</f>
        <v>107</v>
      </c>
      <c r="L285" s="3">
        <f t="shared" si="194"/>
        <v>109</v>
      </c>
      <c r="M285" s="3">
        <v>110</v>
      </c>
      <c r="N285" s="3">
        <f t="shared" si="195"/>
        <v>112</v>
      </c>
      <c r="O285" s="3">
        <f t="shared" si="196"/>
        <v>113</v>
      </c>
      <c r="P285" s="3">
        <v>142</v>
      </c>
      <c r="Q285" s="3">
        <f>VLOOKUP($A285,'SegEnds_NonXtal_BW#'!$A:$Z,12,FALSE)+VLOOKUP($A285,A:AL,16,FALSE)-50</f>
        <v>148</v>
      </c>
      <c r="R285" s="3" t="str">
        <f>IF(ISERROR(VLOOKUP($A285,'SegEnds_NonXtal_BW#'!$A:$Z,13,FALSE)+VLOOKUP($A285,A:AL,19,FALSE)-50),"-",VLOOKUP($A285,'SegEnds_NonXtal_BW#'!$A:$Z,13,FALSE)+VLOOKUP($A285,A:AL,19,FALSE)-50)</f>
        <v>-</v>
      </c>
      <c r="S285" s="3" t="s">
        <v>23</v>
      </c>
      <c r="T285" s="100" t="str">
        <f>IF(ISERROR(VLOOKUP($A285,'SegEnds_NonXtal_BW#'!$A:$Z,14,FALSE)+VLOOKUP($A285,A:AL,19,FALSE)-50),"-",(VLOOKUP($A285,'SegEnds_NonXtal_BW#'!$A:$Z,14,FALSE)+VLOOKUP($A285,A:AL,19,FALSE)-50))</f>
        <v>-</v>
      </c>
      <c r="U285" s="9">
        <f>IF(ISERROR(VLOOKUP($A285,'SegEnds_NonXtal_BW#'!$A:$Z,15,FALSE)+VLOOKUP($A285,A:AL,22,FALSE)-50),"-",VLOOKUP($A285,'SegEnds_NonXtal_BW#'!$A:$Z,15,FALSE)+VLOOKUP($A285,A:AL,22,FALSE)-50)</f>
        <v>159</v>
      </c>
      <c r="V285" s="3">
        <v>171</v>
      </c>
      <c r="W285" s="3">
        <f>IF(ISERROR(VLOOKUP($A285,'SegEnds_NonXtal_BW#'!$A:$Z,16,FALSE)+VLOOKUP($A285,A:AL,22,FALSE)-50),"-",(VLOOKUP($A285,'SegEnds_NonXtal_BW#'!$A:$Z,16,FALSE)+VLOOKUP($A285,A:AL,22,FALSE)-50))</f>
        <v>185</v>
      </c>
      <c r="X285" s="3">
        <f>IF(ISERROR(VLOOKUP($A285,'SegEnds_NonXtal_BW#'!$A:$Z,17,FALSE)+VLOOKUP($A285,A:AL,25,FALSE)-50),"-",(VLOOKUP($A285,'SegEnds_NonXtal_BW#'!$A:$Z,17,FALSE)+VLOOKUP($A285,A:AL,25,FALSE)-50))</f>
        <v>197</v>
      </c>
      <c r="Y285" s="3">
        <v>197</v>
      </c>
      <c r="Z285" s="3">
        <f t="shared" si="190"/>
        <v>199</v>
      </c>
      <c r="AA285" s="3">
        <f>IF(ISERROR(VLOOKUP($A285,'SegEnds_NonXtal_BW#'!$A:$Z,19,FALSE)+VLOOKUP($A285,A:AL,28,FALSE)-50),"-",(VLOOKUP($A285,'SegEnds_NonXtal_BW#'!$A:$Z,19,FALSE)+VLOOKUP($A285,A:AL,28,FALSE)-50))</f>
        <v>205</v>
      </c>
      <c r="AB285" s="3">
        <v>224</v>
      </c>
      <c r="AC285" s="3">
        <f>IF(ISERROR((VLOOKUP($A285,'SegEnds_NonXtal_BW#'!$A:$Z,20,FALSE)+VLOOKUP($A285,A:AL,28,FALSE)-50)),"-",(VLOOKUP($A285,'SegEnds_NonXtal_BW#'!$A:$Z,20,FALSE)+VLOOKUP($A285,A:AL,28,FALSE)-50))</f>
        <v>242</v>
      </c>
      <c r="AD285" s="3">
        <f>IF(ISERROR(VLOOKUP($A285,'SegEnds_NonXtal_BW#'!$A:$Z,21,FALSE)+VLOOKUP($A285,A:AL,31,FALSE)-50),"-",(VLOOKUP($A285,'SegEnds_NonXtal_BW#'!$A:$Z,21,FALSE)+VLOOKUP($A285,A:AL,31,FALSE)-50))</f>
        <v>248</v>
      </c>
      <c r="AE285" s="3">
        <v>275</v>
      </c>
      <c r="AF285" s="3">
        <f>IF(ISERROR((VLOOKUP($A285,'SegEnds_NonXtal_BW#'!$A:$Z,22,FALSE)+VLOOKUP($A285,A:AL,31,FALSE)-50)),"-",(VLOOKUP($A285,'SegEnds_NonXtal_BW#'!$A:$Z,22,FALSE)+VLOOKUP($A285,A:AL,31,FALSE)-50))</f>
        <v>286</v>
      </c>
      <c r="AG285" s="3">
        <f>IF(ISERROR(VLOOKUP($A285,'SegEnds_NonXtal_BW#'!$A:$Z,23,FALSE)+VLOOKUP($A285,A:AL,34,FALSE)-50),"-",(VLOOKUP($A285,'SegEnds_NonXtal_BW#'!$A:$Z,23,FALSE)+VLOOKUP($A285,A:AL,34,FALSE)-50))</f>
        <v>291</v>
      </c>
      <c r="AH285" s="3">
        <v>313</v>
      </c>
      <c r="AI285" s="3">
        <f>IF(ISERROR((VLOOKUP($A285,'SegEnds_NonXtal_BW#'!$A:$Z,24,FALSE)+VLOOKUP($A285,A:AL,34,FALSE)-50)),"-",(VLOOKUP($A285,'SegEnds_NonXtal_BW#'!$A:$Z,24,FALSE)+VLOOKUP($A285,A:AL,34,FALSE)-50))</f>
        <v>319</v>
      </c>
      <c r="AJ285" s="3">
        <f>IF(ISERROR(VLOOKUP($A285,'SegEnds_NonXtal_BW#'!$A:$Z,25,FALSE)+VLOOKUP($A285,A:AL,37,FALSE)-50),"-",(VLOOKUP($A285,'SegEnds_NonXtal_BW#'!$A:$Z,25,FALSE)+VLOOKUP($A285,A:AL,37,FALSE)-50))</f>
        <v>320</v>
      </c>
      <c r="AK285" s="3">
        <v>323</v>
      </c>
      <c r="AL285" s="3">
        <f>IF(ISERROR((VLOOKUP($A285,'SegEnds_NonXtal_BW#'!$A:$Z,26,FALSE)+VLOOKUP($A285,A:AL,37,FALSE)-50)),"-",(VLOOKUP($A285,'SegEnds_NonXtal_BW#'!$A:$Z,26,FALSE)+VLOOKUP($A285,A:AL,37,FALSE)-50))</f>
        <v>333</v>
      </c>
      <c r="AM285" s="28" t="str">
        <f>VLOOKUP(A285,Classification!A:B,2,FALSE)</f>
        <v>A</v>
      </c>
      <c r="AN285" s="28" t="b">
        <f t="shared" si="188"/>
        <v>1</v>
      </c>
      <c r="AO285" s="3" t="str">
        <f>IF(ISERROR(MATCH(A285,'SegEnds_Xtal_Prot#'!B:B, 0)), "NoXtal", "Xtal")</f>
        <v>NoXtal</v>
      </c>
      <c r="AP285" s="3">
        <f t="shared" si="173"/>
        <v>1</v>
      </c>
      <c r="AQ285" s="3">
        <f t="shared" si="174"/>
        <v>1</v>
      </c>
      <c r="AR285" s="3">
        <f t="shared" si="175"/>
        <v>2</v>
      </c>
      <c r="AS285" s="3">
        <f t="shared" si="176"/>
        <v>1</v>
      </c>
      <c r="AT285" s="3" t="str">
        <f t="shared" si="177"/>
        <v>-</v>
      </c>
      <c r="AU285" s="3" t="str">
        <f t="shared" si="178"/>
        <v>-</v>
      </c>
      <c r="AV285" s="3">
        <f t="shared" si="179"/>
        <v>12</v>
      </c>
      <c r="AW285" s="3">
        <f t="shared" si="180"/>
        <v>6</v>
      </c>
      <c r="AX285" s="3">
        <f t="shared" si="181"/>
        <v>6</v>
      </c>
      <c r="AY285" s="3">
        <f t="shared" si="182"/>
        <v>5</v>
      </c>
      <c r="AZ285" s="3">
        <f t="shared" si="183"/>
        <v>1</v>
      </c>
      <c r="BA285" s="3">
        <f>IF(ISERROR(LEN(VLOOKUP(A285,Seqs!A:E,2,FALSE))-AL285),"-",LEN(VLOOKUP(A285,Seqs!A:E,2,FALSE))-AL285)</f>
        <v>0</v>
      </c>
      <c r="BB285" s="16">
        <f t="shared" si="184"/>
        <v>28</v>
      </c>
      <c r="BC285" s="9" t="str">
        <f t="shared" si="185"/>
        <v>-</v>
      </c>
      <c r="BD285" s="3">
        <f t="shared" si="186"/>
        <v>28</v>
      </c>
      <c r="BE285" s="3">
        <f t="shared" si="187"/>
        <v>51</v>
      </c>
      <c r="BF285" s="3">
        <f>AH285-AE285</f>
        <v>38</v>
      </c>
    </row>
    <row r="286" spans="1:58" s="3" customFormat="1" x14ac:dyDescent="0.2">
      <c r="A286" s="3" t="s">
        <v>321</v>
      </c>
      <c r="B286" s="3" t="str">
        <f>LOWER(VLOOKUP(A286,Xtal_Templ!A:B,2,FALSE))</f>
        <v>ox1r_human</v>
      </c>
      <c r="C286" s="3">
        <f>VLOOKUP($A286,'SegEnds_NonXtal_BW#'!$A:$Z,3,FALSE)+D286-50</f>
        <v>43</v>
      </c>
      <c r="D286" s="3">
        <v>61</v>
      </c>
      <c r="E286" s="3">
        <f>IF(ISERROR(VLOOKUP($A286,'SegEnds_NonXtal_BW#'!$A:$Z,4,FALSE)+VLOOKUP($A286,A:AL,4,FALSE)-50),"-",(VLOOKUP($A286,'SegEnds_NonXtal_BW#'!$A:$Z,4,FALSE)+VLOOKUP($A286,A:AL,4,FALSE)-50))</f>
        <v>71</v>
      </c>
      <c r="F286" s="3">
        <f t="shared" si="192"/>
        <v>72</v>
      </c>
      <c r="G286" s="3">
        <v>74</v>
      </c>
      <c r="H286" s="3">
        <f t="shared" si="193"/>
        <v>75</v>
      </c>
      <c r="I286" s="3">
        <f t="shared" si="193"/>
        <v>76</v>
      </c>
      <c r="J286" s="3">
        <v>89</v>
      </c>
      <c r="K286" s="3">
        <f>VLOOKUP($A286,'SegEnds_NonXtal_BW#'!$A:$Z,8,FALSE)+VLOOKUP($A286,A:AL,10,FALSE)-50</f>
        <v>107</v>
      </c>
      <c r="L286" s="3">
        <f t="shared" si="194"/>
        <v>108</v>
      </c>
      <c r="M286" s="3">
        <v>109</v>
      </c>
      <c r="N286" s="3">
        <f t="shared" si="195"/>
        <v>111</v>
      </c>
      <c r="O286" s="3">
        <f t="shared" si="196"/>
        <v>112</v>
      </c>
      <c r="P286" s="3">
        <v>141</v>
      </c>
      <c r="Q286" s="3">
        <f>VLOOKUP($A286,'SegEnds_NonXtal_BW#'!$A:$Z,12,FALSE)+VLOOKUP($A286,A:AL,16,FALSE)-50</f>
        <v>147</v>
      </c>
      <c r="R286" s="3" t="str">
        <f>IF(ISERROR(VLOOKUP($A286,'SegEnds_NonXtal_BW#'!$A:$Z,13,FALSE)+VLOOKUP($A286,A:AL,19,FALSE)-50),"-",VLOOKUP($A286,'SegEnds_NonXtal_BW#'!$A:$Z,13,FALSE)+VLOOKUP($A286,A:AL,19,FALSE)-50)</f>
        <v>-</v>
      </c>
      <c r="S286" s="3" t="s">
        <v>23</v>
      </c>
      <c r="T286" s="100" t="str">
        <f>IF(ISERROR(VLOOKUP($A286,'SegEnds_NonXtal_BW#'!$A:$Z,14,FALSE)+VLOOKUP($A286,A:AL,19,FALSE)-50),"-",(VLOOKUP($A286,'SegEnds_NonXtal_BW#'!$A:$Z,14,FALSE)+VLOOKUP($A286,A:AL,19,FALSE)-50))</f>
        <v>-</v>
      </c>
      <c r="U286" s="9">
        <f>IF(ISERROR(VLOOKUP($A286,'SegEnds_NonXtal_BW#'!$A:$Z,15,FALSE)+VLOOKUP($A286,A:AL,22,FALSE)-50),"-",VLOOKUP($A286,'SegEnds_NonXtal_BW#'!$A:$Z,15,FALSE)+VLOOKUP($A286,A:AL,22,FALSE)-50)</f>
        <v>154</v>
      </c>
      <c r="V286" s="3">
        <v>166</v>
      </c>
      <c r="W286" s="3">
        <f>IF(ISERROR(VLOOKUP($A286,'SegEnds_NonXtal_BW#'!$A:$Z,16,FALSE)+VLOOKUP($A286,A:AL,22,FALSE)-50),"-",(VLOOKUP($A286,'SegEnds_NonXtal_BW#'!$A:$Z,16,FALSE)+VLOOKUP($A286,A:AL,22,FALSE)-50))</f>
        <v>180</v>
      </c>
      <c r="X286" s="3">
        <f>IF(ISERROR(VLOOKUP($A286,'SegEnds_NonXtal_BW#'!$A:$Z,17,FALSE)+VLOOKUP($A286,A:AL,25,FALSE)-50),"-",(VLOOKUP($A286,'SegEnds_NonXtal_BW#'!$A:$Z,17,FALSE)+VLOOKUP($A286,A:AL,25,FALSE)-50))</f>
        <v>203</v>
      </c>
      <c r="Y286" s="3">
        <v>203</v>
      </c>
      <c r="Z286" s="3">
        <f t="shared" si="190"/>
        <v>205</v>
      </c>
      <c r="AA286" s="3">
        <f>IF(ISERROR(VLOOKUP($A286,'SegEnds_NonXtal_BW#'!$A:$Z,19,FALSE)+VLOOKUP($A286,A:AL,28,FALSE)-50),"-",(VLOOKUP($A286,'SegEnds_NonXtal_BW#'!$A:$Z,19,FALSE)+VLOOKUP($A286,A:AL,28,FALSE)-50))</f>
        <v>211</v>
      </c>
      <c r="AB286" s="3">
        <v>228</v>
      </c>
      <c r="AC286" s="3">
        <f>IF(ISERROR((VLOOKUP($A286,'SegEnds_NonXtal_BW#'!$A:$Z,20,FALSE)+VLOOKUP($A286,A:AL,28,FALSE)-50)),"-",(VLOOKUP($A286,'SegEnds_NonXtal_BW#'!$A:$Z,20,FALSE)+VLOOKUP($A286,A:AL,28,FALSE)-50))</f>
        <v>251</v>
      </c>
      <c r="AD286" s="3">
        <f>IF(ISERROR(VLOOKUP($A286,'SegEnds_NonXtal_BW#'!$A:$Z,21,FALSE)+VLOOKUP($A286,A:AL,31,FALSE)-50),"-",(VLOOKUP($A286,'SegEnds_NonXtal_BW#'!$A:$Z,21,FALSE)+VLOOKUP($A286,A:AL,31,FALSE)-50))</f>
        <v>257</v>
      </c>
      <c r="AE286" s="3">
        <v>285</v>
      </c>
      <c r="AF286" s="3">
        <f>IF(ISERROR((VLOOKUP($A286,'SegEnds_NonXtal_BW#'!$A:$Z,22,FALSE)+VLOOKUP($A286,A:AL,31,FALSE)-50)),"-",(VLOOKUP($A286,'SegEnds_NonXtal_BW#'!$A:$Z,22,FALSE)+VLOOKUP($A286,A:AL,31,FALSE)-50))</f>
        <v>296</v>
      </c>
      <c r="AG286" s="3">
        <f>IF(ISERROR(VLOOKUP($A286,'SegEnds_NonXtal_BW#'!$A:$Z,23,FALSE)+VLOOKUP($A286,A:AL,34,FALSE)-50),"-",(VLOOKUP($A286,'SegEnds_NonXtal_BW#'!$A:$Z,23,FALSE)+VLOOKUP($A286,A:AL,34,FALSE)-50))</f>
        <v>304</v>
      </c>
      <c r="AH286" s="3">
        <v>326</v>
      </c>
      <c r="AI286" s="3">
        <f>IF(ISERROR((VLOOKUP($A286,'SegEnds_NonXtal_BW#'!$A:$Z,24,FALSE)+VLOOKUP($A286,A:AL,34,FALSE)-50)),"-",(VLOOKUP($A286,'SegEnds_NonXtal_BW#'!$A:$Z,24,FALSE)+VLOOKUP($A286,A:AL,34,FALSE)-50))</f>
        <v>332</v>
      </c>
      <c r="AJ286" s="3">
        <f>IF(ISERROR(VLOOKUP($A286,'SegEnds_NonXtal_BW#'!$A:$Z,25,FALSE)+VLOOKUP($A286,A:AL,37,FALSE)-50),"-",(VLOOKUP($A286,'SegEnds_NonXtal_BW#'!$A:$Z,25,FALSE)+VLOOKUP($A286,A:AL,37,FALSE)-50))</f>
        <v>333</v>
      </c>
      <c r="AK286" s="3">
        <v>336</v>
      </c>
      <c r="AL286" s="3">
        <f>IF(ISERROR((VLOOKUP($A286,'SegEnds_NonXtal_BW#'!$A:$Z,26,FALSE)+VLOOKUP($A286,A:AL,37,FALSE)-50)),"-",(VLOOKUP($A286,'SegEnds_NonXtal_BW#'!$A:$Z,26,FALSE)+VLOOKUP($A286,A:AL,37,FALSE)-50))</f>
        <v>349</v>
      </c>
      <c r="AM286" s="28" t="str">
        <f>VLOOKUP(A286,Classification!A:B,2,FALSE)</f>
        <v>A</v>
      </c>
      <c r="AN286" s="28" t="b">
        <f t="shared" si="188"/>
        <v>1</v>
      </c>
      <c r="AO286" s="3" t="str">
        <f>IF(ISERROR(MATCH(A286,'SegEnds_Xtal_Prot#'!B:B, 0)), "NoXtal", "Xtal")</f>
        <v>NoXtal</v>
      </c>
      <c r="AP286" s="3">
        <f t="shared" si="173"/>
        <v>1</v>
      </c>
      <c r="AQ286" s="3">
        <f t="shared" si="174"/>
        <v>1</v>
      </c>
      <c r="AR286" s="3">
        <f t="shared" si="175"/>
        <v>1</v>
      </c>
      <c r="AS286" s="3">
        <f t="shared" si="176"/>
        <v>1</v>
      </c>
      <c r="AT286" s="3" t="str">
        <f t="shared" si="177"/>
        <v>-</v>
      </c>
      <c r="AU286" s="3" t="str">
        <f t="shared" si="178"/>
        <v>-</v>
      </c>
      <c r="AV286" s="3">
        <f t="shared" si="179"/>
        <v>23</v>
      </c>
      <c r="AW286" s="3">
        <f t="shared" si="180"/>
        <v>6</v>
      </c>
      <c r="AX286" s="3">
        <f t="shared" si="181"/>
        <v>6</v>
      </c>
      <c r="AY286" s="3">
        <f t="shared" si="182"/>
        <v>8</v>
      </c>
      <c r="AZ286" s="3">
        <f t="shared" si="183"/>
        <v>1</v>
      </c>
      <c r="BA286" s="3">
        <f>IF(ISERROR(LEN(VLOOKUP(A286,Seqs!A:E,2,FALSE))-AL286),"-",LEN(VLOOKUP(A286,Seqs!A:E,2,FALSE))-AL286)</f>
        <v>81</v>
      </c>
      <c r="BB286" s="16">
        <f t="shared" si="184"/>
        <v>28</v>
      </c>
      <c r="BC286" s="9" t="str">
        <f t="shared" si="185"/>
        <v>-</v>
      </c>
      <c r="BD286" s="3">
        <f t="shared" si="186"/>
        <v>28</v>
      </c>
      <c r="BE286" s="3">
        <f t="shared" si="187"/>
        <v>57</v>
      </c>
    </row>
    <row r="287" spans="1:58" s="3" customFormat="1" x14ac:dyDescent="0.2">
      <c r="A287" s="3" t="s">
        <v>322</v>
      </c>
      <c r="B287" s="3" t="str">
        <f>LOWER(VLOOKUP(A287,Xtal_Templ!A:B,2,FALSE))</f>
        <v>ox1r_human</v>
      </c>
      <c r="C287" s="3">
        <f>VLOOKUP($A287,'SegEnds_NonXtal_BW#'!$A:$Z,3,FALSE)+D287-50</f>
        <v>147</v>
      </c>
      <c r="D287" s="3">
        <v>165</v>
      </c>
      <c r="E287" s="3">
        <f>IF(ISERROR(VLOOKUP($A287,'SegEnds_NonXtal_BW#'!$A:$Z,4,FALSE)+VLOOKUP($A287,A:AL,4,FALSE)-50),"-",(VLOOKUP($A287,'SegEnds_NonXtal_BW#'!$A:$Z,4,FALSE)+VLOOKUP($A287,A:AL,4,FALSE)-50))</f>
        <v>175</v>
      </c>
      <c r="F287" s="3">
        <f t="shared" si="192"/>
        <v>176</v>
      </c>
      <c r="G287" s="3">
        <v>178</v>
      </c>
      <c r="H287" s="3">
        <f t="shared" si="193"/>
        <v>179</v>
      </c>
      <c r="I287" s="3">
        <f t="shared" si="193"/>
        <v>180</v>
      </c>
      <c r="J287" s="3">
        <v>193</v>
      </c>
      <c r="K287" s="3">
        <f>VLOOKUP($A287,'SegEnds_NonXtal_BW#'!$A:$Z,8,FALSE)+VLOOKUP($A287,A:AL,10,FALSE)-50</f>
        <v>211</v>
      </c>
      <c r="L287" s="3">
        <f t="shared" si="194"/>
        <v>212</v>
      </c>
      <c r="M287" s="3">
        <v>213</v>
      </c>
      <c r="N287" s="3">
        <f t="shared" si="195"/>
        <v>215</v>
      </c>
      <c r="O287" s="3">
        <f t="shared" si="196"/>
        <v>216</v>
      </c>
      <c r="P287" s="3">
        <v>245</v>
      </c>
      <c r="Q287" s="3">
        <f>VLOOKUP($A287,'SegEnds_NonXtal_BW#'!$A:$Z,12,FALSE)+VLOOKUP($A287,A:AL,16,FALSE)-50</f>
        <v>251</v>
      </c>
      <c r="R287" s="3" t="str">
        <f>IF(ISERROR(VLOOKUP($A287,'SegEnds_NonXtal_BW#'!$A:$Z,13,FALSE)+VLOOKUP($A287,A:AL,19,FALSE)-50),"-",VLOOKUP($A287,'SegEnds_NonXtal_BW#'!$A:$Z,13,FALSE)+VLOOKUP($A287,A:AL,19,FALSE)-50)</f>
        <v>-</v>
      </c>
      <c r="S287" s="3" t="s">
        <v>23</v>
      </c>
      <c r="T287" s="100" t="str">
        <f>IF(ISERROR(VLOOKUP($A287,'SegEnds_NonXtal_BW#'!$A:$Z,14,FALSE)+VLOOKUP($A287,A:AL,19,FALSE)-50),"-",(VLOOKUP($A287,'SegEnds_NonXtal_BW#'!$A:$Z,14,FALSE)+VLOOKUP($A287,A:AL,19,FALSE)-50))</f>
        <v>-</v>
      </c>
      <c r="U287" s="9">
        <f>IF(ISERROR(VLOOKUP($A287,'SegEnds_NonXtal_BW#'!$A:$Z,15,FALSE)+VLOOKUP($A287,A:AL,22,FALSE)-50),"-",VLOOKUP($A287,'SegEnds_NonXtal_BW#'!$A:$Z,15,FALSE)+VLOOKUP($A287,A:AL,22,FALSE)-50)</f>
        <v>258</v>
      </c>
      <c r="V287" s="3">
        <v>270</v>
      </c>
      <c r="W287" s="3">
        <f>IF(ISERROR(VLOOKUP($A287,'SegEnds_NonXtal_BW#'!$A:$Z,16,FALSE)+VLOOKUP($A287,A:AL,22,FALSE)-50),"-",(VLOOKUP($A287,'SegEnds_NonXtal_BW#'!$A:$Z,16,FALSE)+VLOOKUP($A287,A:AL,22,FALSE)-50))</f>
        <v>284</v>
      </c>
      <c r="X287" s="3">
        <f>IF(ISERROR(VLOOKUP($A287,'SegEnds_NonXtal_BW#'!$A:$Z,17,FALSE)+VLOOKUP($A287,A:AL,25,FALSE)-50),"-",(VLOOKUP($A287,'SegEnds_NonXtal_BW#'!$A:$Z,17,FALSE)+VLOOKUP($A287,A:AL,25,FALSE)-50))</f>
        <v>308</v>
      </c>
      <c r="Y287" s="3">
        <v>308</v>
      </c>
      <c r="Z287" s="3">
        <f t="shared" si="190"/>
        <v>310</v>
      </c>
      <c r="AA287" s="3">
        <f>IF(ISERROR(VLOOKUP($A287,'SegEnds_NonXtal_BW#'!$A:$Z,19,FALSE)+VLOOKUP($A287,A:AL,28,FALSE)-50),"-",(VLOOKUP($A287,'SegEnds_NonXtal_BW#'!$A:$Z,19,FALSE)+VLOOKUP($A287,A:AL,28,FALSE)-50))</f>
        <v>316</v>
      </c>
      <c r="AB287" s="3">
        <v>333</v>
      </c>
      <c r="AC287" s="3">
        <f>IF(ISERROR((VLOOKUP($A287,'SegEnds_NonXtal_BW#'!$A:$Z,20,FALSE)+VLOOKUP($A287,A:AL,28,FALSE)-50)),"-",(VLOOKUP($A287,'SegEnds_NonXtal_BW#'!$A:$Z,20,FALSE)+VLOOKUP($A287,A:AL,28,FALSE)-50))</f>
        <v>356</v>
      </c>
      <c r="AD287" s="3">
        <f>IF(ISERROR(VLOOKUP($A287,'SegEnds_NonXtal_BW#'!$A:$Z,21,FALSE)+VLOOKUP($A287,A:AL,31,FALSE)-50),"-",(VLOOKUP($A287,'SegEnds_NonXtal_BW#'!$A:$Z,21,FALSE)+VLOOKUP($A287,A:AL,31,FALSE)-50))</f>
        <v>365</v>
      </c>
      <c r="AE287" s="3">
        <v>391</v>
      </c>
      <c r="AF287" s="3">
        <f>IF(ISERROR((VLOOKUP($A287,'SegEnds_NonXtal_BW#'!$A:$Z,22,FALSE)+VLOOKUP($A287,A:AL,31,FALSE)-50)),"-",(VLOOKUP($A287,'SegEnds_NonXtal_BW#'!$A:$Z,22,FALSE)+VLOOKUP($A287,A:AL,31,FALSE)-50))</f>
        <v>402</v>
      </c>
      <c r="AG287" s="3">
        <f>IF(ISERROR(VLOOKUP($A287,'SegEnds_NonXtal_BW#'!$A:$Z,23,FALSE)+VLOOKUP($A287,A:AL,34,FALSE)-50),"-",(VLOOKUP($A287,'SegEnds_NonXtal_BW#'!$A:$Z,23,FALSE)+VLOOKUP($A287,A:AL,34,FALSE)-50))</f>
        <v>410</v>
      </c>
      <c r="AH287" s="3">
        <v>432</v>
      </c>
      <c r="AI287" s="3">
        <f>IF(ISERROR((VLOOKUP($A287,'SegEnds_NonXtal_BW#'!$A:$Z,24,FALSE)+VLOOKUP($A287,A:AL,34,FALSE)-50)),"-",(VLOOKUP($A287,'SegEnds_NonXtal_BW#'!$A:$Z,24,FALSE)+VLOOKUP($A287,A:AL,34,FALSE)-50))</f>
        <v>438</v>
      </c>
      <c r="AJ287" s="3">
        <f>IF(ISERROR(VLOOKUP($A287,'SegEnds_NonXtal_BW#'!$A:$Z,25,FALSE)+VLOOKUP($A287,A:AL,37,FALSE)-50),"-",(VLOOKUP($A287,'SegEnds_NonXtal_BW#'!$A:$Z,25,FALSE)+VLOOKUP($A287,A:AL,37,FALSE)-50))</f>
        <v>439</v>
      </c>
      <c r="AK287" s="3">
        <v>442</v>
      </c>
      <c r="AL287" s="3">
        <f>IF(ISERROR((VLOOKUP($A287,'SegEnds_NonXtal_BW#'!$A:$Z,26,FALSE)+VLOOKUP($A287,A:AL,37,FALSE)-50)),"-",(VLOOKUP($A287,'SegEnds_NonXtal_BW#'!$A:$Z,26,FALSE)+VLOOKUP($A287,A:AL,37,FALSE)-50))</f>
        <v>455</v>
      </c>
      <c r="AM287" s="28" t="str">
        <f>VLOOKUP(A287,Classification!A:B,2,FALSE)</f>
        <v>A</v>
      </c>
      <c r="AN287" s="28" t="b">
        <f t="shared" si="188"/>
        <v>1</v>
      </c>
      <c r="AO287" s="3" t="str">
        <f>IF(ISERROR(MATCH(A287,'SegEnds_Xtal_Prot#'!B:B, 0)), "NoXtal", "Xtal")</f>
        <v>NoXtal</v>
      </c>
      <c r="AP287" s="3">
        <f t="shared" si="173"/>
        <v>1</v>
      </c>
      <c r="AQ287" s="3">
        <f t="shared" si="174"/>
        <v>1</v>
      </c>
      <c r="AR287" s="3">
        <f t="shared" si="175"/>
        <v>1</v>
      </c>
      <c r="AS287" s="3">
        <f t="shared" si="176"/>
        <v>1</v>
      </c>
      <c r="AT287" s="3" t="str">
        <f t="shared" si="177"/>
        <v>-</v>
      </c>
      <c r="AU287" s="3" t="str">
        <f t="shared" si="178"/>
        <v>-</v>
      </c>
      <c r="AV287" s="3">
        <f t="shared" si="179"/>
        <v>24</v>
      </c>
      <c r="AW287" s="3">
        <f t="shared" si="180"/>
        <v>6</v>
      </c>
      <c r="AX287" s="3">
        <f t="shared" si="181"/>
        <v>9</v>
      </c>
      <c r="AY287" s="3">
        <f t="shared" si="182"/>
        <v>8</v>
      </c>
      <c r="AZ287" s="3">
        <f t="shared" si="183"/>
        <v>1</v>
      </c>
      <c r="BA287" s="3">
        <f>IF(ISERROR(LEN(VLOOKUP(A287,Seqs!A:E,2,FALSE))-AL287),"-",LEN(VLOOKUP(A287,Seqs!A:E,2,FALSE))-AL287)</f>
        <v>67</v>
      </c>
      <c r="BB287" s="16">
        <f t="shared" si="184"/>
        <v>28</v>
      </c>
      <c r="BC287" s="9" t="str">
        <f t="shared" si="185"/>
        <v>-</v>
      </c>
      <c r="BD287" s="3">
        <f t="shared" si="186"/>
        <v>28</v>
      </c>
      <c r="BE287" s="3">
        <f t="shared" si="187"/>
        <v>58</v>
      </c>
    </row>
    <row r="288" spans="1:58" s="3" customFormat="1" x14ac:dyDescent="0.2">
      <c r="A288" s="3" t="s">
        <v>324</v>
      </c>
      <c r="B288" s="3" t="str">
        <f>LOWER(VLOOKUP(A288,Xtal_Templ!A:B,2,FALSE))</f>
        <v>npy1r_human</v>
      </c>
      <c r="C288" s="3">
        <f>VLOOKUP($A288,'SegEnds_NonXtal_BW#'!$A:$Z,3,FALSE)+D288-50</f>
        <v>36</v>
      </c>
      <c r="D288" s="3">
        <v>58</v>
      </c>
      <c r="E288" s="3">
        <f>IF(ISERROR(VLOOKUP($A288,'SegEnds_NonXtal_BW#'!$A:$Z,4,FALSE)+VLOOKUP($A288,A:AL,4,FALSE)-50),"-",(VLOOKUP($A288,'SegEnds_NonXtal_BW#'!$A:$Z,4,FALSE)+VLOOKUP($A288,A:AL,4,FALSE)-50))</f>
        <v>68</v>
      </c>
      <c r="F288" s="3">
        <f t="shared" si="192"/>
        <v>69</v>
      </c>
      <c r="G288" s="3">
        <v>71</v>
      </c>
      <c r="H288" s="3">
        <f t="shared" si="193"/>
        <v>72</v>
      </c>
      <c r="I288" s="3">
        <f t="shared" si="193"/>
        <v>73</v>
      </c>
      <c r="J288" s="3">
        <v>86</v>
      </c>
      <c r="K288" s="3">
        <f>VLOOKUP($A288,'SegEnds_NonXtal_BW#'!$A:$Z,8,FALSE)+VLOOKUP($A288,A:AL,10,FALSE)-50</f>
        <v>104</v>
      </c>
      <c r="L288" s="3">
        <f t="shared" si="194"/>
        <v>105</v>
      </c>
      <c r="M288" s="3">
        <v>106</v>
      </c>
      <c r="N288" s="3">
        <f t="shared" si="195"/>
        <v>108</v>
      </c>
      <c r="O288" s="3">
        <f t="shared" si="196"/>
        <v>109</v>
      </c>
      <c r="P288" s="3">
        <v>138</v>
      </c>
      <c r="Q288" s="3">
        <f>VLOOKUP($A288,'SegEnds_NonXtal_BW#'!$A:$Z,12,FALSE)+VLOOKUP($A288,A:AL,16,FALSE)-50</f>
        <v>144</v>
      </c>
      <c r="R288" s="3" t="str">
        <f>IF(ISERROR(VLOOKUP($A288,'SegEnds_NonXtal_BW#'!$A:$Z,13,FALSE)+VLOOKUP($A288,A:AL,19,FALSE)-50),"-",VLOOKUP($A288,'SegEnds_NonXtal_BW#'!$A:$Z,13,FALSE)+VLOOKUP($A288,A:AL,19,FALSE)-50)</f>
        <v>-</v>
      </c>
      <c r="S288" s="3" t="s">
        <v>23</v>
      </c>
      <c r="T288" s="100" t="str">
        <f>IF(ISERROR(VLOOKUP($A288,'SegEnds_NonXtal_BW#'!$A:$Z,14,FALSE)+VLOOKUP($A288,A:AL,19,FALSE)-50),"-",(VLOOKUP($A288,'SegEnds_NonXtal_BW#'!$A:$Z,14,FALSE)+VLOOKUP($A288,A:AL,19,FALSE)-50))</f>
        <v>-</v>
      </c>
      <c r="U288" s="9">
        <f>IF(ISERROR(VLOOKUP($A288,'SegEnds_NonXtal_BW#'!$A:$Z,15,FALSE)+VLOOKUP($A288,A:AL,22,FALSE)-50),"-",VLOOKUP($A288,'SegEnds_NonXtal_BW#'!$A:$Z,15,FALSE)+VLOOKUP($A288,A:AL,22,FALSE)-50)</f>
        <v>151</v>
      </c>
      <c r="V288" s="3">
        <v>163</v>
      </c>
      <c r="W288" s="3">
        <f>IF(ISERROR(VLOOKUP($A288,'SegEnds_NonXtal_BW#'!$A:$Z,16,FALSE)+VLOOKUP($A288,A:AL,22,FALSE)-50),"-",(VLOOKUP($A288,'SegEnds_NonXtal_BW#'!$A:$Z,16,FALSE)+VLOOKUP($A288,A:AL,22,FALSE)-50))</f>
        <v>177</v>
      </c>
      <c r="X288" s="3">
        <f>IF(ISERROR(VLOOKUP($A288,'SegEnds_NonXtal_BW#'!$A:$Z,17,FALSE)+VLOOKUP($A288,A:AL,25,FALSE)-50),"-",(VLOOKUP($A288,'SegEnds_NonXtal_BW#'!$A:$Z,17,FALSE)+VLOOKUP($A288,A:AL,25,FALSE)-50))</f>
        <v>198</v>
      </c>
      <c r="Y288" s="3">
        <v>198</v>
      </c>
      <c r="Z288" s="3">
        <f t="shared" si="190"/>
        <v>200</v>
      </c>
      <c r="AA288" s="3">
        <f>IF(ISERROR(VLOOKUP($A288,'SegEnds_NonXtal_BW#'!$A:$Z,19,FALSE)+VLOOKUP($A288,A:AL,28,FALSE)-50),"-",(VLOOKUP($A288,'SegEnds_NonXtal_BW#'!$A:$Z,19,FALSE)+VLOOKUP($A288,A:AL,28,FALSE)-50))</f>
        <v>204</v>
      </c>
      <c r="AB288" s="3">
        <v>223</v>
      </c>
      <c r="AC288" s="3">
        <f>IF(ISERROR((VLOOKUP($A288,'SegEnds_NonXtal_BW#'!$A:$Z,20,FALSE)+VLOOKUP($A288,A:AL,28,FALSE)-50)),"-",(VLOOKUP($A288,'SegEnds_NonXtal_BW#'!$A:$Z,20,FALSE)+VLOOKUP($A288,A:AL,28,FALSE)-50))</f>
        <v>246</v>
      </c>
      <c r="AD288" s="3">
        <f>IF(ISERROR(VLOOKUP($A288,'SegEnds_NonXtal_BW#'!$A:$Z,21,FALSE)+VLOOKUP($A288,A:AL,31,FALSE)-50),"-",(VLOOKUP($A288,'SegEnds_NonXtal_BW#'!$A:$Z,21,FALSE)+VLOOKUP($A288,A:AL,31,FALSE)-50))</f>
        <v>250</v>
      </c>
      <c r="AE288" s="3">
        <v>278</v>
      </c>
      <c r="AF288" s="3">
        <f>IF(ISERROR((VLOOKUP($A288,'SegEnds_NonXtal_BW#'!$A:$Z,22,FALSE)+VLOOKUP($A288,A:AL,31,FALSE)-50)),"-",(VLOOKUP($A288,'SegEnds_NonXtal_BW#'!$A:$Z,22,FALSE)+VLOOKUP($A288,A:AL,31,FALSE)-50))</f>
        <v>289</v>
      </c>
      <c r="AG288" s="3">
        <f>IF(ISERROR(VLOOKUP($A288,'SegEnds_NonXtal_BW#'!$A:$Z,23,FALSE)+VLOOKUP($A288,A:AL,34,FALSE)-50),"-",(VLOOKUP($A288,'SegEnds_NonXtal_BW#'!$A:$Z,23,FALSE)+VLOOKUP($A288,A:AL,34,FALSE)-50))</f>
        <v>295</v>
      </c>
      <c r="AH288" s="3">
        <v>317</v>
      </c>
      <c r="AI288" s="3">
        <f>IF(ISERROR((VLOOKUP($A288,'SegEnds_NonXtal_BW#'!$A:$Z,24,FALSE)+VLOOKUP($A288,A:AL,34,FALSE)-50)),"-",(VLOOKUP($A288,'SegEnds_NonXtal_BW#'!$A:$Z,24,FALSE)+VLOOKUP($A288,A:AL,34,FALSE)-50))</f>
        <v>323</v>
      </c>
      <c r="AJ288" s="3">
        <f>IF(ISERROR(VLOOKUP($A288,'SegEnds_NonXtal_BW#'!$A:$Z,25,FALSE)+VLOOKUP($A288,A:AL,37,FALSE)-50),"-",(VLOOKUP($A288,'SegEnds_NonXtal_BW#'!$A:$Z,25,FALSE)+VLOOKUP($A288,A:AL,37,FALSE)-50))</f>
        <v>324</v>
      </c>
      <c r="AK288" s="3">
        <v>327</v>
      </c>
      <c r="AL288" s="3">
        <f>IF(ISERROR((VLOOKUP($A288,'SegEnds_NonXtal_BW#'!$A:$Z,26,FALSE)+VLOOKUP($A288,A:AL,37,FALSE)-50)),"-",(VLOOKUP($A288,'SegEnds_NonXtal_BW#'!$A:$Z,26,FALSE)+VLOOKUP($A288,A:AL,37,FALSE)-50))</f>
        <v>335</v>
      </c>
      <c r="AM288" s="28" t="str">
        <f>VLOOKUP(A288,Classification!A:B,2,FALSE)</f>
        <v>A</v>
      </c>
      <c r="AN288" s="28" t="b">
        <f t="shared" si="188"/>
        <v>1</v>
      </c>
      <c r="AO288" s="3" t="str">
        <f>IF(ISERROR(MATCH(A288,'SegEnds_Xtal_Prot#'!B:B, 0)), "NoXtal", "Xtal")</f>
        <v>Xtal</v>
      </c>
      <c r="AP288" s="3">
        <f t="shared" si="173"/>
        <v>1</v>
      </c>
      <c r="AQ288" s="3">
        <f t="shared" si="174"/>
        <v>1</v>
      </c>
      <c r="AR288" s="3">
        <f t="shared" si="175"/>
        <v>1</v>
      </c>
      <c r="AS288" s="3">
        <f t="shared" si="176"/>
        <v>1</v>
      </c>
      <c r="AT288" s="3" t="str">
        <f t="shared" si="177"/>
        <v>-</v>
      </c>
      <c r="AU288" s="3" t="str">
        <f t="shared" si="178"/>
        <v>-</v>
      </c>
      <c r="AV288" s="3">
        <f t="shared" si="179"/>
        <v>21</v>
      </c>
      <c r="AW288" s="3">
        <f t="shared" si="180"/>
        <v>4</v>
      </c>
      <c r="AX288" s="3">
        <f t="shared" si="181"/>
        <v>4</v>
      </c>
      <c r="AY288" s="3">
        <f t="shared" si="182"/>
        <v>6</v>
      </c>
      <c r="AZ288" s="3">
        <f t="shared" si="183"/>
        <v>1</v>
      </c>
      <c r="BA288" s="3">
        <f>IF(ISERROR(LEN(VLOOKUP(A288,Seqs!A:E,2,FALSE))-AL288),"-",LEN(VLOOKUP(A288,Seqs!A:E,2,FALSE))-AL288)</f>
        <v>49</v>
      </c>
      <c r="BB288" s="16">
        <f t="shared" si="184"/>
        <v>28</v>
      </c>
      <c r="BC288" s="9" t="str">
        <f t="shared" si="185"/>
        <v>-</v>
      </c>
      <c r="BD288" s="3">
        <f t="shared" si="186"/>
        <v>28</v>
      </c>
      <c r="BE288" s="3">
        <f t="shared" si="187"/>
        <v>55</v>
      </c>
    </row>
    <row r="289" spans="1:59" s="3" customFormat="1" x14ac:dyDescent="0.2">
      <c r="A289" s="3" t="s">
        <v>325</v>
      </c>
      <c r="B289" s="3" t="str">
        <f>LOWER(VLOOKUP(A289,Xtal_Templ!A:B,2,FALSE))</f>
        <v>ox1r_human</v>
      </c>
      <c r="C289" s="3">
        <f>VLOOKUP($A289,'SegEnds_NonXtal_BW#'!$A:$Z,3,FALSE)+D289-50</f>
        <v>50</v>
      </c>
      <c r="D289" s="3">
        <v>68</v>
      </c>
      <c r="E289" s="3">
        <f>IF(ISERROR(VLOOKUP($A289,'SegEnds_NonXtal_BW#'!$A:$Z,4,FALSE)+VLOOKUP($A289,A:AL,4,FALSE)-50),"-",(VLOOKUP($A289,'SegEnds_NonXtal_BW#'!$A:$Z,4,FALSE)+VLOOKUP($A289,A:AL,4,FALSE)-50))</f>
        <v>78</v>
      </c>
      <c r="F289" s="3">
        <f t="shared" si="192"/>
        <v>79</v>
      </c>
      <c r="G289" s="3">
        <v>81</v>
      </c>
      <c r="H289" s="3">
        <f t="shared" si="193"/>
        <v>82</v>
      </c>
      <c r="I289" s="3">
        <f t="shared" si="193"/>
        <v>83</v>
      </c>
      <c r="J289" s="3">
        <v>96</v>
      </c>
      <c r="K289" s="3">
        <f>VLOOKUP($A289,'SegEnds_NonXtal_BW#'!$A:$Z,8,FALSE)+VLOOKUP($A289,A:AL,10,FALSE)-50</f>
        <v>114</v>
      </c>
      <c r="L289" s="3">
        <f t="shared" si="194"/>
        <v>115</v>
      </c>
      <c r="M289" s="3">
        <v>116</v>
      </c>
      <c r="N289" s="3">
        <f t="shared" si="195"/>
        <v>118</v>
      </c>
      <c r="O289" s="3">
        <f t="shared" si="196"/>
        <v>119</v>
      </c>
      <c r="P289" s="3">
        <v>148</v>
      </c>
      <c r="Q289" s="3">
        <f>VLOOKUP($A289,'SegEnds_NonXtal_BW#'!$A:$Z,12,FALSE)+VLOOKUP($A289,A:AL,16,FALSE)-50</f>
        <v>154</v>
      </c>
      <c r="R289" s="3" t="str">
        <f>IF(ISERROR(VLOOKUP($A289,'SegEnds_NonXtal_BW#'!$A:$Z,13,FALSE)+VLOOKUP($A289,A:AL,19,FALSE)-50),"-",VLOOKUP($A289,'SegEnds_NonXtal_BW#'!$A:$Z,13,FALSE)+VLOOKUP($A289,A:AL,19,FALSE)-50)</f>
        <v>-</v>
      </c>
      <c r="S289" s="3" t="s">
        <v>23</v>
      </c>
      <c r="T289" s="100" t="str">
        <f>IF(ISERROR(VLOOKUP($A289,'SegEnds_NonXtal_BW#'!$A:$Z,14,FALSE)+VLOOKUP($A289,A:AL,19,FALSE)-50),"-",(VLOOKUP($A289,'SegEnds_NonXtal_BW#'!$A:$Z,14,FALSE)+VLOOKUP($A289,A:AL,19,FALSE)-50))</f>
        <v>-</v>
      </c>
      <c r="U289" s="9">
        <f>IF(ISERROR(VLOOKUP($A289,'SegEnds_NonXtal_BW#'!$A:$Z,15,FALSE)+VLOOKUP($A289,A:AL,22,FALSE)-50),"-",VLOOKUP($A289,'SegEnds_NonXtal_BW#'!$A:$Z,15,FALSE)+VLOOKUP($A289,A:AL,22,FALSE)-50)</f>
        <v>161</v>
      </c>
      <c r="V289" s="3">
        <v>173</v>
      </c>
      <c r="W289" s="3">
        <f>IF(ISERROR(VLOOKUP($A289,'SegEnds_NonXtal_BW#'!$A:$Z,16,FALSE)+VLOOKUP($A289,A:AL,22,FALSE)-50),"-",(VLOOKUP($A289,'SegEnds_NonXtal_BW#'!$A:$Z,16,FALSE)+VLOOKUP($A289,A:AL,22,FALSE)-50))</f>
        <v>187</v>
      </c>
      <c r="X289" s="3">
        <f>IF(ISERROR(VLOOKUP($A289,'SegEnds_NonXtal_BW#'!$A:$Z,17,FALSE)+VLOOKUP($A289,A:AL,25,FALSE)-50),"-",(VLOOKUP($A289,'SegEnds_NonXtal_BW#'!$A:$Z,17,FALSE)+VLOOKUP($A289,A:AL,25,FALSE)-50))</f>
        <v>203</v>
      </c>
      <c r="Y289" s="3">
        <v>203</v>
      </c>
      <c r="Z289" s="3">
        <f t="shared" si="190"/>
        <v>205</v>
      </c>
      <c r="AA289" s="3">
        <f>IF(ISERROR(VLOOKUP($A289,'SegEnds_NonXtal_BW#'!$A:$Z,19,FALSE)+VLOOKUP($A289,A:AL,28,FALSE)-50),"-",(VLOOKUP($A289,'SegEnds_NonXtal_BW#'!$A:$Z,19,FALSE)+VLOOKUP($A289,A:AL,28,FALSE)-50))</f>
        <v>214</v>
      </c>
      <c r="AB289" s="3">
        <v>231</v>
      </c>
      <c r="AC289" s="3">
        <f>IF(ISERROR((VLOOKUP($A289,'SegEnds_NonXtal_BW#'!$A:$Z,20,FALSE)+VLOOKUP($A289,A:AL,28,FALSE)-50)),"-",(VLOOKUP($A289,'SegEnds_NonXtal_BW#'!$A:$Z,20,FALSE)+VLOOKUP($A289,A:AL,28,FALSE)-50))</f>
        <v>253</v>
      </c>
      <c r="AD289" s="3">
        <f>IF(ISERROR(VLOOKUP($A289,'SegEnds_NonXtal_BW#'!$A:$Z,21,FALSE)+VLOOKUP($A289,A:AL,31,FALSE)-50),"-",(VLOOKUP($A289,'SegEnds_NonXtal_BW#'!$A:$Z,21,FALSE)+VLOOKUP($A289,A:AL,31,FALSE)-50))</f>
        <v>256</v>
      </c>
      <c r="AE289" s="3">
        <v>283</v>
      </c>
      <c r="AF289" s="3">
        <f>IF(ISERROR((VLOOKUP($A289,'SegEnds_NonXtal_BW#'!$A:$Z,22,FALSE)+VLOOKUP($A289,A:AL,31,FALSE)-50)),"-",(VLOOKUP($A289,'SegEnds_NonXtal_BW#'!$A:$Z,22,FALSE)+VLOOKUP($A289,A:AL,31,FALSE)-50))</f>
        <v>294</v>
      </c>
      <c r="AG289" s="3">
        <f>IF(ISERROR(VLOOKUP($A289,'SegEnds_NonXtal_BW#'!$A:$Z,23,FALSE)+VLOOKUP($A289,A:AL,34,FALSE)-50),"-",(VLOOKUP($A289,'SegEnds_NonXtal_BW#'!$A:$Z,23,FALSE)+VLOOKUP($A289,A:AL,34,FALSE)-50))</f>
        <v>299</v>
      </c>
      <c r="AH289" s="3">
        <v>322</v>
      </c>
      <c r="AI289" s="3">
        <f>IF(ISERROR((VLOOKUP($A289,'SegEnds_NonXtal_BW#'!$A:$Z,24,FALSE)+VLOOKUP($A289,A:AL,34,FALSE)-50)),"-",(VLOOKUP($A289,'SegEnds_NonXtal_BW#'!$A:$Z,24,FALSE)+VLOOKUP($A289,A:AL,34,FALSE)-50))</f>
        <v>328</v>
      </c>
      <c r="AJ289" s="3">
        <f>IF(ISERROR(VLOOKUP($A289,'SegEnds_NonXtal_BW#'!$A:$Z,25,FALSE)+VLOOKUP($A289,A:AL,37,FALSE)-50),"-",(VLOOKUP($A289,'SegEnds_NonXtal_BW#'!$A:$Z,25,FALSE)+VLOOKUP($A289,A:AL,37,FALSE)-50))</f>
        <v>329</v>
      </c>
      <c r="AK289" s="3">
        <v>332</v>
      </c>
      <c r="AL289" s="3">
        <f>IF(ISERROR((VLOOKUP($A289,'SegEnds_NonXtal_BW#'!$A:$Z,26,FALSE)+VLOOKUP($A289,A:AL,37,FALSE)-50)),"-",(VLOOKUP($A289,'SegEnds_NonXtal_BW#'!$A:$Z,26,FALSE)+VLOOKUP($A289,A:AL,37,FALSE)-50))</f>
        <v>345</v>
      </c>
      <c r="AM289" s="28" t="str">
        <f>VLOOKUP(A289,Classification!A:B,2,FALSE)</f>
        <v>A</v>
      </c>
      <c r="AN289" s="28" t="b">
        <f t="shared" si="188"/>
        <v>1</v>
      </c>
      <c r="AO289" s="3" t="str">
        <f>IF(ISERROR(MATCH(A289,'SegEnds_Xtal_Prot#'!B:B, 0)), "NoXtal", "Xtal")</f>
        <v>NoXtal</v>
      </c>
      <c r="AP289" s="3">
        <f t="shared" si="173"/>
        <v>1</v>
      </c>
      <c r="AQ289" s="3">
        <f t="shared" si="174"/>
        <v>1</v>
      </c>
      <c r="AR289" s="3">
        <f t="shared" si="175"/>
        <v>1</v>
      </c>
      <c r="AS289" s="3">
        <f t="shared" si="176"/>
        <v>1</v>
      </c>
      <c r="AT289" s="3" t="str">
        <f t="shared" si="177"/>
        <v>-</v>
      </c>
      <c r="AU289" s="3" t="str">
        <f t="shared" si="178"/>
        <v>-</v>
      </c>
      <c r="AV289" s="3">
        <f t="shared" si="179"/>
        <v>16</v>
      </c>
      <c r="AW289" s="3">
        <f t="shared" si="180"/>
        <v>9</v>
      </c>
      <c r="AX289" s="3">
        <f t="shared" si="181"/>
        <v>3</v>
      </c>
      <c r="AY289" s="3">
        <f t="shared" si="182"/>
        <v>5</v>
      </c>
      <c r="AZ289" s="3">
        <f t="shared" si="183"/>
        <v>1</v>
      </c>
      <c r="BA289" s="3">
        <f>IF(ISERROR(LEN(VLOOKUP(A289,Seqs!A:E,2,FALSE))-AL289),"-",LEN(VLOOKUP(A289,Seqs!A:E,2,FALSE))-AL289)</f>
        <v>36</v>
      </c>
      <c r="BB289" s="16">
        <f t="shared" si="184"/>
        <v>28</v>
      </c>
      <c r="BC289" s="9" t="str">
        <f t="shared" si="185"/>
        <v>-</v>
      </c>
      <c r="BD289" s="3">
        <f t="shared" si="186"/>
        <v>28</v>
      </c>
      <c r="BE289" s="3">
        <f t="shared" si="187"/>
        <v>52</v>
      </c>
    </row>
    <row r="290" spans="1:59" s="3" customFormat="1" x14ac:dyDescent="0.2">
      <c r="A290" s="3" t="s">
        <v>326</v>
      </c>
      <c r="B290" s="3" t="str">
        <f>LOWER(VLOOKUP(A290,Xtal_Templ!A:B,2,FALSE))</f>
        <v>npy1r_human</v>
      </c>
      <c r="C290" s="3">
        <f>VLOOKUP($A290,'SegEnds_NonXtal_BW#'!$A:$Z,3,FALSE)+D290-50</f>
        <v>37</v>
      </c>
      <c r="D290" s="3">
        <v>59</v>
      </c>
      <c r="E290" s="3">
        <f>IF(ISERROR(VLOOKUP($A290,'SegEnds_NonXtal_BW#'!$A:$Z,4,FALSE)+VLOOKUP($A290,A:AL,4,FALSE)-50),"-",(VLOOKUP($A290,'SegEnds_NonXtal_BW#'!$A:$Z,4,FALSE)+VLOOKUP($A290,A:AL,4,FALSE)-50))</f>
        <v>69</v>
      </c>
      <c r="F290" s="3">
        <f t="shared" si="192"/>
        <v>70</v>
      </c>
      <c r="G290" s="3">
        <v>72</v>
      </c>
      <c r="H290" s="3">
        <f t="shared" si="193"/>
        <v>73</v>
      </c>
      <c r="I290" s="3">
        <f t="shared" si="193"/>
        <v>74</v>
      </c>
      <c r="J290" s="3">
        <v>87</v>
      </c>
      <c r="K290" s="3">
        <f>VLOOKUP($A290,'SegEnds_NonXtal_BW#'!$A:$Z,8,FALSE)+VLOOKUP($A290,A:AL,10,FALSE)-50</f>
        <v>105</v>
      </c>
      <c r="L290" s="3">
        <f t="shared" si="194"/>
        <v>106</v>
      </c>
      <c r="M290" s="3">
        <v>107</v>
      </c>
      <c r="N290" s="3">
        <f t="shared" si="195"/>
        <v>109</v>
      </c>
      <c r="O290" s="3">
        <f t="shared" si="196"/>
        <v>110</v>
      </c>
      <c r="P290" s="3">
        <v>139</v>
      </c>
      <c r="Q290" s="3">
        <f>VLOOKUP($A290,'SegEnds_NonXtal_BW#'!$A:$Z,12,FALSE)+VLOOKUP($A290,A:AL,16,FALSE)-50</f>
        <v>145</v>
      </c>
      <c r="R290" s="3" t="str">
        <f>IF(ISERROR(VLOOKUP($A290,'SegEnds_NonXtal_BW#'!$A:$Z,13,FALSE)+VLOOKUP($A290,A:AL,19,FALSE)-50),"-",VLOOKUP($A290,'SegEnds_NonXtal_BW#'!$A:$Z,13,FALSE)+VLOOKUP($A290,A:AL,19,FALSE)-50)</f>
        <v>-</v>
      </c>
      <c r="S290" s="3" t="s">
        <v>23</v>
      </c>
      <c r="T290" s="100" t="str">
        <f>IF(ISERROR(VLOOKUP($A290,'SegEnds_NonXtal_BW#'!$A:$Z,14,FALSE)+VLOOKUP($A290,A:AL,19,FALSE)-50),"-",(VLOOKUP($A290,'SegEnds_NonXtal_BW#'!$A:$Z,14,FALSE)+VLOOKUP($A290,A:AL,19,FALSE)-50))</f>
        <v>-</v>
      </c>
      <c r="U290" s="9">
        <f>IF(ISERROR(VLOOKUP($A290,'SegEnds_NonXtal_BW#'!$A:$Z,15,FALSE)+VLOOKUP($A290,A:AL,22,FALSE)-50),"-",VLOOKUP($A290,'SegEnds_NonXtal_BW#'!$A:$Z,15,FALSE)+VLOOKUP($A290,A:AL,22,FALSE)-50)</f>
        <v>152</v>
      </c>
      <c r="V290" s="3">
        <v>164</v>
      </c>
      <c r="W290" s="3">
        <f>IF(ISERROR(VLOOKUP($A290,'SegEnds_NonXtal_BW#'!$A:$Z,16,FALSE)+VLOOKUP($A290,A:AL,22,FALSE)-50),"-",(VLOOKUP($A290,'SegEnds_NonXtal_BW#'!$A:$Z,16,FALSE)+VLOOKUP($A290,A:AL,22,FALSE)-50))</f>
        <v>178</v>
      </c>
      <c r="X290" s="3">
        <f>IF(ISERROR(VLOOKUP($A290,'SegEnds_NonXtal_BW#'!$A:$Z,17,FALSE)+VLOOKUP($A290,A:AL,25,FALSE)-50),"-",(VLOOKUP($A290,'SegEnds_NonXtal_BW#'!$A:$Z,17,FALSE)+VLOOKUP($A290,A:AL,25,FALSE)-50))</f>
        <v>201</v>
      </c>
      <c r="Y290" s="3">
        <v>201</v>
      </c>
      <c r="Z290" s="3">
        <f t="shared" si="190"/>
        <v>203</v>
      </c>
      <c r="AA290" s="3">
        <f>IF(ISERROR(VLOOKUP($A290,'SegEnds_NonXtal_BW#'!$A:$Z,19,FALSE)+VLOOKUP($A290,A:AL,28,FALSE)-50),"-",(VLOOKUP($A290,'SegEnds_NonXtal_BW#'!$A:$Z,19,FALSE)+VLOOKUP($A290,A:AL,28,FALSE)-50))</f>
        <v>207</v>
      </c>
      <c r="AB290" s="3">
        <v>226</v>
      </c>
      <c r="AC290" s="3">
        <f>IF(ISERROR((VLOOKUP($A290,'SegEnds_NonXtal_BW#'!$A:$Z,20,FALSE)+VLOOKUP($A290,A:AL,28,FALSE)-50)),"-",(VLOOKUP($A290,'SegEnds_NonXtal_BW#'!$A:$Z,20,FALSE)+VLOOKUP($A290,A:AL,28,FALSE)-50))</f>
        <v>248</v>
      </c>
      <c r="AD290" s="3">
        <f>IF(ISERROR(VLOOKUP($A290,'SegEnds_NonXtal_BW#'!$A:$Z,21,FALSE)+VLOOKUP($A290,A:AL,31,FALSE)-50),"-",(VLOOKUP($A290,'SegEnds_NonXtal_BW#'!$A:$Z,21,FALSE)+VLOOKUP($A290,A:AL,31,FALSE)-50))</f>
        <v>254</v>
      </c>
      <c r="AE290" s="3">
        <v>280</v>
      </c>
      <c r="AF290" s="3">
        <f>IF(ISERROR((VLOOKUP($A290,'SegEnds_NonXtal_BW#'!$A:$Z,22,FALSE)+VLOOKUP($A290,A:AL,31,FALSE)-50)),"-",(VLOOKUP($A290,'SegEnds_NonXtal_BW#'!$A:$Z,22,FALSE)+VLOOKUP($A290,A:AL,31,FALSE)-50))</f>
        <v>291</v>
      </c>
      <c r="AG290" s="3">
        <f>IF(ISERROR(VLOOKUP($A290,'SegEnds_NonXtal_BW#'!$A:$Z,23,FALSE)+VLOOKUP($A290,A:AL,34,FALSE)-50),"-",(VLOOKUP($A290,'SegEnds_NonXtal_BW#'!$A:$Z,23,FALSE)+VLOOKUP($A290,A:AL,34,FALSE)-50))</f>
        <v>297</v>
      </c>
      <c r="AH290" s="3">
        <v>319</v>
      </c>
      <c r="AI290" s="3">
        <f>IF(ISERROR((VLOOKUP($A290,'SegEnds_NonXtal_BW#'!$A:$Z,24,FALSE)+VLOOKUP($A290,A:AL,34,FALSE)-50)),"-",(VLOOKUP($A290,'SegEnds_NonXtal_BW#'!$A:$Z,24,FALSE)+VLOOKUP($A290,A:AL,34,FALSE)-50))</f>
        <v>325</v>
      </c>
      <c r="AJ290" s="3">
        <f>IF(ISERROR(VLOOKUP($A290,'SegEnds_NonXtal_BW#'!$A:$Z,25,FALSE)+VLOOKUP($A290,A:AL,37,FALSE)-50),"-",(VLOOKUP($A290,'SegEnds_NonXtal_BW#'!$A:$Z,25,FALSE)+VLOOKUP($A290,A:AL,37,FALSE)-50))</f>
        <v>326</v>
      </c>
      <c r="AK290" s="3">
        <v>329</v>
      </c>
      <c r="AL290" s="3">
        <f>IF(ISERROR((VLOOKUP($A290,'SegEnds_NonXtal_BW#'!$A:$Z,26,FALSE)+VLOOKUP($A290,A:AL,37,FALSE)-50)),"-",(VLOOKUP($A290,'SegEnds_NonXtal_BW#'!$A:$Z,26,FALSE)+VLOOKUP($A290,A:AL,37,FALSE)-50))</f>
        <v>337</v>
      </c>
      <c r="AM290" s="28" t="str">
        <f>VLOOKUP(A290,Classification!A:B,2,FALSE)</f>
        <v>A</v>
      </c>
      <c r="AN290" s="28" t="b">
        <f t="shared" si="188"/>
        <v>1</v>
      </c>
      <c r="AO290" s="3" t="str">
        <f>IF(ISERROR(MATCH(A290,'SegEnds_Xtal_Prot#'!B:B, 0)), "NoXtal", "Xtal")</f>
        <v>NoXtal</v>
      </c>
      <c r="AP290" s="3">
        <f t="shared" si="173"/>
        <v>1</v>
      </c>
      <c r="AQ290" s="3">
        <f t="shared" si="174"/>
        <v>1</v>
      </c>
      <c r="AR290" s="3">
        <f t="shared" si="175"/>
        <v>1</v>
      </c>
      <c r="AS290" s="3">
        <f t="shared" si="176"/>
        <v>1</v>
      </c>
      <c r="AT290" s="3" t="str">
        <f t="shared" si="177"/>
        <v>-</v>
      </c>
      <c r="AU290" s="3" t="str">
        <f t="shared" si="178"/>
        <v>-</v>
      </c>
      <c r="AV290" s="3">
        <f t="shared" si="179"/>
        <v>23</v>
      </c>
      <c r="AW290" s="3">
        <f t="shared" si="180"/>
        <v>4</v>
      </c>
      <c r="AX290" s="3">
        <f t="shared" si="181"/>
        <v>6</v>
      </c>
      <c r="AY290" s="3">
        <f t="shared" si="182"/>
        <v>6</v>
      </c>
      <c r="AZ290" s="3">
        <f t="shared" si="183"/>
        <v>1</v>
      </c>
      <c r="BA290" s="3">
        <f>IF(ISERROR(LEN(VLOOKUP(A290,Seqs!A:E,2,FALSE))-AL290),"-",LEN(VLOOKUP(A290,Seqs!A:E,2,FALSE))-AL290)</f>
        <v>38</v>
      </c>
      <c r="BB290" s="16">
        <f t="shared" si="184"/>
        <v>28</v>
      </c>
      <c r="BC290" s="9" t="str">
        <f t="shared" si="185"/>
        <v>-</v>
      </c>
      <c r="BD290" s="3">
        <f t="shared" si="186"/>
        <v>28</v>
      </c>
      <c r="BE290" s="3">
        <f t="shared" si="187"/>
        <v>54</v>
      </c>
    </row>
    <row r="291" spans="1:59" s="3" customFormat="1" x14ac:dyDescent="0.2">
      <c r="A291" s="3" t="s">
        <v>327</v>
      </c>
      <c r="B291" s="3" t="str">
        <f>LOWER(VLOOKUP(A291,Xtal_Templ!A:B,2,FALSE))</f>
        <v>npy1r_human</v>
      </c>
      <c r="C291" s="3">
        <f>VLOOKUP($A291,'SegEnds_NonXtal_BW#'!$A:$Z,3,FALSE)+D291-50</f>
        <v>37</v>
      </c>
      <c r="D291" s="3">
        <v>59</v>
      </c>
      <c r="E291" s="3">
        <f>IF(ISERROR(VLOOKUP($A291,'SegEnds_NonXtal_BW#'!$A:$Z,4,FALSE)+VLOOKUP($A291,A:AL,4,FALSE)-50),"-",(VLOOKUP($A291,'SegEnds_NonXtal_BW#'!$A:$Z,4,FALSE)+VLOOKUP($A291,A:AL,4,FALSE)-50))</f>
        <v>69</v>
      </c>
      <c r="F291" s="3">
        <f t="shared" si="192"/>
        <v>70</v>
      </c>
      <c r="G291" s="3">
        <v>72</v>
      </c>
      <c r="H291" s="3">
        <f t="shared" si="193"/>
        <v>73</v>
      </c>
      <c r="I291" s="3">
        <f t="shared" si="193"/>
        <v>74</v>
      </c>
      <c r="J291" s="3">
        <v>87</v>
      </c>
      <c r="K291" s="3">
        <f>VLOOKUP($A291,'SegEnds_NonXtal_BW#'!$A:$Z,8,FALSE)+VLOOKUP($A291,A:AL,10,FALSE)-50</f>
        <v>105</v>
      </c>
      <c r="L291" s="3">
        <f t="shared" si="194"/>
        <v>106</v>
      </c>
      <c r="M291" s="3">
        <v>107</v>
      </c>
      <c r="N291" s="3">
        <f t="shared" si="195"/>
        <v>109</v>
      </c>
      <c r="O291" s="3">
        <f t="shared" si="196"/>
        <v>110</v>
      </c>
      <c r="P291" s="3">
        <v>139</v>
      </c>
      <c r="Q291" s="3">
        <f>VLOOKUP($A291,'SegEnds_NonXtal_BW#'!$A:$Z,12,FALSE)+VLOOKUP($A291,A:AL,16,FALSE)-50</f>
        <v>145</v>
      </c>
      <c r="R291" s="3" t="str">
        <f>IF(ISERROR(VLOOKUP($A291,'SegEnds_NonXtal_BW#'!$A:$Z,13,FALSE)+VLOOKUP($A291,A:AL,19,FALSE)-50),"-",VLOOKUP($A291,'SegEnds_NonXtal_BW#'!$A:$Z,13,FALSE)+VLOOKUP($A291,A:AL,19,FALSE)-50)</f>
        <v>-</v>
      </c>
      <c r="S291" s="3" t="s">
        <v>23</v>
      </c>
      <c r="T291" s="100" t="str">
        <f>IF(ISERROR(VLOOKUP($A291,'SegEnds_NonXtal_BW#'!$A:$Z,14,FALSE)+VLOOKUP($A291,A:AL,19,FALSE)-50),"-",(VLOOKUP($A291,'SegEnds_NonXtal_BW#'!$A:$Z,14,FALSE)+VLOOKUP($A291,A:AL,19,FALSE)-50))</f>
        <v>-</v>
      </c>
      <c r="U291" s="9">
        <f>IF(ISERROR(VLOOKUP($A291,'SegEnds_NonXtal_BW#'!$A:$Z,15,FALSE)+VLOOKUP($A291,A:AL,22,FALSE)-50),"-",VLOOKUP($A291,'SegEnds_NonXtal_BW#'!$A:$Z,15,FALSE)+VLOOKUP($A291,A:AL,22,FALSE)-50)</f>
        <v>152</v>
      </c>
      <c r="V291" s="3">
        <v>164</v>
      </c>
      <c r="W291" s="3">
        <f>IF(ISERROR(VLOOKUP($A291,'SegEnds_NonXtal_BW#'!$A:$Z,16,FALSE)+VLOOKUP($A291,A:AL,22,FALSE)-50),"-",(VLOOKUP($A291,'SegEnds_NonXtal_BW#'!$A:$Z,16,FALSE)+VLOOKUP($A291,A:AL,22,FALSE)-50))</f>
        <v>178</v>
      </c>
      <c r="X291" s="3">
        <f>IF(ISERROR(VLOOKUP($A291,'SegEnds_NonXtal_BW#'!$A:$Z,17,FALSE)+VLOOKUP($A291,A:AL,25,FALSE)-50),"-",(VLOOKUP($A291,'SegEnds_NonXtal_BW#'!$A:$Z,17,FALSE)+VLOOKUP($A291,A:AL,25,FALSE)-50))</f>
        <v>198</v>
      </c>
      <c r="Y291" s="3">
        <v>198</v>
      </c>
      <c r="Z291" s="3">
        <f t="shared" si="190"/>
        <v>200</v>
      </c>
      <c r="AA291" s="3">
        <f>IF(ISERROR(VLOOKUP($A291,'SegEnds_NonXtal_BW#'!$A:$Z,19,FALSE)+VLOOKUP($A291,A:AL,28,FALSE)-50),"-",(VLOOKUP($A291,'SegEnds_NonXtal_BW#'!$A:$Z,19,FALSE)+VLOOKUP($A291,A:AL,28,FALSE)-50))</f>
        <v>204</v>
      </c>
      <c r="AB291" s="3">
        <v>223</v>
      </c>
      <c r="AC291" s="3">
        <f>IF(ISERROR((VLOOKUP($A291,'SegEnds_NonXtal_BW#'!$A:$Z,20,FALSE)+VLOOKUP($A291,A:AL,28,FALSE)-50)),"-",(VLOOKUP($A291,'SegEnds_NonXtal_BW#'!$A:$Z,20,FALSE)+VLOOKUP($A291,A:AL,28,FALSE)-50))</f>
        <v>249</v>
      </c>
      <c r="AD291" s="3">
        <f>IF(ISERROR(VLOOKUP($A291,'SegEnds_NonXtal_BW#'!$A:$Z,21,FALSE)+VLOOKUP($A291,A:AL,31,FALSE)-50),"-",(VLOOKUP($A291,'SegEnds_NonXtal_BW#'!$A:$Z,21,FALSE)+VLOOKUP($A291,A:AL,31,FALSE)-50))</f>
        <v>357</v>
      </c>
      <c r="AE291" s="3">
        <v>383</v>
      </c>
      <c r="AF291" s="3">
        <f>IF(ISERROR((VLOOKUP($A291,'SegEnds_NonXtal_BW#'!$A:$Z,22,FALSE)+VLOOKUP($A291,A:AL,31,FALSE)-50)),"-",(VLOOKUP($A291,'SegEnds_NonXtal_BW#'!$A:$Z,22,FALSE)+VLOOKUP($A291,A:AL,31,FALSE)-50))</f>
        <v>394</v>
      </c>
      <c r="AG291" s="3">
        <f>IF(ISERROR(VLOOKUP($A291,'SegEnds_NonXtal_BW#'!$A:$Z,23,FALSE)+VLOOKUP($A291,A:AL,34,FALSE)-50),"-",(VLOOKUP($A291,'SegEnds_NonXtal_BW#'!$A:$Z,23,FALSE)+VLOOKUP($A291,A:AL,34,FALSE)-50))</f>
        <v>400</v>
      </c>
      <c r="AH291" s="3">
        <v>422</v>
      </c>
      <c r="AI291" s="3">
        <f>IF(ISERROR((VLOOKUP($A291,'SegEnds_NonXtal_BW#'!$A:$Z,24,FALSE)+VLOOKUP($A291,A:AL,34,FALSE)-50)),"-",(VLOOKUP($A291,'SegEnds_NonXtal_BW#'!$A:$Z,24,FALSE)+VLOOKUP($A291,A:AL,34,FALSE)-50))</f>
        <v>428</v>
      </c>
      <c r="AJ291" s="3">
        <f>IF(ISERROR(VLOOKUP($A291,'SegEnds_NonXtal_BW#'!$A:$Z,25,FALSE)+VLOOKUP($A291,A:AL,37,FALSE)-50),"-",(VLOOKUP($A291,'SegEnds_NonXtal_BW#'!$A:$Z,25,FALSE)+VLOOKUP($A291,A:AL,37,FALSE)-50))</f>
        <v>429</v>
      </c>
      <c r="AK291" s="3">
        <v>432</v>
      </c>
      <c r="AL291" s="3">
        <f>IF(ISERROR((VLOOKUP($A291,'SegEnds_NonXtal_BW#'!$A:$Z,26,FALSE)+VLOOKUP($A291,A:AL,37,FALSE)-50)),"-",(VLOOKUP($A291,'SegEnds_NonXtal_BW#'!$A:$Z,26,FALSE)+VLOOKUP($A291,A:AL,37,FALSE)-50))</f>
        <v>440</v>
      </c>
      <c r="AM291" s="28" t="str">
        <f>VLOOKUP(A291,Classification!A:B,2,FALSE)</f>
        <v>A</v>
      </c>
      <c r="AN291" s="28" t="b">
        <f t="shared" si="188"/>
        <v>1</v>
      </c>
      <c r="AO291" s="3" t="str">
        <f>IF(ISERROR(MATCH(A291,'SegEnds_Xtal_Prot#'!B:B, 0)), "NoXtal", "Xtal")</f>
        <v>NoXtal</v>
      </c>
      <c r="AP291" s="3">
        <f t="shared" si="173"/>
        <v>1</v>
      </c>
      <c r="AQ291" s="3">
        <f t="shared" si="174"/>
        <v>1</v>
      </c>
      <c r="AR291" s="3">
        <f t="shared" si="175"/>
        <v>1</v>
      </c>
      <c r="AS291" s="3">
        <f t="shared" si="176"/>
        <v>1</v>
      </c>
      <c r="AT291" s="3" t="str">
        <f t="shared" si="177"/>
        <v>-</v>
      </c>
      <c r="AU291" s="3" t="str">
        <f t="shared" si="178"/>
        <v>-</v>
      </c>
      <c r="AV291" s="3">
        <f t="shared" si="179"/>
        <v>20</v>
      </c>
      <c r="AW291" s="3">
        <f t="shared" si="180"/>
        <v>4</v>
      </c>
      <c r="AX291" s="3">
        <f t="shared" si="181"/>
        <v>108</v>
      </c>
      <c r="AY291" s="3">
        <f t="shared" si="182"/>
        <v>6</v>
      </c>
      <c r="AZ291" s="3">
        <f t="shared" si="183"/>
        <v>1</v>
      </c>
      <c r="BA291" s="3">
        <f>IF(ISERROR(LEN(VLOOKUP(A291,Seqs!A:E,2,FALSE))-AL291),"-",LEN(VLOOKUP(A291,Seqs!A:E,2,FALSE))-AL291)</f>
        <v>5</v>
      </c>
      <c r="BB291" s="16">
        <f t="shared" si="184"/>
        <v>28</v>
      </c>
      <c r="BC291" s="9" t="str">
        <f t="shared" si="185"/>
        <v>-</v>
      </c>
      <c r="BD291" s="3">
        <f t="shared" si="186"/>
        <v>28</v>
      </c>
      <c r="BE291" s="3">
        <f t="shared" si="187"/>
        <v>160</v>
      </c>
      <c r="BF291" s="3">
        <f>AH291-AE291</f>
        <v>39</v>
      </c>
    </row>
    <row r="292" spans="1:59" s="3" customFormat="1" x14ac:dyDescent="0.2">
      <c r="A292" s="3" t="s">
        <v>328</v>
      </c>
      <c r="B292" s="3" t="str">
        <f>LOWER(VLOOKUP(A292,Xtal_Templ!A:B,2,FALSE))</f>
        <v>npy1r_human</v>
      </c>
      <c r="C292" s="3">
        <f>VLOOKUP($A292,'SegEnds_NonXtal_BW#'!$A:$Z,3,FALSE)+D292-50</f>
        <v>31</v>
      </c>
      <c r="D292" s="3">
        <v>53</v>
      </c>
      <c r="E292" s="3">
        <f>IF(ISERROR(VLOOKUP($A292,'SegEnds_NonXtal_BW#'!$A:$Z,4,FALSE)+VLOOKUP($A292,A:AL,4,FALSE)-50),"-",(VLOOKUP($A292,'SegEnds_NonXtal_BW#'!$A:$Z,4,FALSE)+VLOOKUP($A292,A:AL,4,FALSE)-50))</f>
        <v>63</v>
      </c>
      <c r="F292" s="3">
        <f t="shared" si="192"/>
        <v>65</v>
      </c>
      <c r="G292" s="3">
        <v>67</v>
      </c>
      <c r="H292" s="3">
        <f t="shared" si="193"/>
        <v>68</v>
      </c>
      <c r="I292" s="3">
        <f t="shared" si="193"/>
        <v>69</v>
      </c>
      <c r="J292" s="3">
        <v>82</v>
      </c>
      <c r="K292" s="3">
        <f>VLOOKUP($A292,'SegEnds_NonXtal_BW#'!$A:$Z,8,FALSE)+VLOOKUP($A292,A:AL,10,FALSE)-50</f>
        <v>100</v>
      </c>
      <c r="L292" s="3">
        <f t="shared" si="194"/>
        <v>101</v>
      </c>
      <c r="M292" s="3">
        <v>102</v>
      </c>
      <c r="N292" s="3">
        <f t="shared" si="195"/>
        <v>104</v>
      </c>
      <c r="O292" s="3">
        <f t="shared" si="196"/>
        <v>105</v>
      </c>
      <c r="P292" s="3">
        <v>134</v>
      </c>
      <c r="Q292" s="3">
        <f>VLOOKUP($A292,'SegEnds_NonXtal_BW#'!$A:$Z,12,FALSE)+VLOOKUP($A292,A:AL,16,FALSE)-50</f>
        <v>140</v>
      </c>
      <c r="R292" s="3" t="str">
        <f>IF(ISERROR(VLOOKUP($A292,'SegEnds_NonXtal_BW#'!$A:$Z,13,FALSE)+VLOOKUP($A292,A:AL,19,FALSE)-50),"-",VLOOKUP($A292,'SegEnds_NonXtal_BW#'!$A:$Z,13,FALSE)+VLOOKUP($A292,A:AL,19,FALSE)-50)</f>
        <v>-</v>
      </c>
      <c r="S292" s="3" t="s">
        <v>23</v>
      </c>
      <c r="T292" s="100" t="str">
        <f>IF(ISERROR(VLOOKUP($A292,'SegEnds_NonXtal_BW#'!$A:$Z,14,FALSE)+VLOOKUP($A292,A:AL,19,FALSE)-50),"-",(VLOOKUP($A292,'SegEnds_NonXtal_BW#'!$A:$Z,14,FALSE)+VLOOKUP($A292,A:AL,19,FALSE)-50))</f>
        <v>-</v>
      </c>
      <c r="U292" s="9">
        <f>IF(ISERROR(VLOOKUP($A292,'SegEnds_NonXtal_BW#'!$A:$Z,15,FALSE)+VLOOKUP($A292,A:AL,22,FALSE)-50),"-",VLOOKUP($A292,'SegEnds_NonXtal_BW#'!$A:$Z,15,FALSE)+VLOOKUP($A292,A:AL,22,FALSE)-50)</f>
        <v>147</v>
      </c>
      <c r="V292" s="3">
        <v>159</v>
      </c>
      <c r="W292" s="3">
        <f>IF(ISERROR(VLOOKUP($A292,'SegEnds_NonXtal_BW#'!$A:$Z,16,FALSE)+VLOOKUP($A292,A:AL,22,FALSE)-50),"-",(VLOOKUP($A292,'SegEnds_NonXtal_BW#'!$A:$Z,16,FALSE)+VLOOKUP($A292,A:AL,22,FALSE)-50))</f>
        <v>173</v>
      </c>
      <c r="X292" s="3" t="str">
        <f>IF(ISERROR(VLOOKUP($A292,'SegEnds_NonXtal_BW#'!$A:$Z,17,FALSE)+VLOOKUP($A292,A:AL,25,FALSE)-50),"-",(VLOOKUP($A292,'SegEnds_NonXtal_BW#'!$A:$Z,17,FALSE)+VLOOKUP($A292,A:AL,25,FALSE)-50))</f>
        <v>-</v>
      </c>
      <c r="Y292" s="3" t="s">
        <v>23</v>
      </c>
      <c r="Z292" s="3" t="str">
        <f>IF(ISERROR(VLOOKUP($A292,'SegEnds_NonXtal_BW#'!$A:$Z,18,FALSE)+VLOOKUP($A292,A:AL,25,FALSE)-50),"-",(VLOOKUP($A292,'SegEnds_NonXtal_BW#'!$A:$Z,18,FALSE)+VLOOKUP($A292,A:AL,25,FALSE)-50))</f>
        <v>-</v>
      </c>
      <c r="AA292" s="3">
        <f>IF(ISERROR(VLOOKUP($A292,'SegEnds_NonXtal_BW#'!$A:$Z,19,FALSE)+VLOOKUP($A292,A:AL,28,FALSE)-50),"-",(VLOOKUP($A292,'SegEnds_NonXtal_BW#'!$A:$Z,19,FALSE)+VLOOKUP($A292,A:AL,28,FALSE)-50))</f>
        <v>202</v>
      </c>
      <c r="AB292" s="3">
        <v>221</v>
      </c>
      <c r="AC292" s="3">
        <f>IF(ISERROR((VLOOKUP($A292,'SegEnds_NonXtal_BW#'!$A:$Z,20,FALSE)+VLOOKUP($A292,A:AL,28,FALSE)-50)),"-",(VLOOKUP($A292,'SegEnds_NonXtal_BW#'!$A:$Z,20,FALSE)+VLOOKUP($A292,A:AL,28,FALSE)-50))</f>
        <v>244</v>
      </c>
      <c r="AD292" s="3">
        <f>IF(ISERROR(VLOOKUP($A292,'SegEnds_NonXtal_BW#'!$A:$Z,21,FALSE)+VLOOKUP($A292,A:AL,31,FALSE)-50),"-",(VLOOKUP($A292,'SegEnds_NonXtal_BW#'!$A:$Z,21,FALSE)+VLOOKUP($A292,A:AL,31,FALSE)-50))</f>
        <v>248</v>
      </c>
      <c r="AE292" s="3">
        <v>276</v>
      </c>
      <c r="AF292" s="3">
        <f>IF(ISERROR((VLOOKUP($A292,'SegEnds_NonXtal_BW#'!$A:$Z,22,FALSE)+VLOOKUP($A292,A:AL,31,FALSE)-50)),"-",(VLOOKUP($A292,'SegEnds_NonXtal_BW#'!$A:$Z,22,FALSE)+VLOOKUP($A292,A:AL,31,FALSE)-50))</f>
        <v>287</v>
      </c>
      <c r="AG292" s="3" t="str">
        <f>IF(ISERROR(VLOOKUP($A292,'SegEnds_NonXtal_BW#'!$A:$Z,23,FALSE)+VLOOKUP($A292,A:AL,34,FALSE)-50),"-",(VLOOKUP($A292,'SegEnds_NonXtal_BW#'!$A:$Z,23,FALSE)+VLOOKUP($A292,A:AL,34,FALSE)-50))</f>
        <v>-</v>
      </c>
      <c r="AH292" s="3" t="s">
        <v>23</v>
      </c>
      <c r="AI292" s="3" t="str">
        <f>IF(ISERROR((VLOOKUP($A292,'SegEnds_NonXtal_BW#'!$A:$Z,24,FALSE)+VLOOKUP($A292,A:AL,34,FALSE)-50)),"-",(VLOOKUP($A292,'SegEnds_NonXtal_BW#'!$A:$Z,24,FALSE)+VLOOKUP($A292,A:AL,34,FALSE)-50))</f>
        <v>-</v>
      </c>
      <c r="AJ292" s="3" t="str">
        <f>IF(ISERROR(VLOOKUP($A292,'SegEnds_NonXtal_BW#'!$A:$Z,25,FALSE)+VLOOKUP($A292,A:AL,37,FALSE)-50),"-",(VLOOKUP($A292,'SegEnds_NonXtal_BW#'!$A:$Z,25,FALSE)+VLOOKUP($A292,A:AL,37,FALSE)-50))</f>
        <v>-</v>
      </c>
      <c r="AK292" s="3" t="s">
        <v>23</v>
      </c>
      <c r="AL292" s="3" t="str">
        <f>IF(ISERROR((VLOOKUP($A292,'SegEnds_NonXtal_BW#'!$A:$Z,26,FALSE)+VLOOKUP($A292,A:AL,37,FALSE)-50)),"-",(VLOOKUP($A292,'SegEnds_NonXtal_BW#'!$A:$Z,26,FALSE)+VLOOKUP($A292,A:AL,37,FALSE)-50))</f>
        <v>-</v>
      </c>
      <c r="AM292" s="28" t="str">
        <f>VLOOKUP(A292,Classification!A:B,2,FALSE)</f>
        <v>A</v>
      </c>
      <c r="AN292" s="28" t="e">
        <f t="shared" si="188"/>
        <v>#VALUE!</v>
      </c>
      <c r="AO292" s="3" t="str">
        <f>IF(ISERROR(MATCH(A292,'SegEnds_Xtal_Prot#'!B:B, 0)), "NoXtal", "Xtal")</f>
        <v>NoXtal</v>
      </c>
      <c r="AP292" s="3">
        <f t="shared" si="173"/>
        <v>2</v>
      </c>
      <c r="AQ292" s="3">
        <f t="shared" si="174"/>
        <v>1</v>
      </c>
      <c r="AR292" s="3">
        <f t="shared" si="175"/>
        <v>1</v>
      </c>
      <c r="AS292" s="3">
        <f t="shared" si="176"/>
        <v>1</v>
      </c>
      <c r="AT292" s="3" t="str">
        <f t="shared" si="177"/>
        <v>-</v>
      </c>
      <c r="AU292" s="3" t="str">
        <f t="shared" si="178"/>
        <v>-</v>
      </c>
      <c r="AV292" s="3" t="str">
        <f t="shared" si="179"/>
        <v>-</v>
      </c>
      <c r="AW292" s="3" t="str">
        <f t="shared" si="180"/>
        <v>-</v>
      </c>
      <c r="AX292" s="3">
        <f t="shared" si="181"/>
        <v>4</v>
      </c>
      <c r="AY292" s="3" t="str">
        <f t="shared" si="182"/>
        <v>-</v>
      </c>
      <c r="AZ292" s="3" t="str">
        <f t="shared" si="183"/>
        <v>-</v>
      </c>
      <c r="BA292" s="3" t="str">
        <f>IF(ISERROR(LEN(VLOOKUP(A292,Seqs!A:E,2,FALSE))-AL292),"-",LEN(VLOOKUP(A292,Seqs!A:E,2,FALSE))-AL292)</f>
        <v>-</v>
      </c>
      <c r="BB292" s="16">
        <f t="shared" si="184"/>
        <v>29</v>
      </c>
      <c r="BC292" s="9" t="str">
        <f t="shared" si="185"/>
        <v>-</v>
      </c>
      <c r="BD292" s="3">
        <f t="shared" si="186"/>
        <v>29</v>
      </c>
      <c r="BE292" s="3">
        <f t="shared" si="187"/>
        <v>55</v>
      </c>
      <c r="BG292" s="3" t="s">
        <v>1300</v>
      </c>
    </row>
    <row r="293" spans="1:59" s="3" customFormat="1" x14ac:dyDescent="0.2">
      <c r="A293" s="3" t="s">
        <v>331</v>
      </c>
      <c r="B293" s="3" t="str">
        <f>LOWER(VLOOKUP(A293,Xtal_Templ!A:B,2,FALSE))</f>
        <v>opsd_bovin</v>
      </c>
      <c r="C293" s="3">
        <f>VLOOKUP($A293,'SegEnds_NonXtal_BW#'!$A:$Z,3,FALSE)+D293-50</f>
        <v>37</v>
      </c>
      <c r="D293" s="3">
        <v>59</v>
      </c>
      <c r="E293" s="3">
        <f>IF(ISERROR(VLOOKUP($A293,'SegEnds_NonXtal_BW#'!$A:$Z,4,FALSE)+VLOOKUP($A293,A:AL,4,FALSE)-50),"-",(VLOOKUP($A293,'SegEnds_NonXtal_BW#'!$A:$Z,4,FALSE)+VLOOKUP($A293,A:AL,4,FALSE)-50))</f>
        <v>69</v>
      </c>
      <c r="F293" s="3">
        <f t="shared" si="192"/>
        <v>70</v>
      </c>
      <c r="G293" s="3">
        <v>72</v>
      </c>
      <c r="H293" s="3">
        <f t="shared" si="193"/>
        <v>73</v>
      </c>
      <c r="I293" s="3">
        <f t="shared" si="193"/>
        <v>74</v>
      </c>
      <c r="J293" s="3">
        <v>87</v>
      </c>
      <c r="K293" s="3">
        <f>VLOOKUP($A293,'SegEnds_NonXtal_BW#'!$A:$Z,8,FALSE)+VLOOKUP($A293,A:AL,10,FALSE)-50</f>
        <v>104</v>
      </c>
      <c r="L293" s="3">
        <f t="shared" si="194"/>
        <v>106</v>
      </c>
      <c r="M293" s="3">
        <v>107</v>
      </c>
      <c r="N293" s="3">
        <f t="shared" si="195"/>
        <v>109</v>
      </c>
      <c r="O293" s="3">
        <f t="shared" si="196"/>
        <v>110</v>
      </c>
      <c r="P293" s="3">
        <v>139</v>
      </c>
      <c r="Q293" s="3">
        <f>VLOOKUP($A293,'SegEnds_NonXtal_BW#'!$A:$Z,12,FALSE)+VLOOKUP($A293,A:AL,16,FALSE)-50</f>
        <v>145</v>
      </c>
      <c r="R293" s="3" t="str">
        <f>IF(ISERROR(VLOOKUP($A293,'SegEnds_NonXtal_BW#'!$A:$Z,13,FALSE)+VLOOKUP($A293,A:AL,19,FALSE)-50),"-",VLOOKUP($A293,'SegEnds_NonXtal_BW#'!$A:$Z,13,FALSE)+VLOOKUP($A293,A:AL,19,FALSE)-50)</f>
        <v>-</v>
      </c>
      <c r="S293" s="3" t="s">
        <v>23</v>
      </c>
      <c r="T293" s="100" t="str">
        <f>IF(ISERROR(VLOOKUP($A293,'SegEnds_NonXtal_BW#'!$A:$Z,14,FALSE)+VLOOKUP($A293,A:AL,19,FALSE)-50),"-",(VLOOKUP($A293,'SegEnds_NonXtal_BW#'!$A:$Z,14,FALSE)+VLOOKUP($A293,A:AL,19,FALSE)-50))</f>
        <v>-</v>
      </c>
      <c r="U293" s="9">
        <f>IF(ISERROR(VLOOKUP($A293,'SegEnds_NonXtal_BW#'!$A:$Z,15,FALSE)+VLOOKUP($A293,A:AL,22,FALSE)-50),"-",VLOOKUP($A293,'SegEnds_NonXtal_BW#'!$A:$Z,15,FALSE)+VLOOKUP($A293,A:AL,22,FALSE)-50)</f>
        <v>150</v>
      </c>
      <c r="V293" s="3">
        <v>162</v>
      </c>
      <c r="W293" s="3">
        <f>IF(ISERROR(VLOOKUP($A293,'SegEnds_NonXtal_BW#'!$A:$Z,16,FALSE)+VLOOKUP($A293,A:AL,22,FALSE)-50),"-",(VLOOKUP($A293,'SegEnds_NonXtal_BW#'!$A:$Z,16,FALSE)+VLOOKUP($A293,A:AL,22,FALSE)-50))</f>
        <v>174</v>
      </c>
      <c r="X293" s="3">
        <f>IF(ISERROR(VLOOKUP($A293,'SegEnds_NonXtal_BW#'!$A:$Z,17,FALSE)+VLOOKUP($A293,A:AL,25,FALSE)-50),"-",(VLOOKUP($A293,'SegEnds_NonXtal_BW#'!$A:$Z,17,FALSE)+VLOOKUP($A293,A:AL,25,FALSE)-50))</f>
        <v>188</v>
      </c>
      <c r="Y293" s="3">
        <v>188</v>
      </c>
      <c r="Z293" s="3">
        <f t="shared" ref="Z293:Z328" si="197">Y293+2</f>
        <v>190</v>
      </c>
      <c r="AA293" s="3">
        <f>IF(ISERROR(VLOOKUP($A293,'SegEnds_NonXtal_BW#'!$A:$Z,19,FALSE)+VLOOKUP($A293,A:AL,28,FALSE)-50),"-",(VLOOKUP($A293,'SegEnds_NonXtal_BW#'!$A:$Z,19,FALSE)+VLOOKUP($A293,A:AL,28,FALSE)-50))</f>
        <v>198</v>
      </c>
      <c r="AB293" s="3">
        <v>214</v>
      </c>
      <c r="AC293" s="3">
        <f>IF(ISERROR((VLOOKUP($A293,'SegEnds_NonXtal_BW#'!$A:$Z,20,FALSE)+VLOOKUP($A293,A:AL,28,FALSE)-50)),"-",(VLOOKUP($A293,'SegEnds_NonXtal_BW#'!$A:$Z,20,FALSE)+VLOOKUP($A293,A:AL,28,FALSE)-50))</f>
        <v>237</v>
      </c>
      <c r="AD293" s="3">
        <f>IF(ISERROR(VLOOKUP($A293,'SegEnds_NonXtal_BW#'!$A:$Z,21,FALSE)+VLOOKUP($A293,A:AL,31,FALSE)-50),"-",(VLOOKUP($A293,'SegEnds_NonXtal_BW#'!$A:$Z,21,FALSE)+VLOOKUP($A293,A:AL,31,FALSE)-50))</f>
        <v>242</v>
      </c>
      <c r="AE293" s="3">
        <v>270</v>
      </c>
      <c r="AF293" s="3">
        <f>IF(ISERROR((VLOOKUP($A293,'SegEnds_NonXtal_BW#'!$A:$Z,22,FALSE)+VLOOKUP($A293,A:AL,31,FALSE)-50)),"-",(VLOOKUP($A293,'SegEnds_NonXtal_BW#'!$A:$Z,22,FALSE)+VLOOKUP($A293,A:AL,31,FALSE)-50))</f>
        <v>281</v>
      </c>
      <c r="AG293" s="3">
        <f>IF(ISERROR(VLOOKUP($A293,'SegEnds_NonXtal_BW#'!$A:$Z,23,FALSE)+VLOOKUP($A293,A:AL,34,FALSE)-50),"-",(VLOOKUP($A293,'SegEnds_NonXtal_BW#'!$A:$Z,23,FALSE)+VLOOKUP($A293,A:AL,34,FALSE)-50))</f>
        <v>287</v>
      </c>
      <c r="AH293" s="3">
        <v>306</v>
      </c>
      <c r="AI293" s="3">
        <f>IF(ISERROR((VLOOKUP($A293,'SegEnds_NonXtal_BW#'!$A:$Z,24,FALSE)+VLOOKUP($A293,A:AL,34,FALSE)-50)),"-",(VLOOKUP($A293,'SegEnds_NonXtal_BW#'!$A:$Z,24,FALSE)+VLOOKUP($A293,A:AL,34,FALSE)-50))</f>
        <v>312</v>
      </c>
      <c r="AJ293" s="3">
        <f>IF(ISERROR(VLOOKUP($A293,'SegEnds_NonXtal_BW#'!$A:$Z,25,FALSE)+VLOOKUP($A293,A:AL,37,FALSE)-50),"-",(VLOOKUP($A293,'SegEnds_NonXtal_BW#'!$A:$Z,25,FALSE)+VLOOKUP($A293,A:AL,37,FALSE)-50))</f>
        <v>313</v>
      </c>
      <c r="AK293" s="3">
        <v>316</v>
      </c>
      <c r="AL293" s="3">
        <f>IF(ISERROR((VLOOKUP($A293,'SegEnds_NonXtal_BW#'!$A:$Z,26,FALSE)+VLOOKUP($A293,A:AL,37,FALSE)-50)),"-",(VLOOKUP($A293,'SegEnds_NonXtal_BW#'!$A:$Z,26,FALSE)+VLOOKUP($A293,A:AL,37,FALSE)-50))</f>
        <v>325</v>
      </c>
      <c r="AM293" s="28" t="str">
        <f>VLOOKUP(A293,Classification!A:B,2,FALSE)</f>
        <v>A</v>
      </c>
      <c r="AN293" s="28" t="b">
        <f t="shared" si="188"/>
        <v>1</v>
      </c>
      <c r="AO293" s="3" t="str">
        <f>IF(ISERROR(MATCH(A293,'SegEnds_Xtal_Prot#'!B:B, 0)), "NoXtal", "Xtal")</f>
        <v>NoXtal</v>
      </c>
      <c r="AP293" s="3">
        <f t="shared" si="173"/>
        <v>1</v>
      </c>
      <c r="AQ293" s="3">
        <f t="shared" si="174"/>
        <v>1</v>
      </c>
      <c r="AR293" s="3">
        <f t="shared" si="175"/>
        <v>2</v>
      </c>
      <c r="AS293" s="3">
        <f t="shared" si="176"/>
        <v>1</v>
      </c>
      <c r="AT293" s="3" t="str">
        <f t="shared" si="177"/>
        <v>-</v>
      </c>
      <c r="AU293" s="3" t="str">
        <f t="shared" si="178"/>
        <v>-</v>
      </c>
      <c r="AV293" s="3">
        <f t="shared" si="179"/>
        <v>14</v>
      </c>
      <c r="AW293" s="3">
        <f t="shared" si="180"/>
        <v>8</v>
      </c>
      <c r="AX293" s="3">
        <f t="shared" si="181"/>
        <v>5</v>
      </c>
      <c r="AY293" s="3">
        <f t="shared" si="182"/>
        <v>6</v>
      </c>
      <c r="AZ293" s="3">
        <f t="shared" si="183"/>
        <v>1</v>
      </c>
      <c r="BA293" s="3">
        <f>IF(ISERROR(LEN(VLOOKUP(A293,Seqs!A:E,2,FALSE))-AL293),"-",LEN(VLOOKUP(A293,Seqs!A:E,2,FALSE))-AL293)</f>
        <v>77</v>
      </c>
      <c r="BB293" s="16">
        <f t="shared" si="184"/>
        <v>28</v>
      </c>
      <c r="BC293" s="9" t="str">
        <f t="shared" si="185"/>
        <v>-</v>
      </c>
      <c r="BD293" s="3">
        <f t="shared" si="186"/>
        <v>28</v>
      </c>
      <c r="BE293" s="3">
        <f t="shared" si="187"/>
        <v>56</v>
      </c>
    </row>
    <row r="294" spans="1:59" s="3" customFormat="1" x14ac:dyDescent="0.2">
      <c r="A294" s="3" t="s">
        <v>343</v>
      </c>
      <c r="B294" s="3" t="str">
        <f>LOWER(VLOOKUP(A294,Xtal_Templ!A:B,2,FALSE))</f>
        <v>ox1r_human</v>
      </c>
      <c r="C294" s="3">
        <f>VLOOKUP($A294,'SegEnds_NonXtal_BW#'!$A:$Z,3,FALSE)+D294-50</f>
        <v>39</v>
      </c>
      <c r="D294" s="3">
        <v>57</v>
      </c>
      <c r="E294" s="3">
        <f>IF(ISERROR(VLOOKUP($A294,'SegEnds_NonXtal_BW#'!$A:$Z,4,FALSE)+VLOOKUP($A294,A:AL,4,FALSE)-50),"-",(VLOOKUP($A294,'SegEnds_NonXtal_BW#'!$A:$Z,4,FALSE)+VLOOKUP($A294,A:AL,4,FALSE)-50))</f>
        <v>67</v>
      </c>
      <c r="F294" s="3">
        <f t="shared" si="192"/>
        <v>68</v>
      </c>
      <c r="G294" s="3">
        <v>70</v>
      </c>
      <c r="H294" s="3">
        <f t="shared" si="193"/>
        <v>71</v>
      </c>
      <c r="I294" s="3">
        <f t="shared" si="193"/>
        <v>72</v>
      </c>
      <c r="J294" s="3">
        <v>85</v>
      </c>
      <c r="K294" s="3">
        <f>VLOOKUP($A294,'SegEnds_NonXtal_BW#'!$A:$Z,8,FALSE)+VLOOKUP($A294,A:AL,10,FALSE)-50</f>
        <v>101</v>
      </c>
      <c r="L294" s="3">
        <f t="shared" si="194"/>
        <v>102</v>
      </c>
      <c r="M294" s="3">
        <v>103</v>
      </c>
      <c r="N294" s="3">
        <f t="shared" si="195"/>
        <v>105</v>
      </c>
      <c r="O294" s="3">
        <f t="shared" si="196"/>
        <v>106</v>
      </c>
      <c r="P294" s="3">
        <v>137</v>
      </c>
      <c r="Q294" s="3">
        <f>VLOOKUP($A294,'SegEnds_NonXtal_BW#'!$A:$Z,12,FALSE)+VLOOKUP($A294,A:AL,16,FALSE)-50</f>
        <v>143</v>
      </c>
      <c r="R294" s="3" t="str">
        <f>IF(ISERROR(VLOOKUP($A294,'SegEnds_NonXtal_BW#'!$A:$Z,13,FALSE)+VLOOKUP($A294,A:AL,19,FALSE)-50),"-",VLOOKUP($A294,'SegEnds_NonXtal_BW#'!$A:$Z,13,FALSE)+VLOOKUP($A294,A:AL,19,FALSE)-50)</f>
        <v>-</v>
      </c>
      <c r="S294" s="3" t="s">
        <v>23</v>
      </c>
      <c r="T294" s="100" t="str">
        <f>IF(ISERROR(VLOOKUP($A294,'SegEnds_NonXtal_BW#'!$A:$Z,14,FALSE)+VLOOKUP($A294,A:AL,19,FALSE)-50),"-",(VLOOKUP($A294,'SegEnds_NonXtal_BW#'!$A:$Z,14,FALSE)+VLOOKUP($A294,A:AL,19,FALSE)-50))</f>
        <v>-</v>
      </c>
      <c r="U294" s="9">
        <f>IF(ISERROR(VLOOKUP($A294,'SegEnds_NonXtal_BW#'!$A:$Z,15,FALSE)+VLOOKUP($A294,A:AL,22,FALSE)-50),"-",VLOOKUP($A294,'SegEnds_NonXtal_BW#'!$A:$Z,15,FALSE)+VLOOKUP($A294,A:AL,22,FALSE)-50)</f>
        <v>149</v>
      </c>
      <c r="V294" s="3">
        <v>161</v>
      </c>
      <c r="W294" s="3">
        <f>IF(ISERROR(VLOOKUP($A294,'SegEnds_NonXtal_BW#'!$A:$Z,16,FALSE)+VLOOKUP($A294,A:AL,22,FALSE)-50),"-",(VLOOKUP($A294,'SegEnds_NonXtal_BW#'!$A:$Z,16,FALSE)+VLOOKUP($A294,A:AL,22,FALSE)-50))</f>
        <v>175</v>
      </c>
      <c r="X294" s="3">
        <f>IF(ISERROR(VLOOKUP($A294,'SegEnds_NonXtal_BW#'!$A:$Z,17,FALSE)+VLOOKUP($A294,A:AL,25,FALSE)-50),"-",(VLOOKUP($A294,'SegEnds_NonXtal_BW#'!$A:$Z,17,FALSE)+VLOOKUP($A294,A:AL,25,FALSE)-50))</f>
        <v>187</v>
      </c>
      <c r="Y294" s="3">
        <v>187</v>
      </c>
      <c r="Z294" s="3">
        <f t="shared" si="197"/>
        <v>189</v>
      </c>
      <c r="AA294" s="3">
        <f>IF(ISERROR(VLOOKUP($A294,'SegEnds_NonXtal_BW#'!$A:$Z,19,FALSE)+VLOOKUP($A294,A:AL,28,FALSE)-50),"-",(VLOOKUP($A294,'SegEnds_NonXtal_BW#'!$A:$Z,19,FALSE)+VLOOKUP($A294,A:AL,28,FALSE)-50))</f>
        <v>195</v>
      </c>
      <c r="AB294" s="3">
        <v>212</v>
      </c>
      <c r="AC294" s="3">
        <f>IF(ISERROR((VLOOKUP($A294,'SegEnds_NonXtal_BW#'!$A:$Z,20,FALSE)+VLOOKUP($A294,A:AL,28,FALSE)-50)),"-",(VLOOKUP($A294,'SegEnds_NonXtal_BW#'!$A:$Z,20,FALSE)+VLOOKUP($A294,A:AL,28,FALSE)-50))</f>
        <v>238</v>
      </c>
      <c r="AD294" s="3">
        <f>IF(ISERROR(VLOOKUP($A294,'SegEnds_NonXtal_BW#'!$A:$Z,21,FALSE)+VLOOKUP($A294,A:AL,31,FALSE)-50),"-",(VLOOKUP($A294,'SegEnds_NonXtal_BW#'!$A:$Z,21,FALSE)+VLOOKUP($A294,A:AL,31,FALSE)-50))</f>
        <v>264</v>
      </c>
      <c r="AE294" s="3">
        <v>290</v>
      </c>
      <c r="AF294" s="3">
        <f>IF(ISERROR((VLOOKUP($A294,'SegEnds_NonXtal_BW#'!$A:$Z,22,FALSE)+VLOOKUP($A294,A:AL,31,FALSE)-50)),"-",(VLOOKUP($A294,'SegEnds_NonXtal_BW#'!$A:$Z,22,FALSE)+VLOOKUP($A294,A:AL,31,FALSE)-50))</f>
        <v>301</v>
      </c>
      <c r="AG294" s="3">
        <f>IF(ISERROR(VLOOKUP($A294,'SegEnds_NonXtal_BW#'!$A:$Z,23,FALSE)+VLOOKUP($A294,A:AL,34,FALSE)-50),"-",(VLOOKUP($A294,'SegEnds_NonXtal_BW#'!$A:$Z,23,FALSE)+VLOOKUP($A294,A:AL,34,FALSE)-50))</f>
        <v>307</v>
      </c>
      <c r="AH294" s="3">
        <v>326</v>
      </c>
      <c r="AI294" s="3">
        <f>IF(ISERROR((VLOOKUP($A294,'SegEnds_NonXtal_BW#'!$A:$Z,24,FALSE)+VLOOKUP($A294,A:AL,34,FALSE)-50)),"-",(VLOOKUP($A294,'SegEnds_NonXtal_BW#'!$A:$Z,24,FALSE)+VLOOKUP($A294,A:AL,34,FALSE)-50))</f>
        <v>332</v>
      </c>
      <c r="AJ294" s="3">
        <f>IF(ISERROR(VLOOKUP($A294,'SegEnds_NonXtal_BW#'!$A:$Z,25,FALSE)+VLOOKUP($A294,A:AL,37,FALSE)-50),"-",(VLOOKUP($A294,'SegEnds_NonXtal_BW#'!$A:$Z,25,FALSE)+VLOOKUP($A294,A:AL,37,FALSE)-50))</f>
        <v>333</v>
      </c>
      <c r="AK294" s="3">
        <v>336</v>
      </c>
      <c r="AL294" s="3">
        <f>IF(ISERROR((VLOOKUP($A294,'SegEnds_NonXtal_BW#'!$A:$Z,26,FALSE)+VLOOKUP($A294,A:AL,37,FALSE)-50)),"-",(VLOOKUP($A294,'SegEnds_NonXtal_BW#'!$A:$Z,26,FALSE)+VLOOKUP($A294,A:AL,37,FALSE)-50))</f>
        <v>349</v>
      </c>
      <c r="AM294" s="28" t="str">
        <f>VLOOKUP(A294,Classification!A:B,2,FALSE)</f>
        <v>A</v>
      </c>
      <c r="AN294" s="28" t="b">
        <f t="shared" si="188"/>
        <v>1</v>
      </c>
      <c r="AO294" s="3" t="str">
        <f>IF(ISERROR(MATCH(A294,'SegEnds_Xtal_Prot#'!B:B, 0)), "NoXtal", "Xtal")</f>
        <v>NoXtal</v>
      </c>
      <c r="AP294" s="3">
        <f t="shared" si="173"/>
        <v>1</v>
      </c>
      <c r="AQ294" s="3">
        <f t="shared" si="174"/>
        <v>1</v>
      </c>
      <c r="AR294" s="3">
        <f t="shared" si="175"/>
        <v>1</v>
      </c>
      <c r="AS294" s="3">
        <f t="shared" si="176"/>
        <v>1</v>
      </c>
      <c r="AT294" s="3" t="str">
        <f t="shared" si="177"/>
        <v>-</v>
      </c>
      <c r="AU294" s="3" t="str">
        <f t="shared" si="178"/>
        <v>-</v>
      </c>
      <c r="AV294" s="3">
        <f t="shared" si="179"/>
        <v>12</v>
      </c>
      <c r="AW294" s="3">
        <f t="shared" si="180"/>
        <v>6</v>
      </c>
      <c r="AX294" s="3">
        <f t="shared" si="181"/>
        <v>26</v>
      </c>
      <c r="AY294" s="3">
        <f t="shared" si="182"/>
        <v>6</v>
      </c>
      <c r="AZ294" s="3">
        <f t="shared" si="183"/>
        <v>1</v>
      </c>
      <c r="BA294" s="3">
        <f>IF(ISERROR(LEN(VLOOKUP(A294,Seqs!A:E,2,FALSE))-AL294),"-",LEN(VLOOKUP(A294,Seqs!A:E,2,FALSE))-AL294)</f>
        <v>40</v>
      </c>
      <c r="BB294" s="16">
        <f t="shared" si="184"/>
        <v>28</v>
      </c>
      <c r="BC294" s="9" t="str">
        <f t="shared" si="185"/>
        <v>-</v>
      </c>
      <c r="BD294" s="3">
        <f t="shared" si="186"/>
        <v>28</v>
      </c>
      <c r="BE294" s="3">
        <f t="shared" si="187"/>
        <v>78</v>
      </c>
    </row>
    <row r="295" spans="1:59" s="3" customFormat="1" x14ac:dyDescent="0.2">
      <c r="A295" s="3" t="s">
        <v>366</v>
      </c>
      <c r="B295" s="3" t="str">
        <f>LOWER(VLOOKUP(A295,Xtal_Templ!A:B,2,FALSE))</f>
        <v>npy1r_human</v>
      </c>
      <c r="C295" s="3">
        <f>VLOOKUP($A295,'SegEnds_NonXtal_BW#'!$A:$Z,3,FALSE)+D295-50</f>
        <v>58</v>
      </c>
      <c r="D295" s="3">
        <v>80</v>
      </c>
      <c r="E295" s="3">
        <f>IF(ISERROR(VLOOKUP($A295,'SegEnds_NonXtal_BW#'!$A:$Z,4,FALSE)+VLOOKUP($A295,A:AL,4,FALSE)-50),"-",(VLOOKUP($A295,'SegEnds_NonXtal_BW#'!$A:$Z,4,FALSE)+VLOOKUP($A295,A:AL,4,FALSE)-50))</f>
        <v>90</v>
      </c>
      <c r="F295" s="3">
        <f t="shared" si="192"/>
        <v>91</v>
      </c>
      <c r="G295" s="3">
        <v>93</v>
      </c>
      <c r="H295" s="3">
        <f t="shared" si="193"/>
        <v>94</v>
      </c>
      <c r="I295" s="3">
        <f t="shared" si="193"/>
        <v>95</v>
      </c>
      <c r="J295" s="3">
        <v>108</v>
      </c>
      <c r="K295" s="3">
        <f>VLOOKUP($A295,'SegEnds_NonXtal_BW#'!$A:$Z,8,FALSE)+VLOOKUP($A295,A:AL,10,FALSE)-50</f>
        <v>126</v>
      </c>
      <c r="L295" s="3">
        <f t="shared" si="194"/>
        <v>129</v>
      </c>
      <c r="M295" s="3">
        <v>130</v>
      </c>
      <c r="N295" s="3">
        <f t="shared" si="195"/>
        <v>132</v>
      </c>
      <c r="O295" s="3">
        <f t="shared" si="196"/>
        <v>133</v>
      </c>
      <c r="P295" s="3">
        <v>162</v>
      </c>
      <c r="Q295" s="3">
        <f>VLOOKUP($A295,'SegEnds_NonXtal_BW#'!$A:$Z,12,FALSE)+VLOOKUP($A295,A:AL,16,FALSE)-50</f>
        <v>168</v>
      </c>
      <c r="R295" s="3" t="str">
        <f>IF(ISERROR(VLOOKUP($A295,'SegEnds_NonXtal_BW#'!$A:$Z,13,FALSE)+VLOOKUP($A295,A:AL,19,FALSE)-50),"-",VLOOKUP($A295,'SegEnds_NonXtal_BW#'!$A:$Z,13,FALSE)+VLOOKUP($A295,A:AL,19,FALSE)-50)</f>
        <v>-</v>
      </c>
      <c r="S295" s="3" t="s">
        <v>23</v>
      </c>
      <c r="T295" s="100" t="str">
        <f>IF(ISERROR(VLOOKUP($A295,'SegEnds_NonXtal_BW#'!$A:$Z,14,FALSE)+VLOOKUP($A295,A:AL,19,FALSE)-50),"-",(VLOOKUP($A295,'SegEnds_NonXtal_BW#'!$A:$Z,14,FALSE)+VLOOKUP($A295,A:AL,19,FALSE)-50))</f>
        <v>-</v>
      </c>
      <c r="U295" s="9">
        <f>IF(ISERROR(VLOOKUP($A295,'SegEnds_NonXtal_BW#'!$A:$Z,15,FALSE)+VLOOKUP($A295,A:AL,22,FALSE)-50),"-",VLOOKUP($A295,'SegEnds_NonXtal_BW#'!$A:$Z,15,FALSE)+VLOOKUP($A295,A:AL,22,FALSE)-50)</f>
        <v>175</v>
      </c>
      <c r="V295" s="3">
        <v>187</v>
      </c>
      <c r="W295" s="3">
        <f>IF(ISERROR(VLOOKUP($A295,'SegEnds_NonXtal_BW#'!$A:$Z,16,FALSE)+VLOOKUP($A295,A:AL,22,FALSE)-50),"-",(VLOOKUP($A295,'SegEnds_NonXtal_BW#'!$A:$Z,16,FALSE)+VLOOKUP($A295,A:AL,22,FALSE)-50))</f>
        <v>201</v>
      </c>
      <c r="X295" s="3">
        <f>IF(ISERROR(VLOOKUP($A295,'SegEnds_NonXtal_BW#'!$A:$Z,17,FALSE)+VLOOKUP($A295,A:AL,25,FALSE)-50),"-",(VLOOKUP($A295,'SegEnds_NonXtal_BW#'!$A:$Z,17,FALSE)+VLOOKUP($A295,A:AL,25,FALSE)-50))</f>
        <v>217</v>
      </c>
      <c r="Y295" s="3">
        <v>217</v>
      </c>
      <c r="Z295" s="3">
        <f t="shared" si="197"/>
        <v>219</v>
      </c>
      <c r="AA295" s="3">
        <f>IF(ISERROR(VLOOKUP($A295,'SegEnds_NonXtal_BW#'!$A:$Z,19,FALSE)+VLOOKUP($A295,A:AL,28,FALSE)-50),"-",(VLOOKUP($A295,'SegEnds_NonXtal_BW#'!$A:$Z,19,FALSE)+VLOOKUP($A295,A:AL,28,FALSE)-50))</f>
        <v>225</v>
      </c>
      <c r="AB295" s="3">
        <v>244</v>
      </c>
      <c r="AC295" s="3">
        <f>IF(ISERROR((VLOOKUP($A295,'SegEnds_NonXtal_BW#'!$A:$Z,20,FALSE)+VLOOKUP($A295,A:AL,28,FALSE)-50)),"-",(VLOOKUP($A295,'SegEnds_NonXtal_BW#'!$A:$Z,20,FALSE)+VLOOKUP($A295,A:AL,28,FALSE)-50))</f>
        <v>267</v>
      </c>
      <c r="AD295" s="3">
        <f>IF(ISERROR(VLOOKUP($A295,'SegEnds_NonXtal_BW#'!$A:$Z,21,FALSE)+VLOOKUP($A295,A:AL,31,FALSE)-50),"-",(VLOOKUP($A295,'SegEnds_NonXtal_BW#'!$A:$Z,21,FALSE)+VLOOKUP($A295,A:AL,31,FALSE)-50))</f>
        <v>271</v>
      </c>
      <c r="AE295" s="3">
        <v>299</v>
      </c>
      <c r="AF295" s="3">
        <f>IF(ISERROR((VLOOKUP($A295,'SegEnds_NonXtal_BW#'!$A:$Z,22,FALSE)+VLOOKUP($A295,A:AL,31,FALSE)-50)),"-",(VLOOKUP($A295,'SegEnds_NonXtal_BW#'!$A:$Z,22,FALSE)+VLOOKUP($A295,A:AL,31,FALSE)-50))</f>
        <v>310</v>
      </c>
      <c r="AG295" s="3">
        <f>IF(ISERROR(VLOOKUP($A295,'SegEnds_NonXtal_BW#'!$A:$Z,23,FALSE)+VLOOKUP($A295,A:AL,34,FALSE)-50),"-",(VLOOKUP($A295,'SegEnds_NonXtal_BW#'!$A:$Z,23,FALSE)+VLOOKUP($A295,A:AL,34,FALSE)-50))</f>
        <v>317</v>
      </c>
      <c r="AH295" s="3">
        <v>339</v>
      </c>
      <c r="AI295" s="3">
        <f>IF(ISERROR((VLOOKUP($A295,'SegEnds_NonXtal_BW#'!$A:$Z,24,FALSE)+VLOOKUP($A295,A:AL,34,FALSE)-50)),"-",(VLOOKUP($A295,'SegEnds_NonXtal_BW#'!$A:$Z,24,FALSE)+VLOOKUP($A295,A:AL,34,FALSE)-50))</f>
        <v>345</v>
      </c>
      <c r="AJ295" s="3">
        <v>347</v>
      </c>
      <c r="AK295" s="3">
        <v>350</v>
      </c>
      <c r="AL295" s="3">
        <v>358</v>
      </c>
      <c r="AM295" s="28" t="str">
        <f>VLOOKUP(A295,Classification!A:B,2,FALSE)</f>
        <v>A</v>
      </c>
      <c r="AN295" s="28" t="b">
        <f t="shared" si="188"/>
        <v>1</v>
      </c>
      <c r="AO295" s="3" t="str">
        <f>IF(ISERROR(MATCH(A295,'SegEnds_Xtal_Prot#'!B:B, 0)), "NoXtal", "Xtal")</f>
        <v>NoXtal</v>
      </c>
      <c r="AP295" s="3">
        <f t="shared" si="173"/>
        <v>1</v>
      </c>
      <c r="AQ295" s="3">
        <f t="shared" si="174"/>
        <v>1</v>
      </c>
      <c r="AR295" s="3">
        <f t="shared" si="175"/>
        <v>3</v>
      </c>
      <c r="AS295" s="3">
        <f t="shared" si="176"/>
        <v>1</v>
      </c>
      <c r="AT295" s="3" t="str">
        <f t="shared" si="177"/>
        <v>-</v>
      </c>
      <c r="AU295" s="3" t="str">
        <f t="shared" si="178"/>
        <v>-</v>
      </c>
      <c r="AV295" s="3">
        <f t="shared" si="179"/>
        <v>16</v>
      </c>
      <c r="AW295" s="3">
        <f t="shared" si="180"/>
        <v>6</v>
      </c>
      <c r="AX295" s="3">
        <f t="shared" si="181"/>
        <v>4</v>
      </c>
      <c r="AY295" s="3">
        <f t="shared" si="182"/>
        <v>7</v>
      </c>
      <c r="AZ295" s="3">
        <f t="shared" si="183"/>
        <v>2</v>
      </c>
      <c r="BA295" s="3">
        <f>IF(ISERROR(LEN(VLOOKUP(A295,Seqs!A:E,2,FALSE))-AL295),"-",LEN(VLOOKUP(A295,Seqs!A:E,2,FALSE))-AL295)</f>
        <v>35</v>
      </c>
      <c r="BB295" s="16">
        <f t="shared" si="184"/>
        <v>28</v>
      </c>
      <c r="BC295" s="9" t="str">
        <f t="shared" si="185"/>
        <v>-</v>
      </c>
      <c r="BD295" s="3">
        <f t="shared" si="186"/>
        <v>28</v>
      </c>
      <c r="BE295" s="3">
        <f t="shared" si="187"/>
        <v>55</v>
      </c>
    </row>
    <row r="296" spans="1:59" s="3" customFormat="1" x14ac:dyDescent="0.2">
      <c r="A296" s="3" t="s">
        <v>367</v>
      </c>
      <c r="B296" s="3" t="str">
        <f>LOWER(VLOOKUP(A296,Xtal_Templ!A:B,2,FALSE))</f>
        <v>npy1r_human</v>
      </c>
      <c r="C296" s="3">
        <f>VLOOKUP($A296,'SegEnds_NonXtal_BW#'!$A:$Z,3,FALSE)+D296-50</f>
        <v>49</v>
      </c>
      <c r="D296" s="3">
        <v>71</v>
      </c>
      <c r="E296" s="3">
        <f>IF(ISERROR(VLOOKUP($A296,'SegEnds_NonXtal_BW#'!$A:$Z,4,FALSE)+VLOOKUP($A296,A:AL,4,FALSE)-50),"-",(VLOOKUP($A296,'SegEnds_NonXtal_BW#'!$A:$Z,4,FALSE)+VLOOKUP($A296,A:AL,4,FALSE)-50))</f>
        <v>81</v>
      </c>
      <c r="F296" s="3">
        <f t="shared" si="192"/>
        <v>82</v>
      </c>
      <c r="G296" s="3">
        <v>84</v>
      </c>
      <c r="H296" s="3">
        <f t="shared" si="193"/>
        <v>85</v>
      </c>
      <c r="I296" s="3">
        <f t="shared" si="193"/>
        <v>86</v>
      </c>
      <c r="J296" s="3">
        <v>99</v>
      </c>
      <c r="K296" s="3">
        <f>VLOOKUP($A296,'SegEnds_NonXtal_BW#'!$A:$Z,8,FALSE)+VLOOKUP($A296,A:AL,10,FALSE)-50</f>
        <v>117</v>
      </c>
      <c r="L296" s="3">
        <f t="shared" si="194"/>
        <v>120</v>
      </c>
      <c r="M296" s="3">
        <v>121</v>
      </c>
      <c r="N296" s="3">
        <f t="shared" si="195"/>
        <v>123</v>
      </c>
      <c r="O296" s="3">
        <f t="shared" si="196"/>
        <v>124</v>
      </c>
      <c r="P296" s="3">
        <v>153</v>
      </c>
      <c r="Q296" s="3">
        <f>VLOOKUP($A296,'SegEnds_NonXtal_BW#'!$A:$Z,12,FALSE)+VLOOKUP($A296,A:AL,16,FALSE)-50</f>
        <v>159</v>
      </c>
      <c r="R296" s="3" t="str">
        <f>IF(ISERROR(VLOOKUP($A296,'SegEnds_NonXtal_BW#'!$A:$Z,13,FALSE)+VLOOKUP($A296,A:AL,19,FALSE)-50),"-",VLOOKUP($A296,'SegEnds_NonXtal_BW#'!$A:$Z,13,FALSE)+VLOOKUP($A296,A:AL,19,FALSE)-50)</f>
        <v>-</v>
      </c>
      <c r="S296" s="3" t="s">
        <v>23</v>
      </c>
      <c r="T296" s="100" t="str">
        <f>IF(ISERROR(VLOOKUP($A296,'SegEnds_NonXtal_BW#'!$A:$Z,14,FALSE)+VLOOKUP($A296,A:AL,19,FALSE)-50),"-",(VLOOKUP($A296,'SegEnds_NonXtal_BW#'!$A:$Z,14,FALSE)+VLOOKUP($A296,A:AL,19,FALSE)-50))</f>
        <v>-</v>
      </c>
      <c r="U296" s="9">
        <f>IF(ISERROR(VLOOKUP($A296,'SegEnds_NonXtal_BW#'!$A:$Z,15,FALSE)+VLOOKUP($A296,A:AL,22,FALSE)-50),"-",VLOOKUP($A296,'SegEnds_NonXtal_BW#'!$A:$Z,15,FALSE)+VLOOKUP($A296,A:AL,22,FALSE)-50)</f>
        <v>166</v>
      </c>
      <c r="V296" s="3">
        <v>178</v>
      </c>
      <c r="W296" s="3">
        <f>IF(ISERROR(VLOOKUP($A296,'SegEnds_NonXtal_BW#'!$A:$Z,16,FALSE)+VLOOKUP($A296,A:AL,22,FALSE)-50),"-",(VLOOKUP($A296,'SegEnds_NonXtal_BW#'!$A:$Z,16,FALSE)+VLOOKUP($A296,A:AL,22,FALSE)-50))</f>
        <v>192</v>
      </c>
      <c r="X296" s="3">
        <f>IF(ISERROR(VLOOKUP($A296,'SegEnds_NonXtal_BW#'!$A:$Z,17,FALSE)+VLOOKUP($A296,A:AL,25,FALSE)-50),"-",(VLOOKUP($A296,'SegEnds_NonXtal_BW#'!$A:$Z,17,FALSE)+VLOOKUP($A296,A:AL,25,FALSE)-50))</f>
        <v>208</v>
      </c>
      <c r="Y296" s="3">
        <v>208</v>
      </c>
      <c r="Z296" s="3">
        <f t="shared" si="197"/>
        <v>210</v>
      </c>
      <c r="AA296" s="3">
        <f>IF(ISERROR(VLOOKUP($A296,'SegEnds_NonXtal_BW#'!$A:$Z,19,FALSE)+VLOOKUP($A296,A:AL,28,FALSE)-50),"-",(VLOOKUP($A296,'SegEnds_NonXtal_BW#'!$A:$Z,19,FALSE)+VLOOKUP($A296,A:AL,28,FALSE)-50))</f>
        <v>216</v>
      </c>
      <c r="AB296" s="3">
        <v>235</v>
      </c>
      <c r="AC296" s="3">
        <f>IF(ISERROR((VLOOKUP($A296,'SegEnds_NonXtal_BW#'!$A:$Z,20,FALSE)+VLOOKUP($A296,A:AL,28,FALSE)-50)),"-",(VLOOKUP($A296,'SegEnds_NonXtal_BW#'!$A:$Z,20,FALSE)+VLOOKUP($A296,A:AL,28,FALSE)-50))</f>
        <v>258</v>
      </c>
      <c r="AD296" s="3">
        <f>IF(ISERROR(VLOOKUP($A296,'SegEnds_NonXtal_BW#'!$A:$Z,21,FALSE)+VLOOKUP($A296,A:AL,31,FALSE)-50),"-",(VLOOKUP($A296,'SegEnds_NonXtal_BW#'!$A:$Z,21,FALSE)+VLOOKUP($A296,A:AL,31,FALSE)-50))</f>
        <v>262</v>
      </c>
      <c r="AE296" s="3">
        <v>290</v>
      </c>
      <c r="AF296" s="3">
        <f>IF(ISERROR((VLOOKUP($A296,'SegEnds_NonXtal_BW#'!$A:$Z,22,FALSE)+VLOOKUP($A296,A:AL,31,FALSE)-50)),"-",(VLOOKUP($A296,'SegEnds_NonXtal_BW#'!$A:$Z,22,FALSE)+VLOOKUP($A296,A:AL,31,FALSE)-50))</f>
        <v>301</v>
      </c>
      <c r="AG296" s="3">
        <f>IF(ISERROR(VLOOKUP($A296,'SegEnds_NonXtal_BW#'!$A:$Z,23,FALSE)+VLOOKUP($A296,A:AL,34,FALSE)-50),"-",(VLOOKUP($A296,'SegEnds_NonXtal_BW#'!$A:$Z,23,FALSE)+VLOOKUP($A296,A:AL,34,FALSE)-50))</f>
        <v>308</v>
      </c>
      <c r="AH296" s="3">
        <v>330</v>
      </c>
      <c r="AI296" s="3">
        <f>IF(ISERROR((VLOOKUP($A296,'SegEnds_NonXtal_BW#'!$A:$Z,24,FALSE)+VLOOKUP($A296,A:AL,34,FALSE)-50)),"-",(VLOOKUP($A296,'SegEnds_NonXtal_BW#'!$A:$Z,24,FALSE)+VLOOKUP($A296,A:AL,34,FALSE)-50))</f>
        <v>336</v>
      </c>
      <c r="AJ296" s="3">
        <v>338</v>
      </c>
      <c r="AK296" s="3">
        <v>341</v>
      </c>
      <c r="AL296" s="3">
        <v>349</v>
      </c>
      <c r="AM296" s="28" t="str">
        <f>VLOOKUP(A296,Classification!A:B,2,FALSE)</f>
        <v>A</v>
      </c>
      <c r="AN296" s="28" t="b">
        <f t="shared" si="188"/>
        <v>1</v>
      </c>
      <c r="AO296" s="3" t="str">
        <f>IF(ISERROR(MATCH(A296,'SegEnds_Xtal_Prot#'!B:B, 0)), "NoXtal", "Xtal")</f>
        <v>NoXtal</v>
      </c>
      <c r="AP296" s="3">
        <f t="shared" si="173"/>
        <v>1</v>
      </c>
      <c r="AQ296" s="3">
        <f t="shared" si="174"/>
        <v>1</v>
      </c>
      <c r="AR296" s="3">
        <f t="shared" si="175"/>
        <v>3</v>
      </c>
      <c r="AS296" s="3">
        <f t="shared" si="176"/>
        <v>1</v>
      </c>
      <c r="AT296" s="3" t="str">
        <f t="shared" si="177"/>
        <v>-</v>
      </c>
      <c r="AU296" s="3" t="str">
        <f t="shared" si="178"/>
        <v>-</v>
      </c>
      <c r="AV296" s="3">
        <f t="shared" si="179"/>
        <v>16</v>
      </c>
      <c r="AW296" s="3">
        <f t="shared" si="180"/>
        <v>6</v>
      </c>
      <c r="AX296" s="3">
        <f t="shared" si="181"/>
        <v>4</v>
      </c>
      <c r="AY296" s="3">
        <f t="shared" si="182"/>
        <v>7</v>
      </c>
      <c r="AZ296" s="3">
        <f t="shared" si="183"/>
        <v>2</v>
      </c>
      <c r="BA296" s="3">
        <f>IF(ISERROR(LEN(VLOOKUP(A296,Seqs!A:E,2,FALSE))-AL296),"-",LEN(VLOOKUP(A296,Seqs!A:E,2,FALSE))-AL296)</f>
        <v>35</v>
      </c>
      <c r="BB296" s="16">
        <f t="shared" si="184"/>
        <v>28</v>
      </c>
      <c r="BC296" s="9" t="str">
        <f t="shared" si="185"/>
        <v>-</v>
      </c>
      <c r="BD296" s="3">
        <f t="shared" si="186"/>
        <v>28</v>
      </c>
      <c r="BE296" s="3">
        <f t="shared" si="187"/>
        <v>55</v>
      </c>
    </row>
    <row r="297" spans="1:59" s="3" customFormat="1" x14ac:dyDescent="0.2">
      <c r="A297" s="3" t="s">
        <v>372</v>
      </c>
      <c r="B297" s="3" t="str">
        <f>LOWER(VLOOKUP(A297,Xtal_Templ!A:B,2,FALSE))</f>
        <v>agtr1_human</v>
      </c>
      <c r="C297" s="3">
        <f>VLOOKUP($A297,'SegEnds_NonXtal_BW#'!$A:$Z,3,FALSE)+D297-50</f>
        <v>77</v>
      </c>
      <c r="D297" s="3">
        <v>99</v>
      </c>
      <c r="E297" s="3">
        <f>IF(ISERROR(VLOOKUP($A297,'SegEnds_NonXtal_BW#'!$A:$Z,4,FALSE)+VLOOKUP($A297,A:AL,4,FALSE)-50),"-",(VLOOKUP($A297,'SegEnds_NonXtal_BW#'!$A:$Z,4,FALSE)+VLOOKUP($A297,A:AL,4,FALSE)-50))</f>
        <v>109</v>
      </c>
      <c r="F297" s="3">
        <f t="shared" si="192"/>
        <v>110</v>
      </c>
      <c r="G297" s="3">
        <v>112</v>
      </c>
      <c r="H297" s="3">
        <f t="shared" si="193"/>
        <v>113</v>
      </c>
      <c r="I297" s="3">
        <f t="shared" si="193"/>
        <v>114</v>
      </c>
      <c r="J297" s="3">
        <v>128</v>
      </c>
      <c r="K297" s="3">
        <f>VLOOKUP($A297,'SegEnds_NonXtal_BW#'!$A:$Z,8,FALSE)+VLOOKUP($A297,A:AL,10,FALSE)-50</f>
        <v>145</v>
      </c>
      <c r="L297" s="3">
        <f t="shared" si="194"/>
        <v>147</v>
      </c>
      <c r="M297" s="3">
        <v>148</v>
      </c>
      <c r="N297" s="3">
        <f t="shared" si="195"/>
        <v>150</v>
      </c>
      <c r="O297" s="3">
        <f t="shared" si="196"/>
        <v>151</v>
      </c>
      <c r="P297" s="3">
        <v>180</v>
      </c>
      <c r="Q297" s="3">
        <f>VLOOKUP($A297,'SegEnds_NonXtal_BW#'!$A:$Z,12,FALSE)+VLOOKUP($A297,A:AL,16,FALSE)-50</f>
        <v>186</v>
      </c>
      <c r="R297" s="3" t="str">
        <f>IF(ISERROR(VLOOKUP($A297,'SegEnds_NonXtal_BW#'!$A:$Z,13,FALSE)+VLOOKUP($A297,A:AL,19,FALSE)-50),"-",VLOOKUP($A297,'SegEnds_NonXtal_BW#'!$A:$Z,13,FALSE)+VLOOKUP($A297,A:AL,19,FALSE)-50)</f>
        <v>-</v>
      </c>
      <c r="S297" s="3" t="s">
        <v>23</v>
      </c>
      <c r="T297" s="100" t="str">
        <f>IF(ISERROR(VLOOKUP($A297,'SegEnds_NonXtal_BW#'!$A:$Z,14,FALSE)+VLOOKUP($A297,A:AL,19,FALSE)-50),"-",(VLOOKUP($A297,'SegEnds_NonXtal_BW#'!$A:$Z,14,FALSE)+VLOOKUP($A297,A:AL,19,FALSE)-50))</f>
        <v>-</v>
      </c>
      <c r="U297" s="9">
        <f>IF(ISERROR(VLOOKUP($A297,'SegEnds_NonXtal_BW#'!$A:$Z,15,FALSE)+VLOOKUP($A297,A:AL,22,FALSE)-50),"-",VLOOKUP($A297,'SegEnds_NonXtal_BW#'!$A:$Z,15,FALSE)+VLOOKUP($A297,A:AL,22,FALSE)-50)</f>
        <v>210</v>
      </c>
      <c r="V297" s="3">
        <v>222</v>
      </c>
      <c r="W297" s="3">
        <f>IF(ISERROR(VLOOKUP($A297,'SegEnds_NonXtal_BW#'!$A:$Z,16,FALSE)+VLOOKUP($A297,A:AL,22,FALSE)-50),"-",(VLOOKUP($A297,'SegEnds_NonXtal_BW#'!$A:$Z,16,FALSE)+VLOOKUP($A297,A:AL,22,FALSE)-50))</f>
        <v>236</v>
      </c>
      <c r="X297" s="3">
        <f>IF(ISERROR(VLOOKUP($A297,'SegEnds_NonXtal_BW#'!$A:$Z,17,FALSE)+VLOOKUP($A297,A:AL,25,FALSE)-50),"-",(VLOOKUP($A297,'SegEnds_NonXtal_BW#'!$A:$Z,17,FALSE)+VLOOKUP($A297,A:AL,25,FALSE)-50))</f>
        <v>247</v>
      </c>
      <c r="Y297" s="3">
        <v>247</v>
      </c>
      <c r="Z297" s="3">
        <f t="shared" si="197"/>
        <v>249</v>
      </c>
      <c r="AA297" s="3">
        <f>IF(ISERROR(VLOOKUP($A297,'SegEnds_NonXtal_BW#'!$A:$Z,19,FALSE)+VLOOKUP($A297,A:AL,28,FALSE)-50),"-",(VLOOKUP($A297,'SegEnds_NonXtal_BW#'!$A:$Z,19,FALSE)+VLOOKUP($A297,A:AL,28,FALSE)-50))</f>
        <v>263</v>
      </c>
      <c r="AB297" s="3">
        <v>279</v>
      </c>
      <c r="AC297" s="3">
        <f>IF(ISERROR((VLOOKUP($A297,'SegEnds_NonXtal_BW#'!$A:$Z,20,FALSE)+VLOOKUP($A297,A:AL,28,FALSE)-50)),"-",(VLOOKUP($A297,'SegEnds_NonXtal_BW#'!$A:$Z,20,FALSE)+VLOOKUP($A297,A:AL,28,FALSE)-50))</f>
        <v>303</v>
      </c>
      <c r="AD297" s="3">
        <f>IF(ISERROR(VLOOKUP($A297,'SegEnds_NonXtal_BW#'!$A:$Z,21,FALSE)+VLOOKUP($A297,A:AL,31,FALSE)-50),"-",(VLOOKUP($A297,'SegEnds_NonXtal_BW#'!$A:$Z,21,FALSE)+VLOOKUP($A297,A:AL,31,FALSE)-50))</f>
        <v>312</v>
      </c>
      <c r="AE297" s="3">
        <v>341</v>
      </c>
      <c r="AF297" s="3">
        <f>IF(ISERROR((VLOOKUP($A297,'SegEnds_NonXtal_BW#'!$A:$Z,22,FALSE)+VLOOKUP($A297,A:AL,31,FALSE)-50)),"-",(VLOOKUP($A297,'SegEnds_NonXtal_BW#'!$A:$Z,22,FALSE)+VLOOKUP($A297,A:AL,31,FALSE)-50))</f>
        <v>355</v>
      </c>
      <c r="AG297" s="3">
        <f>IF(ISERROR(VLOOKUP($A297,'SegEnds_NonXtal_BW#'!$A:$Z,23,FALSE)+VLOOKUP($A297,A:AL,34,FALSE)-50),"-",(VLOOKUP($A297,'SegEnds_NonXtal_BW#'!$A:$Z,23,FALSE)+VLOOKUP($A297,A:AL,34,FALSE)-50))</f>
        <v>360</v>
      </c>
      <c r="AH297" s="3">
        <v>386</v>
      </c>
      <c r="AI297" s="3">
        <f>IF(ISERROR((VLOOKUP($A297,'SegEnds_NonXtal_BW#'!$A:$Z,24,FALSE)+VLOOKUP($A297,A:AL,34,FALSE)-50)),"-",(VLOOKUP($A297,'SegEnds_NonXtal_BW#'!$A:$Z,24,FALSE)+VLOOKUP($A297,A:AL,34,FALSE)-50))</f>
        <v>392</v>
      </c>
      <c r="AJ297" s="3">
        <f>IF(ISERROR(VLOOKUP($A297,'SegEnds_NonXtal_BW#'!$A:$Z,25,FALSE)+VLOOKUP($A297,A:AL,37,FALSE)-50),"-",(VLOOKUP($A297,'SegEnds_NonXtal_BW#'!$A:$Z,25,FALSE)+VLOOKUP($A297,A:AL,37,FALSE)-50))</f>
        <v>393</v>
      </c>
      <c r="AK297" s="3">
        <v>396</v>
      </c>
      <c r="AL297" s="3">
        <f>IF(ISERROR((VLOOKUP($A297,'SegEnds_NonXtal_BW#'!$A:$Z,26,FALSE)+VLOOKUP($A297,A:AL,37,FALSE)-50)),"-",(VLOOKUP($A297,'SegEnds_NonXtal_BW#'!$A:$Z,26,FALSE)+VLOOKUP($A297,A:AL,37,FALSE)-50))</f>
        <v>407</v>
      </c>
      <c r="AM297" s="28" t="str">
        <f>VLOOKUP(A297,Classification!A:B,2,FALSE)</f>
        <v>A</v>
      </c>
      <c r="AN297" s="28" t="b">
        <f t="shared" si="188"/>
        <v>1</v>
      </c>
      <c r="AO297" s="3" t="str">
        <f>IF(ISERROR(MATCH(A297,'SegEnds_Xtal_Prot#'!B:B, 0)), "NoXtal", "Xtal")</f>
        <v>NoXtal</v>
      </c>
      <c r="AP297" s="3">
        <f t="shared" si="173"/>
        <v>1</v>
      </c>
      <c r="AQ297" s="3">
        <f t="shared" si="174"/>
        <v>1</v>
      </c>
      <c r="AR297" s="3">
        <f t="shared" si="175"/>
        <v>2</v>
      </c>
      <c r="AS297" s="3">
        <f t="shared" si="176"/>
        <v>1</v>
      </c>
      <c r="AT297" s="3" t="str">
        <f t="shared" si="177"/>
        <v>-</v>
      </c>
      <c r="AU297" s="3" t="str">
        <f t="shared" si="178"/>
        <v>-</v>
      </c>
      <c r="AV297" s="3">
        <f t="shared" si="179"/>
        <v>11</v>
      </c>
      <c r="AW297" s="3">
        <f t="shared" si="180"/>
        <v>14</v>
      </c>
      <c r="AX297" s="3">
        <f t="shared" si="181"/>
        <v>9</v>
      </c>
      <c r="AY297" s="3">
        <f t="shared" si="182"/>
        <v>5</v>
      </c>
      <c r="AZ297" s="3">
        <f t="shared" si="183"/>
        <v>1</v>
      </c>
      <c r="BA297" s="3">
        <f>IF(ISERROR(LEN(VLOOKUP(A297,Seqs!A:E,2,FALSE))-AL297),"-",LEN(VLOOKUP(A297,Seqs!A:E,2,FALSE))-AL297)</f>
        <v>62</v>
      </c>
      <c r="BB297" s="16">
        <f t="shared" si="184"/>
        <v>29</v>
      </c>
      <c r="BC297" s="9" t="str">
        <f t="shared" si="185"/>
        <v>-</v>
      </c>
      <c r="BD297" s="3">
        <f t="shared" si="186"/>
        <v>29</v>
      </c>
      <c r="BE297" s="3">
        <f t="shared" si="187"/>
        <v>62</v>
      </c>
    </row>
    <row r="298" spans="1:59" s="3" customFormat="1" x14ac:dyDescent="0.2">
      <c r="A298" s="3" t="s">
        <v>917</v>
      </c>
      <c r="B298" s="3" t="str">
        <f>LOWER(VLOOKUP(A298,Xtal_Templ!A:B,2,FALSE))</f>
        <v>us28_hcmva</v>
      </c>
      <c r="C298" s="3">
        <f>VLOOKUP($A298,'SegEnds_NonXtal_BW#'!$A:$Z,3,FALSE)+D298-50</f>
        <v>25</v>
      </c>
      <c r="D298" s="3">
        <v>51</v>
      </c>
      <c r="E298" s="3">
        <f>IF(ISERROR(VLOOKUP($A298,'SegEnds_NonXtal_BW#'!$A:$Z,4,FALSE)+VLOOKUP($A298,A:AL,4,FALSE)-50),"-",(VLOOKUP($A298,'SegEnds_NonXtal_BW#'!$A:$Z,4,FALSE)+VLOOKUP($A298,A:AL,4,FALSE)-50))</f>
        <v>61</v>
      </c>
      <c r="F298" s="3">
        <f t="shared" si="192"/>
        <v>62</v>
      </c>
      <c r="G298" s="3">
        <v>64</v>
      </c>
      <c r="H298" s="3">
        <f t="shared" ref="H298:I318" si="198">G298+1</f>
        <v>65</v>
      </c>
      <c r="I298" s="3">
        <f t="shared" si="198"/>
        <v>66</v>
      </c>
      <c r="J298" s="3">
        <v>79</v>
      </c>
      <c r="K298" s="3">
        <f>VLOOKUP($A298,'SegEnds_NonXtal_BW#'!$A:$Z,8,FALSE)+VLOOKUP($A298,A:AL,10,FALSE)-50</f>
        <v>95</v>
      </c>
      <c r="L298" s="3" t="str">
        <f>IF(ISERROR(VLOOKUP($A298,'SegEnds_NonXtal_BW#'!$A:$Z,9,FALSE)+VLOOKUP($A298,A:AL,13,FALSE)-50),"-",(VLOOKUP($A298,'SegEnds_NonXtal_BW#'!$A:$Z,9,FALSE)+VLOOKUP($A298,A:AL,13,FALSE)-50))</f>
        <v>-</v>
      </c>
      <c r="M298" s="3" t="s">
        <v>23</v>
      </c>
      <c r="N298" s="3" t="str">
        <f>IF(ISERROR(VLOOKUP($A298,'SegEnds_NonXtal_BW#'!$A:$Z,10,FALSE)+VLOOKUP($A298,A:AL,13,FALSE)-50),"-",(VLOOKUP($A298,'SegEnds_NonXtal_BW#'!$A:$Z,10,FALSE)+VLOOKUP($A298,A:AL,13,FALSE)-50))</f>
        <v>-</v>
      </c>
      <c r="O298" s="3">
        <f>VLOOKUP($A298,'SegEnds_NonXtal_BW#'!$A:$Z,11,FALSE)+VLOOKUP($A298,A:AL,16,FALSE)-50</f>
        <v>100</v>
      </c>
      <c r="P298" s="3">
        <v>129</v>
      </c>
      <c r="Q298" s="3">
        <f>VLOOKUP($A298,'SegEnds_NonXtal_BW#'!$A:$Z,12,FALSE)+VLOOKUP($A298,A:AL,16,FALSE)-50</f>
        <v>134</v>
      </c>
      <c r="R298" s="3" t="str">
        <f>IF(ISERROR(VLOOKUP($A298,'SegEnds_NonXtal_BW#'!$A:$Z,13,FALSE)+VLOOKUP($A298,A:AL,19,FALSE)-50),"-",VLOOKUP($A298,'SegEnds_NonXtal_BW#'!$A:$Z,13,FALSE)+VLOOKUP($A298,A:AL,19,FALSE)-50)</f>
        <v>-</v>
      </c>
      <c r="S298" s="3" t="s">
        <v>23</v>
      </c>
      <c r="T298" s="100" t="str">
        <f>IF(ISERROR(VLOOKUP($A298,'SegEnds_NonXtal_BW#'!$A:$Z,14,FALSE)+VLOOKUP($A298,A:AL,19,FALSE)-50),"-",(VLOOKUP($A298,'SegEnds_NonXtal_BW#'!$A:$Z,14,FALSE)+VLOOKUP($A298,A:AL,19,FALSE)-50))</f>
        <v>-</v>
      </c>
      <c r="U298" s="9">
        <f>IF(ISERROR(VLOOKUP($A298,'SegEnds_NonXtal_BW#'!$A:$Z,15,FALSE)+VLOOKUP($A298,A:AL,22,FALSE)-50),"-",VLOOKUP($A298,'SegEnds_NonXtal_BW#'!$A:$Z,15,FALSE)+VLOOKUP($A298,A:AL,22,FALSE)-50)</f>
        <v>140</v>
      </c>
      <c r="V298" s="3">
        <v>152</v>
      </c>
      <c r="W298" s="3">
        <f>IF(ISERROR(VLOOKUP($A298,'SegEnds_NonXtal_BW#'!$A:$Z,16,FALSE)+VLOOKUP($A298,A:AL,22,FALSE)-50),"-",(VLOOKUP($A298,'SegEnds_NonXtal_BW#'!$A:$Z,16,FALSE)+VLOOKUP($A298,A:AL,22,FALSE)-50))</f>
        <v>164</v>
      </c>
      <c r="X298" s="3">
        <f>IF(ISERROR(VLOOKUP($A298,'SegEnds_NonXtal_BW#'!$A:$Z,17,FALSE)+VLOOKUP($A298,A:AL,25,FALSE)-50),"-",(VLOOKUP($A298,'SegEnds_NonXtal_BW#'!$A:$Z,17,FALSE)+VLOOKUP($A298,A:AL,25,FALSE)-50))</f>
        <v>173</v>
      </c>
      <c r="Y298" s="3">
        <v>173</v>
      </c>
      <c r="Z298" s="3">
        <f t="shared" si="197"/>
        <v>175</v>
      </c>
      <c r="AA298" s="3">
        <f>IF(ISERROR(VLOOKUP($A298,'SegEnds_NonXtal_BW#'!$A:$Z,19,FALSE)+VLOOKUP($A298,A:AL,28,FALSE)-50),"-",(VLOOKUP($A298,'SegEnds_NonXtal_BW#'!$A:$Z,19,FALSE)+VLOOKUP($A298,A:AL,28,FALSE)-50))</f>
        <v>183</v>
      </c>
      <c r="AB298" s="3">
        <v>200</v>
      </c>
      <c r="AC298" s="3">
        <f>IF(ISERROR((VLOOKUP($A298,'SegEnds_NonXtal_BW#'!$A:$Z,20,FALSE)+VLOOKUP($A298,A:AL,28,FALSE)-50)),"-",(VLOOKUP($A298,'SegEnds_NonXtal_BW#'!$A:$Z,20,FALSE)+VLOOKUP($A298,A:AL,28,FALSE)-50))</f>
        <v>218</v>
      </c>
      <c r="AD298" s="3">
        <f>IF(ISERROR(VLOOKUP($A298,'SegEnds_NonXtal_BW#'!$A:$Z,21,FALSE)+VLOOKUP($A298,A:AL,31,FALSE)-50),"-",(VLOOKUP($A298,'SegEnds_NonXtal_BW#'!$A:$Z,21,FALSE)+VLOOKUP($A298,A:AL,31,FALSE)-50))</f>
        <v>222</v>
      </c>
      <c r="AE298" s="3">
        <v>243</v>
      </c>
      <c r="AF298" s="3">
        <f>IF(ISERROR((VLOOKUP($A298,'SegEnds_NonXtal_BW#'!$A:$Z,22,FALSE)+VLOOKUP($A298,A:AL,31,FALSE)-50)),"-",(VLOOKUP($A298,'SegEnds_NonXtal_BW#'!$A:$Z,22,FALSE)+VLOOKUP($A298,A:AL,31,FALSE)-50))</f>
        <v>257</v>
      </c>
      <c r="AG298" s="3">
        <f>IF(ISERROR(VLOOKUP($A298,'SegEnds_NonXtal_BW#'!$A:$Z,23,FALSE)+VLOOKUP($A298,A:AL,34,FALSE)-50),"-",(VLOOKUP($A298,'SegEnds_NonXtal_BW#'!$A:$Z,23,FALSE)+VLOOKUP($A298,A:AL,34,FALSE)-50))</f>
        <v>262</v>
      </c>
      <c r="AH298" s="3">
        <v>288</v>
      </c>
      <c r="AI298" s="3">
        <f>IF(ISERROR((VLOOKUP($A298,'SegEnds_NonXtal_BW#'!$A:$Z,24,FALSE)+VLOOKUP($A298,A:AL,34,FALSE)-50)),"-",(VLOOKUP($A298,'SegEnds_NonXtal_BW#'!$A:$Z,24,FALSE)+VLOOKUP($A298,A:AL,34,FALSE)-50))</f>
        <v>294</v>
      </c>
      <c r="AJ298" s="3">
        <f>IF(ISERROR(VLOOKUP($A298,'SegEnds_NonXtal_BW#'!$A:$Z,25,FALSE)+VLOOKUP($A298,A:AL,37,FALSE)-50),"-",(VLOOKUP($A298,'SegEnds_NonXtal_BW#'!$A:$Z,25,FALSE)+VLOOKUP($A298,A:AL,37,FALSE)-50))</f>
        <v>295</v>
      </c>
      <c r="AK298" s="3">
        <v>298</v>
      </c>
      <c r="AL298" s="3">
        <f>IF(ISERROR((VLOOKUP($A298,'SegEnds_NonXtal_BW#'!$A:$Z,26,FALSE)+VLOOKUP($A298,A:AL,37,FALSE)-50)),"-",(VLOOKUP($A298,'SegEnds_NonXtal_BW#'!$A:$Z,26,FALSE)+VLOOKUP($A298,A:AL,37,FALSE)-50))</f>
        <v>310</v>
      </c>
      <c r="AM298" s="28" t="str">
        <f>VLOOKUP(A298,Classification!A:B,2,FALSE)</f>
        <v>A</v>
      </c>
      <c r="AN298" s="28" t="b">
        <f t="shared" si="188"/>
        <v>1</v>
      </c>
      <c r="AO298" s="3" t="str">
        <f>IF(ISERROR(MATCH(A298,'SegEnds_Xtal_Prot#'!B:B, 0)), "NoXtal", "Xtal")</f>
        <v>Xtal</v>
      </c>
      <c r="AP298" s="3">
        <f t="shared" si="173"/>
        <v>1</v>
      </c>
      <c r="AQ298" s="3">
        <f t="shared" si="174"/>
        <v>1</v>
      </c>
      <c r="AR298" s="3" t="str">
        <f t="shared" si="175"/>
        <v>-</v>
      </c>
      <c r="AS298" s="3" t="str">
        <f t="shared" si="176"/>
        <v>-</v>
      </c>
      <c r="AT298" s="3" t="str">
        <f t="shared" si="177"/>
        <v>-</v>
      </c>
      <c r="AU298" s="3" t="str">
        <f t="shared" si="178"/>
        <v>-</v>
      </c>
      <c r="AV298" s="3">
        <f t="shared" si="179"/>
        <v>9</v>
      </c>
      <c r="AW298" s="3">
        <f t="shared" si="180"/>
        <v>8</v>
      </c>
      <c r="AX298" s="3">
        <f t="shared" si="181"/>
        <v>4</v>
      </c>
      <c r="AY298" s="3">
        <f t="shared" si="182"/>
        <v>5</v>
      </c>
      <c r="AZ298" s="3">
        <f t="shared" si="183"/>
        <v>1</v>
      </c>
      <c r="BA298" s="3">
        <f>IF(ISERROR(LEN(VLOOKUP(A298,Seqs!A:E,2,FALSE))-AL298),"-",LEN(VLOOKUP(A298,Seqs!A:E,2,FALSE))-AL298)</f>
        <v>44</v>
      </c>
      <c r="BB298" s="16">
        <f t="shared" si="184"/>
        <v>28</v>
      </c>
      <c r="BC298" s="9" t="str">
        <f t="shared" si="185"/>
        <v>-</v>
      </c>
      <c r="BD298" s="3">
        <f t="shared" si="186"/>
        <v>28</v>
      </c>
      <c r="BE298" s="3">
        <f t="shared" si="187"/>
        <v>43</v>
      </c>
    </row>
    <row r="299" spans="1:59" s="3" customFormat="1" x14ac:dyDescent="0.2">
      <c r="A299" s="3" t="s">
        <v>1501</v>
      </c>
      <c r="B299" s="3" t="str">
        <f>LOWER(VLOOKUP(A299,Xtal_Templ!A:B,2,FALSE))</f>
        <v>q80km9_hcmv</v>
      </c>
      <c r="C299" s="3">
        <f>VLOOKUP($A299,'SegEnds_NonXtal_BW#'!$A:$Z,3,FALSE)+D299-50</f>
        <v>25</v>
      </c>
      <c r="D299" s="3">
        <v>51</v>
      </c>
      <c r="E299" s="3">
        <f>IF(ISERROR(VLOOKUP($A299,'SegEnds_NonXtal_BW#'!$A:$Z,4,FALSE)+VLOOKUP($A299,A:AL,4,FALSE)-50),"-",(VLOOKUP($A299,'SegEnds_NonXtal_BW#'!$A:$Z,4,FALSE)+VLOOKUP($A299,A:AL,4,FALSE)-50))</f>
        <v>61</v>
      </c>
      <c r="F299" s="3">
        <f t="shared" si="192"/>
        <v>62</v>
      </c>
      <c r="G299" s="3">
        <v>64</v>
      </c>
      <c r="H299" s="3">
        <f t="shared" ref="H299:I302" si="199">G299+1</f>
        <v>65</v>
      </c>
      <c r="I299" s="3">
        <f t="shared" si="199"/>
        <v>66</v>
      </c>
      <c r="J299" s="3">
        <v>79</v>
      </c>
      <c r="K299" s="3">
        <f>VLOOKUP($A299,'SegEnds_NonXtal_BW#'!$A:$Z,8,FALSE)+VLOOKUP($A299,A:AL,10,FALSE)-50</f>
        <v>95</v>
      </c>
      <c r="L299" s="3" t="str">
        <f>IF(ISERROR(VLOOKUP($A299,'SegEnds_NonXtal_BW#'!$A:$Z,9,FALSE)+VLOOKUP($A299,A:AL,13,FALSE)-50),"-",(VLOOKUP($A299,'SegEnds_NonXtal_BW#'!$A:$Z,9,FALSE)+VLOOKUP($A299,A:AL,13,FALSE)-50))</f>
        <v>-</v>
      </c>
      <c r="M299" s="3" t="s">
        <v>23</v>
      </c>
      <c r="N299" s="3" t="str">
        <f>IF(ISERROR(VLOOKUP($A299,'SegEnds_NonXtal_BW#'!$A:$Z,10,FALSE)+VLOOKUP($A299,A:AL,13,FALSE)-50),"-",(VLOOKUP($A299,'SegEnds_NonXtal_BW#'!$A:$Z,10,FALSE)+VLOOKUP($A299,A:AL,13,FALSE)-50))</f>
        <v>-</v>
      </c>
      <c r="O299" s="3">
        <f>VLOOKUP($A299,'SegEnds_NonXtal_BW#'!$A:$Z,11,FALSE)+VLOOKUP($A299,A:AL,16,FALSE)-50</f>
        <v>100</v>
      </c>
      <c r="P299" s="3">
        <v>129</v>
      </c>
      <c r="Q299" s="3">
        <f>VLOOKUP($A299,'SegEnds_NonXtal_BW#'!$A:$Z,12,FALSE)+VLOOKUP($A299,A:AL,16,FALSE)-50</f>
        <v>134</v>
      </c>
      <c r="R299" s="3" t="str">
        <f>IF(ISERROR(VLOOKUP($A299,'SegEnds_NonXtal_BW#'!$A:$Z,13,FALSE)+VLOOKUP($A299,A:AL,19,FALSE)-50),"-",VLOOKUP($A299,'SegEnds_NonXtal_BW#'!$A:$Z,13,FALSE)+VLOOKUP($A299,A:AL,19,FALSE)-50)</f>
        <v>-</v>
      </c>
      <c r="S299" s="3" t="s">
        <v>23</v>
      </c>
      <c r="T299" s="100" t="str">
        <f>IF(ISERROR(VLOOKUP($A299,'SegEnds_NonXtal_BW#'!$A:$Z,14,FALSE)+VLOOKUP($A299,A:AL,19,FALSE)-50),"-",(VLOOKUP($A299,'SegEnds_NonXtal_BW#'!$A:$Z,14,FALSE)+VLOOKUP($A299,A:AL,19,FALSE)-50))</f>
        <v>-</v>
      </c>
      <c r="U299" s="9">
        <f>IF(ISERROR(VLOOKUP($A299,'SegEnds_NonXtal_BW#'!$A:$Z,15,FALSE)+VLOOKUP($A299,A:AL,22,FALSE)-50),"-",VLOOKUP($A299,'SegEnds_NonXtal_BW#'!$A:$Z,15,FALSE)+VLOOKUP($A299,A:AL,22,FALSE)-50)</f>
        <v>140</v>
      </c>
      <c r="V299" s="3">
        <v>152</v>
      </c>
      <c r="W299" s="3">
        <f>IF(ISERROR(VLOOKUP($A299,'SegEnds_NonXtal_BW#'!$A:$Z,16,FALSE)+VLOOKUP($A299,A:AL,22,FALSE)-50),"-",(VLOOKUP($A299,'SegEnds_NonXtal_BW#'!$A:$Z,16,FALSE)+VLOOKUP($A299,A:AL,22,FALSE)-50))</f>
        <v>164</v>
      </c>
      <c r="X299" s="3">
        <f>IF(ISERROR(VLOOKUP($A299,'SegEnds_NonXtal_BW#'!$A:$Z,17,FALSE)+VLOOKUP($A299,A:AL,25,FALSE)-50),"-",(VLOOKUP($A299,'SegEnds_NonXtal_BW#'!$A:$Z,17,FALSE)+VLOOKUP($A299,A:AL,25,FALSE)-50))</f>
        <v>173</v>
      </c>
      <c r="Y299" s="3">
        <v>173</v>
      </c>
      <c r="Z299" s="3">
        <f>Y299+2</f>
        <v>175</v>
      </c>
      <c r="AA299" s="3">
        <f>IF(ISERROR(VLOOKUP($A299,'SegEnds_NonXtal_BW#'!$A:$Z,19,FALSE)+VLOOKUP($A299,A:AL,28,FALSE)-50),"-",(VLOOKUP($A299,'SegEnds_NonXtal_BW#'!$A:$Z,19,FALSE)+VLOOKUP($A299,A:AL,28,FALSE)-50))</f>
        <v>183</v>
      </c>
      <c r="AB299" s="3">
        <v>200</v>
      </c>
      <c r="AC299" s="3">
        <f>IF(ISERROR((VLOOKUP($A299,'SegEnds_NonXtal_BW#'!$A:$Z,20,FALSE)+VLOOKUP($A299,A:AL,28,FALSE)-50)),"-",(VLOOKUP($A299,'SegEnds_NonXtal_BW#'!$A:$Z,20,FALSE)+VLOOKUP($A299,A:AL,28,FALSE)-50))</f>
        <v>218</v>
      </c>
      <c r="AD299" s="3">
        <f>IF(ISERROR(VLOOKUP($A299,'SegEnds_NonXtal_BW#'!$A:$Z,21,FALSE)+VLOOKUP($A299,A:AL,31,FALSE)-50),"-",(VLOOKUP($A299,'SegEnds_NonXtal_BW#'!$A:$Z,21,FALSE)+VLOOKUP($A299,A:AL,31,FALSE)-50))</f>
        <v>222</v>
      </c>
      <c r="AE299" s="3">
        <v>243</v>
      </c>
      <c r="AF299" s="3">
        <f>IF(ISERROR((VLOOKUP($A299,'SegEnds_NonXtal_BW#'!$A:$Z,22,FALSE)+VLOOKUP($A299,A:AL,31,FALSE)-50)),"-",(VLOOKUP($A299,'SegEnds_NonXtal_BW#'!$A:$Z,22,FALSE)+VLOOKUP($A299,A:AL,31,FALSE)-50))</f>
        <v>257</v>
      </c>
      <c r="AG299" s="3">
        <f>IF(ISERROR(VLOOKUP($A299,'SegEnds_NonXtal_BW#'!$A:$Z,23,FALSE)+VLOOKUP($A299,A:AL,34,FALSE)-50),"-",(VLOOKUP($A299,'SegEnds_NonXtal_BW#'!$A:$Z,23,FALSE)+VLOOKUP($A299,A:AL,34,FALSE)-50))</f>
        <v>262</v>
      </c>
      <c r="AH299" s="3">
        <v>288</v>
      </c>
      <c r="AI299" s="3">
        <f>IF(ISERROR((VLOOKUP($A299,'SegEnds_NonXtal_BW#'!$A:$Z,24,FALSE)+VLOOKUP($A299,A:AL,34,FALSE)-50)),"-",(VLOOKUP($A299,'SegEnds_NonXtal_BW#'!$A:$Z,24,FALSE)+VLOOKUP($A299,A:AL,34,FALSE)-50))</f>
        <v>294</v>
      </c>
      <c r="AJ299" s="3">
        <f>IF(ISERROR(VLOOKUP($A299,'SegEnds_NonXtal_BW#'!$A:$Z,25,FALSE)+VLOOKUP($A299,A:AL,37,FALSE)-50),"-",(VLOOKUP($A299,'SegEnds_NonXtal_BW#'!$A:$Z,25,FALSE)+VLOOKUP($A299,A:AL,37,FALSE)-50))</f>
        <v>295</v>
      </c>
      <c r="AK299" s="3">
        <v>298</v>
      </c>
      <c r="AL299" s="3">
        <f>IF(ISERROR((VLOOKUP($A299,'SegEnds_NonXtal_BW#'!$A:$Z,26,FALSE)+VLOOKUP($A299,A:AL,37,FALSE)-50)),"-",(VLOOKUP($A299,'SegEnds_NonXtal_BW#'!$A:$Z,26,FALSE)+VLOOKUP($A299,A:AL,37,FALSE)-50))</f>
        <v>310</v>
      </c>
      <c r="AM299" s="28" t="str">
        <f>VLOOKUP(A299,Classification!A:B,2,FALSE)</f>
        <v>A</v>
      </c>
      <c r="AN299" s="28" t="b">
        <f>AND(IF(Y299="-",IF(AA299-W299&gt;3,TRUE,FALSE),TRUE),IF(M299="-",IF(O299-K299&gt;3,TRUE,FALSE),TRUE),IF(AG299-AF299&gt;1,TRUE,FALSE),C299&lt;E299,OR(E299&lt;F299,F299="-"),OR(F299&lt;H299,F299="-"),OR(H299&lt;I299,H299="-"),I299&lt;K299,OR(K299&lt;L299,L299="-"),OR(L299&lt;N299,L299="-"),OR(N299&lt;O299,N299="-"),O299&lt;Q299,OR(Q299&lt;R299,R299="-"),OR(R299&lt;T299,R299="-"),OR(T299&lt;U299,T299="-"),U299&lt;W299,OR(W299&lt;X299,X299="-"),OR(X299&lt;Z299,X299="-"),OR(Z299&lt;AA299,Z299="-"),AA299&lt;AC299,AC299&lt;AD299,AD299&lt;AF299,AF299&lt;AG299,AG299&lt;AI299,OR(AI299&lt;AJ299,AJ299="-"),OR(AJ299&lt;AL299,AJ299="-"))</f>
        <v>1</v>
      </c>
      <c r="AO299" s="3" t="str">
        <f>IF(ISERROR(MATCH(A299,'SegEnds_Xtal_Prot#'!B:B, 0)), "NoXtal", "Xtal")</f>
        <v>Xtal</v>
      </c>
      <c r="AP299" s="3">
        <f>IF(ISERROR(F299-E299),"-",F299-E299)</f>
        <v>1</v>
      </c>
      <c r="AQ299" s="3">
        <f>IF(ISERROR(I299-H299),"-",I299-H299)</f>
        <v>1</v>
      </c>
      <c r="AR299" s="3" t="str">
        <f>IF(ISERROR(L299-K299),"-",L299-K299)</f>
        <v>-</v>
      </c>
      <c r="AS299" s="3" t="str">
        <f>IF(ISERROR(O299-N299),"-",O299-N299)</f>
        <v>-</v>
      </c>
      <c r="AT299" s="3" t="str">
        <f>IF(ISERROR(R299-Q299),"-",R299-Q299)</f>
        <v>-</v>
      </c>
      <c r="AU299" s="3" t="str">
        <f>IF(ISERROR(U299-T299),"-",U299-T299)</f>
        <v>-</v>
      </c>
      <c r="AV299" s="3">
        <f>IF(ISERROR(X299-W299),"-",X299-W299)</f>
        <v>9</v>
      </c>
      <c r="AW299" s="3">
        <f>IF(ISERROR(AA299-Z299),"-",AA299-Z299)</f>
        <v>8</v>
      </c>
      <c r="AX299" s="3">
        <f>IF(ISERROR(AD299-AC299),"-",AD299-AC299)</f>
        <v>4</v>
      </c>
      <c r="AY299" s="3">
        <f>IF(ISERROR(AG299-AF299),"-",AG299-AF299)</f>
        <v>5</v>
      </c>
      <c r="AZ299" s="3">
        <f>IF(ISERROR(AJ299-AI299),"-",AJ299-AI299)</f>
        <v>1</v>
      </c>
      <c r="BA299" s="3">
        <f>IF(ISERROR(LEN(VLOOKUP(A299,Seqs!A:E,2,FALSE))-AL299),"-",LEN(VLOOKUP(A299,Seqs!A:E,2,FALSE))-AL299)</f>
        <v>44</v>
      </c>
      <c r="BB299" s="16">
        <f>J299-D299</f>
        <v>28</v>
      </c>
      <c r="BC299" s="9" t="str">
        <f>IF(ISERROR(V299-S299),"-",V299-S299)</f>
        <v>-</v>
      </c>
      <c r="BD299" s="3">
        <f>J299-D299</f>
        <v>28</v>
      </c>
      <c r="BE299" s="3">
        <f>AE299-AB299</f>
        <v>43</v>
      </c>
    </row>
    <row r="300" spans="1:59" s="3" customFormat="1" x14ac:dyDescent="0.2">
      <c r="A300" s="3" t="s">
        <v>1631</v>
      </c>
      <c r="B300" s="3" t="str">
        <f>LOWER(VLOOKUP(A300,Xtal_Templ!A:B,2,FALSE))</f>
        <v>aa2ar_human</v>
      </c>
      <c r="C300" s="3">
        <f>VLOOKUP($A300,'SegEnds_NonXtal_BW#'!$A:$Z,3,FALSE)+D300-50</f>
        <v>19</v>
      </c>
      <c r="D300" s="3">
        <v>42</v>
      </c>
      <c r="E300" s="3">
        <f>IF(ISERROR(VLOOKUP($A300,'SegEnds_NonXtal_BW#'!$A:$Z,4,FALSE)+VLOOKUP($A300,A:AL,4,FALSE)-50),"-",(VLOOKUP($A300,'SegEnds_NonXtal_BW#'!$A:$Z,4,FALSE)+VLOOKUP($A300,A:AL,4,FALSE)-50))</f>
        <v>52</v>
      </c>
      <c r="F300" s="3">
        <f t="shared" ref="F300" si="200">G300-2</f>
        <v>53</v>
      </c>
      <c r="G300" s="3">
        <v>55</v>
      </c>
      <c r="H300" s="3">
        <f t="shared" si="199"/>
        <v>56</v>
      </c>
      <c r="I300" s="3">
        <f t="shared" si="199"/>
        <v>57</v>
      </c>
      <c r="J300" s="3">
        <v>70</v>
      </c>
      <c r="K300" s="3">
        <f>VLOOKUP($A300,'SegEnds_NonXtal_BW#'!$A:$Z,8,FALSE)+VLOOKUP($A300,A:AL,10,FALSE)-50</f>
        <v>86</v>
      </c>
      <c r="L300" s="3" t="str">
        <f>IF(ISERROR(VLOOKUP($A300,'SegEnds_NonXtal_BW#'!$A:$Z,9,FALSE)+VLOOKUP($A300,A:AL,13,FALSE)-50),"-",(VLOOKUP($A300,'SegEnds_NonXtal_BW#'!$A:$Z,9,FALSE)+VLOOKUP($A300,A:AL,13,FALSE)-50))</f>
        <v>-</v>
      </c>
      <c r="M300" s="3" t="s">
        <v>23</v>
      </c>
      <c r="N300" s="3" t="str">
        <f>IF(ISERROR(VLOOKUP($A300,'SegEnds_NonXtal_BW#'!$A:$Z,10,FALSE)+VLOOKUP($A300,A:AL,13,FALSE)-50),"-",(VLOOKUP($A300,'SegEnds_NonXtal_BW#'!$A:$Z,10,FALSE)+VLOOKUP($A300,A:AL,13,FALSE)-50))</f>
        <v>-</v>
      </c>
      <c r="O300" s="3">
        <f>VLOOKUP($A300,'SegEnds_NonXtal_BW#'!$A:$Z,11,FALSE)+VLOOKUP($A300,A:AL,16,FALSE)-50</f>
        <v>93</v>
      </c>
      <c r="P300" s="3">
        <v>122</v>
      </c>
      <c r="Q300" s="3">
        <f>VLOOKUP($A300,'SegEnds_NonXtal_BW#'!$A:$Z,12,FALSE)+VLOOKUP($A300,A:AL,16,FALSE)-50</f>
        <v>128</v>
      </c>
      <c r="R300" s="3">
        <f>IF(ISERROR(VLOOKUP($A300,'SegEnds_NonXtal_BW#'!$A:$Z,13,FALSE)+VLOOKUP($A300,A:AL,19,FALSE)-50),"-",VLOOKUP($A300,'SegEnds_NonXtal_BW#'!$A:$Z,13,FALSE)+VLOOKUP($A300,A:AL,19,FALSE)-50)</f>
        <v>129</v>
      </c>
      <c r="S300" s="3">
        <v>129</v>
      </c>
      <c r="T300" s="100">
        <f>IF(ISERROR(VLOOKUP($A300,'SegEnds_NonXtal_BW#'!$A:$Z,14,FALSE)+VLOOKUP($A300,A:AL,19,FALSE)-50),"-",(VLOOKUP($A300,'SegEnds_NonXtal_BW#'!$A:$Z,14,FALSE)+VLOOKUP($A300,A:AL,19,FALSE)-50))</f>
        <v>136</v>
      </c>
      <c r="U300" s="9">
        <f>IF(ISERROR(VLOOKUP($A300,'SegEnds_NonXtal_BW#'!$A:$Z,15,FALSE)+VLOOKUP($A300,A:AL,22,FALSE)-50),"-",VLOOKUP($A300,'SegEnds_NonXtal_BW#'!$A:$Z,15,FALSE)+VLOOKUP($A300,A:AL,22,FALSE)-50)</f>
        <v>137</v>
      </c>
      <c r="V300" s="3">
        <v>149</v>
      </c>
      <c r="W300" s="3">
        <f>IF(ISERROR(VLOOKUP($A300,'SegEnds_NonXtal_BW#'!$A:$Z,16,FALSE)+VLOOKUP($A300,A:AL,22,FALSE)-50),"-",(VLOOKUP($A300,'SegEnds_NonXtal_BW#'!$A:$Z,16,FALSE)+VLOOKUP($A300,A:AL,22,FALSE)-50))</f>
        <v>163</v>
      </c>
      <c r="X300" s="3">
        <f>IF(ISERROR(VLOOKUP($A300,'SegEnds_NonXtal_BW#'!$A:$Z,17,FALSE)+VLOOKUP($A300,A:AL,25,FALSE)-50),"-",(VLOOKUP($A300,'SegEnds_NonXtal_BW#'!$A:$Z,17,FALSE)+VLOOKUP($A300,A:AL,25,FALSE)-50))</f>
        <v>189</v>
      </c>
      <c r="Y300" s="3">
        <v>189</v>
      </c>
      <c r="Z300" s="3">
        <f>Y300+2</f>
        <v>191</v>
      </c>
      <c r="AA300" s="3">
        <f>IF(ISERROR(VLOOKUP($A300,'SegEnds_NonXtal_BW#'!$A:$Z,19,FALSE)+VLOOKUP($A300,A:AL,28,FALSE)-50),"-",(VLOOKUP($A300,'SegEnds_NonXtal_BW#'!$A:$Z,19,FALSE)+VLOOKUP($A300,A:AL,28,FALSE)-50))</f>
        <v>194</v>
      </c>
      <c r="AB300" s="3">
        <v>209</v>
      </c>
      <c r="AC300" s="3">
        <f>IF(ISERROR((VLOOKUP($A300,'SegEnds_NonXtal_BW#'!$A:$Z,20,FALSE)+VLOOKUP($A300,A:AL,28,FALSE)-50)),"-",(VLOOKUP($A300,'SegEnds_NonXtal_BW#'!$A:$Z,20,FALSE)+VLOOKUP($A300,A:AL,28,FALSE)-50))</f>
        <v>231</v>
      </c>
      <c r="AD300" s="3">
        <f>IF(ISERROR(VLOOKUP($A300,'SegEnds_NonXtal_BW#'!$A:$Z,21,FALSE)+VLOOKUP($A300,A:AL,31,FALSE)-50),"-",(VLOOKUP($A300,'SegEnds_NonXtal_BW#'!$A:$Z,21,FALSE)+VLOOKUP($A300,A:AL,31,FALSE)-50))</f>
        <v>234</v>
      </c>
      <c r="AE300" s="3">
        <v>261</v>
      </c>
      <c r="AF300" s="3">
        <f>IF(ISERROR((VLOOKUP($A300,'SegEnds_NonXtal_BW#'!$A:$Z,22,FALSE)+VLOOKUP($A300,A:AL,31,FALSE)-50)),"-",(VLOOKUP($A300,'SegEnds_NonXtal_BW#'!$A:$Z,22,FALSE)+VLOOKUP($A300,A:AL,31,FALSE)-50))</f>
        <v>265</v>
      </c>
      <c r="AG300" s="3">
        <f>IF(ISERROR(VLOOKUP($A300,'SegEnds_NonXtal_BW#'!$A:$Z,23,FALSE)+VLOOKUP($A300,A:AL,34,FALSE)-50),"-",(VLOOKUP($A300,'SegEnds_NonXtal_BW#'!$A:$Z,23,FALSE)+VLOOKUP($A300,A:AL,34,FALSE)-50))</f>
        <v>267</v>
      </c>
      <c r="AH300" s="3">
        <v>285</v>
      </c>
      <c r="AI300" s="3">
        <f>IF(ISERROR((VLOOKUP($A300,'SegEnds_NonXtal_BW#'!$A:$Z,24,FALSE)+VLOOKUP($A300,A:AL,34,FALSE)-50)),"-",(VLOOKUP($A300,'SegEnds_NonXtal_BW#'!$A:$Z,24,FALSE)+VLOOKUP($A300,A:AL,34,FALSE)-50))</f>
        <v>291</v>
      </c>
      <c r="AJ300" s="3">
        <f>IF(ISERROR(VLOOKUP($A300,'SegEnds_NonXtal_BW#'!$A:$Z,25,FALSE)+VLOOKUP($A300,A:AL,37,FALSE)-50),"-",(VLOOKUP($A300,'SegEnds_NonXtal_BW#'!$A:$Z,25,FALSE)+VLOOKUP($A300,A:AL,37,FALSE)-50))</f>
        <v>292</v>
      </c>
      <c r="AK300" s="3">
        <v>295</v>
      </c>
      <c r="AL300" s="3">
        <f>IF(ISERROR((VLOOKUP($A300,'SegEnds_NonXtal_BW#'!$A:$Z,26,FALSE)+VLOOKUP($A300,A:AL,37,FALSE)-50)),"-",(VLOOKUP($A300,'SegEnds_NonXtal_BW#'!$A:$Z,26,FALSE)+VLOOKUP($A300,A:AL,37,FALSE)-50))</f>
        <v>314</v>
      </c>
      <c r="AM300" s="28" t="str">
        <f>VLOOKUP(A300,Classification!A:B,2,FALSE)</f>
        <v>A</v>
      </c>
      <c r="AN300" s="28" t="b">
        <f>AND(IF(Y300="-",IF(AA300-W300&gt;3,TRUE,FALSE),TRUE),IF(M300="-",IF(O300-K300&gt;3,TRUE,FALSE),TRUE),IF(AG300-AF300&gt;1,TRUE,FALSE),C300&lt;E300,OR(E300&lt;F300,F300="-"),OR(F300&lt;H300,F300="-"),OR(H300&lt;I300,H300="-"),I300&lt;K300,OR(K300&lt;L300,L300="-"),OR(L300&lt;N300,L300="-"),OR(N300&lt;O300,N300="-"),O300&lt;Q300,OR(Q300&lt;R300,R300="-"),OR(R300&lt;T300,R300="-"),OR(T300&lt;U300,T300="-"),U300&lt;W300,OR(W300&lt;X300,X300="-"),OR(X300&lt;Z300,X300="-"),OR(Z300&lt;AA300,Z300="-"),AA300&lt;AC300,AC300&lt;AD300,AD300&lt;AF300,AF300&lt;AG300,AG300&lt;AI300,OR(AI300&lt;AJ300,AJ300="-"),OR(AJ300&lt;AL300,AJ300="-"))</f>
        <v>1</v>
      </c>
      <c r="AO300" s="3" t="str">
        <f>IF(ISERROR(MATCH(A300,'SegEnds_Xtal_Prot#'!B:B, 0)), "NoXtal", "Xtal")</f>
        <v>NoXtal</v>
      </c>
      <c r="AP300" s="3">
        <f>IF(ISERROR(F300-E300),"-",F300-E300)</f>
        <v>1</v>
      </c>
      <c r="AQ300" s="3">
        <f>IF(ISERROR(I300-H300),"-",I300-H300)</f>
        <v>1</v>
      </c>
      <c r="AR300" s="3" t="str">
        <f>IF(ISERROR(L300-K300),"-",L300-K300)</f>
        <v>-</v>
      </c>
      <c r="AS300" s="3" t="str">
        <f>IF(ISERROR(O300-N300),"-",O300-N300)</f>
        <v>-</v>
      </c>
      <c r="AT300" s="3">
        <f>IF(ISERROR(R300-Q300),"-",R300-Q300)</f>
        <v>1</v>
      </c>
      <c r="AU300" s="3">
        <f>IF(ISERROR(U300-T300),"-",U300-T300)</f>
        <v>1</v>
      </c>
      <c r="AV300" s="3">
        <f>IF(ISERROR(X300-W300),"-",X300-W300)</f>
        <v>26</v>
      </c>
      <c r="AW300" s="3">
        <f>IF(ISERROR(AA300-Z300),"-",AA300-Z300)</f>
        <v>3</v>
      </c>
      <c r="AX300" s="3">
        <f>IF(ISERROR(AD300-AC300),"-",AD300-AC300)</f>
        <v>3</v>
      </c>
      <c r="AY300" s="3">
        <f>IF(ISERROR(AG300-AF300),"-",AG300-AF300)</f>
        <v>2</v>
      </c>
      <c r="AZ300" s="3">
        <f>IF(ISERROR(AJ300-AI300),"-",AJ300-AI300)</f>
        <v>1</v>
      </c>
      <c r="BA300" s="3">
        <f>IF(ISERROR(LEN(VLOOKUP(A300,Seqs!A:E,2,FALSE))-AL300),"-",LEN(VLOOKUP(A300,Seqs!A:E,2,FALSE))-AL300)</f>
        <v>-5</v>
      </c>
      <c r="BB300" s="16">
        <f>J300-D300</f>
        <v>28</v>
      </c>
      <c r="BC300" s="9">
        <f>IF(ISERROR(V300-S300),"-",V300-S300)</f>
        <v>20</v>
      </c>
      <c r="BD300" s="3">
        <f>J300-D300</f>
        <v>28</v>
      </c>
      <c r="BE300" s="3">
        <f>AE300-AB300</f>
        <v>52</v>
      </c>
    </row>
    <row r="301" spans="1:59" s="3" customFormat="1" x14ac:dyDescent="0.2">
      <c r="A301" s="3" t="s">
        <v>1634</v>
      </c>
      <c r="B301" s="3" t="str">
        <f>LOWER(VLOOKUP(A301,Xtal_Templ!A:B,2,FALSE))</f>
        <v>ccr2_human</v>
      </c>
      <c r="C301" s="3">
        <f>VLOOKUP($A301,'SegEnds_NonXtal_BW#'!$A:$Z,3,FALSE)+D301-50</f>
        <v>19</v>
      </c>
      <c r="D301" s="3">
        <v>42</v>
      </c>
      <c r="E301" s="3">
        <f>IF(ISERROR(VLOOKUP($A301,'SegEnds_NonXtal_BW#'!$A:$Z,4,FALSE)+VLOOKUP($A301,A:AL,4,FALSE)-50),"-",(VLOOKUP($A301,'SegEnds_NonXtal_BW#'!$A:$Z,4,FALSE)+VLOOKUP($A301,A:AL,4,FALSE)-50))</f>
        <v>52</v>
      </c>
      <c r="F301" s="3">
        <f t="shared" ref="F301" si="201">G301-2</f>
        <v>53</v>
      </c>
      <c r="G301" s="3">
        <v>55</v>
      </c>
      <c r="H301" s="3">
        <f t="shared" si="199"/>
        <v>56</v>
      </c>
      <c r="I301" s="3">
        <f t="shared" si="199"/>
        <v>57</v>
      </c>
      <c r="J301" s="3">
        <v>70</v>
      </c>
      <c r="K301" s="3">
        <f>VLOOKUP($A301,'SegEnds_NonXtal_BW#'!$A:$Z,8,FALSE)+VLOOKUP($A301,A:AL,10,FALSE)-50</f>
        <v>86</v>
      </c>
      <c r="L301" s="3" t="str">
        <f>IF(ISERROR(VLOOKUP($A301,'SegEnds_NonXtal_BW#'!$A:$Z,9,FALSE)+VLOOKUP($A301,A:AL,13,FALSE)-50),"-",(VLOOKUP($A301,'SegEnds_NonXtal_BW#'!$A:$Z,9,FALSE)+VLOOKUP($A301,A:AL,13,FALSE)-50))</f>
        <v>-</v>
      </c>
      <c r="M301" s="3" t="s">
        <v>23</v>
      </c>
      <c r="N301" s="3" t="str">
        <f>IF(ISERROR(VLOOKUP($A301,'SegEnds_NonXtal_BW#'!$A:$Z,10,FALSE)+VLOOKUP($A301,A:AL,13,FALSE)-50),"-",(VLOOKUP($A301,'SegEnds_NonXtal_BW#'!$A:$Z,10,FALSE)+VLOOKUP($A301,A:AL,13,FALSE)-50))</f>
        <v>-</v>
      </c>
      <c r="O301" s="3">
        <f>VLOOKUP($A301,'SegEnds_NonXtal_BW#'!$A:$Z,11,FALSE)+VLOOKUP($A301,A:AL,16,FALSE)-50</f>
        <v>93</v>
      </c>
      <c r="P301" s="3">
        <v>122</v>
      </c>
      <c r="Q301" s="3">
        <f>VLOOKUP($A301,'SegEnds_NonXtal_BW#'!$A:$Z,12,FALSE)+VLOOKUP($A301,A:AL,16,FALSE)-50</f>
        <v>128</v>
      </c>
      <c r="R301" s="3">
        <f>IF(ISERROR(VLOOKUP($A301,'SegEnds_NonXtal_BW#'!$A:$Z,13,FALSE)+VLOOKUP($A301,A:AL,19,FALSE)-50),"-",VLOOKUP($A301,'SegEnds_NonXtal_BW#'!$A:$Z,13,FALSE)+VLOOKUP($A301,A:AL,19,FALSE)-50)</f>
        <v>129</v>
      </c>
      <c r="S301" s="3">
        <v>129</v>
      </c>
      <c r="T301" s="100">
        <f>IF(ISERROR(VLOOKUP($A301,'SegEnds_NonXtal_BW#'!$A:$Z,14,FALSE)+VLOOKUP($A301,A:AL,19,FALSE)-50),"-",(VLOOKUP($A301,'SegEnds_NonXtal_BW#'!$A:$Z,14,FALSE)+VLOOKUP($A301,A:AL,19,FALSE)-50))</f>
        <v>136</v>
      </c>
      <c r="U301" s="9">
        <f>IF(ISERROR(VLOOKUP($A301,'SegEnds_NonXtal_BW#'!$A:$Z,15,FALSE)+VLOOKUP($A301,A:AL,22,FALSE)-50),"-",VLOOKUP($A301,'SegEnds_NonXtal_BW#'!$A:$Z,15,FALSE)+VLOOKUP($A301,A:AL,22,FALSE)-50)</f>
        <v>137</v>
      </c>
      <c r="V301" s="3">
        <v>149</v>
      </c>
      <c r="W301" s="3">
        <f>IF(ISERROR(VLOOKUP($A301,'SegEnds_NonXtal_BW#'!$A:$Z,16,FALSE)+VLOOKUP($A301,A:AL,22,FALSE)-50),"-",(VLOOKUP($A301,'SegEnds_NonXtal_BW#'!$A:$Z,16,FALSE)+VLOOKUP($A301,A:AL,22,FALSE)-50))</f>
        <v>163</v>
      </c>
      <c r="X301" s="3">
        <f>IF(ISERROR(VLOOKUP($A301,'SegEnds_NonXtal_BW#'!$A:$Z,17,FALSE)+VLOOKUP($A301,A:AL,25,FALSE)-50),"-",(VLOOKUP($A301,'SegEnds_NonXtal_BW#'!$A:$Z,17,FALSE)+VLOOKUP($A301,A:AL,25,FALSE)-50))</f>
        <v>189</v>
      </c>
      <c r="Y301" s="3">
        <v>189</v>
      </c>
      <c r="Z301" s="3">
        <f>Y301+2</f>
        <v>191</v>
      </c>
      <c r="AA301" s="3">
        <f>IF(ISERROR(VLOOKUP($A301,'SegEnds_NonXtal_BW#'!$A:$Z,19,FALSE)+VLOOKUP($A301,A:AL,28,FALSE)-50),"-",(VLOOKUP($A301,'SegEnds_NonXtal_BW#'!$A:$Z,19,FALSE)+VLOOKUP($A301,A:AL,28,FALSE)-50))</f>
        <v>195</v>
      </c>
      <c r="AB301" s="3">
        <v>210</v>
      </c>
      <c r="AC301" s="3">
        <f>IF(ISERROR((VLOOKUP($A301,'SegEnds_NonXtal_BW#'!$A:$Z,20,FALSE)+VLOOKUP($A301,A:AL,28,FALSE)-50)),"-",(VLOOKUP($A301,'SegEnds_NonXtal_BW#'!$A:$Z,20,FALSE)+VLOOKUP($A301,A:AL,28,FALSE)-50))</f>
        <v>232</v>
      </c>
      <c r="AD301" s="3">
        <f>IF(ISERROR(VLOOKUP($A301,'SegEnds_NonXtal_BW#'!$A:$Z,21,FALSE)+VLOOKUP($A301,A:AL,31,FALSE)-50),"-",(VLOOKUP($A301,'SegEnds_NonXtal_BW#'!$A:$Z,21,FALSE)+VLOOKUP($A301,A:AL,31,FALSE)-50))</f>
        <v>237</v>
      </c>
      <c r="AE301" s="3">
        <v>263</v>
      </c>
      <c r="AF301" s="3">
        <f>IF(ISERROR((VLOOKUP($A301,'SegEnds_NonXtal_BW#'!$A:$Z,22,FALSE)+VLOOKUP($A301,A:AL,31,FALSE)-50)),"-",(VLOOKUP($A301,'SegEnds_NonXtal_BW#'!$A:$Z,22,FALSE)+VLOOKUP($A301,A:AL,31,FALSE)-50))</f>
        <v>267</v>
      </c>
      <c r="AG301" s="3">
        <f>IF(ISERROR(VLOOKUP($A301,'SegEnds_NonXtal_BW#'!$A:$Z,23,FALSE)+VLOOKUP($A301,A:AL,34,FALSE)-50),"-",(VLOOKUP($A301,'SegEnds_NonXtal_BW#'!$A:$Z,23,FALSE)+VLOOKUP($A301,A:AL,34,FALSE)-50))</f>
        <v>269</v>
      </c>
      <c r="AH301" s="3">
        <v>287</v>
      </c>
      <c r="AI301" s="3">
        <f>IF(ISERROR((VLOOKUP($A301,'SegEnds_NonXtal_BW#'!$A:$Z,24,FALSE)+VLOOKUP($A301,A:AL,34,FALSE)-50)),"-",(VLOOKUP($A301,'SegEnds_NonXtal_BW#'!$A:$Z,24,FALSE)+VLOOKUP($A301,A:AL,34,FALSE)-50))</f>
        <v>293</v>
      </c>
      <c r="AJ301" s="3">
        <f>IF(ISERROR(VLOOKUP($A301,'SegEnds_NonXtal_BW#'!$A:$Z,25,FALSE)+VLOOKUP($A301,A:AL,37,FALSE)-50),"-",(VLOOKUP($A301,'SegEnds_NonXtal_BW#'!$A:$Z,25,FALSE)+VLOOKUP($A301,A:AL,37,FALSE)-50))</f>
        <v>294</v>
      </c>
      <c r="AK301" s="3">
        <v>297</v>
      </c>
      <c r="AL301" s="3">
        <f>IF(ISERROR((VLOOKUP($A301,'SegEnds_NonXtal_BW#'!$A:$Z,26,FALSE)+VLOOKUP($A301,A:AL,37,FALSE)-50)),"-",(VLOOKUP($A301,'SegEnds_NonXtal_BW#'!$A:$Z,26,FALSE)+VLOOKUP($A301,A:AL,37,FALSE)-50))</f>
        <v>305</v>
      </c>
      <c r="AM301" s="28" t="str">
        <f>VLOOKUP(A301,Classification!A:B,2,FALSE)</f>
        <v>A</v>
      </c>
      <c r="AN301" s="28" t="b">
        <f>AND(IF(Y301="-",IF(AA301-W301&gt;3,TRUE,FALSE),TRUE),IF(M301="-",IF(O301-K301&gt;3,TRUE,FALSE),TRUE),IF(AG301-AF301&gt;1,TRUE,FALSE),C301&lt;E301,OR(E301&lt;F301,F301="-"),OR(F301&lt;H301,F301="-"),OR(H301&lt;I301,H301="-"),I301&lt;K301,OR(K301&lt;L301,L301="-"),OR(L301&lt;N301,L301="-"),OR(N301&lt;O301,N301="-"),O301&lt;Q301,OR(Q301&lt;R301,R301="-"),OR(R301&lt;T301,R301="-"),OR(T301&lt;U301,T301="-"),U301&lt;W301,OR(W301&lt;X301,X301="-"),OR(X301&lt;Z301,X301="-"),OR(Z301&lt;AA301,Z301="-"),AA301&lt;AC301,AC301&lt;AD301,AD301&lt;AF301,AF301&lt;AG301,AG301&lt;AI301,OR(AI301&lt;AJ301,AJ301="-"),OR(AJ301&lt;AL301,AJ301="-"))</f>
        <v>1</v>
      </c>
      <c r="AO301" s="3" t="str">
        <f>IF(ISERROR(MATCH(A301,'SegEnds_Xtal_Prot#'!B:B, 0)), "NoXtal", "Xtal")</f>
        <v>NoXtal</v>
      </c>
      <c r="AP301" s="3">
        <f>IF(ISERROR(F301-E301),"-",F301-E301)</f>
        <v>1</v>
      </c>
      <c r="AQ301" s="3">
        <f>IF(ISERROR(I301-H301),"-",I301-H301)</f>
        <v>1</v>
      </c>
      <c r="AR301" s="3" t="str">
        <f>IF(ISERROR(L301-K301),"-",L301-K301)</f>
        <v>-</v>
      </c>
      <c r="AS301" s="3" t="str">
        <f>IF(ISERROR(O301-N301),"-",O301-N301)</f>
        <v>-</v>
      </c>
      <c r="AT301" s="3">
        <f>IF(ISERROR(R301-Q301),"-",R301-Q301)</f>
        <v>1</v>
      </c>
      <c r="AU301" s="3">
        <f>IF(ISERROR(U301-T301),"-",U301-T301)</f>
        <v>1</v>
      </c>
      <c r="AV301" s="3">
        <f>IF(ISERROR(X301-W301),"-",X301-W301)</f>
        <v>26</v>
      </c>
      <c r="AW301" s="3">
        <f>IF(ISERROR(AA301-Z301),"-",AA301-Z301)</f>
        <v>4</v>
      </c>
      <c r="AX301" s="3">
        <f>IF(ISERROR(AD301-AC301),"-",AD301-AC301)</f>
        <v>5</v>
      </c>
      <c r="AY301" s="3">
        <f>IF(ISERROR(AG301-AF301),"-",AG301-AF301)</f>
        <v>2</v>
      </c>
      <c r="AZ301" s="3">
        <f>IF(ISERROR(AJ301-AI301),"-",AJ301-AI301)</f>
        <v>1</v>
      </c>
      <c r="BA301" s="3">
        <f>IF(ISERROR(LEN(VLOOKUP(A301,Seqs!A:E,2,FALSE))-AL301),"-",LEN(VLOOKUP(A301,Seqs!A:E,2,FALSE))-AL301)</f>
        <v>8</v>
      </c>
      <c r="BB301" s="16">
        <f>J301-D301</f>
        <v>28</v>
      </c>
      <c r="BC301" s="9">
        <f>IF(ISERROR(V301-S301),"-",V301-S301)</f>
        <v>20</v>
      </c>
      <c r="BD301" s="3">
        <f>J301-D301</f>
        <v>28</v>
      </c>
      <c r="BE301" s="3">
        <f>AE301-AB301</f>
        <v>53</v>
      </c>
    </row>
    <row r="302" spans="1:59" s="3" customFormat="1" x14ac:dyDescent="0.2">
      <c r="A302" s="3" t="s">
        <v>1636</v>
      </c>
      <c r="B302" s="3" t="str">
        <f>LOWER(VLOOKUP(A302,Xtal_Templ!A:B,2,FALSE))</f>
        <v>c5ar1_human</v>
      </c>
      <c r="C302" s="3">
        <f>VLOOKUP($A302,'SegEnds_NonXtal_BW#'!$A:$Z,3,FALSE)+D302-50</f>
        <v>18</v>
      </c>
      <c r="D302" s="3">
        <v>39</v>
      </c>
      <c r="E302" s="3">
        <f>IF(ISERROR(VLOOKUP($A302,'SegEnds_NonXtal_BW#'!$A:$Z,4,FALSE)+VLOOKUP($A302,A:AL,4,FALSE)-50),"-",(VLOOKUP($A302,'SegEnds_NonXtal_BW#'!$A:$Z,4,FALSE)+VLOOKUP($A302,A:AL,4,FALSE)-50))</f>
        <v>49</v>
      </c>
      <c r="F302" s="3">
        <f t="shared" ref="F302" si="202">G302-2</f>
        <v>50</v>
      </c>
      <c r="G302" s="3">
        <v>52</v>
      </c>
      <c r="H302" s="3">
        <f t="shared" si="199"/>
        <v>53</v>
      </c>
      <c r="I302" s="3">
        <f t="shared" si="199"/>
        <v>54</v>
      </c>
      <c r="J302" s="3">
        <v>67</v>
      </c>
      <c r="K302" s="3">
        <f>VLOOKUP($A302,'SegEnds_NonXtal_BW#'!$A:$Z,8,FALSE)+VLOOKUP($A302,A:AL,10,FALSE)-50</f>
        <v>83</v>
      </c>
      <c r="L302" s="3" t="str">
        <f>IF(ISERROR(VLOOKUP($A302,'SegEnds_NonXtal_BW#'!$A:$Z,9,FALSE)+VLOOKUP($A302,A:AL,13,FALSE)-50),"-",(VLOOKUP($A302,'SegEnds_NonXtal_BW#'!$A:$Z,9,FALSE)+VLOOKUP($A302,A:AL,13,FALSE)-50))</f>
        <v>-</v>
      </c>
      <c r="M302" s="3" t="s">
        <v>23</v>
      </c>
      <c r="N302" s="3" t="str">
        <f>IF(ISERROR(VLOOKUP($A302,'SegEnds_NonXtal_BW#'!$A:$Z,10,FALSE)+VLOOKUP($A302,A:AL,13,FALSE)-50),"-",(VLOOKUP($A302,'SegEnds_NonXtal_BW#'!$A:$Z,10,FALSE)+VLOOKUP($A302,A:AL,13,FALSE)-50))</f>
        <v>-</v>
      </c>
      <c r="O302" s="3">
        <f>VLOOKUP($A302,'SegEnds_NonXtal_BW#'!$A:$Z,11,FALSE)+VLOOKUP($A302,A:AL,16,FALSE)-50</f>
        <v>90</v>
      </c>
      <c r="P302" s="3">
        <v>119</v>
      </c>
      <c r="Q302" s="3">
        <f>VLOOKUP($A302,'SegEnds_NonXtal_BW#'!$A:$Z,12,FALSE)+VLOOKUP($A302,A:AL,16,FALSE)-50</f>
        <v>125</v>
      </c>
      <c r="R302" s="3">
        <f>IF(ISERROR(VLOOKUP($A302,'SegEnds_NonXtal_BW#'!$A:$Z,13,FALSE)+VLOOKUP($A302,A:AL,19,FALSE)-50),"-",VLOOKUP($A302,'SegEnds_NonXtal_BW#'!$A:$Z,13,FALSE)+VLOOKUP($A302,A:AL,19,FALSE)-50)</f>
        <v>126</v>
      </c>
      <c r="S302" s="3">
        <v>126</v>
      </c>
      <c r="T302" s="100">
        <f>IF(ISERROR(VLOOKUP($A302,'SegEnds_NonXtal_BW#'!$A:$Z,14,FALSE)+VLOOKUP($A302,A:AL,19,FALSE)-50),"-",(VLOOKUP($A302,'SegEnds_NonXtal_BW#'!$A:$Z,14,FALSE)+VLOOKUP($A302,A:AL,19,FALSE)-50))</f>
        <v>133</v>
      </c>
      <c r="U302" s="9">
        <f>IF(ISERROR(VLOOKUP($A302,'SegEnds_NonXtal_BW#'!$A:$Z,15,FALSE)+VLOOKUP($A302,A:AL,22,FALSE)-50),"-",VLOOKUP($A302,'SegEnds_NonXtal_BW#'!$A:$Z,15,FALSE)+VLOOKUP($A302,A:AL,22,FALSE)-50)</f>
        <v>134</v>
      </c>
      <c r="V302" s="3">
        <v>146</v>
      </c>
      <c r="W302" s="3">
        <f>IF(ISERROR(VLOOKUP($A302,'SegEnds_NonXtal_BW#'!$A:$Z,16,FALSE)+VLOOKUP($A302,A:AL,22,FALSE)-50),"-",(VLOOKUP($A302,'SegEnds_NonXtal_BW#'!$A:$Z,16,FALSE)+VLOOKUP($A302,A:AL,22,FALSE)-50))</f>
        <v>160</v>
      </c>
      <c r="X302" s="3">
        <f>IF(ISERROR(VLOOKUP($A302,'SegEnds_NonXtal_BW#'!$A:$Z,17,FALSE)+VLOOKUP($A302,A:AL,25,FALSE)-50),"-",(VLOOKUP($A302,'SegEnds_NonXtal_BW#'!$A:$Z,17,FALSE)+VLOOKUP($A302,A:AL,25,FALSE)-50))</f>
        <v>186</v>
      </c>
      <c r="Y302" s="3">
        <v>186</v>
      </c>
      <c r="Z302" s="3">
        <f>Y302+2</f>
        <v>188</v>
      </c>
      <c r="AA302" s="3">
        <f>IF(ISERROR(VLOOKUP($A302,'SegEnds_NonXtal_BW#'!$A:$Z,19,FALSE)+VLOOKUP($A302,A:AL,28,FALSE)-50),"-",(VLOOKUP($A302,'SegEnds_NonXtal_BW#'!$A:$Z,19,FALSE)+VLOOKUP($A302,A:AL,28,FALSE)-50))</f>
        <v>192</v>
      </c>
      <c r="AB302" s="3">
        <v>207</v>
      </c>
      <c r="AC302" s="3">
        <f>IF(ISERROR((VLOOKUP($A302,'SegEnds_NonXtal_BW#'!$A:$Z,20,FALSE)+VLOOKUP($A302,A:AL,28,FALSE)-50)),"-",(VLOOKUP($A302,'SegEnds_NonXtal_BW#'!$A:$Z,20,FALSE)+VLOOKUP($A302,A:AL,28,FALSE)-50))</f>
        <v>229</v>
      </c>
      <c r="AD302" s="3">
        <f>IF(ISERROR(VLOOKUP($A302,'SegEnds_NonXtal_BW#'!$A:$Z,21,FALSE)+VLOOKUP($A302,A:AL,31,FALSE)-50),"-",(VLOOKUP($A302,'SegEnds_NonXtal_BW#'!$A:$Z,21,FALSE)+VLOOKUP($A302,A:AL,31,FALSE)-50))</f>
        <v>232</v>
      </c>
      <c r="AE302" s="3">
        <v>259</v>
      </c>
      <c r="AF302" s="3">
        <f>IF(ISERROR((VLOOKUP($A302,'SegEnds_NonXtal_BW#'!$A:$Z,22,FALSE)+VLOOKUP($A302,A:AL,31,FALSE)-50)),"-",(VLOOKUP($A302,'SegEnds_NonXtal_BW#'!$A:$Z,22,FALSE)+VLOOKUP($A302,A:AL,31,FALSE)-50))</f>
        <v>263</v>
      </c>
      <c r="AG302" s="3">
        <f>IF(ISERROR(VLOOKUP($A302,'SegEnds_NonXtal_BW#'!$A:$Z,23,FALSE)+VLOOKUP($A302,A:AL,34,FALSE)-50),"-",(VLOOKUP($A302,'SegEnds_NonXtal_BW#'!$A:$Z,23,FALSE)+VLOOKUP($A302,A:AL,34,FALSE)-50))</f>
        <v>266</v>
      </c>
      <c r="AH302" s="3">
        <v>284</v>
      </c>
      <c r="AI302" s="3">
        <f>IF(ISERROR((VLOOKUP($A302,'SegEnds_NonXtal_BW#'!$A:$Z,24,FALSE)+VLOOKUP($A302,A:AL,34,FALSE)-50)),"-",(VLOOKUP($A302,'SegEnds_NonXtal_BW#'!$A:$Z,24,FALSE)+VLOOKUP($A302,A:AL,34,FALSE)-50))</f>
        <v>290</v>
      </c>
      <c r="AJ302" s="3">
        <f>IF(ISERROR(VLOOKUP($A302,'SegEnds_NonXtal_BW#'!$A:$Z,25,FALSE)+VLOOKUP($A302,A:AL,37,FALSE)-50),"-",(VLOOKUP($A302,'SegEnds_NonXtal_BW#'!$A:$Z,25,FALSE)+VLOOKUP($A302,A:AL,37,FALSE)-50))</f>
        <v>291</v>
      </c>
      <c r="AK302" s="3">
        <v>294</v>
      </c>
      <c r="AL302" s="3">
        <f>IF(ISERROR((VLOOKUP($A302,'SegEnds_NonXtal_BW#'!$A:$Z,26,FALSE)+VLOOKUP($A302,A:AL,37,FALSE)-50)),"-",(VLOOKUP($A302,'SegEnds_NonXtal_BW#'!$A:$Z,26,FALSE)+VLOOKUP($A302,A:AL,37,FALSE)-50))</f>
        <v>300</v>
      </c>
      <c r="AM302" s="28" t="str">
        <f>VLOOKUP(A302,Classification!A:B,2,FALSE)</f>
        <v>A</v>
      </c>
      <c r="AN302" s="28" t="b">
        <f>AND(IF(Y302="-",IF(AA302-W302&gt;3,TRUE,FALSE),TRUE),IF(M302="-",IF(O302-K302&gt;3,TRUE,FALSE),TRUE),IF(AG302-AF302&gt;1,TRUE,FALSE),C302&lt;E302,OR(E302&lt;F302,F302="-"),OR(F302&lt;H302,F302="-"),OR(H302&lt;I302,H302="-"),I302&lt;K302,OR(K302&lt;L302,L302="-"),OR(L302&lt;N302,L302="-"),OR(N302&lt;O302,N302="-"),O302&lt;Q302,OR(Q302&lt;R302,R302="-"),OR(R302&lt;T302,R302="-"),OR(T302&lt;U302,T302="-"),U302&lt;W302,OR(W302&lt;X302,X302="-"),OR(X302&lt;Z302,X302="-"),OR(Z302&lt;AA302,Z302="-"),AA302&lt;AC302,AC302&lt;AD302,AD302&lt;AF302,AF302&lt;AG302,AG302&lt;AI302,OR(AI302&lt;AJ302,AJ302="-"),OR(AJ302&lt;AL302,AJ302="-"))</f>
        <v>1</v>
      </c>
      <c r="AO302" s="3" t="str">
        <f>IF(ISERROR(MATCH(A302,'SegEnds_Xtal_Prot#'!B:B, 0)), "NoXtal", "Xtal")</f>
        <v>NoXtal</v>
      </c>
      <c r="AP302" s="3">
        <f>IF(ISERROR(F302-E302),"-",F302-E302)</f>
        <v>1</v>
      </c>
      <c r="AQ302" s="3">
        <f>IF(ISERROR(I302-H302),"-",I302-H302)</f>
        <v>1</v>
      </c>
      <c r="AR302" s="3" t="str">
        <f>IF(ISERROR(L302-K302),"-",L302-K302)</f>
        <v>-</v>
      </c>
      <c r="AS302" s="3" t="str">
        <f>IF(ISERROR(O302-N302),"-",O302-N302)</f>
        <v>-</v>
      </c>
      <c r="AT302" s="3">
        <f>IF(ISERROR(R302-Q302),"-",R302-Q302)</f>
        <v>1</v>
      </c>
      <c r="AU302" s="3">
        <f>IF(ISERROR(U302-T302),"-",U302-T302)</f>
        <v>1</v>
      </c>
      <c r="AV302" s="3">
        <f>IF(ISERROR(X302-W302),"-",X302-W302)</f>
        <v>26</v>
      </c>
      <c r="AW302" s="3">
        <f>IF(ISERROR(AA302-Z302),"-",AA302-Z302)</f>
        <v>4</v>
      </c>
      <c r="AX302" s="3">
        <f>IF(ISERROR(AD302-AC302),"-",AD302-AC302)</f>
        <v>3</v>
      </c>
      <c r="AY302" s="3">
        <f>IF(ISERROR(AG302-AF302),"-",AG302-AF302)</f>
        <v>3</v>
      </c>
      <c r="AZ302" s="3">
        <f>IF(ISERROR(AJ302-AI302),"-",AJ302-AI302)</f>
        <v>1</v>
      </c>
      <c r="BA302" s="3">
        <f>IF(ISERROR(LEN(VLOOKUP(A302,Seqs!A:E,2,FALSE))-AL302),"-",LEN(VLOOKUP(A302,Seqs!A:E,2,FALSE))-AL302)</f>
        <v>16</v>
      </c>
      <c r="BB302" s="16">
        <f>J302-D302</f>
        <v>28</v>
      </c>
      <c r="BC302" s="9">
        <f>IF(ISERROR(V302-S302),"-",V302-S302)</f>
        <v>20</v>
      </c>
      <c r="BD302" s="3">
        <f>J302-D302</f>
        <v>28</v>
      </c>
      <c r="BE302" s="3">
        <f>AE302-AB302</f>
        <v>52</v>
      </c>
    </row>
    <row r="303" spans="1:59" s="3" customFormat="1" x14ac:dyDescent="0.2">
      <c r="A303" s="3" t="s">
        <v>400</v>
      </c>
      <c r="B303" s="3" t="str">
        <f>LOWER(VLOOKUP(A303,Xtal_Templ!A:B,2,FALSE))</f>
        <v>calcr_human</v>
      </c>
      <c r="C303" s="3">
        <f>VLOOKUP($A303,'SegEnds_NonXtal_BW#'!$A:$Z,3,FALSE)+D303-50</f>
        <v>132</v>
      </c>
      <c r="D303" s="3">
        <v>163</v>
      </c>
      <c r="E303" s="3">
        <f>IF(ISERROR(VLOOKUP($A303,'SegEnds_NonXtal_BW#'!$A:$Z,4,FALSE)+VLOOKUP($A303,A:AL,4,FALSE)-50),"-",(VLOOKUP($A303,'SegEnds_NonXtal_BW#'!$A:$Z,4,FALSE)+VLOOKUP($A303,A:AL,4,FALSE)-50))</f>
        <v>173</v>
      </c>
      <c r="F303" s="3">
        <f t="shared" si="192"/>
        <v>174</v>
      </c>
      <c r="G303" s="3">
        <v>176</v>
      </c>
      <c r="H303" s="3">
        <f t="shared" si="198"/>
        <v>177</v>
      </c>
      <c r="I303" s="3">
        <f t="shared" si="198"/>
        <v>178</v>
      </c>
      <c r="J303" s="3">
        <v>191</v>
      </c>
      <c r="K303" s="3">
        <f>VLOOKUP($A303,'SegEnds_NonXtal_BW#'!$A:$Z,8,FALSE)+VLOOKUP($A303,A:AL,10,FALSE)-50</f>
        <v>205</v>
      </c>
      <c r="L303" s="3" t="str">
        <f>IF(ISERROR(VLOOKUP($A303,'SegEnds_NonXtal_BW#'!$A:$Z,9,FALSE)+VLOOKUP($A303,A:AL,13,FALSE)-50),"-",(VLOOKUP($A303,'SegEnds_NonXtal_BW#'!$A:$Z,9,FALSE)+VLOOKUP($A303,A:AL,13,FALSE)-50))</f>
        <v>-</v>
      </c>
      <c r="M303" s="3" t="s">
        <v>23</v>
      </c>
      <c r="N303" s="3" t="str">
        <f>IF(ISERROR(VLOOKUP($A303,'SegEnds_NonXtal_BW#'!$A:$Z,10,FALSE)+VLOOKUP($A303,A:AL,13,FALSE)-50),"-",(VLOOKUP($A303,'SegEnds_NonXtal_BW#'!$A:$Z,10,FALSE)+VLOOKUP($A303,A:AL,13,FALSE)-50))</f>
        <v>-</v>
      </c>
      <c r="O303" s="3">
        <f>VLOOKUP($A303,'SegEnds_NonXtal_BW#'!$A:$Z,11,FALSE)+VLOOKUP($A303,A:AL,16,FALSE)-50</f>
        <v>217</v>
      </c>
      <c r="P303" s="3">
        <v>244</v>
      </c>
      <c r="Q303" s="3">
        <f>VLOOKUP($A303,'SegEnds_NonXtal_BW#'!$A:$Z,12,FALSE)+VLOOKUP($A303,A:AL,16,FALSE)-50</f>
        <v>250</v>
      </c>
      <c r="R303" s="3" t="str">
        <f>IF(ISERROR(VLOOKUP($A303,'SegEnds_NonXtal_BW#'!$A:$Z,13,FALSE)+VLOOKUP($A303,A:AL,19,FALSE)-50),"-",VLOOKUP($A303,'SegEnds_NonXtal_BW#'!$A:$Z,13,FALSE)+VLOOKUP($A303,A:AL,19,FALSE)-50)</f>
        <v>-</v>
      </c>
      <c r="S303" s="3" t="s">
        <v>23</v>
      </c>
      <c r="T303" s="100" t="str">
        <f>IF(ISERROR(VLOOKUP($A303,'SegEnds_NonXtal_BW#'!$A:$Z,14,FALSE)+VLOOKUP($A303,A:AL,19,FALSE)-50),"-",(VLOOKUP($A303,'SegEnds_NonXtal_BW#'!$A:$Z,14,FALSE)+VLOOKUP($A303,A:AL,19,FALSE)-50))</f>
        <v>-</v>
      </c>
      <c r="U303" s="9">
        <f>IF(ISERROR(VLOOKUP($A303,'SegEnds_NonXtal_BW#'!$A:$Z,15,FALSE)+VLOOKUP($A303,A:AL,22,FALSE)-50),"-",VLOOKUP($A303,'SegEnds_NonXtal_BW#'!$A:$Z,15,FALSE)+VLOOKUP($A303,A:AL,22,FALSE)-50)</f>
        <v>258</v>
      </c>
      <c r="V303" s="3">
        <v>267</v>
      </c>
      <c r="W303" s="3">
        <f>IF(ISERROR(VLOOKUP($A303,'SegEnds_NonXtal_BW#'!$A:$Z,16,FALSE)+VLOOKUP($A303,A:AL,22,FALSE)-50),"-",(VLOOKUP($A303,'SegEnds_NonXtal_BW#'!$A:$Z,16,FALSE)+VLOOKUP($A303,A:AL,22,FALSE)-50))</f>
        <v>285</v>
      </c>
      <c r="X303" s="3">
        <f>IF(ISERROR(VLOOKUP($A303,'SegEnds_NonXtal_BW#'!$A:$Z,17,FALSE)+VLOOKUP($A303,A:AL,25,FALSE)-50),"-",(VLOOKUP($A303,'SegEnds_NonXtal_BW#'!$A:$Z,17,FALSE)+VLOOKUP($A303,A:AL,25,FALSE)-50))</f>
        <v>289</v>
      </c>
      <c r="Y303" s="3">
        <v>289</v>
      </c>
      <c r="Z303" s="3">
        <f t="shared" si="197"/>
        <v>291</v>
      </c>
      <c r="AA303" s="3">
        <f>IF(ISERROR(VLOOKUP($A303,'SegEnds_NonXtal_BW#'!$A:$Z,19,FALSE)+VLOOKUP($A303,A:AL,28,FALSE)-50),"-",(VLOOKUP($A303,'SegEnds_NonXtal_BW#'!$A:$Z,19,FALSE)+VLOOKUP($A303,A:AL,28,FALSE)-50))</f>
        <v>298</v>
      </c>
      <c r="AB303" s="3">
        <v>308</v>
      </c>
      <c r="AC303" s="3">
        <f>IF(ISERROR((VLOOKUP($A303,'SegEnds_NonXtal_BW#'!$A:$Z,20,FALSE)+VLOOKUP($A303,A:AL,28,FALSE)-50)),"-",(VLOOKUP($A303,'SegEnds_NonXtal_BW#'!$A:$Z,20,FALSE)+VLOOKUP($A303,A:AL,28,FALSE)-50))</f>
        <v>328</v>
      </c>
      <c r="AD303" s="3">
        <f>IF(ISERROR(VLOOKUP($A303,'SegEnds_NonXtal_BW#'!$A:$Z,21,FALSE)+VLOOKUP($A303,A:AL,31,FALSE)-50),"-",(VLOOKUP($A303,'SegEnds_NonXtal_BW#'!$A:$Z,21,FALSE)+VLOOKUP($A303,A:AL,31,FALSE)-50))</f>
        <v>338</v>
      </c>
      <c r="AE303" s="3">
        <v>358</v>
      </c>
      <c r="AF303" s="3">
        <f>IF(ISERROR((VLOOKUP($A303,'SegEnds_NonXtal_BW#'!$A:$Z,22,FALSE)+VLOOKUP($A303,A:AL,31,FALSE)-50)),"-",(VLOOKUP($A303,'SegEnds_NonXtal_BW#'!$A:$Z,22,FALSE)+VLOOKUP($A303,A:AL,31,FALSE)-50))</f>
        <v>361</v>
      </c>
      <c r="AG303" s="3">
        <f>IF(ISERROR(VLOOKUP($A303,'SegEnds_NonXtal_BW#'!$A:$Z,23,FALSE)+VLOOKUP($A303,A:AL,34,FALSE)-50),"-",(VLOOKUP($A303,'SegEnds_NonXtal_BW#'!$A:$Z,23,FALSE)+VLOOKUP($A303,A:AL,34,FALSE)-50))</f>
        <v>366</v>
      </c>
      <c r="AH303" s="3">
        <v>388</v>
      </c>
      <c r="AI303" s="3">
        <f>IF(ISERROR((VLOOKUP($A303,'SegEnds_NonXtal_BW#'!$A:$Z,24,FALSE)+VLOOKUP($A303,A:AL,34,FALSE)-50)),"-",(VLOOKUP($A303,'SegEnds_NonXtal_BW#'!$A:$Z,24,FALSE)+VLOOKUP($A303,A:AL,34,FALSE)-50))</f>
        <v>394</v>
      </c>
      <c r="AJ303" s="3">
        <f>IF(ISERROR(VLOOKUP($A303,'SegEnds_NonXtal_BW#'!$A:$Z,25,FALSE)+VLOOKUP($A303,A:AL,37,FALSE)-50),"-",(VLOOKUP($A303,'SegEnds_NonXtal_BW#'!$A:$Z,25,FALSE)+VLOOKUP($A303,A:AL,37,FALSE)-50))</f>
        <v>395</v>
      </c>
      <c r="AK303" s="3">
        <v>398</v>
      </c>
      <c r="AL303" s="3">
        <f>IF(ISERROR((VLOOKUP($A303,'SegEnds_NonXtal_BW#'!$A:$Z,26,FALSE)+VLOOKUP($A303,A:AL,37,FALSE)-50)),"-",(VLOOKUP($A303,'SegEnds_NonXtal_BW#'!$A:$Z,26,FALSE)+VLOOKUP($A303,A:AL,37,FALSE)-50))</f>
        <v>420</v>
      </c>
      <c r="AM303" s="28" t="str">
        <f>VLOOKUP(A303,Classification!A:B,2,FALSE)</f>
        <v>B1</v>
      </c>
      <c r="AN303" s="28" t="b">
        <f t="shared" si="188"/>
        <v>1</v>
      </c>
      <c r="AO303" s="3" t="str">
        <f>IF(ISERROR(MATCH(A303,'SegEnds_Xtal_Prot#'!B:B, 0)), "NoXtal", "Xtal")</f>
        <v>Xtal</v>
      </c>
      <c r="AP303" s="3">
        <f t="shared" si="173"/>
        <v>1</v>
      </c>
      <c r="AQ303" s="3">
        <f t="shared" si="174"/>
        <v>1</v>
      </c>
      <c r="AR303" s="3" t="str">
        <f t="shared" si="175"/>
        <v>-</v>
      </c>
      <c r="AS303" s="3" t="str">
        <f t="shared" si="176"/>
        <v>-</v>
      </c>
      <c r="AT303" s="3" t="str">
        <f t="shared" si="177"/>
        <v>-</v>
      </c>
      <c r="AU303" s="3" t="str">
        <f t="shared" si="178"/>
        <v>-</v>
      </c>
      <c r="AV303" s="3">
        <f t="shared" si="179"/>
        <v>4</v>
      </c>
      <c r="AW303" s="3">
        <f t="shared" si="180"/>
        <v>7</v>
      </c>
      <c r="AX303" s="3">
        <f t="shared" si="181"/>
        <v>10</v>
      </c>
      <c r="AY303" s="3">
        <f t="shared" si="182"/>
        <v>5</v>
      </c>
      <c r="AZ303" s="3">
        <f t="shared" si="183"/>
        <v>1</v>
      </c>
      <c r="BA303" s="3">
        <f>IF(ISERROR(LEN(VLOOKUP(A303,Seqs!A:E,2,FALSE))-AL303),"-",LEN(VLOOKUP(A303,Seqs!A:E,2,FALSE))-AL303)</f>
        <v>54</v>
      </c>
      <c r="BB303" s="16">
        <f t="shared" si="184"/>
        <v>28</v>
      </c>
      <c r="BC303" s="9" t="str">
        <f t="shared" si="185"/>
        <v>-</v>
      </c>
      <c r="BD303" s="3">
        <f t="shared" si="186"/>
        <v>28</v>
      </c>
      <c r="BE303" s="3">
        <f t="shared" si="187"/>
        <v>50</v>
      </c>
    </row>
    <row r="304" spans="1:59" s="3" customFormat="1" ht="17" customHeight="1" x14ac:dyDescent="0.2">
      <c r="A304" s="3" t="s">
        <v>401</v>
      </c>
      <c r="B304" s="3" t="str">
        <f>LOWER(VLOOKUP(A304,Xtal_Templ!A:B,2,FALSE))</f>
        <v>calrl_human</v>
      </c>
      <c r="C304" s="3">
        <f>VLOOKUP($A304,'SegEnds_NonXtal_BW#'!$A:$Z,3,FALSE)+D304-50</f>
        <v>130</v>
      </c>
      <c r="D304" s="3">
        <v>156</v>
      </c>
      <c r="E304" s="3">
        <f>IF(ISERROR(VLOOKUP($A304,'SegEnds_NonXtal_BW#'!$A:$Z,4,FALSE)+VLOOKUP($A304,A:AL,4,FALSE)-50),"-",(VLOOKUP($A304,'SegEnds_NonXtal_BW#'!$A:$Z,4,FALSE)+VLOOKUP($A304,A:AL,4,FALSE)-50))</f>
        <v>166</v>
      </c>
      <c r="F304" s="3">
        <f t="shared" si="192"/>
        <v>167</v>
      </c>
      <c r="G304" s="3">
        <v>169</v>
      </c>
      <c r="H304" s="3">
        <f t="shared" si="198"/>
        <v>170</v>
      </c>
      <c r="I304" s="3">
        <f t="shared" si="198"/>
        <v>171</v>
      </c>
      <c r="J304" s="3">
        <v>184</v>
      </c>
      <c r="K304" s="3">
        <f>VLOOKUP($A304,'SegEnds_NonXtal_BW#'!$A:$Z,8,FALSE)+VLOOKUP($A304,A:AL,10,FALSE)-50</f>
        <v>198</v>
      </c>
      <c r="L304" s="3" t="str">
        <f>IF(ISERROR(VLOOKUP($A304,'SegEnds_NonXtal_BW#'!$A:$Z,9,FALSE)+VLOOKUP($A304,A:AL,13,FALSE)-50),"-",(VLOOKUP($A304,'SegEnds_NonXtal_BW#'!$A:$Z,9,FALSE)+VLOOKUP($A304,A:AL,13,FALSE)-50))</f>
        <v>-</v>
      </c>
      <c r="M304" s="3" t="s">
        <v>23</v>
      </c>
      <c r="N304" s="3" t="str">
        <f>IF(ISERROR(VLOOKUP($A304,'SegEnds_NonXtal_BW#'!$A:$Z,10,FALSE)+VLOOKUP($A304,A:AL,13,FALSE)-50),"-",(VLOOKUP($A304,'SegEnds_NonXtal_BW#'!$A:$Z,10,FALSE)+VLOOKUP($A304,A:AL,13,FALSE)-50))</f>
        <v>-</v>
      </c>
      <c r="O304" s="3">
        <f>VLOOKUP($A304,'SegEnds_NonXtal_BW#'!$A:$Z,11,FALSE)+VLOOKUP($A304,A:AL,16,FALSE)-50</f>
        <v>210</v>
      </c>
      <c r="P304" s="3">
        <v>237</v>
      </c>
      <c r="Q304" s="3">
        <f>VLOOKUP($A304,'SegEnds_NonXtal_BW#'!$A:$Z,12,FALSE)+VLOOKUP($A304,A:AL,16,FALSE)-50</f>
        <v>243</v>
      </c>
      <c r="R304" s="3" t="str">
        <f>IF(ISERROR(VLOOKUP($A304,'SegEnds_NonXtal_BW#'!$A:$Z,13,FALSE)+VLOOKUP($A304,A:AL,19,FALSE)-50),"-",VLOOKUP($A304,'SegEnds_NonXtal_BW#'!$A:$Z,13,FALSE)+VLOOKUP($A304,A:AL,19,FALSE)-50)</f>
        <v>-</v>
      </c>
      <c r="S304" s="3" t="s">
        <v>23</v>
      </c>
      <c r="T304" s="100" t="str">
        <f>IF(ISERROR(VLOOKUP($A304,'SegEnds_NonXtal_BW#'!$A:$Z,14,FALSE)+VLOOKUP($A304,A:AL,19,FALSE)-50),"-",(VLOOKUP($A304,'SegEnds_NonXtal_BW#'!$A:$Z,14,FALSE)+VLOOKUP($A304,A:AL,19,FALSE)-50))</f>
        <v>-</v>
      </c>
      <c r="U304" s="9">
        <f>IF(ISERROR(VLOOKUP($A304,'SegEnds_NonXtal_BW#'!$A:$Z,15,FALSE)+VLOOKUP($A304,A:AL,22,FALSE)-50),"-",VLOOKUP($A304,'SegEnds_NonXtal_BW#'!$A:$Z,15,FALSE)+VLOOKUP($A304,A:AL,22,FALSE)-50)</f>
        <v>251</v>
      </c>
      <c r="V304" s="3">
        <v>260</v>
      </c>
      <c r="W304" s="3">
        <f>IF(ISERROR(VLOOKUP($A304,'SegEnds_NonXtal_BW#'!$A:$Z,16,FALSE)+VLOOKUP($A304,A:AL,22,FALSE)-50),"-",(VLOOKUP($A304,'SegEnds_NonXtal_BW#'!$A:$Z,16,FALSE)+VLOOKUP($A304,A:AL,22,FALSE)-50))</f>
        <v>277</v>
      </c>
      <c r="X304" s="3">
        <f>IF(ISERROR(VLOOKUP($A304,'SegEnds_NonXtal_BW#'!$A:$Z,17,FALSE)+VLOOKUP($A304,A:AL,25,FALSE)-50),"-",(VLOOKUP($A304,'SegEnds_NonXtal_BW#'!$A:$Z,17,FALSE)+VLOOKUP($A304,A:AL,25,FALSE)-50))</f>
        <v>282</v>
      </c>
      <c r="Y304" s="3">
        <v>282</v>
      </c>
      <c r="Z304" s="3">
        <f t="shared" si="197"/>
        <v>284</v>
      </c>
      <c r="AA304" s="3">
        <f>IF(ISERROR(VLOOKUP($A304,'SegEnds_NonXtal_BW#'!$A:$Z,19,FALSE)+VLOOKUP($A304,A:AL,28,FALSE)-50),"-",(VLOOKUP($A304,'SegEnds_NonXtal_BW#'!$A:$Z,19,FALSE)+VLOOKUP($A304,A:AL,28,FALSE)-50))</f>
        <v>290</v>
      </c>
      <c r="AB304" s="3">
        <v>301</v>
      </c>
      <c r="AC304" s="3">
        <f>IF(ISERROR((VLOOKUP($A304,'SegEnds_NonXtal_BW#'!$A:$Z,20,FALSE)+VLOOKUP($A304,A:AL,28,FALSE)-50)),"-",(VLOOKUP($A304,'SegEnds_NonXtal_BW#'!$A:$Z,20,FALSE)+VLOOKUP($A304,A:AL,28,FALSE)-50))</f>
        <v>321</v>
      </c>
      <c r="AD304" s="3">
        <f>IF(ISERROR(VLOOKUP($A304,'SegEnds_NonXtal_BW#'!$A:$Z,21,FALSE)+VLOOKUP($A304,A:AL,31,FALSE)-50),"-",(VLOOKUP($A304,'SegEnds_NonXtal_BW#'!$A:$Z,21,FALSE)+VLOOKUP($A304,A:AL,31,FALSE)-50))</f>
        <v>331</v>
      </c>
      <c r="AE304" s="3">
        <v>351</v>
      </c>
      <c r="AF304" s="3">
        <f>IF(ISERROR((VLOOKUP($A304,'SegEnds_NonXtal_BW#'!$A:$Z,22,FALSE)+VLOOKUP($A304,A:AL,31,FALSE)-50)),"-",(VLOOKUP($A304,'SegEnds_NonXtal_BW#'!$A:$Z,22,FALSE)+VLOOKUP($A304,A:AL,31,FALSE)-50))</f>
        <v>354</v>
      </c>
      <c r="AG304" s="3">
        <f>IF(ISERROR(VLOOKUP($A304,'SegEnds_NonXtal_BW#'!$A:$Z,23,FALSE)+VLOOKUP($A304,A:AL,34,FALSE)-50),"-",(VLOOKUP($A304,'SegEnds_NonXtal_BW#'!$A:$Z,23,FALSE)+VLOOKUP($A304,A:AL,34,FALSE)-50))</f>
        <v>359</v>
      </c>
      <c r="AH304" s="3">
        <v>381</v>
      </c>
      <c r="AI304" s="3">
        <f>IF(ISERROR((VLOOKUP($A304,'SegEnds_NonXtal_BW#'!$A:$Z,24,FALSE)+VLOOKUP($A304,A:AL,34,FALSE)-50)),"-",(VLOOKUP($A304,'SegEnds_NonXtal_BW#'!$A:$Z,24,FALSE)+VLOOKUP($A304,A:AL,34,FALSE)-50))</f>
        <v>387</v>
      </c>
      <c r="AJ304" s="3">
        <f>IF(ISERROR(VLOOKUP($A304,'SegEnds_NonXtal_BW#'!$A:$Z,25,FALSE)+VLOOKUP($A304,A:AL,37,FALSE)-50),"-",(VLOOKUP($A304,'SegEnds_NonXtal_BW#'!$A:$Z,25,FALSE)+VLOOKUP($A304,A:AL,37,FALSE)-50))</f>
        <v>388</v>
      </c>
      <c r="AK304" s="3">
        <v>391</v>
      </c>
      <c r="AL304" s="3">
        <f>IF(ISERROR((VLOOKUP($A304,'SegEnds_NonXtal_BW#'!$A:$Z,26,FALSE)+VLOOKUP($A304,A:AL,37,FALSE)-50)),"-",(VLOOKUP($A304,'SegEnds_NonXtal_BW#'!$A:$Z,26,FALSE)+VLOOKUP($A304,A:AL,37,FALSE)-50))</f>
        <v>413</v>
      </c>
      <c r="AM304" s="28" t="str">
        <f>VLOOKUP(A304,Classification!A:B,2,FALSE)</f>
        <v>B1</v>
      </c>
      <c r="AN304" s="28" t="b">
        <f t="shared" si="188"/>
        <v>1</v>
      </c>
      <c r="AO304" s="3" t="str">
        <f>IF(ISERROR(MATCH(A304,'SegEnds_Xtal_Prot#'!B:B, 0)), "NoXtal", "Xtal")</f>
        <v>Xtal</v>
      </c>
      <c r="AP304" s="3">
        <f t="shared" si="173"/>
        <v>1</v>
      </c>
      <c r="AQ304" s="3">
        <f t="shared" si="174"/>
        <v>1</v>
      </c>
      <c r="AR304" s="3" t="str">
        <f t="shared" si="175"/>
        <v>-</v>
      </c>
      <c r="AS304" s="3" t="str">
        <f t="shared" si="176"/>
        <v>-</v>
      </c>
      <c r="AT304" s="3" t="str">
        <f t="shared" si="177"/>
        <v>-</v>
      </c>
      <c r="AU304" s="3" t="str">
        <f t="shared" si="178"/>
        <v>-</v>
      </c>
      <c r="AV304" s="3">
        <f t="shared" si="179"/>
        <v>5</v>
      </c>
      <c r="AW304" s="3">
        <f t="shared" si="180"/>
        <v>6</v>
      </c>
      <c r="AX304" s="3">
        <f t="shared" si="181"/>
        <v>10</v>
      </c>
      <c r="AY304" s="3">
        <f t="shared" si="182"/>
        <v>5</v>
      </c>
      <c r="AZ304" s="3">
        <f t="shared" si="183"/>
        <v>1</v>
      </c>
      <c r="BA304" s="3">
        <f>IF(ISERROR(LEN(VLOOKUP(A304,Seqs!A:E,2,FALSE))-AL304),"-",LEN(VLOOKUP(A304,Seqs!A:E,2,FALSE))-AL304)</f>
        <v>48</v>
      </c>
      <c r="BB304" s="16">
        <f t="shared" si="184"/>
        <v>28</v>
      </c>
      <c r="BC304" s="9" t="str">
        <f t="shared" si="185"/>
        <v>-</v>
      </c>
      <c r="BD304" s="3">
        <f t="shared" si="186"/>
        <v>28</v>
      </c>
      <c r="BE304" s="3">
        <f t="shared" si="187"/>
        <v>50</v>
      </c>
    </row>
    <row r="305" spans="1:58" s="3" customFormat="1" x14ac:dyDescent="0.2">
      <c r="A305" s="3" t="s">
        <v>38</v>
      </c>
      <c r="B305" s="3" t="str">
        <f>LOWER(VLOOKUP(A305,Xtal_Templ!A:B,2,FALSE))</f>
        <v>crfr1_human</v>
      </c>
      <c r="C305" s="3">
        <f>VLOOKUP($A305,'SegEnds_NonXtal_BW#'!$A:$Z,3,FALSE)+D305-50</f>
        <v>103</v>
      </c>
      <c r="D305" s="3">
        <v>134</v>
      </c>
      <c r="E305" s="3">
        <f>IF(ISERROR(VLOOKUP($A305,'SegEnds_NonXtal_BW#'!$A:$Z,4,FALSE)+VLOOKUP($A305,A:AL,4,FALSE)-50),"-",(VLOOKUP($A305,'SegEnds_NonXtal_BW#'!$A:$Z,4,FALSE)+VLOOKUP($A305,A:AL,4,FALSE)-50))</f>
        <v>144</v>
      </c>
      <c r="F305" s="3">
        <f t="shared" si="192"/>
        <v>145</v>
      </c>
      <c r="G305" s="3">
        <v>147</v>
      </c>
      <c r="H305" s="3">
        <f t="shared" si="198"/>
        <v>148</v>
      </c>
      <c r="I305" s="3">
        <f t="shared" si="198"/>
        <v>149</v>
      </c>
      <c r="J305" s="3">
        <v>162</v>
      </c>
      <c r="K305" s="3">
        <f>VLOOKUP($A305,'SegEnds_NonXtal_BW#'!$A:$Z,8,FALSE)+VLOOKUP($A305,A:AL,10,FALSE)-50</f>
        <v>175</v>
      </c>
      <c r="L305" s="3" t="str">
        <f>IF(ISERROR(VLOOKUP($A305,'SegEnds_NonXtal_BW#'!$A:$Z,9,FALSE)+VLOOKUP($A305,A:AL,13,FALSE)-50),"-",(VLOOKUP($A305,'SegEnds_NonXtal_BW#'!$A:$Z,9,FALSE)+VLOOKUP($A305,A:AL,13,FALSE)-50))</f>
        <v>-</v>
      </c>
      <c r="M305" s="3" t="s">
        <v>23</v>
      </c>
      <c r="N305" s="3" t="str">
        <f>IF(ISERROR(VLOOKUP($A305,'SegEnds_NonXtal_BW#'!$A:$Z,10,FALSE)+VLOOKUP($A305,A:AL,13,FALSE)-50),"-",(VLOOKUP($A305,'SegEnds_NonXtal_BW#'!$A:$Z,10,FALSE)+VLOOKUP($A305,A:AL,13,FALSE)-50))</f>
        <v>-</v>
      </c>
      <c r="O305" s="3">
        <f>VLOOKUP($A305,'SegEnds_NonXtal_BW#'!$A:$Z,11,FALSE)+VLOOKUP($A305,A:AL,16,FALSE)-50</f>
        <v>185</v>
      </c>
      <c r="P305" s="3">
        <v>213</v>
      </c>
      <c r="Q305" s="3">
        <f>VLOOKUP($A305,'SegEnds_NonXtal_BW#'!$A:$Z,12,FALSE)+VLOOKUP($A305,A:AL,16,FALSE)-50</f>
        <v>219</v>
      </c>
      <c r="R305" s="3" t="str">
        <f>IF(ISERROR(VLOOKUP($A305,'SegEnds_NonXtal_BW#'!$A:$Z,13,FALSE)+VLOOKUP($A305,A:AL,19,FALSE)-50),"-",VLOOKUP($A305,'SegEnds_NonXtal_BW#'!$A:$Z,13,FALSE)+VLOOKUP($A305,A:AL,19,FALSE)-50)</f>
        <v>-</v>
      </c>
      <c r="S305" s="3" t="s">
        <v>23</v>
      </c>
      <c r="T305" s="100" t="str">
        <f>IF(ISERROR(VLOOKUP($A305,'SegEnds_NonXtal_BW#'!$A:$Z,14,FALSE)+VLOOKUP($A305,A:AL,19,FALSE)-50),"-",(VLOOKUP($A305,'SegEnds_NonXtal_BW#'!$A:$Z,14,FALSE)+VLOOKUP($A305,A:AL,19,FALSE)-50))</f>
        <v>-</v>
      </c>
      <c r="U305" s="9">
        <f>IF(ISERROR(VLOOKUP($A305,'SegEnds_NonXtal_BW#'!$A:$Z,15,FALSE)+VLOOKUP($A305,A:AL,22,FALSE)-50),"-",VLOOKUP($A305,'SegEnds_NonXtal_BW#'!$A:$Z,15,FALSE)+VLOOKUP($A305,A:AL,22,FALSE)-50)</f>
        <v>226</v>
      </c>
      <c r="V305" s="3">
        <v>236</v>
      </c>
      <c r="W305" s="3">
        <f>IF(ISERROR(VLOOKUP($A305,'SegEnds_NonXtal_BW#'!$A:$Z,16,FALSE)+VLOOKUP($A305,A:AL,22,FALSE)-50),"-",(VLOOKUP($A305,'SegEnds_NonXtal_BW#'!$A:$Z,16,FALSE)+VLOOKUP($A305,A:AL,22,FALSE)-50))</f>
        <v>254</v>
      </c>
      <c r="X305" s="3">
        <f>IF(ISERROR(VLOOKUP($A305,'SegEnds_NonXtal_BW#'!$A:$Z,17,FALSE)+VLOOKUP($A305,A:AL,25,FALSE)-50),"-",(VLOOKUP($A305,'SegEnds_NonXtal_BW#'!$A:$Z,17,FALSE)+VLOOKUP($A305,A:AL,25,FALSE)-50))</f>
        <v>258</v>
      </c>
      <c r="Y305" s="3">
        <v>258</v>
      </c>
      <c r="Z305" s="3">
        <f t="shared" si="197"/>
        <v>260</v>
      </c>
      <c r="AA305" s="3">
        <f>IF(ISERROR(VLOOKUP($A305,'SegEnds_NonXtal_BW#'!$A:$Z,19,FALSE)+AB305-50),"-",(VLOOKUP($A305,'SegEnds_NonXtal_BW#'!$A:$Z,19,FALSE)+AB305-50))</f>
        <v>268</v>
      </c>
      <c r="AB305" s="3">
        <v>279</v>
      </c>
      <c r="AC305" s="3">
        <f>IF(ISERROR((VLOOKUP($A305,'SegEnds_NonXtal_BW#'!$A:$Z,20,FALSE)+VLOOKUP($A305,A:AL,28,FALSE)-50)),"-",(VLOOKUP($A305,'SegEnds_NonXtal_BW#'!$A:$Z,20,FALSE)+VLOOKUP($A305,A:AL,28,FALSE)-50))</f>
        <v>298</v>
      </c>
      <c r="AD305" s="3">
        <f>IF(ISERROR(VLOOKUP($A305,'SegEnds_NonXtal_BW#'!$A:$Z,21,FALSE)+AE305-50),"-",(VLOOKUP($A305,'SegEnds_NonXtal_BW#'!$A:$Z,21,FALSE)+AE305-50))</f>
        <v>304</v>
      </c>
      <c r="AE305" s="3">
        <v>329</v>
      </c>
      <c r="AF305" s="3">
        <f>IF(ISERROR((VLOOKUP($A305,'SegEnds_NonXtal_BW#'!$A:$Z,22,FALSE)+AE305-50)),"-",(VLOOKUP($A305,'SegEnds_NonXtal_BW#'!$A:$Z,22,FALSE)+AE305-50))</f>
        <v>332</v>
      </c>
      <c r="AG305" s="3">
        <f>IF(ISERROR(VLOOKUP($A305,'SegEnds_NonXtal_BW#'!$A:$Z,23,FALSE)+VLOOKUP($A305,A:AL,34,FALSE)-50),"-",(VLOOKUP($A305,'SegEnds_NonXtal_BW#'!$A:$Z,23,FALSE)+VLOOKUP($A305,A:AL,34,FALSE)-50))</f>
        <v>338</v>
      </c>
      <c r="AH305" s="3">
        <v>360</v>
      </c>
      <c r="AI305" s="3">
        <f>IF(ISERROR((VLOOKUP($A305,'SegEnds_NonXtal_BW#'!$A:$Z,24,FALSE)+VLOOKUP($A305,A:AL,34,FALSE)-50)),"-",(VLOOKUP($A305,'SegEnds_NonXtal_BW#'!$A:$Z,24,FALSE)+VLOOKUP($A305,A:AL,34,FALSE)-50))</f>
        <v>366</v>
      </c>
      <c r="AJ305" s="3">
        <f>IF(ISERROR(VLOOKUP($A305,'SegEnds_NonXtal_BW#'!$A:$Z,25,FALSE)+VLOOKUP($A305,A:AL,37,FALSE)-50),"-",(VLOOKUP($A305,'SegEnds_NonXtal_BW#'!$A:$Z,25,FALSE)+VLOOKUP($A305,A:AL,37,FALSE)-50))</f>
        <v>367</v>
      </c>
      <c r="AK305" s="3">
        <v>370</v>
      </c>
      <c r="AL305" s="3">
        <f>IF(ISERROR((VLOOKUP($A305,'SegEnds_NonXtal_BW#'!$A:$Z,26,FALSE)+VLOOKUP($A305,A:AL,37,FALSE)-50)),"-",(VLOOKUP($A305,'SegEnds_NonXtal_BW#'!$A:$Z,26,FALSE)+VLOOKUP($A305,A:AL,37,FALSE)-50))</f>
        <v>392</v>
      </c>
      <c r="AM305" s="28" t="str">
        <f>VLOOKUP(A305,Classification!A:B,2,FALSE)</f>
        <v>B1</v>
      </c>
      <c r="AN305" s="28" t="b">
        <f t="shared" si="188"/>
        <v>1</v>
      </c>
      <c r="AO305" s="3" t="str">
        <f>IF(ISERROR(MATCH(A305,'SegEnds_Xtal_Prot#'!B:B, 0)), "NoXtal", "Xtal")</f>
        <v>Xtal</v>
      </c>
      <c r="AP305" s="3">
        <f t="shared" si="173"/>
        <v>1</v>
      </c>
      <c r="AQ305" s="3">
        <f t="shared" si="174"/>
        <v>1</v>
      </c>
      <c r="AR305" s="3" t="str">
        <f t="shared" si="175"/>
        <v>-</v>
      </c>
      <c r="AS305" s="3" t="str">
        <f t="shared" si="176"/>
        <v>-</v>
      </c>
      <c r="AT305" s="3" t="str">
        <f t="shared" si="177"/>
        <v>-</v>
      </c>
      <c r="AU305" s="3" t="str">
        <f t="shared" si="178"/>
        <v>-</v>
      </c>
      <c r="AV305" s="3">
        <f t="shared" si="179"/>
        <v>4</v>
      </c>
      <c r="AW305" s="3">
        <f t="shared" si="180"/>
        <v>8</v>
      </c>
      <c r="AX305" s="3">
        <f t="shared" si="181"/>
        <v>6</v>
      </c>
      <c r="AY305" s="3">
        <f t="shared" si="182"/>
        <v>6</v>
      </c>
      <c r="AZ305" s="3">
        <f t="shared" si="183"/>
        <v>1</v>
      </c>
      <c r="BA305" s="3">
        <f>IF(ISERROR(LEN(VLOOKUP(A305,Seqs!A:E,2,FALSE))-AL305),"-",LEN(VLOOKUP(A305,Seqs!A:E,2,FALSE))-AL305)</f>
        <v>23</v>
      </c>
      <c r="BB305" s="16">
        <f t="shared" si="184"/>
        <v>28</v>
      </c>
      <c r="BC305" s="9" t="str">
        <f t="shared" si="185"/>
        <v>-</v>
      </c>
      <c r="BD305" s="3">
        <f t="shared" si="186"/>
        <v>28</v>
      </c>
      <c r="BE305" s="3">
        <f t="shared" si="187"/>
        <v>50</v>
      </c>
      <c r="BF305" s="3">
        <f>AH305-AE305</f>
        <v>31</v>
      </c>
    </row>
    <row r="306" spans="1:58" s="3" customFormat="1" x14ac:dyDescent="0.2">
      <c r="A306" s="3" t="s">
        <v>402</v>
      </c>
      <c r="B306" s="3" t="str">
        <f>LOWER(VLOOKUP(A306,Xtal_Templ!A:B,2,FALSE))</f>
        <v>crfr2_human</v>
      </c>
      <c r="C306" s="3">
        <f>VLOOKUP($A306,'SegEnds_NonXtal_BW#'!$A:$Z,3,FALSE)+D306-50</f>
        <v>100</v>
      </c>
      <c r="D306" s="3">
        <v>131</v>
      </c>
      <c r="E306" s="3">
        <f>IF(ISERROR(VLOOKUP($A306,'SegEnds_NonXtal_BW#'!$A:$Z,4,FALSE)+VLOOKUP($A306,A:AL,4,FALSE)-50),"-",(VLOOKUP($A306,'SegEnds_NonXtal_BW#'!$A:$Z,4,FALSE)+VLOOKUP($A306,A:AL,4,FALSE)-50))</f>
        <v>141</v>
      </c>
      <c r="F306" s="3">
        <f t="shared" si="192"/>
        <v>142</v>
      </c>
      <c r="G306" s="3">
        <v>144</v>
      </c>
      <c r="H306" s="3">
        <f t="shared" si="198"/>
        <v>145</v>
      </c>
      <c r="I306" s="3">
        <f t="shared" si="198"/>
        <v>146</v>
      </c>
      <c r="J306" s="3">
        <v>159</v>
      </c>
      <c r="K306" s="3">
        <f>VLOOKUP($A306,'SegEnds_NonXtal_BW#'!$A:$Z,8,FALSE)+VLOOKUP($A306,A:AL,10,FALSE)-50</f>
        <v>172</v>
      </c>
      <c r="L306" s="3" t="str">
        <f>IF(ISERROR(VLOOKUP($A306,'SegEnds_NonXtal_BW#'!$A:$Z,9,FALSE)+VLOOKUP($A306,A:AL,13,FALSE)-50),"-",(VLOOKUP($A306,'SegEnds_NonXtal_BW#'!$A:$Z,9,FALSE)+VLOOKUP($A306,A:AL,13,FALSE)-50))</f>
        <v>-</v>
      </c>
      <c r="M306" s="3" t="s">
        <v>23</v>
      </c>
      <c r="N306" s="3" t="str">
        <f>IF(ISERROR(VLOOKUP($A306,'SegEnds_NonXtal_BW#'!$A:$Z,10,FALSE)+VLOOKUP($A306,A:AL,13,FALSE)-50),"-",(VLOOKUP($A306,'SegEnds_NonXtal_BW#'!$A:$Z,10,FALSE)+VLOOKUP($A306,A:AL,13,FALSE)-50))</f>
        <v>-</v>
      </c>
      <c r="O306" s="3">
        <f>VLOOKUP($A306,'SegEnds_NonXtal_BW#'!$A:$Z,11,FALSE)+VLOOKUP($A306,A:AL,16,FALSE)-50</f>
        <v>181</v>
      </c>
      <c r="P306" s="3">
        <v>209</v>
      </c>
      <c r="Q306" s="3">
        <f>VLOOKUP($A306,'SegEnds_NonXtal_BW#'!$A:$Z,12,FALSE)+VLOOKUP($A306,A:AL,16,FALSE)-50</f>
        <v>215</v>
      </c>
      <c r="R306" s="3" t="str">
        <f>IF(ISERROR(VLOOKUP($A306,'SegEnds_NonXtal_BW#'!$A:$Z,13,FALSE)+VLOOKUP($A306,A:AL,19,FALSE)-50),"-",VLOOKUP($A306,'SegEnds_NonXtal_BW#'!$A:$Z,13,FALSE)+VLOOKUP($A306,A:AL,19,FALSE)-50)</f>
        <v>-</v>
      </c>
      <c r="S306" s="3" t="s">
        <v>23</v>
      </c>
      <c r="T306" s="100" t="str">
        <f>IF(ISERROR(VLOOKUP($A306,'SegEnds_NonXtal_BW#'!$A:$Z,14,FALSE)+VLOOKUP($A306,A:AL,19,FALSE)-50),"-",(VLOOKUP($A306,'SegEnds_NonXtal_BW#'!$A:$Z,14,FALSE)+VLOOKUP($A306,A:AL,19,FALSE)-50))</f>
        <v>-</v>
      </c>
      <c r="U306" s="9">
        <f>IF(ISERROR(VLOOKUP($A306,'SegEnds_NonXtal_BW#'!$A:$Z,15,FALSE)+VLOOKUP($A306,A:AL,22,FALSE)-50),"-",VLOOKUP($A306,'SegEnds_NonXtal_BW#'!$A:$Z,15,FALSE)+VLOOKUP($A306,A:AL,22,FALSE)-50)</f>
        <v>223</v>
      </c>
      <c r="V306" s="3">
        <v>232</v>
      </c>
      <c r="W306" s="3">
        <f>IF(ISERROR(VLOOKUP($A306,'SegEnds_NonXtal_BW#'!$A:$Z,16,FALSE)+VLOOKUP($A306,A:AL,22,FALSE)-50),"-",(VLOOKUP($A306,'SegEnds_NonXtal_BW#'!$A:$Z,16,FALSE)+VLOOKUP($A306,A:AL,22,FALSE)-50))</f>
        <v>250</v>
      </c>
      <c r="X306" s="3">
        <f>IF(ISERROR(VLOOKUP($A306,'SegEnds_NonXtal_BW#'!$A:$Z,17,FALSE)+VLOOKUP($A306,A:AL,25,FALSE)-50),"-",(VLOOKUP($A306,'SegEnds_NonXtal_BW#'!$A:$Z,17,FALSE)+VLOOKUP($A306,A:AL,25,FALSE)-50))</f>
        <v>254</v>
      </c>
      <c r="Y306" s="3">
        <v>254</v>
      </c>
      <c r="Z306" s="3">
        <f t="shared" si="197"/>
        <v>256</v>
      </c>
      <c r="AA306" s="3">
        <f>IF(ISERROR(VLOOKUP($A306,'SegEnds_NonXtal_BW#'!$A:$Z,19,FALSE)+VLOOKUP($A306,A:AL,28,FALSE)-50),"-",(VLOOKUP($A306,'SegEnds_NonXtal_BW#'!$A:$Z,19,FALSE)+VLOOKUP($A306,A:AL,28,FALSE)-50))</f>
        <v>264</v>
      </c>
      <c r="AB306" s="3">
        <v>275</v>
      </c>
      <c r="AC306" s="3">
        <f>IF(ISERROR((VLOOKUP($A306,'SegEnds_NonXtal_BW#'!$A:$Z,20,FALSE)+VLOOKUP($A306,A:AL,28,FALSE)-50)),"-",(VLOOKUP($A306,'SegEnds_NonXtal_BW#'!$A:$Z,20,FALSE)+VLOOKUP($A306,A:AL,28,FALSE)-50))</f>
        <v>296</v>
      </c>
      <c r="AD306" s="3">
        <f>IF(ISERROR(VLOOKUP($A306,'SegEnds_NonXtal_BW#'!$A:$Z,21,FALSE)+VLOOKUP($A306,A:AL,31,FALSE)-50),"-",(VLOOKUP($A306,'SegEnds_NonXtal_BW#'!$A:$Z,21,FALSE)+VLOOKUP($A306,A:AL,31,FALSE)-50))</f>
        <v>300</v>
      </c>
      <c r="AE306" s="3">
        <v>325</v>
      </c>
      <c r="AF306" s="3">
        <f>IF(ISERROR((VLOOKUP($A306,'SegEnds_NonXtal_BW#'!$A:$Z,22,FALSE)+VLOOKUP($A306,A:AL,31,FALSE)-50)),"-",(VLOOKUP($A306,'SegEnds_NonXtal_BW#'!$A:$Z,22,FALSE)+VLOOKUP($A306,A:AL,31,FALSE)-50))</f>
        <v>328</v>
      </c>
      <c r="AG306" s="3">
        <f>IF(ISERROR(VLOOKUP($A306,'SegEnds_NonXtal_BW#'!$A:$Z,23,FALSE)+VLOOKUP($A306,A:AL,34,FALSE)-50),"-",(VLOOKUP($A306,'SegEnds_NonXtal_BW#'!$A:$Z,23,FALSE)+VLOOKUP($A306,A:AL,34,FALSE)-50))</f>
        <v>334</v>
      </c>
      <c r="AH306" s="3">
        <v>356</v>
      </c>
      <c r="AI306" s="3">
        <f>IF(ISERROR((VLOOKUP($A306,'SegEnds_NonXtal_BW#'!$A:$Z,24,FALSE)+VLOOKUP($A306,A:AL,34,FALSE)-50)),"-",(VLOOKUP($A306,'SegEnds_NonXtal_BW#'!$A:$Z,24,FALSE)+VLOOKUP($A306,A:AL,34,FALSE)-50))</f>
        <v>362</v>
      </c>
      <c r="AJ306" s="3">
        <f>IF(ISERROR(VLOOKUP($A306,'SegEnds_NonXtal_BW#'!$A:$Z,25,FALSE)+VLOOKUP($A306,A:AL,37,FALSE)-50),"-",(VLOOKUP($A306,'SegEnds_NonXtal_BW#'!$A:$Z,25,FALSE)+VLOOKUP($A306,A:AL,37,FALSE)-50))</f>
        <v>363</v>
      </c>
      <c r="AK306" s="3">
        <v>366</v>
      </c>
      <c r="AL306" s="3">
        <f>IF(ISERROR((VLOOKUP($A306,'SegEnds_NonXtal_BW#'!$A:$Z,26,FALSE)+VLOOKUP($A306,A:AL,37,FALSE)-50)),"-",(VLOOKUP($A306,'SegEnds_NonXtal_BW#'!$A:$Z,26,FALSE)+VLOOKUP($A306,A:AL,37,FALSE)-50))</f>
        <v>388</v>
      </c>
      <c r="AM306" s="28" t="str">
        <f>VLOOKUP(A306,Classification!A:B,2,FALSE)</f>
        <v>B1</v>
      </c>
      <c r="AN306" s="28" t="b">
        <f t="shared" si="188"/>
        <v>1</v>
      </c>
      <c r="AO306" s="3" t="str">
        <f>IF(ISERROR(MATCH(A306,'SegEnds_Xtal_Prot#'!B:B, 0)), "NoXtal", "Xtal")</f>
        <v>Xtal</v>
      </c>
      <c r="AP306" s="3">
        <f t="shared" si="173"/>
        <v>1</v>
      </c>
      <c r="AQ306" s="3">
        <f t="shared" si="174"/>
        <v>1</v>
      </c>
      <c r="AR306" s="3" t="str">
        <f t="shared" si="175"/>
        <v>-</v>
      </c>
      <c r="AS306" s="3" t="str">
        <f t="shared" si="176"/>
        <v>-</v>
      </c>
      <c r="AT306" s="3" t="str">
        <f t="shared" si="177"/>
        <v>-</v>
      </c>
      <c r="AU306" s="3" t="str">
        <f t="shared" si="178"/>
        <v>-</v>
      </c>
      <c r="AV306" s="3">
        <f t="shared" si="179"/>
        <v>4</v>
      </c>
      <c r="AW306" s="3">
        <f t="shared" si="180"/>
        <v>8</v>
      </c>
      <c r="AX306" s="3">
        <f t="shared" si="181"/>
        <v>4</v>
      </c>
      <c r="AY306" s="3">
        <f t="shared" si="182"/>
        <v>6</v>
      </c>
      <c r="AZ306" s="3">
        <f t="shared" si="183"/>
        <v>1</v>
      </c>
      <c r="BA306" s="3">
        <f>IF(ISERROR(LEN(VLOOKUP(A306,Seqs!A:E,2,FALSE))-AL306),"-",LEN(VLOOKUP(A306,Seqs!A:E,2,FALSE))-AL306)</f>
        <v>23</v>
      </c>
      <c r="BB306" s="16">
        <f t="shared" si="184"/>
        <v>28</v>
      </c>
      <c r="BC306" s="9" t="str">
        <f t="shared" si="185"/>
        <v>-</v>
      </c>
      <c r="BD306" s="3">
        <f t="shared" si="186"/>
        <v>28</v>
      </c>
      <c r="BE306" s="3">
        <f t="shared" si="187"/>
        <v>50</v>
      </c>
      <c r="BF306" s="3">
        <f>AH306-AE306</f>
        <v>31</v>
      </c>
    </row>
    <row r="307" spans="1:58" s="3" customFormat="1" x14ac:dyDescent="0.2">
      <c r="A307" s="3" t="s">
        <v>1414</v>
      </c>
      <c r="B307" s="3" t="str">
        <f>LOWER(VLOOKUP(A307,Xtal_Templ!A:B,2,FALSE))</f>
        <v>g1sgd4_rabit</v>
      </c>
      <c r="C307" s="3">
        <f>VLOOKUP($A307,'SegEnds_NonXtal_BW#'!$A:$Z,3,FALSE)+D307-50</f>
        <v>137</v>
      </c>
      <c r="D307" s="3">
        <v>159</v>
      </c>
      <c r="E307" s="3">
        <f>IF(ISERROR(VLOOKUP($A307,'SegEnds_NonXtal_BW#'!$A:$Z,4,FALSE)+VLOOKUP($A307,A:AL,4,FALSE)-50),"-",(VLOOKUP($A307,'SegEnds_NonXtal_BW#'!$A:$Z,4,FALSE)+VLOOKUP($A307,A:AL,4,FALSE)-50))</f>
        <v>169</v>
      </c>
      <c r="F307" s="3">
        <f t="shared" si="192"/>
        <v>170</v>
      </c>
      <c r="G307" s="3">
        <v>172</v>
      </c>
      <c r="H307" s="3">
        <f t="shared" si="198"/>
        <v>173</v>
      </c>
      <c r="I307" s="3">
        <f t="shared" si="198"/>
        <v>174</v>
      </c>
      <c r="J307" s="3">
        <v>187</v>
      </c>
      <c r="K307" s="3">
        <f>VLOOKUP($A307,'SegEnds_NonXtal_BW#'!$A:$Z,8,FALSE)+VLOOKUP($A307,A:AL,10,FALSE)-50</f>
        <v>211</v>
      </c>
      <c r="L307" s="3" t="str">
        <f>IF(ISERROR(VLOOKUP($A307,'SegEnds_NonXtal_BW#'!$A:$Z,9,FALSE)+VLOOKUP($A307,A:AL,13,FALSE)-50),"-",(VLOOKUP($A307,'SegEnds_NonXtal_BW#'!$A:$Z,9,FALSE)+VLOOKUP($A307,A:AL,13,FALSE)-50))</f>
        <v>-</v>
      </c>
      <c r="M307" s="3" t="s">
        <v>23</v>
      </c>
      <c r="N307" s="3" t="str">
        <f>IF(ISERROR(VLOOKUP($A307,'SegEnds_NonXtal_BW#'!$A:$Z,10,FALSE)+VLOOKUP($A307,A:AL,13,FALSE)-50),"-",(VLOOKUP($A307,'SegEnds_NonXtal_BW#'!$A:$Z,10,FALSE)+VLOOKUP($A307,A:AL,13,FALSE)-50))</f>
        <v>-</v>
      </c>
      <c r="O307" s="3">
        <f>VLOOKUP($A307,'SegEnds_NonXtal_BW#'!$A:$Z,11,FALSE)+VLOOKUP($A307,A:AL,16,FALSE)-50</f>
        <v>224</v>
      </c>
      <c r="P307" s="3">
        <v>251</v>
      </c>
      <c r="Q307" s="3">
        <f>VLOOKUP($A307,'SegEnds_NonXtal_BW#'!$A:$Z,12,FALSE)+VLOOKUP($A307,A:AL,16,FALSE)-50</f>
        <v>257</v>
      </c>
      <c r="R307" s="3" t="str">
        <f>IF(ISERROR(VLOOKUP($A307,'SegEnds_NonXtal_BW#'!$A:$Z,13,FALSE)+VLOOKUP($A307,A:AL,19,FALSE)-50),"-",VLOOKUP($A307,'SegEnds_NonXtal_BW#'!$A:$Z,13,FALSE)+VLOOKUP($A307,A:AL,19,FALSE)-50)</f>
        <v>-</v>
      </c>
      <c r="S307" s="3" t="s">
        <v>23</v>
      </c>
      <c r="T307" s="100" t="str">
        <f>IF(ISERROR(VLOOKUP($A307,'SegEnds_NonXtal_BW#'!$A:$Z,14,FALSE)+VLOOKUP($A307,A:AL,19,FALSE)-50),"-",(VLOOKUP($A307,'SegEnds_NonXtal_BW#'!$A:$Z,14,FALSE)+VLOOKUP($A307,A:AL,19,FALSE)-50))</f>
        <v>-</v>
      </c>
      <c r="U307" s="9">
        <f>IF(ISERROR(VLOOKUP($A307,'SegEnds_NonXtal_BW#'!$A:$Z,15,FALSE)+VLOOKUP($A307,A:AL,22,FALSE)-50),"-",VLOOKUP($A307,'SegEnds_NonXtal_BW#'!$A:$Z,15,FALSE)+VLOOKUP($A307,A:AL,22,FALSE)-50)</f>
        <v>261</v>
      </c>
      <c r="V307" s="3">
        <v>274</v>
      </c>
      <c r="W307" s="3">
        <f>IF(ISERROR(VLOOKUP($A307,'SegEnds_NonXtal_BW#'!$A:$Z,16,FALSE)+VLOOKUP($A307,A:AL,22,FALSE)-50),"-",(VLOOKUP($A307,'SegEnds_NonXtal_BW#'!$A:$Z,16,FALSE)+VLOOKUP($A307,A:AL,22,FALSE)-50))</f>
        <v>292</v>
      </c>
      <c r="X307" s="3">
        <f>IF(ISERROR(VLOOKUP($A307,'SegEnds_NonXtal_BW#'!$A:$Z,17,FALSE)+VLOOKUP($A307,A:AL,25,FALSE)-50),"-",(VLOOKUP($A307,'SegEnds_NonXtal_BW#'!$A:$Z,17,FALSE)+VLOOKUP($A307,A:AL,25,FALSE)-50))</f>
        <v>296</v>
      </c>
      <c r="Y307" s="3">
        <v>296</v>
      </c>
      <c r="Z307" s="3">
        <f t="shared" si="197"/>
        <v>298</v>
      </c>
      <c r="AA307" s="3">
        <f>IF(ISERROR(VLOOKUP($A307,'SegEnds_NonXtal_BW#'!$A:$Z,19,FALSE)+VLOOKUP($A307,A:AL,28,FALSE)-50),"-",(VLOOKUP($A307,'SegEnds_NonXtal_BW#'!$A:$Z,19,FALSE)+VLOOKUP($A307,A:AL,28,FALSE)-50))</f>
        <v>302</v>
      </c>
      <c r="AB307" s="3">
        <v>316</v>
      </c>
      <c r="AC307" s="3">
        <f>IF(ISERROR((VLOOKUP($A307,'SegEnds_NonXtal_BW#'!$A:$Z,20,FALSE)+VLOOKUP($A307,A:AL,28,FALSE)-50)),"-",(VLOOKUP($A307,'SegEnds_NonXtal_BW#'!$A:$Z,20,FALSE)+VLOOKUP($A307,A:AL,28,FALSE)-50))</f>
        <v>337</v>
      </c>
      <c r="AD307" s="3">
        <f>IF(ISERROR(VLOOKUP($A307,'SegEnds_NonXtal_BW#'!$A:$Z,21,FALSE)+VLOOKUP($A307,A:AL,31,FALSE)-50),"-",(VLOOKUP($A307,'SegEnds_NonXtal_BW#'!$A:$Z,21,FALSE)+VLOOKUP($A307,A:AL,31,FALSE)-50))</f>
        <v>346</v>
      </c>
      <c r="AE307" s="3">
        <v>366</v>
      </c>
      <c r="AF307" s="3">
        <f>IF(ISERROR((VLOOKUP($A307,'SegEnds_NonXtal_BW#'!$A:$Z,22,FALSE)+VLOOKUP($A307,A:AL,31,FALSE)-50)),"-",(VLOOKUP($A307,'SegEnds_NonXtal_BW#'!$A:$Z,22,FALSE)+VLOOKUP($A307,A:AL,31,FALSE)-50))</f>
        <v>369</v>
      </c>
      <c r="AG307" s="3">
        <f>IF(ISERROR(VLOOKUP($A307,'SegEnds_NonXtal_BW#'!$A:$Z,23,FALSE)+VLOOKUP($A307,A:AL,34,FALSE)-50),"-",(VLOOKUP($A307,'SegEnds_NonXtal_BW#'!$A:$Z,23,FALSE)+VLOOKUP($A307,A:AL,34,FALSE)-50))</f>
        <v>379</v>
      </c>
      <c r="AH307" s="3">
        <v>399</v>
      </c>
      <c r="AI307" s="3">
        <f>IF(ISERROR((VLOOKUP($A307,'SegEnds_NonXtal_BW#'!$A:$Z,24,FALSE)+VLOOKUP($A307,A:AL,34,FALSE)-50)),"-",(VLOOKUP($A307,'SegEnds_NonXtal_BW#'!$A:$Z,24,FALSE)+VLOOKUP($A307,A:AL,34,FALSE)-50))</f>
        <v>405</v>
      </c>
      <c r="AJ307" s="3">
        <f>IF(ISERROR(VLOOKUP($A307,'SegEnds_NonXtal_BW#'!$A:$Z,25,FALSE)+VLOOKUP($A307,A:AL,37,FALSE)-50),"-",(VLOOKUP($A307,'SegEnds_NonXtal_BW#'!$A:$Z,25,FALSE)+VLOOKUP($A307,A:AL,37,FALSE)-50))</f>
        <v>406</v>
      </c>
      <c r="AK307" s="3">
        <v>409</v>
      </c>
      <c r="AL307" s="3">
        <f>IF(ISERROR((VLOOKUP($A307,'SegEnds_NonXtal_BW#'!$A:$Z,26,FALSE)+VLOOKUP($A307,A:AL,37,FALSE)-50)),"-",(VLOOKUP($A307,'SegEnds_NonXtal_BW#'!$A:$Z,26,FALSE)+VLOOKUP($A307,A:AL,37,FALSE)-50))</f>
        <v>431</v>
      </c>
      <c r="AM307" s="28" t="str">
        <f>VLOOKUP(A307,Classification!A:B,2,FALSE)</f>
        <v>B1</v>
      </c>
      <c r="AN307" s="28" t="b">
        <f t="shared" si="188"/>
        <v>1</v>
      </c>
      <c r="AO307" s="3" t="str">
        <f>IF(ISERROR(MATCH(A307,'SegEnds_Xtal_Prot#'!B:B, 0)), "NoXtal", "Xtal")</f>
        <v>Xtal</v>
      </c>
      <c r="AP307" s="3">
        <f t="shared" si="173"/>
        <v>1</v>
      </c>
      <c r="AQ307" s="3">
        <f t="shared" si="174"/>
        <v>1</v>
      </c>
      <c r="AR307" s="3" t="str">
        <f t="shared" si="175"/>
        <v>-</v>
      </c>
      <c r="AS307" s="3" t="str">
        <f t="shared" si="176"/>
        <v>-</v>
      </c>
      <c r="AT307" s="3" t="str">
        <f t="shared" si="177"/>
        <v>-</v>
      </c>
      <c r="AU307" s="3" t="str">
        <f t="shared" si="178"/>
        <v>-</v>
      </c>
      <c r="AV307" s="3">
        <f t="shared" si="179"/>
        <v>4</v>
      </c>
      <c r="AW307" s="3">
        <f t="shared" si="180"/>
        <v>4</v>
      </c>
      <c r="AX307" s="3">
        <f t="shared" si="181"/>
        <v>9</v>
      </c>
      <c r="AY307" s="3">
        <f t="shared" si="182"/>
        <v>10</v>
      </c>
      <c r="AZ307" s="3">
        <f t="shared" si="183"/>
        <v>1</v>
      </c>
      <c r="BA307" s="3">
        <f>IF(ISERROR(LEN(VLOOKUP(A307,Seqs!A:E,2,FALSE))-AL307),"-",LEN(VLOOKUP(A307,Seqs!A:E,2,FALSE))-AL307)</f>
        <v>31</v>
      </c>
      <c r="BB307" s="16">
        <f t="shared" si="184"/>
        <v>28</v>
      </c>
      <c r="BC307" s="9" t="str">
        <f t="shared" si="185"/>
        <v>-</v>
      </c>
      <c r="BD307" s="3">
        <f t="shared" si="186"/>
        <v>28</v>
      </c>
      <c r="BE307" s="3">
        <f t="shared" si="187"/>
        <v>50</v>
      </c>
    </row>
    <row r="308" spans="1:58" s="3" customFormat="1" x14ac:dyDescent="0.2">
      <c r="A308" s="3" t="s">
        <v>403</v>
      </c>
      <c r="B308" s="3" t="str">
        <f>LOWER(VLOOKUP(A308,Xtal_Templ!A:B,2,FALSE))</f>
        <v>pacr_human</v>
      </c>
      <c r="C308" s="3">
        <f>VLOOKUP($A308,'SegEnds_NonXtal_BW#'!$A:$Z,3,FALSE)+D308-50</f>
        <v>115</v>
      </c>
      <c r="D308" s="3">
        <v>144</v>
      </c>
      <c r="E308" s="3">
        <f>IF(ISERROR(VLOOKUP($A308,'SegEnds_NonXtal_BW#'!$A:$Z,4,FALSE)+VLOOKUP($A308,A:AL,4,FALSE)-50),"-",(VLOOKUP($A308,'SegEnds_NonXtal_BW#'!$A:$Z,4,FALSE)+VLOOKUP($A308,A:AL,4,FALSE)-50))</f>
        <v>154</v>
      </c>
      <c r="F308" s="3">
        <f t="shared" si="192"/>
        <v>155</v>
      </c>
      <c r="G308" s="3">
        <v>157</v>
      </c>
      <c r="H308" s="3">
        <f t="shared" si="198"/>
        <v>158</v>
      </c>
      <c r="I308" s="3">
        <f t="shared" si="198"/>
        <v>159</v>
      </c>
      <c r="J308" s="3">
        <v>172</v>
      </c>
      <c r="K308" s="3">
        <f>VLOOKUP($A308,'SegEnds_NonXtal_BW#'!$A:$Z,8,FALSE)+VLOOKUP($A308,A:AL,10,FALSE)-50</f>
        <v>186</v>
      </c>
      <c r="L308" s="3" t="str">
        <f>IF(ISERROR(VLOOKUP($A308,'SegEnds_NonXtal_BW#'!$A:$Z,9,FALSE)+VLOOKUP($A308,A:AL,13,FALSE)-50),"-",(VLOOKUP($A308,'SegEnds_NonXtal_BW#'!$A:$Z,9,FALSE)+VLOOKUP($A308,A:AL,13,FALSE)-50))</f>
        <v>-</v>
      </c>
      <c r="M308" s="3" t="s">
        <v>23</v>
      </c>
      <c r="N308" s="3" t="str">
        <f>IF(ISERROR(VLOOKUP($A308,'SegEnds_NonXtal_BW#'!$A:$Z,10,FALSE)+VLOOKUP($A308,A:AL,13,FALSE)-50),"-",(VLOOKUP($A308,'SegEnds_NonXtal_BW#'!$A:$Z,10,FALSE)+VLOOKUP($A308,A:AL,13,FALSE)-50))</f>
        <v>-</v>
      </c>
      <c r="O308" s="3">
        <f>VLOOKUP($A308,'SegEnds_NonXtal_BW#'!$A:$Z,11,FALSE)+VLOOKUP($A308,A:AL,16,FALSE)-50</f>
        <v>199</v>
      </c>
      <c r="P308" s="3">
        <v>227</v>
      </c>
      <c r="Q308" s="3">
        <f>VLOOKUP($A308,'SegEnds_NonXtal_BW#'!$A:$Z,12,FALSE)+VLOOKUP($A308,A:AL,16,FALSE)-50</f>
        <v>233</v>
      </c>
      <c r="R308" s="3" t="str">
        <f>IF(ISERROR(VLOOKUP($A308,'SegEnds_NonXtal_BW#'!$A:$Z,13,FALSE)+VLOOKUP($A308,A:AL,19,FALSE)-50),"-",VLOOKUP($A308,'SegEnds_NonXtal_BW#'!$A:$Z,13,FALSE)+VLOOKUP($A308,A:AL,19,FALSE)-50)</f>
        <v>-</v>
      </c>
      <c r="S308" s="3" t="s">
        <v>23</v>
      </c>
      <c r="T308" s="100" t="str">
        <f>IF(ISERROR(VLOOKUP($A308,'SegEnds_NonXtal_BW#'!$A:$Z,14,FALSE)+VLOOKUP($A308,A:AL,19,FALSE)-50),"-",(VLOOKUP($A308,'SegEnds_NonXtal_BW#'!$A:$Z,14,FALSE)+VLOOKUP($A308,A:AL,19,FALSE)-50))</f>
        <v>-</v>
      </c>
      <c r="U308" s="9">
        <f>IF(ISERROR(VLOOKUP($A308,'SegEnds_NonXtal_BW#'!$A:$Z,15,FALSE)+VLOOKUP($A308,A:AL,22,FALSE)-50),"-",VLOOKUP($A308,'SegEnds_NonXtal_BW#'!$A:$Z,15,FALSE)+VLOOKUP($A308,A:AL,22,FALSE)-50)</f>
        <v>240</v>
      </c>
      <c r="V308" s="3">
        <v>250</v>
      </c>
      <c r="W308" s="3">
        <f>IF(ISERROR(VLOOKUP($A308,'SegEnds_NonXtal_BW#'!$A:$Z,16,FALSE)+VLOOKUP($A308,A:AL,22,FALSE)-50),"-",(VLOOKUP($A308,'SegEnds_NonXtal_BW#'!$A:$Z,16,FALSE)+VLOOKUP($A308,A:AL,22,FALSE)-50))</f>
        <v>268</v>
      </c>
      <c r="X308" s="3">
        <f>IF(ISERROR(VLOOKUP($A308,'SegEnds_NonXtal_BW#'!$A:$Z,17,FALSE)+VLOOKUP($A308,A:AL,25,FALSE)-50),"-",(VLOOKUP($A308,'SegEnds_NonXtal_BW#'!$A:$Z,17,FALSE)+VLOOKUP($A308,A:AL,25,FALSE)-50))</f>
        <v>272</v>
      </c>
      <c r="Y308" s="3">
        <v>272</v>
      </c>
      <c r="Z308" s="3">
        <f t="shared" si="197"/>
        <v>274</v>
      </c>
      <c r="AA308" s="3">
        <f>IF(ISERROR(VLOOKUP($A308,'SegEnds_NonXtal_BW#'!$A:$Z,19,FALSE)+VLOOKUP($A308,A:AL,28,FALSE)-50),"-",(VLOOKUP($A308,'SegEnds_NonXtal_BW#'!$A:$Z,19,FALSE)+VLOOKUP($A308,A:AL,28,FALSE)-50))</f>
        <v>278</v>
      </c>
      <c r="AB308" s="3">
        <v>292</v>
      </c>
      <c r="AC308" s="3">
        <f>IF(ISERROR((VLOOKUP($A308,'SegEnds_NonXtal_BW#'!$A:$Z,20,FALSE)+VLOOKUP($A308,A:AL,28,FALSE)-50)),"-",(VLOOKUP($A308,'SegEnds_NonXtal_BW#'!$A:$Z,20,FALSE)+VLOOKUP($A308,A:AL,28,FALSE)-50))</f>
        <v>311</v>
      </c>
      <c r="AD308" s="3">
        <f>IF(ISERROR(VLOOKUP($A308,'SegEnds_NonXtal_BW#'!$A:$Z,21,FALSE)+VLOOKUP($A308,A:AL,31,FALSE)-50),"-",(VLOOKUP($A308,'SegEnds_NonXtal_BW#'!$A:$Z,21,FALSE)+VLOOKUP($A308,A:AL,31,FALSE)-50))</f>
        <v>319</v>
      </c>
      <c r="AE308" s="3">
        <v>344</v>
      </c>
      <c r="AF308" s="3">
        <f>IF(ISERROR((VLOOKUP($A308,'SegEnds_NonXtal_BW#'!$A:$Z,22,FALSE)+VLOOKUP($A308,A:AL,31,FALSE)-50)),"-",(VLOOKUP($A308,'SegEnds_NonXtal_BW#'!$A:$Z,22,FALSE)+VLOOKUP($A308,A:AL,31,FALSE)-50))</f>
        <v>348</v>
      </c>
      <c r="AG308" s="3">
        <f>IF(ISERROR(VLOOKUP($A308,'SegEnds_NonXtal_BW#'!$A:$Z,23,FALSE)+VLOOKUP($A308,A:AL,34,FALSE)-50),"-",(VLOOKUP($A308,'SegEnds_NonXtal_BW#'!$A:$Z,23,FALSE)+VLOOKUP($A308,A:AL,34,FALSE)-50))</f>
        <v>354</v>
      </c>
      <c r="AH308" s="3">
        <v>373</v>
      </c>
      <c r="AI308" s="3">
        <f>IF(ISERROR((VLOOKUP($A308,'SegEnds_NonXtal_BW#'!$A:$Z,24,FALSE)+VLOOKUP($A308,A:AL,34,FALSE)-50)),"-",(VLOOKUP($A308,'SegEnds_NonXtal_BW#'!$A:$Z,24,FALSE)+VLOOKUP($A308,A:AL,34,FALSE)-50))</f>
        <v>379</v>
      </c>
      <c r="AJ308" s="3">
        <f>IF(ISERROR(VLOOKUP($A308,'SegEnds_NonXtal_BW#'!$A:$Z,25,FALSE)+VLOOKUP($A308,A:AL,37,FALSE)-50),"-",(VLOOKUP($A308,'SegEnds_NonXtal_BW#'!$A:$Z,25,FALSE)+VLOOKUP($A308,A:AL,37,FALSE)-50))</f>
        <v>380</v>
      </c>
      <c r="AK308" s="3">
        <v>383</v>
      </c>
      <c r="AL308" s="3">
        <f>IF(ISERROR((VLOOKUP($A308,'SegEnds_NonXtal_BW#'!$A:$Z,26,FALSE)+VLOOKUP($A308,A:AL,37,FALSE)-50)),"-",(VLOOKUP($A308,'SegEnds_NonXtal_BW#'!$A:$Z,26,FALSE)+VLOOKUP($A308,A:AL,37,FALSE)-50))</f>
        <v>405</v>
      </c>
      <c r="AM308" s="28" t="str">
        <f>VLOOKUP(A308,Classification!A:B,2,FALSE)</f>
        <v>B1</v>
      </c>
      <c r="AN308" s="28" t="b">
        <f t="shared" si="188"/>
        <v>1</v>
      </c>
      <c r="AO308" s="3" t="str">
        <f>IF(ISERROR(MATCH(A308,'SegEnds_Xtal_Prot#'!B:B, 0)), "NoXtal", "Xtal")</f>
        <v>NoXtal</v>
      </c>
      <c r="AP308" s="3">
        <f t="shared" si="173"/>
        <v>1</v>
      </c>
      <c r="AQ308" s="3">
        <f t="shared" si="174"/>
        <v>1</v>
      </c>
      <c r="AR308" s="3" t="str">
        <f t="shared" si="175"/>
        <v>-</v>
      </c>
      <c r="AS308" s="3" t="str">
        <f t="shared" si="176"/>
        <v>-</v>
      </c>
      <c r="AT308" s="3" t="str">
        <f t="shared" si="177"/>
        <v>-</v>
      </c>
      <c r="AU308" s="3" t="str">
        <f t="shared" si="178"/>
        <v>-</v>
      </c>
      <c r="AV308" s="3">
        <f t="shared" si="179"/>
        <v>4</v>
      </c>
      <c r="AW308" s="3">
        <f t="shared" si="180"/>
        <v>4</v>
      </c>
      <c r="AX308" s="3">
        <f t="shared" si="181"/>
        <v>8</v>
      </c>
      <c r="AY308" s="3">
        <f t="shared" si="182"/>
        <v>6</v>
      </c>
      <c r="AZ308" s="3">
        <f t="shared" si="183"/>
        <v>1</v>
      </c>
      <c r="BA308" s="3">
        <f>IF(ISERROR(LEN(VLOOKUP(A308,Seqs!A:E,2,FALSE))-AL308),"-",LEN(VLOOKUP(A308,Seqs!A:E,2,FALSE))-AL308)</f>
        <v>18</v>
      </c>
      <c r="BB308" s="16">
        <f t="shared" si="184"/>
        <v>28</v>
      </c>
      <c r="BC308" s="9" t="str">
        <f t="shared" si="185"/>
        <v>-</v>
      </c>
      <c r="BD308" s="3">
        <f t="shared" si="186"/>
        <v>28</v>
      </c>
      <c r="BE308" s="3">
        <f t="shared" si="187"/>
        <v>52</v>
      </c>
      <c r="BF308" s="3">
        <f>AH308-AE308</f>
        <v>29</v>
      </c>
    </row>
    <row r="309" spans="1:58" s="3" customFormat="1" x14ac:dyDescent="0.2">
      <c r="A309" s="3" t="s">
        <v>404</v>
      </c>
      <c r="B309" s="3" t="str">
        <f>LOWER(VLOOKUP(A309,Xtal_Templ!A:B,2,FALSE))</f>
        <v>glr_human</v>
      </c>
      <c r="C309" s="3">
        <f>VLOOKUP($A309,'SegEnds_NonXtal_BW#'!$A:$Z,3,FALSE)+D309-50</f>
        <v>127</v>
      </c>
      <c r="D309" s="3">
        <v>152</v>
      </c>
      <c r="E309" s="3">
        <f>IF(ISERROR(VLOOKUP($A309,'SegEnds_NonXtal_BW#'!$A:$Z,4,FALSE)+VLOOKUP($A309,A:AL,4,FALSE)-50),"-",(VLOOKUP($A309,'SegEnds_NonXtal_BW#'!$A:$Z,4,FALSE)+VLOOKUP($A309,A:AL,4,FALSE)-50))</f>
        <v>162</v>
      </c>
      <c r="F309" s="3">
        <f t="shared" si="192"/>
        <v>163</v>
      </c>
      <c r="G309" s="3">
        <v>165</v>
      </c>
      <c r="H309" s="3">
        <f t="shared" si="198"/>
        <v>166</v>
      </c>
      <c r="I309" s="3">
        <f t="shared" si="198"/>
        <v>167</v>
      </c>
      <c r="J309" s="3">
        <v>180</v>
      </c>
      <c r="K309" s="3">
        <f>VLOOKUP($A309,'SegEnds_NonXtal_BW#'!$A:$Z,8,FALSE)+VLOOKUP($A309,A:AL,10,FALSE)-50</f>
        <v>194</v>
      </c>
      <c r="L309" s="3" t="str">
        <f>IF(ISERROR(VLOOKUP($A309,'SegEnds_NonXtal_BW#'!$A:$Z,9,FALSE)+VLOOKUP($A309,A:AL,13,FALSE)-50),"-",(VLOOKUP($A309,'SegEnds_NonXtal_BW#'!$A:$Z,9,FALSE)+VLOOKUP($A309,A:AL,13,FALSE)-50))</f>
        <v>-</v>
      </c>
      <c r="M309" s="3" t="s">
        <v>23</v>
      </c>
      <c r="N309" s="3" t="str">
        <f>IF(ISERROR(VLOOKUP($A309,'SegEnds_NonXtal_BW#'!$A:$Z,10,FALSE)+VLOOKUP($A309,A:AL,13,FALSE)-50),"-",(VLOOKUP($A309,'SegEnds_NonXtal_BW#'!$A:$Z,10,FALSE)+VLOOKUP($A309,A:AL,13,FALSE)-50))</f>
        <v>-</v>
      </c>
      <c r="O309" s="3">
        <f>VLOOKUP($A309,'SegEnds_NonXtal_BW#'!$A:$Z,11,FALSE)+VLOOKUP($A309,A:AL,16,FALSE)-50</f>
        <v>214</v>
      </c>
      <c r="P309" s="3">
        <v>241</v>
      </c>
      <c r="Q309" s="3">
        <f>VLOOKUP($A309,'SegEnds_NonXtal_BW#'!$A:$Z,12,FALSE)+VLOOKUP($A309,A:AL,16,FALSE)-50</f>
        <v>247</v>
      </c>
      <c r="R309" s="3" t="str">
        <f>IF(ISERROR(VLOOKUP($A309,'SegEnds_NonXtal_BW#'!$A:$Z,13,FALSE)+VLOOKUP($A309,A:AL,19,FALSE)-50),"-",VLOOKUP($A309,'SegEnds_NonXtal_BW#'!$A:$Z,13,FALSE)+VLOOKUP($A309,A:AL,19,FALSE)-50)</f>
        <v>-</v>
      </c>
      <c r="S309" s="3" t="s">
        <v>23</v>
      </c>
      <c r="T309" s="100" t="str">
        <f>IF(ISERROR(VLOOKUP($A309,'SegEnds_NonXtal_BW#'!$A:$Z,14,FALSE)+VLOOKUP($A309,A:AL,19,FALSE)-50),"-",(VLOOKUP($A309,'SegEnds_NonXtal_BW#'!$A:$Z,14,FALSE)+VLOOKUP($A309,A:AL,19,FALSE)-50))</f>
        <v>-</v>
      </c>
      <c r="U309" s="9">
        <f>IF(ISERROR(VLOOKUP($A309,'SegEnds_NonXtal_BW#'!$A:$Z,15,FALSE)+VLOOKUP($A309,A:AL,22,FALSE)-50),"-",VLOOKUP($A309,'SegEnds_NonXtal_BW#'!$A:$Z,15,FALSE)+VLOOKUP($A309,A:AL,22,FALSE)-50)</f>
        <v>254</v>
      </c>
      <c r="V309" s="3">
        <v>264</v>
      </c>
      <c r="W309" s="3">
        <f>IF(ISERROR(VLOOKUP($A309,'SegEnds_NonXtal_BW#'!$A:$Z,16,FALSE)+VLOOKUP($A309,A:AL,22,FALSE)-50),"-",(VLOOKUP($A309,'SegEnds_NonXtal_BW#'!$A:$Z,16,FALSE)+VLOOKUP($A309,A:AL,22,FALSE)-50))</f>
        <v>282</v>
      </c>
      <c r="X309" s="3">
        <f>IF(ISERROR(VLOOKUP($A309,'SegEnds_NonXtal_BW#'!$A:$Z,17,FALSE)+VLOOKUP($A309,A:AL,25,FALSE)-50),"-",(VLOOKUP($A309,'SegEnds_NonXtal_BW#'!$A:$Z,17,FALSE)+VLOOKUP($A309,A:AL,25,FALSE)-50))</f>
        <v>286</v>
      </c>
      <c r="Y309" s="3">
        <v>286</v>
      </c>
      <c r="Z309" s="3">
        <f t="shared" si="197"/>
        <v>288</v>
      </c>
      <c r="AA309" s="3">
        <f>IF(ISERROR(VLOOKUP($A309,'SegEnds_NonXtal_BW#'!$A:$Z,19,FALSE)+VLOOKUP($A309,A:AL,28,FALSE)-50),"-",(VLOOKUP($A309,'SegEnds_NonXtal_BW#'!$A:$Z,19,FALSE)+VLOOKUP($A309,A:AL,28,FALSE)-50))</f>
        <v>291</v>
      </c>
      <c r="AB309" s="3">
        <v>306</v>
      </c>
      <c r="AC309" s="3">
        <f>IF(ISERROR((VLOOKUP($A309,'SegEnds_NonXtal_BW#'!$A:$Z,20,FALSE)+VLOOKUP($A309,A:AL,28,FALSE)-50)),"-",(VLOOKUP($A309,'SegEnds_NonXtal_BW#'!$A:$Z,20,FALSE)+VLOOKUP($A309,A:AL,28,FALSE)-50))</f>
        <v>327</v>
      </c>
      <c r="AD309" s="3">
        <f>IF(ISERROR(VLOOKUP($A309,'SegEnds_NonXtal_BW#'!$A:$Z,21,FALSE)+VLOOKUP($A309,A:AL,31,FALSE)-50),"-",(VLOOKUP($A309,'SegEnds_NonXtal_BW#'!$A:$Z,21,FALSE)+VLOOKUP($A309,A:AL,31,FALSE)-50))</f>
        <v>334</v>
      </c>
      <c r="AE309" s="3">
        <v>356</v>
      </c>
      <c r="AF309" s="3">
        <f>IF(ISERROR((VLOOKUP($A309,'SegEnds_NonXtal_BW#'!$A:$Z,22,FALSE)+VLOOKUP($A309,A:AL,31,FALSE)-50)),"-",(VLOOKUP($A309,'SegEnds_NonXtal_BW#'!$A:$Z,22,FALSE)+VLOOKUP($A309,A:AL,31,FALSE)-50))</f>
        <v>359</v>
      </c>
      <c r="AG309" s="3">
        <f>IF(ISERROR(VLOOKUP($A309,'SegEnds_NonXtal_BW#'!$A:$Z,23,FALSE)+VLOOKUP($A309,A:AL,34,FALSE)-50),"-",(VLOOKUP($A309,'SegEnds_NonXtal_BW#'!$A:$Z,23,FALSE)+VLOOKUP($A309,A:AL,34,FALSE)-50))</f>
        <v>367</v>
      </c>
      <c r="AH309" s="3">
        <v>389</v>
      </c>
      <c r="AI309" s="3">
        <f>IF(ISERROR((VLOOKUP($A309,'SegEnds_NonXtal_BW#'!$A:$Z,24,FALSE)+VLOOKUP($A309,A:AL,34,FALSE)-50)),"-",(VLOOKUP($A309,'SegEnds_NonXtal_BW#'!$A:$Z,24,FALSE)+VLOOKUP($A309,A:AL,34,FALSE)-50))</f>
        <v>395</v>
      </c>
      <c r="AJ309" s="3">
        <f>IF(ISERROR(VLOOKUP($A309,'SegEnds_NonXtal_BW#'!$A:$Z,25,FALSE)+VLOOKUP($A309,A:AL,37,FALSE)-50),"-",(VLOOKUP($A309,'SegEnds_NonXtal_BW#'!$A:$Z,25,FALSE)+VLOOKUP($A309,A:AL,37,FALSE)-50))</f>
        <v>396</v>
      </c>
      <c r="AK309" s="3">
        <v>399</v>
      </c>
      <c r="AL309" s="3">
        <f>IF(ISERROR((VLOOKUP($A309,'SegEnds_NonXtal_BW#'!$A:$Z,26,FALSE)+VLOOKUP($A309,A:AL,37,FALSE)-50)),"-",(VLOOKUP($A309,'SegEnds_NonXtal_BW#'!$A:$Z,26,FALSE)+VLOOKUP($A309,A:AL,37,FALSE)-50))</f>
        <v>421</v>
      </c>
      <c r="AM309" s="28" t="str">
        <f>VLOOKUP(A309,Classification!A:B,2,FALSE)</f>
        <v>B1</v>
      </c>
      <c r="AN309" s="28" t="b">
        <f t="shared" si="188"/>
        <v>1</v>
      </c>
      <c r="AO309" s="3" t="str">
        <f>IF(ISERROR(MATCH(A309,'SegEnds_Xtal_Prot#'!B:B, 0)), "NoXtal", "Xtal")</f>
        <v>NoXtal</v>
      </c>
      <c r="AP309" s="3">
        <f t="shared" si="173"/>
        <v>1</v>
      </c>
      <c r="AQ309" s="3">
        <f t="shared" si="174"/>
        <v>1</v>
      </c>
      <c r="AR309" s="3" t="str">
        <f t="shared" si="175"/>
        <v>-</v>
      </c>
      <c r="AS309" s="3" t="str">
        <f t="shared" si="176"/>
        <v>-</v>
      </c>
      <c r="AT309" s="3" t="str">
        <f t="shared" si="177"/>
        <v>-</v>
      </c>
      <c r="AU309" s="3" t="str">
        <f t="shared" si="178"/>
        <v>-</v>
      </c>
      <c r="AV309" s="3">
        <f t="shared" si="179"/>
        <v>4</v>
      </c>
      <c r="AW309" s="3">
        <f t="shared" si="180"/>
        <v>3</v>
      </c>
      <c r="AX309" s="3">
        <f t="shared" si="181"/>
        <v>7</v>
      </c>
      <c r="AY309" s="3">
        <f t="shared" si="182"/>
        <v>8</v>
      </c>
      <c r="AZ309" s="3">
        <f t="shared" si="183"/>
        <v>1</v>
      </c>
      <c r="BA309" s="3">
        <f>IF(ISERROR(LEN(VLOOKUP(A309,Seqs!A:E,2,FALSE))-AL309),"-",LEN(VLOOKUP(A309,Seqs!A:E,2,FALSE))-AL309)</f>
        <v>45</v>
      </c>
      <c r="BB309" s="16">
        <f t="shared" si="184"/>
        <v>28</v>
      </c>
      <c r="BC309" s="9" t="str">
        <f t="shared" si="185"/>
        <v>-</v>
      </c>
      <c r="BD309" s="3">
        <f t="shared" si="186"/>
        <v>28</v>
      </c>
      <c r="BE309" s="3">
        <f t="shared" si="187"/>
        <v>50</v>
      </c>
    </row>
    <row r="310" spans="1:58" s="3" customFormat="1" x14ac:dyDescent="0.2">
      <c r="A310" s="3" t="s">
        <v>405</v>
      </c>
      <c r="B310" s="3" t="str">
        <f>LOWER(VLOOKUP(A310,Xtal_Templ!A:B,2,FALSE))</f>
        <v>glp1r_human</v>
      </c>
      <c r="C310" s="3">
        <f>VLOOKUP($A310,'SegEnds_NonXtal_BW#'!$A:$Z,3,FALSE)+D310-50</f>
        <v>138</v>
      </c>
      <c r="D310" s="3">
        <v>159</v>
      </c>
      <c r="E310" s="3">
        <f>IF(ISERROR(VLOOKUP($A310,'SegEnds_NonXtal_BW#'!$A:$Z,4,FALSE)+VLOOKUP($A310,A:AL,4,FALSE)-50),"-",(VLOOKUP($A310,'SegEnds_NonXtal_BW#'!$A:$Z,4,FALSE)+VLOOKUP($A310,A:AL,4,FALSE)-50))</f>
        <v>169</v>
      </c>
      <c r="F310" s="3">
        <f t="shared" si="192"/>
        <v>170</v>
      </c>
      <c r="G310" s="3">
        <v>172</v>
      </c>
      <c r="H310" s="3">
        <f t="shared" si="198"/>
        <v>173</v>
      </c>
      <c r="I310" s="3">
        <f t="shared" si="198"/>
        <v>174</v>
      </c>
      <c r="J310" s="3">
        <v>187</v>
      </c>
      <c r="K310" s="3">
        <f>VLOOKUP($A310,'SegEnds_NonXtal_BW#'!$A:$Z,8,FALSE)+VLOOKUP($A310,A:AL,10,FALSE)-50</f>
        <v>201</v>
      </c>
      <c r="L310" s="3" t="str">
        <f>IF(ISERROR(VLOOKUP($A310,'SegEnds_NonXtal_BW#'!$A:$Z,9,FALSE)+VLOOKUP($A310,A:AL,13,FALSE)-50),"-",(VLOOKUP($A310,'SegEnds_NonXtal_BW#'!$A:$Z,9,FALSE)+VLOOKUP($A310,A:AL,13,FALSE)-50))</f>
        <v>-</v>
      </c>
      <c r="M310" s="3" t="s">
        <v>23</v>
      </c>
      <c r="N310" s="3" t="str">
        <f>IF(ISERROR(VLOOKUP($A310,'SegEnds_NonXtal_BW#'!$A:$Z,10,FALSE)+VLOOKUP($A310,A:AL,13,FALSE)-50),"-",(VLOOKUP($A310,'SegEnds_NonXtal_BW#'!$A:$Z,10,FALSE)+VLOOKUP($A310,A:AL,13,FALSE)-50))</f>
        <v>-</v>
      </c>
      <c r="O310" s="3">
        <f>VLOOKUP($A310,'SegEnds_NonXtal_BW#'!$A:$Z,11,FALSE)+VLOOKUP($A310,A:AL,16,FALSE)-50</f>
        <v>224</v>
      </c>
      <c r="P310" s="3">
        <v>251</v>
      </c>
      <c r="Q310" s="3">
        <f>VLOOKUP($A310,'SegEnds_NonXtal_BW#'!$A:$Z,12,FALSE)+VLOOKUP($A310,A:AL,16,FALSE)-50</f>
        <v>257</v>
      </c>
      <c r="R310" s="3" t="str">
        <f>IF(ISERROR(VLOOKUP($A310,'SegEnds_NonXtal_BW#'!$A:$Z,13,FALSE)+VLOOKUP($A310,A:AL,19,FALSE)-50),"-",VLOOKUP($A310,'SegEnds_NonXtal_BW#'!$A:$Z,13,FALSE)+VLOOKUP($A310,A:AL,19,FALSE)-50)</f>
        <v>-</v>
      </c>
      <c r="S310" s="3" t="s">
        <v>23</v>
      </c>
      <c r="T310" s="100" t="str">
        <f>IF(ISERROR(VLOOKUP($A310,'SegEnds_NonXtal_BW#'!$A:$Z,14,FALSE)+VLOOKUP($A310,A:AL,19,FALSE)-50),"-",(VLOOKUP($A310,'SegEnds_NonXtal_BW#'!$A:$Z,14,FALSE)+VLOOKUP($A310,A:AL,19,FALSE)-50))</f>
        <v>-</v>
      </c>
      <c r="U310" s="9">
        <f>IF(ISERROR(VLOOKUP($A310,'SegEnds_NonXtal_BW#'!$A:$Z,15,FALSE)+VLOOKUP($A310,A:AL,22,FALSE)-50),"-",VLOOKUP($A310,'SegEnds_NonXtal_BW#'!$A:$Z,15,FALSE)+VLOOKUP($A310,A:AL,22,FALSE)-50)</f>
        <v>262</v>
      </c>
      <c r="V310" s="3">
        <v>274</v>
      </c>
      <c r="W310" s="3">
        <f>IF(ISERROR(VLOOKUP($A310,'SegEnds_NonXtal_BW#'!$A:$Z,16,FALSE)+VLOOKUP($A310,A:AL,22,FALSE)-50),"-",(VLOOKUP($A310,'SegEnds_NonXtal_BW#'!$A:$Z,16,FALSE)+VLOOKUP($A310,A:AL,22,FALSE)-50))</f>
        <v>292</v>
      </c>
      <c r="X310" s="3">
        <f>IF(ISERROR(VLOOKUP($A310,'SegEnds_NonXtal_BW#'!$A:$Z,17,FALSE)+VLOOKUP($A310,A:AL,25,FALSE)-50),"-",(VLOOKUP($A310,'SegEnds_NonXtal_BW#'!$A:$Z,17,FALSE)+VLOOKUP($A310,A:AL,25,FALSE)-50))</f>
        <v>296</v>
      </c>
      <c r="Y310" s="3">
        <v>296</v>
      </c>
      <c r="Z310" s="3">
        <f t="shared" si="197"/>
        <v>298</v>
      </c>
      <c r="AA310" s="3">
        <f>IF(ISERROR(VLOOKUP($A310,'SegEnds_NonXtal_BW#'!$A:$Z,19,FALSE)+VLOOKUP($A310,A:AL,28,FALSE)-50),"-",(VLOOKUP($A310,'SegEnds_NonXtal_BW#'!$A:$Z,19,FALSE)+VLOOKUP($A310,A:AL,28,FALSE)-50))</f>
        <v>302</v>
      </c>
      <c r="AB310" s="3">
        <v>316</v>
      </c>
      <c r="AC310" s="3">
        <f>IF(ISERROR((VLOOKUP($A310,'SegEnds_NonXtal_BW#'!$A:$Z,20,FALSE)+VLOOKUP($A310,A:AL,28,FALSE)-50)),"-",(VLOOKUP($A310,'SegEnds_NonXtal_BW#'!$A:$Z,20,FALSE)+VLOOKUP($A310,A:AL,28,FALSE)-50))</f>
        <v>337</v>
      </c>
      <c r="AD310" s="3">
        <f>IF(ISERROR(VLOOKUP($A310,'SegEnds_NonXtal_BW#'!$A:$Z,21,FALSE)+VLOOKUP($A310,A:AL,31,FALSE)-50),"-",(VLOOKUP($A310,'SegEnds_NonXtal_BW#'!$A:$Z,21,FALSE)+VLOOKUP($A310,A:AL,31,FALSE)-50))</f>
        <v>344</v>
      </c>
      <c r="AE310" s="3">
        <v>366</v>
      </c>
      <c r="AF310" s="3">
        <f>IF(ISERROR((VLOOKUP($A310,'SegEnds_NonXtal_BW#'!$A:$Z,22,FALSE)+VLOOKUP($A310,A:AL,31,FALSE)-50)),"-",(VLOOKUP($A310,'SegEnds_NonXtal_BW#'!$A:$Z,22,FALSE)+VLOOKUP($A310,A:AL,31,FALSE)-50))</f>
        <v>369</v>
      </c>
      <c r="AG310" s="3">
        <f>IF(ISERROR(VLOOKUP($A310,'SegEnds_NonXtal_BW#'!$A:$Z,23,FALSE)+VLOOKUP($A310,A:AL,34,FALSE)-50),"-",(VLOOKUP($A310,'SegEnds_NonXtal_BW#'!$A:$Z,23,FALSE)+VLOOKUP($A310,A:AL,34,FALSE)-50))</f>
        <v>377</v>
      </c>
      <c r="AH310" s="3">
        <v>399</v>
      </c>
      <c r="AI310" s="3">
        <f>IF(ISERROR((VLOOKUP($A310,'SegEnds_NonXtal_BW#'!$A:$Z,24,FALSE)+VLOOKUP($A310,A:AL,34,FALSE)-50)),"-",(VLOOKUP($A310,'SegEnds_NonXtal_BW#'!$A:$Z,24,FALSE)+VLOOKUP($A310,A:AL,34,FALSE)-50))</f>
        <v>405</v>
      </c>
      <c r="AJ310" s="3">
        <f>IF(ISERROR(VLOOKUP($A310,'SegEnds_NonXtal_BW#'!$A:$Z,25,FALSE)+VLOOKUP($A310,A:AL,37,FALSE)-50),"-",(VLOOKUP($A310,'SegEnds_NonXtal_BW#'!$A:$Z,25,FALSE)+VLOOKUP($A310,A:AL,37,FALSE)-50))</f>
        <v>406</v>
      </c>
      <c r="AK310" s="3">
        <v>409</v>
      </c>
      <c r="AL310" s="3">
        <f>IF(ISERROR((VLOOKUP($A310,'SegEnds_NonXtal_BW#'!$A:$Z,26,FALSE)+VLOOKUP($A310,A:AL,37,FALSE)-50)),"-",(VLOOKUP($A310,'SegEnds_NonXtal_BW#'!$A:$Z,26,FALSE)+VLOOKUP($A310,A:AL,37,FALSE)-50))</f>
        <v>431</v>
      </c>
      <c r="AM310" s="28" t="str">
        <f>VLOOKUP(A310,Classification!A:B,2,FALSE)</f>
        <v>B1</v>
      </c>
      <c r="AN310" s="28" t="b">
        <f t="shared" si="188"/>
        <v>1</v>
      </c>
      <c r="AO310" s="3" t="str">
        <f>IF(ISERROR(MATCH(A310,'SegEnds_Xtal_Prot#'!B:B, 0)), "NoXtal", "Xtal")</f>
        <v>Xtal</v>
      </c>
      <c r="AP310" s="3">
        <f t="shared" si="173"/>
        <v>1</v>
      </c>
      <c r="AQ310" s="3">
        <f t="shared" si="174"/>
        <v>1</v>
      </c>
      <c r="AR310" s="3" t="str">
        <f t="shared" si="175"/>
        <v>-</v>
      </c>
      <c r="AS310" s="3" t="str">
        <f t="shared" si="176"/>
        <v>-</v>
      </c>
      <c r="AT310" s="3" t="str">
        <f t="shared" si="177"/>
        <v>-</v>
      </c>
      <c r="AU310" s="3" t="str">
        <f t="shared" si="178"/>
        <v>-</v>
      </c>
      <c r="AV310" s="3">
        <f t="shared" si="179"/>
        <v>4</v>
      </c>
      <c r="AW310" s="3">
        <f t="shared" si="180"/>
        <v>4</v>
      </c>
      <c r="AX310" s="3">
        <f t="shared" si="181"/>
        <v>7</v>
      </c>
      <c r="AY310" s="3">
        <f t="shared" si="182"/>
        <v>8</v>
      </c>
      <c r="AZ310" s="3">
        <f t="shared" si="183"/>
        <v>1</v>
      </c>
      <c r="BA310" s="3">
        <f>IF(ISERROR(LEN(VLOOKUP(A310,Seqs!A:E,2,FALSE))-AL310),"-",LEN(VLOOKUP(A310,Seqs!A:E,2,FALSE))-AL310)</f>
        <v>32</v>
      </c>
      <c r="BB310" s="16">
        <f t="shared" si="184"/>
        <v>28</v>
      </c>
      <c r="BC310" s="9" t="str">
        <f t="shared" si="185"/>
        <v>-</v>
      </c>
      <c r="BD310" s="3">
        <f t="shared" si="186"/>
        <v>28</v>
      </c>
      <c r="BE310" s="3">
        <f t="shared" si="187"/>
        <v>50</v>
      </c>
    </row>
    <row r="311" spans="1:58" s="3" customFormat="1" x14ac:dyDescent="0.2">
      <c r="A311" s="3" t="s">
        <v>406</v>
      </c>
      <c r="B311" s="3" t="str">
        <f>LOWER(VLOOKUP(A311,Xtal_Templ!A:B,2,FALSE))</f>
        <v>glr_human</v>
      </c>
      <c r="C311" s="3">
        <f>VLOOKUP($A311,'SegEnds_NonXtal_BW#'!$A:$Z,3,FALSE)+D311-50</f>
        <v>168</v>
      </c>
      <c r="D311" s="3">
        <v>193</v>
      </c>
      <c r="E311" s="3">
        <f>IF(ISERROR(VLOOKUP($A311,'SegEnds_NonXtal_BW#'!$A:$Z,4,FALSE)+VLOOKUP($A311,A:AL,4,FALSE)-50),"-",(VLOOKUP($A311,'SegEnds_NonXtal_BW#'!$A:$Z,4,FALSE)+VLOOKUP($A311,A:AL,4,FALSE)-50))</f>
        <v>203</v>
      </c>
      <c r="F311" s="3">
        <f t="shared" si="192"/>
        <v>204</v>
      </c>
      <c r="G311" s="3">
        <v>206</v>
      </c>
      <c r="H311" s="3">
        <f t="shared" si="198"/>
        <v>207</v>
      </c>
      <c r="I311" s="3">
        <f t="shared" si="198"/>
        <v>208</v>
      </c>
      <c r="J311" s="3">
        <v>221</v>
      </c>
      <c r="K311" s="3">
        <f>VLOOKUP($A311,'SegEnds_NonXtal_BW#'!$A:$Z,8,FALSE)+VLOOKUP($A311,A:AL,10,FALSE)-50</f>
        <v>235</v>
      </c>
      <c r="L311" s="3" t="str">
        <f>IF(ISERROR(VLOOKUP($A311,'SegEnds_NonXtal_BW#'!$A:$Z,9,FALSE)+VLOOKUP($A311,A:AL,13,FALSE)-50),"-",(VLOOKUP($A311,'SegEnds_NonXtal_BW#'!$A:$Z,9,FALSE)+VLOOKUP($A311,A:AL,13,FALSE)-50))</f>
        <v>-</v>
      </c>
      <c r="M311" s="3" t="s">
        <v>23</v>
      </c>
      <c r="N311" s="3" t="str">
        <f>IF(ISERROR(VLOOKUP($A311,'SegEnds_NonXtal_BW#'!$A:$Z,10,FALSE)+VLOOKUP($A311,A:AL,13,FALSE)-50),"-",(VLOOKUP($A311,'SegEnds_NonXtal_BW#'!$A:$Z,10,FALSE)+VLOOKUP($A311,A:AL,13,FALSE)-50))</f>
        <v>-</v>
      </c>
      <c r="O311" s="3">
        <f>VLOOKUP($A311,'SegEnds_NonXtal_BW#'!$A:$Z,11,FALSE)+VLOOKUP($A311,A:AL,16,FALSE)-50</f>
        <v>258</v>
      </c>
      <c r="P311" s="3">
        <v>285</v>
      </c>
      <c r="Q311" s="3">
        <f>VLOOKUP($A311,'SegEnds_NonXtal_BW#'!$A:$Z,12,FALSE)+VLOOKUP($A311,A:AL,16,FALSE)-50</f>
        <v>291</v>
      </c>
      <c r="R311" s="3" t="str">
        <f>IF(ISERROR(VLOOKUP($A311,'SegEnds_NonXtal_BW#'!$A:$Z,13,FALSE)+VLOOKUP($A311,A:AL,19,FALSE)-50),"-",VLOOKUP($A311,'SegEnds_NonXtal_BW#'!$A:$Z,13,FALSE)+VLOOKUP($A311,A:AL,19,FALSE)-50)</f>
        <v>-</v>
      </c>
      <c r="S311" s="3" t="s">
        <v>23</v>
      </c>
      <c r="T311" s="100" t="str">
        <f>IF(ISERROR(VLOOKUP($A311,'SegEnds_NonXtal_BW#'!$A:$Z,14,FALSE)+VLOOKUP($A311,A:AL,19,FALSE)-50),"-",(VLOOKUP($A311,'SegEnds_NonXtal_BW#'!$A:$Z,14,FALSE)+VLOOKUP($A311,A:AL,19,FALSE)-50))</f>
        <v>-</v>
      </c>
      <c r="U311" s="9">
        <f>IF(ISERROR(VLOOKUP($A311,'SegEnds_NonXtal_BW#'!$A:$Z,15,FALSE)+VLOOKUP($A311,A:AL,22,FALSE)-50),"-",VLOOKUP($A311,'SegEnds_NonXtal_BW#'!$A:$Z,15,FALSE)+VLOOKUP($A311,A:AL,22,FALSE)-50)</f>
        <v>298</v>
      </c>
      <c r="V311" s="3">
        <v>308</v>
      </c>
      <c r="W311" s="3">
        <f>IF(ISERROR(VLOOKUP($A311,'SegEnds_NonXtal_BW#'!$A:$Z,16,FALSE)+VLOOKUP($A311,A:AL,22,FALSE)-50),"-",(VLOOKUP($A311,'SegEnds_NonXtal_BW#'!$A:$Z,16,FALSE)+VLOOKUP($A311,A:AL,22,FALSE)-50))</f>
        <v>326</v>
      </c>
      <c r="X311" s="3">
        <f>IF(ISERROR(VLOOKUP($A311,'SegEnds_NonXtal_BW#'!$A:$Z,17,FALSE)+VLOOKUP($A311,A:AL,25,FALSE)-50),"-",(VLOOKUP($A311,'SegEnds_NonXtal_BW#'!$A:$Z,17,FALSE)+VLOOKUP($A311,A:AL,25,FALSE)-50))</f>
        <v>330</v>
      </c>
      <c r="Y311" s="3">
        <v>330</v>
      </c>
      <c r="Z311" s="3">
        <f t="shared" si="197"/>
        <v>332</v>
      </c>
      <c r="AA311" s="3">
        <f>IF(ISERROR(VLOOKUP($A311,'SegEnds_NonXtal_BW#'!$A:$Z,19,FALSE)+VLOOKUP($A311,A:AL,28,FALSE)-50),"-",(VLOOKUP($A311,'SegEnds_NonXtal_BW#'!$A:$Z,19,FALSE)+VLOOKUP($A311,A:AL,28,FALSE)-50))</f>
        <v>335</v>
      </c>
      <c r="AB311" s="3">
        <v>350</v>
      </c>
      <c r="AC311" s="3">
        <f>IF(ISERROR((VLOOKUP($A311,'SegEnds_NonXtal_BW#'!$A:$Z,20,FALSE)+VLOOKUP($A311,A:AL,28,FALSE)-50)),"-",(VLOOKUP($A311,'SegEnds_NonXtal_BW#'!$A:$Z,20,FALSE)+VLOOKUP($A311,A:AL,28,FALSE)-50))</f>
        <v>371</v>
      </c>
      <c r="AD311" s="3">
        <f>IF(ISERROR(VLOOKUP($A311,'SegEnds_NonXtal_BW#'!$A:$Z,21,FALSE)+VLOOKUP($A311,A:AL,31,FALSE)-50),"-",(VLOOKUP($A311,'SegEnds_NonXtal_BW#'!$A:$Z,21,FALSE)+VLOOKUP($A311,A:AL,31,FALSE)-50))</f>
        <v>378</v>
      </c>
      <c r="AE311" s="3">
        <v>400</v>
      </c>
      <c r="AF311" s="3">
        <f>IF(ISERROR((VLOOKUP($A311,'SegEnds_NonXtal_BW#'!$A:$Z,22,FALSE)+VLOOKUP($A311,A:AL,31,FALSE)-50)),"-",(VLOOKUP($A311,'SegEnds_NonXtal_BW#'!$A:$Z,22,FALSE)+VLOOKUP($A311,A:AL,31,FALSE)-50))</f>
        <v>403</v>
      </c>
      <c r="AG311" s="3">
        <f>IF(ISERROR(VLOOKUP($A311,'SegEnds_NonXtal_BW#'!$A:$Z,23,FALSE)+VLOOKUP($A311,A:AL,34,FALSE)-50),"-",(VLOOKUP($A311,'SegEnds_NonXtal_BW#'!$A:$Z,23,FALSE)+VLOOKUP($A311,A:AL,34,FALSE)-50))</f>
        <v>411</v>
      </c>
      <c r="AH311" s="3">
        <v>433</v>
      </c>
      <c r="AI311" s="3">
        <f>IF(ISERROR((VLOOKUP($A311,'SegEnds_NonXtal_BW#'!$A:$Z,24,FALSE)+VLOOKUP($A311,A:AL,34,FALSE)-50)),"-",(VLOOKUP($A311,'SegEnds_NonXtal_BW#'!$A:$Z,24,FALSE)+VLOOKUP($A311,A:AL,34,FALSE)-50))</f>
        <v>439</v>
      </c>
      <c r="AJ311" s="3">
        <f>IF(ISERROR(VLOOKUP($A311,'SegEnds_NonXtal_BW#'!$A:$Z,25,FALSE)+VLOOKUP($A311,A:AL,37,FALSE)-50),"-",(VLOOKUP($A311,'SegEnds_NonXtal_BW#'!$A:$Z,25,FALSE)+VLOOKUP($A311,A:AL,37,FALSE)-50))</f>
        <v>440</v>
      </c>
      <c r="AK311" s="3">
        <v>443</v>
      </c>
      <c r="AL311" s="3">
        <f>IF(ISERROR((VLOOKUP($A311,'SegEnds_NonXtal_BW#'!$A:$Z,26,FALSE)+VLOOKUP($A311,A:AL,37,FALSE)-50)),"-",(VLOOKUP($A311,'SegEnds_NonXtal_BW#'!$A:$Z,26,FALSE)+VLOOKUP($A311,A:AL,37,FALSE)-50))</f>
        <v>465</v>
      </c>
      <c r="AM311" s="28" t="str">
        <f>VLOOKUP(A311,Classification!A:B,2,FALSE)</f>
        <v>B1</v>
      </c>
      <c r="AN311" s="28" t="b">
        <f t="shared" si="188"/>
        <v>1</v>
      </c>
      <c r="AO311" s="3" t="str">
        <f>IF(ISERROR(MATCH(A311,'SegEnds_Xtal_Prot#'!B:B, 0)), "NoXtal", "Xtal")</f>
        <v>NoXtal</v>
      </c>
      <c r="AP311" s="3">
        <f t="shared" si="173"/>
        <v>1</v>
      </c>
      <c r="AQ311" s="3">
        <f t="shared" si="174"/>
        <v>1</v>
      </c>
      <c r="AR311" s="3" t="str">
        <f t="shared" si="175"/>
        <v>-</v>
      </c>
      <c r="AS311" s="3" t="str">
        <f t="shared" si="176"/>
        <v>-</v>
      </c>
      <c r="AT311" s="3" t="str">
        <f t="shared" si="177"/>
        <v>-</v>
      </c>
      <c r="AU311" s="3" t="str">
        <f t="shared" si="178"/>
        <v>-</v>
      </c>
      <c r="AV311" s="3">
        <f t="shared" si="179"/>
        <v>4</v>
      </c>
      <c r="AW311" s="3">
        <f t="shared" si="180"/>
        <v>3</v>
      </c>
      <c r="AX311" s="3">
        <f t="shared" si="181"/>
        <v>7</v>
      </c>
      <c r="AY311" s="3">
        <f t="shared" si="182"/>
        <v>8</v>
      </c>
      <c r="AZ311" s="3">
        <f t="shared" si="183"/>
        <v>1</v>
      </c>
      <c r="BA311" s="3">
        <f>IF(ISERROR(LEN(VLOOKUP(A311,Seqs!A:E,2,FALSE))-AL311),"-",LEN(VLOOKUP(A311,Seqs!A:E,2,FALSE))-AL311)</f>
        <v>88</v>
      </c>
      <c r="BB311" s="16">
        <f t="shared" si="184"/>
        <v>28</v>
      </c>
      <c r="BC311" s="9" t="str">
        <f t="shared" si="185"/>
        <v>-</v>
      </c>
      <c r="BD311" s="3">
        <f t="shared" si="186"/>
        <v>28</v>
      </c>
      <c r="BE311" s="3">
        <f t="shared" si="187"/>
        <v>50</v>
      </c>
    </row>
    <row r="312" spans="1:58" s="3" customFormat="1" x14ac:dyDescent="0.2">
      <c r="A312" s="3" t="s">
        <v>32</v>
      </c>
      <c r="B312" s="3" t="str">
        <f>LOWER(VLOOKUP(A312,Xtal_Templ!A:B,2,FALSE))</f>
        <v>glr_human</v>
      </c>
      <c r="C312" s="3">
        <f>VLOOKUP($A312,'SegEnds_NonXtal_BW#'!$A:$Z,3,FALSE)+D312-50</f>
        <v>131</v>
      </c>
      <c r="D312" s="3">
        <v>156</v>
      </c>
      <c r="E312" s="3">
        <f>IF(ISERROR(VLOOKUP($A312,'SegEnds_NonXtal_BW#'!$A:$Z,4,FALSE)+VLOOKUP($A312,A:AL,4,FALSE)-50),"-",(VLOOKUP($A312,'SegEnds_NonXtal_BW#'!$A:$Z,4,FALSE)+VLOOKUP($A312,A:AL,4,FALSE)-50))</f>
        <v>166</v>
      </c>
      <c r="F312" s="3">
        <f t="shared" si="192"/>
        <v>167</v>
      </c>
      <c r="G312" s="3">
        <v>169</v>
      </c>
      <c r="H312" s="3">
        <f t="shared" si="198"/>
        <v>170</v>
      </c>
      <c r="I312" s="3">
        <f t="shared" si="198"/>
        <v>171</v>
      </c>
      <c r="J312" s="3">
        <v>184</v>
      </c>
      <c r="K312" s="3">
        <f>VLOOKUP($A312,'SegEnds_NonXtal_BW#'!$A:$Z,8,FALSE)+VLOOKUP($A312,A:AL,10,FALSE)-50</f>
        <v>203</v>
      </c>
      <c r="L312" s="3" t="str">
        <f>IF(ISERROR(VLOOKUP($A312,'SegEnds_NonXtal_BW#'!$A:$Z,9,FALSE)+VLOOKUP($A312,A:AL,13,FALSE)-50),"-",(VLOOKUP($A312,'SegEnds_NonXtal_BW#'!$A:$Z,9,FALSE)+VLOOKUP($A312,A:AL,13,FALSE)-50))</f>
        <v>-</v>
      </c>
      <c r="M312" s="3" t="s">
        <v>23</v>
      </c>
      <c r="N312" s="3" t="str">
        <f>IF(ISERROR(VLOOKUP($A312,'SegEnds_NonXtal_BW#'!$A:$Z,10,FALSE)+VLOOKUP($A312,A:AL,13,FALSE)-50),"-",(VLOOKUP($A312,'SegEnds_NonXtal_BW#'!$A:$Z,10,FALSE)+VLOOKUP($A312,A:AL,13,FALSE)-50))</f>
        <v>-</v>
      </c>
      <c r="O312" s="3">
        <f>VLOOKUP($A312,'SegEnds_NonXtal_BW#'!$A:$Z,11,FALSE)+VLOOKUP($A312,A:AL,16,FALSE)-50</f>
        <v>220</v>
      </c>
      <c r="P312" s="3">
        <v>249</v>
      </c>
      <c r="Q312" s="3">
        <f>VLOOKUP($A312,'SegEnds_NonXtal_BW#'!$A:$Z,12,FALSE)+VLOOKUP($A312,A:AL,16,FALSE)-50</f>
        <v>255</v>
      </c>
      <c r="R312" s="3" t="str">
        <f>IF(ISERROR(VLOOKUP($A312,'SegEnds_NonXtal_BW#'!$A:$Z,13,FALSE)+VLOOKUP($A312,A:AL,19,FALSE)-50),"-",VLOOKUP($A312,'SegEnds_NonXtal_BW#'!$A:$Z,13,FALSE)+VLOOKUP($A312,A:AL,19,FALSE)-50)</f>
        <v>-</v>
      </c>
      <c r="S312" s="3" t="s">
        <v>23</v>
      </c>
      <c r="T312" s="100" t="str">
        <f>IF(ISERROR(VLOOKUP($A312,'SegEnds_NonXtal_BW#'!$A:$Z,14,FALSE)+VLOOKUP($A312,A:AL,19,FALSE)-50),"-",(VLOOKUP($A312,'SegEnds_NonXtal_BW#'!$A:$Z,14,FALSE)+VLOOKUP($A312,A:AL,19,FALSE)-50))</f>
        <v>-</v>
      </c>
      <c r="U312" s="9">
        <f>IF(ISERROR(VLOOKUP($A312,'SegEnds_NonXtal_BW#'!$A:$Z,15,FALSE)+VLOOKUP($A312,A:AL,22,FALSE)-50),"-",VLOOKUP($A312,'SegEnds_NonXtal_BW#'!$A:$Z,15,FALSE)+VLOOKUP($A312,A:AL,22,FALSE)-50)</f>
        <v>262</v>
      </c>
      <c r="V312" s="3">
        <v>272</v>
      </c>
      <c r="W312" s="3">
        <f>IF(ISERROR(VLOOKUP($A312,'SegEnds_NonXtal_BW#'!$A:$Z,16,FALSE)+VLOOKUP($A312,A:AL,22,FALSE)-50),"-",(VLOOKUP($A312,'SegEnds_NonXtal_BW#'!$A:$Z,16,FALSE)+VLOOKUP($A312,A:AL,22,FALSE)-50))</f>
        <v>290</v>
      </c>
      <c r="X312" s="3">
        <f>IF(ISERROR(VLOOKUP($A312,'SegEnds_NonXtal_BW#'!$A:$Z,17,FALSE)+VLOOKUP($A312,A:AL,25,FALSE)-50),"-",(VLOOKUP($A312,'SegEnds_NonXtal_BW#'!$A:$Z,17,FALSE)+VLOOKUP($A312,A:AL,25,FALSE)-50))</f>
        <v>294</v>
      </c>
      <c r="Y312" s="3">
        <v>294</v>
      </c>
      <c r="Z312" s="3">
        <f t="shared" si="197"/>
        <v>296</v>
      </c>
      <c r="AA312" s="3">
        <f>IF(ISERROR(VLOOKUP($A312,'SegEnds_NonXtal_BW#'!$A:$Z,19,FALSE)+VLOOKUP($A312,A:AL,28,FALSE)-50),"-",(VLOOKUP($A312,'SegEnds_NonXtal_BW#'!$A:$Z,19,FALSE)+VLOOKUP($A312,A:AL,28,FALSE)-50))</f>
        <v>299</v>
      </c>
      <c r="AB312" s="3">
        <v>314</v>
      </c>
      <c r="AC312" s="3">
        <f>IF(ISERROR((VLOOKUP($A312,'SegEnds_NonXtal_BW#'!$A:$Z,20,FALSE)+VLOOKUP($A312,A:AL,28,FALSE)-50)),"-",(VLOOKUP($A312,'SegEnds_NonXtal_BW#'!$A:$Z,20,FALSE)+VLOOKUP($A312,A:AL,28,FALSE)-50))</f>
        <v>335</v>
      </c>
      <c r="AD312" s="3">
        <f>IF(ISERROR(VLOOKUP($A312,'SegEnds_NonXtal_BW#'!$A:$Z,21,FALSE)+VLOOKUP($A312,A:AL,31,FALSE)-50),"-",(VLOOKUP($A312,'SegEnds_NonXtal_BW#'!$A:$Z,21,FALSE)+VLOOKUP($A312,A:AL,31,FALSE)-50))</f>
        <v>342</v>
      </c>
      <c r="AE312" s="3">
        <v>364</v>
      </c>
      <c r="AF312" s="3">
        <f>IF(ISERROR((VLOOKUP($A312,'SegEnds_NonXtal_BW#'!$A:$Z,22,FALSE)+VLOOKUP($A312,A:AL,31,FALSE)-50)),"-",(VLOOKUP($A312,'SegEnds_NonXtal_BW#'!$A:$Z,22,FALSE)+VLOOKUP($A312,A:AL,31,FALSE)-50))</f>
        <v>367</v>
      </c>
      <c r="AG312" s="3">
        <f>IF(ISERROR(VLOOKUP($A312,'SegEnds_NonXtal_BW#'!$A:$Z,23,FALSE)+VLOOKUP($A312,A:AL,34,FALSE)-50),"-",(VLOOKUP($A312,'SegEnds_NonXtal_BW#'!$A:$Z,23,FALSE)+VLOOKUP($A312,A:AL,34,FALSE)-50))</f>
        <v>374</v>
      </c>
      <c r="AH312" s="3">
        <v>397</v>
      </c>
      <c r="AI312" s="3">
        <f>IF(ISERROR((VLOOKUP($A312,'SegEnds_NonXtal_BW#'!$A:$Z,24,FALSE)+VLOOKUP($A312,A:AL,34,FALSE)-50)),"-",(VLOOKUP($A312,'SegEnds_NonXtal_BW#'!$A:$Z,24,FALSE)+VLOOKUP($A312,A:AL,34,FALSE)-50))</f>
        <v>403</v>
      </c>
      <c r="AJ312" s="3">
        <f>IF(ISERROR(VLOOKUP($A312,'SegEnds_NonXtal_BW#'!$A:$Z,25,FALSE)+VLOOKUP($A312,A:AL,37,FALSE)-50),"-",(VLOOKUP($A312,'SegEnds_NonXtal_BW#'!$A:$Z,25,FALSE)+VLOOKUP($A312,A:AL,37,FALSE)-50))</f>
        <v>404</v>
      </c>
      <c r="AK312" s="3">
        <v>407</v>
      </c>
      <c r="AL312" s="3">
        <f>IF(ISERROR((VLOOKUP($A312,'SegEnds_NonXtal_BW#'!$A:$Z,26,FALSE)+VLOOKUP($A312,A:AL,37,FALSE)-50)),"-",(VLOOKUP($A312,'SegEnds_NonXtal_BW#'!$A:$Z,26,FALSE)+VLOOKUP($A312,A:AL,37,FALSE)-50))</f>
        <v>429</v>
      </c>
      <c r="AM312" s="28" t="str">
        <f>VLOOKUP(A312,Classification!A:B,2,FALSE)</f>
        <v>B1</v>
      </c>
      <c r="AN312" s="28" t="b">
        <f t="shared" si="188"/>
        <v>1</v>
      </c>
      <c r="AO312" s="3" t="str">
        <f>IF(ISERROR(MATCH(A312,'SegEnds_Xtal_Prot#'!B:B, 0)), "NoXtal", "Xtal")</f>
        <v>Xtal</v>
      </c>
      <c r="AP312" s="3">
        <f t="shared" si="173"/>
        <v>1</v>
      </c>
      <c r="AQ312" s="3">
        <f t="shared" si="174"/>
        <v>1</v>
      </c>
      <c r="AR312" s="3" t="str">
        <f t="shared" si="175"/>
        <v>-</v>
      </c>
      <c r="AS312" s="3" t="str">
        <f t="shared" si="176"/>
        <v>-</v>
      </c>
      <c r="AT312" s="3" t="str">
        <f t="shared" si="177"/>
        <v>-</v>
      </c>
      <c r="AU312" s="3" t="str">
        <f t="shared" si="178"/>
        <v>-</v>
      </c>
      <c r="AV312" s="3">
        <f t="shared" si="179"/>
        <v>4</v>
      </c>
      <c r="AW312" s="3">
        <f t="shared" si="180"/>
        <v>3</v>
      </c>
      <c r="AX312" s="3">
        <f t="shared" si="181"/>
        <v>7</v>
      </c>
      <c r="AY312" s="3">
        <f t="shared" si="182"/>
        <v>7</v>
      </c>
      <c r="AZ312" s="3">
        <f t="shared" si="183"/>
        <v>1</v>
      </c>
      <c r="BA312" s="3">
        <f>IF(ISERROR(LEN(VLOOKUP(A312,Seqs!A:E,2,FALSE))-AL312),"-",LEN(VLOOKUP(A312,Seqs!A:E,2,FALSE))-AL312)</f>
        <v>48</v>
      </c>
      <c r="BB312" s="16">
        <f t="shared" si="184"/>
        <v>28</v>
      </c>
      <c r="BC312" s="9" t="str">
        <f t="shared" si="185"/>
        <v>-</v>
      </c>
      <c r="BD312" s="3">
        <f t="shared" si="186"/>
        <v>28</v>
      </c>
      <c r="BE312" s="3">
        <f t="shared" si="187"/>
        <v>50</v>
      </c>
    </row>
    <row r="313" spans="1:58" s="3" customFormat="1" x14ac:dyDescent="0.2">
      <c r="A313" s="3" t="s">
        <v>407</v>
      </c>
      <c r="B313" s="3" t="str">
        <f>LOWER(VLOOKUP(A313,Xtal_Templ!A:B,2,FALSE))</f>
        <v>pacr_human</v>
      </c>
      <c r="C313" s="3">
        <f>VLOOKUP($A313,'SegEnds_NonXtal_BW#'!$A:$Z,3,FALSE)+D313-50</f>
        <v>139</v>
      </c>
      <c r="D313" s="3">
        <v>168</v>
      </c>
      <c r="E313" s="3">
        <f>IF(ISERROR(VLOOKUP($A313,'SegEnds_NonXtal_BW#'!$A:$Z,4,FALSE)+VLOOKUP($A313,A:AL,4,FALSE)-50),"-",(VLOOKUP($A313,'SegEnds_NonXtal_BW#'!$A:$Z,4,FALSE)+VLOOKUP($A313,A:AL,4,FALSE)-50))</f>
        <v>178</v>
      </c>
      <c r="F313" s="3">
        <f t="shared" si="192"/>
        <v>179</v>
      </c>
      <c r="G313" s="3">
        <v>181</v>
      </c>
      <c r="H313" s="3">
        <f t="shared" si="198"/>
        <v>182</v>
      </c>
      <c r="I313" s="3">
        <f t="shared" si="198"/>
        <v>183</v>
      </c>
      <c r="J313" s="3">
        <v>196</v>
      </c>
      <c r="K313" s="3">
        <f>VLOOKUP($A313,'SegEnds_NonXtal_BW#'!$A:$Z,8,FALSE)+VLOOKUP($A313,A:AL,10,FALSE)-50</f>
        <v>210</v>
      </c>
      <c r="L313" s="3" t="str">
        <f>IF(ISERROR(VLOOKUP($A313,'SegEnds_NonXtal_BW#'!$A:$Z,9,FALSE)+VLOOKUP($A313,A:AL,13,FALSE)-50),"-",(VLOOKUP($A313,'SegEnds_NonXtal_BW#'!$A:$Z,9,FALSE)+VLOOKUP($A313,A:AL,13,FALSE)-50))</f>
        <v>-</v>
      </c>
      <c r="M313" s="3" t="s">
        <v>23</v>
      </c>
      <c r="N313" s="3" t="str">
        <f>IF(ISERROR(VLOOKUP($A313,'SegEnds_NonXtal_BW#'!$A:$Z,10,FALSE)+VLOOKUP($A313,A:AL,13,FALSE)-50),"-",(VLOOKUP($A313,'SegEnds_NonXtal_BW#'!$A:$Z,10,FALSE)+VLOOKUP($A313,A:AL,13,FALSE)-50))</f>
        <v>-</v>
      </c>
      <c r="O313" s="3">
        <f>VLOOKUP($A313,'SegEnds_NonXtal_BW#'!$A:$Z,11,FALSE)+VLOOKUP($A313,A:AL,16,FALSE)-50</f>
        <v>223</v>
      </c>
      <c r="P313" s="3">
        <v>251</v>
      </c>
      <c r="Q313" s="3">
        <f>VLOOKUP($A313,'SegEnds_NonXtal_BW#'!$A:$Z,12,FALSE)+VLOOKUP($A313,A:AL,16,FALSE)-50</f>
        <v>257</v>
      </c>
      <c r="R313" s="3" t="str">
        <f>IF(ISERROR(VLOOKUP($A313,'SegEnds_NonXtal_BW#'!$A:$Z,13,FALSE)+VLOOKUP($A313,A:AL,19,FALSE)-50),"-",VLOOKUP($A313,'SegEnds_NonXtal_BW#'!$A:$Z,13,FALSE)+VLOOKUP($A313,A:AL,19,FALSE)-50)</f>
        <v>-</v>
      </c>
      <c r="S313" s="3" t="s">
        <v>23</v>
      </c>
      <c r="T313" s="100" t="str">
        <f>IF(ISERROR(VLOOKUP($A313,'SegEnds_NonXtal_BW#'!$A:$Z,14,FALSE)+VLOOKUP($A313,A:AL,19,FALSE)-50),"-",(VLOOKUP($A313,'SegEnds_NonXtal_BW#'!$A:$Z,14,FALSE)+VLOOKUP($A313,A:AL,19,FALSE)-50))</f>
        <v>-</v>
      </c>
      <c r="U313" s="9">
        <f>IF(ISERROR(VLOOKUP($A313,'SegEnds_NonXtal_BW#'!$A:$Z,15,FALSE)+VLOOKUP($A313,A:AL,22,FALSE)-50),"-",VLOOKUP($A313,'SegEnds_NonXtal_BW#'!$A:$Z,15,FALSE)+VLOOKUP($A313,A:AL,22,FALSE)-50)</f>
        <v>264</v>
      </c>
      <c r="V313" s="3">
        <v>274</v>
      </c>
      <c r="W313" s="3">
        <f>IF(ISERROR(VLOOKUP($A313,'SegEnds_NonXtal_BW#'!$A:$Z,16,FALSE)+VLOOKUP($A313,A:AL,22,FALSE)-50),"-",(VLOOKUP($A313,'SegEnds_NonXtal_BW#'!$A:$Z,16,FALSE)+VLOOKUP($A313,A:AL,22,FALSE)-50))</f>
        <v>292</v>
      </c>
      <c r="X313" s="3">
        <f>IF(ISERROR(VLOOKUP($A313,'SegEnds_NonXtal_BW#'!$A:$Z,17,FALSE)+VLOOKUP($A313,A:AL,25,FALSE)-50),"-",(VLOOKUP($A313,'SegEnds_NonXtal_BW#'!$A:$Z,17,FALSE)+VLOOKUP($A313,A:AL,25,FALSE)-50))</f>
        <v>296</v>
      </c>
      <c r="Y313" s="3">
        <v>296</v>
      </c>
      <c r="Z313" s="3">
        <f t="shared" si="197"/>
        <v>298</v>
      </c>
      <c r="AA313" s="3">
        <f>IF(ISERROR(VLOOKUP($A313,'SegEnds_NonXtal_BW#'!$A:$Z,19,FALSE)+VLOOKUP($A313,A:AL,28,FALSE)-50),"-",(VLOOKUP($A313,'SegEnds_NonXtal_BW#'!$A:$Z,19,FALSE)+VLOOKUP($A313,A:AL,28,FALSE)-50))</f>
        <v>302</v>
      </c>
      <c r="AB313" s="3">
        <v>316</v>
      </c>
      <c r="AC313" s="3">
        <f>IF(ISERROR((VLOOKUP($A313,'SegEnds_NonXtal_BW#'!$A:$Z,20,FALSE)+VLOOKUP($A313,A:AL,28,FALSE)-50)),"-",(VLOOKUP($A313,'SegEnds_NonXtal_BW#'!$A:$Z,20,FALSE)+VLOOKUP($A313,A:AL,28,FALSE)-50))</f>
        <v>335</v>
      </c>
      <c r="AD313" s="3">
        <f>IF(ISERROR(VLOOKUP($A313,'SegEnds_NonXtal_BW#'!$A:$Z,21,FALSE)+VLOOKUP($A313,A:AL,31,FALSE)-50),"-",(VLOOKUP($A313,'SegEnds_NonXtal_BW#'!$A:$Z,21,FALSE)+VLOOKUP($A313,A:AL,31,FALSE)-50))</f>
        <v>343</v>
      </c>
      <c r="AE313" s="3">
        <v>368</v>
      </c>
      <c r="AF313" s="3">
        <f>IF(ISERROR((VLOOKUP($A313,'SegEnds_NonXtal_BW#'!$A:$Z,22,FALSE)+VLOOKUP($A313,A:AL,31,FALSE)-50)),"-",(VLOOKUP($A313,'SegEnds_NonXtal_BW#'!$A:$Z,22,FALSE)+VLOOKUP($A313,A:AL,31,FALSE)-50))</f>
        <v>372</v>
      </c>
      <c r="AG313" s="3">
        <f>IF(ISERROR(VLOOKUP($A313,'SegEnds_NonXtal_BW#'!$A:$Z,23,FALSE)+VLOOKUP($A313,A:AL,34,FALSE)-50),"-",(VLOOKUP($A313,'SegEnds_NonXtal_BW#'!$A:$Z,23,FALSE)+VLOOKUP($A313,A:AL,34,FALSE)-50))</f>
        <v>378</v>
      </c>
      <c r="AH313" s="3">
        <v>397</v>
      </c>
      <c r="AI313" s="3">
        <f>IF(ISERROR((VLOOKUP($A313,'SegEnds_NonXtal_BW#'!$A:$Z,24,FALSE)+VLOOKUP($A313,A:AL,34,FALSE)-50)),"-",(VLOOKUP($A313,'SegEnds_NonXtal_BW#'!$A:$Z,24,FALSE)+VLOOKUP($A313,A:AL,34,FALSE)-50))</f>
        <v>403</v>
      </c>
      <c r="AJ313" s="3">
        <f>IF(ISERROR(VLOOKUP($A313,'SegEnds_NonXtal_BW#'!$A:$Z,25,FALSE)+VLOOKUP($A313,A:AL,37,FALSE)-50),"-",(VLOOKUP($A313,'SegEnds_NonXtal_BW#'!$A:$Z,25,FALSE)+VLOOKUP($A313,A:AL,37,FALSE)-50))</f>
        <v>404</v>
      </c>
      <c r="AK313" s="3">
        <v>407</v>
      </c>
      <c r="AL313" s="3">
        <f>IF(ISERROR((VLOOKUP($A313,'SegEnds_NonXtal_BW#'!$A:$Z,26,FALSE)+VLOOKUP($A313,A:AL,37,FALSE)-50)),"-",(VLOOKUP($A313,'SegEnds_NonXtal_BW#'!$A:$Z,26,FALSE)+VLOOKUP($A313,A:AL,37,FALSE)-50))</f>
        <v>429</v>
      </c>
      <c r="AM313" s="28" t="str">
        <f>VLOOKUP(A313,Classification!A:B,2,FALSE)</f>
        <v>B1</v>
      </c>
      <c r="AN313" s="28" t="b">
        <f t="shared" si="188"/>
        <v>1</v>
      </c>
      <c r="AO313" s="3" t="str">
        <f>IF(ISERROR(MATCH(A313,'SegEnds_Xtal_Prot#'!B:B, 0)), "NoXtal", "Xtal")</f>
        <v>Xtal</v>
      </c>
      <c r="AP313" s="3">
        <f t="shared" si="173"/>
        <v>1</v>
      </c>
      <c r="AQ313" s="3">
        <f t="shared" si="174"/>
        <v>1</v>
      </c>
      <c r="AR313" s="3" t="str">
        <f t="shared" si="175"/>
        <v>-</v>
      </c>
      <c r="AS313" s="3" t="str">
        <f t="shared" si="176"/>
        <v>-</v>
      </c>
      <c r="AT313" s="3" t="str">
        <f t="shared" si="177"/>
        <v>-</v>
      </c>
      <c r="AU313" s="3" t="str">
        <f t="shared" si="178"/>
        <v>-</v>
      </c>
      <c r="AV313" s="3">
        <f t="shared" si="179"/>
        <v>4</v>
      </c>
      <c r="AW313" s="3">
        <f t="shared" si="180"/>
        <v>4</v>
      </c>
      <c r="AX313" s="3">
        <f t="shared" si="181"/>
        <v>8</v>
      </c>
      <c r="AY313" s="3">
        <f t="shared" si="182"/>
        <v>6</v>
      </c>
      <c r="AZ313" s="3">
        <f t="shared" si="183"/>
        <v>1</v>
      </c>
      <c r="BA313" s="3">
        <f>IF(ISERROR(LEN(VLOOKUP(A313,Seqs!A:E,2,FALSE))-AL313),"-",LEN(VLOOKUP(A313,Seqs!A:E,2,FALSE))-AL313)</f>
        <v>39</v>
      </c>
      <c r="BB313" s="16">
        <f t="shared" si="184"/>
        <v>28</v>
      </c>
      <c r="BC313" s="9" t="str">
        <f t="shared" si="185"/>
        <v>-</v>
      </c>
      <c r="BD313" s="3">
        <f t="shared" si="186"/>
        <v>28</v>
      </c>
      <c r="BE313" s="3">
        <f t="shared" si="187"/>
        <v>52</v>
      </c>
    </row>
    <row r="314" spans="1:58" s="3" customFormat="1" x14ac:dyDescent="0.2">
      <c r="A314" s="3" t="s">
        <v>408</v>
      </c>
      <c r="B314" s="3" t="str">
        <f>LOWER(VLOOKUP(A314,Xtal_Templ!A:B,2,FALSE))</f>
        <v>pth1r_human</v>
      </c>
      <c r="C314" s="3">
        <f>VLOOKUP($A314,'SegEnds_NonXtal_BW#'!$A:$Z,3,FALSE)+D314-50</f>
        <v>173</v>
      </c>
      <c r="D314" s="3">
        <v>202</v>
      </c>
      <c r="E314" s="3">
        <f>IF(ISERROR(VLOOKUP($A314,'SegEnds_NonXtal_BW#'!$A:$Z,4,FALSE)+VLOOKUP($A314,A:AL,4,FALSE)-50),"-",(VLOOKUP($A314,'SegEnds_NonXtal_BW#'!$A:$Z,4,FALSE)+VLOOKUP($A314,A:AL,4,FALSE)-50))</f>
        <v>212</v>
      </c>
      <c r="F314" s="3">
        <f t="shared" si="192"/>
        <v>213</v>
      </c>
      <c r="G314" s="3">
        <v>215</v>
      </c>
      <c r="H314" s="3">
        <f t="shared" si="198"/>
        <v>216</v>
      </c>
      <c r="I314" s="3">
        <f t="shared" si="198"/>
        <v>217</v>
      </c>
      <c r="J314" s="3">
        <v>230</v>
      </c>
      <c r="K314" s="3">
        <f>VLOOKUP($A314,'SegEnds_NonXtal_BW#'!$A:$Z,8,FALSE)+VLOOKUP($A314,A:AL,10,FALSE)-50</f>
        <v>249</v>
      </c>
      <c r="L314" s="3" t="str">
        <f>IF(ISERROR(VLOOKUP($A314,'SegEnds_NonXtal_BW#'!$A:$Z,9,FALSE)+VLOOKUP($A314,A:AL,13,FALSE)-50),"-",(VLOOKUP($A314,'SegEnds_NonXtal_BW#'!$A:$Z,9,FALSE)+VLOOKUP($A314,A:AL,13,FALSE)-50))</f>
        <v>-</v>
      </c>
      <c r="M314" s="3" t="s">
        <v>23</v>
      </c>
      <c r="N314" s="3" t="str">
        <f>IF(ISERROR(VLOOKUP($A314,'SegEnds_NonXtal_BW#'!$A:$Z,10,FALSE)+VLOOKUP($A314,A:AL,13,FALSE)-50),"-",(VLOOKUP($A314,'SegEnds_NonXtal_BW#'!$A:$Z,10,FALSE)+VLOOKUP($A314,A:AL,13,FALSE)-50))</f>
        <v>-</v>
      </c>
      <c r="O314" s="3">
        <f>VLOOKUP($A314,'SegEnds_NonXtal_BW#'!$A:$Z,11,FALSE)+VLOOKUP($A314,A:AL,16,FALSE)-50</f>
        <v>277</v>
      </c>
      <c r="P314" s="3">
        <v>306</v>
      </c>
      <c r="Q314" s="3">
        <f>VLOOKUP($A314,'SegEnds_NonXtal_BW#'!$A:$Z,12,FALSE)+VLOOKUP($A314,A:AL,16,FALSE)-50</f>
        <v>312</v>
      </c>
      <c r="R314" s="3" t="str">
        <f>IF(ISERROR(VLOOKUP($A314,'SegEnds_NonXtal_BW#'!$A:$Z,13,FALSE)+VLOOKUP($A314,A:AL,19,FALSE)-50),"-",VLOOKUP($A314,'SegEnds_NonXtal_BW#'!$A:$Z,13,FALSE)+VLOOKUP($A314,A:AL,19,FALSE)-50)</f>
        <v>-</v>
      </c>
      <c r="S314" s="3" t="s">
        <v>23</v>
      </c>
      <c r="T314" s="100" t="str">
        <f>IF(ISERROR(VLOOKUP($A314,'SegEnds_NonXtal_BW#'!$A:$Z,14,FALSE)+VLOOKUP($A314,A:AL,19,FALSE)-50),"-",(VLOOKUP($A314,'SegEnds_NonXtal_BW#'!$A:$Z,14,FALSE)+VLOOKUP($A314,A:AL,19,FALSE)-50))</f>
        <v>-</v>
      </c>
      <c r="U314" s="9">
        <f>IF(ISERROR(VLOOKUP($A314,'SegEnds_NonXtal_BW#'!$A:$Z,15,FALSE)+VLOOKUP($A314,A:AL,22,FALSE)-50),"-",VLOOKUP($A314,'SegEnds_NonXtal_BW#'!$A:$Z,15,FALSE)+VLOOKUP($A314,A:AL,22,FALSE)-50)</f>
        <v>316</v>
      </c>
      <c r="V314" s="3">
        <v>329</v>
      </c>
      <c r="W314" s="3">
        <f>IF(ISERROR(VLOOKUP($A314,'SegEnds_NonXtal_BW#'!$A:$Z,16,FALSE)+VLOOKUP($A314,A:AL,22,FALSE)-50),"-",(VLOOKUP($A314,'SegEnds_NonXtal_BW#'!$A:$Z,16,FALSE)+VLOOKUP($A314,A:AL,22,FALSE)-50))</f>
        <v>347</v>
      </c>
      <c r="X314" s="3">
        <f>IF(ISERROR(VLOOKUP($A314,'SegEnds_NonXtal_BW#'!$A:$Z,17,FALSE)+VLOOKUP($A314,A:AL,25,FALSE)-50),"-",(VLOOKUP($A314,'SegEnds_NonXtal_BW#'!$A:$Z,17,FALSE)+VLOOKUP($A314,A:AL,25,FALSE)-50))</f>
        <v>351</v>
      </c>
      <c r="Y314" s="3">
        <v>351</v>
      </c>
      <c r="Z314" s="3">
        <f t="shared" si="197"/>
        <v>353</v>
      </c>
      <c r="AA314" s="3">
        <f>IF(ISERROR(VLOOKUP($A314,'SegEnds_NonXtal_BW#'!$A:$Z,19,FALSE)+VLOOKUP($A314,A:AL,28,FALSE)-50),"-",(VLOOKUP($A314,'SegEnds_NonXtal_BW#'!$A:$Z,19,FALSE)+VLOOKUP($A314,A:AL,28,FALSE)-50))</f>
        <v>357</v>
      </c>
      <c r="AB314" s="3">
        <v>370</v>
      </c>
      <c r="AC314" s="3">
        <f>IF(ISERROR((VLOOKUP($A314,'SegEnds_NonXtal_BW#'!$A:$Z,20,FALSE)+VLOOKUP($A314,A:AL,28,FALSE)-50)),"-",(VLOOKUP($A314,'SegEnds_NonXtal_BW#'!$A:$Z,20,FALSE)+VLOOKUP($A314,A:AL,28,FALSE)-50))</f>
        <v>389</v>
      </c>
      <c r="AD314" s="3">
        <f>IF(ISERROR(VLOOKUP($A314,'SegEnds_NonXtal_BW#'!$A:$Z,21,FALSE)+VLOOKUP($A314,A:AL,31,FALSE)-50),"-",(VLOOKUP($A314,'SegEnds_NonXtal_BW#'!$A:$Z,21,FALSE)+VLOOKUP($A314,A:AL,31,FALSE)-50))</f>
        <v>398</v>
      </c>
      <c r="AE314" s="3">
        <v>423</v>
      </c>
      <c r="AF314" s="3">
        <f>IF(ISERROR((VLOOKUP($A314,'SegEnds_NonXtal_BW#'!$A:$Z,22,FALSE)+VLOOKUP($A314,A:AL,31,FALSE)-50)),"-",(VLOOKUP($A314,'SegEnds_NonXtal_BW#'!$A:$Z,22,FALSE)+VLOOKUP($A314,A:AL,31,FALSE)-50))</f>
        <v>427</v>
      </c>
      <c r="AG314" s="3">
        <f>IF(ISERROR(VLOOKUP($A314,'SegEnds_NonXtal_BW#'!$A:$Z,23,FALSE)+VLOOKUP($A314,A:AL,34,FALSE)-50),"-",(VLOOKUP($A314,'SegEnds_NonXtal_BW#'!$A:$Z,23,FALSE)+VLOOKUP($A314,A:AL,34,FALSE)-50))</f>
        <v>434</v>
      </c>
      <c r="AH314" s="3">
        <v>456</v>
      </c>
      <c r="AI314" s="3">
        <f>IF(ISERROR((VLOOKUP($A314,'SegEnds_NonXtal_BW#'!$A:$Z,24,FALSE)+VLOOKUP($A314,A:AL,34,FALSE)-50)),"-",(VLOOKUP($A314,'SegEnds_NonXtal_BW#'!$A:$Z,24,FALSE)+VLOOKUP($A314,A:AL,34,FALSE)-50))</f>
        <v>462</v>
      </c>
      <c r="AJ314" s="3">
        <f>IF(ISERROR(VLOOKUP($A314,'SegEnds_NonXtal_BW#'!$A:$Z,25,FALSE)+VLOOKUP($A314,A:AL,37,FALSE)-50),"-",(VLOOKUP($A314,'SegEnds_NonXtal_BW#'!$A:$Z,25,FALSE)+VLOOKUP($A314,A:AL,37,FALSE)-50))</f>
        <v>463</v>
      </c>
      <c r="AK314" s="3">
        <v>466</v>
      </c>
      <c r="AL314" s="3">
        <f>IF(ISERROR((VLOOKUP($A314,'SegEnds_NonXtal_BW#'!$A:$Z,26,FALSE)+VLOOKUP($A314,A:AL,37,FALSE)-50)),"-",(VLOOKUP($A314,'SegEnds_NonXtal_BW#'!$A:$Z,26,FALSE)+VLOOKUP($A314,A:AL,37,FALSE)-50))</f>
        <v>488</v>
      </c>
      <c r="AM314" s="28" t="str">
        <f>VLOOKUP(A314,Classification!A:B,2,FALSE)</f>
        <v>B1</v>
      </c>
      <c r="AN314" s="28" t="b">
        <f t="shared" si="188"/>
        <v>1</v>
      </c>
      <c r="AO314" s="3" t="str">
        <f>IF(ISERROR(MATCH(A314,'SegEnds_Xtal_Prot#'!B:B, 0)), "NoXtal", "Xtal")</f>
        <v>Xtal</v>
      </c>
      <c r="AP314" s="3">
        <f t="shared" si="173"/>
        <v>1</v>
      </c>
      <c r="AQ314" s="3">
        <f t="shared" si="174"/>
        <v>1</v>
      </c>
      <c r="AR314" s="3" t="str">
        <f t="shared" si="175"/>
        <v>-</v>
      </c>
      <c r="AS314" s="3" t="str">
        <f t="shared" si="176"/>
        <v>-</v>
      </c>
      <c r="AT314" s="3" t="str">
        <f t="shared" si="177"/>
        <v>-</v>
      </c>
      <c r="AU314" s="3" t="str">
        <f t="shared" si="178"/>
        <v>-</v>
      </c>
      <c r="AV314" s="3">
        <f t="shared" si="179"/>
        <v>4</v>
      </c>
      <c r="AW314" s="3">
        <f t="shared" si="180"/>
        <v>4</v>
      </c>
      <c r="AX314" s="3">
        <f t="shared" si="181"/>
        <v>9</v>
      </c>
      <c r="AY314" s="3">
        <f t="shared" si="182"/>
        <v>7</v>
      </c>
      <c r="AZ314" s="3">
        <f t="shared" si="183"/>
        <v>1</v>
      </c>
      <c r="BA314" s="3">
        <f>IF(ISERROR(LEN(VLOOKUP(A314,Seqs!A:E,2,FALSE))-AL314),"-",LEN(VLOOKUP(A314,Seqs!A:E,2,FALSE))-AL314)</f>
        <v>105</v>
      </c>
      <c r="BB314" s="16">
        <f t="shared" si="184"/>
        <v>28</v>
      </c>
      <c r="BC314" s="9" t="str">
        <f t="shared" si="185"/>
        <v>-</v>
      </c>
      <c r="BD314" s="3">
        <f t="shared" si="186"/>
        <v>28</v>
      </c>
      <c r="BE314" s="3">
        <f t="shared" si="187"/>
        <v>53</v>
      </c>
    </row>
    <row r="315" spans="1:58" s="3" customFormat="1" x14ac:dyDescent="0.2">
      <c r="A315" s="3" t="s">
        <v>409</v>
      </c>
      <c r="B315" s="3" t="str">
        <f>LOWER(VLOOKUP(A315,Xtal_Templ!A:B,2,FALSE))</f>
        <v>pth1r_human</v>
      </c>
      <c r="C315" s="3">
        <f>VLOOKUP($A315,'SegEnds_NonXtal_BW#'!$A:$Z,3,FALSE)+D315-50</f>
        <v>130</v>
      </c>
      <c r="D315" s="3">
        <v>159</v>
      </c>
      <c r="E315" s="3">
        <f>IF(ISERROR(VLOOKUP($A315,'SegEnds_NonXtal_BW#'!$A:$Z,4,FALSE)+VLOOKUP($A315,A:AL,4,FALSE)-50),"-",(VLOOKUP($A315,'SegEnds_NonXtal_BW#'!$A:$Z,4,FALSE)+VLOOKUP($A315,A:AL,4,FALSE)-50))</f>
        <v>169</v>
      </c>
      <c r="F315" s="3">
        <f t="shared" si="192"/>
        <v>170</v>
      </c>
      <c r="G315" s="3">
        <v>172</v>
      </c>
      <c r="H315" s="3">
        <f t="shared" si="198"/>
        <v>173</v>
      </c>
      <c r="I315" s="3">
        <f t="shared" si="198"/>
        <v>174</v>
      </c>
      <c r="J315" s="3">
        <v>187</v>
      </c>
      <c r="K315" s="3">
        <f>VLOOKUP($A315,'SegEnds_NonXtal_BW#'!$A:$Z,8,FALSE)+VLOOKUP($A315,A:AL,10,FALSE)-50</f>
        <v>206</v>
      </c>
      <c r="L315" s="3" t="str">
        <f>IF(ISERROR(VLOOKUP($A315,'SegEnds_NonXtal_BW#'!$A:$Z,9,FALSE)+VLOOKUP($A315,A:AL,13,FALSE)-50),"-",(VLOOKUP($A315,'SegEnds_NonXtal_BW#'!$A:$Z,9,FALSE)+VLOOKUP($A315,A:AL,13,FALSE)-50))</f>
        <v>-</v>
      </c>
      <c r="M315" s="3" t="s">
        <v>23</v>
      </c>
      <c r="N315" s="3" t="str">
        <f>IF(ISERROR(VLOOKUP($A315,'SegEnds_NonXtal_BW#'!$A:$Z,10,FALSE)+VLOOKUP($A315,A:AL,13,FALSE)-50),"-",(VLOOKUP($A315,'SegEnds_NonXtal_BW#'!$A:$Z,10,FALSE)+VLOOKUP($A315,A:AL,13,FALSE)-50))</f>
        <v>-</v>
      </c>
      <c r="O315" s="3">
        <f>VLOOKUP($A315,'SegEnds_NonXtal_BW#'!$A:$Z,11,FALSE)+VLOOKUP($A315,A:AL,16,FALSE)-50</f>
        <v>232</v>
      </c>
      <c r="P315" s="3">
        <v>261</v>
      </c>
      <c r="Q315" s="3">
        <f>VLOOKUP($A315,'SegEnds_NonXtal_BW#'!$A:$Z,12,FALSE)+VLOOKUP($A315,A:AL,16,FALSE)-50</f>
        <v>267</v>
      </c>
      <c r="R315" s="3" t="str">
        <f>IF(ISERROR(VLOOKUP($A315,'SegEnds_NonXtal_BW#'!$A:$Z,13,FALSE)+VLOOKUP($A315,A:AL,19,FALSE)-50),"-",VLOOKUP($A315,'SegEnds_NonXtal_BW#'!$A:$Z,13,FALSE)+VLOOKUP($A315,A:AL,19,FALSE)-50)</f>
        <v>-</v>
      </c>
      <c r="S315" s="3" t="s">
        <v>23</v>
      </c>
      <c r="T315" s="100" t="str">
        <f>IF(ISERROR(VLOOKUP($A315,'SegEnds_NonXtal_BW#'!$A:$Z,14,FALSE)+VLOOKUP($A315,A:AL,19,FALSE)-50),"-",(VLOOKUP($A315,'SegEnds_NonXtal_BW#'!$A:$Z,14,FALSE)+VLOOKUP($A315,A:AL,19,FALSE)-50))</f>
        <v>-</v>
      </c>
      <c r="U315" s="9">
        <f>IF(ISERROR(VLOOKUP($A315,'SegEnds_NonXtal_BW#'!$A:$Z,15,FALSE)+VLOOKUP($A315,A:AL,22,FALSE)-50),"-",VLOOKUP($A315,'SegEnds_NonXtal_BW#'!$A:$Z,15,FALSE)+VLOOKUP($A315,A:AL,22,FALSE)-50)</f>
        <v>271</v>
      </c>
      <c r="V315" s="3">
        <v>284</v>
      </c>
      <c r="W315" s="3">
        <f>IF(ISERROR(VLOOKUP($A315,'SegEnds_NonXtal_BW#'!$A:$Z,16,FALSE)+VLOOKUP($A315,A:AL,22,FALSE)-50),"-",(VLOOKUP($A315,'SegEnds_NonXtal_BW#'!$A:$Z,16,FALSE)+VLOOKUP($A315,A:AL,22,FALSE)-50))</f>
        <v>302</v>
      </c>
      <c r="X315" s="3">
        <f>IF(ISERROR(VLOOKUP($A315,'SegEnds_NonXtal_BW#'!$A:$Z,17,FALSE)+VLOOKUP($A315,A:AL,25,FALSE)-50),"-",(VLOOKUP($A315,'SegEnds_NonXtal_BW#'!$A:$Z,17,FALSE)+VLOOKUP($A315,A:AL,25,FALSE)-50))</f>
        <v>306</v>
      </c>
      <c r="Y315" s="3">
        <v>306</v>
      </c>
      <c r="Z315" s="3">
        <f t="shared" si="197"/>
        <v>308</v>
      </c>
      <c r="AA315" s="3">
        <f>IF(ISERROR(VLOOKUP($A315,'SegEnds_NonXtal_BW#'!$A:$Z,19,FALSE)+VLOOKUP($A315,A:AL,28,FALSE)-50),"-",(VLOOKUP($A315,'SegEnds_NonXtal_BW#'!$A:$Z,19,FALSE)+VLOOKUP($A315,A:AL,28,FALSE)-50))</f>
        <v>312</v>
      </c>
      <c r="AB315" s="3">
        <v>325</v>
      </c>
      <c r="AC315" s="3">
        <f>IF(ISERROR((VLOOKUP($A315,'SegEnds_NonXtal_BW#'!$A:$Z,20,FALSE)+VLOOKUP($A315,A:AL,28,FALSE)-50)),"-",(VLOOKUP($A315,'SegEnds_NonXtal_BW#'!$A:$Z,20,FALSE)+VLOOKUP($A315,A:AL,28,FALSE)-50))</f>
        <v>344</v>
      </c>
      <c r="AD315" s="3">
        <f>IF(ISERROR(VLOOKUP($A315,'SegEnds_NonXtal_BW#'!$A:$Z,21,FALSE)+VLOOKUP($A315,A:AL,31,FALSE)-50),"-",(VLOOKUP($A315,'SegEnds_NonXtal_BW#'!$A:$Z,21,FALSE)+VLOOKUP($A315,A:AL,31,FALSE)-50))</f>
        <v>353</v>
      </c>
      <c r="AE315" s="3">
        <v>378</v>
      </c>
      <c r="AF315" s="3">
        <f>IF(ISERROR((VLOOKUP($A315,'SegEnds_NonXtal_BW#'!$A:$Z,22,FALSE)+VLOOKUP($A315,A:AL,31,FALSE)-50)),"-",(VLOOKUP($A315,'SegEnds_NonXtal_BW#'!$A:$Z,22,FALSE)+VLOOKUP($A315,A:AL,31,FALSE)-50))</f>
        <v>382</v>
      </c>
      <c r="AG315" s="3">
        <f>IF(ISERROR(VLOOKUP($A315,'SegEnds_NonXtal_BW#'!$A:$Z,23,FALSE)+VLOOKUP($A315,A:AL,34,FALSE)-50),"-",(VLOOKUP($A315,'SegEnds_NonXtal_BW#'!$A:$Z,23,FALSE)+VLOOKUP($A315,A:AL,34,FALSE)-50))</f>
        <v>388</v>
      </c>
      <c r="AH315" s="3">
        <v>410</v>
      </c>
      <c r="AI315" s="3">
        <f>IF(ISERROR((VLOOKUP($A315,'SegEnds_NonXtal_BW#'!$A:$Z,24,FALSE)+VLOOKUP($A315,A:AL,34,FALSE)-50)),"-",(VLOOKUP($A315,'SegEnds_NonXtal_BW#'!$A:$Z,24,FALSE)+VLOOKUP($A315,A:AL,34,FALSE)-50))</f>
        <v>416</v>
      </c>
      <c r="AJ315" s="3">
        <f>IF(ISERROR(VLOOKUP($A315,'SegEnds_NonXtal_BW#'!$A:$Z,25,FALSE)+VLOOKUP($A315,A:AL,37,FALSE)-50),"-",(VLOOKUP($A315,'SegEnds_NonXtal_BW#'!$A:$Z,25,FALSE)+VLOOKUP($A315,A:AL,37,FALSE)-50))</f>
        <v>417</v>
      </c>
      <c r="AK315" s="3">
        <v>420</v>
      </c>
      <c r="AL315" s="3">
        <f>IF(ISERROR((VLOOKUP($A315,'SegEnds_NonXtal_BW#'!$A:$Z,26,FALSE)+VLOOKUP($A315,A:AL,37,FALSE)-50)),"-",(VLOOKUP($A315,'SegEnds_NonXtal_BW#'!$A:$Z,26,FALSE)+VLOOKUP($A315,A:AL,37,FALSE)-50))</f>
        <v>442</v>
      </c>
      <c r="AM315" s="28" t="str">
        <f>VLOOKUP(A315,Classification!A:B,2,FALSE)</f>
        <v>B1</v>
      </c>
      <c r="AN315" s="28" t="b">
        <f t="shared" si="188"/>
        <v>1</v>
      </c>
      <c r="AO315" s="3" t="str">
        <f>IF(ISERROR(MATCH(A315,'SegEnds_Xtal_Prot#'!B:B, 0)), "NoXtal", "Xtal")</f>
        <v>NoXtal</v>
      </c>
      <c r="AP315" s="3">
        <f t="shared" si="173"/>
        <v>1</v>
      </c>
      <c r="AQ315" s="3">
        <f t="shared" si="174"/>
        <v>1</v>
      </c>
      <c r="AR315" s="3" t="str">
        <f t="shared" si="175"/>
        <v>-</v>
      </c>
      <c r="AS315" s="3" t="str">
        <f t="shared" si="176"/>
        <v>-</v>
      </c>
      <c r="AT315" s="3" t="str">
        <f t="shared" si="177"/>
        <v>-</v>
      </c>
      <c r="AU315" s="3" t="str">
        <f t="shared" si="178"/>
        <v>-</v>
      </c>
      <c r="AV315" s="3">
        <f t="shared" si="179"/>
        <v>4</v>
      </c>
      <c r="AW315" s="3">
        <f t="shared" si="180"/>
        <v>4</v>
      </c>
      <c r="AX315" s="3">
        <f t="shared" si="181"/>
        <v>9</v>
      </c>
      <c r="AY315" s="3">
        <f t="shared" si="182"/>
        <v>6</v>
      </c>
      <c r="AZ315" s="3">
        <f t="shared" si="183"/>
        <v>1</v>
      </c>
      <c r="BA315" s="3">
        <f>IF(ISERROR(LEN(VLOOKUP(A315,Seqs!A:E,2,FALSE))-AL315),"-",LEN(VLOOKUP(A315,Seqs!A:E,2,FALSE))-AL315)</f>
        <v>108</v>
      </c>
      <c r="BB315" s="16">
        <f t="shared" si="184"/>
        <v>28</v>
      </c>
      <c r="BC315" s="9" t="str">
        <f t="shared" si="185"/>
        <v>-</v>
      </c>
      <c r="BD315" s="3">
        <f t="shared" si="186"/>
        <v>28</v>
      </c>
      <c r="BE315" s="3">
        <f t="shared" si="187"/>
        <v>53</v>
      </c>
    </row>
    <row r="316" spans="1:58" s="3" customFormat="1" x14ac:dyDescent="0.2">
      <c r="A316" s="3" t="s">
        <v>410</v>
      </c>
      <c r="B316" s="3" t="str">
        <f>LOWER(VLOOKUP(A316,Xtal_Templ!A:B,2,FALSE))</f>
        <v>pacr_human</v>
      </c>
      <c r="C316" s="3">
        <f>VLOOKUP($A316,'SegEnds_NonXtal_BW#'!$A:$Z,3,FALSE)+D316-50</f>
        <v>128</v>
      </c>
      <c r="D316" s="3">
        <v>157</v>
      </c>
      <c r="E316" s="3">
        <f>IF(ISERROR(VLOOKUP($A316,'SegEnds_NonXtal_BW#'!$A:$Z,4,FALSE)+VLOOKUP($A316,A:AL,4,FALSE)-50),"-",(VLOOKUP($A316,'SegEnds_NonXtal_BW#'!$A:$Z,4,FALSE)+VLOOKUP($A316,A:AL,4,FALSE)-50))</f>
        <v>167</v>
      </c>
      <c r="F316" s="3">
        <f t="shared" si="192"/>
        <v>168</v>
      </c>
      <c r="G316" s="3">
        <v>170</v>
      </c>
      <c r="H316" s="3">
        <f t="shared" si="198"/>
        <v>171</v>
      </c>
      <c r="I316" s="3">
        <f t="shared" si="198"/>
        <v>172</v>
      </c>
      <c r="J316" s="3">
        <v>185</v>
      </c>
      <c r="K316" s="3">
        <f>VLOOKUP($A316,'SegEnds_NonXtal_BW#'!$A:$Z,8,FALSE)+VLOOKUP($A316,A:AL,10,FALSE)-50</f>
        <v>199</v>
      </c>
      <c r="L316" s="3" t="str">
        <f>IF(ISERROR(VLOOKUP($A316,'SegEnds_NonXtal_BW#'!$A:$Z,9,FALSE)+VLOOKUP($A316,A:AL,13,FALSE)-50),"-",(VLOOKUP($A316,'SegEnds_NonXtal_BW#'!$A:$Z,9,FALSE)+VLOOKUP($A316,A:AL,13,FALSE)-50))</f>
        <v>-</v>
      </c>
      <c r="M316" s="3" t="s">
        <v>23</v>
      </c>
      <c r="N316" s="3" t="str">
        <f>IF(ISERROR(VLOOKUP($A316,'SegEnds_NonXtal_BW#'!$A:$Z,10,FALSE)+VLOOKUP($A316,A:AL,13,FALSE)-50),"-",(VLOOKUP($A316,'SegEnds_NonXtal_BW#'!$A:$Z,10,FALSE)+VLOOKUP($A316,A:AL,13,FALSE)-50))</f>
        <v>-</v>
      </c>
      <c r="O316" s="3">
        <f>VLOOKUP($A316,'SegEnds_NonXtal_BW#'!$A:$Z,11,FALSE)+VLOOKUP($A316,A:AL,16,FALSE)-50</f>
        <v>212</v>
      </c>
      <c r="P316" s="3">
        <v>240</v>
      </c>
      <c r="Q316" s="3">
        <f>VLOOKUP($A316,'SegEnds_NonXtal_BW#'!$A:$Z,12,FALSE)+VLOOKUP($A316,A:AL,16,FALSE)-50</f>
        <v>246</v>
      </c>
      <c r="R316" s="3" t="str">
        <f>IF(ISERROR(VLOOKUP($A316,'SegEnds_NonXtal_BW#'!$A:$Z,13,FALSE)+VLOOKUP($A316,A:AL,19,FALSE)-50),"-",VLOOKUP($A316,'SegEnds_NonXtal_BW#'!$A:$Z,13,FALSE)+VLOOKUP($A316,A:AL,19,FALSE)-50)</f>
        <v>-</v>
      </c>
      <c r="S316" s="3" t="s">
        <v>23</v>
      </c>
      <c r="T316" s="100" t="str">
        <f>IF(ISERROR(VLOOKUP($A316,'SegEnds_NonXtal_BW#'!$A:$Z,14,FALSE)+VLOOKUP($A316,A:AL,19,FALSE)-50),"-",(VLOOKUP($A316,'SegEnds_NonXtal_BW#'!$A:$Z,14,FALSE)+VLOOKUP($A316,A:AL,19,FALSE)-50))</f>
        <v>-</v>
      </c>
      <c r="U316" s="9">
        <f>IF(ISERROR(VLOOKUP($A316,'SegEnds_NonXtal_BW#'!$A:$Z,15,FALSE)+VLOOKUP($A316,A:AL,22,FALSE)-50),"-",VLOOKUP($A316,'SegEnds_NonXtal_BW#'!$A:$Z,15,FALSE)+VLOOKUP($A316,A:AL,22,FALSE)-50)</f>
        <v>253</v>
      </c>
      <c r="V316" s="3">
        <v>263</v>
      </c>
      <c r="W316" s="3">
        <f>IF(ISERROR(VLOOKUP($A316,'SegEnds_NonXtal_BW#'!$A:$Z,16,FALSE)+VLOOKUP($A316,A:AL,22,FALSE)-50),"-",(VLOOKUP($A316,'SegEnds_NonXtal_BW#'!$A:$Z,16,FALSE)+VLOOKUP($A316,A:AL,22,FALSE)-50))</f>
        <v>281</v>
      </c>
      <c r="X316" s="3">
        <f>IF(ISERROR(VLOOKUP($A316,'SegEnds_NonXtal_BW#'!$A:$Z,17,FALSE)+VLOOKUP($A316,A:AL,25,FALSE)-50),"-",(VLOOKUP($A316,'SegEnds_NonXtal_BW#'!$A:$Z,17,FALSE)+VLOOKUP($A316,A:AL,25,FALSE)-50))</f>
        <v>285</v>
      </c>
      <c r="Y316" s="3">
        <v>285</v>
      </c>
      <c r="Z316" s="3">
        <f t="shared" si="197"/>
        <v>287</v>
      </c>
      <c r="AA316" s="3">
        <f>IF(ISERROR(VLOOKUP($A316,'SegEnds_NonXtal_BW#'!$A:$Z,19,FALSE)+VLOOKUP($A316,A:AL,28,FALSE)-50),"-",(VLOOKUP($A316,'SegEnds_NonXtal_BW#'!$A:$Z,19,FALSE)+VLOOKUP($A316,A:AL,28,FALSE)-50))</f>
        <v>291</v>
      </c>
      <c r="AB316" s="3">
        <v>305</v>
      </c>
      <c r="AC316" s="3">
        <f>IF(ISERROR((VLOOKUP($A316,'SegEnds_NonXtal_BW#'!$A:$Z,20,FALSE)+VLOOKUP($A316,A:AL,28,FALSE)-50)),"-",(VLOOKUP($A316,'SegEnds_NonXtal_BW#'!$A:$Z,20,FALSE)+VLOOKUP($A316,A:AL,28,FALSE)-50))</f>
        <v>324</v>
      </c>
      <c r="AD316" s="3">
        <f>IF(ISERROR(VLOOKUP($A316,'SegEnds_NonXtal_BW#'!$A:$Z,21,FALSE)+VLOOKUP($A316,A:AL,31,FALSE)-50),"-",(VLOOKUP($A316,'SegEnds_NonXtal_BW#'!$A:$Z,21,FALSE)+VLOOKUP($A316,A:AL,31,FALSE)-50))</f>
        <v>332</v>
      </c>
      <c r="AE316" s="3">
        <v>357</v>
      </c>
      <c r="AF316" s="3">
        <f>IF(ISERROR((VLOOKUP($A316,'SegEnds_NonXtal_BW#'!$A:$Z,22,FALSE)+VLOOKUP($A316,A:AL,31,FALSE)-50)),"-",(VLOOKUP($A316,'SegEnds_NonXtal_BW#'!$A:$Z,22,FALSE)+VLOOKUP($A316,A:AL,31,FALSE)-50))</f>
        <v>361</v>
      </c>
      <c r="AG316" s="3">
        <f>IF(ISERROR(VLOOKUP($A316,'SegEnds_NonXtal_BW#'!$A:$Z,23,FALSE)+VLOOKUP($A316,A:AL,34,FALSE)-50),"-",(VLOOKUP($A316,'SegEnds_NonXtal_BW#'!$A:$Z,23,FALSE)+VLOOKUP($A316,A:AL,34,FALSE)-50))</f>
        <v>366</v>
      </c>
      <c r="AH316" s="3">
        <v>385</v>
      </c>
      <c r="AI316" s="3">
        <f>IF(ISERROR((VLOOKUP($A316,'SegEnds_NonXtal_BW#'!$A:$Z,24,FALSE)+VLOOKUP($A316,A:AL,34,FALSE)-50)),"-",(VLOOKUP($A316,'SegEnds_NonXtal_BW#'!$A:$Z,24,FALSE)+VLOOKUP($A316,A:AL,34,FALSE)-50))</f>
        <v>391</v>
      </c>
      <c r="AJ316" s="3">
        <f>IF(ISERROR(VLOOKUP($A316,'SegEnds_NonXtal_BW#'!$A:$Z,25,FALSE)+VLOOKUP($A316,A:AL,37,FALSE)-50),"-",(VLOOKUP($A316,'SegEnds_NonXtal_BW#'!$A:$Z,25,FALSE)+VLOOKUP($A316,A:AL,37,FALSE)-50))</f>
        <v>392</v>
      </c>
      <c r="AK316" s="3">
        <v>395</v>
      </c>
      <c r="AL316" s="3">
        <f>IF(ISERROR((VLOOKUP($A316,'SegEnds_NonXtal_BW#'!$A:$Z,26,FALSE)+VLOOKUP($A316,A:AL,37,FALSE)-50)),"-",(VLOOKUP($A316,'SegEnds_NonXtal_BW#'!$A:$Z,26,FALSE)+VLOOKUP($A316,A:AL,37,FALSE)-50))</f>
        <v>417</v>
      </c>
      <c r="AM316" s="28" t="str">
        <f>VLOOKUP(A316,Classification!A:B,2,FALSE)</f>
        <v>B1</v>
      </c>
      <c r="AN316" s="28" t="b">
        <f t="shared" si="188"/>
        <v>1</v>
      </c>
      <c r="AO316" s="3" t="str">
        <f>IF(ISERROR(MATCH(A316,'SegEnds_Xtal_Prot#'!B:B, 0)), "NoXtal", "Xtal")</f>
        <v>NoXtal</v>
      </c>
      <c r="AP316" s="3">
        <f t="shared" si="173"/>
        <v>1</v>
      </c>
      <c r="AQ316" s="3">
        <f t="shared" si="174"/>
        <v>1</v>
      </c>
      <c r="AR316" s="3" t="str">
        <f t="shared" si="175"/>
        <v>-</v>
      </c>
      <c r="AS316" s="3" t="str">
        <f t="shared" si="176"/>
        <v>-</v>
      </c>
      <c r="AT316" s="3" t="str">
        <f t="shared" si="177"/>
        <v>-</v>
      </c>
      <c r="AU316" s="3" t="str">
        <f t="shared" si="178"/>
        <v>-</v>
      </c>
      <c r="AV316" s="3">
        <f t="shared" si="179"/>
        <v>4</v>
      </c>
      <c r="AW316" s="3">
        <f t="shared" si="180"/>
        <v>4</v>
      </c>
      <c r="AX316" s="3">
        <f t="shared" si="181"/>
        <v>8</v>
      </c>
      <c r="AY316" s="3">
        <f t="shared" si="182"/>
        <v>5</v>
      </c>
      <c r="AZ316" s="3">
        <f t="shared" si="183"/>
        <v>1</v>
      </c>
      <c r="BA316" s="3">
        <f>IF(ISERROR(LEN(VLOOKUP(A316,Seqs!A:E,2,FALSE))-AL316),"-",LEN(VLOOKUP(A316,Seqs!A:E,2,FALSE))-AL316)</f>
        <v>23</v>
      </c>
      <c r="BB316" s="16">
        <f t="shared" si="184"/>
        <v>28</v>
      </c>
      <c r="BC316" s="9" t="str">
        <f t="shared" si="185"/>
        <v>-</v>
      </c>
      <c r="BD316" s="3">
        <f t="shared" si="186"/>
        <v>28</v>
      </c>
      <c r="BE316" s="3">
        <f t="shared" si="187"/>
        <v>52</v>
      </c>
      <c r="BF316" s="3">
        <f>AH316-AE316</f>
        <v>28</v>
      </c>
    </row>
    <row r="317" spans="1:58" s="3" customFormat="1" x14ac:dyDescent="0.2">
      <c r="A317" s="3" t="s">
        <v>411</v>
      </c>
      <c r="B317" s="3" t="str">
        <f>LOWER(VLOOKUP(A317,Xtal_Templ!A:B,2,FALSE))</f>
        <v>pacr_human</v>
      </c>
      <c r="C317" s="3">
        <f>VLOOKUP($A317,'SegEnds_NonXtal_BW#'!$A:$Z,3,FALSE)+D317-50</f>
        <v>128</v>
      </c>
      <c r="D317" s="3">
        <v>157</v>
      </c>
      <c r="E317" s="3">
        <f>IF(ISERROR(VLOOKUP($A317,'SegEnds_NonXtal_BW#'!$A:$Z,4,FALSE)+VLOOKUP($A317,A:AL,4,FALSE)-50),"-",(VLOOKUP($A317,'SegEnds_NonXtal_BW#'!$A:$Z,4,FALSE)+VLOOKUP($A317,A:AL,4,FALSE)-50))</f>
        <v>167</v>
      </c>
      <c r="F317" s="3">
        <f t="shared" si="192"/>
        <v>168</v>
      </c>
      <c r="G317" s="3">
        <v>170</v>
      </c>
      <c r="H317" s="3">
        <f t="shared" si="198"/>
        <v>171</v>
      </c>
      <c r="I317" s="3">
        <f t="shared" si="198"/>
        <v>172</v>
      </c>
      <c r="J317" s="3">
        <v>185</v>
      </c>
      <c r="K317" s="3">
        <f>VLOOKUP($A317,'SegEnds_NonXtal_BW#'!$A:$Z,8,FALSE)+VLOOKUP($A317,A:AL,10,FALSE)-50</f>
        <v>199</v>
      </c>
      <c r="L317" s="3" t="str">
        <f>IF(ISERROR(VLOOKUP($A317,'SegEnds_NonXtal_BW#'!$A:$Z,9,FALSE)+VLOOKUP($A317,A:AL,13,FALSE)-50),"-",(VLOOKUP($A317,'SegEnds_NonXtal_BW#'!$A:$Z,9,FALSE)+VLOOKUP($A317,A:AL,13,FALSE)-50))</f>
        <v>-</v>
      </c>
      <c r="M317" s="3" t="s">
        <v>23</v>
      </c>
      <c r="N317" s="3" t="str">
        <f>IF(ISERROR(VLOOKUP($A317,'SegEnds_NonXtal_BW#'!$A:$Z,10,FALSE)+VLOOKUP($A317,A:AL,13,FALSE)-50),"-",(VLOOKUP($A317,'SegEnds_NonXtal_BW#'!$A:$Z,10,FALSE)+VLOOKUP($A317,A:AL,13,FALSE)-50))</f>
        <v>-</v>
      </c>
      <c r="O317" s="3">
        <f>VLOOKUP($A317,'SegEnds_NonXtal_BW#'!$A:$Z,11,FALSE)+VLOOKUP($A317,A:AL,16,FALSE)-50</f>
        <v>212</v>
      </c>
      <c r="P317" s="3">
        <v>240</v>
      </c>
      <c r="Q317" s="3">
        <f>VLOOKUP($A317,'SegEnds_NonXtal_BW#'!$A:$Z,12,FALSE)+VLOOKUP($A317,A:AL,16,FALSE)-50</f>
        <v>246</v>
      </c>
      <c r="R317" s="3" t="str">
        <f>IF(ISERROR(VLOOKUP($A317,'SegEnds_NonXtal_BW#'!$A:$Z,13,FALSE)+VLOOKUP($A317,A:AL,19,FALSE)-50),"-",VLOOKUP($A317,'SegEnds_NonXtal_BW#'!$A:$Z,13,FALSE)+VLOOKUP($A317,A:AL,19,FALSE)-50)</f>
        <v>-</v>
      </c>
      <c r="S317" s="3" t="s">
        <v>23</v>
      </c>
      <c r="T317" s="100" t="str">
        <f>IF(ISERROR(VLOOKUP($A317,'SegEnds_NonXtal_BW#'!$A:$Z,14,FALSE)+VLOOKUP($A317,A:AL,19,FALSE)-50),"-",(VLOOKUP($A317,'SegEnds_NonXtal_BW#'!$A:$Z,14,FALSE)+VLOOKUP($A317,A:AL,19,FALSE)-50))</f>
        <v>-</v>
      </c>
      <c r="U317" s="9">
        <f>IF(ISERROR(VLOOKUP($A317,'SegEnds_NonXtal_BW#'!$A:$Z,15,FALSE)+VLOOKUP($A317,A:AL,22,FALSE)-50),"-",VLOOKUP($A317,'SegEnds_NonXtal_BW#'!$A:$Z,15,FALSE)+VLOOKUP($A317,A:AL,22,FALSE)-50)</f>
        <v>253</v>
      </c>
      <c r="V317" s="3">
        <v>263</v>
      </c>
      <c r="W317" s="3">
        <f>IF(ISERROR(VLOOKUP($A317,'SegEnds_NonXtal_BW#'!$A:$Z,16,FALSE)+VLOOKUP($A317,A:AL,22,FALSE)-50),"-",(VLOOKUP($A317,'SegEnds_NonXtal_BW#'!$A:$Z,16,FALSE)+VLOOKUP($A317,A:AL,22,FALSE)-50))</f>
        <v>281</v>
      </c>
      <c r="X317" s="3">
        <f>IF(ISERROR(VLOOKUP($A317,'SegEnds_NonXtal_BW#'!$A:$Z,17,FALSE)+VLOOKUP($A317,A:AL,25,FALSE)-50),"-",(VLOOKUP($A317,'SegEnds_NonXtal_BW#'!$A:$Z,17,FALSE)+VLOOKUP($A317,A:AL,25,FALSE)-50))</f>
        <v>285</v>
      </c>
      <c r="Y317" s="3">
        <v>285</v>
      </c>
      <c r="Z317" s="3">
        <f t="shared" si="197"/>
        <v>287</v>
      </c>
      <c r="AA317" s="3">
        <f>IF(ISERROR(VLOOKUP($A317,'SegEnds_NonXtal_BW#'!$A:$Z,19,FALSE)+VLOOKUP($A317,A:AL,28,FALSE)-50),"-",(VLOOKUP($A317,'SegEnds_NonXtal_BW#'!$A:$Z,19,FALSE)+VLOOKUP($A317,A:AL,28,FALSE)-50))</f>
        <v>290</v>
      </c>
      <c r="AB317" s="3">
        <v>304</v>
      </c>
      <c r="AC317" s="3">
        <f>IF(ISERROR((VLOOKUP($A317,'SegEnds_NonXtal_BW#'!$A:$Z,20,FALSE)+VLOOKUP($A317,A:AL,28,FALSE)-50)),"-",(VLOOKUP($A317,'SegEnds_NonXtal_BW#'!$A:$Z,20,FALSE)+VLOOKUP($A317,A:AL,28,FALSE)-50))</f>
        <v>323</v>
      </c>
      <c r="AD317" s="3">
        <f>IF(ISERROR(VLOOKUP($A317,'SegEnds_NonXtal_BW#'!$A:$Z,21,FALSE)+VLOOKUP($A317,A:AL,31,FALSE)-50),"-",(VLOOKUP($A317,'SegEnds_NonXtal_BW#'!$A:$Z,21,FALSE)+VLOOKUP($A317,A:AL,31,FALSE)-50))</f>
        <v>331</v>
      </c>
      <c r="AE317" s="3">
        <v>356</v>
      </c>
      <c r="AF317" s="3">
        <f>IF(ISERROR((VLOOKUP($A317,'SegEnds_NonXtal_BW#'!$A:$Z,22,FALSE)+VLOOKUP($A317,A:AL,31,FALSE)-50)),"-",(VLOOKUP($A317,'SegEnds_NonXtal_BW#'!$A:$Z,22,FALSE)+VLOOKUP($A317,A:AL,31,FALSE)-50))</f>
        <v>360</v>
      </c>
      <c r="AG317" s="3">
        <f>IF(ISERROR(VLOOKUP($A317,'SegEnds_NonXtal_BW#'!$A:$Z,23,FALSE)+VLOOKUP($A317,A:AL,34,FALSE)-50),"-",(VLOOKUP($A317,'SegEnds_NonXtal_BW#'!$A:$Z,23,FALSE)+VLOOKUP($A317,A:AL,34,FALSE)-50))</f>
        <v>366</v>
      </c>
      <c r="AH317" s="3">
        <v>385</v>
      </c>
      <c r="AI317" s="3">
        <f>IF(ISERROR((VLOOKUP($A317,'SegEnds_NonXtal_BW#'!$A:$Z,24,FALSE)+VLOOKUP($A317,A:AL,34,FALSE)-50)),"-",(VLOOKUP($A317,'SegEnds_NonXtal_BW#'!$A:$Z,24,FALSE)+VLOOKUP($A317,A:AL,34,FALSE)-50))</f>
        <v>391</v>
      </c>
      <c r="AJ317" s="3">
        <f>IF(ISERROR(VLOOKUP($A317,'SegEnds_NonXtal_BW#'!$A:$Z,25,FALSE)+VLOOKUP($A317,A:AL,37,FALSE)-50),"-",(VLOOKUP($A317,'SegEnds_NonXtal_BW#'!$A:$Z,25,FALSE)+VLOOKUP($A317,A:AL,37,FALSE)-50))</f>
        <v>392</v>
      </c>
      <c r="AK317" s="3">
        <v>395</v>
      </c>
      <c r="AL317" s="3">
        <f>IF(ISERROR((VLOOKUP($A317,'SegEnds_NonXtal_BW#'!$A:$Z,26,FALSE)+VLOOKUP($A317,A:AL,37,FALSE)-50)),"-",(VLOOKUP($A317,'SegEnds_NonXtal_BW#'!$A:$Z,26,FALSE)+VLOOKUP($A317,A:AL,37,FALSE)-50))</f>
        <v>417</v>
      </c>
      <c r="AM317" s="28" t="str">
        <f>VLOOKUP(A317,Classification!A:B,2,FALSE)</f>
        <v>B1</v>
      </c>
      <c r="AN317" s="28" t="b">
        <f t="shared" si="188"/>
        <v>1</v>
      </c>
      <c r="AO317" s="3" t="str">
        <f>IF(ISERROR(MATCH(A317,'SegEnds_Xtal_Prot#'!B:B, 0)), "NoXtal", "Xtal")</f>
        <v>NoXtal</v>
      </c>
      <c r="AP317" s="3">
        <f t="shared" si="173"/>
        <v>1</v>
      </c>
      <c r="AQ317" s="3">
        <f t="shared" si="174"/>
        <v>1</v>
      </c>
      <c r="AR317" s="3" t="str">
        <f t="shared" si="175"/>
        <v>-</v>
      </c>
      <c r="AS317" s="3" t="str">
        <f t="shared" si="176"/>
        <v>-</v>
      </c>
      <c r="AT317" s="3" t="str">
        <f t="shared" si="177"/>
        <v>-</v>
      </c>
      <c r="AU317" s="3" t="str">
        <f t="shared" si="178"/>
        <v>-</v>
      </c>
      <c r="AV317" s="3">
        <f t="shared" si="179"/>
        <v>4</v>
      </c>
      <c r="AW317" s="3">
        <f t="shared" si="180"/>
        <v>3</v>
      </c>
      <c r="AX317" s="3">
        <f t="shared" si="181"/>
        <v>8</v>
      </c>
      <c r="AY317" s="3">
        <f t="shared" si="182"/>
        <v>6</v>
      </c>
      <c r="AZ317" s="3">
        <f t="shared" si="183"/>
        <v>1</v>
      </c>
      <c r="BA317" s="3">
        <f>IF(ISERROR(LEN(VLOOKUP(A317,Seqs!A:E,2,FALSE))-AL317),"-",LEN(VLOOKUP(A317,Seqs!A:E,2,FALSE))-AL317)</f>
        <v>40</v>
      </c>
      <c r="BB317" s="16">
        <f t="shared" si="184"/>
        <v>28</v>
      </c>
      <c r="BC317" s="9" t="str">
        <f t="shared" si="185"/>
        <v>-</v>
      </c>
      <c r="BD317" s="3">
        <f t="shared" si="186"/>
        <v>28</v>
      </c>
      <c r="BE317" s="3">
        <f t="shared" si="187"/>
        <v>52</v>
      </c>
    </row>
    <row r="318" spans="1:58" s="3" customFormat="1" x14ac:dyDescent="0.2">
      <c r="A318" s="3" t="s">
        <v>412</v>
      </c>
      <c r="B318" s="3" t="str">
        <f>LOWER(VLOOKUP(A318,Xtal_Templ!A:B,2,FALSE))</f>
        <v>pacr_human</v>
      </c>
      <c r="C318" s="3">
        <f>VLOOKUP($A318,'SegEnds_NonXtal_BW#'!$A:$Z,3,FALSE)+D318-50</f>
        <v>112</v>
      </c>
      <c r="D318" s="3">
        <v>141</v>
      </c>
      <c r="E318" s="3">
        <f>IF(ISERROR(VLOOKUP($A318,'SegEnds_NonXtal_BW#'!$A:$Z,4,FALSE)+VLOOKUP($A318,A:AL,4,FALSE)-50),"-",(VLOOKUP($A318,'SegEnds_NonXtal_BW#'!$A:$Z,4,FALSE)+VLOOKUP($A318,A:AL,4,FALSE)-50))</f>
        <v>151</v>
      </c>
      <c r="F318" s="3">
        <f t="shared" si="192"/>
        <v>152</v>
      </c>
      <c r="G318" s="3">
        <v>154</v>
      </c>
      <c r="H318" s="3">
        <f t="shared" si="198"/>
        <v>155</v>
      </c>
      <c r="I318" s="3">
        <f t="shared" si="198"/>
        <v>156</v>
      </c>
      <c r="J318" s="3">
        <v>169</v>
      </c>
      <c r="K318" s="3">
        <f>VLOOKUP($A318,'SegEnds_NonXtal_BW#'!$A:$Z,8,FALSE)+VLOOKUP($A318,A:AL,10,FALSE)-50</f>
        <v>183</v>
      </c>
      <c r="L318" s="3" t="str">
        <f>IF(ISERROR(VLOOKUP($A318,'SegEnds_NonXtal_BW#'!$A:$Z,9,FALSE)+VLOOKUP($A318,A:AL,13,FALSE)-50),"-",(VLOOKUP($A318,'SegEnds_NonXtal_BW#'!$A:$Z,9,FALSE)+VLOOKUP($A318,A:AL,13,FALSE)-50))</f>
        <v>-</v>
      </c>
      <c r="M318" s="3" t="s">
        <v>23</v>
      </c>
      <c r="N318" s="3" t="str">
        <f>IF(ISERROR(VLOOKUP($A318,'SegEnds_NonXtal_BW#'!$A:$Z,10,FALSE)+VLOOKUP($A318,A:AL,13,FALSE)-50),"-",(VLOOKUP($A318,'SegEnds_NonXtal_BW#'!$A:$Z,10,FALSE)+VLOOKUP($A318,A:AL,13,FALSE)-50))</f>
        <v>-</v>
      </c>
      <c r="O318" s="3">
        <f>VLOOKUP($A318,'SegEnds_NonXtal_BW#'!$A:$Z,11,FALSE)+VLOOKUP($A318,A:AL,16,FALSE)-50</f>
        <v>199</v>
      </c>
      <c r="P318" s="3">
        <v>227</v>
      </c>
      <c r="Q318" s="3">
        <f>VLOOKUP($A318,'SegEnds_NonXtal_BW#'!$A:$Z,12,FALSE)+VLOOKUP($A318,A:AL,16,FALSE)-50</f>
        <v>233</v>
      </c>
      <c r="R318" s="3" t="str">
        <f>IF(ISERROR(VLOOKUP($A318,'SegEnds_NonXtal_BW#'!$A:$Z,13,FALSE)+VLOOKUP($A318,A:AL,19,FALSE)-50),"-",VLOOKUP($A318,'SegEnds_NonXtal_BW#'!$A:$Z,13,FALSE)+VLOOKUP($A318,A:AL,19,FALSE)-50)</f>
        <v>-</v>
      </c>
      <c r="S318" s="3" t="s">
        <v>23</v>
      </c>
      <c r="T318" s="100" t="str">
        <f>IF(ISERROR(VLOOKUP($A318,'SegEnds_NonXtal_BW#'!$A:$Z,14,FALSE)+VLOOKUP($A318,A:AL,19,FALSE)-50),"-",(VLOOKUP($A318,'SegEnds_NonXtal_BW#'!$A:$Z,14,FALSE)+VLOOKUP($A318,A:AL,19,FALSE)-50))</f>
        <v>-</v>
      </c>
      <c r="U318" s="9">
        <f>IF(ISERROR(VLOOKUP($A318,'SegEnds_NonXtal_BW#'!$A:$Z,15,FALSE)+VLOOKUP($A318,A:AL,22,FALSE)-50),"-",VLOOKUP($A318,'SegEnds_NonXtal_BW#'!$A:$Z,15,FALSE)+VLOOKUP($A318,A:AL,22,FALSE)-50)</f>
        <v>239</v>
      </c>
      <c r="V318" s="3">
        <v>249</v>
      </c>
      <c r="W318" s="3">
        <f>IF(ISERROR(VLOOKUP($A318,'SegEnds_NonXtal_BW#'!$A:$Z,16,FALSE)+VLOOKUP($A318,A:AL,22,FALSE)-50),"-",(VLOOKUP($A318,'SegEnds_NonXtal_BW#'!$A:$Z,16,FALSE)+VLOOKUP($A318,A:AL,22,FALSE)-50))</f>
        <v>267</v>
      </c>
      <c r="X318" s="3">
        <f>IF(ISERROR(VLOOKUP($A318,'SegEnds_NonXtal_BW#'!$A:$Z,17,FALSE)+VLOOKUP($A318,A:AL,25,FALSE)-50),"-",(VLOOKUP($A318,'SegEnds_NonXtal_BW#'!$A:$Z,17,FALSE)+VLOOKUP($A318,A:AL,25,FALSE)-50))</f>
        <v>271</v>
      </c>
      <c r="Y318" s="3">
        <v>271</v>
      </c>
      <c r="Z318" s="3">
        <f t="shared" si="197"/>
        <v>273</v>
      </c>
      <c r="AA318" s="3">
        <f>IF(ISERROR(VLOOKUP($A318,'SegEnds_NonXtal_BW#'!$A:$Z,19,FALSE)+VLOOKUP($A318,A:AL,28,FALSE)-50),"-",(VLOOKUP($A318,'SegEnds_NonXtal_BW#'!$A:$Z,19,FALSE)+VLOOKUP($A318,A:AL,28,FALSE)-50))</f>
        <v>277</v>
      </c>
      <c r="AB318" s="3">
        <v>291</v>
      </c>
      <c r="AC318" s="3">
        <f>IF(ISERROR((VLOOKUP($A318,'SegEnds_NonXtal_BW#'!$A:$Z,20,FALSE)+VLOOKUP($A318,A:AL,28,FALSE)-50)),"-",(VLOOKUP($A318,'SegEnds_NonXtal_BW#'!$A:$Z,20,FALSE)+VLOOKUP($A318,A:AL,28,FALSE)-50))</f>
        <v>310</v>
      </c>
      <c r="AD318" s="3">
        <f>IF(ISERROR(VLOOKUP($A318,'SegEnds_NonXtal_BW#'!$A:$Z,21,FALSE)+VLOOKUP($A318,A:AL,31,FALSE)-50),"-",(VLOOKUP($A318,'SegEnds_NonXtal_BW#'!$A:$Z,21,FALSE)+VLOOKUP($A318,A:AL,31,FALSE)-50))</f>
        <v>318</v>
      </c>
      <c r="AE318" s="3">
        <v>343</v>
      </c>
      <c r="AF318" s="3">
        <f>IF(ISERROR((VLOOKUP($A318,'SegEnds_NonXtal_BW#'!$A:$Z,22,FALSE)+VLOOKUP($A318,A:AL,31,FALSE)-50)),"-",(VLOOKUP($A318,'SegEnds_NonXtal_BW#'!$A:$Z,22,FALSE)+VLOOKUP($A318,A:AL,31,FALSE)-50))</f>
        <v>347</v>
      </c>
      <c r="AG318" s="3">
        <f>IF(ISERROR(VLOOKUP($A318,'SegEnds_NonXtal_BW#'!$A:$Z,23,FALSE)+VLOOKUP($A318,A:AL,34,FALSE)-50),"-",(VLOOKUP($A318,'SegEnds_NonXtal_BW#'!$A:$Z,23,FALSE)+VLOOKUP($A318,A:AL,34,FALSE)-50))</f>
        <v>353</v>
      </c>
      <c r="AH318" s="3">
        <v>372</v>
      </c>
      <c r="AI318" s="3">
        <f>IF(ISERROR((VLOOKUP($A318,'SegEnds_NonXtal_BW#'!$A:$Z,24,FALSE)+VLOOKUP($A318,A:AL,34,FALSE)-50)),"-",(VLOOKUP($A318,'SegEnds_NonXtal_BW#'!$A:$Z,24,FALSE)+VLOOKUP($A318,A:AL,34,FALSE)-50))</f>
        <v>378</v>
      </c>
      <c r="AJ318" s="3">
        <f>IF(ISERROR(VLOOKUP($A318,'SegEnds_NonXtal_BW#'!$A:$Z,25,FALSE)+VLOOKUP($A318,A:AL,37,FALSE)-50),"-",(VLOOKUP($A318,'SegEnds_NonXtal_BW#'!$A:$Z,25,FALSE)+VLOOKUP($A318,A:AL,37,FALSE)-50))</f>
        <v>379</v>
      </c>
      <c r="AK318" s="3">
        <v>382</v>
      </c>
      <c r="AL318" s="3">
        <f>IF(ISERROR((VLOOKUP($A318,'SegEnds_NonXtal_BW#'!$A:$Z,26,FALSE)+VLOOKUP($A318,A:AL,37,FALSE)-50)),"-",(VLOOKUP($A318,'SegEnds_NonXtal_BW#'!$A:$Z,26,FALSE)+VLOOKUP($A318,A:AL,37,FALSE)-50))</f>
        <v>404</v>
      </c>
      <c r="AM318" s="28" t="str">
        <f>VLOOKUP(A318,Classification!A:B,2,FALSE)</f>
        <v>B1</v>
      </c>
      <c r="AN318" s="28" t="b">
        <f t="shared" si="188"/>
        <v>1</v>
      </c>
      <c r="AO318" s="3" t="str">
        <f>IF(ISERROR(MATCH(A318,'SegEnds_Xtal_Prot#'!B:B, 0)), "NoXtal", "Xtal")</f>
        <v>NoXtal</v>
      </c>
      <c r="AP318" s="3">
        <f t="shared" si="173"/>
        <v>1</v>
      </c>
      <c r="AQ318" s="3">
        <f t="shared" si="174"/>
        <v>1</v>
      </c>
      <c r="AR318" s="3" t="str">
        <f t="shared" si="175"/>
        <v>-</v>
      </c>
      <c r="AS318" s="3" t="str">
        <f t="shared" si="176"/>
        <v>-</v>
      </c>
      <c r="AT318" s="3" t="str">
        <f t="shared" si="177"/>
        <v>-</v>
      </c>
      <c r="AU318" s="3" t="str">
        <f t="shared" si="178"/>
        <v>-</v>
      </c>
      <c r="AV318" s="3">
        <f t="shared" si="179"/>
        <v>4</v>
      </c>
      <c r="AW318" s="3">
        <f t="shared" si="180"/>
        <v>4</v>
      </c>
      <c r="AX318" s="3">
        <f t="shared" si="181"/>
        <v>8</v>
      </c>
      <c r="AY318" s="3">
        <f t="shared" si="182"/>
        <v>6</v>
      </c>
      <c r="AZ318" s="3">
        <f t="shared" si="183"/>
        <v>1</v>
      </c>
      <c r="BA318" s="3">
        <f>IF(ISERROR(LEN(VLOOKUP(A318,Seqs!A:E,2,FALSE))-AL318),"-",LEN(VLOOKUP(A318,Seqs!A:E,2,FALSE))-AL318)</f>
        <v>34</v>
      </c>
      <c r="BB318" s="16">
        <f t="shared" si="184"/>
        <v>28</v>
      </c>
      <c r="BC318" s="9" t="str">
        <f t="shared" si="185"/>
        <v>-</v>
      </c>
      <c r="BD318" s="3">
        <f t="shared" si="186"/>
        <v>28</v>
      </c>
      <c r="BE318" s="3">
        <f t="shared" si="187"/>
        <v>52</v>
      </c>
    </row>
    <row r="319" spans="1:58" s="3" customFormat="1" x14ac:dyDescent="0.2">
      <c r="A319" s="3" t="s">
        <v>1170</v>
      </c>
      <c r="B319" s="3" t="str">
        <f>LOWER(VLOOKUP(A319,Xtal_Templ!A:B,2,FALSE))</f>
        <v>pacr_human</v>
      </c>
      <c r="C319" s="3">
        <f>VLOOKUP($A319,'SegEnds_NonXtal_BW#'!$A:$Z,3,FALSE)+D319-50</f>
        <v>8</v>
      </c>
      <c r="D319" s="3">
        <v>35</v>
      </c>
      <c r="E319" s="3">
        <f>IF(ISERROR(VLOOKUP($A319,'SegEnds_NonXtal_BW#'!$A:$Z,4,FALSE)+VLOOKUP($A319,A:AL,4,FALSE)-50),"-",(VLOOKUP($A319,'SegEnds_NonXtal_BW#'!$A:$Z,4,FALSE)+VLOOKUP($A319,A:AL,4,FALSE)-50))</f>
        <v>45</v>
      </c>
      <c r="F319" s="3" t="s">
        <v>23</v>
      </c>
      <c r="G319" s="3" t="s">
        <v>23</v>
      </c>
      <c r="H319" s="3" t="s">
        <v>23</v>
      </c>
      <c r="I319" s="3">
        <f>VLOOKUP($A319,'SegEnds_NonXtal_BW#'!$A:$Z,7,FALSE)+J319-50</f>
        <v>48</v>
      </c>
      <c r="J319" s="3">
        <v>61</v>
      </c>
      <c r="K319" s="3">
        <f>VLOOKUP($A319,'SegEnds_NonXtal_BW#'!$A:$Z,8,FALSE)+VLOOKUP($A319,A:AL,10,FALSE)-50</f>
        <v>74</v>
      </c>
      <c r="L319" s="3" t="str">
        <f>IF(ISERROR(VLOOKUP($A319,'SegEnds_NonXtal_BW#'!$A:$Z,9,FALSE)+VLOOKUP($A319,A:AL,13,FALSE)-50),"-",(VLOOKUP($A319,'SegEnds_NonXtal_BW#'!$A:$Z,9,FALSE)+VLOOKUP($A319,A:AL,13,FALSE)-50))</f>
        <v>-</v>
      </c>
      <c r="M319" s="3" t="s">
        <v>23</v>
      </c>
      <c r="N319" s="3" t="str">
        <f>IF(ISERROR(VLOOKUP($A319,'SegEnds_NonXtal_BW#'!$A:$Z,10,FALSE)+VLOOKUP($A319,A:AL,13,FALSE)-50),"-",(VLOOKUP($A319,'SegEnds_NonXtal_BW#'!$A:$Z,10,FALSE)+VLOOKUP($A319,A:AL,13,FALSE)-50))</f>
        <v>-</v>
      </c>
      <c r="O319" s="3">
        <f>VLOOKUP($A319,'SegEnds_NonXtal_BW#'!$A:$Z,11,FALSE)+VLOOKUP($A319,A:AL,16,FALSE)-50</f>
        <v>81</v>
      </c>
      <c r="P319" s="3">
        <v>108</v>
      </c>
      <c r="Q319" s="3">
        <f>VLOOKUP($A319,'SegEnds_NonXtal_BW#'!$A:$Z,12,FALSE)+VLOOKUP($A319,A:AL,16,FALSE)-50</f>
        <v>114</v>
      </c>
      <c r="R319" s="3" t="str">
        <f>IF(ISERROR(VLOOKUP($A319,'SegEnds_NonXtal_BW#'!$A:$Z,13,FALSE)+VLOOKUP($A319,A:AL,19,FALSE)-50),"-",VLOOKUP($A319,'SegEnds_NonXtal_BW#'!$A:$Z,13,FALSE)+VLOOKUP($A319,A:AL,19,FALSE)-50)</f>
        <v>-</v>
      </c>
      <c r="S319" s="3" t="s">
        <v>23</v>
      </c>
      <c r="T319" s="100" t="str">
        <f>IF(ISERROR(VLOOKUP($A319,'SegEnds_NonXtal_BW#'!$A:$Z,14,FALSE)+VLOOKUP($A319,A:AL,19,FALSE)-50),"-",(VLOOKUP($A319,'SegEnds_NonXtal_BW#'!$A:$Z,14,FALSE)+VLOOKUP($A319,A:AL,19,FALSE)-50))</f>
        <v>-</v>
      </c>
      <c r="U319" s="9">
        <f>IF(ISERROR(VLOOKUP($A319,'SegEnds_NonXtal_BW#'!$A:$Z,15,FALSE)+VLOOKUP($A319,A:AL,22,FALSE)-50),"-",VLOOKUP($A319,'SegEnds_NonXtal_BW#'!$A:$Z,15,FALSE)+VLOOKUP($A319,A:AL,22,FALSE)-50)</f>
        <v>130</v>
      </c>
      <c r="V319" s="3">
        <v>140</v>
      </c>
      <c r="W319" s="3">
        <f>IF(ISERROR(VLOOKUP($A319,'SegEnds_NonXtal_BW#'!$A:$Z,16,FALSE)+VLOOKUP($A319,A:AL,22,FALSE)-50),"-",(VLOOKUP($A319,'SegEnds_NonXtal_BW#'!$A:$Z,16,FALSE)+VLOOKUP($A319,A:AL,22,FALSE)-50))</f>
        <v>158</v>
      </c>
      <c r="X319" s="3">
        <f>IF(ISERROR(VLOOKUP($A319,'SegEnds_NonXtal_BW#'!$A:$Z,17,FALSE)+VLOOKUP($A319,A:AL,25,FALSE)-50),"-",(VLOOKUP($A319,'SegEnds_NonXtal_BW#'!$A:$Z,17,FALSE)+VLOOKUP($A319,A:AL,25,FALSE)-50))</f>
        <v>168</v>
      </c>
      <c r="Y319" s="3">
        <v>168</v>
      </c>
      <c r="Z319" s="3">
        <f t="shared" si="197"/>
        <v>170</v>
      </c>
      <c r="AA319" s="3">
        <f>IF(ISERROR(VLOOKUP($A319,'SegEnds_NonXtal_BW#'!$A:$Z,19,FALSE)+VLOOKUP($A319,A:AL,28,FALSE)-50),"-",(VLOOKUP($A319,'SegEnds_NonXtal_BW#'!$A:$Z,19,FALSE)+VLOOKUP($A319,A:AL,28,FALSE)-50))</f>
        <v>172</v>
      </c>
      <c r="AB319" s="3">
        <v>186</v>
      </c>
      <c r="AC319" s="3">
        <f>IF(ISERROR((VLOOKUP($A319,'SegEnds_NonXtal_BW#'!$A:$Z,20,FALSE)+VLOOKUP($A319,A:AL,28,FALSE)-50)),"-",(VLOOKUP($A319,'SegEnds_NonXtal_BW#'!$A:$Z,20,FALSE)+VLOOKUP($A319,A:AL,28,FALSE)-50))</f>
        <v>205</v>
      </c>
      <c r="AD319" s="3">
        <f>IF(ISERROR(VLOOKUP($A319,'SegEnds_NonXtal_BW#'!$A:$Z,21,FALSE)+VLOOKUP($A319,A:AL,31,FALSE)-50),"-",(VLOOKUP($A319,'SegEnds_NonXtal_BW#'!$A:$Z,21,FALSE)+VLOOKUP($A319,A:AL,31,FALSE)-50))</f>
        <v>251</v>
      </c>
      <c r="AE319" s="3">
        <v>272</v>
      </c>
      <c r="AF319" s="3">
        <f>IF(ISERROR((VLOOKUP($A319,'SegEnds_NonXtal_BW#'!$A:$Z,22,FALSE)+VLOOKUP($A319,A:AL,31,FALSE)-50)),"-",(VLOOKUP($A319,'SegEnds_NonXtal_BW#'!$A:$Z,22,FALSE)+VLOOKUP($A319,A:AL,31,FALSE)-50))</f>
        <v>276</v>
      </c>
      <c r="AG319" s="3">
        <f>IF(ISERROR(VLOOKUP($A319,'SegEnds_NonXtal_BW#'!$A:$Z,23,FALSE)+VLOOKUP($A319,A:AL,34,FALSE)-50),"-",(VLOOKUP($A319,'SegEnds_NonXtal_BW#'!$A:$Z,23,FALSE)+VLOOKUP($A319,A:AL,34,FALSE)-50))</f>
        <v>282</v>
      </c>
      <c r="AH319" s="3">
        <v>303</v>
      </c>
      <c r="AI319" s="3">
        <f>IF(ISERROR((VLOOKUP($A319,'SegEnds_NonXtal_BW#'!$A:$Z,24,FALSE)+VLOOKUP($A319,A:AL,34,FALSE)-50)),"-",(VLOOKUP($A319,'SegEnds_NonXtal_BW#'!$A:$Z,24,FALSE)+VLOOKUP($A319,A:AL,34,FALSE)-50))</f>
        <v>309</v>
      </c>
      <c r="AJ319" s="3">
        <f>IF(ISERROR(VLOOKUP($A319,'SegEnds_NonXtal_BW#'!$A:$Z,25,FALSE)+VLOOKUP($A319,A:AL,37,FALSE)-50),"-",(VLOOKUP($A319,'SegEnds_NonXtal_BW#'!$A:$Z,25,FALSE)+VLOOKUP($A319,A:AL,37,FALSE)-50))</f>
        <v>310</v>
      </c>
      <c r="AK319" s="3">
        <v>313</v>
      </c>
      <c r="AL319" s="3">
        <f>IF(ISERROR((VLOOKUP($A319,'SegEnds_NonXtal_BW#'!$A:$Z,26,FALSE)+VLOOKUP($A319,A:AL,37,FALSE)-50)),"-",(VLOOKUP($A319,'SegEnds_NonXtal_BW#'!$A:$Z,26,FALSE)+VLOOKUP($A319,A:AL,37,FALSE)-50))</f>
        <v>326</v>
      </c>
      <c r="AM319" s="28" t="str">
        <f>VLOOKUP(A319,Classification!A:B,2,FALSE)</f>
        <v>B2</v>
      </c>
      <c r="AN319" s="28" t="b">
        <f t="shared" si="188"/>
        <v>1</v>
      </c>
      <c r="AO319" s="3" t="str">
        <f>IF(ISERROR(MATCH(A319,'SegEnds_Xtal_Prot#'!B:B, 0)), "NoXtal", "Xtal")</f>
        <v>NoXtal</v>
      </c>
      <c r="AP319" s="3" t="str">
        <f t="shared" si="173"/>
        <v>-</v>
      </c>
      <c r="AQ319" s="3" t="str">
        <f t="shared" si="174"/>
        <v>-</v>
      </c>
      <c r="AR319" s="3" t="str">
        <f t="shared" si="175"/>
        <v>-</v>
      </c>
      <c r="AS319" s="3" t="str">
        <f t="shared" si="176"/>
        <v>-</v>
      </c>
      <c r="AT319" s="3" t="str">
        <f t="shared" si="177"/>
        <v>-</v>
      </c>
      <c r="AU319" s="3" t="str">
        <f t="shared" si="178"/>
        <v>-</v>
      </c>
      <c r="AV319" s="3">
        <f t="shared" si="179"/>
        <v>10</v>
      </c>
      <c r="AW319" s="3">
        <f t="shared" si="180"/>
        <v>2</v>
      </c>
      <c r="AX319" s="3">
        <f t="shared" si="181"/>
        <v>46</v>
      </c>
      <c r="AY319" s="3">
        <f t="shared" si="182"/>
        <v>6</v>
      </c>
      <c r="AZ319" s="3">
        <f t="shared" si="183"/>
        <v>1</v>
      </c>
      <c r="BA319" s="3">
        <f>IF(ISERROR(LEN(VLOOKUP(A319,Seqs!A:E,2,FALSE))-AL319),"-",LEN(VLOOKUP(A319,Seqs!A:E,2,FALSE))-AL319)</f>
        <v>234</v>
      </c>
      <c r="BB319" s="16">
        <f t="shared" si="184"/>
        <v>26</v>
      </c>
      <c r="BC319" s="9" t="str">
        <f t="shared" si="185"/>
        <v>-</v>
      </c>
      <c r="BD319" s="3">
        <f t="shared" si="186"/>
        <v>26</v>
      </c>
      <c r="BE319" s="3">
        <f t="shared" si="187"/>
        <v>86</v>
      </c>
    </row>
    <row r="320" spans="1:58" s="3" customFormat="1" x14ac:dyDescent="0.2">
      <c r="A320" s="3" t="s">
        <v>1171</v>
      </c>
      <c r="B320" s="3" t="str">
        <f>LOWER(VLOOKUP(A320,Xtal_Templ!A:B,2,FALSE))</f>
        <v>crfr1_human</v>
      </c>
      <c r="C320" s="3">
        <f>VLOOKUP($A320,'SegEnds_NonXtal_BW#'!$A:$Z,3,FALSE)+D320-50</f>
        <v>760</v>
      </c>
      <c r="D320" s="3">
        <v>787</v>
      </c>
      <c r="E320" s="3">
        <f>IF(ISERROR(VLOOKUP($A320,'SegEnds_NonXtal_BW#'!$A:$Z,4,FALSE)+VLOOKUP($A320,A:AL,4,FALSE)-50),"-",(VLOOKUP($A320,'SegEnds_NonXtal_BW#'!$A:$Z,4,FALSE)+VLOOKUP($A320,A:AL,4,FALSE)-50))</f>
        <v>797</v>
      </c>
      <c r="F320" s="3" t="s">
        <v>23</v>
      </c>
      <c r="G320" s="3" t="s">
        <v>23</v>
      </c>
      <c r="H320" s="3" t="s">
        <v>23</v>
      </c>
      <c r="I320" s="3">
        <f>VLOOKUP($A320,'SegEnds_NonXtal_BW#'!$A:$Z,7,FALSE)+J320-50</f>
        <v>800</v>
      </c>
      <c r="J320" s="3">
        <v>813</v>
      </c>
      <c r="K320" s="3">
        <f>VLOOKUP($A320,'SegEnds_NonXtal_BW#'!$A:$Z,8,FALSE)+VLOOKUP($A320,A:AL,10,FALSE)-50</f>
        <v>826</v>
      </c>
      <c r="L320" s="3" t="str">
        <f>IF(ISERROR(VLOOKUP($A320,'SegEnds_NonXtal_BW#'!$A:$Z,9,FALSE)+VLOOKUP($A320,A:AL,13,FALSE)-50),"-",(VLOOKUP($A320,'SegEnds_NonXtal_BW#'!$A:$Z,9,FALSE)+VLOOKUP($A320,A:AL,13,FALSE)-50))</f>
        <v>-</v>
      </c>
      <c r="M320" s="3" t="s">
        <v>23</v>
      </c>
      <c r="N320" s="3" t="str">
        <f>IF(ISERROR(VLOOKUP($A320,'SegEnds_NonXtal_BW#'!$A:$Z,10,FALSE)+VLOOKUP($A320,A:AL,13,FALSE)-50),"-",(VLOOKUP($A320,'SegEnds_NonXtal_BW#'!$A:$Z,10,FALSE)+VLOOKUP($A320,A:AL,13,FALSE)-50))</f>
        <v>-</v>
      </c>
      <c r="O320" s="3">
        <f>VLOOKUP($A320,'SegEnds_NonXtal_BW#'!$A:$Z,11,FALSE)+VLOOKUP($A320,A:AL,16,FALSE)-50</f>
        <v>833</v>
      </c>
      <c r="P320" s="3">
        <v>860</v>
      </c>
      <c r="Q320" s="3">
        <f>VLOOKUP($A320,'SegEnds_NonXtal_BW#'!$A:$Z,12,FALSE)+VLOOKUP($A320,A:AL,16,FALSE)-50</f>
        <v>866</v>
      </c>
      <c r="R320" s="3" t="str">
        <f>IF(ISERROR(VLOOKUP($A320,'SegEnds_NonXtal_BW#'!$A:$Z,13,FALSE)+VLOOKUP($A320,A:AL,19,FALSE)-50),"-",VLOOKUP($A320,'SegEnds_NonXtal_BW#'!$A:$Z,13,FALSE)+VLOOKUP($A320,A:AL,19,FALSE)-50)</f>
        <v>-</v>
      </c>
      <c r="S320" s="3" t="s">
        <v>23</v>
      </c>
      <c r="T320" s="100" t="str">
        <f>IF(ISERROR(VLOOKUP($A320,'SegEnds_NonXtal_BW#'!$A:$Z,14,FALSE)+VLOOKUP($A320,A:AL,19,FALSE)-50),"-",(VLOOKUP($A320,'SegEnds_NonXtal_BW#'!$A:$Z,14,FALSE)+VLOOKUP($A320,A:AL,19,FALSE)-50))</f>
        <v>-</v>
      </c>
      <c r="U320" s="9">
        <f>IF(ISERROR(VLOOKUP($A320,'SegEnds_NonXtal_BW#'!$A:$Z,15,FALSE)+VLOOKUP($A320,A:AL,22,FALSE)-50),"-",VLOOKUP($A320,'SegEnds_NonXtal_BW#'!$A:$Z,15,FALSE)+VLOOKUP($A320,A:AL,22,FALSE)-50)</f>
        <v>882</v>
      </c>
      <c r="V320" s="3">
        <v>892</v>
      </c>
      <c r="W320" s="3">
        <f>IF(ISERROR(VLOOKUP($A320,'SegEnds_NonXtal_BW#'!$A:$Z,16,FALSE)+VLOOKUP($A320,A:AL,22,FALSE)-50),"-",(VLOOKUP($A320,'SegEnds_NonXtal_BW#'!$A:$Z,16,FALSE)+VLOOKUP($A320,A:AL,22,FALSE)-50))</f>
        <v>910</v>
      </c>
      <c r="X320" s="3">
        <f>IF(ISERROR(VLOOKUP($A320,'SegEnds_NonXtal_BW#'!$A:$Z,17,FALSE)+VLOOKUP($A320,A:AL,25,FALSE)-50),"-",(VLOOKUP($A320,'SegEnds_NonXtal_BW#'!$A:$Z,17,FALSE)+VLOOKUP($A320,A:AL,25,FALSE)-50))</f>
        <v>917</v>
      </c>
      <c r="Y320" s="3">
        <v>917</v>
      </c>
      <c r="Z320" s="3">
        <f t="shared" si="197"/>
        <v>919</v>
      </c>
      <c r="AA320" s="3">
        <f>IF(ISERROR(VLOOKUP($A320,'SegEnds_NonXtal_BW#'!$A:$Z,19,FALSE)+VLOOKUP($A320,A:AL,28,FALSE)-50),"-",(VLOOKUP($A320,'SegEnds_NonXtal_BW#'!$A:$Z,19,FALSE)+VLOOKUP($A320,A:AL,28,FALSE)-50))</f>
        <v>921</v>
      </c>
      <c r="AB320" s="3">
        <v>935</v>
      </c>
      <c r="AC320" s="3">
        <f>IF(ISERROR((VLOOKUP($A320,'SegEnds_NonXtal_BW#'!$A:$Z,20,FALSE)+VLOOKUP($A320,A:AL,28,FALSE)-50)),"-",(VLOOKUP($A320,'SegEnds_NonXtal_BW#'!$A:$Z,20,FALSE)+VLOOKUP($A320,A:AL,28,FALSE)-50))</f>
        <v>954</v>
      </c>
      <c r="AD320" s="3">
        <f>IF(ISERROR(VLOOKUP($A320,'SegEnds_NonXtal_BW#'!$A:$Z,21,FALSE)+VLOOKUP($A320,A:AL,31,FALSE)-50),"-",(VLOOKUP($A320,'SegEnds_NonXtal_BW#'!$A:$Z,21,FALSE)+VLOOKUP($A320,A:AL,31,FALSE)-50))</f>
        <v>1014</v>
      </c>
      <c r="AE320" s="3">
        <v>1035</v>
      </c>
      <c r="AF320" s="3">
        <f>IF(ISERROR((VLOOKUP($A320,'SegEnds_NonXtal_BW#'!$A:$Z,22,FALSE)+VLOOKUP($A320,A:AL,31,FALSE)-50)),"-",(VLOOKUP($A320,'SegEnds_NonXtal_BW#'!$A:$Z,22,FALSE)+VLOOKUP($A320,A:AL,31,FALSE)-50))</f>
        <v>1038</v>
      </c>
      <c r="AG320" s="3">
        <f>IF(ISERROR(VLOOKUP($A320,'SegEnds_NonXtal_BW#'!$A:$Z,23,FALSE)+VLOOKUP($A320,A:AL,34,FALSE)-50),"-",(VLOOKUP($A320,'SegEnds_NonXtal_BW#'!$A:$Z,23,FALSE)+VLOOKUP($A320,A:AL,34,FALSE)-50))</f>
        <v>1045</v>
      </c>
      <c r="AH320" s="3">
        <v>1066</v>
      </c>
      <c r="AI320" s="3">
        <f>IF(ISERROR((VLOOKUP($A320,'SegEnds_NonXtal_BW#'!$A:$Z,24,FALSE)+VLOOKUP($A320,A:AL,34,FALSE)-50)),"-",(VLOOKUP($A320,'SegEnds_NonXtal_BW#'!$A:$Z,24,FALSE)+VLOOKUP($A320,A:AL,34,FALSE)-50))</f>
        <v>1072</v>
      </c>
      <c r="AJ320" s="3">
        <f>IF(ISERROR(VLOOKUP($A320,'SegEnds_NonXtal_BW#'!$A:$Z,25,FALSE)+VLOOKUP($A320,A:AL,37,FALSE)-50),"-",(VLOOKUP($A320,'SegEnds_NonXtal_BW#'!$A:$Z,25,FALSE)+VLOOKUP($A320,A:AL,37,FALSE)-50))</f>
        <v>1073</v>
      </c>
      <c r="AK320" s="3">
        <v>1076</v>
      </c>
      <c r="AL320" s="3">
        <f>IF(ISERROR((VLOOKUP($A320,'SegEnds_NonXtal_BW#'!$A:$Z,26,FALSE)+VLOOKUP($A320,A:AL,37,FALSE)-50)),"-",(VLOOKUP($A320,'SegEnds_NonXtal_BW#'!$A:$Z,26,FALSE)+VLOOKUP($A320,A:AL,37,FALSE)-50))</f>
        <v>1089</v>
      </c>
      <c r="AM320" s="28" t="str">
        <f>VLOOKUP(A320,Classification!A:B,2,FALSE)</f>
        <v>B2</v>
      </c>
      <c r="AN320" s="28" t="b">
        <f t="shared" si="188"/>
        <v>1</v>
      </c>
      <c r="AO320" s="3" t="str">
        <f>IF(ISERROR(MATCH(A320,'SegEnds_Xtal_Prot#'!B:B, 0)), "NoXtal", "Xtal")</f>
        <v>NoXtal</v>
      </c>
      <c r="AP320" s="3" t="str">
        <f t="shared" si="173"/>
        <v>-</v>
      </c>
      <c r="AQ320" s="3" t="str">
        <f t="shared" si="174"/>
        <v>-</v>
      </c>
      <c r="AR320" s="3" t="str">
        <f t="shared" si="175"/>
        <v>-</v>
      </c>
      <c r="AS320" s="3" t="str">
        <f t="shared" si="176"/>
        <v>-</v>
      </c>
      <c r="AT320" s="3" t="str">
        <f t="shared" si="177"/>
        <v>-</v>
      </c>
      <c r="AU320" s="3" t="str">
        <f t="shared" si="178"/>
        <v>-</v>
      </c>
      <c r="AV320" s="3">
        <f t="shared" si="179"/>
        <v>7</v>
      </c>
      <c r="AW320" s="3">
        <f t="shared" si="180"/>
        <v>2</v>
      </c>
      <c r="AX320" s="3">
        <f t="shared" si="181"/>
        <v>60</v>
      </c>
      <c r="AY320" s="3">
        <f t="shared" si="182"/>
        <v>7</v>
      </c>
      <c r="AZ320" s="3">
        <f t="shared" si="183"/>
        <v>1</v>
      </c>
      <c r="BA320" s="3">
        <f>IF(ISERROR(LEN(VLOOKUP(A320,Seqs!A:E,2,FALSE))-AL320),"-",LEN(VLOOKUP(A320,Seqs!A:E,2,FALSE))-AL320)</f>
        <v>249</v>
      </c>
      <c r="BB320" s="16">
        <f t="shared" si="184"/>
        <v>26</v>
      </c>
      <c r="BC320" s="9" t="str">
        <f t="shared" si="185"/>
        <v>-</v>
      </c>
      <c r="BD320" s="3">
        <f t="shared" si="186"/>
        <v>26</v>
      </c>
      <c r="BE320" s="3">
        <f t="shared" si="187"/>
        <v>100</v>
      </c>
    </row>
    <row r="321" spans="1:59" s="3" customFormat="1" x14ac:dyDescent="0.2">
      <c r="A321" s="3" t="s">
        <v>1172</v>
      </c>
      <c r="B321" s="3" t="str">
        <f>LOWER(VLOOKUP(A321,Xtal_Templ!A:B,2,FALSE))</f>
        <v>crfr2_human</v>
      </c>
      <c r="C321" s="3">
        <f>VLOOKUP($A321,'SegEnds_NonXtal_BW#'!$A:$Z,3,FALSE)+D321-50</f>
        <v>750</v>
      </c>
      <c r="D321" s="3">
        <v>777</v>
      </c>
      <c r="E321" s="3">
        <f>IF(ISERROR(VLOOKUP($A321,'SegEnds_NonXtal_BW#'!$A:$Z,4,FALSE)+VLOOKUP($A321,A:AL,4,FALSE)-50),"-",(VLOOKUP($A321,'SegEnds_NonXtal_BW#'!$A:$Z,4,FALSE)+VLOOKUP($A321,A:AL,4,FALSE)-50))</f>
        <v>787</v>
      </c>
      <c r="F321" s="3" t="s">
        <v>23</v>
      </c>
      <c r="G321" s="3" t="s">
        <v>23</v>
      </c>
      <c r="H321" s="3" t="s">
        <v>23</v>
      </c>
      <c r="I321" s="3">
        <f>VLOOKUP($A321,'SegEnds_NonXtal_BW#'!$A:$Z,7,FALSE)+J321-50</f>
        <v>790</v>
      </c>
      <c r="J321" s="3">
        <v>803</v>
      </c>
      <c r="K321" s="3">
        <f>VLOOKUP($A321,'SegEnds_NonXtal_BW#'!$A:$Z,8,FALSE)+VLOOKUP($A321,A:AL,10,FALSE)-50</f>
        <v>816</v>
      </c>
      <c r="L321" s="3" t="str">
        <f>IF(ISERROR(VLOOKUP($A321,'SegEnds_NonXtal_BW#'!$A:$Z,9,FALSE)+VLOOKUP($A321,A:AL,13,FALSE)-50),"-",(VLOOKUP($A321,'SegEnds_NonXtal_BW#'!$A:$Z,9,FALSE)+VLOOKUP($A321,A:AL,13,FALSE)-50))</f>
        <v>-</v>
      </c>
      <c r="M321" s="3" t="s">
        <v>23</v>
      </c>
      <c r="N321" s="3" t="str">
        <f>IF(ISERROR(VLOOKUP($A321,'SegEnds_NonXtal_BW#'!$A:$Z,10,FALSE)+VLOOKUP($A321,A:AL,13,FALSE)-50),"-",(VLOOKUP($A321,'SegEnds_NonXtal_BW#'!$A:$Z,10,FALSE)+VLOOKUP($A321,A:AL,13,FALSE)-50))</f>
        <v>-</v>
      </c>
      <c r="O321" s="3">
        <f>VLOOKUP($A321,'SegEnds_NonXtal_BW#'!$A:$Z,11,FALSE)+VLOOKUP($A321,A:AL,16,FALSE)-50</f>
        <v>823</v>
      </c>
      <c r="P321" s="3">
        <v>850</v>
      </c>
      <c r="Q321" s="3">
        <f>VLOOKUP($A321,'SegEnds_NonXtal_BW#'!$A:$Z,12,FALSE)+VLOOKUP($A321,A:AL,16,FALSE)-50</f>
        <v>856</v>
      </c>
      <c r="R321" s="3" t="str">
        <f>IF(ISERROR(VLOOKUP($A321,'SegEnds_NonXtal_BW#'!$A:$Z,13,FALSE)+VLOOKUP($A321,A:AL,19,FALSE)-50),"-",VLOOKUP($A321,'SegEnds_NonXtal_BW#'!$A:$Z,13,FALSE)+VLOOKUP($A321,A:AL,19,FALSE)-50)</f>
        <v>-</v>
      </c>
      <c r="S321" s="3" t="s">
        <v>23</v>
      </c>
      <c r="T321" s="100" t="str">
        <f>IF(ISERROR(VLOOKUP($A321,'SegEnds_NonXtal_BW#'!$A:$Z,14,FALSE)+VLOOKUP($A321,A:AL,19,FALSE)-50),"-",(VLOOKUP($A321,'SegEnds_NonXtal_BW#'!$A:$Z,14,FALSE)+VLOOKUP($A321,A:AL,19,FALSE)-50))</f>
        <v>-</v>
      </c>
      <c r="U321" s="9">
        <f>IF(ISERROR(VLOOKUP($A321,'SegEnds_NonXtal_BW#'!$A:$Z,15,FALSE)+VLOOKUP($A321,A:AL,22,FALSE)-50),"-",VLOOKUP($A321,'SegEnds_NonXtal_BW#'!$A:$Z,15,FALSE)+VLOOKUP($A321,A:AL,22,FALSE)-50)</f>
        <v>873</v>
      </c>
      <c r="V321" s="3">
        <v>882</v>
      </c>
      <c r="W321" s="3">
        <f>IF(ISERROR(VLOOKUP($A321,'SegEnds_NonXtal_BW#'!$A:$Z,16,FALSE)+VLOOKUP($A321,A:AL,22,FALSE)-50),"-",(VLOOKUP($A321,'SegEnds_NonXtal_BW#'!$A:$Z,16,FALSE)+VLOOKUP($A321,A:AL,22,FALSE)-50))</f>
        <v>900</v>
      </c>
      <c r="X321" s="3">
        <f>IF(ISERROR(VLOOKUP($A321,'SegEnds_NonXtal_BW#'!$A:$Z,17,FALSE)+VLOOKUP($A321,A:AL,25,FALSE)-50),"-",(VLOOKUP($A321,'SegEnds_NonXtal_BW#'!$A:$Z,17,FALSE)+VLOOKUP($A321,A:AL,25,FALSE)-50))</f>
        <v>909</v>
      </c>
      <c r="Y321" s="3">
        <v>909</v>
      </c>
      <c r="Z321" s="3">
        <f t="shared" si="197"/>
        <v>911</v>
      </c>
      <c r="AA321" s="3">
        <f>IF(ISERROR(VLOOKUP($A321,'SegEnds_NonXtal_BW#'!$A:$Z,19,FALSE)+VLOOKUP($A321,A:AL,28,FALSE)-50),"-",(VLOOKUP($A321,'SegEnds_NonXtal_BW#'!$A:$Z,19,FALSE)+VLOOKUP($A321,A:AL,28,FALSE)-50))</f>
        <v>913</v>
      </c>
      <c r="AB321" s="3">
        <v>927</v>
      </c>
      <c r="AC321" s="3">
        <f>IF(ISERROR((VLOOKUP($A321,'SegEnds_NonXtal_BW#'!$A:$Z,20,FALSE)+VLOOKUP($A321,A:AL,28,FALSE)-50)),"-",(VLOOKUP($A321,'SegEnds_NonXtal_BW#'!$A:$Z,20,FALSE)+VLOOKUP($A321,A:AL,28,FALSE)-50))</f>
        <v>946</v>
      </c>
      <c r="AD321" s="3">
        <f>IF(ISERROR(VLOOKUP($A321,'SegEnds_NonXtal_BW#'!$A:$Z,21,FALSE)+VLOOKUP($A321,A:AL,31,FALSE)-50),"-",(VLOOKUP($A321,'SegEnds_NonXtal_BW#'!$A:$Z,21,FALSE)+VLOOKUP($A321,A:AL,31,FALSE)-50))</f>
        <v>991</v>
      </c>
      <c r="AE321" s="3">
        <v>1012</v>
      </c>
      <c r="AF321" s="3">
        <f>IF(ISERROR((VLOOKUP($A321,'SegEnds_NonXtal_BW#'!$A:$Z,22,FALSE)+VLOOKUP($A321,A:AL,31,FALSE)-50)),"-",(VLOOKUP($A321,'SegEnds_NonXtal_BW#'!$A:$Z,22,FALSE)+VLOOKUP($A321,A:AL,31,FALSE)-50))</f>
        <v>1015</v>
      </c>
      <c r="AG321" s="3">
        <f>IF(ISERROR(VLOOKUP($A321,'SegEnds_NonXtal_BW#'!$A:$Z,23,FALSE)+VLOOKUP($A321,A:AL,34,FALSE)-50),"-",(VLOOKUP($A321,'SegEnds_NonXtal_BW#'!$A:$Z,23,FALSE)+VLOOKUP($A321,A:AL,34,FALSE)-50))</f>
        <v>1022</v>
      </c>
      <c r="AH321" s="3">
        <v>1043</v>
      </c>
      <c r="AI321" s="3">
        <f>IF(ISERROR((VLOOKUP($A321,'SegEnds_NonXtal_BW#'!$A:$Z,24,FALSE)+VLOOKUP($A321,A:AL,34,FALSE)-50)),"-",(VLOOKUP($A321,'SegEnds_NonXtal_BW#'!$A:$Z,24,FALSE)+VLOOKUP($A321,A:AL,34,FALSE)-50))</f>
        <v>1049</v>
      </c>
      <c r="AJ321" s="3">
        <f>IF(ISERROR(VLOOKUP($A321,'SegEnds_NonXtal_BW#'!$A:$Z,25,FALSE)+VLOOKUP($A321,A:AL,37,FALSE)-50),"-",(VLOOKUP($A321,'SegEnds_NonXtal_BW#'!$A:$Z,25,FALSE)+VLOOKUP($A321,A:AL,37,FALSE)-50))</f>
        <v>1050</v>
      </c>
      <c r="AK321" s="3">
        <v>1053</v>
      </c>
      <c r="AL321" s="3">
        <f>IF(ISERROR((VLOOKUP($A321,'SegEnds_NonXtal_BW#'!$A:$Z,26,FALSE)+VLOOKUP($A321,A:AL,37,FALSE)-50)),"-",(VLOOKUP($A321,'SegEnds_NonXtal_BW#'!$A:$Z,26,FALSE)+VLOOKUP($A321,A:AL,37,FALSE)-50))</f>
        <v>1066</v>
      </c>
      <c r="AM321" s="28" t="str">
        <f>VLOOKUP(A321,Classification!A:B,2,FALSE)</f>
        <v>B2</v>
      </c>
      <c r="AN321" s="28" t="b">
        <f t="shared" si="188"/>
        <v>1</v>
      </c>
      <c r="AO321" s="3" t="str">
        <f>IF(ISERROR(MATCH(A321,'SegEnds_Xtal_Prot#'!B:B, 0)), "NoXtal", "Xtal")</f>
        <v>NoXtal</v>
      </c>
      <c r="AP321" s="3" t="str">
        <f t="shared" si="173"/>
        <v>-</v>
      </c>
      <c r="AQ321" s="3" t="str">
        <f t="shared" si="174"/>
        <v>-</v>
      </c>
      <c r="AR321" s="3" t="str">
        <f t="shared" si="175"/>
        <v>-</v>
      </c>
      <c r="AS321" s="3" t="str">
        <f t="shared" si="176"/>
        <v>-</v>
      </c>
      <c r="AT321" s="3" t="str">
        <f t="shared" si="177"/>
        <v>-</v>
      </c>
      <c r="AU321" s="3" t="str">
        <f t="shared" si="178"/>
        <v>-</v>
      </c>
      <c r="AV321" s="3">
        <f t="shared" si="179"/>
        <v>9</v>
      </c>
      <c r="AW321" s="3">
        <f t="shared" si="180"/>
        <v>2</v>
      </c>
      <c r="AX321" s="3">
        <f t="shared" si="181"/>
        <v>45</v>
      </c>
      <c r="AY321" s="3">
        <f t="shared" si="182"/>
        <v>7</v>
      </c>
      <c r="AZ321" s="3">
        <f t="shared" si="183"/>
        <v>1</v>
      </c>
      <c r="BA321" s="3">
        <f>IF(ISERROR(LEN(VLOOKUP(A321,Seqs!A:E,2,FALSE))-AL321),"-",LEN(VLOOKUP(A321,Seqs!A:E,2,FALSE))-AL321)</f>
        <v>255</v>
      </c>
      <c r="BB321" s="16">
        <f t="shared" si="184"/>
        <v>26</v>
      </c>
      <c r="BC321" s="9" t="str">
        <f t="shared" si="185"/>
        <v>-</v>
      </c>
      <c r="BD321" s="3">
        <f t="shared" si="186"/>
        <v>26</v>
      </c>
      <c r="BE321" s="3">
        <f t="shared" si="187"/>
        <v>85</v>
      </c>
    </row>
    <row r="322" spans="1:59" s="3" customFormat="1" x14ac:dyDescent="0.2">
      <c r="A322" s="3" t="s">
        <v>1173</v>
      </c>
      <c r="B322" s="3" t="str">
        <f>LOWER(VLOOKUP(A322,Xtal_Templ!A:B,2,FALSE))</f>
        <v>crfr1_human</v>
      </c>
      <c r="C322" s="3">
        <f>VLOOKUP($A322,'SegEnds_NonXtal_BW#'!$A:$Z,3,FALSE)+D322-50</f>
        <v>920</v>
      </c>
      <c r="D322" s="3">
        <v>947</v>
      </c>
      <c r="E322" s="3">
        <f>IF(ISERROR(VLOOKUP($A322,'SegEnds_NonXtal_BW#'!$A:$Z,4,FALSE)+VLOOKUP($A322,A:AL,4,FALSE)-50),"-",(VLOOKUP($A322,'SegEnds_NonXtal_BW#'!$A:$Z,4,FALSE)+VLOOKUP($A322,A:AL,4,FALSE)-50))</f>
        <v>957</v>
      </c>
      <c r="F322" s="3" t="s">
        <v>23</v>
      </c>
      <c r="G322" s="3" t="s">
        <v>23</v>
      </c>
      <c r="H322" s="3" t="s">
        <v>23</v>
      </c>
      <c r="I322" s="3">
        <f>VLOOKUP($A322,'SegEnds_NonXtal_BW#'!$A:$Z,7,FALSE)+J322-50</f>
        <v>963</v>
      </c>
      <c r="J322" s="3">
        <v>976</v>
      </c>
      <c r="K322" s="3">
        <f>VLOOKUP($A322,'SegEnds_NonXtal_BW#'!$A:$Z,8,FALSE)+VLOOKUP($A322,A:AL,10,FALSE)-50</f>
        <v>989</v>
      </c>
      <c r="L322" s="3" t="str">
        <f>IF(ISERROR(VLOOKUP($A322,'SegEnds_NonXtal_BW#'!$A:$Z,9,FALSE)+VLOOKUP($A322,A:AL,13,FALSE)-50),"-",(VLOOKUP($A322,'SegEnds_NonXtal_BW#'!$A:$Z,9,FALSE)+VLOOKUP($A322,A:AL,13,FALSE)-50))</f>
        <v>-</v>
      </c>
      <c r="M322" s="3" t="s">
        <v>23</v>
      </c>
      <c r="N322" s="3" t="str">
        <f>IF(ISERROR(VLOOKUP($A322,'SegEnds_NonXtal_BW#'!$A:$Z,10,FALSE)+VLOOKUP($A322,A:AL,13,FALSE)-50),"-",(VLOOKUP($A322,'SegEnds_NonXtal_BW#'!$A:$Z,10,FALSE)+VLOOKUP($A322,A:AL,13,FALSE)-50))</f>
        <v>-</v>
      </c>
      <c r="O322" s="3">
        <f>VLOOKUP($A322,'SegEnds_NonXtal_BW#'!$A:$Z,11,FALSE)+VLOOKUP($A322,A:AL,16,FALSE)-50</f>
        <v>994</v>
      </c>
      <c r="P322" s="3">
        <v>1021</v>
      </c>
      <c r="Q322" s="3">
        <f>VLOOKUP($A322,'SegEnds_NonXtal_BW#'!$A:$Z,12,FALSE)+VLOOKUP($A322,A:AL,16,FALSE)-50</f>
        <v>1027</v>
      </c>
      <c r="R322" s="3" t="str">
        <f>IF(ISERROR(VLOOKUP($A322,'SegEnds_NonXtal_BW#'!$A:$Z,13,FALSE)+VLOOKUP($A322,A:AL,19,FALSE)-50),"-",VLOOKUP($A322,'SegEnds_NonXtal_BW#'!$A:$Z,13,FALSE)+VLOOKUP($A322,A:AL,19,FALSE)-50)</f>
        <v>-</v>
      </c>
      <c r="S322" s="3" t="s">
        <v>23</v>
      </c>
      <c r="T322" s="100" t="str">
        <f>IF(ISERROR(VLOOKUP($A322,'SegEnds_NonXtal_BW#'!$A:$Z,14,FALSE)+VLOOKUP($A322,A:AL,19,FALSE)-50),"-",(VLOOKUP($A322,'SegEnds_NonXtal_BW#'!$A:$Z,14,FALSE)+VLOOKUP($A322,A:AL,19,FALSE)-50))</f>
        <v>-</v>
      </c>
      <c r="U322" s="9">
        <f>IF(ISERROR(VLOOKUP($A322,'SegEnds_NonXtal_BW#'!$A:$Z,15,FALSE)+VLOOKUP($A322,A:AL,22,FALSE)-50),"-",VLOOKUP($A322,'SegEnds_NonXtal_BW#'!$A:$Z,15,FALSE)+VLOOKUP($A322,A:AL,22,FALSE)-50)</f>
        <v>1033</v>
      </c>
      <c r="V322" s="3">
        <v>1043</v>
      </c>
      <c r="W322" s="3">
        <f>IF(ISERROR(VLOOKUP($A322,'SegEnds_NonXtal_BW#'!$A:$Z,16,FALSE)+VLOOKUP($A322,A:AL,22,FALSE)-50),"-",(VLOOKUP($A322,'SegEnds_NonXtal_BW#'!$A:$Z,16,FALSE)+VLOOKUP($A322,A:AL,22,FALSE)-50))</f>
        <v>1061</v>
      </c>
      <c r="X322" s="3">
        <f>IF(ISERROR(VLOOKUP($A322,'SegEnds_NonXtal_BW#'!$A:$Z,17,FALSE)+VLOOKUP($A322,A:AL,25,FALSE)-50),"-",(VLOOKUP($A322,'SegEnds_NonXtal_BW#'!$A:$Z,17,FALSE)+VLOOKUP($A322,A:AL,25,FALSE)-50))</f>
        <v>1068</v>
      </c>
      <c r="Y322" s="3">
        <v>1068</v>
      </c>
      <c r="Z322" s="3">
        <f t="shared" si="197"/>
        <v>1070</v>
      </c>
      <c r="AA322" s="3">
        <f>IF(ISERROR(VLOOKUP($A322,'SegEnds_NonXtal_BW#'!$A:$Z,19,FALSE)+VLOOKUP($A322,A:AL,28,FALSE)-50),"-",(VLOOKUP($A322,'SegEnds_NonXtal_BW#'!$A:$Z,19,FALSE)+VLOOKUP($A322,A:AL,28,FALSE)-50))</f>
        <v>1073</v>
      </c>
      <c r="AB322" s="3">
        <v>1087</v>
      </c>
      <c r="AC322" s="3">
        <f>IF(ISERROR((VLOOKUP($A322,'SegEnds_NonXtal_BW#'!$A:$Z,20,FALSE)+VLOOKUP($A322,A:AL,28,FALSE)-50)),"-",(VLOOKUP($A322,'SegEnds_NonXtal_BW#'!$A:$Z,20,FALSE)+VLOOKUP($A322,A:AL,28,FALSE)-50))</f>
        <v>1106</v>
      </c>
      <c r="AD322" s="3">
        <f>IF(ISERROR(VLOOKUP($A322,'SegEnds_NonXtal_BW#'!$A:$Z,21,FALSE)+VLOOKUP($A322,A:AL,31,FALSE)-50),"-",(VLOOKUP($A322,'SegEnds_NonXtal_BW#'!$A:$Z,21,FALSE)+VLOOKUP($A322,A:AL,31,FALSE)-50))</f>
        <v>1149</v>
      </c>
      <c r="AE322" s="3">
        <v>1170</v>
      </c>
      <c r="AF322" s="3">
        <f>IF(ISERROR((VLOOKUP($A322,'SegEnds_NonXtal_BW#'!$A:$Z,22,FALSE)+VLOOKUP($A322,A:AL,31,FALSE)-50)),"-",(VLOOKUP($A322,'SegEnds_NonXtal_BW#'!$A:$Z,22,FALSE)+VLOOKUP($A322,A:AL,31,FALSE)-50))</f>
        <v>1173</v>
      </c>
      <c r="AG322" s="3">
        <f>IF(ISERROR(VLOOKUP($A322,'SegEnds_NonXtal_BW#'!$A:$Z,23,FALSE)+VLOOKUP($A322,A:AL,34,FALSE)-50),"-",(VLOOKUP($A322,'SegEnds_NonXtal_BW#'!$A:$Z,23,FALSE)+VLOOKUP($A322,A:AL,34,FALSE)-50))</f>
        <v>1180</v>
      </c>
      <c r="AH322" s="3">
        <v>1199</v>
      </c>
      <c r="AI322" s="3">
        <f>IF(ISERROR((VLOOKUP($A322,'SegEnds_NonXtal_BW#'!$A:$Z,24,FALSE)+VLOOKUP($A322,A:AL,34,FALSE)-50)),"-",(VLOOKUP($A322,'SegEnds_NonXtal_BW#'!$A:$Z,24,FALSE)+VLOOKUP($A322,A:AL,34,FALSE)-50))</f>
        <v>1205</v>
      </c>
      <c r="AJ322" s="3">
        <f>IF(ISERROR(VLOOKUP($A322,'SegEnds_NonXtal_BW#'!$A:$Z,25,FALSE)+VLOOKUP($A322,A:AL,37,FALSE)-50),"-",(VLOOKUP($A322,'SegEnds_NonXtal_BW#'!$A:$Z,25,FALSE)+VLOOKUP($A322,A:AL,37,FALSE)-50))</f>
        <v>1206</v>
      </c>
      <c r="AK322" s="3">
        <v>1209</v>
      </c>
      <c r="AL322" s="3">
        <f>IF(ISERROR((VLOOKUP($A322,'SegEnds_NonXtal_BW#'!$A:$Z,26,FALSE)+VLOOKUP($A322,A:AL,37,FALSE)-50)),"-",(VLOOKUP($A322,'SegEnds_NonXtal_BW#'!$A:$Z,26,FALSE)+VLOOKUP($A322,A:AL,37,FALSE)-50))</f>
        <v>1222</v>
      </c>
      <c r="AM322" s="28" t="str">
        <f>VLOOKUP(A322,Classification!A:B,2,FALSE)</f>
        <v>B2</v>
      </c>
      <c r="AN322" s="28" t="b">
        <f t="shared" si="188"/>
        <v>1</v>
      </c>
      <c r="AO322" s="3" t="str">
        <f>IF(ISERROR(MATCH(A322,'SegEnds_Xtal_Prot#'!B:B, 0)), "NoXtal", "Xtal")</f>
        <v>NoXtal</v>
      </c>
      <c r="AP322" s="3" t="str">
        <f t="shared" si="173"/>
        <v>-</v>
      </c>
      <c r="AQ322" s="3" t="str">
        <f t="shared" si="174"/>
        <v>-</v>
      </c>
      <c r="AR322" s="3" t="str">
        <f t="shared" si="175"/>
        <v>-</v>
      </c>
      <c r="AS322" s="3" t="str">
        <f t="shared" si="176"/>
        <v>-</v>
      </c>
      <c r="AT322" s="3" t="str">
        <f t="shared" si="177"/>
        <v>-</v>
      </c>
      <c r="AU322" s="3" t="str">
        <f t="shared" si="178"/>
        <v>-</v>
      </c>
      <c r="AV322" s="3">
        <f t="shared" si="179"/>
        <v>7</v>
      </c>
      <c r="AW322" s="3">
        <f t="shared" si="180"/>
        <v>3</v>
      </c>
      <c r="AX322" s="3">
        <f t="shared" si="181"/>
        <v>43</v>
      </c>
      <c r="AY322" s="3">
        <f t="shared" si="182"/>
        <v>7</v>
      </c>
      <c r="AZ322" s="3">
        <f t="shared" si="183"/>
        <v>1</v>
      </c>
      <c r="BA322" s="3">
        <f>IF(ISERROR(LEN(VLOOKUP(A322,Seqs!A:E,2,FALSE))-AL322),"-",LEN(VLOOKUP(A322,Seqs!A:E,2,FALSE))-AL322)</f>
        <v>363</v>
      </c>
      <c r="BB322" s="16">
        <f t="shared" si="184"/>
        <v>29</v>
      </c>
      <c r="BC322" s="9" t="str">
        <f t="shared" si="185"/>
        <v>-</v>
      </c>
      <c r="BD322" s="3">
        <f t="shared" si="186"/>
        <v>29</v>
      </c>
      <c r="BE322" s="3">
        <f t="shared" si="187"/>
        <v>83</v>
      </c>
    </row>
    <row r="323" spans="1:59" s="3" customFormat="1" x14ac:dyDescent="0.2">
      <c r="A323" s="3" t="s">
        <v>1174</v>
      </c>
      <c r="B323" s="3" t="str">
        <f>LOWER(VLOOKUP(A323,Xtal_Templ!A:B,2,FALSE))</f>
        <v>crfr1_human</v>
      </c>
      <c r="C323" s="3">
        <f>VLOOKUP($A323,'SegEnds_NonXtal_BW#'!$A:$Z,3,FALSE)+D323-50</f>
        <v>865</v>
      </c>
      <c r="D323" s="3">
        <v>892</v>
      </c>
      <c r="E323" s="3">
        <f>IF(ISERROR(VLOOKUP($A323,'SegEnds_NonXtal_BW#'!$A:$Z,4,FALSE)+VLOOKUP($A323,A:AL,4,FALSE)-50),"-",(VLOOKUP($A323,'SegEnds_NonXtal_BW#'!$A:$Z,4,FALSE)+VLOOKUP($A323,A:AL,4,FALSE)-50))</f>
        <v>902</v>
      </c>
      <c r="F323" s="3" t="s">
        <v>23</v>
      </c>
      <c r="G323" s="3" t="s">
        <v>23</v>
      </c>
      <c r="H323" s="3" t="s">
        <v>23</v>
      </c>
      <c r="I323" s="3">
        <f>VLOOKUP($A323,'SegEnds_NonXtal_BW#'!$A:$Z,7,FALSE)+J323-50</f>
        <v>908</v>
      </c>
      <c r="J323" s="3">
        <v>921</v>
      </c>
      <c r="K323" s="3">
        <f>VLOOKUP($A323,'SegEnds_NonXtal_BW#'!$A:$Z,8,FALSE)+VLOOKUP($A323,A:AL,10,FALSE)-50</f>
        <v>934</v>
      </c>
      <c r="L323" s="3" t="str">
        <f>IF(ISERROR(VLOOKUP($A323,'SegEnds_NonXtal_BW#'!$A:$Z,9,FALSE)+VLOOKUP($A323,A:AL,13,FALSE)-50),"-",(VLOOKUP($A323,'SegEnds_NonXtal_BW#'!$A:$Z,9,FALSE)+VLOOKUP($A323,A:AL,13,FALSE)-50))</f>
        <v>-</v>
      </c>
      <c r="M323" s="3" t="s">
        <v>23</v>
      </c>
      <c r="N323" s="3" t="str">
        <f>IF(ISERROR(VLOOKUP($A323,'SegEnds_NonXtal_BW#'!$A:$Z,10,FALSE)+VLOOKUP($A323,A:AL,13,FALSE)-50),"-",(VLOOKUP($A323,'SegEnds_NonXtal_BW#'!$A:$Z,10,FALSE)+VLOOKUP($A323,A:AL,13,FALSE)-50))</f>
        <v>-</v>
      </c>
      <c r="O323" s="3">
        <f>VLOOKUP($A323,'SegEnds_NonXtal_BW#'!$A:$Z,11,FALSE)+VLOOKUP($A323,A:AL,16,FALSE)-50</f>
        <v>939</v>
      </c>
      <c r="P323" s="3">
        <v>966</v>
      </c>
      <c r="Q323" s="3">
        <f>VLOOKUP($A323,'SegEnds_NonXtal_BW#'!$A:$Z,12,FALSE)+VLOOKUP($A323,A:AL,16,FALSE)-50</f>
        <v>972</v>
      </c>
      <c r="R323" s="3" t="str">
        <f>IF(ISERROR(VLOOKUP($A323,'SegEnds_NonXtal_BW#'!$A:$Z,13,FALSE)+VLOOKUP($A323,A:AL,19,FALSE)-50),"-",VLOOKUP($A323,'SegEnds_NonXtal_BW#'!$A:$Z,13,FALSE)+VLOOKUP($A323,A:AL,19,FALSE)-50)</f>
        <v>-</v>
      </c>
      <c r="S323" s="3" t="s">
        <v>23</v>
      </c>
      <c r="T323" s="100" t="str">
        <f>IF(ISERROR(VLOOKUP($A323,'SegEnds_NonXtal_BW#'!$A:$Z,14,FALSE)+VLOOKUP($A323,A:AL,19,FALSE)-50),"-",(VLOOKUP($A323,'SegEnds_NonXtal_BW#'!$A:$Z,14,FALSE)+VLOOKUP($A323,A:AL,19,FALSE)-50))</f>
        <v>-</v>
      </c>
      <c r="U323" s="9">
        <f>IF(ISERROR(VLOOKUP($A323,'SegEnds_NonXtal_BW#'!$A:$Z,15,FALSE)+VLOOKUP($A323,A:AL,22,FALSE)-50),"-",VLOOKUP($A323,'SegEnds_NonXtal_BW#'!$A:$Z,15,FALSE)+VLOOKUP($A323,A:AL,22,FALSE)-50)</f>
        <v>978</v>
      </c>
      <c r="V323" s="3">
        <v>988</v>
      </c>
      <c r="W323" s="3">
        <f>IF(ISERROR(VLOOKUP($A323,'SegEnds_NonXtal_BW#'!$A:$Z,16,FALSE)+VLOOKUP($A323,A:AL,22,FALSE)-50),"-",(VLOOKUP($A323,'SegEnds_NonXtal_BW#'!$A:$Z,16,FALSE)+VLOOKUP($A323,A:AL,22,FALSE)-50))</f>
        <v>1006</v>
      </c>
      <c r="X323" s="3">
        <f>IF(ISERROR(VLOOKUP($A323,'SegEnds_NonXtal_BW#'!$A:$Z,17,FALSE)+VLOOKUP($A323,A:AL,25,FALSE)-50),"-",(VLOOKUP($A323,'SegEnds_NonXtal_BW#'!$A:$Z,17,FALSE)+VLOOKUP($A323,A:AL,25,FALSE)-50))</f>
        <v>1013</v>
      </c>
      <c r="Y323" s="3">
        <v>1013</v>
      </c>
      <c r="Z323" s="3">
        <f t="shared" si="197"/>
        <v>1015</v>
      </c>
      <c r="AA323" s="3">
        <f>IF(ISERROR(VLOOKUP($A323,'SegEnds_NonXtal_BW#'!$A:$Z,19,FALSE)+VLOOKUP($A323,A:AL,28,FALSE)-50),"-",(VLOOKUP($A323,'SegEnds_NonXtal_BW#'!$A:$Z,19,FALSE)+VLOOKUP($A323,A:AL,28,FALSE)-50))</f>
        <v>1018</v>
      </c>
      <c r="AB323" s="3">
        <v>1032</v>
      </c>
      <c r="AC323" s="3">
        <f>IF(ISERROR((VLOOKUP($A323,'SegEnds_NonXtal_BW#'!$A:$Z,20,FALSE)+VLOOKUP($A323,A:AL,28,FALSE)-50)),"-",(VLOOKUP($A323,'SegEnds_NonXtal_BW#'!$A:$Z,20,FALSE)+VLOOKUP($A323,A:AL,28,FALSE)-50))</f>
        <v>1051</v>
      </c>
      <c r="AD323" s="3">
        <f>IF(ISERROR(VLOOKUP($A323,'SegEnds_NonXtal_BW#'!$A:$Z,21,FALSE)+VLOOKUP($A323,A:AL,31,FALSE)-50),"-",(VLOOKUP($A323,'SegEnds_NonXtal_BW#'!$A:$Z,21,FALSE)+VLOOKUP($A323,A:AL,31,FALSE)-50))</f>
        <v>1094</v>
      </c>
      <c r="AE323" s="3">
        <v>1115</v>
      </c>
      <c r="AF323" s="3">
        <f>IF(ISERROR((VLOOKUP($A323,'SegEnds_NonXtal_BW#'!$A:$Z,22,FALSE)+VLOOKUP($A323,A:AL,31,FALSE)-50)),"-",(VLOOKUP($A323,'SegEnds_NonXtal_BW#'!$A:$Z,22,FALSE)+VLOOKUP($A323,A:AL,31,FALSE)-50))</f>
        <v>1118</v>
      </c>
      <c r="AG323" s="3">
        <f>IF(ISERROR(VLOOKUP($A323,'SegEnds_NonXtal_BW#'!$A:$Z,23,FALSE)+VLOOKUP($A323,A:AL,34,FALSE)-50),"-",(VLOOKUP($A323,'SegEnds_NonXtal_BW#'!$A:$Z,23,FALSE)+VLOOKUP($A323,A:AL,34,FALSE)-50))</f>
        <v>1125</v>
      </c>
      <c r="AH323" s="3">
        <v>1144</v>
      </c>
      <c r="AI323" s="3">
        <f>IF(ISERROR((VLOOKUP($A323,'SegEnds_NonXtal_BW#'!$A:$Z,24,FALSE)+VLOOKUP($A323,A:AL,34,FALSE)-50)),"-",(VLOOKUP($A323,'SegEnds_NonXtal_BW#'!$A:$Z,24,FALSE)+VLOOKUP($A323,A:AL,34,FALSE)-50))</f>
        <v>1150</v>
      </c>
      <c r="AJ323" s="3">
        <f>IF(ISERROR(VLOOKUP($A323,'SegEnds_NonXtal_BW#'!$A:$Z,25,FALSE)+VLOOKUP($A323,A:AL,37,FALSE)-50),"-",(VLOOKUP($A323,'SegEnds_NonXtal_BW#'!$A:$Z,25,FALSE)+VLOOKUP($A323,A:AL,37,FALSE)-50))</f>
        <v>1151</v>
      </c>
      <c r="AK323" s="3">
        <v>1154</v>
      </c>
      <c r="AL323" s="3">
        <f>IF(ISERROR((VLOOKUP($A323,'SegEnds_NonXtal_BW#'!$A:$Z,26,FALSE)+VLOOKUP($A323,A:AL,37,FALSE)-50)),"-",(VLOOKUP($A323,'SegEnds_NonXtal_BW#'!$A:$Z,26,FALSE)+VLOOKUP($A323,A:AL,37,FALSE)-50))</f>
        <v>1167</v>
      </c>
      <c r="AM323" s="28" t="str">
        <f>VLOOKUP(A323,Classification!A:B,2,FALSE)</f>
        <v>B2</v>
      </c>
      <c r="AN323" s="28" t="b">
        <f t="shared" si="188"/>
        <v>1</v>
      </c>
      <c r="AO323" s="3" t="str">
        <f>IF(ISERROR(MATCH(A323,'SegEnds_Xtal_Prot#'!B:B, 0)), "NoXtal", "Xtal")</f>
        <v>NoXtal</v>
      </c>
      <c r="AP323" s="3" t="str">
        <f t="shared" si="173"/>
        <v>-</v>
      </c>
      <c r="AQ323" s="3" t="str">
        <f t="shared" si="174"/>
        <v>-</v>
      </c>
      <c r="AR323" s="3" t="str">
        <f t="shared" si="175"/>
        <v>-</v>
      </c>
      <c r="AS323" s="3" t="str">
        <f t="shared" si="176"/>
        <v>-</v>
      </c>
      <c r="AT323" s="3" t="str">
        <f t="shared" si="177"/>
        <v>-</v>
      </c>
      <c r="AU323" s="3" t="str">
        <f t="shared" si="178"/>
        <v>-</v>
      </c>
      <c r="AV323" s="3">
        <f t="shared" si="179"/>
        <v>7</v>
      </c>
      <c r="AW323" s="3">
        <f t="shared" si="180"/>
        <v>3</v>
      </c>
      <c r="AX323" s="3">
        <f t="shared" si="181"/>
        <v>43</v>
      </c>
      <c r="AY323" s="3">
        <f t="shared" si="182"/>
        <v>7</v>
      </c>
      <c r="AZ323" s="3">
        <f t="shared" si="183"/>
        <v>1</v>
      </c>
      <c r="BA323" s="3">
        <f>IF(ISERROR(LEN(VLOOKUP(A323,Seqs!A:E,2,FALSE))-AL323),"-",LEN(VLOOKUP(A323,Seqs!A:E,2,FALSE))-AL323)</f>
        <v>355</v>
      </c>
      <c r="BB323" s="16">
        <f t="shared" si="184"/>
        <v>29</v>
      </c>
      <c r="BC323" s="9" t="str">
        <f t="shared" si="185"/>
        <v>-</v>
      </c>
      <c r="BD323" s="3">
        <f t="shared" si="186"/>
        <v>29</v>
      </c>
      <c r="BE323" s="3">
        <f t="shared" si="187"/>
        <v>83</v>
      </c>
    </row>
    <row r="324" spans="1:59" s="3" customFormat="1" x14ac:dyDescent="0.2">
      <c r="A324" s="3" t="s">
        <v>1175</v>
      </c>
      <c r="B324" s="3" t="str">
        <f>LOWER(VLOOKUP(A324,Xtal_Templ!A:B,2,FALSE))</f>
        <v>crfr1_human</v>
      </c>
      <c r="C324" s="3">
        <f>VLOOKUP($A324,'SegEnds_NonXtal_BW#'!$A:$Z,3,FALSE)+D324-50</f>
        <v>554</v>
      </c>
      <c r="D324" s="3">
        <v>581</v>
      </c>
      <c r="E324" s="3">
        <f>IF(ISERROR(VLOOKUP($A324,'SegEnds_NonXtal_BW#'!$A:$Z,4,FALSE)+VLOOKUP($A324,A:AL,4,FALSE)-50),"-",(VLOOKUP($A324,'SegEnds_NonXtal_BW#'!$A:$Z,4,FALSE)+VLOOKUP($A324,A:AL,4,FALSE)-50))</f>
        <v>591</v>
      </c>
      <c r="F324" s="3">
        <f>G324-2</f>
        <v>592</v>
      </c>
      <c r="G324" s="3">
        <v>594</v>
      </c>
      <c r="H324" s="3">
        <f>G324+1</f>
        <v>595</v>
      </c>
      <c r="I324" s="3">
        <f>H324+1</f>
        <v>596</v>
      </c>
      <c r="J324" s="3">
        <v>612</v>
      </c>
      <c r="K324" s="3">
        <f>VLOOKUP($A324,'SegEnds_NonXtal_BW#'!$A:$Z,8,FALSE)+VLOOKUP($A324,A:AL,10,FALSE)-50</f>
        <v>625</v>
      </c>
      <c r="L324" s="3" t="str">
        <f>IF(ISERROR(VLOOKUP($A324,'SegEnds_NonXtal_BW#'!$A:$Z,9,FALSE)+VLOOKUP($A324,A:AL,13,FALSE)-50),"-",(VLOOKUP($A324,'SegEnds_NonXtal_BW#'!$A:$Z,9,FALSE)+VLOOKUP($A324,A:AL,13,FALSE)-50))</f>
        <v>-</v>
      </c>
      <c r="M324" s="3" t="s">
        <v>23</v>
      </c>
      <c r="N324" s="3" t="str">
        <f>IF(ISERROR(VLOOKUP($A324,'SegEnds_NonXtal_BW#'!$A:$Z,10,FALSE)+VLOOKUP($A324,A:AL,13,FALSE)-50),"-",(VLOOKUP($A324,'SegEnds_NonXtal_BW#'!$A:$Z,10,FALSE)+VLOOKUP($A324,A:AL,13,FALSE)-50))</f>
        <v>-</v>
      </c>
      <c r="O324" s="3">
        <f>VLOOKUP($A324,'SegEnds_NonXtal_BW#'!$A:$Z,11,FALSE)+VLOOKUP($A324,A:AL,16,FALSE)-50</f>
        <v>630</v>
      </c>
      <c r="P324" s="3">
        <v>657</v>
      </c>
      <c r="Q324" s="3">
        <f>VLOOKUP($A324,'SegEnds_NonXtal_BW#'!$A:$Z,12,FALSE)+VLOOKUP($A324,A:AL,16,FALSE)-50</f>
        <v>663</v>
      </c>
      <c r="R324" s="3" t="str">
        <f>IF(ISERROR(VLOOKUP($A324,'SegEnds_NonXtal_BW#'!$A:$Z,13,FALSE)+VLOOKUP($A324,A:AL,19,FALSE)-50),"-",VLOOKUP($A324,'SegEnds_NonXtal_BW#'!$A:$Z,13,FALSE)+VLOOKUP($A324,A:AL,19,FALSE)-50)</f>
        <v>-</v>
      </c>
      <c r="S324" s="3" t="s">
        <v>23</v>
      </c>
      <c r="T324" s="100" t="str">
        <f>IF(ISERROR(VLOOKUP($A324,'SegEnds_NonXtal_BW#'!$A:$Z,14,FALSE)+VLOOKUP($A324,A:AL,19,FALSE)-50),"-",(VLOOKUP($A324,'SegEnds_NonXtal_BW#'!$A:$Z,14,FALSE)+VLOOKUP($A324,A:AL,19,FALSE)-50))</f>
        <v>-</v>
      </c>
      <c r="U324" s="9">
        <f>IF(ISERROR(VLOOKUP($A324,'SegEnds_NonXtal_BW#'!$A:$Z,15,FALSE)+VLOOKUP($A324,A:AL,22,FALSE)-50),"-",VLOOKUP($A324,'SegEnds_NonXtal_BW#'!$A:$Z,15,FALSE)+VLOOKUP($A324,A:AL,22,FALSE)-50)</f>
        <v>670</v>
      </c>
      <c r="V324" s="3">
        <v>680</v>
      </c>
      <c r="W324" s="3">
        <f>IF(ISERROR(VLOOKUP($A324,'SegEnds_NonXtal_BW#'!$A:$Z,16,FALSE)+VLOOKUP($A324,A:AL,22,FALSE)-50),"-",(VLOOKUP($A324,'SegEnds_NonXtal_BW#'!$A:$Z,16,FALSE)+VLOOKUP($A324,A:AL,22,FALSE)-50))</f>
        <v>698</v>
      </c>
      <c r="X324" s="3">
        <f>IF(ISERROR(VLOOKUP($A324,'SegEnds_NonXtal_BW#'!$A:$Z,17,FALSE)+VLOOKUP($A324,A:AL,25,FALSE)-50),"-",(VLOOKUP($A324,'SegEnds_NonXtal_BW#'!$A:$Z,17,FALSE)+VLOOKUP($A324,A:AL,25,FALSE)-50))</f>
        <v>704</v>
      </c>
      <c r="Y324" s="3">
        <v>704</v>
      </c>
      <c r="Z324" s="3">
        <f t="shared" si="197"/>
        <v>706</v>
      </c>
      <c r="AA324" s="3">
        <f>IF(ISERROR(VLOOKUP($A324,'SegEnds_NonXtal_BW#'!$A:$Z,19,FALSE)+VLOOKUP($A324,A:AL,28,FALSE)-50),"-",(VLOOKUP($A324,'SegEnds_NonXtal_BW#'!$A:$Z,19,FALSE)+VLOOKUP($A324,A:AL,28,FALSE)-50))</f>
        <v>709</v>
      </c>
      <c r="AB324" s="3">
        <v>723</v>
      </c>
      <c r="AC324" s="3">
        <f>IF(ISERROR((VLOOKUP($A324,'SegEnds_NonXtal_BW#'!$A:$Z,20,FALSE)+VLOOKUP($A324,A:AL,28,FALSE)-50)),"-",(VLOOKUP($A324,'SegEnds_NonXtal_BW#'!$A:$Z,20,FALSE)+VLOOKUP($A324,A:AL,28,FALSE)-50))</f>
        <v>742</v>
      </c>
      <c r="AD324" s="3">
        <f>IF(ISERROR(VLOOKUP($A324,'SegEnds_NonXtal_BW#'!$A:$Z,21,FALSE)+VLOOKUP($A324,A:AL,31,FALSE)-50),"-",(VLOOKUP($A324,'SegEnds_NonXtal_BW#'!$A:$Z,21,FALSE)+VLOOKUP($A324,A:AL,31,FALSE)-50))</f>
        <v>754</v>
      </c>
      <c r="AE324" s="3">
        <v>775</v>
      </c>
      <c r="AF324" s="3">
        <f>IF(ISERROR((VLOOKUP($A324,'SegEnds_NonXtal_BW#'!$A:$Z,22,FALSE)+VLOOKUP($A324,A:AL,31,FALSE)-50)),"-",(VLOOKUP($A324,'SegEnds_NonXtal_BW#'!$A:$Z,22,FALSE)+VLOOKUP($A324,A:AL,31,FALSE)-50))</f>
        <v>778</v>
      </c>
      <c r="AG324" s="3">
        <f>IF(ISERROR(VLOOKUP($A324,'SegEnds_NonXtal_BW#'!$A:$Z,23,FALSE)+VLOOKUP($A324,A:AL,34,FALSE)-50),"-",(VLOOKUP($A324,'SegEnds_NonXtal_BW#'!$A:$Z,23,FALSE)+VLOOKUP($A324,A:AL,34,FALSE)-50))</f>
        <v>784</v>
      </c>
      <c r="AH324" s="3">
        <v>803</v>
      </c>
      <c r="AI324" s="3">
        <f>IF(ISERROR((VLOOKUP($A324,'SegEnds_NonXtal_BW#'!$A:$Z,24,FALSE)+VLOOKUP($A324,A:AL,34,FALSE)-50)),"-",(VLOOKUP($A324,'SegEnds_NonXtal_BW#'!$A:$Z,24,FALSE)+VLOOKUP($A324,A:AL,34,FALSE)-50))</f>
        <v>809</v>
      </c>
      <c r="AJ324" s="3">
        <f>IF(ISERROR(VLOOKUP($A324,'SegEnds_NonXtal_BW#'!$A:$Z,25,FALSE)+VLOOKUP($A324,A:AL,37,FALSE)-50),"-",(VLOOKUP($A324,'SegEnds_NonXtal_BW#'!$A:$Z,25,FALSE)+VLOOKUP($A324,A:AL,37,FALSE)-50))</f>
        <v>810</v>
      </c>
      <c r="AK324" s="3">
        <v>813</v>
      </c>
      <c r="AL324" s="3">
        <f>IF(ISERROR((VLOOKUP($A324,'SegEnds_NonXtal_BW#'!$A:$Z,26,FALSE)+VLOOKUP($A324,A:AL,37,FALSE)-50)),"-",(VLOOKUP($A324,'SegEnds_NonXtal_BW#'!$A:$Z,26,FALSE)+VLOOKUP($A324,A:AL,37,FALSE)-50))</f>
        <v>826</v>
      </c>
      <c r="AM324" s="28" t="str">
        <f>VLOOKUP(A324,Classification!A:B,2,FALSE)</f>
        <v>B2</v>
      </c>
      <c r="AN324" s="28" t="b">
        <f t="shared" si="188"/>
        <v>1</v>
      </c>
      <c r="AO324" s="3" t="str">
        <f>IF(ISERROR(MATCH(A324,'SegEnds_Xtal_Prot#'!B:B, 0)), "NoXtal", "Xtal")</f>
        <v>NoXtal</v>
      </c>
      <c r="AP324" s="3">
        <f t="shared" si="173"/>
        <v>1</v>
      </c>
      <c r="AQ324" s="3">
        <f t="shared" si="174"/>
        <v>1</v>
      </c>
      <c r="AR324" s="3" t="str">
        <f t="shared" si="175"/>
        <v>-</v>
      </c>
      <c r="AS324" s="3" t="str">
        <f t="shared" si="176"/>
        <v>-</v>
      </c>
      <c r="AT324" s="3" t="str">
        <f t="shared" si="177"/>
        <v>-</v>
      </c>
      <c r="AU324" s="3" t="str">
        <f t="shared" si="178"/>
        <v>-</v>
      </c>
      <c r="AV324" s="3">
        <f t="shared" si="179"/>
        <v>6</v>
      </c>
      <c r="AW324" s="3">
        <f t="shared" si="180"/>
        <v>3</v>
      </c>
      <c r="AX324" s="3">
        <f t="shared" si="181"/>
        <v>12</v>
      </c>
      <c r="AY324" s="3">
        <f t="shared" si="182"/>
        <v>6</v>
      </c>
      <c r="AZ324" s="3">
        <f t="shared" si="183"/>
        <v>1</v>
      </c>
      <c r="BA324" s="3">
        <f>IF(ISERROR(LEN(VLOOKUP(A324,Seqs!A:E,2,FALSE))-AL324),"-",LEN(VLOOKUP(A324,Seqs!A:E,2,FALSE))-AL324)</f>
        <v>48</v>
      </c>
      <c r="BB324" s="16">
        <f t="shared" si="184"/>
        <v>31</v>
      </c>
      <c r="BC324" s="9" t="str">
        <f t="shared" si="185"/>
        <v>-</v>
      </c>
      <c r="BD324" s="3">
        <f t="shared" si="186"/>
        <v>31</v>
      </c>
      <c r="BE324" s="3">
        <f t="shared" si="187"/>
        <v>52</v>
      </c>
    </row>
    <row r="325" spans="1:59" s="3" customFormat="1" x14ac:dyDescent="0.2">
      <c r="A325" s="3" t="s">
        <v>1176</v>
      </c>
      <c r="B325" s="3" t="str">
        <f>LOWER(VLOOKUP(A325,Xtal_Templ!A:B,2,FALSE))</f>
        <v>crfr1_human</v>
      </c>
      <c r="C325" s="3">
        <f>VLOOKUP($A325,'SegEnds_NonXtal_BW#'!$A:$Z,3,FALSE)+D325-50</f>
        <v>646</v>
      </c>
      <c r="D325" s="3">
        <v>673</v>
      </c>
      <c r="E325" s="3">
        <f>IF(ISERROR(VLOOKUP($A325,'SegEnds_NonXtal_BW#'!$A:$Z,4,FALSE)+VLOOKUP($A325,A:AL,4,FALSE)-50),"-",(VLOOKUP($A325,'SegEnds_NonXtal_BW#'!$A:$Z,4,FALSE)+VLOOKUP($A325,A:AL,4,FALSE)-50))</f>
        <v>683</v>
      </c>
      <c r="F325" s="3" t="s">
        <v>23</v>
      </c>
      <c r="G325" s="3" t="s">
        <v>23</v>
      </c>
      <c r="H325" s="3" t="s">
        <v>23</v>
      </c>
      <c r="I325" s="3">
        <f>VLOOKUP($A325,'SegEnds_NonXtal_BW#'!$A:$Z,7,FALSE)+J325-50</f>
        <v>688</v>
      </c>
      <c r="J325" s="3">
        <v>701</v>
      </c>
      <c r="K325" s="3">
        <f>VLOOKUP($A325,'SegEnds_NonXtal_BW#'!$A:$Z,8,FALSE)+VLOOKUP($A325,A:AL,10,FALSE)-50</f>
        <v>714</v>
      </c>
      <c r="L325" s="3" t="str">
        <f>IF(ISERROR(VLOOKUP($A325,'SegEnds_NonXtal_BW#'!$A:$Z,9,FALSE)+VLOOKUP($A325,A:AL,13,FALSE)-50),"-",(VLOOKUP($A325,'SegEnds_NonXtal_BW#'!$A:$Z,9,FALSE)+VLOOKUP($A325,A:AL,13,FALSE)-50))</f>
        <v>-</v>
      </c>
      <c r="M325" s="3" t="s">
        <v>23</v>
      </c>
      <c r="N325" s="3" t="str">
        <f>IF(ISERROR(VLOOKUP($A325,'SegEnds_NonXtal_BW#'!$A:$Z,10,FALSE)+VLOOKUP($A325,A:AL,13,FALSE)-50),"-",(VLOOKUP($A325,'SegEnds_NonXtal_BW#'!$A:$Z,10,FALSE)+VLOOKUP($A325,A:AL,13,FALSE)-50))</f>
        <v>-</v>
      </c>
      <c r="O325" s="3">
        <f>VLOOKUP($A325,'SegEnds_NonXtal_BW#'!$A:$Z,11,FALSE)+VLOOKUP($A325,A:AL,16,FALSE)-50</f>
        <v>719</v>
      </c>
      <c r="P325" s="3">
        <v>746</v>
      </c>
      <c r="Q325" s="3">
        <f>VLOOKUP($A325,'SegEnds_NonXtal_BW#'!$A:$Z,12,FALSE)+VLOOKUP($A325,A:AL,16,FALSE)-50</f>
        <v>752</v>
      </c>
      <c r="R325" s="3" t="str">
        <f>IF(ISERROR(VLOOKUP($A325,'SegEnds_NonXtal_BW#'!$A:$Z,13,FALSE)+VLOOKUP($A325,A:AL,19,FALSE)-50),"-",VLOOKUP($A325,'SegEnds_NonXtal_BW#'!$A:$Z,13,FALSE)+VLOOKUP($A325,A:AL,19,FALSE)-50)</f>
        <v>-</v>
      </c>
      <c r="S325" s="3" t="s">
        <v>23</v>
      </c>
      <c r="T325" s="100" t="str">
        <f>IF(ISERROR(VLOOKUP($A325,'SegEnds_NonXtal_BW#'!$A:$Z,14,FALSE)+VLOOKUP($A325,A:AL,19,FALSE)-50),"-",(VLOOKUP($A325,'SegEnds_NonXtal_BW#'!$A:$Z,14,FALSE)+VLOOKUP($A325,A:AL,19,FALSE)-50))</f>
        <v>-</v>
      </c>
      <c r="U325" s="9">
        <f>IF(ISERROR(VLOOKUP($A325,'SegEnds_NonXtal_BW#'!$A:$Z,15,FALSE)+VLOOKUP($A325,A:AL,22,FALSE)-50),"-",VLOOKUP($A325,'SegEnds_NonXtal_BW#'!$A:$Z,15,FALSE)+VLOOKUP($A325,A:AL,22,FALSE)-50)</f>
        <v>759</v>
      </c>
      <c r="V325" s="3">
        <v>769</v>
      </c>
      <c r="W325" s="3">
        <f>IF(ISERROR(VLOOKUP($A325,'SegEnds_NonXtal_BW#'!$A:$Z,16,FALSE)+VLOOKUP($A325,A:AL,22,FALSE)-50),"-",(VLOOKUP($A325,'SegEnds_NonXtal_BW#'!$A:$Z,16,FALSE)+VLOOKUP($A325,A:AL,22,FALSE)-50))</f>
        <v>787</v>
      </c>
      <c r="X325" s="3">
        <f>IF(ISERROR(VLOOKUP($A325,'SegEnds_NonXtal_BW#'!$A:$Z,17,FALSE)+VLOOKUP($A325,A:AL,25,FALSE)-50),"-",(VLOOKUP($A325,'SegEnds_NonXtal_BW#'!$A:$Z,17,FALSE)+VLOOKUP($A325,A:AL,25,FALSE)-50))</f>
        <v>793</v>
      </c>
      <c r="Y325" s="3">
        <v>793</v>
      </c>
      <c r="Z325" s="3">
        <f t="shared" si="197"/>
        <v>795</v>
      </c>
      <c r="AA325" s="3">
        <f>IF(ISERROR(VLOOKUP($A325,'SegEnds_NonXtal_BW#'!$A:$Z,19,FALSE)+VLOOKUP($A325,A:AL,28,FALSE)-50),"-",(VLOOKUP($A325,'SegEnds_NonXtal_BW#'!$A:$Z,19,FALSE)+VLOOKUP($A325,A:AL,28,FALSE)-50))</f>
        <v>798</v>
      </c>
      <c r="AB325" s="3">
        <v>812</v>
      </c>
      <c r="AC325" s="3">
        <f>IF(ISERROR((VLOOKUP($A325,'SegEnds_NonXtal_BW#'!$A:$Z,20,FALSE)+VLOOKUP($A325,A:AL,28,FALSE)-50)),"-",(VLOOKUP($A325,'SegEnds_NonXtal_BW#'!$A:$Z,20,FALSE)+VLOOKUP($A325,A:AL,28,FALSE)-50))</f>
        <v>831</v>
      </c>
      <c r="AD325" s="3">
        <f>IF(ISERROR(VLOOKUP($A325,'SegEnds_NonXtal_BW#'!$A:$Z,21,FALSE)+VLOOKUP($A325,A:AL,31,FALSE)-50),"-",(VLOOKUP($A325,'SegEnds_NonXtal_BW#'!$A:$Z,21,FALSE)+VLOOKUP($A325,A:AL,31,FALSE)-50))</f>
        <v>857</v>
      </c>
      <c r="AE325" s="3">
        <v>878</v>
      </c>
      <c r="AF325" s="3">
        <f>IF(ISERROR((VLOOKUP($A325,'SegEnds_NonXtal_BW#'!$A:$Z,22,FALSE)+VLOOKUP($A325,A:AL,31,FALSE)-50)),"-",(VLOOKUP($A325,'SegEnds_NonXtal_BW#'!$A:$Z,22,FALSE)+VLOOKUP($A325,A:AL,31,FALSE)-50))</f>
        <v>878</v>
      </c>
      <c r="AG325" s="3">
        <f>IF(ISERROR(VLOOKUP($A325,'SegEnds_NonXtal_BW#'!$A:$Z,23,FALSE)+VLOOKUP($A325,A:AL,34,FALSE)-50),"-",(VLOOKUP($A325,'SegEnds_NonXtal_BW#'!$A:$Z,23,FALSE)+VLOOKUP($A325,A:AL,34,FALSE)-50))</f>
        <v>881</v>
      </c>
      <c r="AH325" s="3">
        <v>898</v>
      </c>
      <c r="AI325" s="3">
        <f>IF(ISERROR((VLOOKUP($A325,'SegEnds_NonXtal_BW#'!$A:$Z,24,FALSE)+VLOOKUP($A325,A:AL,34,FALSE)-50)),"-",(VLOOKUP($A325,'SegEnds_NonXtal_BW#'!$A:$Z,24,FALSE)+VLOOKUP($A325,A:AL,34,FALSE)-50))</f>
        <v>904</v>
      </c>
      <c r="AJ325" s="3">
        <f>IF(ISERROR(VLOOKUP($A325,'SegEnds_NonXtal_BW#'!$A:$Z,25,FALSE)+VLOOKUP($A325,A:AL,37,FALSE)-50),"-",(VLOOKUP($A325,'SegEnds_NonXtal_BW#'!$A:$Z,25,FALSE)+VLOOKUP($A325,A:AL,37,FALSE)-50))</f>
        <v>905</v>
      </c>
      <c r="AK325" s="3">
        <v>908</v>
      </c>
      <c r="AL325" s="3">
        <f>IF(ISERROR((VLOOKUP($A325,'SegEnds_NonXtal_BW#'!$A:$Z,26,FALSE)+VLOOKUP($A325,A:AL,37,FALSE)-50)),"-",(VLOOKUP($A325,'SegEnds_NonXtal_BW#'!$A:$Z,26,FALSE)+VLOOKUP($A325,A:AL,37,FALSE)-50))</f>
        <v>921</v>
      </c>
      <c r="AM325" s="28" t="str">
        <f>VLOOKUP(A325,Classification!A:B,2,FALSE)</f>
        <v>B2</v>
      </c>
      <c r="AN325" s="28" t="b">
        <f t="shared" si="188"/>
        <v>1</v>
      </c>
      <c r="AO325" s="3" t="str">
        <f>IF(ISERROR(MATCH(A325,'SegEnds_Xtal_Prot#'!B:B, 0)), "NoXtal", "Xtal")</f>
        <v>NoXtal</v>
      </c>
      <c r="AP325" s="3" t="str">
        <f t="shared" si="173"/>
        <v>-</v>
      </c>
      <c r="AQ325" s="3" t="str">
        <f t="shared" si="174"/>
        <v>-</v>
      </c>
      <c r="AR325" s="3" t="str">
        <f t="shared" si="175"/>
        <v>-</v>
      </c>
      <c r="AS325" s="3" t="str">
        <f t="shared" si="176"/>
        <v>-</v>
      </c>
      <c r="AT325" s="3" t="str">
        <f t="shared" si="177"/>
        <v>-</v>
      </c>
      <c r="AU325" s="3" t="str">
        <f t="shared" si="178"/>
        <v>-</v>
      </c>
      <c r="AV325" s="3">
        <f t="shared" si="179"/>
        <v>6</v>
      </c>
      <c r="AW325" s="3">
        <f t="shared" si="180"/>
        <v>3</v>
      </c>
      <c r="AX325" s="3">
        <f t="shared" si="181"/>
        <v>26</v>
      </c>
      <c r="AY325" s="3">
        <f t="shared" si="182"/>
        <v>3</v>
      </c>
      <c r="AZ325" s="3">
        <f t="shared" si="183"/>
        <v>1</v>
      </c>
      <c r="BA325" s="3">
        <f>IF(ISERROR(LEN(VLOOKUP(A325,Seqs!A:E,2,FALSE))-AL325),"-",LEN(VLOOKUP(A325,Seqs!A:E,2,FALSE))-AL325)</f>
        <v>42</v>
      </c>
      <c r="BB325" s="16">
        <f t="shared" si="184"/>
        <v>28</v>
      </c>
      <c r="BC325" s="9" t="str">
        <f t="shared" si="185"/>
        <v>-</v>
      </c>
      <c r="BD325" s="3">
        <f t="shared" si="186"/>
        <v>28</v>
      </c>
      <c r="BE325" s="3">
        <f t="shared" si="187"/>
        <v>66</v>
      </c>
    </row>
    <row r="326" spans="1:59" s="3" customFormat="1" x14ac:dyDescent="0.2">
      <c r="A326" s="3" t="s">
        <v>1177</v>
      </c>
      <c r="B326" s="3" t="str">
        <f>LOWER(VLOOKUP(A326,Xtal_Templ!A:B,2,FALSE))</f>
        <v>pth1r_human</v>
      </c>
      <c r="C326" s="3">
        <f>VLOOKUP($A326,'SegEnds_NonXtal_BW#'!$A:$Z,3,FALSE)+D326-50</f>
        <v>590</v>
      </c>
      <c r="D326" s="3">
        <v>617</v>
      </c>
      <c r="E326" s="3">
        <f>IF(ISERROR(VLOOKUP($A326,'SegEnds_NonXtal_BW#'!$A:$Z,4,FALSE)+VLOOKUP($A326,A:AL,4,FALSE)-50),"-",(VLOOKUP($A326,'SegEnds_NonXtal_BW#'!$A:$Z,4,FALSE)+VLOOKUP($A326,A:AL,4,FALSE)-50))</f>
        <v>627</v>
      </c>
      <c r="F326" s="3" t="s">
        <v>23</v>
      </c>
      <c r="G326" s="3" t="s">
        <v>23</v>
      </c>
      <c r="H326" s="3" t="s">
        <v>23</v>
      </c>
      <c r="I326" s="3">
        <f>VLOOKUP($A326,'SegEnds_NonXtal_BW#'!$A:$Z,7,FALSE)+J326-50</f>
        <v>632</v>
      </c>
      <c r="J326" s="3">
        <v>645</v>
      </c>
      <c r="K326" s="3">
        <f>VLOOKUP($A326,'SegEnds_NonXtal_BW#'!$A:$Z,8,FALSE)+VLOOKUP($A326,A:AL,10,FALSE)-50</f>
        <v>658</v>
      </c>
      <c r="L326" s="3" t="str">
        <f>IF(ISERROR(VLOOKUP($A326,'SegEnds_NonXtal_BW#'!$A:$Z,9,FALSE)+VLOOKUP($A326,A:AL,13,FALSE)-50),"-",(VLOOKUP($A326,'SegEnds_NonXtal_BW#'!$A:$Z,9,FALSE)+VLOOKUP($A326,A:AL,13,FALSE)-50))</f>
        <v>-</v>
      </c>
      <c r="M326" s="3" t="s">
        <v>23</v>
      </c>
      <c r="N326" s="3" t="str">
        <f>IF(ISERROR(VLOOKUP($A326,'SegEnds_NonXtal_BW#'!$A:$Z,10,FALSE)+VLOOKUP($A326,A:AL,13,FALSE)-50),"-",(VLOOKUP($A326,'SegEnds_NonXtal_BW#'!$A:$Z,10,FALSE)+VLOOKUP($A326,A:AL,13,FALSE)-50))</f>
        <v>-</v>
      </c>
      <c r="O326" s="3">
        <f>VLOOKUP($A326,'SegEnds_NonXtal_BW#'!$A:$Z,11,FALSE)+VLOOKUP($A326,A:AL,16,FALSE)-50</f>
        <v>663</v>
      </c>
      <c r="P326" s="3">
        <v>690</v>
      </c>
      <c r="Q326" s="3">
        <f>VLOOKUP($A326,'SegEnds_NonXtal_BW#'!$A:$Z,12,FALSE)+VLOOKUP($A326,A:AL,16,FALSE)-50</f>
        <v>696</v>
      </c>
      <c r="R326" s="3" t="str">
        <f>IF(ISERROR(VLOOKUP($A326,'SegEnds_NonXtal_BW#'!$A:$Z,13,FALSE)+VLOOKUP($A326,A:AL,19,FALSE)-50),"-",VLOOKUP($A326,'SegEnds_NonXtal_BW#'!$A:$Z,13,FALSE)+VLOOKUP($A326,A:AL,19,FALSE)-50)</f>
        <v>-</v>
      </c>
      <c r="S326" s="3" t="s">
        <v>23</v>
      </c>
      <c r="T326" s="100" t="str">
        <f>IF(ISERROR(VLOOKUP($A326,'SegEnds_NonXtal_BW#'!$A:$Z,14,FALSE)+VLOOKUP($A326,A:AL,19,FALSE)-50),"-",(VLOOKUP($A326,'SegEnds_NonXtal_BW#'!$A:$Z,14,FALSE)+VLOOKUP($A326,A:AL,19,FALSE)-50))</f>
        <v>-</v>
      </c>
      <c r="U326" s="9">
        <f>IF(ISERROR(VLOOKUP($A326,'SegEnds_NonXtal_BW#'!$A:$Z,15,FALSE)+VLOOKUP($A326,A:AL,22,FALSE)-50),"-",VLOOKUP($A326,'SegEnds_NonXtal_BW#'!$A:$Z,15,FALSE)+VLOOKUP($A326,A:AL,22,FALSE)-50)</f>
        <v>705</v>
      </c>
      <c r="V326" s="3">
        <v>718</v>
      </c>
      <c r="W326" s="3">
        <f>IF(ISERROR(VLOOKUP($A326,'SegEnds_NonXtal_BW#'!$A:$Z,16,FALSE)+VLOOKUP($A326,A:AL,22,FALSE)-50),"-",(VLOOKUP($A326,'SegEnds_NonXtal_BW#'!$A:$Z,16,FALSE)+VLOOKUP($A326,A:AL,22,FALSE)-50))</f>
        <v>736</v>
      </c>
      <c r="X326" s="3">
        <f>IF(ISERROR(VLOOKUP($A326,'SegEnds_NonXtal_BW#'!$A:$Z,17,FALSE)+VLOOKUP($A326,A:AL,25,FALSE)-50),"-",(VLOOKUP($A326,'SegEnds_NonXtal_BW#'!$A:$Z,17,FALSE)+VLOOKUP($A326,A:AL,25,FALSE)-50))</f>
        <v>742</v>
      </c>
      <c r="Y326" s="3">
        <v>742</v>
      </c>
      <c r="Z326" s="3">
        <f t="shared" si="197"/>
        <v>744</v>
      </c>
      <c r="AA326" s="3">
        <f>IF(ISERROR(VLOOKUP($A326,'SegEnds_NonXtal_BW#'!$A:$Z,19,FALSE)+VLOOKUP($A326,A:AL,28,FALSE)-50),"-",(VLOOKUP($A326,'SegEnds_NonXtal_BW#'!$A:$Z,19,FALSE)+VLOOKUP($A326,A:AL,28,FALSE)-50))</f>
        <v>747</v>
      </c>
      <c r="AB326" s="3">
        <v>761</v>
      </c>
      <c r="AC326" s="3">
        <f>IF(ISERROR((VLOOKUP($A326,'SegEnds_NonXtal_BW#'!$A:$Z,20,FALSE)+VLOOKUP($A326,A:AL,28,FALSE)-50)),"-",(VLOOKUP($A326,'SegEnds_NonXtal_BW#'!$A:$Z,20,FALSE)+VLOOKUP($A326,A:AL,28,FALSE)-50))</f>
        <v>780</v>
      </c>
      <c r="AD326" s="3">
        <f>IF(ISERROR(VLOOKUP($A326,'SegEnds_NonXtal_BW#'!$A:$Z,21,FALSE)+VLOOKUP($A326,A:AL,31,FALSE)-50),"-",(VLOOKUP($A326,'SegEnds_NonXtal_BW#'!$A:$Z,21,FALSE)+VLOOKUP($A326,A:AL,31,FALSE)-50))</f>
        <v>792</v>
      </c>
      <c r="AE326" s="3">
        <v>813</v>
      </c>
      <c r="AF326" s="3">
        <f>IF(ISERROR((VLOOKUP($A326,'SegEnds_NonXtal_BW#'!$A:$Z,22,FALSE)+VLOOKUP($A326,A:AL,31,FALSE)-50)),"-",(VLOOKUP($A326,'SegEnds_NonXtal_BW#'!$A:$Z,22,FALSE)+VLOOKUP($A326,A:AL,31,FALSE)-50))</f>
        <v>817</v>
      </c>
      <c r="AG326" s="3">
        <f>IF(ISERROR(VLOOKUP($A326,'SegEnds_NonXtal_BW#'!$A:$Z,23,FALSE)+VLOOKUP($A326,A:AL,34,FALSE)-50),"-",(VLOOKUP($A326,'SegEnds_NonXtal_BW#'!$A:$Z,23,FALSE)+VLOOKUP($A326,A:AL,34,FALSE)-50))</f>
        <v>822</v>
      </c>
      <c r="AH326" s="3">
        <v>841</v>
      </c>
      <c r="AI326" s="3">
        <f>IF(ISERROR((VLOOKUP($A326,'SegEnds_NonXtal_BW#'!$A:$Z,24,FALSE)+VLOOKUP($A326,A:AL,34,FALSE)-50)),"-",(VLOOKUP($A326,'SegEnds_NonXtal_BW#'!$A:$Z,24,FALSE)+VLOOKUP($A326,A:AL,34,FALSE)-50))</f>
        <v>847</v>
      </c>
      <c r="AJ326" s="3">
        <f>IF(ISERROR(VLOOKUP($A326,'SegEnds_NonXtal_BW#'!$A:$Z,25,FALSE)+VLOOKUP($A326,A:AL,37,FALSE)-50),"-",(VLOOKUP($A326,'SegEnds_NonXtal_BW#'!$A:$Z,25,FALSE)+VLOOKUP($A326,A:AL,37,FALSE)-50))</f>
        <v>848</v>
      </c>
      <c r="AK326" s="3">
        <v>851</v>
      </c>
      <c r="AL326" s="3">
        <f>IF(ISERROR((VLOOKUP($A326,'SegEnds_NonXtal_BW#'!$A:$Z,26,FALSE)+VLOOKUP($A326,A:AL,37,FALSE)-50)),"-",(VLOOKUP($A326,'SegEnds_NonXtal_BW#'!$A:$Z,26,FALSE)+VLOOKUP($A326,A:AL,37,FALSE)-50))</f>
        <v>864</v>
      </c>
      <c r="AM326" s="28" t="str">
        <f>VLOOKUP(A326,Classification!A:B,2,FALSE)</f>
        <v>B2</v>
      </c>
      <c r="AN326" s="28" t="b">
        <f t="shared" si="188"/>
        <v>1</v>
      </c>
      <c r="AO326" s="3" t="str">
        <f>IF(ISERROR(MATCH(A326,'SegEnds_Xtal_Prot#'!B:B, 0)), "NoXtal", "Xtal")</f>
        <v>NoXtal</v>
      </c>
      <c r="AP326" s="3" t="str">
        <f t="shared" si="173"/>
        <v>-</v>
      </c>
      <c r="AQ326" s="3" t="str">
        <f t="shared" si="174"/>
        <v>-</v>
      </c>
      <c r="AR326" s="3" t="str">
        <f t="shared" si="175"/>
        <v>-</v>
      </c>
      <c r="AS326" s="3" t="str">
        <f t="shared" si="176"/>
        <v>-</v>
      </c>
      <c r="AT326" s="3" t="str">
        <f t="shared" si="177"/>
        <v>-</v>
      </c>
      <c r="AU326" s="3" t="str">
        <f t="shared" si="178"/>
        <v>-</v>
      </c>
      <c r="AV326" s="3">
        <f t="shared" si="179"/>
        <v>6</v>
      </c>
      <c r="AW326" s="3">
        <f t="shared" si="180"/>
        <v>3</v>
      </c>
      <c r="AX326" s="3">
        <f t="shared" si="181"/>
        <v>12</v>
      </c>
      <c r="AY326" s="3">
        <f t="shared" si="182"/>
        <v>5</v>
      </c>
      <c r="AZ326" s="3">
        <f t="shared" si="183"/>
        <v>1</v>
      </c>
      <c r="BA326" s="3">
        <f>IF(ISERROR(LEN(VLOOKUP(A326,Seqs!A:E,2,FALSE))-AL326),"-",LEN(VLOOKUP(A326,Seqs!A:E,2,FALSE))-AL326)</f>
        <v>22</v>
      </c>
      <c r="BB326" s="16">
        <f t="shared" si="184"/>
        <v>28</v>
      </c>
      <c r="BC326" s="9" t="str">
        <f t="shared" si="185"/>
        <v>-</v>
      </c>
      <c r="BD326" s="3">
        <f t="shared" si="186"/>
        <v>28</v>
      </c>
      <c r="BE326" s="3">
        <f t="shared" si="187"/>
        <v>52</v>
      </c>
      <c r="BF326" s="3">
        <f>AH326-AE326</f>
        <v>28</v>
      </c>
    </row>
    <row r="327" spans="1:59" s="3" customFormat="1" x14ac:dyDescent="0.2">
      <c r="A327" s="3" t="s">
        <v>1178</v>
      </c>
      <c r="B327" s="3" t="str">
        <f>LOWER(VLOOKUP(A327,Xtal_Templ!A:B,2,FALSE))</f>
        <v>glp1r_human</v>
      </c>
      <c r="C327" s="3">
        <f>VLOOKUP($A327,'SegEnds_NonXtal_BW#'!$A:$Z,3,FALSE)+D327-50</f>
        <v>524</v>
      </c>
      <c r="D327" s="3">
        <v>551</v>
      </c>
      <c r="E327" s="3">
        <f>IF(ISERROR(VLOOKUP($A327,'SegEnds_NonXtal_BW#'!$A:$Z,4,FALSE)+VLOOKUP($A327,A:AL,4,FALSE)-50),"-",(VLOOKUP($A327,'SegEnds_NonXtal_BW#'!$A:$Z,4,FALSE)+VLOOKUP($A327,A:AL,4,FALSE)-50))</f>
        <v>561</v>
      </c>
      <c r="F327" s="3">
        <f>G327-2</f>
        <v>562</v>
      </c>
      <c r="G327" s="3">
        <v>564</v>
      </c>
      <c r="H327" s="3">
        <f t="shared" ref="H327:I329" si="203">G327+1</f>
        <v>565</v>
      </c>
      <c r="I327" s="3">
        <f t="shared" si="203"/>
        <v>566</v>
      </c>
      <c r="J327" s="3">
        <v>579</v>
      </c>
      <c r="K327" s="3">
        <f>VLOOKUP($A327,'SegEnds_NonXtal_BW#'!$A:$Z,8,FALSE)+VLOOKUP($A327,A:AL,10,FALSE)-50</f>
        <v>592</v>
      </c>
      <c r="L327" s="3" t="str">
        <f>IF(ISERROR(VLOOKUP($A327,'SegEnds_NonXtal_BW#'!$A:$Z,9,FALSE)+VLOOKUP($A327,A:AL,13,FALSE)-50),"-",(VLOOKUP($A327,'SegEnds_NonXtal_BW#'!$A:$Z,9,FALSE)+VLOOKUP($A327,A:AL,13,FALSE)-50))</f>
        <v>-</v>
      </c>
      <c r="M327" s="3" t="s">
        <v>23</v>
      </c>
      <c r="N327" s="3" t="str">
        <f>IF(ISERROR(VLOOKUP($A327,'SegEnds_NonXtal_BW#'!$A:$Z,10,FALSE)+VLOOKUP($A327,A:AL,13,FALSE)-50),"-",(VLOOKUP($A327,'SegEnds_NonXtal_BW#'!$A:$Z,10,FALSE)+VLOOKUP($A327,A:AL,13,FALSE)-50))</f>
        <v>-</v>
      </c>
      <c r="O327" s="3">
        <f>VLOOKUP($A327,'SegEnds_NonXtal_BW#'!$A:$Z,11,FALSE)+VLOOKUP($A327,A:AL,16,FALSE)-50</f>
        <v>597</v>
      </c>
      <c r="P327" s="3">
        <v>624</v>
      </c>
      <c r="Q327" s="3">
        <f>VLOOKUP($A327,'SegEnds_NonXtal_BW#'!$A:$Z,12,FALSE)+VLOOKUP($A327,A:AL,16,FALSE)-50</f>
        <v>630</v>
      </c>
      <c r="R327" s="3" t="str">
        <f>IF(ISERROR(VLOOKUP($A327,'SegEnds_NonXtal_BW#'!$A:$Z,13,FALSE)+VLOOKUP($A327,A:AL,19,FALSE)-50),"-",VLOOKUP($A327,'SegEnds_NonXtal_BW#'!$A:$Z,13,FALSE)+VLOOKUP($A327,A:AL,19,FALSE)-50)</f>
        <v>-</v>
      </c>
      <c r="S327" s="3" t="s">
        <v>23</v>
      </c>
      <c r="T327" s="100" t="str">
        <f>IF(ISERROR(VLOOKUP($A327,'SegEnds_NonXtal_BW#'!$A:$Z,14,FALSE)+VLOOKUP($A327,A:AL,19,FALSE)-50),"-",(VLOOKUP($A327,'SegEnds_NonXtal_BW#'!$A:$Z,14,FALSE)+VLOOKUP($A327,A:AL,19,FALSE)-50))</f>
        <v>-</v>
      </c>
      <c r="U327" s="9">
        <f>IF(ISERROR(VLOOKUP($A327,'SegEnds_NonXtal_BW#'!$A:$Z,15,FALSE)+VLOOKUP($A327,A:AL,22,FALSE)-50),"-",VLOOKUP($A327,'SegEnds_NonXtal_BW#'!$A:$Z,15,FALSE)+VLOOKUP($A327,A:AL,22,FALSE)-50)</f>
        <v>640</v>
      </c>
      <c r="V327" s="3">
        <v>652</v>
      </c>
      <c r="W327" s="3">
        <f>IF(ISERROR(VLOOKUP($A327,'SegEnds_NonXtal_BW#'!$A:$Z,16,FALSE)+VLOOKUP($A327,A:AL,22,FALSE)-50),"-",(VLOOKUP($A327,'SegEnds_NonXtal_BW#'!$A:$Z,16,FALSE)+VLOOKUP($A327,A:AL,22,FALSE)-50))</f>
        <v>670</v>
      </c>
      <c r="X327" s="3">
        <f>IF(ISERROR(VLOOKUP($A327,'SegEnds_NonXtal_BW#'!$A:$Z,17,FALSE)+VLOOKUP($A327,A:AL,25,FALSE)-50),"-",(VLOOKUP($A327,'SegEnds_NonXtal_BW#'!$A:$Z,17,FALSE)+VLOOKUP($A327,A:AL,25,FALSE)-50))</f>
        <v>676</v>
      </c>
      <c r="Y327" s="3">
        <v>676</v>
      </c>
      <c r="Z327" s="3">
        <f t="shared" si="197"/>
        <v>678</v>
      </c>
      <c r="AA327" s="3">
        <f>IF(ISERROR(VLOOKUP($A327,'SegEnds_NonXtal_BW#'!$A:$Z,19,FALSE)+VLOOKUP($A327,A:AL,28,FALSE)-50),"-",(VLOOKUP($A327,'SegEnds_NonXtal_BW#'!$A:$Z,19,FALSE)+VLOOKUP($A327,A:AL,28,FALSE)-50))</f>
        <v>681</v>
      </c>
      <c r="AB327" s="3">
        <v>695</v>
      </c>
      <c r="AC327" s="3">
        <f>IF(ISERROR((VLOOKUP($A327,'SegEnds_NonXtal_BW#'!$A:$Z,20,FALSE)+VLOOKUP($A327,A:AL,28,FALSE)-50)),"-",(VLOOKUP($A327,'SegEnds_NonXtal_BW#'!$A:$Z,20,FALSE)+VLOOKUP($A327,A:AL,28,FALSE)-50))</f>
        <v>714</v>
      </c>
      <c r="AD327" s="3">
        <f>IF(ISERROR(VLOOKUP($A327,'SegEnds_NonXtal_BW#'!$A:$Z,21,FALSE)+VLOOKUP($A327,A:AL,31,FALSE)-50),"-",(VLOOKUP($A327,'SegEnds_NonXtal_BW#'!$A:$Z,21,FALSE)+VLOOKUP($A327,A:AL,31,FALSE)-50))</f>
        <v>726</v>
      </c>
      <c r="AE327" s="3">
        <v>747</v>
      </c>
      <c r="AF327" s="3">
        <f>IF(ISERROR((VLOOKUP($A327,'SegEnds_NonXtal_BW#'!$A:$Z,22,FALSE)+VLOOKUP($A327,A:AL,31,FALSE)-50)),"-",(VLOOKUP($A327,'SegEnds_NonXtal_BW#'!$A:$Z,22,FALSE)+VLOOKUP($A327,A:AL,31,FALSE)-50))</f>
        <v>750</v>
      </c>
      <c r="AG327" s="3">
        <f>IF(ISERROR(VLOOKUP($A327,'SegEnds_NonXtal_BW#'!$A:$Z,23,FALSE)+VLOOKUP($A327,A:AL,34,FALSE)-50),"-",(VLOOKUP($A327,'SegEnds_NonXtal_BW#'!$A:$Z,23,FALSE)+VLOOKUP($A327,A:AL,34,FALSE)-50))</f>
        <v>756</v>
      </c>
      <c r="AH327" s="3">
        <v>775</v>
      </c>
      <c r="AI327" s="3">
        <f>IF(ISERROR((VLOOKUP($A327,'SegEnds_NonXtal_BW#'!$A:$Z,24,FALSE)+VLOOKUP($A327,A:AL,34,FALSE)-50)),"-",(VLOOKUP($A327,'SegEnds_NonXtal_BW#'!$A:$Z,24,FALSE)+VLOOKUP($A327,A:AL,34,FALSE)-50))</f>
        <v>781</v>
      </c>
      <c r="AJ327" s="3">
        <f>IF(ISERROR(VLOOKUP($A327,'SegEnds_NonXtal_BW#'!$A:$Z,25,FALSE)+VLOOKUP($A327,A:AL,37,FALSE)-50),"-",(VLOOKUP($A327,'SegEnds_NonXtal_BW#'!$A:$Z,25,FALSE)+VLOOKUP($A327,A:AL,37,FALSE)-50))</f>
        <v>782</v>
      </c>
      <c r="AK327" s="3">
        <v>785</v>
      </c>
      <c r="AL327" s="3">
        <f>IF(ISERROR((VLOOKUP($A327,'SegEnds_NonXtal_BW#'!$A:$Z,26,FALSE)+VLOOKUP($A327,A:AL,37,FALSE)-50)),"-",(VLOOKUP($A327,'SegEnds_NonXtal_BW#'!$A:$Z,26,FALSE)+VLOOKUP($A327,A:AL,37,FALSE)-50))</f>
        <v>798</v>
      </c>
      <c r="AM327" s="28" t="str">
        <f>VLOOKUP(A327,Classification!A:B,2,FALSE)</f>
        <v>B2</v>
      </c>
      <c r="AN327" s="28" t="b">
        <f t="shared" si="188"/>
        <v>1</v>
      </c>
      <c r="AO327" s="3" t="str">
        <f>IF(ISERROR(MATCH(A327,'SegEnds_Xtal_Prot#'!B:B, 0)), "NoXtal", "Xtal")</f>
        <v>NoXtal</v>
      </c>
      <c r="AP327" s="3">
        <f t="shared" si="173"/>
        <v>1</v>
      </c>
      <c r="AQ327" s="3">
        <f t="shared" si="174"/>
        <v>1</v>
      </c>
      <c r="AR327" s="3" t="str">
        <f t="shared" si="175"/>
        <v>-</v>
      </c>
      <c r="AS327" s="3" t="str">
        <f t="shared" si="176"/>
        <v>-</v>
      </c>
      <c r="AT327" s="3" t="str">
        <f t="shared" si="177"/>
        <v>-</v>
      </c>
      <c r="AU327" s="3" t="str">
        <f t="shared" si="178"/>
        <v>-</v>
      </c>
      <c r="AV327" s="3">
        <f t="shared" si="179"/>
        <v>6</v>
      </c>
      <c r="AW327" s="3">
        <f t="shared" si="180"/>
        <v>3</v>
      </c>
      <c r="AX327" s="3">
        <f t="shared" si="181"/>
        <v>12</v>
      </c>
      <c r="AY327" s="3">
        <f t="shared" si="182"/>
        <v>6</v>
      </c>
      <c r="AZ327" s="3">
        <f t="shared" si="183"/>
        <v>1</v>
      </c>
      <c r="BA327" s="3">
        <f>IF(ISERROR(LEN(VLOOKUP(A327,Seqs!A:E,2,FALSE))-AL327),"-",LEN(VLOOKUP(A327,Seqs!A:E,2,FALSE))-AL327)</f>
        <v>25</v>
      </c>
      <c r="BB327" s="16">
        <f t="shared" si="184"/>
        <v>28</v>
      </c>
      <c r="BC327" s="9" t="str">
        <f t="shared" si="185"/>
        <v>-</v>
      </c>
      <c r="BD327" s="3">
        <f t="shared" si="186"/>
        <v>28</v>
      </c>
      <c r="BE327" s="3">
        <f t="shared" si="187"/>
        <v>52</v>
      </c>
      <c r="BF327" s="3">
        <f>AH327-AE327</f>
        <v>28</v>
      </c>
    </row>
    <row r="328" spans="1:59" s="3" customFormat="1" x14ac:dyDescent="0.2">
      <c r="A328" s="3" t="s">
        <v>1179</v>
      </c>
      <c r="B328" s="3" t="str">
        <f>LOWER(VLOOKUP(A328,Xtal_Templ!A:B,2,FALSE))</f>
        <v>crfr1_human</v>
      </c>
      <c r="C328" s="3">
        <f>VLOOKUP($A328,'SegEnds_NonXtal_BW#'!$A:$Z,3,FALSE)+D328-50</f>
        <v>344</v>
      </c>
      <c r="D328" s="3">
        <v>371</v>
      </c>
      <c r="E328" s="3">
        <f>IF(ISERROR(VLOOKUP($A328,'SegEnds_NonXtal_BW#'!$A:$Z,4,FALSE)+VLOOKUP($A328,A:AL,4,FALSE)-50),"-",(VLOOKUP($A328,'SegEnds_NonXtal_BW#'!$A:$Z,4,FALSE)+VLOOKUP($A328,A:AL,4,FALSE)-50))</f>
        <v>381</v>
      </c>
      <c r="F328" s="3">
        <f>G328-2</f>
        <v>382</v>
      </c>
      <c r="G328" s="3">
        <v>384</v>
      </c>
      <c r="H328" s="3">
        <f t="shared" si="203"/>
        <v>385</v>
      </c>
      <c r="I328" s="3">
        <f t="shared" si="203"/>
        <v>386</v>
      </c>
      <c r="J328" s="3">
        <v>399</v>
      </c>
      <c r="K328" s="3">
        <f>VLOOKUP($A328,'SegEnds_NonXtal_BW#'!$A:$Z,8,FALSE)+VLOOKUP($A328,A:AL,10,FALSE)-50</f>
        <v>412</v>
      </c>
      <c r="L328" s="3" t="str">
        <f>IF(ISERROR(VLOOKUP($A328,'SegEnds_NonXtal_BW#'!$A:$Z,9,FALSE)+VLOOKUP($A328,A:AL,13,FALSE)-50),"-",(VLOOKUP($A328,'SegEnds_NonXtal_BW#'!$A:$Z,9,FALSE)+VLOOKUP($A328,A:AL,13,FALSE)-50))</f>
        <v>-</v>
      </c>
      <c r="M328" s="3" t="s">
        <v>23</v>
      </c>
      <c r="N328" s="3" t="str">
        <f>IF(ISERROR(VLOOKUP($A328,'SegEnds_NonXtal_BW#'!$A:$Z,10,FALSE)+VLOOKUP($A328,A:AL,13,FALSE)-50),"-",(VLOOKUP($A328,'SegEnds_NonXtal_BW#'!$A:$Z,10,FALSE)+VLOOKUP($A328,A:AL,13,FALSE)-50))</f>
        <v>-</v>
      </c>
      <c r="O328" s="3">
        <f>VLOOKUP($A328,'SegEnds_NonXtal_BW#'!$A:$Z,11,FALSE)+VLOOKUP($A328,A:AL,16,FALSE)-50</f>
        <v>417</v>
      </c>
      <c r="P328" s="3">
        <v>444</v>
      </c>
      <c r="Q328" s="3">
        <f>VLOOKUP($A328,'SegEnds_NonXtal_BW#'!$A:$Z,12,FALSE)+VLOOKUP($A328,A:AL,16,FALSE)-50</f>
        <v>450</v>
      </c>
      <c r="R328" s="3" t="str">
        <f>IF(ISERROR(VLOOKUP($A328,'SegEnds_NonXtal_BW#'!$A:$Z,13,FALSE)+VLOOKUP($A328,A:AL,19,FALSE)-50),"-",VLOOKUP($A328,'SegEnds_NonXtal_BW#'!$A:$Z,13,FALSE)+VLOOKUP($A328,A:AL,19,FALSE)-50)</f>
        <v>-</v>
      </c>
      <c r="S328" s="3" t="s">
        <v>23</v>
      </c>
      <c r="T328" s="100" t="str">
        <f>IF(ISERROR(VLOOKUP($A328,'SegEnds_NonXtal_BW#'!$A:$Z,14,FALSE)+VLOOKUP($A328,A:AL,19,FALSE)-50),"-",(VLOOKUP($A328,'SegEnds_NonXtal_BW#'!$A:$Z,14,FALSE)+VLOOKUP($A328,A:AL,19,FALSE)-50))</f>
        <v>-</v>
      </c>
      <c r="U328" s="9">
        <f>IF(ISERROR(VLOOKUP($A328,'SegEnds_NonXtal_BW#'!$A:$Z,15,FALSE)+VLOOKUP($A328,A:AL,22,FALSE)-50),"-",VLOOKUP($A328,'SegEnds_NonXtal_BW#'!$A:$Z,15,FALSE)+VLOOKUP($A328,A:AL,22,FALSE)-50)</f>
        <v>462</v>
      </c>
      <c r="V328" s="3">
        <v>472</v>
      </c>
      <c r="W328" s="3">
        <f>IF(ISERROR(VLOOKUP($A328,'SegEnds_NonXtal_BW#'!$A:$Z,16,FALSE)+VLOOKUP($A328,A:AL,22,FALSE)-50),"-",(VLOOKUP($A328,'SegEnds_NonXtal_BW#'!$A:$Z,16,FALSE)+VLOOKUP($A328,A:AL,22,FALSE)-50))</f>
        <v>490</v>
      </c>
      <c r="X328" s="3">
        <f>IF(ISERROR(VLOOKUP($A328,'SegEnds_NonXtal_BW#'!$A:$Z,17,FALSE)+VLOOKUP($A328,A:AL,25,FALSE)-50),"-",(VLOOKUP($A328,'SegEnds_NonXtal_BW#'!$A:$Z,17,FALSE)+VLOOKUP($A328,A:AL,25,FALSE)-50))</f>
        <v>496</v>
      </c>
      <c r="Y328" s="3">
        <v>496</v>
      </c>
      <c r="Z328" s="3">
        <f t="shared" si="197"/>
        <v>498</v>
      </c>
      <c r="AA328" s="3">
        <f>IF(ISERROR(VLOOKUP($A328,'SegEnds_NonXtal_BW#'!$A:$Z,19,FALSE)+VLOOKUP($A328,A:AL,28,FALSE)-50),"-",(VLOOKUP($A328,'SegEnds_NonXtal_BW#'!$A:$Z,19,FALSE)+VLOOKUP($A328,A:AL,28,FALSE)-50))</f>
        <v>501</v>
      </c>
      <c r="AB328" s="3">
        <v>515</v>
      </c>
      <c r="AC328" s="3">
        <f>IF(ISERROR((VLOOKUP($A328,'SegEnds_NonXtal_BW#'!$A:$Z,20,FALSE)+VLOOKUP($A328,A:AL,28,FALSE)-50)),"-",(VLOOKUP($A328,'SegEnds_NonXtal_BW#'!$A:$Z,20,FALSE)+VLOOKUP($A328,A:AL,28,FALSE)-50))</f>
        <v>534</v>
      </c>
      <c r="AD328" s="3">
        <f>IF(ISERROR(VLOOKUP($A328,'SegEnds_NonXtal_BW#'!$A:$Z,21,FALSE)+VLOOKUP($A328,A:AL,31,FALSE)-50),"-",(VLOOKUP($A328,'SegEnds_NonXtal_BW#'!$A:$Z,21,FALSE)+VLOOKUP($A328,A:AL,31,FALSE)-50))</f>
        <v>546</v>
      </c>
      <c r="AE328" s="3">
        <v>567</v>
      </c>
      <c r="AF328" s="3">
        <f>IF(ISERROR((VLOOKUP($A328,'SegEnds_NonXtal_BW#'!$A:$Z,22,FALSE)+VLOOKUP($A328,A:AL,31,FALSE)-50)),"-",(VLOOKUP($A328,'SegEnds_NonXtal_BW#'!$A:$Z,22,FALSE)+VLOOKUP($A328,A:AL,31,FALSE)-50))</f>
        <v>570</v>
      </c>
      <c r="AG328" s="3">
        <f>IF(ISERROR(VLOOKUP($A328,'SegEnds_NonXtal_BW#'!$A:$Z,23,FALSE)+VLOOKUP($A328,A:AL,34,FALSE)-50),"-",(VLOOKUP($A328,'SegEnds_NonXtal_BW#'!$A:$Z,23,FALSE)+VLOOKUP($A328,A:AL,34,FALSE)-50))</f>
        <v>576</v>
      </c>
      <c r="AH328" s="3">
        <v>595</v>
      </c>
      <c r="AI328" s="3">
        <f>IF(ISERROR((VLOOKUP($A328,'SegEnds_NonXtal_BW#'!$A:$Z,24,FALSE)+VLOOKUP($A328,A:AL,34,FALSE)-50)),"-",(VLOOKUP($A328,'SegEnds_NonXtal_BW#'!$A:$Z,24,FALSE)+VLOOKUP($A328,A:AL,34,FALSE)-50))</f>
        <v>601</v>
      </c>
      <c r="AJ328" s="3">
        <f>IF(ISERROR(VLOOKUP($A328,'SegEnds_NonXtal_BW#'!$A:$Z,25,FALSE)+VLOOKUP($A328,A:AL,37,FALSE)-50),"-",(VLOOKUP($A328,'SegEnds_NonXtal_BW#'!$A:$Z,25,FALSE)+VLOOKUP($A328,A:AL,37,FALSE)-50))</f>
        <v>602</v>
      </c>
      <c r="AK328" s="3">
        <v>605</v>
      </c>
      <c r="AL328" s="3">
        <f>IF(ISERROR((VLOOKUP($A328,'SegEnds_NonXtal_BW#'!$A:$Z,26,FALSE)+VLOOKUP($A328,A:AL,37,FALSE)-50)),"-",(VLOOKUP($A328,'SegEnds_NonXtal_BW#'!$A:$Z,26,FALSE)+VLOOKUP($A328,A:AL,37,FALSE)-50))</f>
        <v>618</v>
      </c>
      <c r="AM328" s="28" t="str">
        <f>VLOOKUP(A328,Classification!A:B,2,FALSE)</f>
        <v>B2</v>
      </c>
      <c r="AN328" s="28" t="b">
        <f t="shared" si="188"/>
        <v>1</v>
      </c>
      <c r="AO328" s="3" t="str">
        <f>IF(ISERROR(MATCH(A328,'SegEnds_Xtal_Prot#'!B:B, 0)), "NoXtal", "Xtal")</f>
        <v>NoXtal</v>
      </c>
      <c r="AP328" s="3">
        <f t="shared" si="173"/>
        <v>1</v>
      </c>
      <c r="AQ328" s="3">
        <f t="shared" si="174"/>
        <v>1</v>
      </c>
      <c r="AR328" s="3" t="str">
        <f t="shared" si="175"/>
        <v>-</v>
      </c>
      <c r="AS328" s="3" t="str">
        <f t="shared" si="176"/>
        <v>-</v>
      </c>
      <c r="AT328" s="3" t="str">
        <f t="shared" si="177"/>
        <v>-</v>
      </c>
      <c r="AU328" s="3" t="str">
        <f t="shared" si="178"/>
        <v>-</v>
      </c>
      <c r="AV328" s="3">
        <f t="shared" si="179"/>
        <v>6</v>
      </c>
      <c r="AW328" s="3">
        <f t="shared" si="180"/>
        <v>3</v>
      </c>
      <c r="AX328" s="3">
        <f t="shared" si="181"/>
        <v>12</v>
      </c>
      <c r="AY328" s="3">
        <f t="shared" si="182"/>
        <v>6</v>
      </c>
      <c r="AZ328" s="3">
        <f t="shared" si="183"/>
        <v>1</v>
      </c>
      <c r="BA328" s="3">
        <f>IF(ISERROR(LEN(VLOOKUP(A328,Seqs!A:E,2,FALSE))-AL328),"-",LEN(VLOOKUP(A328,Seqs!A:E,2,FALSE))-AL328)</f>
        <v>34</v>
      </c>
      <c r="BB328" s="16">
        <f t="shared" si="184"/>
        <v>28</v>
      </c>
      <c r="BC328" s="9" t="str">
        <f t="shared" si="185"/>
        <v>-</v>
      </c>
      <c r="BD328" s="3">
        <f t="shared" si="186"/>
        <v>28</v>
      </c>
      <c r="BE328" s="3">
        <f t="shared" si="187"/>
        <v>52</v>
      </c>
      <c r="BF328" s="3">
        <f>AH328-AE328</f>
        <v>28</v>
      </c>
    </row>
    <row r="329" spans="1:59" s="3" customFormat="1" x14ac:dyDescent="0.2">
      <c r="A329" s="3" t="s">
        <v>1180</v>
      </c>
      <c r="B329" s="3" t="str">
        <f>LOWER(VLOOKUP(A329,Xtal_Templ!A:B,2,FALSE))</f>
        <v>crfr1_human</v>
      </c>
      <c r="C329" s="3">
        <f>VLOOKUP($A329,'SegEnds_NonXtal_BW#'!$A:$Z,3,FALSE)+D329-50</f>
        <v>178</v>
      </c>
      <c r="D329" s="3">
        <v>205</v>
      </c>
      <c r="E329" s="3">
        <f>IF(ISERROR(VLOOKUP($A329,'SegEnds_NonXtal_BW#'!$A:$Z,4,FALSE)+VLOOKUP($A329,A:AL,4,FALSE)-50),"-",(VLOOKUP($A329,'SegEnds_NonXtal_BW#'!$A:$Z,4,FALSE)+VLOOKUP($A329,A:AL,4,FALSE)-50))</f>
        <v>215</v>
      </c>
      <c r="F329" s="3">
        <f>G329-2</f>
        <v>216</v>
      </c>
      <c r="G329" s="3">
        <v>218</v>
      </c>
      <c r="H329" s="3">
        <f t="shared" si="203"/>
        <v>219</v>
      </c>
      <c r="I329" s="3">
        <f t="shared" si="203"/>
        <v>220</v>
      </c>
      <c r="J329" s="3">
        <v>233</v>
      </c>
      <c r="K329" s="3">
        <f>VLOOKUP($A329,'SegEnds_NonXtal_BW#'!$A:$Z,8,FALSE)+VLOOKUP($A329,A:AL,10,FALSE)-50</f>
        <v>246</v>
      </c>
      <c r="L329" s="3" t="str">
        <f>IF(ISERROR(VLOOKUP($A329,'SegEnds_NonXtal_BW#'!$A:$Z,9,FALSE)+VLOOKUP($A329,A:AL,13,FALSE)-50),"-",(VLOOKUP($A329,'SegEnds_NonXtal_BW#'!$A:$Z,9,FALSE)+VLOOKUP($A329,A:AL,13,FALSE)-50))</f>
        <v>-</v>
      </c>
      <c r="M329" s="3" t="s">
        <v>23</v>
      </c>
      <c r="N329" s="3" t="str">
        <f>IF(ISERROR(VLOOKUP($A329,'SegEnds_NonXtal_BW#'!$A:$Z,10,FALSE)+VLOOKUP($A329,A:AL,13,FALSE)-50),"-",(VLOOKUP($A329,'SegEnds_NonXtal_BW#'!$A:$Z,10,FALSE)+VLOOKUP($A329,A:AL,13,FALSE)-50))</f>
        <v>-</v>
      </c>
      <c r="O329" s="3">
        <f>VLOOKUP($A329,'SegEnds_NonXtal_BW#'!$A:$Z,11,FALSE)+VLOOKUP($A329,A:AL,16,FALSE)-50</f>
        <v>251</v>
      </c>
      <c r="P329" s="3">
        <v>278</v>
      </c>
      <c r="Q329" s="3">
        <f>VLOOKUP($A329,'SegEnds_NonXtal_BW#'!$A:$Z,12,FALSE)+VLOOKUP($A329,A:AL,16,FALSE)-50</f>
        <v>284</v>
      </c>
      <c r="R329" s="3" t="str">
        <f>IF(ISERROR(VLOOKUP($A329,'SegEnds_NonXtal_BW#'!$A:$Z,13,FALSE)+VLOOKUP($A329,A:AL,19,FALSE)-50),"-",VLOOKUP($A329,'SegEnds_NonXtal_BW#'!$A:$Z,13,FALSE)+VLOOKUP($A329,A:AL,19,FALSE)-50)</f>
        <v>-</v>
      </c>
      <c r="S329" s="3" t="s">
        <v>23</v>
      </c>
      <c r="T329" s="100" t="str">
        <f>IF(ISERROR(VLOOKUP($A329,'SegEnds_NonXtal_BW#'!$A:$Z,14,FALSE)+VLOOKUP($A329,A:AL,19,FALSE)-50),"-",(VLOOKUP($A329,'SegEnds_NonXtal_BW#'!$A:$Z,14,FALSE)+VLOOKUP($A329,A:AL,19,FALSE)-50))</f>
        <v>-</v>
      </c>
      <c r="U329" s="9">
        <f>IF(ISERROR(VLOOKUP($A329,'SegEnds_NonXtal_BW#'!$A:$Z,15,FALSE)+VLOOKUP($A329,A:AL,22,FALSE)-50),"-",VLOOKUP($A329,'SegEnds_NonXtal_BW#'!$A:$Z,15,FALSE)+VLOOKUP($A329,A:AL,22,FALSE)-50)</f>
        <v>296</v>
      </c>
      <c r="V329" s="3">
        <v>306</v>
      </c>
      <c r="W329" s="3">
        <f>IF(ISERROR(VLOOKUP($A329,'SegEnds_NonXtal_BW#'!$A:$Z,16,FALSE)+VLOOKUP($A329,A:AL,22,FALSE)-50),"-",(VLOOKUP($A329,'SegEnds_NonXtal_BW#'!$A:$Z,16,FALSE)+VLOOKUP($A329,A:AL,22,FALSE)-50))</f>
        <v>324</v>
      </c>
      <c r="X329" s="3">
        <f>IF(ISERROR(VLOOKUP($A329,'SegEnds_NonXtal_BW#'!$A:$Z,17,FALSE)+VLOOKUP($A329,A:AL,25,FALSE)-50),"-",(VLOOKUP($A329,'SegEnds_NonXtal_BW#'!$A:$Z,17,FALSE)+VLOOKUP($A329,A:AL,25,FALSE)-50))</f>
        <v>329</v>
      </c>
      <c r="Y329" s="3">
        <v>329</v>
      </c>
      <c r="Z329" s="3">
        <f t="shared" ref="Z329:Z354" si="204">Y329+2</f>
        <v>331</v>
      </c>
      <c r="AA329" s="3">
        <f>IF(ISERROR(VLOOKUP($A329,'SegEnds_NonXtal_BW#'!$A:$Z,19,FALSE)+VLOOKUP($A329,A:AL,28,FALSE)-50),"-",(VLOOKUP($A329,'SegEnds_NonXtal_BW#'!$A:$Z,19,FALSE)+VLOOKUP($A329,A:AL,28,FALSE)-50))</f>
        <v>334</v>
      </c>
      <c r="AB329" s="3">
        <v>348</v>
      </c>
      <c r="AC329" s="3">
        <f>IF(ISERROR((VLOOKUP($A329,'SegEnds_NonXtal_BW#'!$A:$Z,20,FALSE)+VLOOKUP($A329,A:AL,28,FALSE)-50)),"-",(VLOOKUP($A329,'SegEnds_NonXtal_BW#'!$A:$Z,20,FALSE)+VLOOKUP($A329,A:AL,28,FALSE)-50))</f>
        <v>367</v>
      </c>
      <c r="AD329" s="3">
        <f>IF(ISERROR(VLOOKUP($A329,'SegEnds_NonXtal_BW#'!$A:$Z,21,FALSE)+VLOOKUP($A329,A:AL,31,FALSE)-50),"-",(VLOOKUP($A329,'SegEnds_NonXtal_BW#'!$A:$Z,21,FALSE)+VLOOKUP($A329,A:AL,31,FALSE)-50))</f>
        <v>379</v>
      </c>
      <c r="AE329" s="3">
        <v>400</v>
      </c>
      <c r="AF329" s="3">
        <f>IF(ISERROR((VLOOKUP($A329,'SegEnds_NonXtal_BW#'!$A:$Z,22,FALSE)+VLOOKUP($A329,A:AL,31,FALSE)-50)),"-",(VLOOKUP($A329,'SegEnds_NonXtal_BW#'!$A:$Z,22,FALSE)+VLOOKUP($A329,A:AL,31,FALSE)-50))</f>
        <v>403</v>
      </c>
      <c r="AG329" s="3">
        <f>IF(ISERROR(VLOOKUP($A329,'SegEnds_NonXtal_BW#'!$A:$Z,23,FALSE)+VLOOKUP($A329,A:AL,34,FALSE)-50),"-",(VLOOKUP($A329,'SegEnds_NonXtal_BW#'!$A:$Z,23,FALSE)+VLOOKUP($A329,A:AL,34,FALSE)-50))</f>
        <v>410</v>
      </c>
      <c r="AH329" s="3">
        <v>432</v>
      </c>
      <c r="AI329" s="3">
        <f>IF(ISERROR((VLOOKUP($A329,'SegEnds_NonXtal_BW#'!$A:$Z,24,FALSE)+VLOOKUP($A329,A:AL,34,FALSE)-50)),"-",(VLOOKUP($A329,'SegEnds_NonXtal_BW#'!$A:$Z,24,FALSE)+VLOOKUP($A329,A:AL,34,FALSE)-50))</f>
        <v>438</v>
      </c>
      <c r="AJ329" s="3">
        <f>IF(ISERROR(VLOOKUP($A329,'SegEnds_NonXtal_BW#'!$A:$Z,25,FALSE)+VLOOKUP($A329,A:AL,37,FALSE)-50),"-",(VLOOKUP($A329,'SegEnds_NonXtal_BW#'!$A:$Z,25,FALSE)+VLOOKUP($A329,A:AL,37,FALSE)-50))</f>
        <v>439</v>
      </c>
      <c r="AK329" s="3">
        <v>442</v>
      </c>
      <c r="AL329" s="3">
        <f>IF(ISERROR((VLOOKUP($A329,'SegEnds_NonXtal_BW#'!$A:$Z,26,FALSE)+VLOOKUP($A329,A:AL,37,FALSE)-50)),"-",(VLOOKUP($A329,'SegEnds_NonXtal_BW#'!$A:$Z,26,FALSE)+VLOOKUP($A329,A:AL,37,FALSE)-50))</f>
        <v>455</v>
      </c>
      <c r="AM329" s="28" t="str">
        <f>VLOOKUP(A329,Classification!A:B,2,FALSE)</f>
        <v>B2</v>
      </c>
      <c r="AN329" s="28" t="b">
        <f t="shared" si="188"/>
        <v>1</v>
      </c>
      <c r="AO329" s="3" t="str">
        <f>IF(ISERROR(MATCH(A329,'SegEnds_Xtal_Prot#'!B:B, 0)), "NoXtal", "Xtal")</f>
        <v>NoXtal</v>
      </c>
      <c r="AP329" s="3">
        <f t="shared" ref="AP329:AP394" si="205">IF(ISERROR(F329-E329),"-",F329-E329)</f>
        <v>1</v>
      </c>
      <c r="AQ329" s="3">
        <f t="shared" ref="AQ329:AQ394" si="206">IF(ISERROR(I329-H329),"-",I329-H329)</f>
        <v>1</v>
      </c>
      <c r="AR329" s="3" t="str">
        <f t="shared" ref="AR329:AR394" si="207">IF(ISERROR(L329-K329),"-",L329-K329)</f>
        <v>-</v>
      </c>
      <c r="AS329" s="3" t="str">
        <f t="shared" ref="AS329:AS394" si="208">IF(ISERROR(O329-N329),"-",O329-N329)</f>
        <v>-</v>
      </c>
      <c r="AT329" s="3" t="str">
        <f t="shared" ref="AT329:AT394" si="209">IF(ISERROR(R329-Q329),"-",R329-Q329)</f>
        <v>-</v>
      </c>
      <c r="AU329" s="3" t="str">
        <f t="shared" ref="AU329:AU394" si="210">IF(ISERROR(U329-T329),"-",U329-T329)</f>
        <v>-</v>
      </c>
      <c r="AV329" s="3">
        <f t="shared" ref="AV329:AV394" si="211">IF(ISERROR(X329-W329),"-",X329-W329)</f>
        <v>5</v>
      </c>
      <c r="AW329" s="3">
        <f t="shared" ref="AW329:AW394" si="212">IF(ISERROR(AA329-Z329),"-",AA329-Z329)</f>
        <v>3</v>
      </c>
      <c r="AX329" s="3">
        <f t="shared" ref="AX329:AX394" si="213">IF(ISERROR(AD329-AC329),"-",AD329-AC329)</f>
        <v>12</v>
      </c>
      <c r="AY329" s="3">
        <f t="shared" ref="AY329:AY394" si="214">IF(ISERROR(AG329-AF329),"-",AG329-AF329)</f>
        <v>7</v>
      </c>
      <c r="AZ329" s="3">
        <f t="shared" ref="AZ329:AZ394" si="215">IF(ISERROR(AJ329-AI329),"-",AJ329-AI329)</f>
        <v>1</v>
      </c>
      <c r="BA329" s="3">
        <f>IF(ISERROR(LEN(VLOOKUP(A329,Seqs!A:E,2,FALSE))-AL329),"-",LEN(VLOOKUP(A329,Seqs!A:E,2,FALSE))-AL329)</f>
        <v>2</v>
      </c>
      <c r="BB329" s="16">
        <f t="shared" ref="BB329:BB394" si="216">J329-D329</f>
        <v>28</v>
      </c>
      <c r="BC329" s="9" t="str">
        <f t="shared" ref="BC329:BC394" si="217">IF(ISERROR(V329-S329),"-",V329-S329)</f>
        <v>-</v>
      </c>
      <c r="BD329" s="3">
        <f t="shared" ref="BD329:BD394" si="218">J329-D329</f>
        <v>28</v>
      </c>
      <c r="BE329" s="3">
        <f t="shared" ref="BE329:BE394" si="219">AE329-AB329</f>
        <v>52</v>
      </c>
      <c r="BF329" s="3">
        <f>AH329-AE329</f>
        <v>32</v>
      </c>
    </row>
    <row r="330" spans="1:59" s="3" customFormat="1" x14ac:dyDescent="0.2">
      <c r="A330" s="3" t="s">
        <v>1181</v>
      </c>
      <c r="B330" s="3" t="str">
        <f>LOWER(VLOOKUP(A330,Xtal_Templ!A:B,2,FALSE))</f>
        <v>pth1r_human</v>
      </c>
      <c r="C330" s="3">
        <f>VLOOKUP($A330,'SegEnds_NonXtal_BW#'!$A:$Z,3,FALSE)+D330-50</f>
        <v>573</v>
      </c>
      <c r="D330" s="3">
        <v>600</v>
      </c>
      <c r="E330" s="3">
        <f>IF(ISERROR(VLOOKUP($A330,'SegEnds_NonXtal_BW#'!$A:$Z,4,FALSE)+VLOOKUP($A330,A:AL,4,FALSE)-50),"-",(VLOOKUP($A330,'SegEnds_NonXtal_BW#'!$A:$Z,4,FALSE)+VLOOKUP($A330,A:AL,4,FALSE)-50))</f>
        <v>610</v>
      </c>
      <c r="F330" s="3" t="s">
        <v>23</v>
      </c>
      <c r="G330" s="3" t="s">
        <v>23</v>
      </c>
      <c r="H330" s="3" t="s">
        <v>23</v>
      </c>
      <c r="I330" s="3">
        <f>VLOOKUP($A330,'SegEnds_NonXtal_BW#'!$A:$Z,7,FALSE)+J330-50</f>
        <v>618</v>
      </c>
      <c r="J330" s="3">
        <v>631</v>
      </c>
      <c r="K330" s="3">
        <f>VLOOKUP($A330,'SegEnds_NonXtal_BW#'!$A:$Z,8,FALSE)+VLOOKUP($A330,A:AL,10,FALSE)-50</f>
        <v>644</v>
      </c>
      <c r="L330" s="3" t="str">
        <f>IF(ISERROR(VLOOKUP($A330,'SegEnds_NonXtal_BW#'!$A:$Z,9,FALSE)+VLOOKUP($A330,A:AL,13,FALSE)-50),"-",(VLOOKUP($A330,'SegEnds_NonXtal_BW#'!$A:$Z,9,FALSE)+VLOOKUP($A330,A:AL,13,FALSE)-50))</f>
        <v>-</v>
      </c>
      <c r="M330" s="3" t="s">
        <v>23</v>
      </c>
      <c r="N330" s="3" t="str">
        <f>IF(ISERROR(VLOOKUP($A330,'SegEnds_NonXtal_BW#'!$A:$Z,10,FALSE)+VLOOKUP($A330,A:AL,13,FALSE)-50),"-",(VLOOKUP($A330,'SegEnds_NonXtal_BW#'!$A:$Z,10,FALSE)+VLOOKUP($A330,A:AL,13,FALSE)-50))</f>
        <v>-</v>
      </c>
      <c r="O330" s="3">
        <f>VLOOKUP($A330,'SegEnds_NonXtal_BW#'!$A:$Z,11,FALSE)+VLOOKUP($A330,A:AL,16,FALSE)-50</f>
        <v>655</v>
      </c>
      <c r="P330" s="3">
        <v>682</v>
      </c>
      <c r="Q330" s="3">
        <f>VLOOKUP($A330,'SegEnds_NonXtal_BW#'!$A:$Z,12,FALSE)+VLOOKUP($A330,A:AL,16,FALSE)-50</f>
        <v>688</v>
      </c>
      <c r="R330" s="3" t="str">
        <f>IF(ISERROR(VLOOKUP($A330,'SegEnds_NonXtal_BW#'!$A:$Z,13,FALSE)+VLOOKUP($A330,A:AL,19,FALSE)-50),"-",VLOOKUP($A330,'SegEnds_NonXtal_BW#'!$A:$Z,13,FALSE)+VLOOKUP($A330,A:AL,19,FALSE)-50)</f>
        <v>-</v>
      </c>
      <c r="S330" s="3" t="s">
        <v>23</v>
      </c>
      <c r="T330" s="100" t="str">
        <f>IF(ISERROR(VLOOKUP($A330,'SegEnds_NonXtal_BW#'!$A:$Z,14,FALSE)+VLOOKUP($A330,A:AL,19,FALSE)-50),"-",(VLOOKUP($A330,'SegEnds_NonXtal_BW#'!$A:$Z,14,FALSE)+VLOOKUP($A330,A:AL,19,FALSE)-50))</f>
        <v>-</v>
      </c>
      <c r="U330" s="9">
        <f>IF(ISERROR(VLOOKUP($A330,'SegEnds_NonXtal_BW#'!$A:$Z,15,FALSE)+VLOOKUP($A330,A:AL,22,FALSE)-50),"-",VLOOKUP($A330,'SegEnds_NonXtal_BW#'!$A:$Z,15,FALSE)+VLOOKUP($A330,A:AL,22,FALSE)-50)</f>
        <v>694</v>
      </c>
      <c r="V330" s="3">
        <v>707</v>
      </c>
      <c r="W330" s="3">
        <f>IF(ISERROR(VLOOKUP($A330,'SegEnds_NonXtal_BW#'!$A:$Z,16,FALSE)+VLOOKUP($A330,A:AL,22,FALSE)-50),"-",(VLOOKUP($A330,'SegEnds_NonXtal_BW#'!$A:$Z,16,FALSE)+VLOOKUP($A330,A:AL,22,FALSE)-50))</f>
        <v>725</v>
      </c>
      <c r="X330" s="3">
        <f>IF(ISERROR(VLOOKUP($A330,'SegEnds_NonXtal_BW#'!$A:$Z,17,FALSE)+VLOOKUP($A330,A:AL,25,FALSE)-50),"-",(VLOOKUP($A330,'SegEnds_NonXtal_BW#'!$A:$Z,17,FALSE)+VLOOKUP($A330,A:AL,25,FALSE)-50))</f>
        <v>733</v>
      </c>
      <c r="Y330" s="3">
        <v>733</v>
      </c>
      <c r="Z330" s="3">
        <f t="shared" si="204"/>
        <v>735</v>
      </c>
      <c r="AA330" s="3">
        <f>IF(ISERROR(VLOOKUP($A330,'SegEnds_NonXtal_BW#'!$A:$Z,19,FALSE)+VLOOKUP($A330,A:AL,28,FALSE)-50),"-",(VLOOKUP($A330,'SegEnds_NonXtal_BW#'!$A:$Z,19,FALSE)+VLOOKUP($A330,A:AL,28,FALSE)-50))</f>
        <v>740</v>
      </c>
      <c r="AB330" s="3">
        <v>754</v>
      </c>
      <c r="AC330" s="3">
        <f>IF(ISERROR((VLOOKUP($A330,'SegEnds_NonXtal_BW#'!$A:$Z,20,FALSE)+VLOOKUP($A330,A:AL,28,FALSE)-50)),"-",(VLOOKUP($A330,'SegEnds_NonXtal_BW#'!$A:$Z,20,FALSE)+VLOOKUP($A330,A:AL,28,FALSE)-50))</f>
        <v>773</v>
      </c>
      <c r="AD330" s="3">
        <f>IF(ISERROR(VLOOKUP($A330,'SegEnds_NonXtal_BW#'!$A:$Z,21,FALSE)+VLOOKUP($A330,A:AL,31,FALSE)-50),"-",(VLOOKUP($A330,'SegEnds_NonXtal_BW#'!$A:$Z,21,FALSE)+VLOOKUP($A330,A:AL,31,FALSE)-50))</f>
        <v>785</v>
      </c>
      <c r="AE330" s="3">
        <v>806</v>
      </c>
      <c r="AF330" s="3">
        <f>IF(ISERROR((VLOOKUP($A330,'SegEnds_NonXtal_BW#'!$A:$Z,22,FALSE)+VLOOKUP($A330,A:AL,31,FALSE)-50)),"-",(VLOOKUP($A330,'SegEnds_NonXtal_BW#'!$A:$Z,22,FALSE)+VLOOKUP($A330,A:AL,31,FALSE)-50))</f>
        <v>810</v>
      </c>
      <c r="AG330" s="3">
        <f>IF(ISERROR(VLOOKUP($A330,'SegEnds_NonXtal_BW#'!$A:$Z,23,FALSE)+VLOOKUP($A330,A:AL,34,FALSE)-50),"-",(VLOOKUP($A330,'SegEnds_NonXtal_BW#'!$A:$Z,23,FALSE)+VLOOKUP($A330,A:AL,34,FALSE)-50))</f>
        <v>816</v>
      </c>
      <c r="AH330" s="3">
        <v>835</v>
      </c>
      <c r="AI330" s="3">
        <f>IF(ISERROR((VLOOKUP($A330,'SegEnds_NonXtal_BW#'!$A:$Z,24,FALSE)+VLOOKUP($A330,A:AL,34,FALSE)-50)),"-",(VLOOKUP($A330,'SegEnds_NonXtal_BW#'!$A:$Z,24,FALSE)+VLOOKUP($A330,A:AL,34,FALSE)-50))</f>
        <v>841</v>
      </c>
      <c r="AJ330" s="3">
        <f>IF(ISERROR(VLOOKUP($A330,'SegEnds_NonXtal_BW#'!$A:$Z,25,FALSE)+VLOOKUP($A330,A:AL,37,FALSE)-50),"-",(VLOOKUP($A330,'SegEnds_NonXtal_BW#'!$A:$Z,25,FALSE)+VLOOKUP($A330,A:AL,37,FALSE)-50))</f>
        <v>842</v>
      </c>
      <c r="AK330" s="3">
        <v>845</v>
      </c>
      <c r="AL330" s="3">
        <f>IF(ISERROR((VLOOKUP($A330,'SegEnds_NonXtal_BW#'!$A:$Z,26,FALSE)+VLOOKUP($A330,A:AL,37,FALSE)-50)),"-",(VLOOKUP($A330,'SegEnds_NonXtal_BW#'!$A:$Z,26,FALSE)+VLOOKUP($A330,A:AL,37,FALSE)-50))</f>
        <v>858</v>
      </c>
      <c r="AM330" s="28" t="str">
        <f>VLOOKUP(A330,Classification!A:B,2,FALSE)</f>
        <v>B2</v>
      </c>
      <c r="AN330" s="28" t="b">
        <f t="shared" ref="AN330:AN395" si="220">AND(IF(Y330="-",IF(AA330-W330&gt;3,TRUE,FALSE),TRUE),IF(M330="-",IF(O330-K330&gt;3,TRUE,FALSE),TRUE),IF(AG330-AF330&gt;1,TRUE,FALSE),C330&lt;E330,OR(E330&lt;F330,F330="-"),OR(F330&lt;H330,F330="-"),OR(H330&lt;I330,H330="-"),I330&lt;K330,OR(K330&lt;L330,L330="-"),OR(L330&lt;N330,L330="-"),OR(N330&lt;O330,N330="-"),O330&lt;Q330,OR(Q330&lt;R330,R330="-"),OR(R330&lt;T330,R330="-"),OR(T330&lt;U330,T330="-"),U330&lt;W330,OR(W330&lt;X330,X330="-"),OR(X330&lt;Z330,X330="-"),OR(Z330&lt;AA330,Z330="-"),AA330&lt;AC330,AC330&lt;AD330,AD330&lt;AF330,AF330&lt;AG330,AG330&lt;AI330,OR(AI330&lt;AJ330,AJ330="-"),OR(AJ330&lt;AL330,AJ330="-"))</f>
        <v>1</v>
      </c>
      <c r="AO330" s="3" t="str">
        <f>IF(ISERROR(MATCH(A330,'SegEnds_Xtal_Prot#'!B:B, 0)), "NoXtal", "Xtal")</f>
        <v>NoXtal</v>
      </c>
      <c r="AP330" s="3" t="str">
        <f t="shared" si="205"/>
        <v>-</v>
      </c>
      <c r="AQ330" s="3" t="str">
        <f t="shared" si="206"/>
        <v>-</v>
      </c>
      <c r="AR330" s="3" t="str">
        <f t="shared" si="207"/>
        <v>-</v>
      </c>
      <c r="AS330" s="3" t="str">
        <f t="shared" si="208"/>
        <v>-</v>
      </c>
      <c r="AT330" s="3" t="str">
        <f t="shared" si="209"/>
        <v>-</v>
      </c>
      <c r="AU330" s="3" t="str">
        <f t="shared" si="210"/>
        <v>-</v>
      </c>
      <c r="AV330" s="3">
        <f t="shared" si="211"/>
        <v>8</v>
      </c>
      <c r="AW330" s="3">
        <f t="shared" si="212"/>
        <v>5</v>
      </c>
      <c r="AX330" s="3">
        <f t="shared" si="213"/>
        <v>12</v>
      </c>
      <c r="AY330" s="3">
        <f t="shared" si="214"/>
        <v>6</v>
      </c>
      <c r="AZ330" s="3">
        <f t="shared" si="215"/>
        <v>1</v>
      </c>
      <c r="BA330" s="3">
        <f>IF(ISERROR(LEN(VLOOKUP(A330,Seqs!A:E,2,FALSE))-AL330),"-",LEN(VLOOKUP(A330,Seqs!A:E,2,FALSE))-AL330)</f>
        <v>52</v>
      </c>
      <c r="BB330" s="16">
        <f t="shared" si="216"/>
        <v>31</v>
      </c>
      <c r="BC330" s="9" t="str">
        <f t="shared" si="217"/>
        <v>-</v>
      </c>
      <c r="BD330" s="3">
        <f t="shared" si="218"/>
        <v>31</v>
      </c>
      <c r="BE330" s="3">
        <f t="shared" si="219"/>
        <v>52</v>
      </c>
    </row>
    <row r="331" spans="1:59" s="3" customFormat="1" x14ac:dyDescent="0.2">
      <c r="A331" s="3" t="s">
        <v>1182</v>
      </c>
      <c r="B331" s="3" t="str">
        <f>LOWER(VLOOKUP(A331,Xtal_Templ!A:B,2,FALSE))</f>
        <v>calrl_human</v>
      </c>
      <c r="C331" s="3">
        <f>VLOOKUP($A331,'SegEnds_NonXtal_BW#'!$A:$Z,3,FALSE)+D331-50</f>
        <v>434</v>
      </c>
      <c r="D331" s="3">
        <v>461</v>
      </c>
      <c r="E331" s="3">
        <f>IF(ISERROR(VLOOKUP($A331,'SegEnds_NonXtal_BW#'!$A:$Z,4,FALSE)+VLOOKUP($A331,A:AL,4,FALSE)-50),"-",(VLOOKUP($A331,'SegEnds_NonXtal_BW#'!$A:$Z,4,FALSE)+VLOOKUP($A331,A:AL,4,FALSE)-50))</f>
        <v>471</v>
      </c>
      <c r="F331" s="3" t="s">
        <v>23</v>
      </c>
      <c r="G331" s="3" t="s">
        <v>23</v>
      </c>
      <c r="H331" s="3" t="s">
        <v>23</v>
      </c>
      <c r="I331" s="3">
        <f>VLOOKUP($A331,'SegEnds_NonXtal_BW#'!$A:$Z,7,FALSE)+J331-50</f>
        <v>479</v>
      </c>
      <c r="J331" s="3">
        <v>492</v>
      </c>
      <c r="K331" s="3">
        <f>VLOOKUP($A331,'SegEnds_NonXtal_BW#'!$A:$Z,8,FALSE)+VLOOKUP($A331,A:AL,10,FALSE)-50</f>
        <v>505</v>
      </c>
      <c r="L331" s="3" t="str">
        <f>IF(ISERROR(VLOOKUP($A331,'SegEnds_NonXtal_BW#'!$A:$Z,9,FALSE)+VLOOKUP($A331,A:AL,13,FALSE)-50),"-",(VLOOKUP($A331,'SegEnds_NonXtal_BW#'!$A:$Z,9,FALSE)+VLOOKUP($A331,A:AL,13,FALSE)-50))</f>
        <v>-</v>
      </c>
      <c r="M331" s="3" t="s">
        <v>23</v>
      </c>
      <c r="N331" s="3" t="str">
        <f>IF(ISERROR(VLOOKUP($A331,'SegEnds_NonXtal_BW#'!$A:$Z,10,FALSE)+VLOOKUP($A331,A:AL,13,FALSE)-50),"-",(VLOOKUP($A331,'SegEnds_NonXtal_BW#'!$A:$Z,10,FALSE)+VLOOKUP($A331,A:AL,13,FALSE)-50))</f>
        <v>-</v>
      </c>
      <c r="O331" s="3">
        <f>VLOOKUP($A331,'SegEnds_NonXtal_BW#'!$A:$Z,11,FALSE)+VLOOKUP($A331,A:AL,16,FALSE)-50</f>
        <v>516</v>
      </c>
      <c r="P331" s="3">
        <v>543</v>
      </c>
      <c r="Q331" s="3">
        <f>VLOOKUP($A331,'SegEnds_NonXtal_BW#'!$A:$Z,12,FALSE)+VLOOKUP($A331,A:AL,16,FALSE)-50</f>
        <v>549</v>
      </c>
      <c r="R331" s="3" t="str">
        <f>IF(ISERROR(VLOOKUP($A331,'SegEnds_NonXtal_BW#'!$A:$Z,13,FALSE)+VLOOKUP($A331,A:AL,19,FALSE)-50),"-",VLOOKUP($A331,'SegEnds_NonXtal_BW#'!$A:$Z,13,FALSE)+VLOOKUP($A331,A:AL,19,FALSE)-50)</f>
        <v>-</v>
      </c>
      <c r="S331" s="3" t="s">
        <v>23</v>
      </c>
      <c r="T331" s="100" t="str">
        <f>IF(ISERROR(VLOOKUP($A331,'SegEnds_NonXtal_BW#'!$A:$Z,14,FALSE)+VLOOKUP($A331,A:AL,19,FALSE)-50),"-",(VLOOKUP($A331,'SegEnds_NonXtal_BW#'!$A:$Z,14,FALSE)+VLOOKUP($A331,A:AL,19,FALSE)-50))</f>
        <v>-</v>
      </c>
      <c r="U331" s="9">
        <f>IF(ISERROR(VLOOKUP($A331,'SegEnds_NonXtal_BW#'!$A:$Z,15,FALSE)+VLOOKUP($A331,A:AL,22,FALSE)-50),"-",VLOOKUP($A331,'SegEnds_NonXtal_BW#'!$A:$Z,15,FALSE)+VLOOKUP($A331,A:AL,22,FALSE)-50)</f>
        <v>559</v>
      </c>
      <c r="V331" s="3">
        <v>568</v>
      </c>
      <c r="W331" s="3">
        <f>IF(ISERROR(VLOOKUP($A331,'SegEnds_NonXtal_BW#'!$A:$Z,16,FALSE)+VLOOKUP($A331,A:AL,22,FALSE)-50),"-",(VLOOKUP($A331,'SegEnds_NonXtal_BW#'!$A:$Z,16,FALSE)+VLOOKUP($A331,A:AL,22,FALSE)-50))</f>
        <v>585</v>
      </c>
      <c r="X331" s="3">
        <f>IF(ISERROR(VLOOKUP($A331,'SegEnds_NonXtal_BW#'!$A:$Z,17,FALSE)+VLOOKUP($A331,A:AL,25,FALSE)-50),"-",(VLOOKUP($A331,'SegEnds_NonXtal_BW#'!$A:$Z,17,FALSE)+VLOOKUP($A331,A:AL,25,FALSE)-50))</f>
        <v>594</v>
      </c>
      <c r="Y331" s="3">
        <v>594</v>
      </c>
      <c r="Z331" s="3">
        <f t="shared" si="204"/>
        <v>596</v>
      </c>
      <c r="AA331" s="3">
        <f>IF(ISERROR(VLOOKUP($A331,'SegEnds_NonXtal_BW#'!$A:$Z,19,FALSE)+VLOOKUP($A331,A:AL,28,FALSE)-50),"-",(VLOOKUP($A331,'SegEnds_NonXtal_BW#'!$A:$Z,19,FALSE)+VLOOKUP($A331,A:AL,28,FALSE)-50))</f>
        <v>600</v>
      </c>
      <c r="AB331" s="3">
        <v>614</v>
      </c>
      <c r="AC331" s="3">
        <f>IF(ISERROR((VLOOKUP($A331,'SegEnds_NonXtal_BW#'!$A:$Z,20,FALSE)+VLOOKUP($A331,A:AL,28,FALSE)-50)),"-",(VLOOKUP($A331,'SegEnds_NonXtal_BW#'!$A:$Z,20,FALSE)+VLOOKUP($A331,A:AL,28,FALSE)-50))</f>
        <v>633</v>
      </c>
      <c r="AD331" s="3">
        <f>IF(ISERROR(VLOOKUP($A331,'SegEnds_NonXtal_BW#'!$A:$Z,21,FALSE)+VLOOKUP($A331,A:AL,31,FALSE)-50),"-",(VLOOKUP($A331,'SegEnds_NonXtal_BW#'!$A:$Z,21,FALSE)+VLOOKUP($A331,A:AL,31,FALSE)-50))</f>
        <v>650</v>
      </c>
      <c r="AE331" s="3">
        <v>671</v>
      </c>
      <c r="AF331" s="3">
        <f>IF(ISERROR((VLOOKUP($A331,'SegEnds_NonXtal_BW#'!$A:$Z,22,FALSE)+VLOOKUP($A331,A:AL,31,FALSE)-50)),"-",(VLOOKUP($A331,'SegEnds_NonXtal_BW#'!$A:$Z,22,FALSE)+VLOOKUP($A331,A:AL,31,FALSE)-50))</f>
        <v>671</v>
      </c>
      <c r="AG331" s="3">
        <f>IF(ISERROR(VLOOKUP($A331,'SegEnds_NonXtal_BW#'!$A:$Z,23,FALSE)+VLOOKUP($A331,A:AL,34,FALSE)-50),"-",(VLOOKUP($A331,'SegEnds_NonXtal_BW#'!$A:$Z,23,FALSE)+VLOOKUP($A331,A:AL,34,FALSE)-50))</f>
        <v>675</v>
      </c>
      <c r="AH331" s="3">
        <v>694</v>
      </c>
      <c r="AI331" s="3">
        <f>IF(ISERROR((VLOOKUP($A331,'SegEnds_NonXtal_BW#'!$A:$Z,24,FALSE)+VLOOKUP($A331,A:AL,34,FALSE)-50)),"-",(VLOOKUP($A331,'SegEnds_NonXtal_BW#'!$A:$Z,24,FALSE)+VLOOKUP($A331,A:AL,34,FALSE)-50))</f>
        <v>700</v>
      </c>
      <c r="AJ331" s="3" t="s">
        <v>23</v>
      </c>
      <c r="AK331" s="3" t="s">
        <v>23</v>
      </c>
      <c r="AL331" s="3" t="s">
        <v>23</v>
      </c>
      <c r="AM331" s="28" t="str">
        <f>VLOOKUP(A331,Classification!A:B,2,FALSE)</f>
        <v>B2</v>
      </c>
      <c r="AN331" s="28" t="b">
        <f t="shared" si="220"/>
        <v>1</v>
      </c>
      <c r="AO331" s="3" t="str">
        <f>IF(ISERROR(MATCH(A331,'SegEnds_Xtal_Prot#'!B:B, 0)), "NoXtal", "Xtal")</f>
        <v>NoXtal</v>
      </c>
      <c r="AP331" s="3" t="str">
        <f t="shared" si="205"/>
        <v>-</v>
      </c>
      <c r="AQ331" s="3" t="str">
        <f t="shared" si="206"/>
        <v>-</v>
      </c>
      <c r="AR331" s="3" t="str">
        <f t="shared" si="207"/>
        <v>-</v>
      </c>
      <c r="AS331" s="3" t="str">
        <f t="shared" si="208"/>
        <v>-</v>
      </c>
      <c r="AT331" s="3" t="str">
        <f t="shared" si="209"/>
        <v>-</v>
      </c>
      <c r="AU331" s="3" t="str">
        <f t="shared" si="210"/>
        <v>-</v>
      </c>
      <c r="AV331" s="3">
        <f t="shared" si="211"/>
        <v>9</v>
      </c>
      <c r="AW331" s="3">
        <f t="shared" si="212"/>
        <v>4</v>
      </c>
      <c r="AX331" s="3">
        <f t="shared" si="213"/>
        <v>17</v>
      </c>
      <c r="AY331" s="3">
        <f t="shared" si="214"/>
        <v>4</v>
      </c>
      <c r="AZ331" s="3" t="str">
        <f t="shared" si="215"/>
        <v>-</v>
      </c>
      <c r="BA331" s="3" t="str">
        <f>IF(ISERROR(LEN(VLOOKUP(A331,Seqs!A:E,2,FALSE))-AL331),"-",LEN(VLOOKUP(A331,Seqs!A:E,2,FALSE))-AL331)</f>
        <v>-</v>
      </c>
      <c r="BB331" s="16">
        <f t="shared" si="216"/>
        <v>31</v>
      </c>
      <c r="BC331" s="9" t="str">
        <f t="shared" si="217"/>
        <v>-</v>
      </c>
      <c r="BD331" s="3">
        <f t="shared" si="218"/>
        <v>31</v>
      </c>
      <c r="BE331" s="3">
        <f t="shared" si="219"/>
        <v>57</v>
      </c>
      <c r="BF331" s="3">
        <f>AH331-AE331</f>
        <v>23</v>
      </c>
      <c r="BG331" s="3" t="s">
        <v>1300</v>
      </c>
    </row>
    <row r="332" spans="1:59" s="3" customFormat="1" x14ac:dyDescent="0.2">
      <c r="A332" s="3" t="s">
        <v>1183</v>
      </c>
      <c r="B332" s="3" t="str">
        <f>LOWER(VLOOKUP(A332,Xtal_Templ!A:B,2,FALSE))</f>
        <v>calrl_human</v>
      </c>
      <c r="C332" s="3">
        <f>VLOOKUP($A332,'SegEnds_NonXtal_BW#'!$A:$Z,3,FALSE)+D332-50</f>
        <v>758</v>
      </c>
      <c r="D332" s="3">
        <v>785</v>
      </c>
      <c r="E332" s="3">
        <f>IF(ISERROR(VLOOKUP($A332,'SegEnds_NonXtal_BW#'!$A:$Z,4,FALSE)+VLOOKUP($A332,A:AL,4,FALSE)-50),"-",(VLOOKUP($A332,'SegEnds_NonXtal_BW#'!$A:$Z,4,FALSE)+VLOOKUP($A332,A:AL,4,FALSE)-50))</f>
        <v>795</v>
      </c>
      <c r="F332" s="3" t="s">
        <v>23</v>
      </c>
      <c r="G332" s="3" t="s">
        <v>23</v>
      </c>
      <c r="H332" s="3" t="s">
        <v>23</v>
      </c>
      <c r="I332" s="3">
        <f>VLOOKUP($A332,'SegEnds_NonXtal_BW#'!$A:$Z,7,FALSE)+J332-50</f>
        <v>803</v>
      </c>
      <c r="J332" s="3">
        <v>816</v>
      </c>
      <c r="K332" s="3">
        <f>VLOOKUP($A332,'SegEnds_NonXtal_BW#'!$A:$Z,8,FALSE)+VLOOKUP($A332,A:AL,10,FALSE)-50</f>
        <v>829</v>
      </c>
      <c r="L332" s="3" t="str">
        <f>IF(ISERROR(VLOOKUP($A332,'SegEnds_NonXtal_BW#'!$A:$Z,9,FALSE)+VLOOKUP($A332,A:AL,13,FALSE)-50),"-",(VLOOKUP($A332,'SegEnds_NonXtal_BW#'!$A:$Z,9,FALSE)+VLOOKUP($A332,A:AL,13,FALSE)-50))</f>
        <v>-</v>
      </c>
      <c r="M332" s="3" t="s">
        <v>23</v>
      </c>
      <c r="N332" s="3" t="str">
        <f>IF(ISERROR(VLOOKUP($A332,'SegEnds_NonXtal_BW#'!$A:$Z,10,FALSE)+VLOOKUP($A332,A:AL,13,FALSE)-50),"-",(VLOOKUP($A332,'SegEnds_NonXtal_BW#'!$A:$Z,10,FALSE)+VLOOKUP($A332,A:AL,13,FALSE)-50))</f>
        <v>-</v>
      </c>
      <c r="O332" s="3">
        <f>VLOOKUP($A332,'SegEnds_NonXtal_BW#'!$A:$Z,11,FALSE)+VLOOKUP($A332,A:AL,16,FALSE)-50</f>
        <v>839</v>
      </c>
      <c r="P332" s="3">
        <v>866</v>
      </c>
      <c r="Q332" s="3">
        <f>VLOOKUP($A332,'SegEnds_NonXtal_BW#'!$A:$Z,12,FALSE)+VLOOKUP($A332,A:AL,16,FALSE)-50</f>
        <v>872</v>
      </c>
      <c r="R332" s="3" t="str">
        <f>IF(ISERROR(VLOOKUP($A332,'SegEnds_NonXtal_BW#'!$A:$Z,13,FALSE)+VLOOKUP($A332,A:AL,19,FALSE)-50),"-",VLOOKUP($A332,'SegEnds_NonXtal_BW#'!$A:$Z,13,FALSE)+VLOOKUP($A332,A:AL,19,FALSE)-50)</f>
        <v>-</v>
      </c>
      <c r="S332" s="3" t="s">
        <v>23</v>
      </c>
      <c r="T332" s="100" t="str">
        <f>IF(ISERROR(VLOOKUP($A332,'SegEnds_NonXtal_BW#'!$A:$Z,14,FALSE)+VLOOKUP($A332,A:AL,19,FALSE)-50),"-",(VLOOKUP($A332,'SegEnds_NonXtal_BW#'!$A:$Z,14,FALSE)+VLOOKUP($A332,A:AL,19,FALSE)-50))</f>
        <v>-</v>
      </c>
      <c r="U332" s="9">
        <f>IF(ISERROR(VLOOKUP($A332,'SegEnds_NonXtal_BW#'!$A:$Z,15,FALSE)+VLOOKUP($A332,A:AL,22,FALSE)-50),"-",VLOOKUP($A332,'SegEnds_NonXtal_BW#'!$A:$Z,15,FALSE)+VLOOKUP($A332,A:AL,22,FALSE)-50)</f>
        <v>882</v>
      </c>
      <c r="V332" s="3">
        <v>891</v>
      </c>
      <c r="W332" s="3">
        <f>IF(ISERROR(VLOOKUP($A332,'SegEnds_NonXtal_BW#'!$A:$Z,16,FALSE)+VLOOKUP($A332,A:AL,22,FALSE)-50),"-",(VLOOKUP($A332,'SegEnds_NonXtal_BW#'!$A:$Z,16,FALSE)+VLOOKUP($A332,A:AL,22,FALSE)-50))</f>
        <v>908</v>
      </c>
      <c r="X332" s="3">
        <f>IF(ISERROR(VLOOKUP($A332,'SegEnds_NonXtal_BW#'!$A:$Z,17,FALSE)+VLOOKUP($A332,A:AL,25,FALSE)-50),"-",(VLOOKUP($A332,'SegEnds_NonXtal_BW#'!$A:$Z,17,FALSE)+VLOOKUP($A332,A:AL,25,FALSE)-50))</f>
        <v>917</v>
      </c>
      <c r="Y332" s="3">
        <v>917</v>
      </c>
      <c r="Z332" s="3">
        <f t="shared" si="204"/>
        <v>919</v>
      </c>
      <c r="AA332" s="3">
        <f>IF(ISERROR(VLOOKUP($A332,'SegEnds_NonXtal_BW#'!$A:$Z,19,FALSE)+VLOOKUP($A332,A:AL,28,FALSE)-50),"-",(VLOOKUP($A332,'SegEnds_NonXtal_BW#'!$A:$Z,19,FALSE)+VLOOKUP($A332,A:AL,28,FALSE)-50))</f>
        <v>922</v>
      </c>
      <c r="AB332" s="3">
        <v>936</v>
      </c>
      <c r="AC332" s="3">
        <f>IF(ISERROR((VLOOKUP($A332,'SegEnds_NonXtal_BW#'!$A:$Z,20,FALSE)+VLOOKUP($A332,A:AL,28,FALSE)-50)),"-",(VLOOKUP($A332,'SegEnds_NonXtal_BW#'!$A:$Z,20,FALSE)+VLOOKUP($A332,A:AL,28,FALSE)-50))</f>
        <v>955</v>
      </c>
      <c r="AD332" s="3">
        <f>IF(ISERROR(VLOOKUP($A332,'SegEnds_NonXtal_BW#'!$A:$Z,21,FALSE)+VLOOKUP($A332,A:AL,31,FALSE)-50),"-",(VLOOKUP($A332,'SegEnds_NonXtal_BW#'!$A:$Z,21,FALSE)+VLOOKUP($A332,A:AL,31,FALSE)-50))</f>
        <v>967</v>
      </c>
      <c r="AE332" s="3">
        <v>988</v>
      </c>
      <c r="AF332" s="3">
        <f>IF(ISERROR((VLOOKUP($A332,'SegEnds_NonXtal_BW#'!$A:$Z,22,FALSE)+VLOOKUP($A332,A:AL,31,FALSE)-50)),"-",(VLOOKUP($A332,'SegEnds_NonXtal_BW#'!$A:$Z,22,FALSE)+VLOOKUP($A332,A:AL,31,FALSE)-50))</f>
        <v>991</v>
      </c>
      <c r="AG332" s="3">
        <f>IF(ISERROR(VLOOKUP($A332,'SegEnds_NonXtal_BW#'!$A:$Z,23,FALSE)+VLOOKUP($A332,A:AL,34,FALSE)-50),"-",(VLOOKUP($A332,'SegEnds_NonXtal_BW#'!$A:$Z,23,FALSE)+VLOOKUP($A332,A:AL,34,FALSE)-50))</f>
        <v>998</v>
      </c>
      <c r="AH332" s="3">
        <v>1017</v>
      </c>
      <c r="AI332" s="3">
        <f>IF(ISERROR((VLOOKUP($A332,'SegEnds_NonXtal_BW#'!$A:$Z,24,FALSE)+VLOOKUP($A332,A:AL,34,FALSE)-50)),"-",(VLOOKUP($A332,'SegEnds_NonXtal_BW#'!$A:$Z,24,FALSE)+VLOOKUP($A332,A:AL,34,FALSE)-50))</f>
        <v>1023</v>
      </c>
      <c r="AJ332" s="3">
        <f>IF(ISERROR(VLOOKUP($A332,'SegEnds_NonXtal_BW#'!$A:$Z,25,FALSE)+VLOOKUP($A332,A:AL,37,FALSE)-50),"-",(VLOOKUP($A332,'SegEnds_NonXtal_BW#'!$A:$Z,25,FALSE)+VLOOKUP($A332,A:AL,37,FALSE)-50))</f>
        <v>1024</v>
      </c>
      <c r="AK332" s="3">
        <v>1027</v>
      </c>
      <c r="AL332" s="3">
        <f>IF(ISERROR((VLOOKUP($A332,'SegEnds_NonXtal_BW#'!$A:$Z,26,FALSE)+VLOOKUP($A332,A:AL,37,FALSE)-50)),"-",(VLOOKUP($A332,'SegEnds_NonXtal_BW#'!$A:$Z,26,FALSE)+VLOOKUP($A332,A:AL,37,FALSE)-50))</f>
        <v>1040</v>
      </c>
      <c r="AM332" s="28" t="str">
        <f>VLOOKUP(A332,Classification!A:B,2,FALSE)</f>
        <v>B2</v>
      </c>
      <c r="AN332" s="28" t="b">
        <f t="shared" si="220"/>
        <v>1</v>
      </c>
      <c r="AO332" s="3" t="str">
        <f>IF(ISERROR(MATCH(A332,'SegEnds_Xtal_Prot#'!B:B, 0)), "NoXtal", "Xtal")</f>
        <v>NoXtal</v>
      </c>
      <c r="AP332" s="3" t="str">
        <f t="shared" si="205"/>
        <v>-</v>
      </c>
      <c r="AQ332" s="3" t="str">
        <f t="shared" si="206"/>
        <v>-</v>
      </c>
      <c r="AR332" s="3" t="str">
        <f t="shared" si="207"/>
        <v>-</v>
      </c>
      <c r="AS332" s="3" t="str">
        <f t="shared" si="208"/>
        <v>-</v>
      </c>
      <c r="AT332" s="3" t="str">
        <f t="shared" si="209"/>
        <v>-</v>
      </c>
      <c r="AU332" s="3" t="str">
        <f t="shared" si="210"/>
        <v>-</v>
      </c>
      <c r="AV332" s="3">
        <f t="shared" si="211"/>
        <v>9</v>
      </c>
      <c r="AW332" s="3">
        <f t="shared" si="212"/>
        <v>3</v>
      </c>
      <c r="AX332" s="3">
        <f t="shared" si="213"/>
        <v>12</v>
      </c>
      <c r="AY332" s="3">
        <f t="shared" si="214"/>
        <v>7</v>
      </c>
      <c r="AZ332" s="3">
        <f t="shared" si="215"/>
        <v>1</v>
      </c>
      <c r="BA332" s="3">
        <f>IF(ISERROR(LEN(VLOOKUP(A332,Seqs!A:E,2,FALSE))-AL332),"-",LEN(VLOOKUP(A332,Seqs!A:E,2,FALSE))-AL332)</f>
        <v>39</v>
      </c>
      <c r="BB332" s="16">
        <f t="shared" si="216"/>
        <v>31</v>
      </c>
      <c r="BC332" s="9" t="str">
        <f t="shared" si="217"/>
        <v>-</v>
      </c>
      <c r="BD332" s="3">
        <f t="shared" si="218"/>
        <v>31</v>
      </c>
      <c r="BE332" s="3">
        <f t="shared" si="219"/>
        <v>52</v>
      </c>
    </row>
    <row r="333" spans="1:59" s="3" customFormat="1" x14ac:dyDescent="0.2">
      <c r="A333" s="3" t="s">
        <v>1184</v>
      </c>
      <c r="B333" s="3" t="str">
        <f>LOWER(VLOOKUP(A333,Xtal_Templ!A:B,2,FALSE))</f>
        <v>crfr1_human</v>
      </c>
      <c r="C333" s="3">
        <f>VLOOKUP($A333,'SegEnds_NonXtal_BW#'!$A:$Z,3,FALSE)+D333-50</f>
        <v>389</v>
      </c>
      <c r="D333" s="3">
        <v>416</v>
      </c>
      <c r="E333" s="3">
        <f>IF(ISERROR(VLOOKUP($A333,'SegEnds_NonXtal_BW#'!$A:$Z,4,FALSE)+VLOOKUP($A333,A:AL,4,FALSE)-50),"-",(VLOOKUP($A333,'SegEnds_NonXtal_BW#'!$A:$Z,4,FALSE)+VLOOKUP($A333,A:AL,4,FALSE)-50))</f>
        <v>426</v>
      </c>
      <c r="F333" s="3" t="s">
        <v>23</v>
      </c>
      <c r="G333" s="3" t="s">
        <v>23</v>
      </c>
      <c r="H333" s="3" t="s">
        <v>23</v>
      </c>
      <c r="I333" s="3">
        <f>VLOOKUP($A333,'SegEnds_NonXtal_BW#'!$A:$Z,7,FALSE)+J333-50</f>
        <v>434</v>
      </c>
      <c r="J333" s="3">
        <v>447</v>
      </c>
      <c r="K333" s="3">
        <f>VLOOKUP($A333,'SegEnds_NonXtal_BW#'!$A:$Z,8,FALSE)+VLOOKUP($A333,A:AL,10,FALSE)-50</f>
        <v>460</v>
      </c>
      <c r="L333" s="3" t="str">
        <f>IF(ISERROR(VLOOKUP($A333,'SegEnds_NonXtal_BW#'!$A:$Z,9,FALSE)+VLOOKUP($A333,A:AL,13,FALSE)-50),"-",(VLOOKUP($A333,'SegEnds_NonXtal_BW#'!$A:$Z,9,FALSE)+VLOOKUP($A333,A:AL,13,FALSE)-50))</f>
        <v>-</v>
      </c>
      <c r="M333" s="3" t="s">
        <v>23</v>
      </c>
      <c r="N333" s="3" t="str">
        <f>IF(ISERROR(VLOOKUP($A333,'SegEnds_NonXtal_BW#'!$A:$Z,10,FALSE)+VLOOKUP($A333,A:AL,13,FALSE)-50),"-",(VLOOKUP($A333,'SegEnds_NonXtal_BW#'!$A:$Z,10,FALSE)+VLOOKUP($A333,A:AL,13,FALSE)-50))</f>
        <v>-</v>
      </c>
      <c r="O333" s="3">
        <f>VLOOKUP($A333,'SegEnds_NonXtal_BW#'!$A:$Z,11,FALSE)+VLOOKUP($A333,A:AL,16,FALSE)-50</f>
        <v>471</v>
      </c>
      <c r="P333" s="3">
        <v>498</v>
      </c>
      <c r="Q333" s="3">
        <f>VLOOKUP($A333,'SegEnds_NonXtal_BW#'!$A:$Z,12,FALSE)+VLOOKUP($A333,A:AL,16,FALSE)-50</f>
        <v>504</v>
      </c>
      <c r="R333" s="3" t="str">
        <f>IF(ISERROR(VLOOKUP($A333,'SegEnds_NonXtal_BW#'!$A:$Z,13,FALSE)+VLOOKUP($A333,A:AL,19,FALSE)-50),"-",VLOOKUP($A333,'SegEnds_NonXtal_BW#'!$A:$Z,13,FALSE)+VLOOKUP($A333,A:AL,19,FALSE)-50)</f>
        <v>-</v>
      </c>
      <c r="S333" s="3" t="s">
        <v>23</v>
      </c>
      <c r="T333" s="100" t="str">
        <f>IF(ISERROR(VLOOKUP($A333,'SegEnds_NonXtal_BW#'!$A:$Z,14,FALSE)+VLOOKUP($A333,A:AL,19,FALSE)-50),"-",(VLOOKUP($A333,'SegEnds_NonXtal_BW#'!$A:$Z,14,FALSE)+VLOOKUP($A333,A:AL,19,FALSE)-50))</f>
        <v>-</v>
      </c>
      <c r="U333" s="9">
        <f>IF(ISERROR(VLOOKUP($A333,'SegEnds_NonXtal_BW#'!$A:$Z,15,FALSE)+VLOOKUP($A333,A:AL,22,FALSE)-50),"-",VLOOKUP($A333,'SegEnds_NonXtal_BW#'!$A:$Z,15,FALSE)+VLOOKUP($A333,A:AL,22,FALSE)-50)</f>
        <v>513</v>
      </c>
      <c r="V333" s="3">
        <v>523</v>
      </c>
      <c r="W333" s="3">
        <f>IF(ISERROR(VLOOKUP($A333,'SegEnds_NonXtal_BW#'!$A:$Z,16,FALSE)+VLOOKUP($A333,A:AL,22,FALSE)-50),"-",(VLOOKUP($A333,'SegEnds_NonXtal_BW#'!$A:$Z,16,FALSE)+VLOOKUP($A333,A:AL,22,FALSE)-50))</f>
        <v>541</v>
      </c>
      <c r="X333" s="3">
        <f>IF(ISERROR(VLOOKUP($A333,'SegEnds_NonXtal_BW#'!$A:$Z,17,FALSE)+VLOOKUP($A333,A:AL,25,FALSE)-50),"-",(VLOOKUP($A333,'SegEnds_NonXtal_BW#'!$A:$Z,17,FALSE)+VLOOKUP($A333,A:AL,25,FALSE)-50))</f>
        <v>549</v>
      </c>
      <c r="Y333" s="3">
        <v>549</v>
      </c>
      <c r="Z333" s="3">
        <f t="shared" si="204"/>
        <v>551</v>
      </c>
      <c r="AA333" s="3">
        <f>IF(ISERROR(VLOOKUP($A333,'SegEnds_NonXtal_BW#'!$A:$Z,19,FALSE)+VLOOKUP($A333,A:AL,28,FALSE)-50),"-",(VLOOKUP($A333,'SegEnds_NonXtal_BW#'!$A:$Z,19,FALSE)+VLOOKUP($A333,A:AL,28,FALSE)-50))</f>
        <v>555</v>
      </c>
      <c r="AB333" s="3">
        <v>569</v>
      </c>
      <c r="AC333" s="3">
        <f>IF(ISERROR((VLOOKUP($A333,'SegEnds_NonXtal_BW#'!$A:$Z,20,FALSE)+VLOOKUP($A333,A:AL,28,FALSE)-50)),"-",(VLOOKUP($A333,'SegEnds_NonXtal_BW#'!$A:$Z,20,FALSE)+VLOOKUP($A333,A:AL,28,FALSE)-50))</f>
        <v>588</v>
      </c>
      <c r="AD333" s="3">
        <f>IF(ISERROR(VLOOKUP($A333,'SegEnds_NonXtal_BW#'!$A:$Z,21,FALSE)+VLOOKUP($A333,A:AL,31,FALSE)-50),"-",(VLOOKUP($A333,'SegEnds_NonXtal_BW#'!$A:$Z,21,FALSE)+VLOOKUP($A333,A:AL,31,FALSE)-50))</f>
        <v>599</v>
      </c>
      <c r="AE333" s="3">
        <v>620</v>
      </c>
      <c r="AF333" s="3">
        <f>IF(ISERROR((VLOOKUP($A333,'SegEnds_NonXtal_BW#'!$A:$Z,22,FALSE)+VLOOKUP($A333,A:AL,31,FALSE)-50)),"-",(VLOOKUP($A333,'SegEnds_NonXtal_BW#'!$A:$Z,22,FALSE)+VLOOKUP($A333,A:AL,31,FALSE)-50))</f>
        <v>623</v>
      </c>
      <c r="AG333" s="3">
        <f>IF(ISERROR(VLOOKUP($A333,'SegEnds_NonXtal_BW#'!$A:$Z,23,FALSE)+VLOOKUP($A333,A:AL,34,FALSE)-50),"-",(VLOOKUP($A333,'SegEnds_NonXtal_BW#'!$A:$Z,23,FALSE)+VLOOKUP($A333,A:AL,34,FALSE)-50))</f>
        <v>630</v>
      </c>
      <c r="AH333" s="3">
        <v>649</v>
      </c>
      <c r="AI333" s="3">
        <f>IF(ISERROR((VLOOKUP($A333,'SegEnds_NonXtal_BW#'!$A:$Z,24,FALSE)+VLOOKUP($A333,A:AL,34,FALSE)-50)),"-",(VLOOKUP($A333,'SegEnds_NonXtal_BW#'!$A:$Z,24,FALSE)+VLOOKUP($A333,A:AL,34,FALSE)-50))</f>
        <v>655</v>
      </c>
      <c r="AJ333" s="3">
        <f>IF(ISERROR(VLOOKUP($A333,'SegEnds_NonXtal_BW#'!$A:$Z,25,FALSE)+VLOOKUP($A333,A:AL,37,FALSE)-50),"-",(VLOOKUP($A333,'SegEnds_NonXtal_BW#'!$A:$Z,25,FALSE)+VLOOKUP($A333,A:AL,37,FALSE)-50))</f>
        <v>656</v>
      </c>
      <c r="AK333" s="3">
        <v>659</v>
      </c>
      <c r="AL333" s="3">
        <f>IF(ISERROR((VLOOKUP($A333,'SegEnds_NonXtal_BW#'!$A:$Z,26,FALSE)+VLOOKUP($A333,A:AL,37,FALSE)-50)),"-",(VLOOKUP($A333,'SegEnds_NonXtal_BW#'!$A:$Z,26,FALSE)+VLOOKUP($A333,A:AL,37,FALSE)-50))</f>
        <v>672</v>
      </c>
      <c r="AM333" s="28" t="str">
        <f>VLOOKUP(A333,Classification!A:B,2,FALSE)</f>
        <v>B2</v>
      </c>
      <c r="AN333" s="28" t="b">
        <f t="shared" si="220"/>
        <v>1</v>
      </c>
      <c r="AO333" s="3" t="str">
        <f>IF(ISERROR(MATCH(A333,'SegEnds_Xtal_Prot#'!B:B, 0)), "NoXtal", "Xtal")</f>
        <v>NoXtal</v>
      </c>
      <c r="AP333" s="3" t="str">
        <f t="shared" si="205"/>
        <v>-</v>
      </c>
      <c r="AQ333" s="3" t="str">
        <f t="shared" si="206"/>
        <v>-</v>
      </c>
      <c r="AR333" s="3" t="str">
        <f t="shared" si="207"/>
        <v>-</v>
      </c>
      <c r="AS333" s="3" t="str">
        <f t="shared" si="208"/>
        <v>-</v>
      </c>
      <c r="AT333" s="3" t="str">
        <f t="shared" si="209"/>
        <v>-</v>
      </c>
      <c r="AU333" s="3" t="str">
        <f t="shared" si="210"/>
        <v>-</v>
      </c>
      <c r="AV333" s="3">
        <f t="shared" si="211"/>
        <v>8</v>
      </c>
      <c r="AW333" s="3">
        <f t="shared" si="212"/>
        <v>4</v>
      </c>
      <c r="AX333" s="3">
        <f t="shared" si="213"/>
        <v>11</v>
      </c>
      <c r="AY333" s="3">
        <f t="shared" si="214"/>
        <v>7</v>
      </c>
      <c r="AZ333" s="3">
        <f t="shared" si="215"/>
        <v>1</v>
      </c>
      <c r="BA333" s="3">
        <f>IF(ISERROR(LEN(VLOOKUP(A333,Seqs!A:E,2,FALSE))-AL333),"-",LEN(VLOOKUP(A333,Seqs!A:E,2,FALSE))-AL333)</f>
        <v>23</v>
      </c>
      <c r="BB333" s="16">
        <f t="shared" si="216"/>
        <v>31</v>
      </c>
      <c r="BC333" s="9" t="str">
        <f t="shared" si="217"/>
        <v>-</v>
      </c>
      <c r="BD333" s="3">
        <f t="shared" si="218"/>
        <v>31</v>
      </c>
      <c r="BE333" s="3">
        <f t="shared" si="219"/>
        <v>51</v>
      </c>
      <c r="BF333" s="3">
        <f>AH333-AE333</f>
        <v>29</v>
      </c>
    </row>
    <row r="334" spans="1:59" s="3" customFormat="1" x14ac:dyDescent="0.2">
      <c r="A334" s="3" t="s">
        <v>1185</v>
      </c>
      <c r="B334" s="3" t="str">
        <f>LOWER(VLOOKUP(A334,Xtal_Templ!A:B,2,FALSE))</f>
        <v>crfr1_human</v>
      </c>
      <c r="C334" s="3">
        <f>VLOOKUP($A334,'SegEnds_NonXtal_BW#'!$A:$Z,3,FALSE)+D334-50</f>
        <v>1000</v>
      </c>
      <c r="D334" s="3">
        <v>1027</v>
      </c>
      <c r="E334" s="3">
        <f>IF(ISERROR(VLOOKUP($A334,'SegEnds_NonXtal_BW#'!$A:$Z,4,FALSE)+VLOOKUP($A334,A:AL,4,FALSE)-50),"-",(VLOOKUP($A334,'SegEnds_NonXtal_BW#'!$A:$Z,4,FALSE)+VLOOKUP($A334,A:AL,4,FALSE)-50))</f>
        <v>1037</v>
      </c>
      <c r="F334" s="3">
        <f>G334-2</f>
        <v>1039</v>
      </c>
      <c r="G334" s="3">
        <v>1041</v>
      </c>
      <c r="H334" s="3">
        <f>G334+1</f>
        <v>1042</v>
      </c>
      <c r="I334" s="3">
        <f>H334+1</f>
        <v>1043</v>
      </c>
      <c r="J334" s="3">
        <v>1058</v>
      </c>
      <c r="K334" s="3">
        <f>VLOOKUP($A334,'SegEnds_NonXtal_BW#'!$A:$Z,8,FALSE)+VLOOKUP($A334,A:AL,10,FALSE)-50</f>
        <v>1071</v>
      </c>
      <c r="L334" s="3" t="str">
        <f>IF(ISERROR(VLOOKUP($A334,'SegEnds_NonXtal_BW#'!$A:$Z,9,FALSE)+VLOOKUP($A334,A:AL,13,FALSE)-50),"-",(VLOOKUP($A334,'SegEnds_NonXtal_BW#'!$A:$Z,9,FALSE)+VLOOKUP($A334,A:AL,13,FALSE)-50))</f>
        <v>-</v>
      </c>
      <c r="M334" s="3" t="s">
        <v>23</v>
      </c>
      <c r="N334" s="3" t="str">
        <f>IF(ISERROR(VLOOKUP($A334,'SegEnds_NonXtal_BW#'!$A:$Z,10,FALSE)+VLOOKUP($A334,A:AL,13,FALSE)-50),"-",(VLOOKUP($A334,'SegEnds_NonXtal_BW#'!$A:$Z,10,FALSE)+VLOOKUP($A334,A:AL,13,FALSE)-50))</f>
        <v>-</v>
      </c>
      <c r="O334" s="3">
        <f>VLOOKUP($A334,'SegEnds_NonXtal_BW#'!$A:$Z,11,FALSE)+VLOOKUP($A334,A:AL,16,FALSE)-50</f>
        <v>1084</v>
      </c>
      <c r="P334" s="3">
        <v>1111</v>
      </c>
      <c r="Q334" s="3">
        <f>VLOOKUP($A334,'SegEnds_NonXtal_BW#'!$A:$Z,12,FALSE)+VLOOKUP($A334,A:AL,16,FALSE)-50</f>
        <v>1117</v>
      </c>
      <c r="R334" s="3" t="str">
        <f>IF(ISERROR(VLOOKUP($A334,'SegEnds_NonXtal_BW#'!$A:$Z,13,FALSE)+VLOOKUP($A334,A:AL,19,FALSE)-50),"-",VLOOKUP($A334,'SegEnds_NonXtal_BW#'!$A:$Z,13,FALSE)+VLOOKUP($A334,A:AL,19,FALSE)-50)</f>
        <v>-</v>
      </c>
      <c r="S334" s="3" t="s">
        <v>23</v>
      </c>
      <c r="T334" s="100" t="str">
        <f>IF(ISERROR(VLOOKUP($A334,'SegEnds_NonXtal_BW#'!$A:$Z,14,FALSE)+VLOOKUP($A334,A:AL,19,FALSE)-50),"-",(VLOOKUP($A334,'SegEnds_NonXtal_BW#'!$A:$Z,14,FALSE)+VLOOKUP($A334,A:AL,19,FALSE)-50))</f>
        <v>-</v>
      </c>
      <c r="U334" s="9">
        <f>IF(ISERROR(VLOOKUP($A334,'SegEnds_NonXtal_BW#'!$A:$Z,15,FALSE)+VLOOKUP($A334,A:AL,22,FALSE)-50),"-",VLOOKUP($A334,'SegEnds_NonXtal_BW#'!$A:$Z,15,FALSE)+VLOOKUP($A334,A:AL,22,FALSE)-50)</f>
        <v>1126</v>
      </c>
      <c r="V334" s="3">
        <v>1136</v>
      </c>
      <c r="W334" s="3">
        <f>IF(ISERROR(VLOOKUP($A334,'SegEnds_NonXtal_BW#'!$A:$Z,16,FALSE)+VLOOKUP($A334,A:AL,22,FALSE)-50),"-",(VLOOKUP($A334,'SegEnds_NonXtal_BW#'!$A:$Z,16,FALSE)+VLOOKUP($A334,A:AL,22,FALSE)-50))</f>
        <v>1154</v>
      </c>
      <c r="X334" s="3">
        <f>IF(ISERROR(VLOOKUP($A334,'SegEnds_NonXtal_BW#'!$A:$Z,17,FALSE)+VLOOKUP($A334,A:AL,25,FALSE)-50),"-",(VLOOKUP($A334,'SegEnds_NonXtal_BW#'!$A:$Z,17,FALSE)+VLOOKUP($A334,A:AL,25,FALSE)-50))</f>
        <v>1162</v>
      </c>
      <c r="Y334" s="3">
        <v>1162</v>
      </c>
      <c r="Z334" s="3">
        <f t="shared" si="204"/>
        <v>1164</v>
      </c>
      <c r="AA334" s="3">
        <f>IF(ISERROR(VLOOKUP($A334,'SegEnds_NonXtal_BW#'!$A:$Z,19,FALSE)+VLOOKUP($A334,A:AL,28,FALSE)-50),"-",(VLOOKUP($A334,'SegEnds_NonXtal_BW#'!$A:$Z,19,FALSE)+VLOOKUP($A334,A:AL,28,FALSE)-50))</f>
        <v>1168</v>
      </c>
      <c r="AB334" s="3">
        <v>1182</v>
      </c>
      <c r="AC334" s="3">
        <f>IF(ISERROR((VLOOKUP($A334,'SegEnds_NonXtal_BW#'!$A:$Z,20,FALSE)+VLOOKUP($A334,A:AL,28,FALSE)-50)),"-",(VLOOKUP($A334,'SegEnds_NonXtal_BW#'!$A:$Z,20,FALSE)+VLOOKUP($A334,A:AL,28,FALSE)-50))</f>
        <v>1201</v>
      </c>
      <c r="AD334" s="3">
        <f>IF(ISERROR(VLOOKUP($A334,'SegEnds_NonXtal_BW#'!$A:$Z,21,FALSE)+VLOOKUP($A334,A:AL,31,FALSE)-50),"-",(VLOOKUP($A334,'SegEnds_NonXtal_BW#'!$A:$Z,21,FALSE)+VLOOKUP($A334,A:AL,31,FALSE)-50))</f>
        <v>1213</v>
      </c>
      <c r="AE334" s="3">
        <v>1234</v>
      </c>
      <c r="AF334" s="3">
        <f>IF(ISERROR((VLOOKUP($A334,'SegEnds_NonXtal_BW#'!$A:$Z,22,FALSE)+VLOOKUP($A334,A:AL,31,FALSE)-50)),"-",(VLOOKUP($A334,'SegEnds_NonXtal_BW#'!$A:$Z,22,FALSE)+VLOOKUP($A334,A:AL,31,FALSE)-50))</f>
        <v>1237</v>
      </c>
      <c r="AG334" s="3">
        <f>IF(ISERROR(VLOOKUP($A334,'SegEnds_NonXtal_BW#'!$A:$Z,23,FALSE)+VLOOKUP($A334,A:AL,34,FALSE)-50),"-",(VLOOKUP($A334,'SegEnds_NonXtal_BW#'!$A:$Z,23,FALSE)+VLOOKUP($A334,A:AL,34,FALSE)-50))</f>
        <v>1244</v>
      </c>
      <c r="AH334" s="3">
        <v>1263</v>
      </c>
      <c r="AI334" s="3">
        <f>IF(ISERROR((VLOOKUP($A334,'SegEnds_NonXtal_BW#'!$A:$Z,24,FALSE)+VLOOKUP($A334,A:AL,34,FALSE)-50)),"-",(VLOOKUP($A334,'SegEnds_NonXtal_BW#'!$A:$Z,24,FALSE)+VLOOKUP($A334,A:AL,34,FALSE)-50))</f>
        <v>1269</v>
      </c>
      <c r="AJ334" s="3">
        <f>IF(ISERROR(VLOOKUP($A334,'SegEnds_NonXtal_BW#'!$A:$Z,25,FALSE)+VLOOKUP($A334,A:AL,37,FALSE)-50),"-",(VLOOKUP($A334,'SegEnds_NonXtal_BW#'!$A:$Z,25,FALSE)+VLOOKUP($A334,A:AL,37,FALSE)-50))</f>
        <v>1270</v>
      </c>
      <c r="AK334" s="3">
        <v>1273</v>
      </c>
      <c r="AL334" s="3">
        <f>IF(ISERROR((VLOOKUP($A334,'SegEnds_NonXtal_BW#'!$A:$Z,26,FALSE)+VLOOKUP($A334,A:AL,37,FALSE)-50)),"-",(VLOOKUP($A334,'SegEnds_NonXtal_BW#'!$A:$Z,26,FALSE)+VLOOKUP($A334,A:AL,37,FALSE)-50))</f>
        <v>1286</v>
      </c>
      <c r="AM334" s="28" t="str">
        <f>VLOOKUP(A334,Classification!A:B,2,FALSE)</f>
        <v>B2</v>
      </c>
      <c r="AN334" s="28" t="b">
        <f t="shared" si="220"/>
        <v>1</v>
      </c>
      <c r="AO334" s="3" t="str">
        <f>IF(ISERROR(MATCH(A334,'SegEnds_Xtal_Prot#'!B:B, 0)), "NoXtal", "Xtal")</f>
        <v>NoXtal</v>
      </c>
      <c r="AP334" s="3">
        <f t="shared" si="205"/>
        <v>2</v>
      </c>
      <c r="AQ334" s="3">
        <f t="shared" si="206"/>
        <v>1</v>
      </c>
      <c r="AR334" s="3" t="str">
        <f t="shared" si="207"/>
        <v>-</v>
      </c>
      <c r="AS334" s="3" t="str">
        <f t="shared" si="208"/>
        <v>-</v>
      </c>
      <c r="AT334" s="3" t="str">
        <f t="shared" si="209"/>
        <v>-</v>
      </c>
      <c r="AU334" s="3" t="str">
        <f t="shared" si="210"/>
        <v>-</v>
      </c>
      <c r="AV334" s="3">
        <f t="shared" si="211"/>
        <v>8</v>
      </c>
      <c r="AW334" s="3">
        <f t="shared" si="212"/>
        <v>4</v>
      </c>
      <c r="AX334" s="3">
        <f t="shared" si="213"/>
        <v>12</v>
      </c>
      <c r="AY334" s="3">
        <f t="shared" si="214"/>
        <v>7</v>
      </c>
      <c r="AZ334" s="3">
        <f t="shared" si="215"/>
        <v>1</v>
      </c>
      <c r="BA334" s="3">
        <f>IF(ISERROR(LEN(VLOOKUP(A334,Seqs!A:E,2,FALSE))-AL334),"-",LEN(VLOOKUP(A334,Seqs!A:E,2,FALSE))-AL334)</f>
        <v>60</v>
      </c>
      <c r="BB334" s="16">
        <f t="shared" si="216"/>
        <v>31</v>
      </c>
      <c r="BC334" s="9" t="str">
        <f t="shared" si="217"/>
        <v>-</v>
      </c>
      <c r="BD334" s="3">
        <f t="shared" si="218"/>
        <v>31</v>
      </c>
      <c r="BE334" s="3">
        <f t="shared" si="219"/>
        <v>52</v>
      </c>
    </row>
    <row r="335" spans="1:59" s="3" customFormat="1" x14ac:dyDescent="0.2">
      <c r="A335" s="3" t="s">
        <v>1186</v>
      </c>
      <c r="B335" s="3" t="str">
        <f>LOWER(VLOOKUP(A335,Xtal_Templ!A:B,2,FALSE))</f>
        <v>glr_human</v>
      </c>
      <c r="C335" s="3">
        <f>VLOOKUP($A335,'SegEnds_NonXtal_BW#'!$A:$Z,3,FALSE)+D335-50</f>
        <v>391</v>
      </c>
      <c r="D335" s="3">
        <v>418</v>
      </c>
      <c r="E335" s="3">
        <f>IF(ISERROR(VLOOKUP($A335,'SegEnds_NonXtal_BW#'!$A:$Z,4,FALSE)+VLOOKUP($A335,A:AL,4,FALSE)-50),"-",(VLOOKUP($A335,'SegEnds_NonXtal_BW#'!$A:$Z,4,FALSE)+VLOOKUP($A335,A:AL,4,FALSE)-50))</f>
        <v>428</v>
      </c>
      <c r="F335" s="3">
        <f>G335-2</f>
        <v>430</v>
      </c>
      <c r="G335" s="3">
        <v>432</v>
      </c>
      <c r="H335" s="3">
        <f>G335+1</f>
        <v>433</v>
      </c>
      <c r="I335" s="3">
        <f>H335+1</f>
        <v>434</v>
      </c>
      <c r="J335" s="3">
        <v>453</v>
      </c>
      <c r="K335" s="3">
        <f>VLOOKUP($A335,'SegEnds_NonXtal_BW#'!$A:$Z,8,FALSE)+VLOOKUP($A335,A:AL,10,FALSE)-50</f>
        <v>466</v>
      </c>
      <c r="L335" s="3" t="str">
        <f>IF(ISERROR(VLOOKUP($A335,'SegEnds_NonXtal_BW#'!$A:$Z,9,FALSE)+VLOOKUP($A335,A:AL,13,FALSE)-50),"-",(VLOOKUP($A335,'SegEnds_NonXtal_BW#'!$A:$Z,9,FALSE)+VLOOKUP($A335,A:AL,13,FALSE)-50))</f>
        <v>-</v>
      </c>
      <c r="M335" s="3" t="s">
        <v>23</v>
      </c>
      <c r="N335" s="3" t="str">
        <f>IF(ISERROR(VLOOKUP($A335,'SegEnds_NonXtal_BW#'!$A:$Z,10,FALSE)+VLOOKUP($A335,A:AL,13,FALSE)-50),"-",(VLOOKUP($A335,'SegEnds_NonXtal_BW#'!$A:$Z,10,FALSE)+VLOOKUP($A335,A:AL,13,FALSE)-50))</f>
        <v>-</v>
      </c>
      <c r="O335" s="3">
        <f>VLOOKUP($A335,'SegEnds_NonXtal_BW#'!$A:$Z,11,FALSE)+VLOOKUP($A335,A:AL,16,FALSE)-50</f>
        <v>473</v>
      </c>
      <c r="P335" s="3">
        <v>500</v>
      </c>
      <c r="Q335" s="3">
        <f>VLOOKUP($A335,'SegEnds_NonXtal_BW#'!$A:$Z,12,FALSE)+VLOOKUP($A335,A:AL,16,FALSE)-50</f>
        <v>506</v>
      </c>
      <c r="R335" s="3" t="str">
        <f>IF(ISERROR(VLOOKUP($A335,'SegEnds_NonXtal_BW#'!$A:$Z,13,FALSE)+VLOOKUP($A335,A:AL,19,FALSE)-50),"-",VLOOKUP($A335,'SegEnds_NonXtal_BW#'!$A:$Z,13,FALSE)+VLOOKUP($A335,A:AL,19,FALSE)-50)</f>
        <v>-</v>
      </c>
      <c r="S335" s="3" t="s">
        <v>23</v>
      </c>
      <c r="T335" s="100" t="str">
        <f>IF(ISERROR(VLOOKUP($A335,'SegEnds_NonXtal_BW#'!$A:$Z,14,FALSE)+VLOOKUP($A335,A:AL,19,FALSE)-50),"-",(VLOOKUP($A335,'SegEnds_NonXtal_BW#'!$A:$Z,14,FALSE)+VLOOKUP($A335,A:AL,19,FALSE)-50))</f>
        <v>-</v>
      </c>
      <c r="U335" s="9">
        <f>IF(ISERROR(VLOOKUP($A335,'SegEnds_NonXtal_BW#'!$A:$Z,15,FALSE)+VLOOKUP($A335,A:AL,22,FALSE)-50),"-",VLOOKUP($A335,'SegEnds_NonXtal_BW#'!$A:$Z,15,FALSE)+VLOOKUP($A335,A:AL,22,FALSE)-50)</f>
        <v>514</v>
      </c>
      <c r="V335" s="3">
        <v>524</v>
      </c>
      <c r="W335" s="3">
        <f>IF(ISERROR(VLOOKUP($A335,'SegEnds_NonXtal_BW#'!$A:$Z,16,FALSE)+VLOOKUP($A335,A:AL,22,FALSE)-50),"-",(VLOOKUP($A335,'SegEnds_NonXtal_BW#'!$A:$Z,16,FALSE)+VLOOKUP($A335,A:AL,22,FALSE)-50))</f>
        <v>542</v>
      </c>
      <c r="X335" s="3">
        <f>IF(ISERROR(VLOOKUP($A335,'SegEnds_NonXtal_BW#'!$A:$Z,17,FALSE)+VLOOKUP($A335,A:AL,25,FALSE)-50),"-",(VLOOKUP($A335,'SegEnds_NonXtal_BW#'!$A:$Z,17,FALSE)+VLOOKUP($A335,A:AL,25,FALSE)-50))</f>
        <v>562</v>
      </c>
      <c r="Y335" s="3">
        <v>562</v>
      </c>
      <c r="Z335" s="3">
        <f t="shared" si="204"/>
        <v>564</v>
      </c>
      <c r="AA335" s="3">
        <f>IF(ISERROR(VLOOKUP($A335,'SegEnds_NonXtal_BW#'!$A:$Z,19,FALSE)+VLOOKUP($A335,A:AL,28,FALSE)-50),"-",(VLOOKUP($A335,'SegEnds_NonXtal_BW#'!$A:$Z,19,FALSE)+VLOOKUP($A335,A:AL,28,FALSE)-50))</f>
        <v>567</v>
      </c>
      <c r="AB335" s="3">
        <v>581</v>
      </c>
      <c r="AC335" s="3">
        <f>IF(ISERROR((VLOOKUP($A335,'SegEnds_NonXtal_BW#'!$A:$Z,20,FALSE)+VLOOKUP($A335,A:AL,28,FALSE)-50)),"-",(VLOOKUP($A335,'SegEnds_NonXtal_BW#'!$A:$Z,20,FALSE)+VLOOKUP($A335,A:AL,28,FALSE)-50))</f>
        <v>600</v>
      </c>
      <c r="AD335" s="3">
        <f>IF(ISERROR(VLOOKUP($A335,'SegEnds_NonXtal_BW#'!$A:$Z,21,FALSE)+VLOOKUP($A335,A:AL,31,FALSE)-50),"-",(VLOOKUP($A335,'SegEnds_NonXtal_BW#'!$A:$Z,21,FALSE)+VLOOKUP($A335,A:AL,31,FALSE)-50))</f>
        <v>604</v>
      </c>
      <c r="AE335" s="3">
        <v>625</v>
      </c>
      <c r="AF335" s="3">
        <f>IF(ISERROR((VLOOKUP($A335,'SegEnds_NonXtal_BW#'!$A:$Z,22,FALSE)+VLOOKUP($A335,A:AL,31,FALSE)-50)),"-",(VLOOKUP($A335,'SegEnds_NonXtal_BW#'!$A:$Z,22,FALSE)+VLOOKUP($A335,A:AL,31,FALSE)-50))</f>
        <v>628</v>
      </c>
      <c r="AG335" s="3">
        <f>IF(ISERROR(VLOOKUP($A335,'SegEnds_NonXtal_BW#'!$A:$Z,23,FALSE)+VLOOKUP($A335,A:AL,34,FALSE)-50),"-",(VLOOKUP($A335,'SegEnds_NonXtal_BW#'!$A:$Z,23,FALSE)+VLOOKUP($A335,A:AL,34,FALSE)-50))</f>
        <v>633</v>
      </c>
      <c r="AH335" s="3">
        <v>655</v>
      </c>
      <c r="AI335" s="3">
        <f>IF(ISERROR((VLOOKUP($A335,'SegEnds_NonXtal_BW#'!$A:$Z,24,FALSE)+VLOOKUP($A335,A:AL,34,FALSE)-50)),"-",(VLOOKUP($A335,'SegEnds_NonXtal_BW#'!$A:$Z,24,FALSE)+VLOOKUP($A335,A:AL,34,FALSE)-50))</f>
        <v>661</v>
      </c>
      <c r="AJ335" s="3">
        <f>IF(ISERROR(VLOOKUP($A335,'SegEnds_NonXtal_BW#'!$A:$Z,25,FALSE)+VLOOKUP($A335,A:AL,37,FALSE)-50),"-",(VLOOKUP($A335,'SegEnds_NonXtal_BW#'!$A:$Z,25,FALSE)+VLOOKUP($A335,A:AL,37,FALSE)-50))</f>
        <v>662</v>
      </c>
      <c r="AK335" s="3">
        <v>665</v>
      </c>
      <c r="AL335" s="3">
        <f>IF(ISERROR((VLOOKUP($A335,'SegEnds_NonXtal_BW#'!$A:$Z,26,FALSE)+VLOOKUP($A335,A:AL,37,FALSE)-50)),"-",(VLOOKUP($A335,'SegEnds_NonXtal_BW#'!$A:$Z,26,FALSE)+VLOOKUP($A335,A:AL,37,FALSE)-50))</f>
        <v>678</v>
      </c>
      <c r="AM335" s="28" t="str">
        <f>VLOOKUP(A335,Classification!A:B,2,FALSE)</f>
        <v>B2</v>
      </c>
      <c r="AN335" s="28" t="b">
        <f t="shared" si="220"/>
        <v>1</v>
      </c>
      <c r="AO335" s="3" t="str">
        <f>IF(ISERROR(MATCH(A335,'SegEnds_Xtal_Prot#'!B:B, 0)), "NoXtal", "Xtal")</f>
        <v>NoXtal</v>
      </c>
      <c r="AP335" s="3">
        <f t="shared" si="205"/>
        <v>2</v>
      </c>
      <c r="AQ335" s="3">
        <f t="shared" si="206"/>
        <v>1</v>
      </c>
      <c r="AR335" s="3" t="str">
        <f t="shared" si="207"/>
        <v>-</v>
      </c>
      <c r="AS335" s="3" t="str">
        <f t="shared" si="208"/>
        <v>-</v>
      </c>
      <c r="AT335" s="3" t="str">
        <f t="shared" si="209"/>
        <v>-</v>
      </c>
      <c r="AU335" s="3" t="str">
        <f t="shared" si="210"/>
        <v>-</v>
      </c>
      <c r="AV335" s="3">
        <f t="shared" si="211"/>
        <v>20</v>
      </c>
      <c r="AW335" s="3">
        <f t="shared" si="212"/>
        <v>3</v>
      </c>
      <c r="AX335" s="3">
        <f t="shared" si="213"/>
        <v>4</v>
      </c>
      <c r="AY335" s="3">
        <f t="shared" si="214"/>
        <v>5</v>
      </c>
      <c r="AZ335" s="3">
        <f t="shared" si="215"/>
        <v>1</v>
      </c>
      <c r="BA335" s="3">
        <f>IF(ISERROR(LEN(VLOOKUP(A335,Seqs!A:E,2,FALSE))-AL335),"-",LEN(VLOOKUP(A335,Seqs!A:E,2,FALSE))-AL335)</f>
        <v>15</v>
      </c>
      <c r="BB335" s="16">
        <f t="shared" si="216"/>
        <v>35</v>
      </c>
      <c r="BC335" s="9" t="str">
        <f t="shared" si="217"/>
        <v>-</v>
      </c>
      <c r="BD335" s="3">
        <f t="shared" si="218"/>
        <v>35</v>
      </c>
      <c r="BE335" s="3">
        <f t="shared" si="219"/>
        <v>44</v>
      </c>
      <c r="BF335" s="3">
        <f>AH335-AE335</f>
        <v>30</v>
      </c>
    </row>
    <row r="336" spans="1:59" s="3" customFormat="1" x14ac:dyDescent="0.2">
      <c r="A336" s="3" t="s">
        <v>1187</v>
      </c>
      <c r="B336" s="3" t="str">
        <f>LOWER(VLOOKUP(A336,Xtal_Templ!A:B,2,FALSE))</f>
        <v>pacr_human</v>
      </c>
      <c r="C336" s="3">
        <f>VLOOKUP($A336,'SegEnds_NonXtal_BW#'!$A:$Z,3,FALSE)+D336-50</f>
        <v>616</v>
      </c>
      <c r="D336" s="3">
        <v>643</v>
      </c>
      <c r="E336" s="3">
        <f>IF(ISERROR(VLOOKUP($A336,'SegEnds_NonXtal_BW#'!$A:$Z,4,FALSE)+VLOOKUP($A336,A:AL,4,FALSE)-50),"-",(VLOOKUP($A336,'SegEnds_NonXtal_BW#'!$A:$Z,4,FALSE)+VLOOKUP($A336,A:AL,4,FALSE)-50))</f>
        <v>653</v>
      </c>
      <c r="F336" s="3" t="s">
        <v>23</v>
      </c>
      <c r="G336" s="3" t="s">
        <v>23</v>
      </c>
      <c r="H336" s="3" t="s">
        <v>23</v>
      </c>
      <c r="I336" s="3">
        <f>VLOOKUP($A336,'SegEnds_NonXtal_BW#'!$A:$Z,7,FALSE)+J336-50</f>
        <v>659</v>
      </c>
      <c r="J336" s="3">
        <v>672</v>
      </c>
      <c r="K336" s="3">
        <f>VLOOKUP($A336,'SegEnds_NonXtal_BW#'!$A:$Z,8,FALSE)+VLOOKUP($A336,A:AL,10,FALSE)-50</f>
        <v>685</v>
      </c>
      <c r="L336" s="3" t="str">
        <f>IF(ISERROR(VLOOKUP($A336,'SegEnds_NonXtal_BW#'!$A:$Z,9,FALSE)+VLOOKUP($A336,A:AL,13,FALSE)-50),"-",(VLOOKUP($A336,'SegEnds_NonXtal_BW#'!$A:$Z,9,FALSE)+VLOOKUP($A336,A:AL,13,FALSE)-50))</f>
        <v>-</v>
      </c>
      <c r="M336" s="3" t="s">
        <v>23</v>
      </c>
      <c r="N336" s="3" t="str">
        <f>IF(ISERROR(VLOOKUP($A336,'SegEnds_NonXtal_BW#'!$A:$Z,10,FALSE)+VLOOKUP($A336,A:AL,13,FALSE)-50),"-",(VLOOKUP($A336,'SegEnds_NonXtal_BW#'!$A:$Z,10,FALSE)+VLOOKUP($A336,A:AL,13,FALSE)-50))</f>
        <v>-</v>
      </c>
      <c r="O336" s="3">
        <f>VLOOKUP($A336,'SegEnds_NonXtal_BW#'!$A:$Z,11,FALSE)+VLOOKUP($A336,A:AL,16,FALSE)-50</f>
        <v>692</v>
      </c>
      <c r="P336" s="3">
        <v>719</v>
      </c>
      <c r="Q336" s="3">
        <f>VLOOKUP($A336,'SegEnds_NonXtal_BW#'!$A:$Z,12,FALSE)+VLOOKUP($A336,A:AL,16,FALSE)-50</f>
        <v>725</v>
      </c>
      <c r="R336" s="3" t="str">
        <f>IF(ISERROR(VLOOKUP($A336,'SegEnds_NonXtal_BW#'!$A:$Z,13,FALSE)+VLOOKUP($A336,A:AL,19,FALSE)-50),"-",VLOOKUP($A336,'SegEnds_NonXtal_BW#'!$A:$Z,13,FALSE)+VLOOKUP($A336,A:AL,19,FALSE)-50)</f>
        <v>-</v>
      </c>
      <c r="S336" s="3" t="s">
        <v>23</v>
      </c>
      <c r="T336" s="100" t="str">
        <f>IF(ISERROR(VLOOKUP($A336,'SegEnds_NonXtal_BW#'!$A:$Z,14,FALSE)+VLOOKUP($A336,A:AL,19,FALSE)-50),"-",(VLOOKUP($A336,'SegEnds_NonXtal_BW#'!$A:$Z,14,FALSE)+VLOOKUP($A336,A:AL,19,FALSE)-50))</f>
        <v>-</v>
      </c>
      <c r="U336" s="9">
        <f>IF(ISERROR(VLOOKUP($A336,'SegEnds_NonXtal_BW#'!$A:$Z,15,FALSE)+VLOOKUP($A336,A:AL,22,FALSE)-50),"-",VLOOKUP($A336,'SegEnds_NonXtal_BW#'!$A:$Z,15,FALSE)+VLOOKUP($A336,A:AL,22,FALSE)-50)</f>
        <v>733</v>
      </c>
      <c r="V336" s="3">
        <v>743</v>
      </c>
      <c r="W336" s="3">
        <f>IF(ISERROR(VLOOKUP($A336,'SegEnds_NonXtal_BW#'!$A:$Z,16,FALSE)+VLOOKUP($A336,A:AL,22,FALSE)-50),"-",(VLOOKUP($A336,'SegEnds_NonXtal_BW#'!$A:$Z,16,FALSE)+VLOOKUP($A336,A:AL,22,FALSE)-50))</f>
        <v>761</v>
      </c>
      <c r="X336" s="3">
        <f>IF(ISERROR(VLOOKUP($A336,'SegEnds_NonXtal_BW#'!$A:$Z,17,FALSE)+VLOOKUP($A336,A:AL,25,FALSE)-50),"-",(VLOOKUP($A336,'SegEnds_NonXtal_BW#'!$A:$Z,17,FALSE)+VLOOKUP($A336,A:AL,25,FALSE)-50))</f>
        <v>778</v>
      </c>
      <c r="Y336" s="3">
        <v>778</v>
      </c>
      <c r="Z336" s="3">
        <f t="shared" si="204"/>
        <v>780</v>
      </c>
      <c r="AA336" s="3">
        <f>IF(ISERROR(VLOOKUP($A336,'SegEnds_NonXtal_BW#'!$A:$Z,19,FALSE)+VLOOKUP($A336,A:AL,28,FALSE)-50),"-",(VLOOKUP($A336,'SegEnds_NonXtal_BW#'!$A:$Z,19,FALSE)+VLOOKUP($A336,A:AL,28,FALSE)-50))</f>
        <v>783</v>
      </c>
      <c r="AB336" s="3">
        <v>797</v>
      </c>
      <c r="AC336" s="3">
        <f>IF(ISERROR((VLOOKUP($A336,'SegEnds_NonXtal_BW#'!$A:$Z,20,FALSE)+VLOOKUP($A336,A:AL,28,FALSE)-50)),"-",(VLOOKUP($A336,'SegEnds_NonXtal_BW#'!$A:$Z,20,FALSE)+VLOOKUP($A336,A:AL,28,FALSE)-50))</f>
        <v>816</v>
      </c>
      <c r="AD336" s="3">
        <f>IF(ISERROR(VLOOKUP($A336,'SegEnds_NonXtal_BW#'!$A:$Z,21,FALSE)+VLOOKUP($A336,A:AL,31,FALSE)-50),"-",(VLOOKUP($A336,'SegEnds_NonXtal_BW#'!$A:$Z,21,FALSE)+VLOOKUP($A336,A:AL,31,FALSE)-50))</f>
        <v>827</v>
      </c>
      <c r="AE336" s="3">
        <v>848</v>
      </c>
      <c r="AF336" s="3">
        <f>IF(ISERROR((VLOOKUP($A336,'SegEnds_NonXtal_BW#'!$A:$Z,22,FALSE)+VLOOKUP($A336,A:AL,31,FALSE)-50)),"-",(VLOOKUP($A336,'SegEnds_NonXtal_BW#'!$A:$Z,22,FALSE)+VLOOKUP($A336,A:AL,31,FALSE)-50))</f>
        <v>852</v>
      </c>
      <c r="AG336" s="3">
        <f>IF(ISERROR(VLOOKUP($A336,'SegEnds_NonXtal_BW#'!$A:$Z,23,FALSE)+VLOOKUP($A336,A:AL,34,FALSE)-50),"-",(VLOOKUP($A336,'SegEnds_NonXtal_BW#'!$A:$Z,23,FALSE)+VLOOKUP($A336,A:AL,34,FALSE)-50))</f>
        <v>857</v>
      </c>
      <c r="AH336" s="3">
        <v>876</v>
      </c>
      <c r="AI336" s="3">
        <f>IF(ISERROR((VLOOKUP($A336,'SegEnds_NonXtal_BW#'!$A:$Z,24,FALSE)+VLOOKUP($A336,A:AL,34,FALSE)-50)),"-",(VLOOKUP($A336,'SegEnds_NonXtal_BW#'!$A:$Z,24,FALSE)+VLOOKUP($A336,A:AL,34,FALSE)-50))</f>
        <v>882</v>
      </c>
      <c r="AJ336" s="3">
        <f>IF(ISERROR(VLOOKUP($A336,'SegEnds_NonXtal_BW#'!$A:$Z,25,FALSE)+VLOOKUP($A336,A:AL,37,FALSE)-50),"-",(VLOOKUP($A336,'SegEnds_NonXtal_BW#'!$A:$Z,25,FALSE)+VLOOKUP($A336,A:AL,37,FALSE)-50))</f>
        <v>883</v>
      </c>
      <c r="AK336" s="3">
        <v>886</v>
      </c>
      <c r="AL336" s="3">
        <f>IF(ISERROR((VLOOKUP($A336,'SegEnds_NonXtal_BW#'!$A:$Z,26,FALSE)+VLOOKUP($A336,A:AL,37,FALSE)-50)),"-",(VLOOKUP($A336,'SegEnds_NonXtal_BW#'!$A:$Z,26,FALSE)+VLOOKUP($A336,A:AL,37,FALSE)-50))</f>
        <v>899</v>
      </c>
      <c r="AM336" s="28" t="str">
        <f>VLOOKUP(A336,Classification!A:B,2,FALSE)</f>
        <v>B2</v>
      </c>
      <c r="AN336" s="28" t="b">
        <f t="shared" si="220"/>
        <v>1</v>
      </c>
      <c r="AO336" s="3" t="str">
        <f>IF(ISERROR(MATCH(A336,'SegEnds_Xtal_Prot#'!B:B, 0)), "NoXtal", "Xtal")</f>
        <v>NoXtal</v>
      </c>
      <c r="AP336" s="3" t="str">
        <f t="shared" si="205"/>
        <v>-</v>
      </c>
      <c r="AQ336" s="3" t="str">
        <f t="shared" si="206"/>
        <v>-</v>
      </c>
      <c r="AR336" s="3" t="str">
        <f t="shared" si="207"/>
        <v>-</v>
      </c>
      <c r="AS336" s="3" t="str">
        <f t="shared" si="208"/>
        <v>-</v>
      </c>
      <c r="AT336" s="3" t="str">
        <f t="shared" si="209"/>
        <v>-</v>
      </c>
      <c r="AU336" s="3" t="str">
        <f t="shared" si="210"/>
        <v>-</v>
      </c>
      <c r="AV336" s="3">
        <f t="shared" si="211"/>
        <v>17</v>
      </c>
      <c r="AW336" s="3">
        <f t="shared" si="212"/>
        <v>3</v>
      </c>
      <c r="AX336" s="3">
        <f t="shared" si="213"/>
        <v>11</v>
      </c>
      <c r="AY336" s="3">
        <f t="shared" si="214"/>
        <v>5</v>
      </c>
      <c r="AZ336" s="3">
        <f t="shared" si="215"/>
        <v>1</v>
      </c>
      <c r="BA336" s="3">
        <f>IF(ISERROR(LEN(VLOOKUP(A336,Seqs!A:E,2,FALSE))-AL336),"-",LEN(VLOOKUP(A336,Seqs!A:E,2,FALSE))-AL336)</f>
        <v>118</v>
      </c>
      <c r="BB336" s="16">
        <f t="shared" si="216"/>
        <v>29</v>
      </c>
      <c r="BC336" s="9" t="str">
        <f t="shared" si="217"/>
        <v>-</v>
      </c>
      <c r="BD336" s="3">
        <f t="shared" si="218"/>
        <v>29</v>
      </c>
      <c r="BE336" s="3">
        <f t="shared" si="219"/>
        <v>51</v>
      </c>
    </row>
    <row r="337" spans="1:58" s="3" customFormat="1" x14ac:dyDescent="0.2">
      <c r="A337" s="3" t="s">
        <v>1188</v>
      </c>
      <c r="B337" s="3" t="str">
        <f>LOWER(VLOOKUP(A337,Xtal_Templ!A:B,2,FALSE))</f>
        <v>pth1r_human</v>
      </c>
      <c r="C337" s="3">
        <f>VLOOKUP($A337,'SegEnds_NonXtal_BW#'!$A:$Z,3,FALSE)+D337-50</f>
        <v>256</v>
      </c>
      <c r="D337" s="3">
        <v>283</v>
      </c>
      <c r="E337" s="3">
        <f>IF(ISERROR(VLOOKUP($A337,'SegEnds_NonXtal_BW#'!$A:$Z,4,FALSE)+VLOOKUP($A337,A:AL,4,FALSE)-50),"-",(VLOOKUP($A337,'SegEnds_NonXtal_BW#'!$A:$Z,4,FALSE)+VLOOKUP($A337,A:AL,4,FALSE)-50))</f>
        <v>293</v>
      </c>
      <c r="F337" s="3" t="s">
        <v>23</v>
      </c>
      <c r="G337" s="3" t="s">
        <v>23</v>
      </c>
      <c r="H337" s="3" t="s">
        <v>23</v>
      </c>
      <c r="I337" s="3">
        <f>VLOOKUP($A337,'SegEnds_NonXtal_BW#'!$A:$Z,7,FALSE)+J337-50</f>
        <v>303</v>
      </c>
      <c r="J337" s="3">
        <v>316</v>
      </c>
      <c r="K337" s="3">
        <f>VLOOKUP($A337,'SegEnds_NonXtal_BW#'!$A:$Z,8,FALSE)+VLOOKUP($A337,A:AL,10,FALSE)-50</f>
        <v>329</v>
      </c>
      <c r="L337" s="3" t="str">
        <f>IF(ISERROR(VLOOKUP($A337,'SegEnds_NonXtal_BW#'!$A:$Z,9,FALSE)+VLOOKUP($A337,A:AL,13,FALSE)-50),"-",(VLOOKUP($A337,'SegEnds_NonXtal_BW#'!$A:$Z,9,FALSE)+VLOOKUP($A337,A:AL,13,FALSE)-50))</f>
        <v>-</v>
      </c>
      <c r="M337" s="3" t="s">
        <v>23</v>
      </c>
      <c r="N337" s="3" t="str">
        <f>IF(ISERROR(VLOOKUP($A337,'SegEnds_NonXtal_BW#'!$A:$Z,10,FALSE)+VLOOKUP($A337,A:AL,13,FALSE)-50),"-",(VLOOKUP($A337,'SegEnds_NonXtal_BW#'!$A:$Z,10,FALSE)+VLOOKUP($A337,A:AL,13,FALSE)-50))</f>
        <v>-</v>
      </c>
      <c r="O337" s="3">
        <f>VLOOKUP($A337,'SegEnds_NonXtal_BW#'!$A:$Z,11,FALSE)+VLOOKUP($A337,A:AL,16,FALSE)-50</f>
        <v>336</v>
      </c>
      <c r="P337" s="3">
        <v>363</v>
      </c>
      <c r="Q337" s="3">
        <f>VLOOKUP($A337,'SegEnds_NonXtal_BW#'!$A:$Z,12,FALSE)+VLOOKUP($A337,A:AL,16,FALSE)-50</f>
        <v>369</v>
      </c>
      <c r="R337" s="3" t="str">
        <f>IF(ISERROR(VLOOKUP($A337,'SegEnds_NonXtal_BW#'!$A:$Z,13,FALSE)+VLOOKUP($A337,A:AL,19,FALSE)-50),"-",VLOOKUP($A337,'SegEnds_NonXtal_BW#'!$A:$Z,13,FALSE)+VLOOKUP($A337,A:AL,19,FALSE)-50)</f>
        <v>-</v>
      </c>
      <c r="S337" s="3" t="s">
        <v>23</v>
      </c>
      <c r="T337" s="100" t="str">
        <f>IF(ISERROR(VLOOKUP($A337,'SegEnds_NonXtal_BW#'!$A:$Z,14,FALSE)+VLOOKUP($A337,A:AL,19,FALSE)-50),"-",(VLOOKUP($A337,'SegEnds_NonXtal_BW#'!$A:$Z,14,FALSE)+VLOOKUP($A337,A:AL,19,FALSE)-50))</f>
        <v>-</v>
      </c>
      <c r="U337" s="9">
        <f>IF(ISERROR(VLOOKUP($A337,'SegEnds_NonXtal_BW#'!$A:$Z,15,FALSE)+VLOOKUP($A337,A:AL,22,FALSE)-50),"-",VLOOKUP($A337,'SegEnds_NonXtal_BW#'!$A:$Z,15,FALSE)+VLOOKUP($A337,A:AL,22,FALSE)-50)</f>
        <v>374</v>
      </c>
      <c r="V337" s="3">
        <v>387</v>
      </c>
      <c r="W337" s="3">
        <f>IF(ISERROR(VLOOKUP($A337,'SegEnds_NonXtal_BW#'!$A:$Z,16,FALSE)+VLOOKUP($A337,A:AL,22,FALSE)-50),"-",(VLOOKUP($A337,'SegEnds_NonXtal_BW#'!$A:$Z,16,FALSE)+VLOOKUP($A337,A:AL,22,FALSE)-50))</f>
        <v>405</v>
      </c>
      <c r="X337" s="3">
        <f>IF(ISERROR(VLOOKUP($A337,'SegEnds_NonXtal_BW#'!$A:$Z,17,FALSE)+VLOOKUP($A337,A:AL,25,FALSE)-50),"-",(VLOOKUP($A337,'SegEnds_NonXtal_BW#'!$A:$Z,17,FALSE)+VLOOKUP($A337,A:AL,25,FALSE)-50))</f>
        <v>420</v>
      </c>
      <c r="Y337" s="3">
        <v>420</v>
      </c>
      <c r="Z337" s="3">
        <f t="shared" si="204"/>
        <v>422</v>
      </c>
      <c r="AA337" s="3">
        <f>IF(ISERROR(VLOOKUP($A337,'SegEnds_NonXtal_BW#'!$A:$Z,19,FALSE)+VLOOKUP($A337,A:AL,28,FALSE)-50),"-",(VLOOKUP($A337,'SegEnds_NonXtal_BW#'!$A:$Z,19,FALSE)+VLOOKUP($A337,A:AL,28,FALSE)-50))</f>
        <v>424</v>
      </c>
      <c r="AB337" s="3">
        <v>438</v>
      </c>
      <c r="AC337" s="3">
        <f>IF(ISERROR((VLOOKUP($A337,'SegEnds_NonXtal_BW#'!$A:$Z,20,FALSE)+VLOOKUP($A337,A:AL,28,FALSE)-50)),"-",(VLOOKUP($A337,'SegEnds_NonXtal_BW#'!$A:$Z,20,FALSE)+VLOOKUP($A337,A:AL,28,FALSE)-50))</f>
        <v>457</v>
      </c>
      <c r="AD337" s="3">
        <f>IF(ISERROR(VLOOKUP($A337,'SegEnds_NonXtal_BW#'!$A:$Z,21,FALSE)+VLOOKUP($A337,A:AL,31,FALSE)-50),"-",(VLOOKUP($A337,'SegEnds_NonXtal_BW#'!$A:$Z,21,FALSE)+VLOOKUP($A337,A:AL,31,FALSE)-50))</f>
        <v>471</v>
      </c>
      <c r="AE337" s="3">
        <v>492</v>
      </c>
      <c r="AF337" s="3">
        <f>IF(ISERROR((VLOOKUP($A337,'SegEnds_NonXtal_BW#'!$A:$Z,22,FALSE)+VLOOKUP($A337,A:AL,31,FALSE)-50)),"-",(VLOOKUP($A337,'SegEnds_NonXtal_BW#'!$A:$Z,22,FALSE)+VLOOKUP($A337,A:AL,31,FALSE)-50))</f>
        <v>492</v>
      </c>
      <c r="AG337" s="3">
        <f>IF(ISERROR(VLOOKUP($A337,'SegEnds_NonXtal_BW#'!$A:$Z,23,FALSE)+VLOOKUP($A337,A:AL,34,FALSE)-50),"-",(VLOOKUP($A337,'SegEnds_NonXtal_BW#'!$A:$Z,23,FALSE)+VLOOKUP($A337,A:AL,34,FALSE)-50))</f>
        <v>499</v>
      </c>
      <c r="AH337" s="3">
        <v>518</v>
      </c>
      <c r="AI337" s="3">
        <f>IF(ISERROR((VLOOKUP($A337,'SegEnds_NonXtal_BW#'!$A:$Z,24,FALSE)+VLOOKUP($A337,A:AL,34,FALSE)-50)),"-",(VLOOKUP($A337,'SegEnds_NonXtal_BW#'!$A:$Z,24,FALSE)+VLOOKUP($A337,A:AL,34,FALSE)-50))</f>
        <v>524</v>
      </c>
      <c r="AJ337" s="3">
        <f>IF(ISERROR(VLOOKUP($A337,'SegEnds_NonXtal_BW#'!$A:$Z,25,FALSE)+VLOOKUP($A337,A:AL,37,FALSE)-50),"-",(VLOOKUP($A337,'SegEnds_NonXtal_BW#'!$A:$Z,25,FALSE)+VLOOKUP($A337,A:AL,37,FALSE)-50))</f>
        <v>525</v>
      </c>
      <c r="AK337" s="3">
        <v>528</v>
      </c>
      <c r="AL337" s="3">
        <f>IF(ISERROR((VLOOKUP($A337,'SegEnds_NonXtal_BW#'!$A:$Z,26,FALSE)+VLOOKUP($A337,A:AL,37,FALSE)-50)),"-",(VLOOKUP($A337,'SegEnds_NonXtal_BW#'!$A:$Z,26,FALSE)+VLOOKUP($A337,A:AL,37,FALSE)-50))</f>
        <v>541</v>
      </c>
      <c r="AM337" s="28" t="str">
        <f>VLOOKUP(A337,Classification!A:B,2,FALSE)</f>
        <v>B2</v>
      </c>
      <c r="AN337" s="28" t="b">
        <f t="shared" si="220"/>
        <v>1</v>
      </c>
      <c r="AO337" s="3" t="str">
        <f>IF(ISERROR(MATCH(A337,'SegEnds_Xtal_Prot#'!B:B, 0)), "NoXtal", "Xtal")</f>
        <v>NoXtal</v>
      </c>
      <c r="AP337" s="3" t="str">
        <f t="shared" si="205"/>
        <v>-</v>
      </c>
      <c r="AQ337" s="3" t="str">
        <f t="shared" si="206"/>
        <v>-</v>
      </c>
      <c r="AR337" s="3" t="str">
        <f t="shared" si="207"/>
        <v>-</v>
      </c>
      <c r="AS337" s="3" t="str">
        <f t="shared" si="208"/>
        <v>-</v>
      </c>
      <c r="AT337" s="3" t="str">
        <f t="shared" si="209"/>
        <v>-</v>
      </c>
      <c r="AU337" s="3" t="str">
        <f t="shared" si="210"/>
        <v>-</v>
      </c>
      <c r="AV337" s="3">
        <f t="shared" si="211"/>
        <v>15</v>
      </c>
      <c r="AW337" s="3">
        <f t="shared" si="212"/>
        <v>2</v>
      </c>
      <c r="AX337" s="3">
        <f t="shared" si="213"/>
        <v>14</v>
      </c>
      <c r="AY337" s="3">
        <f t="shared" si="214"/>
        <v>7</v>
      </c>
      <c r="AZ337" s="3">
        <f t="shared" si="215"/>
        <v>1</v>
      </c>
      <c r="BA337" s="3">
        <f>IF(ISERROR(LEN(VLOOKUP(A337,Seqs!A:E,2,FALSE))-AL337),"-",LEN(VLOOKUP(A337,Seqs!A:E,2,FALSE))-AL337)</f>
        <v>8</v>
      </c>
      <c r="BB337" s="16">
        <f t="shared" si="216"/>
        <v>33</v>
      </c>
      <c r="BC337" s="9" t="str">
        <f t="shared" si="217"/>
        <v>-</v>
      </c>
      <c r="BD337" s="3">
        <f t="shared" si="218"/>
        <v>33</v>
      </c>
      <c r="BE337" s="3">
        <f t="shared" si="219"/>
        <v>54</v>
      </c>
      <c r="BF337" s="3">
        <f>AH337-AE337</f>
        <v>26</v>
      </c>
    </row>
    <row r="338" spans="1:58" s="3" customFormat="1" x14ac:dyDescent="0.2">
      <c r="A338" s="3" t="s">
        <v>1189</v>
      </c>
      <c r="B338" s="3" t="str">
        <f>LOWER(VLOOKUP(A338,Xtal_Templ!A:B,2,FALSE))</f>
        <v>pth1r_human</v>
      </c>
      <c r="C338" s="3">
        <f>VLOOKUP($A338,'SegEnds_NonXtal_BW#'!$A:$Z,3,FALSE)+D338-50</f>
        <v>2731</v>
      </c>
      <c r="D338" s="3">
        <v>2758</v>
      </c>
      <c r="E338" s="3">
        <f>IF(ISERROR(VLOOKUP($A338,'SegEnds_NonXtal_BW#'!$A:$Z,4,FALSE)+VLOOKUP($A338,A:AL,4,FALSE)-50),"-",(VLOOKUP($A338,'SegEnds_NonXtal_BW#'!$A:$Z,4,FALSE)+VLOOKUP($A338,A:AL,4,FALSE)-50))</f>
        <v>2768</v>
      </c>
      <c r="F338" s="3" t="s">
        <v>23</v>
      </c>
      <c r="G338" s="3" t="s">
        <v>23</v>
      </c>
      <c r="H338" s="3" t="s">
        <v>23</v>
      </c>
      <c r="I338" s="3">
        <f>VLOOKUP($A338,'SegEnds_NonXtal_BW#'!$A:$Z,7,FALSE)+J338-50</f>
        <v>2774</v>
      </c>
      <c r="J338" s="3">
        <v>2787</v>
      </c>
      <c r="K338" s="3">
        <f>VLOOKUP($A338,'SegEnds_NonXtal_BW#'!$A:$Z,8,FALSE)+VLOOKUP($A338,A:AL,10,FALSE)-50</f>
        <v>2800</v>
      </c>
      <c r="L338" s="3" t="str">
        <f>IF(ISERROR(VLOOKUP($A338,'SegEnds_NonXtal_BW#'!$A:$Z,9,FALSE)+VLOOKUP($A338,A:AL,13,FALSE)-50),"-",(VLOOKUP($A338,'SegEnds_NonXtal_BW#'!$A:$Z,9,FALSE)+VLOOKUP($A338,A:AL,13,FALSE)-50))</f>
        <v>-</v>
      </c>
      <c r="M338" s="3" t="s">
        <v>23</v>
      </c>
      <c r="N338" s="3" t="str">
        <f>IF(ISERROR(VLOOKUP($A338,'SegEnds_NonXtal_BW#'!$A:$Z,10,FALSE)+VLOOKUP($A338,A:AL,13,FALSE)-50),"-",(VLOOKUP($A338,'SegEnds_NonXtal_BW#'!$A:$Z,10,FALSE)+VLOOKUP($A338,A:AL,13,FALSE)-50))</f>
        <v>-</v>
      </c>
      <c r="O338" s="3">
        <f>VLOOKUP($A338,'SegEnds_NonXtal_BW#'!$A:$Z,11,FALSE)+VLOOKUP($A338,A:AL,16,FALSE)-50</f>
        <v>2807</v>
      </c>
      <c r="P338" s="3">
        <v>2834</v>
      </c>
      <c r="Q338" s="3">
        <f>VLOOKUP($A338,'SegEnds_NonXtal_BW#'!$A:$Z,12,FALSE)+VLOOKUP($A338,A:AL,16,FALSE)-50</f>
        <v>2840</v>
      </c>
      <c r="R338" s="3" t="str">
        <f>IF(ISERROR(VLOOKUP($A338,'SegEnds_NonXtal_BW#'!$A:$Z,13,FALSE)+VLOOKUP($A338,A:AL,19,FALSE)-50),"-",VLOOKUP($A338,'SegEnds_NonXtal_BW#'!$A:$Z,13,FALSE)+VLOOKUP($A338,A:AL,19,FALSE)-50)</f>
        <v>-</v>
      </c>
      <c r="S338" s="3" t="s">
        <v>23</v>
      </c>
      <c r="T338" s="100" t="str">
        <f>IF(ISERROR(VLOOKUP($A338,'SegEnds_NonXtal_BW#'!$A:$Z,14,FALSE)+VLOOKUP($A338,A:AL,19,FALSE)-50),"-",(VLOOKUP($A338,'SegEnds_NonXtal_BW#'!$A:$Z,14,FALSE)+VLOOKUP($A338,A:AL,19,FALSE)-50))</f>
        <v>-</v>
      </c>
      <c r="U338" s="9">
        <f>IF(ISERROR(VLOOKUP($A338,'SegEnds_NonXtal_BW#'!$A:$Z,15,FALSE)+VLOOKUP($A338,A:AL,22,FALSE)-50),"-",VLOOKUP($A338,'SegEnds_NonXtal_BW#'!$A:$Z,15,FALSE)+VLOOKUP($A338,A:AL,22,FALSE)-50)</f>
        <v>2845</v>
      </c>
      <c r="V338" s="3">
        <v>2858</v>
      </c>
      <c r="W338" s="3">
        <f>IF(ISERROR(VLOOKUP($A338,'SegEnds_NonXtal_BW#'!$A:$Z,16,FALSE)+VLOOKUP($A338,A:AL,22,FALSE)-50),"-",(VLOOKUP($A338,'SegEnds_NonXtal_BW#'!$A:$Z,16,FALSE)+VLOOKUP($A338,A:AL,22,FALSE)-50))</f>
        <v>2876</v>
      </c>
      <c r="X338" s="3">
        <f>IF(ISERROR(VLOOKUP($A338,'SegEnds_NonXtal_BW#'!$A:$Z,17,FALSE)+VLOOKUP($A338,A:AL,25,FALSE)-50),"-",(VLOOKUP($A338,'SegEnds_NonXtal_BW#'!$A:$Z,17,FALSE)+VLOOKUP($A338,A:AL,25,FALSE)-50))</f>
        <v>2886</v>
      </c>
      <c r="Y338" s="3">
        <v>2886</v>
      </c>
      <c r="Z338" s="3">
        <f t="shared" si="204"/>
        <v>2888</v>
      </c>
      <c r="AA338" s="3">
        <f>IF(ISERROR(VLOOKUP($A338,'SegEnds_NonXtal_BW#'!$A:$Z,19,FALSE)+VLOOKUP($A338,A:AL,28,FALSE)-50),"-",(VLOOKUP($A338,'SegEnds_NonXtal_BW#'!$A:$Z,19,FALSE)+VLOOKUP($A338,A:AL,28,FALSE)-50))</f>
        <v>2891</v>
      </c>
      <c r="AB338" s="3">
        <v>2905</v>
      </c>
      <c r="AC338" s="3">
        <f>IF(ISERROR((VLOOKUP($A338,'SegEnds_NonXtal_BW#'!$A:$Z,20,FALSE)+VLOOKUP($A338,A:AL,28,FALSE)-50)),"-",(VLOOKUP($A338,'SegEnds_NonXtal_BW#'!$A:$Z,20,FALSE)+VLOOKUP($A338,A:AL,28,FALSE)-50))</f>
        <v>2924</v>
      </c>
      <c r="AD338" s="3">
        <f>IF(ISERROR(VLOOKUP($A338,'SegEnds_NonXtal_BW#'!$A:$Z,21,FALSE)+VLOOKUP($A338,A:AL,31,FALSE)-50),"-",(VLOOKUP($A338,'SegEnds_NonXtal_BW#'!$A:$Z,21,FALSE)+VLOOKUP($A338,A:AL,31,FALSE)-50))</f>
        <v>2934</v>
      </c>
      <c r="AE338" s="3">
        <v>2955</v>
      </c>
      <c r="AF338" s="3">
        <f>IF(ISERROR((VLOOKUP($A338,'SegEnds_NonXtal_BW#'!$A:$Z,22,FALSE)+VLOOKUP($A338,A:AL,31,FALSE)-50)),"-",(VLOOKUP($A338,'SegEnds_NonXtal_BW#'!$A:$Z,22,FALSE)+VLOOKUP($A338,A:AL,31,FALSE)-50))</f>
        <v>2959</v>
      </c>
      <c r="AG338" s="3">
        <f>IF(ISERROR(VLOOKUP($A338,'SegEnds_NonXtal_BW#'!$A:$Z,23,FALSE)+VLOOKUP($A338,A:AL,34,FALSE)-50),"-",(VLOOKUP($A338,'SegEnds_NonXtal_BW#'!$A:$Z,23,FALSE)+VLOOKUP($A338,A:AL,34,FALSE)-50))</f>
        <v>2964</v>
      </c>
      <c r="AH338" s="3">
        <v>2983</v>
      </c>
      <c r="AI338" s="3">
        <f>IF(ISERROR((VLOOKUP($A338,'SegEnds_NonXtal_BW#'!$A:$Z,24,FALSE)+VLOOKUP($A338,A:AL,34,FALSE)-50)),"-",(VLOOKUP($A338,'SegEnds_NonXtal_BW#'!$A:$Z,24,FALSE)+VLOOKUP($A338,A:AL,34,FALSE)-50))</f>
        <v>2989</v>
      </c>
      <c r="AJ338" s="3">
        <f>IF(ISERROR(VLOOKUP($A338,'SegEnds_NonXtal_BW#'!$A:$Z,25,FALSE)+VLOOKUP($A338,A:AL,37,FALSE)-50),"-",(VLOOKUP($A338,'SegEnds_NonXtal_BW#'!$A:$Z,25,FALSE)+VLOOKUP($A338,A:AL,37,FALSE)-50))</f>
        <v>2990</v>
      </c>
      <c r="AK338" s="3">
        <v>2993</v>
      </c>
      <c r="AL338" s="3">
        <f>IF(ISERROR((VLOOKUP($A338,'SegEnds_NonXtal_BW#'!$A:$Z,26,FALSE)+VLOOKUP($A338,A:AL,37,FALSE)-50)),"-",(VLOOKUP($A338,'SegEnds_NonXtal_BW#'!$A:$Z,26,FALSE)+VLOOKUP($A338,A:AL,37,FALSE)-50))</f>
        <v>3006</v>
      </c>
      <c r="AM338" s="28" t="str">
        <f>VLOOKUP(A338,Classification!A:B,2,FALSE)</f>
        <v>B2</v>
      </c>
      <c r="AN338" s="28" t="b">
        <f t="shared" si="220"/>
        <v>1</v>
      </c>
      <c r="AO338" s="3" t="str">
        <f>IF(ISERROR(MATCH(A338,'SegEnds_Xtal_Prot#'!B:B, 0)), "NoXtal", "Xtal")</f>
        <v>NoXtal</v>
      </c>
      <c r="AP338" s="3" t="str">
        <f t="shared" si="205"/>
        <v>-</v>
      </c>
      <c r="AQ338" s="3" t="str">
        <f t="shared" si="206"/>
        <v>-</v>
      </c>
      <c r="AR338" s="3" t="str">
        <f t="shared" si="207"/>
        <v>-</v>
      </c>
      <c r="AS338" s="3" t="str">
        <f t="shared" si="208"/>
        <v>-</v>
      </c>
      <c r="AT338" s="3" t="str">
        <f t="shared" si="209"/>
        <v>-</v>
      </c>
      <c r="AU338" s="3" t="str">
        <f t="shared" si="210"/>
        <v>-</v>
      </c>
      <c r="AV338" s="3">
        <f t="shared" si="211"/>
        <v>10</v>
      </c>
      <c r="AW338" s="3">
        <f t="shared" si="212"/>
        <v>3</v>
      </c>
      <c r="AX338" s="3">
        <f t="shared" si="213"/>
        <v>10</v>
      </c>
      <c r="AY338" s="3">
        <f t="shared" si="214"/>
        <v>5</v>
      </c>
      <c r="AZ338" s="3">
        <f t="shared" si="215"/>
        <v>1</v>
      </c>
      <c r="BA338" s="3">
        <f>IF(ISERROR(LEN(VLOOKUP(A338,Seqs!A:E,2,FALSE))-AL338),"-",LEN(VLOOKUP(A338,Seqs!A:E,2,FALSE))-AL338)</f>
        <v>74</v>
      </c>
      <c r="BB338" s="16">
        <f t="shared" si="216"/>
        <v>29</v>
      </c>
      <c r="BC338" s="9" t="str">
        <f t="shared" si="217"/>
        <v>-</v>
      </c>
      <c r="BD338" s="3">
        <f t="shared" si="218"/>
        <v>29</v>
      </c>
      <c r="BE338" s="3">
        <f t="shared" si="219"/>
        <v>50</v>
      </c>
    </row>
    <row r="339" spans="1:58" s="3" customFormat="1" x14ac:dyDescent="0.2">
      <c r="A339" s="3" t="s">
        <v>1190</v>
      </c>
      <c r="B339" s="3" t="str">
        <f>LOWER(VLOOKUP(A339,Xtal_Templ!A:B,2,FALSE))</f>
        <v>pth1r_human</v>
      </c>
      <c r="C339" s="3">
        <f>VLOOKUP($A339,'SegEnds_NonXtal_BW#'!$A:$Z,3,FALSE)+D339-50</f>
        <v>236</v>
      </c>
      <c r="D339" s="3">
        <v>263</v>
      </c>
      <c r="E339" s="3">
        <f>IF(ISERROR(VLOOKUP($A339,'SegEnds_NonXtal_BW#'!$A:$Z,4,FALSE)+VLOOKUP($A339,A:AL,4,FALSE)-50),"-",(VLOOKUP($A339,'SegEnds_NonXtal_BW#'!$A:$Z,4,FALSE)+VLOOKUP($A339,A:AL,4,FALSE)-50))</f>
        <v>273</v>
      </c>
      <c r="F339" s="3" t="s">
        <v>23</v>
      </c>
      <c r="G339" s="3" t="s">
        <v>23</v>
      </c>
      <c r="H339" s="3" t="s">
        <v>23</v>
      </c>
      <c r="I339" s="3">
        <f>VLOOKUP($A339,'SegEnds_NonXtal_BW#'!$A:$Z,7,FALSE)+J339-50</f>
        <v>278</v>
      </c>
      <c r="J339" s="3">
        <v>291</v>
      </c>
      <c r="K339" s="3">
        <f>VLOOKUP($A339,'SegEnds_NonXtal_BW#'!$A:$Z,8,FALSE)+VLOOKUP($A339,A:AL,10,FALSE)-50</f>
        <v>304</v>
      </c>
      <c r="L339" s="3" t="str">
        <f>IF(ISERROR(VLOOKUP($A339,'SegEnds_NonXtal_BW#'!$A:$Z,9,FALSE)+VLOOKUP($A339,A:AL,13,FALSE)-50),"-",(VLOOKUP($A339,'SegEnds_NonXtal_BW#'!$A:$Z,9,FALSE)+VLOOKUP($A339,A:AL,13,FALSE)-50))</f>
        <v>-</v>
      </c>
      <c r="M339" s="3" t="s">
        <v>23</v>
      </c>
      <c r="N339" s="3" t="str">
        <f>IF(ISERROR(VLOOKUP($A339,'SegEnds_NonXtal_BW#'!$A:$Z,10,FALSE)+VLOOKUP($A339,A:AL,13,FALSE)-50),"-",(VLOOKUP($A339,'SegEnds_NonXtal_BW#'!$A:$Z,10,FALSE)+VLOOKUP($A339,A:AL,13,FALSE)-50))</f>
        <v>-</v>
      </c>
      <c r="O339" s="3">
        <f>VLOOKUP($A339,'SegEnds_NonXtal_BW#'!$A:$Z,11,FALSE)+VLOOKUP($A339,A:AL,16,FALSE)-50</f>
        <v>312</v>
      </c>
      <c r="P339" s="3">
        <v>339</v>
      </c>
      <c r="Q339" s="3">
        <f>VLOOKUP($A339,'SegEnds_NonXtal_BW#'!$A:$Z,12,FALSE)+VLOOKUP($A339,A:AL,16,FALSE)-50</f>
        <v>345</v>
      </c>
      <c r="R339" s="3" t="str">
        <f>IF(ISERROR(VLOOKUP($A339,'SegEnds_NonXtal_BW#'!$A:$Z,13,FALSE)+VLOOKUP($A339,A:AL,19,FALSE)-50),"-",VLOOKUP($A339,'SegEnds_NonXtal_BW#'!$A:$Z,13,FALSE)+VLOOKUP($A339,A:AL,19,FALSE)-50)</f>
        <v>-</v>
      </c>
      <c r="S339" s="3" t="s">
        <v>23</v>
      </c>
      <c r="T339" s="100" t="str">
        <f>IF(ISERROR(VLOOKUP($A339,'SegEnds_NonXtal_BW#'!$A:$Z,14,FALSE)+VLOOKUP($A339,A:AL,19,FALSE)-50),"-",(VLOOKUP($A339,'SegEnds_NonXtal_BW#'!$A:$Z,14,FALSE)+VLOOKUP($A339,A:AL,19,FALSE)-50))</f>
        <v>-</v>
      </c>
      <c r="U339" s="9">
        <f>IF(ISERROR(VLOOKUP($A339,'SegEnds_NonXtal_BW#'!$A:$Z,15,FALSE)+VLOOKUP($A339,A:AL,22,FALSE)-50),"-",VLOOKUP($A339,'SegEnds_NonXtal_BW#'!$A:$Z,15,FALSE)+VLOOKUP($A339,A:AL,22,FALSE)-50)</f>
        <v>350</v>
      </c>
      <c r="V339" s="3">
        <v>363</v>
      </c>
      <c r="W339" s="3">
        <f>IF(ISERROR(VLOOKUP($A339,'SegEnds_NonXtal_BW#'!$A:$Z,16,FALSE)+VLOOKUP($A339,A:AL,22,FALSE)-50),"-",(VLOOKUP($A339,'SegEnds_NonXtal_BW#'!$A:$Z,16,FALSE)+VLOOKUP($A339,A:AL,22,FALSE)-50))</f>
        <v>381</v>
      </c>
      <c r="X339" s="3">
        <f>IF(ISERROR(VLOOKUP($A339,'SegEnds_NonXtal_BW#'!$A:$Z,17,FALSE)+VLOOKUP($A339,A:AL,25,FALSE)-50),"-",(VLOOKUP($A339,'SegEnds_NonXtal_BW#'!$A:$Z,17,FALSE)+VLOOKUP($A339,A:AL,25,FALSE)-50))</f>
        <v>404</v>
      </c>
      <c r="Y339" s="3">
        <v>404</v>
      </c>
      <c r="Z339" s="3">
        <f t="shared" si="204"/>
        <v>406</v>
      </c>
      <c r="AA339" s="3">
        <f>IF(ISERROR(VLOOKUP($A339,'SegEnds_NonXtal_BW#'!$A:$Z,19,FALSE)+VLOOKUP($A339,A:AL,28,FALSE)-50),"-",(VLOOKUP($A339,'SegEnds_NonXtal_BW#'!$A:$Z,19,FALSE)+VLOOKUP($A339,A:AL,28,FALSE)-50))</f>
        <v>409</v>
      </c>
      <c r="AB339" s="3">
        <v>423</v>
      </c>
      <c r="AC339" s="3">
        <f>IF(ISERROR((VLOOKUP($A339,'SegEnds_NonXtal_BW#'!$A:$Z,20,FALSE)+VLOOKUP($A339,A:AL,28,FALSE)-50)),"-",(VLOOKUP($A339,'SegEnds_NonXtal_BW#'!$A:$Z,20,FALSE)+VLOOKUP($A339,A:AL,28,FALSE)-50))</f>
        <v>442</v>
      </c>
      <c r="AD339" s="3">
        <f>IF(ISERROR(VLOOKUP($A339,'SegEnds_NonXtal_BW#'!$A:$Z,21,FALSE)+VLOOKUP($A339,A:AL,31,FALSE)-50),"-",(VLOOKUP($A339,'SegEnds_NonXtal_BW#'!$A:$Z,21,FALSE)+VLOOKUP($A339,A:AL,31,FALSE)-50))</f>
        <v>451</v>
      </c>
      <c r="AE339" s="3">
        <v>472</v>
      </c>
      <c r="AF339" s="3">
        <f>IF(ISERROR((VLOOKUP($A339,'SegEnds_NonXtal_BW#'!$A:$Z,22,FALSE)+VLOOKUP($A339,A:AL,31,FALSE)-50)),"-",(VLOOKUP($A339,'SegEnds_NonXtal_BW#'!$A:$Z,22,FALSE)+VLOOKUP($A339,A:AL,31,FALSE)-50))</f>
        <v>476</v>
      </c>
      <c r="AG339" s="3">
        <f>IF(ISERROR(VLOOKUP($A339,'SegEnds_NonXtal_BW#'!$A:$Z,23,FALSE)+VLOOKUP($A339,A:AL,34,FALSE)-50),"-",(VLOOKUP($A339,'SegEnds_NonXtal_BW#'!$A:$Z,23,FALSE)+VLOOKUP($A339,A:AL,34,FALSE)-50))</f>
        <v>481</v>
      </c>
      <c r="AH339" s="3">
        <v>500</v>
      </c>
      <c r="AI339" s="3">
        <f>IF(ISERROR((VLOOKUP($A339,'SegEnds_NonXtal_BW#'!$A:$Z,24,FALSE)+VLOOKUP($A339,A:AL,34,FALSE)-50)),"-",(VLOOKUP($A339,'SegEnds_NonXtal_BW#'!$A:$Z,24,FALSE)+VLOOKUP($A339,A:AL,34,FALSE)-50))</f>
        <v>506</v>
      </c>
      <c r="AJ339" s="3">
        <f>IF(ISERROR(VLOOKUP($A339,'SegEnds_NonXtal_BW#'!$A:$Z,25,FALSE)+VLOOKUP($A339,A:AL,37,FALSE)-50),"-",(VLOOKUP($A339,'SegEnds_NonXtal_BW#'!$A:$Z,25,FALSE)+VLOOKUP($A339,A:AL,37,FALSE)-50))</f>
        <v>507</v>
      </c>
      <c r="AK339" s="3">
        <v>510</v>
      </c>
      <c r="AL339" s="3">
        <f>IF(ISERROR((VLOOKUP($A339,'SegEnds_NonXtal_BW#'!$A:$Z,26,FALSE)+VLOOKUP($A339,A:AL,37,FALSE)-50)),"-",(VLOOKUP($A339,'SegEnds_NonXtal_BW#'!$A:$Z,26,FALSE)+VLOOKUP($A339,A:AL,37,FALSE)-50))</f>
        <v>523</v>
      </c>
      <c r="AM339" s="28" t="str">
        <f>VLOOKUP(A339,Classification!A:B,2,FALSE)</f>
        <v>B2</v>
      </c>
      <c r="AN339" s="28" t="b">
        <f t="shared" si="220"/>
        <v>1</v>
      </c>
      <c r="AO339" s="3" t="str">
        <f>IF(ISERROR(MATCH(A339,'SegEnds_Xtal_Prot#'!B:B, 0)), "NoXtal", "Xtal")</f>
        <v>NoXtal</v>
      </c>
      <c r="AP339" s="3" t="str">
        <f t="shared" si="205"/>
        <v>-</v>
      </c>
      <c r="AQ339" s="3" t="str">
        <f t="shared" si="206"/>
        <v>-</v>
      </c>
      <c r="AR339" s="3" t="str">
        <f t="shared" si="207"/>
        <v>-</v>
      </c>
      <c r="AS339" s="3" t="str">
        <f t="shared" si="208"/>
        <v>-</v>
      </c>
      <c r="AT339" s="3" t="str">
        <f t="shared" si="209"/>
        <v>-</v>
      </c>
      <c r="AU339" s="3" t="str">
        <f t="shared" si="210"/>
        <v>-</v>
      </c>
      <c r="AV339" s="3">
        <f t="shared" si="211"/>
        <v>23</v>
      </c>
      <c r="AW339" s="3">
        <f t="shared" si="212"/>
        <v>3</v>
      </c>
      <c r="AX339" s="3">
        <f t="shared" si="213"/>
        <v>9</v>
      </c>
      <c r="AY339" s="3">
        <f t="shared" si="214"/>
        <v>5</v>
      </c>
      <c r="AZ339" s="3">
        <f t="shared" si="215"/>
        <v>1</v>
      </c>
      <c r="BA339" s="3">
        <f>IF(ISERROR(LEN(VLOOKUP(A339,Seqs!A:E,2,FALSE))-AL339),"-",LEN(VLOOKUP(A339,Seqs!A:E,2,FALSE))-AL339)</f>
        <v>5</v>
      </c>
      <c r="BB339" s="16">
        <f t="shared" si="216"/>
        <v>28</v>
      </c>
      <c r="BC339" s="9" t="str">
        <f t="shared" si="217"/>
        <v>-</v>
      </c>
      <c r="BD339" s="3">
        <f t="shared" si="218"/>
        <v>28</v>
      </c>
      <c r="BE339" s="3">
        <f t="shared" si="219"/>
        <v>49</v>
      </c>
      <c r="BF339" s="3">
        <f>AH339-AE339</f>
        <v>28</v>
      </c>
    </row>
    <row r="340" spans="1:58" s="3" customFormat="1" x14ac:dyDescent="0.2">
      <c r="A340" s="3" t="s">
        <v>1407</v>
      </c>
      <c r="B340" s="3" t="str">
        <f>LOWER(VLOOKUP(A340,Xtal_Templ!A:B,2,FALSE))</f>
        <v>crfr2_human</v>
      </c>
      <c r="C340" s="3">
        <f>VLOOKUP($A340,'SegEnds_NonXtal_BW#'!$A:$Z,3,FALSE)+D340-50</f>
        <v>852</v>
      </c>
      <c r="D340" s="3">
        <v>879</v>
      </c>
      <c r="E340" s="3">
        <f>IF(ISERROR(VLOOKUP($A340,'SegEnds_NonXtal_BW#'!$A:$Z,4,FALSE)+VLOOKUP($A340,A:AL,4,FALSE)-50),"-",(VLOOKUP($A340,'SegEnds_NonXtal_BW#'!$A:$Z,4,FALSE)+VLOOKUP($A340,A:AL,4,FALSE)-50))</f>
        <v>889</v>
      </c>
      <c r="F340" s="3">
        <f>G340-2</f>
        <v>890</v>
      </c>
      <c r="G340" s="3">
        <v>892</v>
      </c>
      <c r="H340" s="3">
        <f>G340+1</f>
        <v>893</v>
      </c>
      <c r="I340" s="3">
        <f>H340+1</f>
        <v>894</v>
      </c>
      <c r="J340" s="3">
        <v>908</v>
      </c>
      <c r="K340" s="3">
        <f>VLOOKUP($A340,'SegEnds_NonXtal_BW#'!$A:$Z,8,FALSE)+VLOOKUP($A340,A:AL,10,FALSE)-50</f>
        <v>921</v>
      </c>
      <c r="L340" s="3" t="str">
        <f>IF(ISERROR(VLOOKUP($A340,'SegEnds_NonXtal_BW#'!$A:$Z,9,FALSE)+VLOOKUP($A340,A:AL,13,FALSE)-50),"-",(VLOOKUP($A340,'SegEnds_NonXtal_BW#'!$A:$Z,9,FALSE)+VLOOKUP($A340,A:AL,13,FALSE)-50))</f>
        <v>-</v>
      </c>
      <c r="M340" s="3" t="s">
        <v>23</v>
      </c>
      <c r="N340" s="3" t="str">
        <f>IF(ISERROR(VLOOKUP($A340,'SegEnds_NonXtal_BW#'!$A:$Z,10,FALSE)+VLOOKUP($A340,A:AL,13,FALSE)-50),"-",(VLOOKUP($A340,'SegEnds_NonXtal_BW#'!$A:$Z,10,FALSE)+VLOOKUP($A340,A:AL,13,FALSE)-50))</f>
        <v>-</v>
      </c>
      <c r="O340" s="3">
        <f>VLOOKUP($A340,'SegEnds_NonXtal_BW#'!$A:$Z,11,FALSE)+VLOOKUP($A340,A:AL,16,FALSE)-50</f>
        <v>928</v>
      </c>
      <c r="P340" s="3">
        <v>955</v>
      </c>
      <c r="Q340" s="3">
        <f>VLOOKUP($A340,'SegEnds_NonXtal_BW#'!$A:$Z,12,FALSE)+VLOOKUP($A340,A:AL,16,FALSE)-50</f>
        <v>961</v>
      </c>
      <c r="R340" s="3" t="str">
        <f>IF(ISERROR(VLOOKUP($A340,'SegEnds_NonXtal_BW#'!$A:$Z,13,FALSE)+VLOOKUP($A340,A:AL,19,FALSE)-50),"-",VLOOKUP($A340,'SegEnds_NonXtal_BW#'!$A:$Z,13,FALSE)+VLOOKUP($A340,A:AL,19,FALSE)-50)</f>
        <v>-</v>
      </c>
      <c r="S340" s="3" t="s">
        <v>23</v>
      </c>
      <c r="T340" s="100" t="str">
        <f>IF(ISERROR(VLOOKUP($A340,'SegEnds_NonXtal_BW#'!$A:$Z,14,FALSE)+VLOOKUP($A340,A:AL,19,FALSE)-50),"-",(VLOOKUP($A340,'SegEnds_NonXtal_BW#'!$A:$Z,14,FALSE)+VLOOKUP($A340,A:AL,19,FALSE)-50))</f>
        <v>-</v>
      </c>
      <c r="U340" s="9">
        <f>IF(ISERROR(VLOOKUP($A340,'SegEnds_NonXtal_BW#'!$A:$Z,15,FALSE)+VLOOKUP($A340,A:AL,22,FALSE)-50),"-",VLOOKUP($A340,'SegEnds_NonXtal_BW#'!$A:$Z,15,FALSE)+VLOOKUP($A340,A:AL,22,FALSE)-50)</f>
        <v>970</v>
      </c>
      <c r="V340" s="3">
        <v>979</v>
      </c>
      <c r="W340" s="3">
        <f>IF(ISERROR(VLOOKUP($A340,'SegEnds_NonXtal_BW#'!$A:$Z,16,FALSE)+VLOOKUP($A340,A:AL,22,FALSE)-50),"-",(VLOOKUP($A340,'SegEnds_NonXtal_BW#'!$A:$Z,16,FALSE)+VLOOKUP($A340,A:AL,22,FALSE)-50))</f>
        <v>997</v>
      </c>
      <c r="X340" s="3">
        <f>IF(ISERROR(VLOOKUP($A340,'SegEnds_NonXtal_BW#'!$A:$Z,17,FALSE)+VLOOKUP($A340,A:AL,25,FALSE)-50),"-",(VLOOKUP($A340,'SegEnds_NonXtal_BW#'!$A:$Z,17,FALSE)+VLOOKUP($A340,A:AL,25,FALSE)-50))</f>
        <v>1013</v>
      </c>
      <c r="Y340" s="3">
        <v>1013</v>
      </c>
      <c r="Z340" s="3">
        <f t="shared" si="204"/>
        <v>1015</v>
      </c>
      <c r="AA340" s="3">
        <f>IF(ISERROR(VLOOKUP($A340,'SegEnds_NonXtal_BW#'!$A:$Z,19,FALSE)+VLOOKUP($A340,A:AL,28,FALSE)-50),"-",(VLOOKUP($A340,'SegEnds_NonXtal_BW#'!$A:$Z,19,FALSE)+VLOOKUP($A340,A:AL,28,FALSE)-50))</f>
        <v>1018</v>
      </c>
      <c r="AB340" s="3">
        <v>1032</v>
      </c>
      <c r="AC340" s="3">
        <f>IF(ISERROR((VLOOKUP($A340,'SegEnds_NonXtal_BW#'!$A:$Z,20,FALSE)+VLOOKUP($A340,A:AL,28,FALSE)-50)),"-",(VLOOKUP($A340,'SegEnds_NonXtal_BW#'!$A:$Z,20,FALSE)+VLOOKUP($A340,A:AL,28,FALSE)-50))</f>
        <v>1051</v>
      </c>
      <c r="AD340" s="3">
        <f>IF(ISERROR(VLOOKUP($A340,'SegEnds_NonXtal_BW#'!$A:$Z,21,FALSE)+VLOOKUP($A340,A:AL,31,FALSE)-50),"-",(VLOOKUP($A340,'SegEnds_NonXtal_BW#'!$A:$Z,21,FALSE)+VLOOKUP($A340,A:AL,31,FALSE)-50))</f>
        <v>1062</v>
      </c>
      <c r="AE340" s="3">
        <v>1083</v>
      </c>
      <c r="AF340" s="3">
        <f>IF(ISERROR((VLOOKUP($A340,'SegEnds_NonXtal_BW#'!$A:$Z,22,FALSE)+VLOOKUP($A340,A:AL,31,FALSE)-50)),"-",(VLOOKUP($A340,'SegEnds_NonXtal_BW#'!$A:$Z,22,FALSE)+VLOOKUP($A340,A:AL,31,FALSE)-50))</f>
        <v>1086</v>
      </c>
      <c r="AG340" s="3">
        <f>IF(ISERROR(VLOOKUP($A340,'SegEnds_NonXtal_BW#'!$A:$Z,23,FALSE)+VLOOKUP($A340,A:AL,34,FALSE)-50),"-",(VLOOKUP($A340,'SegEnds_NonXtal_BW#'!$A:$Z,23,FALSE)+VLOOKUP($A340,A:AL,34,FALSE)-50))</f>
        <v>1092</v>
      </c>
      <c r="AH340" s="3">
        <v>1111</v>
      </c>
      <c r="AI340" s="3">
        <f>IF(ISERROR((VLOOKUP($A340,'SegEnds_NonXtal_BW#'!$A:$Z,24,FALSE)+VLOOKUP($A340,A:AL,34,FALSE)-50)),"-",(VLOOKUP($A340,'SegEnds_NonXtal_BW#'!$A:$Z,24,FALSE)+VLOOKUP($A340,A:AL,34,FALSE)-50))</f>
        <v>1117</v>
      </c>
      <c r="AJ340" s="3">
        <f>IF(ISERROR(VLOOKUP($A340,'SegEnds_NonXtal_BW#'!$A:$Z,25,FALSE)+VLOOKUP($A340,A:AL,37,FALSE)-50),"-",(VLOOKUP($A340,'SegEnds_NonXtal_BW#'!$A:$Z,25,FALSE)+VLOOKUP($A340,A:AL,37,FALSE)-50))</f>
        <v>1118</v>
      </c>
      <c r="AK340" s="3">
        <v>1121</v>
      </c>
      <c r="AL340" s="3">
        <f>IF(ISERROR((VLOOKUP($A340,'SegEnds_NonXtal_BW#'!$A:$Z,26,FALSE)+VLOOKUP($A340,A:AL,37,FALSE)-50)),"-",(VLOOKUP($A340,'SegEnds_NonXtal_BW#'!$A:$Z,26,FALSE)+VLOOKUP($A340,A:AL,37,FALSE)-50))</f>
        <v>1134</v>
      </c>
      <c r="AM340" s="28" t="str">
        <f>VLOOKUP(A340,Classification!A:B,2,FALSE)</f>
        <v>B2</v>
      </c>
      <c r="AN340" s="28" t="b">
        <f t="shared" si="220"/>
        <v>1</v>
      </c>
      <c r="AO340" s="3" t="str">
        <f>IF(ISERROR(MATCH(A340,'SegEnds_Xtal_Prot#'!B:B, 0)), "NoXtal", "Xtal")</f>
        <v>NoXtal</v>
      </c>
      <c r="AP340" s="3">
        <f t="shared" si="205"/>
        <v>1</v>
      </c>
      <c r="AQ340" s="3">
        <f t="shared" si="206"/>
        <v>1</v>
      </c>
      <c r="AR340" s="3" t="str">
        <f t="shared" si="207"/>
        <v>-</v>
      </c>
      <c r="AS340" s="3" t="str">
        <f t="shared" si="208"/>
        <v>-</v>
      </c>
      <c r="AT340" s="3" t="str">
        <f t="shared" si="209"/>
        <v>-</v>
      </c>
      <c r="AU340" s="3" t="str">
        <f t="shared" si="210"/>
        <v>-</v>
      </c>
      <c r="AV340" s="3">
        <f t="shared" si="211"/>
        <v>16</v>
      </c>
      <c r="AW340" s="3">
        <f t="shared" si="212"/>
        <v>3</v>
      </c>
      <c r="AX340" s="3">
        <f t="shared" si="213"/>
        <v>11</v>
      </c>
      <c r="AY340" s="3">
        <f t="shared" si="214"/>
        <v>6</v>
      </c>
      <c r="AZ340" s="3">
        <f t="shared" si="215"/>
        <v>1</v>
      </c>
      <c r="BA340" s="3">
        <f>IF(ISERROR(LEN(VLOOKUP(A340,Seqs!A:E,2,FALSE))-AL340),"-",LEN(VLOOKUP(A340,Seqs!A:E,2,FALSE))-AL340)</f>
        <v>87</v>
      </c>
      <c r="BB340" s="16">
        <f t="shared" si="216"/>
        <v>29</v>
      </c>
      <c r="BC340" s="9" t="str">
        <f t="shared" si="217"/>
        <v>-</v>
      </c>
      <c r="BD340" s="3">
        <f t="shared" si="218"/>
        <v>29</v>
      </c>
      <c r="BE340" s="3">
        <f t="shared" si="219"/>
        <v>51</v>
      </c>
    </row>
    <row r="341" spans="1:58" s="3" customFormat="1" x14ac:dyDescent="0.2">
      <c r="A341" s="3" t="s">
        <v>1191</v>
      </c>
      <c r="B341" s="3" t="str">
        <f>LOWER(VLOOKUP(A341,Xtal_Templ!A:B,2,FALSE))</f>
        <v>pth1r_human</v>
      </c>
      <c r="C341" s="3">
        <f>VLOOKUP($A341,'SegEnds_NonXtal_BW#'!$A:$Z,3,FALSE)+D341-50</f>
        <v>422</v>
      </c>
      <c r="D341" s="3">
        <v>449</v>
      </c>
      <c r="E341" s="3">
        <f>IF(ISERROR(VLOOKUP($A341,'SegEnds_NonXtal_BW#'!$A:$Z,4,FALSE)+VLOOKUP($A341,A:AL,4,FALSE)-50),"-",(VLOOKUP($A341,'SegEnds_NonXtal_BW#'!$A:$Z,4,FALSE)+VLOOKUP($A341,A:AL,4,FALSE)-50))</f>
        <v>459</v>
      </c>
      <c r="F341" s="3" t="s">
        <v>23</v>
      </c>
      <c r="G341" s="3" t="s">
        <v>23</v>
      </c>
      <c r="H341" s="3" t="s">
        <v>23</v>
      </c>
      <c r="I341" s="3">
        <f>VLOOKUP($A341,'SegEnds_NonXtal_BW#'!$A:$Z,7,FALSE)+J341-50</f>
        <v>465</v>
      </c>
      <c r="J341" s="3">
        <v>478</v>
      </c>
      <c r="K341" s="3">
        <f>VLOOKUP($A341,'SegEnds_NonXtal_BW#'!$A:$Z,8,FALSE)+VLOOKUP($A341,A:AL,10,FALSE)-50</f>
        <v>493</v>
      </c>
      <c r="L341" s="3" t="str">
        <f>IF(ISERROR(VLOOKUP($A341,'SegEnds_NonXtal_BW#'!$A:$Z,9,FALSE)+VLOOKUP($A341,A:AL,13,FALSE)-50),"-",(VLOOKUP($A341,'SegEnds_NonXtal_BW#'!$A:$Z,9,FALSE)+VLOOKUP($A341,A:AL,13,FALSE)-50))</f>
        <v>-</v>
      </c>
      <c r="M341" s="3" t="s">
        <v>23</v>
      </c>
      <c r="N341" s="3" t="str">
        <f>IF(ISERROR(VLOOKUP($A341,'SegEnds_NonXtal_BW#'!$A:$Z,10,FALSE)+VLOOKUP($A341,A:AL,13,FALSE)-50),"-",(VLOOKUP($A341,'SegEnds_NonXtal_BW#'!$A:$Z,10,FALSE)+VLOOKUP($A341,A:AL,13,FALSE)-50))</f>
        <v>-</v>
      </c>
      <c r="O341" s="3">
        <f>VLOOKUP($A341,'SegEnds_NonXtal_BW#'!$A:$Z,11,FALSE)+VLOOKUP($A341,A:AL,16,FALSE)-50</f>
        <v>519</v>
      </c>
      <c r="P341" s="3">
        <v>551</v>
      </c>
      <c r="Q341" s="3">
        <f>VLOOKUP($A341,'SegEnds_NonXtal_BW#'!$A:$Z,12,FALSE)+VLOOKUP($A341,A:AL,16,FALSE)-50</f>
        <v>557</v>
      </c>
      <c r="R341" s="3" t="str">
        <f>IF(ISERROR(VLOOKUP($A341,'SegEnds_NonXtal_BW#'!$A:$Z,13,FALSE)+VLOOKUP($A341,A:AL,19,FALSE)-50),"-",VLOOKUP($A341,'SegEnds_NonXtal_BW#'!$A:$Z,13,FALSE)+VLOOKUP($A341,A:AL,19,FALSE)-50)</f>
        <v>-</v>
      </c>
      <c r="S341" s="3" t="s">
        <v>23</v>
      </c>
      <c r="T341" s="100" t="str">
        <f>IF(ISERROR(VLOOKUP($A341,'SegEnds_NonXtal_BW#'!$A:$Z,14,FALSE)+VLOOKUP($A341,A:AL,19,FALSE)-50),"-",(VLOOKUP($A341,'SegEnds_NonXtal_BW#'!$A:$Z,14,FALSE)+VLOOKUP($A341,A:AL,19,FALSE)-50))</f>
        <v>-</v>
      </c>
      <c r="U341" s="9">
        <f>IF(ISERROR(VLOOKUP($A341,'SegEnds_NonXtal_BW#'!$A:$Z,15,FALSE)+VLOOKUP($A341,A:AL,22,FALSE)-50),"-",VLOOKUP($A341,'SegEnds_NonXtal_BW#'!$A:$Z,15,FALSE)+VLOOKUP($A341,A:AL,22,FALSE)-50)</f>
        <v>562</v>
      </c>
      <c r="V341" s="3">
        <v>575</v>
      </c>
      <c r="W341" s="3">
        <f>IF(ISERROR(VLOOKUP($A341,'SegEnds_NonXtal_BW#'!$A:$Z,16,FALSE)+VLOOKUP($A341,A:AL,22,FALSE)-50),"-",(VLOOKUP($A341,'SegEnds_NonXtal_BW#'!$A:$Z,16,FALSE)+VLOOKUP($A341,A:AL,22,FALSE)-50))</f>
        <v>593</v>
      </c>
      <c r="X341" s="3">
        <f>IF(ISERROR(VLOOKUP($A341,'SegEnds_NonXtal_BW#'!$A:$Z,17,FALSE)+VLOOKUP($A341,A:AL,25,FALSE)-50),"-",(VLOOKUP($A341,'SegEnds_NonXtal_BW#'!$A:$Z,17,FALSE)+VLOOKUP($A341,A:AL,25,FALSE)-50))</f>
        <v>609</v>
      </c>
      <c r="Y341" s="3">
        <v>609</v>
      </c>
      <c r="Z341" s="3">
        <f t="shared" si="204"/>
        <v>611</v>
      </c>
      <c r="AA341" s="3">
        <f>IF(ISERROR(VLOOKUP($A341,'SegEnds_NonXtal_BW#'!$A:$Z,19,FALSE)+VLOOKUP($A341,A:AL,28,FALSE)-50),"-",(VLOOKUP($A341,'SegEnds_NonXtal_BW#'!$A:$Z,19,FALSE)+VLOOKUP($A341,A:AL,28,FALSE)-50))</f>
        <v>621</v>
      </c>
      <c r="AB341" s="3">
        <v>635</v>
      </c>
      <c r="AC341" s="3">
        <f>IF(ISERROR((VLOOKUP($A341,'SegEnds_NonXtal_BW#'!$A:$Z,20,FALSE)+VLOOKUP($A341,A:AL,28,FALSE)-50)),"-",(VLOOKUP($A341,'SegEnds_NonXtal_BW#'!$A:$Z,20,FALSE)+VLOOKUP($A341,A:AL,28,FALSE)-50))</f>
        <v>654</v>
      </c>
      <c r="AD341" s="3">
        <f>IF(ISERROR(VLOOKUP($A341,'SegEnds_NonXtal_BW#'!$A:$Z,21,FALSE)+VLOOKUP($A341,A:AL,31,FALSE)-50),"-",(VLOOKUP($A341,'SegEnds_NonXtal_BW#'!$A:$Z,21,FALSE)+VLOOKUP($A341,A:AL,31,FALSE)-50))</f>
        <v>665</v>
      </c>
      <c r="AE341" s="3">
        <v>686</v>
      </c>
      <c r="AF341" s="3">
        <f>IF(ISERROR((VLOOKUP($A341,'SegEnds_NonXtal_BW#'!$A:$Z,22,FALSE)+VLOOKUP($A341,A:AL,31,FALSE)-50)),"-",(VLOOKUP($A341,'SegEnds_NonXtal_BW#'!$A:$Z,22,FALSE)+VLOOKUP($A341,A:AL,31,FALSE)-50))</f>
        <v>690</v>
      </c>
      <c r="AG341" s="3">
        <f>IF(ISERROR(VLOOKUP($A341,'SegEnds_NonXtal_BW#'!$A:$Z,23,FALSE)+VLOOKUP($A341,A:AL,34,FALSE)-50),"-",(VLOOKUP($A341,'SegEnds_NonXtal_BW#'!$A:$Z,23,FALSE)+VLOOKUP($A341,A:AL,34,FALSE)-50))</f>
        <v>696</v>
      </c>
      <c r="AH341" s="3">
        <v>717</v>
      </c>
      <c r="AI341" s="3">
        <f>IF(ISERROR((VLOOKUP($A341,'SegEnds_NonXtal_BW#'!$A:$Z,24,FALSE)+VLOOKUP($A341,A:AL,34,FALSE)-50)),"-",(VLOOKUP($A341,'SegEnds_NonXtal_BW#'!$A:$Z,24,FALSE)+VLOOKUP($A341,A:AL,34,FALSE)-50))</f>
        <v>723</v>
      </c>
      <c r="AJ341" s="3">
        <f>IF(ISERROR(VLOOKUP($A341,'SegEnds_NonXtal_BW#'!$A:$Z,25,FALSE)+VLOOKUP($A341,A:AL,37,FALSE)-50),"-",(VLOOKUP($A341,'SegEnds_NonXtal_BW#'!$A:$Z,25,FALSE)+VLOOKUP($A341,A:AL,37,FALSE)-50))</f>
        <v>724</v>
      </c>
      <c r="AK341" s="3">
        <v>727</v>
      </c>
      <c r="AL341" s="3">
        <f>IF(ISERROR((VLOOKUP($A341,'SegEnds_NonXtal_BW#'!$A:$Z,26,FALSE)+VLOOKUP($A341,A:AL,37,FALSE)-50)),"-",(VLOOKUP($A341,'SegEnds_NonXtal_BW#'!$A:$Z,26,FALSE)+VLOOKUP($A341,A:AL,37,FALSE)-50))</f>
        <v>740</v>
      </c>
      <c r="AM341" s="28" t="str">
        <f>VLOOKUP(A341,Classification!A:B,2,FALSE)</f>
        <v>B2</v>
      </c>
      <c r="AN341" s="28" t="b">
        <f t="shared" si="220"/>
        <v>1</v>
      </c>
      <c r="AO341" s="3" t="str">
        <f>IF(ISERROR(MATCH(A341,'SegEnds_Xtal_Prot#'!B:B, 0)), "NoXtal", "Xtal")</f>
        <v>NoXtal</v>
      </c>
      <c r="AP341" s="3" t="str">
        <f t="shared" si="205"/>
        <v>-</v>
      </c>
      <c r="AQ341" s="3" t="str">
        <f t="shared" si="206"/>
        <v>-</v>
      </c>
      <c r="AR341" s="3" t="str">
        <f t="shared" si="207"/>
        <v>-</v>
      </c>
      <c r="AS341" s="3" t="str">
        <f t="shared" si="208"/>
        <v>-</v>
      </c>
      <c r="AT341" s="3" t="str">
        <f t="shared" si="209"/>
        <v>-</v>
      </c>
      <c r="AU341" s="3" t="str">
        <f t="shared" si="210"/>
        <v>-</v>
      </c>
      <c r="AV341" s="3">
        <f t="shared" si="211"/>
        <v>16</v>
      </c>
      <c r="AW341" s="3">
        <f t="shared" si="212"/>
        <v>10</v>
      </c>
      <c r="AX341" s="3">
        <f t="shared" si="213"/>
        <v>11</v>
      </c>
      <c r="AY341" s="3">
        <f t="shared" si="214"/>
        <v>6</v>
      </c>
      <c r="AZ341" s="3">
        <f t="shared" si="215"/>
        <v>1</v>
      </c>
      <c r="BA341" s="3">
        <f>IF(ISERROR(LEN(VLOOKUP(A341,Seqs!A:E,2,FALSE))-AL341),"-",LEN(VLOOKUP(A341,Seqs!A:E,2,FALSE))-AL341)</f>
        <v>57</v>
      </c>
      <c r="BB341" s="16">
        <f t="shared" si="216"/>
        <v>29</v>
      </c>
      <c r="BC341" s="9" t="str">
        <f t="shared" si="217"/>
        <v>-</v>
      </c>
      <c r="BD341" s="3">
        <f t="shared" si="218"/>
        <v>29</v>
      </c>
      <c r="BE341" s="3">
        <f t="shared" si="219"/>
        <v>51</v>
      </c>
    </row>
    <row r="342" spans="1:58" s="3" customFormat="1" x14ac:dyDescent="0.2">
      <c r="A342" s="3" t="s">
        <v>1192</v>
      </c>
      <c r="B342" s="3" t="str">
        <f>LOWER(VLOOKUP(A342,Xtal_Templ!A:B,2,FALSE))</f>
        <v>crfr2_human</v>
      </c>
      <c r="C342" s="3">
        <f>VLOOKUP($A342,'SegEnds_NonXtal_BW#'!$A:$Z,3,FALSE)+D342-50</f>
        <v>848</v>
      </c>
      <c r="D342" s="3">
        <v>875</v>
      </c>
      <c r="E342" s="3">
        <f>IF(ISERROR(VLOOKUP($A342,'SegEnds_NonXtal_BW#'!$A:$Z,4,FALSE)+VLOOKUP($A342,A:AL,4,FALSE)-50),"-",(VLOOKUP($A342,'SegEnds_NonXtal_BW#'!$A:$Z,4,FALSE)+VLOOKUP($A342,A:AL,4,FALSE)-50))</f>
        <v>885</v>
      </c>
      <c r="F342" s="3">
        <f>G342-2</f>
        <v>886</v>
      </c>
      <c r="G342" s="3">
        <v>888</v>
      </c>
      <c r="H342" s="3">
        <f>G342+1</f>
        <v>889</v>
      </c>
      <c r="I342" s="3">
        <f>H342+1</f>
        <v>890</v>
      </c>
      <c r="J342" s="3">
        <v>903</v>
      </c>
      <c r="K342" s="3">
        <f>VLOOKUP($A342,'SegEnds_NonXtal_BW#'!$A:$Z,8,FALSE)+VLOOKUP($A342,A:AL,10,FALSE)-50</f>
        <v>916</v>
      </c>
      <c r="L342" s="3" t="str">
        <f>IF(ISERROR(VLOOKUP($A342,'SegEnds_NonXtal_BW#'!$A:$Z,9,FALSE)+VLOOKUP($A342,A:AL,13,FALSE)-50),"-",(VLOOKUP($A342,'SegEnds_NonXtal_BW#'!$A:$Z,9,FALSE)+VLOOKUP($A342,A:AL,13,FALSE)-50))</f>
        <v>-</v>
      </c>
      <c r="M342" s="3" t="s">
        <v>23</v>
      </c>
      <c r="N342" s="3" t="str">
        <f>IF(ISERROR(VLOOKUP($A342,'SegEnds_NonXtal_BW#'!$A:$Z,10,FALSE)+VLOOKUP($A342,A:AL,13,FALSE)-50),"-",(VLOOKUP($A342,'SegEnds_NonXtal_BW#'!$A:$Z,10,FALSE)+VLOOKUP($A342,A:AL,13,FALSE)-50))</f>
        <v>-</v>
      </c>
      <c r="O342" s="3">
        <f>VLOOKUP($A342,'SegEnds_NonXtal_BW#'!$A:$Z,11,FALSE)+VLOOKUP($A342,A:AL,16,FALSE)-50</f>
        <v>921</v>
      </c>
      <c r="P342" s="3">
        <v>948</v>
      </c>
      <c r="Q342" s="3">
        <f>VLOOKUP($A342,'SegEnds_NonXtal_BW#'!$A:$Z,12,FALSE)+VLOOKUP($A342,A:AL,16,FALSE)-50</f>
        <v>954</v>
      </c>
      <c r="R342" s="3" t="str">
        <f>IF(ISERROR(VLOOKUP($A342,'SegEnds_NonXtal_BW#'!$A:$Z,13,FALSE)+VLOOKUP($A342,A:AL,19,FALSE)-50),"-",VLOOKUP($A342,'SegEnds_NonXtal_BW#'!$A:$Z,13,FALSE)+VLOOKUP($A342,A:AL,19,FALSE)-50)</f>
        <v>-</v>
      </c>
      <c r="S342" s="3" t="s">
        <v>23</v>
      </c>
      <c r="T342" s="100" t="str">
        <f>IF(ISERROR(VLOOKUP($A342,'SegEnds_NonXtal_BW#'!$A:$Z,14,FALSE)+VLOOKUP($A342,A:AL,19,FALSE)-50),"-",(VLOOKUP($A342,'SegEnds_NonXtal_BW#'!$A:$Z,14,FALSE)+VLOOKUP($A342,A:AL,19,FALSE)-50))</f>
        <v>-</v>
      </c>
      <c r="U342" s="9">
        <f>IF(ISERROR(VLOOKUP($A342,'SegEnds_NonXtal_BW#'!$A:$Z,15,FALSE)+VLOOKUP($A342,A:AL,22,FALSE)-50),"-",VLOOKUP($A342,'SegEnds_NonXtal_BW#'!$A:$Z,15,FALSE)+VLOOKUP($A342,A:AL,22,FALSE)-50)</f>
        <v>962</v>
      </c>
      <c r="V342" s="3">
        <v>971</v>
      </c>
      <c r="W342" s="3">
        <f>IF(ISERROR(VLOOKUP($A342,'SegEnds_NonXtal_BW#'!$A:$Z,16,FALSE)+VLOOKUP($A342,A:AL,22,FALSE)-50),"-",(VLOOKUP($A342,'SegEnds_NonXtal_BW#'!$A:$Z,16,FALSE)+VLOOKUP($A342,A:AL,22,FALSE)-50))</f>
        <v>989</v>
      </c>
      <c r="X342" s="3">
        <f>IF(ISERROR(VLOOKUP($A342,'SegEnds_NonXtal_BW#'!$A:$Z,17,FALSE)+VLOOKUP($A342,A:AL,25,FALSE)-50),"-",(VLOOKUP($A342,'SegEnds_NonXtal_BW#'!$A:$Z,17,FALSE)+VLOOKUP($A342,A:AL,25,FALSE)-50))</f>
        <v>995</v>
      </c>
      <c r="Y342" s="3">
        <v>995</v>
      </c>
      <c r="Z342" s="3">
        <f t="shared" si="204"/>
        <v>997</v>
      </c>
      <c r="AA342" s="3">
        <f>IF(ISERROR(VLOOKUP($A342,'SegEnds_NonXtal_BW#'!$A:$Z,19,FALSE)+VLOOKUP($A342,A:AL,28,FALSE)-50),"-",(VLOOKUP($A342,'SegEnds_NonXtal_BW#'!$A:$Z,19,FALSE)+VLOOKUP($A342,A:AL,28,FALSE)-50))</f>
        <v>1000</v>
      </c>
      <c r="AB342" s="3">
        <v>1014</v>
      </c>
      <c r="AC342" s="3">
        <f>IF(ISERROR((VLOOKUP($A342,'SegEnds_NonXtal_BW#'!$A:$Z,20,FALSE)+VLOOKUP($A342,A:AL,28,FALSE)-50)),"-",(VLOOKUP($A342,'SegEnds_NonXtal_BW#'!$A:$Z,20,FALSE)+VLOOKUP($A342,A:AL,28,FALSE)-50))</f>
        <v>1033</v>
      </c>
      <c r="AD342" s="3">
        <f>IF(ISERROR(VLOOKUP($A342,'SegEnds_NonXtal_BW#'!$A:$Z,21,FALSE)+VLOOKUP($A342,A:AL,31,FALSE)-50),"-",(VLOOKUP($A342,'SegEnds_NonXtal_BW#'!$A:$Z,21,FALSE)+VLOOKUP($A342,A:AL,31,FALSE)-50))</f>
        <v>1045</v>
      </c>
      <c r="AE342" s="3">
        <v>1066</v>
      </c>
      <c r="AF342" s="3">
        <f>IF(ISERROR((VLOOKUP($A342,'SegEnds_NonXtal_BW#'!$A:$Z,22,FALSE)+VLOOKUP($A342,A:AL,31,FALSE)-50)),"-",(VLOOKUP($A342,'SegEnds_NonXtal_BW#'!$A:$Z,22,FALSE)+VLOOKUP($A342,A:AL,31,FALSE)-50))</f>
        <v>1069</v>
      </c>
      <c r="AG342" s="3">
        <f>IF(ISERROR(VLOOKUP($A342,'SegEnds_NonXtal_BW#'!$A:$Z,23,FALSE)+VLOOKUP($A342,A:AL,34,FALSE)-50),"-",(VLOOKUP($A342,'SegEnds_NonXtal_BW#'!$A:$Z,23,FALSE)+VLOOKUP($A342,A:AL,34,FALSE)-50))</f>
        <v>1075</v>
      </c>
      <c r="AH342" s="3">
        <v>1094</v>
      </c>
      <c r="AI342" s="3">
        <f>IF(ISERROR((VLOOKUP($A342,'SegEnds_NonXtal_BW#'!$A:$Z,24,FALSE)+VLOOKUP($A342,A:AL,34,FALSE)-50)),"-",(VLOOKUP($A342,'SegEnds_NonXtal_BW#'!$A:$Z,24,FALSE)+VLOOKUP($A342,A:AL,34,FALSE)-50))</f>
        <v>1100</v>
      </c>
      <c r="AJ342" s="3">
        <f>IF(ISERROR(VLOOKUP($A342,'SegEnds_NonXtal_BW#'!$A:$Z,25,FALSE)+VLOOKUP($A342,A:AL,37,FALSE)-50),"-",(VLOOKUP($A342,'SegEnds_NonXtal_BW#'!$A:$Z,25,FALSE)+VLOOKUP($A342,A:AL,37,FALSE)-50))</f>
        <v>1101</v>
      </c>
      <c r="AK342" s="3">
        <v>1104</v>
      </c>
      <c r="AL342" s="3">
        <f>IF(ISERROR((VLOOKUP($A342,'SegEnds_NonXtal_BW#'!$A:$Z,26,FALSE)+VLOOKUP($A342,A:AL,37,FALSE)-50)),"-",(VLOOKUP($A342,'SegEnds_NonXtal_BW#'!$A:$Z,26,FALSE)+VLOOKUP($A342,A:AL,37,FALSE)-50))</f>
        <v>1117</v>
      </c>
      <c r="AM342" s="28" t="str">
        <f>VLOOKUP(A342,Classification!A:B,2,FALSE)</f>
        <v>B2</v>
      </c>
      <c r="AN342" s="28" t="b">
        <f t="shared" si="220"/>
        <v>1</v>
      </c>
      <c r="AO342" s="3" t="str">
        <f>IF(ISERROR(MATCH(A342,'SegEnds_Xtal_Prot#'!B:B, 0)), "NoXtal", "Xtal")</f>
        <v>NoXtal</v>
      </c>
      <c r="AP342" s="3">
        <f t="shared" si="205"/>
        <v>1</v>
      </c>
      <c r="AQ342" s="3">
        <f t="shared" si="206"/>
        <v>1</v>
      </c>
      <c r="AR342" s="3" t="str">
        <f t="shared" si="207"/>
        <v>-</v>
      </c>
      <c r="AS342" s="3" t="str">
        <f t="shared" si="208"/>
        <v>-</v>
      </c>
      <c r="AT342" s="3" t="str">
        <f t="shared" si="209"/>
        <v>-</v>
      </c>
      <c r="AU342" s="3" t="str">
        <f t="shared" si="210"/>
        <v>-</v>
      </c>
      <c r="AV342" s="3">
        <f t="shared" si="211"/>
        <v>6</v>
      </c>
      <c r="AW342" s="3">
        <f t="shared" si="212"/>
        <v>3</v>
      </c>
      <c r="AX342" s="3">
        <f t="shared" si="213"/>
        <v>12</v>
      </c>
      <c r="AY342" s="3">
        <f t="shared" si="214"/>
        <v>6</v>
      </c>
      <c r="AZ342" s="3">
        <f t="shared" si="215"/>
        <v>1</v>
      </c>
      <c r="BA342" s="3">
        <f>IF(ISERROR(LEN(VLOOKUP(A342,Seqs!A:E,2,FALSE))-AL342),"-",LEN(VLOOKUP(A342,Seqs!A:E,2,FALSE))-AL342)</f>
        <v>357</v>
      </c>
      <c r="BB342" s="16">
        <f t="shared" si="216"/>
        <v>28</v>
      </c>
      <c r="BC342" s="9" t="str">
        <f t="shared" si="217"/>
        <v>-</v>
      </c>
      <c r="BD342" s="3">
        <f t="shared" si="218"/>
        <v>28</v>
      </c>
      <c r="BE342" s="3">
        <f t="shared" si="219"/>
        <v>52</v>
      </c>
    </row>
    <row r="343" spans="1:58" s="3" customFormat="1" x14ac:dyDescent="0.2">
      <c r="A343" s="3" t="s">
        <v>1193</v>
      </c>
      <c r="B343" s="3" t="str">
        <f>LOWER(VLOOKUP(A343,Xtal_Templ!A:B,2,FALSE))</f>
        <v>crfr2_human</v>
      </c>
      <c r="C343" s="3">
        <f>VLOOKUP($A343,'SegEnds_NonXtal_BW#'!$A:$Z,3,FALSE)+D343-50</f>
        <v>835</v>
      </c>
      <c r="D343" s="3">
        <v>862</v>
      </c>
      <c r="E343" s="3">
        <f>IF(ISERROR(VLOOKUP($A343,'SegEnds_NonXtal_BW#'!$A:$Z,4,FALSE)+VLOOKUP($A343,A:AL,4,FALSE)-50),"-",(VLOOKUP($A343,'SegEnds_NonXtal_BW#'!$A:$Z,4,FALSE)+VLOOKUP($A343,A:AL,4,FALSE)-50))</f>
        <v>872</v>
      </c>
      <c r="F343" s="3" t="s">
        <v>23</v>
      </c>
      <c r="G343" s="3" t="s">
        <v>23</v>
      </c>
      <c r="H343" s="3" t="s">
        <v>23</v>
      </c>
      <c r="I343" s="3">
        <f>VLOOKUP($A343,'SegEnds_NonXtal_BW#'!$A:$Z,7,FALSE)+J343-50</f>
        <v>877</v>
      </c>
      <c r="J343" s="3">
        <v>890</v>
      </c>
      <c r="K343" s="3">
        <f>VLOOKUP($A343,'SegEnds_NonXtal_BW#'!$A:$Z,8,FALSE)+VLOOKUP($A343,A:AL,10,FALSE)-50</f>
        <v>903</v>
      </c>
      <c r="L343" s="3" t="str">
        <f>IF(ISERROR(VLOOKUP($A343,'SegEnds_NonXtal_BW#'!$A:$Z,9,FALSE)+VLOOKUP($A343,A:AL,13,FALSE)-50),"-",(VLOOKUP($A343,'SegEnds_NonXtal_BW#'!$A:$Z,9,FALSE)+VLOOKUP($A343,A:AL,13,FALSE)-50))</f>
        <v>-</v>
      </c>
      <c r="M343" s="3" t="s">
        <v>23</v>
      </c>
      <c r="N343" s="3" t="str">
        <f>IF(ISERROR(VLOOKUP($A343,'SegEnds_NonXtal_BW#'!$A:$Z,10,FALSE)+VLOOKUP($A343,A:AL,13,FALSE)-50),"-",(VLOOKUP($A343,'SegEnds_NonXtal_BW#'!$A:$Z,10,FALSE)+VLOOKUP($A343,A:AL,13,FALSE)-50))</f>
        <v>-</v>
      </c>
      <c r="O343" s="3">
        <f>VLOOKUP($A343,'SegEnds_NonXtal_BW#'!$A:$Z,11,FALSE)+VLOOKUP($A343,A:AL,16,FALSE)-50</f>
        <v>908</v>
      </c>
      <c r="P343" s="3">
        <v>935</v>
      </c>
      <c r="Q343" s="3">
        <f>VLOOKUP($A343,'SegEnds_NonXtal_BW#'!$A:$Z,12,FALSE)+VLOOKUP($A343,A:AL,16,FALSE)-50</f>
        <v>941</v>
      </c>
      <c r="R343" s="3" t="str">
        <f>IF(ISERROR(VLOOKUP($A343,'SegEnds_NonXtal_BW#'!$A:$Z,13,FALSE)+VLOOKUP($A343,A:AL,19,FALSE)-50),"-",VLOOKUP($A343,'SegEnds_NonXtal_BW#'!$A:$Z,13,FALSE)+VLOOKUP($A343,A:AL,19,FALSE)-50)</f>
        <v>-</v>
      </c>
      <c r="S343" s="3" t="s">
        <v>23</v>
      </c>
      <c r="T343" s="100" t="str">
        <f>IF(ISERROR(VLOOKUP($A343,'SegEnds_NonXtal_BW#'!$A:$Z,14,FALSE)+VLOOKUP($A343,A:AL,19,FALSE)-50),"-",(VLOOKUP($A343,'SegEnds_NonXtal_BW#'!$A:$Z,14,FALSE)+VLOOKUP($A343,A:AL,19,FALSE)-50))</f>
        <v>-</v>
      </c>
      <c r="U343" s="9">
        <f>IF(ISERROR(VLOOKUP($A343,'SegEnds_NonXtal_BW#'!$A:$Z,15,FALSE)+VLOOKUP($A343,A:AL,22,FALSE)-50),"-",VLOOKUP($A343,'SegEnds_NonXtal_BW#'!$A:$Z,15,FALSE)+VLOOKUP($A343,A:AL,22,FALSE)-50)</f>
        <v>949</v>
      </c>
      <c r="V343" s="3">
        <v>958</v>
      </c>
      <c r="W343" s="3">
        <f>IF(ISERROR(VLOOKUP($A343,'SegEnds_NonXtal_BW#'!$A:$Z,16,FALSE)+VLOOKUP($A343,A:AL,22,FALSE)-50),"-",(VLOOKUP($A343,'SegEnds_NonXtal_BW#'!$A:$Z,16,FALSE)+VLOOKUP($A343,A:AL,22,FALSE)-50))</f>
        <v>976</v>
      </c>
      <c r="X343" s="3">
        <f>IF(ISERROR(VLOOKUP($A343,'SegEnds_NonXtal_BW#'!$A:$Z,17,FALSE)+VLOOKUP($A343,A:AL,25,FALSE)-50),"-",(VLOOKUP($A343,'SegEnds_NonXtal_BW#'!$A:$Z,17,FALSE)+VLOOKUP($A343,A:AL,25,FALSE)-50))</f>
        <v>982</v>
      </c>
      <c r="Y343" s="3">
        <v>982</v>
      </c>
      <c r="Z343" s="3">
        <f t="shared" si="204"/>
        <v>984</v>
      </c>
      <c r="AA343" s="3">
        <f>IF(ISERROR(VLOOKUP($A343,'SegEnds_NonXtal_BW#'!$A:$Z,19,FALSE)+VLOOKUP($A343,A:AL,28,FALSE)-50),"-",(VLOOKUP($A343,'SegEnds_NonXtal_BW#'!$A:$Z,19,FALSE)+VLOOKUP($A343,A:AL,28,FALSE)-50))</f>
        <v>987</v>
      </c>
      <c r="AB343" s="3">
        <v>1001</v>
      </c>
      <c r="AC343" s="3">
        <f>IF(ISERROR((VLOOKUP($A343,'SegEnds_NonXtal_BW#'!$A:$Z,20,FALSE)+VLOOKUP($A343,A:AL,28,FALSE)-50)),"-",(VLOOKUP($A343,'SegEnds_NonXtal_BW#'!$A:$Z,20,FALSE)+VLOOKUP($A343,A:AL,28,FALSE)-50))</f>
        <v>1020</v>
      </c>
      <c r="AD343" s="3">
        <f>IF(ISERROR(VLOOKUP($A343,'SegEnds_NonXtal_BW#'!$A:$Z,21,FALSE)+VLOOKUP($A343,A:AL,31,FALSE)-50),"-",(VLOOKUP($A343,'SegEnds_NonXtal_BW#'!$A:$Z,21,FALSE)+VLOOKUP($A343,A:AL,31,FALSE)-50))</f>
        <v>1032</v>
      </c>
      <c r="AE343" s="3">
        <v>1053</v>
      </c>
      <c r="AF343" s="3">
        <f>IF(ISERROR((VLOOKUP($A343,'SegEnds_NonXtal_BW#'!$A:$Z,22,FALSE)+VLOOKUP($A343,A:AL,31,FALSE)-50)),"-",(VLOOKUP($A343,'SegEnds_NonXtal_BW#'!$A:$Z,22,FALSE)+VLOOKUP($A343,A:AL,31,FALSE)-50))</f>
        <v>1056</v>
      </c>
      <c r="AG343" s="3">
        <f>IF(ISERROR(VLOOKUP($A343,'SegEnds_NonXtal_BW#'!$A:$Z,23,FALSE)+VLOOKUP($A343,A:AL,34,FALSE)-50),"-",(VLOOKUP($A343,'SegEnds_NonXtal_BW#'!$A:$Z,23,FALSE)+VLOOKUP($A343,A:AL,34,FALSE)-50))</f>
        <v>1062</v>
      </c>
      <c r="AH343" s="3">
        <v>1081</v>
      </c>
      <c r="AI343" s="3">
        <f>IF(ISERROR((VLOOKUP($A343,'SegEnds_NonXtal_BW#'!$A:$Z,24,FALSE)+VLOOKUP($A343,A:AL,34,FALSE)-50)),"-",(VLOOKUP($A343,'SegEnds_NonXtal_BW#'!$A:$Z,24,FALSE)+VLOOKUP($A343,A:AL,34,FALSE)-50))</f>
        <v>1087</v>
      </c>
      <c r="AJ343" s="3">
        <f>IF(ISERROR(VLOOKUP($A343,'SegEnds_NonXtal_BW#'!$A:$Z,25,FALSE)+VLOOKUP($A343,A:AL,37,FALSE)-50),"-",(VLOOKUP($A343,'SegEnds_NonXtal_BW#'!$A:$Z,25,FALSE)+VLOOKUP($A343,A:AL,37,FALSE)-50))</f>
        <v>1088</v>
      </c>
      <c r="AK343" s="3">
        <v>1091</v>
      </c>
      <c r="AL343" s="3">
        <f>IF(ISERROR((VLOOKUP($A343,'SegEnds_NonXtal_BW#'!$A:$Z,26,FALSE)+VLOOKUP($A343,A:AL,37,FALSE)-50)),"-",(VLOOKUP($A343,'SegEnds_NonXtal_BW#'!$A:$Z,26,FALSE)+VLOOKUP($A343,A:AL,37,FALSE)-50))</f>
        <v>1104</v>
      </c>
      <c r="AM343" s="28" t="str">
        <f>VLOOKUP(A343,Classification!A:B,2,FALSE)</f>
        <v>B2</v>
      </c>
      <c r="AN343" s="28" t="b">
        <f t="shared" si="220"/>
        <v>1</v>
      </c>
      <c r="AO343" s="3" t="str">
        <f>IF(ISERROR(MATCH(A343,'SegEnds_Xtal_Prot#'!B:B, 0)), "NoXtal", "Xtal")</f>
        <v>NoXtal</v>
      </c>
      <c r="AP343" s="3" t="str">
        <f t="shared" si="205"/>
        <v>-</v>
      </c>
      <c r="AQ343" s="3" t="str">
        <f t="shared" si="206"/>
        <v>-</v>
      </c>
      <c r="AR343" s="3" t="str">
        <f t="shared" si="207"/>
        <v>-</v>
      </c>
      <c r="AS343" s="3" t="str">
        <f t="shared" si="208"/>
        <v>-</v>
      </c>
      <c r="AT343" s="3" t="str">
        <f t="shared" si="209"/>
        <v>-</v>
      </c>
      <c r="AU343" s="3" t="str">
        <f t="shared" si="210"/>
        <v>-</v>
      </c>
      <c r="AV343" s="3">
        <f t="shared" si="211"/>
        <v>6</v>
      </c>
      <c r="AW343" s="3">
        <f t="shared" si="212"/>
        <v>3</v>
      </c>
      <c r="AX343" s="3">
        <f t="shared" si="213"/>
        <v>12</v>
      </c>
      <c r="AY343" s="3">
        <f t="shared" si="214"/>
        <v>6</v>
      </c>
      <c r="AZ343" s="3">
        <f t="shared" si="215"/>
        <v>1</v>
      </c>
      <c r="BA343" s="3">
        <f>IF(ISERROR(LEN(VLOOKUP(A343,Seqs!A:E,2,FALSE))-AL343),"-",LEN(VLOOKUP(A343,Seqs!A:E,2,FALSE))-AL343)</f>
        <v>355</v>
      </c>
      <c r="BB343" s="16">
        <f t="shared" si="216"/>
        <v>28</v>
      </c>
      <c r="BC343" s="9" t="str">
        <f t="shared" si="217"/>
        <v>-</v>
      </c>
      <c r="BD343" s="3">
        <f t="shared" si="218"/>
        <v>28</v>
      </c>
      <c r="BE343" s="3">
        <f t="shared" si="219"/>
        <v>52</v>
      </c>
    </row>
    <row r="344" spans="1:58" s="3" customFormat="1" x14ac:dyDescent="0.2">
      <c r="A344" s="3" t="s">
        <v>1194</v>
      </c>
      <c r="B344" s="3" t="str">
        <f>LOWER(VLOOKUP(A344,Xtal_Templ!A:B,2,FALSE))</f>
        <v>crfr2_human</v>
      </c>
      <c r="C344" s="3">
        <f>VLOOKUP($A344,'SegEnds_NonXtal_BW#'!$A:$Z,3,FALSE)+D344-50</f>
        <v>852</v>
      </c>
      <c r="D344" s="3">
        <v>879</v>
      </c>
      <c r="E344" s="3">
        <f>IF(ISERROR(VLOOKUP($A344,'SegEnds_NonXtal_BW#'!$A:$Z,4,FALSE)+VLOOKUP($A344,A:AL,4,FALSE)-50),"-",(VLOOKUP($A344,'SegEnds_NonXtal_BW#'!$A:$Z,4,FALSE)+VLOOKUP($A344,A:AL,4,FALSE)-50))</f>
        <v>889</v>
      </c>
      <c r="F344" s="3">
        <f>G344-2</f>
        <v>890</v>
      </c>
      <c r="G344" s="3">
        <v>892</v>
      </c>
      <c r="H344" s="3">
        <f>G344+1</f>
        <v>893</v>
      </c>
      <c r="I344" s="3">
        <f>H344+1</f>
        <v>894</v>
      </c>
      <c r="J344" s="3">
        <v>907</v>
      </c>
      <c r="K344" s="3">
        <f>VLOOKUP($A344,'SegEnds_NonXtal_BW#'!$A:$Z,8,FALSE)+VLOOKUP($A344,A:AL,10,FALSE)-50</f>
        <v>920</v>
      </c>
      <c r="L344" s="3" t="str">
        <f>IF(ISERROR(VLOOKUP($A344,'SegEnds_NonXtal_BW#'!$A:$Z,9,FALSE)+VLOOKUP($A344,A:AL,13,FALSE)-50),"-",(VLOOKUP($A344,'SegEnds_NonXtal_BW#'!$A:$Z,9,FALSE)+VLOOKUP($A344,A:AL,13,FALSE)-50))</f>
        <v>-</v>
      </c>
      <c r="M344" s="3" t="s">
        <v>23</v>
      </c>
      <c r="N344" s="3" t="str">
        <f>IF(ISERROR(VLOOKUP($A344,'SegEnds_NonXtal_BW#'!$A:$Z,10,FALSE)+VLOOKUP($A344,A:AL,13,FALSE)-50),"-",(VLOOKUP($A344,'SegEnds_NonXtal_BW#'!$A:$Z,10,FALSE)+VLOOKUP($A344,A:AL,13,FALSE)-50))</f>
        <v>-</v>
      </c>
      <c r="O344" s="3">
        <f>VLOOKUP($A344,'SegEnds_NonXtal_BW#'!$A:$Z,11,FALSE)+VLOOKUP($A344,A:AL,16,FALSE)-50</f>
        <v>925</v>
      </c>
      <c r="P344" s="3">
        <v>952</v>
      </c>
      <c r="Q344" s="3">
        <f>VLOOKUP($A344,'SegEnds_NonXtal_BW#'!$A:$Z,12,FALSE)+VLOOKUP($A344,A:AL,16,FALSE)-50</f>
        <v>958</v>
      </c>
      <c r="R344" s="3" t="str">
        <f>IF(ISERROR(VLOOKUP($A344,'SegEnds_NonXtal_BW#'!$A:$Z,13,FALSE)+VLOOKUP($A344,A:AL,19,FALSE)-50),"-",VLOOKUP($A344,'SegEnds_NonXtal_BW#'!$A:$Z,13,FALSE)+VLOOKUP($A344,A:AL,19,FALSE)-50)</f>
        <v>-</v>
      </c>
      <c r="S344" s="3" t="s">
        <v>23</v>
      </c>
      <c r="T344" s="100" t="str">
        <f>IF(ISERROR(VLOOKUP($A344,'SegEnds_NonXtal_BW#'!$A:$Z,14,FALSE)+VLOOKUP($A344,A:AL,19,FALSE)-50),"-",(VLOOKUP($A344,'SegEnds_NonXtal_BW#'!$A:$Z,14,FALSE)+VLOOKUP($A344,A:AL,19,FALSE)-50))</f>
        <v>-</v>
      </c>
      <c r="U344" s="9">
        <f>IF(ISERROR(VLOOKUP($A344,'SegEnds_NonXtal_BW#'!$A:$Z,15,FALSE)+VLOOKUP($A344,A:AL,22,FALSE)-50),"-",VLOOKUP($A344,'SegEnds_NonXtal_BW#'!$A:$Z,15,FALSE)+VLOOKUP($A344,A:AL,22,FALSE)-50)</f>
        <v>966</v>
      </c>
      <c r="V344" s="3">
        <v>975</v>
      </c>
      <c r="W344" s="3">
        <f>IF(ISERROR(VLOOKUP($A344,'SegEnds_NonXtal_BW#'!$A:$Z,16,FALSE)+VLOOKUP($A344,A:AL,22,FALSE)-50),"-",(VLOOKUP($A344,'SegEnds_NonXtal_BW#'!$A:$Z,16,FALSE)+VLOOKUP($A344,A:AL,22,FALSE)-50))</f>
        <v>993</v>
      </c>
      <c r="X344" s="3">
        <f>IF(ISERROR(VLOOKUP($A344,'SegEnds_NonXtal_BW#'!$A:$Z,17,FALSE)+VLOOKUP($A344,A:AL,25,FALSE)-50),"-",(VLOOKUP($A344,'SegEnds_NonXtal_BW#'!$A:$Z,17,FALSE)+VLOOKUP($A344,A:AL,25,FALSE)-50))</f>
        <v>999</v>
      </c>
      <c r="Y344" s="3">
        <v>999</v>
      </c>
      <c r="Z344" s="3">
        <f t="shared" si="204"/>
        <v>1001</v>
      </c>
      <c r="AA344" s="3">
        <f>IF(ISERROR(VLOOKUP($A344,'SegEnds_NonXtal_BW#'!$A:$Z,19,FALSE)+VLOOKUP($A344,A:AL,28,FALSE)-50),"-",(VLOOKUP($A344,'SegEnds_NonXtal_BW#'!$A:$Z,19,FALSE)+VLOOKUP($A344,A:AL,28,FALSE)-50))</f>
        <v>1004</v>
      </c>
      <c r="AB344" s="3">
        <v>1018</v>
      </c>
      <c r="AC344" s="3">
        <f>IF(ISERROR((VLOOKUP($A344,'SegEnds_NonXtal_BW#'!$A:$Z,20,FALSE)+VLOOKUP($A344,A:AL,28,FALSE)-50)),"-",(VLOOKUP($A344,'SegEnds_NonXtal_BW#'!$A:$Z,20,FALSE)+VLOOKUP($A344,A:AL,28,FALSE)-50))</f>
        <v>1037</v>
      </c>
      <c r="AD344" s="3">
        <f>IF(ISERROR(VLOOKUP($A344,'SegEnds_NonXtal_BW#'!$A:$Z,21,FALSE)+VLOOKUP($A344,A:AL,31,FALSE)-50),"-",(VLOOKUP($A344,'SegEnds_NonXtal_BW#'!$A:$Z,21,FALSE)+VLOOKUP($A344,A:AL,31,FALSE)-50))</f>
        <v>1049</v>
      </c>
      <c r="AE344" s="3">
        <v>1070</v>
      </c>
      <c r="AF344" s="3">
        <f>IF(ISERROR((VLOOKUP($A344,'SegEnds_NonXtal_BW#'!$A:$Z,22,FALSE)+VLOOKUP($A344,A:AL,31,FALSE)-50)),"-",(VLOOKUP($A344,'SegEnds_NonXtal_BW#'!$A:$Z,22,FALSE)+VLOOKUP($A344,A:AL,31,FALSE)-50))</f>
        <v>1073</v>
      </c>
      <c r="AG344" s="3">
        <f>IF(ISERROR(VLOOKUP($A344,'SegEnds_NonXtal_BW#'!$A:$Z,23,FALSE)+VLOOKUP($A344,A:AL,34,FALSE)-50),"-",(VLOOKUP($A344,'SegEnds_NonXtal_BW#'!$A:$Z,23,FALSE)+VLOOKUP($A344,A:AL,34,FALSE)-50))</f>
        <v>1079</v>
      </c>
      <c r="AH344" s="3">
        <v>1098</v>
      </c>
      <c r="AI344" s="3">
        <f>IF(ISERROR((VLOOKUP($A344,'SegEnds_NonXtal_BW#'!$A:$Z,24,FALSE)+VLOOKUP($A344,A:AL,34,FALSE)-50)),"-",(VLOOKUP($A344,'SegEnds_NonXtal_BW#'!$A:$Z,24,FALSE)+VLOOKUP($A344,A:AL,34,FALSE)-50))</f>
        <v>1104</v>
      </c>
      <c r="AJ344" s="3">
        <f>IF(ISERROR(VLOOKUP($A344,'SegEnds_NonXtal_BW#'!$A:$Z,25,FALSE)+VLOOKUP($A344,A:AL,37,FALSE)-50),"-",(VLOOKUP($A344,'SegEnds_NonXtal_BW#'!$A:$Z,25,FALSE)+VLOOKUP($A344,A:AL,37,FALSE)-50))</f>
        <v>1105</v>
      </c>
      <c r="AK344" s="3">
        <v>1108</v>
      </c>
      <c r="AL344" s="3">
        <f>IF(ISERROR((VLOOKUP($A344,'SegEnds_NonXtal_BW#'!$A:$Z,26,FALSE)+VLOOKUP($A344,A:AL,37,FALSE)-50)),"-",(VLOOKUP($A344,'SegEnds_NonXtal_BW#'!$A:$Z,26,FALSE)+VLOOKUP($A344,A:AL,37,FALSE)-50))</f>
        <v>1121</v>
      </c>
      <c r="AM344" s="28" t="str">
        <f>VLOOKUP(A344,Classification!A:B,2,FALSE)</f>
        <v>B2</v>
      </c>
      <c r="AN344" s="28" t="b">
        <f t="shared" si="220"/>
        <v>1</v>
      </c>
      <c r="AO344" s="3" t="str">
        <f>IF(ISERROR(MATCH(A344,'SegEnds_Xtal_Prot#'!B:B, 0)), "NoXtal", "Xtal")</f>
        <v>NoXtal</v>
      </c>
      <c r="AP344" s="3">
        <f t="shared" si="205"/>
        <v>1</v>
      </c>
      <c r="AQ344" s="3">
        <f t="shared" si="206"/>
        <v>1</v>
      </c>
      <c r="AR344" s="3" t="str">
        <f t="shared" si="207"/>
        <v>-</v>
      </c>
      <c r="AS344" s="3" t="str">
        <f t="shared" si="208"/>
        <v>-</v>
      </c>
      <c r="AT344" s="3" t="str">
        <f t="shared" si="209"/>
        <v>-</v>
      </c>
      <c r="AU344" s="3" t="str">
        <f t="shared" si="210"/>
        <v>-</v>
      </c>
      <c r="AV344" s="3">
        <f t="shared" si="211"/>
        <v>6</v>
      </c>
      <c r="AW344" s="3">
        <f t="shared" si="212"/>
        <v>3</v>
      </c>
      <c r="AX344" s="3">
        <f t="shared" si="213"/>
        <v>12</v>
      </c>
      <c r="AY344" s="3">
        <f t="shared" si="214"/>
        <v>6</v>
      </c>
      <c r="AZ344" s="3">
        <f t="shared" si="215"/>
        <v>1</v>
      </c>
      <c r="BA344" s="3">
        <f>IF(ISERROR(LEN(VLOOKUP(A344,Seqs!A:E,2,FALSE))-AL344),"-",LEN(VLOOKUP(A344,Seqs!A:E,2,FALSE))-AL344)</f>
        <v>326</v>
      </c>
      <c r="BB344" s="16">
        <f t="shared" si="216"/>
        <v>28</v>
      </c>
      <c r="BC344" s="9" t="str">
        <f t="shared" si="217"/>
        <v>-</v>
      </c>
      <c r="BD344" s="3">
        <f t="shared" si="218"/>
        <v>28</v>
      </c>
      <c r="BE344" s="3">
        <f t="shared" si="219"/>
        <v>52</v>
      </c>
    </row>
    <row r="345" spans="1:58" s="3" customFormat="1" x14ac:dyDescent="0.2">
      <c r="A345" s="3" t="s">
        <v>1195</v>
      </c>
      <c r="B345" s="3" t="str">
        <f>LOWER(VLOOKUP(A345,Xtal_Templ!A:B,2,FALSE))</f>
        <v>crfr1_human</v>
      </c>
      <c r="C345" s="3">
        <f>VLOOKUP($A345,'SegEnds_NonXtal_BW#'!$A:$Z,3,FALSE)+D345-50</f>
        <v>415</v>
      </c>
      <c r="D345" s="3">
        <v>442</v>
      </c>
      <c r="E345" s="3">
        <f>IF(ISERROR(VLOOKUP($A345,'SegEnds_NonXtal_BW#'!$A:$Z,4,FALSE)+VLOOKUP($A345,A:AL,4,FALSE)-50),"-",(VLOOKUP($A345,'SegEnds_NonXtal_BW#'!$A:$Z,4,FALSE)+VLOOKUP($A345,A:AL,4,FALSE)-50))</f>
        <v>452</v>
      </c>
      <c r="F345" s="3" t="s">
        <v>23</v>
      </c>
      <c r="G345" s="3" t="s">
        <v>23</v>
      </c>
      <c r="H345" s="3" t="s">
        <v>23</v>
      </c>
      <c r="I345" s="3">
        <f>VLOOKUP($A345,'SegEnds_NonXtal_BW#'!$A:$Z,7,FALSE)+J345-50</f>
        <v>457</v>
      </c>
      <c r="J345" s="3">
        <v>470</v>
      </c>
      <c r="K345" s="3">
        <f>VLOOKUP($A345,'SegEnds_NonXtal_BW#'!$A:$Z,8,FALSE)+VLOOKUP($A345,A:AL,10,FALSE)-50</f>
        <v>483</v>
      </c>
      <c r="L345" s="3" t="str">
        <f>IF(ISERROR(VLOOKUP($A345,'SegEnds_NonXtal_BW#'!$A:$Z,9,FALSE)+VLOOKUP($A345,A:AL,13,FALSE)-50),"-",(VLOOKUP($A345,'SegEnds_NonXtal_BW#'!$A:$Z,9,FALSE)+VLOOKUP($A345,A:AL,13,FALSE)-50))</f>
        <v>-</v>
      </c>
      <c r="M345" s="3" t="s">
        <v>23</v>
      </c>
      <c r="N345" s="3" t="str">
        <f>IF(ISERROR(VLOOKUP($A345,'SegEnds_NonXtal_BW#'!$A:$Z,10,FALSE)+VLOOKUP($A345,A:AL,13,FALSE)-50),"-",(VLOOKUP($A345,'SegEnds_NonXtal_BW#'!$A:$Z,10,FALSE)+VLOOKUP($A345,A:AL,13,FALSE)-50))</f>
        <v>-</v>
      </c>
      <c r="O345" s="3">
        <f>VLOOKUP($A345,'SegEnds_NonXtal_BW#'!$A:$Z,11,FALSE)+VLOOKUP($A345,A:AL,16,FALSE)-50</f>
        <v>488</v>
      </c>
      <c r="P345" s="3">
        <v>515</v>
      </c>
      <c r="Q345" s="3">
        <f>VLOOKUP($A345,'SegEnds_NonXtal_BW#'!$A:$Z,12,FALSE)+VLOOKUP($A345,A:AL,16,FALSE)-50</f>
        <v>521</v>
      </c>
      <c r="R345" s="3" t="str">
        <f>IF(ISERROR(VLOOKUP($A345,'SegEnds_NonXtal_BW#'!$A:$Z,13,FALSE)+VLOOKUP($A345,A:AL,19,FALSE)-50),"-",VLOOKUP($A345,'SegEnds_NonXtal_BW#'!$A:$Z,13,FALSE)+VLOOKUP($A345,A:AL,19,FALSE)-50)</f>
        <v>-</v>
      </c>
      <c r="S345" s="3" t="s">
        <v>23</v>
      </c>
      <c r="T345" s="100" t="str">
        <f>IF(ISERROR(VLOOKUP($A345,'SegEnds_NonXtal_BW#'!$A:$Z,14,FALSE)+VLOOKUP($A345,A:AL,19,FALSE)-50),"-",(VLOOKUP($A345,'SegEnds_NonXtal_BW#'!$A:$Z,14,FALSE)+VLOOKUP($A345,A:AL,19,FALSE)-50))</f>
        <v>-</v>
      </c>
      <c r="U345" s="9">
        <f>IF(ISERROR(VLOOKUP($A345,'SegEnds_NonXtal_BW#'!$A:$Z,15,FALSE)+VLOOKUP($A345,A:AL,22,FALSE)-50),"-",VLOOKUP($A345,'SegEnds_NonXtal_BW#'!$A:$Z,15,FALSE)+VLOOKUP($A345,A:AL,22,FALSE)-50)</f>
        <v>528</v>
      </c>
      <c r="V345" s="3">
        <v>538</v>
      </c>
      <c r="W345" s="3">
        <f>IF(ISERROR(VLOOKUP($A345,'SegEnds_NonXtal_BW#'!$A:$Z,16,FALSE)+VLOOKUP($A345,A:AL,22,FALSE)-50),"-",(VLOOKUP($A345,'SegEnds_NonXtal_BW#'!$A:$Z,16,FALSE)+VLOOKUP($A345,A:AL,22,FALSE)-50))</f>
        <v>556</v>
      </c>
      <c r="X345" s="3">
        <f>IF(ISERROR(VLOOKUP($A345,'SegEnds_NonXtal_BW#'!$A:$Z,17,FALSE)+VLOOKUP($A345,A:AL,25,FALSE)-50),"-",(VLOOKUP($A345,'SegEnds_NonXtal_BW#'!$A:$Z,17,FALSE)+VLOOKUP($A345,A:AL,25,FALSE)-50))</f>
        <v>562</v>
      </c>
      <c r="Y345" s="3">
        <v>562</v>
      </c>
      <c r="Z345" s="3">
        <f t="shared" si="204"/>
        <v>564</v>
      </c>
      <c r="AA345" s="3">
        <f>IF(ISERROR(VLOOKUP($A345,'SegEnds_NonXtal_BW#'!$A:$Z,19,FALSE)+VLOOKUP($A345,A:AL,28,FALSE)-50),"-",(VLOOKUP($A345,'SegEnds_NonXtal_BW#'!$A:$Z,19,FALSE)+VLOOKUP($A345,A:AL,28,FALSE)-50))</f>
        <v>567</v>
      </c>
      <c r="AB345" s="3">
        <v>581</v>
      </c>
      <c r="AC345" s="3">
        <f>IF(ISERROR((VLOOKUP($A345,'SegEnds_NonXtal_BW#'!$A:$Z,20,FALSE)+VLOOKUP($A345,A:AL,28,FALSE)-50)),"-",(VLOOKUP($A345,'SegEnds_NonXtal_BW#'!$A:$Z,20,FALSE)+VLOOKUP($A345,A:AL,28,FALSE)-50))</f>
        <v>600</v>
      </c>
      <c r="AD345" s="3">
        <f>IF(ISERROR(VLOOKUP($A345,'SegEnds_NonXtal_BW#'!$A:$Z,21,FALSE)+VLOOKUP($A345,A:AL,31,FALSE)-50),"-",(VLOOKUP($A345,'SegEnds_NonXtal_BW#'!$A:$Z,21,FALSE)+VLOOKUP($A345,A:AL,31,FALSE)-50))</f>
        <v>612</v>
      </c>
      <c r="AE345" s="3">
        <v>633</v>
      </c>
      <c r="AF345" s="3">
        <f>IF(ISERROR((VLOOKUP($A345,'SegEnds_NonXtal_BW#'!$A:$Z,22,FALSE)+VLOOKUP($A345,A:AL,31,FALSE)-50)),"-",(VLOOKUP($A345,'SegEnds_NonXtal_BW#'!$A:$Z,22,FALSE)+VLOOKUP($A345,A:AL,31,FALSE)-50))</f>
        <v>636</v>
      </c>
      <c r="AG345" s="3">
        <f>IF(ISERROR(VLOOKUP($A345,'SegEnds_NonXtal_BW#'!$A:$Z,23,FALSE)+VLOOKUP($A345,A:AL,34,FALSE)-50),"-",(VLOOKUP($A345,'SegEnds_NonXtal_BW#'!$A:$Z,23,FALSE)+VLOOKUP($A345,A:AL,34,FALSE)-50))</f>
        <v>642</v>
      </c>
      <c r="AH345" s="3">
        <v>661</v>
      </c>
      <c r="AI345" s="3">
        <f>IF(ISERROR((VLOOKUP($A345,'SegEnds_NonXtal_BW#'!$A:$Z,24,FALSE)+VLOOKUP($A345,A:AL,34,FALSE)-50)),"-",(VLOOKUP($A345,'SegEnds_NonXtal_BW#'!$A:$Z,24,FALSE)+VLOOKUP($A345,A:AL,34,FALSE)-50))</f>
        <v>667</v>
      </c>
      <c r="AJ345" s="3">
        <f>IF(ISERROR(VLOOKUP($A345,'SegEnds_NonXtal_BW#'!$A:$Z,25,FALSE)+VLOOKUP($A345,A:AL,37,FALSE)-50),"-",(VLOOKUP($A345,'SegEnds_NonXtal_BW#'!$A:$Z,25,FALSE)+VLOOKUP($A345,A:AL,37,FALSE)-50))</f>
        <v>668</v>
      </c>
      <c r="AK345" s="3">
        <v>671</v>
      </c>
      <c r="AL345" s="3">
        <f>IF(ISERROR((VLOOKUP($A345,'SegEnds_NonXtal_BW#'!$A:$Z,26,FALSE)+VLOOKUP($A345,A:AL,37,FALSE)-50)),"-",(VLOOKUP($A345,'SegEnds_NonXtal_BW#'!$A:$Z,26,FALSE)+VLOOKUP($A345,A:AL,37,FALSE)-50))</f>
        <v>684</v>
      </c>
      <c r="AM345" s="28" t="str">
        <f>VLOOKUP(A345,Classification!A:B,2,FALSE)</f>
        <v>B2</v>
      </c>
      <c r="AN345" s="28" t="b">
        <f t="shared" si="220"/>
        <v>1</v>
      </c>
      <c r="AO345" s="3" t="str">
        <f>IF(ISERROR(MATCH(A345,'SegEnds_Xtal_Prot#'!B:B, 0)), "NoXtal", "Xtal")</f>
        <v>NoXtal</v>
      </c>
      <c r="AP345" s="3" t="str">
        <f t="shared" si="205"/>
        <v>-</v>
      </c>
      <c r="AQ345" s="3" t="str">
        <f t="shared" si="206"/>
        <v>-</v>
      </c>
      <c r="AR345" s="3" t="str">
        <f t="shared" si="207"/>
        <v>-</v>
      </c>
      <c r="AS345" s="3" t="str">
        <f t="shared" si="208"/>
        <v>-</v>
      </c>
      <c r="AT345" s="3" t="str">
        <f t="shared" si="209"/>
        <v>-</v>
      </c>
      <c r="AU345" s="3" t="str">
        <f t="shared" si="210"/>
        <v>-</v>
      </c>
      <c r="AV345" s="3">
        <f t="shared" si="211"/>
        <v>6</v>
      </c>
      <c r="AW345" s="3">
        <f t="shared" si="212"/>
        <v>3</v>
      </c>
      <c r="AX345" s="3">
        <f t="shared" si="213"/>
        <v>12</v>
      </c>
      <c r="AY345" s="3">
        <f t="shared" si="214"/>
        <v>6</v>
      </c>
      <c r="AZ345" s="3">
        <f t="shared" si="215"/>
        <v>1</v>
      </c>
      <c r="BA345" s="3">
        <f>IF(ISERROR(LEN(VLOOKUP(A345,Seqs!A:E,2,FALSE))-AL345),"-",LEN(VLOOKUP(A345,Seqs!A:E,2,FALSE))-AL345)</f>
        <v>6</v>
      </c>
      <c r="BB345" s="16">
        <f t="shared" si="216"/>
        <v>28</v>
      </c>
      <c r="BC345" s="9" t="str">
        <f t="shared" si="217"/>
        <v>-</v>
      </c>
      <c r="BD345" s="3">
        <f t="shared" si="218"/>
        <v>28</v>
      </c>
      <c r="BE345" s="3">
        <f t="shared" si="219"/>
        <v>52</v>
      </c>
      <c r="BF345" s="3">
        <f>AH345-AE345</f>
        <v>28</v>
      </c>
    </row>
    <row r="346" spans="1:58" s="3" customFormat="1" x14ac:dyDescent="0.2">
      <c r="A346" s="3" t="s">
        <v>1673</v>
      </c>
      <c r="B346" s="3" t="str">
        <f>LOWER(VLOOKUP(A346,Xtal_Templ!A:B,2,FALSE))</f>
        <v>crfr1_human</v>
      </c>
      <c r="C346" s="3">
        <f>VLOOKUP($A346,'SegEnds_NonXtal_BW#'!$A:$Z,3,FALSE)+D346-50</f>
        <v>935</v>
      </c>
      <c r="D346" s="3">
        <v>962</v>
      </c>
      <c r="E346" s="3">
        <f>IF(ISERROR(VLOOKUP($A346,'SegEnds_NonXtal_BW#'!$A:$Z,4,FALSE)+VLOOKUP($A346,A:AL,4,FALSE)-50),"-",(VLOOKUP($A346,'SegEnds_NonXtal_BW#'!$A:$Z,4,FALSE)+VLOOKUP($A346,A:AL,4,FALSE)-50))</f>
        <v>972</v>
      </c>
      <c r="F346" s="3" t="s">
        <v>23</v>
      </c>
      <c r="G346" s="3" t="s">
        <v>23</v>
      </c>
      <c r="H346" s="3" t="s">
        <v>23</v>
      </c>
      <c r="I346" s="3">
        <f>VLOOKUP($A346,'SegEnds_NonXtal_BW#'!$A:$Z,7,FALSE)+J346-50</f>
        <v>978</v>
      </c>
      <c r="J346" s="3">
        <v>991</v>
      </c>
      <c r="K346" s="3">
        <f>VLOOKUP($A346,'SegEnds_NonXtal_BW#'!$A:$Z,8,FALSE)+VLOOKUP($A346,A:AL,10,FALSE)-50</f>
        <v>1004</v>
      </c>
      <c r="L346" s="3" t="str">
        <f>IF(ISERROR(VLOOKUP($A346,'SegEnds_NonXtal_BW#'!$A:$Z,9,FALSE)+VLOOKUP($A346,A:AL,13,FALSE)-50),"-",(VLOOKUP($A346,'SegEnds_NonXtal_BW#'!$A:$Z,9,FALSE)+VLOOKUP($A346,A:AL,13,FALSE)-50))</f>
        <v>-</v>
      </c>
      <c r="M346" s="3" t="s">
        <v>23</v>
      </c>
      <c r="N346" s="3" t="str">
        <f>IF(ISERROR(VLOOKUP($A346,'SegEnds_NonXtal_BW#'!$A:$Z,10,FALSE)+VLOOKUP($A346,A:AL,13,FALSE)-50),"-",(VLOOKUP($A346,'SegEnds_NonXtal_BW#'!$A:$Z,10,FALSE)+VLOOKUP($A346,A:AL,13,FALSE)-50))</f>
        <v>-</v>
      </c>
      <c r="O346" s="3">
        <f>VLOOKUP($A346,'SegEnds_NonXtal_BW#'!$A:$Z,11,FALSE)+VLOOKUP($A346,A:AL,16,FALSE)-50</f>
        <v>1009</v>
      </c>
      <c r="P346" s="3">
        <v>1036</v>
      </c>
      <c r="Q346" s="3">
        <f>VLOOKUP($A346,'SegEnds_NonXtal_BW#'!$A:$Z,12,FALSE)+VLOOKUP($A346,A:AL,16,FALSE)-50</f>
        <v>1042</v>
      </c>
      <c r="R346" s="3" t="str">
        <f>IF(ISERROR(VLOOKUP($A346,'SegEnds_NonXtal_BW#'!$A:$Z,13,FALSE)+VLOOKUP($A346,A:AL,19,FALSE)-50),"-",VLOOKUP($A346,'SegEnds_NonXtal_BW#'!$A:$Z,13,FALSE)+VLOOKUP($A346,A:AL,19,FALSE)-50)</f>
        <v>-</v>
      </c>
      <c r="S346" s="3" t="s">
        <v>23</v>
      </c>
      <c r="T346" s="100" t="str">
        <f>IF(ISERROR(VLOOKUP($A346,'SegEnds_NonXtal_BW#'!$A:$Z,14,FALSE)+VLOOKUP($A346,A:AL,19,FALSE)-50),"-",(VLOOKUP($A346,'SegEnds_NonXtal_BW#'!$A:$Z,14,FALSE)+VLOOKUP($A346,A:AL,19,FALSE)-50))</f>
        <v>-</v>
      </c>
      <c r="U346" s="9">
        <f>IF(ISERROR(VLOOKUP($A346,'SegEnds_NonXtal_BW#'!$A:$Z,15,FALSE)+VLOOKUP($A346,A:AL,22,FALSE)-50),"-",VLOOKUP($A346,'SegEnds_NonXtal_BW#'!$A:$Z,15,FALSE)+VLOOKUP($A346,A:AL,22,FALSE)-50)</f>
        <v>1048</v>
      </c>
      <c r="V346" s="3">
        <v>1058</v>
      </c>
      <c r="W346" s="3">
        <f>IF(ISERROR(VLOOKUP($A346,'SegEnds_NonXtal_BW#'!$A:$Z,16,FALSE)+VLOOKUP($A346,A:AL,22,FALSE)-50),"-",(VLOOKUP($A346,'SegEnds_NonXtal_BW#'!$A:$Z,16,FALSE)+VLOOKUP($A346,A:AL,22,FALSE)-50))</f>
        <v>1076</v>
      </c>
      <c r="X346" s="3">
        <f>IF(ISERROR(VLOOKUP($A346,'SegEnds_NonXtal_BW#'!$A:$Z,17,FALSE)+VLOOKUP($A346,A:AL,25,FALSE)-50),"-",(VLOOKUP($A346,'SegEnds_NonXtal_BW#'!$A:$Z,17,FALSE)+VLOOKUP($A346,A:AL,25,FALSE)-50))</f>
        <v>1083</v>
      </c>
      <c r="Y346" s="3">
        <v>1083</v>
      </c>
      <c r="Z346" s="3">
        <f t="shared" si="204"/>
        <v>1085</v>
      </c>
      <c r="AA346" s="3">
        <f>IF(ISERROR(VLOOKUP($A346,'SegEnds_NonXtal_BW#'!$A:$Z,19,FALSE)+VLOOKUP($A346,A:AL,28,FALSE)-50),"-",(VLOOKUP($A346,'SegEnds_NonXtal_BW#'!$A:$Z,19,FALSE)+VLOOKUP($A346,A:AL,28,FALSE)-50))</f>
        <v>1088</v>
      </c>
      <c r="AB346" s="3">
        <v>1102</v>
      </c>
      <c r="AC346" s="3">
        <f>IF(ISERROR((VLOOKUP($A346,'SegEnds_NonXtal_BW#'!$A:$Z,20,FALSE)+VLOOKUP($A346,A:AL,28,FALSE)-50)),"-",(VLOOKUP($A346,'SegEnds_NonXtal_BW#'!$A:$Z,20,FALSE)+VLOOKUP($A346,A:AL,28,FALSE)-50))</f>
        <v>1121</v>
      </c>
      <c r="AD346" s="3">
        <f>IF(ISERROR(VLOOKUP($A346,'SegEnds_NonXtal_BW#'!$A:$Z,21,FALSE)+VLOOKUP($A346,A:AL,31,FALSE)-50),"-",(VLOOKUP($A346,'SegEnds_NonXtal_BW#'!$A:$Z,21,FALSE)+VLOOKUP($A346,A:AL,31,FALSE)-50))</f>
        <v>1131</v>
      </c>
      <c r="AE346" s="3">
        <v>1152</v>
      </c>
      <c r="AF346" s="3">
        <f>IF(ISERROR((VLOOKUP($A346,'SegEnds_NonXtal_BW#'!$A:$Z,22,FALSE)+VLOOKUP($A346,A:AL,31,FALSE)-50)),"-",(VLOOKUP($A346,'SegEnds_NonXtal_BW#'!$A:$Z,22,FALSE)+VLOOKUP($A346,A:AL,31,FALSE)-50))</f>
        <v>1155</v>
      </c>
      <c r="AG346" s="3">
        <f>IF(ISERROR(VLOOKUP($A346,'SegEnds_NonXtal_BW#'!$A:$Z,23,FALSE)+VLOOKUP($A346,A:AL,34,FALSE)-50),"-",(VLOOKUP($A346,'SegEnds_NonXtal_BW#'!$A:$Z,23,FALSE)+VLOOKUP($A346,A:AL,34,FALSE)-50))</f>
        <v>1162</v>
      </c>
      <c r="AH346" s="3">
        <v>1181</v>
      </c>
      <c r="AI346" s="3">
        <f>IF(ISERROR((VLOOKUP($A346,'SegEnds_NonXtal_BW#'!$A:$Z,24,FALSE)+VLOOKUP($A346,A:AL,34,FALSE)-50)),"-",(VLOOKUP($A346,'SegEnds_NonXtal_BW#'!$A:$Z,24,FALSE)+VLOOKUP($A346,A:AL,34,FALSE)-50))</f>
        <v>1187</v>
      </c>
      <c r="AJ346" s="3">
        <f>IF(ISERROR(VLOOKUP($A346,'SegEnds_NonXtal_BW#'!$A:$Z,25,FALSE)+VLOOKUP($A346,A:AL,37,FALSE)-50),"-",(VLOOKUP($A346,'SegEnds_NonXtal_BW#'!$A:$Z,25,FALSE)+VLOOKUP($A346,A:AL,37,FALSE)-50))</f>
        <v>1188</v>
      </c>
      <c r="AK346" s="3">
        <v>1191</v>
      </c>
      <c r="AL346" s="3">
        <f>IF(ISERROR((VLOOKUP($A346,'SegEnds_NonXtal_BW#'!$A:$Z,26,FALSE)+VLOOKUP($A346,A:AL,37,FALSE)-50)),"-",(VLOOKUP($A346,'SegEnds_NonXtal_BW#'!$A:$Z,26,FALSE)+VLOOKUP($A346,A:AL,37,FALSE)-50))</f>
        <v>1204</v>
      </c>
      <c r="AM346" s="28" t="str">
        <f>VLOOKUP(A346,Classification!A:B,2,FALSE)</f>
        <v>B2</v>
      </c>
      <c r="AN346" s="28" t="b">
        <f t="shared" si="220"/>
        <v>1</v>
      </c>
      <c r="AO346" s="3" t="str">
        <f>IF(ISERROR(MATCH(A346,'SegEnds_Xtal_Prot#'!B:B, 0)), "NoXtal", "Xtal")</f>
        <v>NoXtal</v>
      </c>
      <c r="AP346" s="3" t="str">
        <f t="shared" si="205"/>
        <v>-</v>
      </c>
      <c r="AQ346" s="3" t="str">
        <f t="shared" si="206"/>
        <v>-</v>
      </c>
      <c r="AR346" s="3" t="str">
        <f t="shared" si="207"/>
        <v>-</v>
      </c>
      <c r="AS346" s="3" t="str">
        <f t="shared" si="208"/>
        <v>-</v>
      </c>
      <c r="AT346" s="3" t="str">
        <f t="shared" si="209"/>
        <v>-</v>
      </c>
      <c r="AU346" s="3" t="str">
        <f t="shared" si="210"/>
        <v>-</v>
      </c>
      <c r="AV346" s="3">
        <f t="shared" si="211"/>
        <v>7</v>
      </c>
      <c r="AW346" s="3">
        <f t="shared" si="212"/>
        <v>3</v>
      </c>
      <c r="AX346" s="3">
        <f t="shared" si="213"/>
        <v>10</v>
      </c>
      <c r="AY346" s="3">
        <f t="shared" si="214"/>
        <v>7</v>
      </c>
      <c r="AZ346" s="3">
        <f t="shared" si="215"/>
        <v>1</v>
      </c>
      <c r="BA346" s="3">
        <f>IF(ISERROR(LEN(VLOOKUP(A346,Seqs!A:E,2,FALSE))-AL346),"-",LEN(VLOOKUP(A346,Seqs!A:E,2,FALSE))-AL346)</f>
        <v>380</v>
      </c>
      <c r="BB346" s="16">
        <f t="shared" si="216"/>
        <v>29</v>
      </c>
      <c r="BC346" s="9" t="str">
        <f t="shared" si="217"/>
        <v>-</v>
      </c>
      <c r="BD346" s="3">
        <f t="shared" si="218"/>
        <v>29</v>
      </c>
      <c r="BE346" s="3">
        <f t="shared" si="219"/>
        <v>50</v>
      </c>
    </row>
    <row r="347" spans="1:58" s="3" customFormat="1" x14ac:dyDescent="0.2">
      <c r="A347" s="3" t="s">
        <v>1675</v>
      </c>
      <c r="B347" s="3" t="str">
        <f>LOWER(VLOOKUP(A347,Xtal_Templ!A:B,2,FALSE))</f>
        <v>glp1r_human</v>
      </c>
      <c r="C347" s="3">
        <f>VLOOKUP($A347,'SegEnds_NonXtal_BW#'!$A:$Z,3,FALSE)+D347-50</f>
        <v>535</v>
      </c>
      <c r="D347" s="3">
        <v>562</v>
      </c>
      <c r="E347" s="3">
        <f>IF(ISERROR(VLOOKUP($A347,'SegEnds_NonXtal_BW#'!$A:$Z,4,FALSE)+VLOOKUP($A347,A:AL,4,FALSE)-50),"-",(VLOOKUP($A347,'SegEnds_NonXtal_BW#'!$A:$Z,4,FALSE)+VLOOKUP($A347,A:AL,4,FALSE)-50))</f>
        <v>572</v>
      </c>
      <c r="F347" s="3" t="s">
        <v>23</v>
      </c>
      <c r="G347" s="3" t="s">
        <v>23</v>
      </c>
      <c r="H347" s="3" t="s">
        <v>23</v>
      </c>
      <c r="I347" s="3">
        <f>VLOOKUP($A347,'SegEnds_NonXtal_BW#'!$A:$Z,7,FALSE)+J347-50</f>
        <v>577</v>
      </c>
      <c r="J347" s="3">
        <v>590</v>
      </c>
      <c r="K347" s="3">
        <f>VLOOKUP($A347,'SegEnds_NonXtal_BW#'!$A:$Z,8,FALSE)+VLOOKUP($A347,A:AL,10,FALSE)-50</f>
        <v>603</v>
      </c>
      <c r="L347" s="3" t="str">
        <f>IF(ISERROR(VLOOKUP($A347,'SegEnds_NonXtal_BW#'!$A:$Z,9,FALSE)+VLOOKUP($A347,A:AL,13,FALSE)-50),"-",(VLOOKUP($A347,'SegEnds_NonXtal_BW#'!$A:$Z,9,FALSE)+VLOOKUP($A347,A:AL,13,FALSE)-50))</f>
        <v>-</v>
      </c>
      <c r="M347" s="3" t="s">
        <v>23</v>
      </c>
      <c r="N347" s="3" t="str">
        <f>IF(ISERROR(VLOOKUP($A347,'SegEnds_NonXtal_BW#'!$A:$Z,10,FALSE)+VLOOKUP($A347,A:AL,13,FALSE)-50),"-",(VLOOKUP($A347,'SegEnds_NonXtal_BW#'!$A:$Z,10,FALSE)+VLOOKUP($A347,A:AL,13,FALSE)-50))</f>
        <v>-</v>
      </c>
      <c r="O347" s="3">
        <f>VLOOKUP($A347,'SegEnds_NonXtal_BW#'!$A:$Z,11,FALSE)+VLOOKUP($A347,A:AL,16,FALSE)-50</f>
        <v>610</v>
      </c>
      <c r="P347" s="3">
        <v>637</v>
      </c>
      <c r="Q347" s="3">
        <f>VLOOKUP($A347,'SegEnds_NonXtal_BW#'!$A:$Z,12,FALSE)+VLOOKUP($A347,A:AL,16,FALSE)-50</f>
        <v>643</v>
      </c>
      <c r="R347" s="3" t="str">
        <f>IF(ISERROR(VLOOKUP($A347,'SegEnds_NonXtal_BW#'!$A:$Z,13,FALSE)+VLOOKUP($A347,A:AL,19,FALSE)-50),"-",VLOOKUP($A347,'SegEnds_NonXtal_BW#'!$A:$Z,13,FALSE)+VLOOKUP($A347,A:AL,19,FALSE)-50)</f>
        <v>-</v>
      </c>
      <c r="S347" s="3" t="s">
        <v>23</v>
      </c>
      <c r="T347" s="100" t="str">
        <f>IF(ISERROR(VLOOKUP($A347,'SegEnds_NonXtal_BW#'!$A:$Z,14,FALSE)+VLOOKUP($A347,A:AL,19,FALSE)-50),"-",(VLOOKUP($A347,'SegEnds_NonXtal_BW#'!$A:$Z,14,FALSE)+VLOOKUP($A347,A:AL,19,FALSE)-50))</f>
        <v>-</v>
      </c>
      <c r="U347" s="9">
        <f>IF(ISERROR(VLOOKUP($A347,'SegEnds_NonXtal_BW#'!$A:$Z,15,FALSE)+VLOOKUP($A347,A:AL,22,FALSE)-50),"-",VLOOKUP($A347,'SegEnds_NonXtal_BW#'!$A:$Z,15,FALSE)+VLOOKUP($A347,A:AL,22,FALSE)-50)</f>
        <v>648</v>
      </c>
      <c r="V347" s="3">
        <v>660</v>
      </c>
      <c r="W347" s="3">
        <f>IF(ISERROR(VLOOKUP($A347,'SegEnds_NonXtal_BW#'!$A:$Z,16,FALSE)+VLOOKUP($A347,A:AL,22,FALSE)-50),"-",(VLOOKUP($A347,'SegEnds_NonXtal_BW#'!$A:$Z,16,FALSE)+VLOOKUP($A347,A:AL,22,FALSE)-50))</f>
        <v>678</v>
      </c>
      <c r="X347" s="3">
        <f>IF(ISERROR(VLOOKUP($A347,'SegEnds_NonXtal_BW#'!$A:$Z,17,FALSE)+VLOOKUP($A347,A:AL,25,FALSE)-50),"-",(VLOOKUP($A347,'SegEnds_NonXtal_BW#'!$A:$Z,17,FALSE)+VLOOKUP($A347,A:AL,25,FALSE)-50))</f>
        <v>684</v>
      </c>
      <c r="Y347" s="3">
        <v>684</v>
      </c>
      <c r="Z347" s="3">
        <f t="shared" si="204"/>
        <v>686</v>
      </c>
      <c r="AA347" s="3">
        <f>IF(ISERROR(VLOOKUP($A347,'SegEnds_NonXtal_BW#'!$A:$Z,19,FALSE)+VLOOKUP($A347,A:AL,28,FALSE)-50),"-",(VLOOKUP($A347,'SegEnds_NonXtal_BW#'!$A:$Z,19,FALSE)+VLOOKUP($A347,A:AL,28,FALSE)-50))</f>
        <v>689</v>
      </c>
      <c r="AB347" s="3">
        <v>703</v>
      </c>
      <c r="AC347" s="3">
        <f>IF(ISERROR((VLOOKUP($A347,'SegEnds_NonXtal_BW#'!$A:$Z,20,FALSE)+VLOOKUP($A347,A:AL,28,FALSE)-50)),"-",(VLOOKUP($A347,'SegEnds_NonXtal_BW#'!$A:$Z,20,FALSE)+VLOOKUP($A347,A:AL,28,FALSE)-50))</f>
        <v>722</v>
      </c>
      <c r="AD347" s="3">
        <f>IF(ISERROR(VLOOKUP($A347,'SegEnds_NonXtal_BW#'!$A:$Z,21,FALSE)+VLOOKUP($A347,A:AL,31,FALSE)-50),"-",(VLOOKUP($A347,'SegEnds_NonXtal_BW#'!$A:$Z,21,FALSE)+VLOOKUP($A347,A:AL,31,FALSE)-50))</f>
        <v>734</v>
      </c>
      <c r="AE347" s="3">
        <v>755</v>
      </c>
      <c r="AF347" s="3">
        <f>IF(ISERROR((VLOOKUP($A347,'SegEnds_NonXtal_BW#'!$A:$Z,22,FALSE)+VLOOKUP($A347,A:AL,31,FALSE)-50)),"-",(VLOOKUP($A347,'SegEnds_NonXtal_BW#'!$A:$Z,22,FALSE)+VLOOKUP($A347,A:AL,31,FALSE)-50))</f>
        <v>758</v>
      </c>
      <c r="AG347" s="3">
        <f>IF(ISERROR(VLOOKUP($A347,'SegEnds_NonXtal_BW#'!$A:$Z,23,FALSE)+VLOOKUP($A347,A:AL,34,FALSE)-50),"-",(VLOOKUP($A347,'SegEnds_NonXtal_BW#'!$A:$Z,23,FALSE)+VLOOKUP($A347,A:AL,34,FALSE)-50))</f>
        <v>764</v>
      </c>
      <c r="AH347" s="3">
        <v>783</v>
      </c>
      <c r="AI347" s="3">
        <f>IF(ISERROR((VLOOKUP($A347,'SegEnds_NonXtal_BW#'!$A:$Z,24,FALSE)+VLOOKUP($A347,A:AL,34,FALSE)-50)),"-",(VLOOKUP($A347,'SegEnds_NonXtal_BW#'!$A:$Z,24,FALSE)+VLOOKUP($A347,A:AL,34,FALSE)-50))</f>
        <v>789</v>
      </c>
      <c r="AJ347" s="3">
        <f>IF(ISERROR(VLOOKUP($A347,'SegEnds_NonXtal_BW#'!$A:$Z,25,FALSE)+VLOOKUP($A347,A:AL,37,FALSE)-50),"-",(VLOOKUP($A347,'SegEnds_NonXtal_BW#'!$A:$Z,25,FALSE)+VLOOKUP($A347,A:AL,37,FALSE)-50))</f>
        <v>790</v>
      </c>
      <c r="AK347" s="3">
        <v>793</v>
      </c>
      <c r="AL347" s="3">
        <f>IF(ISERROR((VLOOKUP($A347,'SegEnds_NonXtal_BW#'!$A:$Z,26,FALSE)+VLOOKUP($A347,A:AL,37,FALSE)-50)),"-",(VLOOKUP($A347,'SegEnds_NonXtal_BW#'!$A:$Z,26,FALSE)+VLOOKUP($A347,A:AL,37,FALSE)-50))</f>
        <v>806</v>
      </c>
      <c r="AM347" s="28" t="str">
        <f>VLOOKUP(A347,Classification!A:B,2,FALSE)</f>
        <v>B2</v>
      </c>
      <c r="AN347" s="28" t="b">
        <f t="shared" si="220"/>
        <v>1</v>
      </c>
      <c r="AO347" s="3" t="str">
        <f>IF(ISERROR(MATCH(A347,'SegEnds_Xtal_Prot#'!B:B, 0)), "NoXtal", "Xtal")</f>
        <v>NoXtal</v>
      </c>
      <c r="AP347" s="3" t="str">
        <f t="shared" si="205"/>
        <v>-</v>
      </c>
      <c r="AQ347" s="3" t="str">
        <f t="shared" si="206"/>
        <v>-</v>
      </c>
      <c r="AR347" s="3" t="str">
        <f t="shared" si="207"/>
        <v>-</v>
      </c>
      <c r="AS347" s="3" t="str">
        <f t="shared" si="208"/>
        <v>-</v>
      </c>
      <c r="AT347" s="3" t="str">
        <f t="shared" si="209"/>
        <v>-</v>
      </c>
      <c r="AU347" s="3" t="str">
        <f t="shared" si="210"/>
        <v>-</v>
      </c>
      <c r="AV347" s="3">
        <f t="shared" si="211"/>
        <v>6</v>
      </c>
      <c r="AW347" s="3">
        <f t="shared" si="212"/>
        <v>3</v>
      </c>
      <c r="AX347" s="3">
        <f t="shared" si="213"/>
        <v>12</v>
      </c>
      <c r="AY347" s="3">
        <f t="shared" si="214"/>
        <v>6</v>
      </c>
      <c r="AZ347" s="3">
        <f t="shared" si="215"/>
        <v>1</v>
      </c>
      <c r="BA347" s="3">
        <f>IF(ISERROR(LEN(VLOOKUP(A347,Seqs!A:E,2,FALSE))-AL347),"-",LEN(VLOOKUP(A347,Seqs!A:E,2,FALSE))-AL347)</f>
        <v>29</v>
      </c>
      <c r="BB347" s="16">
        <f t="shared" si="216"/>
        <v>28</v>
      </c>
      <c r="BC347" s="9" t="str">
        <f t="shared" si="217"/>
        <v>-</v>
      </c>
      <c r="BD347" s="3">
        <f t="shared" si="218"/>
        <v>28</v>
      </c>
      <c r="BE347" s="3">
        <f t="shared" si="219"/>
        <v>52</v>
      </c>
      <c r="BF347" s="3">
        <f>AH347-AE347</f>
        <v>28</v>
      </c>
    </row>
    <row r="348" spans="1:58" s="3" customFormat="1" x14ac:dyDescent="0.2">
      <c r="A348" s="3" t="s">
        <v>413</v>
      </c>
      <c r="B348" s="3" t="str">
        <f>LOWER(VLOOKUP(A348,Xtal_Templ!A:B,2,FALSE))</f>
        <v>calcr_human</v>
      </c>
      <c r="C348" s="3">
        <f>VLOOKUP($A348,'SegEnds_NonXtal_BW#'!$A:$Z,3,FALSE)+D348-50</f>
        <v>2456</v>
      </c>
      <c r="D348" s="3">
        <v>2483</v>
      </c>
      <c r="E348" s="3">
        <f>IF(ISERROR(VLOOKUP($A348,'SegEnds_NonXtal_BW#'!$A:$Z,4,FALSE)+VLOOKUP($A348,A:AL,4,FALSE)-50),"-",(VLOOKUP($A348,'SegEnds_NonXtal_BW#'!$A:$Z,4,FALSE)+VLOOKUP($A348,A:AL,4,FALSE)-50))</f>
        <v>2493</v>
      </c>
      <c r="F348" s="3">
        <f>G348-2</f>
        <v>2494</v>
      </c>
      <c r="G348" s="3">
        <v>2496</v>
      </c>
      <c r="H348" s="3">
        <f t="shared" ref="H348:I350" si="221">G348+1</f>
        <v>2497</v>
      </c>
      <c r="I348" s="3">
        <f t="shared" si="221"/>
        <v>2498</v>
      </c>
      <c r="J348" s="3">
        <v>2511</v>
      </c>
      <c r="K348" s="3">
        <f>VLOOKUP($A348,'SegEnds_NonXtal_BW#'!$A:$Z,8,FALSE)+VLOOKUP($A348,A:AL,10,FALSE)-50</f>
        <v>2524</v>
      </c>
      <c r="L348" s="3" t="str">
        <f>IF(ISERROR(VLOOKUP($A348,'SegEnds_NonXtal_BW#'!$A:$Z,9,FALSE)+VLOOKUP($A348,A:AL,13,FALSE)-50),"-",(VLOOKUP($A348,'SegEnds_NonXtal_BW#'!$A:$Z,9,FALSE)+VLOOKUP($A348,A:AL,13,FALSE)-50))</f>
        <v>-</v>
      </c>
      <c r="M348" s="3" t="s">
        <v>23</v>
      </c>
      <c r="N348" s="3" t="str">
        <f>IF(ISERROR(VLOOKUP($A348,'SegEnds_NonXtal_BW#'!$A:$Z,10,FALSE)+VLOOKUP($A348,A:AL,13,FALSE)-50),"-",(VLOOKUP($A348,'SegEnds_NonXtal_BW#'!$A:$Z,10,FALSE)+VLOOKUP($A348,A:AL,13,FALSE)-50))</f>
        <v>-</v>
      </c>
      <c r="O348" s="3">
        <f>VLOOKUP($A348,'SegEnds_NonXtal_BW#'!$A:$Z,11,FALSE)+VLOOKUP($A348,A:AL,16,FALSE)-50</f>
        <v>2529</v>
      </c>
      <c r="P348" s="3">
        <v>2556</v>
      </c>
      <c r="Q348" s="3">
        <f>VLOOKUP($A348,'SegEnds_NonXtal_BW#'!$A:$Z,12,FALSE)+VLOOKUP($A348,A:AL,16,FALSE)-50</f>
        <v>2562</v>
      </c>
      <c r="R348" s="3" t="str">
        <f>IF(ISERROR(VLOOKUP($A348,'SegEnds_NonXtal_BW#'!$A:$Z,13,FALSE)+VLOOKUP($A348,A:AL,19,FALSE)-50),"-",VLOOKUP($A348,'SegEnds_NonXtal_BW#'!$A:$Z,13,FALSE)+VLOOKUP($A348,A:AL,19,FALSE)-50)</f>
        <v>-</v>
      </c>
      <c r="S348" s="3" t="s">
        <v>23</v>
      </c>
      <c r="T348" s="100" t="str">
        <f>IF(ISERROR(VLOOKUP($A348,'SegEnds_NonXtal_BW#'!$A:$Z,14,FALSE)+VLOOKUP($A348,A:AL,19,FALSE)-50),"-",(VLOOKUP($A348,'SegEnds_NonXtal_BW#'!$A:$Z,14,FALSE)+VLOOKUP($A348,A:AL,19,FALSE)-50))</f>
        <v>-</v>
      </c>
      <c r="U348" s="9">
        <f>IF(ISERROR(VLOOKUP($A348,'SegEnds_NonXtal_BW#'!$A:$Z,15,FALSE)+VLOOKUP($A348,A:AL,22,FALSE)-50),"-",VLOOKUP($A348,'SegEnds_NonXtal_BW#'!$A:$Z,15,FALSE)+VLOOKUP($A348,A:AL,22,FALSE)-50)</f>
        <v>2570</v>
      </c>
      <c r="V348" s="3">
        <v>2579</v>
      </c>
      <c r="W348" s="3">
        <f>IF(ISERROR(VLOOKUP($A348,'SegEnds_NonXtal_BW#'!$A:$Z,16,FALSE)+VLOOKUP($A348,A:AL,22,FALSE)-50),"-",(VLOOKUP($A348,'SegEnds_NonXtal_BW#'!$A:$Z,16,FALSE)+VLOOKUP($A348,A:AL,22,FALSE)-50))</f>
        <v>2597</v>
      </c>
      <c r="X348" s="3">
        <f>IF(ISERROR(VLOOKUP($A348,'SegEnds_NonXtal_BW#'!$A:$Z,17,FALSE)+VLOOKUP($A348,A:AL,25,FALSE)-50),"-",(VLOOKUP($A348,'SegEnds_NonXtal_BW#'!$A:$Z,17,FALSE)+VLOOKUP($A348,A:AL,25,FALSE)-50))</f>
        <v>2603</v>
      </c>
      <c r="Y348" s="3">
        <v>2603</v>
      </c>
      <c r="Z348" s="3">
        <f t="shared" si="204"/>
        <v>2605</v>
      </c>
      <c r="AA348" s="3">
        <f>IF(ISERROR(VLOOKUP($A348,'SegEnds_NonXtal_BW#'!$A:$Z,19,FALSE)+VLOOKUP($A348,A:AL,28,FALSE)-50),"-",(VLOOKUP($A348,'SegEnds_NonXtal_BW#'!$A:$Z,19,FALSE)+VLOOKUP($A348,A:AL,28,FALSE)-50))</f>
        <v>2608</v>
      </c>
      <c r="AB348" s="3">
        <v>2622</v>
      </c>
      <c r="AC348" s="3">
        <f>IF(ISERROR((VLOOKUP($A348,'SegEnds_NonXtal_BW#'!$A:$Z,20,FALSE)+VLOOKUP($A348,A:AL,28,FALSE)-50)),"-",(VLOOKUP($A348,'SegEnds_NonXtal_BW#'!$A:$Z,20,FALSE)+VLOOKUP($A348,A:AL,28,FALSE)-50))</f>
        <v>2641</v>
      </c>
      <c r="AD348" s="3">
        <f>IF(ISERROR(VLOOKUP($A348,'SegEnds_NonXtal_BW#'!$A:$Z,21,FALSE)+VLOOKUP($A348,A:AL,31,FALSE)-50),"-",(VLOOKUP($A348,'SegEnds_NonXtal_BW#'!$A:$Z,21,FALSE)+VLOOKUP($A348,A:AL,31,FALSE)-50))</f>
        <v>2649</v>
      </c>
      <c r="AE348" s="3">
        <v>2670</v>
      </c>
      <c r="AF348" s="3">
        <f>IF(ISERROR((VLOOKUP($A348,'SegEnds_NonXtal_BW#'!$A:$Z,22,FALSE)+VLOOKUP($A348,A:AL,31,FALSE)-50)),"-",(VLOOKUP($A348,'SegEnds_NonXtal_BW#'!$A:$Z,22,FALSE)+VLOOKUP($A348,A:AL,31,FALSE)-50))</f>
        <v>2673</v>
      </c>
      <c r="AG348" s="3">
        <f>IF(ISERROR(VLOOKUP($A348,'SegEnds_NonXtal_BW#'!$A:$Z,23,FALSE)+VLOOKUP($A348,A:AL,34,FALSE)-50),"-",(VLOOKUP($A348,'SegEnds_NonXtal_BW#'!$A:$Z,23,FALSE)+VLOOKUP($A348,A:AL,34,FALSE)-50))</f>
        <v>2679</v>
      </c>
      <c r="AH348" s="3">
        <v>2698</v>
      </c>
      <c r="AI348" s="3">
        <f>IF(ISERROR((VLOOKUP($A348,'SegEnds_NonXtal_BW#'!$A:$Z,24,FALSE)+VLOOKUP($A348,A:AL,34,FALSE)-50)),"-",(VLOOKUP($A348,'SegEnds_NonXtal_BW#'!$A:$Z,24,FALSE)+VLOOKUP($A348,A:AL,34,FALSE)-50))</f>
        <v>2704</v>
      </c>
      <c r="AJ348" s="3">
        <f>IF(ISERROR(VLOOKUP($A348,'SegEnds_NonXtal_BW#'!$A:$Z,25,FALSE)+VLOOKUP($A348,A:AL,37,FALSE)-50),"-",(VLOOKUP($A348,'SegEnds_NonXtal_BW#'!$A:$Z,25,FALSE)+VLOOKUP($A348,A:AL,37,FALSE)-50))</f>
        <v>2705</v>
      </c>
      <c r="AK348" s="3">
        <v>2708</v>
      </c>
      <c r="AL348" s="3">
        <f>IF(ISERROR((VLOOKUP($A348,'SegEnds_NonXtal_BW#'!$A:$Z,26,FALSE)+VLOOKUP($A348,A:AL,37,FALSE)-50)),"-",(VLOOKUP($A348,'SegEnds_NonXtal_BW#'!$A:$Z,26,FALSE)+VLOOKUP($A348,A:AL,37,FALSE)-50))</f>
        <v>2721</v>
      </c>
      <c r="AM348" s="28" t="str">
        <f>VLOOKUP(A348,Classification!A:B,2,FALSE)</f>
        <v>B2</v>
      </c>
      <c r="AN348" s="28" t="b">
        <f t="shared" si="220"/>
        <v>1</v>
      </c>
      <c r="AO348" s="3" t="str">
        <f>IF(ISERROR(MATCH(A348,'SegEnds_Xtal_Prot#'!B:B, 0)), "NoXtal", "Xtal")</f>
        <v>NoXtal</v>
      </c>
      <c r="AP348" s="3">
        <f t="shared" si="205"/>
        <v>1</v>
      </c>
      <c r="AQ348" s="3">
        <f t="shared" si="206"/>
        <v>1</v>
      </c>
      <c r="AR348" s="3" t="str">
        <f t="shared" si="207"/>
        <v>-</v>
      </c>
      <c r="AS348" s="3" t="str">
        <f t="shared" si="208"/>
        <v>-</v>
      </c>
      <c r="AT348" s="3" t="str">
        <f t="shared" si="209"/>
        <v>-</v>
      </c>
      <c r="AU348" s="3" t="str">
        <f t="shared" si="210"/>
        <v>-</v>
      </c>
      <c r="AV348" s="3">
        <f t="shared" si="211"/>
        <v>6</v>
      </c>
      <c r="AW348" s="3">
        <f t="shared" si="212"/>
        <v>3</v>
      </c>
      <c r="AX348" s="3">
        <f t="shared" si="213"/>
        <v>8</v>
      </c>
      <c r="AY348" s="3">
        <f t="shared" si="214"/>
        <v>6</v>
      </c>
      <c r="AZ348" s="3">
        <f t="shared" si="215"/>
        <v>1</v>
      </c>
      <c r="BA348" s="3">
        <f>IF(ISERROR(LEN(VLOOKUP(A348,Seqs!A:E,2,FALSE))-AL348),"-",LEN(VLOOKUP(A348,Seqs!A:E,2,FALSE))-AL348)</f>
        <v>293</v>
      </c>
      <c r="BB348" s="16">
        <f t="shared" si="216"/>
        <v>28</v>
      </c>
      <c r="BC348" s="9" t="str">
        <f t="shared" si="217"/>
        <v>-</v>
      </c>
      <c r="BD348" s="3">
        <f t="shared" si="218"/>
        <v>28</v>
      </c>
      <c r="BE348" s="3">
        <f t="shared" si="219"/>
        <v>48</v>
      </c>
    </row>
    <row r="349" spans="1:58" s="3" customFormat="1" x14ac:dyDescent="0.2">
      <c r="A349" s="3" t="s">
        <v>414</v>
      </c>
      <c r="B349" s="3" t="str">
        <f>LOWER(VLOOKUP(A349,Xtal_Templ!A:B,2,FALSE))</f>
        <v>calrl_human</v>
      </c>
      <c r="C349" s="3">
        <f>VLOOKUP($A349,'SegEnds_NonXtal_BW#'!$A:$Z,3,FALSE)+D349-50</f>
        <v>2364</v>
      </c>
      <c r="D349" s="3">
        <v>2391</v>
      </c>
      <c r="E349" s="3">
        <f>IF(ISERROR(VLOOKUP($A349,'SegEnds_NonXtal_BW#'!$A:$Z,4,FALSE)+VLOOKUP($A349,A:AL,4,FALSE)-50),"-",(VLOOKUP($A349,'SegEnds_NonXtal_BW#'!$A:$Z,4,FALSE)+VLOOKUP($A349,A:AL,4,FALSE)-50))</f>
        <v>2401</v>
      </c>
      <c r="F349" s="3">
        <f>G349-2</f>
        <v>2402</v>
      </c>
      <c r="G349" s="3">
        <v>2404</v>
      </c>
      <c r="H349" s="3">
        <f t="shared" si="221"/>
        <v>2405</v>
      </c>
      <c r="I349" s="3">
        <f t="shared" si="221"/>
        <v>2406</v>
      </c>
      <c r="J349" s="3">
        <v>2419</v>
      </c>
      <c r="K349" s="3">
        <f>VLOOKUP($A349,'SegEnds_NonXtal_BW#'!$A:$Z,8,FALSE)+VLOOKUP($A349,A:AL,10,FALSE)-50</f>
        <v>2432</v>
      </c>
      <c r="L349" s="3" t="str">
        <f>IF(ISERROR(VLOOKUP($A349,'SegEnds_NonXtal_BW#'!$A:$Z,9,FALSE)+VLOOKUP($A349,A:AL,13,FALSE)-50),"-",(VLOOKUP($A349,'SegEnds_NonXtal_BW#'!$A:$Z,9,FALSE)+VLOOKUP($A349,A:AL,13,FALSE)-50))</f>
        <v>-</v>
      </c>
      <c r="M349" s="3" t="s">
        <v>23</v>
      </c>
      <c r="N349" s="3" t="str">
        <f>IF(ISERROR(VLOOKUP($A349,'SegEnds_NonXtal_BW#'!$A:$Z,10,FALSE)+VLOOKUP($A349,A:AL,13,FALSE)-50),"-",(VLOOKUP($A349,'SegEnds_NonXtal_BW#'!$A:$Z,10,FALSE)+VLOOKUP($A349,A:AL,13,FALSE)-50))</f>
        <v>-</v>
      </c>
      <c r="O349" s="3">
        <f>VLOOKUP($A349,'SegEnds_NonXtal_BW#'!$A:$Z,11,FALSE)+VLOOKUP($A349,A:AL,16,FALSE)-50</f>
        <v>2437</v>
      </c>
      <c r="P349" s="3">
        <v>2464</v>
      </c>
      <c r="Q349" s="3">
        <f>VLOOKUP($A349,'SegEnds_NonXtal_BW#'!$A:$Z,12,FALSE)+VLOOKUP($A349,A:AL,16,FALSE)-50</f>
        <v>2470</v>
      </c>
      <c r="R349" s="3" t="str">
        <f>IF(ISERROR(VLOOKUP($A349,'SegEnds_NonXtal_BW#'!$A:$Z,13,FALSE)+VLOOKUP($A349,A:AL,19,FALSE)-50),"-",VLOOKUP($A349,'SegEnds_NonXtal_BW#'!$A:$Z,13,FALSE)+VLOOKUP($A349,A:AL,19,FALSE)-50)</f>
        <v>-</v>
      </c>
      <c r="S349" s="3" t="s">
        <v>23</v>
      </c>
      <c r="T349" s="100" t="str">
        <f>IF(ISERROR(VLOOKUP($A349,'SegEnds_NonXtal_BW#'!$A:$Z,14,FALSE)+VLOOKUP($A349,A:AL,19,FALSE)-50),"-",(VLOOKUP($A349,'SegEnds_NonXtal_BW#'!$A:$Z,14,FALSE)+VLOOKUP($A349,A:AL,19,FALSE)-50))</f>
        <v>-</v>
      </c>
      <c r="U349" s="9">
        <f>IF(ISERROR(VLOOKUP($A349,'SegEnds_NonXtal_BW#'!$A:$Z,15,FALSE)+VLOOKUP($A349,A:AL,22,FALSE)-50),"-",VLOOKUP($A349,'SegEnds_NonXtal_BW#'!$A:$Z,15,FALSE)+VLOOKUP($A349,A:AL,22,FALSE)-50)</f>
        <v>2478</v>
      </c>
      <c r="V349" s="3">
        <v>2487</v>
      </c>
      <c r="W349" s="3">
        <f>IF(ISERROR(VLOOKUP($A349,'SegEnds_NonXtal_BW#'!$A:$Z,16,FALSE)+VLOOKUP($A349,A:AL,22,FALSE)-50),"-",(VLOOKUP($A349,'SegEnds_NonXtal_BW#'!$A:$Z,16,FALSE)+VLOOKUP($A349,A:AL,22,FALSE)-50))</f>
        <v>2504</v>
      </c>
      <c r="X349" s="3">
        <f>IF(ISERROR(VLOOKUP($A349,'SegEnds_NonXtal_BW#'!$A:$Z,17,FALSE)+VLOOKUP($A349,A:AL,25,FALSE)-50),"-",(VLOOKUP($A349,'SegEnds_NonXtal_BW#'!$A:$Z,17,FALSE)+VLOOKUP($A349,A:AL,25,FALSE)-50))</f>
        <v>2511</v>
      </c>
      <c r="Y349" s="3">
        <v>2511</v>
      </c>
      <c r="Z349" s="3">
        <f t="shared" si="204"/>
        <v>2513</v>
      </c>
      <c r="AA349" s="3">
        <f>IF(ISERROR(VLOOKUP($A349,'SegEnds_NonXtal_BW#'!$A:$Z,19,FALSE)+VLOOKUP($A349,A:AL,28,FALSE)-50),"-",(VLOOKUP($A349,'SegEnds_NonXtal_BW#'!$A:$Z,19,FALSE)+VLOOKUP($A349,A:AL,28,FALSE)-50))</f>
        <v>2516</v>
      </c>
      <c r="AB349" s="3">
        <v>2530</v>
      </c>
      <c r="AC349" s="3">
        <f>IF(ISERROR((VLOOKUP($A349,'SegEnds_NonXtal_BW#'!$A:$Z,20,FALSE)+VLOOKUP($A349,A:AL,28,FALSE)-50)),"-",(VLOOKUP($A349,'SegEnds_NonXtal_BW#'!$A:$Z,20,FALSE)+VLOOKUP($A349,A:AL,28,FALSE)-50))</f>
        <v>2549</v>
      </c>
      <c r="AD349" s="3">
        <f>IF(ISERROR(VLOOKUP($A349,'SegEnds_NonXtal_BW#'!$A:$Z,21,FALSE)+VLOOKUP($A349,A:AL,31,FALSE)-50),"-",(VLOOKUP($A349,'SegEnds_NonXtal_BW#'!$A:$Z,21,FALSE)+VLOOKUP($A349,A:AL,31,FALSE)-50))</f>
        <v>2557</v>
      </c>
      <c r="AE349" s="3">
        <v>2578</v>
      </c>
      <c r="AF349" s="3">
        <f>IF(ISERROR((VLOOKUP($A349,'SegEnds_NonXtal_BW#'!$A:$Z,22,FALSE)+VLOOKUP($A349,A:AL,31,FALSE)-50)),"-",(VLOOKUP($A349,'SegEnds_NonXtal_BW#'!$A:$Z,22,FALSE)+VLOOKUP($A349,A:AL,31,FALSE)-50))</f>
        <v>2581</v>
      </c>
      <c r="AG349" s="3">
        <f>IF(ISERROR(VLOOKUP($A349,'SegEnds_NonXtal_BW#'!$A:$Z,23,FALSE)+VLOOKUP($A349,A:AL,34,FALSE)-50),"-",(VLOOKUP($A349,'SegEnds_NonXtal_BW#'!$A:$Z,23,FALSE)+VLOOKUP($A349,A:AL,34,FALSE)-50))</f>
        <v>2587</v>
      </c>
      <c r="AH349" s="3">
        <v>2606</v>
      </c>
      <c r="AI349" s="3">
        <f>IF(ISERROR((VLOOKUP($A349,'SegEnds_NonXtal_BW#'!$A:$Z,24,FALSE)+VLOOKUP($A349,A:AL,34,FALSE)-50)),"-",(VLOOKUP($A349,'SegEnds_NonXtal_BW#'!$A:$Z,24,FALSE)+VLOOKUP($A349,A:AL,34,FALSE)-50))</f>
        <v>2612</v>
      </c>
      <c r="AJ349" s="3">
        <f>IF(ISERROR(VLOOKUP($A349,'SegEnds_NonXtal_BW#'!$A:$Z,25,FALSE)+VLOOKUP($A349,A:AL,37,FALSE)-50),"-",(VLOOKUP($A349,'SegEnds_NonXtal_BW#'!$A:$Z,25,FALSE)+VLOOKUP($A349,A:AL,37,FALSE)-50))</f>
        <v>2613</v>
      </c>
      <c r="AK349" s="3">
        <v>2616</v>
      </c>
      <c r="AL349" s="3">
        <f>IF(ISERROR((VLOOKUP($A349,'SegEnds_NonXtal_BW#'!$A:$Z,26,FALSE)+VLOOKUP($A349,A:AL,37,FALSE)-50)),"-",(VLOOKUP($A349,'SegEnds_NonXtal_BW#'!$A:$Z,26,FALSE)+VLOOKUP($A349,A:AL,37,FALSE)-50))</f>
        <v>2629</v>
      </c>
      <c r="AM349" s="28" t="str">
        <f>VLOOKUP(A349,Classification!A:B,2,FALSE)</f>
        <v>B2</v>
      </c>
      <c r="AN349" s="28" t="b">
        <f t="shared" si="220"/>
        <v>1</v>
      </c>
      <c r="AO349" s="3" t="str">
        <f>IF(ISERROR(MATCH(A349,'SegEnds_Xtal_Prot#'!B:B, 0)), "NoXtal", "Xtal")</f>
        <v>NoXtal</v>
      </c>
      <c r="AP349" s="3">
        <f t="shared" si="205"/>
        <v>1</v>
      </c>
      <c r="AQ349" s="3">
        <f t="shared" si="206"/>
        <v>1</v>
      </c>
      <c r="AR349" s="3" t="str">
        <f t="shared" si="207"/>
        <v>-</v>
      </c>
      <c r="AS349" s="3" t="str">
        <f t="shared" si="208"/>
        <v>-</v>
      </c>
      <c r="AT349" s="3" t="str">
        <f t="shared" si="209"/>
        <v>-</v>
      </c>
      <c r="AU349" s="3" t="str">
        <f t="shared" si="210"/>
        <v>-</v>
      </c>
      <c r="AV349" s="3">
        <f t="shared" si="211"/>
        <v>7</v>
      </c>
      <c r="AW349" s="3">
        <f t="shared" si="212"/>
        <v>3</v>
      </c>
      <c r="AX349" s="3">
        <f t="shared" si="213"/>
        <v>8</v>
      </c>
      <c r="AY349" s="3">
        <f t="shared" si="214"/>
        <v>6</v>
      </c>
      <c r="AZ349" s="3">
        <f t="shared" si="215"/>
        <v>1</v>
      </c>
      <c r="BA349" s="3">
        <f>IF(ISERROR(LEN(VLOOKUP(A349,Seqs!A:E,2,FALSE))-AL349),"-",LEN(VLOOKUP(A349,Seqs!A:E,2,FALSE))-AL349)</f>
        <v>294</v>
      </c>
      <c r="BB349" s="16">
        <f t="shared" si="216"/>
        <v>28</v>
      </c>
      <c r="BC349" s="9" t="str">
        <f t="shared" si="217"/>
        <v>-</v>
      </c>
      <c r="BD349" s="3">
        <f t="shared" si="218"/>
        <v>28</v>
      </c>
      <c r="BE349" s="3">
        <f t="shared" si="219"/>
        <v>48</v>
      </c>
    </row>
    <row r="350" spans="1:58" s="3" customFormat="1" x14ac:dyDescent="0.2">
      <c r="A350" s="3" t="s">
        <v>415</v>
      </c>
      <c r="B350" s="3" t="str">
        <f>LOWER(VLOOKUP(A350,Xtal_Templ!A:B,2,FALSE))</f>
        <v>crfr2_human</v>
      </c>
      <c r="C350" s="3">
        <f>VLOOKUP($A350,'SegEnds_NonXtal_BW#'!$A:$Z,3,FALSE)+D350-50</f>
        <v>2527</v>
      </c>
      <c r="D350" s="3">
        <v>2554</v>
      </c>
      <c r="E350" s="3">
        <f>IF(ISERROR(VLOOKUP($A350,'SegEnds_NonXtal_BW#'!$A:$Z,4,FALSE)+VLOOKUP($A350,A:AL,4,FALSE)-50),"-",(VLOOKUP($A350,'SegEnds_NonXtal_BW#'!$A:$Z,4,FALSE)+VLOOKUP($A350,A:AL,4,FALSE)-50))</f>
        <v>2564</v>
      </c>
      <c r="F350" s="3">
        <f>G350-2</f>
        <v>2565</v>
      </c>
      <c r="G350" s="3">
        <v>2567</v>
      </c>
      <c r="H350" s="3">
        <f t="shared" si="221"/>
        <v>2568</v>
      </c>
      <c r="I350" s="3">
        <f t="shared" si="221"/>
        <v>2569</v>
      </c>
      <c r="J350" s="3">
        <v>2582</v>
      </c>
      <c r="K350" s="3">
        <f>VLOOKUP($A350,'SegEnds_NonXtal_BW#'!$A:$Z,8,FALSE)+VLOOKUP($A350,A:AL,10,FALSE)-50</f>
        <v>2595</v>
      </c>
      <c r="L350" s="3" t="str">
        <f>IF(ISERROR(VLOOKUP($A350,'SegEnds_NonXtal_BW#'!$A:$Z,9,FALSE)+VLOOKUP($A350,A:AL,13,FALSE)-50),"-",(VLOOKUP($A350,'SegEnds_NonXtal_BW#'!$A:$Z,9,FALSE)+VLOOKUP($A350,A:AL,13,FALSE)-50))</f>
        <v>-</v>
      </c>
      <c r="M350" s="3" t="s">
        <v>23</v>
      </c>
      <c r="N350" s="3" t="str">
        <f>IF(ISERROR(VLOOKUP($A350,'SegEnds_NonXtal_BW#'!$A:$Z,10,FALSE)+VLOOKUP($A350,A:AL,13,FALSE)-50),"-",(VLOOKUP($A350,'SegEnds_NonXtal_BW#'!$A:$Z,10,FALSE)+VLOOKUP($A350,A:AL,13,FALSE)-50))</f>
        <v>-</v>
      </c>
      <c r="O350" s="3">
        <f>VLOOKUP($A350,'SegEnds_NonXtal_BW#'!$A:$Z,11,FALSE)+VLOOKUP($A350,A:AL,16,FALSE)-50</f>
        <v>2600</v>
      </c>
      <c r="P350" s="3">
        <v>2627</v>
      </c>
      <c r="Q350" s="3">
        <f>VLOOKUP($A350,'SegEnds_NonXtal_BW#'!$A:$Z,12,FALSE)+VLOOKUP($A350,A:AL,16,FALSE)-50</f>
        <v>2633</v>
      </c>
      <c r="R350" s="3" t="str">
        <f>IF(ISERROR(VLOOKUP($A350,'SegEnds_NonXtal_BW#'!$A:$Z,13,FALSE)+VLOOKUP($A350,A:AL,19,FALSE)-50),"-",VLOOKUP($A350,'SegEnds_NonXtal_BW#'!$A:$Z,13,FALSE)+VLOOKUP($A350,A:AL,19,FALSE)-50)</f>
        <v>-</v>
      </c>
      <c r="S350" s="3" t="s">
        <v>23</v>
      </c>
      <c r="T350" s="100" t="str">
        <f>IF(ISERROR(VLOOKUP($A350,'SegEnds_NonXtal_BW#'!$A:$Z,14,FALSE)+VLOOKUP($A350,A:AL,19,FALSE)-50),"-",(VLOOKUP($A350,'SegEnds_NonXtal_BW#'!$A:$Z,14,FALSE)+VLOOKUP($A350,A:AL,19,FALSE)-50))</f>
        <v>-</v>
      </c>
      <c r="U350" s="9">
        <f>IF(ISERROR(VLOOKUP($A350,'SegEnds_NonXtal_BW#'!$A:$Z,15,FALSE)+VLOOKUP($A350,A:AL,22,FALSE)-50),"-",VLOOKUP($A350,'SegEnds_NonXtal_BW#'!$A:$Z,15,FALSE)+VLOOKUP($A350,A:AL,22,FALSE)-50)</f>
        <v>2641</v>
      </c>
      <c r="V350" s="3">
        <v>2650</v>
      </c>
      <c r="W350" s="3">
        <f>IF(ISERROR(VLOOKUP($A350,'SegEnds_NonXtal_BW#'!$A:$Z,16,FALSE)+VLOOKUP($A350,A:AL,22,FALSE)-50),"-",(VLOOKUP($A350,'SegEnds_NonXtal_BW#'!$A:$Z,16,FALSE)+VLOOKUP($A350,A:AL,22,FALSE)-50))</f>
        <v>2668</v>
      </c>
      <c r="X350" s="3">
        <f>IF(ISERROR(VLOOKUP($A350,'SegEnds_NonXtal_BW#'!$A:$Z,17,FALSE)+VLOOKUP($A350,A:AL,25,FALSE)-50),"-",(VLOOKUP($A350,'SegEnds_NonXtal_BW#'!$A:$Z,17,FALSE)+VLOOKUP($A350,A:AL,25,FALSE)-50))</f>
        <v>2674</v>
      </c>
      <c r="Y350" s="3">
        <v>2674</v>
      </c>
      <c r="Z350" s="3">
        <f t="shared" si="204"/>
        <v>2676</v>
      </c>
      <c r="AA350" s="3">
        <f>IF(ISERROR(VLOOKUP($A350,'SegEnds_NonXtal_BW#'!$A:$Z,19,FALSE)+VLOOKUP($A350,A:AL,28,FALSE)-50),"-",(VLOOKUP($A350,'SegEnds_NonXtal_BW#'!$A:$Z,19,FALSE)+VLOOKUP($A350,A:AL,28,FALSE)-50))</f>
        <v>2679</v>
      </c>
      <c r="AB350" s="3">
        <v>2693</v>
      </c>
      <c r="AC350" s="3">
        <f>IF(ISERROR((VLOOKUP($A350,'SegEnds_NonXtal_BW#'!$A:$Z,20,FALSE)+VLOOKUP($A350,A:AL,28,FALSE)-50)),"-",(VLOOKUP($A350,'SegEnds_NonXtal_BW#'!$A:$Z,20,FALSE)+VLOOKUP($A350,A:AL,28,FALSE)-50))</f>
        <v>2712</v>
      </c>
      <c r="AD350" s="3">
        <f>IF(ISERROR(VLOOKUP($A350,'SegEnds_NonXtal_BW#'!$A:$Z,21,FALSE)+VLOOKUP($A350,A:AL,31,FALSE)-50),"-",(VLOOKUP($A350,'SegEnds_NonXtal_BW#'!$A:$Z,21,FALSE)+VLOOKUP($A350,A:AL,31,FALSE)-50))</f>
        <v>2719</v>
      </c>
      <c r="AE350" s="3">
        <v>2740</v>
      </c>
      <c r="AF350" s="3">
        <f>IF(ISERROR((VLOOKUP($A350,'SegEnds_NonXtal_BW#'!$A:$Z,22,FALSE)+VLOOKUP($A350,A:AL,31,FALSE)-50)),"-",(VLOOKUP($A350,'SegEnds_NonXtal_BW#'!$A:$Z,22,FALSE)+VLOOKUP($A350,A:AL,31,FALSE)-50))</f>
        <v>2743</v>
      </c>
      <c r="AG350" s="3">
        <f>IF(ISERROR(VLOOKUP($A350,'SegEnds_NonXtal_BW#'!$A:$Z,23,FALSE)+VLOOKUP($A350,A:AL,34,FALSE)-50),"-",(VLOOKUP($A350,'SegEnds_NonXtal_BW#'!$A:$Z,23,FALSE)+VLOOKUP($A350,A:AL,34,FALSE)-50))</f>
        <v>2749</v>
      </c>
      <c r="AH350" s="3">
        <v>2768</v>
      </c>
      <c r="AI350" s="3">
        <f>IF(ISERROR((VLOOKUP($A350,'SegEnds_NonXtal_BW#'!$A:$Z,24,FALSE)+VLOOKUP($A350,A:AL,34,FALSE)-50)),"-",(VLOOKUP($A350,'SegEnds_NonXtal_BW#'!$A:$Z,24,FALSE)+VLOOKUP($A350,A:AL,34,FALSE)-50))</f>
        <v>2774</v>
      </c>
      <c r="AJ350" s="3">
        <f>IF(ISERROR(VLOOKUP($A350,'SegEnds_NonXtal_BW#'!$A:$Z,25,FALSE)+VLOOKUP($A350,A:AL,37,FALSE)-50),"-",(VLOOKUP($A350,'SegEnds_NonXtal_BW#'!$A:$Z,25,FALSE)+VLOOKUP($A350,A:AL,37,FALSE)-50))</f>
        <v>2775</v>
      </c>
      <c r="AK350" s="3">
        <v>2778</v>
      </c>
      <c r="AL350" s="3">
        <f>IF(ISERROR((VLOOKUP($A350,'SegEnds_NonXtal_BW#'!$A:$Z,26,FALSE)+VLOOKUP($A350,A:AL,37,FALSE)-50)),"-",(VLOOKUP($A350,'SegEnds_NonXtal_BW#'!$A:$Z,26,FALSE)+VLOOKUP($A350,A:AL,37,FALSE)-50))</f>
        <v>2791</v>
      </c>
      <c r="AM350" s="28" t="str">
        <f>VLOOKUP(A350,Classification!A:B,2,FALSE)</f>
        <v>B2</v>
      </c>
      <c r="AN350" s="28" t="b">
        <f t="shared" si="220"/>
        <v>1</v>
      </c>
      <c r="AO350" s="3" t="str">
        <f>IF(ISERROR(MATCH(A350,'SegEnds_Xtal_Prot#'!B:B, 0)), "NoXtal", "Xtal")</f>
        <v>NoXtal</v>
      </c>
      <c r="AP350" s="3">
        <f t="shared" si="205"/>
        <v>1</v>
      </c>
      <c r="AQ350" s="3">
        <f t="shared" si="206"/>
        <v>1</v>
      </c>
      <c r="AR350" s="3" t="str">
        <f t="shared" si="207"/>
        <v>-</v>
      </c>
      <c r="AS350" s="3" t="str">
        <f t="shared" si="208"/>
        <v>-</v>
      </c>
      <c r="AT350" s="3" t="str">
        <f t="shared" si="209"/>
        <v>-</v>
      </c>
      <c r="AU350" s="3" t="str">
        <f t="shared" si="210"/>
        <v>-</v>
      </c>
      <c r="AV350" s="3">
        <f t="shared" si="211"/>
        <v>6</v>
      </c>
      <c r="AW350" s="3">
        <f t="shared" si="212"/>
        <v>3</v>
      </c>
      <c r="AX350" s="3">
        <f t="shared" si="213"/>
        <v>7</v>
      </c>
      <c r="AY350" s="3">
        <f t="shared" si="214"/>
        <v>6</v>
      </c>
      <c r="AZ350" s="3">
        <f t="shared" si="215"/>
        <v>1</v>
      </c>
      <c r="BA350" s="3">
        <f>IF(ISERROR(LEN(VLOOKUP(A350,Seqs!A:E,2,FALSE))-AL350),"-",LEN(VLOOKUP(A350,Seqs!A:E,2,FALSE))-AL350)</f>
        <v>521</v>
      </c>
      <c r="BB350" s="16">
        <f t="shared" si="216"/>
        <v>28</v>
      </c>
      <c r="BC350" s="9" t="str">
        <f t="shared" si="217"/>
        <v>-</v>
      </c>
      <c r="BD350" s="3">
        <f t="shared" si="218"/>
        <v>28</v>
      </c>
      <c r="BE350" s="3">
        <f t="shared" si="219"/>
        <v>47</v>
      </c>
    </row>
    <row r="351" spans="1:58" s="3" customFormat="1" x14ac:dyDescent="0.2">
      <c r="A351" s="3" t="s">
        <v>1674</v>
      </c>
      <c r="B351" s="3" t="str">
        <f>LOWER(VLOOKUP(A351,Xtal_Templ!A:B,2,FALSE))</f>
        <v>crfr1_human</v>
      </c>
      <c r="C351" s="3">
        <f>VLOOKUP($A351,'SegEnds_NonXtal_BW#'!$A:$Z,3,FALSE)+D351-50</f>
        <v>5895</v>
      </c>
      <c r="D351" s="3">
        <v>5922</v>
      </c>
      <c r="E351" s="3">
        <f>IF(ISERROR(VLOOKUP($A351,'SegEnds_NonXtal_BW#'!$A:$Z,4,FALSE)+VLOOKUP($A351,A:AL,4,FALSE)-50),"-",(VLOOKUP($A351,'SegEnds_NonXtal_BW#'!$A:$Z,4,FALSE)+VLOOKUP($A351,A:AL,4,FALSE)-50))</f>
        <v>5932</v>
      </c>
      <c r="F351" s="3" t="s">
        <v>23</v>
      </c>
      <c r="G351" s="3" t="s">
        <v>23</v>
      </c>
      <c r="H351" s="3" t="s">
        <v>23</v>
      </c>
      <c r="I351" s="3">
        <f>VLOOKUP($A351,'SegEnds_NonXtal_BW#'!$A:$Z,7,FALSE)+J351-50</f>
        <v>5935</v>
      </c>
      <c r="J351" s="3">
        <v>5948</v>
      </c>
      <c r="K351" s="3">
        <f>VLOOKUP($A351,'SegEnds_NonXtal_BW#'!$A:$Z,8,FALSE)+VLOOKUP($A351,A:AL,10,FALSE)-50</f>
        <v>5961</v>
      </c>
      <c r="L351" s="3" t="str">
        <f>IF(ISERROR(VLOOKUP($A351,'SegEnds_NonXtal_BW#'!$A:$Z,9,FALSE)+VLOOKUP($A351,A:AL,13,FALSE)-50),"-",(VLOOKUP($A351,'SegEnds_NonXtal_BW#'!$A:$Z,9,FALSE)+VLOOKUP($A351,A:AL,13,FALSE)-50))</f>
        <v>-</v>
      </c>
      <c r="M351" s="3" t="s">
        <v>23</v>
      </c>
      <c r="N351" s="3" t="str">
        <f>IF(ISERROR(VLOOKUP($A351,'SegEnds_NonXtal_BW#'!$A:$Z,10,FALSE)+VLOOKUP($A351,A:AL,13,FALSE)-50),"-",(VLOOKUP($A351,'SegEnds_NonXtal_BW#'!$A:$Z,10,FALSE)+VLOOKUP($A351,A:AL,13,FALSE)-50))</f>
        <v>-</v>
      </c>
      <c r="O351" s="3">
        <f>VLOOKUP($A351,'SegEnds_NonXtal_BW#'!$A:$Z,11,FALSE)+VLOOKUP($A351,A:AL,16,FALSE)-50</f>
        <v>5968</v>
      </c>
      <c r="P351" s="3">
        <v>5995</v>
      </c>
      <c r="Q351" s="3">
        <f>VLOOKUP($A351,'SegEnds_NonXtal_BW#'!$A:$Z,12,FALSE)+VLOOKUP($A351,A:AL,16,FALSE)-50</f>
        <v>6001</v>
      </c>
      <c r="R351" s="3" t="str">
        <f>IF(ISERROR(VLOOKUP($A351,'SegEnds_NonXtal_BW#'!$A:$Z,13,FALSE)+VLOOKUP($A351,A:AL,19,FALSE)-50),"-",VLOOKUP($A351,'SegEnds_NonXtal_BW#'!$A:$Z,13,FALSE)+VLOOKUP($A351,A:AL,19,FALSE)-50)</f>
        <v>-</v>
      </c>
      <c r="S351" s="3" t="s">
        <v>23</v>
      </c>
      <c r="T351" s="100" t="str">
        <f>IF(ISERROR(VLOOKUP($A351,'SegEnds_NonXtal_BW#'!$A:$Z,14,FALSE)+VLOOKUP($A351,A:AL,19,FALSE)-50),"-",(VLOOKUP($A351,'SegEnds_NonXtal_BW#'!$A:$Z,14,FALSE)+VLOOKUP($A351,A:AL,19,FALSE)-50))</f>
        <v>-</v>
      </c>
      <c r="U351" s="9">
        <f>IF(ISERROR(VLOOKUP($A351,'SegEnds_NonXtal_BW#'!$A:$Z,15,FALSE)+VLOOKUP($A351,A:AL,22,FALSE)-50),"-",VLOOKUP($A351,'SegEnds_NonXtal_BW#'!$A:$Z,15,FALSE)+VLOOKUP($A351,A:AL,22,FALSE)-50)</f>
        <v>6008</v>
      </c>
      <c r="V351" s="3">
        <v>6018</v>
      </c>
      <c r="W351" s="3">
        <f>IF(ISERROR(VLOOKUP($A351,'SegEnds_NonXtal_BW#'!$A:$Z,16,FALSE)+VLOOKUP($A351,A:AL,22,FALSE)-50),"-",(VLOOKUP($A351,'SegEnds_NonXtal_BW#'!$A:$Z,16,FALSE)+VLOOKUP($A351,A:AL,22,FALSE)-50))</f>
        <v>6036</v>
      </c>
      <c r="X351" s="3">
        <f>IF(ISERROR(VLOOKUP($A351,'SegEnds_NonXtal_BW#'!$A:$Z,17,FALSE)+VLOOKUP($A351,A:AL,25,FALSE)-50),"-",(VLOOKUP($A351,'SegEnds_NonXtal_BW#'!$A:$Z,17,FALSE)+VLOOKUP($A351,A:AL,25,FALSE)-50))</f>
        <v>6052</v>
      </c>
      <c r="Y351" s="3">
        <v>6052</v>
      </c>
      <c r="Z351" s="3">
        <f t="shared" si="204"/>
        <v>6054</v>
      </c>
      <c r="AA351" s="3">
        <f>IF(ISERROR(VLOOKUP($A351,'SegEnds_NonXtal_BW#'!$A:$Z,19,FALSE)+VLOOKUP($A351,A:AL,28,FALSE)-50),"-",(VLOOKUP($A351,'SegEnds_NonXtal_BW#'!$A:$Z,19,FALSE)+VLOOKUP($A351,A:AL,28,FALSE)-50))</f>
        <v>6058</v>
      </c>
      <c r="AB351" s="3">
        <v>6072</v>
      </c>
      <c r="AC351" s="3">
        <f>IF(ISERROR((VLOOKUP($A351,'SegEnds_NonXtal_BW#'!$A:$Z,20,FALSE)+VLOOKUP($A351,A:AL,28,FALSE)-50)),"-",(VLOOKUP($A351,'SegEnds_NonXtal_BW#'!$A:$Z,20,FALSE)+VLOOKUP($A351,A:AL,28,FALSE)-50))</f>
        <v>6091</v>
      </c>
      <c r="AD351" s="3">
        <f>IF(ISERROR(VLOOKUP($A351,'SegEnds_NonXtal_BW#'!$A:$Z,21,FALSE)+VLOOKUP($A351,A:AL,31,FALSE)-50),"-",(VLOOKUP($A351,'SegEnds_NonXtal_BW#'!$A:$Z,21,FALSE)+VLOOKUP($A351,A:AL,31,FALSE)-50))</f>
        <v>6100</v>
      </c>
      <c r="AE351" s="3">
        <v>6121</v>
      </c>
      <c r="AF351" s="3">
        <f>IF(ISERROR((VLOOKUP($A351,'SegEnds_NonXtal_BW#'!$A:$Z,22,FALSE)+VLOOKUP($A351,A:AL,31,FALSE)-50)),"-",(VLOOKUP($A351,'SegEnds_NonXtal_BW#'!$A:$Z,22,FALSE)+VLOOKUP($A351,A:AL,31,FALSE)-50))</f>
        <v>6124</v>
      </c>
      <c r="AG351" s="3">
        <f>IF(ISERROR(VLOOKUP($A351,'SegEnds_NonXtal_BW#'!$A:$Z,23,FALSE)+VLOOKUP($A351,A:AL,34,FALSE)-50),"-",(VLOOKUP($A351,'SegEnds_NonXtal_BW#'!$A:$Z,23,FALSE)+VLOOKUP($A351,A:AL,34,FALSE)-50))</f>
        <v>6130</v>
      </c>
      <c r="AH351" s="3">
        <v>6149</v>
      </c>
      <c r="AI351" s="3">
        <f>IF(ISERROR((VLOOKUP($A351,'SegEnds_NonXtal_BW#'!$A:$Z,24,FALSE)+VLOOKUP($A351,A:AL,34,FALSE)-50)),"-",(VLOOKUP($A351,'SegEnds_NonXtal_BW#'!$A:$Z,24,FALSE)+VLOOKUP($A351,A:AL,34,FALSE)-50))</f>
        <v>6155</v>
      </c>
      <c r="AJ351" s="3">
        <f>IF(ISERROR(VLOOKUP($A351,'SegEnds_NonXtal_BW#'!$A:$Z,25,FALSE)+VLOOKUP($A351,A:AL,37,FALSE)-50),"-",(VLOOKUP($A351,'SegEnds_NonXtal_BW#'!$A:$Z,25,FALSE)+VLOOKUP($A351,A:AL,37,FALSE)-50))</f>
        <v>6156</v>
      </c>
      <c r="AK351" s="3">
        <v>6159</v>
      </c>
      <c r="AL351" s="3">
        <f>IF(ISERROR((VLOOKUP($A351,'SegEnds_NonXtal_BW#'!$A:$Z,26,FALSE)+VLOOKUP($A351,A:AL,37,FALSE)-50)),"-",(VLOOKUP($A351,'SegEnds_NonXtal_BW#'!$A:$Z,26,FALSE)+VLOOKUP($A351,A:AL,37,FALSE)-50))</f>
        <v>6172</v>
      </c>
      <c r="AM351" s="28" t="str">
        <f>VLOOKUP(A351,Classification!A:B,2,FALSE)</f>
        <v>B2</v>
      </c>
      <c r="AN351" s="28" t="b">
        <f t="shared" si="220"/>
        <v>1</v>
      </c>
      <c r="AO351" s="3" t="str">
        <f>IF(ISERROR(MATCH(A351,'SegEnds_Xtal_Prot#'!B:B, 0)), "NoXtal", "Xtal")</f>
        <v>NoXtal</v>
      </c>
      <c r="AP351" s="3" t="str">
        <f t="shared" si="205"/>
        <v>-</v>
      </c>
      <c r="AQ351" s="3" t="str">
        <f t="shared" si="206"/>
        <v>-</v>
      </c>
      <c r="AR351" s="3" t="str">
        <f t="shared" si="207"/>
        <v>-</v>
      </c>
      <c r="AS351" s="3" t="str">
        <f t="shared" si="208"/>
        <v>-</v>
      </c>
      <c r="AT351" s="3" t="str">
        <f t="shared" si="209"/>
        <v>-</v>
      </c>
      <c r="AU351" s="3" t="str">
        <f t="shared" si="210"/>
        <v>-</v>
      </c>
      <c r="AV351" s="3">
        <f t="shared" si="211"/>
        <v>16</v>
      </c>
      <c r="AW351" s="3">
        <f t="shared" si="212"/>
        <v>4</v>
      </c>
      <c r="AX351" s="3">
        <f t="shared" si="213"/>
        <v>9</v>
      </c>
      <c r="AY351" s="3">
        <f t="shared" si="214"/>
        <v>6</v>
      </c>
      <c r="AZ351" s="3">
        <f t="shared" si="215"/>
        <v>1</v>
      </c>
      <c r="BA351" s="3">
        <f>IF(ISERROR(LEN(VLOOKUP(A351,Seqs!A:E,2,FALSE))-AL351),"-",LEN(VLOOKUP(A351,Seqs!A:E,2,FALSE))-AL351)</f>
        <v>134</v>
      </c>
      <c r="BB351" s="16">
        <f t="shared" si="216"/>
        <v>26</v>
      </c>
      <c r="BC351" s="9" t="str">
        <f t="shared" si="217"/>
        <v>-</v>
      </c>
      <c r="BD351" s="3">
        <f t="shared" si="218"/>
        <v>26</v>
      </c>
      <c r="BE351" s="3">
        <f t="shared" si="219"/>
        <v>49</v>
      </c>
    </row>
    <row r="352" spans="1:58" s="3" customFormat="1" x14ac:dyDescent="0.2">
      <c r="A352" s="3" t="s">
        <v>105</v>
      </c>
      <c r="B352" s="3" t="str">
        <f>LOWER(VLOOKUP(A352,Xtal_Templ!A:B,2,FALSE))</f>
        <v>grm5_human</v>
      </c>
      <c r="C352" s="3">
        <f>VLOOKUP($A352,'SegEnds_NonXtal_BW#'!$A:$Z,3,FALSE)+D352-50</f>
        <v>611</v>
      </c>
      <c r="D352" s="3">
        <v>627</v>
      </c>
      <c r="E352" s="3">
        <f>IF(ISERROR(VLOOKUP($A352,'SegEnds_NonXtal_BW#'!$A:$Z,4,FALSE)+VLOOKUP($A352,A:AL,4,FALSE)-50),"-",(VLOOKUP($A352,'SegEnds_NonXtal_BW#'!$A:$Z,4,FALSE)+VLOOKUP($A352,A:AL,4,FALSE)-50))</f>
        <v>637</v>
      </c>
      <c r="F352" s="3">
        <f t="shared" ref="F352:F384" si="222">G352-3</f>
        <v>640</v>
      </c>
      <c r="G352" s="3">
        <v>643</v>
      </c>
      <c r="H352" s="3">
        <f t="shared" ref="H352:H373" si="223">G352+3</f>
        <v>646</v>
      </c>
      <c r="I352" s="3">
        <f t="shared" ref="I352:I384" si="224">H352+1</f>
        <v>647</v>
      </c>
      <c r="J352" s="3">
        <v>658</v>
      </c>
      <c r="K352" s="3">
        <f>VLOOKUP($A352,'SegEnds_NonXtal_BW#'!$A:$Z,8,FALSE)+VLOOKUP($A352,A:AL,10,FALSE)-50</f>
        <v>669</v>
      </c>
      <c r="L352" s="3" t="str">
        <f>IF(ISERROR(VLOOKUP($A352,'SegEnds_NonXtal_BW#'!$A:$Z,9,FALSE)+VLOOKUP($A352,A:AL,13,FALSE)-50),"-",(VLOOKUP($A352,'SegEnds_NonXtal_BW#'!$A:$Z,9,FALSE)+VLOOKUP($A352,A:AL,13,FALSE)-50))</f>
        <v>-</v>
      </c>
      <c r="M352" s="3" t="s">
        <v>23</v>
      </c>
      <c r="N352" s="3" t="str">
        <f>IF(ISERROR(VLOOKUP($A352,'SegEnds_NonXtal_BW#'!$A:$Z,10,FALSE)+VLOOKUP($A352,A:AL,13,FALSE)-50),"-",(VLOOKUP($A352,'SegEnds_NonXtal_BW#'!$A:$Z,10,FALSE)+VLOOKUP($A352,A:AL,13,FALSE)-50))</f>
        <v>-</v>
      </c>
      <c r="O352" s="3">
        <f>VLOOKUP($A352,'SegEnds_NonXtal_BW#'!$A:$Z,11,FALSE)+VLOOKUP($A352,A:AL,16,FALSE)-50</f>
        <v>673</v>
      </c>
      <c r="P352" s="3">
        <v>702</v>
      </c>
      <c r="Q352" s="3">
        <f>VLOOKUP($A352,'SegEnds_NonXtal_BW#'!$A:$Z,12,FALSE)+VLOOKUP($A352,A:AL,16,FALSE)-50</f>
        <v>706</v>
      </c>
      <c r="R352" s="3" t="str">
        <f>IF(ISERROR(VLOOKUP($A352,'SegEnds_NonXtal_BW#'!$A:$Z,13,FALSE)+VLOOKUP($A352,A:AL,19,FALSE)-50),"-",VLOOKUP($A352,'SegEnds_NonXtal_BW#'!$A:$Z,13,FALSE)+VLOOKUP($A352,A:AL,19,FALSE)-50)</f>
        <v>-</v>
      </c>
      <c r="S352" s="3" t="s">
        <v>23</v>
      </c>
      <c r="T352" s="100" t="str">
        <f>IF(ISERROR(VLOOKUP($A352,'SegEnds_NonXtal_BW#'!$A:$Z,14,FALSE)+VLOOKUP($A352,A:AL,19,FALSE)-50),"-",(VLOOKUP($A352,'SegEnds_NonXtal_BW#'!$A:$Z,14,FALSE)+VLOOKUP($A352,A:AL,19,FALSE)-50))</f>
        <v>-</v>
      </c>
      <c r="U352" s="9">
        <f>IF(ISERROR(VLOOKUP($A352,'SegEnds_NonXtal_BW#'!$A:$Z,15,FALSE)+VLOOKUP($A352,A:AL,22,FALSE)-50),"-",VLOOKUP($A352,'SegEnds_NonXtal_BW#'!$A:$Z,15,FALSE)+VLOOKUP($A352,A:AL,22,FALSE)-50)</f>
        <v>720</v>
      </c>
      <c r="V352" s="3">
        <v>732</v>
      </c>
      <c r="W352" s="3">
        <f>IF(ISERROR(VLOOKUP($A352,'SegEnds_NonXtal_BW#'!$A:$Z,16,FALSE)+VLOOKUP($A352,A:AL,22,FALSE)-50),"-",(VLOOKUP($A352,'SegEnds_NonXtal_BW#'!$A:$Z,16,FALSE)+VLOOKUP($A352,A:AL,22,FALSE)-50))</f>
        <v>746</v>
      </c>
      <c r="X352" s="3">
        <f>IF(ISERROR(VLOOKUP($A352,'SegEnds_NonXtal_BW#'!$A:$Z,17,FALSE)+VLOOKUP($A352,A:AL,25,FALSE)-50),"-",(VLOOKUP($A352,'SegEnds_NonXtal_BW#'!$A:$Z,17,FALSE)+VLOOKUP($A352,A:AL,25,FALSE)-50))</f>
        <v>765</v>
      </c>
      <c r="Y352" s="3">
        <v>765</v>
      </c>
      <c r="Z352" s="3">
        <f t="shared" si="204"/>
        <v>767</v>
      </c>
      <c r="AA352" s="3">
        <f>IF(ISERROR(VLOOKUP($A352,'SegEnds_NonXtal_BW#'!$A:$Z,19,FALSE)+VLOOKUP($A352,A:AL,28,FALSE)-50),"-",(VLOOKUP($A352,'SegEnds_NonXtal_BW#'!$A:$Z,19,FALSE)+VLOOKUP($A352,A:AL,28,FALSE)-50))</f>
        <v>769</v>
      </c>
      <c r="AB352" s="3">
        <v>783</v>
      </c>
      <c r="AC352" s="3">
        <f>IF(ISERROR((VLOOKUP($A352,'SegEnds_NonXtal_BW#'!$A:$Z,20,FALSE)+VLOOKUP($A352,A:AL,28,FALSE)-50)),"-",(VLOOKUP($A352,'SegEnds_NonXtal_BW#'!$A:$Z,20,FALSE)+VLOOKUP($A352,A:AL,28,FALSE)-50))</f>
        <v>794</v>
      </c>
      <c r="AD352" s="3">
        <f>IF(ISERROR(VLOOKUP($A352,'SegEnds_NonXtal_BW#'!$A:$Z,21,FALSE)+VLOOKUP($A352,A:AL,31,FALSE)-50),"-",(VLOOKUP($A352,'SegEnds_NonXtal_BW#'!$A:$Z,21,FALSE)+VLOOKUP($A352,A:AL,31,FALSE)-50))</f>
        <v>803</v>
      </c>
      <c r="AE352" s="3">
        <v>820</v>
      </c>
      <c r="AF352" s="3">
        <f>IF(ISERROR((VLOOKUP($A352,'SegEnds_NonXtal_BW#'!$A:$Z,22,FALSE)+VLOOKUP($A352,A:AL,31,FALSE)-50)),"-",(VLOOKUP($A352,'SegEnds_NonXtal_BW#'!$A:$Z,22,FALSE)+VLOOKUP($A352,A:AL,31,FALSE)-50))</f>
        <v>827</v>
      </c>
      <c r="AG352" s="3">
        <f>IF(ISERROR(VLOOKUP($A352,'SegEnds_NonXtal_BW#'!$A:$Z,23,FALSE)+VLOOKUP($A352,A:AL,34,FALSE)-50),"-",(VLOOKUP($A352,'SegEnds_NonXtal_BW#'!$A:$Z,23,FALSE)+VLOOKUP($A352,A:AL,34,FALSE)-50))</f>
        <v>832</v>
      </c>
      <c r="AH352" s="3">
        <v>849</v>
      </c>
      <c r="AI352" s="3">
        <f>IF(ISERROR((VLOOKUP($A352,'SegEnds_NonXtal_BW#'!$A:$Z,24,FALSE)+VLOOKUP($A352,A:AL,34,FALSE)-50)),"-",(VLOOKUP($A352,'SegEnds_NonXtal_BW#'!$A:$Z,24,FALSE)+VLOOKUP($A352,A:AL,34,FALSE)-50))</f>
        <v>863</v>
      </c>
      <c r="AJ352" s="3">
        <f>IF(ISERROR(VLOOKUP($A352,'SegEnds_NonXtal_BW#'!$A:$Z,25,FALSE)+VLOOKUP($A352,A:AL,37,FALSE)-50),"-",(VLOOKUP($A352,'SegEnds_NonXtal_BW#'!$A:$Z,25,FALSE)+VLOOKUP($A352,A:AL,37,FALSE)-50))</f>
        <v>864</v>
      </c>
      <c r="AK352" s="3">
        <v>868</v>
      </c>
      <c r="AL352" s="3">
        <f>IF(ISERROR((VLOOKUP($A352,'SegEnds_NonXtal_BW#'!$A:$Z,26,FALSE)+VLOOKUP($A352,A:AL,37,FALSE)-50)),"-",(VLOOKUP($A352,'SegEnds_NonXtal_BW#'!$A:$Z,26,FALSE)+VLOOKUP($A352,A:AL,37,FALSE)-50))</f>
        <v>875</v>
      </c>
      <c r="AM352" s="28" t="str">
        <f>VLOOKUP(A352,Classification!A:B,2,FALSE)</f>
        <v>C</v>
      </c>
      <c r="AN352" s="28" t="b">
        <f t="shared" si="220"/>
        <v>1</v>
      </c>
      <c r="AO352" s="3" t="str">
        <f>IF(ISERROR(MATCH(A352,'SegEnds_Xtal_Prot#'!B:B, 0)), "NoXtal", "Xtal")</f>
        <v>NoXtal</v>
      </c>
      <c r="AP352" s="3">
        <f t="shared" si="205"/>
        <v>3</v>
      </c>
      <c r="AQ352" s="3">
        <f t="shared" si="206"/>
        <v>1</v>
      </c>
      <c r="AR352" s="3" t="str">
        <f t="shared" si="207"/>
        <v>-</v>
      </c>
      <c r="AS352" s="3" t="str">
        <f t="shared" si="208"/>
        <v>-</v>
      </c>
      <c r="AT352" s="3" t="str">
        <f t="shared" si="209"/>
        <v>-</v>
      </c>
      <c r="AU352" s="3" t="str">
        <f t="shared" si="210"/>
        <v>-</v>
      </c>
      <c r="AV352" s="3">
        <f t="shared" si="211"/>
        <v>19</v>
      </c>
      <c r="AW352" s="3">
        <f t="shared" si="212"/>
        <v>2</v>
      </c>
      <c r="AX352" s="3">
        <f t="shared" si="213"/>
        <v>9</v>
      </c>
      <c r="AY352" s="3">
        <f t="shared" si="214"/>
        <v>5</v>
      </c>
      <c r="AZ352" s="3">
        <f t="shared" si="215"/>
        <v>1</v>
      </c>
      <c r="BA352" s="3">
        <f>IF(ISERROR(LEN(VLOOKUP(A352,Seqs!A:E,2,FALSE))-AL352),"-",LEN(VLOOKUP(A352,Seqs!A:E,2,FALSE))-AL352)</f>
        <v>203</v>
      </c>
      <c r="BB352" s="16">
        <f t="shared" si="216"/>
        <v>31</v>
      </c>
      <c r="BC352" s="9" t="str">
        <f t="shared" si="217"/>
        <v>-</v>
      </c>
      <c r="BD352" s="3">
        <f t="shared" si="218"/>
        <v>31</v>
      </c>
      <c r="BE352" s="3">
        <f t="shared" si="219"/>
        <v>37</v>
      </c>
    </row>
    <row r="353" spans="1:58" s="3" customFormat="1" x14ac:dyDescent="0.2">
      <c r="A353" s="3" t="s">
        <v>106</v>
      </c>
      <c r="B353" s="3" t="str">
        <f>LOWER(VLOOKUP(A353,Xtal_Templ!A:B,2,FALSE))</f>
        <v>grm5_human</v>
      </c>
      <c r="C353" s="3">
        <f>VLOOKUP($A353,'SegEnds_NonXtal_BW#'!$A:$Z,3,FALSE)+D353-50</f>
        <v>590</v>
      </c>
      <c r="D353" s="3">
        <v>606</v>
      </c>
      <c r="E353" s="3">
        <f>IF(ISERROR(VLOOKUP($A353,'SegEnds_NonXtal_BW#'!$A:$Z,4,FALSE)+VLOOKUP($A353,A:AL,4,FALSE)-50),"-",(VLOOKUP($A353,'SegEnds_NonXtal_BW#'!$A:$Z,4,FALSE)+VLOOKUP($A353,A:AL,4,FALSE)-50))</f>
        <v>616</v>
      </c>
      <c r="F353" s="3">
        <f t="shared" si="222"/>
        <v>619</v>
      </c>
      <c r="G353" s="3">
        <v>622</v>
      </c>
      <c r="H353" s="3">
        <f t="shared" si="223"/>
        <v>625</v>
      </c>
      <c r="I353" s="3">
        <f t="shared" si="224"/>
        <v>626</v>
      </c>
      <c r="J353" s="3">
        <v>637</v>
      </c>
      <c r="K353" s="3">
        <f>VLOOKUP($A353,'SegEnds_NonXtal_BW#'!$A:$Z,8,FALSE)+VLOOKUP($A353,A:AL,10,FALSE)-50</f>
        <v>648</v>
      </c>
      <c r="L353" s="3" t="str">
        <f>IF(ISERROR(VLOOKUP($A353,'SegEnds_NonXtal_BW#'!$A:$Z,9,FALSE)+VLOOKUP($A353,A:AL,13,FALSE)-50),"-",(VLOOKUP($A353,'SegEnds_NonXtal_BW#'!$A:$Z,9,FALSE)+VLOOKUP($A353,A:AL,13,FALSE)-50))</f>
        <v>-</v>
      </c>
      <c r="M353" s="3" t="s">
        <v>23</v>
      </c>
      <c r="N353" s="3" t="str">
        <f>IF(ISERROR(VLOOKUP($A353,'SegEnds_NonXtal_BW#'!$A:$Z,10,FALSE)+VLOOKUP($A353,A:AL,13,FALSE)-50),"-",(VLOOKUP($A353,'SegEnds_NonXtal_BW#'!$A:$Z,10,FALSE)+VLOOKUP($A353,A:AL,13,FALSE)-50))</f>
        <v>-</v>
      </c>
      <c r="O353" s="3">
        <f>VLOOKUP($A353,'SegEnds_NonXtal_BW#'!$A:$Z,11,FALSE)+VLOOKUP($A353,A:AL,16,FALSE)-50</f>
        <v>659</v>
      </c>
      <c r="P353" s="3">
        <v>688</v>
      </c>
      <c r="Q353" s="3">
        <f>VLOOKUP($A353,'SegEnds_NonXtal_BW#'!$A:$Z,12,FALSE)+VLOOKUP($A353,A:AL,16,FALSE)-50</f>
        <v>692</v>
      </c>
      <c r="R353" s="3" t="str">
        <f>IF(ISERROR(VLOOKUP($A353,'SegEnds_NonXtal_BW#'!$A:$Z,13,FALSE)+VLOOKUP($A353,A:AL,19,FALSE)-50),"-",VLOOKUP($A353,'SegEnds_NonXtal_BW#'!$A:$Z,13,FALSE)+VLOOKUP($A353,A:AL,19,FALSE)-50)</f>
        <v>-</v>
      </c>
      <c r="S353" s="3" t="s">
        <v>23</v>
      </c>
      <c r="T353" s="100" t="str">
        <f>IF(ISERROR(VLOOKUP($A353,'SegEnds_NonXtal_BW#'!$A:$Z,14,FALSE)+VLOOKUP($A353,A:AL,19,FALSE)-50),"-",(VLOOKUP($A353,'SegEnds_NonXtal_BW#'!$A:$Z,14,FALSE)+VLOOKUP($A353,A:AL,19,FALSE)-50))</f>
        <v>-</v>
      </c>
      <c r="U353" s="9">
        <f>IF(ISERROR(VLOOKUP($A353,'SegEnds_NonXtal_BW#'!$A:$Z,15,FALSE)+VLOOKUP($A353,A:AL,22,FALSE)-50),"-",VLOOKUP($A353,'SegEnds_NonXtal_BW#'!$A:$Z,15,FALSE)+VLOOKUP($A353,A:AL,22,FALSE)-50)</f>
        <v>706</v>
      </c>
      <c r="V353" s="3">
        <v>718</v>
      </c>
      <c r="W353" s="3">
        <f>IF(ISERROR(VLOOKUP($A353,'SegEnds_NonXtal_BW#'!$A:$Z,16,FALSE)+VLOOKUP($A353,A:AL,22,FALSE)-50),"-",(VLOOKUP($A353,'SegEnds_NonXtal_BW#'!$A:$Z,16,FALSE)+VLOOKUP($A353,A:AL,22,FALSE)-50))</f>
        <v>732</v>
      </c>
      <c r="X353" s="3">
        <f>IF(ISERROR(VLOOKUP($A353,'SegEnds_NonXtal_BW#'!$A:$Z,17,FALSE)+VLOOKUP($A353,A:AL,25,FALSE)-50),"-",(VLOOKUP($A353,'SegEnds_NonXtal_BW#'!$A:$Z,17,FALSE)+VLOOKUP($A353,A:AL,25,FALSE)-50))</f>
        <v>761</v>
      </c>
      <c r="Y353" s="3">
        <v>761</v>
      </c>
      <c r="Z353" s="3">
        <f t="shared" si="204"/>
        <v>763</v>
      </c>
      <c r="AA353" s="3">
        <f>IF(ISERROR(VLOOKUP($A353,'SegEnds_NonXtal_BW#'!$A:$Z,19,FALSE)+VLOOKUP($A353,A:AL,28,FALSE)-50),"-",(VLOOKUP($A353,'SegEnds_NonXtal_BW#'!$A:$Z,19,FALSE)+VLOOKUP($A353,A:AL,28,FALSE)-50))</f>
        <v>766</v>
      </c>
      <c r="AB353" s="3">
        <v>780</v>
      </c>
      <c r="AC353" s="3">
        <f>IF(ISERROR((VLOOKUP($A353,'SegEnds_NonXtal_BW#'!$A:$Z,20,FALSE)+VLOOKUP($A353,A:AL,28,FALSE)-50)),"-",(VLOOKUP($A353,'SegEnds_NonXtal_BW#'!$A:$Z,20,FALSE)+VLOOKUP($A353,A:AL,28,FALSE)-50))</f>
        <v>791</v>
      </c>
      <c r="AD353" s="3">
        <f>IF(ISERROR(VLOOKUP($A353,'SegEnds_NonXtal_BW#'!$A:$Z,21,FALSE)+VLOOKUP($A353,A:AL,31,FALSE)-50),"-",(VLOOKUP($A353,'SegEnds_NonXtal_BW#'!$A:$Z,21,FALSE)+VLOOKUP($A353,A:AL,31,FALSE)-50))</f>
        <v>801</v>
      </c>
      <c r="AE353" s="3">
        <v>818</v>
      </c>
      <c r="AF353" s="3">
        <f>IF(ISERROR((VLOOKUP($A353,'SegEnds_NonXtal_BW#'!$A:$Z,22,FALSE)+VLOOKUP($A353,A:AL,31,FALSE)-50)),"-",(VLOOKUP($A353,'SegEnds_NonXtal_BW#'!$A:$Z,22,FALSE)+VLOOKUP($A353,A:AL,31,FALSE)-50))</f>
        <v>825</v>
      </c>
      <c r="AG353" s="3">
        <f>IF(ISERROR(VLOOKUP($A353,'SegEnds_NonXtal_BW#'!$A:$Z,23,FALSE)+VLOOKUP($A353,A:AL,34,FALSE)-50),"-",(VLOOKUP($A353,'SegEnds_NonXtal_BW#'!$A:$Z,23,FALSE)+VLOOKUP($A353,A:AL,34,FALSE)-50))</f>
        <v>832</v>
      </c>
      <c r="AH353" s="3">
        <v>849</v>
      </c>
      <c r="AI353" s="3">
        <f>IF(ISERROR((VLOOKUP($A353,'SegEnds_NonXtal_BW#'!$A:$Z,24,FALSE)+VLOOKUP($A353,A:AL,34,FALSE)-50)),"-",(VLOOKUP($A353,'SegEnds_NonXtal_BW#'!$A:$Z,24,FALSE)+VLOOKUP($A353,A:AL,34,FALSE)-50))</f>
        <v>863</v>
      </c>
      <c r="AJ353" s="3">
        <f>IF(ISERROR(VLOOKUP($A353,'SegEnds_NonXtal_BW#'!$A:$Z,25,FALSE)+VLOOKUP($A353,A:AL,37,FALSE)-50),"-",(VLOOKUP($A353,'SegEnds_NonXtal_BW#'!$A:$Z,25,FALSE)+VLOOKUP($A353,A:AL,37,FALSE)-50))</f>
        <v>864</v>
      </c>
      <c r="AK353" s="3">
        <v>868</v>
      </c>
      <c r="AL353" s="3">
        <f>IF(ISERROR((VLOOKUP($A353,'SegEnds_NonXtal_BW#'!$A:$Z,26,FALSE)+VLOOKUP($A353,A:AL,37,FALSE)-50)),"-",(VLOOKUP($A353,'SegEnds_NonXtal_BW#'!$A:$Z,26,FALSE)+VLOOKUP($A353,A:AL,37,FALSE)-50))</f>
        <v>875</v>
      </c>
      <c r="AM353" s="28" t="str">
        <f>VLOOKUP(A353,Classification!A:B,2,FALSE)</f>
        <v>C</v>
      </c>
      <c r="AN353" s="28" t="b">
        <f t="shared" si="220"/>
        <v>1</v>
      </c>
      <c r="AO353" s="3" t="str">
        <f>IF(ISERROR(MATCH(A353,'SegEnds_Xtal_Prot#'!B:B, 0)), "NoXtal", "Xtal")</f>
        <v>NoXtal</v>
      </c>
      <c r="AP353" s="3">
        <f t="shared" si="205"/>
        <v>3</v>
      </c>
      <c r="AQ353" s="3">
        <f t="shared" si="206"/>
        <v>1</v>
      </c>
      <c r="AR353" s="3" t="str">
        <f t="shared" si="207"/>
        <v>-</v>
      </c>
      <c r="AS353" s="3" t="str">
        <f t="shared" si="208"/>
        <v>-</v>
      </c>
      <c r="AT353" s="3" t="str">
        <f t="shared" si="209"/>
        <v>-</v>
      </c>
      <c r="AU353" s="3" t="str">
        <f t="shared" si="210"/>
        <v>-</v>
      </c>
      <c r="AV353" s="3">
        <f t="shared" si="211"/>
        <v>29</v>
      </c>
      <c r="AW353" s="3">
        <f t="shared" si="212"/>
        <v>3</v>
      </c>
      <c r="AX353" s="3">
        <f t="shared" si="213"/>
        <v>10</v>
      </c>
      <c r="AY353" s="3">
        <f t="shared" si="214"/>
        <v>7</v>
      </c>
      <c r="AZ353" s="3">
        <f t="shared" si="215"/>
        <v>1</v>
      </c>
      <c r="BA353" s="3">
        <f>IF(ISERROR(LEN(VLOOKUP(A353,Seqs!A:E,2,FALSE))-AL353),"-",LEN(VLOOKUP(A353,Seqs!A:E,2,FALSE))-AL353)</f>
        <v>86</v>
      </c>
      <c r="BB353" s="16">
        <f t="shared" si="216"/>
        <v>31</v>
      </c>
      <c r="BC353" s="9" t="str">
        <f t="shared" si="217"/>
        <v>-</v>
      </c>
      <c r="BD353" s="3">
        <f t="shared" si="218"/>
        <v>31</v>
      </c>
      <c r="BE353" s="3">
        <f t="shared" si="219"/>
        <v>38</v>
      </c>
    </row>
    <row r="354" spans="1:58" s="3" customFormat="1" x14ac:dyDescent="0.2">
      <c r="A354" s="3" t="s">
        <v>107</v>
      </c>
      <c r="B354" s="3" t="str">
        <f>LOWER(VLOOKUP(A354,Xtal_Templ!A:B,2,FALSE))</f>
        <v>grm5_human</v>
      </c>
      <c r="C354" s="3">
        <f>VLOOKUP($A354,'SegEnds_NonXtal_BW#'!$A:$Z,3,FALSE)+D354-50</f>
        <v>480</v>
      </c>
      <c r="D354" s="3">
        <v>496</v>
      </c>
      <c r="E354" s="3">
        <f>IF(ISERROR(VLOOKUP($A354,'SegEnds_NonXtal_BW#'!$A:$Z,4,FALSE)+VLOOKUP($A354,A:AL,4,FALSE)-50),"-",(VLOOKUP($A354,'SegEnds_NonXtal_BW#'!$A:$Z,4,FALSE)+VLOOKUP($A354,A:AL,4,FALSE)-50))</f>
        <v>506</v>
      </c>
      <c r="F354" s="3">
        <f t="shared" si="222"/>
        <v>509</v>
      </c>
      <c r="G354" s="3">
        <v>512</v>
      </c>
      <c r="H354" s="3">
        <f t="shared" si="223"/>
        <v>515</v>
      </c>
      <c r="I354" s="3">
        <f t="shared" si="224"/>
        <v>516</v>
      </c>
      <c r="J354" s="3">
        <v>527</v>
      </c>
      <c r="K354" s="3">
        <f>VLOOKUP($A354,'SegEnds_NonXtal_BW#'!$A:$Z,8,FALSE)+VLOOKUP($A354,A:AL,10,FALSE)-50</f>
        <v>538</v>
      </c>
      <c r="L354" s="3" t="str">
        <f>IF(ISERROR(VLOOKUP($A354,'SegEnds_NonXtal_BW#'!$A:$Z,9,FALSE)+VLOOKUP($A354,A:AL,13,FALSE)-50),"-",(VLOOKUP($A354,'SegEnds_NonXtal_BW#'!$A:$Z,9,FALSE)+VLOOKUP($A354,A:AL,13,FALSE)-50))</f>
        <v>-</v>
      </c>
      <c r="M354" s="3" t="s">
        <v>23</v>
      </c>
      <c r="N354" s="3" t="str">
        <f>IF(ISERROR(VLOOKUP($A354,'SegEnds_NonXtal_BW#'!$A:$Z,10,FALSE)+VLOOKUP($A354,A:AL,13,FALSE)-50),"-",(VLOOKUP($A354,'SegEnds_NonXtal_BW#'!$A:$Z,10,FALSE)+VLOOKUP($A354,A:AL,13,FALSE)-50))</f>
        <v>-</v>
      </c>
      <c r="O354" s="3">
        <f>VLOOKUP($A354,'SegEnds_NonXtal_BW#'!$A:$Z,11,FALSE)+VLOOKUP($A354,A:AL,16,FALSE)-50</f>
        <v>549</v>
      </c>
      <c r="P354" s="3">
        <v>578</v>
      </c>
      <c r="Q354" s="3">
        <f>VLOOKUP($A354,'SegEnds_NonXtal_BW#'!$A:$Z,12,FALSE)+VLOOKUP($A354,A:AL,16,FALSE)-50</f>
        <v>582</v>
      </c>
      <c r="R354" s="3" t="str">
        <f>IF(ISERROR(VLOOKUP($A354,'SegEnds_NonXtal_BW#'!$A:$Z,13,FALSE)+VLOOKUP($A354,A:AL,19,FALSE)-50),"-",VLOOKUP($A354,'SegEnds_NonXtal_BW#'!$A:$Z,13,FALSE)+VLOOKUP($A354,A:AL,19,FALSE)-50)</f>
        <v>-</v>
      </c>
      <c r="S354" s="3" t="s">
        <v>23</v>
      </c>
      <c r="T354" s="100" t="str">
        <f>IF(ISERROR(VLOOKUP($A354,'SegEnds_NonXtal_BW#'!$A:$Z,14,FALSE)+VLOOKUP($A354,A:AL,19,FALSE)-50),"-",(VLOOKUP($A354,'SegEnds_NonXtal_BW#'!$A:$Z,14,FALSE)+VLOOKUP($A354,A:AL,19,FALSE)-50))</f>
        <v>-</v>
      </c>
      <c r="U354" s="9">
        <f>IF(ISERROR(VLOOKUP($A354,'SegEnds_NonXtal_BW#'!$A:$Z,15,FALSE)+VLOOKUP($A354,A:AL,22,FALSE)-50),"-",VLOOKUP($A354,'SegEnds_NonXtal_BW#'!$A:$Z,15,FALSE)+VLOOKUP($A354,A:AL,22,FALSE)-50)</f>
        <v>593</v>
      </c>
      <c r="V354" s="3">
        <v>605</v>
      </c>
      <c r="W354" s="3">
        <f>IF(ISERROR(VLOOKUP($A354,'SegEnds_NonXtal_BW#'!$A:$Z,16,FALSE)+VLOOKUP($A354,A:AL,22,FALSE)-50),"-",(VLOOKUP($A354,'SegEnds_NonXtal_BW#'!$A:$Z,16,FALSE)+VLOOKUP($A354,A:AL,22,FALSE)-50))</f>
        <v>619</v>
      </c>
      <c r="X354" s="3">
        <f>IF(ISERROR(VLOOKUP($A354,'SegEnds_NonXtal_BW#'!$A:$Z,17,FALSE)+VLOOKUP($A354,A:AL,25,FALSE)-50),"-",(VLOOKUP($A354,'SegEnds_NonXtal_BW#'!$A:$Z,17,FALSE)+VLOOKUP($A354,A:AL,25,FALSE)-50))</f>
        <v>648</v>
      </c>
      <c r="Y354" s="3">
        <v>648</v>
      </c>
      <c r="Z354" s="3">
        <f t="shared" si="204"/>
        <v>650</v>
      </c>
      <c r="AA354" s="3">
        <f>IF(ISERROR(VLOOKUP($A354,'SegEnds_NonXtal_BW#'!$A:$Z,19,FALSE)+VLOOKUP($A354,A:AL,28,FALSE)-50),"-",(VLOOKUP($A354,'SegEnds_NonXtal_BW#'!$A:$Z,19,FALSE)+VLOOKUP($A354,A:AL,28,FALSE)-50))</f>
        <v>653</v>
      </c>
      <c r="AB354" s="3">
        <v>667</v>
      </c>
      <c r="AC354" s="3">
        <f>IF(ISERROR((VLOOKUP($A354,'SegEnds_NonXtal_BW#'!$A:$Z,20,FALSE)+VLOOKUP($A354,A:AL,28,FALSE)-50)),"-",(VLOOKUP($A354,'SegEnds_NonXtal_BW#'!$A:$Z,20,FALSE)+VLOOKUP($A354,A:AL,28,FALSE)-50))</f>
        <v>678</v>
      </c>
      <c r="AD354" s="3">
        <f>IF(ISERROR(VLOOKUP($A354,'SegEnds_NonXtal_BW#'!$A:$Z,21,FALSE)+VLOOKUP($A354,A:AL,31,FALSE)-50),"-",(VLOOKUP($A354,'SegEnds_NonXtal_BW#'!$A:$Z,21,FALSE)+VLOOKUP($A354,A:AL,31,FALSE)-50))</f>
        <v>688</v>
      </c>
      <c r="AE354" s="3">
        <v>705</v>
      </c>
      <c r="AF354" s="3">
        <f>IF(ISERROR((VLOOKUP($A354,'SegEnds_NonXtal_BW#'!$A:$Z,22,FALSE)+VLOOKUP($A354,A:AL,31,FALSE)-50)),"-",(VLOOKUP($A354,'SegEnds_NonXtal_BW#'!$A:$Z,22,FALSE)+VLOOKUP($A354,A:AL,31,FALSE)-50))</f>
        <v>712</v>
      </c>
      <c r="AG354" s="3">
        <f>IF(ISERROR(VLOOKUP($A354,'SegEnds_NonXtal_BW#'!$A:$Z,23,FALSE)+VLOOKUP($A354,A:AL,34,FALSE)-50),"-",(VLOOKUP($A354,'SegEnds_NonXtal_BW#'!$A:$Z,23,FALSE)+VLOOKUP($A354,A:AL,34,FALSE)-50))</f>
        <v>719</v>
      </c>
      <c r="AH354" s="3">
        <v>736</v>
      </c>
      <c r="AI354" s="3">
        <f>IF(ISERROR((VLOOKUP($A354,'SegEnds_NonXtal_BW#'!$A:$Z,24,FALSE)+VLOOKUP($A354,A:AL,34,FALSE)-50)),"-",(VLOOKUP($A354,'SegEnds_NonXtal_BW#'!$A:$Z,24,FALSE)+VLOOKUP($A354,A:AL,34,FALSE)-50))</f>
        <v>750</v>
      </c>
      <c r="AJ354" s="3">
        <f>IF(ISERROR(VLOOKUP($A354,'SegEnds_NonXtal_BW#'!$A:$Z,25,FALSE)+VLOOKUP($A354,A:AL,37,FALSE)-50),"-",(VLOOKUP($A354,'SegEnds_NonXtal_BW#'!$A:$Z,25,FALSE)+VLOOKUP($A354,A:AL,37,FALSE)-50))</f>
        <v>751</v>
      </c>
      <c r="AK354" s="3">
        <v>755</v>
      </c>
      <c r="AL354" s="3">
        <f>IF(ISERROR((VLOOKUP($A354,'SegEnds_NonXtal_BW#'!$A:$Z,26,FALSE)+VLOOKUP($A354,A:AL,37,FALSE)-50)),"-",(VLOOKUP($A354,'SegEnds_NonXtal_BW#'!$A:$Z,26,FALSE)+VLOOKUP($A354,A:AL,37,FALSE)-50))</f>
        <v>762</v>
      </c>
      <c r="AM354" s="28" t="str">
        <f>VLOOKUP(A354,Classification!A:B,2,FALSE)</f>
        <v>C</v>
      </c>
      <c r="AN354" s="28" t="b">
        <f t="shared" si="220"/>
        <v>1</v>
      </c>
      <c r="AO354" s="3" t="str">
        <f>IF(ISERROR(MATCH(A354,'SegEnds_Xtal_Prot#'!B:B, 0)), "NoXtal", "Xtal")</f>
        <v>NoXtal</v>
      </c>
      <c r="AP354" s="3">
        <f t="shared" si="205"/>
        <v>3</v>
      </c>
      <c r="AQ354" s="3">
        <f t="shared" si="206"/>
        <v>1</v>
      </c>
      <c r="AR354" s="3" t="str">
        <f t="shared" si="207"/>
        <v>-</v>
      </c>
      <c r="AS354" s="3" t="str">
        <f t="shared" si="208"/>
        <v>-</v>
      </c>
      <c r="AT354" s="3" t="str">
        <f t="shared" si="209"/>
        <v>-</v>
      </c>
      <c r="AU354" s="3" t="str">
        <f t="shared" si="210"/>
        <v>-</v>
      </c>
      <c r="AV354" s="3">
        <f t="shared" si="211"/>
        <v>29</v>
      </c>
      <c r="AW354" s="3">
        <f t="shared" si="212"/>
        <v>3</v>
      </c>
      <c r="AX354" s="3">
        <f t="shared" si="213"/>
        <v>10</v>
      </c>
      <c r="AY354" s="3">
        <f t="shared" si="214"/>
        <v>7</v>
      </c>
      <c r="AZ354" s="3">
        <f t="shared" si="215"/>
        <v>1</v>
      </c>
      <c r="BA354" s="3">
        <f>IF(ISERROR(LEN(VLOOKUP(A354,Seqs!A:E,2,FALSE))-AL354),"-",LEN(VLOOKUP(A354,Seqs!A:E,2,FALSE))-AL354)</f>
        <v>179</v>
      </c>
      <c r="BB354" s="16">
        <f t="shared" si="216"/>
        <v>31</v>
      </c>
      <c r="BC354" s="9" t="str">
        <f t="shared" si="217"/>
        <v>-</v>
      </c>
      <c r="BD354" s="3">
        <f t="shared" si="218"/>
        <v>31</v>
      </c>
      <c r="BE354" s="3">
        <f t="shared" si="219"/>
        <v>38</v>
      </c>
    </row>
    <row r="355" spans="1:58" s="3" customFormat="1" x14ac:dyDescent="0.2">
      <c r="A355" s="3" t="s">
        <v>108</v>
      </c>
      <c r="B355" s="3" t="str">
        <f>LOWER(VLOOKUP(A355,Xtal_Templ!A:B,2,FALSE))</f>
        <v>grm1_human</v>
      </c>
      <c r="C355" s="3">
        <f>VLOOKUP($A355,'SegEnds_NonXtal_BW#'!$A:$Z,3,FALSE)+D355-50</f>
        <v>48</v>
      </c>
      <c r="D355" s="3">
        <v>64</v>
      </c>
      <c r="E355" s="3">
        <f>IF(ISERROR(VLOOKUP($A355,'SegEnds_NonXtal_BW#'!$A:$Z,4,FALSE)+VLOOKUP($A355,A:AL,4,FALSE)-50),"-",(VLOOKUP($A355,'SegEnds_NonXtal_BW#'!$A:$Z,4,FALSE)+VLOOKUP($A355,A:AL,4,FALSE)-50))</f>
        <v>74</v>
      </c>
      <c r="F355" s="3">
        <f t="shared" si="222"/>
        <v>77</v>
      </c>
      <c r="G355" s="3">
        <v>80</v>
      </c>
      <c r="H355" s="3">
        <f t="shared" si="223"/>
        <v>83</v>
      </c>
      <c r="I355" s="3">
        <f t="shared" si="224"/>
        <v>84</v>
      </c>
      <c r="J355" s="3">
        <v>95</v>
      </c>
      <c r="K355" s="3">
        <f>VLOOKUP($A355,'SegEnds_NonXtal_BW#'!$A:$Z,8,FALSE)+VLOOKUP($A355,A:AL,10,FALSE)-50</f>
        <v>106</v>
      </c>
      <c r="L355" s="3" t="str">
        <f>IF(ISERROR(VLOOKUP($A355,'SegEnds_NonXtal_BW#'!$A:$Z,9,FALSE)+VLOOKUP($A355,A:AL,13,FALSE)-50),"-",(VLOOKUP($A355,'SegEnds_NonXtal_BW#'!$A:$Z,9,FALSE)+VLOOKUP($A355,A:AL,13,FALSE)-50))</f>
        <v>-</v>
      </c>
      <c r="M355" s="3" t="s">
        <v>23</v>
      </c>
      <c r="N355" s="3" t="str">
        <f>IF(ISERROR(VLOOKUP($A355,'SegEnds_NonXtal_BW#'!$A:$Z,10,FALSE)+VLOOKUP($A355,A:AL,13,FALSE)-50),"-",(VLOOKUP($A355,'SegEnds_NonXtal_BW#'!$A:$Z,10,FALSE)+VLOOKUP($A355,A:AL,13,FALSE)-50))</f>
        <v>-</v>
      </c>
      <c r="O355" s="3">
        <f>VLOOKUP($A355,'SegEnds_NonXtal_BW#'!$A:$Z,11,FALSE)+VLOOKUP($A355,A:AL,16,FALSE)-50</f>
        <v>117</v>
      </c>
      <c r="P355" s="3">
        <v>145</v>
      </c>
      <c r="Q355" s="3">
        <f>VLOOKUP($A355,'SegEnds_NonXtal_BW#'!$A:$Z,12,FALSE)+VLOOKUP($A355,A:AL,16,FALSE)-50</f>
        <v>149</v>
      </c>
      <c r="R355" s="3" t="str">
        <f>IF(ISERROR(VLOOKUP($A355,'SegEnds_NonXtal_BW#'!$A:$Z,13,FALSE)+VLOOKUP($A355,A:AL,19,FALSE)-50),"-",VLOOKUP($A355,'SegEnds_NonXtal_BW#'!$A:$Z,13,FALSE)+VLOOKUP($A355,A:AL,19,FALSE)-50)</f>
        <v>-</v>
      </c>
      <c r="S355" s="3" t="s">
        <v>23</v>
      </c>
      <c r="T355" s="100" t="str">
        <f>IF(ISERROR(VLOOKUP($A355,'SegEnds_NonXtal_BW#'!$A:$Z,14,FALSE)+VLOOKUP($A355,A:AL,19,FALSE)-50),"-",(VLOOKUP($A355,'SegEnds_NonXtal_BW#'!$A:$Z,14,FALSE)+VLOOKUP($A355,A:AL,19,FALSE)-50))</f>
        <v>-</v>
      </c>
      <c r="U355" s="9">
        <f>IF(ISERROR(VLOOKUP($A355,'SegEnds_NonXtal_BW#'!$A:$Z,15,FALSE)+VLOOKUP($A355,A:AL,22,FALSE)-50),"-",VLOOKUP($A355,'SegEnds_NonXtal_BW#'!$A:$Z,15,FALSE)+VLOOKUP($A355,A:AL,22,FALSE)-50)</f>
        <v>161</v>
      </c>
      <c r="V355" s="3">
        <v>173</v>
      </c>
      <c r="W355" s="3">
        <f>IF(ISERROR(VLOOKUP($A355,'SegEnds_NonXtal_BW#'!$A:$Z,16,FALSE)+VLOOKUP($A355,A:AL,22,FALSE)-50),"-",(VLOOKUP($A355,'SegEnds_NonXtal_BW#'!$A:$Z,16,FALSE)+VLOOKUP($A355,A:AL,22,FALSE)-50))</f>
        <v>187</v>
      </c>
      <c r="X355" s="3">
        <f>IF(ISERROR(VLOOKUP($A355,'SegEnds_NonXtal_BW#'!$A:$Z,17,FALSE)+VLOOKUP($A355,A:AL,25,FALSE)-50),"-",(VLOOKUP($A355,'SegEnds_NonXtal_BW#'!$A:$Z,17,FALSE)+VLOOKUP($A355,A:AL,25,FALSE)-50))</f>
        <v>216</v>
      </c>
      <c r="Y355" s="105">
        <v>216</v>
      </c>
      <c r="Z355" s="3">
        <f>IF(ISERROR(VLOOKUP($A355,'SegEnds_NonXtal_BW#'!$A:$Z,18,FALSE)+VLOOKUP($A355,A:AL,25,FALSE)-50),"-",(VLOOKUP($A355,'SegEnds_NonXtal_BW#'!$A:$Z,18,FALSE)+VLOOKUP($A355,A:AL,25,FALSE)-50))</f>
        <v>218</v>
      </c>
      <c r="AA355" s="3">
        <f>IF(ISERROR(VLOOKUP($A355,'SegEnds_NonXtal_BW#'!$A:$Z,19,FALSE)+VLOOKUP($A355,A:AL,28,FALSE)-50),"-",(VLOOKUP($A355,'SegEnds_NonXtal_BW#'!$A:$Z,19,FALSE)+VLOOKUP($A355,A:AL,28,FALSE)-50))</f>
        <v>221</v>
      </c>
      <c r="AB355" s="3">
        <v>235</v>
      </c>
      <c r="AC355" s="3">
        <f>IF(ISERROR((VLOOKUP($A355,'SegEnds_NonXtal_BW#'!$A:$Z,20,FALSE)+VLOOKUP($A355,A:AL,28,FALSE)-50)),"-",(VLOOKUP($A355,'SegEnds_NonXtal_BW#'!$A:$Z,20,FALSE)+VLOOKUP($A355,A:AL,28,FALSE)-50))</f>
        <v>246</v>
      </c>
      <c r="AD355" s="3">
        <f>IF(ISERROR(VLOOKUP($A355,'SegEnds_NonXtal_BW#'!$A:$Z,21,FALSE)+VLOOKUP($A355,A:AL,31,FALSE)-50),"-",(VLOOKUP($A355,'SegEnds_NonXtal_BW#'!$A:$Z,21,FALSE)+VLOOKUP($A355,A:AL,31,FALSE)-50))</f>
        <v>257</v>
      </c>
      <c r="AE355" s="3">
        <v>274</v>
      </c>
      <c r="AF355" s="3">
        <f>IF(ISERROR((VLOOKUP($A355,'SegEnds_NonXtal_BW#'!$A:$Z,22,FALSE)+VLOOKUP($A355,A:AL,31,FALSE)-50)),"-",(VLOOKUP($A355,'SegEnds_NonXtal_BW#'!$A:$Z,22,FALSE)+VLOOKUP($A355,A:AL,31,FALSE)-50))</f>
        <v>281</v>
      </c>
      <c r="AG355" s="3">
        <f>IF(ISERROR(VLOOKUP($A355,'SegEnds_NonXtal_BW#'!$A:$Z,23,FALSE)+VLOOKUP($A355,A:AL,34,FALSE)-50),"-",(VLOOKUP($A355,'SegEnds_NonXtal_BW#'!$A:$Z,23,FALSE)+VLOOKUP($A355,A:AL,34,FALSE)-50))</f>
        <v>287</v>
      </c>
      <c r="AH355" s="3">
        <v>304</v>
      </c>
      <c r="AI355" s="3">
        <f>IF(ISERROR((VLOOKUP($A355,'SegEnds_NonXtal_BW#'!$A:$Z,24,FALSE)+VLOOKUP($A355,A:AL,34,FALSE)-50)),"-",(VLOOKUP($A355,'SegEnds_NonXtal_BW#'!$A:$Z,24,FALSE)+VLOOKUP($A355,A:AL,34,FALSE)-50))</f>
        <v>318</v>
      </c>
      <c r="AJ355" s="3">
        <f>IF(ISERROR(VLOOKUP($A355,'SegEnds_NonXtal_BW#'!$A:$Z,25,FALSE)+VLOOKUP($A355,A:AL,37,FALSE)-50),"-",(VLOOKUP($A355,'SegEnds_NonXtal_BW#'!$A:$Z,25,FALSE)+VLOOKUP($A355,A:AL,37,FALSE)-50))</f>
        <v>319</v>
      </c>
      <c r="AK355" s="3">
        <v>323</v>
      </c>
      <c r="AL355" s="3">
        <f>IF(ISERROR((VLOOKUP($A355,'SegEnds_NonXtal_BW#'!$A:$Z,26,FALSE)+VLOOKUP($A355,A:AL,37,FALSE)-50)),"-",(VLOOKUP($A355,'SegEnds_NonXtal_BW#'!$A:$Z,26,FALSE)+VLOOKUP($A355,A:AL,37,FALSE)-50))</f>
        <v>330</v>
      </c>
      <c r="AM355" s="28" t="str">
        <f>VLOOKUP(A355,Classification!A:B,2,FALSE)</f>
        <v>C</v>
      </c>
      <c r="AN355" s="28" t="b">
        <f t="shared" si="220"/>
        <v>1</v>
      </c>
      <c r="AO355" s="3" t="str">
        <f>IF(ISERROR(MATCH(A355,'SegEnds_Xtal_Prot#'!B:B, 0)), "NoXtal", "Xtal")</f>
        <v>NoXtal</v>
      </c>
      <c r="AP355" s="3">
        <f t="shared" si="205"/>
        <v>3</v>
      </c>
      <c r="AQ355" s="3">
        <f t="shared" si="206"/>
        <v>1</v>
      </c>
      <c r="AR355" s="3" t="str">
        <f t="shared" si="207"/>
        <v>-</v>
      </c>
      <c r="AS355" s="3" t="str">
        <f t="shared" si="208"/>
        <v>-</v>
      </c>
      <c r="AT355" s="3" t="str">
        <f t="shared" si="209"/>
        <v>-</v>
      </c>
      <c r="AU355" s="3" t="str">
        <f t="shared" si="210"/>
        <v>-</v>
      </c>
      <c r="AV355" s="3">
        <f t="shared" si="211"/>
        <v>29</v>
      </c>
      <c r="AW355" s="3">
        <f t="shared" si="212"/>
        <v>3</v>
      </c>
      <c r="AX355" s="3">
        <f t="shared" si="213"/>
        <v>11</v>
      </c>
      <c r="AY355" s="3">
        <f t="shared" si="214"/>
        <v>6</v>
      </c>
      <c r="AZ355" s="3">
        <f t="shared" si="215"/>
        <v>1</v>
      </c>
      <c r="BA355" s="3">
        <f>IF(ISERROR(LEN(VLOOKUP(A355,Seqs!A:E,2,FALSE))-AL355),"-",LEN(VLOOKUP(A355,Seqs!A:E,2,FALSE))-AL355)</f>
        <v>484</v>
      </c>
      <c r="BB355" s="16">
        <f t="shared" si="216"/>
        <v>31</v>
      </c>
      <c r="BC355" s="9" t="str">
        <f t="shared" si="217"/>
        <v>-</v>
      </c>
      <c r="BD355" s="3">
        <f t="shared" si="218"/>
        <v>31</v>
      </c>
      <c r="BE355" s="3">
        <f t="shared" si="219"/>
        <v>39</v>
      </c>
    </row>
    <row r="356" spans="1:58" s="3" customFormat="1" x14ac:dyDescent="0.2">
      <c r="A356" s="3" t="s">
        <v>109</v>
      </c>
      <c r="B356" s="3" t="str">
        <f>LOWER(VLOOKUP(A356,Xtal_Templ!A:B,2,FALSE))</f>
        <v>grm1_human</v>
      </c>
      <c r="C356" s="3">
        <f>VLOOKUP($A356,'SegEnds_NonXtal_BW#'!$A:$Z,3,FALSE)+D356-50</f>
        <v>415</v>
      </c>
      <c r="D356" s="3">
        <v>431</v>
      </c>
      <c r="E356" s="3">
        <f>IF(ISERROR(VLOOKUP($A356,'SegEnds_NonXtal_BW#'!$A:$Z,4,FALSE)+VLOOKUP($A356,A:AL,4,FALSE)-50),"-",(VLOOKUP($A356,'SegEnds_NonXtal_BW#'!$A:$Z,4,FALSE)+VLOOKUP($A356,A:AL,4,FALSE)-50))</f>
        <v>441</v>
      </c>
      <c r="F356" s="3">
        <f t="shared" si="222"/>
        <v>444</v>
      </c>
      <c r="G356" s="3">
        <v>447</v>
      </c>
      <c r="H356" s="3">
        <f t="shared" si="223"/>
        <v>450</v>
      </c>
      <c r="I356" s="3">
        <f t="shared" si="224"/>
        <v>451</v>
      </c>
      <c r="J356" s="3">
        <v>462</v>
      </c>
      <c r="K356" s="3">
        <f>VLOOKUP($A356,'SegEnds_NonXtal_BW#'!$A:$Z,8,FALSE)+VLOOKUP($A356,A:AL,10,FALSE)-50</f>
        <v>473</v>
      </c>
      <c r="L356" s="3" t="str">
        <f>IF(ISERROR(VLOOKUP($A356,'SegEnds_NonXtal_BW#'!$A:$Z,9,FALSE)+VLOOKUP($A356,A:AL,13,FALSE)-50),"-",(VLOOKUP($A356,'SegEnds_NonXtal_BW#'!$A:$Z,9,FALSE)+VLOOKUP($A356,A:AL,13,FALSE)-50))</f>
        <v>-</v>
      </c>
      <c r="M356" s="3" t="s">
        <v>23</v>
      </c>
      <c r="N356" s="3" t="str">
        <f>IF(ISERROR(VLOOKUP($A356,'SegEnds_NonXtal_BW#'!$A:$Z,10,FALSE)+VLOOKUP($A356,A:AL,13,FALSE)-50),"-",(VLOOKUP($A356,'SegEnds_NonXtal_BW#'!$A:$Z,10,FALSE)+VLOOKUP($A356,A:AL,13,FALSE)-50))</f>
        <v>-</v>
      </c>
      <c r="O356" s="3">
        <f>VLOOKUP($A356,'SegEnds_NonXtal_BW#'!$A:$Z,11,FALSE)+VLOOKUP($A356,A:AL,16,FALSE)-50</f>
        <v>478</v>
      </c>
      <c r="P356" s="3">
        <v>506</v>
      </c>
      <c r="Q356" s="3">
        <f>VLOOKUP($A356,'SegEnds_NonXtal_BW#'!$A:$Z,12,FALSE)+VLOOKUP($A356,A:AL,16,FALSE)-50</f>
        <v>510</v>
      </c>
      <c r="R356" s="3" t="str">
        <f>IF(ISERROR(VLOOKUP($A356,'SegEnds_NonXtal_BW#'!$A:$Z,13,FALSE)+VLOOKUP($A356,A:AL,19,FALSE)-50),"-",VLOOKUP($A356,'SegEnds_NonXtal_BW#'!$A:$Z,13,FALSE)+VLOOKUP($A356,A:AL,19,FALSE)-50)</f>
        <v>-</v>
      </c>
      <c r="S356" s="3" t="s">
        <v>23</v>
      </c>
      <c r="T356" s="100" t="str">
        <f>IF(ISERROR(VLOOKUP($A356,'SegEnds_NonXtal_BW#'!$A:$Z,14,FALSE)+VLOOKUP($A356,A:AL,19,FALSE)-50),"-",(VLOOKUP($A356,'SegEnds_NonXtal_BW#'!$A:$Z,14,FALSE)+VLOOKUP($A356,A:AL,19,FALSE)-50))</f>
        <v>-</v>
      </c>
      <c r="U356" s="9">
        <f>IF(ISERROR(VLOOKUP($A356,'SegEnds_NonXtal_BW#'!$A:$Z,15,FALSE)+VLOOKUP($A356,A:AL,22,FALSE)-50),"-",VLOOKUP($A356,'SegEnds_NonXtal_BW#'!$A:$Z,15,FALSE)+VLOOKUP($A356,A:AL,22,FALSE)-50)</f>
        <v>512</v>
      </c>
      <c r="V356" s="3">
        <v>524</v>
      </c>
      <c r="W356" s="3">
        <f>IF(ISERROR(VLOOKUP($A356,'SegEnds_NonXtal_BW#'!$A:$Z,16,FALSE)+VLOOKUP($A356,A:AL,22,FALSE)-50),"-",(VLOOKUP($A356,'SegEnds_NonXtal_BW#'!$A:$Z,16,FALSE)+VLOOKUP($A356,A:AL,22,FALSE)-50))</f>
        <v>538</v>
      </c>
      <c r="X356" s="3">
        <f>IF(ISERROR(VLOOKUP($A356,'SegEnds_NonXtal_BW#'!$A:$Z,17,FALSE)+VLOOKUP($A356,A:AL,25,FALSE)-50),"-",(VLOOKUP($A356,'SegEnds_NonXtal_BW#'!$A:$Z,17,FALSE)+VLOOKUP($A356,A:AL,25,FALSE)-50))</f>
        <v>573</v>
      </c>
      <c r="Y356" s="3">
        <v>573</v>
      </c>
      <c r="Z356" s="3">
        <f>Y356+2</f>
        <v>575</v>
      </c>
      <c r="AA356" s="105">
        <v>576</v>
      </c>
      <c r="AB356" s="3">
        <v>589</v>
      </c>
      <c r="AC356" s="3">
        <f>IF(ISERROR((VLOOKUP($A356,'SegEnds_NonXtal_BW#'!$A:$Z,20,FALSE)+VLOOKUP($A356,A:AL,28,FALSE)-50)),"-",(VLOOKUP($A356,'SegEnds_NonXtal_BW#'!$A:$Z,20,FALSE)+VLOOKUP($A356,A:AL,28,FALSE)-50))</f>
        <v>600</v>
      </c>
      <c r="AD356" s="3">
        <f>IF(ISERROR(VLOOKUP($A356,'SegEnds_NonXtal_BW#'!$A:$Z,21,FALSE)+VLOOKUP($A356,A:AL,31,FALSE)-50),"-",(VLOOKUP($A356,'SegEnds_NonXtal_BW#'!$A:$Z,21,FALSE)+VLOOKUP($A356,A:AL,31,FALSE)-50))</f>
        <v>609</v>
      </c>
      <c r="AE356" s="3">
        <v>626</v>
      </c>
      <c r="AF356" s="3">
        <f>IF(ISERROR((VLOOKUP($A356,'SegEnds_NonXtal_BW#'!$A:$Z,22,FALSE)+VLOOKUP($A356,A:AL,31,FALSE)-50)),"-",(VLOOKUP($A356,'SegEnds_NonXtal_BW#'!$A:$Z,22,FALSE)+VLOOKUP($A356,A:AL,31,FALSE)-50))</f>
        <v>633</v>
      </c>
      <c r="AG356" s="3">
        <f>IF(ISERROR(VLOOKUP($A356,'SegEnds_NonXtal_BW#'!$A:$Z,23,FALSE)+VLOOKUP($A356,A:AL,34,FALSE)-50),"-",(VLOOKUP($A356,'SegEnds_NonXtal_BW#'!$A:$Z,23,FALSE)+VLOOKUP($A356,A:AL,34,FALSE)-50))</f>
        <v>642</v>
      </c>
      <c r="AH356" s="3">
        <v>659</v>
      </c>
      <c r="AI356" s="3">
        <f>IF(ISERROR((VLOOKUP($A356,'SegEnds_NonXtal_BW#'!$A:$Z,24,FALSE)+VLOOKUP($A356,A:AL,34,FALSE)-50)),"-",(VLOOKUP($A356,'SegEnds_NonXtal_BW#'!$A:$Z,24,FALSE)+VLOOKUP($A356,A:AL,34,FALSE)-50))</f>
        <v>673</v>
      </c>
      <c r="AJ356" s="3">
        <f>IF(ISERROR(VLOOKUP($A356,'SegEnds_NonXtal_BW#'!$A:$Z,25,FALSE)+VLOOKUP($A356,A:AL,37,FALSE)-50),"-",(VLOOKUP($A356,'SegEnds_NonXtal_BW#'!$A:$Z,25,FALSE)+VLOOKUP($A356,A:AL,37,FALSE)-50))</f>
        <v>674</v>
      </c>
      <c r="AK356" s="3">
        <v>678</v>
      </c>
      <c r="AL356" s="3">
        <f>IF(ISERROR((VLOOKUP($A356,'SegEnds_NonXtal_BW#'!$A:$Z,26,FALSE)+VLOOKUP($A356,A:AL,37,FALSE)-50)),"-",(VLOOKUP($A356,'SegEnds_NonXtal_BW#'!$A:$Z,26,FALSE)+VLOOKUP($A356,A:AL,37,FALSE)-50))</f>
        <v>685</v>
      </c>
      <c r="AM356" s="28" t="str">
        <f>VLOOKUP(A356,Classification!A:B,2,FALSE)</f>
        <v>C</v>
      </c>
      <c r="AN356" s="28" t="b">
        <f t="shared" si="220"/>
        <v>1</v>
      </c>
      <c r="AO356" s="3" t="str">
        <f>IF(ISERROR(MATCH(A356,'SegEnds_Xtal_Prot#'!B:B, 0)), "NoXtal", "Xtal")</f>
        <v>NoXtal</v>
      </c>
      <c r="AP356" s="3">
        <f t="shared" si="205"/>
        <v>3</v>
      </c>
      <c r="AQ356" s="3">
        <f t="shared" si="206"/>
        <v>1</v>
      </c>
      <c r="AR356" s="3" t="str">
        <f t="shared" si="207"/>
        <v>-</v>
      </c>
      <c r="AS356" s="3" t="str">
        <f t="shared" si="208"/>
        <v>-</v>
      </c>
      <c r="AT356" s="3" t="str">
        <f t="shared" si="209"/>
        <v>-</v>
      </c>
      <c r="AU356" s="3" t="str">
        <f t="shared" si="210"/>
        <v>-</v>
      </c>
      <c r="AV356" s="3">
        <f t="shared" si="211"/>
        <v>35</v>
      </c>
      <c r="AW356" s="3">
        <f t="shared" si="212"/>
        <v>1</v>
      </c>
      <c r="AX356" s="3">
        <f t="shared" si="213"/>
        <v>9</v>
      </c>
      <c r="AY356" s="3">
        <f t="shared" si="214"/>
        <v>9</v>
      </c>
      <c r="AZ356" s="3">
        <f t="shared" si="215"/>
        <v>1</v>
      </c>
      <c r="BA356" s="3">
        <f>IF(ISERROR(LEN(VLOOKUP(A356,Seqs!A:E,2,FALSE))-AL356),"-",LEN(VLOOKUP(A356,Seqs!A:E,2,FALSE))-AL356)</f>
        <v>530</v>
      </c>
      <c r="BB356" s="16">
        <f t="shared" si="216"/>
        <v>31</v>
      </c>
      <c r="BC356" s="9" t="str">
        <f t="shared" si="217"/>
        <v>-</v>
      </c>
      <c r="BD356" s="3">
        <f t="shared" si="218"/>
        <v>31</v>
      </c>
      <c r="BE356" s="3">
        <f t="shared" si="219"/>
        <v>37</v>
      </c>
    </row>
    <row r="357" spans="1:58" s="3" customFormat="1" x14ac:dyDescent="0.2">
      <c r="A357" s="3" t="s">
        <v>110</v>
      </c>
      <c r="B357" s="3" t="str">
        <f>LOWER(VLOOKUP(A357,Xtal_Templ!A:B,2,FALSE))</f>
        <v>grm1_human</v>
      </c>
      <c r="C357" s="3">
        <f>VLOOKUP($A357,'SegEnds_NonXtal_BW#'!$A:$Z,3,FALSE)+D357-50</f>
        <v>379</v>
      </c>
      <c r="D357" s="3">
        <v>395</v>
      </c>
      <c r="E357" s="3">
        <f>IF(ISERROR(VLOOKUP($A357,'SegEnds_NonXtal_BW#'!$A:$Z,4,FALSE)+VLOOKUP($A357,A:AL,4,FALSE)-50),"-",(VLOOKUP($A357,'SegEnds_NonXtal_BW#'!$A:$Z,4,FALSE)+VLOOKUP($A357,A:AL,4,FALSE)-50))</f>
        <v>405</v>
      </c>
      <c r="F357" s="3">
        <f t="shared" si="222"/>
        <v>408</v>
      </c>
      <c r="G357" s="3">
        <v>411</v>
      </c>
      <c r="H357" s="3">
        <f t="shared" si="223"/>
        <v>414</v>
      </c>
      <c r="I357" s="3">
        <f t="shared" si="224"/>
        <v>415</v>
      </c>
      <c r="J357" s="3">
        <v>426</v>
      </c>
      <c r="K357" s="3">
        <f>VLOOKUP($A357,'SegEnds_NonXtal_BW#'!$A:$Z,8,FALSE)+VLOOKUP($A357,A:AL,10,FALSE)-50</f>
        <v>437</v>
      </c>
      <c r="L357" s="3" t="str">
        <f>IF(ISERROR(VLOOKUP($A357,'SegEnds_NonXtal_BW#'!$A:$Z,9,FALSE)+VLOOKUP($A357,A:AL,13,FALSE)-50),"-",(VLOOKUP($A357,'SegEnds_NonXtal_BW#'!$A:$Z,9,FALSE)+VLOOKUP($A357,A:AL,13,FALSE)-50))</f>
        <v>-</v>
      </c>
      <c r="M357" s="3" t="s">
        <v>23</v>
      </c>
      <c r="N357" s="3" t="str">
        <f>IF(ISERROR(VLOOKUP($A357,'SegEnds_NonXtal_BW#'!$A:$Z,10,FALSE)+VLOOKUP($A357,A:AL,13,FALSE)-50),"-",(VLOOKUP($A357,'SegEnds_NonXtal_BW#'!$A:$Z,10,FALSE)+VLOOKUP($A357,A:AL,13,FALSE)-50))</f>
        <v>-</v>
      </c>
      <c r="O357" s="3">
        <f>VLOOKUP($A357,'SegEnds_NonXtal_BW#'!$A:$Z,11,FALSE)+VLOOKUP($A357,A:AL,16,FALSE)-50</f>
        <v>442</v>
      </c>
      <c r="P357" s="3">
        <v>470</v>
      </c>
      <c r="Q357" s="3">
        <f>VLOOKUP($A357,'SegEnds_NonXtal_BW#'!$A:$Z,12,FALSE)+VLOOKUP($A357,A:AL,16,FALSE)-50</f>
        <v>474</v>
      </c>
      <c r="R357" s="3" t="str">
        <f>IF(ISERROR(VLOOKUP($A357,'SegEnds_NonXtal_BW#'!$A:$Z,13,FALSE)+VLOOKUP($A357,A:AL,19,FALSE)-50),"-",VLOOKUP($A357,'SegEnds_NonXtal_BW#'!$A:$Z,13,FALSE)+VLOOKUP($A357,A:AL,19,FALSE)-50)</f>
        <v>-</v>
      </c>
      <c r="S357" s="3" t="s">
        <v>23</v>
      </c>
      <c r="T357" s="100" t="str">
        <f>IF(ISERROR(VLOOKUP($A357,'SegEnds_NonXtal_BW#'!$A:$Z,14,FALSE)+VLOOKUP($A357,A:AL,19,FALSE)-50),"-",(VLOOKUP($A357,'SegEnds_NonXtal_BW#'!$A:$Z,14,FALSE)+VLOOKUP($A357,A:AL,19,FALSE)-50))</f>
        <v>-</v>
      </c>
      <c r="U357" s="9">
        <f>IF(ISERROR(VLOOKUP($A357,'SegEnds_NonXtal_BW#'!$A:$Z,15,FALSE)+VLOOKUP($A357,A:AL,22,FALSE)-50),"-",VLOOKUP($A357,'SegEnds_NonXtal_BW#'!$A:$Z,15,FALSE)+VLOOKUP($A357,A:AL,22,FALSE)-50)</f>
        <v>476</v>
      </c>
      <c r="V357" s="3">
        <v>488</v>
      </c>
      <c r="W357" s="3">
        <f>IF(ISERROR(VLOOKUP($A357,'SegEnds_NonXtal_BW#'!$A:$Z,16,FALSE)+VLOOKUP($A357,A:AL,22,FALSE)-50),"-",(VLOOKUP($A357,'SegEnds_NonXtal_BW#'!$A:$Z,16,FALSE)+VLOOKUP($A357,A:AL,22,FALSE)-50))</f>
        <v>502</v>
      </c>
      <c r="X357" s="3">
        <f>IF(ISERROR(VLOOKUP($A357,'SegEnds_NonXtal_BW#'!$A:$Z,17,FALSE)+VLOOKUP($A357,A:AL,25,FALSE)-50),"-",(VLOOKUP($A357,'SegEnds_NonXtal_BW#'!$A:$Z,17,FALSE)+VLOOKUP($A357,A:AL,25,FALSE)-50))</f>
        <v>537</v>
      </c>
      <c r="Y357" s="3">
        <v>537</v>
      </c>
      <c r="Z357" s="3">
        <f>Y357+2</f>
        <v>539</v>
      </c>
      <c r="AA357" s="105">
        <v>540</v>
      </c>
      <c r="AB357" s="3">
        <v>553</v>
      </c>
      <c r="AC357" s="3">
        <f>IF(ISERROR((VLOOKUP($A357,'SegEnds_NonXtal_BW#'!$A:$Z,20,FALSE)+VLOOKUP($A357,A:AL,28,FALSE)-50)),"-",(VLOOKUP($A357,'SegEnds_NonXtal_BW#'!$A:$Z,20,FALSE)+VLOOKUP($A357,A:AL,28,FALSE)-50))</f>
        <v>564</v>
      </c>
      <c r="AD357" s="3">
        <f>IF(ISERROR(VLOOKUP($A357,'SegEnds_NonXtal_BW#'!$A:$Z,21,FALSE)+VLOOKUP($A357,A:AL,31,FALSE)-50),"-",(VLOOKUP($A357,'SegEnds_NonXtal_BW#'!$A:$Z,21,FALSE)+VLOOKUP($A357,A:AL,31,FALSE)-50))</f>
        <v>573</v>
      </c>
      <c r="AE357" s="3">
        <v>590</v>
      </c>
      <c r="AF357" s="3">
        <f>IF(ISERROR((VLOOKUP($A357,'SegEnds_NonXtal_BW#'!$A:$Z,22,FALSE)+VLOOKUP($A357,A:AL,31,FALSE)-50)),"-",(VLOOKUP($A357,'SegEnds_NonXtal_BW#'!$A:$Z,22,FALSE)+VLOOKUP($A357,A:AL,31,FALSE)-50))</f>
        <v>597</v>
      </c>
      <c r="AG357" s="3">
        <f>IF(ISERROR(VLOOKUP($A357,'SegEnds_NonXtal_BW#'!$A:$Z,23,FALSE)+VLOOKUP($A357,A:AL,34,FALSE)-50),"-",(VLOOKUP($A357,'SegEnds_NonXtal_BW#'!$A:$Z,23,FALSE)+VLOOKUP($A357,A:AL,34,FALSE)-50))</f>
        <v>606</v>
      </c>
      <c r="AH357" s="3">
        <v>623</v>
      </c>
      <c r="AI357" s="3">
        <f>IF(ISERROR((VLOOKUP($A357,'SegEnds_NonXtal_BW#'!$A:$Z,24,FALSE)+VLOOKUP($A357,A:AL,34,FALSE)-50)),"-",(VLOOKUP($A357,'SegEnds_NonXtal_BW#'!$A:$Z,24,FALSE)+VLOOKUP($A357,A:AL,34,FALSE)-50))</f>
        <v>637</v>
      </c>
      <c r="AJ357" s="3">
        <f>IF(ISERROR(VLOOKUP($A357,'SegEnds_NonXtal_BW#'!$A:$Z,25,FALSE)+VLOOKUP($A357,A:AL,37,FALSE)-50),"-",(VLOOKUP($A357,'SegEnds_NonXtal_BW#'!$A:$Z,25,FALSE)+VLOOKUP($A357,A:AL,37,FALSE)-50))</f>
        <v>638</v>
      </c>
      <c r="AK357" s="3">
        <v>642</v>
      </c>
      <c r="AL357" s="3">
        <f>IF(ISERROR((VLOOKUP($A357,'SegEnds_NonXtal_BW#'!$A:$Z,26,FALSE)+VLOOKUP($A357,A:AL,37,FALSE)-50)),"-",(VLOOKUP($A357,'SegEnds_NonXtal_BW#'!$A:$Z,26,FALSE)+VLOOKUP($A357,A:AL,37,FALSE)-50))</f>
        <v>649</v>
      </c>
      <c r="AM357" s="28" t="str">
        <f>VLOOKUP(A357,Classification!A:B,2,FALSE)</f>
        <v>C</v>
      </c>
      <c r="AN357" s="28" t="b">
        <f t="shared" si="220"/>
        <v>1</v>
      </c>
      <c r="AO357" s="3" t="str">
        <f>IF(ISERROR(MATCH(A357,'SegEnds_Xtal_Prot#'!B:B, 0)), "NoXtal", "Xtal")</f>
        <v>NoXtal</v>
      </c>
      <c r="AP357" s="3">
        <f t="shared" si="205"/>
        <v>3</v>
      </c>
      <c r="AQ357" s="3">
        <f t="shared" si="206"/>
        <v>1</v>
      </c>
      <c r="AR357" s="3" t="str">
        <f t="shared" si="207"/>
        <v>-</v>
      </c>
      <c r="AS357" s="3" t="str">
        <f t="shared" si="208"/>
        <v>-</v>
      </c>
      <c r="AT357" s="3" t="str">
        <f t="shared" si="209"/>
        <v>-</v>
      </c>
      <c r="AU357" s="3" t="str">
        <f t="shared" si="210"/>
        <v>-</v>
      </c>
      <c r="AV357" s="3">
        <f t="shared" si="211"/>
        <v>35</v>
      </c>
      <c r="AW357" s="3">
        <f t="shared" si="212"/>
        <v>1</v>
      </c>
      <c r="AX357" s="3">
        <f t="shared" si="213"/>
        <v>9</v>
      </c>
      <c r="AY357" s="3">
        <f t="shared" si="214"/>
        <v>9</v>
      </c>
      <c r="AZ357" s="3">
        <f t="shared" si="215"/>
        <v>1</v>
      </c>
      <c r="BA357" s="3">
        <f>IF(ISERROR(LEN(VLOOKUP(A357,Seqs!A:E,2,FALSE))-AL357),"-",LEN(VLOOKUP(A357,Seqs!A:E,2,FALSE))-AL357)</f>
        <v>1718</v>
      </c>
      <c r="BB357" s="16">
        <f t="shared" si="216"/>
        <v>31</v>
      </c>
      <c r="BC357" s="9" t="str">
        <f t="shared" si="217"/>
        <v>-</v>
      </c>
      <c r="BD357" s="3">
        <f t="shared" si="218"/>
        <v>31</v>
      </c>
      <c r="BE357" s="3">
        <f t="shared" si="219"/>
        <v>37</v>
      </c>
    </row>
    <row r="358" spans="1:58" s="3" customFormat="1" x14ac:dyDescent="0.2">
      <c r="A358" s="3" t="s">
        <v>111</v>
      </c>
      <c r="B358" s="3" t="str">
        <f>LOWER(VLOOKUP(A358,Xtal_Templ!A:B,2,FALSE))</f>
        <v>grm1_human</v>
      </c>
      <c r="C358" s="3">
        <f>VLOOKUP($A358,'SegEnds_NonXtal_BW#'!$A:$Z,3,FALSE)+D358-50</f>
        <v>54</v>
      </c>
      <c r="D358" s="3">
        <v>70</v>
      </c>
      <c r="E358" s="3">
        <f>IF(ISERROR(VLOOKUP($A358,'SegEnds_NonXtal_BW#'!$A:$Z,4,FALSE)+VLOOKUP($A358,A:AL,4,FALSE)-50),"-",(VLOOKUP($A358,'SegEnds_NonXtal_BW#'!$A:$Z,4,FALSE)+VLOOKUP($A358,A:AL,4,FALSE)-50))</f>
        <v>80</v>
      </c>
      <c r="F358" s="3">
        <f t="shared" si="222"/>
        <v>81</v>
      </c>
      <c r="G358" s="3">
        <v>84</v>
      </c>
      <c r="H358" s="3">
        <f t="shared" si="223"/>
        <v>87</v>
      </c>
      <c r="I358" s="3">
        <f t="shared" si="224"/>
        <v>88</v>
      </c>
      <c r="J358" s="3">
        <v>103</v>
      </c>
      <c r="K358" s="3">
        <f>VLOOKUP($A358,'SegEnds_NonXtal_BW#'!$A:$Z,8,FALSE)+VLOOKUP($A358,A:AL,10,FALSE)-50</f>
        <v>114</v>
      </c>
      <c r="L358" s="3" t="str">
        <f>IF(ISERROR(VLOOKUP($A358,'SegEnds_NonXtal_BW#'!$A:$Z,9,FALSE)+VLOOKUP($A358,A:AL,13,FALSE)-50),"-",(VLOOKUP($A358,'SegEnds_NonXtal_BW#'!$A:$Z,9,FALSE)+VLOOKUP($A358,A:AL,13,FALSE)-50))</f>
        <v>-</v>
      </c>
      <c r="M358" s="3" t="s">
        <v>23</v>
      </c>
      <c r="N358" s="3" t="str">
        <f>IF(ISERROR(VLOOKUP($A358,'SegEnds_NonXtal_BW#'!$A:$Z,10,FALSE)+VLOOKUP($A358,A:AL,13,FALSE)-50),"-",(VLOOKUP($A358,'SegEnds_NonXtal_BW#'!$A:$Z,10,FALSE)+VLOOKUP($A358,A:AL,13,FALSE)-50))</f>
        <v>-</v>
      </c>
      <c r="O358" s="3">
        <f>VLOOKUP($A358,'SegEnds_NonXtal_BW#'!$A:$Z,11,FALSE)+VLOOKUP($A358,A:AL,16,FALSE)-50</f>
        <v>119</v>
      </c>
      <c r="P358" s="3">
        <v>147</v>
      </c>
      <c r="Q358" s="3">
        <f>VLOOKUP($A358,'SegEnds_NonXtal_BW#'!$A:$Z,12,FALSE)+VLOOKUP($A358,A:AL,16,FALSE)-50</f>
        <v>151</v>
      </c>
      <c r="R358" s="3" t="str">
        <f>IF(ISERROR(VLOOKUP($A358,'SegEnds_NonXtal_BW#'!$A:$Z,13,FALSE)+VLOOKUP($A358,A:AL,19,FALSE)-50),"-",VLOOKUP($A358,'SegEnds_NonXtal_BW#'!$A:$Z,13,FALSE)+VLOOKUP($A358,A:AL,19,FALSE)-50)</f>
        <v>-</v>
      </c>
      <c r="S358" s="3" t="s">
        <v>23</v>
      </c>
      <c r="T358" s="100" t="str">
        <f>IF(ISERROR(VLOOKUP($A358,'SegEnds_NonXtal_BW#'!$A:$Z,14,FALSE)+VLOOKUP($A358,A:AL,19,FALSE)-50),"-",(VLOOKUP($A358,'SegEnds_NonXtal_BW#'!$A:$Z,14,FALSE)+VLOOKUP($A358,A:AL,19,FALSE)-50))</f>
        <v>-</v>
      </c>
      <c r="U358" s="9">
        <f>IF(ISERROR(VLOOKUP($A358,'SegEnds_NonXtal_BW#'!$A:$Z,15,FALSE)+VLOOKUP($A358,A:AL,22,FALSE)-50),"-",VLOOKUP($A358,'SegEnds_NonXtal_BW#'!$A:$Z,15,FALSE)+VLOOKUP($A358,A:AL,22,FALSE)-50)</f>
        <v>158</v>
      </c>
      <c r="V358" s="3">
        <v>170</v>
      </c>
      <c r="W358" s="3">
        <f>IF(ISERROR(VLOOKUP($A358,'SegEnds_NonXtal_BW#'!$A:$Z,16,FALSE)+VLOOKUP($A358,A:AL,22,FALSE)-50),"-",(VLOOKUP($A358,'SegEnds_NonXtal_BW#'!$A:$Z,16,FALSE)+VLOOKUP($A358,A:AL,22,FALSE)-50))</f>
        <v>184</v>
      </c>
      <c r="X358" s="3">
        <f>IF(ISERROR(VLOOKUP($A358,'SegEnds_NonXtal_BW#'!$A:$Z,17,FALSE)+VLOOKUP($A358,A:AL,25,FALSE)-50),"-",(VLOOKUP($A358,'SegEnds_NonXtal_BW#'!$A:$Z,17,FALSE)+VLOOKUP($A358,A:AL,25,FALSE)-50))</f>
        <v>193</v>
      </c>
      <c r="Y358" s="3">
        <v>193</v>
      </c>
      <c r="Z358" s="3">
        <f>Y358+2</f>
        <v>195</v>
      </c>
      <c r="AA358" s="3">
        <f>IF(ISERROR(VLOOKUP($A358,'SegEnds_NonXtal_BW#'!$A:$Z,19,FALSE)+VLOOKUP($A358,A:AL,28,FALSE)-50),"-",(VLOOKUP($A358,'SegEnds_NonXtal_BW#'!$A:$Z,19,FALSE)+VLOOKUP($A358,A:AL,28,FALSE)-50))</f>
        <v>196</v>
      </c>
      <c r="AB358" s="3">
        <v>210</v>
      </c>
      <c r="AC358" s="3">
        <f>IF(ISERROR((VLOOKUP($A358,'SegEnds_NonXtal_BW#'!$A:$Z,20,FALSE)+VLOOKUP($A358,A:AL,28,FALSE)-50)),"-",(VLOOKUP($A358,'SegEnds_NonXtal_BW#'!$A:$Z,20,FALSE)+VLOOKUP($A358,A:AL,28,FALSE)-50))</f>
        <v>221</v>
      </c>
      <c r="AD358" s="3">
        <f>IF(ISERROR(VLOOKUP($A358,'SegEnds_NonXtal_BW#'!$A:$Z,21,FALSE)+VLOOKUP($A358,A:AL,31,FALSE)-50),"-",(VLOOKUP($A358,'SegEnds_NonXtal_BW#'!$A:$Z,21,FALSE)+VLOOKUP($A358,A:AL,31,FALSE)-50))</f>
        <v>232</v>
      </c>
      <c r="AE358" s="3">
        <v>249</v>
      </c>
      <c r="AF358" s="3">
        <f>IF(ISERROR((VLOOKUP($A358,'SegEnds_NonXtal_BW#'!$A:$Z,22,FALSE)+VLOOKUP($A358,A:AL,31,FALSE)-50)),"-",(VLOOKUP($A358,'SegEnds_NonXtal_BW#'!$A:$Z,22,FALSE)+VLOOKUP($A358,A:AL,31,FALSE)-50))</f>
        <v>256</v>
      </c>
      <c r="AG358" s="3">
        <f>IF(ISERROR(VLOOKUP($A358,'SegEnds_NonXtal_BW#'!$A:$Z,23,FALSE)+VLOOKUP($A358,A:AL,34,FALSE)-50),"-",(VLOOKUP($A358,'SegEnds_NonXtal_BW#'!$A:$Z,23,FALSE)+VLOOKUP($A358,A:AL,34,FALSE)-50))</f>
        <v>267</v>
      </c>
      <c r="AH358" s="3">
        <v>284</v>
      </c>
      <c r="AI358" s="3">
        <f>IF(ISERROR((VLOOKUP($A358,'SegEnds_NonXtal_BW#'!$A:$Z,24,FALSE)+VLOOKUP($A358,A:AL,34,FALSE)-50)),"-",(VLOOKUP($A358,'SegEnds_NonXtal_BW#'!$A:$Z,24,FALSE)+VLOOKUP($A358,A:AL,34,FALSE)-50))</f>
        <v>298</v>
      </c>
      <c r="AJ358" s="3">
        <f>IF(ISERROR(VLOOKUP($A358,'SegEnds_NonXtal_BW#'!$A:$Z,25,FALSE)+VLOOKUP($A358,A:AL,37,FALSE)-50),"-",(VLOOKUP($A358,'SegEnds_NonXtal_BW#'!$A:$Z,25,FALSE)+VLOOKUP($A358,A:AL,37,FALSE)-50))</f>
        <v>300</v>
      </c>
      <c r="AK358" s="3">
        <v>304</v>
      </c>
      <c r="AL358" s="3">
        <f>IF(ISERROR((VLOOKUP($A358,'SegEnds_NonXtal_BW#'!$A:$Z,26,FALSE)+VLOOKUP($A358,A:AL,37,FALSE)-50)),"-",(VLOOKUP($A358,'SegEnds_NonXtal_BW#'!$A:$Z,26,FALSE)+VLOOKUP($A358,A:AL,37,FALSE)-50))</f>
        <v>311</v>
      </c>
      <c r="AM358" s="28" t="str">
        <f>VLOOKUP(A358,Classification!A:B,2,FALSE)</f>
        <v>C</v>
      </c>
      <c r="AN358" s="28" t="b">
        <f t="shared" si="220"/>
        <v>1</v>
      </c>
      <c r="AO358" s="3" t="str">
        <f>IF(ISERROR(MATCH(A358,'SegEnds_Xtal_Prot#'!B:B, 0)), "NoXtal", "Xtal")</f>
        <v>NoXtal</v>
      </c>
      <c r="AP358" s="3">
        <f t="shared" si="205"/>
        <v>1</v>
      </c>
      <c r="AQ358" s="3">
        <f t="shared" si="206"/>
        <v>1</v>
      </c>
      <c r="AR358" s="3" t="str">
        <f t="shared" si="207"/>
        <v>-</v>
      </c>
      <c r="AS358" s="3" t="str">
        <f t="shared" si="208"/>
        <v>-</v>
      </c>
      <c r="AT358" s="3" t="str">
        <f t="shared" si="209"/>
        <v>-</v>
      </c>
      <c r="AU358" s="3" t="str">
        <f t="shared" si="210"/>
        <v>-</v>
      </c>
      <c r="AV358" s="3">
        <f t="shared" si="211"/>
        <v>9</v>
      </c>
      <c r="AW358" s="3">
        <f t="shared" si="212"/>
        <v>1</v>
      </c>
      <c r="AX358" s="3">
        <f t="shared" si="213"/>
        <v>11</v>
      </c>
      <c r="AY358" s="3">
        <f t="shared" si="214"/>
        <v>11</v>
      </c>
      <c r="AZ358" s="3">
        <f t="shared" si="215"/>
        <v>2</v>
      </c>
      <c r="BA358" s="3">
        <f>IF(ISERROR(LEN(VLOOKUP(A358,Seqs!A:E,2,FALSE))-AL358),"-",LEN(VLOOKUP(A358,Seqs!A:E,2,FALSE))-AL358)</f>
        <v>92</v>
      </c>
      <c r="BB358" s="16">
        <f t="shared" si="216"/>
        <v>33</v>
      </c>
      <c r="BC358" s="9" t="str">
        <f t="shared" si="217"/>
        <v>-</v>
      </c>
      <c r="BD358" s="3">
        <f t="shared" si="218"/>
        <v>33</v>
      </c>
      <c r="BE358" s="3">
        <f t="shared" si="219"/>
        <v>39</v>
      </c>
    </row>
    <row r="359" spans="1:58" s="3" customFormat="1" x14ac:dyDescent="0.2">
      <c r="A359" s="3" t="s">
        <v>112</v>
      </c>
      <c r="B359" s="3" t="str">
        <f>LOWER(VLOOKUP(A359,Xtal_Templ!A:B,2,FALSE))</f>
        <v>grm1_human</v>
      </c>
      <c r="C359" s="3">
        <f>VLOOKUP($A359,'SegEnds_NonXtal_BW#'!$A:$Z,3,FALSE)+D359-50</f>
        <v>48</v>
      </c>
      <c r="D359" s="3">
        <v>64</v>
      </c>
      <c r="E359" s="3">
        <f>IF(ISERROR(VLOOKUP($A359,'SegEnds_NonXtal_BW#'!$A:$Z,4,FALSE)+VLOOKUP($A359,A:AL,4,FALSE)-50),"-",(VLOOKUP($A359,'SegEnds_NonXtal_BW#'!$A:$Z,4,FALSE)+VLOOKUP($A359,A:AL,4,FALSE)-50))</f>
        <v>74</v>
      </c>
      <c r="F359" s="3">
        <f t="shared" si="222"/>
        <v>75</v>
      </c>
      <c r="G359" s="3">
        <v>78</v>
      </c>
      <c r="H359" s="3">
        <f t="shared" si="223"/>
        <v>81</v>
      </c>
      <c r="I359" s="3">
        <f t="shared" si="224"/>
        <v>82</v>
      </c>
      <c r="J359" s="3">
        <v>97</v>
      </c>
      <c r="K359" s="3">
        <f>VLOOKUP($A359,'SegEnds_NonXtal_BW#'!$A:$Z,8,FALSE)+VLOOKUP($A359,A:AL,10,FALSE)-50</f>
        <v>108</v>
      </c>
      <c r="L359" s="3" t="str">
        <f>IF(ISERROR(VLOOKUP($A359,'SegEnds_NonXtal_BW#'!$A:$Z,9,FALSE)+VLOOKUP($A359,A:AL,13,FALSE)-50),"-",(VLOOKUP($A359,'SegEnds_NonXtal_BW#'!$A:$Z,9,FALSE)+VLOOKUP($A359,A:AL,13,FALSE)-50))</f>
        <v>-</v>
      </c>
      <c r="M359" s="3" t="s">
        <v>23</v>
      </c>
      <c r="N359" s="3" t="str">
        <f>IF(ISERROR(VLOOKUP($A359,'SegEnds_NonXtal_BW#'!$A:$Z,10,FALSE)+VLOOKUP($A359,A:AL,13,FALSE)-50),"-",(VLOOKUP($A359,'SegEnds_NonXtal_BW#'!$A:$Z,10,FALSE)+VLOOKUP($A359,A:AL,13,FALSE)-50))</f>
        <v>-</v>
      </c>
      <c r="O359" s="3">
        <f>VLOOKUP($A359,'SegEnds_NonXtal_BW#'!$A:$Z,11,FALSE)+VLOOKUP($A359,A:AL,16,FALSE)-50</f>
        <v>113</v>
      </c>
      <c r="P359" s="3">
        <v>141</v>
      </c>
      <c r="Q359" s="3">
        <f>VLOOKUP($A359,'SegEnds_NonXtal_BW#'!$A:$Z,12,FALSE)+VLOOKUP($A359,A:AL,16,FALSE)-50</f>
        <v>145</v>
      </c>
      <c r="R359" s="3" t="str">
        <f>IF(ISERROR(VLOOKUP($A359,'SegEnds_NonXtal_BW#'!$A:$Z,13,FALSE)+VLOOKUP($A359,A:AL,19,FALSE)-50),"-",VLOOKUP($A359,'SegEnds_NonXtal_BW#'!$A:$Z,13,FALSE)+VLOOKUP($A359,A:AL,19,FALSE)-50)</f>
        <v>-</v>
      </c>
      <c r="S359" s="3" t="s">
        <v>23</v>
      </c>
      <c r="T359" s="100" t="str">
        <f>IF(ISERROR(VLOOKUP($A359,'SegEnds_NonXtal_BW#'!$A:$Z,14,FALSE)+VLOOKUP($A359,A:AL,19,FALSE)-50),"-",(VLOOKUP($A359,'SegEnds_NonXtal_BW#'!$A:$Z,14,FALSE)+VLOOKUP($A359,A:AL,19,FALSE)-50))</f>
        <v>-</v>
      </c>
      <c r="U359" s="9">
        <f>IF(ISERROR(VLOOKUP($A359,'SegEnds_NonXtal_BW#'!$A:$Z,15,FALSE)+VLOOKUP($A359,A:AL,22,FALSE)-50),"-",VLOOKUP($A359,'SegEnds_NonXtal_BW#'!$A:$Z,15,FALSE)+VLOOKUP($A359,A:AL,22,FALSE)-50)</f>
        <v>152</v>
      </c>
      <c r="V359" s="3">
        <v>164</v>
      </c>
      <c r="W359" s="3">
        <f>IF(ISERROR(VLOOKUP($A359,'SegEnds_NonXtal_BW#'!$A:$Z,16,FALSE)+VLOOKUP($A359,A:AL,22,FALSE)-50),"-",(VLOOKUP($A359,'SegEnds_NonXtal_BW#'!$A:$Z,16,FALSE)+VLOOKUP($A359,A:AL,22,FALSE)-50))</f>
        <v>178</v>
      </c>
      <c r="X359" s="3">
        <f>IF(ISERROR(VLOOKUP($A359,'SegEnds_NonXtal_BW#'!$A:$Z,17,FALSE)+VLOOKUP($A359,A:AL,25,FALSE)-50),"-",(VLOOKUP($A359,'SegEnds_NonXtal_BW#'!$A:$Z,17,FALSE)+VLOOKUP($A359,A:AL,25,FALSE)-50))</f>
        <v>202</v>
      </c>
      <c r="Y359" s="3">
        <v>202</v>
      </c>
      <c r="Z359" s="3">
        <f>Y359+2</f>
        <v>204</v>
      </c>
      <c r="AA359" s="3">
        <f>IF(ISERROR(VLOOKUP($A359,'SegEnds_NonXtal_BW#'!$A:$Z,19,FALSE)+VLOOKUP($A359,A:AL,28,FALSE)-50),"-",(VLOOKUP($A359,'SegEnds_NonXtal_BW#'!$A:$Z,19,FALSE)+VLOOKUP($A359,A:AL,28,FALSE)-50))</f>
        <v>205</v>
      </c>
      <c r="AB359" s="3">
        <v>219</v>
      </c>
      <c r="AC359" s="3">
        <f>IF(ISERROR((VLOOKUP($A359,'SegEnds_NonXtal_BW#'!$A:$Z,20,FALSE)+VLOOKUP($A359,A:AL,28,FALSE)-50)),"-",(VLOOKUP($A359,'SegEnds_NonXtal_BW#'!$A:$Z,20,FALSE)+VLOOKUP($A359,A:AL,28,FALSE)-50))</f>
        <v>230</v>
      </c>
      <c r="AD359" s="3">
        <f>IF(ISERROR(VLOOKUP($A359,'SegEnds_NonXtal_BW#'!$A:$Z,21,FALSE)+VLOOKUP($A359,A:AL,31,FALSE)-50),"-",(VLOOKUP($A359,'SegEnds_NonXtal_BW#'!$A:$Z,21,FALSE)+VLOOKUP($A359,A:AL,31,FALSE)-50))</f>
        <v>241</v>
      </c>
      <c r="AE359" s="3">
        <v>258</v>
      </c>
      <c r="AF359" s="3">
        <f>IF(ISERROR((VLOOKUP($A359,'SegEnds_NonXtal_BW#'!$A:$Z,22,FALSE)+VLOOKUP($A359,A:AL,31,FALSE)-50)),"-",(VLOOKUP($A359,'SegEnds_NonXtal_BW#'!$A:$Z,22,FALSE)+VLOOKUP($A359,A:AL,31,FALSE)-50))</f>
        <v>265</v>
      </c>
      <c r="AG359" s="3">
        <f>IF(ISERROR(VLOOKUP($A359,'SegEnds_NonXtal_BW#'!$A:$Z,23,FALSE)+VLOOKUP($A359,A:AL,34,FALSE)-50),"-",(VLOOKUP($A359,'SegEnds_NonXtal_BW#'!$A:$Z,23,FALSE)+VLOOKUP($A359,A:AL,34,FALSE)-50))</f>
        <v>275</v>
      </c>
      <c r="AH359" s="3">
        <v>292</v>
      </c>
      <c r="AI359" s="3">
        <f>IF(ISERROR((VLOOKUP($A359,'SegEnds_NonXtal_BW#'!$A:$Z,24,FALSE)+VLOOKUP($A359,A:AL,34,FALSE)-50)),"-",(VLOOKUP($A359,'SegEnds_NonXtal_BW#'!$A:$Z,24,FALSE)+VLOOKUP($A359,A:AL,34,FALSE)-50))</f>
        <v>306</v>
      </c>
      <c r="AJ359" s="3">
        <f>IF(ISERROR(VLOOKUP($A359,'SegEnds_NonXtal_BW#'!$A:$Z,25,FALSE)+VLOOKUP($A359,A:AL,37,FALSE)-50),"-",(VLOOKUP($A359,'SegEnds_NonXtal_BW#'!$A:$Z,25,FALSE)+VLOOKUP($A359,A:AL,37,FALSE)-50))</f>
        <v>308</v>
      </c>
      <c r="AK359" s="3">
        <v>312</v>
      </c>
      <c r="AL359" s="3">
        <v>319</v>
      </c>
      <c r="AM359" s="28" t="str">
        <f>VLOOKUP(A359,Classification!A:B,2,FALSE)</f>
        <v>C</v>
      </c>
      <c r="AN359" s="28" t="b">
        <f t="shared" si="220"/>
        <v>1</v>
      </c>
      <c r="AO359" s="3" t="str">
        <f>IF(ISERROR(MATCH(A359,'SegEnds_Xtal_Prot#'!B:B, 0)), "NoXtal", "Xtal")</f>
        <v>NoXtal</v>
      </c>
      <c r="AP359" s="3">
        <f t="shared" si="205"/>
        <v>1</v>
      </c>
      <c r="AQ359" s="3">
        <f t="shared" si="206"/>
        <v>1</v>
      </c>
      <c r="AR359" s="3" t="str">
        <f t="shared" si="207"/>
        <v>-</v>
      </c>
      <c r="AS359" s="3" t="str">
        <f t="shared" si="208"/>
        <v>-</v>
      </c>
      <c r="AT359" s="3" t="str">
        <f t="shared" si="209"/>
        <v>-</v>
      </c>
      <c r="AU359" s="3" t="str">
        <f t="shared" si="210"/>
        <v>-</v>
      </c>
      <c r="AV359" s="3">
        <f t="shared" si="211"/>
        <v>24</v>
      </c>
      <c r="AW359" s="3">
        <f t="shared" si="212"/>
        <v>1</v>
      </c>
      <c r="AX359" s="3">
        <f t="shared" si="213"/>
        <v>11</v>
      </c>
      <c r="AY359" s="3">
        <f t="shared" si="214"/>
        <v>10</v>
      </c>
      <c r="AZ359" s="3">
        <f t="shared" si="215"/>
        <v>2</v>
      </c>
      <c r="BA359" s="3">
        <f>IF(ISERROR(LEN(VLOOKUP(A359,Seqs!A:E,2,FALSE))-AL359),"-",LEN(VLOOKUP(A359,Seqs!A:E,2,FALSE))-AL359)</f>
        <v>122</v>
      </c>
      <c r="BB359" s="16">
        <f t="shared" si="216"/>
        <v>33</v>
      </c>
      <c r="BC359" s="9" t="str">
        <f t="shared" si="217"/>
        <v>-</v>
      </c>
      <c r="BD359" s="3">
        <f t="shared" si="218"/>
        <v>33</v>
      </c>
      <c r="BE359" s="3">
        <f t="shared" si="219"/>
        <v>39</v>
      </c>
    </row>
    <row r="360" spans="1:58" s="3" customFormat="1" x14ac:dyDescent="0.2">
      <c r="A360" s="3" t="s">
        <v>113</v>
      </c>
      <c r="B360" s="3" t="str">
        <f>LOWER(VLOOKUP(A360,Xtal_Templ!A:B,2,FALSE))</f>
        <v>grm1_human</v>
      </c>
      <c r="C360" s="3">
        <f>VLOOKUP($A360,'SegEnds_NonXtal_BW#'!$A:$Z,3,FALSE)+D360-50</f>
        <v>21</v>
      </c>
      <c r="D360" s="3">
        <v>37</v>
      </c>
      <c r="E360" s="3">
        <f>IF(ISERROR(VLOOKUP($A360,'SegEnds_NonXtal_BW#'!$A:$Z,4,FALSE)+VLOOKUP($A360,A:AL,4,FALSE)-50),"-",(VLOOKUP($A360,'SegEnds_NonXtal_BW#'!$A:$Z,4,FALSE)+VLOOKUP($A360,A:AL,4,FALSE)-50))</f>
        <v>47</v>
      </c>
      <c r="F360" s="3">
        <f t="shared" si="222"/>
        <v>48</v>
      </c>
      <c r="G360" s="3">
        <v>51</v>
      </c>
      <c r="H360" s="3">
        <f t="shared" si="223"/>
        <v>54</v>
      </c>
      <c r="I360" s="3">
        <f t="shared" si="224"/>
        <v>55</v>
      </c>
      <c r="J360" s="3">
        <v>70</v>
      </c>
      <c r="K360" s="3">
        <f>VLOOKUP($A360,'SegEnds_NonXtal_BW#'!$A:$Z,8,FALSE)+VLOOKUP($A360,A:AL,10,FALSE)-50</f>
        <v>81</v>
      </c>
      <c r="L360" s="3" t="str">
        <f>IF(ISERROR(VLOOKUP($A360,'SegEnds_NonXtal_BW#'!$A:$Z,9,FALSE)+VLOOKUP($A360,A:AL,13,FALSE)-50),"-",(VLOOKUP($A360,'SegEnds_NonXtal_BW#'!$A:$Z,9,FALSE)+VLOOKUP($A360,A:AL,13,FALSE)-50))</f>
        <v>-</v>
      </c>
      <c r="M360" s="3" t="s">
        <v>23</v>
      </c>
      <c r="N360" s="3" t="str">
        <f>IF(ISERROR(VLOOKUP($A360,'SegEnds_NonXtal_BW#'!$A:$Z,10,FALSE)+VLOOKUP($A360,A:AL,13,FALSE)-50),"-",(VLOOKUP($A360,'SegEnds_NonXtal_BW#'!$A:$Z,10,FALSE)+VLOOKUP($A360,A:AL,13,FALSE)-50))</f>
        <v>-</v>
      </c>
      <c r="O360" s="3">
        <f>VLOOKUP($A360,'SegEnds_NonXtal_BW#'!$A:$Z,11,FALSE)+VLOOKUP($A360,A:AL,16,FALSE)-50</f>
        <v>86</v>
      </c>
      <c r="P360" s="3">
        <v>114</v>
      </c>
      <c r="Q360" s="3">
        <f>VLOOKUP($A360,'SegEnds_NonXtal_BW#'!$A:$Z,12,FALSE)+VLOOKUP($A360,A:AL,16,FALSE)-50</f>
        <v>118</v>
      </c>
      <c r="R360" s="3" t="str">
        <f>IF(ISERROR(VLOOKUP($A360,'SegEnds_NonXtal_BW#'!$A:$Z,13,FALSE)+VLOOKUP($A360,A:AL,19,FALSE)-50),"-",VLOOKUP($A360,'SegEnds_NonXtal_BW#'!$A:$Z,13,FALSE)+VLOOKUP($A360,A:AL,19,FALSE)-50)</f>
        <v>-</v>
      </c>
      <c r="S360" s="3" t="s">
        <v>23</v>
      </c>
      <c r="T360" s="100" t="str">
        <f>IF(ISERROR(VLOOKUP($A360,'SegEnds_NonXtal_BW#'!$A:$Z,14,FALSE)+VLOOKUP($A360,A:AL,19,FALSE)-50),"-",(VLOOKUP($A360,'SegEnds_NonXtal_BW#'!$A:$Z,14,FALSE)+VLOOKUP($A360,A:AL,19,FALSE)-50))</f>
        <v>-</v>
      </c>
      <c r="U360" s="9">
        <f>IF(ISERROR(VLOOKUP($A360,'SegEnds_NonXtal_BW#'!$A:$Z,15,FALSE)+VLOOKUP($A360,A:AL,22,FALSE)-50),"-",VLOOKUP($A360,'SegEnds_NonXtal_BW#'!$A:$Z,15,FALSE)+VLOOKUP($A360,A:AL,22,FALSE)-50)</f>
        <v>125</v>
      </c>
      <c r="V360" s="3">
        <v>137</v>
      </c>
      <c r="W360" s="3">
        <f>IF(ISERROR(VLOOKUP($A360,'SegEnds_NonXtal_BW#'!$A:$Z,16,FALSE)+VLOOKUP($A360,A:AL,22,FALSE)-50),"-",(VLOOKUP($A360,'SegEnds_NonXtal_BW#'!$A:$Z,16,FALSE)+VLOOKUP($A360,A:AL,22,FALSE)-50))</f>
        <v>151</v>
      </c>
      <c r="X360" s="3">
        <f>IF(ISERROR(VLOOKUP($A360,'SegEnds_NonXtal_BW#'!$A:$Z,17,FALSE)+VLOOKUP($A360,A:AL,25,FALSE)-50),"-",(VLOOKUP($A360,'SegEnds_NonXtal_BW#'!$A:$Z,17,FALSE)+VLOOKUP($A360,A:AL,25,FALSE)-50))</f>
        <v>164</v>
      </c>
      <c r="Y360" s="105">
        <v>164</v>
      </c>
      <c r="Z360" s="3">
        <f>IF(ISERROR(VLOOKUP($A360,'SegEnds_NonXtal_BW#'!$A:$Z,18,FALSE)+VLOOKUP($A360,A:AL,25,FALSE)-50),"-",(VLOOKUP($A360,'SegEnds_NonXtal_BW#'!$A:$Z,18,FALSE)+VLOOKUP($A360,A:AL,25,FALSE)-50))</f>
        <v>166</v>
      </c>
      <c r="AA360" s="105">
        <v>167</v>
      </c>
      <c r="AB360" s="3">
        <v>180</v>
      </c>
      <c r="AC360" s="3">
        <f>IF(ISERROR((VLOOKUP($A360,'SegEnds_NonXtal_BW#'!$A:$Z,20,FALSE)+VLOOKUP($A360,A:AL,28,FALSE)-50)),"-",(VLOOKUP($A360,'SegEnds_NonXtal_BW#'!$A:$Z,20,FALSE)+VLOOKUP($A360,A:AL,28,FALSE)-50))</f>
        <v>191</v>
      </c>
      <c r="AD360" s="3">
        <f>IF(ISERROR(VLOOKUP($A360,'SegEnds_NonXtal_BW#'!$A:$Z,21,FALSE)+VLOOKUP($A360,A:AL,31,FALSE)-50),"-",(VLOOKUP($A360,'SegEnds_NonXtal_BW#'!$A:$Z,21,FALSE)+VLOOKUP($A360,A:AL,31,FALSE)-50))</f>
        <v>202</v>
      </c>
      <c r="AE360" s="3">
        <v>219</v>
      </c>
      <c r="AF360" s="3">
        <f>IF(ISERROR((VLOOKUP($A360,'SegEnds_NonXtal_BW#'!$A:$Z,22,FALSE)+VLOOKUP($A360,A:AL,31,FALSE)-50)),"-",(VLOOKUP($A360,'SegEnds_NonXtal_BW#'!$A:$Z,22,FALSE)+VLOOKUP($A360,A:AL,31,FALSE)-50))</f>
        <v>226</v>
      </c>
      <c r="AG360" s="3">
        <f>IF(ISERROR(VLOOKUP($A360,'SegEnds_NonXtal_BW#'!$A:$Z,23,FALSE)+VLOOKUP($A360,A:AL,34,FALSE)-50),"-",(VLOOKUP($A360,'SegEnds_NonXtal_BW#'!$A:$Z,23,FALSE)+VLOOKUP($A360,A:AL,34,FALSE)-50))</f>
        <v>237</v>
      </c>
      <c r="AH360" s="3">
        <v>254</v>
      </c>
      <c r="AI360" s="3">
        <f>IF(ISERROR((VLOOKUP($A360,'SegEnds_NonXtal_BW#'!$A:$Z,24,FALSE)+VLOOKUP($A360,A:AL,34,FALSE)-50)),"-",(VLOOKUP($A360,'SegEnds_NonXtal_BW#'!$A:$Z,24,FALSE)+VLOOKUP($A360,A:AL,34,FALSE)-50))</f>
        <v>268</v>
      </c>
      <c r="AJ360" s="3">
        <f>IF(ISERROR(VLOOKUP($A360,'SegEnds_NonXtal_BW#'!$A:$Z,25,FALSE)+VLOOKUP($A360,A:AL,37,FALSE)-50),"-",(VLOOKUP($A360,'SegEnds_NonXtal_BW#'!$A:$Z,25,FALSE)+VLOOKUP($A360,A:AL,37,FALSE)-50))</f>
        <v>271</v>
      </c>
      <c r="AK360" s="3">
        <v>275</v>
      </c>
      <c r="AL360" s="3">
        <v>281</v>
      </c>
      <c r="AM360" s="28" t="str">
        <f>VLOOKUP(A360,Classification!A:B,2,FALSE)</f>
        <v>C</v>
      </c>
      <c r="AN360" s="28" t="b">
        <f t="shared" si="220"/>
        <v>1</v>
      </c>
      <c r="AO360" s="3" t="str">
        <f>IF(ISERROR(MATCH(A360,'SegEnds_Xtal_Prot#'!B:B, 0)), "NoXtal", "Xtal")</f>
        <v>NoXtal</v>
      </c>
      <c r="AP360" s="3">
        <f t="shared" si="205"/>
        <v>1</v>
      </c>
      <c r="AQ360" s="3">
        <f t="shared" si="206"/>
        <v>1</v>
      </c>
      <c r="AR360" s="3" t="str">
        <f t="shared" si="207"/>
        <v>-</v>
      </c>
      <c r="AS360" s="3" t="str">
        <f t="shared" si="208"/>
        <v>-</v>
      </c>
      <c r="AT360" s="3" t="str">
        <f t="shared" si="209"/>
        <v>-</v>
      </c>
      <c r="AU360" s="3" t="str">
        <f t="shared" si="210"/>
        <v>-</v>
      </c>
      <c r="AV360" s="3">
        <f t="shared" si="211"/>
        <v>13</v>
      </c>
      <c r="AW360" s="3">
        <f t="shared" si="212"/>
        <v>1</v>
      </c>
      <c r="AX360" s="3">
        <f t="shared" si="213"/>
        <v>11</v>
      </c>
      <c r="AY360" s="3">
        <f t="shared" si="214"/>
        <v>11</v>
      </c>
      <c r="AZ360" s="3">
        <f t="shared" si="215"/>
        <v>3</v>
      </c>
      <c r="BA360" s="3">
        <f>IF(ISERROR(LEN(VLOOKUP(A360,Seqs!A:E,2,FALSE))-AL360),"-",LEN(VLOOKUP(A360,Seqs!A:E,2,FALSE))-AL360)</f>
        <v>64</v>
      </c>
      <c r="BB360" s="16">
        <f t="shared" si="216"/>
        <v>33</v>
      </c>
      <c r="BC360" s="9" t="str">
        <f t="shared" si="217"/>
        <v>-</v>
      </c>
      <c r="BD360" s="3">
        <f t="shared" si="218"/>
        <v>33</v>
      </c>
      <c r="BE360" s="3">
        <f t="shared" si="219"/>
        <v>39</v>
      </c>
    </row>
    <row r="361" spans="1:58" s="3" customFormat="1" x14ac:dyDescent="0.2">
      <c r="A361" s="3" t="s">
        <v>114</v>
      </c>
      <c r="B361" s="3" t="str">
        <f>LOWER(VLOOKUP(A361,Xtal_Templ!A:B,2,FALSE))</f>
        <v>grm1_human</v>
      </c>
      <c r="C361" s="3">
        <f>VLOOKUP($A361,'SegEnds_NonXtal_BW#'!$A:$Z,3,FALSE)+D361-50</f>
        <v>592</v>
      </c>
      <c r="D361" s="3">
        <v>608</v>
      </c>
      <c r="E361" s="3">
        <f>IF(ISERROR(VLOOKUP($A361,'SegEnds_NonXtal_BW#'!$A:$Z,4,FALSE)+VLOOKUP($A361,A:AL,4,FALSE)-50),"-",(VLOOKUP($A361,'SegEnds_NonXtal_BW#'!$A:$Z,4,FALSE)+VLOOKUP($A361,A:AL,4,FALSE)-50))</f>
        <v>618</v>
      </c>
      <c r="F361" s="3">
        <f t="shared" si="222"/>
        <v>621</v>
      </c>
      <c r="G361" s="3">
        <v>624</v>
      </c>
      <c r="H361" s="3">
        <f t="shared" si="223"/>
        <v>627</v>
      </c>
      <c r="I361" s="3">
        <f t="shared" si="224"/>
        <v>628</v>
      </c>
      <c r="J361" s="3">
        <v>640</v>
      </c>
      <c r="K361" s="3">
        <f>VLOOKUP($A361,'SegEnds_NonXtal_BW#'!$A:$Z,8,FALSE)+VLOOKUP($A361,A:AL,10,FALSE)-50</f>
        <v>651</v>
      </c>
      <c r="L361" s="3" t="str">
        <f>IF(ISERROR(VLOOKUP($A361,'SegEnds_NonXtal_BW#'!$A:$Z,9,FALSE)+VLOOKUP($A361,A:AL,13,FALSE)-50),"-",(VLOOKUP($A361,'SegEnds_NonXtal_BW#'!$A:$Z,9,FALSE)+VLOOKUP($A361,A:AL,13,FALSE)-50))</f>
        <v>-</v>
      </c>
      <c r="M361" s="3" t="s">
        <v>23</v>
      </c>
      <c r="N361" s="3" t="str">
        <f>IF(ISERROR(VLOOKUP($A361,'SegEnds_NonXtal_BW#'!$A:$Z,10,FALSE)+VLOOKUP($A361,A:AL,13,FALSE)-50),"-",(VLOOKUP($A361,'SegEnds_NonXtal_BW#'!$A:$Z,10,FALSE)+VLOOKUP($A361,A:AL,13,FALSE)-50))</f>
        <v>-</v>
      </c>
      <c r="O361" s="3">
        <f>VLOOKUP($A361,'SegEnds_NonXtal_BW#'!$A:$Z,11,FALSE)+VLOOKUP($A361,A:AL,16,FALSE)-50</f>
        <v>656</v>
      </c>
      <c r="P361" s="3">
        <v>684</v>
      </c>
      <c r="Q361" s="3">
        <f>VLOOKUP($A361,'SegEnds_NonXtal_BW#'!$A:$Z,12,FALSE)+VLOOKUP($A361,A:AL,16,FALSE)-50</f>
        <v>688</v>
      </c>
      <c r="R361" s="3" t="str">
        <f>IF(ISERROR(VLOOKUP($A361,'SegEnds_NonXtal_BW#'!$A:$Z,13,FALSE)+VLOOKUP($A361,A:AL,19,FALSE)-50),"-",VLOOKUP($A361,'SegEnds_NonXtal_BW#'!$A:$Z,13,FALSE)+VLOOKUP($A361,A:AL,19,FALSE)-50)</f>
        <v>-</v>
      </c>
      <c r="S361" s="3" t="s">
        <v>23</v>
      </c>
      <c r="T361" s="100" t="str">
        <f>IF(ISERROR(VLOOKUP($A361,'SegEnds_NonXtal_BW#'!$A:$Z,14,FALSE)+VLOOKUP($A361,A:AL,19,FALSE)-50),"-",(VLOOKUP($A361,'SegEnds_NonXtal_BW#'!$A:$Z,14,FALSE)+VLOOKUP($A361,A:AL,19,FALSE)-50))</f>
        <v>-</v>
      </c>
      <c r="U361" s="9">
        <f>IF(ISERROR(VLOOKUP($A361,'SegEnds_NonXtal_BW#'!$A:$Z,15,FALSE)+VLOOKUP($A361,A:AL,22,FALSE)-50),"-",VLOOKUP($A361,'SegEnds_NonXtal_BW#'!$A:$Z,15,FALSE)+VLOOKUP($A361,A:AL,22,FALSE)-50)</f>
        <v>700</v>
      </c>
      <c r="V361" s="3">
        <v>712</v>
      </c>
      <c r="W361" s="3">
        <f>IF(ISERROR(VLOOKUP($A361,'SegEnds_NonXtal_BW#'!$A:$Z,16,FALSE)+VLOOKUP($A361,A:AL,22,FALSE)-50),"-",(VLOOKUP($A361,'SegEnds_NonXtal_BW#'!$A:$Z,16,FALSE)+VLOOKUP($A361,A:AL,22,FALSE)-50))</f>
        <v>726</v>
      </c>
      <c r="X361" s="3">
        <f>IF(ISERROR(VLOOKUP($A361,'SegEnds_NonXtal_BW#'!$A:$Z,17,FALSE)+VLOOKUP($A361,A:AL,25,FALSE)-50),"-",(VLOOKUP($A361,'SegEnds_NonXtal_BW#'!$A:$Z,17,FALSE)+VLOOKUP($A361,A:AL,25,FALSE)-50))</f>
        <v>744</v>
      </c>
      <c r="Y361" s="3">
        <v>744</v>
      </c>
      <c r="Z361" s="3">
        <f t="shared" ref="Z361:Z369" si="225">Y361+2</f>
        <v>746</v>
      </c>
      <c r="AA361" s="3">
        <f>IF(ISERROR(VLOOKUP($A361,'SegEnds_NonXtal_BW#'!$A:$Z,19,FALSE)+VLOOKUP($A361,A:AL,28,FALSE)-50),"-",(VLOOKUP($A361,'SegEnds_NonXtal_BW#'!$A:$Z,19,FALSE)+VLOOKUP($A361,A:AL,28,FALSE)-50))</f>
        <v>748</v>
      </c>
      <c r="AB361" s="3">
        <v>762</v>
      </c>
      <c r="AC361" s="3">
        <f>IF(ISERROR((VLOOKUP($A361,'SegEnds_NonXtal_BW#'!$A:$Z,20,FALSE)+VLOOKUP($A361,A:AL,28,FALSE)-50)),"-",(VLOOKUP($A361,'SegEnds_NonXtal_BW#'!$A:$Z,20,FALSE)+VLOOKUP($A361,A:AL,28,FALSE)-50))</f>
        <v>773</v>
      </c>
      <c r="AD361" s="3">
        <f>IF(ISERROR(VLOOKUP($A361,'SegEnds_NonXtal_BW#'!$A:$Z,21,FALSE)+VLOOKUP($A361,A:AL,31,FALSE)-50),"-",(VLOOKUP($A361,'SegEnds_NonXtal_BW#'!$A:$Z,21,FALSE)+VLOOKUP($A361,A:AL,31,FALSE)-50))</f>
        <v>780</v>
      </c>
      <c r="AE361" s="3">
        <v>797</v>
      </c>
      <c r="AF361" s="3">
        <f>IF(ISERROR((VLOOKUP($A361,'SegEnds_NonXtal_BW#'!$A:$Z,22,FALSE)+VLOOKUP($A361,A:AL,31,FALSE)-50)),"-",(VLOOKUP($A361,'SegEnds_NonXtal_BW#'!$A:$Z,22,FALSE)+VLOOKUP($A361,A:AL,31,FALSE)-50))</f>
        <v>804</v>
      </c>
      <c r="AG361" s="3">
        <f>IF(ISERROR(VLOOKUP($A361,'SegEnds_NonXtal_BW#'!$A:$Z,23,FALSE)+VLOOKUP($A361,A:AL,34,FALSE)-50),"-",(VLOOKUP($A361,'SegEnds_NonXtal_BW#'!$A:$Z,23,FALSE)+VLOOKUP($A361,A:AL,34,FALSE)-50))</f>
        <v>809</v>
      </c>
      <c r="AH361" s="3">
        <v>826</v>
      </c>
      <c r="AI361" s="3">
        <f>IF(ISERROR((VLOOKUP($A361,'SegEnds_NonXtal_BW#'!$A:$Z,24,FALSE)+VLOOKUP($A361,A:AL,34,FALSE)-50)),"-",(VLOOKUP($A361,'SegEnds_NonXtal_BW#'!$A:$Z,24,FALSE)+VLOOKUP($A361,A:AL,34,FALSE)-50))</f>
        <v>840</v>
      </c>
      <c r="AJ361" s="3">
        <f>IF(ISERROR(VLOOKUP($A361,'SegEnds_NonXtal_BW#'!$A:$Z,25,FALSE)+VLOOKUP($A361,A:AL,37,FALSE)-50),"-",(VLOOKUP($A361,'SegEnds_NonXtal_BW#'!$A:$Z,25,FALSE)+VLOOKUP($A361,A:AL,37,FALSE)-50))</f>
        <v>841</v>
      </c>
      <c r="AK361" s="3">
        <v>845</v>
      </c>
      <c r="AL361" s="3">
        <f>IF(ISERROR((VLOOKUP($A361,'SegEnds_NonXtal_BW#'!$A:$Z,26,FALSE)+VLOOKUP($A361,A:AL,37,FALSE)-50)),"-",(VLOOKUP($A361,'SegEnds_NonXtal_BW#'!$A:$Z,26,FALSE)+VLOOKUP($A361,A:AL,37,FALSE)-50))</f>
        <v>852</v>
      </c>
      <c r="AM361" s="28" t="str">
        <f>VLOOKUP(A361,Classification!A:B,2,FALSE)</f>
        <v>C</v>
      </c>
      <c r="AN361" s="28" t="b">
        <f t="shared" si="220"/>
        <v>1</v>
      </c>
      <c r="AO361" s="3" t="str">
        <f>IF(ISERROR(MATCH(A361,'SegEnds_Xtal_Prot#'!B:B, 0)), "NoXtal", "Xtal")</f>
        <v>NoXtal</v>
      </c>
      <c r="AP361" s="3">
        <f t="shared" si="205"/>
        <v>3</v>
      </c>
      <c r="AQ361" s="3">
        <f t="shared" si="206"/>
        <v>1</v>
      </c>
      <c r="AR361" s="3" t="str">
        <f t="shared" si="207"/>
        <v>-</v>
      </c>
      <c r="AS361" s="3" t="str">
        <f t="shared" si="208"/>
        <v>-</v>
      </c>
      <c r="AT361" s="3" t="str">
        <f t="shared" si="209"/>
        <v>-</v>
      </c>
      <c r="AU361" s="3" t="str">
        <f t="shared" si="210"/>
        <v>-</v>
      </c>
      <c r="AV361" s="3">
        <f t="shared" si="211"/>
        <v>18</v>
      </c>
      <c r="AW361" s="3">
        <f t="shared" si="212"/>
        <v>2</v>
      </c>
      <c r="AX361" s="3">
        <f t="shared" si="213"/>
        <v>7</v>
      </c>
      <c r="AY361" s="3">
        <f t="shared" si="214"/>
        <v>5</v>
      </c>
      <c r="AZ361" s="3">
        <f t="shared" si="215"/>
        <v>1</v>
      </c>
      <c r="BA361" s="3">
        <f>IF(ISERROR(LEN(VLOOKUP(A361,Seqs!A:E,2,FALSE))-AL361),"-",LEN(VLOOKUP(A361,Seqs!A:E,2,FALSE))-AL361)</f>
        <v>74</v>
      </c>
      <c r="BB361" s="16">
        <f t="shared" si="216"/>
        <v>32</v>
      </c>
      <c r="BC361" s="9" t="str">
        <f t="shared" si="217"/>
        <v>-</v>
      </c>
      <c r="BD361" s="3">
        <f t="shared" si="218"/>
        <v>32</v>
      </c>
      <c r="BE361" s="3">
        <f t="shared" si="219"/>
        <v>35</v>
      </c>
    </row>
    <row r="362" spans="1:58" s="3" customFormat="1" x14ac:dyDescent="0.2">
      <c r="A362" s="3" t="s">
        <v>40</v>
      </c>
      <c r="B362" s="3" t="str">
        <f>LOWER(VLOOKUP(A362,Xtal_Templ!A:B,2,FALSE))</f>
        <v>grm1_human</v>
      </c>
      <c r="C362" s="3">
        <f>VLOOKUP($A362,'SegEnds_NonXtal_BW#'!$A:$Z,3,FALSE)+D362-50</f>
        <v>591</v>
      </c>
      <c r="D362" s="3">
        <v>607</v>
      </c>
      <c r="E362" s="3">
        <f>IF(ISERROR(VLOOKUP($A362,'SegEnds_NonXtal_BW#'!$A:$Z,4,FALSE)+VLOOKUP($A362,A:AL,4,FALSE)-50),"-",(VLOOKUP($A362,'SegEnds_NonXtal_BW#'!$A:$Z,4,FALSE)+VLOOKUP($A362,A:AL,4,FALSE)-50))</f>
        <v>617</v>
      </c>
      <c r="F362" s="3">
        <f t="shared" si="222"/>
        <v>620</v>
      </c>
      <c r="G362" s="3">
        <v>623</v>
      </c>
      <c r="H362" s="3">
        <f t="shared" si="223"/>
        <v>626</v>
      </c>
      <c r="I362" s="3">
        <f t="shared" si="224"/>
        <v>627</v>
      </c>
      <c r="J362" s="3">
        <v>638</v>
      </c>
      <c r="K362" s="3">
        <f>VLOOKUP($A362,'SegEnds_NonXtal_BW#'!$A:$Z,8,FALSE)+VLOOKUP($A362,A:AL,10,FALSE)-50</f>
        <v>649</v>
      </c>
      <c r="L362" s="3" t="str">
        <f>IF(ISERROR(VLOOKUP($A362,'SegEnds_NonXtal_BW#'!$A:$Z,9,FALSE)+VLOOKUP($A362,A:AL,13,FALSE)-50),"-",(VLOOKUP($A362,'SegEnds_NonXtal_BW#'!$A:$Z,9,FALSE)+VLOOKUP($A362,A:AL,13,FALSE)-50))</f>
        <v>-</v>
      </c>
      <c r="M362" s="3" t="s">
        <v>23</v>
      </c>
      <c r="N362" s="3" t="str">
        <f>IF(ISERROR(VLOOKUP($A362,'SegEnds_NonXtal_BW#'!$A:$Z,10,FALSE)+VLOOKUP($A362,A:AL,13,FALSE)-50),"-",(VLOOKUP($A362,'SegEnds_NonXtal_BW#'!$A:$Z,10,FALSE)+VLOOKUP($A362,A:AL,13,FALSE)-50))</f>
        <v>-</v>
      </c>
      <c r="O362" s="3">
        <f>VLOOKUP($A362,'SegEnds_NonXtal_BW#'!$A:$Z,11,FALSE)+VLOOKUP($A362,A:AL,16,FALSE)-50</f>
        <v>654</v>
      </c>
      <c r="P362" s="3">
        <v>682</v>
      </c>
      <c r="Q362" s="3">
        <f>VLOOKUP($A362,'SegEnds_NonXtal_BW#'!$A:$Z,12,FALSE)+VLOOKUP($A362,A:AL,16,FALSE)-50</f>
        <v>686</v>
      </c>
      <c r="R362" s="3" t="str">
        <f>IF(ISERROR(VLOOKUP($A362,'SegEnds_NonXtal_BW#'!$A:$Z,13,FALSE)+VLOOKUP($A362,A:AL,19,FALSE)-50),"-",VLOOKUP($A362,'SegEnds_NonXtal_BW#'!$A:$Z,13,FALSE)+VLOOKUP($A362,A:AL,19,FALSE)-50)</f>
        <v>-</v>
      </c>
      <c r="S362" s="3" t="s">
        <v>23</v>
      </c>
      <c r="T362" s="100" t="str">
        <f>IF(ISERROR(VLOOKUP($A362,'SegEnds_NonXtal_BW#'!$A:$Z,14,FALSE)+VLOOKUP($A362,A:AL,19,FALSE)-50),"-",(VLOOKUP($A362,'SegEnds_NonXtal_BW#'!$A:$Z,14,FALSE)+VLOOKUP($A362,A:AL,19,FALSE)-50))</f>
        <v>-</v>
      </c>
      <c r="U362" s="9">
        <f>IF(ISERROR(VLOOKUP($A362,'SegEnds_NonXtal_BW#'!$A:$Z,15,FALSE)+VLOOKUP($A362,A:AL,22,FALSE)-50),"-",VLOOKUP($A362,'SegEnds_NonXtal_BW#'!$A:$Z,15,FALSE)+VLOOKUP($A362,A:AL,22,FALSE)-50)</f>
        <v>702</v>
      </c>
      <c r="V362" s="3">
        <v>714</v>
      </c>
      <c r="W362" s="3">
        <f>IF(ISERROR(VLOOKUP($A362,'SegEnds_NonXtal_BW#'!$A:$Z,16,FALSE)+VLOOKUP($A362,A:AL,22,FALSE)-50),"-",(VLOOKUP($A362,'SegEnds_NonXtal_BW#'!$A:$Z,16,FALSE)+VLOOKUP($A362,A:AL,22,FALSE)-50))</f>
        <v>728</v>
      </c>
      <c r="X362" s="3">
        <f>IF(ISERROR(VLOOKUP($A362,'SegEnds_NonXtal_BW#'!$A:$Z,17,FALSE)+VLOOKUP($A362,A:AL,25,FALSE)-50),"-",(VLOOKUP($A362,'SegEnds_NonXtal_BW#'!$A:$Z,17,FALSE)+VLOOKUP($A362,A:AL,25,FALSE)-50))</f>
        <v>746</v>
      </c>
      <c r="Y362" s="3">
        <v>746</v>
      </c>
      <c r="Z362" s="3">
        <f t="shared" si="225"/>
        <v>748</v>
      </c>
      <c r="AA362" s="3">
        <f>IF(ISERROR(VLOOKUP($A362,'SegEnds_NonXtal_BW#'!$A:$Z,19,FALSE)+VLOOKUP($A362,A:AL,28,FALSE)-50),"-",(VLOOKUP($A362,'SegEnds_NonXtal_BW#'!$A:$Z,19,FALSE)+VLOOKUP($A362,A:AL,28,FALSE)-50))</f>
        <v>749</v>
      </c>
      <c r="AB362" s="3">
        <v>763</v>
      </c>
      <c r="AC362" s="3">
        <f>IF(ISERROR((VLOOKUP($A362,'SegEnds_NonXtal_BW#'!$A:$Z,20,FALSE)+VLOOKUP($A362,A:AL,28,FALSE)-50)),"-",(VLOOKUP($A362,'SegEnds_NonXtal_BW#'!$A:$Z,20,FALSE)+VLOOKUP($A362,A:AL,28,FALSE)-50))</f>
        <v>774</v>
      </c>
      <c r="AD362" s="3">
        <f>IF(ISERROR(VLOOKUP($A362,'SegEnds_NonXtal_BW#'!$A:$Z,21,FALSE)+VLOOKUP($A362,A:AL,31,FALSE)-50),"-",(VLOOKUP($A362,'SegEnds_NonXtal_BW#'!$A:$Z,21,FALSE)+VLOOKUP($A362,A:AL,31,FALSE)-50))</f>
        <v>783</v>
      </c>
      <c r="AE362" s="3">
        <v>800</v>
      </c>
      <c r="AF362" s="3">
        <f>IF(ISERROR((VLOOKUP($A362,'SegEnds_NonXtal_BW#'!$A:$Z,22,FALSE)+VLOOKUP($A362,A:AL,31,FALSE)-50)),"-",(VLOOKUP($A362,'SegEnds_NonXtal_BW#'!$A:$Z,22,FALSE)+VLOOKUP($A362,A:AL,31,FALSE)-50))</f>
        <v>807</v>
      </c>
      <c r="AG362" s="3">
        <f>IF(ISERROR(VLOOKUP($A362,'SegEnds_NonXtal_BW#'!$A:$Z,23,FALSE)+VLOOKUP($A362,A:AL,34,FALSE)-50),"-",(VLOOKUP($A362,'SegEnds_NonXtal_BW#'!$A:$Z,23,FALSE)+VLOOKUP($A362,A:AL,34,FALSE)-50))</f>
        <v>810</v>
      </c>
      <c r="AH362" s="3">
        <v>827</v>
      </c>
      <c r="AI362" s="3">
        <f>IF(ISERROR((VLOOKUP($A362,'SegEnds_NonXtal_BW#'!$A:$Z,24,FALSE)+VLOOKUP($A362,A:AL,34,FALSE)-50)),"-",(VLOOKUP($A362,'SegEnds_NonXtal_BW#'!$A:$Z,24,FALSE)+VLOOKUP($A362,A:AL,34,FALSE)-50))</f>
        <v>841</v>
      </c>
      <c r="AJ362" s="3">
        <f>IF(ISERROR(VLOOKUP($A362,'SegEnds_NonXtal_BW#'!$A:$Z,25,FALSE)+VLOOKUP($A362,A:AL,37,FALSE)-50),"-",(VLOOKUP($A362,'SegEnds_NonXtal_BW#'!$A:$Z,25,FALSE)+VLOOKUP($A362,A:AL,37,FALSE)-50))</f>
        <v>842</v>
      </c>
      <c r="AK362" s="3">
        <v>846</v>
      </c>
      <c r="AL362" s="3">
        <f>IF(ISERROR((VLOOKUP($A362,'SegEnds_NonXtal_BW#'!$A:$Z,26,FALSE)+VLOOKUP($A362,A:AL,37,FALSE)-50)),"-",(VLOOKUP($A362,'SegEnds_NonXtal_BW#'!$A:$Z,26,FALSE)+VLOOKUP($A362,A:AL,37,FALSE)-50))</f>
        <v>853</v>
      </c>
      <c r="AM362" s="28" t="str">
        <f>VLOOKUP(A362,Classification!A:B,2,FALSE)</f>
        <v>C</v>
      </c>
      <c r="AN362" s="28" t="b">
        <f t="shared" si="220"/>
        <v>1</v>
      </c>
      <c r="AO362" s="3" t="str">
        <f>IF(ISERROR(MATCH(A362,'SegEnds_Xtal_Prot#'!B:B, 0)), "NoXtal", "Xtal")</f>
        <v>Xtal</v>
      </c>
      <c r="AP362" s="3">
        <f t="shared" si="205"/>
        <v>3</v>
      </c>
      <c r="AQ362" s="3">
        <f t="shared" si="206"/>
        <v>1</v>
      </c>
      <c r="AR362" s="3" t="str">
        <f t="shared" si="207"/>
        <v>-</v>
      </c>
      <c r="AS362" s="3" t="str">
        <f t="shared" si="208"/>
        <v>-</v>
      </c>
      <c r="AT362" s="3" t="str">
        <f t="shared" si="209"/>
        <v>-</v>
      </c>
      <c r="AU362" s="3" t="str">
        <f t="shared" si="210"/>
        <v>-</v>
      </c>
      <c r="AV362" s="3">
        <f t="shared" si="211"/>
        <v>18</v>
      </c>
      <c r="AW362" s="3">
        <f t="shared" si="212"/>
        <v>1</v>
      </c>
      <c r="AX362" s="3">
        <f t="shared" si="213"/>
        <v>9</v>
      </c>
      <c r="AY362" s="3">
        <f t="shared" si="214"/>
        <v>3</v>
      </c>
      <c r="AZ362" s="3">
        <f t="shared" si="215"/>
        <v>1</v>
      </c>
      <c r="BA362" s="3">
        <f>IF(ISERROR(LEN(VLOOKUP(A362,Seqs!A:E,2,FALSE))-AL362),"-",LEN(VLOOKUP(A362,Seqs!A:E,2,FALSE))-AL362)</f>
        <v>341</v>
      </c>
      <c r="BB362" s="16">
        <f t="shared" si="216"/>
        <v>31</v>
      </c>
      <c r="BC362" s="9" t="str">
        <f t="shared" si="217"/>
        <v>-</v>
      </c>
      <c r="BD362" s="3">
        <f t="shared" si="218"/>
        <v>31</v>
      </c>
      <c r="BE362" s="3">
        <f t="shared" si="219"/>
        <v>37</v>
      </c>
    </row>
    <row r="363" spans="1:58" s="3" customFormat="1" x14ac:dyDescent="0.2">
      <c r="A363" s="3" t="s">
        <v>115</v>
      </c>
      <c r="B363" s="3" t="str">
        <f>LOWER(VLOOKUP(A363,Xtal_Templ!A:B,2,FALSE))</f>
        <v>grm1_human</v>
      </c>
      <c r="C363" s="3">
        <f>VLOOKUP($A363,'SegEnds_NonXtal_BW#'!$A:$Z,3,FALSE)+D363-50</f>
        <v>566</v>
      </c>
      <c r="D363" s="3">
        <v>582</v>
      </c>
      <c r="E363" s="3">
        <f>IF(ISERROR(VLOOKUP($A363,'SegEnds_NonXtal_BW#'!$A:$Z,4,FALSE)+VLOOKUP($A363,A:AL,4,FALSE)-50),"-",(VLOOKUP($A363,'SegEnds_NonXtal_BW#'!$A:$Z,4,FALSE)+VLOOKUP($A363,A:AL,4,FALSE)-50))</f>
        <v>592</v>
      </c>
      <c r="F363" s="3">
        <f t="shared" si="222"/>
        <v>595</v>
      </c>
      <c r="G363" s="3">
        <v>598</v>
      </c>
      <c r="H363" s="3">
        <f t="shared" si="223"/>
        <v>601</v>
      </c>
      <c r="I363" s="3">
        <f t="shared" si="224"/>
        <v>602</v>
      </c>
      <c r="J363" s="3">
        <v>613</v>
      </c>
      <c r="K363" s="3">
        <f>VLOOKUP($A363,'SegEnds_NonXtal_BW#'!$A:$Z,8,FALSE)+VLOOKUP($A363,A:AL,10,FALSE)-50</f>
        <v>624</v>
      </c>
      <c r="L363" s="3" t="str">
        <f>IF(ISERROR(VLOOKUP($A363,'SegEnds_NonXtal_BW#'!$A:$Z,9,FALSE)+VLOOKUP($A363,A:AL,13,FALSE)-50),"-",(VLOOKUP($A363,'SegEnds_NonXtal_BW#'!$A:$Z,9,FALSE)+VLOOKUP($A363,A:AL,13,FALSE)-50))</f>
        <v>-</v>
      </c>
      <c r="M363" s="3" t="s">
        <v>23</v>
      </c>
      <c r="N363" s="3" t="str">
        <f>IF(ISERROR(VLOOKUP($A363,'SegEnds_NonXtal_BW#'!$A:$Z,10,FALSE)+VLOOKUP($A363,A:AL,13,FALSE)-50),"-",(VLOOKUP($A363,'SegEnds_NonXtal_BW#'!$A:$Z,10,FALSE)+VLOOKUP($A363,A:AL,13,FALSE)-50))</f>
        <v>-</v>
      </c>
      <c r="O363" s="3">
        <f>VLOOKUP($A363,'SegEnds_NonXtal_BW#'!$A:$Z,11,FALSE)+VLOOKUP($A363,A:AL,16,FALSE)-50</f>
        <v>629</v>
      </c>
      <c r="P363" s="3">
        <v>657</v>
      </c>
      <c r="Q363" s="3">
        <f>VLOOKUP($A363,'SegEnds_NonXtal_BW#'!$A:$Z,12,FALSE)+VLOOKUP($A363,A:AL,16,FALSE)-50</f>
        <v>661</v>
      </c>
      <c r="R363" s="3" t="str">
        <f>IF(ISERROR(VLOOKUP($A363,'SegEnds_NonXtal_BW#'!$A:$Z,13,FALSE)+VLOOKUP($A363,A:AL,19,FALSE)-50),"-",VLOOKUP($A363,'SegEnds_NonXtal_BW#'!$A:$Z,13,FALSE)+VLOOKUP($A363,A:AL,19,FALSE)-50)</f>
        <v>-</v>
      </c>
      <c r="S363" s="3" t="s">
        <v>23</v>
      </c>
      <c r="T363" s="100" t="str">
        <f>IF(ISERROR(VLOOKUP($A363,'SegEnds_NonXtal_BW#'!$A:$Z,14,FALSE)+VLOOKUP($A363,A:AL,19,FALSE)-50),"-",(VLOOKUP($A363,'SegEnds_NonXtal_BW#'!$A:$Z,14,FALSE)+VLOOKUP($A363,A:AL,19,FALSE)-50))</f>
        <v>-</v>
      </c>
      <c r="U363" s="9">
        <f>IF(ISERROR(VLOOKUP($A363,'SegEnds_NonXtal_BW#'!$A:$Z,15,FALSE)+VLOOKUP($A363,A:AL,22,FALSE)-50),"-",VLOOKUP($A363,'SegEnds_NonXtal_BW#'!$A:$Z,15,FALSE)+VLOOKUP($A363,A:AL,22,FALSE)-50)</f>
        <v>675</v>
      </c>
      <c r="V363" s="3">
        <v>687</v>
      </c>
      <c r="W363" s="3">
        <f>IF(ISERROR(VLOOKUP($A363,'SegEnds_NonXtal_BW#'!$A:$Z,16,FALSE)+VLOOKUP($A363,A:AL,22,FALSE)-50),"-",(VLOOKUP($A363,'SegEnds_NonXtal_BW#'!$A:$Z,16,FALSE)+VLOOKUP($A363,A:AL,22,FALSE)-50))</f>
        <v>701</v>
      </c>
      <c r="X363" s="3">
        <f>IF(ISERROR(VLOOKUP($A363,'SegEnds_NonXtal_BW#'!$A:$Z,17,FALSE)+VLOOKUP($A363,A:AL,25,FALSE)-50),"-",(VLOOKUP($A363,'SegEnds_NonXtal_BW#'!$A:$Z,17,FALSE)+VLOOKUP($A363,A:AL,25,FALSE)-50))</f>
        <v>721</v>
      </c>
      <c r="Y363" s="3">
        <v>721</v>
      </c>
      <c r="Z363" s="3">
        <f t="shared" si="225"/>
        <v>723</v>
      </c>
      <c r="AA363" s="3">
        <f>IF(ISERROR(VLOOKUP($A363,'SegEnds_NonXtal_BW#'!$A:$Z,19,FALSE)+VLOOKUP($A363,A:AL,28,FALSE)-50),"-",(VLOOKUP($A363,'SegEnds_NonXtal_BW#'!$A:$Z,19,FALSE)+VLOOKUP($A363,A:AL,28,FALSE)-50))</f>
        <v>724</v>
      </c>
      <c r="AB363" s="3">
        <v>738</v>
      </c>
      <c r="AC363" s="3">
        <f>IF(ISERROR((VLOOKUP($A363,'SegEnds_NonXtal_BW#'!$A:$Z,20,FALSE)+VLOOKUP($A363,A:AL,28,FALSE)-50)),"-",(VLOOKUP($A363,'SegEnds_NonXtal_BW#'!$A:$Z,20,FALSE)+VLOOKUP($A363,A:AL,28,FALSE)-50))</f>
        <v>749</v>
      </c>
      <c r="AD363" s="3">
        <f>IF(ISERROR(VLOOKUP($A363,'SegEnds_NonXtal_BW#'!$A:$Z,21,FALSE)+VLOOKUP($A363,A:AL,31,FALSE)-50),"-",(VLOOKUP($A363,'SegEnds_NonXtal_BW#'!$A:$Z,21,FALSE)+VLOOKUP($A363,A:AL,31,FALSE)-50))</f>
        <v>758</v>
      </c>
      <c r="AE363" s="3">
        <v>775</v>
      </c>
      <c r="AF363" s="3">
        <f>IF(ISERROR((VLOOKUP($A363,'SegEnds_NonXtal_BW#'!$A:$Z,22,FALSE)+VLOOKUP($A363,A:AL,31,FALSE)-50)),"-",(VLOOKUP($A363,'SegEnds_NonXtal_BW#'!$A:$Z,22,FALSE)+VLOOKUP($A363,A:AL,31,FALSE)-50))</f>
        <v>782</v>
      </c>
      <c r="AG363" s="3">
        <f>IF(ISERROR(VLOOKUP($A363,'SegEnds_NonXtal_BW#'!$A:$Z,23,FALSE)+VLOOKUP($A363,A:AL,34,FALSE)-50),"-",(VLOOKUP($A363,'SegEnds_NonXtal_BW#'!$A:$Z,23,FALSE)+VLOOKUP($A363,A:AL,34,FALSE)-50))</f>
        <v>789</v>
      </c>
      <c r="AH363" s="3">
        <v>806</v>
      </c>
      <c r="AI363" s="3">
        <f>IF(ISERROR((VLOOKUP($A363,'SegEnds_NonXtal_BW#'!$A:$Z,24,FALSE)+VLOOKUP($A363,A:AL,34,FALSE)-50)),"-",(VLOOKUP($A363,'SegEnds_NonXtal_BW#'!$A:$Z,24,FALSE)+VLOOKUP($A363,A:AL,34,FALSE)-50))</f>
        <v>820</v>
      </c>
      <c r="AJ363" s="3">
        <f>IF(ISERROR(VLOOKUP($A363,'SegEnds_NonXtal_BW#'!$A:$Z,25,FALSE)+VLOOKUP($A363,A:AL,37,FALSE)-50),"-",(VLOOKUP($A363,'SegEnds_NonXtal_BW#'!$A:$Z,25,FALSE)+VLOOKUP($A363,A:AL,37,FALSE)-50))</f>
        <v>821</v>
      </c>
      <c r="AK363" s="3">
        <v>825</v>
      </c>
      <c r="AL363" s="3">
        <f>IF(ISERROR((VLOOKUP($A363,'SegEnds_NonXtal_BW#'!$A:$Z,26,FALSE)+VLOOKUP($A363,A:AL,37,FALSE)-50)),"-",(VLOOKUP($A363,'SegEnds_NonXtal_BW#'!$A:$Z,26,FALSE)+VLOOKUP($A363,A:AL,37,FALSE)-50))</f>
        <v>832</v>
      </c>
      <c r="AM363" s="28" t="str">
        <f>VLOOKUP(A363,Classification!A:B,2,FALSE)</f>
        <v>C</v>
      </c>
      <c r="AN363" s="28" t="b">
        <f t="shared" si="220"/>
        <v>1</v>
      </c>
      <c r="AO363" s="3" t="str">
        <f>IF(ISERROR(MATCH(A363,'SegEnds_Xtal_Prot#'!B:B, 0)), "NoXtal", "Xtal")</f>
        <v>NoXtal</v>
      </c>
      <c r="AP363" s="3">
        <f t="shared" si="205"/>
        <v>3</v>
      </c>
      <c r="AQ363" s="3">
        <f t="shared" si="206"/>
        <v>1</v>
      </c>
      <c r="AR363" s="3" t="str">
        <f t="shared" si="207"/>
        <v>-</v>
      </c>
      <c r="AS363" s="3" t="str">
        <f t="shared" si="208"/>
        <v>-</v>
      </c>
      <c r="AT363" s="3" t="str">
        <f t="shared" si="209"/>
        <v>-</v>
      </c>
      <c r="AU363" s="3" t="str">
        <f t="shared" si="210"/>
        <v>-</v>
      </c>
      <c r="AV363" s="3">
        <f t="shared" si="211"/>
        <v>20</v>
      </c>
      <c r="AW363" s="3">
        <f t="shared" si="212"/>
        <v>1</v>
      </c>
      <c r="AX363" s="3">
        <f t="shared" si="213"/>
        <v>9</v>
      </c>
      <c r="AY363" s="3">
        <f t="shared" si="214"/>
        <v>7</v>
      </c>
      <c r="AZ363" s="3">
        <f t="shared" si="215"/>
        <v>1</v>
      </c>
      <c r="BA363" s="3">
        <f>IF(ISERROR(LEN(VLOOKUP(A363,Seqs!A:E,2,FALSE))-AL363),"-",LEN(VLOOKUP(A363,Seqs!A:E,2,FALSE))-AL363)</f>
        <v>40</v>
      </c>
      <c r="BB363" s="16">
        <f t="shared" si="216"/>
        <v>31</v>
      </c>
      <c r="BC363" s="9" t="str">
        <f t="shared" si="217"/>
        <v>-</v>
      </c>
      <c r="BD363" s="3">
        <f t="shared" si="218"/>
        <v>31</v>
      </c>
      <c r="BE363" s="3">
        <f t="shared" si="219"/>
        <v>37</v>
      </c>
    </row>
    <row r="364" spans="1:58" s="3" customFormat="1" x14ac:dyDescent="0.2">
      <c r="A364" s="3" t="s">
        <v>116</v>
      </c>
      <c r="B364" s="3" t="str">
        <f>LOWER(VLOOKUP(A364,Xtal_Templ!A:B,2,FALSE))</f>
        <v>grm5_human</v>
      </c>
      <c r="C364" s="3">
        <f>VLOOKUP($A364,'SegEnds_NonXtal_BW#'!$A:$Z,3,FALSE)+D364-50</f>
        <v>575</v>
      </c>
      <c r="D364" s="3">
        <v>591</v>
      </c>
      <c r="E364" s="3">
        <f>IF(ISERROR(VLOOKUP($A364,'SegEnds_NonXtal_BW#'!$A:$Z,4,FALSE)+VLOOKUP($A364,A:AL,4,FALSE)-50),"-",(VLOOKUP($A364,'SegEnds_NonXtal_BW#'!$A:$Z,4,FALSE)+VLOOKUP($A364,A:AL,4,FALSE)-50))</f>
        <v>601</v>
      </c>
      <c r="F364" s="3">
        <f t="shared" si="222"/>
        <v>604</v>
      </c>
      <c r="G364" s="3">
        <v>607</v>
      </c>
      <c r="H364" s="3">
        <f t="shared" si="223"/>
        <v>610</v>
      </c>
      <c r="I364" s="3">
        <f t="shared" si="224"/>
        <v>611</v>
      </c>
      <c r="J364" s="3">
        <v>622</v>
      </c>
      <c r="K364" s="3">
        <f>VLOOKUP($A364,'SegEnds_NonXtal_BW#'!$A:$Z,8,FALSE)+VLOOKUP($A364,A:AL,10,FALSE)-50</f>
        <v>633</v>
      </c>
      <c r="L364" s="3" t="str">
        <f>IF(ISERROR(VLOOKUP($A364,'SegEnds_NonXtal_BW#'!$A:$Z,9,FALSE)+VLOOKUP($A364,A:AL,13,FALSE)-50),"-",(VLOOKUP($A364,'SegEnds_NonXtal_BW#'!$A:$Z,9,FALSE)+VLOOKUP($A364,A:AL,13,FALSE)-50))</f>
        <v>-</v>
      </c>
      <c r="M364" s="3" t="s">
        <v>23</v>
      </c>
      <c r="N364" s="3" t="str">
        <f>IF(ISERROR(VLOOKUP($A364,'SegEnds_NonXtal_BW#'!$A:$Z,10,FALSE)+VLOOKUP($A364,A:AL,13,FALSE)-50),"-",(VLOOKUP($A364,'SegEnds_NonXtal_BW#'!$A:$Z,10,FALSE)+VLOOKUP($A364,A:AL,13,FALSE)-50))</f>
        <v>-</v>
      </c>
      <c r="O364" s="3">
        <f>VLOOKUP($A364,'SegEnds_NonXtal_BW#'!$A:$Z,11,FALSE)+VLOOKUP($A364,A:AL,16,FALSE)-50</f>
        <v>637</v>
      </c>
      <c r="P364" s="3">
        <v>666</v>
      </c>
      <c r="Q364" s="3">
        <f>VLOOKUP($A364,'SegEnds_NonXtal_BW#'!$A:$Z,12,FALSE)+VLOOKUP($A364,A:AL,16,FALSE)-50</f>
        <v>670</v>
      </c>
      <c r="R364" s="3" t="str">
        <f>IF(ISERROR(VLOOKUP($A364,'SegEnds_NonXtal_BW#'!$A:$Z,13,FALSE)+VLOOKUP($A364,A:AL,19,FALSE)-50),"-",VLOOKUP($A364,'SegEnds_NonXtal_BW#'!$A:$Z,13,FALSE)+VLOOKUP($A364,A:AL,19,FALSE)-50)</f>
        <v>-</v>
      </c>
      <c r="S364" s="3" t="s">
        <v>23</v>
      </c>
      <c r="T364" s="100" t="str">
        <f>IF(ISERROR(VLOOKUP($A364,'SegEnds_NonXtal_BW#'!$A:$Z,14,FALSE)+VLOOKUP($A364,A:AL,19,FALSE)-50),"-",(VLOOKUP($A364,'SegEnds_NonXtal_BW#'!$A:$Z,14,FALSE)+VLOOKUP($A364,A:AL,19,FALSE)-50))</f>
        <v>-</v>
      </c>
      <c r="U364" s="9">
        <f>IF(ISERROR(VLOOKUP($A364,'SegEnds_NonXtal_BW#'!$A:$Z,15,FALSE)+VLOOKUP($A364,A:AL,22,FALSE)-50),"-",VLOOKUP($A364,'SegEnds_NonXtal_BW#'!$A:$Z,15,FALSE)+VLOOKUP($A364,A:AL,22,FALSE)-50)</f>
        <v>684</v>
      </c>
      <c r="V364" s="3">
        <v>696</v>
      </c>
      <c r="W364" s="3">
        <f>IF(ISERROR(VLOOKUP($A364,'SegEnds_NonXtal_BW#'!$A:$Z,16,FALSE)+VLOOKUP($A364,A:AL,22,FALSE)-50),"-",(VLOOKUP($A364,'SegEnds_NonXtal_BW#'!$A:$Z,16,FALSE)+VLOOKUP($A364,A:AL,22,FALSE)-50))</f>
        <v>710</v>
      </c>
      <c r="X364" s="3">
        <f>IF(ISERROR(VLOOKUP($A364,'SegEnds_NonXtal_BW#'!$A:$Z,17,FALSE)+VLOOKUP($A364,A:AL,25,FALSE)-50),"-",(VLOOKUP($A364,'SegEnds_NonXtal_BW#'!$A:$Z,17,FALSE)+VLOOKUP($A364,A:AL,25,FALSE)-50))</f>
        <v>730</v>
      </c>
      <c r="Y364" s="3">
        <v>730</v>
      </c>
      <c r="Z364" s="3">
        <f t="shared" si="225"/>
        <v>732</v>
      </c>
      <c r="AA364" s="3">
        <f>IF(ISERROR(VLOOKUP($A364,'SegEnds_NonXtal_BW#'!$A:$Z,19,FALSE)+VLOOKUP($A364,A:AL,28,FALSE)-50),"-",(VLOOKUP($A364,'SegEnds_NonXtal_BW#'!$A:$Z,19,FALSE)+VLOOKUP($A364,A:AL,28,FALSE)-50))</f>
        <v>733</v>
      </c>
      <c r="AB364" s="3">
        <v>747</v>
      </c>
      <c r="AC364" s="3">
        <f>IF(ISERROR((VLOOKUP($A364,'SegEnds_NonXtal_BW#'!$A:$Z,20,FALSE)+VLOOKUP($A364,A:AL,28,FALSE)-50)),"-",(VLOOKUP($A364,'SegEnds_NonXtal_BW#'!$A:$Z,20,FALSE)+VLOOKUP($A364,A:AL,28,FALSE)-50))</f>
        <v>758</v>
      </c>
      <c r="AD364" s="3">
        <f>IF(ISERROR(VLOOKUP($A364,'SegEnds_NonXtal_BW#'!$A:$Z,21,FALSE)+VLOOKUP($A364,A:AL,31,FALSE)-50),"-",(VLOOKUP($A364,'SegEnds_NonXtal_BW#'!$A:$Z,21,FALSE)+VLOOKUP($A364,A:AL,31,FALSE)-50))</f>
        <v>767</v>
      </c>
      <c r="AE364" s="3">
        <v>784</v>
      </c>
      <c r="AF364" s="3">
        <f>IF(ISERROR((VLOOKUP($A364,'SegEnds_NonXtal_BW#'!$A:$Z,22,FALSE)+VLOOKUP($A364,A:AL,31,FALSE)-50)),"-",(VLOOKUP($A364,'SegEnds_NonXtal_BW#'!$A:$Z,22,FALSE)+VLOOKUP($A364,A:AL,31,FALSE)-50))</f>
        <v>791</v>
      </c>
      <c r="AG364" s="3">
        <f>IF(ISERROR(VLOOKUP($A364,'SegEnds_NonXtal_BW#'!$A:$Z,23,FALSE)+VLOOKUP($A364,A:AL,34,FALSE)-50),"-",(VLOOKUP($A364,'SegEnds_NonXtal_BW#'!$A:$Z,23,FALSE)+VLOOKUP($A364,A:AL,34,FALSE)-50))</f>
        <v>798</v>
      </c>
      <c r="AH364" s="3">
        <v>815</v>
      </c>
      <c r="AI364" s="3">
        <f>IF(ISERROR((VLOOKUP($A364,'SegEnds_NonXtal_BW#'!$A:$Z,24,FALSE)+VLOOKUP($A364,A:AL,34,FALSE)-50)),"-",(VLOOKUP($A364,'SegEnds_NonXtal_BW#'!$A:$Z,24,FALSE)+VLOOKUP($A364,A:AL,34,FALSE)-50))</f>
        <v>829</v>
      </c>
      <c r="AJ364" s="3">
        <f>IF(ISERROR(VLOOKUP($A364,'SegEnds_NonXtal_BW#'!$A:$Z,25,FALSE)+VLOOKUP($A364,A:AL,37,FALSE)-50),"-",(VLOOKUP($A364,'SegEnds_NonXtal_BW#'!$A:$Z,25,FALSE)+VLOOKUP($A364,A:AL,37,FALSE)-50))</f>
        <v>830</v>
      </c>
      <c r="AK364" s="3">
        <v>834</v>
      </c>
      <c r="AL364" s="3">
        <f>IF(ISERROR((VLOOKUP($A364,'SegEnds_NonXtal_BW#'!$A:$Z,26,FALSE)+VLOOKUP($A364,A:AL,37,FALSE)-50)),"-",(VLOOKUP($A364,'SegEnds_NonXtal_BW#'!$A:$Z,26,FALSE)+VLOOKUP($A364,A:AL,37,FALSE)-50))</f>
        <v>841</v>
      </c>
      <c r="AM364" s="28" t="str">
        <f>VLOOKUP(A364,Classification!A:B,2,FALSE)</f>
        <v>C</v>
      </c>
      <c r="AN364" s="28" t="b">
        <f t="shared" si="220"/>
        <v>1</v>
      </c>
      <c r="AO364" s="3" t="str">
        <f>IF(ISERROR(MATCH(A364,'SegEnds_Xtal_Prot#'!B:B, 0)), "NoXtal", "Xtal")</f>
        <v>NoXtal</v>
      </c>
      <c r="AP364" s="3">
        <f t="shared" si="205"/>
        <v>3</v>
      </c>
      <c r="AQ364" s="3">
        <f t="shared" si="206"/>
        <v>1</v>
      </c>
      <c r="AR364" s="3" t="str">
        <f t="shared" si="207"/>
        <v>-</v>
      </c>
      <c r="AS364" s="3" t="str">
        <f t="shared" si="208"/>
        <v>-</v>
      </c>
      <c r="AT364" s="3" t="str">
        <f t="shared" si="209"/>
        <v>-</v>
      </c>
      <c r="AU364" s="3" t="str">
        <f t="shared" si="210"/>
        <v>-</v>
      </c>
      <c r="AV364" s="3">
        <f t="shared" si="211"/>
        <v>20</v>
      </c>
      <c r="AW364" s="3">
        <f t="shared" si="212"/>
        <v>1</v>
      </c>
      <c r="AX364" s="3">
        <f t="shared" si="213"/>
        <v>9</v>
      </c>
      <c r="AY364" s="3">
        <f t="shared" si="214"/>
        <v>7</v>
      </c>
      <c r="AZ364" s="3">
        <f t="shared" si="215"/>
        <v>1</v>
      </c>
      <c r="BA364" s="3">
        <f>IF(ISERROR(LEN(VLOOKUP(A364,Seqs!A:E,2,FALSE))-AL364),"-",LEN(VLOOKUP(A364,Seqs!A:E,2,FALSE))-AL364)</f>
        <v>38</v>
      </c>
      <c r="BB364" s="16">
        <f t="shared" si="216"/>
        <v>31</v>
      </c>
      <c r="BC364" s="9" t="str">
        <f t="shared" si="217"/>
        <v>-</v>
      </c>
      <c r="BD364" s="3">
        <f t="shared" si="218"/>
        <v>31</v>
      </c>
      <c r="BE364" s="3">
        <f t="shared" si="219"/>
        <v>37</v>
      </c>
    </row>
    <row r="365" spans="1:58" s="3" customFormat="1" x14ac:dyDescent="0.2">
      <c r="A365" s="3" t="s">
        <v>117</v>
      </c>
      <c r="B365" s="3" t="str">
        <f>LOWER(VLOOKUP(A365,Xtal_Templ!A:B,2,FALSE))</f>
        <v>grm5_human</v>
      </c>
      <c r="C365" s="3">
        <f>VLOOKUP($A365,'SegEnds_NonXtal_BW#'!$A:$Z,3,FALSE)+D365-50</f>
        <v>586</v>
      </c>
      <c r="D365" s="3">
        <v>602</v>
      </c>
      <c r="E365" s="3">
        <f>IF(ISERROR(VLOOKUP($A365,'SegEnds_NonXtal_BW#'!$A:$Z,4,FALSE)+VLOOKUP($A365,A:AL,4,FALSE)-50),"-",(VLOOKUP($A365,'SegEnds_NonXtal_BW#'!$A:$Z,4,FALSE)+VLOOKUP($A365,A:AL,4,FALSE)-50))</f>
        <v>612</v>
      </c>
      <c r="F365" s="3">
        <f t="shared" si="222"/>
        <v>615</v>
      </c>
      <c r="G365" s="3">
        <v>618</v>
      </c>
      <c r="H365" s="3">
        <f t="shared" si="223"/>
        <v>621</v>
      </c>
      <c r="I365" s="3">
        <f t="shared" si="224"/>
        <v>622</v>
      </c>
      <c r="J365" s="3">
        <v>633</v>
      </c>
      <c r="K365" s="3">
        <f>VLOOKUP($A365,'SegEnds_NonXtal_BW#'!$A:$Z,8,FALSE)+VLOOKUP($A365,A:AL,10,FALSE)-50</f>
        <v>644</v>
      </c>
      <c r="L365" s="3" t="str">
        <f>IF(ISERROR(VLOOKUP($A365,'SegEnds_NonXtal_BW#'!$A:$Z,9,FALSE)+VLOOKUP($A365,A:AL,13,FALSE)-50),"-",(VLOOKUP($A365,'SegEnds_NonXtal_BW#'!$A:$Z,9,FALSE)+VLOOKUP($A365,A:AL,13,FALSE)-50))</f>
        <v>-</v>
      </c>
      <c r="M365" s="3" t="s">
        <v>23</v>
      </c>
      <c r="N365" s="3" t="str">
        <f>IF(ISERROR(VLOOKUP($A365,'SegEnds_NonXtal_BW#'!$A:$Z,10,FALSE)+VLOOKUP($A365,A:AL,13,FALSE)-50),"-",(VLOOKUP($A365,'SegEnds_NonXtal_BW#'!$A:$Z,10,FALSE)+VLOOKUP($A365,A:AL,13,FALSE)-50))</f>
        <v>-</v>
      </c>
      <c r="O365" s="3">
        <f>VLOOKUP($A365,'SegEnds_NonXtal_BW#'!$A:$Z,11,FALSE)+VLOOKUP($A365,A:AL,16,FALSE)-50</f>
        <v>648</v>
      </c>
      <c r="P365" s="3">
        <v>677</v>
      </c>
      <c r="Q365" s="3">
        <f>VLOOKUP($A365,'SegEnds_NonXtal_BW#'!$A:$Z,12,FALSE)+VLOOKUP($A365,A:AL,16,FALSE)-50</f>
        <v>681</v>
      </c>
      <c r="R365" s="3" t="str">
        <f>IF(ISERROR(VLOOKUP($A365,'SegEnds_NonXtal_BW#'!$A:$Z,13,FALSE)+VLOOKUP($A365,A:AL,19,FALSE)-50),"-",VLOOKUP($A365,'SegEnds_NonXtal_BW#'!$A:$Z,13,FALSE)+VLOOKUP($A365,A:AL,19,FALSE)-50)</f>
        <v>-</v>
      </c>
      <c r="S365" s="3" t="s">
        <v>23</v>
      </c>
      <c r="T365" s="100" t="str">
        <f>IF(ISERROR(VLOOKUP($A365,'SegEnds_NonXtal_BW#'!$A:$Z,14,FALSE)+VLOOKUP($A365,A:AL,19,FALSE)-50),"-",(VLOOKUP($A365,'SegEnds_NonXtal_BW#'!$A:$Z,14,FALSE)+VLOOKUP($A365,A:AL,19,FALSE)-50))</f>
        <v>-</v>
      </c>
      <c r="U365" s="9">
        <f>IF(ISERROR(VLOOKUP($A365,'SegEnds_NonXtal_BW#'!$A:$Z,15,FALSE)+VLOOKUP($A365,A:AL,22,FALSE)-50),"-",VLOOKUP($A365,'SegEnds_NonXtal_BW#'!$A:$Z,15,FALSE)+VLOOKUP($A365,A:AL,22,FALSE)-50)</f>
        <v>695</v>
      </c>
      <c r="V365" s="3">
        <v>707</v>
      </c>
      <c r="W365" s="3">
        <f>IF(ISERROR(VLOOKUP($A365,'SegEnds_NonXtal_BW#'!$A:$Z,16,FALSE)+VLOOKUP($A365,A:AL,22,FALSE)-50),"-",(VLOOKUP($A365,'SegEnds_NonXtal_BW#'!$A:$Z,16,FALSE)+VLOOKUP($A365,A:AL,22,FALSE)-50))</f>
        <v>721</v>
      </c>
      <c r="X365" s="3">
        <f>IF(ISERROR(VLOOKUP($A365,'SegEnds_NonXtal_BW#'!$A:$Z,17,FALSE)+VLOOKUP($A365,A:AL,25,FALSE)-50),"-",(VLOOKUP($A365,'SegEnds_NonXtal_BW#'!$A:$Z,17,FALSE)+VLOOKUP($A365,A:AL,25,FALSE)-50))</f>
        <v>746</v>
      </c>
      <c r="Y365" s="3">
        <v>746</v>
      </c>
      <c r="Z365" s="3">
        <f t="shared" si="225"/>
        <v>748</v>
      </c>
      <c r="AA365" s="3">
        <f>IF(ISERROR(VLOOKUP($A365,'SegEnds_NonXtal_BW#'!$A:$Z,19,FALSE)+VLOOKUP($A365,A:AL,28,FALSE)-50),"-",(VLOOKUP($A365,'SegEnds_NonXtal_BW#'!$A:$Z,19,FALSE)+VLOOKUP($A365,A:AL,28,FALSE)-50))</f>
        <v>749</v>
      </c>
      <c r="AB365" s="3">
        <v>763</v>
      </c>
      <c r="AC365" s="3">
        <f>IF(ISERROR((VLOOKUP($A365,'SegEnds_NonXtal_BW#'!$A:$Z,20,FALSE)+VLOOKUP($A365,A:AL,28,FALSE)-50)),"-",(VLOOKUP($A365,'SegEnds_NonXtal_BW#'!$A:$Z,20,FALSE)+VLOOKUP($A365,A:AL,28,FALSE)-50))</f>
        <v>774</v>
      </c>
      <c r="AD365" s="3">
        <f>IF(ISERROR(VLOOKUP($A365,'SegEnds_NonXtal_BW#'!$A:$Z,21,FALSE)+VLOOKUP($A365,A:AL,31,FALSE)-50),"-",(VLOOKUP($A365,'SegEnds_NonXtal_BW#'!$A:$Z,21,FALSE)+VLOOKUP($A365,A:AL,31,FALSE)-50))</f>
        <v>783</v>
      </c>
      <c r="AE365" s="3">
        <v>800</v>
      </c>
      <c r="AF365" s="3">
        <f>IF(ISERROR((VLOOKUP($A365,'SegEnds_NonXtal_BW#'!$A:$Z,22,FALSE)+VLOOKUP($A365,A:AL,31,FALSE)-50)),"-",(VLOOKUP($A365,'SegEnds_NonXtal_BW#'!$A:$Z,22,FALSE)+VLOOKUP($A365,A:AL,31,FALSE)-50))</f>
        <v>807</v>
      </c>
      <c r="AG365" s="3">
        <f>IF(ISERROR(VLOOKUP($A365,'SegEnds_NonXtal_BW#'!$A:$Z,23,FALSE)+VLOOKUP($A365,A:AL,34,FALSE)-50),"-",(VLOOKUP($A365,'SegEnds_NonXtal_BW#'!$A:$Z,23,FALSE)+VLOOKUP($A365,A:AL,34,FALSE)-50))</f>
        <v>817</v>
      </c>
      <c r="AH365" s="3">
        <v>834</v>
      </c>
      <c r="AI365" s="3">
        <f>IF(ISERROR((VLOOKUP($A365,'SegEnds_NonXtal_BW#'!$A:$Z,24,FALSE)+VLOOKUP($A365,A:AL,34,FALSE)-50)),"-",(VLOOKUP($A365,'SegEnds_NonXtal_BW#'!$A:$Z,24,FALSE)+VLOOKUP($A365,A:AL,34,FALSE)-50))</f>
        <v>848</v>
      </c>
      <c r="AJ365" s="3">
        <f>IF(ISERROR(VLOOKUP($A365,'SegEnds_NonXtal_BW#'!$A:$Z,25,FALSE)+VLOOKUP($A365,A:AL,37,FALSE)-50),"-",(VLOOKUP($A365,'SegEnds_NonXtal_BW#'!$A:$Z,25,FALSE)+VLOOKUP($A365,A:AL,37,FALSE)-50))</f>
        <v>849</v>
      </c>
      <c r="AK365" s="3">
        <v>853</v>
      </c>
      <c r="AL365" s="3">
        <f>IF(ISERROR((VLOOKUP($A365,'SegEnds_NonXtal_BW#'!$A:$Z,26,FALSE)+VLOOKUP($A365,A:AL,37,FALSE)-50)),"-",(VLOOKUP($A365,'SegEnds_NonXtal_BW#'!$A:$Z,26,FALSE)+VLOOKUP($A365,A:AL,37,FALSE)-50))</f>
        <v>860</v>
      </c>
      <c r="AM365" s="28" t="str">
        <f>VLOOKUP(A365,Classification!A:B,2,FALSE)</f>
        <v>C</v>
      </c>
      <c r="AN365" s="28" t="b">
        <f t="shared" si="220"/>
        <v>1</v>
      </c>
      <c r="AO365" s="3" t="str">
        <f>IF(ISERROR(MATCH(A365,'SegEnds_Xtal_Prot#'!B:B, 0)), "NoXtal", "Xtal")</f>
        <v>NoXtal</v>
      </c>
      <c r="AP365" s="3">
        <f t="shared" si="205"/>
        <v>3</v>
      </c>
      <c r="AQ365" s="3">
        <f t="shared" si="206"/>
        <v>1</v>
      </c>
      <c r="AR365" s="3" t="str">
        <f t="shared" si="207"/>
        <v>-</v>
      </c>
      <c r="AS365" s="3" t="str">
        <f t="shared" si="208"/>
        <v>-</v>
      </c>
      <c r="AT365" s="3" t="str">
        <f t="shared" si="209"/>
        <v>-</v>
      </c>
      <c r="AU365" s="3" t="str">
        <f t="shared" si="210"/>
        <v>-</v>
      </c>
      <c r="AV365" s="3">
        <f t="shared" si="211"/>
        <v>25</v>
      </c>
      <c r="AW365" s="3">
        <f t="shared" si="212"/>
        <v>1</v>
      </c>
      <c r="AX365" s="3">
        <f t="shared" si="213"/>
        <v>9</v>
      </c>
      <c r="AY365" s="3">
        <f t="shared" si="214"/>
        <v>10</v>
      </c>
      <c r="AZ365" s="3">
        <f t="shared" si="215"/>
        <v>1</v>
      </c>
      <c r="BA365" s="3">
        <f>IF(ISERROR(LEN(VLOOKUP(A365,Seqs!A:E,2,FALSE))-AL365),"-",LEN(VLOOKUP(A365,Seqs!A:E,2,FALSE))-AL365)</f>
        <v>52</v>
      </c>
      <c r="BB365" s="16">
        <f t="shared" si="216"/>
        <v>31</v>
      </c>
      <c r="BC365" s="9" t="str">
        <f t="shared" si="217"/>
        <v>-</v>
      </c>
      <c r="BD365" s="3">
        <f t="shared" si="218"/>
        <v>31</v>
      </c>
      <c r="BE365" s="3">
        <f t="shared" si="219"/>
        <v>37</v>
      </c>
    </row>
    <row r="366" spans="1:58" s="3" customFormat="1" x14ac:dyDescent="0.2">
      <c r="A366" s="3" t="s">
        <v>41</v>
      </c>
      <c r="B366" s="3" t="str">
        <f>LOWER(VLOOKUP(A366,Xtal_Templ!A:B,2,FALSE))</f>
        <v>grm5_human</v>
      </c>
      <c r="C366" s="3">
        <f>VLOOKUP($A366,'SegEnds_NonXtal_BW#'!$A:$Z,3,FALSE)+D366-50</f>
        <v>578</v>
      </c>
      <c r="D366" s="3">
        <v>594</v>
      </c>
      <c r="E366" s="3">
        <f>IF(ISERROR(VLOOKUP($A366,'SegEnds_NonXtal_BW#'!$A:$Z,4,FALSE)+VLOOKUP($A366,A:AL,4,FALSE)-50),"-",(VLOOKUP($A366,'SegEnds_NonXtal_BW#'!$A:$Z,4,FALSE)+VLOOKUP($A366,A:AL,4,FALSE)-50))</f>
        <v>604</v>
      </c>
      <c r="F366" s="3">
        <f t="shared" si="222"/>
        <v>607</v>
      </c>
      <c r="G366" s="3">
        <v>610</v>
      </c>
      <c r="H366" s="3">
        <f t="shared" si="223"/>
        <v>613</v>
      </c>
      <c r="I366" s="3">
        <f t="shared" si="224"/>
        <v>614</v>
      </c>
      <c r="J366" s="3">
        <v>625</v>
      </c>
      <c r="K366" s="3">
        <f>VLOOKUP($A366,'SegEnds_NonXtal_BW#'!$A:$Z,8,FALSE)+VLOOKUP($A366,A:AL,10,FALSE)-50</f>
        <v>636</v>
      </c>
      <c r="L366" s="3" t="str">
        <f>IF(ISERROR(VLOOKUP($A366,'SegEnds_NonXtal_BW#'!$A:$Z,9,FALSE)+VLOOKUP($A366,A:AL,13,FALSE)-50),"-",(VLOOKUP($A366,'SegEnds_NonXtal_BW#'!$A:$Z,9,FALSE)+VLOOKUP($A366,A:AL,13,FALSE)-50))</f>
        <v>-</v>
      </c>
      <c r="M366" s="3" t="s">
        <v>23</v>
      </c>
      <c r="N366" s="3" t="str">
        <f>IF(ISERROR(VLOOKUP($A366,'SegEnds_NonXtal_BW#'!$A:$Z,10,FALSE)+VLOOKUP($A366,A:AL,13,FALSE)-50),"-",(VLOOKUP($A366,'SegEnds_NonXtal_BW#'!$A:$Z,10,FALSE)+VLOOKUP($A366,A:AL,13,FALSE)-50))</f>
        <v>-</v>
      </c>
      <c r="O366" s="3">
        <f>VLOOKUP($A366,'SegEnds_NonXtal_BW#'!$A:$Z,11,FALSE)+VLOOKUP($A366,A:AL,16,FALSE)-50</f>
        <v>640</v>
      </c>
      <c r="P366" s="3">
        <v>669</v>
      </c>
      <c r="Q366" s="3">
        <f>VLOOKUP($A366,'SegEnds_NonXtal_BW#'!$A:$Z,12,FALSE)+VLOOKUP($A366,A:AL,16,FALSE)-50</f>
        <v>673</v>
      </c>
      <c r="R366" s="3" t="str">
        <f>IF(ISERROR(VLOOKUP($A366,'SegEnds_NonXtal_BW#'!$A:$Z,13,FALSE)+VLOOKUP($A366,A:AL,19,FALSE)-50),"-",VLOOKUP($A366,'SegEnds_NonXtal_BW#'!$A:$Z,13,FALSE)+VLOOKUP($A366,A:AL,19,FALSE)-50)</f>
        <v>-</v>
      </c>
      <c r="S366" s="3" t="s">
        <v>23</v>
      </c>
      <c r="T366" s="100" t="str">
        <f>IF(ISERROR(VLOOKUP($A366,'SegEnds_NonXtal_BW#'!$A:$Z,14,FALSE)+VLOOKUP($A366,A:AL,19,FALSE)-50),"-",(VLOOKUP($A366,'SegEnds_NonXtal_BW#'!$A:$Z,14,FALSE)+VLOOKUP($A366,A:AL,19,FALSE)-50))</f>
        <v>-</v>
      </c>
      <c r="U366" s="9">
        <f>IF(ISERROR(VLOOKUP($A366,'SegEnds_NonXtal_BW#'!$A:$Z,15,FALSE)+VLOOKUP($A366,A:AL,22,FALSE)-50),"-",VLOOKUP($A366,'SegEnds_NonXtal_BW#'!$A:$Z,15,FALSE)+VLOOKUP($A366,A:AL,22,FALSE)-50)</f>
        <v>689</v>
      </c>
      <c r="V366" s="3">
        <v>701</v>
      </c>
      <c r="W366" s="3">
        <f>IF(ISERROR(VLOOKUP($A366,'SegEnds_NonXtal_BW#'!$A:$Z,16,FALSE)+VLOOKUP($A366,A:AL,22,FALSE)-50),"-",(VLOOKUP($A366,'SegEnds_NonXtal_BW#'!$A:$Z,16,FALSE)+VLOOKUP($A366,A:AL,22,FALSE)-50))</f>
        <v>715</v>
      </c>
      <c r="X366" s="3">
        <f>IF(ISERROR(VLOOKUP($A366,'SegEnds_NonXtal_BW#'!$A:$Z,17,FALSE)+VLOOKUP($A366,A:AL,25,FALSE)-50),"-",(VLOOKUP($A366,'SegEnds_NonXtal_BW#'!$A:$Z,17,FALSE)+VLOOKUP($A366,A:AL,25,FALSE)-50))</f>
        <v>733</v>
      </c>
      <c r="Y366" s="3">
        <v>733</v>
      </c>
      <c r="Z366" s="3">
        <f t="shared" si="225"/>
        <v>735</v>
      </c>
      <c r="AA366" s="3">
        <f>IF(ISERROR(VLOOKUP($A366,'SegEnds_NonXtal_BW#'!$A:$Z,19,FALSE)+VLOOKUP($A366,A:AL,28,FALSE)-50),"-",(VLOOKUP($A366,'SegEnds_NonXtal_BW#'!$A:$Z,19,FALSE)+VLOOKUP($A366,A:AL,28,FALSE)-50))</f>
        <v>736</v>
      </c>
      <c r="AB366" s="3">
        <v>750</v>
      </c>
      <c r="AC366" s="3">
        <f>IF(ISERROR((VLOOKUP($A366,'SegEnds_NonXtal_BW#'!$A:$Z,20,FALSE)+VLOOKUP($A366,A:AL,28,FALSE)-50)),"-",(VLOOKUP($A366,'SegEnds_NonXtal_BW#'!$A:$Z,20,FALSE)+VLOOKUP($A366,A:AL,28,FALSE)-50))</f>
        <v>761</v>
      </c>
      <c r="AD366" s="3">
        <f>IF(ISERROR(VLOOKUP($A366,'SegEnds_NonXtal_BW#'!$A:$Z,21,FALSE)+VLOOKUP($A366,A:AL,31,FALSE)-50),"-",(VLOOKUP($A366,'SegEnds_NonXtal_BW#'!$A:$Z,21,FALSE)+VLOOKUP($A366,A:AL,31,FALSE)-50))</f>
        <v>770</v>
      </c>
      <c r="AE366" s="3">
        <v>787</v>
      </c>
      <c r="AF366" s="3">
        <f>IF(ISERROR((VLOOKUP($A366,'SegEnds_NonXtal_BW#'!$A:$Z,22,FALSE)+VLOOKUP($A366,A:AL,31,FALSE)-50)),"-",(VLOOKUP($A366,'SegEnds_NonXtal_BW#'!$A:$Z,22,FALSE)+VLOOKUP($A366,A:AL,31,FALSE)-50))</f>
        <v>794</v>
      </c>
      <c r="AG366" s="3">
        <f>IF(ISERROR(VLOOKUP($A366,'SegEnds_NonXtal_BW#'!$A:$Z,23,FALSE)+VLOOKUP($A366,A:AL,34,FALSE)-50),"-",(VLOOKUP($A366,'SegEnds_NonXtal_BW#'!$A:$Z,23,FALSE)+VLOOKUP($A366,A:AL,34,FALSE)-50))</f>
        <v>797</v>
      </c>
      <c r="AH366" s="3">
        <v>814</v>
      </c>
      <c r="AI366" s="3">
        <f>IF(ISERROR((VLOOKUP($A366,'SegEnds_NonXtal_BW#'!$A:$Z,24,FALSE)+VLOOKUP($A366,A:AL,34,FALSE)-50)),"-",(VLOOKUP($A366,'SegEnds_NonXtal_BW#'!$A:$Z,24,FALSE)+VLOOKUP($A366,A:AL,34,FALSE)-50))</f>
        <v>828</v>
      </c>
      <c r="AJ366" s="3">
        <f>IF(ISERROR(VLOOKUP($A366,'SegEnds_NonXtal_BW#'!$A:$Z,25,FALSE)+VLOOKUP($A366,A:AL,37,FALSE)-50),"-",(VLOOKUP($A366,'SegEnds_NonXtal_BW#'!$A:$Z,25,FALSE)+VLOOKUP($A366,A:AL,37,FALSE)-50))</f>
        <v>829</v>
      </c>
      <c r="AK366" s="3">
        <v>833</v>
      </c>
      <c r="AL366" s="3">
        <f>IF(ISERROR((VLOOKUP($A366,'SegEnds_NonXtal_BW#'!$A:$Z,26,FALSE)+VLOOKUP($A366,A:AL,37,FALSE)-50)),"-",(VLOOKUP($A366,'SegEnds_NonXtal_BW#'!$A:$Z,26,FALSE)+VLOOKUP($A366,A:AL,37,FALSE)-50))</f>
        <v>840</v>
      </c>
      <c r="AM366" s="28" t="str">
        <f>VLOOKUP(A366,Classification!A:B,2,FALSE)</f>
        <v>C</v>
      </c>
      <c r="AN366" s="28" t="b">
        <f t="shared" si="220"/>
        <v>1</v>
      </c>
      <c r="AO366" s="3" t="str">
        <f>IF(ISERROR(MATCH(A366,'SegEnds_Xtal_Prot#'!B:B, 0)), "NoXtal", "Xtal")</f>
        <v>Xtal</v>
      </c>
      <c r="AP366" s="3">
        <f t="shared" si="205"/>
        <v>3</v>
      </c>
      <c r="AQ366" s="3">
        <f t="shared" si="206"/>
        <v>1</v>
      </c>
      <c r="AR366" s="3" t="str">
        <f t="shared" si="207"/>
        <v>-</v>
      </c>
      <c r="AS366" s="3" t="str">
        <f t="shared" si="208"/>
        <v>-</v>
      </c>
      <c r="AT366" s="3" t="str">
        <f t="shared" si="209"/>
        <v>-</v>
      </c>
      <c r="AU366" s="3" t="str">
        <f t="shared" si="210"/>
        <v>-</v>
      </c>
      <c r="AV366" s="3">
        <f t="shared" si="211"/>
        <v>18</v>
      </c>
      <c r="AW366" s="3">
        <f t="shared" si="212"/>
        <v>1</v>
      </c>
      <c r="AX366" s="3">
        <f t="shared" si="213"/>
        <v>9</v>
      </c>
      <c r="AY366" s="3">
        <f t="shared" si="214"/>
        <v>3</v>
      </c>
      <c r="AZ366" s="3">
        <f t="shared" si="215"/>
        <v>1</v>
      </c>
      <c r="BA366" s="3">
        <f>IF(ISERROR(LEN(VLOOKUP(A366,Seqs!A:E,2,FALSE))-AL366),"-",LEN(VLOOKUP(A366,Seqs!A:E,2,FALSE))-AL366)</f>
        <v>372</v>
      </c>
      <c r="BB366" s="16">
        <f t="shared" si="216"/>
        <v>31</v>
      </c>
      <c r="BC366" s="9" t="str">
        <f t="shared" si="217"/>
        <v>-</v>
      </c>
      <c r="BD366" s="3">
        <f t="shared" si="218"/>
        <v>31</v>
      </c>
      <c r="BE366" s="3">
        <f t="shared" si="219"/>
        <v>37</v>
      </c>
    </row>
    <row r="367" spans="1:58" s="3" customFormat="1" x14ac:dyDescent="0.2">
      <c r="A367" s="3" t="s">
        <v>118</v>
      </c>
      <c r="B367" s="3" t="str">
        <f>LOWER(VLOOKUP(A367,Xtal_Templ!A:B,2,FALSE))</f>
        <v>grm5_human</v>
      </c>
      <c r="C367" s="3">
        <f>VLOOKUP($A367,'SegEnds_NonXtal_BW#'!$A:$Z,3,FALSE)+D367-50</f>
        <v>584</v>
      </c>
      <c r="D367" s="3">
        <v>600</v>
      </c>
      <c r="E367" s="3">
        <f>IF(ISERROR(VLOOKUP($A367,'SegEnds_NonXtal_BW#'!$A:$Z,4,FALSE)+VLOOKUP($A367,A:AL,4,FALSE)-50),"-",(VLOOKUP($A367,'SegEnds_NonXtal_BW#'!$A:$Z,4,FALSE)+VLOOKUP($A367,A:AL,4,FALSE)-50))</f>
        <v>610</v>
      </c>
      <c r="F367" s="3">
        <f t="shared" si="222"/>
        <v>613</v>
      </c>
      <c r="G367" s="3">
        <v>616</v>
      </c>
      <c r="H367" s="3">
        <f t="shared" si="223"/>
        <v>619</v>
      </c>
      <c r="I367" s="3">
        <f t="shared" si="224"/>
        <v>620</v>
      </c>
      <c r="J367" s="3">
        <v>631</v>
      </c>
      <c r="K367" s="3">
        <f>VLOOKUP($A367,'SegEnds_NonXtal_BW#'!$A:$Z,8,FALSE)+VLOOKUP($A367,A:AL,10,FALSE)-50</f>
        <v>642</v>
      </c>
      <c r="L367" s="3" t="str">
        <f>IF(ISERROR(VLOOKUP($A367,'SegEnds_NonXtal_BW#'!$A:$Z,9,FALSE)+VLOOKUP($A367,A:AL,13,FALSE)-50),"-",(VLOOKUP($A367,'SegEnds_NonXtal_BW#'!$A:$Z,9,FALSE)+VLOOKUP($A367,A:AL,13,FALSE)-50))</f>
        <v>-</v>
      </c>
      <c r="M367" s="3" t="s">
        <v>23</v>
      </c>
      <c r="N367" s="3" t="str">
        <f>IF(ISERROR(VLOOKUP($A367,'SegEnds_NonXtal_BW#'!$A:$Z,10,FALSE)+VLOOKUP($A367,A:AL,13,FALSE)-50),"-",(VLOOKUP($A367,'SegEnds_NonXtal_BW#'!$A:$Z,10,FALSE)+VLOOKUP($A367,A:AL,13,FALSE)-50))</f>
        <v>-</v>
      </c>
      <c r="O367" s="3">
        <f>VLOOKUP($A367,'SegEnds_NonXtal_BW#'!$A:$Z,11,FALSE)+VLOOKUP($A367,A:AL,16,FALSE)-50</f>
        <v>646</v>
      </c>
      <c r="P367" s="3">
        <v>675</v>
      </c>
      <c r="Q367" s="3">
        <f>VLOOKUP($A367,'SegEnds_NonXtal_BW#'!$A:$Z,12,FALSE)+VLOOKUP($A367,A:AL,16,FALSE)-50</f>
        <v>679</v>
      </c>
      <c r="R367" s="3" t="str">
        <f>IF(ISERROR(VLOOKUP($A367,'SegEnds_NonXtal_BW#'!$A:$Z,13,FALSE)+VLOOKUP($A367,A:AL,19,FALSE)-50),"-",VLOOKUP($A367,'SegEnds_NonXtal_BW#'!$A:$Z,13,FALSE)+VLOOKUP($A367,A:AL,19,FALSE)-50)</f>
        <v>-</v>
      </c>
      <c r="S367" s="3" t="s">
        <v>23</v>
      </c>
      <c r="T367" s="100" t="str">
        <f>IF(ISERROR(VLOOKUP($A367,'SegEnds_NonXtal_BW#'!$A:$Z,14,FALSE)+VLOOKUP($A367,A:AL,19,FALSE)-50),"-",(VLOOKUP($A367,'SegEnds_NonXtal_BW#'!$A:$Z,14,FALSE)+VLOOKUP($A367,A:AL,19,FALSE)-50))</f>
        <v>-</v>
      </c>
      <c r="U367" s="9">
        <f>IF(ISERROR(VLOOKUP($A367,'SegEnds_NonXtal_BW#'!$A:$Z,15,FALSE)+VLOOKUP($A367,A:AL,22,FALSE)-50),"-",VLOOKUP($A367,'SegEnds_NonXtal_BW#'!$A:$Z,15,FALSE)+VLOOKUP($A367,A:AL,22,FALSE)-50)</f>
        <v>693</v>
      </c>
      <c r="V367" s="3">
        <v>705</v>
      </c>
      <c r="W367" s="3">
        <f>IF(ISERROR(VLOOKUP($A367,'SegEnds_NonXtal_BW#'!$A:$Z,16,FALSE)+VLOOKUP($A367,A:AL,22,FALSE)-50),"-",(VLOOKUP($A367,'SegEnds_NonXtal_BW#'!$A:$Z,16,FALSE)+VLOOKUP($A367,A:AL,22,FALSE)-50))</f>
        <v>719</v>
      </c>
      <c r="X367" s="3">
        <f>IF(ISERROR(VLOOKUP($A367,'SegEnds_NonXtal_BW#'!$A:$Z,17,FALSE)+VLOOKUP($A367,A:AL,25,FALSE)-50),"-",(VLOOKUP($A367,'SegEnds_NonXtal_BW#'!$A:$Z,17,FALSE)+VLOOKUP($A367,A:AL,25,FALSE)-50))</f>
        <v>744</v>
      </c>
      <c r="Y367" s="3">
        <v>744</v>
      </c>
      <c r="Z367" s="3">
        <f t="shared" si="225"/>
        <v>746</v>
      </c>
      <c r="AA367" s="3">
        <f>IF(ISERROR(VLOOKUP($A367,'SegEnds_NonXtal_BW#'!$A:$Z,19,FALSE)+VLOOKUP($A367,A:AL,28,FALSE)-50),"-",(VLOOKUP($A367,'SegEnds_NonXtal_BW#'!$A:$Z,19,FALSE)+VLOOKUP($A367,A:AL,28,FALSE)-50))</f>
        <v>747</v>
      </c>
      <c r="AB367" s="3">
        <v>761</v>
      </c>
      <c r="AC367" s="3">
        <f>IF(ISERROR((VLOOKUP($A367,'SegEnds_NonXtal_BW#'!$A:$Z,20,FALSE)+VLOOKUP($A367,A:AL,28,FALSE)-50)),"-",(VLOOKUP($A367,'SegEnds_NonXtal_BW#'!$A:$Z,20,FALSE)+VLOOKUP($A367,A:AL,28,FALSE)-50))</f>
        <v>772</v>
      </c>
      <c r="AD367" s="3">
        <f>IF(ISERROR(VLOOKUP($A367,'SegEnds_NonXtal_BW#'!$A:$Z,21,FALSE)+VLOOKUP($A367,A:AL,31,FALSE)-50),"-",(VLOOKUP($A367,'SegEnds_NonXtal_BW#'!$A:$Z,21,FALSE)+VLOOKUP($A367,A:AL,31,FALSE)-50))</f>
        <v>781</v>
      </c>
      <c r="AE367" s="3">
        <v>798</v>
      </c>
      <c r="AF367" s="3">
        <f>IF(ISERROR((VLOOKUP($A367,'SegEnds_NonXtal_BW#'!$A:$Z,22,FALSE)+VLOOKUP($A367,A:AL,31,FALSE)-50)),"-",(VLOOKUP($A367,'SegEnds_NonXtal_BW#'!$A:$Z,22,FALSE)+VLOOKUP($A367,A:AL,31,FALSE)-50))</f>
        <v>805</v>
      </c>
      <c r="AG367" s="3">
        <f>IF(ISERROR(VLOOKUP($A367,'SegEnds_NonXtal_BW#'!$A:$Z,23,FALSE)+VLOOKUP($A367,A:AL,34,FALSE)-50),"-",(VLOOKUP($A367,'SegEnds_NonXtal_BW#'!$A:$Z,23,FALSE)+VLOOKUP($A367,A:AL,34,FALSE)-50))</f>
        <v>815</v>
      </c>
      <c r="AH367" s="3">
        <v>832</v>
      </c>
      <c r="AI367" s="3">
        <f>IF(ISERROR((VLOOKUP($A367,'SegEnds_NonXtal_BW#'!$A:$Z,24,FALSE)+VLOOKUP($A367,A:AL,34,FALSE)-50)),"-",(VLOOKUP($A367,'SegEnds_NonXtal_BW#'!$A:$Z,24,FALSE)+VLOOKUP($A367,A:AL,34,FALSE)-50))</f>
        <v>846</v>
      </c>
      <c r="AJ367" s="3">
        <f>IF(ISERROR(VLOOKUP($A367,'SegEnds_NonXtal_BW#'!$A:$Z,25,FALSE)+VLOOKUP($A367,A:AL,37,FALSE)-50),"-",(VLOOKUP($A367,'SegEnds_NonXtal_BW#'!$A:$Z,25,FALSE)+VLOOKUP($A367,A:AL,37,FALSE)-50))</f>
        <v>847</v>
      </c>
      <c r="AK367" s="3">
        <v>851</v>
      </c>
      <c r="AL367" s="3">
        <f>IF(ISERROR((VLOOKUP($A367,'SegEnds_NonXtal_BW#'!$A:$Z,26,FALSE)+VLOOKUP($A367,A:AL,37,FALSE)-50)),"-",(VLOOKUP($A367,'SegEnds_NonXtal_BW#'!$A:$Z,26,FALSE)+VLOOKUP($A367,A:AL,37,FALSE)-50))</f>
        <v>858</v>
      </c>
      <c r="AM367" s="28" t="str">
        <f>VLOOKUP(A367,Classification!A:B,2,FALSE)</f>
        <v>C</v>
      </c>
      <c r="AN367" s="28" t="b">
        <f t="shared" si="220"/>
        <v>1</v>
      </c>
      <c r="AO367" s="3" t="str">
        <f>IF(ISERROR(MATCH(A367,'SegEnds_Xtal_Prot#'!B:B, 0)), "NoXtal", "Xtal")</f>
        <v>NoXtal</v>
      </c>
      <c r="AP367" s="3">
        <f t="shared" si="205"/>
        <v>3</v>
      </c>
      <c r="AQ367" s="3">
        <f t="shared" si="206"/>
        <v>1</v>
      </c>
      <c r="AR367" s="3" t="str">
        <f t="shared" si="207"/>
        <v>-</v>
      </c>
      <c r="AS367" s="3" t="str">
        <f t="shared" si="208"/>
        <v>-</v>
      </c>
      <c r="AT367" s="3" t="str">
        <f t="shared" si="209"/>
        <v>-</v>
      </c>
      <c r="AU367" s="3" t="str">
        <f t="shared" si="210"/>
        <v>-</v>
      </c>
      <c r="AV367" s="3">
        <f t="shared" si="211"/>
        <v>25</v>
      </c>
      <c r="AW367" s="3">
        <f t="shared" si="212"/>
        <v>1</v>
      </c>
      <c r="AX367" s="3">
        <f t="shared" si="213"/>
        <v>9</v>
      </c>
      <c r="AY367" s="3">
        <f t="shared" si="214"/>
        <v>10</v>
      </c>
      <c r="AZ367" s="3">
        <f t="shared" si="215"/>
        <v>1</v>
      </c>
      <c r="BA367" s="3">
        <f>IF(ISERROR(LEN(VLOOKUP(A367,Seqs!A:E,2,FALSE))-AL367),"-",LEN(VLOOKUP(A367,Seqs!A:E,2,FALSE))-AL367)</f>
        <v>19</v>
      </c>
      <c r="BB367" s="16">
        <f t="shared" si="216"/>
        <v>31</v>
      </c>
      <c r="BC367" s="9" t="str">
        <f t="shared" si="217"/>
        <v>-</v>
      </c>
      <c r="BD367" s="3">
        <f t="shared" si="218"/>
        <v>31</v>
      </c>
      <c r="BE367" s="3">
        <f t="shared" si="219"/>
        <v>37</v>
      </c>
      <c r="BF367" s="3">
        <f>AH367-AE367</f>
        <v>34</v>
      </c>
    </row>
    <row r="368" spans="1:58" s="3" customFormat="1" x14ac:dyDescent="0.2">
      <c r="A368" s="3" t="s">
        <v>119</v>
      </c>
      <c r="B368" s="3" t="str">
        <f>LOWER(VLOOKUP(A368,Xtal_Templ!A:B,2,FALSE))</f>
        <v>grm5_human</v>
      </c>
      <c r="C368" s="3">
        <f>VLOOKUP($A368,'SegEnds_NonXtal_BW#'!$A:$Z,3,FALSE)+D368-50</f>
        <v>589</v>
      </c>
      <c r="D368" s="3">
        <v>605</v>
      </c>
      <c r="E368" s="3">
        <f>IF(ISERROR(VLOOKUP($A368,'SegEnds_NonXtal_BW#'!$A:$Z,4,FALSE)+VLOOKUP($A368,A:AL,4,FALSE)-50),"-",(VLOOKUP($A368,'SegEnds_NonXtal_BW#'!$A:$Z,4,FALSE)+VLOOKUP($A368,A:AL,4,FALSE)-50))</f>
        <v>615</v>
      </c>
      <c r="F368" s="3">
        <f t="shared" si="222"/>
        <v>618</v>
      </c>
      <c r="G368" s="3">
        <v>621</v>
      </c>
      <c r="H368" s="3">
        <f t="shared" si="223"/>
        <v>624</v>
      </c>
      <c r="I368" s="3">
        <f t="shared" si="224"/>
        <v>625</v>
      </c>
      <c r="J368" s="3">
        <v>636</v>
      </c>
      <c r="K368" s="3">
        <f>VLOOKUP($A368,'SegEnds_NonXtal_BW#'!$A:$Z,8,FALSE)+VLOOKUP($A368,A:AL,10,FALSE)-50</f>
        <v>647</v>
      </c>
      <c r="L368" s="3" t="str">
        <f>IF(ISERROR(VLOOKUP($A368,'SegEnds_NonXtal_BW#'!$A:$Z,9,FALSE)+VLOOKUP($A368,A:AL,13,FALSE)-50),"-",(VLOOKUP($A368,'SegEnds_NonXtal_BW#'!$A:$Z,9,FALSE)+VLOOKUP($A368,A:AL,13,FALSE)-50))</f>
        <v>-</v>
      </c>
      <c r="M368" s="3" t="s">
        <v>23</v>
      </c>
      <c r="N368" s="3" t="str">
        <f>IF(ISERROR(VLOOKUP($A368,'SegEnds_NonXtal_BW#'!$A:$Z,10,FALSE)+VLOOKUP($A368,A:AL,13,FALSE)-50),"-",(VLOOKUP($A368,'SegEnds_NonXtal_BW#'!$A:$Z,10,FALSE)+VLOOKUP($A368,A:AL,13,FALSE)-50))</f>
        <v>-</v>
      </c>
      <c r="O368" s="3">
        <f>VLOOKUP($A368,'SegEnds_NonXtal_BW#'!$A:$Z,11,FALSE)+VLOOKUP($A368,A:AL,16,FALSE)-50</f>
        <v>651</v>
      </c>
      <c r="P368" s="3">
        <v>680</v>
      </c>
      <c r="Q368" s="3">
        <f>VLOOKUP($A368,'SegEnds_NonXtal_BW#'!$A:$Z,12,FALSE)+VLOOKUP($A368,A:AL,16,FALSE)-50</f>
        <v>684</v>
      </c>
      <c r="R368" s="3" t="str">
        <f>IF(ISERROR(VLOOKUP($A368,'SegEnds_NonXtal_BW#'!$A:$Z,13,FALSE)+VLOOKUP($A368,A:AL,19,FALSE)-50),"-",VLOOKUP($A368,'SegEnds_NonXtal_BW#'!$A:$Z,13,FALSE)+VLOOKUP($A368,A:AL,19,FALSE)-50)</f>
        <v>-</v>
      </c>
      <c r="S368" s="3" t="s">
        <v>23</v>
      </c>
      <c r="T368" s="100" t="str">
        <f>IF(ISERROR(VLOOKUP($A368,'SegEnds_NonXtal_BW#'!$A:$Z,14,FALSE)+VLOOKUP($A368,A:AL,19,FALSE)-50),"-",(VLOOKUP($A368,'SegEnds_NonXtal_BW#'!$A:$Z,14,FALSE)+VLOOKUP($A368,A:AL,19,FALSE)-50))</f>
        <v>-</v>
      </c>
      <c r="U368" s="9">
        <f>IF(ISERROR(VLOOKUP($A368,'SegEnds_NonXtal_BW#'!$A:$Z,15,FALSE)+VLOOKUP($A368,A:AL,22,FALSE)-50),"-",VLOOKUP($A368,'SegEnds_NonXtal_BW#'!$A:$Z,15,FALSE)+VLOOKUP($A368,A:AL,22,FALSE)-50)</f>
        <v>698</v>
      </c>
      <c r="V368" s="3">
        <v>710</v>
      </c>
      <c r="W368" s="3">
        <f>IF(ISERROR(VLOOKUP($A368,'SegEnds_NonXtal_BW#'!$A:$Z,16,FALSE)+VLOOKUP($A368,A:AL,22,FALSE)-50),"-",(VLOOKUP($A368,'SegEnds_NonXtal_BW#'!$A:$Z,16,FALSE)+VLOOKUP($A368,A:AL,22,FALSE)-50))</f>
        <v>724</v>
      </c>
      <c r="X368" s="3">
        <f>IF(ISERROR(VLOOKUP($A368,'SegEnds_NonXtal_BW#'!$A:$Z,17,FALSE)+VLOOKUP($A368,A:AL,25,FALSE)-50),"-",(VLOOKUP($A368,'SegEnds_NonXtal_BW#'!$A:$Z,17,FALSE)+VLOOKUP($A368,A:AL,25,FALSE)-50))</f>
        <v>749</v>
      </c>
      <c r="Y368" s="3">
        <v>749</v>
      </c>
      <c r="Z368" s="3">
        <f t="shared" si="225"/>
        <v>751</v>
      </c>
      <c r="AA368" s="3">
        <f>IF(ISERROR(VLOOKUP($A368,'SegEnds_NonXtal_BW#'!$A:$Z,19,FALSE)+VLOOKUP($A368,A:AL,28,FALSE)-50),"-",(VLOOKUP($A368,'SegEnds_NonXtal_BW#'!$A:$Z,19,FALSE)+VLOOKUP($A368,A:AL,28,FALSE)-50))</f>
        <v>752</v>
      </c>
      <c r="AB368" s="3">
        <v>766</v>
      </c>
      <c r="AC368" s="3">
        <f>IF(ISERROR((VLOOKUP($A368,'SegEnds_NonXtal_BW#'!$A:$Z,20,FALSE)+VLOOKUP($A368,A:AL,28,FALSE)-50)),"-",(VLOOKUP($A368,'SegEnds_NonXtal_BW#'!$A:$Z,20,FALSE)+VLOOKUP($A368,A:AL,28,FALSE)-50))</f>
        <v>777</v>
      </c>
      <c r="AD368" s="3">
        <f>IF(ISERROR(VLOOKUP($A368,'SegEnds_NonXtal_BW#'!$A:$Z,21,FALSE)+VLOOKUP($A368,A:AL,31,FALSE)-50),"-",(VLOOKUP($A368,'SegEnds_NonXtal_BW#'!$A:$Z,21,FALSE)+VLOOKUP($A368,A:AL,31,FALSE)-50))</f>
        <v>786</v>
      </c>
      <c r="AE368" s="3">
        <v>803</v>
      </c>
      <c r="AF368" s="3">
        <f>IF(ISERROR((VLOOKUP($A368,'SegEnds_NonXtal_BW#'!$A:$Z,22,FALSE)+VLOOKUP($A368,A:AL,31,FALSE)-50)),"-",(VLOOKUP($A368,'SegEnds_NonXtal_BW#'!$A:$Z,22,FALSE)+VLOOKUP($A368,A:AL,31,FALSE)-50))</f>
        <v>810</v>
      </c>
      <c r="AG368" s="3">
        <f>IF(ISERROR(VLOOKUP($A368,'SegEnds_NonXtal_BW#'!$A:$Z,23,FALSE)+VLOOKUP($A368,A:AL,34,FALSE)-50),"-",(VLOOKUP($A368,'SegEnds_NonXtal_BW#'!$A:$Z,23,FALSE)+VLOOKUP($A368,A:AL,34,FALSE)-50))</f>
        <v>820</v>
      </c>
      <c r="AH368" s="3">
        <v>837</v>
      </c>
      <c r="AI368" s="3">
        <f>IF(ISERROR((VLOOKUP($A368,'SegEnds_NonXtal_BW#'!$A:$Z,24,FALSE)+VLOOKUP($A368,A:AL,34,FALSE)-50)),"-",(VLOOKUP($A368,'SegEnds_NonXtal_BW#'!$A:$Z,24,FALSE)+VLOOKUP($A368,A:AL,34,FALSE)-50))</f>
        <v>851</v>
      </c>
      <c r="AJ368" s="3">
        <f>IF(ISERROR(VLOOKUP($A368,'SegEnds_NonXtal_BW#'!$A:$Z,25,FALSE)+VLOOKUP($A368,A:AL,37,FALSE)-50),"-",(VLOOKUP($A368,'SegEnds_NonXtal_BW#'!$A:$Z,25,FALSE)+VLOOKUP($A368,A:AL,37,FALSE)-50))</f>
        <v>852</v>
      </c>
      <c r="AK368" s="3">
        <v>856</v>
      </c>
      <c r="AL368" s="3">
        <f>IF(ISERROR((VLOOKUP($A368,'SegEnds_NonXtal_BW#'!$A:$Z,26,FALSE)+VLOOKUP($A368,A:AL,37,FALSE)-50)),"-",(VLOOKUP($A368,'SegEnds_NonXtal_BW#'!$A:$Z,26,FALSE)+VLOOKUP($A368,A:AL,37,FALSE)-50))</f>
        <v>863</v>
      </c>
      <c r="AM368" s="28" t="str">
        <f>VLOOKUP(A368,Classification!A:B,2,FALSE)</f>
        <v>C</v>
      </c>
      <c r="AN368" s="28" t="b">
        <f t="shared" si="220"/>
        <v>1</v>
      </c>
      <c r="AO368" s="3" t="str">
        <f>IF(ISERROR(MATCH(A368,'SegEnds_Xtal_Prot#'!B:B, 0)), "NoXtal", "Xtal")</f>
        <v>NoXtal</v>
      </c>
      <c r="AP368" s="3">
        <f t="shared" si="205"/>
        <v>3</v>
      </c>
      <c r="AQ368" s="3">
        <f t="shared" si="206"/>
        <v>1</v>
      </c>
      <c r="AR368" s="3" t="str">
        <f t="shared" si="207"/>
        <v>-</v>
      </c>
      <c r="AS368" s="3" t="str">
        <f t="shared" si="208"/>
        <v>-</v>
      </c>
      <c r="AT368" s="3" t="str">
        <f t="shared" si="209"/>
        <v>-</v>
      </c>
      <c r="AU368" s="3" t="str">
        <f t="shared" si="210"/>
        <v>-</v>
      </c>
      <c r="AV368" s="3">
        <f t="shared" si="211"/>
        <v>25</v>
      </c>
      <c r="AW368" s="3">
        <f t="shared" si="212"/>
        <v>1</v>
      </c>
      <c r="AX368" s="3">
        <f t="shared" si="213"/>
        <v>9</v>
      </c>
      <c r="AY368" s="3">
        <f t="shared" si="214"/>
        <v>10</v>
      </c>
      <c r="AZ368" s="3">
        <f t="shared" si="215"/>
        <v>1</v>
      </c>
      <c r="BA368" s="3">
        <f>IF(ISERROR(LEN(VLOOKUP(A368,Seqs!A:E,2,FALSE))-AL368),"-",LEN(VLOOKUP(A368,Seqs!A:E,2,FALSE))-AL368)</f>
        <v>52</v>
      </c>
      <c r="BB368" s="16">
        <f t="shared" si="216"/>
        <v>31</v>
      </c>
      <c r="BC368" s="9" t="str">
        <f t="shared" si="217"/>
        <v>-</v>
      </c>
      <c r="BD368" s="3">
        <f t="shared" si="218"/>
        <v>31</v>
      </c>
      <c r="BE368" s="3">
        <f t="shared" si="219"/>
        <v>37</v>
      </c>
    </row>
    <row r="369" spans="1:58" s="3" customFormat="1" x14ac:dyDescent="0.2">
      <c r="A369" s="3" t="s">
        <v>120</v>
      </c>
      <c r="B369" s="3" t="str">
        <f>LOWER(VLOOKUP(A369,Xtal_Templ!A:B,2,FALSE))</f>
        <v>grm5_human</v>
      </c>
      <c r="C369" s="3">
        <f>VLOOKUP($A369,'SegEnds_NonXtal_BW#'!$A:$Z,3,FALSE)+D369-50</f>
        <v>582</v>
      </c>
      <c r="D369" s="3">
        <v>598</v>
      </c>
      <c r="E369" s="3">
        <f>IF(ISERROR(VLOOKUP($A369,'SegEnds_NonXtal_BW#'!$A:$Z,4,FALSE)+VLOOKUP($A369,A:AL,4,FALSE)-50),"-",(VLOOKUP($A369,'SegEnds_NonXtal_BW#'!$A:$Z,4,FALSE)+VLOOKUP($A369,A:AL,4,FALSE)-50))</f>
        <v>608</v>
      </c>
      <c r="F369" s="3">
        <f t="shared" si="222"/>
        <v>611</v>
      </c>
      <c r="G369" s="3">
        <v>614</v>
      </c>
      <c r="H369" s="3">
        <f t="shared" si="223"/>
        <v>617</v>
      </c>
      <c r="I369" s="3">
        <f t="shared" si="224"/>
        <v>618</v>
      </c>
      <c r="J369" s="3">
        <v>629</v>
      </c>
      <c r="K369" s="3">
        <f>VLOOKUP($A369,'SegEnds_NonXtal_BW#'!$A:$Z,8,FALSE)+VLOOKUP($A369,A:AL,10,FALSE)-50</f>
        <v>640</v>
      </c>
      <c r="L369" s="3" t="str">
        <f>IF(ISERROR(VLOOKUP($A369,'SegEnds_NonXtal_BW#'!$A:$Z,9,FALSE)+VLOOKUP($A369,A:AL,13,FALSE)-50),"-",(VLOOKUP($A369,'SegEnds_NonXtal_BW#'!$A:$Z,9,FALSE)+VLOOKUP($A369,A:AL,13,FALSE)-50))</f>
        <v>-</v>
      </c>
      <c r="M369" s="3" t="s">
        <v>23</v>
      </c>
      <c r="N369" s="3" t="str">
        <f>IF(ISERROR(VLOOKUP($A369,'SegEnds_NonXtal_BW#'!$A:$Z,10,FALSE)+VLOOKUP($A369,A:AL,13,FALSE)-50),"-",(VLOOKUP($A369,'SegEnds_NonXtal_BW#'!$A:$Z,10,FALSE)+VLOOKUP($A369,A:AL,13,FALSE)-50))</f>
        <v>-</v>
      </c>
      <c r="O369" s="3">
        <f>VLOOKUP($A369,'SegEnds_NonXtal_BW#'!$A:$Z,11,FALSE)+VLOOKUP($A369,A:AL,16,FALSE)-50</f>
        <v>644</v>
      </c>
      <c r="P369" s="3">
        <v>673</v>
      </c>
      <c r="Q369" s="3">
        <f>VLOOKUP($A369,'SegEnds_NonXtal_BW#'!$A:$Z,12,FALSE)+VLOOKUP($A369,A:AL,16,FALSE)-50</f>
        <v>677</v>
      </c>
      <c r="R369" s="3" t="str">
        <f>IF(ISERROR(VLOOKUP($A369,'SegEnds_NonXtal_BW#'!$A:$Z,13,FALSE)+VLOOKUP($A369,A:AL,19,FALSE)-50),"-",VLOOKUP($A369,'SegEnds_NonXtal_BW#'!$A:$Z,13,FALSE)+VLOOKUP($A369,A:AL,19,FALSE)-50)</f>
        <v>-</v>
      </c>
      <c r="S369" s="3" t="s">
        <v>23</v>
      </c>
      <c r="T369" s="100" t="str">
        <f>IF(ISERROR(VLOOKUP($A369,'SegEnds_NonXtal_BW#'!$A:$Z,14,FALSE)+VLOOKUP($A369,A:AL,19,FALSE)-50),"-",(VLOOKUP($A369,'SegEnds_NonXtal_BW#'!$A:$Z,14,FALSE)+VLOOKUP($A369,A:AL,19,FALSE)-50))</f>
        <v>-</v>
      </c>
      <c r="U369" s="9">
        <f>IF(ISERROR(VLOOKUP($A369,'SegEnds_NonXtal_BW#'!$A:$Z,15,FALSE)+VLOOKUP($A369,A:AL,22,FALSE)-50),"-",VLOOKUP($A369,'SegEnds_NonXtal_BW#'!$A:$Z,15,FALSE)+VLOOKUP($A369,A:AL,22,FALSE)-50)</f>
        <v>691</v>
      </c>
      <c r="V369" s="3">
        <v>703</v>
      </c>
      <c r="W369" s="3">
        <f>IF(ISERROR(VLOOKUP($A369,'SegEnds_NonXtal_BW#'!$A:$Z,16,FALSE)+VLOOKUP($A369,A:AL,22,FALSE)-50),"-",(VLOOKUP($A369,'SegEnds_NonXtal_BW#'!$A:$Z,16,FALSE)+VLOOKUP($A369,A:AL,22,FALSE)-50))</f>
        <v>717</v>
      </c>
      <c r="X369" s="3">
        <f>IF(ISERROR(VLOOKUP($A369,'SegEnds_NonXtal_BW#'!$A:$Z,17,FALSE)+VLOOKUP($A369,A:AL,25,FALSE)-50),"-",(VLOOKUP($A369,'SegEnds_NonXtal_BW#'!$A:$Z,17,FALSE)+VLOOKUP($A369,A:AL,25,FALSE)-50))</f>
        <v>742</v>
      </c>
      <c r="Y369" s="3">
        <v>742</v>
      </c>
      <c r="Z369" s="3">
        <f t="shared" si="225"/>
        <v>744</v>
      </c>
      <c r="AA369" s="3">
        <f>IF(ISERROR(VLOOKUP($A369,'SegEnds_NonXtal_BW#'!$A:$Z,19,FALSE)+VLOOKUP($A369,A:AL,28,FALSE)-50),"-",(VLOOKUP($A369,'SegEnds_NonXtal_BW#'!$A:$Z,19,FALSE)+VLOOKUP($A369,A:AL,28,FALSE)-50))</f>
        <v>745</v>
      </c>
      <c r="AB369" s="3">
        <v>759</v>
      </c>
      <c r="AC369" s="3">
        <f>IF(ISERROR((VLOOKUP($A369,'SegEnds_NonXtal_BW#'!$A:$Z,20,FALSE)+VLOOKUP($A369,A:AL,28,FALSE)-50)),"-",(VLOOKUP($A369,'SegEnds_NonXtal_BW#'!$A:$Z,20,FALSE)+VLOOKUP($A369,A:AL,28,FALSE)-50))</f>
        <v>770</v>
      </c>
      <c r="AD369" s="3">
        <f>IF(ISERROR(VLOOKUP($A369,'SegEnds_NonXtal_BW#'!$A:$Z,21,FALSE)+VLOOKUP($A369,A:AL,31,FALSE)-50),"-",(VLOOKUP($A369,'SegEnds_NonXtal_BW#'!$A:$Z,21,FALSE)+VLOOKUP($A369,A:AL,31,FALSE)-50))</f>
        <v>779</v>
      </c>
      <c r="AE369" s="3">
        <v>796</v>
      </c>
      <c r="AF369" s="3">
        <f>IF(ISERROR((VLOOKUP($A369,'SegEnds_NonXtal_BW#'!$A:$Z,22,FALSE)+VLOOKUP($A369,A:AL,31,FALSE)-50)),"-",(VLOOKUP($A369,'SegEnds_NonXtal_BW#'!$A:$Z,22,FALSE)+VLOOKUP($A369,A:AL,31,FALSE)-50))</f>
        <v>803</v>
      </c>
      <c r="AG369" s="3">
        <f>IF(ISERROR(VLOOKUP($A369,'SegEnds_NonXtal_BW#'!$A:$Z,23,FALSE)+VLOOKUP($A369,A:AL,34,FALSE)-50),"-",(VLOOKUP($A369,'SegEnds_NonXtal_BW#'!$A:$Z,23,FALSE)+VLOOKUP($A369,A:AL,34,FALSE)-50))</f>
        <v>813</v>
      </c>
      <c r="AH369" s="3">
        <v>830</v>
      </c>
      <c r="AI369" s="3">
        <f>IF(ISERROR((VLOOKUP($A369,'SegEnds_NonXtal_BW#'!$A:$Z,24,FALSE)+VLOOKUP($A369,A:AL,34,FALSE)-50)),"-",(VLOOKUP($A369,'SegEnds_NonXtal_BW#'!$A:$Z,24,FALSE)+VLOOKUP($A369,A:AL,34,FALSE)-50))</f>
        <v>844</v>
      </c>
      <c r="AJ369" s="3">
        <f>IF(ISERROR(VLOOKUP($A369,'SegEnds_NonXtal_BW#'!$A:$Z,25,FALSE)+VLOOKUP($A369,A:AL,37,FALSE)-50),"-",(VLOOKUP($A369,'SegEnds_NonXtal_BW#'!$A:$Z,25,FALSE)+VLOOKUP($A369,A:AL,37,FALSE)-50))</f>
        <v>845</v>
      </c>
      <c r="AK369" s="3">
        <v>849</v>
      </c>
      <c r="AL369" s="3">
        <f>IF(ISERROR((VLOOKUP($A369,'SegEnds_NonXtal_BW#'!$A:$Z,26,FALSE)+VLOOKUP($A369,A:AL,37,FALSE)-50)),"-",(VLOOKUP($A369,'SegEnds_NonXtal_BW#'!$A:$Z,26,FALSE)+VLOOKUP($A369,A:AL,37,FALSE)-50))</f>
        <v>856</v>
      </c>
      <c r="AM369" s="28" t="str">
        <f>VLOOKUP(A369,Classification!A:B,2,FALSE)</f>
        <v>C</v>
      </c>
      <c r="AN369" s="28" t="b">
        <f t="shared" si="220"/>
        <v>1</v>
      </c>
      <c r="AO369" s="3" t="str">
        <f>IF(ISERROR(MATCH(A369,'SegEnds_Xtal_Prot#'!B:B, 0)), "NoXtal", "Xtal")</f>
        <v>NoXtal</v>
      </c>
      <c r="AP369" s="3">
        <f t="shared" si="205"/>
        <v>3</v>
      </c>
      <c r="AQ369" s="3">
        <f t="shared" si="206"/>
        <v>1</v>
      </c>
      <c r="AR369" s="3" t="str">
        <f t="shared" si="207"/>
        <v>-</v>
      </c>
      <c r="AS369" s="3" t="str">
        <f t="shared" si="208"/>
        <v>-</v>
      </c>
      <c r="AT369" s="3" t="str">
        <f t="shared" si="209"/>
        <v>-</v>
      </c>
      <c r="AU369" s="3" t="str">
        <f t="shared" si="210"/>
        <v>-</v>
      </c>
      <c r="AV369" s="3">
        <f t="shared" si="211"/>
        <v>25</v>
      </c>
      <c r="AW369" s="3">
        <f t="shared" si="212"/>
        <v>1</v>
      </c>
      <c r="AX369" s="3">
        <f t="shared" si="213"/>
        <v>9</v>
      </c>
      <c r="AY369" s="3">
        <f t="shared" si="214"/>
        <v>10</v>
      </c>
      <c r="AZ369" s="3">
        <f t="shared" si="215"/>
        <v>1</v>
      </c>
      <c r="BA369" s="3">
        <f>IF(ISERROR(LEN(VLOOKUP(A369,Seqs!A:E,2,FALSE))-AL369),"-",LEN(VLOOKUP(A369,Seqs!A:E,2,FALSE))-AL369)</f>
        <v>52</v>
      </c>
      <c r="BB369" s="16">
        <f t="shared" si="216"/>
        <v>31</v>
      </c>
      <c r="BC369" s="9" t="str">
        <f t="shared" si="217"/>
        <v>-</v>
      </c>
      <c r="BD369" s="3">
        <f t="shared" si="218"/>
        <v>31</v>
      </c>
      <c r="BE369" s="3">
        <f t="shared" si="219"/>
        <v>37</v>
      </c>
    </row>
    <row r="370" spans="1:58" s="3" customFormat="1" x14ac:dyDescent="0.2">
      <c r="A370" s="3" t="s">
        <v>121</v>
      </c>
      <c r="B370" s="3" t="str">
        <f>LOWER(VLOOKUP(A370,Xtal_Templ!A:B,2,FALSE))</f>
        <v>grm1_human</v>
      </c>
      <c r="C370" s="3">
        <f>VLOOKUP($A370,'SegEnds_NonXtal_BW#'!$A:$Z,3,FALSE)+D370-50</f>
        <v>26</v>
      </c>
      <c r="D370" s="3">
        <v>42</v>
      </c>
      <c r="E370" s="3">
        <f>IF(ISERROR(VLOOKUP($A370,'SegEnds_NonXtal_BW#'!$A:$Z,4,FALSE)+VLOOKUP($A370,A:AL,4,FALSE)-50),"-",(VLOOKUP($A370,'SegEnds_NonXtal_BW#'!$A:$Z,4,FALSE)+VLOOKUP($A370,A:AL,4,FALSE)-50))</f>
        <v>52</v>
      </c>
      <c r="F370" s="3">
        <f t="shared" si="222"/>
        <v>53</v>
      </c>
      <c r="G370" s="3">
        <v>56</v>
      </c>
      <c r="H370" s="3">
        <f t="shared" si="223"/>
        <v>59</v>
      </c>
      <c r="I370" s="3">
        <f t="shared" si="224"/>
        <v>60</v>
      </c>
      <c r="J370" s="3">
        <v>75</v>
      </c>
      <c r="K370" s="3">
        <f>VLOOKUP($A370,'SegEnds_NonXtal_BW#'!$A:$Z,8,FALSE)+VLOOKUP($A370,A:AL,10,FALSE)-50</f>
        <v>86</v>
      </c>
      <c r="L370" s="3" t="str">
        <f>IF(ISERROR(VLOOKUP($A370,'SegEnds_NonXtal_BW#'!$A:$Z,9,FALSE)+VLOOKUP($A370,A:AL,13,FALSE)-50),"-",(VLOOKUP($A370,'SegEnds_NonXtal_BW#'!$A:$Z,9,FALSE)+VLOOKUP($A370,A:AL,13,FALSE)-50))</f>
        <v>-</v>
      </c>
      <c r="M370" s="3" t="s">
        <v>23</v>
      </c>
      <c r="N370" s="3" t="str">
        <f>IF(ISERROR(VLOOKUP($A370,'SegEnds_NonXtal_BW#'!$A:$Z,10,FALSE)+VLOOKUP($A370,A:AL,13,FALSE)-50),"-",(VLOOKUP($A370,'SegEnds_NonXtal_BW#'!$A:$Z,10,FALSE)+VLOOKUP($A370,A:AL,13,FALSE)-50))</f>
        <v>-</v>
      </c>
      <c r="O370" s="3">
        <f>VLOOKUP($A370,'SegEnds_NonXtal_BW#'!$A:$Z,11,FALSE)+VLOOKUP($A370,A:AL,16,FALSE)-50</f>
        <v>91</v>
      </c>
      <c r="P370" s="3">
        <v>119</v>
      </c>
      <c r="Q370" s="3">
        <f>VLOOKUP($A370,'SegEnds_NonXtal_BW#'!$A:$Z,12,FALSE)+VLOOKUP($A370,A:AL,16,FALSE)-50</f>
        <v>123</v>
      </c>
      <c r="R370" s="3" t="str">
        <f>IF(ISERROR(VLOOKUP($A370,'SegEnds_NonXtal_BW#'!$A:$Z,13,FALSE)+VLOOKUP($A370,A:AL,19,FALSE)-50),"-",VLOOKUP($A370,'SegEnds_NonXtal_BW#'!$A:$Z,13,FALSE)+VLOOKUP($A370,A:AL,19,FALSE)-50)</f>
        <v>-</v>
      </c>
      <c r="S370" s="3" t="s">
        <v>23</v>
      </c>
      <c r="T370" s="100" t="str">
        <f>IF(ISERROR(VLOOKUP($A370,'SegEnds_NonXtal_BW#'!$A:$Z,14,FALSE)+VLOOKUP($A370,A:AL,19,FALSE)-50),"-",(VLOOKUP($A370,'SegEnds_NonXtal_BW#'!$A:$Z,14,FALSE)+VLOOKUP($A370,A:AL,19,FALSE)-50))</f>
        <v>-</v>
      </c>
      <c r="U370" s="9">
        <f>IF(ISERROR(VLOOKUP($A370,'SegEnds_NonXtal_BW#'!$A:$Z,15,FALSE)+VLOOKUP($A370,A:AL,22,FALSE)-50),"-",VLOOKUP($A370,'SegEnds_NonXtal_BW#'!$A:$Z,15,FALSE)+VLOOKUP($A370,A:AL,22,FALSE)-50)</f>
        <v>130</v>
      </c>
      <c r="V370" s="3">
        <v>142</v>
      </c>
      <c r="W370" s="3">
        <f>IF(ISERROR(VLOOKUP($A370,'SegEnds_NonXtal_BW#'!$A:$Z,16,FALSE)+VLOOKUP($A370,A:AL,22,FALSE)-50),"-",(VLOOKUP($A370,'SegEnds_NonXtal_BW#'!$A:$Z,16,FALSE)+VLOOKUP($A370,A:AL,22,FALSE)-50))</f>
        <v>156</v>
      </c>
      <c r="X370" s="3" t="str">
        <f>IF(ISERROR(VLOOKUP($A370,'SegEnds_NonXtal_BW#'!$A:$Z,17,FALSE)+VLOOKUP($A370,A:AL,25,FALSE)-50),"-",(VLOOKUP($A370,'SegEnds_NonXtal_BW#'!$A:$Z,17,FALSE)+VLOOKUP($A370,A:AL,25,FALSE)-50))</f>
        <v>-</v>
      </c>
      <c r="Y370" s="3" t="s">
        <v>23</v>
      </c>
      <c r="Z370" s="3" t="str">
        <f>IF(ISERROR(VLOOKUP($A370,'SegEnds_NonXtal_BW#'!$A:$Z,18,FALSE)+VLOOKUP($A370,A:AL,25,FALSE)-50),"-",(VLOOKUP($A370,'SegEnds_NonXtal_BW#'!$A:$Z,18,FALSE)+VLOOKUP($A370,A:AL,25,FALSE)-50))</f>
        <v>-</v>
      </c>
      <c r="AA370" s="3">
        <f>IF(ISERROR(VLOOKUP($A370,'SegEnds_NonXtal_BW#'!$A:$Z,19,FALSE)+VLOOKUP($A370,A:AL,28,FALSE)-50),"-",(VLOOKUP($A370,'SegEnds_NonXtal_BW#'!$A:$Z,19,FALSE)+VLOOKUP($A370,A:AL,28,FALSE)-50))</f>
        <v>173</v>
      </c>
      <c r="AB370" s="3">
        <v>187</v>
      </c>
      <c r="AC370" s="3">
        <f>IF(ISERROR((VLOOKUP($A370,'SegEnds_NonXtal_BW#'!$A:$Z,20,FALSE)+VLOOKUP($A370,A:AL,28,FALSE)-50)),"-",(VLOOKUP($A370,'SegEnds_NonXtal_BW#'!$A:$Z,20,FALSE)+VLOOKUP($A370,A:AL,28,FALSE)-50))</f>
        <v>198</v>
      </c>
      <c r="AD370" s="3">
        <f>IF(ISERROR(VLOOKUP($A370,'SegEnds_NonXtal_BW#'!$A:$Z,21,FALSE)+VLOOKUP($A370,A:AL,31,FALSE)-50),"-",(VLOOKUP($A370,'SegEnds_NonXtal_BW#'!$A:$Z,21,FALSE)+VLOOKUP($A370,A:AL,31,FALSE)-50))</f>
        <v>209</v>
      </c>
      <c r="AE370" s="3">
        <v>226</v>
      </c>
      <c r="AF370" s="3">
        <f>IF(ISERROR((VLOOKUP($A370,'SegEnds_NonXtal_BW#'!$A:$Z,22,FALSE)+VLOOKUP($A370,A:AL,31,FALSE)-50)),"-",(VLOOKUP($A370,'SegEnds_NonXtal_BW#'!$A:$Z,22,FALSE)+VLOOKUP($A370,A:AL,31,FALSE)-50))</f>
        <v>233</v>
      </c>
      <c r="AG370" s="3">
        <f>IF(ISERROR(VLOOKUP($A370,'SegEnds_NonXtal_BW#'!$A:$Z,23,FALSE)+VLOOKUP($A370,A:AL,34,FALSE)-50),"-",(VLOOKUP($A370,'SegEnds_NonXtal_BW#'!$A:$Z,23,FALSE)+VLOOKUP($A370,A:AL,34,FALSE)-50))</f>
        <v>240</v>
      </c>
      <c r="AH370" s="3">
        <v>257</v>
      </c>
      <c r="AI370" s="3">
        <f>IF(ISERROR((VLOOKUP($A370,'SegEnds_NonXtal_BW#'!$A:$Z,24,FALSE)+VLOOKUP($A370,A:AL,34,FALSE)-50)),"-",(VLOOKUP($A370,'SegEnds_NonXtal_BW#'!$A:$Z,24,FALSE)+VLOOKUP($A370,A:AL,34,FALSE)-50))</f>
        <v>271</v>
      </c>
      <c r="AJ370" s="3">
        <v>273</v>
      </c>
      <c r="AK370" s="3">
        <v>278</v>
      </c>
      <c r="AL370" s="3">
        <v>285</v>
      </c>
      <c r="AM370" s="28" t="str">
        <f>VLOOKUP(A370,Classification!A:B,2,FALSE)</f>
        <v>C</v>
      </c>
      <c r="AN370" s="28" t="b">
        <f t="shared" si="220"/>
        <v>1</v>
      </c>
      <c r="AO370" s="3" t="str">
        <f>IF(ISERROR(MATCH(A370,'SegEnds_Xtal_Prot#'!B:B, 0)), "NoXtal", "Xtal")</f>
        <v>NoXtal</v>
      </c>
      <c r="AP370" s="3">
        <f t="shared" si="205"/>
        <v>1</v>
      </c>
      <c r="AQ370" s="3">
        <f t="shared" si="206"/>
        <v>1</v>
      </c>
      <c r="AR370" s="3" t="str">
        <f t="shared" si="207"/>
        <v>-</v>
      </c>
      <c r="AS370" s="3" t="str">
        <f t="shared" si="208"/>
        <v>-</v>
      </c>
      <c r="AT370" s="3" t="str">
        <f t="shared" si="209"/>
        <v>-</v>
      </c>
      <c r="AU370" s="3" t="str">
        <f t="shared" si="210"/>
        <v>-</v>
      </c>
      <c r="AV370" s="3" t="str">
        <f t="shared" si="211"/>
        <v>-</v>
      </c>
      <c r="AW370" s="3" t="str">
        <f t="shared" si="212"/>
        <v>-</v>
      </c>
      <c r="AX370" s="3">
        <f t="shared" si="213"/>
        <v>11</v>
      </c>
      <c r="AY370" s="3">
        <f t="shared" si="214"/>
        <v>7</v>
      </c>
      <c r="AZ370" s="3">
        <f t="shared" si="215"/>
        <v>2</v>
      </c>
      <c r="BA370" s="3">
        <f>IF(ISERROR(LEN(VLOOKUP(A370,Seqs!A:E,2,FALSE))-AL370),"-",LEN(VLOOKUP(A370,Seqs!A:E,2,FALSE))-AL370)</f>
        <v>72</v>
      </c>
      <c r="BB370" s="16">
        <f t="shared" si="216"/>
        <v>33</v>
      </c>
      <c r="BC370" s="9" t="str">
        <f t="shared" si="217"/>
        <v>-</v>
      </c>
      <c r="BD370" s="3">
        <f t="shared" si="218"/>
        <v>33</v>
      </c>
      <c r="BE370" s="3">
        <f t="shared" si="219"/>
        <v>39</v>
      </c>
    </row>
    <row r="371" spans="1:58" s="3" customFormat="1" ht="17" customHeight="1" x14ac:dyDescent="0.2">
      <c r="A371" s="3" t="s">
        <v>122</v>
      </c>
      <c r="B371" s="3" t="str">
        <f>LOWER(VLOOKUP(A371,Xtal_Templ!A:B,2,FALSE))</f>
        <v>grm1_human</v>
      </c>
      <c r="C371" s="3">
        <f>VLOOKUP($A371,'SegEnds_NonXtal_BW#'!$A:$Z,3,FALSE)+D371-50</f>
        <v>565</v>
      </c>
      <c r="D371" s="3">
        <v>581</v>
      </c>
      <c r="E371" s="3">
        <f>IF(ISERROR(VLOOKUP($A371,'SegEnds_NonXtal_BW#'!$A:$Z,4,FALSE)+VLOOKUP($A371,A:AL,4,FALSE)-50),"-",(VLOOKUP($A371,'SegEnds_NonXtal_BW#'!$A:$Z,4,FALSE)+VLOOKUP($A371,A:AL,4,FALSE)-50))</f>
        <v>591</v>
      </c>
      <c r="F371" s="3">
        <f t="shared" si="222"/>
        <v>594</v>
      </c>
      <c r="G371" s="3">
        <v>597</v>
      </c>
      <c r="H371" s="3">
        <f t="shared" si="223"/>
        <v>600</v>
      </c>
      <c r="I371" s="3">
        <f t="shared" si="224"/>
        <v>601</v>
      </c>
      <c r="J371" s="3">
        <v>612</v>
      </c>
      <c r="K371" s="3">
        <f>VLOOKUP($A371,'SegEnds_NonXtal_BW#'!$A:$Z,8,FALSE)+VLOOKUP($A371,A:AL,10,FALSE)-50</f>
        <v>623</v>
      </c>
      <c r="L371" s="3" t="str">
        <f>IF(ISERROR(VLOOKUP($A371,'SegEnds_NonXtal_BW#'!$A:$Z,9,FALSE)+VLOOKUP($A371,A:AL,13,FALSE)-50),"-",(VLOOKUP($A371,'SegEnds_NonXtal_BW#'!$A:$Z,9,FALSE)+VLOOKUP($A371,A:AL,13,FALSE)-50))</f>
        <v>-</v>
      </c>
      <c r="M371" s="3" t="s">
        <v>23</v>
      </c>
      <c r="N371" s="3" t="str">
        <f>IF(ISERROR(VLOOKUP($A371,'SegEnds_NonXtal_BW#'!$A:$Z,10,FALSE)+VLOOKUP($A371,A:AL,13,FALSE)-50),"-",(VLOOKUP($A371,'SegEnds_NonXtal_BW#'!$A:$Z,10,FALSE)+VLOOKUP($A371,A:AL,13,FALSE)-50))</f>
        <v>-</v>
      </c>
      <c r="O371" s="3">
        <f>VLOOKUP($A371,'SegEnds_NonXtal_BW#'!$A:$Z,11,FALSE)+VLOOKUP($A371,A:AL,16,FALSE)-50</f>
        <v>628</v>
      </c>
      <c r="P371" s="3">
        <v>656</v>
      </c>
      <c r="Q371" s="3">
        <f>VLOOKUP($A371,'SegEnds_NonXtal_BW#'!$A:$Z,12,FALSE)+VLOOKUP($A371,A:AL,16,FALSE)-50</f>
        <v>660</v>
      </c>
      <c r="R371" s="3" t="str">
        <f>IF(ISERROR(VLOOKUP($A371,'SegEnds_NonXtal_BW#'!$A:$Z,13,FALSE)+VLOOKUP($A371,A:AL,19,FALSE)-50),"-",VLOOKUP($A371,'SegEnds_NonXtal_BW#'!$A:$Z,13,FALSE)+VLOOKUP($A371,A:AL,19,FALSE)-50)</f>
        <v>-</v>
      </c>
      <c r="S371" s="3" t="s">
        <v>23</v>
      </c>
      <c r="T371" s="100" t="str">
        <f>IF(ISERROR(VLOOKUP($A371,'SegEnds_NonXtal_BW#'!$A:$Z,14,FALSE)+VLOOKUP($A371,A:AL,19,FALSE)-50),"-",(VLOOKUP($A371,'SegEnds_NonXtal_BW#'!$A:$Z,14,FALSE)+VLOOKUP($A371,A:AL,19,FALSE)-50))</f>
        <v>-</v>
      </c>
      <c r="U371" s="9">
        <f>IF(ISERROR(VLOOKUP($A371,'SegEnds_NonXtal_BW#'!$A:$Z,15,FALSE)+VLOOKUP($A371,A:AL,22,FALSE)-50),"-",VLOOKUP($A371,'SegEnds_NonXtal_BW#'!$A:$Z,15,FALSE)+VLOOKUP($A371,A:AL,22,FALSE)-50)</f>
        <v>675</v>
      </c>
      <c r="V371" s="3">
        <v>687</v>
      </c>
      <c r="W371" s="3">
        <f>IF(ISERROR(VLOOKUP($A371,'SegEnds_NonXtal_BW#'!$A:$Z,16,FALSE)+VLOOKUP($A371,A:AL,22,FALSE)-50),"-",(VLOOKUP($A371,'SegEnds_NonXtal_BW#'!$A:$Z,16,FALSE)+VLOOKUP($A371,A:AL,22,FALSE)-50))</f>
        <v>701</v>
      </c>
      <c r="X371" s="3">
        <f>IF(ISERROR(VLOOKUP($A371,'SegEnds_NonXtal_BW#'!$A:$Z,17,FALSE)+VLOOKUP($A371,A:AL,25,FALSE)-50),"-",(VLOOKUP($A371,'SegEnds_NonXtal_BW#'!$A:$Z,17,FALSE)+VLOOKUP($A371,A:AL,25,FALSE)-50))</f>
        <v>720</v>
      </c>
      <c r="Y371" s="3">
        <v>720</v>
      </c>
      <c r="Z371" s="3">
        <f t="shared" ref="Z371:Z384" si="226">Y371+2</f>
        <v>722</v>
      </c>
      <c r="AA371" s="3">
        <f>IF(ISERROR(VLOOKUP($A371,'SegEnds_NonXtal_BW#'!$A:$Z,19,FALSE)+VLOOKUP($A371,A:AL,28,FALSE)-50),"-",(VLOOKUP($A371,'SegEnds_NonXtal_BW#'!$A:$Z,19,FALSE)+VLOOKUP($A371,A:AL,28,FALSE)-50))</f>
        <v>724</v>
      </c>
      <c r="AB371" s="3">
        <v>738</v>
      </c>
      <c r="AC371" s="3">
        <f>IF(ISERROR((VLOOKUP($A371,'SegEnds_NonXtal_BW#'!$A:$Z,20,FALSE)+VLOOKUP($A371,A:AL,28,FALSE)-50)),"-",(VLOOKUP($A371,'SegEnds_NonXtal_BW#'!$A:$Z,20,FALSE)+VLOOKUP($A371,A:AL,28,FALSE)-50))</f>
        <v>749</v>
      </c>
      <c r="AD371" s="3">
        <f>IF(ISERROR(VLOOKUP($A371,'SegEnds_NonXtal_BW#'!$A:$Z,21,FALSE)+VLOOKUP($A371,A:AL,31,FALSE)-50),"-",(VLOOKUP($A371,'SegEnds_NonXtal_BW#'!$A:$Z,21,FALSE)+VLOOKUP($A371,A:AL,31,FALSE)-50))</f>
        <v>758</v>
      </c>
      <c r="AE371" s="3">
        <v>775</v>
      </c>
      <c r="AF371" s="3">
        <f>IF(ISERROR((VLOOKUP($A371,'SegEnds_NonXtal_BW#'!$A:$Z,22,FALSE)+VLOOKUP($A371,A:AL,31,FALSE)-50)),"-",(VLOOKUP($A371,'SegEnds_NonXtal_BW#'!$A:$Z,22,FALSE)+VLOOKUP($A371,A:AL,31,FALSE)-50))</f>
        <v>782</v>
      </c>
      <c r="AG371" s="3">
        <f>IF(ISERROR(VLOOKUP($A371,'SegEnds_NonXtal_BW#'!$A:$Z,23,FALSE)+VLOOKUP($A371,A:AL,34,FALSE)-50),"-",(VLOOKUP($A371,'SegEnds_NonXtal_BW#'!$A:$Z,23,FALSE)+VLOOKUP($A371,A:AL,34,FALSE)-50))</f>
        <v>787</v>
      </c>
      <c r="AH371" s="3">
        <v>804</v>
      </c>
      <c r="AI371" s="3">
        <f>IF(ISERROR((VLOOKUP($A371,'SegEnds_NonXtal_BW#'!$A:$Z,24,FALSE)+VLOOKUP($A371,A:AL,34,FALSE)-50)),"-",(VLOOKUP($A371,'SegEnds_NonXtal_BW#'!$A:$Z,24,FALSE)+VLOOKUP($A371,A:AL,34,FALSE)-50))</f>
        <v>818</v>
      </c>
      <c r="AJ371" s="3">
        <f>IF(ISERROR(VLOOKUP($A371,'SegEnds_NonXtal_BW#'!$A:$Z,25,FALSE)+VLOOKUP($A371,A:AL,37,FALSE)-50),"-",(VLOOKUP($A371,'SegEnds_NonXtal_BW#'!$A:$Z,25,FALSE)+VLOOKUP($A371,A:AL,37,FALSE)-50))</f>
        <v>819</v>
      </c>
      <c r="AK371" s="3">
        <v>823</v>
      </c>
      <c r="AL371" s="3">
        <f>IF(ISERROR((VLOOKUP($A371,'SegEnds_NonXtal_BW#'!$A:$Z,26,FALSE)+VLOOKUP($A371,A:AL,37,FALSE)-50)),"-",(VLOOKUP($A371,'SegEnds_NonXtal_BW#'!$A:$Z,26,FALSE)+VLOOKUP($A371,A:AL,37,FALSE)-50))</f>
        <v>830</v>
      </c>
      <c r="AM371" s="28" t="str">
        <f>VLOOKUP(A371,Classification!A:B,2,FALSE)</f>
        <v>C</v>
      </c>
      <c r="AN371" s="28" t="b">
        <f t="shared" si="220"/>
        <v>1</v>
      </c>
      <c r="AO371" s="3" t="str">
        <f>IF(ISERROR(MATCH(A371,'SegEnds_Xtal_Prot#'!B:B, 0)), "NoXtal", "Xtal")</f>
        <v>NoXtal</v>
      </c>
      <c r="AP371" s="3">
        <f t="shared" si="205"/>
        <v>3</v>
      </c>
      <c r="AQ371" s="3">
        <f t="shared" si="206"/>
        <v>1</v>
      </c>
      <c r="AR371" s="3" t="str">
        <f t="shared" si="207"/>
        <v>-</v>
      </c>
      <c r="AS371" s="3" t="str">
        <f t="shared" si="208"/>
        <v>-</v>
      </c>
      <c r="AT371" s="3" t="str">
        <f t="shared" si="209"/>
        <v>-</v>
      </c>
      <c r="AU371" s="3" t="str">
        <f t="shared" si="210"/>
        <v>-</v>
      </c>
      <c r="AV371" s="3">
        <f t="shared" si="211"/>
        <v>19</v>
      </c>
      <c r="AW371" s="3">
        <f t="shared" si="212"/>
        <v>2</v>
      </c>
      <c r="AX371" s="3">
        <f t="shared" si="213"/>
        <v>9</v>
      </c>
      <c r="AY371" s="3">
        <f t="shared" si="214"/>
        <v>5</v>
      </c>
      <c r="AZ371" s="3">
        <f t="shared" si="215"/>
        <v>1</v>
      </c>
      <c r="BA371" s="3">
        <f>IF(ISERROR(LEN(VLOOKUP(A371,Seqs!A:E,2,FALSE))-AL371),"-",LEN(VLOOKUP(A371,Seqs!A:E,2,FALSE))-AL371)</f>
        <v>11</v>
      </c>
      <c r="BB371" s="16">
        <f t="shared" si="216"/>
        <v>31</v>
      </c>
      <c r="BC371" s="9" t="str">
        <f t="shared" si="217"/>
        <v>-</v>
      </c>
      <c r="BD371" s="3">
        <f t="shared" si="218"/>
        <v>31</v>
      </c>
      <c r="BE371" s="3">
        <f t="shared" si="219"/>
        <v>37</v>
      </c>
      <c r="BF371" s="3">
        <f>AH371-AE371</f>
        <v>29</v>
      </c>
    </row>
    <row r="372" spans="1:58" s="3" customFormat="1" x14ac:dyDescent="0.2">
      <c r="A372" s="3" t="s">
        <v>123</v>
      </c>
      <c r="B372" s="3" t="str">
        <f>LOWER(VLOOKUP(A372,Xtal_Templ!A:B,2,FALSE))</f>
        <v>grm1_human</v>
      </c>
      <c r="C372" s="3">
        <f>VLOOKUP($A372,'SegEnds_NonXtal_BW#'!$A:$Z,3,FALSE)+D372-50</f>
        <v>564</v>
      </c>
      <c r="D372" s="3">
        <v>580</v>
      </c>
      <c r="E372" s="3">
        <f>IF(ISERROR(VLOOKUP($A372,'SegEnds_NonXtal_BW#'!$A:$Z,4,FALSE)+VLOOKUP($A372,A:AL,4,FALSE)-50),"-",(VLOOKUP($A372,'SegEnds_NonXtal_BW#'!$A:$Z,4,FALSE)+VLOOKUP($A372,A:AL,4,FALSE)-50))</f>
        <v>590</v>
      </c>
      <c r="F372" s="3">
        <f t="shared" si="222"/>
        <v>593</v>
      </c>
      <c r="G372" s="3">
        <v>596</v>
      </c>
      <c r="H372" s="3">
        <f t="shared" si="223"/>
        <v>599</v>
      </c>
      <c r="I372" s="3">
        <f t="shared" si="224"/>
        <v>600</v>
      </c>
      <c r="J372" s="3">
        <v>611</v>
      </c>
      <c r="K372" s="3">
        <f>VLOOKUP($A372,'SegEnds_NonXtal_BW#'!$A:$Z,8,FALSE)+VLOOKUP($A372,A:AL,10,FALSE)-50</f>
        <v>622</v>
      </c>
      <c r="L372" s="3" t="str">
        <f>IF(ISERROR(VLOOKUP($A372,'SegEnds_NonXtal_BW#'!$A:$Z,9,FALSE)+VLOOKUP($A372,A:AL,13,FALSE)-50),"-",(VLOOKUP($A372,'SegEnds_NonXtal_BW#'!$A:$Z,9,FALSE)+VLOOKUP($A372,A:AL,13,FALSE)-50))</f>
        <v>-</v>
      </c>
      <c r="M372" s="3" t="s">
        <v>23</v>
      </c>
      <c r="N372" s="3" t="str">
        <f>IF(ISERROR(VLOOKUP($A372,'SegEnds_NonXtal_BW#'!$A:$Z,10,FALSE)+VLOOKUP($A372,A:AL,13,FALSE)-50),"-",(VLOOKUP($A372,'SegEnds_NonXtal_BW#'!$A:$Z,10,FALSE)+VLOOKUP($A372,A:AL,13,FALSE)-50))</f>
        <v>-</v>
      </c>
      <c r="O372" s="3">
        <f>VLOOKUP($A372,'SegEnds_NonXtal_BW#'!$A:$Z,11,FALSE)+VLOOKUP($A372,A:AL,16,FALSE)-50</f>
        <v>627</v>
      </c>
      <c r="P372" s="3">
        <v>655</v>
      </c>
      <c r="Q372" s="3">
        <f>VLOOKUP($A372,'SegEnds_NonXtal_BW#'!$A:$Z,12,FALSE)+VLOOKUP($A372,A:AL,16,FALSE)-50</f>
        <v>659</v>
      </c>
      <c r="R372" s="3" t="str">
        <f>IF(ISERROR(VLOOKUP($A372,'SegEnds_NonXtal_BW#'!$A:$Z,13,FALSE)+VLOOKUP($A372,A:AL,19,FALSE)-50),"-",VLOOKUP($A372,'SegEnds_NonXtal_BW#'!$A:$Z,13,FALSE)+VLOOKUP($A372,A:AL,19,FALSE)-50)</f>
        <v>-</v>
      </c>
      <c r="S372" s="3" t="s">
        <v>23</v>
      </c>
      <c r="T372" s="100" t="str">
        <f>IF(ISERROR(VLOOKUP($A372,'SegEnds_NonXtal_BW#'!$A:$Z,14,FALSE)+VLOOKUP($A372,A:AL,19,FALSE)-50),"-",(VLOOKUP($A372,'SegEnds_NonXtal_BW#'!$A:$Z,14,FALSE)+VLOOKUP($A372,A:AL,19,FALSE)-50))</f>
        <v>-</v>
      </c>
      <c r="U372" s="9">
        <f>IF(ISERROR(VLOOKUP($A372,'SegEnds_NonXtal_BW#'!$A:$Z,15,FALSE)+VLOOKUP($A372,A:AL,22,FALSE)-50),"-",VLOOKUP($A372,'SegEnds_NonXtal_BW#'!$A:$Z,15,FALSE)+VLOOKUP($A372,A:AL,22,FALSE)-50)</f>
        <v>674</v>
      </c>
      <c r="V372" s="3">
        <v>686</v>
      </c>
      <c r="W372" s="3">
        <f>IF(ISERROR(VLOOKUP($A372,'SegEnds_NonXtal_BW#'!$A:$Z,16,FALSE)+VLOOKUP($A372,A:AL,22,FALSE)-50),"-",(VLOOKUP($A372,'SegEnds_NonXtal_BW#'!$A:$Z,16,FALSE)+VLOOKUP($A372,A:AL,22,FALSE)-50))</f>
        <v>700</v>
      </c>
      <c r="X372" s="3">
        <f>IF(ISERROR(VLOOKUP($A372,'SegEnds_NonXtal_BW#'!$A:$Z,17,FALSE)+VLOOKUP($A372,A:AL,25,FALSE)-50),"-",(VLOOKUP($A372,'SegEnds_NonXtal_BW#'!$A:$Z,17,FALSE)+VLOOKUP($A372,A:AL,25,FALSE)-50))</f>
        <v>720</v>
      </c>
      <c r="Y372" s="3">
        <v>720</v>
      </c>
      <c r="Z372" s="3">
        <f t="shared" si="226"/>
        <v>722</v>
      </c>
      <c r="AA372" s="3">
        <f>IF(ISERROR(VLOOKUP($A372,'SegEnds_NonXtal_BW#'!$A:$Z,19,FALSE)+VLOOKUP($A372,A:AL,28,FALSE)-50),"-",(VLOOKUP($A372,'SegEnds_NonXtal_BW#'!$A:$Z,19,FALSE)+VLOOKUP($A372,A:AL,28,FALSE)-50))</f>
        <v>724</v>
      </c>
      <c r="AB372" s="3">
        <v>738</v>
      </c>
      <c r="AC372" s="3">
        <f>IF(ISERROR((VLOOKUP($A372,'SegEnds_NonXtal_BW#'!$A:$Z,20,FALSE)+VLOOKUP($A372,A:AL,28,FALSE)-50)),"-",(VLOOKUP($A372,'SegEnds_NonXtal_BW#'!$A:$Z,20,FALSE)+VLOOKUP($A372,A:AL,28,FALSE)-50))</f>
        <v>749</v>
      </c>
      <c r="AD372" s="3">
        <f>IF(ISERROR(VLOOKUP($A372,'SegEnds_NonXtal_BW#'!$A:$Z,21,FALSE)+VLOOKUP($A372,A:AL,31,FALSE)-50),"-",(VLOOKUP($A372,'SegEnds_NonXtal_BW#'!$A:$Z,21,FALSE)+VLOOKUP($A372,A:AL,31,FALSE)-50))</f>
        <v>758</v>
      </c>
      <c r="AE372" s="3">
        <v>775</v>
      </c>
      <c r="AF372" s="3">
        <f>IF(ISERROR((VLOOKUP($A372,'SegEnds_NonXtal_BW#'!$A:$Z,22,FALSE)+VLOOKUP($A372,A:AL,31,FALSE)-50)),"-",(VLOOKUP($A372,'SegEnds_NonXtal_BW#'!$A:$Z,22,FALSE)+VLOOKUP($A372,A:AL,31,FALSE)-50))</f>
        <v>782</v>
      </c>
      <c r="AG372" s="3">
        <f>IF(ISERROR(VLOOKUP($A372,'SegEnds_NonXtal_BW#'!$A:$Z,23,FALSE)+VLOOKUP($A372,A:AL,34,FALSE)-50),"-",(VLOOKUP($A372,'SegEnds_NonXtal_BW#'!$A:$Z,23,FALSE)+VLOOKUP($A372,A:AL,34,FALSE)-50))</f>
        <v>787</v>
      </c>
      <c r="AH372" s="3">
        <v>804</v>
      </c>
      <c r="AI372" s="3">
        <f>IF(ISERROR((VLOOKUP($A372,'SegEnds_NonXtal_BW#'!$A:$Z,24,FALSE)+VLOOKUP($A372,A:AL,34,FALSE)-50)),"-",(VLOOKUP($A372,'SegEnds_NonXtal_BW#'!$A:$Z,24,FALSE)+VLOOKUP($A372,A:AL,34,FALSE)-50))</f>
        <v>818</v>
      </c>
      <c r="AJ372" s="3">
        <f>IF(ISERROR(VLOOKUP($A372,'SegEnds_NonXtal_BW#'!$A:$Z,25,FALSE)+VLOOKUP($A372,A:AL,37,FALSE)-50),"-",(VLOOKUP($A372,'SegEnds_NonXtal_BW#'!$A:$Z,25,FALSE)+VLOOKUP($A372,A:AL,37,FALSE)-50))</f>
        <v>819</v>
      </c>
      <c r="AK372" s="3">
        <v>823</v>
      </c>
      <c r="AL372" s="3">
        <f>IF(ISERROR((VLOOKUP($A372,'SegEnds_NonXtal_BW#'!$A:$Z,26,FALSE)+VLOOKUP($A372,A:AL,37,FALSE)-50)),"-",(VLOOKUP($A372,'SegEnds_NonXtal_BW#'!$A:$Z,26,FALSE)+VLOOKUP($A372,A:AL,37,FALSE)-50))</f>
        <v>830</v>
      </c>
      <c r="AM372" s="28" t="str">
        <f>VLOOKUP(A372,Classification!A:B,2,FALSE)</f>
        <v>C</v>
      </c>
      <c r="AN372" s="28" t="b">
        <f t="shared" si="220"/>
        <v>1</v>
      </c>
      <c r="AO372" s="3" t="str">
        <f>IF(ISERROR(MATCH(A372,'SegEnds_Xtal_Prot#'!B:B, 0)), "NoXtal", "Xtal")</f>
        <v>NoXtal</v>
      </c>
      <c r="AP372" s="3">
        <f t="shared" si="205"/>
        <v>3</v>
      </c>
      <c r="AQ372" s="3">
        <f t="shared" si="206"/>
        <v>1</v>
      </c>
      <c r="AR372" s="3" t="str">
        <f t="shared" si="207"/>
        <v>-</v>
      </c>
      <c r="AS372" s="3" t="str">
        <f t="shared" si="208"/>
        <v>-</v>
      </c>
      <c r="AT372" s="3" t="str">
        <f t="shared" si="209"/>
        <v>-</v>
      </c>
      <c r="AU372" s="3" t="str">
        <f t="shared" si="210"/>
        <v>-</v>
      </c>
      <c r="AV372" s="3">
        <f t="shared" si="211"/>
        <v>20</v>
      </c>
      <c r="AW372" s="3">
        <f t="shared" si="212"/>
        <v>2</v>
      </c>
      <c r="AX372" s="3">
        <f t="shared" si="213"/>
        <v>9</v>
      </c>
      <c r="AY372" s="3">
        <f t="shared" si="214"/>
        <v>5</v>
      </c>
      <c r="AZ372" s="3">
        <f t="shared" si="215"/>
        <v>1</v>
      </c>
      <c r="BA372" s="3">
        <f>IF(ISERROR(LEN(VLOOKUP(A372,Seqs!A:E,2,FALSE))-AL372),"-",LEN(VLOOKUP(A372,Seqs!A:E,2,FALSE))-AL372)</f>
        <v>9</v>
      </c>
      <c r="BB372" s="16">
        <f t="shared" si="216"/>
        <v>31</v>
      </c>
      <c r="BC372" s="9" t="str">
        <f t="shared" si="217"/>
        <v>-</v>
      </c>
      <c r="BD372" s="3">
        <f t="shared" si="218"/>
        <v>31</v>
      </c>
      <c r="BE372" s="3">
        <f t="shared" si="219"/>
        <v>37</v>
      </c>
      <c r="BF372" s="3">
        <f>AH372-AE372</f>
        <v>29</v>
      </c>
    </row>
    <row r="373" spans="1:58" s="3" customFormat="1" x14ac:dyDescent="0.2">
      <c r="A373" s="3" t="s">
        <v>124</v>
      </c>
      <c r="B373" s="3" t="str">
        <f>LOWER(VLOOKUP(A373,Xtal_Templ!A:B,2,FALSE))</f>
        <v>grm1_human</v>
      </c>
      <c r="C373" s="3">
        <f>VLOOKUP($A373,'SegEnds_NonXtal_BW#'!$A:$Z,3,FALSE)+D373-50</f>
        <v>567</v>
      </c>
      <c r="D373" s="3">
        <v>583</v>
      </c>
      <c r="E373" s="3">
        <f>IF(ISERROR(VLOOKUP($A373,'SegEnds_NonXtal_BW#'!$A:$Z,4,FALSE)+VLOOKUP($A373,A:AL,4,FALSE)-50),"-",(VLOOKUP($A373,'SegEnds_NonXtal_BW#'!$A:$Z,4,FALSE)+VLOOKUP($A373,A:AL,4,FALSE)-50))</f>
        <v>593</v>
      </c>
      <c r="F373" s="3">
        <f t="shared" si="222"/>
        <v>596</v>
      </c>
      <c r="G373" s="3">
        <v>599</v>
      </c>
      <c r="H373" s="3">
        <f t="shared" si="223"/>
        <v>602</v>
      </c>
      <c r="I373" s="3">
        <f t="shared" si="224"/>
        <v>603</v>
      </c>
      <c r="J373" s="3">
        <v>614</v>
      </c>
      <c r="K373" s="3">
        <f>VLOOKUP($A373,'SegEnds_NonXtal_BW#'!$A:$Z,8,FALSE)+VLOOKUP($A373,A:AL,10,FALSE)-50</f>
        <v>625</v>
      </c>
      <c r="L373" s="3" t="str">
        <f>IF(ISERROR(VLOOKUP($A373,'SegEnds_NonXtal_BW#'!$A:$Z,9,FALSE)+VLOOKUP($A373,A:AL,13,FALSE)-50),"-",(VLOOKUP($A373,'SegEnds_NonXtal_BW#'!$A:$Z,9,FALSE)+VLOOKUP($A373,A:AL,13,FALSE)-50))</f>
        <v>-</v>
      </c>
      <c r="M373" s="3" t="s">
        <v>23</v>
      </c>
      <c r="N373" s="3" t="str">
        <f>IF(ISERROR(VLOOKUP($A373,'SegEnds_NonXtal_BW#'!$A:$Z,10,FALSE)+VLOOKUP($A373,A:AL,13,FALSE)-50),"-",(VLOOKUP($A373,'SegEnds_NonXtal_BW#'!$A:$Z,10,FALSE)+VLOOKUP($A373,A:AL,13,FALSE)-50))</f>
        <v>-</v>
      </c>
      <c r="O373" s="3">
        <f>VLOOKUP($A373,'SegEnds_NonXtal_BW#'!$A:$Z,11,FALSE)+VLOOKUP($A373,A:AL,16,FALSE)-50</f>
        <v>630</v>
      </c>
      <c r="P373" s="3">
        <v>658</v>
      </c>
      <c r="Q373" s="3">
        <f>VLOOKUP($A373,'SegEnds_NonXtal_BW#'!$A:$Z,12,FALSE)+VLOOKUP($A373,A:AL,16,FALSE)-50</f>
        <v>662</v>
      </c>
      <c r="R373" s="3" t="str">
        <f>IF(ISERROR(VLOOKUP($A373,'SegEnds_NonXtal_BW#'!$A:$Z,13,FALSE)+VLOOKUP($A373,A:AL,19,FALSE)-50),"-",VLOOKUP($A373,'SegEnds_NonXtal_BW#'!$A:$Z,13,FALSE)+VLOOKUP($A373,A:AL,19,FALSE)-50)</f>
        <v>-</v>
      </c>
      <c r="S373" s="3" t="s">
        <v>23</v>
      </c>
      <c r="T373" s="100" t="str">
        <f>IF(ISERROR(VLOOKUP($A373,'SegEnds_NonXtal_BW#'!$A:$Z,14,FALSE)+VLOOKUP($A373,A:AL,19,FALSE)-50),"-",(VLOOKUP($A373,'SegEnds_NonXtal_BW#'!$A:$Z,14,FALSE)+VLOOKUP($A373,A:AL,19,FALSE)-50))</f>
        <v>-</v>
      </c>
      <c r="U373" s="9">
        <f>IF(ISERROR(VLOOKUP($A373,'SegEnds_NonXtal_BW#'!$A:$Z,15,FALSE)+VLOOKUP($A373,A:AL,22,FALSE)-50),"-",VLOOKUP($A373,'SegEnds_NonXtal_BW#'!$A:$Z,15,FALSE)+VLOOKUP($A373,A:AL,22,FALSE)-50)</f>
        <v>677</v>
      </c>
      <c r="V373" s="3">
        <v>689</v>
      </c>
      <c r="W373" s="3">
        <f>IF(ISERROR(VLOOKUP($A373,'SegEnds_NonXtal_BW#'!$A:$Z,16,FALSE)+VLOOKUP($A373,A:AL,22,FALSE)-50),"-",(VLOOKUP($A373,'SegEnds_NonXtal_BW#'!$A:$Z,16,FALSE)+VLOOKUP($A373,A:AL,22,FALSE)-50))</f>
        <v>703</v>
      </c>
      <c r="X373" s="3">
        <f>IF(ISERROR(VLOOKUP($A373,'SegEnds_NonXtal_BW#'!$A:$Z,17,FALSE)+VLOOKUP($A373,A:AL,25,FALSE)-50),"-",(VLOOKUP($A373,'SegEnds_NonXtal_BW#'!$A:$Z,17,FALSE)+VLOOKUP($A373,A:AL,25,FALSE)-50))</f>
        <v>722</v>
      </c>
      <c r="Y373" s="3">
        <v>722</v>
      </c>
      <c r="Z373" s="3">
        <f t="shared" si="226"/>
        <v>724</v>
      </c>
      <c r="AA373" s="3">
        <f>IF(ISERROR(VLOOKUP($A373,'SegEnds_NonXtal_BW#'!$A:$Z,19,FALSE)+VLOOKUP($A373,A:AL,28,FALSE)-50),"-",(VLOOKUP($A373,'SegEnds_NonXtal_BW#'!$A:$Z,19,FALSE)+VLOOKUP($A373,A:AL,28,FALSE)-50))</f>
        <v>726</v>
      </c>
      <c r="AB373" s="3">
        <v>740</v>
      </c>
      <c r="AC373" s="3">
        <f>IF(ISERROR((VLOOKUP($A373,'SegEnds_NonXtal_BW#'!$A:$Z,20,FALSE)+VLOOKUP($A373,A:AL,28,FALSE)-50)),"-",(VLOOKUP($A373,'SegEnds_NonXtal_BW#'!$A:$Z,20,FALSE)+VLOOKUP($A373,A:AL,28,FALSE)-50))</f>
        <v>751</v>
      </c>
      <c r="AD373" s="3">
        <f>IF(ISERROR(VLOOKUP($A373,'SegEnds_NonXtal_BW#'!$A:$Z,21,FALSE)+VLOOKUP($A373,A:AL,31,FALSE)-50),"-",(VLOOKUP($A373,'SegEnds_NonXtal_BW#'!$A:$Z,21,FALSE)+VLOOKUP($A373,A:AL,31,FALSE)-50))</f>
        <v>760</v>
      </c>
      <c r="AE373" s="3">
        <v>777</v>
      </c>
      <c r="AF373" s="3">
        <f>IF(ISERROR((VLOOKUP($A373,'SegEnds_NonXtal_BW#'!$A:$Z,22,FALSE)+VLOOKUP($A373,A:AL,31,FALSE)-50)),"-",(VLOOKUP($A373,'SegEnds_NonXtal_BW#'!$A:$Z,22,FALSE)+VLOOKUP($A373,A:AL,31,FALSE)-50))</f>
        <v>784</v>
      </c>
      <c r="AG373" s="3">
        <f>IF(ISERROR(VLOOKUP($A373,'SegEnds_NonXtal_BW#'!$A:$Z,23,FALSE)+VLOOKUP($A373,A:AL,34,FALSE)-50),"-",(VLOOKUP($A373,'SegEnds_NonXtal_BW#'!$A:$Z,23,FALSE)+VLOOKUP($A373,A:AL,34,FALSE)-50))</f>
        <v>789</v>
      </c>
      <c r="AH373" s="3">
        <v>806</v>
      </c>
      <c r="AI373" s="3">
        <f>IF(ISERROR((VLOOKUP($A373,'SegEnds_NonXtal_BW#'!$A:$Z,24,FALSE)+VLOOKUP($A373,A:AL,34,FALSE)-50)),"-",(VLOOKUP($A373,'SegEnds_NonXtal_BW#'!$A:$Z,24,FALSE)+VLOOKUP($A373,A:AL,34,FALSE)-50))</f>
        <v>820</v>
      </c>
      <c r="AJ373" s="3">
        <f>IF(ISERROR(VLOOKUP($A373,'SegEnds_NonXtal_BW#'!$A:$Z,25,FALSE)+VLOOKUP($A373,A:AL,37,FALSE)-50),"-",(VLOOKUP($A373,'SegEnds_NonXtal_BW#'!$A:$Z,25,FALSE)+VLOOKUP($A373,A:AL,37,FALSE)-50))</f>
        <v>821</v>
      </c>
      <c r="AK373" s="3">
        <v>825</v>
      </c>
      <c r="AL373" s="3">
        <f>IF(ISERROR((VLOOKUP($A373,'SegEnds_NonXtal_BW#'!$A:$Z,26,FALSE)+VLOOKUP($A373,A:AL,37,FALSE)-50)),"-",(VLOOKUP($A373,'SegEnds_NonXtal_BW#'!$A:$Z,26,FALSE)+VLOOKUP($A373,A:AL,37,FALSE)-50))</f>
        <v>832</v>
      </c>
      <c r="AM373" s="28" t="str">
        <f>VLOOKUP(A373,Classification!A:B,2,FALSE)</f>
        <v>C</v>
      </c>
      <c r="AN373" s="28" t="b">
        <f t="shared" si="220"/>
        <v>1</v>
      </c>
      <c r="AO373" s="3" t="str">
        <f>IF(ISERROR(MATCH(A373,'SegEnds_Xtal_Prot#'!B:B, 0)), "NoXtal", "Xtal")</f>
        <v>NoXtal</v>
      </c>
      <c r="AP373" s="3">
        <f t="shared" si="205"/>
        <v>3</v>
      </c>
      <c r="AQ373" s="3">
        <f t="shared" si="206"/>
        <v>1</v>
      </c>
      <c r="AR373" s="3" t="str">
        <f t="shared" si="207"/>
        <v>-</v>
      </c>
      <c r="AS373" s="3" t="str">
        <f t="shared" si="208"/>
        <v>-</v>
      </c>
      <c r="AT373" s="3" t="str">
        <f t="shared" si="209"/>
        <v>-</v>
      </c>
      <c r="AU373" s="3" t="str">
        <f t="shared" si="210"/>
        <v>-</v>
      </c>
      <c r="AV373" s="3">
        <f t="shared" si="211"/>
        <v>19</v>
      </c>
      <c r="AW373" s="3">
        <f t="shared" si="212"/>
        <v>2</v>
      </c>
      <c r="AX373" s="3">
        <f t="shared" si="213"/>
        <v>9</v>
      </c>
      <c r="AY373" s="3">
        <f t="shared" si="214"/>
        <v>5</v>
      </c>
      <c r="AZ373" s="3">
        <f t="shared" si="215"/>
        <v>1</v>
      </c>
      <c r="BA373" s="3">
        <f>IF(ISERROR(LEN(VLOOKUP(A373,Seqs!A:E,2,FALSE))-AL373),"-",LEN(VLOOKUP(A373,Seqs!A:E,2,FALSE))-AL373)</f>
        <v>20</v>
      </c>
      <c r="BB373" s="16">
        <f t="shared" si="216"/>
        <v>31</v>
      </c>
      <c r="BC373" s="9" t="str">
        <f t="shared" si="217"/>
        <v>-</v>
      </c>
      <c r="BD373" s="3">
        <f t="shared" si="218"/>
        <v>31</v>
      </c>
      <c r="BE373" s="3">
        <f t="shared" si="219"/>
        <v>37</v>
      </c>
      <c r="BF373" s="3">
        <f>AH373-AE373</f>
        <v>29</v>
      </c>
    </row>
    <row r="374" spans="1:58" s="3" customFormat="1" x14ac:dyDescent="0.2">
      <c r="A374" s="3" t="s">
        <v>440</v>
      </c>
      <c r="B374" s="3" t="str">
        <f>LOWER(VLOOKUP(A374,Xtal_Templ!A:B,2,FALSE))</f>
        <v>fzd4_human</v>
      </c>
      <c r="C374" s="3">
        <f>VLOOKUP($A374,'SegEnds_NonXtal_BW#'!$A:$Z,3,FALSE)+D374-50</f>
        <v>312</v>
      </c>
      <c r="D374" s="3">
        <v>334</v>
      </c>
      <c r="E374" s="3">
        <f>IF(ISERROR(VLOOKUP($A374,'SegEnds_NonXtal_BW#'!$A:$Z,4,FALSE)+VLOOKUP($A374,A:AL,4,FALSE)-50),"-",(VLOOKUP($A374,'SegEnds_NonXtal_BW#'!$A:$Z,4,FALSE)+VLOOKUP($A374,A:AL,4,FALSE)-50))</f>
        <v>344</v>
      </c>
      <c r="F374" s="3">
        <f t="shared" si="222"/>
        <v>345</v>
      </c>
      <c r="G374" s="3">
        <v>348</v>
      </c>
      <c r="H374" s="3">
        <f t="shared" ref="H374:H384" si="227">G374+1</f>
        <v>349</v>
      </c>
      <c r="I374" s="3">
        <f t="shared" si="224"/>
        <v>350</v>
      </c>
      <c r="J374" s="3">
        <v>360</v>
      </c>
      <c r="K374" s="3">
        <f>VLOOKUP($A374,'SegEnds_NonXtal_BW#'!$A:$Z,8,FALSE)+VLOOKUP($A374,A:AL,10,FALSE)-50</f>
        <v>376</v>
      </c>
      <c r="L374" s="3" t="str">
        <f>IF(ISERROR(VLOOKUP($A374,'SegEnds_NonXtal_BW#'!$A:$Z,9,FALSE)+VLOOKUP($A374,A:AL,13,FALSE)-50),"-",(VLOOKUP($A374,'SegEnds_NonXtal_BW#'!$A:$Z,9,FALSE)+VLOOKUP($A374,A:AL,13,FALSE)-50))</f>
        <v>-</v>
      </c>
      <c r="M374" s="3" t="s">
        <v>23</v>
      </c>
      <c r="N374" s="3" t="str">
        <f>IF(ISERROR(VLOOKUP($A374,'SegEnds_NonXtal_BW#'!$A:$Z,10,FALSE)+VLOOKUP($A374,A:AL,13,FALSE)-50),"-",(VLOOKUP($A374,'SegEnds_NonXtal_BW#'!$A:$Z,10,FALSE)+VLOOKUP($A374,A:AL,13,FALSE)-50))</f>
        <v>-</v>
      </c>
      <c r="O374" s="3">
        <f>VLOOKUP($A374,'SegEnds_NonXtal_BW#'!$A:$Z,11,FALSE)+VLOOKUP($A374,A:AL,16,FALSE)-50</f>
        <v>399</v>
      </c>
      <c r="P374" s="3">
        <v>427</v>
      </c>
      <c r="Q374" s="3">
        <f>VLOOKUP($A374,'SegEnds_NonXtal_BW#'!$A:$Z,12,FALSE)+VLOOKUP($A374,A:AL,16,FALSE)-50</f>
        <v>432</v>
      </c>
      <c r="R374" s="3" t="str">
        <f>IF(ISERROR(VLOOKUP($A374,'SegEnds_NonXtal_BW#'!$A:$Z,13,FALSE)+VLOOKUP($A374,A:AL,19,FALSE)-50),"-",VLOOKUP($A374,'SegEnds_NonXtal_BW#'!$A:$Z,13,FALSE)+VLOOKUP($A374,A:AL,19,FALSE)-50)</f>
        <v>-</v>
      </c>
      <c r="S374" s="3" t="s">
        <v>23</v>
      </c>
      <c r="T374" s="100" t="str">
        <f>IF(ISERROR(VLOOKUP($A374,'SegEnds_NonXtal_BW#'!$A:$Z,14,FALSE)+VLOOKUP($A374,A:AL,19,FALSE)-50),"-",(VLOOKUP($A374,'SegEnds_NonXtal_BW#'!$A:$Z,14,FALSE)+VLOOKUP($A374,A:AL,19,FALSE)-50))</f>
        <v>-</v>
      </c>
      <c r="U374" s="9">
        <f>IF(ISERROR(VLOOKUP($A374,'SegEnds_NonXtal_BW#'!$A:$Z,15,FALSE)+VLOOKUP($A374,A:AL,22,FALSE)-50),"-",VLOOKUP($A374,'SegEnds_NonXtal_BW#'!$A:$Z,15,FALSE)+VLOOKUP($A374,A:AL,22,FALSE)-50)</f>
        <v>443</v>
      </c>
      <c r="V374" s="3">
        <v>452</v>
      </c>
      <c r="W374" s="3">
        <f>IF(ISERROR(VLOOKUP($A374,'SegEnds_NonXtal_BW#'!$A:$Z,16,FALSE)+VLOOKUP($A374,A:AL,22,FALSE)-50),"-",(VLOOKUP($A374,'SegEnds_NonXtal_BW#'!$A:$Z,16,FALSE)+VLOOKUP($A374,A:AL,22,FALSE)-50))</f>
        <v>466</v>
      </c>
      <c r="X374" s="3">
        <f>IF(ISERROR(VLOOKUP($A374,'SegEnds_NonXtal_BW#'!$A:$Z,17,FALSE)+VLOOKUP($A374,A:AL,25,FALSE)-50),"-",(VLOOKUP($A374,'SegEnds_NonXtal_BW#'!$A:$Z,17,FALSE)+VLOOKUP($A374,A:AL,25,FALSE)-50))</f>
        <v>477</v>
      </c>
      <c r="Y374" s="3">
        <v>477</v>
      </c>
      <c r="Z374" s="3">
        <f t="shared" si="226"/>
        <v>479</v>
      </c>
      <c r="AA374" s="3">
        <f>IF(ISERROR(VLOOKUP($A374,'SegEnds_NonXtal_BW#'!$A:$Z,19,FALSE)+VLOOKUP($A374,A:AL,28,FALSE)-50),"-",(VLOOKUP($A374,'SegEnds_NonXtal_BW#'!$A:$Z,19,FALSE)+VLOOKUP($A374,A:AL,28,FALSE)-50))</f>
        <v>483</v>
      </c>
      <c r="AB374" s="3">
        <v>498</v>
      </c>
      <c r="AC374" s="3">
        <f>IF(ISERROR((VLOOKUP($A374,'SegEnds_NonXtal_BW#'!$A:$Z,20,FALSE)+VLOOKUP($A374,A:AL,28,FALSE)-50)),"-",(VLOOKUP($A374,'SegEnds_NonXtal_BW#'!$A:$Z,20,FALSE)+VLOOKUP($A374,A:AL,28,FALSE)-50))</f>
        <v>520</v>
      </c>
      <c r="AD374" s="3">
        <f>IF(ISERROR(VLOOKUP($A374,'SegEnds_NonXtal_BW#'!$A:$Z,21,FALSE)+VLOOKUP($A374,A:AL,31,FALSE)-50),"-",(VLOOKUP($A374,'SegEnds_NonXtal_BW#'!$A:$Z,21,FALSE)+VLOOKUP($A374,A:AL,31,FALSE)-50))</f>
        <v>531</v>
      </c>
      <c r="AE374" s="3">
        <v>553</v>
      </c>
      <c r="AF374" s="3">
        <f>IF(ISERROR((VLOOKUP($A374,'SegEnds_NonXtal_BW#'!$A:$Z,22,FALSE)+VLOOKUP($A374,A:AL,31,FALSE)-50)),"-",(VLOOKUP($A374,'SegEnds_NonXtal_BW#'!$A:$Z,22,FALSE)+VLOOKUP($A374,A:AL,31,FALSE)-50))</f>
        <v>581</v>
      </c>
      <c r="AG374" s="3">
        <f>IF(ISERROR(VLOOKUP($A374,'SegEnds_NonXtal_BW#'!$A:$Z,23,FALSE)+VLOOKUP($A374,A:AL,34,FALSE)-50),"-",(VLOOKUP($A374,'SegEnds_NonXtal_BW#'!$A:$Z,23,FALSE)+VLOOKUP($A374,A:AL,34,FALSE)-50))</f>
        <v>599</v>
      </c>
      <c r="AH374" s="3">
        <v>615</v>
      </c>
      <c r="AI374" s="3">
        <f>IF(ISERROR((VLOOKUP($A374,'SegEnds_NonXtal_BW#'!$A:$Z,24,FALSE)+VLOOKUP($A374,A:AL,34,FALSE)-50)),"-",(VLOOKUP($A374,'SegEnds_NonXtal_BW#'!$A:$Z,24,FALSE)+VLOOKUP($A374,A:AL,34,FALSE)-50))</f>
        <v>622</v>
      </c>
      <c r="AJ374" s="3">
        <f>IF(ISERROR(VLOOKUP($A374,'SegEnds_NonXtal_BW#'!$A:$Z,25,FALSE)+VLOOKUP($A374,A:AL,37,FALSE)-50),"-",(VLOOKUP($A374,'SegEnds_NonXtal_BW#'!$A:$Z,25,FALSE)+VLOOKUP($A374,A:AL,37,FALSE)-50))</f>
        <v>623</v>
      </c>
      <c r="AK374" s="3">
        <v>626</v>
      </c>
      <c r="AL374" s="3">
        <f>IF(ISERROR((VLOOKUP($A374,'SegEnds_NonXtal_BW#'!$A:$Z,26,FALSE)+VLOOKUP($A374,A:AL,37,FALSE)-50)),"-",(VLOOKUP($A374,'SegEnds_NonXtal_BW#'!$A:$Z,26,FALSE)+VLOOKUP($A374,A:AL,37,FALSE)-50))</f>
        <v>638</v>
      </c>
      <c r="AM374" s="28" t="str">
        <f>VLOOKUP(A374,Classification!A:B,2,FALSE)</f>
        <v>F</v>
      </c>
      <c r="AN374" s="28" t="b">
        <f t="shared" si="220"/>
        <v>1</v>
      </c>
      <c r="AO374" s="3" t="str">
        <f>IF(ISERROR(MATCH(A374,'SegEnds_Xtal_Prot#'!B:B, 0)), "NoXtal", "Xtal")</f>
        <v>NoXtal</v>
      </c>
      <c r="AP374" s="3">
        <f t="shared" si="205"/>
        <v>1</v>
      </c>
      <c r="AQ374" s="3">
        <f t="shared" si="206"/>
        <v>1</v>
      </c>
      <c r="AR374" s="3" t="str">
        <f t="shared" si="207"/>
        <v>-</v>
      </c>
      <c r="AS374" s="3" t="str">
        <f t="shared" si="208"/>
        <v>-</v>
      </c>
      <c r="AT374" s="3" t="str">
        <f t="shared" si="209"/>
        <v>-</v>
      </c>
      <c r="AU374" s="3" t="str">
        <f t="shared" si="210"/>
        <v>-</v>
      </c>
      <c r="AV374" s="3">
        <f t="shared" si="211"/>
        <v>11</v>
      </c>
      <c r="AW374" s="3">
        <f t="shared" si="212"/>
        <v>4</v>
      </c>
      <c r="AX374" s="3">
        <f t="shared" si="213"/>
        <v>11</v>
      </c>
      <c r="AY374" s="3">
        <f t="shared" si="214"/>
        <v>18</v>
      </c>
      <c r="AZ374" s="3">
        <f t="shared" si="215"/>
        <v>1</v>
      </c>
      <c r="BA374" s="3">
        <f>IF(ISERROR(LEN(VLOOKUP(A374,Seqs!A:E,2,FALSE))-AL374),"-",LEN(VLOOKUP(A374,Seqs!A:E,2,FALSE))-AL374)</f>
        <v>9</v>
      </c>
      <c r="BB374" s="16">
        <f t="shared" si="216"/>
        <v>26</v>
      </c>
      <c r="BC374" s="9" t="str">
        <f t="shared" si="217"/>
        <v>-</v>
      </c>
      <c r="BD374" s="3">
        <f t="shared" si="218"/>
        <v>26</v>
      </c>
      <c r="BE374" s="3">
        <f t="shared" si="219"/>
        <v>55</v>
      </c>
      <c r="BF374" s="3">
        <f>AH374-AE374</f>
        <v>62</v>
      </c>
    </row>
    <row r="375" spans="1:58" s="3" customFormat="1" x14ac:dyDescent="0.2">
      <c r="A375" s="3" t="s">
        <v>441</v>
      </c>
      <c r="B375" s="3" t="str">
        <f>LOWER(VLOOKUP(A375,Xtal_Templ!A:B,2,FALSE))</f>
        <v>fzd4_human</v>
      </c>
      <c r="C375" s="3">
        <f>VLOOKUP($A375,'SegEnds_NonXtal_BW#'!$A:$Z,3,FALSE)+D375-50</f>
        <v>220</v>
      </c>
      <c r="D375" s="3">
        <v>242</v>
      </c>
      <c r="E375" s="3">
        <f>IF(ISERROR(VLOOKUP($A375,'SegEnds_NonXtal_BW#'!$A:$Z,4,FALSE)+VLOOKUP($A375,A:AL,4,FALSE)-50),"-",(VLOOKUP($A375,'SegEnds_NonXtal_BW#'!$A:$Z,4,FALSE)+VLOOKUP($A375,A:AL,4,FALSE)-50))</f>
        <v>252</v>
      </c>
      <c r="F375" s="3">
        <f t="shared" si="222"/>
        <v>253</v>
      </c>
      <c r="G375" s="3">
        <v>256</v>
      </c>
      <c r="H375" s="3">
        <f t="shared" si="227"/>
        <v>257</v>
      </c>
      <c r="I375" s="3">
        <f t="shared" si="224"/>
        <v>258</v>
      </c>
      <c r="J375" s="3">
        <v>268</v>
      </c>
      <c r="K375" s="3">
        <f>VLOOKUP($A375,'SegEnds_NonXtal_BW#'!$A:$Z,8,FALSE)+VLOOKUP($A375,A:AL,10,FALSE)-50</f>
        <v>284</v>
      </c>
      <c r="L375" s="3" t="str">
        <f>IF(ISERROR(VLOOKUP($A375,'SegEnds_NonXtal_BW#'!$A:$Z,9,FALSE)+VLOOKUP($A375,A:AL,13,FALSE)-50),"-",(VLOOKUP($A375,'SegEnds_NonXtal_BW#'!$A:$Z,9,FALSE)+VLOOKUP($A375,A:AL,13,FALSE)-50))</f>
        <v>-</v>
      </c>
      <c r="M375" s="3" t="s">
        <v>23</v>
      </c>
      <c r="N375" s="3" t="str">
        <f>IF(ISERROR(VLOOKUP($A375,'SegEnds_NonXtal_BW#'!$A:$Z,10,FALSE)+VLOOKUP($A375,A:AL,13,FALSE)-50),"-",(VLOOKUP($A375,'SegEnds_NonXtal_BW#'!$A:$Z,10,FALSE)+VLOOKUP($A375,A:AL,13,FALSE)-50))</f>
        <v>-</v>
      </c>
      <c r="O375" s="3">
        <f>VLOOKUP($A375,'SegEnds_NonXtal_BW#'!$A:$Z,11,FALSE)+VLOOKUP($A375,A:AL,16,FALSE)-50</f>
        <v>306</v>
      </c>
      <c r="P375" s="3">
        <v>334</v>
      </c>
      <c r="Q375" s="3">
        <f>VLOOKUP($A375,'SegEnds_NonXtal_BW#'!$A:$Z,12,FALSE)+VLOOKUP($A375,A:AL,16,FALSE)-50</f>
        <v>339</v>
      </c>
      <c r="R375" s="3" t="str">
        <f>IF(ISERROR(VLOOKUP($A375,'SegEnds_NonXtal_BW#'!$A:$Z,13,FALSE)+VLOOKUP($A375,A:AL,19,FALSE)-50),"-",VLOOKUP($A375,'SegEnds_NonXtal_BW#'!$A:$Z,13,FALSE)+VLOOKUP($A375,A:AL,19,FALSE)-50)</f>
        <v>-</v>
      </c>
      <c r="S375" s="3" t="s">
        <v>23</v>
      </c>
      <c r="T375" s="100" t="str">
        <f>IF(ISERROR(VLOOKUP($A375,'SegEnds_NonXtal_BW#'!$A:$Z,14,FALSE)+VLOOKUP($A375,A:AL,19,FALSE)-50),"-",(VLOOKUP($A375,'SegEnds_NonXtal_BW#'!$A:$Z,14,FALSE)+VLOOKUP($A375,A:AL,19,FALSE)-50))</f>
        <v>-</v>
      </c>
      <c r="U375" s="9">
        <f>IF(ISERROR(VLOOKUP($A375,'SegEnds_NonXtal_BW#'!$A:$Z,15,FALSE)+VLOOKUP($A375,A:AL,22,FALSE)-50),"-",VLOOKUP($A375,'SegEnds_NonXtal_BW#'!$A:$Z,15,FALSE)+VLOOKUP($A375,A:AL,22,FALSE)-50)</f>
        <v>350</v>
      </c>
      <c r="V375" s="3">
        <v>359</v>
      </c>
      <c r="W375" s="3">
        <f>IF(ISERROR(VLOOKUP($A375,'SegEnds_NonXtal_BW#'!$A:$Z,16,FALSE)+VLOOKUP($A375,A:AL,22,FALSE)-50),"-",(VLOOKUP($A375,'SegEnds_NonXtal_BW#'!$A:$Z,16,FALSE)+VLOOKUP($A375,A:AL,22,FALSE)-50))</f>
        <v>373</v>
      </c>
      <c r="X375" s="3">
        <f>IF(ISERROR(VLOOKUP($A375,'SegEnds_NonXtal_BW#'!$A:$Z,17,FALSE)+VLOOKUP($A375,A:AL,25,FALSE)-50),"-",(VLOOKUP($A375,'SegEnds_NonXtal_BW#'!$A:$Z,17,FALSE)+VLOOKUP($A375,A:AL,25,FALSE)-50))</f>
        <v>384</v>
      </c>
      <c r="Y375" s="3">
        <v>384</v>
      </c>
      <c r="Z375" s="3">
        <f t="shared" si="226"/>
        <v>386</v>
      </c>
      <c r="AA375" s="3">
        <f>IF(ISERROR(VLOOKUP($A375,'SegEnds_NonXtal_BW#'!$A:$Z,19,FALSE)+VLOOKUP($A375,A:AL,28,FALSE)-50),"-",(VLOOKUP($A375,'SegEnds_NonXtal_BW#'!$A:$Z,19,FALSE)+VLOOKUP($A375,A:AL,28,FALSE)-50))</f>
        <v>390</v>
      </c>
      <c r="AB375" s="3">
        <v>405</v>
      </c>
      <c r="AC375" s="3">
        <f>IF(ISERROR((VLOOKUP($A375,'SegEnds_NonXtal_BW#'!$A:$Z,20,FALSE)+VLOOKUP($A375,A:AL,28,FALSE)-50)),"-",(VLOOKUP($A375,'SegEnds_NonXtal_BW#'!$A:$Z,20,FALSE)+VLOOKUP($A375,A:AL,28,FALSE)-50))</f>
        <v>427</v>
      </c>
      <c r="AD375" s="3">
        <f>IF(ISERROR(VLOOKUP($A375,'SegEnds_NonXtal_BW#'!$A:$Z,21,FALSE)+VLOOKUP($A375,A:AL,31,FALSE)-50),"-",(VLOOKUP($A375,'SegEnds_NonXtal_BW#'!$A:$Z,21,FALSE)+VLOOKUP($A375,A:AL,31,FALSE)-50))</f>
        <v>438</v>
      </c>
      <c r="AE375" s="3">
        <v>460</v>
      </c>
      <c r="AF375" s="3">
        <f>IF(ISERROR((VLOOKUP($A375,'SegEnds_NonXtal_BW#'!$A:$Z,22,FALSE)+VLOOKUP($A375,A:AL,31,FALSE)-50)),"-",(VLOOKUP($A375,'SegEnds_NonXtal_BW#'!$A:$Z,22,FALSE)+VLOOKUP($A375,A:AL,31,FALSE)-50))</f>
        <v>488</v>
      </c>
      <c r="AG375" s="3">
        <f>IF(ISERROR(VLOOKUP($A375,'SegEnds_NonXtal_BW#'!$A:$Z,23,FALSE)+VLOOKUP($A375,A:AL,34,FALSE)-50),"-",(VLOOKUP($A375,'SegEnds_NonXtal_BW#'!$A:$Z,23,FALSE)+VLOOKUP($A375,A:AL,34,FALSE)-50))</f>
        <v>500</v>
      </c>
      <c r="AH375" s="3">
        <v>516</v>
      </c>
      <c r="AI375" s="3">
        <f>IF(ISERROR((VLOOKUP($A375,'SegEnds_NonXtal_BW#'!$A:$Z,24,FALSE)+VLOOKUP($A375,A:AL,34,FALSE)-50)),"-",(VLOOKUP($A375,'SegEnds_NonXtal_BW#'!$A:$Z,24,FALSE)+VLOOKUP($A375,A:AL,34,FALSE)-50))</f>
        <v>523</v>
      </c>
      <c r="AJ375" s="3">
        <f>IF(ISERROR(VLOOKUP($A375,'SegEnds_NonXtal_BW#'!$A:$Z,25,FALSE)+VLOOKUP($A375,A:AL,37,FALSE)-50),"-",(VLOOKUP($A375,'SegEnds_NonXtal_BW#'!$A:$Z,25,FALSE)+VLOOKUP($A375,A:AL,37,FALSE)-50))</f>
        <v>524</v>
      </c>
      <c r="AK375" s="3">
        <v>527</v>
      </c>
      <c r="AL375" s="3">
        <f>IF(ISERROR((VLOOKUP($A375,'SegEnds_NonXtal_BW#'!$A:$Z,26,FALSE)+VLOOKUP($A375,A:AL,37,FALSE)-50)),"-",(VLOOKUP($A375,'SegEnds_NonXtal_BW#'!$A:$Z,26,FALSE)+VLOOKUP($A375,A:AL,37,FALSE)-50))</f>
        <v>539</v>
      </c>
      <c r="AM375" s="28" t="str">
        <f>VLOOKUP(A375,Classification!A:B,2,FALSE)</f>
        <v>F</v>
      </c>
      <c r="AN375" s="28" t="b">
        <f t="shared" si="220"/>
        <v>1</v>
      </c>
      <c r="AO375" s="3" t="str">
        <f>IF(ISERROR(MATCH(A375,'SegEnds_Xtal_Prot#'!B:B, 0)), "NoXtal", "Xtal")</f>
        <v>NoXtal</v>
      </c>
      <c r="AP375" s="3">
        <f t="shared" si="205"/>
        <v>1</v>
      </c>
      <c r="AQ375" s="3">
        <f t="shared" si="206"/>
        <v>1</v>
      </c>
      <c r="AR375" s="3" t="str">
        <f t="shared" si="207"/>
        <v>-</v>
      </c>
      <c r="AS375" s="3" t="str">
        <f t="shared" si="208"/>
        <v>-</v>
      </c>
      <c r="AT375" s="3" t="str">
        <f t="shared" si="209"/>
        <v>-</v>
      </c>
      <c r="AU375" s="3" t="str">
        <f t="shared" si="210"/>
        <v>-</v>
      </c>
      <c r="AV375" s="3">
        <f t="shared" si="211"/>
        <v>11</v>
      </c>
      <c r="AW375" s="3">
        <f t="shared" si="212"/>
        <v>4</v>
      </c>
      <c r="AX375" s="3">
        <f t="shared" si="213"/>
        <v>11</v>
      </c>
      <c r="AY375" s="3">
        <f t="shared" si="214"/>
        <v>12</v>
      </c>
      <c r="AZ375" s="3">
        <f t="shared" si="215"/>
        <v>1</v>
      </c>
      <c r="BA375" s="3">
        <f>IF(ISERROR(LEN(VLOOKUP(A375,Seqs!A:E,2,FALSE))-AL375),"-",LEN(VLOOKUP(A375,Seqs!A:E,2,FALSE))-AL375)</f>
        <v>42</v>
      </c>
      <c r="BB375" s="16">
        <f t="shared" si="216"/>
        <v>26</v>
      </c>
      <c r="BC375" s="9" t="str">
        <f t="shared" si="217"/>
        <v>-</v>
      </c>
      <c r="BD375" s="3">
        <f t="shared" si="218"/>
        <v>26</v>
      </c>
      <c r="BE375" s="3">
        <f t="shared" si="219"/>
        <v>55</v>
      </c>
    </row>
    <row r="376" spans="1:58" s="3" customFormat="1" x14ac:dyDescent="0.2">
      <c r="A376" s="3" t="s">
        <v>442</v>
      </c>
      <c r="B376" s="3" t="str">
        <f>LOWER(VLOOKUP(A376,Xtal_Templ!A:B,2,FALSE))</f>
        <v>fzd4_human</v>
      </c>
      <c r="C376" s="3">
        <f>VLOOKUP($A376,'SegEnds_NonXtal_BW#'!$A:$Z,3,FALSE)+D376-50</f>
        <v>237</v>
      </c>
      <c r="D376" s="3">
        <v>259</v>
      </c>
      <c r="E376" s="3">
        <f>IF(ISERROR(VLOOKUP($A376,'SegEnds_NonXtal_BW#'!$A:$Z,4,FALSE)+VLOOKUP($A376,A:AL,4,FALSE)-50),"-",(VLOOKUP($A376,'SegEnds_NonXtal_BW#'!$A:$Z,4,FALSE)+VLOOKUP($A376,A:AL,4,FALSE)-50))</f>
        <v>269</v>
      </c>
      <c r="F376" s="3">
        <f t="shared" si="222"/>
        <v>270</v>
      </c>
      <c r="G376" s="3">
        <v>273</v>
      </c>
      <c r="H376" s="3">
        <f t="shared" si="227"/>
        <v>274</v>
      </c>
      <c r="I376" s="3">
        <f t="shared" si="224"/>
        <v>275</v>
      </c>
      <c r="J376" s="3">
        <v>285</v>
      </c>
      <c r="K376" s="3">
        <f>VLOOKUP($A376,'SegEnds_NonXtal_BW#'!$A:$Z,8,FALSE)+VLOOKUP($A376,A:AL,10,FALSE)-50</f>
        <v>301</v>
      </c>
      <c r="L376" s="3" t="str">
        <f>IF(ISERROR(VLOOKUP($A376,'SegEnds_NonXtal_BW#'!$A:$Z,9,FALSE)+VLOOKUP($A376,A:AL,13,FALSE)-50),"-",(VLOOKUP($A376,'SegEnds_NonXtal_BW#'!$A:$Z,9,FALSE)+VLOOKUP($A376,A:AL,13,FALSE)-50))</f>
        <v>-</v>
      </c>
      <c r="M376" s="3" t="s">
        <v>23</v>
      </c>
      <c r="N376" s="3" t="str">
        <f>IF(ISERROR(VLOOKUP($A376,'SegEnds_NonXtal_BW#'!$A:$Z,10,FALSE)+VLOOKUP($A376,A:AL,13,FALSE)-50),"-",(VLOOKUP($A376,'SegEnds_NonXtal_BW#'!$A:$Z,10,FALSE)+VLOOKUP($A376,A:AL,13,FALSE)-50))</f>
        <v>-</v>
      </c>
      <c r="O376" s="3">
        <f>VLOOKUP($A376,'SegEnds_NonXtal_BW#'!$A:$Z,11,FALSE)+VLOOKUP($A376,A:AL,16,FALSE)-50</f>
        <v>324</v>
      </c>
      <c r="P376" s="3">
        <v>352</v>
      </c>
      <c r="Q376" s="3">
        <f>VLOOKUP($A376,'SegEnds_NonXtal_BW#'!$A:$Z,12,FALSE)+VLOOKUP($A376,A:AL,16,FALSE)-50</f>
        <v>357</v>
      </c>
      <c r="R376" s="3" t="str">
        <f>IF(ISERROR(VLOOKUP($A376,'SegEnds_NonXtal_BW#'!$A:$Z,13,FALSE)+VLOOKUP($A376,A:AL,19,FALSE)-50),"-",VLOOKUP($A376,'SegEnds_NonXtal_BW#'!$A:$Z,13,FALSE)+VLOOKUP($A376,A:AL,19,FALSE)-50)</f>
        <v>-</v>
      </c>
      <c r="S376" s="3" t="s">
        <v>23</v>
      </c>
      <c r="T376" s="100" t="str">
        <f>IF(ISERROR(VLOOKUP($A376,'SegEnds_NonXtal_BW#'!$A:$Z,14,FALSE)+VLOOKUP($A376,A:AL,19,FALSE)-50),"-",(VLOOKUP($A376,'SegEnds_NonXtal_BW#'!$A:$Z,14,FALSE)+VLOOKUP($A376,A:AL,19,FALSE)-50))</f>
        <v>-</v>
      </c>
      <c r="U376" s="9">
        <f>IF(ISERROR(VLOOKUP($A376,'SegEnds_NonXtal_BW#'!$A:$Z,15,FALSE)+VLOOKUP($A376,A:AL,22,FALSE)-50),"-",VLOOKUP($A376,'SegEnds_NonXtal_BW#'!$A:$Z,15,FALSE)+VLOOKUP($A376,A:AL,22,FALSE)-50)</f>
        <v>368</v>
      </c>
      <c r="V376" s="3">
        <v>377</v>
      </c>
      <c r="W376" s="3">
        <f>IF(ISERROR(VLOOKUP($A376,'SegEnds_NonXtal_BW#'!$A:$Z,16,FALSE)+VLOOKUP($A376,A:AL,22,FALSE)-50),"-",(VLOOKUP($A376,'SegEnds_NonXtal_BW#'!$A:$Z,16,FALSE)+VLOOKUP($A376,A:AL,22,FALSE)-50))</f>
        <v>391</v>
      </c>
      <c r="X376" s="3">
        <f>IF(ISERROR(VLOOKUP($A376,'SegEnds_NonXtal_BW#'!$A:$Z,17,FALSE)+VLOOKUP($A376,A:AL,25,FALSE)-50),"-",(VLOOKUP($A376,'SegEnds_NonXtal_BW#'!$A:$Z,17,FALSE)+VLOOKUP($A376,A:AL,25,FALSE)-50))</f>
        <v>402</v>
      </c>
      <c r="Y376" s="3">
        <v>402</v>
      </c>
      <c r="Z376" s="3">
        <f t="shared" si="226"/>
        <v>404</v>
      </c>
      <c r="AA376" s="3">
        <f>IF(ISERROR(VLOOKUP($A376,'SegEnds_NonXtal_BW#'!$A:$Z,19,FALSE)+VLOOKUP($A376,A:AL,28,FALSE)-50),"-",(VLOOKUP($A376,'SegEnds_NonXtal_BW#'!$A:$Z,19,FALSE)+VLOOKUP($A376,A:AL,28,FALSE)-50))</f>
        <v>408</v>
      </c>
      <c r="AB376" s="3">
        <v>423</v>
      </c>
      <c r="AC376" s="3">
        <f>IF(ISERROR((VLOOKUP($A376,'SegEnds_NonXtal_BW#'!$A:$Z,20,FALSE)+VLOOKUP($A376,A:AL,28,FALSE)-50)),"-",(VLOOKUP($A376,'SegEnds_NonXtal_BW#'!$A:$Z,20,FALSE)+VLOOKUP($A376,A:AL,28,FALSE)-50))</f>
        <v>445</v>
      </c>
      <c r="AD376" s="3">
        <f>IF(ISERROR(VLOOKUP($A376,'SegEnds_NonXtal_BW#'!$A:$Z,21,FALSE)+VLOOKUP($A376,A:AL,31,FALSE)-50),"-",(VLOOKUP($A376,'SegEnds_NonXtal_BW#'!$A:$Z,21,FALSE)+VLOOKUP($A376,A:AL,31,FALSE)-50))</f>
        <v>456</v>
      </c>
      <c r="AE376" s="3">
        <v>478</v>
      </c>
      <c r="AF376" s="3">
        <f>IF(ISERROR((VLOOKUP($A376,'SegEnds_NonXtal_BW#'!$A:$Z,22,FALSE)+VLOOKUP($A376,A:AL,31,FALSE)-50)),"-",(VLOOKUP($A376,'SegEnds_NonXtal_BW#'!$A:$Z,22,FALSE)+VLOOKUP($A376,A:AL,31,FALSE)-50))</f>
        <v>506</v>
      </c>
      <c r="AG376" s="3">
        <f>IF(ISERROR(VLOOKUP($A376,'SegEnds_NonXtal_BW#'!$A:$Z,23,FALSE)+VLOOKUP($A376,A:AL,34,FALSE)-50),"-",(VLOOKUP($A376,'SegEnds_NonXtal_BW#'!$A:$Z,23,FALSE)+VLOOKUP($A376,A:AL,34,FALSE)-50))</f>
        <v>517</v>
      </c>
      <c r="AH376" s="3">
        <v>533</v>
      </c>
      <c r="AI376" s="3">
        <f>IF(ISERROR((VLOOKUP($A376,'SegEnds_NonXtal_BW#'!$A:$Z,24,FALSE)+VLOOKUP($A376,A:AL,34,FALSE)-50)),"-",(VLOOKUP($A376,'SegEnds_NonXtal_BW#'!$A:$Z,24,FALSE)+VLOOKUP($A376,A:AL,34,FALSE)-50))</f>
        <v>540</v>
      </c>
      <c r="AJ376" s="3">
        <f>IF(ISERROR(VLOOKUP($A376,'SegEnds_NonXtal_BW#'!$A:$Z,25,FALSE)+VLOOKUP($A376,A:AL,37,FALSE)-50),"-",(VLOOKUP($A376,'SegEnds_NonXtal_BW#'!$A:$Z,25,FALSE)+VLOOKUP($A376,A:AL,37,FALSE)-50))</f>
        <v>541</v>
      </c>
      <c r="AK376" s="3">
        <v>544</v>
      </c>
      <c r="AL376" s="3">
        <f>IF(ISERROR((VLOOKUP($A376,'SegEnds_NonXtal_BW#'!$A:$Z,26,FALSE)+VLOOKUP($A376,A:AL,37,FALSE)-50)),"-",(VLOOKUP($A376,'SegEnds_NonXtal_BW#'!$A:$Z,26,FALSE)+VLOOKUP($A376,A:AL,37,FALSE)-50))</f>
        <v>556</v>
      </c>
      <c r="AM376" s="28" t="str">
        <f>VLOOKUP(A376,Classification!A:B,2,FALSE)</f>
        <v>F</v>
      </c>
      <c r="AN376" s="28" t="b">
        <f t="shared" si="220"/>
        <v>1</v>
      </c>
      <c r="AO376" s="3" t="str">
        <f>IF(ISERROR(MATCH(A376,'SegEnds_Xtal_Prot#'!B:B, 0)), "NoXtal", "Xtal")</f>
        <v>NoXtal</v>
      </c>
      <c r="AP376" s="3">
        <f t="shared" si="205"/>
        <v>1</v>
      </c>
      <c r="AQ376" s="3">
        <f t="shared" si="206"/>
        <v>1</v>
      </c>
      <c r="AR376" s="3" t="str">
        <f t="shared" si="207"/>
        <v>-</v>
      </c>
      <c r="AS376" s="3" t="str">
        <f t="shared" si="208"/>
        <v>-</v>
      </c>
      <c r="AT376" s="3" t="str">
        <f t="shared" si="209"/>
        <v>-</v>
      </c>
      <c r="AU376" s="3" t="str">
        <f t="shared" si="210"/>
        <v>-</v>
      </c>
      <c r="AV376" s="3">
        <f t="shared" si="211"/>
        <v>11</v>
      </c>
      <c r="AW376" s="3">
        <f t="shared" si="212"/>
        <v>4</v>
      </c>
      <c r="AX376" s="3">
        <f t="shared" si="213"/>
        <v>11</v>
      </c>
      <c r="AY376" s="3">
        <f t="shared" si="214"/>
        <v>11</v>
      </c>
      <c r="AZ376" s="3">
        <f t="shared" si="215"/>
        <v>1</v>
      </c>
      <c r="BA376" s="3">
        <f>IF(ISERROR(LEN(VLOOKUP(A376,Seqs!A:E,2,FALSE))-AL376),"-",LEN(VLOOKUP(A376,Seqs!A:E,2,FALSE))-AL376)</f>
        <v>9</v>
      </c>
      <c r="BB376" s="16">
        <f t="shared" si="216"/>
        <v>26</v>
      </c>
      <c r="BC376" s="9" t="str">
        <f t="shared" si="217"/>
        <v>-</v>
      </c>
      <c r="BD376" s="3">
        <f t="shared" si="218"/>
        <v>26</v>
      </c>
      <c r="BE376" s="3">
        <f t="shared" si="219"/>
        <v>55</v>
      </c>
      <c r="BF376" s="3">
        <f>AH376-AE376</f>
        <v>55</v>
      </c>
    </row>
    <row r="377" spans="1:58" s="3" customFormat="1" x14ac:dyDescent="0.2">
      <c r="A377" s="3" t="s">
        <v>443</v>
      </c>
      <c r="B377" s="3" t="str">
        <f>LOWER(VLOOKUP(A377,Xtal_Templ!A:B,2,FALSE))</f>
        <v>fzd4_human</v>
      </c>
      <c r="C377" s="3">
        <f>VLOOKUP($A377,'SegEnds_NonXtal_BW#'!$A:$Z,3,FALSE)+D377-50</f>
        <v>195</v>
      </c>
      <c r="D377" s="3">
        <v>217</v>
      </c>
      <c r="E377" s="3">
        <f>IF(ISERROR(VLOOKUP($A377,'SegEnds_NonXtal_BW#'!$A:$Z,4,FALSE)+VLOOKUP($A377,A:AL,4,FALSE)-50),"-",(VLOOKUP($A377,'SegEnds_NonXtal_BW#'!$A:$Z,4,FALSE)+VLOOKUP($A377,A:AL,4,FALSE)-50))</f>
        <v>227</v>
      </c>
      <c r="F377" s="3">
        <f t="shared" si="222"/>
        <v>228</v>
      </c>
      <c r="G377" s="3">
        <v>231</v>
      </c>
      <c r="H377" s="3">
        <f t="shared" si="227"/>
        <v>232</v>
      </c>
      <c r="I377" s="3">
        <f t="shared" si="224"/>
        <v>233</v>
      </c>
      <c r="J377" s="3">
        <v>243</v>
      </c>
      <c r="K377" s="3">
        <f>VLOOKUP($A377,'SegEnds_NonXtal_BW#'!$A:$Z,8,FALSE)+VLOOKUP($A377,A:AL,10,FALSE)-50</f>
        <v>259</v>
      </c>
      <c r="L377" s="3" t="str">
        <f>IF(ISERROR(VLOOKUP($A377,'SegEnds_NonXtal_BW#'!$A:$Z,9,FALSE)+VLOOKUP($A377,A:AL,13,FALSE)-50),"-",(VLOOKUP($A377,'SegEnds_NonXtal_BW#'!$A:$Z,9,FALSE)+VLOOKUP($A377,A:AL,13,FALSE)-50))</f>
        <v>-</v>
      </c>
      <c r="M377" s="3" t="s">
        <v>23</v>
      </c>
      <c r="N377" s="3" t="str">
        <f>IF(ISERROR(VLOOKUP($A377,'SegEnds_NonXtal_BW#'!$A:$Z,10,FALSE)+VLOOKUP($A377,A:AL,13,FALSE)-50),"-",(VLOOKUP($A377,'SegEnds_NonXtal_BW#'!$A:$Z,10,FALSE)+VLOOKUP($A377,A:AL,13,FALSE)-50))</f>
        <v>-</v>
      </c>
      <c r="O377" s="3">
        <f>VLOOKUP($A377,'SegEnds_NonXtal_BW#'!$A:$Z,11,FALSE)+VLOOKUP($A377,A:AL,16,FALSE)-50</f>
        <v>283</v>
      </c>
      <c r="P377" s="3">
        <v>311</v>
      </c>
      <c r="Q377" s="3">
        <f>VLOOKUP($A377,'SegEnds_NonXtal_BW#'!$A:$Z,12,FALSE)+VLOOKUP($A377,A:AL,16,FALSE)-50</f>
        <v>316</v>
      </c>
      <c r="R377" s="3" t="str">
        <f>IF(ISERROR(VLOOKUP($A377,'SegEnds_NonXtal_BW#'!$A:$Z,13,FALSE)+VLOOKUP($A377,A:AL,19,FALSE)-50),"-",VLOOKUP($A377,'SegEnds_NonXtal_BW#'!$A:$Z,13,FALSE)+VLOOKUP($A377,A:AL,19,FALSE)-50)</f>
        <v>-</v>
      </c>
      <c r="S377" s="3" t="s">
        <v>23</v>
      </c>
      <c r="T377" s="100" t="str">
        <f>IF(ISERROR(VLOOKUP($A377,'SegEnds_NonXtal_BW#'!$A:$Z,14,FALSE)+VLOOKUP($A377,A:AL,19,FALSE)-50),"-",(VLOOKUP($A377,'SegEnds_NonXtal_BW#'!$A:$Z,14,FALSE)+VLOOKUP($A377,A:AL,19,FALSE)-50))</f>
        <v>-</v>
      </c>
      <c r="U377" s="9">
        <f>IF(ISERROR(VLOOKUP($A377,'SegEnds_NonXtal_BW#'!$A:$Z,15,FALSE)+VLOOKUP($A377,A:AL,22,FALSE)-50),"-",VLOOKUP($A377,'SegEnds_NonXtal_BW#'!$A:$Z,15,FALSE)+VLOOKUP($A377,A:AL,22,FALSE)-50)</f>
        <v>327</v>
      </c>
      <c r="V377" s="3">
        <v>336</v>
      </c>
      <c r="W377" s="3">
        <f>IF(ISERROR(VLOOKUP($A377,'SegEnds_NonXtal_BW#'!$A:$Z,16,FALSE)+VLOOKUP($A377,A:AL,22,FALSE)-50),"-",(VLOOKUP($A377,'SegEnds_NonXtal_BW#'!$A:$Z,16,FALSE)+VLOOKUP($A377,A:AL,22,FALSE)-50))</f>
        <v>350</v>
      </c>
      <c r="X377" s="3">
        <f>IF(ISERROR(VLOOKUP($A377,'SegEnds_NonXtal_BW#'!$A:$Z,17,FALSE)+VLOOKUP($A377,A:AL,25,FALSE)-50),"-",(VLOOKUP($A377,'SegEnds_NonXtal_BW#'!$A:$Z,17,FALSE)+VLOOKUP($A377,A:AL,25,FALSE)-50))</f>
        <v>361</v>
      </c>
      <c r="Y377" s="3">
        <v>361</v>
      </c>
      <c r="Z377" s="3">
        <f t="shared" si="226"/>
        <v>363</v>
      </c>
      <c r="AA377" s="3">
        <f>IF(ISERROR(VLOOKUP($A377,'SegEnds_NonXtal_BW#'!$A:$Z,19,FALSE)+VLOOKUP($A377,A:AL,28,FALSE)-50),"-",(VLOOKUP($A377,'SegEnds_NonXtal_BW#'!$A:$Z,19,FALSE)+VLOOKUP($A377,A:AL,28,FALSE)-50))</f>
        <v>367</v>
      </c>
      <c r="AB377" s="3">
        <v>382</v>
      </c>
      <c r="AC377" s="3">
        <f>IF(ISERROR((VLOOKUP($A377,'SegEnds_NonXtal_BW#'!$A:$Z,20,FALSE)+VLOOKUP($A377,A:AL,28,FALSE)-50)),"-",(VLOOKUP($A377,'SegEnds_NonXtal_BW#'!$A:$Z,20,FALSE)+VLOOKUP($A377,A:AL,28,FALSE)-50))</f>
        <v>404</v>
      </c>
      <c r="AD377" s="3">
        <f>IF(ISERROR(VLOOKUP($A377,'SegEnds_NonXtal_BW#'!$A:$Z,21,FALSE)+VLOOKUP($A377,A:AL,31,FALSE)-50),"-",(VLOOKUP($A377,'SegEnds_NonXtal_BW#'!$A:$Z,21,FALSE)+VLOOKUP($A377,A:AL,31,FALSE)-50))</f>
        <v>415</v>
      </c>
      <c r="AE377" s="3">
        <v>437</v>
      </c>
      <c r="AF377" s="3">
        <f>IF(ISERROR((VLOOKUP($A377,'SegEnds_NonXtal_BW#'!$A:$Z,22,FALSE)+VLOOKUP($A377,A:AL,31,FALSE)-50)),"-",(VLOOKUP($A377,'SegEnds_NonXtal_BW#'!$A:$Z,22,FALSE)+VLOOKUP($A377,A:AL,31,FALSE)-50))</f>
        <v>465</v>
      </c>
      <c r="AG377" s="3">
        <f>IF(ISERROR(VLOOKUP($A377,'SegEnds_NonXtal_BW#'!$A:$Z,23,FALSE)+VLOOKUP($A377,A:AL,34,FALSE)-50),"-",(VLOOKUP($A377,'SegEnds_NonXtal_BW#'!$A:$Z,23,FALSE)+VLOOKUP($A377,A:AL,34,FALSE)-50))</f>
        <v>476</v>
      </c>
      <c r="AH377" s="3">
        <v>492</v>
      </c>
      <c r="AI377" s="3">
        <f>IF(ISERROR((VLOOKUP($A377,'SegEnds_NonXtal_BW#'!$A:$Z,24,FALSE)+VLOOKUP($A377,A:AL,34,FALSE)-50)),"-",(VLOOKUP($A377,'SegEnds_NonXtal_BW#'!$A:$Z,24,FALSE)+VLOOKUP($A377,A:AL,34,FALSE)-50))</f>
        <v>499</v>
      </c>
      <c r="AJ377" s="3">
        <f>IF(ISERROR(VLOOKUP($A377,'SegEnds_NonXtal_BW#'!$A:$Z,25,FALSE)+VLOOKUP($A377,A:AL,37,FALSE)-50),"-",(VLOOKUP($A377,'SegEnds_NonXtal_BW#'!$A:$Z,25,FALSE)+VLOOKUP($A377,A:AL,37,FALSE)-50))</f>
        <v>500</v>
      </c>
      <c r="AK377" s="3">
        <v>503</v>
      </c>
      <c r="AL377" s="3">
        <f>IF(ISERROR((VLOOKUP($A377,'SegEnds_NonXtal_BW#'!$A:$Z,26,FALSE)+VLOOKUP($A377,A:AL,37,FALSE)-50)),"-",(VLOOKUP($A377,'SegEnds_NonXtal_BW#'!$A:$Z,26,FALSE)+VLOOKUP($A377,A:AL,37,FALSE)-50))</f>
        <v>515</v>
      </c>
      <c r="AM377" s="28" t="str">
        <f>VLOOKUP(A377,Classification!A:B,2,FALSE)</f>
        <v>F</v>
      </c>
      <c r="AN377" s="28" t="b">
        <f t="shared" si="220"/>
        <v>1</v>
      </c>
      <c r="AO377" s="3" t="str">
        <f>IF(ISERROR(MATCH(A377,'SegEnds_Xtal_Prot#'!B:B, 0)), "NoXtal", "Xtal")</f>
        <v>NoXtal</v>
      </c>
      <c r="AP377" s="3">
        <f t="shared" si="205"/>
        <v>1</v>
      </c>
      <c r="AQ377" s="3">
        <f t="shared" si="206"/>
        <v>1</v>
      </c>
      <c r="AR377" s="3" t="str">
        <f t="shared" si="207"/>
        <v>-</v>
      </c>
      <c r="AS377" s="3" t="str">
        <f t="shared" si="208"/>
        <v>-</v>
      </c>
      <c r="AT377" s="3" t="str">
        <f t="shared" si="209"/>
        <v>-</v>
      </c>
      <c r="AU377" s="3" t="str">
        <f t="shared" si="210"/>
        <v>-</v>
      </c>
      <c r="AV377" s="3">
        <f t="shared" si="211"/>
        <v>11</v>
      </c>
      <c r="AW377" s="3">
        <f t="shared" si="212"/>
        <v>4</v>
      </c>
      <c r="AX377" s="3">
        <f t="shared" si="213"/>
        <v>11</v>
      </c>
      <c r="AY377" s="3">
        <f t="shared" si="214"/>
        <v>11</v>
      </c>
      <c r="AZ377" s="3">
        <f t="shared" si="215"/>
        <v>1</v>
      </c>
      <c r="BA377" s="3">
        <f>IF(ISERROR(LEN(VLOOKUP(A377,Seqs!A:E,2,FALSE))-AL377),"-",LEN(VLOOKUP(A377,Seqs!A:E,2,FALSE))-AL377)</f>
        <v>151</v>
      </c>
      <c r="BB377" s="16">
        <f t="shared" si="216"/>
        <v>26</v>
      </c>
      <c r="BC377" s="9" t="str">
        <f t="shared" si="217"/>
        <v>-</v>
      </c>
      <c r="BD377" s="3">
        <f t="shared" si="218"/>
        <v>26</v>
      </c>
      <c r="BE377" s="3">
        <f t="shared" si="219"/>
        <v>55</v>
      </c>
    </row>
    <row r="378" spans="1:58" s="3" customFormat="1" x14ac:dyDescent="0.2">
      <c r="A378" s="3" t="s">
        <v>444</v>
      </c>
      <c r="B378" s="3" t="str">
        <f>LOWER(VLOOKUP(A378,Xtal_Templ!A:B,2,FALSE))</f>
        <v>fzd4_human</v>
      </c>
      <c r="C378" s="3">
        <f>VLOOKUP($A378,'SegEnds_NonXtal_BW#'!$A:$Z,3,FALSE)+D378-50</f>
        <v>212</v>
      </c>
      <c r="D378" s="3">
        <v>234</v>
      </c>
      <c r="E378" s="3">
        <f>IF(ISERROR(VLOOKUP($A378,'SegEnds_NonXtal_BW#'!$A:$Z,4,FALSE)+VLOOKUP($A378,A:AL,4,FALSE)-50),"-",(VLOOKUP($A378,'SegEnds_NonXtal_BW#'!$A:$Z,4,FALSE)+VLOOKUP($A378,A:AL,4,FALSE)-50))</f>
        <v>244</v>
      </c>
      <c r="F378" s="3">
        <f t="shared" si="222"/>
        <v>245</v>
      </c>
      <c r="G378" s="3">
        <v>248</v>
      </c>
      <c r="H378" s="3">
        <f t="shared" si="227"/>
        <v>249</v>
      </c>
      <c r="I378" s="3">
        <f t="shared" si="224"/>
        <v>250</v>
      </c>
      <c r="J378" s="3">
        <v>260</v>
      </c>
      <c r="K378" s="3">
        <f>VLOOKUP($A378,'SegEnds_NonXtal_BW#'!$A:$Z,8,FALSE)+VLOOKUP($A378,A:AL,10,FALSE)-50</f>
        <v>276</v>
      </c>
      <c r="L378" s="3" t="str">
        <f>IF(ISERROR(VLOOKUP($A378,'SegEnds_NonXtal_BW#'!$A:$Z,9,FALSE)+VLOOKUP($A378,A:AL,13,FALSE)-50),"-",(VLOOKUP($A378,'SegEnds_NonXtal_BW#'!$A:$Z,9,FALSE)+VLOOKUP($A378,A:AL,13,FALSE)-50))</f>
        <v>-</v>
      </c>
      <c r="M378" s="3" t="s">
        <v>23</v>
      </c>
      <c r="N378" s="3" t="str">
        <f>IF(ISERROR(VLOOKUP($A378,'SegEnds_NonXtal_BW#'!$A:$Z,10,FALSE)+VLOOKUP($A378,A:AL,13,FALSE)-50),"-",(VLOOKUP($A378,'SegEnds_NonXtal_BW#'!$A:$Z,10,FALSE)+VLOOKUP($A378,A:AL,13,FALSE)-50))</f>
        <v>-</v>
      </c>
      <c r="O378" s="3">
        <f>VLOOKUP($A378,'SegEnds_NonXtal_BW#'!$A:$Z,11,FALSE)+VLOOKUP($A378,A:AL,16,FALSE)-50</f>
        <v>299</v>
      </c>
      <c r="P378" s="3">
        <v>327</v>
      </c>
      <c r="Q378" s="3">
        <f>VLOOKUP($A378,'SegEnds_NonXtal_BW#'!$A:$Z,12,FALSE)+VLOOKUP($A378,A:AL,16,FALSE)-50</f>
        <v>332</v>
      </c>
      <c r="R378" s="3" t="str">
        <f>IF(ISERROR(VLOOKUP($A378,'SegEnds_NonXtal_BW#'!$A:$Z,13,FALSE)+VLOOKUP($A378,A:AL,19,FALSE)-50),"-",VLOOKUP($A378,'SegEnds_NonXtal_BW#'!$A:$Z,13,FALSE)+VLOOKUP($A378,A:AL,19,FALSE)-50)</f>
        <v>-</v>
      </c>
      <c r="S378" s="3" t="s">
        <v>23</v>
      </c>
      <c r="T378" s="100" t="str">
        <f>IF(ISERROR(VLOOKUP($A378,'SegEnds_NonXtal_BW#'!$A:$Z,14,FALSE)+VLOOKUP($A378,A:AL,19,FALSE)-50),"-",(VLOOKUP($A378,'SegEnds_NonXtal_BW#'!$A:$Z,14,FALSE)+VLOOKUP($A378,A:AL,19,FALSE)-50))</f>
        <v>-</v>
      </c>
      <c r="U378" s="9">
        <f>IF(ISERROR(VLOOKUP($A378,'SegEnds_NonXtal_BW#'!$A:$Z,15,FALSE)+VLOOKUP($A378,A:AL,22,FALSE)-50),"-",VLOOKUP($A378,'SegEnds_NonXtal_BW#'!$A:$Z,15,FALSE)+VLOOKUP($A378,A:AL,22,FALSE)-50)</f>
        <v>343</v>
      </c>
      <c r="V378" s="3">
        <v>352</v>
      </c>
      <c r="W378" s="3">
        <f>IF(ISERROR(VLOOKUP($A378,'SegEnds_NonXtal_BW#'!$A:$Z,16,FALSE)+VLOOKUP($A378,A:AL,22,FALSE)-50),"-",(VLOOKUP($A378,'SegEnds_NonXtal_BW#'!$A:$Z,16,FALSE)+VLOOKUP($A378,A:AL,22,FALSE)-50))</f>
        <v>366</v>
      </c>
      <c r="X378" s="3">
        <f>IF(ISERROR(VLOOKUP($A378,'SegEnds_NonXtal_BW#'!$A:$Z,17,FALSE)+VLOOKUP($A378,A:AL,25,FALSE)-50),"-",(VLOOKUP($A378,'SegEnds_NonXtal_BW#'!$A:$Z,17,FALSE)+VLOOKUP($A378,A:AL,25,FALSE)-50))</f>
        <v>377</v>
      </c>
      <c r="Y378" s="3">
        <v>377</v>
      </c>
      <c r="Z378" s="3">
        <f t="shared" si="226"/>
        <v>379</v>
      </c>
      <c r="AA378" s="3">
        <f>IF(ISERROR(VLOOKUP($A378,'SegEnds_NonXtal_BW#'!$A:$Z,19,FALSE)+VLOOKUP($A378,A:AL,28,FALSE)-50),"-",(VLOOKUP($A378,'SegEnds_NonXtal_BW#'!$A:$Z,19,FALSE)+VLOOKUP($A378,A:AL,28,FALSE)-50))</f>
        <v>383</v>
      </c>
      <c r="AB378" s="3">
        <v>398</v>
      </c>
      <c r="AC378" s="3">
        <f>IF(ISERROR((VLOOKUP($A378,'SegEnds_NonXtal_BW#'!$A:$Z,20,FALSE)+VLOOKUP($A378,A:AL,28,FALSE)-50)),"-",(VLOOKUP($A378,'SegEnds_NonXtal_BW#'!$A:$Z,20,FALSE)+VLOOKUP($A378,A:AL,28,FALSE)-50))</f>
        <v>420</v>
      </c>
      <c r="AD378" s="3">
        <f>IF(ISERROR(VLOOKUP($A378,'SegEnds_NonXtal_BW#'!$A:$Z,21,FALSE)+VLOOKUP($A378,A:AL,31,FALSE)-50),"-",(VLOOKUP($A378,'SegEnds_NonXtal_BW#'!$A:$Z,21,FALSE)+VLOOKUP($A378,A:AL,31,FALSE)-50))</f>
        <v>431</v>
      </c>
      <c r="AE378" s="3">
        <v>453</v>
      </c>
      <c r="AF378" s="3">
        <f>IF(ISERROR((VLOOKUP($A378,'SegEnds_NonXtal_BW#'!$A:$Z,22,FALSE)+VLOOKUP($A378,A:AL,31,FALSE)-50)),"-",(VLOOKUP($A378,'SegEnds_NonXtal_BW#'!$A:$Z,22,FALSE)+VLOOKUP($A378,A:AL,31,FALSE)-50))</f>
        <v>461</v>
      </c>
      <c r="AG378" s="3">
        <f>IF(ISERROR(VLOOKUP($A378,'SegEnds_NonXtal_BW#'!$A:$Z,23,FALSE)+VLOOKUP($A378,A:AL,34,FALSE)-50),"-",(VLOOKUP($A378,'SegEnds_NonXtal_BW#'!$A:$Z,23,FALSE)+VLOOKUP($A378,A:AL,34,FALSE)-50))</f>
        <v>473</v>
      </c>
      <c r="AH378" s="3">
        <v>489</v>
      </c>
      <c r="AI378" s="3">
        <f>IF(ISERROR((VLOOKUP($A378,'SegEnds_NonXtal_BW#'!$A:$Z,24,FALSE)+VLOOKUP($A378,A:AL,34,FALSE)-50)),"-",(VLOOKUP($A378,'SegEnds_NonXtal_BW#'!$A:$Z,24,FALSE)+VLOOKUP($A378,A:AL,34,FALSE)-50))</f>
        <v>496</v>
      </c>
      <c r="AJ378" s="3">
        <f>IF(ISERROR(VLOOKUP($A378,'SegEnds_NonXtal_BW#'!$A:$Z,25,FALSE)+VLOOKUP($A378,A:AL,37,FALSE)-50),"-",(VLOOKUP($A378,'SegEnds_NonXtal_BW#'!$A:$Z,25,FALSE)+VLOOKUP($A378,A:AL,37,FALSE)-50))</f>
        <v>497</v>
      </c>
      <c r="AK378" s="3">
        <v>500</v>
      </c>
      <c r="AL378" s="3">
        <f>IF(ISERROR((VLOOKUP($A378,'SegEnds_NonXtal_BW#'!$A:$Z,26,FALSE)+VLOOKUP($A378,A:AL,37,FALSE)-50)),"-",(VLOOKUP($A378,'SegEnds_NonXtal_BW#'!$A:$Z,26,FALSE)+VLOOKUP($A378,A:AL,37,FALSE)-50))</f>
        <v>512</v>
      </c>
      <c r="AM378" s="28" t="str">
        <f>VLOOKUP(A378,Classification!A:B,2,FALSE)</f>
        <v>F</v>
      </c>
      <c r="AN378" s="28" t="b">
        <f t="shared" si="220"/>
        <v>1</v>
      </c>
      <c r="AO378" s="3" t="str">
        <f>IF(ISERROR(MATCH(A378,'SegEnds_Xtal_Prot#'!B:B, 0)), "NoXtal", "Xtal")</f>
        <v>Xtal</v>
      </c>
      <c r="AP378" s="3">
        <f t="shared" si="205"/>
        <v>1</v>
      </c>
      <c r="AQ378" s="3">
        <f t="shared" si="206"/>
        <v>1</v>
      </c>
      <c r="AR378" s="3" t="str">
        <f t="shared" si="207"/>
        <v>-</v>
      </c>
      <c r="AS378" s="3" t="str">
        <f t="shared" si="208"/>
        <v>-</v>
      </c>
      <c r="AT378" s="3" t="str">
        <f t="shared" si="209"/>
        <v>-</v>
      </c>
      <c r="AU378" s="3" t="str">
        <f t="shared" si="210"/>
        <v>-</v>
      </c>
      <c r="AV378" s="3">
        <f t="shared" si="211"/>
        <v>11</v>
      </c>
      <c r="AW378" s="3">
        <f t="shared" si="212"/>
        <v>4</v>
      </c>
      <c r="AX378" s="3">
        <f t="shared" si="213"/>
        <v>11</v>
      </c>
      <c r="AY378" s="3">
        <f t="shared" si="214"/>
        <v>12</v>
      </c>
      <c r="AZ378" s="3">
        <f t="shared" si="215"/>
        <v>1</v>
      </c>
      <c r="BA378" s="3">
        <f>IF(ISERROR(LEN(VLOOKUP(A378,Seqs!A:E,2,FALSE))-AL378),"-",LEN(VLOOKUP(A378,Seqs!A:E,2,FALSE))-AL378)</f>
        <v>25</v>
      </c>
      <c r="BB378" s="16">
        <f t="shared" si="216"/>
        <v>26</v>
      </c>
      <c r="BC378" s="9" t="str">
        <f t="shared" si="217"/>
        <v>-</v>
      </c>
      <c r="BD378" s="3">
        <f t="shared" si="218"/>
        <v>26</v>
      </c>
      <c r="BE378" s="3">
        <f t="shared" si="219"/>
        <v>55</v>
      </c>
      <c r="BF378" s="3">
        <f>AH378-AE378</f>
        <v>36</v>
      </c>
    </row>
    <row r="379" spans="1:58" s="3" customFormat="1" x14ac:dyDescent="0.2">
      <c r="A379" s="3" t="s">
        <v>445</v>
      </c>
      <c r="B379" s="3" t="str">
        <f>LOWER(VLOOKUP(A379,Xtal_Templ!A:B,2,FALSE))</f>
        <v>fzd4_human</v>
      </c>
      <c r="C379" s="3">
        <f>VLOOKUP($A379,'SegEnds_NonXtal_BW#'!$A:$Z,3,FALSE)+D379-50</f>
        <v>228</v>
      </c>
      <c r="D379" s="3">
        <v>250</v>
      </c>
      <c r="E379" s="3">
        <f>IF(ISERROR(VLOOKUP($A379,'SegEnds_NonXtal_BW#'!$A:$Z,4,FALSE)+VLOOKUP($A379,A:AL,4,FALSE)-50),"-",(VLOOKUP($A379,'SegEnds_NonXtal_BW#'!$A:$Z,4,FALSE)+VLOOKUP($A379,A:AL,4,FALSE)-50))</f>
        <v>260</v>
      </c>
      <c r="F379" s="3">
        <f t="shared" si="222"/>
        <v>261</v>
      </c>
      <c r="G379" s="3">
        <v>264</v>
      </c>
      <c r="H379" s="3">
        <f t="shared" si="227"/>
        <v>265</v>
      </c>
      <c r="I379" s="3">
        <f t="shared" si="224"/>
        <v>266</v>
      </c>
      <c r="J379" s="3">
        <v>276</v>
      </c>
      <c r="K379" s="3">
        <f>VLOOKUP($A379,'SegEnds_NonXtal_BW#'!$A:$Z,8,FALSE)+VLOOKUP($A379,A:AL,10,FALSE)-50</f>
        <v>292</v>
      </c>
      <c r="L379" s="3" t="str">
        <f>IF(ISERROR(VLOOKUP($A379,'SegEnds_NonXtal_BW#'!$A:$Z,9,FALSE)+VLOOKUP($A379,A:AL,13,FALSE)-50),"-",(VLOOKUP($A379,'SegEnds_NonXtal_BW#'!$A:$Z,9,FALSE)+VLOOKUP($A379,A:AL,13,FALSE)-50))</f>
        <v>-</v>
      </c>
      <c r="M379" s="3" t="s">
        <v>23</v>
      </c>
      <c r="N379" s="3" t="str">
        <f>IF(ISERROR(VLOOKUP($A379,'SegEnds_NonXtal_BW#'!$A:$Z,10,FALSE)+VLOOKUP($A379,A:AL,13,FALSE)-50),"-",(VLOOKUP($A379,'SegEnds_NonXtal_BW#'!$A:$Z,10,FALSE)+VLOOKUP($A379,A:AL,13,FALSE)-50))</f>
        <v>-</v>
      </c>
      <c r="O379" s="3">
        <f>VLOOKUP($A379,'SegEnds_NonXtal_BW#'!$A:$Z,11,FALSE)+VLOOKUP($A379,A:AL,16,FALSE)-50</f>
        <v>312</v>
      </c>
      <c r="P379" s="3">
        <v>340</v>
      </c>
      <c r="Q379" s="3">
        <f>VLOOKUP($A379,'SegEnds_NonXtal_BW#'!$A:$Z,12,FALSE)+VLOOKUP($A379,A:AL,16,FALSE)-50</f>
        <v>345</v>
      </c>
      <c r="R379" s="3" t="str">
        <f>IF(ISERROR(VLOOKUP($A379,'SegEnds_NonXtal_BW#'!$A:$Z,13,FALSE)+VLOOKUP($A379,A:AL,19,FALSE)-50),"-",VLOOKUP($A379,'SegEnds_NonXtal_BW#'!$A:$Z,13,FALSE)+VLOOKUP($A379,A:AL,19,FALSE)-50)</f>
        <v>-</v>
      </c>
      <c r="S379" s="3" t="s">
        <v>23</v>
      </c>
      <c r="T379" s="100" t="str">
        <f>IF(ISERROR(VLOOKUP($A379,'SegEnds_NonXtal_BW#'!$A:$Z,14,FALSE)+VLOOKUP($A379,A:AL,19,FALSE)-50),"-",(VLOOKUP($A379,'SegEnds_NonXtal_BW#'!$A:$Z,14,FALSE)+VLOOKUP($A379,A:AL,19,FALSE)-50))</f>
        <v>-</v>
      </c>
      <c r="U379" s="9">
        <f>IF(ISERROR(VLOOKUP($A379,'SegEnds_NonXtal_BW#'!$A:$Z,15,FALSE)+VLOOKUP($A379,A:AL,22,FALSE)-50),"-",VLOOKUP($A379,'SegEnds_NonXtal_BW#'!$A:$Z,15,FALSE)+VLOOKUP($A379,A:AL,22,FALSE)-50)</f>
        <v>356</v>
      </c>
      <c r="V379" s="3">
        <v>365</v>
      </c>
      <c r="W379" s="3">
        <f>IF(ISERROR(VLOOKUP($A379,'SegEnds_NonXtal_BW#'!$A:$Z,16,FALSE)+VLOOKUP($A379,A:AL,22,FALSE)-50),"-",(VLOOKUP($A379,'SegEnds_NonXtal_BW#'!$A:$Z,16,FALSE)+VLOOKUP($A379,A:AL,22,FALSE)-50))</f>
        <v>379</v>
      </c>
      <c r="X379" s="3">
        <f>IF(ISERROR(VLOOKUP($A379,'SegEnds_NonXtal_BW#'!$A:$Z,17,FALSE)+VLOOKUP($A379,A:AL,25,FALSE)-50),"-",(VLOOKUP($A379,'SegEnds_NonXtal_BW#'!$A:$Z,17,FALSE)+VLOOKUP($A379,A:AL,25,FALSE)-50))</f>
        <v>390</v>
      </c>
      <c r="Y379" s="3">
        <v>390</v>
      </c>
      <c r="Z379" s="3">
        <f t="shared" si="226"/>
        <v>392</v>
      </c>
      <c r="AA379" s="3">
        <f>IF(ISERROR(VLOOKUP($A379,'SegEnds_NonXtal_BW#'!$A:$Z,19,FALSE)+VLOOKUP($A379,A:AL,28,FALSE)-50),"-",(VLOOKUP($A379,'SegEnds_NonXtal_BW#'!$A:$Z,19,FALSE)+VLOOKUP($A379,A:AL,28,FALSE)-50))</f>
        <v>396</v>
      </c>
      <c r="AB379" s="3">
        <v>411</v>
      </c>
      <c r="AC379" s="3">
        <f>IF(ISERROR((VLOOKUP($A379,'SegEnds_NonXtal_BW#'!$A:$Z,20,FALSE)+VLOOKUP($A379,A:AL,28,FALSE)-50)),"-",(VLOOKUP($A379,'SegEnds_NonXtal_BW#'!$A:$Z,20,FALSE)+VLOOKUP($A379,A:AL,28,FALSE)-50))</f>
        <v>433</v>
      </c>
      <c r="AD379" s="3">
        <f>IF(ISERROR(VLOOKUP($A379,'SegEnds_NonXtal_BW#'!$A:$Z,21,FALSE)+VLOOKUP($A379,A:AL,31,FALSE)-50),"-",(VLOOKUP($A379,'SegEnds_NonXtal_BW#'!$A:$Z,21,FALSE)+VLOOKUP($A379,A:AL,31,FALSE)-50))</f>
        <v>444</v>
      </c>
      <c r="AE379" s="3">
        <v>466</v>
      </c>
      <c r="AF379" s="3">
        <f>IF(ISERROR((VLOOKUP($A379,'SegEnds_NonXtal_BW#'!$A:$Z,22,FALSE)+VLOOKUP($A379,A:AL,31,FALSE)-50)),"-",(VLOOKUP($A379,'SegEnds_NonXtal_BW#'!$A:$Z,22,FALSE)+VLOOKUP($A379,A:AL,31,FALSE)-50))</f>
        <v>494</v>
      </c>
      <c r="AG379" s="3">
        <f>IF(ISERROR(VLOOKUP($A379,'SegEnds_NonXtal_BW#'!$A:$Z,23,FALSE)+VLOOKUP($A379,A:AL,34,FALSE)-50),"-",(VLOOKUP($A379,'SegEnds_NonXtal_BW#'!$A:$Z,23,FALSE)+VLOOKUP($A379,A:AL,34,FALSE)-50))</f>
        <v>499</v>
      </c>
      <c r="AH379" s="3">
        <v>515</v>
      </c>
      <c r="AI379" s="3">
        <f>IF(ISERROR((VLOOKUP($A379,'SegEnds_NonXtal_BW#'!$A:$Z,24,FALSE)+VLOOKUP($A379,A:AL,34,FALSE)-50)),"-",(VLOOKUP($A379,'SegEnds_NonXtal_BW#'!$A:$Z,24,FALSE)+VLOOKUP($A379,A:AL,34,FALSE)-50))</f>
        <v>522</v>
      </c>
      <c r="AJ379" s="3">
        <f>IF(ISERROR(VLOOKUP($A379,'SegEnds_NonXtal_BW#'!$A:$Z,25,FALSE)+VLOOKUP($A379,A:AL,37,FALSE)-50),"-",(VLOOKUP($A379,'SegEnds_NonXtal_BW#'!$A:$Z,25,FALSE)+VLOOKUP($A379,A:AL,37,FALSE)-50))</f>
        <v>523</v>
      </c>
      <c r="AK379" s="3">
        <v>526</v>
      </c>
      <c r="AL379" s="3">
        <f>IF(ISERROR((VLOOKUP($A379,'SegEnds_NonXtal_BW#'!$A:$Z,26,FALSE)+VLOOKUP($A379,A:AL,37,FALSE)-50)),"-",(VLOOKUP($A379,'SegEnds_NonXtal_BW#'!$A:$Z,26,FALSE)+VLOOKUP($A379,A:AL,37,FALSE)-50))</f>
        <v>538</v>
      </c>
      <c r="AM379" s="28" t="str">
        <f>VLOOKUP(A379,Classification!A:B,2,FALSE)</f>
        <v>F</v>
      </c>
      <c r="AN379" s="28" t="b">
        <f t="shared" si="220"/>
        <v>1</v>
      </c>
      <c r="AO379" s="3" t="str">
        <f>IF(ISERROR(MATCH(A379,'SegEnds_Xtal_Prot#'!B:B, 0)), "NoXtal", "Xtal")</f>
        <v>NoXtal</v>
      </c>
      <c r="AP379" s="3">
        <f t="shared" si="205"/>
        <v>1</v>
      </c>
      <c r="AQ379" s="3">
        <f t="shared" si="206"/>
        <v>1</v>
      </c>
      <c r="AR379" s="3" t="str">
        <f t="shared" si="207"/>
        <v>-</v>
      </c>
      <c r="AS379" s="3" t="str">
        <f t="shared" si="208"/>
        <v>-</v>
      </c>
      <c r="AT379" s="3" t="str">
        <f t="shared" si="209"/>
        <v>-</v>
      </c>
      <c r="AU379" s="3" t="str">
        <f t="shared" si="210"/>
        <v>-</v>
      </c>
      <c r="AV379" s="3">
        <f t="shared" si="211"/>
        <v>11</v>
      </c>
      <c r="AW379" s="3">
        <f t="shared" si="212"/>
        <v>4</v>
      </c>
      <c r="AX379" s="3">
        <f t="shared" si="213"/>
        <v>11</v>
      </c>
      <c r="AY379" s="3">
        <f t="shared" si="214"/>
        <v>5</v>
      </c>
      <c r="AZ379" s="3">
        <f t="shared" si="215"/>
        <v>1</v>
      </c>
      <c r="BA379" s="3">
        <f>IF(ISERROR(LEN(VLOOKUP(A379,Seqs!A:E,2,FALSE))-AL379),"-",LEN(VLOOKUP(A379,Seqs!A:E,2,FALSE))-AL379)</f>
        <v>47</v>
      </c>
      <c r="BB379" s="16">
        <f t="shared" si="216"/>
        <v>26</v>
      </c>
      <c r="BC379" s="9" t="str">
        <f t="shared" si="217"/>
        <v>-</v>
      </c>
      <c r="BD379" s="3">
        <f t="shared" si="218"/>
        <v>26</v>
      </c>
      <c r="BE379" s="3">
        <f t="shared" si="219"/>
        <v>55</v>
      </c>
    </row>
    <row r="380" spans="1:58" s="3" customFormat="1" x14ac:dyDescent="0.2">
      <c r="A380" s="3" t="s">
        <v>446</v>
      </c>
      <c r="B380" s="3" t="str">
        <f>LOWER(VLOOKUP(A380,Xtal_Templ!A:B,2,FALSE))</f>
        <v>fzd4_human</v>
      </c>
      <c r="C380" s="3">
        <f>VLOOKUP($A380,'SegEnds_NonXtal_BW#'!$A:$Z,3,FALSE)+D380-50</f>
        <v>191</v>
      </c>
      <c r="D380" s="3">
        <v>213</v>
      </c>
      <c r="E380" s="3">
        <f>IF(ISERROR(VLOOKUP($A380,'SegEnds_NonXtal_BW#'!$A:$Z,4,FALSE)+VLOOKUP($A380,A:AL,4,FALSE)-50),"-",(VLOOKUP($A380,'SegEnds_NonXtal_BW#'!$A:$Z,4,FALSE)+VLOOKUP($A380,A:AL,4,FALSE)-50))</f>
        <v>223</v>
      </c>
      <c r="F380" s="3">
        <f t="shared" si="222"/>
        <v>224</v>
      </c>
      <c r="G380" s="3">
        <v>227</v>
      </c>
      <c r="H380" s="3">
        <f t="shared" si="227"/>
        <v>228</v>
      </c>
      <c r="I380" s="3">
        <f t="shared" si="224"/>
        <v>229</v>
      </c>
      <c r="J380" s="3">
        <v>239</v>
      </c>
      <c r="K380" s="3">
        <f>VLOOKUP($A380,'SegEnds_NonXtal_BW#'!$A:$Z,8,FALSE)+VLOOKUP($A380,A:AL,10,FALSE)-50</f>
        <v>255</v>
      </c>
      <c r="L380" s="3" t="str">
        <f>IF(ISERROR(VLOOKUP($A380,'SegEnds_NonXtal_BW#'!$A:$Z,9,FALSE)+VLOOKUP($A380,A:AL,13,FALSE)-50),"-",(VLOOKUP($A380,'SegEnds_NonXtal_BW#'!$A:$Z,9,FALSE)+VLOOKUP($A380,A:AL,13,FALSE)-50))</f>
        <v>-</v>
      </c>
      <c r="M380" s="3" t="s">
        <v>23</v>
      </c>
      <c r="N380" s="3" t="str">
        <f>IF(ISERROR(VLOOKUP($A380,'SegEnds_NonXtal_BW#'!$A:$Z,10,FALSE)+VLOOKUP($A380,A:AL,13,FALSE)-50),"-",(VLOOKUP($A380,'SegEnds_NonXtal_BW#'!$A:$Z,10,FALSE)+VLOOKUP($A380,A:AL,13,FALSE)-50))</f>
        <v>-</v>
      </c>
      <c r="O380" s="3">
        <f>VLOOKUP($A380,'SegEnds_NonXtal_BW#'!$A:$Z,11,FALSE)+VLOOKUP($A380,A:AL,16,FALSE)-50</f>
        <v>279</v>
      </c>
      <c r="P380" s="3">
        <v>307</v>
      </c>
      <c r="Q380" s="3">
        <f>VLOOKUP($A380,'SegEnds_NonXtal_BW#'!$A:$Z,12,FALSE)+VLOOKUP($A380,A:AL,16,FALSE)-50</f>
        <v>312</v>
      </c>
      <c r="R380" s="3" t="str">
        <f>IF(ISERROR(VLOOKUP($A380,'SegEnds_NonXtal_BW#'!$A:$Z,13,FALSE)+VLOOKUP($A380,A:AL,19,FALSE)-50),"-",VLOOKUP($A380,'SegEnds_NonXtal_BW#'!$A:$Z,13,FALSE)+VLOOKUP($A380,A:AL,19,FALSE)-50)</f>
        <v>-</v>
      </c>
      <c r="S380" s="3" t="s">
        <v>23</v>
      </c>
      <c r="T380" s="100" t="str">
        <f>IF(ISERROR(VLOOKUP($A380,'SegEnds_NonXtal_BW#'!$A:$Z,14,FALSE)+VLOOKUP($A380,A:AL,19,FALSE)-50),"-",(VLOOKUP($A380,'SegEnds_NonXtal_BW#'!$A:$Z,14,FALSE)+VLOOKUP($A380,A:AL,19,FALSE)-50))</f>
        <v>-</v>
      </c>
      <c r="U380" s="9">
        <f>IF(ISERROR(VLOOKUP($A380,'SegEnds_NonXtal_BW#'!$A:$Z,15,FALSE)+VLOOKUP($A380,A:AL,22,FALSE)-50),"-",VLOOKUP($A380,'SegEnds_NonXtal_BW#'!$A:$Z,15,FALSE)+VLOOKUP($A380,A:AL,22,FALSE)-50)</f>
        <v>323</v>
      </c>
      <c r="V380" s="3">
        <v>332</v>
      </c>
      <c r="W380" s="3">
        <f>IF(ISERROR(VLOOKUP($A380,'SegEnds_NonXtal_BW#'!$A:$Z,16,FALSE)+VLOOKUP($A380,A:AL,22,FALSE)-50),"-",(VLOOKUP($A380,'SegEnds_NonXtal_BW#'!$A:$Z,16,FALSE)+VLOOKUP($A380,A:AL,22,FALSE)-50))</f>
        <v>346</v>
      </c>
      <c r="X380" s="3">
        <f>IF(ISERROR(VLOOKUP($A380,'SegEnds_NonXtal_BW#'!$A:$Z,17,FALSE)+VLOOKUP($A380,A:AL,25,FALSE)-50),"-",(VLOOKUP($A380,'SegEnds_NonXtal_BW#'!$A:$Z,17,FALSE)+VLOOKUP($A380,A:AL,25,FALSE)-50))</f>
        <v>357</v>
      </c>
      <c r="Y380" s="3">
        <v>357</v>
      </c>
      <c r="Z380" s="3">
        <f t="shared" si="226"/>
        <v>359</v>
      </c>
      <c r="AA380" s="3">
        <f>IF(ISERROR(VLOOKUP($A380,'SegEnds_NonXtal_BW#'!$A:$Z,19,FALSE)+VLOOKUP($A380,A:AL,28,FALSE)-50),"-",(VLOOKUP($A380,'SegEnds_NonXtal_BW#'!$A:$Z,19,FALSE)+VLOOKUP($A380,A:AL,28,FALSE)-50))</f>
        <v>363</v>
      </c>
      <c r="AB380" s="3">
        <v>378</v>
      </c>
      <c r="AC380" s="3">
        <f>IF(ISERROR((VLOOKUP($A380,'SegEnds_NonXtal_BW#'!$A:$Z,20,FALSE)+VLOOKUP($A380,A:AL,28,FALSE)-50)),"-",(VLOOKUP($A380,'SegEnds_NonXtal_BW#'!$A:$Z,20,FALSE)+VLOOKUP($A380,A:AL,28,FALSE)-50))</f>
        <v>400</v>
      </c>
      <c r="AD380" s="3">
        <f>IF(ISERROR(VLOOKUP($A380,'SegEnds_NonXtal_BW#'!$A:$Z,21,FALSE)+VLOOKUP($A380,A:AL,31,FALSE)-50),"-",(VLOOKUP($A380,'SegEnds_NonXtal_BW#'!$A:$Z,21,FALSE)+VLOOKUP($A380,A:AL,31,FALSE)-50))</f>
        <v>411</v>
      </c>
      <c r="AE380" s="3">
        <v>433</v>
      </c>
      <c r="AF380" s="3">
        <f>IF(ISERROR((VLOOKUP($A380,'SegEnds_NonXtal_BW#'!$A:$Z,22,FALSE)+VLOOKUP($A380,A:AL,31,FALSE)-50)),"-",(VLOOKUP($A380,'SegEnds_NonXtal_BW#'!$A:$Z,22,FALSE)+VLOOKUP($A380,A:AL,31,FALSE)-50))</f>
        <v>461</v>
      </c>
      <c r="AG380" s="3">
        <f>IF(ISERROR(VLOOKUP($A380,'SegEnds_NonXtal_BW#'!$A:$Z,23,FALSE)+VLOOKUP($A380,A:AL,34,FALSE)-50),"-",(VLOOKUP($A380,'SegEnds_NonXtal_BW#'!$A:$Z,23,FALSE)+VLOOKUP($A380,A:AL,34,FALSE)-50))</f>
        <v>472</v>
      </c>
      <c r="AH380" s="3">
        <v>488</v>
      </c>
      <c r="AI380" s="3">
        <f>IF(ISERROR((VLOOKUP($A380,'SegEnds_NonXtal_BW#'!$A:$Z,24,FALSE)+VLOOKUP($A380,A:AL,34,FALSE)-50)),"-",(VLOOKUP($A380,'SegEnds_NonXtal_BW#'!$A:$Z,24,FALSE)+VLOOKUP($A380,A:AL,34,FALSE)-50))</f>
        <v>495</v>
      </c>
      <c r="AJ380" s="3">
        <f>IF(ISERROR(VLOOKUP($A380,'SegEnds_NonXtal_BW#'!$A:$Z,25,FALSE)+VLOOKUP($A380,A:AL,37,FALSE)-50),"-",(VLOOKUP($A380,'SegEnds_NonXtal_BW#'!$A:$Z,25,FALSE)+VLOOKUP($A380,A:AL,37,FALSE)-50))</f>
        <v>496</v>
      </c>
      <c r="AK380" s="3">
        <v>499</v>
      </c>
      <c r="AL380" s="3">
        <f>IF(ISERROR((VLOOKUP($A380,'SegEnds_NonXtal_BW#'!$A:$Z,26,FALSE)+VLOOKUP($A380,A:AL,37,FALSE)-50)),"-",(VLOOKUP($A380,'SegEnds_NonXtal_BW#'!$A:$Z,26,FALSE)+VLOOKUP($A380,A:AL,37,FALSE)-50))</f>
        <v>511</v>
      </c>
      <c r="AM380" s="28" t="str">
        <f>VLOOKUP(A380,Classification!A:B,2,FALSE)</f>
        <v>F</v>
      </c>
      <c r="AN380" s="28" t="b">
        <f t="shared" si="220"/>
        <v>1</v>
      </c>
      <c r="AO380" s="3" t="str">
        <f>IF(ISERROR(MATCH(A380,'SegEnds_Xtal_Prot#'!B:B, 0)), "NoXtal", "Xtal")</f>
        <v>NoXtal</v>
      </c>
      <c r="AP380" s="3">
        <f t="shared" si="205"/>
        <v>1</v>
      </c>
      <c r="AQ380" s="3">
        <f t="shared" si="206"/>
        <v>1</v>
      </c>
      <c r="AR380" s="3" t="str">
        <f t="shared" si="207"/>
        <v>-</v>
      </c>
      <c r="AS380" s="3" t="str">
        <f t="shared" si="208"/>
        <v>-</v>
      </c>
      <c r="AT380" s="3" t="str">
        <f t="shared" si="209"/>
        <v>-</v>
      </c>
      <c r="AU380" s="3" t="str">
        <f t="shared" si="210"/>
        <v>-</v>
      </c>
      <c r="AV380" s="3">
        <f t="shared" si="211"/>
        <v>11</v>
      </c>
      <c r="AW380" s="3">
        <f t="shared" si="212"/>
        <v>4</v>
      </c>
      <c r="AX380" s="3">
        <f t="shared" si="213"/>
        <v>11</v>
      </c>
      <c r="AY380" s="3">
        <f t="shared" si="214"/>
        <v>11</v>
      </c>
      <c r="AZ380" s="3">
        <f t="shared" si="215"/>
        <v>1</v>
      </c>
      <c r="BA380" s="3">
        <f>IF(ISERROR(LEN(VLOOKUP(A380,Seqs!A:E,2,FALSE))-AL380),"-",LEN(VLOOKUP(A380,Seqs!A:E,2,FALSE))-AL380)</f>
        <v>195</v>
      </c>
      <c r="BB380" s="16">
        <f t="shared" si="216"/>
        <v>26</v>
      </c>
      <c r="BC380" s="9" t="str">
        <f t="shared" si="217"/>
        <v>-</v>
      </c>
      <c r="BD380" s="3">
        <f t="shared" si="218"/>
        <v>26</v>
      </c>
      <c r="BE380" s="3">
        <f t="shared" si="219"/>
        <v>55</v>
      </c>
    </row>
    <row r="381" spans="1:58" s="3" customFormat="1" x14ac:dyDescent="0.2">
      <c r="A381" s="3" t="s">
        <v>447</v>
      </c>
      <c r="B381" s="3" t="str">
        <f>LOWER(VLOOKUP(A381,Xtal_Templ!A:B,2,FALSE))</f>
        <v>fzd4_human</v>
      </c>
      <c r="C381" s="3">
        <f>VLOOKUP($A381,'SegEnds_NonXtal_BW#'!$A:$Z,3,FALSE)+D381-50</f>
        <v>246</v>
      </c>
      <c r="D381" s="3">
        <v>268</v>
      </c>
      <c r="E381" s="3">
        <f>IF(ISERROR(VLOOKUP($A381,'SegEnds_NonXtal_BW#'!$A:$Z,4,FALSE)+VLOOKUP($A381,A:AL,4,FALSE)-50),"-",(VLOOKUP($A381,'SegEnds_NonXtal_BW#'!$A:$Z,4,FALSE)+VLOOKUP($A381,A:AL,4,FALSE)-50))</f>
        <v>278</v>
      </c>
      <c r="F381" s="3">
        <f t="shared" si="222"/>
        <v>279</v>
      </c>
      <c r="G381" s="3">
        <v>282</v>
      </c>
      <c r="H381" s="3">
        <f t="shared" si="227"/>
        <v>283</v>
      </c>
      <c r="I381" s="3">
        <f t="shared" si="224"/>
        <v>284</v>
      </c>
      <c r="J381" s="3">
        <v>294</v>
      </c>
      <c r="K381" s="3">
        <f>VLOOKUP($A381,'SegEnds_NonXtal_BW#'!$A:$Z,8,FALSE)+VLOOKUP($A381,A:AL,10,FALSE)-50</f>
        <v>310</v>
      </c>
      <c r="L381" s="3" t="str">
        <f>IF(ISERROR(VLOOKUP($A381,'SegEnds_NonXtal_BW#'!$A:$Z,9,FALSE)+VLOOKUP($A381,A:AL,13,FALSE)-50),"-",(VLOOKUP($A381,'SegEnds_NonXtal_BW#'!$A:$Z,9,FALSE)+VLOOKUP($A381,A:AL,13,FALSE)-50))</f>
        <v>-</v>
      </c>
      <c r="M381" s="3" t="s">
        <v>23</v>
      </c>
      <c r="N381" s="3" t="str">
        <f>IF(ISERROR(VLOOKUP($A381,'SegEnds_NonXtal_BW#'!$A:$Z,10,FALSE)+VLOOKUP($A381,A:AL,13,FALSE)-50),"-",(VLOOKUP($A381,'SegEnds_NonXtal_BW#'!$A:$Z,10,FALSE)+VLOOKUP($A381,A:AL,13,FALSE)-50))</f>
        <v>-</v>
      </c>
      <c r="O381" s="3">
        <f>VLOOKUP($A381,'SegEnds_NonXtal_BW#'!$A:$Z,11,FALSE)+VLOOKUP($A381,A:AL,16,FALSE)-50</f>
        <v>333</v>
      </c>
      <c r="P381" s="3">
        <v>361</v>
      </c>
      <c r="Q381" s="3">
        <f>VLOOKUP($A381,'SegEnds_NonXtal_BW#'!$A:$Z,12,FALSE)+VLOOKUP($A381,A:AL,16,FALSE)-50</f>
        <v>366</v>
      </c>
      <c r="R381" s="3" t="str">
        <f>IF(ISERROR(VLOOKUP($A381,'SegEnds_NonXtal_BW#'!$A:$Z,13,FALSE)+VLOOKUP($A381,A:AL,19,FALSE)-50),"-",VLOOKUP($A381,'SegEnds_NonXtal_BW#'!$A:$Z,13,FALSE)+VLOOKUP($A381,A:AL,19,FALSE)-50)</f>
        <v>-</v>
      </c>
      <c r="S381" s="3" t="s">
        <v>23</v>
      </c>
      <c r="T381" s="100" t="str">
        <f>IF(ISERROR(VLOOKUP($A381,'SegEnds_NonXtal_BW#'!$A:$Z,14,FALSE)+VLOOKUP($A381,A:AL,19,FALSE)-50),"-",(VLOOKUP($A381,'SegEnds_NonXtal_BW#'!$A:$Z,14,FALSE)+VLOOKUP($A381,A:AL,19,FALSE)-50))</f>
        <v>-</v>
      </c>
      <c r="U381" s="9">
        <f>IF(ISERROR(VLOOKUP($A381,'SegEnds_NonXtal_BW#'!$A:$Z,15,FALSE)+VLOOKUP($A381,A:AL,22,FALSE)-50),"-",VLOOKUP($A381,'SegEnds_NonXtal_BW#'!$A:$Z,15,FALSE)+VLOOKUP($A381,A:AL,22,FALSE)-50)</f>
        <v>377</v>
      </c>
      <c r="V381" s="3">
        <v>386</v>
      </c>
      <c r="W381" s="3">
        <f>IF(ISERROR(VLOOKUP($A381,'SegEnds_NonXtal_BW#'!$A:$Z,16,FALSE)+VLOOKUP($A381,A:AL,22,FALSE)-50),"-",(VLOOKUP($A381,'SegEnds_NonXtal_BW#'!$A:$Z,16,FALSE)+VLOOKUP($A381,A:AL,22,FALSE)-50))</f>
        <v>400</v>
      </c>
      <c r="X381" s="3">
        <f>IF(ISERROR(VLOOKUP($A381,'SegEnds_NonXtal_BW#'!$A:$Z,17,FALSE)+VLOOKUP($A381,A:AL,25,FALSE)-50),"-",(VLOOKUP($A381,'SegEnds_NonXtal_BW#'!$A:$Z,17,FALSE)+VLOOKUP($A381,A:AL,25,FALSE)-50))</f>
        <v>411</v>
      </c>
      <c r="Y381" s="3">
        <v>411</v>
      </c>
      <c r="Z381" s="3">
        <f t="shared" si="226"/>
        <v>413</v>
      </c>
      <c r="AA381" s="3">
        <f>IF(ISERROR(VLOOKUP($A381,'SegEnds_NonXtal_BW#'!$A:$Z,19,FALSE)+VLOOKUP($A381,A:AL,28,FALSE)-50),"-",(VLOOKUP($A381,'SegEnds_NonXtal_BW#'!$A:$Z,19,FALSE)+VLOOKUP($A381,A:AL,28,FALSE)-50))</f>
        <v>417</v>
      </c>
      <c r="AB381" s="3">
        <v>432</v>
      </c>
      <c r="AC381" s="3">
        <f>IF(ISERROR((VLOOKUP($A381,'SegEnds_NonXtal_BW#'!$A:$Z,20,FALSE)+VLOOKUP($A381,A:AL,28,FALSE)-50)),"-",(VLOOKUP($A381,'SegEnds_NonXtal_BW#'!$A:$Z,20,FALSE)+VLOOKUP($A381,A:AL,28,FALSE)-50))</f>
        <v>454</v>
      </c>
      <c r="AD381" s="3">
        <f>IF(ISERROR(VLOOKUP($A381,'SegEnds_NonXtal_BW#'!$A:$Z,21,FALSE)+VLOOKUP($A381,A:AL,31,FALSE)-50),"-",(VLOOKUP($A381,'SegEnds_NonXtal_BW#'!$A:$Z,21,FALSE)+VLOOKUP($A381,A:AL,31,FALSE)-50))</f>
        <v>465</v>
      </c>
      <c r="AE381" s="3">
        <v>487</v>
      </c>
      <c r="AF381" s="3">
        <f>IF(ISERROR((VLOOKUP($A381,'SegEnds_NonXtal_BW#'!$A:$Z,22,FALSE)+VLOOKUP($A381,A:AL,31,FALSE)-50)),"-",(VLOOKUP($A381,'SegEnds_NonXtal_BW#'!$A:$Z,22,FALSE)+VLOOKUP($A381,A:AL,31,FALSE)-50))</f>
        <v>515</v>
      </c>
      <c r="AG381" s="3">
        <f>IF(ISERROR(VLOOKUP($A381,'SegEnds_NonXtal_BW#'!$A:$Z,23,FALSE)+VLOOKUP($A381,A:AL,34,FALSE)-50),"-",(VLOOKUP($A381,'SegEnds_NonXtal_BW#'!$A:$Z,23,FALSE)+VLOOKUP($A381,A:AL,34,FALSE)-50))</f>
        <v>526</v>
      </c>
      <c r="AH381" s="3">
        <v>542</v>
      </c>
      <c r="AI381" s="3">
        <f>IF(ISERROR((VLOOKUP($A381,'SegEnds_NonXtal_BW#'!$A:$Z,24,FALSE)+VLOOKUP($A381,A:AL,34,FALSE)-50)),"-",(VLOOKUP($A381,'SegEnds_NonXtal_BW#'!$A:$Z,24,FALSE)+VLOOKUP($A381,A:AL,34,FALSE)-50))</f>
        <v>549</v>
      </c>
      <c r="AJ381" s="3">
        <f>IF(ISERROR(VLOOKUP($A381,'SegEnds_NonXtal_BW#'!$A:$Z,25,FALSE)+VLOOKUP($A381,A:AL,37,FALSE)-50),"-",(VLOOKUP($A381,'SegEnds_NonXtal_BW#'!$A:$Z,25,FALSE)+VLOOKUP($A381,A:AL,37,FALSE)-50))</f>
        <v>550</v>
      </c>
      <c r="AK381" s="3">
        <v>553</v>
      </c>
      <c r="AL381" s="3">
        <f>IF(ISERROR((VLOOKUP($A381,'SegEnds_NonXtal_BW#'!$A:$Z,26,FALSE)+VLOOKUP($A381,A:AL,37,FALSE)-50)),"-",(VLOOKUP($A381,'SegEnds_NonXtal_BW#'!$A:$Z,26,FALSE)+VLOOKUP($A381,A:AL,37,FALSE)-50))</f>
        <v>565</v>
      </c>
      <c r="AM381" s="28" t="str">
        <f>VLOOKUP(A381,Classification!A:B,2,FALSE)</f>
        <v>F</v>
      </c>
      <c r="AN381" s="28" t="b">
        <f t="shared" si="220"/>
        <v>1</v>
      </c>
      <c r="AO381" s="3" t="str">
        <f>IF(ISERROR(MATCH(A381,'SegEnds_Xtal_Prot#'!B:B, 0)), "NoXtal", "Xtal")</f>
        <v>NoXtal</v>
      </c>
      <c r="AP381" s="3">
        <f t="shared" si="205"/>
        <v>1</v>
      </c>
      <c r="AQ381" s="3">
        <f t="shared" si="206"/>
        <v>1</v>
      </c>
      <c r="AR381" s="3" t="str">
        <f t="shared" si="207"/>
        <v>-</v>
      </c>
      <c r="AS381" s="3" t="str">
        <f t="shared" si="208"/>
        <v>-</v>
      </c>
      <c r="AT381" s="3" t="str">
        <f t="shared" si="209"/>
        <v>-</v>
      </c>
      <c r="AU381" s="3" t="str">
        <f t="shared" si="210"/>
        <v>-</v>
      </c>
      <c r="AV381" s="3">
        <f t="shared" si="211"/>
        <v>11</v>
      </c>
      <c r="AW381" s="3">
        <f t="shared" si="212"/>
        <v>4</v>
      </c>
      <c r="AX381" s="3">
        <f t="shared" si="213"/>
        <v>11</v>
      </c>
      <c r="AY381" s="3">
        <f t="shared" si="214"/>
        <v>11</v>
      </c>
      <c r="AZ381" s="3">
        <f t="shared" si="215"/>
        <v>1</v>
      </c>
      <c r="BA381" s="3">
        <f>IF(ISERROR(LEN(VLOOKUP(A381,Seqs!A:E,2,FALSE))-AL381),"-",LEN(VLOOKUP(A381,Seqs!A:E,2,FALSE))-AL381)</f>
        <v>9</v>
      </c>
      <c r="BB381" s="16">
        <f t="shared" si="216"/>
        <v>26</v>
      </c>
      <c r="BC381" s="9" t="str">
        <f t="shared" si="217"/>
        <v>-</v>
      </c>
      <c r="BD381" s="3">
        <f t="shared" si="218"/>
        <v>26</v>
      </c>
      <c r="BE381" s="3">
        <f t="shared" si="219"/>
        <v>55</v>
      </c>
      <c r="BF381" s="3">
        <f>AH381-AE381</f>
        <v>55</v>
      </c>
    </row>
    <row r="382" spans="1:58" s="3" customFormat="1" x14ac:dyDescent="0.2">
      <c r="A382" s="3" t="s">
        <v>448</v>
      </c>
      <c r="B382" s="3" t="str">
        <f>LOWER(VLOOKUP(A382,Xtal_Templ!A:B,2,FALSE))</f>
        <v>fzd4_human</v>
      </c>
      <c r="C382" s="3">
        <f>VLOOKUP($A382,'SegEnds_NonXtal_BW#'!$A:$Z,3,FALSE)+D382-50</f>
        <v>270</v>
      </c>
      <c r="D382" s="3">
        <v>292</v>
      </c>
      <c r="E382" s="3">
        <f>IF(ISERROR(VLOOKUP($A382,'SegEnds_NonXtal_BW#'!$A:$Z,4,FALSE)+VLOOKUP($A382,A:AL,4,FALSE)-50),"-",(VLOOKUP($A382,'SegEnds_NonXtal_BW#'!$A:$Z,4,FALSE)+VLOOKUP($A382,A:AL,4,FALSE)-50))</f>
        <v>302</v>
      </c>
      <c r="F382" s="3">
        <f t="shared" si="222"/>
        <v>303</v>
      </c>
      <c r="G382" s="3">
        <v>306</v>
      </c>
      <c r="H382" s="3">
        <f t="shared" si="227"/>
        <v>307</v>
      </c>
      <c r="I382" s="3">
        <f t="shared" si="224"/>
        <v>308</v>
      </c>
      <c r="J382" s="3">
        <v>318</v>
      </c>
      <c r="K382" s="3">
        <f>VLOOKUP($A382,'SegEnds_NonXtal_BW#'!$A:$Z,8,FALSE)+VLOOKUP($A382,A:AL,10,FALSE)-50</f>
        <v>334</v>
      </c>
      <c r="L382" s="3" t="str">
        <f>IF(ISERROR(VLOOKUP($A382,'SegEnds_NonXtal_BW#'!$A:$Z,9,FALSE)+VLOOKUP($A382,A:AL,13,FALSE)-50),"-",(VLOOKUP($A382,'SegEnds_NonXtal_BW#'!$A:$Z,9,FALSE)+VLOOKUP($A382,A:AL,13,FALSE)-50))</f>
        <v>-</v>
      </c>
      <c r="M382" s="3" t="s">
        <v>23</v>
      </c>
      <c r="N382" s="3" t="str">
        <f>IF(ISERROR(VLOOKUP($A382,'SegEnds_NonXtal_BW#'!$A:$Z,10,FALSE)+VLOOKUP($A382,A:AL,13,FALSE)-50),"-",(VLOOKUP($A382,'SegEnds_NonXtal_BW#'!$A:$Z,10,FALSE)+VLOOKUP($A382,A:AL,13,FALSE)-50))</f>
        <v>-</v>
      </c>
      <c r="O382" s="3">
        <f>VLOOKUP($A382,'SegEnds_NonXtal_BW#'!$A:$Z,11,FALSE)+VLOOKUP($A382,A:AL,16,FALSE)-50</f>
        <v>393</v>
      </c>
      <c r="P382" s="3">
        <v>421</v>
      </c>
      <c r="Q382" s="3">
        <f>VLOOKUP($A382,'SegEnds_NonXtal_BW#'!$A:$Z,12,FALSE)+VLOOKUP($A382,A:AL,16,FALSE)-50</f>
        <v>426</v>
      </c>
      <c r="R382" s="3" t="str">
        <f>IF(ISERROR(VLOOKUP($A382,'SegEnds_NonXtal_BW#'!$A:$Z,13,FALSE)+VLOOKUP($A382,A:AL,19,FALSE)-50),"-",VLOOKUP($A382,'SegEnds_NonXtal_BW#'!$A:$Z,13,FALSE)+VLOOKUP($A382,A:AL,19,FALSE)-50)</f>
        <v>-</v>
      </c>
      <c r="S382" s="3" t="s">
        <v>23</v>
      </c>
      <c r="T382" s="100" t="str">
        <f>IF(ISERROR(VLOOKUP($A382,'SegEnds_NonXtal_BW#'!$A:$Z,14,FALSE)+VLOOKUP($A382,A:AL,19,FALSE)-50),"-",(VLOOKUP($A382,'SegEnds_NonXtal_BW#'!$A:$Z,14,FALSE)+VLOOKUP($A382,A:AL,19,FALSE)-50))</f>
        <v>-</v>
      </c>
      <c r="U382" s="9">
        <f>IF(ISERROR(VLOOKUP($A382,'SegEnds_NonXtal_BW#'!$A:$Z,15,FALSE)+VLOOKUP($A382,A:AL,22,FALSE)-50),"-",VLOOKUP($A382,'SegEnds_NonXtal_BW#'!$A:$Z,15,FALSE)+VLOOKUP($A382,A:AL,22,FALSE)-50)</f>
        <v>437</v>
      </c>
      <c r="V382" s="3">
        <v>446</v>
      </c>
      <c r="W382" s="3">
        <f>IF(ISERROR(VLOOKUP($A382,'SegEnds_NonXtal_BW#'!$A:$Z,16,FALSE)+VLOOKUP($A382,A:AL,22,FALSE)-50),"-",(VLOOKUP($A382,'SegEnds_NonXtal_BW#'!$A:$Z,16,FALSE)+VLOOKUP($A382,A:AL,22,FALSE)-50))</f>
        <v>460</v>
      </c>
      <c r="X382" s="3">
        <f>IF(ISERROR(VLOOKUP($A382,'SegEnds_NonXtal_BW#'!$A:$Z,17,FALSE)+VLOOKUP($A382,A:AL,25,FALSE)-50),"-",(VLOOKUP($A382,'SegEnds_NonXtal_BW#'!$A:$Z,17,FALSE)+VLOOKUP($A382,A:AL,25,FALSE)-50))</f>
        <v>471</v>
      </c>
      <c r="Y382" s="3">
        <v>471</v>
      </c>
      <c r="Z382" s="3">
        <f t="shared" si="226"/>
        <v>473</v>
      </c>
      <c r="AA382" s="3">
        <f>IF(ISERROR(VLOOKUP($A382,'SegEnds_NonXtal_BW#'!$A:$Z,19,FALSE)+VLOOKUP($A382,A:AL,28,FALSE)-50),"-",(VLOOKUP($A382,'SegEnds_NonXtal_BW#'!$A:$Z,19,FALSE)+VLOOKUP($A382,A:AL,28,FALSE)-50))</f>
        <v>477</v>
      </c>
      <c r="AB382" s="3">
        <v>492</v>
      </c>
      <c r="AC382" s="3">
        <f>IF(ISERROR((VLOOKUP($A382,'SegEnds_NonXtal_BW#'!$A:$Z,20,FALSE)+VLOOKUP($A382,A:AL,28,FALSE)-50)),"-",(VLOOKUP($A382,'SegEnds_NonXtal_BW#'!$A:$Z,20,FALSE)+VLOOKUP($A382,A:AL,28,FALSE)-50))</f>
        <v>514</v>
      </c>
      <c r="AD382" s="3">
        <f>IF(ISERROR(VLOOKUP($A382,'SegEnds_NonXtal_BW#'!$A:$Z,21,FALSE)+VLOOKUP($A382,A:AL,31,FALSE)-50),"-",(VLOOKUP($A382,'SegEnds_NonXtal_BW#'!$A:$Z,21,FALSE)+VLOOKUP($A382,A:AL,31,FALSE)-50))</f>
        <v>527</v>
      </c>
      <c r="AE382" s="3">
        <v>549</v>
      </c>
      <c r="AF382" s="3">
        <f>IF(ISERROR((VLOOKUP($A382,'SegEnds_NonXtal_BW#'!$A:$Z,22,FALSE)+VLOOKUP($A382,A:AL,31,FALSE)-50)),"-",(VLOOKUP($A382,'SegEnds_NonXtal_BW#'!$A:$Z,22,FALSE)+VLOOKUP($A382,A:AL,31,FALSE)-50))</f>
        <v>577</v>
      </c>
      <c r="AG382" s="3">
        <f>IF(ISERROR(VLOOKUP($A382,'SegEnds_NonXtal_BW#'!$A:$Z,23,FALSE)+VLOOKUP($A382,A:AL,34,FALSE)-50),"-",(VLOOKUP($A382,'SegEnds_NonXtal_BW#'!$A:$Z,23,FALSE)+VLOOKUP($A382,A:AL,34,FALSE)-50))</f>
        <v>582</v>
      </c>
      <c r="AH382" s="3">
        <v>598</v>
      </c>
      <c r="AI382" s="3">
        <f>IF(ISERROR((VLOOKUP($A382,'SegEnds_NonXtal_BW#'!$A:$Z,24,FALSE)+VLOOKUP($A382,A:AL,34,FALSE)-50)),"-",(VLOOKUP($A382,'SegEnds_NonXtal_BW#'!$A:$Z,24,FALSE)+VLOOKUP($A382,A:AL,34,FALSE)-50))</f>
        <v>605</v>
      </c>
      <c r="AJ382" s="3">
        <f>IF(ISERROR(VLOOKUP($A382,'SegEnds_NonXtal_BW#'!$A:$Z,25,FALSE)+VLOOKUP($A382,A:AL,37,FALSE)-50),"-",(VLOOKUP($A382,'SegEnds_NonXtal_BW#'!$A:$Z,25,FALSE)+VLOOKUP($A382,A:AL,37,FALSE)-50))</f>
        <v>606</v>
      </c>
      <c r="AK382" s="3">
        <v>609</v>
      </c>
      <c r="AL382" s="3">
        <f>IF(ISERROR((VLOOKUP($A382,'SegEnds_NonXtal_BW#'!$A:$Z,26,FALSE)+VLOOKUP($A382,A:AL,37,FALSE)-50)),"-",(VLOOKUP($A382,'SegEnds_NonXtal_BW#'!$A:$Z,26,FALSE)+VLOOKUP($A382,A:AL,37,FALSE)-50))</f>
        <v>621</v>
      </c>
      <c r="AM382" s="28" t="str">
        <f>VLOOKUP(A382,Classification!A:B,2,FALSE)</f>
        <v>F</v>
      </c>
      <c r="AN382" s="28" t="b">
        <f t="shared" si="220"/>
        <v>1</v>
      </c>
      <c r="AO382" s="3" t="str">
        <f>IF(ISERROR(MATCH(A382,'SegEnds_Xtal_Prot#'!B:B, 0)), "NoXtal", "Xtal")</f>
        <v>NoXtal</v>
      </c>
      <c r="AP382" s="3">
        <f t="shared" si="205"/>
        <v>1</v>
      </c>
      <c r="AQ382" s="3">
        <f t="shared" si="206"/>
        <v>1</v>
      </c>
      <c r="AR382" s="3" t="str">
        <f t="shared" si="207"/>
        <v>-</v>
      </c>
      <c r="AS382" s="3" t="str">
        <f t="shared" si="208"/>
        <v>-</v>
      </c>
      <c r="AT382" s="3" t="str">
        <f t="shared" si="209"/>
        <v>-</v>
      </c>
      <c r="AU382" s="3" t="str">
        <f t="shared" si="210"/>
        <v>-</v>
      </c>
      <c r="AV382" s="3">
        <f t="shared" si="211"/>
        <v>11</v>
      </c>
      <c r="AW382" s="3">
        <f t="shared" si="212"/>
        <v>4</v>
      </c>
      <c r="AX382" s="3">
        <f t="shared" si="213"/>
        <v>13</v>
      </c>
      <c r="AY382" s="3">
        <f t="shared" si="214"/>
        <v>5</v>
      </c>
      <c r="AZ382" s="3">
        <f t="shared" si="215"/>
        <v>1</v>
      </c>
      <c r="BA382" s="3">
        <f>IF(ISERROR(LEN(VLOOKUP(A382,Seqs!A:E,2,FALSE))-AL382),"-",LEN(VLOOKUP(A382,Seqs!A:E,2,FALSE))-AL382)</f>
        <v>73</v>
      </c>
      <c r="BB382" s="16">
        <f t="shared" si="216"/>
        <v>26</v>
      </c>
      <c r="BC382" s="9" t="str">
        <f t="shared" si="217"/>
        <v>-</v>
      </c>
      <c r="BD382" s="3">
        <f t="shared" si="218"/>
        <v>26</v>
      </c>
      <c r="BE382" s="3">
        <f t="shared" si="219"/>
        <v>57</v>
      </c>
    </row>
    <row r="383" spans="1:58" s="3" customFormat="1" x14ac:dyDescent="0.2">
      <c r="A383" s="3" t="s">
        <v>449</v>
      </c>
      <c r="B383" s="3" t="str">
        <f>LOWER(VLOOKUP(A383,Xtal_Templ!A:B,2,FALSE))</f>
        <v>fzd4_human</v>
      </c>
      <c r="C383" s="3">
        <f>VLOOKUP($A383,'SegEnds_NonXtal_BW#'!$A:$Z,3,FALSE)+D383-50</f>
        <v>224</v>
      </c>
      <c r="D383" s="3">
        <v>246</v>
      </c>
      <c r="E383" s="3">
        <f>IF(ISERROR(VLOOKUP($A383,'SegEnds_NonXtal_BW#'!$A:$Z,4,FALSE)+VLOOKUP($A383,A:AL,4,FALSE)-50),"-",(VLOOKUP($A383,'SegEnds_NonXtal_BW#'!$A:$Z,4,FALSE)+VLOOKUP($A383,A:AL,4,FALSE)-50))</f>
        <v>256</v>
      </c>
      <c r="F383" s="3">
        <f t="shared" si="222"/>
        <v>257</v>
      </c>
      <c r="G383" s="3">
        <v>260</v>
      </c>
      <c r="H383" s="3">
        <f t="shared" si="227"/>
        <v>261</v>
      </c>
      <c r="I383" s="3">
        <f t="shared" si="224"/>
        <v>262</v>
      </c>
      <c r="J383" s="3">
        <v>272</v>
      </c>
      <c r="K383" s="3">
        <f>VLOOKUP($A383,'SegEnds_NonXtal_BW#'!$A:$Z,8,FALSE)+VLOOKUP($A383,A:AL,10,FALSE)-50</f>
        <v>288</v>
      </c>
      <c r="L383" s="3" t="str">
        <f>IF(ISERROR(VLOOKUP($A383,'SegEnds_NonXtal_BW#'!$A:$Z,9,FALSE)+VLOOKUP($A383,A:AL,13,FALSE)-50),"-",(VLOOKUP($A383,'SegEnds_NonXtal_BW#'!$A:$Z,9,FALSE)+VLOOKUP($A383,A:AL,13,FALSE)-50))</f>
        <v>-</v>
      </c>
      <c r="M383" s="3" t="s">
        <v>23</v>
      </c>
      <c r="N383" s="3" t="str">
        <f>IF(ISERROR(VLOOKUP($A383,'SegEnds_NonXtal_BW#'!$A:$Z,10,FALSE)+VLOOKUP($A383,A:AL,13,FALSE)-50),"-",(VLOOKUP($A383,'SegEnds_NonXtal_BW#'!$A:$Z,10,FALSE)+VLOOKUP($A383,A:AL,13,FALSE)-50))</f>
        <v>-</v>
      </c>
      <c r="O383" s="3">
        <f>VLOOKUP($A383,'SegEnds_NonXtal_BW#'!$A:$Z,11,FALSE)+VLOOKUP($A383,A:AL,16,FALSE)-50</f>
        <v>310</v>
      </c>
      <c r="P383" s="3">
        <v>338</v>
      </c>
      <c r="Q383" s="3">
        <f>VLOOKUP($A383,'SegEnds_NonXtal_BW#'!$A:$Z,12,FALSE)+VLOOKUP($A383,A:AL,16,FALSE)-50</f>
        <v>343</v>
      </c>
      <c r="R383" s="3" t="str">
        <f>IF(ISERROR(VLOOKUP($A383,'SegEnds_NonXtal_BW#'!$A:$Z,13,FALSE)+VLOOKUP($A383,A:AL,19,FALSE)-50),"-",VLOOKUP($A383,'SegEnds_NonXtal_BW#'!$A:$Z,13,FALSE)+VLOOKUP($A383,A:AL,19,FALSE)-50)</f>
        <v>-</v>
      </c>
      <c r="S383" s="3" t="s">
        <v>23</v>
      </c>
      <c r="T383" s="100" t="str">
        <f>IF(ISERROR(VLOOKUP($A383,'SegEnds_NonXtal_BW#'!$A:$Z,14,FALSE)+VLOOKUP($A383,A:AL,19,FALSE)-50),"-",(VLOOKUP($A383,'SegEnds_NonXtal_BW#'!$A:$Z,14,FALSE)+VLOOKUP($A383,A:AL,19,FALSE)-50))</f>
        <v>-</v>
      </c>
      <c r="U383" s="9">
        <f>IF(ISERROR(VLOOKUP($A383,'SegEnds_NonXtal_BW#'!$A:$Z,15,FALSE)+VLOOKUP($A383,A:AL,22,FALSE)-50),"-",VLOOKUP($A383,'SegEnds_NonXtal_BW#'!$A:$Z,15,FALSE)+VLOOKUP($A383,A:AL,22,FALSE)-50)</f>
        <v>354</v>
      </c>
      <c r="V383" s="3">
        <v>363</v>
      </c>
      <c r="W383" s="3">
        <f>IF(ISERROR(VLOOKUP($A383,'SegEnds_NonXtal_BW#'!$A:$Z,16,FALSE)+VLOOKUP($A383,A:AL,22,FALSE)-50),"-",(VLOOKUP($A383,'SegEnds_NonXtal_BW#'!$A:$Z,16,FALSE)+VLOOKUP($A383,A:AL,22,FALSE)-50))</f>
        <v>377</v>
      </c>
      <c r="X383" s="3">
        <f>IF(ISERROR(VLOOKUP($A383,'SegEnds_NonXtal_BW#'!$A:$Z,17,FALSE)+VLOOKUP($A383,A:AL,25,FALSE)-50),"-",(VLOOKUP($A383,'SegEnds_NonXtal_BW#'!$A:$Z,17,FALSE)+VLOOKUP($A383,A:AL,25,FALSE)-50))</f>
        <v>388</v>
      </c>
      <c r="Y383" s="3">
        <v>388</v>
      </c>
      <c r="Z383" s="3">
        <f t="shared" si="226"/>
        <v>390</v>
      </c>
      <c r="AA383" s="3">
        <f>IF(ISERROR(VLOOKUP($A383,'SegEnds_NonXtal_BW#'!$A:$Z,19,FALSE)+VLOOKUP($A383,A:AL,28,FALSE)-50),"-",(VLOOKUP($A383,'SegEnds_NonXtal_BW#'!$A:$Z,19,FALSE)+VLOOKUP($A383,A:AL,28,FALSE)-50))</f>
        <v>394</v>
      </c>
      <c r="AB383" s="3">
        <v>409</v>
      </c>
      <c r="AC383" s="3">
        <f>IF(ISERROR((VLOOKUP($A383,'SegEnds_NonXtal_BW#'!$A:$Z,20,FALSE)+VLOOKUP($A383,A:AL,28,FALSE)-50)),"-",(VLOOKUP($A383,'SegEnds_NonXtal_BW#'!$A:$Z,20,FALSE)+VLOOKUP($A383,A:AL,28,FALSE)-50))</f>
        <v>431</v>
      </c>
      <c r="AD383" s="3">
        <f>IF(ISERROR(VLOOKUP($A383,'SegEnds_NonXtal_BW#'!$A:$Z,21,FALSE)+VLOOKUP($A383,A:AL,31,FALSE)-50),"-",(VLOOKUP($A383,'SegEnds_NonXtal_BW#'!$A:$Z,21,FALSE)+VLOOKUP($A383,A:AL,31,FALSE)-50))</f>
        <v>442</v>
      </c>
      <c r="AE383" s="3">
        <v>464</v>
      </c>
      <c r="AF383" s="3">
        <f>IF(ISERROR((VLOOKUP($A383,'SegEnds_NonXtal_BW#'!$A:$Z,22,FALSE)+VLOOKUP($A383,A:AL,31,FALSE)-50)),"-",(VLOOKUP($A383,'SegEnds_NonXtal_BW#'!$A:$Z,22,FALSE)+VLOOKUP($A383,A:AL,31,FALSE)-50))</f>
        <v>492</v>
      </c>
      <c r="AG383" s="3">
        <f>IF(ISERROR(VLOOKUP($A383,'SegEnds_NonXtal_BW#'!$A:$Z,23,FALSE)+VLOOKUP($A383,A:AL,34,FALSE)-50),"-",(VLOOKUP($A383,'SegEnds_NonXtal_BW#'!$A:$Z,23,FALSE)+VLOOKUP($A383,A:AL,34,FALSE)-50))</f>
        <v>506</v>
      </c>
      <c r="AH383" s="3">
        <v>522</v>
      </c>
      <c r="AI383" s="3">
        <f>IF(ISERROR((VLOOKUP($A383,'SegEnds_NonXtal_BW#'!$A:$Z,24,FALSE)+VLOOKUP($A383,A:AL,34,FALSE)-50)),"-",(VLOOKUP($A383,'SegEnds_NonXtal_BW#'!$A:$Z,24,FALSE)+VLOOKUP($A383,A:AL,34,FALSE)-50))</f>
        <v>529</v>
      </c>
      <c r="AJ383" s="3">
        <f>IF(ISERROR(VLOOKUP($A383,'SegEnds_NonXtal_BW#'!$A:$Z,25,FALSE)+VLOOKUP($A383,A:AL,37,FALSE)-50),"-",(VLOOKUP($A383,'SegEnds_NonXtal_BW#'!$A:$Z,25,FALSE)+VLOOKUP($A383,A:AL,37,FALSE)-50))</f>
        <v>530</v>
      </c>
      <c r="AK383" s="3">
        <v>533</v>
      </c>
      <c r="AL383" s="3">
        <f>IF(ISERROR((VLOOKUP($A383,'SegEnds_NonXtal_BW#'!$A:$Z,26,FALSE)+VLOOKUP($A383,A:AL,37,FALSE)-50)),"-",(VLOOKUP($A383,'SegEnds_NonXtal_BW#'!$A:$Z,26,FALSE)+VLOOKUP($A383,A:AL,37,FALSE)-50))</f>
        <v>545</v>
      </c>
      <c r="AM383" s="28" t="str">
        <f>VLOOKUP(A383,Classification!A:B,2,FALSE)</f>
        <v>F</v>
      </c>
      <c r="AN383" s="28" t="b">
        <f t="shared" si="220"/>
        <v>1</v>
      </c>
      <c r="AO383" s="3" t="str">
        <f>IF(ISERROR(MATCH(A383,'SegEnds_Xtal_Prot#'!B:B, 0)), "NoXtal", "Xtal")</f>
        <v>NoXtal</v>
      </c>
      <c r="AP383" s="3">
        <f t="shared" si="205"/>
        <v>1</v>
      </c>
      <c r="AQ383" s="3">
        <f t="shared" si="206"/>
        <v>1</v>
      </c>
      <c r="AR383" s="3" t="str">
        <f t="shared" si="207"/>
        <v>-</v>
      </c>
      <c r="AS383" s="3" t="str">
        <f t="shared" si="208"/>
        <v>-</v>
      </c>
      <c r="AT383" s="3" t="str">
        <f t="shared" si="209"/>
        <v>-</v>
      </c>
      <c r="AU383" s="3" t="str">
        <f t="shared" si="210"/>
        <v>-</v>
      </c>
      <c r="AV383" s="3">
        <f t="shared" si="211"/>
        <v>11</v>
      </c>
      <c r="AW383" s="3">
        <f t="shared" si="212"/>
        <v>4</v>
      </c>
      <c r="AX383" s="3">
        <f t="shared" si="213"/>
        <v>11</v>
      </c>
      <c r="AY383" s="3">
        <f t="shared" si="214"/>
        <v>14</v>
      </c>
      <c r="AZ383" s="3">
        <f t="shared" si="215"/>
        <v>1</v>
      </c>
      <c r="BA383" s="3">
        <f>IF(ISERROR(LEN(VLOOKUP(A383,Seqs!A:E,2,FALSE))-AL383),"-",LEN(VLOOKUP(A383,Seqs!A:E,2,FALSE))-AL383)</f>
        <v>46</v>
      </c>
      <c r="BB383" s="16">
        <f t="shared" si="216"/>
        <v>26</v>
      </c>
      <c r="BC383" s="9" t="str">
        <f t="shared" si="217"/>
        <v>-</v>
      </c>
      <c r="BD383" s="3">
        <f t="shared" si="218"/>
        <v>26</v>
      </c>
      <c r="BE383" s="3">
        <f t="shared" si="219"/>
        <v>55</v>
      </c>
    </row>
    <row r="384" spans="1:58" s="3" customFormat="1" x14ac:dyDescent="0.2">
      <c r="A384" s="3" t="s">
        <v>33</v>
      </c>
      <c r="B384" s="3" t="str">
        <f>LOWER(VLOOKUP(A384,Xtal_Templ!A:B,2,FALSE))</f>
        <v>smo_human</v>
      </c>
      <c r="C384" s="3">
        <f>VLOOKUP($A384,'SegEnds_NonXtal_BW#'!$A:$Z,3,FALSE)+D384-50</f>
        <v>223</v>
      </c>
      <c r="D384" s="3">
        <v>245</v>
      </c>
      <c r="E384" s="3">
        <f>IF(ISERROR(VLOOKUP($A384,'SegEnds_NonXtal_BW#'!$A:$Z,4,FALSE)+VLOOKUP($A384,A:AL,4,FALSE)-50),"-",(VLOOKUP($A384,'SegEnds_NonXtal_BW#'!$A:$Z,4,FALSE)+VLOOKUP($A384,A:AL,4,FALSE)-50))</f>
        <v>255</v>
      </c>
      <c r="F384" s="3">
        <f t="shared" si="222"/>
        <v>256</v>
      </c>
      <c r="G384" s="3">
        <v>259</v>
      </c>
      <c r="H384" s="3">
        <f t="shared" si="227"/>
        <v>260</v>
      </c>
      <c r="I384" s="3">
        <f t="shared" si="224"/>
        <v>261</v>
      </c>
      <c r="J384" s="3">
        <v>272</v>
      </c>
      <c r="K384" s="3">
        <f>VLOOKUP($A384,'SegEnds_NonXtal_BW#'!$A:$Z,8,FALSE)+VLOOKUP($A384,A:AL,10,FALSE)-50</f>
        <v>285</v>
      </c>
      <c r="L384" s="3" t="str">
        <f>IF(ISERROR(VLOOKUP($A384,'SegEnds_NonXtal_BW#'!$A:$Z,9,FALSE)+VLOOKUP($A384,A:AL,13,FALSE)-50),"-",(VLOOKUP($A384,'SegEnds_NonXtal_BW#'!$A:$Z,9,FALSE)+VLOOKUP($A384,A:AL,13,FALSE)-50))</f>
        <v>-</v>
      </c>
      <c r="M384" s="3" t="s">
        <v>23</v>
      </c>
      <c r="N384" s="3" t="str">
        <f>IF(ISERROR(VLOOKUP($A384,'SegEnds_NonXtal_BW#'!$A:$Z,10,FALSE)+VLOOKUP($A384,A:AL,13,FALSE)-50),"-",(VLOOKUP($A384,'SegEnds_NonXtal_BW#'!$A:$Z,10,FALSE)+VLOOKUP($A384,A:AL,13,FALSE)-50))</f>
        <v>-</v>
      </c>
      <c r="O384" s="3">
        <f>VLOOKUP($A384,'SegEnds_NonXtal_BW#'!$A:$Z,11,FALSE)+VLOOKUP($A384,A:AL,16,FALSE)-50</f>
        <v>312</v>
      </c>
      <c r="P384" s="3">
        <v>339</v>
      </c>
      <c r="Q384" s="3">
        <f>VLOOKUP($A384,'SegEnds_NonXtal_BW#'!$A:$Z,12,FALSE)+VLOOKUP($A384,A:AL,16,FALSE)-50</f>
        <v>345</v>
      </c>
      <c r="R384" s="3" t="str">
        <f>IF(ISERROR(VLOOKUP($A384,'SegEnds_NonXtal_BW#'!$A:$Z,13,FALSE)+VLOOKUP($A384,A:AL,19,FALSE)-50),"-",VLOOKUP($A384,'SegEnds_NonXtal_BW#'!$A:$Z,13,FALSE)+VLOOKUP($A384,A:AL,19,FALSE)-50)</f>
        <v>-</v>
      </c>
      <c r="S384" s="3" t="s">
        <v>23</v>
      </c>
      <c r="T384" s="100" t="str">
        <f>IF(ISERROR(VLOOKUP($A384,'SegEnds_NonXtal_BW#'!$A:$Z,14,FALSE)+VLOOKUP($A384,A:AL,19,FALSE)-50),"-",(VLOOKUP($A384,'SegEnds_NonXtal_BW#'!$A:$Z,14,FALSE)+VLOOKUP($A384,A:AL,19,FALSE)-50))</f>
        <v>-</v>
      </c>
      <c r="U384" s="9">
        <f>IF(ISERROR(VLOOKUP($A384,'SegEnds_NonXtal_BW#'!$A:$Z,15,FALSE)+VLOOKUP($A384,A:AL,22,FALSE)-50),"-",VLOOKUP($A384,'SegEnds_NonXtal_BW#'!$A:$Z,15,FALSE)+VLOOKUP($A384,A:AL,22,FALSE)-50)</f>
        <v>356</v>
      </c>
      <c r="V384" s="3">
        <v>365</v>
      </c>
      <c r="W384" s="3">
        <f>IF(ISERROR(VLOOKUP($A384,'SegEnds_NonXtal_BW#'!$A:$Z,16,FALSE)+VLOOKUP($A384,A:AL,22,FALSE)-50),"-",(VLOOKUP($A384,'SegEnds_NonXtal_BW#'!$A:$Z,16,FALSE)+VLOOKUP($A384,A:AL,22,FALSE)-50))</f>
        <v>379</v>
      </c>
      <c r="X384" s="3">
        <f>IF(ISERROR(VLOOKUP($A384,'SegEnds_NonXtal_BW#'!$A:$Z,17,FALSE)+VLOOKUP($A384,A:AL,25,FALSE)-50),"-",(VLOOKUP($A384,'SegEnds_NonXtal_BW#'!$A:$Z,17,FALSE)+VLOOKUP($A384,A:AL,25,FALSE)-50))</f>
        <v>390</v>
      </c>
      <c r="Y384" s="3">
        <v>390</v>
      </c>
      <c r="Z384" s="3">
        <f t="shared" si="226"/>
        <v>392</v>
      </c>
      <c r="AA384" s="3">
        <f>IF(ISERROR(VLOOKUP($A384,'SegEnds_NonXtal_BW#'!$A:$Z,19,FALSE)+VLOOKUP($A384,A:AL,28,FALSE)-50),"-",(VLOOKUP($A384,'SegEnds_NonXtal_BW#'!$A:$Z,19,FALSE)+VLOOKUP($A384,A:AL,28,FALSE)-50))</f>
        <v>396</v>
      </c>
      <c r="AB384" s="3">
        <v>411</v>
      </c>
      <c r="AC384" s="3">
        <f>IF(ISERROR((VLOOKUP($A384,'SegEnds_NonXtal_BW#'!$A:$Z,20,FALSE)+VLOOKUP($A384,A:AL,28,FALSE)-50)),"-",(VLOOKUP($A384,'SegEnds_NonXtal_BW#'!$A:$Z,20,FALSE)+VLOOKUP($A384,A:AL,28,FALSE)-50))</f>
        <v>433</v>
      </c>
      <c r="AD384" s="3">
        <f>IF(ISERROR(VLOOKUP($A384,'SegEnds_NonXtal_BW#'!$A:$Z,21,FALSE)+VLOOKUP($A384,A:AL,31,FALSE)-50),"-",(VLOOKUP($A384,'SegEnds_NonXtal_BW#'!$A:$Z,21,FALSE)+VLOOKUP($A384,A:AL,31,FALSE)-50))</f>
        <v>438</v>
      </c>
      <c r="AE384" s="3">
        <v>468</v>
      </c>
      <c r="AF384" s="3">
        <f>IF(ISERROR((VLOOKUP($A384,'SegEnds_NonXtal_BW#'!$A:$Z,22,FALSE)+VLOOKUP($A384,A:AL,31,FALSE)-50)),"-",(VLOOKUP($A384,'SegEnds_NonXtal_BW#'!$A:$Z,22,FALSE)+VLOOKUP($A384,A:AL,31,FALSE)-50))</f>
        <v>496</v>
      </c>
      <c r="AG384" s="3">
        <f>IF(ISERROR(VLOOKUP($A384,'SegEnds_NonXtal_BW#'!$A:$Z,23,FALSE)+VLOOKUP($A384,A:AL,34,FALSE)-50),"-",(VLOOKUP($A384,'SegEnds_NonXtal_BW#'!$A:$Z,23,FALSE)+VLOOKUP($A384,A:AL,34,FALSE)-50))</f>
        <v>514</v>
      </c>
      <c r="AH384" s="3">
        <v>530</v>
      </c>
      <c r="AI384" s="3">
        <f>IF(ISERROR((VLOOKUP($A384,'SegEnds_NonXtal_BW#'!$A:$Z,24,FALSE)+VLOOKUP($A384,A:AL,34,FALSE)-50)),"-",(VLOOKUP($A384,'SegEnds_NonXtal_BW#'!$A:$Z,24,FALSE)+VLOOKUP($A384,A:AL,34,FALSE)-50))</f>
        <v>537</v>
      </c>
      <c r="AJ384" s="3">
        <f>IF(ISERROR(VLOOKUP($A384,'SegEnds_NonXtal_BW#'!$A:$Z,25,FALSE)+VLOOKUP($A384,A:AL,37,FALSE)-50),"-",(VLOOKUP($A384,'SegEnds_NonXtal_BW#'!$A:$Z,25,FALSE)+VLOOKUP($A384,A:AL,37,FALSE)-50))</f>
        <v>538</v>
      </c>
      <c r="AK384" s="3">
        <v>541</v>
      </c>
      <c r="AL384" s="3">
        <f>IF(ISERROR((VLOOKUP($A384,'SegEnds_NonXtal_BW#'!$A:$Z,26,FALSE)+VLOOKUP($A384,A:AL,37,FALSE)-50)),"-",(VLOOKUP($A384,'SegEnds_NonXtal_BW#'!$A:$Z,26,FALSE)+VLOOKUP($A384,A:AL,37,FALSE)-50))</f>
        <v>553</v>
      </c>
      <c r="AM384" s="28" t="str">
        <f>VLOOKUP(A384,Classification!A:B,2,FALSE)</f>
        <v>F</v>
      </c>
      <c r="AN384" s="28" t="b">
        <f t="shared" si="220"/>
        <v>1</v>
      </c>
      <c r="AO384" s="3" t="str">
        <f>IF(ISERROR(MATCH(A384,'SegEnds_Xtal_Prot#'!B:B, 0)), "NoXtal", "Xtal")</f>
        <v>Xtal</v>
      </c>
      <c r="AP384" s="3">
        <f t="shared" si="205"/>
        <v>1</v>
      </c>
      <c r="AQ384" s="3">
        <f t="shared" si="206"/>
        <v>1</v>
      </c>
      <c r="AR384" s="3" t="str">
        <f t="shared" si="207"/>
        <v>-</v>
      </c>
      <c r="AS384" s="3" t="str">
        <f t="shared" si="208"/>
        <v>-</v>
      </c>
      <c r="AT384" s="3" t="str">
        <f t="shared" si="209"/>
        <v>-</v>
      </c>
      <c r="AU384" s="3" t="str">
        <f t="shared" si="210"/>
        <v>-</v>
      </c>
      <c r="AV384" s="3">
        <f t="shared" si="211"/>
        <v>11</v>
      </c>
      <c r="AW384" s="3">
        <f t="shared" si="212"/>
        <v>4</v>
      </c>
      <c r="AX384" s="3">
        <f t="shared" si="213"/>
        <v>5</v>
      </c>
      <c r="AY384" s="3">
        <f t="shared" si="214"/>
        <v>18</v>
      </c>
      <c r="AZ384" s="3">
        <f t="shared" si="215"/>
        <v>1</v>
      </c>
      <c r="BA384" s="3">
        <f>IF(ISERROR(LEN(VLOOKUP(A384,Seqs!A:E,2,FALSE))-AL384),"-",LEN(VLOOKUP(A384,Seqs!A:E,2,FALSE))-AL384)</f>
        <v>234</v>
      </c>
      <c r="BB384" s="16">
        <f t="shared" si="216"/>
        <v>27</v>
      </c>
      <c r="BC384" s="9" t="str">
        <f t="shared" si="217"/>
        <v>-</v>
      </c>
      <c r="BD384" s="3">
        <f t="shared" si="218"/>
        <v>27</v>
      </c>
      <c r="BE384" s="3">
        <f t="shared" si="219"/>
        <v>57</v>
      </c>
    </row>
    <row r="385" spans="1:58" s="3" customFormat="1" x14ac:dyDescent="0.2">
      <c r="A385" s="3" t="s">
        <v>1588</v>
      </c>
      <c r="B385" s="3" t="str">
        <f>LOWER(VLOOKUP(A385,Xtal_Templ!A:B,2,FALSE))</f>
        <v>smo_mouse</v>
      </c>
      <c r="C385" s="3">
        <f>VLOOKUP($A385,'SegEnds_NonXtal_BW#'!$A:$Z,3,FALSE)+D385-50</f>
        <v>227</v>
      </c>
      <c r="D385" s="3">
        <v>249</v>
      </c>
      <c r="E385" s="3">
        <f>IF(ISERROR(VLOOKUP($A385,'SegEnds_NonXtal_BW#'!$A:$Z,4,FALSE)+VLOOKUP($A385,A:AL,4,FALSE)-50),"-",(VLOOKUP($A385,'SegEnds_NonXtal_BW#'!$A:$Z,4,FALSE)+VLOOKUP($A385,A:AL,4,FALSE)-50))</f>
        <v>259</v>
      </c>
      <c r="F385" s="3">
        <f t="shared" ref="F385" si="228">G385-3</f>
        <v>260</v>
      </c>
      <c r="G385" s="3">
        <v>263</v>
      </c>
      <c r="H385" s="3">
        <f t="shared" ref="H385" si="229">G385+1</f>
        <v>264</v>
      </c>
      <c r="I385" s="3">
        <f t="shared" ref="I385" si="230">H385+1</f>
        <v>265</v>
      </c>
      <c r="J385" s="3">
        <v>276</v>
      </c>
      <c r="K385" s="3">
        <f>VLOOKUP($A385,'SegEnds_NonXtal_BW#'!$A:$Z,8,FALSE)+VLOOKUP($A385,A:AL,10,FALSE)-50</f>
        <v>289</v>
      </c>
      <c r="L385" s="3" t="str">
        <f>IF(ISERROR(VLOOKUP($A385,'SegEnds_NonXtal_BW#'!$A:$Z,9,FALSE)+VLOOKUP($A385,A:AL,13,FALSE)-50),"-",(VLOOKUP($A385,'SegEnds_NonXtal_BW#'!$A:$Z,9,FALSE)+VLOOKUP($A385,A:AL,13,FALSE)-50))</f>
        <v>-</v>
      </c>
      <c r="M385" s="3" t="s">
        <v>23</v>
      </c>
      <c r="N385" s="3" t="str">
        <f>IF(ISERROR(VLOOKUP($A385,'SegEnds_NonXtal_BW#'!$A:$Z,10,FALSE)+VLOOKUP($A385,A:AL,13,FALSE)-50),"-",(VLOOKUP($A385,'SegEnds_NonXtal_BW#'!$A:$Z,10,FALSE)+VLOOKUP($A385,A:AL,13,FALSE)-50))</f>
        <v>-</v>
      </c>
      <c r="O385" s="3">
        <f>VLOOKUP($A385,'SegEnds_NonXtal_BW#'!$A:$Z,11,FALSE)+VLOOKUP($A385,A:AL,16,FALSE)-50</f>
        <v>316</v>
      </c>
      <c r="P385" s="3">
        <v>343</v>
      </c>
      <c r="Q385" s="3">
        <f>VLOOKUP($A385,'SegEnds_NonXtal_BW#'!$A:$Z,12,FALSE)+VLOOKUP($A385,A:AL,16,FALSE)-50</f>
        <v>349</v>
      </c>
      <c r="R385" s="3" t="str">
        <f>IF(ISERROR(VLOOKUP($A385,'SegEnds_NonXtal_BW#'!$A:$Z,13,FALSE)+VLOOKUP($A385,A:AL,19,FALSE)-50),"-",VLOOKUP($A385,'SegEnds_NonXtal_BW#'!$A:$Z,13,FALSE)+VLOOKUP($A385,A:AL,19,FALSE)-50)</f>
        <v>-</v>
      </c>
      <c r="S385" s="3" t="s">
        <v>23</v>
      </c>
      <c r="T385" s="100" t="str">
        <f>IF(ISERROR(VLOOKUP($A385,'SegEnds_NonXtal_BW#'!$A:$Z,14,FALSE)+VLOOKUP($A385,A:AL,19,FALSE)-50),"-",(VLOOKUP($A385,'SegEnds_NonXtal_BW#'!$A:$Z,14,FALSE)+VLOOKUP($A385,A:AL,19,FALSE)-50))</f>
        <v>-</v>
      </c>
      <c r="U385" s="9">
        <f>IF(ISERROR(VLOOKUP($A385,'SegEnds_NonXtal_BW#'!$A:$Z,15,FALSE)+VLOOKUP($A385,A:AL,22,FALSE)-50),"-",VLOOKUP($A385,'SegEnds_NonXtal_BW#'!$A:$Z,15,FALSE)+VLOOKUP($A385,A:AL,22,FALSE)-50)</f>
        <v>360</v>
      </c>
      <c r="V385" s="3">
        <v>369</v>
      </c>
      <c r="W385" s="3">
        <f>IF(ISERROR(VLOOKUP($A385,'SegEnds_NonXtal_BW#'!$A:$Z,16,FALSE)+VLOOKUP($A385,A:AL,22,FALSE)-50),"-",(VLOOKUP($A385,'SegEnds_NonXtal_BW#'!$A:$Z,16,FALSE)+VLOOKUP($A385,A:AL,22,FALSE)-50))</f>
        <v>383</v>
      </c>
      <c r="X385" s="3">
        <f>IF(ISERROR(VLOOKUP($A385,'SegEnds_NonXtal_BW#'!$A:$Z,17,FALSE)+VLOOKUP($A385,A:AL,25,FALSE)-50),"-",(VLOOKUP($A385,'SegEnds_NonXtal_BW#'!$A:$Z,17,FALSE)+VLOOKUP($A385,A:AL,25,FALSE)-50))</f>
        <v>394</v>
      </c>
      <c r="Y385" s="3">
        <v>394</v>
      </c>
      <c r="Z385" s="3">
        <f t="shared" ref="Z385" si="231">Y385+2</f>
        <v>396</v>
      </c>
      <c r="AA385" s="3">
        <f>IF(ISERROR(VLOOKUP($A385,'SegEnds_NonXtal_BW#'!$A:$Z,19,FALSE)+VLOOKUP($A385,A:AL,28,FALSE)-50),"-",(VLOOKUP($A385,'SegEnds_NonXtal_BW#'!$A:$Z,19,FALSE)+VLOOKUP($A385,A:AL,28,FALSE)-50))</f>
        <v>400</v>
      </c>
      <c r="AB385" s="3">
        <v>415</v>
      </c>
      <c r="AC385" s="3">
        <f>IF(ISERROR((VLOOKUP($A385,'SegEnds_NonXtal_BW#'!$A:$Z,20,FALSE)+VLOOKUP($A385,A:AL,28,FALSE)-50)),"-",(VLOOKUP($A385,'SegEnds_NonXtal_BW#'!$A:$Z,20,FALSE)+VLOOKUP($A385,A:AL,28,FALSE)-50))</f>
        <v>437</v>
      </c>
      <c r="AD385" s="3">
        <f>IF(ISERROR(VLOOKUP($A385,'SegEnds_NonXtal_BW#'!$A:$Z,21,FALSE)+VLOOKUP($A385,A:AL,31,FALSE)-50),"-",(VLOOKUP($A385,'SegEnds_NonXtal_BW#'!$A:$Z,21,FALSE)+VLOOKUP($A385,A:AL,31,FALSE)-50))</f>
        <v>442</v>
      </c>
      <c r="AE385" s="3">
        <v>472</v>
      </c>
      <c r="AF385" s="3">
        <f>IF(ISERROR((VLOOKUP($A385,'SegEnds_NonXtal_BW#'!$A:$Z,22,FALSE)+VLOOKUP($A385,A:AL,31,FALSE)-50)),"-",(VLOOKUP($A385,'SegEnds_NonXtal_BW#'!$A:$Z,22,FALSE)+VLOOKUP($A385,A:AL,31,FALSE)-50))</f>
        <v>500</v>
      </c>
      <c r="AG385" s="3">
        <f>IF(ISERROR(VLOOKUP($A385,'SegEnds_NonXtal_BW#'!$A:$Z,23,FALSE)+VLOOKUP($A385,A:AL,34,FALSE)-50),"-",(VLOOKUP($A385,'SegEnds_NonXtal_BW#'!$A:$Z,23,FALSE)+VLOOKUP($A385,A:AL,34,FALSE)-50))</f>
        <v>518</v>
      </c>
      <c r="AH385" s="3">
        <v>534</v>
      </c>
      <c r="AI385" s="3">
        <f>IF(ISERROR((VLOOKUP($A385,'SegEnds_NonXtal_BW#'!$A:$Z,24,FALSE)+VLOOKUP($A385,A:AL,34,FALSE)-50)),"-",(VLOOKUP($A385,'SegEnds_NonXtal_BW#'!$A:$Z,24,FALSE)+VLOOKUP($A385,A:AL,34,FALSE)-50))</f>
        <v>541</v>
      </c>
      <c r="AJ385" s="3">
        <f>IF(ISERROR(VLOOKUP($A385,'SegEnds_NonXtal_BW#'!$A:$Z,25,FALSE)+VLOOKUP($A385,A:AL,37,FALSE)-50),"-",(VLOOKUP($A385,'SegEnds_NonXtal_BW#'!$A:$Z,25,FALSE)+VLOOKUP($A385,A:AL,37,FALSE)-50))</f>
        <v>542</v>
      </c>
      <c r="AK385" s="3">
        <v>545</v>
      </c>
      <c r="AL385" s="3">
        <f>IF(ISERROR((VLOOKUP($A385,'SegEnds_NonXtal_BW#'!$A:$Z,26,FALSE)+VLOOKUP($A385,A:AL,37,FALSE)-50)),"-",(VLOOKUP($A385,'SegEnds_NonXtal_BW#'!$A:$Z,26,FALSE)+VLOOKUP($A385,A:AL,37,FALSE)-50))</f>
        <v>557</v>
      </c>
      <c r="AM385" s="28" t="str">
        <f>VLOOKUP(A385,Classification!A:B,2,FALSE)</f>
        <v>F</v>
      </c>
      <c r="AN385" s="28" t="b">
        <f t="shared" ref="AN385" si="232">AND(IF(Y385="-",IF(AA385-W385&gt;3,TRUE,FALSE),TRUE),IF(M385="-",IF(O385-K385&gt;3,TRUE,FALSE),TRUE),IF(AG385-AF385&gt;1,TRUE,FALSE),C385&lt;E385,OR(E385&lt;F385,F385="-"),OR(F385&lt;H385,F385="-"),OR(H385&lt;I385,H385="-"),I385&lt;K385,OR(K385&lt;L385,L385="-"),OR(L385&lt;N385,L385="-"),OR(N385&lt;O385,N385="-"),O385&lt;Q385,OR(Q385&lt;R385,R385="-"),OR(R385&lt;T385,R385="-"),OR(T385&lt;U385,T385="-"),U385&lt;W385,OR(W385&lt;X385,X385="-"),OR(X385&lt;Z385,X385="-"),OR(Z385&lt;AA385,Z385="-"),AA385&lt;AC385,AC385&lt;AD385,AD385&lt;AF385,AF385&lt;AG385,AG385&lt;AI385,OR(AI385&lt;AJ385,AJ385="-"),OR(AJ385&lt;AL385,AJ385="-"))</f>
        <v>1</v>
      </c>
      <c r="AO385" s="3" t="str">
        <f>IF(ISERROR(MATCH(A385,'SegEnds_Xtal_Prot#'!B:B, 0)), "NoXtal", "Xtal")</f>
        <v>Xtal</v>
      </c>
      <c r="AP385" s="3">
        <f t="shared" ref="AP385" si="233">IF(ISERROR(F385-E385),"-",F385-E385)</f>
        <v>1</v>
      </c>
      <c r="AQ385" s="3">
        <f t="shared" ref="AQ385" si="234">IF(ISERROR(I385-H385),"-",I385-H385)</f>
        <v>1</v>
      </c>
      <c r="AR385" s="3" t="str">
        <f t="shared" ref="AR385" si="235">IF(ISERROR(L385-K385),"-",L385-K385)</f>
        <v>-</v>
      </c>
      <c r="AS385" s="3" t="str">
        <f t="shared" ref="AS385" si="236">IF(ISERROR(O385-N385),"-",O385-N385)</f>
        <v>-</v>
      </c>
      <c r="AT385" s="3" t="str">
        <f t="shared" ref="AT385" si="237">IF(ISERROR(R385-Q385),"-",R385-Q385)</f>
        <v>-</v>
      </c>
      <c r="AU385" s="3" t="str">
        <f t="shared" ref="AU385" si="238">IF(ISERROR(U385-T385),"-",U385-T385)</f>
        <v>-</v>
      </c>
      <c r="AV385" s="3">
        <f t="shared" ref="AV385" si="239">IF(ISERROR(X385-W385),"-",X385-W385)</f>
        <v>11</v>
      </c>
      <c r="AW385" s="3">
        <f t="shared" ref="AW385" si="240">IF(ISERROR(AA385-Z385),"-",AA385-Z385)</f>
        <v>4</v>
      </c>
      <c r="AX385" s="3">
        <f t="shared" ref="AX385" si="241">IF(ISERROR(AD385-AC385),"-",AD385-AC385)</f>
        <v>5</v>
      </c>
      <c r="AY385" s="3">
        <f t="shared" ref="AY385" si="242">IF(ISERROR(AG385-AF385),"-",AG385-AF385)</f>
        <v>18</v>
      </c>
      <c r="AZ385" s="3">
        <f t="shared" ref="AZ385" si="243">IF(ISERROR(AJ385-AI385),"-",AJ385-AI385)</f>
        <v>1</v>
      </c>
      <c r="BA385" s="3">
        <f>IF(ISERROR(LEN(VLOOKUP(A385,Seqs!A:E,2,FALSE))-AL385),"-",LEN(VLOOKUP(A385,Seqs!A:E,2,FALSE))-AL385)</f>
        <v>236</v>
      </c>
      <c r="BB385" s="16">
        <f t="shared" ref="BB385" si="244">J385-D385</f>
        <v>27</v>
      </c>
      <c r="BC385" s="9" t="str">
        <f t="shared" ref="BC385" si="245">IF(ISERROR(V385-S385),"-",V385-S385)</f>
        <v>-</v>
      </c>
      <c r="BD385" s="3">
        <f t="shared" ref="BD385" si="246">J385-D385</f>
        <v>27</v>
      </c>
      <c r="BE385" s="3">
        <f t="shared" ref="BE385" si="247">AE385-AB385</f>
        <v>57</v>
      </c>
    </row>
    <row r="386" spans="1:58" s="9" customFormat="1" x14ac:dyDescent="0.2">
      <c r="A386" s="127" t="s">
        <v>1489</v>
      </c>
      <c r="B386" s="9" t="str">
        <f>LOWER(VLOOKUP(A386,Xtal_Templ!A:B,2,FALSE))</f>
        <v>q98sw5_xenla</v>
      </c>
      <c r="C386" s="9">
        <f>VLOOKUP($A386,'SegEnds_NonXtal_BW#'!$A:$Z,3,FALSE)+D386-50</f>
        <v>196</v>
      </c>
      <c r="D386" s="9">
        <v>218</v>
      </c>
      <c r="E386" s="9">
        <f>IF(ISERROR(VLOOKUP($A386,'SegEnds_NonXtal_BW#'!$A:$Z,4,FALSE)+VLOOKUP($A386,A:AL,4,FALSE)-50),"-",(VLOOKUP($A386,'SegEnds_NonXtal_BW#'!$A:$Z,4,FALSE)+VLOOKUP($A386,A:AL,4,FALSE)-50))</f>
        <v>228</v>
      </c>
      <c r="F386" s="9">
        <f>G386-3</f>
        <v>229</v>
      </c>
      <c r="G386" s="9">
        <v>232</v>
      </c>
      <c r="H386" s="9">
        <f>G386+1</f>
        <v>233</v>
      </c>
      <c r="I386" s="9">
        <f>H386+1</f>
        <v>234</v>
      </c>
      <c r="J386" s="9">
        <v>245</v>
      </c>
      <c r="K386" s="9">
        <f>VLOOKUP($A386,'SegEnds_NonXtal_BW#'!$A:$Z,8,FALSE)+VLOOKUP($A386,A:AL,10,FALSE)-50</f>
        <v>256</v>
      </c>
      <c r="L386" s="9" t="str">
        <f>IF(ISERROR(VLOOKUP($A386,'SegEnds_NonXtal_BW#'!$A:$Z,9,FALSE)+VLOOKUP($A386,A:AL,13,FALSE)-50),"-",(VLOOKUP($A386,'SegEnds_NonXtal_BW#'!$A:$Z,9,FALSE)+VLOOKUP($A386,A:AL,13,FALSE)-50))</f>
        <v>-</v>
      </c>
      <c r="M386" s="9" t="s">
        <v>23</v>
      </c>
      <c r="N386" s="9" t="str">
        <f>IF(ISERROR(VLOOKUP($A386,'SegEnds_NonXtal_BW#'!$A:$Z,10,FALSE)+VLOOKUP($A386,A:AL,13,FALSE)-50),"-",(VLOOKUP($A386,'SegEnds_NonXtal_BW#'!$A:$Z,10,FALSE)+VLOOKUP($A386,A:AL,13,FALSE)-50))</f>
        <v>-</v>
      </c>
      <c r="O386" s="9">
        <f>VLOOKUP($A386,'SegEnds_NonXtal_BW#'!$A:$Z,11,FALSE)+VLOOKUP($A386,A:AL,16,FALSE)-50</f>
        <v>285</v>
      </c>
      <c r="P386" s="9">
        <v>312</v>
      </c>
      <c r="Q386" s="9">
        <f>VLOOKUP($A386,'SegEnds_NonXtal_BW#'!$A:$Z,12,FALSE)+VLOOKUP($A386,A:AL,16,FALSE)-50</f>
        <v>321</v>
      </c>
      <c r="R386" s="9" t="str">
        <f>IF(ISERROR(VLOOKUP($A386,'SegEnds_NonXtal_BW#'!$A:$Z,13,FALSE)+VLOOKUP($A386,A:AL,19,FALSE)-50),"-",VLOOKUP($A386,'SegEnds_NonXtal_BW#'!$A:$Z,13,FALSE)+VLOOKUP($A386,A:AL,19,FALSE)-50)</f>
        <v>-</v>
      </c>
      <c r="S386" s="9" t="s">
        <v>23</v>
      </c>
      <c r="T386" s="9" t="str">
        <f>IF(ISERROR(VLOOKUP($A386,'SegEnds_NonXtal_BW#'!$A:$Z,14,FALSE)+VLOOKUP($A386,A:AL,19,FALSE)-50),"-",(VLOOKUP($A386,'SegEnds_NonXtal_BW#'!$A:$Z,14,FALSE)+VLOOKUP($A386,A:AL,19,FALSE)-50))</f>
        <v>-</v>
      </c>
      <c r="U386" s="9">
        <f>IF(ISERROR(VLOOKUP($A386,'SegEnds_NonXtal_BW#'!$A:$Z,15,FALSE)+VLOOKUP($A386,A:AL,22,FALSE)-50),"-",VLOOKUP($A386,'SegEnds_NonXtal_BW#'!$A:$Z,15,FALSE)+VLOOKUP($A386,A:AL,22,FALSE)-50)</f>
        <v>326</v>
      </c>
      <c r="V386" s="9">
        <v>338</v>
      </c>
      <c r="W386" s="9">
        <f>IF(ISERROR(VLOOKUP($A386,'SegEnds_NonXtal_BW#'!$A:$Z,16,FALSE)+VLOOKUP($A386,A:AL,22,FALSE)-50),"-",(VLOOKUP($A386,'SegEnds_NonXtal_BW#'!$A:$Z,16,FALSE)+VLOOKUP($A386,A:AL,22,FALSE)-50))</f>
        <v>351</v>
      </c>
      <c r="X386" s="9">
        <f>IF(ISERROR(VLOOKUP($A386,'SegEnds_NonXtal_BW#'!$A:$Z,17,FALSE)+VLOOKUP($A386,A:AL,25,FALSE)-50),"-",(VLOOKUP($A386,'SegEnds_NonXtal_BW#'!$A:$Z,17,FALSE)+VLOOKUP($A386,A:AL,25,FALSE)-50))</f>
        <v>363</v>
      </c>
      <c r="Y386" s="9">
        <v>363</v>
      </c>
      <c r="Z386" s="9">
        <f>Y386+2</f>
        <v>365</v>
      </c>
      <c r="AA386" s="9">
        <f>IF(ISERROR(VLOOKUP($A386,'SegEnds_NonXtal_BW#'!$A:$Z,19,FALSE)+VLOOKUP($A386,A:AL,28,FALSE)-50),"-",(VLOOKUP($A386,'SegEnds_NonXtal_BW#'!$A:$Z,19,FALSE)+VLOOKUP($A386,A:AL,28,FALSE)-50))</f>
        <v>369</v>
      </c>
      <c r="AB386" s="9">
        <v>384</v>
      </c>
      <c r="AC386" s="9">
        <f>IF(ISERROR((VLOOKUP($A386,'SegEnds_NonXtal_BW#'!$A:$Z,20,FALSE)+VLOOKUP($A386,A:AL,28,FALSE)-50)),"-",(VLOOKUP($A386,'SegEnds_NonXtal_BW#'!$A:$Z,20,FALSE)+VLOOKUP($A386,A:AL,28,FALSE)-50))</f>
        <v>406</v>
      </c>
      <c r="AD386" s="9">
        <f>IF(ISERROR(VLOOKUP($A386,'SegEnds_NonXtal_BW#'!$A:$Z,21,FALSE)+VLOOKUP($A386,A:AL,31,FALSE)-50),"-",(VLOOKUP($A386,'SegEnds_NonXtal_BW#'!$A:$Z,21,FALSE)+VLOOKUP($A386,A:AL,31,FALSE)-50))</f>
        <v>415</v>
      </c>
      <c r="AE386" s="9">
        <v>441</v>
      </c>
      <c r="AF386" s="9">
        <f>IF(ISERROR((VLOOKUP($A386,'SegEnds_NonXtal_BW#'!$A:$Z,22,FALSE)+VLOOKUP($A386,A:AL,31,FALSE)-50)),"-",(VLOOKUP($A386,'SegEnds_NonXtal_BW#'!$A:$Z,22,FALSE)+VLOOKUP($A386,A:AL,31,FALSE)-50))</f>
        <v>472</v>
      </c>
      <c r="AG386" s="9">
        <f>IF(ISERROR(VLOOKUP($A386,'SegEnds_NonXtal_BW#'!$A:$Z,23,FALSE)+VLOOKUP($A386,A:AL,34,FALSE)-50),"-",(VLOOKUP($A386,'SegEnds_NonXtal_BW#'!$A:$Z,23,FALSE)+VLOOKUP($A386,A:AL,34,FALSE)-50))</f>
        <v>487</v>
      </c>
      <c r="AH386" s="9">
        <v>503</v>
      </c>
      <c r="AI386" s="9">
        <f>IF(ISERROR((VLOOKUP($A386,'SegEnds_NonXtal_BW#'!$A:$Z,24,FALSE)+VLOOKUP($A386,A:AL,34,FALSE)-50)),"-",(VLOOKUP($A386,'SegEnds_NonXtal_BW#'!$A:$Z,24,FALSE)+VLOOKUP($A386,A:AL,34,FALSE)-50))</f>
        <v>510</v>
      </c>
      <c r="AJ386" s="9">
        <f>IF(ISERROR(VLOOKUP($A386,'SegEnds_NonXtal_BW#'!$A:$Z,25,FALSE)+VLOOKUP($A386,A:AL,37,FALSE)-50),"-",(VLOOKUP($A386,'SegEnds_NonXtal_BW#'!$A:$Z,25,FALSE)+VLOOKUP($A386,A:AL,37,FALSE)-50))</f>
        <v>511</v>
      </c>
      <c r="AK386" s="9">
        <v>514</v>
      </c>
      <c r="AL386" s="9">
        <f>IF(ISERROR((VLOOKUP($A386,'SegEnds_NonXtal_BW#'!$A:$Z,26,FALSE)+VLOOKUP($A386,A:AL,37,FALSE)-50)),"-",(VLOOKUP($A386,'SegEnds_NonXtal_BW#'!$A:$Z,26,FALSE)+VLOOKUP($A386,A:AL,37,FALSE)-50))</f>
        <v>526</v>
      </c>
      <c r="AM386" s="58" t="str">
        <f>VLOOKUP(A386,Classification!A:B,2,FALSE)</f>
        <v>F</v>
      </c>
      <c r="AN386" s="58" t="b">
        <f>AND(IF(Y386="-",IF(AA386-W386&gt;3,TRUE,FALSE),TRUE),IF(M386="-",IF(O386-K386&gt;3,TRUE,FALSE),TRUE),IF(AG386-AF386&gt;1,TRUE,FALSE),C386&lt;E386,OR(E386&lt;F386,F386="-"),OR(F386&lt;H386,F386="-"),OR(H386&lt;I386,H386="-"),I386&lt;K386,OR(K386&lt;L386,L386="-"),OR(L386&lt;N386,L386="-"),OR(N386&lt;O386,N386="-"),O386&lt;Q386,OR(Q386&lt;R386,R386="-"),OR(R386&lt;T386,R386="-"),OR(T386&lt;U386,T386="-"),U386&lt;W386,OR(W386&lt;X386,X386="-"),OR(X386&lt;Z386,X386="-"),OR(Z386&lt;AA386,Z386="-"),AA386&lt;AC386,AC386&lt;AD386,AD386&lt;AF386,AF386&lt;AG386,AG386&lt;AI386,OR(AI386&lt;AJ386,AJ386="-"),OR(AJ386&lt;AL386,AJ386="-"))</f>
        <v>1</v>
      </c>
      <c r="AO386" s="9" t="str">
        <f>IF(ISERROR(MATCH(A386,'SegEnds_Xtal_Prot#'!B:B, 0)), "NoXtal", "Xtal")</f>
        <v>Xtal</v>
      </c>
      <c r="AP386" s="9">
        <f>IF(ISERROR(F386-E386),"-",F386-E386)</f>
        <v>1</v>
      </c>
      <c r="AQ386" s="9">
        <f>IF(ISERROR(I386-H386),"-",I386-H386)</f>
        <v>1</v>
      </c>
      <c r="AR386" s="9" t="str">
        <f>IF(ISERROR(L386-K386),"-",L386-K386)</f>
        <v>-</v>
      </c>
      <c r="AS386" s="9" t="str">
        <f>IF(ISERROR(O386-N386),"-",O386-N386)</f>
        <v>-</v>
      </c>
      <c r="AT386" s="9" t="str">
        <f>IF(ISERROR(R386-Q386),"-",R386-Q386)</f>
        <v>-</v>
      </c>
      <c r="AU386" s="9" t="str">
        <f>IF(ISERROR(U386-T386),"-",U386-T386)</f>
        <v>-</v>
      </c>
      <c r="AV386" s="9">
        <f>IF(ISERROR(X386-W386),"-",X386-W386)</f>
        <v>12</v>
      </c>
      <c r="AW386" s="9">
        <f>IF(ISERROR(AA386-Z386),"-",AA386-Z386)</f>
        <v>4</v>
      </c>
      <c r="AX386" s="9">
        <f>IF(ISERROR(AD386-AC386),"-",AD386-AC386)</f>
        <v>9</v>
      </c>
      <c r="AY386" s="9">
        <f>IF(ISERROR(AG386-AF386),"-",AG386-AF386)</f>
        <v>15</v>
      </c>
      <c r="AZ386" s="9">
        <f>IF(ISERROR(AJ386-AI386),"-",AJ386-AI386)</f>
        <v>1</v>
      </c>
      <c r="BA386" s="9">
        <f>IF(ISERROR(LEN(VLOOKUP(A386,Seqs!A:E,2,FALSE))-AL386),"-",LEN(VLOOKUP(A386,Seqs!A:E,2,FALSE))-AL386)</f>
        <v>288</v>
      </c>
      <c r="BB386" s="126">
        <f>J386-D386</f>
        <v>27</v>
      </c>
      <c r="BC386" s="9" t="str">
        <f>IF(ISERROR(V386-S386),"-",V386-S386)</f>
        <v>-</v>
      </c>
      <c r="BD386" s="9">
        <f>J386-D386</f>
        <v>27</v>
      </c>
      <c r="BE386" s="9">
        <f>AE386-AB386</f>
        <v>57</v>
      </c>
    </row>
    <row r="387" spans="1:58" s="3" customFormat="1" x14ac:dyDescent="0.2">
      <c r="A387" s="3" t="s">
        <v>475</v>
      </c>
      <c r="B387" s="3" t="str">
        <f>LOWER(VLOOKUP(A387,Xtal_Templ!A:B,2,FALSE))</f>
        <v>fpr2_human</v>
      </c>
      <c r="C387" s="3">
        <v>20</v>
      </c>
      <c r="D387" s="3">
        <v>53</v>
      </c>
      <c r="E387" s="3">
        <f>IF(ISERROR(VLOOKUP($A387,'SegEnds_NonXtal_BW#'!$A:$Z,4,FALSE)+VLOOKUP($A387,A:AL,4,FALSE)-50),"-",(VLOOKUP($A387,'SegEnds_NonXtal_BW#'!$A:$Z,4,FALSE)+VLOOKUP($A387,A:AL,4,FALSE)-50))</f>
        <v>63</v>
      </c>
      <c r="F387" s="3" t="str">
        <f>IF(ISERROR(VLOOKUP($A387,'SegEnds_NonXtal_BW#'!$A:$Z,5,FALSE)+VLOOKUP($A387,A:AL,7,FALSE)-50),"-",(VLOOKUP($A387,'SegEnds_NonXtal_BW#'!$A:$Z,5,FALSE)+VLOOKUP($A387,A:AL,7,FALSE)-50))</f>
        <v>-</v>
      </c>
      <c r="G387" s="3" t="s">
        <v>23</v>
      </c>
      <c r="H387" s="3" t="str">
        <f>IF(ISERROR(VLOOKUP($A387,'SegEnds_NonXtal_BW#'!$A:$Z,6,FALSE)+VLOOKUP($A387,A:AL,7,FALSE)-50),"-",(VLOOKUP($A387,'SegEnds_NonXtal_BW#'!$A:$Z,6,FALSE)+VLOOKUP($A387,A:AL,7,FALSE)-50))</f>
        <v>-</v>
      </c>
      <c r="I387" s="3">
        <f>VLOOKUP($A387,'SegEnds_NonXtal_BW#'!$A:$Z,7,FALSE)+J387-50</f>
        <v>60</v>
      </c>
      <c r="J387" s="3">
        <v>71</v>
      </c>
      <c r="K387" s="3">
        <f>VLOOKUP($A387,'SegEnds_NonXtal_BW#'!$A:$Z,8,FALSE)+VLOOKUP($A387,A:AL,10,FALSE)-50</f>
        <v>84</v>
      </c>
      <c r="L387" s="3" t="str">
        <f>IF(ISERROR(VLOOKUP($A387,'SegEnds_NonXtal_BW#'!$A:$Z,9,FALSE)+VLOOKUP($A387,A:AL,13,FALSE)-50),"-",(VLOOKUP($A387,'SegEnds_NonXtal_BW#'!$A:$Z,9,FALSE)+VLOOKUP($A387,A:AL,13,FALSE)-50))</f>
        <v>-</v>
      </c>
      <c r="M387" s="3" t="s">
        <v>23</v>
      </c>
      <c r="N387" s="3" t="str">
        <f>IF(ISERROR(VLOOKUP($A387,'SegEnds_NonXtal_BW#'!$A:$Z,10,FALSE)+VLOOKUP($A387,A:AL,13,FALSE)-50),"-",(VLOOKUP($A387,'SegEnds_NonXtal_BW#'!$A:$Z,10,FALSE)+VLOOKUP($A387,A:AL,13,FALSE)-50))</f>
        <v>-</v>
      </c>
      <c r="O387" s="3">
        <f>VLOOKUP($A387,'SegEnds_NonXtal_BW#'!$A:$Z,11,FALSE)+VLOOKUP($A387,A:AL,16,FALSE)-50</f>
        <v>125</v>
      </c>
      <c r="P387" s="3">
        <v>152</v>
      </c>
      <c r="Q387" s="3">
        <f>VLOOKUP($A387,'SegEnds_NonXtal_BW#'!$A:$Z,12,FALSE)+VLOOKUP($A387,A:AL,16,FALSE)-50</f>
        <v>158</v>
      </c>
      <c r="R387" s="3" t="str">
        <f>IF(ISERROR(VLOOKUP($A387,'SegEnds_NonXtal_BW#'!$A:$Z,13,FALSE)+VLOOKUP($A387,A:AL,19,FALSE)-50),"-",VLOOKUP($A387,'SegEnds_NonXtal_BW#'!$A:$Z,13,FALSE)+VLOOKUP($A387,A:AL,19,FALSE)-50)</f>
        <v>-</v>
      </c>
      <c r="S387" s="3" t="s">
        <v>23</v>
      </c>
      <c r="T387" s="100" t="str">
        <f>IF(ISERROR(VLOOKUP($A387,'SegEnds_NonXtal_BW#'!$A:$Z,14,FALSE)+VLOOKUP($A387,A:AL,19,FALSE)-50),"-",(VLOOKUP($A387,'SegEnds_NonXtal_BW#'!$A:$Z,14,FALSE)+VLOOKUP($A387,A:AL,19,FALSE)-50))</f>
        <v>-</v>
      </c>
      <c r="U387" s="9">
        <f>IF(ISERROR(VLOOKUP($A387,'SegEnds_NonXtal_BW#'!$A:$Z,15,FALSE)+VLOOKUP($A387,A:AL,22,FALSE)-50),"-",VLOOKUP($A387,'SegEnds_NonXtal_BW#'!$A:$Z,15,FALSE)+VLOOKUP($A387,A:AL,22,FALSE)-50)</f>
        <v>175</v>
      </c>
      <c r="V387" s="3">
        <v>185</v>
      </c>
      <c r="W387" s="3">
        <f>IF(ISERROR(VLOOKUP($A387,'SegEnds_NonXtal_BW#'!$A:$Z,16,FALSE)+VLOOKUP($A387,A:AL,22,FALSE)-50),"-",(VLOOKUP($A387,'SegEnds_NonXtal_BW#'!$A:$Z,16,FALSE)+VLOOKUP($A387,A:AL,22,FALSE)-50))</f>
        <v>199</v>
      </c>
      <c r="X387" s="3" t="str">
        <f>IF(ISERROR(VLOOKUP($A387,'SegEnds_NonXtal_BW#'!$A:$Z,17,FALSE)+VLOOKUP($A387,A:AL,25,FALSE)-50),"-",(VLOOKUP($A387,'SegEnds_NonXtal_BW#'!$A:$Z,17,FALSE)+VLOOKUP($A387,A:AL,25,FALSE)-50))</f>
        <v>-</v>
      </c>
      <c r="Y387" s="3" t="s">
        <v>23</v>
      </c>
      <c r="Z387" s="3" t="str">
        <f>IF(ISERROR(VLOOKUP($A387,'SegEnds_NonXtal_BW#'!$A:$Z,18,FALSE)+VLOOKUP($A387,A:AL,25,FALSE)-50),"-",(VLOOKUP($A387,'SegEnds_NonXtal_BW#'!$A:$Z,18,FALSE)+VLOOKUP($A387,A:AL,25,FALSE)-50))</f>
        <v>-</v>
      </c>
      <c r="AA387" s="3">
        <f>IF(ISERROR(VLOOKUP($A387,'SegEnds_NonXtal_BW#'!$A:$Z,19,FALSE)+VLOOKUP($A387,A:AL,28,FALSE)-50),"-",(VLOOKUP($A387,'SegEnds_NonXtal_BW#'!$A:$Z,19,FALSE)+VLOOKUP($A387,A:AL,28,FALSE)-50))</f>
        <v>257</v>
      </c>
      <c r="AB387" s="3">
        <v>268</v>
      </c>
      <c r="AC387" s="3">
        <f>IF(ISERROR((VLOOKUP($A387,'SegEnds_NonXtal_BW#'!$A:$Z,20,FALSE)+VLOOKUP($A387,A:AL,28,FALSE)-50)),"-",(VLOOKUP($A387,'SegEnds_NonXtal_BW#'!$A:$Z,20,FALSE)+VLOOKUP($A387,A:AL,28,FALSE)-50))</f>
        <v>279</v>
      </c>
      <c r="AD387" s="3">
        <f>IF(ISERROR(VLOOKUP($A387,'SegEnds_NonXtal_BW#'!$A:$Z,21,FALSE)+VLOOKUP($A387,A:AL,31,FALSE)-50),"-",(VLOOKUP($A387,'SegEnds_NonXtal_BW#'!$A:$Z,21,FALSE)+VLOOKUP($A387,A:AL,31,FALSE)-50))</f>
        <v>326</v>
      </c>
      <c r="AE387" s="3">
        <v>347</v>
      </c>
      <c r="AF387" s="3">
        <f>IF(ISERROR((VLOOKUP($A387,'SegEnds_NonXtal_BW#'!$A:$Z,22,FALSE)+VLOOKUP($A387,A:AL,31,FALSE)-50)),"-",(VLOOKUP($A387,'SegEnds_NonXtal_BW#'!$A:$Z,22,FALSE)+VLOOKUP($A387,A:AL,31,FALSE)-50))</f>
        <v>350</v>
      </c>
      <c r="AG387" s="3">
        <f>IF(ISERROR(VLOOKUP($A387,'SegEnds_NonXtal_BW#'!$A:$Z,23,FALSE)+VLOOKUP($A387,A:AL,34,FALSE)-50),"-",(VLOOKUP($A387,'SegEnds_NonXtal_BW#'!$A:$Z,23,FALSE)+VLOOKUP($A387,A:AL,34,FALSE)-50))</f>
        <v>365</v>
      </c>
      <c r="AH387" s="3">
        <v>380</v>
      </c>
      <c r="AI387" s="3">
        <f>IF(ISERROR((VLOOKUP($A387,'SegEnds_NonXtal_BW#'!$A:$Z,24,FALSE)+VLOOKUP($A387,A:AL,34,FALSE)-50)),"-",(VLOOKUP($A387,'SegEnds_NonXtal_BW#'!$A:$Z,24,FALSE)+VLOOKUP($A387,A:AL,34,FALSE)-50))</f>
        <v>386</v>
      </c>
      <c r="AJ387" s="3">
        <f>IF(ISERROR(VLOOKUP($A387,'SegEnds_NonXtal_BW#'!$A:$Z,25,FALSE)+VLOOKUP($A387,A:AL,37,FALSE)-50),"-",(VLOOKUP($A387,'SegEnds_NonXtal_BW#'!$A:$Z,25,FALSE)+VLOOKUP($A387,A:AL,37,FALSE)-50))</f>
        <v>387</v>
      </c>
      <c r="AK387" s="3">
        <v>390</v>
      </c>
      <c r="AL387" s="3">
        <f>IF(ISERROR((VLOOKUP($A387,'SegEnds_NonXtal_BW#'!$A:$Z,26,FALSE)+VLOOKUP($A387,A:AL,37,FALSE)-50)),"-",(VLOOKUP($A387,'SegEnds_NonXtal_BW#'!$A:$Z,26,FALSE)+VLOOKUP($A387,A:AL,37,FALSE)-50))</f>
        <v>397</v>
      </c>
      <c r="AM387" s="28" t="str">
        <f>VLOOKUP(A387,Classification!A:B,2,FALSE)</f>
        <v>O</v>
      </c>
      <c r="AN387" s="28" t="b">
        <f t="shared" si="220"/>
        <v>1</v>
      </c>
      <c r="AO387" s="3" t="str">
        <f>IF(ISERROR(MATCH(A387,'SegEnds_Xtal_Prot#'!B:B, 0)), "NoXtal", "Xtal")</f>
        <v>NoXtal</v>
      </c>
      <c r="AP387" s="3" t="str">
        <f t="shared" si="205"/>
        <v>-</v>
      </c>
      <c r="AQ387" s="3" t="str">
        <f t="shared" si="206"/>
        <v>-</v>
      </c>
      <c r="AR387" s="3" t="str">
        <f t="shared" si="207"/>
        <v>-</v>
      </c>
      <c r="AS387" s="3" t="str">
        <f t="shared" si="208"/>
        <v>-</v>
      </c>
      <c r="AT387" s="3" t="str">
        <f t="shared" si="209"/>
        <v>-</v>
      </c>
      <c r="AU387" s="3" t="str">
        <f t="shared" si="210"/>
        <v>-</v>
      </c>
      <c r="AV387" s="3" t="str">
        <f t="shared" si="211"/>
        <v>-</v>
      </c>
      <c r="AW387" s="3" t="str">
        <f t="shared" si="212"/>
        <v>-</v>
      </c>
      <c r="AX387" s="3">
        <f t="shared" si="213"/>
        <v>47</v>
      </c>
      <c r="AY387" s="3">
        <f t="shared" si="214"/>
        <v>15</v>
      </c>
      <c r="AZ387" s="3">
        <f t="shared" si="215"/>
        <v>1</v>
      </c>
      <c r="BA387" s="3">
        <f>IF(ISERROR(LEN(VLOOKUP(A387,Seqs!A:E,2,FALSE))-AL387),"-",LEN(VLOOKUP(A387,Seqs!A:E,2,FALSE))-AL387)</f>
        <v>20</v>
      </c>
      <c r="BB387" s="16">
        <f t="shared" si="216"/>
        <v>18</v>
      </c>
      <c r="BC387" s="9" t="str">
        <f t="shared" si="217"/>
        <v>-</v>
      </c>
      <c r="BD387" s="3">
        <f t="shared" si="218"/>
        <v>18</v>
      </c>
      <c r="BE387" s="3">
        <f t="shared" si="219"/>
        <v>79</v>
      </c>
      <c r="BF387" s="3">
        <f>AH387-AE387</f>
        <v>33</v>
      </c>
    </row>
    <row r="388" spans="1:58" s="3" customFormat="1" x14ac:dyDescent="0.2">
      <c r="A388" s="3" t="s">
        <v>476</v>
      </c>
      <c r="B388" s="3" t="str">
        <f>LOWER(VLOOKUP(A388,Xtal_Templ!A:B,2,FALSE))</f>
        <v>ste2_yeast</v>
      </c>
      <c r="C388" s="3">
        <v>202</v>
      </c>
      <c r="D388" s="3">
        <v>231</v>
      </c>
      <c r="E388" s="3">
        <f>IF(ISERROR(VLOOKUP($A388,'SegEnds_NonXtal_BW#'!$A:$Z,4,FALSE)+VLOOKUP($A388,A:AL,4,FALSE)-50),"-",(VLOOKUP($A388,'SegEnds_NonXtal_BW#'!$A:$Z,4,FALSE)+VLOOKUP($A388,A:AL,4,FALSE)-50))</f>
        <v>241</v>
      </c>
      <c r="F388" s="3" t="str">
        <f>IF(ISERROR(VLOOKUP($A388,'SegEnds_NonXtal_BW#'!$A:$Z,5,FALSE)+VLOOKUP($A388,A:AL,7,FALSE)-50),"-",(VLOOKUP($A388,'SegEnds_NonXtal_BW#'!$A:$Z,5,FALSE)+VLOOKUP($A388,A:AL,7,FALSE)-50))</f>
        <v>-</v>
      </c>
      <c r="G388" s="3" t="s">
        <v>23</v>
      </c>
      <c r="H388" s="3" t="str">
        <f>IF(ISERROR(VLOOKUP($A388,'SegEnds_NonXtal_BW#'!$A:$Z,6,FALSE)+VLOOKUP($A388,A:AL,7,FALSE)-50),"-",(VLOOKUP($A388,'SegEnds_NonXtal_BW#'!$A:$Z,6,FALSE)+VLOOKUP($A388,A:AL,7,FALSE)-50))</f>
        <v>-</v>
      </c>
      <c r="I388" s="3">
        <f>VLOOKUP($A388,'SegEnds_NonXtal_BW#'!$A:$Z,7,FALSE)+J388-50</f>
        <v>269</v>
      </c>
      <c r="J388" s="3">
        <v>280</v>
      </c>
      <c r="K388" s="3">
        <f>VLOOKUP($A388,'SegEnds_NonXtal_BW#'!$A:$Z,8,FALSE)+VLOOKUP($A388,A:AL,10,FALSE)-50</f>
        <v>293</v>
      </c>
      <c r="L388" s="3" t="str">
        <f>IF(ISERROR(VLOOKUP($A388,'SegEnds_NonXtal_BW#'!$A:$Z,9,FALSE)+VLOOKUP($A388,A:AL,13,FALSE)-50),"-",(VLOOKUP($A388,'SegEnds_NonXtal_BW#'!$A:$Z,9,FALSE)+VLOOKUP($A388,A:AL,13,FALSE)-50))</f>
        <v>-</v>
      </c>
      <c r="M388" s="3" t="s">
        <v>23</v>
      </c>
      <c r="N388" s="3" t="str">
        <f>IF(ISERROR(VLOOKUP($A388,'SegEnds_NonXtal_BW#'!$A:$Z,10,FALSE)+VLOOKUP($A388,A:AL,13,FALSE)-50),"-",(VLOOKUP($A388,'SegEnds_NonXtal_BW#'!$A:$Z,10,FALSE)+VLOOKUP($A388,A:AL,13,FALSE)-50))</f>
        <v>-</v>
      </c>
      <c r="O388" s="3">
        <f>VLOOKUP($A388,'SegEnds_NonXtal_BW#'!$A:$Z,11,FALSE)+VLOOKUP($A388,A:AL,16,FALSE)-50</f>
        <v>327</v>
      </c>
      <c r="P388" s="3">
        <v>354</v>
      </c>
      <c r="Q388" s="3">
        <f>VLOOKUP($A388,'SegEnds_NonXtal_BW#'!$A:$Z,12,FALSE)+VLOOKUP($A388,A:AL,16,FALSE)-50</f>
        <v>360</v>
      </c>
      <c r="R388" s="3" t="str">
        <f>IF(ISERROR(VLOOKUP($A388,'SegEnds_NonXtal_BW#'!$A:$Z,13,FALSE)+VLOOKUP($A388,A:AL,19,FALSE)-50),"-",VLOOKUP($A388,'SegEnds_NonXtal_BW#'!$A:$Z,13,FALSE)+VLOOKUP($A388,A:AL,19,FALSE)-50)</f>
        <v>-</v>
      </c>
      <c r="S388" s="3" t="s">
        <v>23</v>
      </c>
      <c r="T388" s="100" t="str">
        <f>IF(ISERROR(VLOOKUP($A388,'SegEnds_NonXtal_BW#'!$A:$Z,14,FALSE)+VLOOKUP($A388,A:AL,19,FALSE)-50),"-",(VLOOKUP($A388,'SegEnds_NonXtal_BW#'!$A:$Z,14,FALSE)+VLOOKUP($A388,A:AL,19,FALSE)-50))</f>
        <v>-</v>
      </c>
      <c r="U388" s="9">
        <f>IF(ISERROR(VLOOKUP($A388,'SegEnds_NonXtal_BW#'!$A:$Z,15,FALSE)+VLOOKUP($A388,A:AL,22,FALSE)-50),"-",VLOOKUP($A388,'SegEnds_NonXtal_BW#'!$A:$Z,15,FALSE)+VLOOKUP($A388,A:AL,22,FALSE)-50)</f>
        <v>381</v>
      </c>
      <c r="V388" s="3">
        <v>391</v>
      </c>
      <c r="W388" s="3">
        <f>IF(ISERROR(VLOOKUP($A388,'SegEnds_NonXtal_BW#'!$A:$Z,16,FALSE)+VLOOKUP($A388,A:AL,22,FALSE)-50),"-",(VLOOKUP($A388,'SegEnds_NonXtal_BW#'!$A:$Z,16,FALSE)+VLOOKUP($A388,A:AL,22,FALSE)-50))</f>
        <v>405</v>
      </c>
      <c r="X388" s="3" t="str">
        <f>IF(ISERROR(VLOOKUP($A388,'SegEnds_NonXtal_BW#'!$A:$Z,17,FALSE)+VLOOKUP($A388,A:AL,25,FALSE)-50),"-",(VLOOKUP($A388,'SegEnds_NonXtal_BW#'!$A:$Z,17,FALSE)+VLOOKUP($A388,A:AL,25,FALSE)-50))</f>
        <v>-</v>
      </c>
      <c r="Y388" s="3" t="s">
        <v>23</v>
      </c>
      <c r="Z388" s="3" t="str">
        <f>IF(ISERROR(VLOOKUP($A388,'SegEnds_NonXtal_BW#'!$A:$Z,18,FALSE)+VLOOKUP($A388,A:AL,25,FALSE)-50),"-",(VLOOKUP($A388,'SegEnds_NonXtal_BW#'!$A:$Z,18,FALSE)+VLOOKUP($A388,A:AL,25,FALSE)-50))</f>
        <v>-</v>
      </c>
      <c r="AA388" s="3">
        <f>IF(ISERROR(VLOOKUP($A388,'SegEnds_NonXtal_BW#'!$A:$Z,19,FALSE)+VLOOKUP($A388,A:AL,28,FALSE)-50),"-",(VLOOKUP($A388,'SegEnds_NonXtal_BW#'!$A:$Z,19,FALSE)+VLOOKUP($A388,A:AL,28,FALSE)-50))</f>
        <v>461</v>
      </c>
      <c r="AB388" s="3">
        <v>472</v>
      </c>
      <c r="AC388" s="3">
        <f>IF(ISERROR((VLOOKUP($A388,'SegEnds_NonXtal_BW#'!$A:$Z,20,FALSE)+VLOOKUP($A388,A:AL,28,FALSE)-50)),"-",(VLOOKUP($A388,'SegEnds_NonXtal_BW#'!$A:$Z,20,FALSE)+VLOOKUP($A388,A:AL,28,FALSE)-50))</f>
        <v>483</v>
      </c>
      <c r="AD388" s="3">
        <f>IF(ISERROR(VLOOKUP($A388,'SegEnds_NonXtal_BW#'!$A:$Z,21,FALSE)+VLOOKUP($A388,A:AL,31,FALSE)-50),"-",(VLOOKUP($A388,'SegEnds_NonXtal_BW#'!$A:$Z,21,FALSE)+VLOOKUP($A388,A:AL,31,FALSE)-50))</f>
        <v>488</v>
      </c>
      <c r="AE388" s="3">
        <v>509</v>
      </c>
      <c r="AF388" s="3">
        <f>IF(ISERROR((VLOOKUP($A388,'SegEnds_NonXtal_BW#'!$A:$Z,22,FALSE)+VLOOKUP($A388,A:AL,31,FALSE)-50)),"-",(VLOOKUP($A388,'SegEnds_NonXtal_BW#'!$A:$Z,22,FALSE)+VLOOKUP($A388,A:AL,31,FALSE)-50))</f>
        <v>512</v>
      </c>
      <c r="AG388" s="3">
        <f>IF(ISERROR(VLOOKUP($A388,'SegEnds_NonXtal_BW#'!$A:$Z,23,FALSE)+VLOOKUP($A388,A:AL,34,FALSE)-50),"-",(VLOOKUP($A388,'SegEnds_NonXtal_BW#'!$A:$Z,23,FALSE)+VLOOKUP($A388,A:AL,34,FALSE)-50))</f>
        <v>538</v>
      </c>
      <c r="AH388" s="3">
        <v>553</v>
      </c>
      <c r="AI388" s="3">
        <f>IF(ISERROR((VLOOKUP($A388,'SegEnds_NonXtal_BW#'!$A:$Z,24,FALSE)+VLOOKUP($A388,A:AL,34,FALSE)-50)),"-",(VLOOKUP($A388,'SegEnds_NonXtal_BW#'!$A:$Z,24,FALSE)+VLOOKUP($A388,A:AL,34,FALSE)-50))</f>
        <v>559</v>
      </c>
      <c r="AJ388" s="3">
        <f>IF(ISERROR(VLOOKUP($A388,'SegEnds_NonXtal_BW#'!$A:$Z,25,FALSE)+VLOOKUP($A388,A:AL,37,FALSE)-50),"-",(VLOOKUP($A388,'SegEnds_NonXtal_BW#'!$A:$Z,25,FALSE)+VLOOKUP($A388,A:AL,37,FALSE)-50))</f>
        <v>561</v>
      </c>
      <c r="AK388" s="3">
        <v>564</v>
      </c>
      <c r="AL388" s="3">
        <f>IF(ISERROR((VLOOKUP($A388,'SegEnds_NonXtal_BW#'!$A:$Z,26,FALSE)+VLOOKUP($A388,A:AL,37,FALSE)-50)),"-",(VLOOKUP($A388,'SegEnds_NonXtal_BW#'!$A:$Z,26,FALSE)+VLOOKUP($A388,A:AL,37,FALSE)-50))</f>
        <v>571</v>
      </c>
      <c r="AM388" s="28" t="str">
        <f>VLOOKUP(A388,Classification!A:B,2,FALSE)</f>
        <v>O</v>
      </c>
      <c r="AN388" s="28" t="b">
        <f t="shared" si="220"/>
        <v>1</v>
      </c>
      <c r="AO388" s="3" t="str">
        <f>IF(ISERROR(MATCH(A388,'SegEnds_Xtal_Prot#'!B:B, 0)), "NoXtal", "Xtal")</f>
        <v>NoXtal</v>
      </c>
      <c r="AP388" s="3" t="str">
        <f t="shared" si="205"/>
        <v>-</v>
      </c>
      <c r="AQ388" s="3" t="str">
        <f t="shared" si="206"/>
        <v>-</v>
      </c>
      <c r="AR388" s="3" t="str">
        <f t="shared" si="207"/>
        <v>-</v>
      </c>
      <c r="AS388" s="3" t="str">
        <f t="shared" si="208"/>
        <v>-</v>
      </c>
      <c r="AT388" s="3" t="str">
        <f t="shared" si="209"/>
        <v>-</v>
      </c>
      <c r="AU388" s="3" t="str">
        <f t="shared" si="210"/>
        <v>-</v>
      </c>
      <c r="AV388" s="3" t="str">
        <f t="shared" si="211"/>
        <v>-</v>
      </c>
      <c r="AW388" s="3" t="str">
        <f t="shared" si="212"/>
        <v>-</v>
      </c>
      <c r="AX388" s="3">
        <f t="shared" si="213"/>
        <v>5</v>
      </c>
      <c r="AY388" s="3">
        <f t="shared" si="214"/>
        <v>26</v>
      </c>
      <c r="AZ388" s="3">
        <f t="shared" si="215"/>
        <v>2</v>
      </c>
      <c r="BA388" s="3">
        <f>IF(ISERROR(LEN(VLOOKUP(A388,Seqs!A:E,2,FALSE))-AL388),"-",LEN(VLOOKUP(A388,Seqs!A:E,2,FALSE))-AL388)</f>
        <v>29</v>
      </c>
      <c r="BB388" s="16">
        <f t="shared" si="216"/>
        <v>49</v>
      </c>
      <c r="BC388" s="9" t="str">
        <f t="shared" si="217"/>
        <v>-</v>
      </c>
      <c r="BD388" s="3">
        <f t="shared" si="218"/>
        <v>49</v>
      </c>
      <c r="BE388" s="3">
        <f t="shared" si="219"/>
        <v>37</v>
      </c>
      <c r="BF388" s="3">
        <f>AH388-AE388</f>
        <v>44</v>
      </c>
    </row>
    <row r="389" spans="1:58" s="3" customFormat="1" x14ac:dyDescent="0.2">
      <c r="A389" s="3" t="s">
        <v>479</v>
      </c>
      <c r="B389" s="3" t="str">
        <f>LOWER(VLOOKUP(A389,Xtal_Templ!A:B,2,FALSE))</f>
        <v>aa2ar_human</v>
      </c>
      <c r="C389" s="3">
        <v>12</v>
      </c>
      <c r="D389" s="3">
        <v>42</v>
      </c>
      <c r="E389" s="3">
        <f>IF(ISERROR(VLOOKUP($A389,'SegEnds_NonXtal_BW#'!$A:$Z,4,FALSE)+VLOOKUP($A389,A:AL,4,FALSE)-50),"-",(VLOOKUP($A389,'SegEnds_NonXtal_BW#'!$A:$Z,4,FALSE)+VLOOKUP($A389,A:AL,4,FALSE)-50))</f>
        <v>52</v>
      </c>
      <c r="F389" s="3" t="str">
        <f>IF(ISERROR(VLOOKUP($A389,'SegEnds_NonXtal_BW#'!$A:$Z,5,FALSE)+VLOOKUP($A389,A:AL,7,FALSE)-50),"-",(VLOOKUP($A389,'SegEnds_NonXtal_BW#'!$A:$Z,5,FALSE)+VLOOKUP($A389,A:AL,7,FALSE)-50))</f>
        <v>-</v>
      </c>
      <c r="G389" s="3" t="s">
        <v>23</v>
      </c>
      <c r="H389" s="3" t="str">
        <f>IF(ISERROR(VLOOKUP($A389,'SegEnds_NonXtal_BW#'!$A:$Z,6,FALSE)+VLOOKUP($A389,A:AL,7,FALSE)-50),"-",(VLOOKUP($A389,'SegEnds_NonXtal_BW#'!$A:$Z,6,FALSE)+VLOOKUP($A389,A:AL,7,FALSE)-50))</f>
        <v>-</v>
      </c>
      <c r="I389" s="3">
        <f>VLOOKUP($A389,'SegEnds_NonXtal_BW#'!$A:$Z,7,FALSE)+J389-50</f>
        <v>67</v>
      </c>
      <c r="J389" s="3">
        <v>78</v>
      </c>
      <c r="K389" s="3">
        <f>VLOOKUP($A389,'SegEnds_NonXtal_BW#'!$A:$Z,8,FALSE)+VLOOKUP($A389,A:AL,10,FALSE)-50</f>
        <v>91</v>
      </c>
      <c r="L389" s="3" t="str">
        <f>IF(ISERROR(VLOOKUP($A389,'SegEnds_NonXtal_BW#'!$A:$Z,9,FALSE)+VLOOKUP($A389,A:AL,13,FALSE)-50),"-",(VLOOKUP($A389,'SegEnds_NonXtal_BW#'!$A:$Z,9,FALSE)+VLOOKUP($A389,A:AL,13,FALSE)-50))</f>
        <v>-</v>
      </c>
      <c r="M389" s="3" t="s">
        <v>23</v>
      </c>
      <c r="N389" s="3" t="str">
        <f>IF(ISERROR(VLOOKUP($A389,'SegEnds_NonXtal_BW#'!$A:$Z,10,FALSE)+VLOOKUP($A389,A:AL,13,FALSE)-50),"-",(VLOOKUP($A389,'SegEnds_NonXtal_BW#'!$A:$Z,10,FALSE)+VLOOKUP($A389,A:AL,13,FALSE)-50))</f>
        <v>-</v>
      </c>
      <c r="O389" s="3">
        <f>VLOOKUP($A389,'SegEnds_NonXtal_BW#'!$A:$Z,11,FALSE)+VLOOKUP($A389,A:AL,16,FALSE)-50</f>
        <v>114</v>
      </c>
      <c r="P389" s="3">
        <v>141</v>
      </c>
      <c r="Q389" s="3">
        <f>VLOOKUP($A389,'SegEnds_NonXtal_BW#'!$A:$Z,12,FALSE)+VLOOKUP($A389,A:AL,16,FALSE)-50</f>
        <v>147</v>
      </c>
      <c r="R389" s="3" t="str">
        <f>IF(ISERROR(VLOOKUP($A389,'SegEnds_NonXtal_BW#'!$A:$Z,13,FALSE)+VLOOKUP($A389,A:AL,19,FALSE)-50),"-",VLOOKUP($A389,'SegEnds_NonXtal_BW#'!$A:$Z,13,FALSE)+VLOOKUP($A389,A:AL,19,FALSE)-50)</f>
        <v>-</v>
      </c>
      <c r="S389" s="3" t="s">
        <v>23</v>
      </c>
      <c r="T389" s="100" t="str">
        <f>IF(ISERROR(VLOOKUP($A389,'SegEnds_NonXtal_BW#'!$A:$Z,14,FALSE)+VLOOKUP($A389,A:AL,19,FALSE)-50),"-",(VLOOKUP($A389,'SegEnds_NonXtal_BW#'!$A:$Z,14,FALSE)+VLOOKUP($A389,A:AL,19,FALSE)-50))</f>
        <v>-</v>
      </c>
      <c r="U389" s="9">
        <f>IF(ISERROR(VLOOKUP($A389,'SegEnds_NonXtal_BW#'!$A:$Z,15,FALSE)+VLOOKUP($A389,A:AL,22,FALSE)-50),"-",VLOOKUP($A389,'SegEnds_NonXtal_BW#'!$A:$Z,15,FALSE)+VLOOKUP($A389,A:AL,22,FALSE)-50)</f>
        <v>152</v>
      </c>
      <c r="V389" s="3">
        <v>162</v>
      </c>
      <c r="W389" s="3">
        <f>IF(ISERROR(VLOOKUP($A389,'SegEnds_NonXtal_BW#'!$A:$Z,16,FALSE)+VLOOKUP($A389,A:AL,22,FALSE)-50),"-",(VLOOKUP($A389,'SegEnds_NonXtal_BW#'!$A:$Z,16,FALSE)+VLOOKUP($A389,A:AL,22,FALSE)-50))</f>
        <v>176</v>
      </c>
      <c r="X389" s="3" t="str">
        <f>IF(ISERROR(VLOOKUP($A389,'SegEnds_NonXtal_BW#'!$A:$Z,17,FALSE)+VLOOKUP($A389,A:AL,25,FALSE)-50),"-",(VLOOKUP($A389,'SegEnds_NonXtal_BW#'!$A:$Z,17,FALSE)+VLOOKUP($A389,A:AL,25,FALSE)-50))</f>
        <v>-</v>
      </c>
      <c r="Y389" s="3" t="s">
        <v>23</v>
      </c>
      <c r="Z389" s="3" t="str">
        <f>IF(ISERROR(VLOOKUP($A389,'SegEnds_NonXtal_BW#'!$A:$Z,18,FALSE)+VLOOKUP($A389,A:AL,25,FALSE)-50),"-",(VLOOKUP($A389,'SegEnds_NonXtal_BW#'!$A:$Z,18,FALSE)+VLOOKUP($A389,A:AL,25,FALSE)-50))</f>
        <v>-</v>
      </c>
      <c r="AA389" s="3">
        <f>IF(ISERROR(VLOOKUP($A389,'SegEnds_NonXtal_BW#'!$A:$Z,19,FALSE)+VLOOKUP($A389,A:AL,28,FALSE)-50),"-",(VLOOKUP($A389,'SegEnds_NonXtal_BW#'!$A:$Z,19,FALSE)+VLOOKUP($A389,A:AL,28,FALSE)-50))</f>
        <v>190</v>
      </c>
      <c r="AB389" s="3">
        <v>201</v>
      </c>
      <c r="AC389" s="3">
        <f>IF(ISERROR((VLOOKUP($A389,'SegEnds_NonXtal_BW#'!$A:$Z,20,FALSE)+VLOOKUP($A389,A:AL,28,FALSE)-50)),"-",(VLOOKUP($A389,'SegEnds_NonXtal_BW#'!$A:$Z,20,FALSE)+VLOOKUP($A389,A:AL,28,FALSE)-50))</f>
        <v>212</v>
      </c>
      <c r="AD389" s="3">
        <f>IF(ISERROR(VLOOKUP($A389,'SegEnds_NonXtal_BW#'!$A:$Z,21,FALSE)+VLOOKUP($A389,A:AL,31,FALSE)-50),"-",(VLOOKUP($A389,'SegEnds_NonXtal_BW#'!$A:$Z,21,FALSE)+VLOOKUP($A389,A:AL,31,FALSE)-50))</f>
        <v>238</v>
      </c>
      <c r="AE389" s="3">
        <v>259</v>
      </c>
      <c r="AF389" s="3">
        <f>IF(ISERROR((VLOOKUP($A389,'SegEnds_NonXtal_BW#'!$A:$Z,22,FALSE)+VLOOKUP($A389,A:AL,31,FALSE)-50)),"-",(VLOOKUP($A389,'SegEnds_NonXtal_BW#'!$A:$Z,22,FALSE)+VLOOKUP($A389,A:AL,31,FALSE)-50))</f>
        <v>262</v>
      </c>
      <c r="AG389" s="3">
        <f>IF(ISERROR(VLOOKUP($A389,'SegEnds_NonXtal_BW#'!$A:$Z,23,FALSE)+VLOOKUP($A389,A:AL,34,FALSE)-50),"-",(VLOOKUP($A389,'SegEnds_NonXtal_BW#'!$A:$Z,23,FALSE)+VLOOKUP($A389,A:AL,34,FALSE)-50))</f>
        <v>293</v>
      </c>
      <c r="AH389" s="3">
        <v>308</v>
      </c>
      <c r="AI389" s="3">
        <f>IF(ISERROR((VLOOKUP($A389,'SegEnds_NonXtal_BW#'!$A:$Z,24,FALSE)+VLOOKUP($A389,A:AL,34,FALSE)-50)),"-",(VLOOKUP($A389,'SegEnds_NonXtal_BW#'!$A:$Z,24,FALSE)+VLOOKUP($A389,A:AL,34,FALSE)-50))</f>
        <v>314</v>
      </c>
      <c r="AJ389" s="3">
        <f>IF(ISERROR(VLOOKUP($A389,'SegEnds_NonXtal_BW#'!$A:$Z,25,FALSE)+VLOOKUP($A389,A:AL,37,FALSE)-50),"-",(VLOOKUP($A389,'SegEnds_NonXtal_BW#'!$A:$Z,25,FALSE)+VLOOKUP($A389,A:AL,37,FALSE)-50))</f>
        <v>315</v>
      </c>
      <c r="AK389" s="3">
        <v>318</v>
      </c>
      <c r="AL389" s="3">
        <f>IF(ISERROR((VLOOKUP($A389,'SegEnds_NonXtal_BW#'!$A:$Z,26,FALSE)+VLOOKUP($A389,A:AL,37,FALSE)-50)),"-",(VLOOKUP($A389,'SegEnds_NonXtal_BW#'!$A:$Z,26,FALSE)+VLOOKUP($A389,A:AL,37,FALSE)-50))</f>
        <v>325</v>
      </c>
      <c r="AM389" s="28" t="str">
        <f>VLOOKUP(A389,Classification!A:B,2,FALSE)</f>
        <v>O</v>
      </c>
      <c r="AN389" s="28" t="b">
        <f t="shared" si="220"/>
        <v>1</v>
      </c>
      <c r="AO389" s="3" t="str">
        <f>IF(ISERROR(MATCH(A389,'SegEnds_Xtal_Prot#'!B:B, 0)), "NoXtal", "Xtal")</f>
        <v>NoXtal</v>
      </c>
      <c r="AP389" s="3" t="str">
        <f t="shared" si="205"/>
        <v>-</v>
      </c>
      <c r="AQ389" s="3" t="str">
        <f t="shared" si="206"/>
        <v>-</v>
      </c>
      <c r="AR389" s="3" t="str">
        <f t="shared" si="207"/>
        <v>-</v>
      </c>
      <c r="AS389" s="3" t="str">
        <f t="shared" si="208"/>
        <v>-</v>
      </c>
      <c r="AT389" s="3" t="str">
        <f t="shared" si="209"/>
        <v>-</v>
      </c>
      <c r="AU389" s="3" t="str">
        <f t="shared" si="210"/>
        <v>-</v>
      </c>
      <c r="AV389" s="3" t="str">
        <f t="shared" si="211"/>
        <v>-</v>
      </c>
      <c r="AW389" s="3" t="str">
        <f t="shared" si="212"/>
        <v>-</v>
      </c>
      <c r="AX389" s="3">
        <f t="shared" si="213"/>
        <v>26</v>
      </c>
      <c r="AY389" s="3">
        <f t="shared" si="214"/>
        <v>31</v>
      </c>
      <c r="AZ389" s="3">
        <f t="shared" si="215"/>
        <v>1</v>
      </c>
      <c r="BA389" s="3">
        <f>IF(ISERROR(LEN(VLOOKUP(A389,Seqs!A:E,2,FALSE))-AL389),"-",LEN(VLOOKUP(A389,Seqs!A:E,2,FALSE))-AL389)</f>
        <v>79</v>
      </c>
      <c r="BB389" s="16">
        <f t="shared" si="216"/>
        <v>36</v>
      </c>
      <c r="BC389" s="9" t="str">
        <f t="shared" si="217"/>
        <v>-</v>
      </c>
      <c r="BD389" s="3">
        <f t="shared" si="218"/>
        <v>36</v>
      </c>
      <c r="BE389" s="3">
        <f t="shared" si="219"/>
        <v>58</v>
      </c>
    </row>
    <row r="390" spans="1:58" s="3" customFormat="1" x14ac:dyDescent="0.2">
      <c r="A390" s="3" t="s">
        <v>480</v>
      </c>
      <c r="B390" s="3" t="str">
        <f>LOWER(VLOOKUP(A390,Xtal_Templ!A:B,2,FALSE))</f>
        <v>5ht2c_human</v>
      </c>
      <c r="C390" s="3">
        <f>VLOOKUP($A390,'SegEnds_NonXtal_BW#'!$A:$Z,3,FALSE)+D390-50</f>
        <v>12</v>
      </c>
      <c r="D390" s="3">
        <v>29</v>
      </c>
      <c r="E390" s="3">
        <f>IF(ISERROR(VLOOKUP($A390,'SegEnds_NonXtal_BW#'!$A:$Z,4,FALSE)+VLOOKUP($A390,A:AL,4,FALSE)-50),"-",(VLOOKUP($A390,'SegEnds_NonXtal_BW#'!$A:$Z,4,FALSE)+VLOOKUP($A390,A:AL,4,FALSE)-50))</f>
        <v>39</v>
      </c>
      <c r="F390" s="3" t="str">
        <f>IF(ISERROR(VLOOKUP($A390,'SegEnds_NonXtal_BW#'!$A:$Z,5,FALSE)+VLOOKUP($A390,A:AL,7,FALSE)-50),"-",(VLOOKUP($A390,'SegEnds_NonXtal_BW#'!$A:$Z,5,FALSE)+VLOOKUP($A390,A:AL,7,FALSE)-50))</f>
        <v>-</v>
      </c>
      <c r="G390" s="3" t="s">
        <v>23</v>
      </c>
      <c r="H390" s="3" t="str">
        <f>IF(ISERROR(VLOOKUP($A390,'SegEnds_NonXtal_BW#'!$A:$Z,6,FALSE)+VLOOKUP($A390,A:AL,7,FALSE)-50),"-",(VLOOKUP($A390,'SegEnds_NonXtal_BW#'!$A:$Z,6,FALSE)+VLOOKUP($A390,A:AL,7,FALSE)-50))</f>
        <v>-</v>
      </c>
      <c r="I390" s="3">
        <f>VLOOKUP($A390,'SegEnds_NonXtal_BW#'!$A:$Z,7,FALSE)+J390-50</f>
        <v>46</v>
      </c>
      <c r="J390" s="3">
        <v>57</v>
      </c>
      <c r="K390" s="3">
        <f>VLOOKUP($A390,'SegEnds_NonXtal_BW#'!$A:$Z,8,FALSE)+VLOOKUP($A390,A:AL,10,FALSE)-50</f>
        <v>70</v>
      </c>
      <c r="L390" s="3" t="str">
        <f>IF(ISERROR(VLOOKUP($A390,'SegEnds_NonXtal_BW#'!$A:$Z,9,FALSE)+VLOOKUP($A390,A:AL,13,FALSE)-50),"-",(VLOOKUP($A390,'SegEnds_NonXtal_BW#'!$A:$Z,9,FALSE)+VLOOKUP($A390,A:AL,13,FALSE)-50))</f>
        <v>-</v>
      </c>
      <c r="M390" s="3" t="s">
        <v>23</v>
      </c>
      <c r="N390" s="3" t="str">
        <f>IF(ISERROR(VLOOKUP($A390,'SegEnds_NonXtal_BW#'!$A:$Z,10,FALSE)+VLOOKUP($A390,A:AL,13,FALSE)-50),"-",(VLOOKUP($A390,'SegEnds_NonXtal_BW#'!$A:$Z,10,FALSE)+VLOOKUP($A390,A:AL,13,FALSE)-50))</f>
        <v>-</v>
      </c>
      <c r="O390" s="3">
        <f>VLOOKUP($A390,'SegEnds_NonXtal_BW#'!$A:$Z,11,FALSE)+VLOOKUP($A390,A:AL,16,FALSE)-50</f>
        <v>77</v>
      </c>
      <c r="P390" s="3">
        <v>104</v>
      </c>
      <c r="Q390" s="3">
        <f>VLOOKUP($A390,'SegEnds_NonXtal_BW#'!$A:$Z,12,FALSE)+VLOOKUP($A390,A:AL,16,FALSE)-50</f>
        <v>110</v>
      </c>
      <c r="R390" s="3" t="str">
        <f>IF(ISERROR(VLOOKUP($A390,'SegEnds_NonXtal_BW#'!$A:$Z,13,FALSE)+VLOOKUP($A390,A:AL,19,FALSE)-50),"-",VLOOKUP($A390,'SegEnds_NonXtal_BW#'!$A:$Z,13,FALSE)+VLOOKUP($A390,A:AL,19,FALSE)-50)</f>
        <v>-</v>
      </c>
      <c r="S390" s="3" t="s">
        <v>23</v>
      </c>
      <c r="T390" s="100" t="str">
        <f>IF(ISERROR(VLOOKUP($A390,'SegEnds_NonXtal_BW#'!$A:$Z,14,FALSE)+VLOOKUP($A390,A:AL,19,FALSE)-50),"-",(VLOOKUP($A390,'SegEnds_NonXtal_BW#'!$A:$Z,14,FALSE)+VLOOKUP($A390,A:AL,19,FALSE)-50))</f>
        <v>-</v>
      </c>
      <c r="U390" s="9">
        <f>IF(ISERROR(VLOOKUP($A390,'SegEnds_NonXtal_BW#'!$A:$Z,15,FALSE)+VLOOKUP($A390,A:AL,22,FALSE)-50),"-",VLOOKUP($A390,'SegEnds_NonXtal_BW#'!$A:$Z,15,FALSE)+VLOOKUP($A390,A:AL,22,FALSE)-50)</f>
        <v>125</v>
      </c>
      <c r="V390" s="3">
        <v>135</v>
      </c>
      <c r="W390" s="3">
        <f>IF(ISERROR(VLOOKUP($A390,'SegEnds_NonXtal_BW#'!$A:$Z,16,FALSE)+VLOOKUP($A390,A:AL,22,FALSE)-50),"-",(VLOOKUP($A390,'SegEnds_NonXtal_BW#'!$A:$Z,16,FALSE)+VLOOKUP($A390,A:AL,22,FALSE)-50))</f>
        <v>149</v>
      </c>
      <c r="X390" s="3" t="str">
        <f>IF(ISERROR(VLOOKUP($A390,'SegEnds_NonXtal_BW#'!$A:$Z,17,FALSE)+VLOOKUP($A390,A:AL,25,FALSE)-50),"-",(VLOOKUP($A390,'SegEnds_NonXtal_BW#'!$A:$Z,17,FALSE)+VLOOKUP($A390,A:AL,25,FALSE)-50))</f>
        <v>-</v>
      </c>
      <c r="Y390" s="3" t="s">
        <v>23</v>
      </c>
      <c r="Z390" s="3" t="str">
        <f>IF(ISERROR(VLOOKUP($A390,'SegEnds_NonXtal_BW#'!$A:$Z,18,FALSE)+VLOOKUP($A390,A:AL,25,FALSE)-50),"-",(VLOOKUP($A390,'SegEnds_NonXtal_BW#'!$A:$Z,18,FALSE)+VLOOKUP($A390,A:AL,25,FALSE)-50))</f>
        <v>-</v>
      </c>
      <c r="AA390" s="3">
        <f>IF(ISERROR(VLOOKUP($A390,'SegEnds_NonXtal_BW#'!$A:$Z,19,FALSE)+VLOOKUP($A390,A:AL,28,FALSE)-50),"-",(VLOOKUP($A390,'SegEnds_NonXtal_BW#'!$A:$Z,19,FALSE)+VLOOKUP($A390,A:AL,28,FALSE)-50))</f>
        <v>153</v>
      </c>
      <c r="AB390" s="3">
        <v>164</v>
      </c>
      <c r="AC390" s="3">
        <f>IF(ISERROR((VLOOKUP($A390,'SegEnds_NonXtal_BW#'!$A:$Z,20,FALSE)+VLOOKUP($A390,A:AL,28,FALSE)-50)),"-",(VLOOKUP($A390,'SegEnds_NonXtal_BW#'!$A:$Z,20,FALSE)+VLOOKUP($A390,A:AL,28,FALSE)-50))</f>
        <v>175</v>
      </c>
      <c r="AD390" s="3">
        <f>IF(ISERROR(VLOOKUP($A390,'SegEnds_NonXtal_BW#'!$A:$Z,21,FALSE)+VLOOKUP($A390,A:AL,31,FALSE)-50),"-",(VLOOKUP($A390,'SegEnds_NonXtal_BW#'!$A:$Z,21,FALSE)+VLOOKUP($A390,A:AL,31,FALSE)-50))</f>
        <v>210</v>
      </c>
      <c r="AE390" s="3">
        <v>231</v>
      </c>
      <c r="AF390" s="3">
        <f>IF(ISERROR((VLOOKUP($A390,'SegEnds_NonXtal_BW#'!$A:$Z,22,FALSE)+VLOOKUP($A390,A:AL,31,FALSE)-50)),"-",(VLOOKUP($A390,'SegEnds_NonXtal_BW#'!$A:$Z,22,FALSE)+VLOOKUP($A390,A:AL,31,FALSE)-50))</f>
        <v>234</v>
      </c>
      <c r="AG390" s="3">
        <f>IF(ISERROR(VLOOKUP($A390,'SegEnds_NonXtal_BW#'!$A:$Z,23,FALSE)+VLOOKUP($A390,A:AL,34,FALSE)-50),"-",(VLOOKUP($A390,'SegEnds_NonXtal_BW#'!$A:$Z,23,FALSE)+VLOOKUP($A390,A:AL,34,FALSE)-50))</f>
        <v>261</v>
      </c>
      <c r="AH390" s="3">
        <v>276</v>
      </c>
      <c r="AI390" s="3">
        <f>IF(ISERROR((VLOOKUP($A390,'SegEnds_NonXtal_BW#'!$A:$Z,24,FALSE)+VLOOKUP($A390,A:AL,34,FALSE)-50)),"-",(VLOOKUP($A390,'SegEnds_NonXtal_BW#'!$A:$Z,24,FALSE)+VLOOKUP($A390,A:AL,34,FALSE)-50))</f>
        <v>282</v>
      </c>
      <c r="AJ390" s="3">
        <v>286</v>
      </c>
      <c r="AK390" s="3">
        <v>294</v>
      </c>
      <c r="AL390" s="3">
        <f>IF(ISERROR((VLOOKUP($A390,'SegEnds_NonXtal_BW#'!$A:$Z,26,FALSE)+VLOOKUP($A390,A:AL,37,FALSE)-50)),"-",(VLOOKUP($A390,'SegEnds_NonXtal_BW#'!$A:$Z,26,FALSE)+VLOOKUP($A390,A:AL,37,FALSE)-50))</f>
        <v>301</v>
      </c>
      <c r="AM390" s="28" t="str">
        <f>VLOOKUP(A390,Classification!A:B,2,FALSE)</f>
        <v>O</v>
      </c>
      <c r="AN390" s="28" t="b">
        <f t="shared" si="220"/>
        <v>1</v>
      </c>
      <c r="AO390" s="3" t="str">
        <f>IF(ISERROR(MATCH(A390,'SegEnds_Xtal_Prot#'!B:B, 0)), "NoXtal", "Xtal")</f>
        <v>NoXtal</v>
      </c>
      <c r="AP390" s="3" t="str">
        <f t="shared" si="205"/>
        <v>-</v>
      </c>
      <c r="AQ390" s="3" t="str">
        <f t="shared" si="206"/>
        <v>-</v>
      </c>
      <c r="AR390" s="3" t="str">
        <f t="shared" si="207"/>
        <v>-</v>
      </c>
      <c r="AS390" s="3" t="str">
        <f t="shared" si="208"/>
        <v>-</v>
      </c>
      <c r="AT390" s="3" t="str">
        <f t="shared" si="209"/>
        <v>-</v>
      </c>
      <c r="AU390" s="3" t="str">
        <f t="shared" si="210"/>
        <v>-</v>
      </c>
      <c r="AV390" s="3" t="str">
        <f t="shared" si="211"/>
        <v>-</v>
      </c>
      <c r="AW390" s="3" t="str">
        <f t="shared" si="212"/>
        <v>-</v>
      </c>
      <c r="AX390" s="3">
        <f t="shared" si="213"/>
        <v>35</v>
      </c>
      <c r="AY390" s="3">
        <f t="shared" si="214"/>
        <v>27</v>
      </c>
      <c r="AZ390" s="3">
        <f t="shared" si="215"/>
        <v>4</v>
      </c>
      <c r="BA390" s="3">
        <f>IF(ISERROR(LEN(VLOOKUP(A390,Seqs!A:E,2,FALSE))-AL390),"-",LEN(VLOOKUP(A390,Seqs!A:E,2,FALSE))-AL390)</f>
        <v>34</v>
      </c>
      <c r="BB390" s="16">
        <f t="shared" si="216"/>
        <v>28</v>
      </c>
      <c r="BC390" s="9" t="str">
        <f t="shared" si="217"/>
        <v>-</v>
      </c>
      <c r="BD390" s="3">
        <f t="shared" si="218"/>
        <v>28</v>
      </c>
      <c r="BE390" s="3">
        <f t="shared" si="219"/>
        <v>67</v>
      </c>
    </row>
    <row r="391" spans="1:58" s="3" customFormat="1" x14ac:dyDescent="0.2">
      <c r="A391" s="3" t="s">
        <v>478</v>
      </c>
      <c r="B391" s="3" t="str">
        <f>LOWER(VLOOKUP(A391,Xtal_Templ!A:B,2,FALSE))</f>
        <v>pe2r4_human</v>
      </c>
      <c r="C391" s="3">
        <v>27</v>
      </c>
      <c r="D391" s="3">
        <v>64</v>
      </c>
      <c r="E391" s="3">
        <f>IF(ISERROR(VLOOKUP($A391,'SegEnds_NonXtal_BW#'!$A:$Z,4,FALSE)+VLOOKUP($A391,A:AL,4,FALSE)-50),"-",(VLOOKUP($A391,'SegEnds_NonXtal_BW#'!$A:$Z,4,FALSE)+VLOOKUP($A391,A:AL,4,FALSE)-50))</f>
        <v>74</v>
      </c>
      <c r="F391" s="3" t="str">
        <f>IF(ISERROR(VLOOKUP($A391,'SegEnds_NonXtal_BW#'!$A:$Z,5,FALSE)+VLOOKUP($A391,A:AL,7,FALSE)-50),"-",(VLOOKUP($A391,'SegEnds_NonXtal_BW#'!$A:$Z,5,FALSE)+VLOOKUP($A391,A:AL,7,FALSE)-50))</f>
        <v>-</v>
      </c>
      <c r="G391" s="3" t="s">
        <v>23</v>
      </c>
      <c r="H391" s="3" t="str">
        <f>IF(ISERROR(VLOOKUP($A391,'SegEnds_NonXtal_BW#'!$A:$Z,6,FALSE)+VLOOKUP($A391,A:AL,7,FALSE)-50),"-",(VLOOKUP($A391,'SegEnds_NonXtal_BW#'!$A:$Z,6,FALSE)+VLOOKUP($A391,A:AL,7,FALSE)-50))</f>
        <v>-</v>
      </c>
      <c r="I391" s="3">
        <f>VLOOKUP($A391,'SegEnds_NonXtal_BW#'!$A:$Z,7,FALSE)+J391-50</f>
        <v>85</v>
      </c>
      <c r="J391" s="3">
        <v>96</v>
      </c>
      <c r="K391" s="3">
        <f>VLOOKUP($A391,'SegEnds_NonXtal_BW#'!$A:$Z,8,FALSE)+VLOOKUP($A391,A:AL,10,FALSE)-50</f>
        <v>109</v>
      </c>
      <c r="L391" s="3" t="str">
        <f>IF(ISERROR(VLOOKUP($A391,'SegEnds_NonXtal_BW#'!$A:$Z,9,FALSE)+VLOOKUP($A391,A:AL,13,FALSE)-50),"-",(VLOOKUP($A391,'SegEnds_NonXtal_BW#'!$A:$Z,9,FALSE)+VLOOKUP($A391,A:AL,13,FALSE)-50))</f>
        <v>-</v>
      </c>
      <c r="M391" s="3" t="s">
        <v>23</v>
      </c>
      <c r="N391" s="3" t="str">
        <f>IF(ISERROR(VLOOKUP($A391,'SegEnds_NonXtal_BW#'!$A:$Z,10,FALSE)+VLOOKUP($A391,A:AL,13,FALSE)-50),"-",(VLOOKUP($A391,'SegEnds_NonXtal_BW#'!$A:$Z,10,FALSE)+VLOOKUP($A391,A:AL,13,FALSE)-50))</f>
        <v>-</v>
      </c>
      <c r="O391" s="3">
        <f>VLOOKUP($A391,'SegEnds_NonXtal_BW#'!$A:$Z,11,FALSE)+VLOOKUP($A391,A:AL,16,FALSE)-50</f>
        <v>114</v>
      </c>
      <c r="P391" s="3">
        <v>141</v>
      </c>
      <c r="Q391" s="3">
        <f>VLOOKUP($A391,'SegEnds_NonXtal_BW#'!$A:$Z,12,FALSE)+VLOOKUP($A391,A:AL,16,FALSE)-50</f>
        <v>147</v>
      </c>
      <c r="R391" s="3" t="str">
        <f>IF(ISERROR(VLOOKUP($A391,'SegEnds_NonXtal_BW#'!$A:$Z,13,FALSE)+VLOOKUP($A391,A:AL,19,FALSE)-50),"-",VLOOKUP($A391,'SegEnds_NonXtal_BW#'!$A:$Z,13,FALSE)+VLOOKUP($A391,A:AL,19,FALSE)-50)</f>
        <v>-</v>
      </c>
      <c r="S391" s="3" t="s">
        <v>23</v>
      </c>
      <c r="T391" s="100" t="str">
        <f>IF(ISERROR(VLOOKUP($A391,'SegEnds_NonXtal_BW#'!$A:$Z,14,FALSE)+VLOOKUP($A391,A:AL,19,FALSE)-50),"-",(VLOOKUP($A391,'SegEnds_NonXtal_BW#'!$A:$Z,14,FALSE)+VLOOKUP($A391,A:AL,19,FALSE)-50))</f>
        <v>-</v>
      </c>
      <c r="U391" s="9">
        <f>IF(ISERROR(VLOOKUP($A391,'SegEnds_NonXtal_BW#'!$A:$Z,15,FALSE)+VLOOKUP($A391,A:AL,22,FALSE)-50),"-",VLOOKUP($A391,'SegEnds_NonXtal_BW#'!$A:$Z,15,FALSE)+VLOOKUP($A391,A:AL,22,FALSE)-50)</f>
        <v>162</v>
      </c>
      <c r="V391" s="3">
        <v>172</v>
      </c>
      <c r="W391" s="3">
        <f>IF(ISERROR(VLOOKUP($A391,'SegEnds_NonXtal_BW#'!$A:$Z,16,FALSE)+VLOOKUP($A391,A:AL,22,FALSE)-50),"-",(VLOOKUP($A391,'SegEnds_NonXtal_BW#'!$A:$Z,16,FALSE)+VLOOKUP($A391,A:AL,22,FALSE)-50))</f>
        <v>183</v>
      </c>
      <c r="X391" s="3" t="str">
        <f>IF(ISERROR(VLOOKUP($A391,'SegEnds_NonXtal_BW#'!$A:$Z,17,FALSE)+VLOOKUP($A391,A:AL,25,FALSE)-50),"-",(VLOOKUP($A391,'SegEnds_NonXtal_BW#'!$A:$Z,17,FALSE)+VLOOKUP($A391,A:AL,25,FALSE)-50))</f>
        <v>-</v>
      </c>
      <c r="Y391" s="3" t="s">
        <v>23</v>
      </c>
      <c r="Z391" s="3" t="str">
        <f>IF(ISERROR(VLOOKUP($A391,'SegEnds_NonXtal_BW#'!$A:$Z,18,FALSE)+VLOOKUP($A391,A:AL,25,FALSE)-50),"-",(VLOOKUP($A391,'SegEnds_NonXtal_BW#'!$A:$Z,18,FALSE)+VLOOKUP($A391,A:AL,25,FALSE)-50))</f>
        <v>-</v>
      </c>
      <c r="AA391" s="3">
        <f>IF(ISERROR(VLOOKUP($A391,'SegEnds_NonXtal_BW#'!$A:$Z,19,FALSE)+VLOOKUP($A391,A:AL,28,FALSE)-50),"-",(VLOOKUP($A391,'SegEnds_NonXtal_BW#'!$A:$Z,19,FALSE)+VLOOKUP($A391,A:AL,28,FALSE)-50))</f>
        <v>187</v>
      </c>
      <c r="AB391" s="3">
        <v>197</v>
      </c>
      <c r="AC391" s="3">
        <f>IF(ISERROR((VLOOKUP($A391,'SegEnds_NonXtal_BW#'!$A:$Z,20,FALSE)+VLOOKUP($A391,A:AL,28,FALSE)-50)),"-",(VLOOKUP($A391,'SegEnds_NonXtal_BW#'!$A:$Z,20,FALSE)+VLOOKUP($A391,A:AL,28,FALSE)-50))</f>
        <v>208</v>
      </c>
      <c r="AD391" s="3">
        <f>IF(ISERROR(VLOOKUP($A391,'SegEnds_NonXtal_BW#'!$A:$Z,21,FALSE)+VLOOKUP($A391,A:AL,31,FALSE)-50),"-",(VLOOKUP($A391,'SegEnds_NonXtal_BW#'!$A:$Z,21,FALSE)+VLOOKUP($A391,A:AL,31,FALSE)-50))</f>
        <v>252</v>
      </c>
      <c r="AE391" s="3">
        <v>273</v>
      </c>
      <c r="AF391" s="3">
        <f>IF(ISERROR((VLOOKUP($A391,'SegEnds_NonXtal_BW#'!$A:$Z,22,FALSE)+VLOOKUP($A391,A:AL,31,FALSE)-50)),"-",(VLOOKUP($A391,'SegEnds_NonXtal_BW#'!$A:$Z,22,FALSE)+VLOOKUP($A391,A:AL,31,FALSE)-50))</f>
        <v>276</v>
      </c>
      <c r="AG391" s="3">
        <f>IF(ISERROR(VLOOKUP($A391,'SegEnds_NonXtal_BW#'!$A:$Z,23,FALSE)+VLOOKUP($A391,A:AL,34,FALSE)-50),"-",(VLOOKUP($A391,'SegEnds_NonXtal_BW#'!$A:$Z,23,FALSE)+VLOOKUP($A391,A:AL,34,FALSE)-50))</f>
        <v>294</v>
      </c>
      <c r="AH391" s="3">
        <v>309</v>
      </c>
      <c r="AI391" s="3">
        <f>IF(ISERROR((VLOOKUP($A391,'SegEnds_NonXtal_BW#'!$A:$Z,24,FALSE)+VLOOKUP($A391,A:AL,34,FALSE)-50)),"-",(VLOOKUP($A391,'SegEnds_NonXtal_BW#'!$A:$Z,24,FALSE)+VLOOKUP($A391,A:AL,34,FALSE)-50))</f>
        <v>315</v>
      </c>
      <c r="AJ391" s="105">
        <v>320</v>
      </c>
      <c r="AK391" s="3">
        <v>333</v>
      </c>
      <c r="AL391" s="3">
        <f>IF(ISERROR((VLOOKUP($A391,'SegEnds_NonXtal_BW#'!$A:$Z,26,FALSE)+VLOOKUP($A391,A:AL,37,FALSE)-50)),"-",(VLOOKUP($A391,'SegEnds_NonXtal_BW#'!$A:$Z,26,FALSE)+VLOOKUP($A391,A:AL,37,FALSE)-50))</f>
        <v>340</v>
      </c>
      <c r="AM391" s="28" t="str">
        <f>VLOOKUP(A391,Classification!A:B,2,FALSE)</f>
        <v>O</v>
      </c>
      <c r="AN391" s="28" t="b">
        <f t="shared" si="220"/>
        <v>1</v>
      </c>
      <c r="AO391" s="3" t="str">
        <f>IF(ISERROR(MATCH(A391,'SegEnds_Xtal_Prot#'!B:B, 0)), "NoXtal", "Xtal")</f>
        <v>NoXtal</v>
      </c>
      <c r="AP391" s="3" t="str">
        <f t="shared" si="205"/>
        <v>-</v>
      </c>
      <c r="AQ391" s="3" t="str">
        <f t="shared" si="206"/>
        <v>-</v>
      </c>
      <c r="AR391" s="3" t="str">
        <f t="shared" si="207"/>
        <v>-</v>
      </c>
      <c r="AS391" s="3" t="str">
        <f t="shared" si="208"/>
        <v>-</v>
      </c>
      <c r="AT391" s="3" t="str">
        <f t="shared" si="209"/>
        <v>-</v>
      </c>
      <c r="AU391" s="3" t="str">
        <f t="shared" si="210"/>
        <v>-</v>
      </c>
      <c r="AV391" s="3" t="str">
        <f t="shared" si="211"/>
        <v>-</v>
      </c>
      <c r="AW391" s="3" t="str">
        <f t="shared" si="212"/>
        <v>-</v>
      </c>
      <c r="AX391" s="3">
        <f t="shared" si="213"/>
        <v>44</v>
      </c>
      <c r="AY391" s="3">
        <f t="shared" si="214"/>
        <v>18</v>
      </c>
      <c r="AZ391" s="3">
        <f t="shared" si="215"/>
        <v>5</v>
      </c>
      <c r="BA391" s="3">
        <f>IF(ISERROR(LEN(VLOOKUP(A391,Seqs!A:E,2,FALSE))-AL391),"-",LEN(VLOOKUP(A391,Seqs!A:E,2,FALSE))-AL391)</f>
        <v>33</v>
      </c>
      <c r="BB391" s="16">
        <f t="shared" si="216"/>
        <v>32</v>
      </c>
      <c r="BC391" s="9" t="str">
        <f t="shared" si="217"/>
        <v>-</v>
      </c>
      <c r="BD391" s="3">
        <f t="shared" si="218"/>
        <v>32</v>
      </c>
      <c r="BE391" s="3">
        <f t="shared" si="219"/>
        <v>76</v>
      </c>
    </row>
    <row r="392" spans="1:58" s="3" customFormat="1" x14ac:dyDescent="0.2">
      <c r="A392" s="3" t="s">
        <v>450</v>
      </c>
      <c r="B392" s="3" t="str">
        <f>LOWER(VLOOKUP(A392,Xtal_Templ!A:B,2,FALSE))</f>
        <v>drd2_human</v>
      </c>
      <c r="C392" s="3">
        <f>VLOOKUP($A392,'SegEnds_NonXtal_BW#'!$A:$Z,3,FALSE)+D392-50</f>
        <v>6</v>
      </c>
      <c r="D392" s="3">
        <v>24</v>
      </c>
      <c r="E392" s="3">
        <f t="shared" ref="E392:E416" si="248">F392-1</f>
        <v>36</v>
      </c>
      <c r="F392" s="3">
        <f t="shared" ref="F392:F416" si="249">G392-2</f>
        <v>37</v>
      </c>
      <c r="G392" s="3">
        <v>39</v>
      </c>
      <c r="H392" s="3">
        <f t="shared" ref="H392:I416" si="250">G392+1</f>
        <v>40</v>
      </c>
      <c r="I392" s="3">
        <f t="shared" si="250"/>
        <v>41</v>
      </c>
      <c r="J392" s="3">
        <v>54</v>
      </c>
      <c r="K392" s="3">
        <f>VLOOKUP($A392,'SegEnds_NonXtal_BW#'!$A:$Z,8,FALSE)+VLOOKUP($A392,A:AL,10,FALSE)-50</f>
        <v>71</v>
      </c>
      <c r="L392" s="3" t="str">
        <f>IF(ISERROR(VLOOKUP($A392,'SegEnds_NonXtal_BW#'!$A:$Z,9,FALSE)+VLOOKUP($A392,A:AL,13,FALSE)-50),"-",(VLOOKUP($A392,'SegEnds_NonXtal_BW#'!$A:$Z,9,FALSE)+VLOOKUP($A392,A:AL,13,FALSE)-50))</f>
        <v>-</v>
      </c>
      <c r="M392" s="3" t="s">
        <v>23</v>
      </c>
      <c r="N392" s="3" t="str">
        <f>IF(ISERROR(VLOOKUP($A392,'SegEnds_NonXtal_BW#'!$A:$Z,10,FALSE)+VLOOKUP($A392,A:AL,13,FALSE)-50),"-",(VLOOKUP($A392,'SegEnds_NonXtal_BW#'!$A:$Z,10,FALSE)+VLOOKUP($A392,A:AL,13,FALSE)-50))</f>
        <v>-</v>
      </c>
      <c r="O392" s="3">
        <f>VLOOKUP($A392,'SegEnds_NonXtal_BW#'!$A:$Z,11,FALSE)+VLOOKUP($A392,A:AL,16,FALSE)-50</f>
        <v>77</v>
      </c>
      <c r="P392" s="3">
        <v>106</v>
      </c>
      <c r="Q392" s="3">
        <f>VLOOKUP($A392,'SegEnds_NonXtal_BW#'!$A:$Z,12,FALSE)+VLOOKUP($A392,A:AL,16,FALSE)-50</f>
        <v>112</v>
      </c>
      <c r="R392" s="3">
        <f t="shared" ref="R392:R416" si="251">S392</f>
        <v>115</v>
      </c>
      <c r="S392" s="3">
        <v>115</v>
      </c>
      <c r="T392" s="100">
        <f t="shared" ref="T392:T416" si="252">S392+7</f>
        <v>122</v>
      </c>
      <c r="U392" s="9">
        <f>IF(ISERROR(VLOOKUP($A392,'SegEnds_NonXtal_BW#'!$A:$Z,15,FALSE)+VLOOKUP($A392,A:AL,22,FALSE)-50),"-",VLOOKUP($A392,'SegEnds_NonXtal_BW#'!$A:$Z,15,FALSE)+VLOOKUP($A392,A:AL,22,FALSE)-50)</f>
        <v>123</v>
      </c>
      <c r="V392" s="3">
        <v>135</v>
      </c>
      <c r="W392" s="3">
        <f>IF(ISERROR(VLOOKUP($A392,'SegEnds_NonXtal_BW#'!$A:$Z,16,FALSE)+VLOOKUP($A392,A:AL,22,FALSE)-50),"-",(VLOOKUP($A392,'SegEnds_NonXtal_BW#'!$A:$Z,16,FALSE)+VLOOKUP($A392,A:AL,22,FALSE)-50))</f>
        <v>147</v>
      </c>
      <c r="X392" s="3" t="str">
        <f>IF(ISERROR(VLOOKUP($A392,'SegEnds_NonXtal_BW#'!$A:$Z,17,FALSE)+VLOOKUP($A392,A:AL,25,FALSE)-50),"-",(VLOOKUP($A392,'SegEnds_NonXtal_BW#'!$A:$Z,17,FALSE)+VLOOKUP($A392,A:AL,25,FALSE)-50))</f>
        <v>-</v>
      </c>
      <c r="Y392" s="3" t="s">
        <v>23</v>
      </c>
      <c r="Z392" s="3" t="str">
        <f>IF(ISERROR(VLOOKUP($A392,'SegEnds_NonXtal_BW#'!$A:$Z,18,FALSE)+VLOOKUP($A392,A:AL,25,FALSE)-50),"-",(VLOOKUP($A392,'SegEnds_NonXtal_BW#'!$A:$Z,18,FALSE)+VLOOKUP($A392,A:AL,25,FALSE)-50))</f>
        <v>-</v>
      </c>
      <c r="AA392" s="3">
        <f>IF(ISERROR(VLOOKUP($A392,'SegEnds_NonXtal_BW#'!$A:$Z,19,FALSE)+VLOOKUP($A392,A:AL,28,FALSE)-50),"-",(VLOOKUP($A392,'SegEnds_NonXtal_BW#'!$A:$Z,19,FALSE)+VLOOKUP($A392,A:AL,28,FALSE)-50))</f>
        <v>167</v>
      </c>
      <c r="AB392" s="3">
        <v>185</v>
      </c>
      <c r="AC392" s="3">
        <f>IF(ISERROR((VLOOKUP($A392,'SegEnds_NonXtal_BW#'!$A:$Z,20,FALSE)+VLOOKUP($A392,A:AL,28,FALSE)-50)),"-",(VLOOKUP($A392,'SegEnds_NonXtal_BW#'!$A:$Z,20,FALSE)+VLOOKUP($A392,A:AL,28,FALSE)-50))</f>
        <v>207</v>
      </c>
      <c r="AD392" s="3">
        <f>IF(ISERROR(VLOOKUP($A392,'SegEnds_NonXtal_BW#'!$A:$Z,21,FALSE)+VLOOKUP($A392,A:AL,31,FALSE)-50),"-",(VLOOKUP($A392,'SegEnds_NonXtal_BW#'!$A:$Z,21,FALSE)+VLOOKUP($A392,A:AL,31,FALSE)-50))</f>
        <v>217</v>
      </c>
      <c r="AE392" s="3">
        <v>238</v>
      </c>
      <c r="AF392" s="3">
        <f>IF(ISERROR((VLOOKUP($A392,'SegEnds_NonXtal_BW#'!$A:$Z,22,FALSE)+VLOOKUP($A392,A:AL,31,FALSE)-50)),"-",(VLOOKUP($A392,'SegEnds_NonXtal_BW#'!$A:$Z,22,FALSE)+VLOOKUP($A392,A:AL,31,FALSE)-50))</f>
        <v>249</v>
      </c>
      <c r="AG392" s="3">
        <f>IF(ISERROR(VLOOKUP($A392,'SegEnds_NonXtal_BW#'!$A:$Z,23,FALSE)+VLOOKUP($A392,A:AL,34,FALSE)-50),"-",(VLOOKUP($A392,'SegEnds_NonXtal_BW#'!$A:$Z,23,FALSE)+VLOOKUP($A392,A:AL,34,FALSE)-50))</f>
        <v>255</v>
      </c>
      <c r="AH392" s="3">
        <v>274</v>
      </c>
      <c r="AI392" s="3">
        <f>IF(ISERROR((VLOOKUP($A392,'SegEnds_NonXtal_BW#'!$A:$Z,24,FALSE)+VLOOKUP($A392,A:AL,34,FALSE)-50)),"-",(VLOOKUP($A392,'SegEnds_NonXtal_BW#'!$A:$Z,24,FALSE)+VLOOKUP($A392,A:AL,34,FALSE)-50))</f>
        <v>280</v>
      </c>
      <c r="AJ392" s="3">
        <f>IF(ISERROR(VLOOKUP($A392,'SegEnds_NonXtal_BW#'!$A:$Z,25,FALSE)+VLOOKUP($A392,A:AL,37,FALSE)-50),"-",(VLOOKUP($A392,'SegEnds_NonXtal_BW#'!$A:$Z,25,FALSE)+VLOOKUP($A392,A:AL,37,FALSE)-50))</f>
        <v>281</v>
      </c>
      <c r="AK392" s="3">
        <v>284</v>
      </c>
      <c r="AL392" s="3">
        <f>IF(ISERROR((VLOOKUP($A392,'SegEnds_NonXtal_BW#'!$A:$Z,26,FALSE)+VLOOKUP($A392,A:AL,37,FALSE)-50)),"-",(VLOOKUP($A392,'SegEnds_NonXtal_BW#'!$A:$Z,26,FALSE)+VLOOKUP($A392,A:AL,37,FALSE)-50))</f>
        <v>294</v>
      </c>
      <c r="AM392" s="28" t="str">
        <f>VLOOKUP(A392,Classification!A:B,2,FALSE)</f>
        <v>T</v>
      </c>
      <c r="AN392" s="28" t="b">
        <f t="shared" si="220"/>
        <v>1</v>
      </c>
      <c r="AO392" s="3" t="str">
        <f>IF(ISERROR(MATCH(A392,'SegEnds_Xtal_Prot#'!B:B, 0)), "NoXtal", "Xtal")</f>
        <v>NoXtal</v>
      </c>
      <c r="AP392" s="3">
        <f t="shared" si="205"/>
        <v>1</v>
      </c>
      <c r="AQ392" s="3">
        <f t="shared" si="206"/>
        <v>1</v>
      </c>
      <c r="AR392" s="3" t="str">
        <f t="shared" si="207"/>
        <v>-</v>
      </c>
      <c r="AS392" s="3" t="str">
        <f t="shared" si="208"/>
        <v>-</v>
      </c>
      <c r="AT392" s="3">
        <f t="shared" si="209"/>
        <v>3</v>
      </c>
      <c r="AU392" s="3">
        <f t="shared" si="210"/>
        <v>1</v>
      </c>
      <c r="AV392" s="3" t="str">
        <f t="shared" si="211"/>
        <v>-</v>
      </c>
      <c r="AW392" s="3" t="str">
        <f t="shared" si="212"/>
        <v>-</v>
      </c>
      <c r="AX392" s="3">
        <f t="shared" si="213"/>
        <v>10</v>
      </c>
      <c r="AY392" s="3">
        <f t="shared" si="214"/>
        <v>6</v>
      </c>
      <c r="AZ392" s="3">
        <f t="shared" si="215"/>
        <v>1</v>
      </c>
      <c r="BA392" s="3">
        <f>IF(ISERROR(LEN(VLOOKUP(A392,Seqs!A:E,2,FALSE))-AL392),"-",LEN(VLOOKUP(A392,Seqs!A:E,2,FALSE))-AL392)</f>
        <v>13</v>
      </c>
      <c r="BB392" s="16">
        <f t="shared" si="216"/>
        <v>30</v>
      </c>
      <c r="BC392" s="9">
        <f t="shared" si="217"/>
        <v>20</v>
      </c>
      <c r="BD392" s="3">
        <f t="shared" si="218"/>
        <v>30</v>
      </c>
      <c r="BE392" s="3">
        <f t="shared" si="219"/>
        <v>53</v>
      </c>
      <c r="BF392" s="3">
        <f t="shared" ref="BF392:BF416" si="253">AH392-AE392</f>
        <v>36</v>
      </c>
    </row>
    <row r="393" spans="1:58" s="3" customFormat="1" x14ac:dyDescent="0.2">
      <c r="A393" s="3" t="s">
        <v>451</v>
      </c>
      <c r="B393" s="3" t="str">
        <f>LOWER(VLOOKUP(A393,Xtal_Templ!A:B,2,FALSE))</f>
        <v>5ht2a_human</v>
      </c>
      <c r="C393" s="3">
        <f>VLOOKUP($A393,'SegEnds_NonXtal_BW#'!$A:$Z,3,FALSE)+D393-50</f>
        <v>6</v>
      </c>
      <c r="D393" s="3">
        <v>24</v>
      </c>
      <c r="E393" s="3">
        <f t="shared" si="248"/>
        <v>36</v>
      </c>
      <c r="F393" s="3">
        <f t="shared" si="249"/>
        <v>37</v>
      </c>
      <c r="G393" s="3">
        <v>39</v>
      </c>
      <c r="H393" s="3">
        <f t="shared" si="250"/>
        <v>40</v>
      </c>
      <c r="I393" s="3">
        <f t="shared" si="250"/>
        <v>41</v>
      </c>
      <c r="J393" s="3">
        <v>55</v>
      </c>
      <c r="K393" s="3">
        <f>VLOOKUP($A393,'SegEnds_NonXtal_BW#'!$A:$Z,8,FALSE)+VLOOKUP($A393,A:AL,10,FALSE)-50</f>
        <v>72</v>
      </c>
      <c r="L393" s="3" t="str">
        <f>IF(ISERROR(VLOOKUP($A393,'SegEnds_NonXtal_BW#'!$A:$Z,9,FALSE)+VLOOKUP($A393,A:AL,13,FALSE)-50),"-",(VLOOKUP($A393,'SegEnds_NonXtal_BW#'!$A:$Z,9,FALSE)+VLOOKUP($A393,A:AL,13,FALSE)-50))</f>
        <v>-</v>
      </c>
      <c r="M393" s="3" t="s">
        <v>23</v>
      </c>
      <c r="N393" s="3" t="str">
        <f>IF(ISERROR(VLOOKUP($A393,'SegEnds_NonXtal_BW#'!$A:$Z,10,FALSE)+VLOOKUP($A393,A:AL,13,FALSE)-50),"-",(VLOOKUP($A393,'SegEnds_NonXtal_BW#'!$A:$Z,10,FALSE)+VLOOKUP($A393,A:AL,13,FALSE)-50))</f>
        <v>-</v>
      </c>
      <c r="O393" s="3">
        <f>VLOOKUP($A393,'SegEnds_NonXtal_BW#'!$A:$Z,11,FALSE)+VLOOKUP($A393,A:AL,16,FALSE)-50</f>
        <v>78</v>
      </c>
      <c r="P393" s="3">
        <v>107</v>
      </c>
      <c r="Q393" s="3">
        <f>VLOOKUP($A393,'SegEnds_NonXtal_BW#'!$A:$Z,12,FALSE)+VLOOKUP($A393,A:AL,16,FALSE)-50</f>
        <v>113</v>
      </c>
      <c r="R393" s="3">
        <f t="shared" si="251"/>
        <v>116</v>
      </c>
      <c r="S393" s="3">
        <v>116</v>
      </c>
      <c r="T393" s="100">
        <f t="shared" si="252"/>
        <v>123</v>
      </c>
      <c r="U393" s="9">
        <f>IF(ISERROR(VLOOKUP($A393,'SegEnds_NonXtal_BW#'!$A:$Z,15,FALSE)+VLOOKUP($A393,A:AL,22,FALSE)-50),"-",VLOOKUP($A393,'SegEnds_NonXtal_BW#'!$A:$Z,15,FALSE)+VLOOKUP($A393,A:AL,22,FALSE)-50)</f>
        <v>124</v>
      </c>
      <c r="V393" s="3">
        <v>136</v>
      </c>
      <c r="W393" s="3">
        <f>IF(ISERROR(VLOOKUP($A393,'SegEnds_NonXtal_BW#'!$A:$Z,16,FALSE)+VLOOKUP($A393,A:AL,22,FALSE)-50),"-",(VLOOKUP($A393,'SegEnds_NonXtal_BW#'!$A:$Z,16,FALSE)+VLOOKUP($A393,A:AL,22,FALSE)-50))</f>
        <v>153</v>
      </c>
      <c r="X393" s="3" t="str">
        <f>IF(ISERROR(VLOOKUP($A393,'SegEnds_NonXtal_BW#'!$A:$Z,17,FALSE)+VLOOKUP($A393,A:AL,25,FALSE)-50),"-",(VLOOKUP($A393,'SegEnds_NonXtal_BW#'!$A:$Z,17,FALSE)+VLOOKUP($A393,A:AL,25,FALSE)-50))</f>
        <v>-</v>
      </c>
      <c r="Y393" s="3" t="s">
        <v>23</v>
      </c>
      <c r="Z393" s="3" t="str">
        <f>IF(ISERROR(VLOOKUP($A393,'SegEnds_NonXtal_BW#'!$A:$Z,18,FALSE)+VLOOKUP($A393,A:AL,25,FALSE)-50),"-",(VLOOKUP($A393,'SegEnds_NonXtal_BW#'!$A:$Z,18,FALSE)+VLOOKUP($A393,A:AL,25,FALSE)-50))</f>
        <v>-</v>
      </c>
      <c r="AA393" s="3">
        <f>IF(ISERROR(VLOOKUP($A393,'SegEnds_NonXtal_BW#'!$A:$Z,19,FALSE)+VLOOKUP($A393,A:AL,28,FALSE)-50),"-",(VLOOKUP($A393,'SegEnds_NonXtal_BW#'!$A:$Z,19,FALSE)+VLOOKUP($A393,A:AL,28,FALSE)-50))</f>
        <v>172</v>
      </c>
      <c r="AB393" s="3">
        <v>190</v>
      </c>
      <c r="AC393" s="3">
        <f>IF(ISERROR((VLOOKUP($A393,'SegEnds_NonXtal_BW#'!$A:$Z,20,FALSE)+VLOOKUP($A393,A:AL,28,FALSE)-50)),"-",(VLOOKUP($A393,'SegEnds_NonXtal_BW#'!$A:$Z,20,FALSE)+VLOOKUP($A393,A:AL,28,FALSE)-50))</f>
        <v>212</v>
      </c>
      <c r="AD393" s="3">
        <f>IF(ISERROR(VLOOKUP($A393,'SegEnds_NonXtal_BW#'!$A:$Z,21,FALSE)+VLOOKUP($A393,A:AL,31,FALSE)-50),"-",(VLOOKUP($A393,'SegEnds_NonXtal_BW#'!$A:$Z,21,FALSE)+VLOOKUP($A393,A:AL,31,FALSE)-50))</f>
        <v>222</v>
      </c>
      <c r="AE393" s="3">
        <v>243</v>
      </c>
      <c r="AF393" s="3">
        <f>IF(ISERROR((VLOOKUP($A393,'SegEnds_NonXtal_BW#'!$A:$Z,22,FALSE)+VLOOKUP($A393,A:AL,31,FALSE)-50)),"-",(VLOOKUP($A393,'SegEnds_NonXtal_BW#'!$A:$Z,22,FALSE)+VLOOKUP($A393,A:AL,31,FALSE)-50))</f>
        <v>254</v>
      </c>
      <c r="AG393" s="3">
        <f>IF(ISERROR(VLOOKUP($A393,'SegEnds_NonXtal_BW#'!$A:$Z,23,FALSE)+VLOOKUP($A393,A:AL,34,FALSE)-50),"-",(VLOOKUP($A393,'SegEnds_NonXtal_BW#'!$A:$Z,23,FALSE)+VLOOKUP($A393,A:AL,34,FALSE)-50))</f>
        <v>259</v>
      </c>
      <c r="AH393" s="3">
        <v>278</v>
      </c>
      <c r="AI393" s="3">
        <f>IF(ISERROR((VLOOKUP($A393,'SegEnds_NonXtal_BW#'!$A:$Z,24,FALSE)+VLOOKUP($A393,A:AL,34,FALSE)-50)),"-",(VLOOKUP($A393,'SegEnds_NonXtal_BW#'!$A:$Z,24,FALSE)+VLOOKUP($A393,A:AL,34,FALSE)-50))</f>
        <v>284</v>
      </c>
      <c r="AJ393" s="3">
        <f>IF(ISERROR(VLOOKUP($A393,'SegEnds_NonXtal_BW#'!$A:$Z,25,FALSE)+VLOOKUP($A393,A:AL,37,FALSE)-50),"-",(VLOOKUP($A393,'SegEnds_NonXtal_BW#'!$A:$Z,25,FALSE)+VLOOKUP($A393,A:AL,37,FALSE)-50))</f>
        <v>285</v>
      </c>
      <c r="AK393" s="3">
        <v>288</v>
      </c>
      <c r="AL393" s="3">
        <f>IF(ISERROR((VLOOKUP($A393,'SegEnds_NonXtal_BW#'!$A:$Z,26,FALSE)+VLOOKUP($A393,A:AL,37,FALSE)-50)),"-",(VLOOKUP($A393,'SegEnds_NonXtal_BW#'!$A:$Z,26,FALSE)+VLOOKUP($A393,A:AL,37,FALSE)-50))</f>
        <v>298</v>
      </c>
      <c r="AM393" s="28" t="str">
        <f>VLOOKUP(A393,Classification!A:B,2,FALSE)</f>
        <v>T</v>
      </c>
      <c r="AN393" s="28" t="b">
        <f t="shared" si="220"/>
        <v>1</v>
      </c>
      <c r="AO393" s="3" t="str">
        <f>IF(ISERROR(MATCH(A393,'SegEnds_Xtal_Prot#'!B:B, 0)), "NoXtal", "Xtal")</f>
        <v>NoXtal</v>
      </c>
      <c r="AP393" s="3">
        <f t="shared" si="205"/>
        <v>1</v>
      </c>
      <c r="AQ393" s="3">
        <f t="shared" si="206"/>
        <v>1</v>
      </c>
      <c r="AR393" s="3" t="str">
        <f t="shared" si="207"/>
        <v>-</v>
      </c>
      <c r="AS393" s="3" t="str">
        <f t="shared" si="208"/>
        <v>-</v>
      </c>
      <c r="AT393" s="3">
        <f t="shared" si="209"/>
        <v>3</v>
      </c>
      <c r="AU393" s="3">
        <f t="shared" si="210"/>
        <v>1</v>
      </c>
      <c r="AV393" s="3" t="str">
        <f t="shared" si="211"/>
        <v>-</v>
      </c>
      <c r="AW393" s="3" t="str">
        <f t="shared" si="212"/>
        <v>-</v>
      </c>
      <c r="AX393" s="3">
        <f t="shared" si="213"/>
        <v>10</v>
      </c>
      <c r="AY393" s="3">
        <f t="shared" si="214"/>
        <v>5</v>
      </c>
      <c r="AZ393" s="3">
        <f t="shared" si="215"/>
        <v>1</v>
      </c>
      <c r="BA393" s="3">
        <f>IF(ISERROR(LEN(VLOOKUP(A393,Seqs!A:E,2,FALSE))-AL393),"-",LEN(VLOOKUP(A393,Seqs!A:E,2,FALSE))-AL393)</f>
        <v>5</v>
      </c>
      <c r="BB393" s="16">
        <f t="shared" si="216"/>
        <v>31</v>
      </c>
      <c r="BC393" s="9">
        <f t="shared" si="217"/>
        <v>20</v>
      </c>
      <c r="BD393" s="3">
        <f t="shared" si="218"/>
        <v>31</v>
      </c>
      <c r="BE393" s="3">
        <f t="shared" si="219"/>
        <v>53</v>
      </c>
      <c r="BF393" s="3">
        <f t="shared" si="253"/>
        <v>35</v>
      </c>
    </row>
    <row r="394" spans="1:58" s="3" customFormat="1" x14ac:dyDescent="0.2">
      <c r="A394" s="3" t="s">
        <v>452</v>
      </c>
      <c r="B394" s="3" t="str">
        <f>LOWER(VLOOKUP(A394,Xtal_Templ!A:B,2,FALSE))</f>
        <v>5ht2c_human</v>
      </c>
      <c r="C394" s="3">
        <f>VLOOKUP($A394,'SegEnds_NonXtal_BW#'!$A:$Z,3,FALSE)+D394-50</f>
        <v>6</v>
      </c>
      <c r="D394" s="3">
        <v>24</v>
      </c>
      <c r="E394" s="3">
        <f t="shared" si="248"/>
        <v>36</v>
      </c>
      <c r="F394" s="3">
        <f t="shared" si="249"/>
        <v>37</v>
      </c>
      <c r="G394" s="3">
        <v>39</v>
      </c>
      <c r="H394" s="3">
        <f t="shared" si="250"/>
        <v>40</v>
      </c>
      <c r="I394" s="3">
        <f t="shared" si="250"/>
        <v>41</v>
      </c>
      <c r="J394" s="3">
        <v>55</v>
      </c>
      <c r="K394" s="3">
        <f>VLOOKUP($A394,'SegEnds_NonXtal_BW#'!$A:$Z,8,FALSE)+VLOOKUP($A394,A:AL,10,FALSE)-50</f>
        <v>72</v>
      </c>
      <c r="L394" s="3" t="str">
        <f>IF(ISERROR(VLOOKUP($A394,'SegEnds_NonXtal_BW#'!$A:$Z,9,FALSE)+VLOOKUP($A394,A:AL,13,FALSE)-50),"-",(VLOOKUP($A394,'SegEnds_NonXtal_BW#'!$A:$Z,9,FALSE)+VLOOKUP($A394,A:AL,13,FALSE)-50))</f>
        <v>-</v>
      </c>
      <c r="M394" s="3" t="s">
        <v>23</v>
      </c>
      <c r="N394" s="3" t="str">
        <f>IF(ISERROR(VLOOKUP($A394,'SegEnds_NonXtal_BW#'!$A:$Z,10,FALSE)+VLOOKUP($A394,A:AL,13,FALSE)-50),"-",(VLOOKUP($A394,'SegEnds_NonXtal_BW#'!$A:$Z,10,FALSE)+VLOOKUP($A394,A:AL,13,FALSE)-50))</f>
        <v>-</v>
      </c>
      <c r="O394" s="3">
        <f>VLOOKUP($A394,'SegEnds_NonXtal_BW#'!$A:$Z,11,FALSE)+VLOOKUP($A394,A:AL,16,FALSE)-50</f>
        <v>78</v>
      </c>
      <c r="P394" s="3">
        <v>107</v>
      </c>
      <c r="Q394" s="3">
        <f>VLOOKUP($A394,'SegEnds_NonXtal_BW#'!$A:$Z,12,FALSE)+VLOOKUP($A394,A:AL,16,FALSE)-50</f>
        <v>113</v>
      </c>
      <c r="R394" s="3">
        <f t="shared" si="251"/>
        <v>116</v>
      </c>
      <c r="S394" s="3">
        <v>116</v>
      </c>
      <c r="T394" s="100">
        <f t="shared" si="252"/>
        <v>123</v>
      </c>
      <c r="U394" s="9">
        <f>IF(ISERROR(VLOOKUP($A394,'SegEnds_NonXtal_BW#'!$A:$Z,15,FALSE)+VLOOKUP($A394,A:AL,22,FALSE)-50),"-",VLOOKUP($A394,'SegEnds_NonXtal_BW#'!$A:$Z,15,FALSE)+VLOOKUP($A394,A:AL,22,FALSE)-50)</f>
        <v>124</v>
      </c>
      <c r="V394" s="3">
        <v>136</v>
      </c>
      <c r="W394" s="3">
        <f>IF(ISERROR(VLOOKUP($A394,'SegEnds_NonXtal_BW#'!$A:$Z,16,FALSE)+VLOOKUP($A394,A:AL,22,FALSE)-50),"-",(VLOOKUP($A394,'SegEnds_NonXtal_BW#'!$A:$Z,16,FALSE)+VLOOKUP($A394,A:AL,22,FALSE)-50))</f>
        <v>153</v>
      </c>
      <c r="X394" s="3" t="str">
        <f>IF(ISERROR(VLOOKUP($A394,'SegEnds_NonXtal_BW#'!$A:$Z,17,FALSE)+VLOOKUP($A394,A:AL,25,FALSE)-50),"-",(VLOOKUP($A394,'SegEnds_NonXtal_BW#'!$A:$Z,17,FALSE)+VLOOKUP($A394,A:AL,25,FALSE)-50))</f>
        <v>-</v>
      </c>
      <c r="Y394" s="3" t="s">
        <v>23</v>
      </c>
      <c r="Z394" s="3" t="str">
        <f>IF(ISERROR(VLOOKUP($A394,'SegEnds_NonXtal_BW#'!$A:$Z,18,FALSE)+VLOOKUP($A394,A:AL,25,FALSE)-50),"-",(VLOOKUP($A394,'SegEnds_NonXtal_BW#'!$A:$Z,18,FALSE)+VLOOKUP($A394,A:AL,25,FALSE)-50))</f>
        <v>-</v>
      </c>
      <c r="AA394" s="3">
        <f>IF(ISERROR(VLOOKUP($A394,'SegEnds_NonXtal_BW#'!$A:$Z,19,FALSE)+VLOOKUP($A394,A:AL,28,FALSE)-50),"-",(VLOOKUP($A394,'SegEnds_NonXtal_BW#'!$A:$Z,19,FALSE)+VLOOKUP($A394,A:AL,28,FALSE)-50))</f>
        <v>172</v>
      </c>
      <c r="AB394" s="3">
        <v>190</v>
      </c>
      <c r="AC394" s="3">
        <f>IF(ISERROR((VLOOKUP($A394,'SegEnds_NonXtal_BW#'!$A:$Z,20,FALSE)+VLOOKUP($A394,A:AL,28,FALSE)-50)),"-",(VLOOKUP($A394,'SegEnds_NonXtal_BW#'!$A:$Z,20,FALSE)+VLOOKUP($A394,A:AL,28,FALSE)-50))</f>
        <v>212</v>
      </c>
      <c r="AD394" s="3">
        <f>IF(ISERROR(VLOOKUP($A394,'SegEnds_NonXtal_BW#'!$A:$Z,21,FALSE)+VLOOKUP($A394,A:AL,31,FALSE)-50),"-",(VLOOKUP($A394,'SegEnds_NonXtal_BW#'!$A:$Z,21,FALSE)+VLOOKUP($A394,A:AL,31,FALSE)-50))</f>
        <v>221</v>
      </c>
      <c r="AE394" s="3">
        <v>242</v>
      </c>
      <c r="AF394" s="3">
        <f>IF(ISERROR((VLOOKUP($A394,'SegEnds_NonXtal_BW#'!$A:$Z,22,FALSE)+VLOOKUP($A394,A:AL,31,FALSE)-50)),"-",(VLOOKUP($A394,'SegEnds_NonXtal_BW#'!$A:$Z,22,FALSE)+VLOOKUP($A394,A:AL,31,FALSE)-50))</f>
        <v>253</v>
      </c>
      <c r="AG394" s="3">
        <f>IF(ISERROR(VLOOKUP($A394,'SegEnds_NonXtal_BW#'!$A:$Z,23,FALSE)+VLOOKUP($A394,A:AL,34,FALSE)-50),"-",(VLOOKUP($A394,'SegEnds_NonXtal_BW#'!$A:$Z,23,FALSE)+VLOOKUP($A394,A:AL,34,FALSE)-50))</f>
        <v>258</v>
      </c>
      <c r="AH394" s="3">
        <v>277</v>
      </c>
      <c r="AI394" s="3">
        <f>IF(ISERROR((VLOOKUP($A394,'SegEnds_NonXtal_BW#'!$A:$Z,24,FALSE)+VLOOKUP($A394,A:AL,34,FALSE)-50)),"-",(VLOOKUP($A394,'SegEnds_NonXtal_BW#'!$A:$Z,24,FALSE)+VLOOKUP($A394,A:AL,34,FALSE)-50))</f>
        <v>283</v>
      </c>
      <c r="AJ394" s="3">
        <f>IF(ISERROR(VLOOKUP($A394,'SegEnds_NonXtal_BW#'!$A:$Z,25,FALSE)+VLOOKUP($A394,A:AL,37,FALSE)-50),"-",(VLOOKUP($A394,'SegEnds_NonXtal_BW#'!$A:$Z,25,FALSE)+VLOOKUP($A394,A:AL,37,FALSE)-50))</f>
        <v>284</v>
      </c>
      <c r="AK394" s="3">
        <v>287</v>
      </c>
      <c r="AL394" s="3">
        <f>IF(ISERROR((VLOOKUP($A394,'SegEnds_NonXtal_BW#'!$A:$Z,26,FALSE)+VLOOKUP($A394,A:AL,37,FALSE)-50)),"-",(VLOOKUP($A394,'SegEnds_NonXtal_BW#'!$A:$Z,26,FALSE)+VLOOKUP($A394,A:AL,37,FALSE)-50))</f>
        <v>297</v>
      </c>
      <c r="AM394" s="28" t="str">
        <f>VLOOKUP(A394,Classification!A:B,2,FALSE)</f>
        <v>T</v>
      </c>
      <c r="AN394" s="28" t="b">
        <f t="shared" si="220"/>
        <v>1</v>
      </c>
      <c r="AO394" s="3" t="str">
        <f>IF(ISERROR(MATCH(A394,'SegEnds_Xtal_Prot#'!B:B, 0)), "NoXtal", "Xtal")</f>
        <v>NoXtal</v>
      </c>
      <c r="AP394" s="3">
        <f t="shared" si="205"/>
        <v>1</v>
      </c>
      <c r="AQ394" s="3">
        <f t="shared" si="206"/>
        <v>1</v>
      </c>
      <c r="AR394" s="3" t="str">
        <f t="shared" si="207"/>
        <v>-</v>
      </c>
      <c r="AS394" s="3" t="str">
        <f t="shared" si="208"/>
        <v>-</v>
      </c>
      <c r="AT394" s="3">
        <f t="shared" si="209"/>
        <v>3</v>
      </c>
      <c r="AU394" s="3">
        <f t="shared" si="210"/>
        <v>1</v>
      </c>
      <c r="AV394" s="3" t="str">
        <f t="shared" si="211"/>
        <v>-</v>
      </c>
      <c r="AW394" s="3" t="str">
        <f t="shared" si="212"/>
        <v>-</v>
      </c>
      <c r="AX394" s="3">
        <f t="shared" si="213"/>
        <v>9</v>
      </c>
      <c r="AY394" s="3">
        <f t="shared" si="214"/>
        <v>5</v>
      </c>
      <c r="AZ394" s="3">
        <f t="shared" si="215"/>
        <v>1</v>
      </c>
      <c r="BA394" s="3">
        <f>IF(ISERROR(LEN(VLOOKUP(A394,Seqs!A:E,2,FALSE))-AL394),"-",LEN(VLOOKUP(A394,Seqs!A:E,2,FALSE))-AL394)</f>
        <v>20</v>
      </c>
      <c r="BB394" s="16">
        <f t="shared" si="216"/>
        <v>31</v>
      </c>
      <c r="BC394" s="9">
        <f t="shared" si="217"/>
        <v>20</v>
      </c>
      <c r="BD394" s="3">
        <f t="shared" si="218"/>
        <v>31</v>
      </c>
      <c r="BE394" s="3">
        <f t="shared" si="219"/>
        <v>52</v>
      </c>
      <c r="BF394" s="3">
        <f t="shared" si="253"/>
        <v>35</v>
      </c>
    </row>
    <row r="395" spans="1:58" s="3" customFormat="1" x14ac:dyDescent="0.2">
      <c r="A395" s="3" t="s">
        <v>453</v>
      </c>
      <c r="B395" s="3" t="str">
        <f>LOWER(VLOOKUP(A395,Xtal_Templ!A:B,2,FALSE))</f>
        <v>pd2r2_human</v>
      </c>
      <c r="C395" s="3">
        <f>VLOOKUP($A395,'SegEnds_NonXtal_BW#'!$A:$Z,3,FALSE)+D395-50</f>
        <v>7</v>
      </c>
      <c r="D395" s="3">
        <v>25</v>
      </c>
      <c r="E395" s="3">
        <f t="shared" si="248"/>
        <v>37</v>
      </c>
      <c r="F395" s="3">
        <f t="shared" si="249"/>
        <v>38</v>
      </c>
      <c r="G395" s="3">
        <v>40</v>
      </c>
      <c r="H395" s="3">
        <f t="shared" si="250"/>
        <v>41</v>
      </c>
      <c r="I395" s="3">
        <f t="shared" si="250"/>
        <v>42</v>
      </c>
      <c r="J395" s="3">
        <v>56</v>
      </c>
      <c r="K395" s="3">
        <f>VLOOKUP($A395,'SegEnds_NonXtal_BW#'!$A:$Z,8,FALSE)+VLOOKUP($A395,A:AL,10,FALSE)-50</f>
        <v>72</v>
      </c>
      <c r="L395" s="3" t="str">
        <f>IF(ISERROR(VLOOKUP($A395,'SegEnds_NonXtal_BW#'!$A:$Z,9,FALSE)+VLOOKUP($A395,A:AL,13,FALSE)-50),"-",(VLOOKUP($A395,'SegEnds_NonXtal_BW#'!$A:$Z,9,FALSE)+VLOOKUP($A395,A:AL,13,FALSE)-50))</f>
        <v>-</v>
      </c>
      <c r="M395" s="3" t="s">
        <v>23</v>
      </c>
      <c r="N395" s="3" t="str">
        <f>IF(ISERROR(VLOOKUP($A395,'SegEnds_NonXtal_BW#'!$A:$Z,10,FALSE)+VLOOKUP($A395,A:AL,13,FALSE)-50),"-",(VLOOKUP($A395,'SegEnds_NonXtal_BW#'!$A:$Z,10,FALSE)+VLOOKUP($A395,A:AL,13,FALSE)-50))</f>
        <v>-</v>
      </c>
      <c r="O395" s="3">
        <f>VLOOKUP($A395,'SegEnds_NonXtal_BW#'!$A:$Z,11,FALSE)+VLOOKUP($A395,A:AL,16,FALSE)-50</f>
        <v>77</v>
      </c>
      <c r="P395" s="3">
        <v>103</v>
      </c>
      <c r="Q395" s="3">
        <f>VLOOKUP($A395,'SegEnds_NonXtal_BW#'!$A:$Z,12,FALSE)+VLOOKUP($A395,A:AL,16,FALSE)-50</f>
        <v>109</v>
      </c>
      <c r="R395" s="3">
        <f t="shared" si="251"/>
        <v>112</v>
      </c>
      <c r="S395" s="3">
        <v>112</v>
      </c>
      <c r="T395" s="100">
        <f t="shared" si="252"/>
        <v>119</v>
      </c>
      <c r="U395" s="9">
        <f>IF(ISERROR(VLOOKUP($A395,'SegEnds_NonXtal_BW#'!$A:$Z,15,FALSE)+VLOOKUP($A395,A:AL,22,FALSE)-50),"-",VLOOKUP($A395,'SegEnds_NonXtal_BW#'!$A:$Z,15,FALSE)+VLOOKUP($A395,A:AL,22,FALSE)-50)</f>
        <v>120</v>
      </c>
      <c r="V395" s="3">
        <v>132</v>
      </c>
      <c r="W395" s="3">
        <f>IF(ISERROR(VLOOKUP($A395,'SegEnds_NonXtal_BW#'!$A:$Z,16,FALSE)+VLOOKUP($A395,A:AL,22,FALSE)-50),"-",(VLOOKUP($A395,'SegEnds_NonXtal_BW#'!$A:$Z,16,FALSE)+VLOOKUP($A395,A:AL,22,FALSE)-50))</f>
        <v>146</v>
      </c>
      <c r="X395" s="3" t="str">
        <f>IF(ISERROR(VLOOKUP($A395,'SegEnds_NonXtal_BW#'!$A:$Z,17,FALSE)+VLOOKUP($A395,A:AL,25,FALSE)-50),"-",(VLOOKUP($A395,'SegEnds_NonXtal_BW#'!$A:$Z,17,FALSE)+VLOOKUP($A395,A:AL,25,FALSE)-50))</f>
        <v>-</v>
      </c>
      <c r="Y395" s="3" t="s">
        <v>23</v>
      </c>
      <c r="Z395" s="3" t="str">
        <f>IF(ISERROR(VLOOKUP($A395,'SegEnds_NonXtal_BW#'!$A:$Z,18,FALSE)+VLOOKUP($A395,A:AL,25,FALSE)-50),"-",(VLOOKUP($A395,'SegEnds_NonXtal_BW#'!$A:$Z,18,FALSE)+VLOOKUP($A395,A:AL,25,FALSE)-50))</f>
        <v>-</v>
      </c>
      <c r="AA395" s="3">
        <f>IF(ISERROR(VLOOKUP($A395,'SegEnds_NonXtal_BW#'!$A:$Z,19,FALSE)+VLOOKUP($A395,A:AL,28,FALSE)-50),"-",(VLOOKUP($A395,'SegEnds_NonXtal_BW#'!$A:$Z,19,FALSE)+VLOOKUP($A395,A:AL,28,FALSE)-50))</f>
        <v>170</v>
      </c>
      <c r="AB395" s="3">
        <v>188</v>
      </c>
      <c r="AC395" s="3">
        <f>IF(ISERROR((VLOOKUP($A395,'SegEnds_NonXtal_BW#'!$A:$Z,20,FALSE)+VLOOKUP($A395,A:AL,28,FALSE)-50)),"-",(VLOOKUP($A395,'SegEnds_NonXtal_BW#'!$A:$Z,20,FALSE)+VLOOKUP($A395,A:AL,28,FALSE)-50))</f>
        <v>210</v>
      </c>
      <c r="AD395" s="3">
        <f>IF(ISERROR(VLOOKUP($A395,'SegEnds_NonXtal_BW#'!$A:$Z,21,FALSE)+VLOOKUP($A395,A:AL,31,FALSE)-50),"-",(VLOOKUP($A395,'SegEnds_NonXtal_BW#'!$A:$Z,21,FALSE)+VLOOKUP($A395,A:AL,31,FALSE)-50))</f>
        <v>217</v>
      </c>
      <c r="AE395" s="3">
        <v>238</v>
      </c>
      <c r="AF395" s="3">
        <f>IF(ISERROR((VLOOKUP($A395,'SegEnds_NonXtal_BW#'!$A:$Z,22,FALSE)+VLOOKUP($A395,A:AL,31,FALSE)-50)),"-",(VLOOKUP($A395,'SegEnds_NonXtal_BW#'!$A:$Z,22,FALSE)+VLOOKUP($A395,A:AL,31,FALSE)-50))</f>
        <v>249</v>
      </c>
      <c r="AG395" s="3">
        <f>IF(ISERROR(VLOOKUP($A395,'SegEnds_NonXtal_BW#'!$A:$Z,23,FALSE)+VLOOKUP($A395,A:AL,34,FALSE)-50),"-",(VLOOKUP($A395,'SegEnds_NonXtal_BW#'!$A:$Z,23,FALSE)+VLOOKUP($A395,A:AL,34,FALSE)-50))</f>
        <v>254</v>
      </c>
      <c r="AH395" s="3">
        <v>273</v>
      </c>
      <c r="AI395" s="3">
        <f>IF(ISERROR((VLOOKUP($A395,'SegEnds_NonXtal_BW#'!$A:$Z,24,FALSE)+VLOOKUP($A395,A:AL,34,FALSE)-50)),"-",(VLOOKUP($A395,'SegEnds_NonXtal_BW#'!$A:$Z,24,FALSE)+VLOOKUP($A395,A:AL,34,FALSE)-50))</f>
        <v>279</v>
      </c>
      <c r="AJ395" s="3">
        <f>IF(ISERROR(VLOOKUP($A395,'SegEnds_NonXtal_BW#'!$A:$Z,25,FALSE)+VLOOKUP($A395,A:AL,37,FALSE)-50),"-",(VLOOKUP($A395,'SegEnds_NonXtal_BW#'!$A:$Z,25,FALSE)+VLOOKUP($A395,A:AL,37,FALSE)-50))</f>
        <v>280</v>
      </c>
      <c r="AK395" s="3">
        <v>283</v>
      </c>
      <c r="AL395" s="3">
        <v>291</v>
      </c>
      <c r="AM395" s="28" t="str">
        <f>VLOOKUP(A395,Classification!A:B,2,FALSE)</f>
        <v>T</v>
      </c>
      <c r="AN395" s="28" t="b">
        <f t="shared" si="220"/>
        <v>1</v>
      </c>
      <c r="AO395" s="3" t="str">
        <f>IF(ISERROR(MATCH(A395,'SegEnds_Xtal_Prot#'!B:B, 0)), "NoXtal", "Xtal")</f>
        <v>NoXtal</v>
      </c>
      <c r="AP395" s="3">
        <f t="shared" ref="AP395:AP416" si="254">IF(ISERROR(F395-E395),"-",F395-E395)</f>
        <v>1</v>
      </c>
      <c r="AQ395" s="3">
        <f t="shared" ref="AQ395:AQ416" si="255">IF(ISERROR(I395-H395),"-",I395-H395)</f>
        <v>1</v>
      </c>
      <c r="AR395" s="3" t="str">
        <f t="shared" ref="AR395:AR416" si="256">IF(ISERROR(L395-K395),"-",L395-K395)</f>
        <v>-</v>
      </c>
      <c r="AS395" s="3" t="str">
        <f t="shared" ref="AS395:AS416" si="257">IF(ISERROR(O395-N395),"-",O395-N395)</f>
        <v>-</v>
      </c>
      <c r="AT395" s="3">
        <f t="shared" ref="AT395:AT416" si="258">IF(ISERROR(R395-Q395),"-",R395-Q395)</f>
        <v>3</v>
      </c>
      <c r="AU395" s="3">
        <f t="shared" ref="AU395:AU416" si="259">IF(ISERROR(U395-T395),"-",U395-T395)</f>
        <v>1</v>
      </c>
      <c r="AV395" s="3" t="str">
        <f t="shared" ref="AV395:AV416" si="260">IF(ISERROR(X395-W395),"-",X395-W395)</f>
        <v>-</v>
      </c>
      <c r="AW395" s="3" t="str">
        <f t="shared" ref="AW395:AW416" si="261">IF(ISERROR(AA395-Z395),"-",AA395-Z395)</f>
        <v>-</v>
      </c>
      <c r="AX395" s="3">
        <f t="shared" ref="AX395:AX416" si="262">IF(ISERROR(AD395-AC395),"-",AD395-AC395)</f>
        <v>7</v>
      </c>
      <c r="AY395" s="3">
        <f t="shared" ref="AY395:AY416" si="263">IF(ISERROR(AG395-AF395),"-",AG395-AF395)</f>
        <v>5</v>
      </c>
      <c r="AZ395" s="3">
        <f t="shared" ref="AZ395:AZ416" si="264">IF(ISERROR(AJ395-AI395),"-",AJ395-AI395)</f>
        <v>1</v>
      </c>
      <c r="BA395" s="3">
        <f>IF(ISERROR(LEN(VLOOKUP(A395,Seqs!A:E,2,FALSE))-AL395),"-",LEN(VLOOKUP(A395,Seqs!A:E,2,FALSE))-AL395)</f>
        <v>0</v>
      </c>
      <c r="BB395" s="16">
        <f t="shared" ref="BB395:BB416" si="265">J395-D395</f>
        <v>31</v>
      </c>
      <c r="BC395" s="9">
        <f t="shared" ref="BC395:BC416" si="266">IF(ISERROR(V395-S395),"-",V395-S395)</f>
        <v>20</v>
      </c>
      <c r="BD395" s="3">
        <f t="shared" ref="BD395:BD416" si="267">J395-D395</f>
        <v>31</v>
      </c>
      <c r="BE395" s="3">
        <f t="shared" ref="BE395:BE416" si="268">AE395-AB395</f>
        <v>50</v>
      </c>
      <c r="BF395" s="3">
        <f t="shared" si="253"/>
        <v>35</v>
      </c>
    </row>
    <row r="396" spans="1:58" s="3" customFormat="1" x14ac:dyDescent="0.2">
      <c r="A396" s="3" t="s">
        <v>454</v>
      </c>
      <c r="B396" s="3" t="str">
        <f>LOWER(VLOOKUP(A396,Xtal_Templ!A:B,2,FALSE))</f>
        <v>5ht2c_human</v>
      </c>
      <c r="C396" s="3">
        <f>VLOOKUP($A396,'SegEnds_NonXtal_BW#'!$A:$Z,3,FALSE)+D396-50</f>
        <v>6</v>
      </c>
      <c r="D396" s="3">
        <v>24</v>
      </c>
      <c r="E396" s="3">
        <f t="shared" si="248"/>
        <v>36</v>
      </c>
      <c r="F396" s="3">
        <f t="shared" si="249"/>
        <v>37</v>
      </c>
      <c r="G396" s="3">
        <v>39</v>
      </c>
      <c r="H396" s="3">
        <f t="shared" si="250"/>
        <v>40</v>
      </c>
      <c r="I396" s="3">
        <f t="shared" si="250"/>
        <v>41</v>
      </c>
      <c r="J396" s="3">
        <v>55</v>
      </c>
      <c r="K396" s="3">
        <f>VLOOKUP($A396,'SegEnds_NonXtal_BW#'!$A:$Z,8,FALSE)+VLOOKUP($A396,A:AL,10,FALSE)-50</f>
        <v>71</v>
      </c>
      <c r="L396" s="3" t="str">
        <f>IF(ISERROR(VLOOKUP($A396,'SegEnds_NonXtal_BW#'!$A:$Z,9,FALSE)+VLOOKUP($A396,A:AL,13,FALSE)-50),"-",(VLOOKUP($A396,'SegEnds_NonXtal_BW#'!$A:$Z,9,FALSE)+VLOOKUP($A396,A:AL,13,FALSE)-50))</f>
        <v>-</v>
      </c>
      <c r="M396" s="3" t="s">
        <v>23</v>
      </c>
      <c r="N396" s="3" t="str">
        <f>IF(ISERROR(VLOOKUP($A396,'SegEnds_NonXtal_BW#'!$A:$Z,10,FALSE)+VLOOKUP($A396,A:AL,13,FALSE)-50),"-",(VLOOKUP($A396,'SegEnds_NonXtal_BW#'!$A:$Z,10,FALSE)+VLOOKUP($A396,A:AL,13,FALSE)-50))</f>
        <v>-</v>
      </c>
      <c r="O396" s="3">
        <f>VLOOKUP($A396,'SegEnds_NonXtal_BW#'!$A:$Z,11,FALSE)+VLOOKUP($A396,A:AL,16,FALSE)-50</f>
        <v>77</v>
      </c>
      <c r="P396" s="3">
        <v>106</v>
      </c>
      <c r="Q396" s="3">
        <f>VLOOKUP($A396,'SegEnds_NonXtal_BW#'!$A:$Z,12,FALSE)+VLOOKUP($A396,A:AL,16,FALSE)-50</f>
        <v>112</v>
      </c>
      <c r="R396" s="3">
        <f t="shared" si="251"/>
        <v>115</v>
      </c>
      <c r="S396" s="3">
        <v>115</v>
      </c>
      <c r="T396" s="100">
        <f t="shared" si="252"/>
        <v>122</v>
      </c>
      <c r="U396" s="9">
        <f>IF(ISERROR(VLOOKUP($A396,'SegEnds_NonXtal_BW#'!$A:$Z,15,FALSE)+VLOOKUP($A396,A:AL,22,FALSE)-50),"-",VLOOKUP($A396,'SegEnds_NonXtal_BW#'!$A:$Z,15,FALSE)+VLOOKUP($A396,A:AL,22,FALSE)-50)</f>
        <v>123</v>
      </c>
      <c r="V396" s="3">
        <v>135</v>
      </c>
      <c r="W396" s="3">
        <f>IF(ISERROR(VLOOKUP($A396,'SegEnds_NonXtal_BW#'!$A:$Z,16,FALSE)+VLOOKUP($A396,A:AL,22,FALSE)-50),"-",(VLOOKUP($A396,'SegEnds_NonXtal_BW#'!$A:$Z,16,FALSE)+VLOOKUP($A396,A:AL,22,FALSE)-50))</f>
        <v>152</v>
      </c>
      <c r="X396" s="3" t="str">
        <f>IF(ISERROR(VLOOKUP($A396,'SegEnds_NonXtal_BW#'!$A:$Z,17,FALSE)+VLOOKUP($A396,A:AL,25,FALSE)-50),"-",(VLOOKUP($A396,'SegEnds_NonXtal_BW#'!$A:$Z,17,FALSE)+VLOOKUP($A396,A:AL,25,FALSE)-50))</f>
        <v>-</v>
      </c>
      <c r="Y396" s="3" t="s">
        <v>23</v>
      </c>
      <c r="Z396" s="3" t="str">
        <f>IF(ISERROR(VLOOKUP($A396,'SegEnds_NonXtal_BW#'!$A:$Z,18,FALSE)+VLOOKUP($A396,A:AL,25,FALSE)-50),"-",(VLOOKUP($A396,'SegEnds_NonXtal_BW#'!$A:$Z,18,FALSE)+VLOOKUP($A396,A:AL,25,FALSE)-50))</f>
        <v>-</v>
      </c>
      <c r="AA396" s="3">
        <f>IF(ISERROR(VLOOKUP($A396,'SegEnds_NonXtal_BW#'!$A:$Z,19,FALSE)+VLOOKUP($A396,A:AL,28,FALSE)-50),"-",(VLOOKUP($A396,'SegEnds_NonXtal_BW#'!$A:$Z,19,FALSE)+VLOOKUP($A396,A:AL,28,FALSE)-50))</f>
        <v>169</v>
      </c>
      <c r="AB396" s="3">
        <v>187</v>
      </c>
      <c r="AC396" s="3">
        <f>IF(ISERROR((VLOOKUP($A396,'SegEnds_NonXtal_BW#'!$A:$Z,20,FALSE)+VLOOKUP($A396,A:AL,28,FALSE)-50)),"-",(VLOOKUP($A396,'SegEnds_NonXtal_BW#'!$A:$Z,20,FALSE)+VLOOKUP($A396,A:AL,28,FALSE)-50))</f>
        <v>209</v>
      </c>
      <c r="AD396" s="3">
        <f>IF(ISERROR(VLOOKUP($A396,'SegEnds_NonXtal_BW#'!$A:$Z,21,FALSE)+VLOOKUP($A396,A:AL,31,FALSE)-50),"-",(VLOOKUP($A396,'SegEnds_NonXtal_BW#'!$A:$Z,21,FALSE)+VLOOKUP($A396,A:AL,31,FALSE)-50))</f>
        <v>219</v>
      </c>
      <c r="AE396" s="3">
        <v>240</v>
      </c>
      <c r="AF396" s="3">
        <f>IF(ISERROR((VLOOKUP($A396,'SegEnds_NonXtal_BW#'!$A:$Z,22,FALSE)+VLOOKUP($A396,A:AL,31,FALSE)-50)),"-",(VLOOKUP($A396,'SegEnds_NonXtal_BW#'!$A:$Z,22,FALSE)+VLOOKUP($A396,A:AL,31,FALSE)-50))</f>
        <v>251</v>
      </c>
      <c r="AG396" s="3">
        <f>IF(ISERROR(VLOOKUP($A396,'SegEnds_NonXtal_BW#'!$A:$Z,23,FALSE)+VLOOKUP($A396,A:AL,34,FALSE)-50),"-",(VLOOKUP($A396,'SegEnds_NonXtal_BW#'!$A:$Z,23,FALSE)+VLOOKUP($A396,A:AL,34,FALSE)-50))</f>
        <v>257</v>
      </c>
      <c r="AH396" s="3">
        <v>276</v>
      </c>
      <c r="AI396" s="3">
        <f>IF(ISERROR((VLOOKUP($A396,'SegEnds_NonXtal_BW#'!$A:$Z,24,FALSE)+VLOOKUP($A396,A:AL,34,FALSE)-50)),"-",(VLOOKUP($A396,'SegEnds_NonXtal_BW#'!$A:$Z,24,FALSE)+VLOOKUP($A396,A:AL,34,FALSE)-50))</f>
        <v>282</v>
      </c>
      <c r="AJ396" s="3">
        <f>IF(ISERROR(VLOOKUP($A396,'SegEnds_NonXtal_BW#'!$A:$Z,25,FALSE)+VLOOKUP($A396,A:AL,37,FALSE)-50),"-",(VLOOKUP($A396,'SegEnds_NonXtal_BW#'!$A:$Z,25,FALSE)+VLOOKUP($A396,A:AL,37,FALSE)-50))</f>
        <v>283</v>
      </c>
      <c r="AK396" s="3">
        <v>286</v>
      </c>
      <c r="AL396" s="3">
        <f>IF(ISERROR((VLOOKUP($A396,'SegEnds_NonXtal_BW#'!$A:$Z,26,FALSE)+VLOOKUP($A396,A:AL,37,FALSE)-50)),"-",(VLOOKUP($A396,'SegEnds_NonXtal_BW#'!$A:$Z,26,FALSE)+VLOOKUP($A396,A:AL,37,FALSE)-50))</f>
        <v>296</v>
      </c>
      <c r="AM396" s="28" t="str">
        <f>VLOOKUP(A396,Classification!A:B,2,FALSE)</f>
        <v>T</v>
      </c>
      <c r="AN396" s="28" t="b">
        <f t="shared" ref="AN396:AN416" si="269">AND(IF(Y396="-",IF(AA396-W396&gt;3,TRUE,FALSE),TRUE),IF(M396="-",IF(O396-K396&gt;3,TRUE,FALSE),TRUE),IF(AG396-AF396&gt;1,TRUE,FALSE),C396&lt;E396,OR(E396&lt;F396,F396="-"),OR(F396&lt;H396,F396="-"),OR(H396&lt;I396,H396="-"),I396&lt;K396,OR(K396&lt;L396,L396="-"),OR(L396&lt;N396,L396="-"),OR(N396&lt;O396,N396="-"),O396&lt;Q396,OR(Q396&lt;R396,R396="-"),OR(R396&lt;T396,R396="-"),OR(T396&lt;U396,T396="-"),U396&lt;W396,OR(W396&lt;X396,X396="-"),OR(X396&lt;Z396,X396="-"),OR(Z396&lt;AA396,Z396="-"),AA396&lt;AC396,AC396&lt;AD396,AD396&lt;AF396,AF396&lt;AG396,AG396&lt;AI396,OR(AI396&lt;AJ396,AJ396="-"),OR(AJ396&lt;AL396,AJ396="-"))</f>
        <v>1</v>
      </c>
      <c r="AO396" s="3" t="str">
        <f>IF(ISERROR(MATCH(A396,'SegEnds_Xtal_Prot#'!B:B, 0)), "NoXtal", "Xtal")</f>
        <v>NoXtal</v>
      </c>
      <c r="AP396" s="3">
        <f t="shared" si="254"/>
        <v>1</v>
      </c>
      <c r="AQ396" s="3">
        <f t="shared" si="255"/>
        <v>1</v>
      </c>
      <c r="AR396" s="3" t="str">
        <f t="shared" si="256"/>
        <v>-</v>
      </c>
      <c r="AS396" s="3" t="str">
        <f t="shared" si="257"/>
        <v>-</v>
      </c>
      <c r="AT396" s="3">
        <f t="shared" si="258"/>
        <v>3</v>
      </c>
      <c r="AU396" s="3">
        <f t="shared" si="259"/>
        <v>1</v>
      </c>
      <c r="AV396" s="3" t="str">
        <f t="shared" si="260"/>
        <v>-</v>
      </c>
      <c r="AW396" s="3" t="str">
        <f t="shared" si="261"/>
        <v>-</v>
      </c>
      <c r="AX396" s="3">
        <f t="shared" si="262"/>
        <v>10</v>
      </c>
      <c r="AY396" s="3">
        <f t="shared" si="263"/>
        <v>6</v>
      </c>
      <c r="AZ396" s="3">
        <f t="shared" si="264"/>
        <v>1</v>
      </c>
      <c r="BA396" s="3">
        <f>IF(ISERROR(LEN(VLOOKUP(A396,Seqs!A:E,2,FALSE))-AL396),"-",LEN(VLOOKUP(A396,Seqs!A:E,2,FALSE))-AL396)</f>
        <v>3</v>
      </c>
      <c r="BB396" s="16">
        <f t="shared" si="265"/>
        <v>31</v>
      </c>
      <c r="BC396" s="9">
        <f t="shared" si="266"/>
        <v>20</v>
      </c>
      <c r="BD396" s="3">
        <f t="shared" si="267"/>
        <v>31</v>
      </c>
      <c r="BE396" s="3">
        <f t="shared" si="268"/>
        <v>53</v>
      </c>
      <c r="BF396" s="3">
        <f t="shared" si="253"/>
        <v>36</v>
      </c>
    </row>
    <row r="397" spans="1:58" s="3" customFormat="1" x14ac:dyDescent="0.2">
      <c r="A397" s="3" t="s">
        <v>455</v>
      </c>
      <c r="B397" s="3" t="str">
        <f>LOWER(VLOOKUP(A397,Xtal_Templ!A:B,2,FALSE))</f>
        <v>5ht2c_human</v>
      </c>
      <c r="C397" s="3">
        <f>VLOOKUP($A397,'SegEnds_NonXtal_BW#'!$A:$Z,3,FALSE)+D397-50</f>
        <v>6</v>
      </c>
      <c r="D397" s="3">
        <v>24</v>
      </c>
      <c r="E397" s="3">
        <f t="shared" si="248"/>
        <v>36</v>
      </c>
      <c r="F397" s="3">
        <f t="shared" si="249"/>
        <v>37</v>
      </c>
      <c r="G397" s="3">
        <v>39</v>
      </c>
      <c r="H397" s="3">
        <f t="shared" si="250"/>
        <v>40</v>
      </c>
      <c r="I397" s="3">
        <f t="shared" si="250"/>
        <v>41</v>
      </c>
      <c r="J397" s="3">
        <v>55</v>
      </c>
      <c r="K397" s="3">
        <f>VLOOKUP($A397,'SegEnds_NonXtal_BW#'!$A:$Z,8,FALSE)+VLOOKUP($A397,A:AL,10,FALSE)-50</f>
        <v>71</v>
      </c>
      <c r="L397" s="3" t="str">
        <f>IF(ISERROR(VLOOKUP($A397,'SegEnds_NonXtal_BW#'!$A:$Z,9,FALSE)+VLOOKUP($A397,A:AL,13,FALSE)-50),"-",(VLOOKUP($A397,'SegEnds_NonXtal_BW#'!$A:$Z,9,FALSE)+VLOOKUP($A397,A:AL,13,FALSE)-50))</f>
        <v>-</v>
      </c>
      <c r="M397" s="3" t="s">
        <v>23</v>
      </c>
      <c r="N397" s="3" t="str">
        <f>IF(ISERROR(VLOOKUP($A397,'SegEnds_NonXtal_BW#'!$A:$Z,10,FALSE)+VLOOKUP($A397,A:AL,13,FALSE)-50),"-",(VLOOKUP($A397,'SegEnds_NonXtal_BW#'!$A:$Z,10,FALSE)+VLOOKUP($A397,A:AL,13,FALSE)-50))</f>
        <v>-</v>
      </c>
      <c r="O397" s="3">
        <f>VLOOKUP($A397,'SegEnds_NonXtal_BW#'!$A:$Z,11,FALSE)+VLOOKUP($A397,A:AL,16,FALSE)-50</f>
        <v>77</v>
      </c>
      <c r="P397" s="3">
        <v>106</v>
      </c>
      <c r="Q397" s="3">
        <f>VLOOKUP($A397,'SegEnds_NonXtal_BW#'!$A:$Z,12,FALSE)+VLOOKUP($A397,A:AL,16,FALSE)-50</f>
        <v>112</v>
      </c>
      <c r="R397" s="3">
        <f t="shared" si="251"/>
        <v>115</v>
      </c>
      <c r="S397" s="3">
        <v>115</v>
      </c>
      <c r="T397" s="100">
        <f t="shared" si="252"/>
        <v>122</v>
      </c>
      <c r="U397" s="9">
        <f>IF(ISERROR(VLOOKUP($A397,'SegEnds_NonXtal_BW#'!$A:$Z,15,FALSE)+VLOOKUP($A397,A:AL,22,FALSE)-50),"-",VLOOKUP($A397,'SegEnds_NonXtal_BW#'!$A:$Z,15,FALSE)+VLOOKUP($A397,A:AL,22,FALSE)-50)</f>
        <v>123</v>
      </c>
      <c r="V397" s="3">
        <v>135</v>
      </c>
      <c r="W397" s="3">
        <f>IF(ISERROR(VLOOKUP($A397,'SegEnds_NonXtal_BW#'!$A:$Z,16,FALSE)+VLOOKUP($A397,A:AL,22,FALSE)-50),"-",(VLOOKUP($A397,'SegEnds_NonXtal_BW#'!$A:$Z,16,FALSE)+VLOOKUP($A397,A:AL,22,FALSE)-50))</f>
        <v>152</v>
      </c>
      <c r="X397" s="3" t="str">
        <f>IF(ISERROR(VLOOKUP($A397,'SegEnds_NonXtal_BW#'!$A:$Z,17,FALSE)+VLOOKUP($A397,A:AL,25,FALSE)-50),"-",(VLOOKUP($A397,'SegEnds_NonXtal_BW#'!$A:$Z,17,FALSE)+VLOOKUP($A397,A:AL,25,FALSE)-50))</f>
        <v>-</v>
      </c>
      <c r="Y397" s="3" t="s">
        <v>23</v>
      </c>
      <c r="Z397" s="3" t="str">
        <f>IF(ISERROR(VLOOKUP($A397,'SegEnds_NonXtal_BW#'!$A:$Z,18,FALSE)+VLOOKUP($A397,A:AL,25,FALSE)-50),"-",(VLOOKUP($A397,'SegEnds_NonXtal_BW#'!$A:$Z,18,FALSE)+VLOOKUP($A397,A:AL,25,FALSE)-50))</f>
        <v>-</v>
      </c>
      <c r="AA397" s="3">
        <f>IF(ISERROR(VLOOKUP($A397,'SegEnds_NonXtal_BW#'!$A:$Z,19,FALSE)+VLOOKUP($A397,A:AL,28,FALSE)-50),"-",(VLOOKUP($A397,'SegEnds_NonXtal_BW#'!$A:$Z,19,FALSE)+VLOOKUP($A397,A:AL,28,FALSE)-50))</f>
        <v>169</v>
      </c>
      <c r="AB397" s="3">
        <v>187</v>
      </c>
      <c r="AC397" s="3">
        <f>IF(ISERROR((VLOOKUP($A397,'SegEnds_NonXtal_BW#'!$A:$Z,20,FALSE)+VLOOKUP($A397,A:AL,28,FALSE)-50)),"-",(VLOOKUP($A397,'SegEnds_NonXtal_BW#'!$A:$Z,20,FALSE)+VLOOKUP($A397,A:AL,28,FALSE)-50))</f>
        <v>209</v>
      </c>
      <c r="AD397" s="3">
        <f>IF(ISERROR(VLOOKUP($A397,'SegEnds_NonXtal_BW#'!$A:$Z,21,FALSE)+VLOOKUP($A397,A:AL,31,FALSE)-50),"-",(VLOOKUP($A397,'SegEnds_NonXtal_BW#'!$A:$Z,21,FALSE)+VLOOKUP($A397,A:AL,31,FALSE)-50))</f>
        <v>219</v>
      </c>
      <c r="AE397" s="3">
        <v>240</v>
      </c>
      <c r="AF397" s="3">
        <f>IF(ISERROR((VLOOKUP($A397,'SegEnds_NonXtal_BW#'!$A:$Z,22,FALSE)+VLOOKUP($A397,A:AL,31,FALSE)-50)),"-",(VLOOKUP($A397,'SegEnds_NonXtal_BW#'!$A:$Z,22,FALSE)+VLOOKUP($A397,A:AL,31,FALSE)-50))</f>
        <v>251</v>
      </c>
      <c r="AG397" s="3">
        <f>IF(ISERROR(VLOOKUP($A397,'SegEnds_NonXtal_BW#'!$A:$Z,23,FALSE)+VLOOKUP($A397,A:AL,34,FALSE)-50),"-",(VLOOKUP($A397,'SegEnds_NonXtal_BW#'!$A:$Z,23,FALSE)+VLOOKUP($A397,A:AL,34,FALSE)-50))</f>
        <v>257</v>
      </c>
      <c r="AH397" s="3">
        <v>276</v>
      </c>
      <c r="AI397" s="3">
        <f>IF(ISERROR((VLOOKUP($A397,'SegEnds_NonXtal_BW#'!$A:$Z,24,FALSE)+VLOOKUP($A397,A:AL,34,FALSE)-50)),"-",(VLOOKUP($A397,'SegEnds_NonXtal_BW#'!$A:$Z,24,FALSE)+VLOOKUP($A397,A:AL,34,FALSE)-50))</f>
        <v>282</v>
      </c>
      <c r="AJ397" s="3">
        <f>IF(ISERROR(VLOOKUP($A397,'SegEnds_NonXtal_BW#'!$A:$Z,25,FALSE)+VLOOKUP($A397,A:AL,37,FALSE)-50),"-",(VLOOKUP($A397,'SegEnds_NonXtal_BW#'!$A:$Z,25,FALSE)+VLOOKUP($A397,A:AL,37,FALSE)-50))</f>
        <v>283</v>
      </c>
      <c r="AK397" s="3">
        <v>286</v>
      </c>
      <c r="AL397" s="3">
        <f>IF(ISERROR((VLOOKUP($A397,'SegEnds_NonXtal_BW#'!$A:$Z,26,FALSE)+VLOOKUP($A397,A:AL,37,FALSE)-50)),"-",(VLOOKUP($A397,'SegEnds_NonXtal_BW#'!$A:$Z,26,FALSE)+VLOOKUP($A397,A:AL,37,FALSE)-50))</f>
        <v>296</v>
      </c>
      <c r="AM397" s="28" t="str">
        <f>VLOOKUP(A397,Classification!A:B,2,FALSE)</f>
        <v>T</v>
      </c>
      <c r="AN397" s="28" t="b">
        <f t="shared" si="269"/>
        <v>1</v>
      </c>
      <c r="AO397" s="3" t="str">
        <f>IF(ISERROR(MATCH(A397,'SegEnds_Xtal_Prot#'!B:B, 0)), "NoXtal", "Xtal")</f>
        <v>NoXtal</v>
      </c>
      <c r="AP397" s="3">
        <f t="shared" si="254"/>
        <v>1</v>
      </c>
      <c r="AQ397" s="3">
        <f t="shared" si="255"/>
        <v>1</v>
      </c>
      <c r="AR397" s="3" t="str">
        <f t="shared" si="256"/>
        <v>-</v>
      </c>
      <c r="AS397" s="3" t="str">
        <f t="shared" si="257"/>
        <v>-</v>
      </c>
      <c r="AT397" s="3">
        <f t="shared" si="258"/>
        <v>3</v>
      </c>
      <c r="AU397" s="3">
        <f t="shared" si="259"/>
        <v>1</v>
      </c>
      <c r="AV397" s="3" t="str">
        <f t="shared" si="260"/>
        <v>-</v>
      </c>
      <c r="AW397" s="3" t="str">
        <f t="shared" si="261"/>
        <v>-</v>
      </c>
      <c r="AX397" s="3">
        <f t="shared" si="262"/>
        <v>10</v>
      </c>
      <c r="AY397" s="3">
        <f t="shared" si="263"/>
        <v>6</v>
      </c>
      <c r="AZ397" s="3">
        <f t="shared" si="264"/>
        <v>1</v>
      </c>
      <c r="BA397" s="3">
        <f>IF(ISERROR(LEN(VLOOKUP(A397,Seqs!A:E,2,FALSE))-AL397),"-",LEN(VLOOKUP(A397,Seqs!A:E,2,FALSE))-AL397)</f>
        <v>13</v>
      </c>
      <c r="BB397" s="16">
        <f t="shared" si="265"/>
        <v>31</v>
      </c>
      <c r="BC397" s="9">
        <f t="shared" si="266"/>
        <v>20</v>
      </c>
      <c r="BD397" s="3">
        <f t="shared" si="267"/>
        <v>31</v>
      </c>
      <c r="BE397" s="3">
        <f t="shared" si="268"/>
        <v>53</v>
      </c>
      <c r="BF397" s="3">
        <f t="shared" si="253"/>
        <v>36</v>
      </c>
    </row>
    <row r="398" spans="1:58" s="3" customFormat="1" x14ac:dyDescent="0.2">
      <c r="A398" s="3" t="s">
        <v>456</v>
      </c>
      <c r="B398" s="3" t="str">
        <f>LOWER(VLOOKUP(A398,Xtal_Templ!A:B,2,FALSE))</f>
        <v>5ht2c_human</v>
      </c>
      <c r="C398" s="3">
        <f>VLOOKUP($A398,'SegEnds_NonXtal_BW#'!$A:$Z,3,FALSE)+D398-50</f>
        <v>6</v>
      </c>
      <c r="D398" s="3">
        <v>24</v>
      </c>
      <c r="E398" s="3">
        <f t="shared" si="248"/>
        <v>36</v>
      </c>
      <c r="F398" s="3">
        <f t="shared" si="249"/>
        <v>37</v>
      </c>
      <c r="G398" s="3">
        <v>39</v>
      </c>
      <c r="H398" s="3">
        <f t="shared" si="250"/>
        <v>40</v>
      </c>
      <c r="I398" s="3">
        <f t="shared" si="250"/>
        <v>41</v>
      </c>
      <c r="J398" s="3">
        <v>55</v>
      </c>
      <c r="K398" s="3">
        <f>VLOOKUP($A398,'SegEnds_NonXtal_BW#'!$A:$Z,8,FALSE)+VLOOKUP($A398,A:AL,10,FALSE)-50</f>
        <v>71</v>
      </c>
      <c r="L398" s="3" t="str">
        <f>IF(ISERROR(VLOOKUP($A398,'SegEnds_NonXtal_BW#'!$A:$Z,9,FALSE)+VLOOKUP($A398,A:AL,13,FALSE)-50),"-",(VLOOKUP($A398,'SegEnds_NonXtal_BW#'!$A:$Z,9,FALSE)+VLOOKUP($A398,A:AL,13,FALSE)-50))</f>
        <v>-</v>
      </c>
      <c r="M398" s="3" t="s">
        <v>23</v>
      </c>
      <c r="N398" s="3" t="str">
        <f>IF(ISERROR(VLOOKUP($A398,'SegEnds_NonXtal_BW#'!$A:$Z,10,FALSE)+VLOOKUP($A398,A:AL,13,FALSE)-50),"-",(VLOOKUP($A398,'SegEnds_NonXtal_BW#'!$A:$Z,10,FALSE)+VLOOKUP($A398,A:AL,13,FALSE)-50))</f>
        <v>-</v>
      </c>
      <c r="O398" s="3">
        <f>VLOOKUP($A398,'SegEnds_NonXtal_BW#'!$A:$Z,11,FALSE)+VLOOKUP($A398,A:AL,16,FALSE)-50</f>
        <v>77</v>
      </c>
      <c r="P398" s="3">
        <v>106</v>
      </c>
      <c r="Q398" s="3">
        <f>VLOOKUP($A398,'SegEnds_NonXtal_BW#'!$A:$Z,12,FALSE)+VLOOKUP($A398,A:AL,16,FALSE)-50</f>
        <v>112</v>
      </c>
      <c r="R398" s="3">
        <f t="shared" si="251"/>
        <v>115</v>
      </c>
      <c r="S398" s="3">
        <v>115</v>
      </c>
      <c r="T398" s="100">
        <f t="shared" si="252"/>
        <v>122</v>
      </c>
      <c r="U398" s="9">
        <f>IF(ISERROR(VLOOKUP($A398,'SegEnds_NonXtal_BW#'!$A:$Z,15,FALSE)+VLOOKUP($A398,A:AL,22,FALSE)-50),"-",VLOOKUP($A398,'SegEnds_NonXtal_BW#'!$A:$Z,15,FALSE)+VLOOKUP($A398,A:AL,22,FALSE)-50)</f>
        <v>123</v>
      </c>
      <c r="V398" s="3">
        <v>135</v>
      </c>
      <c r="W398" s="3">
        <f>IF(ISERROR(VLOOKUP($A398,'SegEnds_NonXtal_BW#'!$A:$Z,16,FALSE)+VLOOKUP($A398,A:AL,22,FALSE)-50),"-",(VLOOKUP($A398,'SegEnds_NonXtal_BW#'!$A:$Z,16,FALSE)+VLOOKUP($A398,A:AL,22,FALSE)-50))</f>
        <v>152</v>
      </c>
      <c r="X398" s="3" t="str">
        <f>IF(ISERROR(VLOOKUP($A398,'SegEnds_NonXtal_BW#'!$A:$Z,17,FALSE)+VLOOKUP($A398,A:AL,25,FALSE)-50),"-",(VLOOKUP($A398,'SegEnds_NonXtal_BW#'!$A:$Z,17,FALSE)+VLOOKUP($A398,A:AL,25,FALSE)-50))</f>
        <v>-</v>
      </c>
      <c r="Y398" s="3" t="s">
        <v>23</v>
      </c>
      <c r="Z398" s="3" t="str">
        <f>IF(ISERROR(VLOOKUP($A398,'SegEnds_NonXtal_BW#'!$A:$Z,18,FALSE)+VLOOKUP($A398,A:AL,25,FALSE)-50),"-",(VLOOKUP($A398,'SegEnds_NonXtal_BW#'!$A:$Z,18,FALSE)+VLOOKUP($A398,A:AL,25,FALSE)-50))</f>
        <v>-</v>
      </c>
      <c r="AA398" s="3">
        <f>IF(ISERROR(VLOOKUP($A398,'SegEnds_NonXtal_BW#'!$A:$Z,19,FALSE)+VLOOKUP($A398,A:AL,28,FALSE)-50),"-",(VLOOKUP($A398,'SegEnds_NonXtal_BW#'!$A:$Z,19,FALSE)+VLOOKUP($A398,A:AL,28,FALSE)-50))</f>
        <v>169</v>
      </c>
      <c r="AB398" s="3">
        <v>187</v>
      </c>
      <c r="AC398" s="3">
        <f>IF(ISERROR((VLOOKUP($A398,'SegEnds_NonXtal_BW#'!$A:$Z,20,FALSE)+VLOOKUP($A398,A:AL,28,FALSE)-50)),"-",(VLOOKUP($A398,'SegEnds_NonXtal_BW#'!$A:$Z,20,FALSE)+VLOOKUP($A398,A:AL,28,FALSE)-50))</f>
        <v>209</v>
      </c>
      <c r="AD398" s="3">
        <f>IF(ISERROR(VLOOKUP($A398,'SegEnds_NonXtal_BW#'!$A:$Z,21,FALSE)+VLOOKUP($A398,A:AL,31,FALSE)-50),"-",(VLOOKUP($A398,'SegEnds_NonXtal_BW#'!$A:$Z,21,FALSE)+VLOOKUP($A398,A:AL,31,FALSE)-50))</f>
        <v>219</v>
      </c>
      <c r="AE398" s="3">
        <v>240</v>
      </c>
      <c r="AF398" s="3">
        <f>IF(ISERROR((VLOOKUP($A398,'SegEnds_NonXtal_BW#'!$A:$Z,22,FALSE)+VLOOKUP($A398,A:AL,31,FALSE)-50)),"-",(VLOOKUP($A398,'SegEnds_NonXtal_BW#'!$A:$Z,22,FALSE)+VLOOKUP($A398,A:AL,31,FALSE)-50))</f>
        <v>251</v>
      </c>
      <c r="AG398" s="3">
        <f>IF(ISERROR(VLOOKUP($A398,'SegEnds_NonXtal_BW#'!$A:$Z,23,FALSE)+VLOOKUP($A398,A:AL,34,FALSE)-50),"-",(VLOOKUP($A398,'SegEnds_NonXtal_BW#'!$A:$Z,23,FALSE)+VLOOKUP($A398,A:AL,34,FALSE)-50))</f>
        <v>257</v>
      </c>
      <c r="AH398" s="3">
        <v>276</v>
      </c>
      <c r="AI398" s="3">
        <f>IF(ISERROR((VLOOKUP($A398,'SegEnds_NonXtal_BW#'!$A:$Z,24,FALSE)+VLOOKUP($A398,A:AL,34,FALSE)-50)),"-",(VLOOKUP($A398,'SegEnds_NonXtal_BW#'!$A:$Z,24,FALSE)+VLOOKUP($A398,A:AL,34,FALSE)-50))</f>
        <v>282</v>
      </c>
      <c r="AJ398" s="3">
        <f>IF(ISERROR(VLOOKUP($A398,'SegEnds_NonXtal_BW#'!$A:$Z,25,FALSE)+VLOOKUP($A398,A:AL,37,FALSE)-50),"-",(VLOOKUP($A398,'SegEnds_NonXtal_BW#'!$A:$Z,25,FALSE)+VLOOKUP($A398,A:AL,37,FALSE)-50))</f>
        <v>283</v>
      </c>
      <c r="AK398" s="3">
        <v>286</v>
      </c>
      <c r="AL398" s="3">
        <f>IF(ISERROR((VLOOKUP($A398,'SegEnds_NonXtal_BW#'!$A:$Z,26,FALSE)+VLOOKUP($A398,A:AL,37,FALSE)-50)),"-",(VLOOKUP($A398,'SegEnds_NonXtal_BW#'!$A:$Z,26,FALSE)+VLOOKUP($A398,A:AL,37,FALSE)-50))</f>
        <v>296</v>
      </c>
      <c r="AM398" s="28" t="str">
        <f>VLOOKUP(A398,Classification!A:B,2,FALSE)</f>
        <v>T</v>
      </c>
      <c r="AN398" s="28" t="b">
        <f t="shared" si="269"/>
        <v>1</v>
      </c>
      <c r="AO398" s="3" t="str">
        <f>IF(ISERROR(MATCH(A398,'SegEnds_Xtal_Prot#'!B:B, 0)), "NoXtal", "Xtal")</f>
        <v>NoXtal</v>
      </c>
      <c r="AP398" s="3">
        <f t="shared" si="254"/>
        <v>1</v>
      </c>
      <c r="AQ398" s="3">
        <f t="shared" si="255"/>
        <v>1</v>
      </c>
      <c r="AR398" s="3" t="str">
        <f t="shared" si="256"/>
        <v>-</v>
      </c>
      <c r="AS398" s="3" t="str">
        <f t="shared" si="257"/>
        <v>-</v>
      </c>
      <c r="AT398" s="3">
        <f t="shared" si="258"/>
        <v>3</v>
      </c>
      <c r="AU398" s="3">
        <f t="shared" si="259"/>
        <v>1</v>
      </c>
      <c r="AV398" s="3" t="str">
        <f t="shared" si="260"/>
        <v>-</v>
      </c>
      <c r="AW398" s="3" t="str">
        <f t="shared" si="261"/>
        <v>-</v>
      </c>
      <c r="AX398" s="3">
        <f t="shared" si="262"/>
        <v>10</v>
      </c>
      <c r="AY398" s="3">
        <f t="shared" si="263"/>
        <v>6</v>
      </c>
      <c r="AZ398" s="3">
        <f t="shared" si="264"/>
        <v>1</v>
      </c>
      <c r="BA398" s="3">
        <f>IF(ISERROR(LEN(VLOOKUP(A398,Seqs!A:E,2,FALSE))-AL398),"-",LEN(VLOOKUP(A398,Seqs!A:E,2,FALSE))-AL398)</f>
        <v>23</v>
      </c>
      <c r="BB398" s="16">
        <f t="shared" si="265"/>
        <v>31</v>
      </c>
      <c r="BC398" s="9">
        <f t="shared" si="266"/>
        <v>20</v>
      </c>
      <c r="BD398" s="3">
        <f t="shared" si="267"/>
        <v>31</v>
      </c>
      <c r="BE398" s="3">
        <f t="shared" si="268"/>
        <v>53</v>
      </c>
      <c r="BF398" s="3">
        <f t="shared" si="253"/>
        <v>36</v>
      </c>
    </row>
    <row r="399" spans="1:58" s="3" customFormat="1" x14ac:dyDescent="0.2">
      <c r="A399" s="3" t="s">
        <v>457</v>
      </c>
      <c r="B399" s="3" t="str">
        <f>LOWER(VLOOKUP(A399,Xtal_Templ!A:B,2,FALSE))</f>
        <v>agtr1_human</v>
      </c>
      <c r="C399" s="3">
        <f>VLOOKUP($A399,'SegEnds_NonXtal_BW#'!$A:$Z,3,FALSE)+D399-50</f>
        <v>6</v>
      </c>
      <c r="D399" s="3">
        <v>24</v>
      </c>
      <c r="E399" s="3">
        <f t="shared" si="248"/>
        <v>36</v>
      </c>
      <c r="F399" s="3">
        <f t="shared" si="249"/>
        <v>37</v>
      </c>
      <c r="G399" s="3">
        <v>39</v>
      </c>
      <c r="H399" s="3">
        <f t="shared" si="250"/>
        <v>40</v>
      </c>
      <c r="I399" s="3">
        <f t="shared" si="250"/>
        <v>41</v>
      </c>
      <c r="J399" s="3">
        <v>55</v>
      </c>
      <c r="K399" s="3">
        <f>VLOOKUP($A399,'SegEnds_NonXtal_BW#'!$A:$Z,8,FALSE)+VLOOKUP($A399,A:AL,10,FALSE)-50</f>
        <v>71</v>
      </c>
      <c r="L399" s="3" t="str">
        <f>IF(ISERROR(VLOOKUP($A399,'SegEnds_NonXtal_BW#'!$A:$Z,9,FALSE)+VLOOKUP($A399,A:AL,13,FALSE)-50),"-",(VLOOKUP($A399,'SegEnds_NonXtal_BW#'!$A:$Z,9,FALSE)+VLOOKUP($A399,A:AL,13,FALSE)-50))</f>
        <v>-</v>
      </c>
      <c r="M399" s="3" t="s">
        <v>23</v>
      </c>
      <c r="N399" s="3" t="str">
        <f>IF(ISERROR(VLOOKUP($A399,'SegEnds_NonXtal_BW#'!$A:$Z,10,FALSE)+VLOOKUP($A399,A:AL,13,FALSE)-50),"-",(VLOOKUP($A399,'SegEnds_NonXtal_BW#'!$A:$Z,10,FALSE)+VLOOKUP($A399,A:AL,13,FALSE)-50))</f>
        <v>-</v>
      </c>
      <c r="O399" s="3">
        <f>VLOOKUP($A399,'SegEnds_NonXtal_BW#'!$A:$Z,11,FALSE)+VLOOKUP($A399,A:AL,16,FALSE)-50</f>
        <v>77</v>
      </c>
      <c r="P399" s="3">
        <v>106</v>
      </c>
      <c r="Q399" s="3">
        <f>VLOOKUP($A399,'SegEnds_NonXtal_BW#'!$A:$Z,12,FALSE)+VLOOKUP($A399,A:AL,16,FALSE)-50</f>
        <v>112</v>
      </c>
      <c r="R399" s="3">
        <f t="shared" si="251"/>
        <v>115</v>
      </c>
      <c r="S399" s="3">
        <v>115</v>
      </c>
      <c r="T399" s="100">
        <f t="shared" si="252"/>
        <v>122</v>
      </c>
      <c r="U399" s="9">
        <f>IF(ISERROR(VLOOKUP($A399,'SegEnds_NonXtal_BW#'!$A:$Z,15,FALSE)+VLOOKUP($A399,A:AL,22,FALSE)-50),"-",VLOOKUP($A399,'SegEnds_NonXtal_BW#'!$A:$Z,15,FALSE)+VLOOKUP($A399,A:AL,22,FALSE)-50)</f>
        <v>123</v>
      </c>
      <c r="V399" s="3">
        <v>135</v>
      </c>
      <c r="W399" s="3">
        <f>IF(ISERROR(VLOOKUP($A399,'SegEnds_NonXtal_BW#'!$A:$Z,16,FALSE)+VLOOKUP($A399,A:AL,22,FALSE)-50),"-",(VLOOKUP($A399,'SegEnds_NonXtal_BW#'!$A:$Z,16,FALSE)+VLOOKUP($A399,A:AL,22,FALSE)-50))</f>
        <v>149</v>
      </c>
      <c r="X399" s="3" t="str">
        <f>IF(ISERROR(VLOOKUP($A399,'SegEnds_NonXtal_BW#'!$A:$Z,17,FALSE)+VLOOKUP($A399,A:AL,25,FALSE)-50),"-",(VLOOKUP($A399,'SegEnds_NonXtal_BW#'!$A:$Z,17,FALSE)+VLOOKUP($A399,A:AL,25,FALSE)-50))</f>
        <v>-</v>
      </c>
      <c r="Y399" s="3" t="s">
        <v>23</v>
      </c>
      <c r="Z399" s="3" t="str">
        <f>IF(ISERROR(VLOOKUP($A399,'SegEnds_NonXtal_BW#'!$A:$Z,18,FALSE)+VLOOKUP($A399,A:AL,25,FALSE)-50),"-",(VLOOKUP($A399,'SegEnds_NonXtal_BW#'!$A:$Z,18,FALSE)+VLOOKUP($A399,A:AL,25,FALSE)-50))</f>
        <v>-</v>
      </c>
      <c r="AA399" s="3">
        <f>IF(ISERROR(VLOOKUP($A399,'SegEnds_NonXtal_BW#'!$A:$Z,19,FALSE)+VLOOKUP($A399,A:AL,28,FALSE)-50),"-",(VLOOKUP($A399,'SegEnds_NonXtal_BW#'!$A:$Z,19,FALSE)+VLOOKUP($A399,A:AL,28,FALSE)-50))</f>
        <v>169</v>
      </c>
      <c r="AB399" s="3">
        <v>187</v>
      </c>
      <c r="AC399" s="3">
        <f>IF(ISERROR((VLOOKUP($A399,'SegEnds_NonXtal_BW#'!$A:$Z,20,FALSE)+VLOOKUP($A399,A:AL,28,FALSE)-50)),"-",(VLOOKUP($A399,'SegEnds_NonXtal_BW#'!$A:$Z,20,FALSE)+VLOOKUP($A399,A:AL,28,FALSE)-50))</f>
        <v>209</v>
      </c>
      <c r="AD399" s="3">
        <f>IF(ISERROR(VLOOKUP($A399,'SegEnds_NonXtal_BW#'!$A:$Z,21,FALSE)+VLOOKUP($A399,A:AL,31,FALSE)-50),"-",(VLOOKUP($A399,'SegEnds_NonXtal_BW#'!$A:$Z,21,FALSE)+VLOOKUP($A399,A:AL,31,FALSE)-50))</f>
        <v>219</v>
      </c>
      <c r="AE399" s="3">
        <v>240</v>
      </c>
      <c r="AF399" s="3">
        <f>IF(ISERROR((VLOOKUP($A399,'SegEnds_NonXtal_BW#'!$A:$Z,22,FALSE)+VLOOKUP($A399,A:AL,31,FALSE)-50)),"-",(VLOOKUP($A399,'SegEnds_NonXtal_BW#'!$A:$Z,22,FALSE)+VLOOKUP($A399,A:AL,31,FALSE)-50))</f>
        <v>251</v>
      </c>
      <c r="AG399" s="3">
        <f>IF(ISERROR(VLOOKUP($A399,'SegEnds_NonXtal_BW#'!$A:$Z,23,FALSE)+VLOOKUP($A399,A:AL,34,FALSE)-50),"-",(VLOOKUP($A399,'SegEnds_NonXtal_BW#'!$A:$Z,23,FALSE)+VLOOKUP($A399,A:AL,34,FALSE)-50))</f>
        <v>257</v>
      </c>
      <c r="AH399" s="3">
        <v>276</v>
      </c>
      <c r="AI399" s="3">
        <f>IF(ISERROR((VLOOKUP($A399,'SegEnds_NonXtal_BW#'!$A:$Z,24,FALSE)+VLOOKUP($A399,A:AL,34,FALSE)-50)),"-",(VLOOKUP($A399,'SegEnds_NonXtal_BW#'!$A:$Z,24,FALSE)+VLOOKUP($A399,A:AL,34,FALSE)-50))</f>
        <v>282</v>
      </c>
      <c r="AJ399" s="3">
        <f>IF(ISERROR(VLOOKUP($A399,'SegEnds_NonXtal_BW#'!$A:$Z,25,FALSE)+VLOOKUP($A399,A:AL,37,FALSE)-50),"-",(VLOOKUP($A399,'SegEnds_NonXtal_BW#'!$A:$Z,25,FALSE)+VLOOKUP($A399,A:AL,37,FALSE)-50))</f>
        <v>283</v>
      </c>
      <c r="AK399" s="3">
        <v>286</v>
      </c>
      <c r="AL399" s="3">
        <f>IF(ISERROR((VLOOKUP($A399,'SegEnds_NonXtal_BW#'!$A:$Z,26,FALSE)+VLOOKUP($A399,A:AL,37,FALSE)-50)),"-",(VLOOKUP($A399,'SegEnds_NonXtal_BW#'!$A:$Z,26,FALSE)+VLOOKUP($A399,A:AL,37,FALSE)-50))</f>
        <v>296</v>
      </c>
      <c r="AM399" s="28" t="str">
        <f>VLOOKUP(A399,Classification!A:B,2,FALSE)</f>
        <v>T</v>
      </c>
      <c r="AN399" s="28" t="b">
        <f t="shared" si="269"/>
        <v>1</v>
      </c>
      <c r="AO399" s="3" t="str">
        <f>IF(ISERROR(MATCH(A399,'SegEnds_Xtal_Prot#'!B:B, 0)), "NoXtal", "Xtal")</f>
        <v>NoXtal</v>
      </c>
      <c r="AP399" s="3">
        <f t="shared" si="254"/>
        <v>1</v>
      </c>
      <c r="AQ399" s="3">
        <f t="shared" si="255"/>
        <v>1</v>
      </c>
      <c r="AR399" s="3" t="str">
        <f t="shared" si="256"/>
        <v>-</v>
      </c>
      <c r="AS399" s="3" t="str">
        <f t="shared" si="257"/>
        <v>-</v>
      </c>
      <c r="AT399" s="3">
        <f t="shared" si="258"/>
        <v>3</v>
      </c>
      <c r="AU399" s="3">
        <f t="shared" si="259"/>
        <v>1</v>
      </c>
      <c r="AV399" s="3" t="str">
        <f t="shared" si="260"/>
        <v>-</v>
      </c>
      <c r="AW399" s="3" t="str">
        <f t="shared" si="261"/>
        <v>-</v>
      </c>
      <c r="AX399" s="3">
        <f t="shared" si="262"/>
        <v>10</v>
      </c>
      <c r="AY399" s="3">
        <f t="shared" si="263"/>
        <v>6</v>
      </c>
      <c r="AZ399" s="3">
        <f t="shared" si="264"/>
        <v>1</v>
      </c>
      <c r="BA399" s="3">
        <f>IF(ISERROR(LEN(VLOOKUP(A399,Seqs!A:E,2,FALSE))-AL399),"-",LEN(VLOOKUP(A399,Seqs!A:E,2,FALSE))-AL399)</f>
        <v>13</v>
      </c>
      <c r="BB399" s="16">
        <f t="shared" si="265"/>
        <v>31</v>
      </c>
      <c r="BC399" s="9">
        <f t="shared" si="266"/>
        <v>20</v>
      </c>
      <c r="BD399" s="3">
        <f t="shared" si="267"/>
        <v>31</v>
      </c>
      <c r="BE399" s="3">
        <f t="shared" si="268"/>
        <v>53</v>
      </c>
      <c r="BF399" s="3">
        <f t="shared" si="253"/>
        <v>36</v>
      </c>
    </row>
    <row r="400" spans="1:58" s="3" customFormat="1" x14ac:dyDescent="0.2">
      <c r="A400" s="3" t="s">
        <v>458</v>
      </c>
      <c r="B400" s="3" t="str">
        <f>LOWER(VLOOKUP(A400,Xtal_Templ!A:B,2,FALSE))</f>
        <v>agtr1_human</v>
      </c>
      <c r="C400" s="3">
        <f>VLOOKUP($A400,'SegEnds_NonXtal_BW#'!$A:$Z,3,FALSE)+D400-50</f>
        <v>15</v>
      </c>
      <c r="D400" s="3">
        <v>33</v>
      </c>
      <c r="E400" s="3">
        <f t="shared" si="248"/>
        <v>45</v>
      </c>
      <c r="F400" s="3">
        <f t="shared" si="249"/>
        <v>46</v>
      </c>
      <c r="G400" s="3">
        <v>48</v>
      </c>
      <c r="H400" s="3">
        <f t="shared" si="250"/>
        <v>49</v>
      </c>
      <c r="I400" s="3">
        <f t="shared" si="250"/>
        <v>50</v>
      </c>
      <c r="J400" s="3">
        <v>64</v>
      </c>
      <c r="K400" s="3">
        <f>VLOOKUP($A400,'SegEnds_NonXtal_BW#'!$A:$Z,8,FALSE)+VLOOKUP($A400,A:AL,10,FALSE)-50</f>
        <v>81</v>
      </c>
      <c r="L400" s="3" t="str">
        <f>IF(ISERROR(VLOOKUP($A400,'SegEnds_NonXtal_BW#'!$A:$Z,9,FALSE)+VLOOKUP($A400,A:AL,13,FALSE)-50),"-",(VLOOKUP($A400,'SegEnds_NonXtal_BW#'!$A:$Z,9,FALSE)+VLOOKUP($A400,A:AL,13,FALSE)-50))</f>
        <v>-</v>
      </c>
      <c r="M400" s="3" t="s">
        <v>23</v>
      </c>
      <c r="N400" s="3" t="str">
        <f>IF(ISERROR(VLOOKUP($A400,'SegEnds_NonXtal_BW#'!$A:$Z,10,FALSE)+VLOOKUP($A400,A:AL,13,FALSE)-50),"-",(VLOOKUP($A400,'SegEnds_NonXtal_BW#'!$A:$Z,10,FALSE)+VLOOKUP($A400,A:AL,13,FALSE)-50))</f>
        <v>-</v>
      </c>
      <c r="O400" s="3">
        <f>VLOOKUP($A400,'SegEnds_NonXtal_BW#'!$A:$Z,11,FALSE)+VLOOKUP($A400,A:AL,16,FALSE)-50</f>
        <v>85</v>
      </c>
      <c r="P400" s="3">
        <v>117</v>
      </c>
      <c r="Q400" s="3">
        <f>VLOOKUP($A400,'SegEnds_NonXtal_BW#'!$A:$Z,12,FALSE)+VLOOKUP($A400,A:AL,16,FALSE)-50</f>
        <v>123</v>
      </c>
      <c r="R400" s="3">
        <f t="shared" si="251"/>
        <v>126</v>
      </c>
      <c r="S400" s="3">
        <v>126</v>
      </c>
      <c r="T400" s="100">
        <f t="shared" si="252"/>
        <v>133</v>
      </c>
      <c r="U400" s="9">
        <f>IF(ISERROR(VLOOKUP($A400,'SegEnds_NonXtal_BW#'!$A:$Z,15,FALSE)+VLOOKUP($A400,A:AL,22,FALSE)-50),"-",VLOOKUP($A400,'SegEnds_NonXtal_BW#'!$A:$Z,15,FALSE)+VLOOKUP($A400,A:AL,22,FALSE)-50)</f>
        <v>134</v>
      </c>
      <c r="V400" s="3">
        <v>146</v>
      </c>
      <c r="W400" s="3">
        <f>IF(ISERROR(VLOOKUP($A400,'SegEnds_NonXtal_BW#'!$A:$Z,16,FALSE)+VLOOKUP($A400,A:AL,22,FALSE)-50),"-",(VLOOKUP($A400,'SegEnds_NonXtal_BW#'!$A:$Z,16,FALSE)+VLOOKUP($A400,A:AL,22,FALSE)-50))</f>
        <v>160</v>
      </c>
      <c r="X400" s="3" t="str">
        <f>IF(ISERROR(VLOOKUP($A400,'SegEnds_NonXtal_BW#'!$A:$Z,17,FALSE)+VLOOKUP($A400,A:AL,25,FALSE)-50),"-",(VLOOKUP($A400,'SegEnds_NonXtal_BW#'!$A:$Z,17,FALSE)+VLOOKUP($A400,A:AL,25,FALSE)-50))</f>
        <v>-</v>
      </c>
      <c r="Y400" s="3" t="s">
        <v>23</v>
      </c>
      <c r="Z400" s="3" t="str">
        <f>IF(ISERROR(VLOOKUP($A400,'SegEnds_NonXtal_BW#'!$A:$Z,18,FALSE)+VLOOKUP($A400,A:AL,25,FALSE)-50),"-",(VLOOKUP($A400,'SegEnds_NonXtal_BW#'!$A:$Z,18,FALSE)+VLOOKUP($A400,A:AL,25,FALSE)-50))</f>
        <v>-</v>
      </c>
      <c r="AA400" s="3">
        <f>IF(ISERROR(VLOOKUP($A400,'SegEnds_NonXtal_BW#'!$A:$Z,19,FALSE)+VLOOKUP($A400,A:AL,28,FALSE)-50),"-",(VLOOKUP($A400,'SegEnds_NonXtal_BW#'!$A:$Z,19,FALSE)+VLOOKUP($A400,A:AL,28,FALSE)-50))</f>
        <v>187</v>
      </c>
      <c r="AB400" s="3">
        <v>205</v>
      </c>
      <c r="AC400" s="3">
        <f>IF(ISERROR((VLOOKUP($A400,'SegEnds_NonXtal_BW#'!$A:$Z,20,FALSE)+VLOOKUP($A400,A:AL,28,FALSE)-50)),"-",(VLOOKUP($A400,'SegEnds_NonXtal_BW#'!$A:$Z,20,FALSE)+VLOOKUP($A400,A:AL,28,FALSE)-50))</f>
        <v>227</v>
      </c>
      <c r="AD400" s="3">
        <f>IF(ISERROR(VLOOKUP($A400,'SegEnds_NonXtal_BW#'!$A:$Z,21,FALSE)+VLOOKUP($A400,A:AL,31,FALSE)-50),"-",(VLOOKUP($A400,'SegEnds_NonXtal_BW#'!$A:$Z,21,FALSE)+VLOOKUP($A400,A:AL,31,FALSE)-50))</f>
        <v>237</v>
      </c>
      <c r="AE400" s="3">
        <v>258</v>
      </c>
      <c r="AF400" s="3">
        <f>IF(ISERROR((VLOOKUP($A400,'SegEnds_NonXtal_BW#'!$A:$Z,22,FALSE)+VLOOKUP($A400,A:AL,31,FALSE)-50)),"-",(VLOOKUP($A400,'SegEnds_NonXtal_BW#'!$A:$Z,22,FALSE)+VLOOKUP($A400,A:AL,31,FALSE)-50))</f>
        <v>269</v>
      </c>
      <c r="AG400" s="3">
        <f>IF(ISERROR(VLOOKUP($A400,'SegEnds_NonXtal_BW#'!$A:$Z,23,FALSE)+VLOOKUP($A400,A:AL,34,FALSE)-50),"-",(VLOOKUP($A400,'SegEnds_NonXtal_BW#'!$A:$Z,23,FALSE)+VLOOKUP($A400,A:AL,34,FALSE)-50))</f>
        <v>275</v>
      </c>
      <c r="AH400" s="3">
        <v>294</v>
      </c>
      <c r="AI400" s="3">
        <f>IF(ISERROR((VLOOKUP($A400,'SegEnds_NonXtal_BW#'!$A:$Z,24,FALSE)+VLOOKUP($A400,A:AL,34,FALSE)-50)),"-",(VLOOKUP($A400,'SegEnds_NonXtal_BW#'!$A:$Z,24,FALSE)+VLOOKUP($A400,A:AL,34,FALSE)-50))</f>
        <v>300</v>
      </c>
      <c r="AJ400" s="3">
        <f>IF(ISERROR(VLOOKUP($A400,'SegEnds_NonXtal_BW#'!$A:$Z,25,FALSE)+VLOOKUP($A400,A:AL,37,FALSE)-50),"-",(VLOOKUP($A400,'SegEnds_NonXtal_BW#'!$A:$Z,25,FALSE)+VLOOKUP($A400,A:AL,37,FALSE)-50))</f>
        <v>301</v>
      </c>
      <c r="AK400" s="3">
        <v>304</v>
      </c>
      <c r="AL400" s="3">
        <f>IF(ISERROR((VLOOKUP($A400,'SegEnds_NonXtal_BW#'!$A:$Z,26,FALSE)+VLOOKUP($A400,A:AL,37,FALSE)-50)),"-",(VLOOKUP($A400,'SegEnds_NonXtal_BW#'!$A:$Z,26,FALSE)+VLOOKUP($A400,A:AL,37,FALSE)-50))</f>
        <v>314</v>
      </c>
      <c r="AM400" s="28" t="str">
        <f>VLOOKUP(A400,Classification!A:B,2,FALSE)</f>
        <v>T</v>
      </c>
      <c r="AN400" s="28" t="b">
        <f t="shared" si="269"/>
        <v>1</v>
      </c>
      <c r="AO400" s="3" t="str">
        <f>IF(ISERROR(MATCH(A400,'SegEnds_Xtal_Prot#'!B:B, 0)), "NoXtal", "Xtal")</f>
        <v>NoXtal</v>
      </c>
      <c r="AP400" s="3">
        <f t="shared" si="254"/>
        <v>1</v>
      </c>
      <c r="AQ400" s="3">
        <f t="shared" si="255"/>
        <v>1</v>
      </c>
      <c r="AR400" s="3" t="str">
        <f t="shared" si="256"/>
        <v>-</v>
      </c>
      <c r="AS400" s="3" t="str">
        <f t="shared" si="257"/>
        <v>-</v>
      </c>
      <c r="AT400" s="3">
        <f t="shared" si="258"/>
        <v>3</v>
      </c>
      <c r="AU400" s="3">
        <f t="shared" si="259"/>
        <v>1</v>
      </c>
      <c r="AV400" s="3" t="str">
        <f t="shared" si="260"/>
        <v>-</v>
      </c>
      <c r="AW400" s="3" t="str">
        <f t="shared" si="261"/>
        <v>-</v>
      </c>
      <c r="AX400" s="3">
        <f t="shared" si="262"/>
        <v>10</v>
      </c>
      <c r="AY400" s="3">
        <f t="shared" si="263"/>
        <v>6</v>
      </c>
      <c r="AZ400" s="3">
        <f t="shared" si="264"/>
        <v>1</v>
      </c>
      <c r="BA400" s="3">
        <f>IF(ISERROR(LEN(VLOOKUP(A400,Seqs!A:E,2,FALSE))-AL400),"-",LEN(VLOOKUP(A400,Seqs!A:E,2,FALSE))-AL400)</f>
        <v>19</v>
      </c>
      <c r="BB400" s="16">
        <f t="shared" si="265"/>
        <v>31</v>
      </c>
      <c r="BC400" s="9">
        <f t="shared" si="266"/>
        <v>20</v>
      </c>
      <c r="BD400" s="3">
        <f t="shared" si="267"/>
        <v>31</v>
      </c>
      <c r="BE400" s="3">
        <f t="shared" si="268"/>
        <v>53</v>
      </c>
      <c r="BF400" s="3">
        <f t="shared" si="253"/>
        <v>36</v>
      </c>
    </row>
    <row r="401" spans="1:58" s="3" customFormat="1" x14ac:dyDescent="0.2">
      <c r="A401" s="3" t="s">
        <v>459</v>
      </c>
      <c r="B401" s="3" t="str">
        <f>LOWER(VLOOKUP(A401,Xtal_Templ!A:B,2,FALSE))</f>
        <v>agtr1_human</v>
      </c>
      <c r="C401" s="3">
        <f>VLOOKUP($A401,'SegEnds_NonXtal_BW#'!$A:$Z,3,FALSE)+D401-50</f>
        <v>34</v>
      </c>
      <c r="D401" s="3">
        <v>52</v>
      </c>
      <c r="E401" s="3">
        <f t="shared" si="248"/>
        <v>64</v>
      </c>
      <c r="F401" s="3">
        <f t="shared" si="249"/>
        <v>65</v>
      </c>
      <c r="G401" s="3">
        <v>67</v>
      </c>
      <c r="H401" s="3">
        <f t="shared" si="250"/>
        <v>68</v>
      </c>
      <c r="I401" s="3">
        <f t="shared" si="250"/>
        <v>69</v>
      </c>
      <c r="J401" s="3">
        <v>83</v>
      </c>
      <c r="K401" s="3">
        <f>VLOOKUP($A401,'SegEnds_NonXtal_BW#'!$A:$Z,8,FALSE)+VLOOKUP($A401,A:AL,10,FALSE)-50</f>
        <v>99</v>
      </c>
      <c r="L401" s="3" t="str">
        <f>IF(ISERROR(VLOOKUP($A401,'SegEnds_NonXtal_BW#'!$A:$Z,9,FALSE)+VLOOKUP($A401,A:AL,13,FALSE)-50),"-",(VLOOKUP($A401,'SegEnds_NonXtal_BW#'!$A:$Z,9,FALSE)+VLOOKUP($A401,A:AL,13,FALSE)-50))</f>
        <v>-</v>
      </c>
      <c r="M401" s="3" t="s">
        <v>23</v>
      </c>
      <c r="N401" s="3" t="str">
        <f>IF(ISERROR(VLOOKUP($A401,'SegEnds_NonXtal_BW#'!$A:$Z,10,FALSE)+VLOOKUP($A401,A:AL,13,FALSE)-50),"-",(VLOOKUP($A401,'SegEnds_NonXtal_BW#'!$A:$Z,10,FALSE)+VLOOKUP($A401,A:AL,13,FALSE)-50))</f>
        <v>-</v>
      </c>
      <c r="O401" s="3">
        <f>VLOOKUP($A401,'SegEnds_NonXtal_BW#'!$A:$Z,11,FALSE)+VLOOKUP($A401,A:AL,16,FALSE)-50</f>
        <v>103</v>
      </c>
      <c r="P401" s="3">
        <v>135</v>
      </c>
      <c r="Q401" s="3">
        <f>VLOOKUP($A401,'SegEnds_NonXtal_BW#'!$A:$Z,12,FALSE)+VLOOKUP($A401,A:AL,16,FALSE)-50</f>
        <v>141</v>
      </c>
      <c r="R401" s="3">
        <f t="shared" si="251"/>
        <v>144</v>
      </c>
      <c r="S401" s="3">
        <v>144</v>
      </c>
      <c r="T401" s="100">
        <f t="shared" si="252"/>
        <v>151</v>
      </c>
      <c r="U401" s="9">
        <f>IF(ISERROR(VLOOKUP($A401,'SegEnds_NonXtal_BW#'!$A:$Z,15,FALSE)+VLOOKUP($A401,A:AL,22,FALSE)-50),"-",VLOOKUP($A401,'SegEnds_NonXtal_BW#'!$A:$Z,15,FALSE)+VLOOKUP($A401,A:AL,22,FALSE)-50)</f>
        <v>152</v>
      </c>
      <c r="V401" s="3">
        <v>164</v>
      </c>
      <c r="W401" s="3">
        <f>IF(ISERROR(VLOOKUP($A401,'SegEnds_NonXtal_BW#'!$A:$Z,16,FALSE)+VLOOKUP($A401,A:AL,22,FALSE)-50),"-",(VLOOKUP($A401,'SegEnds_NonXtal_BW#'!$A:$Z,16,FALSE)+VLOOKUP($A401,A:AL,22,FALSE)-50))</f>
        <v>178</v>
      </c>
      <c r="X401" s="3" t="str">
        <f>IF(ISERROR(VLOOKUP($A401,'SegEnds_NonXtal_BW#'!$A:$Z,17,FALSE)+VLOOKUP($A401,A:AL,25,FALSE)-50),"-",(VLOOKUP($A401,'SegEnds_NonXtal_BW#'!$A:$Z,17,FALSE)+VLOOKUP($A401,A:AL,25,FALSE)-50))</f>
        <v>-</v>
      </c>
      <c r="Y401" s="3" t="s">
        <v>23</v>
      </c>
      <c r="Z401" s="3" t="str">
        <f>IF(ISERROR(VLOOKUP($A401,'SegEnds_NonXtal_BW#'!$A:$Z,18,FALSE)+VLOOKUP($A401,A:AL,25,FALSE)-50),"-",(VLOOKUP($A401,'SegEnds_NonXtal_BW#'!$A:$Z,18,FALSE)+VLOOKUP($A401,A:AL,25,FALSE)-50))</f>
        <v>-</v>
      </c>
      <c r="AA401" s="3">
        <f>IF(ISERROR(VLOOKUP($A401,'SegEnds_NonXtal_BW#'!$A:$Z,19,FALSE)+VLOOKUP($A401,A:AL,28,FALSE)-50),"-",(VLOOKUP($A401,'SegEnds_NonXtal_BW#'!$A:$Z,19,FALSE)+VLOOKUP($A401,A:AL,28,FALSE)-50))</f>
        <v>202</v>
      </c>
      <c r="AB401" s="3">
        <v>220</v>
      </c>
      <c r="AC401" s="3">
        <f>IF(ISERROR((VLOOKUP($A401,'SegEnds_NonXtal_BW#'!$A:$Z,20,FALSE)+VLOOKUP($A401,A:AL,28,FALSE)-50)),"-",(VLOOKUP($A401,'SegEnds_NonXtal_BW#'!$A:$Z,20,FALSE)+VLOOKUP($A401,A:AL,28,FALSE)-50))</f>
        <v>242</v>
      </c>
      <c r="AD401" s="3">
        <f>IF(ISERROR(VLOOKUP($A401,'SegEnds_NonXtal_BW#'!$A:$Z,21,FALSE)+VLOOKUP($A401,A:AL,31,FALSE)-50),"-",(VLOOKUP($A401,'SegEnds_NonXtal_BW#'!$A:$Z,21,FALSE)+VLOOKUP($A401,A:AL,31,FALSE)-50))</f>
        <v>252</v>
      </c>
      <c r="AE401" s="3">
        <v>273</v>
      </c>
      <c r="AF401" s="3">
        <f>IF(ISERROR((VLOOKUP($A401,'SegEnds_NonXtal_BW#'!$A:$Z,22,FALSE)+VLOOKUP($A401,A:AL,31,FALSE)-50)),"-",(VLOOKUP($A401,'SegEnds_NonXtal_BW#'!$A:$Z,22,FALSE)+VLOOKUP($A401,A:AL,31,FALSE)-50))</f>
        <v>284</v>
      </c>
      <c r="AG401" s="3">
        <f>IF(ISERROR(VLOOKUP($A401,'SegEnds_NonXtal_BW#'!$A:$Z,23,FALSE)+VLOOKUP($A401,A:AL,34,FALSE)-50),"-",(VLOOKUP($A401,'SegEnds_NonXtal_BW#'!$A:$Z,23,FALSE)+VLOOKUP($A401,A:AL,34,FALSE)-50))</f>
        <v>289</v>
      </c>
      <c r="AH401" s="3">
        <v>308</v>
      </c>
      <c r="AI401" s="3">
        <f>IF(ISERROR((VLOOKUP($A401,'SegEnds_NonXtal_BW#'!$A:$Z,24,FALSE)+VLOOKUP($A401,A:AL,34,FALSE)-50)),"-",(VLOOKUP($A401,'SegEnds_NonXtal_BW#'!$A:$Z,24,FALSE)+VLOOKUP($A401,A:AL,34,FALSE)-50))</f>
        <v>314</v>
      </c>
      <c r="AJ401" s="3">
        <f>IF(ISERROR(VLOOKUP($A401,'SegEnds_NonXtal_BW#'!$A:$Z,25,FALSE)+VLOOKUP($A401,A:AL,37,FALSE)-50),"-",(VLOOKUP($A401,'SegEnds_NonXtal_BW#'!$A:$Z,25,FALSE)+VLOOKUP($A401,A:AL,37,FALSE)-50))</f>
        <v>315</v>
      </c>
      <c r="AK401" s="3">
        <v>318</v>
      </c>
      <c r="AL401" s="3">
        <f>IF(ISERROR((VLOOKUP($A401,'SegEnds_NonXtal_BW#'!$A:$Z,26,FALSE)+VLOOKUP($A401,A:AL,37,FALSE)-50)),"-",(VLOOKUP($A401,'SegEnds_NonXtal_BW#'!$A:$Z,26,FALSE)+VLOOKUP($A401,A:AL,37,FALSE)-50))</f>
        <v>328</v>
      </c>
      <c r="AM401" s="28" t="str">
        <f>VLOOKUP(A401,Classification!A:B,2,FALSE)</f>
        <v>T</v>
      </c>
      <c r="AN401" s="28" t="b">
        <f t="shared" si="269"/>
        <v>1</v>
      </c>
      <c r="AO401" s="3" t="str">
        <f>IF(ISERROR(MATCH(A401,'SegEnds_Xtal_Prot#'!B:B, 0)), "NoXtal", "Xtal")</f>
        <v>NoXtal</v>
      </c>
      <c r="AP401" s="3">
        <f t="shared" si="254"/>
        <v>1</v>
      </c>
      <c r="AQ401" s="3">
        <f t="shared" si="255"/>
        <v>1</v>
      </c>
      <c r="AR401" s="3" t="str">
        <f t="shared" si="256"/>
        <v>-</v>
      </c>
      <c r="AS401" s="3" t="str">
        <f t="shared" si="257"/>
        <v>-</v>
      </c>
      <c r="AT401" s="3">
        <f t="shared" si="258"/>
        <v>3</v>
      </c>
      <c r="AU401" s="3">
        <f t="shared" si="259"/>
        <v>1</v>
      </c>
      <c r="AV401" s="3" t="str">
        <f t="shared" si="260"/>
        <v>-</v>
      </c>
      <c r="AW401" s="3" t="str">
        <f t="shared" si="261"/>
        <v>-</v>
      </c>
      <c r="AX401" s="3">
        <f t="shared" si="262"/>
        <v>10</v>
      </c>
      <c r="AY401" s="3">
        <f t="shared" si="263"/>
        <v>5</v>
      </c>
      <c r="AZ401" s="3">
        <f t="shared" si="264"/>
        <v>1</v>
      </c>
      <c r="BA401" s="3">
        <f>IF(ISERROR(LEN(VLOOKUP(A401,Seqs!A:E,2,FALSE))-AL401),"-",LEN(VLOOKUP(A401,Seqs!A:E,2,FALSE))-AL401)</f>
        <v>10</v>
      </c>
      <c r="BB401" s="16">
        <f t="shared" si="265"/>
        <v>31</v>
      </c>
      <c r="BC401" s="9">
        <f t="shared" si="266"/>
        <v>20</v>
      </c>
      <c r="BD401" s="3">
        <f t="shared" si="267"/>
        <v>31</v>
      </c>
      <c r="BE401" s="3">
        <f t="shared" si="268"/>
        <v>53</v>
      </c>
      <c r="BF401" s="3">
        <f t="shared" si="253"/>
        <v>35</v>
      </c>
    </row>
    <row r="402" spans="1:58" s="3" customFormat="1" x14ac:dyDescent="0.2">
      <c r="A402" s="3" t="s">
        <v>460</v>
      </c>
      <c r="B402" s="3" t="str">
        <f>LOWER(VLOOKUP(A402,Xtal_Templ!A:B,2,FALSE))</f>
        <v>5ht2a_human</v>
      </c>
      <c r="C402" s="3">
        <f>VLOOKUP($A402,'SegEnds_NonXtal_BW#'!$A:$Z,3,FALSE)+D402-50</f>
        <v>18</v>
      </c>
      <c r="D402" s="3">
        <v>36</v>
      </c>
      <c r="E402" s="3">
        <f t="shared" si="248"/>
        <v>48</v>
      </c>
      <c r="F402" s="3">
        <f t="shared" si="249"/>
        <v>49</v>
      </c>
      <c r="G402" s="3">
        <v>51</v>
      </c>
      <c r="H402" s="3">
        <f t="shared" si="250"/>
        <v>52</v>
      </c>
      <c r="I402" s="3">
        <f t="shared" si="250"/>
        <v>53</v>
      </c>
      <c r="J402" s="3">
        <v>67</v>
      </c>
      <c r="K402" s="3">
        <f>VLOOKUP($A402,'SegEnds_NonXtal_BW#'!$A:$Z,8,FALSE)+VLOOKUP($A402,A:AL,10,FALSE)-50</f>
        <v>83</v>
      </c>
      <c r="L402" s="3" t="str">
        <f>IF(ISERROR(VLOOKUP($A402,'SegEnds_NonXtal_BW#'!$A:$Z,9,FALSE)+VLOOKUP($A402,A:AL,13,FALSE)-50),"-",(VLOOKUP($A402,'SegEnds_NonXtal_BW#'!$A:$Z,9,FALSE)+VLOOKUP($A402,A:AL,13,FALSE)-50))</f>
        <v>-</v>
      </c>
      <c r="M402" s="3" t="s">
        <v>23</v>
      </c>
      <c r="N402" s="3" t="str">
        <f>IF(ISERROR(VLOOKUP($A402,'SegEnds_NonXtal_BW#'!$A:$Z,10,FALSE)+VLOOKUP($A402,A:AL,13,FALSE)-50),"-",(VLOOKUP($A402,'SegEnds_NonXtal_BW#'!$A:$Z,10,FALSE)+VLOOKUP($A402,A:AL,13,FALSE)-50))</f>
        <v>-</v>
      </c>
      <c r="O402" s="3">
        <f>VLOOKUP($A402,'SegEnds_NonXtal_BW#'!$A:$Z,11,FALSE)+VLOOKUP($A402,A:AL,16,FALSE)-50</f>
        <v>87</v>
      </c>
      <c r="P402" s="3">
        <v>119</v>
      </c>
      <c r="Q402" s="3">
        <f>VLOOKUP($A402,'SegEnds_NonXtal_BW#'!$A:$Z,12,FALSE)+VLOOKUP($A402,A:AL,16,FALSE)-50</f>
        <v>125</v>
      </c>
      <c r="R402" s="3">
        <f t="shared" si="251"/>
        <v>128</v>
      </c>
      <c r="S402" s="3">
        <v>128</v>
      </c>
      <c r="T402" s="100">
        <f t="shared" si="252"/>
        <v>135</v>
      </c>
      <c r="U402" s="9">
        <f>IF(ISERROR(VLOOKUP($A402,'SegEnds_NonXtal_BW#'!$A:$Z,15,FALSE)+VLOOKUP($A402,A:AL,22,FALSE)-50),"-",VLOOKUP($A402,'SegEnds_NonXtal_BW#'!$A:$Z,15,FALSE)+VLOOKUP($A402,A:AL,22,FALSE)-50)</f>
        <v>136</v>
      </c>
      <c r="V402" s="3">
        <v>148</v>
      </c>
      <c r="W402" s="3">
        <f>IF(ISERROR(VLOOKUP($A402,'SegEnds_NonXtal_BW#'!$A:$Z,16,FALSE)+VLOOKUP($A402,A:AL,22,FALSE)-50),"-",(VLOOKUP($A402,'SegEnds_NonXtal_BW#'!$A:$Z,16,FALSE)+VLOOKUP($A402,A:AL,22,FALSE)-50))</f>
        <v>165</v>
      </c>
      <c r="X402" s="3" t="str">
        <f>IF(ISERROR(VLOOKUP($A402,'SegEnds_NonXtal_BW#'!$A:$Z,17,FALSE)+VLOOKUP($A402,A:AL,25,FALSE)-50),"-",(VLOOKUP($A402,'SegEnds_NonXtal_BW#'!$A:$Z,17,FALSE)+VLOOKUP($A402,A:AL,25,FALSE)-50))</f>
        <v>-</v>
      </c>
      <c r="Y402" s="3" t="s">
        <v>23</v>
      </c>
      <c r="Z402" s="3" t="str">
        <f>IF(ISERROR(VLOOKUP($A402,'SegEnds_NonXtal_BW#'!$A:$Z,18,FALSE)+VLOOKUP($A402,A:AL,25,FALSE)-50),"-",(VLOOKUP($A402,'SegEnds_NonXtal_BW#'!$A:$Z,18,FALSE)+VLOOKUP($A402,A:AL,25,FALSE)-50))</f>
        <v>-</v>
      </c>
      <c r="AA402" s="3">
        <f>IF(ISERROR(VLOOKUP($A402,'SegEnds_NonXtal_BW#'!$A:$Z,19,FALSE)+VLOOKUP($A402,A:AL,28,FALSE)-50),"-",(VLOOKUP($A402,'SegEnds_NonXtal_BW#'!$A:$Z,19,FALSE)+VLOOKUP($A402,A:AL,28,FALSE)-50))</f>
        <v>187</v>
      </c>
      <c r="AB402" s="3">
        <v>205</v>
      </c>
      <c r="AC402" s="3">
        <f>IF(ISERROR((VLOOKUP($A402,'SegEnds_NonXtal_BW#'!$A:$Z,20,FALSE)+VLOOKUP($A402,A:AL,28,FALSE)-50)),"-",(VLOOKUP($A402,'SegEnds_NonXtal_BW#'!$A:$Z,20,FALSE)+VLOOKUP($A402,A:AL,28,FALSE)-50))</f>
        <v>227</v>
      </c>
      <c r="AD402" s="3">
        <f>IF(ISERROR(VLOOKUP($A402,'SegEnds_NonXtal_BW#'!$A:$Z,21,FALSE)+VLOOKUP($A402,A:AL,31,FALSE)-50),"-",(VLOOKUP($A402,'SegEnds_NonXtal_BW#'!$A:$Z,21,FALSE)+VLOOKUP($A402,A:AL,31,FALSE)-50))</f>
        <v>237</v>
      </c>
      <c r="AE402" s="3">
        <v>258</v>
      </c>
      <c r="AF402" s="3">
        <f>IF(ISERROR((VLOOKUP($A402,'SegEnds_NonXtal_BW#'!$A:$Z,22,FALSE)+VLOOKUP($A402,A:AL,31,FALSE)-50)),"-",(VLOOKUP($A402,'SegEnds_NonXtal_BW#'!$A:$Z,22,FALSE)+VLOOKUP($A402,A:AL,31,FALSE)-50))</f>
        <v>269</v>
      </c>
      <c r="AG402" s="3">
        <f>IF(ISERROR(VLOOKUP($A402,'SegEnds_NonXtal_BW#'!$A:$Z,23,FALSE)+VLOOKUP($A402,A:AL,34,FALSE)-50),"-",(VLOOKUP($A402,'SegEnds_NonXtal_BW#'!$A:$Z,23,FALSE)+VLOOKUP($A402,A:AL,34,FALSE)-50))</f>
        <v>274</v>
      </c>
      <c r="AH402" s="3">
        <v>293</v>
      </c>
      <c r="AI402" s="3">
        <f>IF(ISERROR((VLOOKUP($A402,'SegEnds_NonXtal_BW#'!$A:$Z,24,FALSE)+VLOOKUP($A402,A:AL,34,FALSE)-50)),"-",(VLOOKUP($A402,'SegEnds_NonXtal_BW#'!$A:$Z,24,FALSE)+VLOOKUP($A402,A:AL,34,FALSE)-50))</f>
        <v>299</v>
      </c>
      <c r="AJ402" s="3">
        <f>IF(ISERROR(VLOOKUP($A402,'SegEnds_NonXtal_BW#'!$A:$Z,25,FALSE)+VLOOKUP($A402,A:AL,37,FALSE)-50),"-",(VLOOKUP($A402,'SegEnds_NonXtal_BW#'!$A:$Z,25,FALSE)+VLOOKUP($A402,A:AL,37,FALSE)-50))</f>
        <v>300</v>
      </c>
      <c r="AK402" s="3">
        <v>303</v>
      </c>
      <c r="AL402" s="3">
        <f>IF(ISERROR((VLOOKUP($A402,'SegEnds_NonXtal_BW#'!$A:$Z,26,FALSE)+VLOOKUP($A402,A:AL,37,FALSE)-50)),"-",(VLOOKUP($A402,'SegEnds_NonXtal_BW#'!$A:$Z,26,FALSE)+VLOOKUP($A402,A:AL,37,FALSE)-50))</f>
        <v>313</v>
      </c>
      <c r="AM402" s="28" t="str">
        <f>VLOOKUP(A402,Classification!A:B,2,FALSE)</f>
        <v>T</v>
      </c>
      <c r="AN402" s="28" t="b">
        <f t="shared" si="269"/>
        <v>1</v>
      </c>
      <c r="AO402" s="3" t="str">
        <f>IF(ISERROR(MATCH(A402,'SegEnds_Xtal_Prot#'!B:B, 0)), "NoXtal", "Xtal")</f>
        <v>NoXtal</v>
      </c>
      <c r="AP402" s="3">
        <f t="shared" si="254"/>
        <v>1</v>
      </c>
      <c r="AQ402" s="3">
        <f t="shared" si="255"/>
        <v>1</v>
      </c>
      <c r="AR402" s="3" t="str">
        <f t="shared" si="256"/>
        <v>-</v>
      </c>
      <c r="AS402" s="3" t="str">
        <f t="shared" si="257"/>
        <v>-</v>
      </c>
      <c r="AT402" s="3">
        <f t="shared" si="258"/>
        <v>3</v>
      </c>
      <c r="AU402" s="3">
        <f t="shared" si="259"/>
        <v>1</v>
      </c>
      <c r="AV402" s="3" t="str">
        <f t="shared" si="260"/>
        <v>-</v>
      </c>
      <c r="AW402" s="3" t="str">
        <f t="shared" si="261"/>
        <v>-</v>
      </c>
      <c r="AX402" s="3">
        <f t="shared" si="262"/>
        <v>10</v>
      </c>
      <c r="AY402" s="3">
        <f t="shared" si="263"/>
        <v>5</v>
      </c>
      <c r="AZ402" s="3">
        <f t="shared" si="264"/>
        <v>1</v>
      </c>
      <c r="BA402" s="3">
        <f>IF(ISERROR(LEN(VLOOKUP(A402,Seqs!A:E,2,FALSE))-AL402),"-",LEN(VLOOKUP(A402,Seqs!A:E,2,FALSE))-AL402)</f>
        <v>10</v>
      </c>
      <c r="BB402" s="16">
        <f t="shared" si="265"/>
        <v>31</v>
      </c>
      <c r="BC402" s="9">
        <f t="shared" si="266"/>
        <v>20</v>
      </c>
      <c r="BD402" s="3">
        <f t="shared" si="267"/>
        <v>31</v>
      </c>
      <c r="BE402" s="3">
        <f t="shared" si="268"/>
        <v>53</v>
      </c>
      <c r="BF402" s="3">
        <f t="shared" si="253"/>
        <v>35</v>
      </c>
    </row>
    <row r="403" spans="1:58" s="3" customFormat="1" x14ac:dyDescent="0.2">
      <c r="A403" s="3" t="s">
        <v>461</v>
      </c>
      <c r="B403" s="3" t="str">
        <f>LOWER(VLOOKUP(A403,Xtal_Templ!A:B,2,FALSE))</f>
        <v>drd2_human</v>
      </c>
      <c r="C403" s="3">
        <f>VLOOKUP($A403,'SegEnds_NonXtal_BW#'!$A:$Z,3,FALSE)+D403-50</f>
        <v>6</v>
      </c>
      <c r="D403" s="3">
        <v>24</v>
      </c>
      <c r="E403" s="3">
        <f t="shared" si="248"/>
        <v>36</v>
      </c>
      <c r="F403" s="3">
        <f t="shared" si="249"/>
        <v>37</v>
      </c>
      <c r="G403" s="3">
        <v>39</v>
      </c>
      <c r="H403" s="3">
        <f t="shared" si="250"/>
        <v>40</v>
      </c>
      <c r="I403" s="3">
        <f t="shared" si="250"/>
        <v>41</v>
      </c>
      <c r="J403" s="3">
        <v>55</v>
      </c>
      <c r="K403" s="3">
        <f>VLOOKUP($A403,'SegEnds_NonXtal_BW#'!$A:$Z,8,FALSE)+VLOOKUP($A403,A:AL,10,FALSE)-50</f>
        <v>72</v>
      </c>
      <c r="L403" s="3" t="str">
        <f>IF(ISERROR(VLOOKUP($A403,'SegEnds_NonXtal_BW#'!$A:$Z,9,FALSE)+VLOOKUP($A403,A:AL,13,FALSE)-50),"-",(VLOOKUP($A403,'SegEnds_NonXtal_BW#'!$A:$Z,9,FALSE)+VLOOKUP($A403,A:AL,13,FALSE)-50))</f>
        <v>-</v>
      </c>
      <c r="M403" s="3" t="s">
        <v>23</v>
      </c>
      <c r="N403" s="3" t="str">
        <f>IF(ISERROR(VLOOKUP($A403,'SegEnds_NonXtal_BW#'!$A:$Z,10,FALSE)+VLOOKUP($A403,A:AL,13,FALSE)-50),"-",(VLOOKUP($A403,'SegEnds_NonXtal_BW#'!$A:$Z,10,FALSE)+VLOOKUP($A403,A:AL,13,FALSE)-50))</f>
        <v>-</v>
      </c>
      <c r="O403" s="3">
        <f>VLOOKUP($A403,'SegEnds_NonXtal_BW#'!$A:$Z,11,FALSE)+VLOOKUP($A403,A:AL,16,FALSE)-50</f>
        <v>78</v>
      </c>
      <c r="P403" s="3">
        <v>107</v>
      </c>
      <c r="Q403" s="3">
        <f>VLOOKUP($A403,'SegEnds_NonXtal_BW#'!$A:$Z,12,FALSE)+VLOOKUP($A403,A:AL,16,FALSE)-50</f>
        <v>113</v>
      </c>
      <c r="R403" s="3">
        <f t="shared" si="251"/>
        <v>116</v>
      </c>
      <c r="S403" s="3">
        <v>116</v>
      </c>
      <c r="T403" s="100">
        <f t="shared" si="252"/>
        <v>123</v>
      </c>
      <c r="U403" s="9">
        <f>IF(ISERROR(VLOOKUP($A403,'SegEnds_NonXtal_BW#'!$A:$Z,15,FALSE)+VLOOKUP($A403,A:AL,22,FALSE)-50),"-",VLOOKUP($A403,'SegEnds_NonXtal_BW#'!$A:$Z,15,FALSE)+VLOOKUP($A403,A:AL,22,FALSE)-50)</f>
        <v>124</v>
      </c>
      <c r="V403" s="3">
        <v>136</v>
      </c>
      <c r="W403" s="3">
        <f>IF(ISERROR(VLOOKUP($A403,'SegEnds_NonXtal_BW#'!$A:$Z,16,FALSE)+VLOOKUP($A403,A:AL,22,FALSE)-50),"-",(VLOOKUP($A403,'SegEnds_NonXtal_BW#'!$A:$Z,16,FALSE)+VLOOKUP($A403,A:AL,22,FALSE)-50))</f>
        <v>148</v>
      </c>
      <c r="X403" s="3" t="str">
        <f>IF(ISERROR(VLOOKUP($A403,'SegEnds_NonXtal_BW#'!$A:$Z,17,FALSE)+VLOOKUP($A403,A:AL,25,FALSE)-50),"-",(VLOOKUP($A403,'SegEnds_NonXtal_BW#'!$A:$Z,17,FALSE)+VLOOKUP($A403,A:AL,25,FALSE)-50))</f>
        <v>-</v>
      </c>
      <c r="Y403" s="3" t="s">
        <v>23</v>
      </c>
      <c r="Z403" s="3" t="str">
        <f>IF(ISERROR(VLOOKUP($A403,'SegEnds_NonXtal_BW#'!$A:$Z,18,FALSE)+VLOOKUP($A403,A:AL,25,FALSE)-50),"-",(VLOOKUP($A403,'SegEnds_NonXtal_BW#'!$A:$Z,18,FALSE)+VLOOKUP($A403,A:AL,25,FALSE)-50))</f>
        <v>-</v>
      </c>
      <c r="AA403" s="3">
        <f>IF(ISERROR(VLOOKUP($A403,'SegEnds_NonXtal_BW#'!$A:$Z,19,FALSE)+VLOOKUP($A403,A:AL,28,FALSE)-50),"-",(VLOOKUP($A403,'SegEnds_NonXtal_BW#'!$A:$Z,19,FALSE)+VLOOKUP($A403,A:AL,28,FALSE)-50))</f>
        <v>174</v>
      </c>
      <c r="AB403" s="3">
        <v>192</v>
      </c>
      <c r="AC403" s="3">
        <f>IF(ISERROR((VLOOKUP($A403,'SegEnds_NonXtal_BW#'!$A:$Z,20,FALSE)+VLOOKUP($A403,A:AL,28,FALSE)-50)),"-",(VLOOKUP($A403,'SegEnds_NonXtal_BW#'!$A:$Z,20,FALSE)+VLOOKUP($A403,A:AL,28,FALSE)-50))</f>
        <v>214</v>
      </c>
      <c r="AD403" s="3">
        <f>IF(ISERROR(VLOOKUP($A403,'SegEnds_NonXtal_BW#'!$A:$Z,21,FALSE)+VLOOKUP($A403,A:AL,31,FALSE)-50),"-",(VLOOKUP($A403,'SegEnds_NonXtal_BW#'!$A:$Z,21,FALSE)+VLOOKUP($A403,A:AL,31,FALSE)-50))</f>
        <v>224</v>
      </c>
      <c r="AE403" s="3">
        <v>245</v>
      </c>
      <c r="AF403" s="3">
        <f>IF(ISERROR((VLOOKUP($A403,'SegEnds_NonXtal_BW#'!$A:$Z,22,FALSE)+VLOOKUP($A403,A:AL,31,FALSE)-50)),"-",(VLOOKUP($A403,'SegEnds_NonXtal_BW#'!$A:$Z,22,FALSE)+VLOOKUP($A403,A:AL,31,FALSE)-50))</f>
        <v>256</v>
      </c>
      <c r="AG403" s="3">
        <f>IF(ISERROR(VLOOKUP($A403,'SegEnds_NonXtal_BW#'!$A:$Z,23,FALSE)+VLOOKUP($A403,A:AL,34,FALSE)-50),"-",(VLOOKUP($A403,'SegEnds_NonXtal_BW#'!$A:$Z,23,FALSE)+VLOOKUP($A403,A:AL,34,FALSE)-50))</f>
        <v>261</v>
      </c>
      <c r="AH403" s="3">
        <v>280</v>
      </c>
      <c r="AI403" s="3">
        <f>IF(ISERROR((VLOOKUP($A403,'SegEnds_NonXtal_BW#'!$A:$Z,24,FALSE)+VLOOKUP($A403,A:AL,34,FALSE)-50)),"-",(VLOOKUP($A403,'SegEnds_NonXtal_BW#'!$A:$Z,24,FALSE)+VLOOKUP($A403,A:AL,34,FALSE)-50))</f>
        <v>286</v>
      </c>
      <c r="AJ403" s="3">
        <f>IF(ISERROR(VLOOKUP($A403,'SegEnds_NonXtal_BW#'!$A:$Z,25,FALSE)+VLOOKUP($A403,A:AL,37,FALSE)-50),"-",(VLOOKUP($A403,'SegEnds_NonXtal_BW#'!$A:$Z,25,FALSE)+VLOOKUP($A403,A:AL,37,FALSE)-50))</f>
        <v>287</v>
      </c>
      <c r="AK403" s="3">
        <v>290</v>
      </c>
      <c r="AL403" s="3">
        <f>IF(ISERROR((VLOOKUP($A403,'SegEnds_NonXtal_BW#'!$A:$Z,26,FALSE)+VLOOKUP($A403,A:AL,37,FALSE)-50)),"-",(VLOOKUP($A403,'SegEnds_NonXtal_BW#'!$A:$Z,26,FALSE)+VLOOKUP($A403,A:AL,37,FALSE)-50))</f>
        <v>300</v>
      </c>
      <c r="AM403" s="28" t="str">
        <f>VLOOKUP(A403,Classification!A:B,2,FALSE)</f>
        <v>T</v>
      </c>
      <c r="AN403" s="28" t="b">
        <f t="shared" si="269"/>
        <v>1</v>
      </c>
      <c r="AO403" s="3" t="str">
        <f>IF(ISERROR(MATCH(A403,'SegEnds_Xtal_Prot#'!B:B, 0)), "NoXtal", "Xtal")</f>
        <v>NoXtal</v>
      </c>
      <c r="AP403" s="3">
        <f t="shared" si="254"/>
        <v>1</v>
      </c>
      <c r="AQ403" s="3">
        <f t="shared" si="255"/>
        <v>1</v>
      </c>
      <c r="AR403" s="3" t="str">
        <f t="shared" si="256"/>
        <v>-</v>
      </c>
      <c r="AS403" s="3" t="str">
        <f t="shared" si="257"/>
        <v>-</v>
      </c>
      <c r="AT403" s="3">
        <f t="shared" si="258"/>
        <v>3</v>
      </c>
      <c r="AU403" s="3">
        <f t="shared" si="259"/>
        <v>1</v>
      </c>
      <c r="AV403" s="3" t="str">
        <f t="shared" si="260"/>
        <v>-</v>
      </c>
      <c r="AW403" s="3" t="str">
        <f t="shared" si="261"/>
        <v>-</v>
      </c>
      <c r="AX403" s="3">
        <f t="shared" si="262"/>
        <v>10</v>
      </c>
      <c r="AY403" s="3">
        <f t="shared" si="263"/>
        <v>5</v>
      </c>
      <c r="AZ403" s="3">
        <f t="shared" si="264"/>
        <v>1</v>
      </c>
      <c r="BA403" s="3">
        <f>IF(ISERROR(LEN(VLOOKUP(A403,Seqs!A:E,2,FALSE))-AL403),"-",LEN(VLOOKUP(A403,Seqs!A:E,2,FALSE))-AL403)</f>
        <v>7</v>
      </c>
      <c r="BB403" s="16">
        <f t="shared" si="265"/>
        <v>31</v>
      </c>
      <c r="BC403" s="9">
        <f t="shared" si="266"/>
        <v>20</v>
      </c>
      <c r="BD403" s="3">
        <f t="shared" si="267"/>
        <v>31</v>
      </c>
      <c r="BE403" s="3">
        <f t="shared" si="268"/>
        <v>53</v>
      </c>
      <c r="BF403" s="3">
        <f t="shared" si="253"/>
        <v>35</v>
      </c>
    </row>
    <row r="404" spans="1:58" s="3" customFormat="1" x14ac:dyDescent="0.2">
      <c r="A404" s="3" t="s">
        <v>462</v>
      </c>
      <c r="B404" s="3" t="str">
        <f>LOWER(VLOOKUP(A404,Xtal_Templ!A:B,2,FALSE))</f>
        <v>hrh1_human</v>
      </c>
      <c r="C404" s="3">
        <f>VLOOKUP($A404,'SegEnds_NonXtal_BW#'!$A:$Z,3,FALSE)+D404-50</f>
        <v>6</v>
      </c>
      <c r="D404" s="3">
        <v>24</v>
      </c>
      <c r="E404" s="3">
        <f t="shared" si="248"/>
        <v>36</v>
      </c>
      <c r="F404" s="3">
        <f t="shared" si="249"/>
        <v>37</v>
      </c>
      <c r="G404" s="3">
        <v>39</v>
      </c>
      <c r="H404" s="3">
        <f t="shared" si="250"/>
        <v>40</v>
      </c>
      <c r="I404" s="3">
        <f t="shared" si="250"/>
        <v>41</v>
      </c>
      <c r="J404" s="3">
        <v>55</v>
      </c>
      <c r="K404" s="3">
        <f>VLOOKUP($A404,'SegEnds_NonXtal_BW#'!$A:$Z,8,FALSE)+VLOOKUP($A404,A:AL,10,FALSE)-50</f>
        <v>72</v>
      </c>
      <c r="L404" s="3" t="str">
        <f>IF(ISERROR(VLOOKUP($A404,'SegEnds_NonXtal_BW#'!$A:$Z,9,FALSE)+VLOOKUP($A404,A:AL,13,FALSE)-50),"-",(VLOOKUP($A404,'SegEnds_NonXtal_BW#'!$A:$Z,9,FALSE)+VLOOKUP($A404,A:AL,13,FALSE)-50))</f>
        <v>-</v>
      </c>
      <c r="M404" s="3" t="s">
        <v>23</v>
      </c>
      <c r="N404" s="3" t="str">
        <f>IF(ISERROR(VLOOKUP($A404,'SegEnds_NonXtal_BW#'!$A:$Z,10,FALSE)+VLOOKUP($A404,A:AL,13,FALSE)-50),"-",(VLOOKUP($A404,'SegEnds_NonXtal_BW#'!$A:$Z,10,FALSE)+VLOOKUP($A404,A:AL,13,FALSE)-50))</f>
        <v>-</v>
      </c>
      <c r="O404" s="3">
        <f>VLOOKUP($A404,'SegEnds_NonXtal_BW#'!$A:$Z,11,FALSE)+VLOOKUP($A404,A:AL,16,FALSE)-50</f>
        <v>78</v>
      </c>
      <c r="P404" s="3">
        <v>107</v>
      </c>
      <c r="Q404" s="3">
        <f>VLOOKUP($A404,'SegEnds_NonXtal_BW#'!$A:$Z,12,FALSE)+VLOOKUP($A404,A:AL,16,FALSE)-50</f>
        <v>113</v>
      </c>
      <c r="R404" s="3">
        <f t="shared" si="251"/>
        <v>116</v>
      </c>
      <c r="S404" s="3">
        <v>116</v>
      </c>
      <c r="T404" s="100">
        <f t="shared" si="252"/>
        <v>123</v>
      </c>
      <c r="U404" s="9">
        <f>IF(ISERROR(VLOOKUP($A404,'SegEnds_NonXtal_BW#'!$A:$Z,15,FALSE)+VLOOKUP($A404,A:AL,22,FALSE)-50),"-",VLOOKUP($A404,'SegEnds_NonXtal_BW#'!$A:$Z,15,FALSE)+VLOOKUP($A404,A:AL,22,FALSE)-50)</f>
        <v>124</v>
      </c>
      <c r="V404" s="3">
        <v>136</v>
      </c>
      <c r="W404" s="3">
        <f>IF(ISERROR(VLOOKUP($A404,'SegEnds_NonXtal_BW#'!$A:$Z,16,FALSE)+VLOOKUP($A404,A:AL,22,FALSE)-50),"-",(VLOOKUP($A404,'SegEnds_NonXtal_BW#'!$A:$Z,16,FALSE)+VLOOKUP($A404,A:AL,22,FALSE)-50))</f>
        <v>148</v>
      </c>
      <c r="X404" s="3" t="str">
        <f>IF(ISERROR(VLOOKUP($A404,'SegEnds_NonXtal_BW#'!$A:$Z,17,FALSE)+VLOOKUP($A404,A:AL,25,FALSE)-50),"-",(VLOOKUP($A404,'SegEnds_NonXtal_BW#'!$A:$Z,17,FALSE)+VLOOKUP($A404,A:AL,25,FALSE)-50))</f>
        <v>-</v>
      </c>
      <c r="Y404" s="3" t="s">
        <v>23</v>
      </c>
      <c r="Z404" s="3" t="str">
        <f>IF(ISERROR(VLOOKUP($A404,'SegEnds_NonXtal_BW#'!$A:$Z,18,FALSE)+VLOOKUP($A404,A:AL,25,FALSE)-50),"-",(VLOOKUP($A404,'SegEnds_NonXtal_BW#'!$A:$Z,18,FALSE)+VLOOKUP($A404,A:AL,25,FALSE)-50))</f>
        <v>-</v>
      </c>
      <c r="AA404" s="3">
        <f>IF(ISERROR(VLOOKUP($A404,'SegEnds_NonXtal_BW#'!$A:$Z,19,FALSE)+VLOOKUP($A404,A:AL,28,FALSE)-50),"-",(VLOOKUP($A404,'SegEnds_NonXtal_BW#'!$A:$Z,19,FALSE)+VLOOKUP($A404,A:AL,28,FALSE)-50))</f>
        <v>174</v>
      </c>
      <c r="AB404" s="3">
        <v>192</v>
      </c>
      <c r="AC404" s="3">
        <f>IF(ISERROR((VLOOKUP($A404,'SegEnds_NonXtal_BW#'!$A:$Z,20,FALSE)+VLOOKUP($A404,A:AL,28,FALSE)-50)),"-",(VLOOKUP($A404,'SegEnds_NonXtal_BW#'!$A:$Z,20,FALSE)+VLOOKUP($A404,A:AL,28,FALSE)-50))</f>
        <v>214</v>
      </c>
      <c r="AD404" s="3">
        <f>IF(ISERROR(VLOOKUP($A404,'SegEnds_NonXtal_BW#'!$A:$Z,21,FALSE)+VLOOKUP($A404,A:AL,31,FALSE)-50),"-",(VLOOKUP($A404,'SegEnds_NonXtal_BW#'!$A:$Z,21,FALSE)+VLOOKUP($A404,A:AL,31,FALSE)-50))</f>
        <v>224</v>
      </c>
      <c r="AE404" s="3">
        <v>245</v>
      </c>
      <c r="AF404" s="3">
        <f>IF(ISERROR((VLOOKUP($A404,'SegEnds_NonXtal_BW#'!$A:$Z,22,FALSE)+VLOOKUP($A404,A:AL,31,FALSE)-50)),"-",(VLOOKUP($A404,'SegEnds_NonXtal_BW#'!$A:$Z,22,FALSE)+VLOOKUP($A404,A:AL,31,FALSE)-50))</f>
        <v>256</v>
      </c>
      <c r="AG404" s="3">
        <f>IF(ISERROR(VLOOKUP($A404,'SegEnds_NonXtal_BW#'!$A:$Z,23,FALSE)+VLOOKUP($A404,A:AL,34,FALSE)-50),"-",(VLOOKUP($A404,'SegEnds_NonXtal_BW#'!$A:$Z,23,FALSE)+VLOOKUP($A404,A:AL,34,FALSE)-50))</f>
        <v>262</v>
      </c>
      <c r="AH404" s="3">
        <v>281</v>
      </c>
      <c r="AI404" s="3">
        <f>IF(ISERROR((VLOOKUP($A404,'SegEnds_NonXtal_BW#'!$A:$Z,24,FALSE)+VLOOKUP($A404,A:AL,34,FALSE)-50)),"-",(VLOOKUP($A404,'SegEnds_NonXtal_BW#'!$A:$Z,24,FALSE)+VLOOKUP($A404,A:AL,34,FALSE)-50))</f>
        <v>287</v>
      </c>
      <c r="AJ404" s="3">
        <f>IF(ISERROR(VLOOKUP($A404,'SegEnds_NonXtal_BW#'!$A:$Z,25,FALSE)+VLOOKUP($A404,A:AL,37,FALSE)-50),"-",(VLOOKUP($A404,'SegEnds_NonXtal_BW#'!$A:$Z,25,FALSE)+VLOOKUP($A404,A:AL,37,FALSE)-50))</f>
        <v>288</v>
      </c>
      <c r="AK404" s="3">
        <v>291</v>
      </c>
      <c r="AL404" s="3">
        <f>IF(ISERROR((VLOOKUP($A404,'SegEnds_NonXtal_BW#'!$A:$Z,26,FALSE)+VLOOKUP($A404,A:AL,37,FALSE)-50)),"-",(VLOOKUP($A404,'SegEnds_NonXtal_BW#'!$A:$Z,26,FALSE)+VLOOKUP($A404,A:AL,37,FALSE)-50))</f>
        <v>301</v>
      </c>
      <c r="AM404" s="28" t="str">
        <f>VLOOKUP(A404,Classification!A:B,2,FALSE)</f>
        <v>T</v>
      </c>
      <c r="AN404" s="28" t="b">
        <f t="shared" si="269"/>
        <v>1</v>
      </c>
      <c r="AO404" s="3" t="str">
        <f>IF(ISERROR(MATCH(A404,'SegEnds_Xtal_Prot#'!B:B, 0)), "NoXtal", "Xtal")</f>
        <v>NoXtal</v>
      </c>
      <c r="AP404" s="3">
        <f t="shared" si="254"/>
        <v>1</v>
      </c>
      <c r="AQ404" s="3">
        <f t="shared" si="255"/>
        <v>1</v>
      </c>
      <c r="AR404" s="3" t="str">
        <f t="shared" si="256"/>
        <v>-</v>
      </c>
      <c r="AS404" s="3" t="str">
        <f t="shared" si="257"/>
        <v>-</v>
      </c>
      <c r="AT404" s="3">
        <f t="shared" si="258"/>
        <v>3</v>
      </c>
      <c r="AU404" s="3">
        <f t="shared" si="259"/>
        <v>1</v>
      </c>
      <c r="AV404" s="3" t="str">
        <f t="shared" si="260"/>
        <v>-</v>
      </c>
      <c r="AW404" s="3" t="str">
        <f t="shared" si="261"/>
        <v>-</v>
      </c>
      <c r="AX404" s="3">
        <f t="shared" si="262"/>
        <v>10</v>
      </c>
      <c r="AY404" s="3">
        <f t="shared" si="263"/>
        <v>6</v>
      </c>
      <c r="AZ404" s="3">
        <f t="shared" si="264"/>
        <v>1</v>
      </c>
      <c r="BA404" s="3">
        <f>IF(ISERROR(LEN(VLOOKUP(A404,Seqs!A:E,2,FALSE))-AL404),"-",LEN(VLOOKUP(A404,Seqs!A:E,2,FALSE))-AL404)</f>
        <v>13</v>
      </c>
      <c r="BB404" s="16">
        <f t="shared" si="265"/>
        <v>31</v>
      </c>
      <c r="BC404" s="9">
        <f t="shared" si="266"/>
        <v>20</v>
      </c>
      <c r="BD404" s="3">
        <f t="shared" si="267"/>
        <v>31</v>
      </c>
      <c r="BE404" s="3">
        <f t="shared" si="268"/>
        <v>53</v>
      </c>
      <c r="BF404" s="3">
        <f t="shared" si="253"/>
        <v>36</v>
      </c>
    </row>
    <row r="405" spans="1:58" s="3" customFormat="1" x14ac:dyDescent="0.2">
      <c r="A405" s="3" t="s">
        <v>463</v>
      </c>
      <c r="B405" s="3" t="str">
        <f>LOWER(VLOOKUP(A405,Xtal_Templ!A:B,2,FALSE))</f>
        <v>drd2_human</v>
      </c>
      <c r="C405" s="3">
        <f>VLOOKUP($A405,'SegEnds_NonXtal_BW#'!$A:$Z,3,FALSE)+D405-50</f>
        <v>6</v>
      </c>
      <c r="D405" s="3">
        <v>24</v>
      </c>
      <c r="E405" s="3">
        <f t="shared" si="248"/>
        <v>36</v>
      </c>
      <c r="F405" s="3">
        <f t="shared" si="249"/>
        <v>37</v>
      </c>
      <c r="G405" s="3">
        <v>39</v>
      </c>
      <c r="H405" s="3">
        <f t="shared" si="250"/>
        <v>40</v>
      </c>
      <c r="I405" s="3">
        <f t="shared" si="250"/>
        <v>41</v>
      </c>
      <c r="J405" s="3">
        <v>55</v>
      </c>
      <c r="K405" s="3">
        <f>VLOOKUP($A405,'SegEnds_NonXtal_BW#'!$A:$Z,8,FALSE)+VLOOKUP($A405,A:AL,10,FALSE)-50</f>
        <v>71</v>
      </c>
      <c r="L405" s="3" t="str">
        <f>IF(ISERROR(VLOOKUP($A405,'SegEnds_NonXtal_BW#'!$A:$Z,9,FALSE)+VLOOKUP($A405,A:AL,13,FALSE)-50),"-",(VLOOKUP($A405,'SegEnds_NonXtal_BW#'!$A:$Z,9,FALSE)+VLOOKUP($A405,A:AL,13,FALSE)-50))</f>
        <v>-</v>
      </c>
      <c r="M405" s="3" t="s">
        <v>23</v>
      </c>
      <c r="N405" s="3" t="str">
        <f>IF(ISERROR(VLOOKUP($A405,'SegEnds_NonXtal_BW#'!$A:$Z,10,FALSE)+VLOOKUP($A405,A:AL,13,FALSE)-50),"-",(VLOOKUP($A405,'SegEnds_NonXtal_BW#'!$A:$Z,10,FALSE)+VLOOKUP($A405,A:AL,13,FALSE)-50))</f>
        <v>-</v>
      </c>
      <c r="O405" s="3">
        <f>VLOOKUP($A405,'SegEnds_NonXtal_BW#'!$A:$Z,11,FALSE)+VLOOKUP($A405,A:AL,16,FALSE)-50</f>
        <v>77</v>
      </c>
      <c r="P405" s="3">
        <v>106</v>
      </c>
      <c r="Q405" s="3">
        <f>VLOOKUP($A405,'SegEnds_NonXtal_BW#'!$A:$Z,12,FALSE)+VLOOKUP($A405,A:AL,16,FALSE)-50</f>
        <v>112</v>
      </c>
      <c r="R405" s="3">
        <f t="shared" si="251"/>
        <v>115</v>
      </c>
      <c r="S405" s="3">
        <v>115</v>
      </c>
      <c r="T405" s="100">
        <f t="shared" si="252"/>
        <v>122</v>
      </c>
      <c r="U405" s="9">
        <f>IF(ISERROR(VLOOKUP($A405,'SegEnds_NonXtal_BW#'!$A:$Z,15,FALSE)+VLOOKUP($A405,A:AL,22,FALSE)-50),"-",VLOOKUP($A405,'SegEnds_NonXtal_BW#'!$A:$Z,15,FALSE)+VLOOKUP($A405,A:AL,22,FALSE)-50)</f>
        <v>123</v>
      </c>
      <c r="V405" s="3">
        <v>135</v>
      </c>
      <c r="W405" s="3">
        <f>IF(ISERROR(VLOOKUP($A405,'SegEnds_NonXtal_BW#'!$A:$Z,16,FALSE)+VLOOKUP($A405,A:AL,22,FALSE)-50),"-",(VLOOKUP($A405,'SegEnds_NonXtal_BW#'!$A:$Z,16,FALSE)+VLOOKUP($A405,A:AL,22,FALSE)-50))</f>
        <v>147</v>
      </c>
      <c r="X405" s="3" t="str">
        <f>IF(ISERROR(VLOOKUP($A405,'SegEnds_NonXtal_BW#'!$A:$Z,17,FALSE)+VLOOKUP($A405,A:AL,25,FALSE)-50),"-",(VLOOKUP($A405,'SegEnds_NonXtal_BW#'!$A:$Z,17,FALSE)+VLOOKUP($A405,A:AL,25,FALSE)-50))</f>
        <v>-</v>
      </c>
      <c r="Y405" s="3" t="s">
        <v>23</v>
      </c>
      <c r="Z405" s="3" t="str">
        <f>IF(ISERROR(VLOOKUP($A405,'SegEnds_NonXtal_BW#'!$A:$Z,18,FALSE)+VLOOKUP($A405,A:AL,25,FALSE)-50),"-",(VLOOKUP($A405,'SegEnds_NonXtal_BW#'!$A:$Z,18,FALSE)+VLOOKUP($A405,A:AL,25,FALSE)-50))</f>
        <v>-</v>
      </c>
      <c r="AA405" s="3">
        <f>IF(ISERROR(VLOOKUP($A405,'SegEnds_NonXtal_BW#'!$A:$Z,19,FALSE)+VLOOKUP($A405,A:AL,28,FALSE)-50),"-",(VLOOKUP($A405,'SegEnds_NonXtal_BW#'!$A:$Z,19,FALSE)+VLOOKUP($A405,A:AL,28,FALSE)-50))</f>
        <v>169</v>
      </c>
      <c r="AB405" s="3">
        <v>187</v>
      </c>
      <c r="AC405" s="3">
        <f>IF(ISERROR((VLOOKUP($A405,'SegEnds_NonXtal_BW#'!$A:$Z,20,FALSE)+VLOOKUP($A405,A:AL,28,FALSE)-50)),"-",(VLOOKUP($A405,'SegEnds_NonXtal_BW#'!$A:$Z,20,FALSE)+VLOOKUP($A405,A:AL,28,FALSE)-50))</f>
        <v>209</v>
      </c>
      <c r="AD405" s="3">
        <f>IF(ISERROR(VLOOKUP($A405,'SegEnds_NonXtal_BW#'!$A:$Z,21,FALSE)+VLOOKUP($A405,A:AL,31,FALSE)-50),"-",(VLOOKUP($A405,'SegEnds_NonXtal_BW#'!$A:$Z,21,FALSE)+VLOOKUP($A405,A:AL,31,FALSE)-50))</f>
        <v>219</v>
      </c>
      <c r="AE405" s="3">
        <v>240</v>
      </c>
      <c r="AF405" s="3">
        <f>IF(ISERROR((VLOOKUP($A405,'SegEnds_NonXtal_BW#'!$A:$Z,22,FALSE)+VLOOKUP($A405,A:AL,31,FALSE)-50)),"-",(VLOOKUP($A405,'SegEnds_NonXtal_BW#'!$A:$Z,22,FALSE)+VLOOKUP($A405,A:AL,31,FALSE)-50))</f>
        <v>251</v>
      </c>
      <c r="AG405" s="3">
        <f>IF(ISERROR(VLOOKUP($A405,'SegEnds_NonXtal_BW#'!$A:$Z,23,FALSE)+VLOOKUP($A405,A:AL,34,FALSE)-50),"-",(VLOOKUP($A405,'SegEnds_NonXtal_BW#'!$A:$Z,23,FALSE)+VLOOKUP($A405,A:AL,34,FALSE)-50))</f>
        <v>257</v>
      </c>
      <c r="AH405" s="3">
        <v>276</v>
      </c>
      <c r="AI405" s="3">
        <f>IF(ISERROR((VLOOKUP($A405,'SegEnds_NonXtal_BW#'!$A:$Z,24,FALSE)+VLOOKUP($A405,A:AL,34,FALSE)-50)),"-",(VLOOKUP($A405,'SegEnds_NonXtal_BW#'!$A:$Z,24,FALSE)+VLOOKUP($A405,A:AL,34,FALSE)-50))</f>
        <v>282</v>
      </c>
      <c r="AJ405" s="3">
        <f>IF(ISERROR(VLOOKUP($A405,'SegEnds_NonXtal_BW#'!$A:$Z,25,FALSE)+VLOOKUP($A405,A:AL,37,FALSE)-50),"-",(VLOOKUP($A405,'SegEnds_NonXtal_BW#'!$A:$Z,25,FALSE)+VLOOKUP($A405,A:AL,37,FALSE)-50))</f>
        <v>283</v>
      </c>
      <c r="AK405" s="3">
        <v>286</v>
      </c>
      <c r="AL405" s="3">
        <f>IF(ISERROR((VLOOKUP($A405,'SegEnds_NonXtal_BW#'!$A:$Z,26,FALSE)+VLOOKUP($A405,A:AL,37,FALSE)-50)),"-",(VLOOKUP($A405,'SegEnds_NonXtal_BW#'!$A:$Z,26,FALSE)+VLOOKUP($A405,A:AL,37,FALSE)-50))</f>
        <v>296</v>
      </c>
      <c r="AM405" s="28" t="str">
        <f>VLOOKUP(A405,Classification!A:B,2,FALSE)</f>
        <v>T</v>
      </c>
      <c r="AN405" s="28" t="b">
        <f t="shared" si="269"/>
        <v>1</v>
      </c>
      <c r="AO405" s="3" t="str">
        <f>IF(ISERROR(MATCH(A405,'SegEnds_Xtal_Prot#'!B:B, 0)), "NoXtal", "Xtal")</f>
        <v>NoXtal</v>
      </c>
      <c r="AP405" s="3">
        <f t="shared" si="254"/>
        <v>1</v>
      </c>
      <c r="AQ405" s="3">
        <f t="shared" si="255"/>
        <v>1</v>
      </c>
      <c r="AR405" s="3" t="str">
        <f t="shared" si="256"/>
        <v>-</v>
      </c>
      <c r="AS405" s="3" t="str">
        <f t="shared" si="257"/>
        <v>-</v>
      </c>
      <c r="AT405" s="3">
        <f t="shared" si="258"/>
        <v>3</v>
      </c>
      <c r="AU405" s="3">
        <f t="shared" si="259"/>
        <v>1</v>
      </c>
      <c r="AV405" s="3" t="str">
        <f t="shared" si="260"/>
        <v>-</v>
      </c>
      <c r="AW405" s="3" t="str">
        <f t="shared" si="261"/>
        <v>-</v>
      </c>
      <c r="AX405" s="3">
        <f t="shared" si="262"/>
        <v>10</v>
      </c>
      <c r="AY405" s="3">
        <f t="shared" si="263"/>
        <v>6</v>
      </c>
      <c r="AZ405" s="3">
        <f t="shared" si="264"/>
        <v>1</v>
      </c>
      <c r="BA405" s="3">
        <f>IF(ISERROR(LEN(VLOOKUP(A405,Seqs!A:E,2,FALSE))-AL405),"-",LEN(VLOOKUP(A405,Seqs!A:E,2,FALSE))-AL405)</f>
        <v>13</v>
      </c>
      <c r="BB405" s="16">
        <f t="shared" si="265"/>
        <v>31</v>
      </c>
      <c r="BC405" s="9">
        <f t="shared" si="266"/>
        <v>20</v>
      </c>
      <c r="BD405" s="3">
        <f t="shared" si="267"/>
        <v>31</v>
      </c>
      <c r="BE405" s="3">
        <f t="shared" si="268"/>
        <v>53</v>
      </c>
      <c r="BF405" s="3">
        <f t="shared" si="253"/>
        <v>36</v>
      </c>
    </row>
    <row r="406" spans="1:58" s="3" customFormat="1" x14ac:dyDescent="0.2">
      <c r="A406" s="3" t="s">
        <v>923</v>
      </c>
      <c r="B406" s="3" t="str">
        <f>LOWER(VLOOKUP(A406,Xtal_Templ!A:B,2,FALSE))</f>
        <v>5ht2c_human</v>
      </c>
      <c r="C406" s="3">
        <f>VLOOKUP($A406,'SegEnds_NonXtal_BW#'!$A:$Z,3,FALSE)+D406-50</f>
        <v>6</v>
      </c>
      <c r="D406" s="3">
        <v>24</v>
      </c>
      <c r="E406" s="3">
        <f t="shared" si="248"/>
        <v>36</v>
      </c>
      <c r="F406" s="3">
        <f t="shared" si="249"/>
        <v>37</v>
      </c>
      <c r="G406" s="3">
        <v>39</v>
      </c>
      <c r="H406" s="3">
        <f t="shared" si="250"/>
        <v>40</v>
      </c>
      <c r="I406" s="3">
        <f t="shared" si="250"/>
        <v>41</v>
      </c>
      <c r="J406" s="3">
        <v>55</v>
      </c>
      <c r="K406" s="3">
        <f>VLOOKUP($A406,'SegEnds_NonXtal_BW#'!$A:$Z,8,FALSE)+VLOOKUP($A406,A:AL,10,FALSE)-50</f>
        <v>71</v>
      </c>
      <c r="L406" s="3" t="str">
        <f>IF(ISERROR(VLOOKUP($A406,'SegEnds_NonXtal_BW#'!$A:$Z,9,FALSE)+VLOOKUP($A406,A:AL,13,FALSE)-50),"-",(VLOOKUP($A406,'SegEnds_NonXtal_BW#'!$A:$Z,9,FALSE)+VLOOKUP($A406,A:AL,13,FALSE)-50))</f>
        <v>-</v>
      </c>
      <c r="M406" s="3" t="s">
        <v>23</v>
      </c>
      <c r="N406" s="3" t="str">
        <f>IF(ISERROR(VLOOKUP($A406,'SegEnds_NonXtal_BW#'!$A:$Z,10,FALSE)+VLOOKUP($A406,A:AL,13,FALSE)-50),"-",(VLOOKUP($A406,'SegEnds_NonXtal_BW#'!$A:$Z,10,FALSE)+VLOOKUP($A406,A:AL,13,FALSE)-50))</f>
        <v>-</v>
      </c>
      <c r="O406" s="3">
        <f>VLOOKUP($A406,'SegEnds_NonXtal_BW#'!$A:$Z,11,FALSE)+VLOOKUP($A406,A:AL,16,FALSE)-50</f>
        <v>77</v>
      </c>
      <c r="P406" s="3">
        <v>106</v>
      </c>
      <c r="Q406" s="3">
        <f>VLOOKUP($A406,'SegEnds_NonXtal_BW#'!$A:$Z,12,FALSE)+VLOOKUP($A406,A:AL,16,FALSE)-50</f>
        <v>112</v>
      </c>
      <c r="R406" s="3">
        <f t="shared" si="251"/>
        <v>115</v>
      </c>
      <c r="S406" s="3">
        <v>115</v>
      </c>
      <c r="T406" s="100">
        <f t="shared" si="252"/>
        <v>122</v>
      </c>
      <c r="U406" s="9">
        <f>IF(ISERROR(VLOOKUP($A406,'SegEnds_NonXtal_BW#'!$A:$Z,15,FALSE)+VLOOKUP($A406,A:AL,22,FALSE)-50),"-",VLOOKUP($A406,'SegEnds_NonXtal_BW#'!$A:$Z,15,FALSE)+VLOOKUP($A406,A:AL,22,FALSE)-50)</f>
        <v>123</v>
      </c>
      <c r="V406" s="3">
        <v>135</v>
      </c>
      <c r="W406" s="3">
        <f>IF(ISERROR(VLOOKUP($A406,'SegEnds_NonXtal_BW#'!$A:$Z,16,FALSE)+VLOOKUP($A406,A:AL,22,FALSE)-50),"-",(VLOOKUP($A406,'SegEnds_NonXtal_BW#'!$A:$Z,16,FALSE)+VLOOKUP($A406,A:AL,22,FALSE)-50))</f>
        <v>152</v>
      </c>
      <c r="X406" s="3" t="str">
        <f>IF(ISERROR(VLOOKUP($A406,'SegEnds_NonXtal_BW#'!$A:$Z,17,FALSE)+VLOOKUP($A406,A:AL,25,FALSE)-50),"-",(VLOOKUP($A406,'SegEnds_NonXtal_BW#'!$A:$Z,17,FALSE)+VLOOKUP($A406,A:AL,25,FALSE)-50))</f>
        <v>-</v>
      </c>
      <c r="Y406" s="3" t="s">
        <v>23</v>
      </c>
      <c r="Z406" s="3" t="str">
        <f>IF(ISERROR(VLOOKUP($A406,'SegEnds_NonXtal_BW#'!$A:$Z,18,FALSE)+VLOOKUP($A406,A:AL,25,FALSE)-50),"-",(VLOOKUP($A406,'SegEnds_NonXtal_BW#'!$A:$Z,18,FALSE)+VLOOKUP($A406,A:AL,25,FALSE)-50))</f>
        <v>-</v>
      </c>
      <c r="AA406" s="3">
        <f>IF(ISERROR(VLOOKUP($A406,'SegEnds_NonXtal_BW#'!$A:$Z,19,FALSE)+VLOOKUP($A406,A:AL,28,FALSE)-50),"-",(VLOOKUP($A406,'SegEnds_NonXtal_BW#'!$A:$Z,19,FALSE)+VLOOKUP($A406,A:AL,28,FALSE)-50))</f>
        <v>169</v>
      </c>
      <c r="AB406" s="3">
        <v>187</v>
      </c>
      <c r="AC406" s="3">
        <f>IF(ISERROR((VLOOKUP($A406,'SegEnds_NonXtal_BW#'!$A:$Z,20,FALSE)+VLOOKUP($A406,A:AL,28,FALSE)-50)),"-",(VLOOKUP($A406,'SegEnds_NonXtal_BW#'!$A:$Z,20,FALSE)+VLOOKUP($A406,A:AL,28,FALSE)-50))</f>
        <v>209</v>
      </c>
      <c r="AD406" s="3">
        <f>IF(ISERROR(VLOOKUP($A406,'SegEnds_NonXtal_BW#'!$A:$Z,21,FALSE)+VLOOKUP($A406,A:AL,31,FALSE)-50),"-",(VLOOKUP($A406,'SegEnds_NonXtal_BW#'!$A:$Z,21,FALSE)+VLOOKUP($A406,A:AL,31,FALSE)-50))</f>
        <v>222</v>
      </c>
      <c r="AE406" s="3">
        <v>243</v>
      </c>
      <c r="AF406" s="3">
        <f>IF(ISERROR((VLOOKUP($A406,'SegEnds_NonXtal_BW#'!$A:$Z,22,FALSE)+VLOOKUP($A406,A:AL,31,FALSE)-50)),"-",(VLOOKUP($A406,'SegEnds_NonXtal_BW#'!$A:$Z,22,FALSE)+VLOOKUP($A406,A:AL,31,FALSE)-50))</f>
        <v>254</v>
      </c>
      <c r="AG406" s="3">
        <f>IF(ISERROR(VLOOKUP($A406,'SegEnds_NonXtal_BW#'!$A:$Z,23,FALSE)+VLOOKUP($A406,A:AL,34,FALSE)-50),"-",(VLOOKUP($A406,'SegEnds_NonXtal_BW#'!$A:$Z,23,FALSE)+VLOOKUP($A406,A:AL,34,FALSE)-50))</f>
        <v>259</v>
      </c>
      <c r="AH406" s="3">
        <v>276</v>
      </c>
      <c r="AI406" s="3">
        <f>IF(ISERROR((VLOOKUP($A406,'SegEnds_NonXtal_BW#'!$A:$Z,24,FALSE)+VLOOKUP($A406,A:AL,34,FALSE)-50)),"-",(VLOOKUP($A406,'SegEnds_NonXtal_BW#'!$A:$Z,24,FALSE)+VLOOKUP($A406,A:AL,34,FALSE)-50))</f>
        <v>282</v>
      </c>
      <c r="AJ406" s="3">
        <f>IF(ISERROR(VLOOKUP($A406,'SegEnds_NonXtal_BW#'!$A:$Z,25,FALSE)+VLOOKUP($A406,A:AL,37,FALSE)-50),"-",(VLOOKUP($A406,'SegEnds_NonXtal_BW#'!$A:$Z,25,FALSE)+VLOOKUP($A406,A:AL,37,FALSE)-50))</f>
        <v>283</v>
      </c>
      <c r="AK406" s="3">
        <v>286</v>
      </c>
      <c r="AL406" s="3">
        <f>IF(ISERROR((VLOOKUP($A406,'SegEnds_NonXtal_BW#'!$A:$Z,26,FALSE)+VLOOKUP($A406,A:AL,37,FALSE)-50)),"-",(VLOOKUP($A406,'SegEnds_NonXtal_BW#'!$A:$Z,26,FALSE)+VLOOKUP($A406,A:AL,37,FALSE)-50))</f>
        <v>296</v>
      </c>
      <c r="AM406" s="28" t="str">
        <f>VLOOKUP(A406,Classification!A:B,2,FALSE)</f>
        <v>T</v>
      </c>
      <c r="AN406" s="28" t="b">
        <f t="shared" si="269"/>
        <v>1</v>
      </c>
      <c r="AO406" s="3" t="str">
        <f>IF(ISERROR(MATCH(A406,'SegEnds_Xtal_Prot#'!B:B, 0)), "NoXtal", "Xtal")</f>
        <v>NoXtal</v>
      </c>
      <c r="AP406" s="3">
        <f t="shared" si="254"/>
        <v>1</v>
      </c>
      <c r="AQ406" s="3">
        <f t="shared" si="255"/>
        <v>1</v>
      </c>
      <c r="AR406" s="3" t="str">
        <f t="shared" si="256"/>
        <v>-</v>
      </c>
      <c r="AS406" s="3" t="str">
        <f t="shared" si="257"/>
        <v>-</v>
      </c>
      <c r="AT406" s="3">
        <f t="shared" si="258"/>
        <v>3</v>
      </c>
      <c r="AU406" s="3">
        <f t="shared" si="259"/>
        <v>1</v>
      </c>
      <c r="AV406" s="3" t="str">
        <f t="shared" si="260"/>
        <v>-</v>
      </c>
      <c r="AW406" s="3" t="str">
        <f t="shared" si="261"/>
        <v>-</v>
      </c>
      <c r="AX406" s="3">
        <f t="shared" si="262"/>
        <v>13</v>
      </c>
      <c r="AY406" s="3">
        <f t="shared" si="263"/>
        <v>5</v>
      </c>
      <c r="AZ406" s="3">
        <f t="shared" si="264"/>
        <v>1</v>
      </c>
      <c r="BA406" s="3">
        <f>IF(ISERROR(LEN(VLOOKUP(A406,Seqs!A:E,2,FALSE))-AL406),"-",LEN(VLOOKUP(A406,Seqs!A:E,2,FALSE))-AL406)</f>
        <v>3</v>
      </c>
      <c r="BB406" s="16">
        <f t="shared" si="265"/>
        <v>31</v>
      </c>
      <c r="BC406" s="9">
        <f t="shared" si="266"/>
        <v>20</v>
      </c>
      <c r="BD406" s="3">
        <f t="shared" si="267"/>
        <v>31</v>
      </c>
      <c r="BE406" s="3">
        <f t="shared" si="268"/>
        <v>56</v>
      </c>
      <c r="BF406" s="3">
        <f t="shared" si="253"/>
        <v>33</v>
      </c>
    </row>
    <row r="407" spans="1:58" s="3" customFormat="1" x14ac:dyDescent="0.2">
      <c r="A407" s="3" t="s">
        <v>464</v>
      </c>
      <c r="B407" s="3" t="str">
        <f>LOWER(VLOOKUP(A407,Xtal_Templ!A:B,2,FALSE))</f>
        <v>5ht2c_human</v>
      </c>
      <c r="C407" s="3">
        <f>VLOOKUP($A407,'SegEnds_NonXtal_BW#'!$A:$Z,3,FALSE)+D407-50</f>
        <v>6</v>
      </c>
      <c r="D407" s="3">
        <v>24</v>
      </c>
      <c r="E407" s="3">
        <f t="shared" si="248"/>
        <v>36</v>
      </c>
      <c r="F407" s="3">
        <f t="shared" si="249"/>
        <v>37</v>
      </c>
      <c r="G407" s="3">
        <v>39</v>
      </c>
      <c r="H407" s="3">
        <f t="shared" si="250"/>
        <v>40</v>
      </c>
      <c r="I407" s="3">
        <f t="shared" si="250"/>
        <v>41</v>
      </c>
      <c r="J407" s="3">
        <v>55</v>
      </c>
      <c r="K407" s="3">
        <f>VLOOKUP($A407,'SegEnds_NonXtal_BW#'!$A:$Z,8,FALSE)+VLOOKUP($A407,A:AL,10,FALSE)-50</f>
        <v>71</v>
      </c>
      <c r="L407" s="3" t="str">
        <f>IF(ISERROR(VLOOKUP($A407,'SegEnds_NonXtal_BW#'!$A:$Z,9,FALSE)+VLOOKUP($A407,A:AL,13,FALSE)-50),"-",(VLOOKUP($A407,'SegEnds_NonXtal_BW#'!$A:$Z,9,FALSE)+VLOOKUP($A407,A:AL,13,FALSE)-50))</f>
        <v>-</v>
      </c>
      <c r="M407" s="3" t="s">
        <v>23</v>
      </c>
      <c r="N407" s="3" t="str">
        <f>IF(ISERROR(VLOOKUP($A407,'SegEnds_NonXtal_BW#'!$A:$Z,10,FALSE)+VLOOKUP($A407,A:AL,13,FALSE)-50),"-",(VLOOKUP($A407,'SegEnds_NonXtal_BW#'!$A:$Z,10,FALSE)+VLOOKUP($A407,A:AL,13,FALSE)-50))</f>
        <v>-</v>
      </c>
      <c r="O407" s="3">
        <f>VLOOKUP($A407,'SegEnds_NonXtal_BW#'!$A:$Z,11,FALSE)+VLOOKUP($A407,A:AL,16,FALSE)-50</f>
        <v>77</v>
      </c>
      <c r="P407" s="3">
        <v>106</v>
      </c>
      <c r="Q407" s="3">
        <f>VLOOKUP($A407,'SegEnds_NonXtal_BW#'!$A:$Z,12,FALSE)+VLOOKUP($A407,A:AL,16,FALSE)-50</f>
        <v>112</v>
      </c>
      <c r="R407" s="3">
        <f t="shared" si="251"/>
        <v>115</v>
      </c>
      <c r="S407" s="3">
        <v>115</v>
      </c>
      <c r="T407" s="100">
        <f t="shared" si="252"/>
        <v>122</v>
      </c>
      <c r="U407" s="9">
        <f>IF(ISERROR(VLOOKUP($A407,'SegEnds_NonXtal_BW#'!$A:$Z,15,FALSE)+VLOOKUP($A407,A:AL,22,FALSE)-50),"-",VLOOKUP($A407,'SegEnds_NonXtal_BW#'!$A:$Z,15,FALSE)+VLOOKUP($A407,A:AL,22,FALSE)-50)</f>
        <v>123</v>
      </c>
      <c r="V407" s="3">
        <v>135</v>
      </c>
      <c r="W407" s="3">
        <f>IF(ISERROR(VLOOKUP($A407,'SegEnds_NonXtal_BW#'!$A:$Z,16,FALSE)+VLOOKUP($A407,A:AL,22,FALSE)-50),"-",(VLOOKUP($A407,'SegEnds_NonXtal_BW#'!$A:$Z,16,FALSE)+VLOOKUP($A407,A:AL,22,FALSE)-50))</f>
        <v>152</v>
      </c>
      <c r="X407" s="3" t="str">
        <f>IF(ISERROR(VLOOKUP($A407,'SegEnds_NonXtal_BW#'!$A:$Z,17,FALSE)+VLOOKUP($A407,A:AL,25,FALSE)-50),"-",(VLOOKUP($A407,'SegEnds_NonXtal_BW#'!$A:$Z,17,FALSE)+VLOOKUP($A407,A:AL,25,FALSE)-50))</f>
        <v>-</v>
      </c>
      <c r="Y407" s="3" t="s">
        <v>23</v>
      </c>
      <c r="Z407" s="3" t="str">
        <f>IF(ISERROR(VLOOKUP($A407,'SegEnds_NonXtal_BW#'!$A:$Z,18,FALSE)+VLOOKUP($A407,A:AL,25,FALSE)-50),"-",(VLOOKUP($A407,'SegEnds_NonXtal_BW#'!$A:$Z,18,FALSE)+VLOOKUP($A407,A:AL,25,FALSE)-50))</f>
        <v>-</v>
      </c>
      <c r="AA407" s="3">
        <f>IF(ISERROR(VLOOKUP($A407,'SegEnds_NonXtal_BW#'!$A:$Z,19,FALSE)+VLOOKUP($A407,A:AL,28,FALSE)-50),"-",(VLOOKUP($A407,'SegEnds_NonXtal_BW#'!$A:$Z,19,FALSE)+VLOOKUP($A407,A:AL,28,FALSE)-50))</f>
        <v>169</v>
      </c>
      <c r="AB407" s="3">
        <v>187</v>
      </c>
      <c r="AC407" s="3">
        <f>IF(ISERROR((VLOOKUP($A407,'SegEnds_NonXtal_BW#'!$A:$Z,20,FALSE)+VLOOKUP($A407,A:AL,28,FALSE)-50)),"-",(VLOOKUP($A407,'SegEnds_NonXtal_BW#'!$A:$Z,20,FALSE)+VLOOKUP($A407,A:AL,28,FALSE)-50))</f>
        <v>209</v>
      </c>
      <c r="AD407" s="3">
        <f>IF(ISERROR(VLOOKUP($A407,'SegEnds_NonXtal_BW#'!$A:$Z,21,FALSE)+VLOOKUP($A407,A:AL,31,FALSE)-50),"-",(VLOOKUP($A407,'SegEnds_NonXtal_BW#'!$A:$Z,21,FALSE)+VLOOKUP($A407,A:AL,31,FALSE)-50))</f>
        <v>219</v>
      </c>
      <c r="AE407" s="3">
        <v>240</v>
      </c>
      <c r="AF407" s="3">
        <f>IF(ISERROR((VLOOKUP($A407,'SegEnds_NonXtal_BW#'!$A:$Z,22,FALSE)+VLOOKUP($A407,A:AL,31,FALSE)-50)),"-",(VLOOKUP($A407,'SegEnds_NonXtal_BW#'!$A:$Z,22,FALSE)+VLOOKUP($A407,A:AL,31,FALSE)-50))</f>
        <v>251</v>
      </c>
      <c r="AG407" s="3">
        <f>IF(ISERROR(VLOOKUP($A407,'SegEnds_NonXtal_BW#'!$A:$Z,23,FALSE)+VLOOKUP($A407,A:AL,34,FALSE)-50),"-",(VLOOKUP($A407,'SegEnds_NonXtal_BW#'!$A:$Z,23,FALSE)+VLOOKUP($A407,A:AL,34,FALSE)-50))</f>
        <v>257</v>
      </c>
      <c r="AH407" s="3">
        <v>276</v>
      </c>
      <c r="AI407" s="3">
        <f>IF(ISERROR((VLOOKUP($A407,'SegEnds_NonXtal_BW#'!$A:$Z,24,FALSE)+VLOOKUP($A407,A:AL,34,FALSE)-50)),"-",(VLOOKUP($A407,'SegEnds_NonXtal_BW#'!$A:$Z,24,FALSE)+VLOOKUP($A407,A:AL,34,FALSE)-50))</f>
        <v>282</v>
      </c>
      <c r="AJ407" s="3">
        <f>IF(ISERROR(VLOOKUP($A407,'SegEnds_NonXtal_BW#'!$A:$Z,25,FALSE)+VLOOKUP($A407,A:AL,37,FALSE)-50),"-",(VLOOKUP($A407,'SegEnds_NonXtal_BW#'!$A:$Z,25,FALSE)+VLOOKUP($A407,A:AL,37,FALSE)-50))</f>
        <v>283</v>
      </c>
      <c r="AK407" s="3">
        <v>286</v>
      </c>
      <c r="AL407" s="3">
        <f>IF(ISERROR((VLOOKUP($A407,'SegEnds_NonXtal_BW#'!$A:$Z,26,FALSE)+VLOOKUP($A407,A:AL,37,FALSE)-50)),"-",(VLOOKUP($A407,'SegEnds_NonXtal_BW#'!$A:$Z,26,FALSE)+VLOOKUP($A407,A:AL,37,FALSE)-50))</f>
        <v>296</v>
      </c>
      <c r="AM407" s="28" t="str">
        <f>VLOOKUP(A407,Classification!A:B,2,FALSE)</f>
        <v>T</v>
      </c>
      <c r="AN407" s="28" t="b">
        <f t="shared" si="269"/>
        <v>1</v>
      </c>
      <c r="AO407" s="3" t="str">
        <f>IF(ISERROR(MATCH(A407,'SegEnds_Xtal_Prot#'!B:B, 0)), "NoXtal", "Xtal")</f>
        <v>NoXtal</v>
      </c>
      <c r="AP407" s="3">
        <f t="shared" si="254"/>
        <v>1</v>
      </c>
      <c r="AQ407" s="3">
        <f t="shared" si="255"/>
        <v>1</v>
      </c>
      <c r="AR407" s="3" t="str">
        <f t="shared" si="256"/>
        <v>-</v>
      </c>
      <c r="AS407" s="3" t="str">
        <f t="shared" si="257"/>
        <v>-</v>
      </c>
      <c r="AT407" s="3">
        <f t="shared" si="258"/>
        <v>3</v>
      </c>
      <c r="AU407" s="3">
        <f t="shared" si="259"/>
        <v>1</v>
      </c>
      <c r="AV407" s="3" t="str">
        <f t="shared" si="260"/>
        <v>-</v>
      </c>
      <c r="AW407" s="3" t="str">
        <f t="shared" si="261"/>
        <v>-</v>
      </c>
      <c r="AX407" s="3">
        <f t="shared" si="262"/>
        <v>10</v>
      </c>
      <c r="AY407" s="3">
        <f t="shared" si="263"/>
        <v>6</v>
      </c>
      <c r="AZ407" s="3">
        <f t="shared" si="264"/>
        <v>1</v>
      </c>
      <c r="BA407" s="3">
        <f>IF(ISERROR(LEN(VLOOKUP(A407,Seqs!A:E,2,FALSE))-AL407),"-",LEN(VLOOKUP(A407,Seqs!A:E,2,FALSE))-AL407)</f>
        <v>13</v>
      </c>
      <c r="BB407" s="16">
        <f t="shared" si="265"/>
        <v>31</v>
      </c>
      <c r="BC407" s="9">
        <f t="shared" si="266"/>
        <v>20</v>
      </c>
      <c r="BD407" s="3">
        <f t="shared" si="267"/>
        <v>31</v>
      </c>
      <c r="BE407" s="3">
        <f t="shared" si="268"/>
        <v>53</v>
      </c>
      <c r="BF407" s="3">
        <f t="shared" si="253"/>
        <v>36</v>
      </c>
    </row>
    <row r="408" spans="1:58" s="3" customFormat="1" x14ac:dyDescent="0.2">
      <c r="A408" s="3" t="s">
        <v>465</v>
      </c>
      <c r="B408" s="3" t="str">
        <f>LOWER(VLOOKUP(A408,Xtal_Templ!A:B,2,FALSE))</f>
        <v>drd2_human</v>
      </c>
      <c r="C408" s="3">
        <f>VLOOKUP($A408,'SegEnds_NonXtal_BW#'!$A:$Z,3,FALSE)+D408-50</f>
        <v>6</v>
      </c>
      <c r="D408" s="3">
        <v>24</v>
      </c>
      <c r="E408" s="3">
        <f t="shared" si="248"/>
        <v>36</v>
      </c>
      <c r="F408" s="3">
        <f t="shared" si="249"/>
        <v>37</v>
      </c>
      <c r="G408" s="3">
        <v>39</v>
      </c>
      <c r="H408" s="3">
        <f t="shared" si="250"/>
        <v>40</v>
      </c>
      <c r="I408" s="3">
        <f t="shared" si="250"/>
        <v>41</v>
      </c>
      <c r="J408" s="3">
        <v>55</v>
      </c>
      <c r="K408" s="3">
        <f>VLOOKUP($A408,'SegEnds_NonXtal_BW#'!$A:$Z,8,FALSE)+VLOOKUP($A408,A:AL,10,FALSE)-50</f>
        <v>71</v>
      </c>
      <c r="L408" s="3" t="str">
        <f>IF(ISERROR(VLOOKUP($A408,'SegEnds_NonXtal_BW#'!$A:$Z,9,FALSE)+VLOOKUP($A408,A:AL,13,FALSE)-50),"-",(VLOOKUP($A408,'SegEnds_NonXtal_BW#'!$A:$Z,9,FALSE)+VLOOKUP($A408,A:AL,13,FALSE)-50))</f>
        <v>-</v>
      </c>
      <c r="M408" s="3" t="s">
        <v>23</v>
      </c>
      <c r="N408" s="3" t="str">
        <f>IF(ISERROR(VLOOKUP($A408,'SegEnds_NonXtal_BW#'!$A:$Z,10,FALSE)+VLOOKUP($A408,A:AL,13,FALSE)-50),"-",(VLOOKUP($A408,'SegEnds_NonXtal_BW#'!$A:$Z,10,FALSE)+VLOOKUP($A408,A:AL,13,FALSE)-50))</f>
        <v>-</v>
      </c>
      <c r="O408" s="3">
        <f>VLOOKUP($A408,'SegEnds_NonXtal_BW#'!$A:$Z,11,FALSE)+VLOOKUP($A408,A:AL,16,FALSE)-50</f>
        <v>77</v>
      </c>
      <c r="P408" s="3">
        <v>106</v>
      </c>
      <c r="Q408" s="3">
        <f>VLOOKUP($A408,'SegEnds_NonXtal_BW#'!$A:$Z,12,FALSE)+VLOOKUP($A408,A:AL,16,FALSE)-50</f>
        <v>112</v>
      </c>
      <c r="R408" s="3">
        <f t="shared" si="251"/>
        <v>115</v>
      </c>
      <c r="S408" s="3">
        <v>115</v>
      </c>
      <c r="T408" s="100">
        <f t="shared" si="252"/>
        <v>122</v>
      </c>
      <c r="U408" s="9">
        <f>IF(ISERROR(VLOOKUP($A408,'SegEnds_NonXtal_BW#'!$A:$Z,15,FALSE)+VLOOKUP($A408,A:AL,22,FALSE)-50),"-",VLOOKUP($A408,'SegEnds_NonXtal_BW#'!$A:$Z,15,FALSE)+VLOOKUP($A408,A:AL,22,FALSE)-50)</f>
        <v>123</v>
      </c>
      <c r="V408" s="3">
        <v>135</v>
      </c>
      <c r="W408" s="3">
        <f>IF(ISERROR(VLOOKUP($A408,'SegEnds_NonXtal_BW#'!$A:$Z,16,FALSE)+VLOOKUP($A408,A:AL,22,FALSE)-50),"-",(VLOOKUP($A408,'SegEnds_NonXtal_BW#'!$A:$Z,16,FALSE)+VLOOKUP($A408,A:AL,22,FALSE)-50))</f>
        <v>147</v>
      </c>
      <c r="X408" s="3" t="str">
        <f>IF(ISERROR(VLOOKUP($A408,'SegEnds_NonXtal_BW#'!$A:$Z,17,FALSE)+VLOOKUP($A408,A:AL,25,FALSE)-50),"-",(VLOOKUP($A408,'SegEnds_NonXtal_BW#'!$A:$Z,17,FALSE)+VLOOKUP($A408,A:AL,25,FALSE)-50))</f>
        <v>-</v>
      </c>
      <c r="Y408" s="3" t="s">
        <v>23</v>
      </c>
      <c r="Z408" s="3" t="str">
        <f>IF(ISERROR(VLOOKUP($A408,'SegEnds_NonXtal_BW#'!$A:$Z,18,FALSE)+VLOOKUP($A408,A:AL,25,FALSE)-50),"-",(VLOOKUP($A408,'SegEnds_NonXtal_BW#'!$A:$Z,18,FALSE)+VLOOKUP($A408,A:AL,25,FALSE)-50))</f>
        <v>-</v>
      </c>
      <c r="AA408" s="3">
        <f>IF(ISERROR(VLOOKUP($A408,'SegEnds_NonXtal_BW#'!$A:$Z,19,FALSE)+VLOOKUP($A408,A:AL,28,FALSE)-50),"-",(VLOOKUP($A408,'SegEnds_NonXtal_BW#'!$A:$Z,19,FALSE)+VLOOKUP($A408,A:AL,28,FALSE)-50))</f>
        <v>169</v>
      </c>
      <c r="AB408" s="3">
        <v>187</v>
      </c>
      <c r="AC408" s="3">
        <f>IF(ISERROR((VLOOKUP($A408,'SegEnds_NonXtal_BW#'!$A:$Z,20,FALSE)+VLOOKUP($A408,A:AL,28,FALSE)-50)),"-",(VLOOKUP($A408,'SegEnds_NonXtal_BW#'!$A:$Z,20,FALSE)+VLOOKUP($A408,A:AL,28,FALSE)-50))</f>
        <v>209</v>
      </c>
      <c r="AD408" s="3">
        <f>IF(ISERROR(VLOOKUP($A408,'SegEnds_NonXtal_BW#'!$A:$Z,21,FALSE)+VLOOKUP($A408,A:AL,31,FALSE)-50),"-",(VLOOKUP($A408,'SegEnds_NonXtal_BW#'!$A:$Z,21,FALSE)+VLOOKUP($A408,A:AL,31,FALSE)-50))</f>
        <v>219</v>
      </c>
      <c r="AE408" s="3">
        <v>240</v>
      </c>
      <c r="AF408" s="3">
        <f>IF(ISERROR((VLOOKUP($A408,'SegEnds_NonXtal_BW#'!$A:$Z,22,FALSE)+VLOOKUP($A408,A:AL,31,FALSE)-50)),"-",(VLOOKUP($A408,'SegEnds_NonXtal_BW#'!$A:$Z,22,FALSE)+VLOOKUP($A408,A:AL,31,FALSE)-50))</f>
        <v>251</v>
      </c>
      <c r="AG408" s="3">
        <f>IF(ISERROR(VLOOKUP($A408,'SegEnds_NonXtal_BW#'!$A:$Z,23,FALSE)+VLOOKUP($A408,A:AL,34,FALSE)-50),"-",(VLOOKUP($A408,'SegEnds_NonXtal_BW#'!$A:$Z,23,FALSE)+VLOOKUP($A408,A:AL,34,FALSE)-50))</f>
        <v>257</v>
      </c>
      <c r="AH408" s="3">
        <v>276</v>
      </c>
      <c r="AI408" s="3">
        <f>IF(ISERROR((VLOOKUP($A408,'SegEnds_NonXtal_BW#'!$A:$Z,24,FALSE)+VLOOKUP($A408,A:AL,34,FALSE)-50)),"-",(VLOOKUP($A408,'SegEnds_NonXtal_BW#'!$A:$Z,24,FALSE)+VLOOKUP($A408,A:AL,34,FALSE)-50))</f>
        <v>282</v>
      </c>
      <c r="AJ408" s="3">
        <f>IF(ISERROR(VLOOKUP($A408,'SegEnds_NonXtal_BW#'!$A:$Z,25,FALSE)+VLOOKUP($A408,A:AL,37,FALSE)-50),"-",(VLOOKUP($A408,'SegEnds_NonXtal_BW#'!$A:$Z,25,FALSE)+VLOOKUP($A408,A:AL,37,FALSE)-50))</f>
        <v>283</v>
      </c>
      <c r="AK408" s="3">
        <v>286</v>
      </c>
      <c r="AL408" s="3">
        <f>IF(ISERROR((VLOOKUP($A408,'SegEnds_NonXtal_BW#'!$A:$Z,26,FALSE)+VLOOKUP($A408,A:AL,37,FALSE)-50)),"-",(VLOOKUP($A408,'SegEnds_NonXtal_BW#'!$A:$Z,26,FALSE)+VLOOKUP($A408,A:AL,37,FALSE)-50))</f>
        <v>296</v>
      </c>
      <c r="AM408" s="28" t="str">
        <f>VLOOKUP(A408,Classification!A:B,2,FALSE)</f>
        <v>T</v>
      </c>
      <c r="AN408" s="28" t="b">
        <f t="shared" si="269"/>
        <v>1</v>
      </c>
      <c r="AO408" s="3" t="str">
        <f>IF(ISERROR(MATCH(A408,'SegEnds_Xtal_Prot#'!B:B, 0)), "NoXtal", "Xtal")</f>
        <v>NoXtal</v>
      </c>
      <c r="AP408" s="3">
        <f t="shared" si="254"/>
        <v>1</v>
      </c>
      <c r="AQ408" s="3">
        <f t="shared" si="255"/>
        <v>1</v>
      </c>
      <c r="AR408" s="3" t="str">
        <f t="shared" si="256"/>
        <v>-</v>
      </c>
      <c r="AS408" s="3" t="str">
        <f t="shared" si="257"/>
        <v>-</v>
      </c>
      <c r="AT408" s="3">
        <f t="shared" si="258"/>
        <v>3</v>
      </c>
      <c r="AU408" s="3">
        <f t="shared" si="259"/>
        <v>1</v>
      </c>
      <c r="AV408" s="3" t="str">
        <f t="shared" si="260"/>
        <v>-</v>
      </c>
      <c r="AW408" s="3" t="str">
        <f t="shared" si="261"/>
        <v>-</v>
      </c>
      <c r="AX408" s="3">
        <f t="shared" si="262"/>
        <v>10</v>
      </c>
      <c r="AY408" s="3">
        <f t="shared" si="263"/>
        <v>6</v>
      </c>
      <c r="AZ408" s="3">
        <f t="shared" si="264"/>
        <v>1</v>
      </c>
      <c r="BA408" s="3">
        <f>IF(ISERROR(LEN(VLOOKUP(A408,Seqs!A:E,2,FALSE))-AL408),"-",LEN(VLOOKUP(A408,Seqs!A:E,2,FALSE))-AL408)</f>
        <v>3</v>
      </c>
      <c r="BB408" s="16">
        <f t="shared" si="265"/>
        <v>31</v>
      </c>
      <c r="BC408" s="9">
        <f t="shared" si="266"/>
        <v>20</v>
      </c>
      <c r="BD408" s="3">
        <f t="shared" si="267"/>
        <v>31</v>
      </c>
      <c r="BE408" s="3">
        <f t="shared" si="268"/>
        <v>53</v>
      </c>
      <c r="BF408" s="3">
        <f t="shared" si="253"/>
        <v>36</v>
      </c>
    </row>
    <row r="409" spans="1:58" s="3" customFormat="1" x14ac:dyDescent="0.2">
      <c r="A409" s="3" t="s">
        <v>466</v>
      </c>
      <c r="B409" s="3" t="str">
        <f>LOWER(VLOOKUP(A409,Xtal_Templ!A:B,2,FALSE))</f>
        <v>oprk_human</v>
      </c>
      <c r="C409" s="3">
        <f>VLOOKUP($A409,'SegEnds_NonXtal_BW#'!$A:$Z,3,FALSE)+D409-50</f>
        <v>17</v>
      </c>
      <c r="D409" s="3">
        <v>35</v>
      </c>
      <c r="E409" s="3">
        <f t="shared" si="248"/>
        <v>47</v>
      </c>
      <c r="F409" s="3">
        <f t="shared" si="249"/>
        <v>48</v>
      </c>
      <c r="G409" s="3">
        <v>50</v>
      </c>
      <c r="H409" s="3">
        <f t="shared" si="250"/>
        <v>51</v>
      </c>
      <c r="I409" s="3">
        <f t="shared" si="250"/>
        <v>52</v>
      </c>
      <c r="J409" s="3">
        <v>66</v>
      </c>
      <c r="K409" s="3">
        <f>VLOOKUP($A409,'SegEnds_NonXtal_BW#'!$A:$Z,8,FALSE)+VLOOKUP($A409,A:AL,10,FALSE)-50</f>
        <v>82</v>
      </c>
      <c r="L409" s="3" t="str">
        <f>IF(ISERROR(VLOOKUP($A409,'SegEnds_NonXtal_BW#'!$A:$Z,9,FALSE)+VLOOKUP($A409,A:AL,13,FALSE)-50),"-",(VLOOKUP($A409,'SegEnds_NonXtal_BW#'!$A:$Z,9,FALSE)+VLOOKUP($A409,A:AL,13,FALSE)-50))</f>
        <v>-</v>
      </c>
      <c r="M409" s="3" t="s">
        <v>23</v>
      </c>
      <c r="N409" s="3" t="str">
        <f>IF(ISERROR(VLOOKUP($A409,'SegEnds_NonXtal_BW#'!$A:$Z,10,FALSE)+VLOOKUP($A409,A:AL,13,FALSE)-50),"-",(VLOOKUP($A409,'SegEnds_NonXtal_BW#'!$A:$Z,10,FALSE)+VLOOKUP($A409,A:AL,13,FALSE)-50))</f>
        <v>-</v>
      </c>
      <c r="O409" s="3">
        <f>VLOOKUP($A409,'SegEnds_NonXtal_BW#'!$A:$Z,11,FALSE)+VLOOKUP($A409,A:AL,16,FALSE)-50</f>
        <v>86</v>
      </c>
      <c r="P409" s="3">
        <v>118</v>
      </c>
      <c r="Q409" s="3">
        <f>VLOOKUP($A409,'SegEnds_NonXtal_BW#'!$A:$Z,12,FALSE)+VLOOKUP($A409,A:AL,16,FALSE)-50</f>
        <v>124</v>
      </c>
      <c r="R409" s="3">
        <f t="shared" si="251"/>
        <v>127</v>
      </c>
      <c r="S409" s="3">
        <v>127</v>
      </c>
      <c r="T409" s="100">
        <f t="shared" si="252"/>
        <v>134</v>
      </c>
      <c r="U409" s="9">
        <f>IF(ISERROR(VLOOKUP($A409,'SegEnds_NonXtal_BW#'!$A:$Z,15,FALSE)+VLOOKUP($A409,A:AL,22,FALSE)-50),"-",VLOOKUP($A409,'SegEnds_NonXtal_BW#'!$A:$Z,15,FALSE)+VLOOKUP($A409,A:AL,22,FALSE)-50)</f>
        <v>135</v>
      </c>
      <c r="V409" s="3">
        <v>147</v>
      </c>
      <c r="W409" s="3">
        <f>IF(ISERROR(VLOOKUP($A409,'SegEnds_NonXtal_BW#'!$A:$Z,16,FALSE)+VLOOKUP($A409,A:AL,22,FALSE)-50),"-",(VLOOKUP($A409,'SegEnds_NonXtal_BW#'!$A:$Z,16,FALSE)+VLOOKUP($A409,A:AL,22,FALSE)-50))</f>
        <v>161</v>
      </c>
      <c r="X409" s="3" t="str">
        <f>IF(ISERROR(VLOOKUP($A409,'SegEnds_NonXtal_BW#'!$A:$Z,17,FALSE)+VLOOKUP($A409,A:AL,25,FALSE)-50),"-",(VLOOKUP($A409,'SegEnds_NonXtal_BW#'!$A:$Z,17,FALSE)+VLOOKUP($A409,A:AL,25,FALSE)-50))</f>
        <v>-</v>
      </c>
      <c r="Y409" s="3" t="s">
        <v>23</v>
      </c>
      <c r="Z409" s="3" t="str">
        <f>IF(ISERROR(VLOOKUP($A409,'SegEnds_NonXtal_BW#'!$A:$Z,18,FALSE)+VLOOKUP($A409,A:AL,25,FALSE)-50),"-",(VLOOKUP($A409,'SegEnds_NonXtal_BW#'!$A:$Z,18,FALSE)+VLOOKUP($A409,A:AL,25,FALSE)-50))</f>
        <v>-</v>
      </c>
      <c r="AA409" s="3">
        <f>IF(ISERROR(VLOOKUP($A409,'SegEnds_NonXtal_BW#'!$A:$Z,19,FALSE)+VLOOKUP($A409,A:AL,28,FALSE)-50),"-",(VLOOKUP($A409,'SegEnds_NonXtal_BW#'!$A:$Z,19,FALSE)+VLOOKUP($A409,A:AL,28,FALSE)-50))</f>
        <v>187</v>
      </c>
      <c r="AB409" s="3">
        <v>205</v>
      </c>
      <c r="AC409" s="3">
        <f>IF(ISERROR((VLOOKUP($A409,'SegEnds_NonXtal_BW#'!$A:$Z,20,FALSE)+VLOOKUP($A409,A:AL,28,FALSE)-50)),"-",(VLOOKUP($A409,'SegEnds_NonXtal_BW#'!$A:$Z,20,FALSE)+VLOOKUP($A409,A:AL,28,FALSE)-50))</f>
        <v>227</v>
      </c>
      <c r="AD409" s="3">
        <f>IF(ISERROR(VLOOKUP($A409,'SegEnds_NonXtal_BW#'!$A:$Z,21,FALSE)+VLOOKUP($A409,A:AL,31,FALSE)-50),"-",(VLOOKUP($A409,'SegEnds_NonXtal_BW#'!$A:$Z,21,FALSE)+VLOOKUP($A409,A:AL,31,FALSE)-50))</f>
        <v>237</v>
      </c>
      <c r="AE409" s="3">
        <v>258</v>
      </c>
      <c r="AF409" s="3">
        <f>IF(ISERROR((VLOOKUP($A409,'SegEnds_NonXtal_BW#'!$A:$Z,22,FALSE)+VLOOKUP($A409,A:AL,31,FALSE)-50)),"-",(VLOOKUP($A409,'SegEnds_NonXtal_BW#'!$A:$Z,22,FALSE)+VLOOKUP($A409,A:AL,31,FALSE)-50))</f>
        <v>269</v>
      </c>
      <c r="AG409" s="3">
        <f>IF(ISERROR(VLOOKUP($A409,'SegEnds_NonXtal_BW#'!$A:$Z,23,FALSE)+VLOOKUP($A409,A:AL,34,FALSE)-50),"-",(VLOOKUP($A409,'SegEnds_NonXtal_BW#'!$A:$Z,23,FALSE)+VLOOKUP($A409,A:AL,34,FALSE)-50))</f>
        <v>274</v>
      </c>
      <c r="AH409" s="3">
        <v>293</v>
      </c>
      <c r="AI409" s="3">
        <f>IF(ISERROR((VLOOKUP($A409,'SegEnds_NonXtal_BW#'!$A:$Z,24,FALSE)+VLOOKUP($A409,A:AL,34,FALSE)-50)),"-",(VLOOKUP($A409,'SegEnds_NonXtal_BW#'!$A:$Z,24,FALSE)+VLOOKUP($A409,A:AL,34,FALSE)-50))</f>
        <v>299</v>
      </c>
      <c r="AJ409" s="3">
        <f>IF(ISERROR(VLOOKUP($A409,'SegEnds_NonXtal_BW#'!$A:$Z,25,FALSE)+VLOOKUP($A409,A:AL,37,FALSE)-50),"-",(VLOOKUP($A409,'SegEnds_NonXtal_BW#'!$A:$Z,25,FALSE)+VLOOKUP($A409,A:AL,37,FALSE)-50))</f>
        <v>300</v>
      </c>
      <c r="AK409" s="3">
        <v>303</v>
      </c>
      <c r="AL409" s="3">
        <f>IF(ISERROR((VLOOKUP($A409,'SegEnds_NonXtal_BW#'!$A:$Z,26,FALSE)+VLOOKUP($A409,A:AL,37,FALSE)-50)),"-",(VLOOKUP($A409,'SegEnds_NonXtal_BW#'!$A:$Z,26,FALSE)+VLOOKUP($A409,A:AL,37,FALSE)-50))</f>
        <v>313</v>
      </c>
      <c r="AM409" s="28" t="str">
        <f>VLOOKUP(A409,Classification!A:B,2,FALSE)</f>
        <v>T</v>
      </c>
      <c r="AN409" s="28" t="b">
        <f t="shared" si="269"/>
        <v>1</v>
      </c>
      <c r="AO409" s="3" t="str">
        <f>IF(ISERROR(MATCH(A409,'SegEnds_Xtal_Prot#'!B:B, 0)), "NoXtal", "Xtal")</f>
        <v>NoXtal</v>
      </c>
      <c r="AP409" s="3">
        <f t="shared" si="254"/>
        <v>1</v>
      </c>
      <c r="AQ409" s="3">
        <f t="shared" si="255"/>
        <v>1</v>
      </c>
      <c r="AR409" s="3" t="str">
        <f t="shared" si="256"/>
        <v>-</v>
      </c>
      <c r="AS409" s="3" t="str">
        <f t="shared" si="257"/>
        <v>-</v>
      </c>
      <c r="AT409" s="3">
        <f t="shared" si="258"/>
        <v>3</v>
      </c>
      <c r="AU409" s="3">
        <f t="shared" si="259"/>
        <v>1</v>
      </c>
      <c r="AV409" s="3" t="str">
        <f t="shared" si="260"/>
        <v>-</v>
      </c>
      <c r="AW409" s="3" t="str">
        <f t="shared" si="261"/>
        <v>-</v>
      </c>
      <c r="AX409" s="3">
        <f t="shared" si="262"/>
        <v>10</v>
      </c>
      <c r="AY409" s="3">
        <f t="shared" si="263"/>
        <v>5</v>
      </c>
      <c r="AZ409" s="3">
        <f t="shared" si="264"/>
        <v>1</v>
      </c>
      <c r="BA409" s="3">
        <f>IF(ISERROR(LEN(VLOOKUP(A409,Seqs!A:E,2,FALSE))-AL409),"-",LEN(VLOOKUP(A409,Seqs!A:E,2,FALSE))-AL409)</f>
        <v>5</v>
      </c>
      <c r="BB409" s="16">
        <f t="shared" si="265"/>
        <v>31</v>
      </c>
      <c r="BC409" s="9">
        <f t="shared" si="266"/>
        <v>20</v>
      </c>
      <c r="BD409" s="3">
        <f t="shared" si="267"/>
        <v>31</v>
      </c>
      <c r="BE409" s="3">
        <f t="shared" si="268"/>
        <v>53</v>
      </c>
      <c r="BF409" s="3">
        <f t="shared" si="253"/>
        <v>35</v>
      </c>
    </row>
    <row r="410" spans="1:58" s="3" customFormat="1" x14ac:dyDescent="0.2">
      <c r="A410" s="3" t="s">
        <v>468</v>
      </c>
      <c r="B410" s="3" t="str">
        <f>LOWER(VLOOKUP(A410,Xtal_Templ!A:B,2,FALSE))</f>
        <v>cxcr4_human</v>
      </c>
      <c r="C410" s="3">
        <f>VLOOKUP($A410,'SegEnds_NonXtal_BW#'!$A:$Z,3,FALSE)+D410-50</f>
        <v>6</v>
      </c>
      <c r="D410" s="3">
        <v>24</v>
      </c>
      <c r="E410" s="3">
        <f t="shared" si="248"/>
        <v>36</v>
      </c>
      <c r="F410" s="3">
        <f t="shared" si="249"/>
        <v>37</v>
      </c>
      <c r="G410" s="3">
        <v>39</v>
      </c>
      <c r="H410" s="3">
        <f t="shared" si="250"/>
        <v>40</v>
      </c>
      <c r="I410" s="3">
        <f t="shared" si="250"/>
        <v>41</v>
      </c>
      <c r="J410" s="3">
        <v>55</v>
      </c>
      <c r="K410" s="3">
        <f>VLOOKUP($A410,'SegEnds_NonXtal_BW#'!$A:$Z,8,FALSE)+VLOOKUP($A410,A:AL,10,FALSE)-50</f>
        <v>71</v>
      </c>
      <c r="L410" s="3" t="str">
        <f>IF(ISERROR(VLOOKUP($A410,'SegEnds_NonXtal_BW#'!$A:$Z,9,FALSE)+VLOOKUP($A410,A:AL,13,FALSE)-50),"-",(VLOOKUP($A410,'SegEnds_NonXtal_BW#'!$A:$Z,9,FALSE)+VLOOKUP($A410,A:AL,13,FALSE)-50))</f>
        <v>-</v>
      </c>
      <c r="M410" s="3" t="s">
        <v>23</v>
      </c>
      <c r="N410" s="3" t="str">
        <f>IF(ISERROR(VLOOKUP($A410,'SegEnds_NonXtal_BW#'!$A:$Z,10,FALSE)+VLOOKUP($A410,A:AL,13,FALSE)-50),"-",(VLOOKUP($A410,'SegEnds_NonXtal_BW#'!$A:$Z,10,FALSE)+VLOOKUP($A410,A:AL,13,FALSE)-50))</f>
        <v>-</v>
      </c>
      <c r="O410" s="3">
        <f>VLOOKUP($A410,'SegEnds_NonXtal_BW#'!$A:$Z,11,FALSE)+VLOOKUP($A410,A:AL,16,FALSE)-50</f>
        <v>77</v>
      </c>
      <c r="P410" s="3">
        <v>103</v>
      </c>
      <c r="Q410" s="3">
        <f>VLOOKUP($A410,'SegEnds_NonXtal_BW#'!$A:$Z,12,FALSE)+VLOOKUP($A410,A:AL,16,FALSE)-50</f>
        <v>109</v>
      </c>
      <c r="R410" s="3">
        <f t="shared" si="251"/>
        <v>112</v>
      </c>
      <c r="S410" s="3">
        <v>112</v>
      </c>
      <c r="T410" s="100">
        <f t="shared" si="252"/>
        <v>119</v>
      </c>
      <c r="U410" s="9">
        <f>IF(ISERROR(VLOOKUP($A410,'SegEnds_NonXtal_BW#'!$A:$Z,15,FALSE)+VLOOKUP($A410,A:AL,22,FALSE)-50),"-",VLOOKUP($A410,'SegEnds_NonXtal_BW#'!$A:$Z,15,FALSE)+VLOOKUP($A410,A:AL,22,FALSE)-50)</f>
        <v>120</v>
      </c>
      <c r="V410" s="3">
        <v>132</v>
      </c>
      <c r="W410" s="3">
        <f>IF(ISERROR(VLOOKUP($A410,'SegEnds_NonXtal_BW#'!$A:$Z,16,FALSE)+VLOOKUP($A410,A:AL,22,FALSE)-50),"-",(VLOOKUP($A410,'SegEnds_NonXtal_BW#'!$A:$Z,16,FALSE)+VLOOKUP($A410,A:AL,22,FALSE)-50))</f>
        <v>146</v>
      </c>
      <c r="X410" s="3" t="str">
        <f>IF(ISERROR(VLOOKUP($A410,'SegEnds_NonXtal_BW#'!$A:$Z,17,FALSE)+VLOOKUP($A410,A:AL,25,FALSE)-50),"-",(VLOOKUP($A410,'SegEnds_NonXtal_BW#'!$A:$Z,17,FALSE)+VLOOKUP($A410,A:AL,25,FALSE)-50))</f>
        <v>-</v>
      </c>
      <c r="Y410" s="3" t="s">
        <v>23</v>
      </c>
      <c r="Z410" s="3" t="str">
        <f>IF(ISERROR(VLOOKUP($A410,'SegEnds_NonXtal_BW#'!$A:$Z,18,FALSE)+VLOOKUP($A410,A:AL,25,FALSE)-50),"-",(VLOOKUP($A410,'SegEnds_NonXtal_BW#'!$A:$Z,18,FALSE)+VLOOKUP($A410,A:AL,25,FALSE)-50))</f>
        <v>-</v>
      </c>
      <c r="AA410" s="3">
        <f>IF(ISERROR(VLOOKUP($A410,'SegEnds_NonXtal_BW#'!$A:$Z,19,FALSE)+VLOOKUP($A410,A:AL,28,FALSE)-50),"-",(VLOOKUP($A410,'SegEnds_NonXtal_BW#'!$A:$Z,19,FALSE)+VLOOKUP($A410,A:AL,28,FALSE)-50))</f>
        <v>168</v>
      </c>
      <c r="AB410" s="3">
        <v>186</v>
      </c>
      <c r="AC410" s="3">
        <f>IF(ISERROR((VLOOKUP($A410,'SegEnds_NonXtal_BW#'!$A:$Z,20,FALSE)+VLOOKUP($A410,A:AL,28,FALSE)-50)),"-",(VLOOKUP($A410,'SegEnds_NonXtal_BW#'!$A:$Z,20,FALSE)+VLOOKUP($A410,A:AL,28,FALSE)-50))</f>
        <v>208</v>
      </c>
      <c r="AD410" s="3">
        <f>IF(ISERROR(VLOOKUP($A410,'SegEnds_NonXtal_BW#'!$A:$Z,21,FALSE)+VLOOKUP($A410,A:AL,31,FALSE)-50),"-",(VLOOKUP($A410,'SegEnds_NonXtal_BW#'!$A:$Z,21,FALSE)+VLOOKUP($A410,A:AL,31,FALSE)-50))</f>
        <v>218</v>
      </c>
      <c r="AE410" s="3">
        <v>239</v>
      </c>
      <c r="AF410" s="3">
        <f>IF(ISERROR((VLOOKUP($A410,'SegEnds_NonXtal_BW#'!$A:$Z,22,FALSE)+VLOOKUP($A410,A:AL,31,FALSE)-50)),"-",(VLOOKUP($A410,'SegEnds_NonXtal_BW#'!$A:$Z,22,FALSE)+VLOOKUP($A410,A:AL,31,FALSE)-50))</f>
        <v>250</v>
      </c>
      <c r="AG410" s="3">
        <f>IF(ISERROR(VLOOKUP($A410,'SegEnds_NonXtal_BW#'!$A:$Z,23,FALSE)+VLOOKUP($A410,A:AL,34,FALSE)-50),"-",(VLOOKUP($A410,'SegEnds_NonXtal_BW#'!$A:$Z,23,FALSE)+VLOOKUP($A410,A:AL,34,FALSE)-50))</f>
        <v>255</v>
      </c>
      <c r="AH410" s="3">
        <v>274</v>
      </c>
      <c r="AI410" s="3">
        <f>IF(ISERROR((VLOOKUP($A410,'SegEnds_NonXtal_BW#'!$A:$Z,24,FALSE)+VLOOKUP($A410,A:AL,34,FALSE)-50)),"-",(VLOOKUP($A410,'SegEnds_NonXtal_BW#'!$A:$Z,24,FALSE)+VLOOKUP($A410,A:AL,34,FALSE)-50))</f>
        <v>280</v>
      </c>
      <c r="AJ410" s="3">
        <f>IF(ISERROR(VLOOKUP($A410,'SegEnds_NonXtal_BW#'!$A:$Z,25,FALSE)+VLOOKUP($A410,A:AL,37,FALSE)-50),"-",(VLOOKUP($A410,'SegEnds_NonXtal_BW#'!$A:$Z,25,FALSE)+VLOOKUP($A410,A:AL,37,FALSE)-50))</f>
        <v>281</v>
      </c>
      <c r="AK410" s="3">
        <v>284</v>
      </c>
      <c r="AL410" s="3">
        <f>IF(ISERROR((VLOOKUP($A410,'SegEnds_NonXtal_BW#'!$A:$Z,26,FALSE)+VLOOKUP($A410,A:AL,37,FALSE)-50)),"-",(VLOOKUP($A410,'SegEnds_NonXtal_BW#'!$A:$Z,26,FALSE)+VLOOKUP($A410,A:AL,37,FALSE)-50))</f>
        <v>294</v>
      </c>
      <c r="AM410" s="28" t="str">
        <f>VLOOKUP(A410,Classification!A:B,2,FALSE)</f>
        <v>T</v>
      </c>
      <c r="AN410" s="28" t="b">
        <f t="shared" si="269"/>
        <v>1</v>
      </c>
      <c r="AO410" s="3" t="str">
        <f>IF(ISERROR(MATCH(A410,'SegEnds_Xtal_Prot#'!B:B, 0)), "NoXtal", "Xtal")</f>
        <v>NoXtal</v>
      </c>
      <c r="AP410" s="3">
        <f t="shared" si="254"/>
        <v>1</v>
      </c>
      <c r="AQ410" s="3">
        <f t="shared" si="255"/>
        <v>1</v>
      </c>
      <c r="AR410" s="3" t="str">
        <f t="shared" si="256"/>
        <v>-</v>
      </c>
      <c r="AS410" s="3" t="str">
        <f t="shared" si="257"/>
        <v>-</v>
      </c>
      <c r="AT410" s="3">
        <f t="shared" si="258"/>
        <v>3</v>
      </c>
      <c r="AU410" s="3">
        <f t="shared" si="259"/>
        <v>1</v>
      </c>
      <c r="AV410" s="3" t="str">
        <f t="shared" si="260"/>
        <v>-</v>
      </c>
      <c r="AW410" s="3" t="str">
        <f t="shared" si="261"/>
        <v>-</v>
      </c>
      <c r="AX410" s="3">
        <f t="shared" si="262"/>
        <v>10</v>
      </c>
      <c r="AY410" s="3">
        <f t="shared" si="263"/>
        <v>5</v>
      </c>
      <c r="AZ410" s="3">
        <f t="shared" si="264"/>
        <v>1</v>
      </c>
      <c r="BA410" s="3">
        <f>IF(ISERROR(LEN(VLOOKUP(A410,Seqs!A:E,2,FALSE))-AL410),"-",LEN(VLOOKUP(A410,Seqs!A:E,2,FALSE))-AL410)</f>
        <v>5</v>
      </c>
      <c r="BB410" s="16">
        <f t="shared" si="265"/>
        <v>31</v>
      </c>
      <c r="BC410" s="9">
        <f t="shared" si="266"/>
        <v>20</v>
      </c>
      <c r="BD410" s="3">
        <f t="shared" si="267"/>
        <v>31</v>
      </c>
      <c r="BE410" s="3">
        <f t="shared" si="268"/>
        <v>53</v>
      </c>
      <c r="BF410" s="3">
        <f t="shared" si="253"/>
        <v>35</v>
      </c>
    </row>
    <row r="411" spans="1:58" s="3" customFormat="1" x14ac:dyDescent="0.2">
      <c r="A411" s="3" t="s">
        <v>469</v>
      </c>
      <c r="B411" s="3" t="str">
        <f>LOWER(VLOOKUP(A411,Xtal_Templ!A:B,2,FALSE))</f>
        <v>cxcr4_human</v>
      </c>
      <c r="C411" s="3">
        <f>VLOOKUP($A411,'SegEnds_NonXtal_BW#'!$A:$Z,3,FALSE)+D411-50</f>
        <v>6</v>
      </c>
      <c r="D411" s="3">
        <v>24</v>
      </c>
      <c r="E411" s="3">
        <f t="shared" si="248"/>
        <v>36</v>
      </c>
      <c r="F411" s="3">
        <f t="shared" si="249"/>
        <v>37</v>
      </c>
      <c r="G411" s="3">
        <v>39</v>
      </c>
      <c r="H411" s="3">
        <f t="shared" si="250"/>
        <v>40</v>
      </c>
      <c r="I411" s="3">
        <f t="shared" si="250"/>
        <v>41</v>
      </c>
      <c r="J411" s="3">
        <v>55</v>
      </c>
      <c r="K411" s="3">
        <f>VLOOKUP($A411,'SegEnds_NonXtal_BW#'!$A:$Z,8,FALSE)+VLOOKUP($A411,A:AL,10,FALSE)-50</f>
        <v>72</v>
      </c>
      <c r="L411" s="3" t="str">
        <f>IF(ISERROR(VLOOKUP($A411,'SegEnds_NonXtal_BW#'!$A:$Z,9,FALSE)+VLOOKUP($A411,A:AL,13,FALSE)-50),"-",(VLOOKUP($A411,'SegEnds_NonXtal_BW#'!$A:$Z,9,FALSE)+VLOOKUP($A411,A:AL,13,FALSE)-50))</f>
        <v>-</v>
      </c>
      <c r="M411" s="3" t="s">
        <v>23</v>
      </c>
      <c r="N411" s="3" t="str">
        <f>IF(ISERROR(VLOOKUP($A411,'SegEnds_NonXtal_BW#'!$A:$Z,10,FALSE)+VLOOKUP($A411,A:AL,13,FALSE)-50),"-",(VLOOKUP($A411,'SegEnds_NonXtal_BW#'!$A:$Z,10,FALSE)+VLOOKUP($A411,A:AL,13,FALSE)-50))</f>
        <v>-</v>
      </c>
      <c r="O411" s="3">
        <f>VLOOKUP($A411,'SegEnds_NonXtal_BW#'!$A:$Z,11,FALSE)+VLOOKUP($A411,A:AL,16,FALSE)-50</f>
        <v>78</v>
      </c>
      <c r="P411" s="3">
        <v>107</v>
      </c>
      <c r="Q411" s="3">
        <f>VLOOKUP($A411,'SegEnds_NonXtal_BW#'!$A:$Z,12,FALSE)+VLOOKUP($A411,A:AL,16,FALSE)-50</f>
        <v>113</v>
      </c>
      <c r="R411" s="3">
        <f t="shared" si="251"/>
        <v>116</v>
      </c>
      <c r="S411" s="3">
        <v>116</v>
      </c>
      <c r="T411" s="100">
        <f t="shared" si="252"/>
        <v>123</v>
      </c>
      <c r="U411" s="9">
        <f>IF(ISERROR(VLOOKUP($A411,'SegEnds_NonXtal_BW#'!$A:$Z,15,FALSE)+VLOOKUP($A411,A:AL,22,FALSE)-50),"-",VLOOKUP($A411,'SegEnds_NonXtal_BW#'!$A:$Z,15,FALSE)+VLOOKUP($A411,A:AL,22,FALSE)-50)</f>
        <v>124</v>
      </c>
      <c r="V411" s="3">
        <v>136</v>
      </c>
      <c r="W411" s="3">
        <f>IF(ISERROR(VLOOKUP($A411,'SegEnds_NonXtal_BW#'!$A:$Z,16,FALSE)+VLOOKUP($A411,A:AL,22,FALSE)-50),"-",(VLOOKUP($A411,'SegEnds_NonXtal_BW#'!$A:$Z,16,FALSE)+VLOOKUP($A411,A:AL,22,FALSE)-50))</f>
        <v>150</v>
      </c>
      <c r="X411" s="3" t="str">
        <f>IF(ISERROR(VLOOKUP($A411,'SegEnds_NonXtal_BW#'!$A:$Z,17,FALSE)+VLOOKUP($A411,A:AL,25,FALSE)-50),"-",(VLOOKUP($A411,'SegEnds_NonXtal_BW#'!$A:$Z,17,FALSE)+VLOOKUP($A411,A:AL,25,FALSE)-50))</f>
        <v>-</v>
      </c>
      <c r="Y411" s="3" t="s">
        <v>23</v>
      </c>
      <c r="Z411" s="3" t="str">
        <f>IF(ISERROR(VLOOKUP($A411,'SegEnds_NonXtal_BW#'!$A:$Z,18,FALSE)+VLOOKUP($A411,A:AL,25,FALSE)-50),"-",(VLOOKUP($A411,'SegEnds_NonXtal_BW#'!$A:$Z,18,FALSE)+VLOOKUP($A411,A:AL,25,FALSE)-50))</f>
        <v>-</v>
      </c>
      <c r="AA411" s="3">
        <f>IF(ISERROR(VLOOKUP($A411,'SegEnds_NonXtal_BW#'!$A:$Z,19,FALSE)+VLOOKUP($A411,A:AL,28,FALSE)-50),"-",(VLOOKUP($A411,'SegEnds_NonXtal_BW#'!$A:$Z,19,FALSE)+VLOOKUP($A411,A:AL,28,FALSE)-50))</f>
        <v>174</v>
      </c>
      <c r="AB411" s="3">
        <v>192</v>
      </c>
      <c r="AC411" s="3">
        <f>IF(ISERROR((VLOOKUP($A411,'SegEnds_NonXtal_BW#'!$A:$Z,20,FALSE)+VLOOKUP($A411,A:AL,28,FALSE)-50)),"-",(VLOOKUP($A411,'SegEnds_NonXtal_BW#'!$A:$Z,20,FALSE)+VLOOKUP($A411,A:AL,28,FALSE)-50))</f>
        <v>214</v>
      </c>
      <c r="AD411" s="3">
        <f>IF(ISERROR(VLOOKUP($A411,'SegEnds_NonXtal_BW#'!$A:$Z,21,FALSE)+VLOOKUP($A411,A:AL,31,FALSE)-50),"-",(VLOOKUP($A411,'SegEnds_NonXtal_BW#'!$A:$Z,21,FALSE)+VLOOKUP($A411,A:AL,31,FALSE)-50))</f>
        <v>224</v>
      </c>
      <c r="AE411" s="3">
        <v>245</v>
      </c>
      <c r="AF411" s="3">
        <f>IF(ISERROR((VLOOKUP($A411,'SegEnds_NonXtal_BW#'!$A:$Z,22,FALSE)+VLOOKUP($A411,A:AL,31,FALSE)-50)),"-",(VLOOKUP($A411,'SegEnds_NonXtal_BW#'!$A:$Z,22,FALSE)+VLOOKUP($A411,A:AL,31,FALSE)-50))</f>
        <v>256</v>
      </c>
      <c r="AG411" s="3">
        <f>IF(ISERROR(VLOOKUP($A411,'SegEnds_NonXtal_BW#'!$A:$Z,23,FALSE)+VLOOKUP($A411,A:AL,34,FALSE)-50),"-",(VLOOKUP($A411,'SegEnds_NonXtal_BW#'!$A:$Z,23,FALSE)+VLOOKUP($A411,A:AL,34,FALSE)-50))</f>
        <v>262</v>
      </c>
      <c r="AH411" s="3">
        <v>281</v>
      </c>
      <c r="AI411" s="3">
        <f>IF(ISERROR((VLOOKUP($A411,'SegEnds_NonXtal_BW#'!$A:$Z,24,FALSE)+VLOOKUP($A411,A:AL,34,FALSE)-50)),"-",(VLOOKUP($A411,'SegEnds_NonXtal_BW#'!$A:$Z,24,FALSE)+VLOOKUP($A411,A:AL,34,FALSE)-50))</f>
        <v>287</v>
      </c>
      <c r="AJ411" s="3">
        <f>IF(ISERROR(VLOOKUP($A411,'SegEnds_NonXtal_BW#'!$A:$Z,25,FALSE)+VLOOKUP($A411,A:AL,37,FALSE)-50),"-",(VLOOKUP($A411,'SegEnds_NonXtal_BW#'!$A:$Z,25,FALSE)+VLOOKUP($A411,A:AL,37,FALSE)-50))</f>
        <v>288</v>
      </c>
      <c r="AK411" s="3">
        <v>291</v>
      </c>
      <c r="AL411" s="3">
        <f>IF(ISERROR((VLOOKUP($A411,'SegEnds_NonXtal_BW#'!$A:$Z,26,FALSE)+VLOOKUP($A411,A:AL,37,FALSE)-50)),"-",(VLOOKUP($A411,'SegEnds_NonXtal_BW#'!$A:$Z,26,FALSE)+VLOOKUP($A411,A:AL,37,FALSE)-50))</f>
        <v>301</v>
      </c>
      <c r="AM411" s="28" t="str">
        <f>VLOOKUP(A411,Classification!A:B,2,FALSE)</f>
        <v>T</v>
      </c>
      <c r="AN411" s="28" t="b">
        <f t="shared" si="269"/>
        <v>1</v>
      </c>
      <c r="AO411" s="3" t="str">
        <f>IF(ISERROR(MATCH(A411,'SegEnds_Xtal_Prot#'!B:B, 0)), "NoXtal", "Xtal")</f>
        <v>NoXtal</v>
      </c>
      <c r="AP411" s="3">
        <f t="shared" si="254"/>
        <v>1</v>
      </c>
      <c r="AQ411" s="3">
        <f t="shared" si="255"/>
        <v>1</v>
      </c>
      <c r="AR411" s="3" t="str">
        <f t="shared" si="256"/>
        <v>-</v>
      </c>
      <c r="AS411" s="3" t="str">
        <f t="shared" si="257"/>
        <v>-</v>
      </c>
      <c r="AT411" s="3">
        <f t="shared" si="258"/>
        <v>3</v>
      </c>
      <c r="AU411" s="3">
        <f t="shared" si="259"/>
        <v>1</v>
      </c>
      <c r="AV411" s="3" t="str">
        <f t="shared" si="260"/>
        <v>-</v>
      </c>
      <c r="AW411" s="3" t="str">
        <f t="shared" si="261"/>
        <v>-</v>
      </c>
      <c r="AX411" s="3">
        <f t="shared" si="262"/>
        <v>10</v>
      </c>
      <c r="AY411" s="3">
        <f t="shared" si="263"/>
        <v>6</v>
      </c>
      <c r="AZ411" s="3">
        <f t="shared" si="264"/>
        <v>1</v>
      </c>
      <c r="BA411" s="3">
        <f>IF(ISERROR(LEN(VLOOKUP(A411,Seqs!A:E,2,FALSE))-AL411),"-",LEN(VLOOKUP(A411,Seqs!A:E,2,FALSE))-AL411)</f>
        <v>15</v>
      </c>
      <c r="BB411" s="16">
        <f t="shared" si="265"/>
        <v>31</v>
      </c>
      <c r="BC411" s="9">
        <f t="shared" si="266"/>
        <v>20</v>
      </c>
      <c r="BD411" s="3">
        <f t="shared" si="267"/>
        <v>31</v>
      </c>
      <c r="BE411" s="3">
        <f t="shared" si="268"/>
        <v>53</v>
      </c>
      <c r="BF411" s="3">
        <f t="shared" si="253"/>
        <v>36</v>
      </c>
    </row>
    <row r="412" spans="1:58" s="3" customFormat="1" x14ac:dyDescent="0.2">
      <c r="A412" s="3" t="s">
        <v>470</v>
      </c>
      <c r="B412" s="3" t="str">
        <f>LOWER(VLOOKUP(A412,Xtal_Templ!A:B,2,FALSE))</f>
        <v>5ht1b_human</v>
      </c>
      <c r="C412" s="3">
        <f>VLOOKUP($A412,'SegEnds_NonXtal_BW#'!$A:$Z,3,FALSE)+D412-50</f>
        <v>6</v>
      </c>
      <c r="D412" s="3">
        <v>24</v>
      </c>
      <c r="E412" s="3">
        <f t="shared" si="248"/>
        <v>36</v>
      </c>
      <c r="F412" s="3">
        <f t="shared" si="249"/>
        <v>37</v>
      </c>
      <c r="G412" s="3">
        <v>39</v>
      </c>
      <c r="H412" s="3">
        <f t="shared" si="250"/>
        <v>40</v>
      </c>
      <c r="I412" s="3">
        <f t="shared" si="250"/>
        <v>41</v>
      </c>
      <c r="J412" s="3">
        <v>55</v>
      </c>
      <c r="K412" s="3">
        <f>VLOOKUP($A412,'SegEnds_NonXtal_BW#'!$A:$Z,8,FALSE)+VLOOKUP($A412,A:AL,10,FALSE)-50</f>
        <v>71</v>
      </c>
      <c r="L412" s="3" t="str">
        <f>IF(ISERROR(VLOOKUP($A412,'SegEnds_NonXtal_BW#'!$A:$Z,9,FALSE)+VLOOKUP($A412,A:AL,13,FALSE)-50),"-",(VLOOKUP($A412,'SegEnds_NonXtal_BW#'!$A:$Z,9,FALSE)+VLOOKUP($A412,A:AL,13,FALSE)-50))</f>
        <v>-</v>
      </c>
      <c r="M412" s="3" t="s">
        <v>23</v>
      </c>
      <c r="N412" s="3" t="str">
        <f>IF(ISERROR(VLOOKUP($A412,'SegEnds_NonXtal_BW#'!$A:$Z,10,FALSE)+VLOOKUP($A412,A:AL,13,FALSE)-50),"-",(VLOOKUP($A412,'SegEnds_NonXtal_BW#'!$A:$Z,10,FALSE)+VLOOKUP($A412,A:AL,13,FALSE)-50))</f>
        <v>-</v>
      </c>
      <c r="O412" s="3">
        <f>VLOOKUP($A412,'SegEnds_NonXtal_BW#'!$A:$Z,11,FALSE)+VLOOKUP($A412,A:AL,16,FALSE)-50</f>
        <v>77</v>
      </c>
      <c r="P412" s="3">
        <v>106</v>
      </c>
      <c r="Q412" s="3">
        <f>VLOOKUP($A412,'SegEnds_NonXtal_BW#'!$A:$Z,12,FALSE)+VLOOKUP($A412,A:AL,16,FALSE)-50</f>
        <v>112</v>
      </c>
      <c r="R412" s="3">
        <f t="shared" si="251"/>
        <v>115</v>
      </c>
      <c r="S412" s="3">
        <v>115</v>
      </c>
      <c r="T412" s="100">
        <f t="shared" si="252"/>
        <v>122</v>
      </c>
      <c r="U412" s="9">
        <f>IF(ISERROR(VLOOKUP($A412,'SegEnds_NonXtal_BW#'!$A:$Z,15,FALSE)+VLOOKUP($A412,A:AL,22,FALSE)-50),"-",VLOOKUP($A412,'SegEnds_NonXtal_BW#'!$A:$Z,15,FALSE)+VLOOKUP($A412,A:AL,22,FALSE)-50)</f>
        <v>123</v>
      </c>
      <c r="V412" s="3">
        <v>135</v>
      </c>
      <c r="W412" s="3">
        <f>IF(ISERROR(VLOOKUP($A412,'SegEnds_NonXtal_BW#'!$A:$Z,16,FALSE)+VLOOKUP($A412,A:AL,22,FALSE)-50),"-",(VLOOKUP($A412,'SegEnds_NonXtal_BW#'!$A:$Z,16,FALSE)+VLOOKUP($A412,A:AL,22,FALSE)-50))</f>
        <v>148</v>
      </c>
      <c r="X412" s="3" t="str">
        <f>IF(ISERROR(VLOOKUP($A412,'SegEnds_NonXtal_BW#'!$A:$Z,17,FALSE)+VLOOKUP($A412,A:AL,25,FALSE)-50),"-",(VLOOKUP($A412,'SegEnds_NonXtal_BW#'!$A:$Z,17,FALSE)+VLOOKUP($A412,A:AL,25,FALSE)-50))</f>
        <v>-</v>
      </c>
      <c r="Y412" s="3" t="s">
        <v>23</v>
      </c>
      <c r="Z412" s="3" t="str">
        <f>IF(ISERROR(VLOOKUP($A412,'SegEnds_NonXtal_BW#'!$A:$Z,18,FALSE)+VLOOKUP($A412,A:AL,25,FALSE)-50),"-",(VLOOKUP($A412,'SegEnds_NonXtal_BW#'!$A:$Z,18,FALSE)+VLOOKUP($A412,A:AL,25,FALSE)-50))</f>
        <v>-</v>
      </c>
      <c r="AA412" s="3">
        <f>IF(ISERROR(VLOOKUP($A412,'SegEnds_NonXtal_BW#'!$A:$Z,19,FALSE)+VLOOKUP($A412,A:AL,28,FALSE)-50),"-",(VLOOKUP($A412,'SegEnds_NonXtal_BW#'!$A:$Z,19,FALSE)+VLOOKUP($A412,A:AL,28,FALSE)-50))</f>
        <v>170</v>
      </c>
      <c r="AB412" s="3">
        <v>188</v>
      </c>
      <c r="AC412" s="3">
        <f>IF(ISERROR((VLOOKUP($A412,'SegEnds_NonXtal_BW#'!$A:$Z,20,FALSE)+VLOOKUP($A412,A:AL,28,FALSE)-50)),"-",(VLOOKUP($A412,'SegEnds_NonXtal_BW#'!$A:$Z,20,FALSE)+VLOOKUP($A412,A:AL,28,FALSE)-50))</f>
        <v>210</v>
      </c>
      <c r="AD412" s="3">
        <f>IF(ISERROR(VLOOKUP($A412,'SegEnds_NonXtal_BW#'!$A:$Z,21,FALSE)+VLOOKUP($A412,A:AL,31,FALSE)-50),"-",(VLOOKUP($A412,'SegEnds_NonXtal_BW#'!$A:$Z,21,FALSE)+VLOOKUP($A412,A:AL,31,FALSE)-50))</f>
        <v>220</v>
      </c>
      <c r="AE412" s="3">
        <v>241</v>
      </c>
      <c r="AF412" s="3">
        <f>IF(ISERROR((VLOOKUP($A412,'SegEnds_NonXtal_BW#'!$A:$Z,22,FALSE)+VLOOKUP($A412,A:AL,31,FALSE)-50)),"-",(VLOOKUP($A412,'SegEnds_NonXtal_BW#'!$A:$Z,22,FALSE)+VLOOKUP($A412,A:AL,31,FALSE)-50))</f>
        <v>252</v>
      </c>
      <c r="AG412" s="3">
        <f>IF(ISERROR(VLOOKUP($A412,'SegEnds_NonXtal_BW#'!$A:$Z,23,FALSE)+VLOOKUP($A412,A:AL,34,FALSE)-50),"-",(VLOOKUP($A412,'SegEnds_NonXtal_BW#'!$A:$Z,23,FALSE)+VLOOKUP($A412,A:AL,34,FALSE)-50))</f>
        <v>258</v>
      </c>
      <c r="AH412" s="3">
        <v>277</v>
      </c>
      <c r="AI412" s="3">
        <f>IF(ISERROR((VLOOKUP($A412,'SegEnds_NonXtal_BW#'!$A:$Z,24,FALSE)+VLOOKUP($A412,A:AL,34,FALSE)-50)),"-",(VLOOKUP($A412,'SegEnds_NonXtal_BW#'!$A:$Z,24,FALSE)+VLOOKUP($A412,A:AL,34,FALSE)-50))</f>
        <v>283</v>
      </c>
      <c r="AJ412" s="3">
        <f>IF(ISERROR(VLOOKUP($A412,'SegEnds_NonXtal_BW#'!$A:$Z,25,FALSE)+VLOOKUP($A412,A:AL,37,FALSE)-50),"-",(VLOOKUP($A412,'SegEnds_NonXtal_BW#'!$A:$Z,25,FALSE)+VLOOKUP($A412,A:AL,37,FALSE)-50))</f>
        <v>284</v>
      </c>
      <c r="AK412" s="3">
        <v>287</v>
      </c>
      <c r="AL412" s="3">
        <f>IF(ISERROR((VLOOKUP($A412,'SegEnds_NonXtal_BW#'!$A:$Z,26,FALSE)+VLOOKUP($A412,A:AL,37,FALSE)-50)),"-",(VLOOKUP($A412,'SegEnds_NonXtal_BW#'!$A:$Z,26,FALSE)+VLOOKUP($A412,A:AL,37,FALSE)-50))</f>
        <v>297</v>
      </c>
      <c r="AM412" s="28" t="str">
        <f>VLOOKUP(A412,Classification!A:B,2,FALSE)</f>
        <v>T</v>
      </c>
      <c r="AN412" s="28" t="b">
        <f t="shared" si="269"/>
        <v>1</v>
      </c>
      <c r="AO412" s="3" t="str">
        <f>IF(ISERROR(MATCH(A412,'SegEnds_Xtal_Prot#'!B:B, 0)), "NoXtal", "Xtal")</f>
        <v>NoXtal</v>
      </c>
      <c r="AP412" s="3">
        <f t="shared" si="254"/>
        <v>1</v>
      </c>
      <c r="AQ412" s="3">
        <f t="shared" si="255"/>
        <v>1</v>
      </c>
      <c r="AR412" s="3" t="str">
        <f t="shared" si="256"/>
        <v>-</v>
      </c>
      <c r="AS412" s="3" t="str">
        <f t="shared" si="257"/>
        <v>-</v>
      </c>
      <c r="AT412" s="3">
        <f t="shared" si="258"/>
        <v>3</v>
      </c>
      <c r="AU412" s="3">
        <f t="shared" si="259"/>
        <v>1</v>
      </c>
      <c r="AV412" s="3" t="str">
        <f t="shared" si="260"/>
        <v>-</v>
      </c>
      <c r="AW412" s="3" t="str">
        <f t="shared" si="261"/>
        <v>-</v>
      </c>
      <c r="AX412" s="3">
        <f t="shared" si="262"/>
        <v>10</v>
      </c>
      <c r="AY412" s="3">
        <f t="shared" si="263"/>
        <v>6</v>
      </c>
      <c r="AZ412" s="3">
        <f t="shared" si="264"/>
        <v>1</v>
      </c>
      <c r="BA412" s="3">
        <f>IF(ISERROR(LEN(VLOOKUP(A412,Seqs!A:E,2,FALSE))-AL412),"-",LEN(VLOOKUP(A412,Seqs!A:E,2,FALSE))-AL412)</f>
        <v>2</v>
      </c>
      <c r="BB412" s="16">
        <f t="shared" si="265"/>
        <v>31</v>
      </c>
      <c r="BC412" s="9">
        <f t="shared" si="266"/>
        <v>20</v>
      </c>
      <c r="BD412" s="3">
        <f t="shared" si="267"/>
        <v>31</v>
      </c>
      <c r="BE412" s="3">
        <f t="shared" si="268"/>
        <v>53</v>
      </c>
      <c r="BF412" s="3">
        <f t="shared" si="253"/>
        <v>36</v>
      </c>
    </row>
    <row r="413" spans="1:58" s="3" customFormat="1" x14ac:dyDescent="0.2">
      <c r="A413" s="3" t="s">
        <v>471</v>
      </c>
      <c r="B413" s="3" t="str">
        <f>LOWER(VLOOKUP(A413,Xtal_Templ!A:B,2,FALSE))</f>
        <v>hrh1_human</v>
      </c>
      <c r="C413" s="3">
        <f>VLOOKUP($A413,'SegEnds_NonXtal_BW#'!$A:$Z,3,FALSE)+D413-50</f>
        <v>6</v>
      </c>
      <c r="D413" s="3">
        <v>24</v>
      </c>
      <c r="E413" s="3">
        <f t="shared" si="248"/>
        <v>36</v>
      </c>
      <c r="F413" s="3">
        <f t="shared" si="249"/>
        <v>37</v>
      </c>
      <c r="G413" s="3">
        <v>39</v>
      </c>
      <c r="H413" s="3">
        <f t="shared" si="250"/>
        <v>40</v>
      </c>
      <c r="I413" s="3">
        <f t="shared" si="250"/>
        <v>41</v>
      </c>
      <c r="J413" s="3">
        <v>55</v>
      </c>
      <c r="K413" s="3">
        <f>VLOOKUP($A413,'SegEnds_NonXtal_BW#'!$A:$Z,8,FALSE)+VLOOKUP($A413,A:AL,10,FALSE)-50</f>
        <v>71</v>
      </c>
      <c r="L413" s="3" t="str">
        <f>IF(ISERROR(VLOOKUP($A413,'SegEnds_NonXtal_BW#'!$A:$Z,9,FALSE)+VLOOKUP($A413,A:AL,13,FALSE)-50),"-",(VLOOKUP($A413,'SegEnds_NonXtal_BW#'!$A:$Z,9,FALSE)+VLOOKUP($A413,A:AL,13,FALSE)-50))</f>
        <v>-</v>
      </c>
      <c r="M413" s="3" t="s">
        <v>23</v>
      </c>
      <c r="N413" s="3" t="str">
        <f>IF(ISERROR(VLOOKUP($A413,'SegEnds_NonXtal_BW#'!$A:$Z,10,FALSE)+VLOOKUP($A413,A:AL,13,FALSE)-50),"-",(VLOOKUP($A413,'SegEnds_NonXtal_BW#'!$A:$Z,10,FALSE)+VLOOKUP($A413,A:AL,13,FALSE)-50))</f>
        <v>-</v>
      </c>
      <c r="O413" s="3">
        <f>VLOOKUP($A413,'SegEnds_NonXtal_BW#'!$A:$Z,11,FALSE)+VLOOKUP($A413,A:AL,16,FALSE)-50</f>
        <v>77</v>
      </c>
      <c r="P413" s="3">
        <v>103</v>
      </c>
      <c r="Q413" s="3">
        <f>VLOOKUP($A413,'SegEnds_NonXtal_BW#'!$A:$Z,12,FALSE)+VLOOKUP($A413,A:AL,16,FALSE)-50</f>
        <v>109</v>
      </c>
      <c r="R413" s="3">
        <f t="shared" si="251"/>
        <v>112</v>
      </c>
      <c r="S413" s="3">
        <v>112</v>
      </c>
      <c r="T413" s="100">
        <f t="shared" si="252"/>
        <v>119</v>
      </c>
      <c r="U413" s="9">
        <f>IF(ISERROR(VLOOKUP($A413,'SegEnds_NonXtal_BW#'!$A:$Z,15,FALSE)+VLOOKUP($A413,A:AL,22,FALSE)-50),"-",VLOOKUP($A413,'SegEnds_NonXtal_BW#'!$A:$Z,15,FALSE)+VLOOKUP($A413,A:AL,22,FALSE)-50)</f>
        <v>120</v>
      </c>
      <c r="V413" s="3">
        <v>132</v>
      </c>
      <c r="W413" s="3">
        <f>IF(ISERROR(VLOOKUP($A413,'SegEnds_NonXtal_BW#'!$A:$Z,16,FALSE)+VLOOKUP($A413,A:AL,22,FALSE)-50),"-",(VLOOKUP($A413,'SegEnds_NonXtal_BW#'!$A:$Z,16,FALSE)+VLOOKUP($A413,A:AL,22,FALSE)-50))</f>
        <v>144</v>
      </c>
      <c r="X413" s="3" t="str">
        <f>IF(ISERROR(VLOOKUP($A413,'SegEnds_NonXtal_BW#'!$A:$Z,17,FALSE)+VLOOKUP($A413,A:AL,25,FALSE)-50),"-",(VLOOKUP($A413,'SegEnds_NonXtal_BW#'!$A:$Z,17,FALSE)+VLOOKUP($A413,A:AL,25,FALSE)-50))</f>
        <v>-</v>
      </c>
      <c r="Y413" s="3" t="s">
        <v>23</v>
      </c>
      <c r="Z413" s="3" t="str">
        <f>IF(ISERROR(VLOOKUP($A413,'SegEnds_NonXtal_BW#'!$A:$Z,18,FALSE)+VLOOKUP($A413,A:AL,25,FALSE)-50),"-",(VLOOKUP($A413,'SegEnds_NonXtal_BW#'!$A:$Z,18,FALSE)+VLOOKUP($A413,A:AL,25,FALSE)-50))</f>
        <v>-</v>
      </c>
      <c r="AA413" s="3">
        <f>IF(ISERROR(VLOOKUP($A413,'SegEnds_NonXtal_BW#'!$A:$Z,19,FALSE)+VLOOKUP($A413,A:AL,28,FALSE)-50),"-",(VLOOKUP($A413,'SegEnds_NonXtal_BW#'!$A:$Z,19,FALSE)+VLOOKUP($A413,A:AL,28,FALSE)-50))</f>
        <v>162</v>
      </c>
      <c r="AB413" s="3">
        <v>180</v>
      </c>
      <c r="AC413" s="3">
        <f>IF(ISERROR((VLOOKUP($A413,'SegEnds_NonXtal_BW#'!$A:$Z,20,FALSE)+VLOOKUP($A413,A:AL,28,FALSE)-50)),"-",(VLOOKUP($A413,'SegEnds_NonXtal_BW#'!$A:$Z,20,FALSE)+VLOOKUP($A413,A:AL,28,FALSE)-50))</f>
        <v>202</v>
      </c>
      <c r="AD413" s="3">
        <f>IF(ISERROR(VLOOKUP($A413,'SegEnds_NonXtal_BW#'!$A:$Z,21,FALSE)+VLOOKUP($A413,A:AL,31,FALSE)-50),"-",(VLOOKUP($A413,'SegEnds_NonXtal_BW#'!$A:$Z,21,FALSE)+VLOOKUP($A413,A:AL,31,FALSE)-50))</f>
        <v>212</v>
      </c>
      <c r="AE413" s="3">
        <v>233</v>
      </c>
      <c r="AF413" s="3">
        <f>IF(ISERROR((VLOOKUP($A413,'SegEnds_NonXtal_BW#'!$A:$Z,22,FALSE)+VLOOKUP($A413,A:AL,31,FALSE)-50)),"-",(VLOOKUP($A413,'SegEnds_NonXtal_BW#'!$A:$Z,22,FALSE)+VLOOKUP($A413,A:AL,31,FALSE)-50))</f>
        <v>244</v>
      </c>
      <c r="AG413" s="3">
        <f>IF(ISERROR(VLOOKUP($A413,'SegEnds_NonXtal_BW#'!$A:$Z,23,FALSE)+VLOOKUP($A413,A:AL,34,FALSE)-50),"-",(VLOOKUP($A413,'SegEnds_NonXtal_BW#'!$A:$Z,23,FALSE)+VLOOKUP($A413,A:AL,34,FALSE)-50))</f>
        <v>250</v>
      </c>
      <c r="AH413" s="3">
        <v>269</v>
      </c>
      <c r="AI413" s="3">
        <f>IF(ISERROR((VLOOKUP($A413,'SegEnds_NonXtal_BW#'!$A:$Z,24,FALSE)+VLOOKUP($A413,A:AL,34,FALSE)-50)),"-",(VLOOKUP($A413,'SegEnds_NonXtal_BW#'!$A:$Z,24,FALSE)+VLOOKUP($A413,A:AL,34,FALSE)-50))</f>
        <v>275</v>
      </c>
      <c r="AJ413" s="3">
        <f>IF(ISERROR(VLOOKUP($A413,'SegEnds_NonXtal_BW#'!$A:$Z,25,FALSE)+VLOOKUP($A413,A:AL,37,FALSE)-50),"-",(VLOOKUP($A413,'SegEnds_NonXtal_BW#'!$A:$Z,25,FALSE)+VLOOKUP($A413,A:AL,37,FALSE)-50))</f>
        <v>276</v>
      </c>
      <c r="AK413" s="3">
        <v>279</v>
      </c>
      <c r="AL413" s="3">
        <f>IF(ISERROR((VLOOKUP($A413,'SegEnds_NonXtal_BW#'!$A:$Z,26,FALSE)+VLOOKUP($A413,A:AL,37,FALSE)-50)),"-",(VLOOKUP($A413,'SegEnds_NonXtal_BW#'!$A:$Z,26,FALSE)+VLOOKUP($A413,A:AL,37,FALSE)-50))</f>
        <v>289</v>
      </c>
      <c r="AM413" s="28" t="str">
        <f>VLOOKUP(A413,Classification!A:B,2,FALSE)</f>
        <v>T</v>
      </c>
      <c r="AN413" s="28" t="b">
        <f t="shared" si="269"/>
        <v>1</v>
      </c>
      <c r="AO413" s="3" t="str">
        <f>IF(ISERROR(MATCH(A413,'SegEnds_Xtal_Prot#'!B:B, 0)), "NoXtal", "Xtal")</f>
        <v>NoXtal</v>
      </c>
      <c r="AP413" s="3">
        <f t="shared" si="254"/>
        <v>1</v>
      </c>
      <c r="AQ413" s="3">
        <f t="shared" si="255"/>
        <v>1</v>
      </c>
      <c r="AR413" s="3" t="str">
        <f t="shared" si="256"/>
        <v>-</v>
      </c>
      <c r="AS413" s="3" t="str">
        <f t="shared" si="257"/>
        <v>-</v>
      </c>
      <c r="AT413" s="3">
        <f t="shared" si="258"/>
        <v>3</v>
      </c>
      <c r="AU413" s="3">
        <f t="shared" si="259"/>
        <v>1</v>
      </c>
      <c r="AV413" s="3" t="str">
        <f t="shared" si="260"/>
        <v>-</v>
      </c>
      <c r="AW413" s="3" t="str">
        <f t="shared" si="261"/>
        <v>-</v>
      </c>
      <c r="AX413" s="3">
        <f t="shared" si="262"/>
        <v>10</v>
      </c>
      <c r="AY413" s="3">
        <f t="shared" si="263"/>
        <v>6</v>
      </c>
      <c r="AZ413" s="3">
        <f t="shared" si="264"/>
        <v>1</v>
      </c>
      <c r="BA413" s="3">
        <f>IF(ISERROR(LEN(VLOOKUP(A413,Seqs!A:E,2,FALSE))-AL413),"-",LEN(VLOOKUP(A413,Seqs!A:E,2,FALSE))-AL413)</f>
        <v>10</v>
      </c>
      <c r="BB413" s="16">
        <f t="shared" si="265"/>
        <v>31</v>
      </c>
      <c r="BC413" s="9">
        <f t="shared" si="266"/>
        <v>20</v>
      </c>
      <c r="BD413" s="3">
        <f t="shared" si="267"/>
        <v>31</v>
      </c>
      <c r="BE413" s="3">
        <f t="shared" si="268"/>
        <v>53</v>
      </c>
      <c r="BF413" s="3">
        <f t="shared" si="253"/>
        <v>36</v>
      </c>
    </row>
    <row r="414" spans="1:58" s="3" customFormat="1" x14ac:dyDescent="0.2">
      <c r="A414" s="3" t="s">
        <v>472</v>
      </c>
      <c r="B414" s="3" t="str">
        <f>LOWER(VLOOKUP(A414,Xtal_Templ!A:B,2,FALSE))</f>
        <v>drd2_human</v>
      </c>
      <c r="C414" s="3">
        <f>VLOOKUP($A414,'SegEnds_NonXtal_BW#'!$A:$Z,3,FALSE)+D414-50</f>
        <v>6</v>
      </c>
      <c r="D414" s="3">
        <v>24</v>
      </c>
      <c r="E414" s="3">
        <f t="shared" si="248"/>
        <v>36</v>
      </c>
      <c r="F414" s="3">
        <f t="shared" si="249"/>
        <v>37</v>
      </c>
      <c r="G414" s="3">
        <v>39</v>
      </c>
      <c r="H414" s="3">
        <f t="shared" si="250"/>
        <v>40</v>
      </c>
      <c r="I414" s="3">
        <f t="shared" si="250"/>
        <v>41</v>
      </c>
      <c r="J414" s="3">
        <v>55</v>
      </c>
      <c r="K414" s="3">
        <f>VLOOKUP($A414,'SegEnds_NonXtal_BW#'!$A:$Z,8,FALSE)+VLOOKUP($A414,A:AL,10,FALSE)-50</f>
        <v>72</v>
      </c>
      <c r="L414" s="3" t="str">
        <f>IF(ISERROR(VLOOKUP($A414,'SegEnds_NonXtal_BW#'!$A:$Z,9,FALSE)+VLOOKUP($A414,A:AL,13,FALSE)-50),"-",(VLOOKUP($A414,'SegEnds_NonXtal_BW#'!$A:$Z,9,FALSE)+VLOOKUP($A414,A:AL,13,FALSE)-50))</f>
        <v>-</v>
      </c>
      <c r="M414" s="3" t="s">
        <v>23</v>
      </c>
      <c r="N414" s="3" t="str">
        <f>IF(ISERROR(VLOOKUP($A414,'SegEnds_NonXtal_BW#'!$A:$Z,10,FALSE)+VLOOKUP($A414,A:AL,13,FALSE)-50),"-",(VLOOKUP($A414,'SegEnds_NonXtal_BW#'!$A:$Z,10,FALSE)+VLOOKUP($A414,A:AL,13,FALSE)-50))</f>
        <v>-</v>
      </c>
      <c r="O414" s="3">
        <f>VLOOKUP($A414,'SegEnds_NonXtal_BW#'!$A:$Z,11,FALSE)+VLOOKUP($A414,A:AL,16,FALSE)-50</f>
        <v>78</v>
      </c>
      <c r="P414" s="3">
        <v>107</v>
      </c>
      <c r="Q414" s="3">
        <f>VLOOKUP($A414,'SegEnds_NonXtal_BW#'!$A:$Z,12,FALSE)+VLOOKUP($A414,A:AL,16,FALSE)-50</f>
        <v>113</v>
      </c>
      <c r="R414" s="3">
        <f t="shared" si="251"/>
        <v>116</v>
      </c>
      <c r="S414" s="3">
        <v>116</v>
      </c>
      <c r="T414" s="100">
        <f t="shared" si="252"/>
        <v>123</v>
      </c>
      <c r="U414" s="9">
        <f>IF(ISERROR(VLOOKUP($A414,'SegEnds_NonXtal_BW#'!$A:$Z,15,FALSE)+VLOOKUP($A414,A:AL,22,FALSE)-50),"-",VLOOKUP($A414,'SegEnds_NonXtal_BW#'!$A:$Z,15,FALSE)+VLOOKUP($A414,A:AL,22,FALSE)-50)</f>
        <v>124</v>
      </c>
      <c r="V414" s="3">
        <v>136</v>
      </c>
      <c r="W414" s="3">
        <f>IF(ISERROR(VLOOKUP($A414,'SegEnds_NonXtal_BW#'!$A:$Z,16,FALSE)+VLOOKUP($A414,A:AL,22,FALSE)-50),"-",(VLOOKUP($A414,'SegEnds_NonXtal_BW#'!$A:$Z,16,FALSE)+VLOOKUP($A414,A:AL,22,FALSE)-50))</f>
        <v>148</v>
      </c>
      <c r="X414" s="3" t="str">
        <f>IF(ISERROR(VLOOKUP($A414,'SegEnds_NonXtal_BW#'!$A:$Z,17,FALSE)+VLOOKUP($A414,A:AL,25,FALSE)-50),"-",(VLOOKUP($A414,'SegEnds_NonXtal_BW#'!$A:$Z,17,FALSE)+VLOOKUP($A414,A:AL,25,FALSE)-50))</f>
        <v>-</v>
      </c>
      <c r="Y414" s="3" t="s">
        <v>23</v>
      </c>
      <c r="Z414" s="3" t="str">
        <f>IF(ISERROR(VLOOKUP($A414,'SegEnds_NonXtal_BW#'!$A:$Z,18,FALSE)+VLOOKUP($A414,A:AL,25,FALSE)-50),"-",(VLOOKUP($A414,'SegEnds_NonXtal_BW#'!$A:$Z,18,FALSE)+VLOOKUP($A414,A:AL,25,FALSE)-50))</f>
        <v>-</v>
      </c>
      <c r="AA414" s="3">
        <f>IF(ISERROR(VLOOKUP($A414,'SegEnds_NonXtal_BW#'!$A:$Z,19,FALSE)+VLOOKUP($A414,A:AL,28,FALSE)-50),"-",(VLOOKUP($A414,'SegEnds_NonXtal_BW#'!$A:$Z,19,FALSE)+VLOOKUP($A414,A:AL,28,FALSE)-50))</f>
        <v>175</v>
      </c>
      <c r="AB414" s="3">
        <v>193</v>
      </c>
      <c r="AC414" s="3">
        <f>IF(ISERROR((VLOOKUP($A414,'SegEnds_NonXtal_BW#'!$A:$Z,20,FALSE)+VLOOKUP($A414,A:AL,28,FALSE)-50)),"-",(VLOOKUP($A414,'SegEnds_NonXtal_BW#'!$A:$Z,20,FALSE)+VLOOKUP($A414,A:AL,28,FALSE)-50))</f>
        <v>215</v>
      </c>
      <c r="AD414" s="3">
        <f>IF(ISERROR(VLOOKUP($A414,'SegEnds_NonXtal_BW#'!$A:$Z,21,FALSE)+VLOOKUP($A414,A:AL,31,FALSE)-50),"-",(VLOOKUP($A414,'SegEnds_NonXtal_BW#'!$A:$Z,21,FALSE)+VLOOKUP($A414,A:AL,31,FALSE)-50))</f>
        <v>225</v>
      </c>
      <c r="AE414" s="3">
        <v>246</v>
      </c>
      <c r="AF414" s="3">
        <f>IF(ISERROR((VLOOKUP($A414,'SegEnds_NonXtal_BW#'!$A:$Z,22,FALSE)+VLOOKUP($A414,A:AL,31,FALSE)-50)),"-",(VLOOKUP($A414,'SegEnds_NonXtal_BW#'!$A:$Z,22,FALSE)+VLOOKUP($A414,A:AL,31,FALSE)-50))</f>
        <v>257</v>
      </c>
      <c r="AG414" s="3">
        <f>IF(ISERROR(VLOOKUP($A414,'SegEnds_NonXtal_BW#'!$A:$Z,23,FALSE)+VLOOKUP($A414,A:AL,34,FALSE)-50),"-",(VLOOKUP($A414,'SegEnds_NonXtal_BW#'!$A:$Z,23,FALSE)+VLOOKUP($A414,A:AL,34,FALSE)-50))</f>
        <v>263</v>
      </c>
      <c r="AH414" s="3">
        <v>282</v>
      </c>
      <c r="AI414" s="3">
        <f>IF(ISERROR((VLOOKUP($A414,'SegEnds_NonXtal_BW#'!$A:$Z,24,FALSE)+VLOOKUP($A414,A:AL,34,FALSE)-50)),"-",(VLOOKUP($A414,'SegEnds_NonXtal_BW#'!$A:$Z,24,FALSE)+VLOOKUP($A414,A:AL,34,FALSE)-50))</f>
        <v>288</v>
      </c>
      <c r="AJ414" s="3">
        <f>IF(ISERROR(VLOOKUP($A414,'SegEnds_NonXtal_BW#'!$A:$Z,25,FALSE)+VLOOKUP($A414,A:AL,37,FALSE)-50),"-",(VLOOKUP($A414,'SegEnds_NonXtal_BW#'!$A:$Z,25,FALSE)+VLOOKUP($A414,A:AL,37,FALSE)-50))</f>
        <v>289</v>
      </c>
      <c r="AK414" s="3">
        <v>292</v>
      </c>
      <c r="AL414" s="3">
        <f>IF(ISERROR((VLOOKUP($A414,'SegEnds_NonXtal_BW#'!$A:$Z,26,FALSE)+VLOOKUP($A414,A:AL,37,FALSE)-50)),"-",(VLOOKUP($A414,'SegEnds_NonXtal_BW#'!$A:$Z,26,FALSE)+VLOOKUP($A414,A:AL,37,FALSE)-50))</f>
        <v>302</v>
      </c>
      <c r="AM414" s="28" t="str">
        <f>VLOOKUP(A414,Classification!A:B,2,FALSE)</f>
        <v>T</v>
      </c>
      <c r="AN414" s="28" t="b">
        <f t="shared" si="269"/>
        <v>1</v>
      </c>
      <c r="AO414" s="3" t="str">
        <f>IF(ISERROR(MATCH(A414,'SegEnds_Xtal_Prot#'!B:B, 0)), "NoXtal", "Xtal")</f>
        <v>NoXtal</v>
      </c>
      <c r="AP414" s="3">
        <f t="shared" si="254"/>
        <v>1</v>
      </c>
      <c r="AQ414" s="3">
        <f t="shared" si="255"/>
        <v>1</v>
      </c>
      <c r="AR414" s="3" t="str">
        <f t="shared" si="256"/>
        <v>-</v>
      </c>
      <c r="AS414" s="3" t="str">
        <f t="shared" si="257"/>
        <v>-</v>
      </c>
      <c r="AT414" s="3">
        <f t="shared" si="258"/>
        <v>3</v>
      </c>
      <c r="AU414" s="3">
        <f t="shared" si="259"/>
        <v>1</v>
      </c>
      <c r="AV414" s="3" t="str">
        <f t="shared" si="260"/>
        <v>-</v>
      </c>
      <c r="AW414" s="3" t="str">
        <f t="shared" si="261"/>
        <v>-</v>
      </c>
      <c r="AX414" s="3">
        <f t="shared" si="262"/>
        <v>10</v>
      </c>
      <c r="AY414" s="3">
        <f t="shared" si="263"/>
        <v>6</v>
      </c>
      <c r="AZ414" s="3">
        <f t="shared" si="264"/>
        <v>1</v>
      </c>
      <c r="BA414" s="3">
        <f>IF(ISERROR(LEN(VLOOKUP(A414,Seqs!A:E,2,FALSE))-AL414),"-",LEN(VLOOKUP(A414,Seqs!A:E,2,FALSE))-AL414)</f>
        <v>16</v>
      </c>
      <c r="BB414" s="16">
        <f t="shared" si="265"/>
        <v>31</v>
      </c>
      <c r="BC414" s="9">
        <f t="shared" si="266"/>
        <v>20</v>
      </c>
      <c r="BD414" s="3">
        <f t="shared" si="267"/>
        <v>31</v>
      </c>
      <c r="BE414" s="3">
        <f t="shared" si="268"/>
        <v>53</v>
      </c>
      <c r="BF414" s="3">
        <f t="shared" si="253"/>
        <v>36</v>
      </c>
    </row>
    <row r="415" spans="1:58" s="3" customFormat="1" x14ac:dyDescent="0.2">
      <c r="A415" s="3" t="s">
        <v>473</v>
      </c>
      <c r="B415" s="3" t="str">
        <f>LOWER(VLOOKUP(A415,Xtal_Templ!A:B,2,FALSE))</f>
        <v>drd2_human</v>
      </c>
      <c r="C415" s="3">
        <f>VLOOKUP($A415,'SegEnds_NonXtal_BW#'!$A:$Z,3,FALSE)+D415-50</f>
        <v>6</v>
      </c>
      <c r="D415" s="3">
        <v>24</v>
      </c>
      <c r="E415" s="3">
        <f t="shared" si="248"/>
        <v>36</v>
      </c>
      <c r="F415" s="3">
        <f t="shared" si="249"/>
        <v>37</v>
      </c>
      <c r="G415" s="3">
        <v>39</v>
      </c>
      <c r="H415" s="3">
        <f t="shared" si="250"/>
        <v>40</v>
      </c>
      <c r="I415" s="3">
        <f t="shared" si="250"/>
        <v>41</v>
      </c>
      <c r="J415" s="3">
        <v>55</v>
      </c>
      <c r="K415" s="3">
        <f>VLOOKUP($A415,'SegEnds_NonXtal_BW#'!$A:$Z,8,FALSE)+VLOOKUP($A415,A:AL,10,FALSE)-50</f>
        <v>71</v>
      </c>
      <c r="L415" s="3" t="str">
        <f>IF(ISERROR(VLOOKUP($A415,'SegEnds_NonXtal_BW#'!$A:$Z,9,FALSE)+VLOOKUP($A415,A:AL,13,FALSE)-50),"-",(VLOOKUP($A415,'SegEnds_NonXtal_BW#'!$A:$Z,9,FALSE)+VLOOKUP($A415,A:AL,13,FALSE)-50))</f>
        <v>-</v>
      </c>
      <c r="M415" s="3" t="s">
        <v>23</v>
      </c>
      <c r="N415" s="3" t="str">
        <f>IF(ISERROR(VLOOKUP($A415,'SegEnds_NonXtal_BW#'!$A:$Z,10,FALSE)+VLOOKUP($A415,A:AL,13,FALSE)-50),"-",(VLOOKUP($A415,'SegEnds_NonXtal_BW#'!$A:$Z,10,FALSE)+VLOOKUP($A415,A:AL,13,FALSE)-50))</f>
        <v>-</v>
      </c>
      <c r="O415" s="3">
        <f>VLOOKUP($A415,'SegEnds_NonXtal_BW#'!$A:$Z,11,FALSE)+VLOOKUP($A415,A:AL,16,FALSE)-50</f>
        <v>75</v>
      </c>
      <c r="P415" s="3">
        <v>107</v>
      </c>
      <c r="Q415" s="3">
        <f>VLOOKUP($A415,'SegEnds_NonXtal_BW#'!$A:$Z,12,FALSE)+VLOOKUP($A415,A:AL,16,FALSE)-50</f>
        <v>113</v>
      </c>
      <c r="R415" s="3">
        <f t="shared" si="251"/>
        <v>116</v>
      </c>
      <c r="S415" s="3">
        <v>116</v>
      </c>
      <c r="T415" s="100">
        <f t="shared" si="252"/>
        <v>123</v>
      </c>
      <c r="U415" s="9">
        <f>IF(ISERROR(VLOOKUP($A415,'SegEnds_NonXtal_BW#'!$A:$Z,15,FALSE)+VLOOKUP($A415,A:AL,22,FALSE)-50),"-",VLOOKUP($A415,'SegEnds_NonXtal_BW#'!$A:$Z,15,FALSE)+VLOOKUP($A415,A:AL,22,FALSE)-50)</f>
        <v>124</v>
      </c>
      <c r="V415" s="3">
        <v>136</v>
      </c>
      <c r="W415" s="3">
        <f>IF(ISERROR(VLOOKUP($A415,'SegEnds_NonXtal_BW#'!$A:$Z,16,FALSE)+VLOOKUP($A415,A:AL,22,FALSE)-50),"-",(VLOOKUP($A415,'SegEnds_NonXtal_BW#'!$A:$Z,16,FALSE)+VLOOKUP($A415,A:AL,22,FALSE)-50))</f>
        <v>148</v>
      </c>
      <c r="X415" s="3" t="str">
        <f>IF(ISERROR(VLOOKUP($A415,'SegEnds_NonXtal_BW#'!$A:$Z,17,FALSE)+VLOOKUP($A415,A:AL,25,FALSE)-50),"-",(VLOOKUP($A415,'SegEnds_NonXtal_BW#'!$A:$Z,17,FALSE)+VLOOKUP($A415,A:AL,25,FALSE)-50))</f>
        <v>-</v>
      </c>
      <c r="Y415" s="3" t="s">
        <v>23</v>
      </c>
      <c r="Z415" s="3" t="str">
        <f>IF(ISERROR(VLOOKUP($A415,'SegEnds_NonXtal_BW#'!$A:$Z,18,FALSE)+VLOOKUP($A415,A:AL,25,FALSE)-50),"-",(VLOOKUP($A415,'SegEnds_NonXtal_BW#'!$A:$Z,18,FALSE)+VLOOKUP($A415,A:AL,25,FALSE)-50))</f>
        <v>-</v>
      </c>
      <c r="AA415" s="3">
        <f>IF(ISERROR(VLOOKUP($A415,'SegEnds_NonXtal_BW#'!$A:$Z,19,FALSE)+VLOOKUP($A415,A:AL,28,FALSE)-50),"-",(VLOOKUP($A415,'SegEnds_NonXtal_BW#'!$A:$Z,19,FALSE)+VLOOKUP($A415,A:AL,28,FALSE)-50))</f>
        <v>175</v>
      </c>
      <c r="AB415" s="3">
        <v>193</v>
      </c>
      <c r="AC415" s="3">
        <f>IF(ISERROR((VLOOKUP($A415,'SegEnds_NonXtal_BW#'!$A:$Z,20,FALSE)+VLOOKUP($A415,A:AL,28,FALSE)-50)),"-",(VLOOKUP($A415,'SegEnds_NonXtal_BW#'!$A:$Z,20,FALSE)+VLOOKUP($A415,A:AL,28,FALSE)-50))</f>
        <v>215</v>
      </c>
      <c r="AD415" s="3">
        <f>IF(ISERROR(VLOOKUP($A415,'SegEnds_NonXtal_BW#'!$A:$Z,21,FALSE)+VLOOKUP($A415,A:AL,31,FALSE)-50),"-",(VLOOKUP($A415,'SegEnds_NonXtal_BW#'!$A:$Z,21,FALSE)+VLOOKUP($A415,A:AL,31,FALSE)-50))</f>
        <v>225</v>
      </c>
      <c r="AE415" s="3">
        <v>246</v>
      </c>
      <c r="AF415" s="3">
        <f>IF(ISERROR((VLOOKUP($A415,'SegEnds_NonXtal_BW#'!$A:$Z,22,FALSE)+VLOOKUP($A415,A:AL,31,FALSE)-50)),"-",(VLOOKUP($A415,'SegEnds_NonXtal_BW#'!$A:$Z,22,FALSE)+VLOOKUP($A415,A:AL,31,FALSE)-50))</f>
        <v>257</v>
      </c>
      <c r="AG415" s="3">
        <f>IF(ISERROR(VLOOKUP($A415,'SegEnds_NonXtal_BW#'!$A:$Z,23,FALSE)+VLOOKUP($A415,A:AL,34,FALSE)-50),"-",(VLOOKUP($A415,'SegEnds_NonXtal_BW#'!$A:$Z,23,FALSE)+VLOOKUP($A415,A:AL,34,FALSE)-50))</f>
        <v>263</v>
      </c>
      <c r="AH415" s="3">
        <v>282</v>
      </c>
      <c r="AI415" s="3">
        <f>IF(ISERROR((VLOOKUP($A415,'SegEnds_NonXtal_BW#'!$A:$Z,24,FALSE)+VLOOKUP($A415,A:AL,34,FALSE)-50)),"-",(VLOOKUP($A415,'SegEnds_NonXtal_BW#'!$A:$Z,24,FALSE)+VLOOKUP($A415,A:AL,34,FALSE)-50))</f>
        <v>288</v>
      </c>
      <c r="AJ415" s="3">
        <f>IF(ISERROR(VLOOKUP($A415,'SegEnds_NonXtal_BW#'!$A:$Z,25,FALSE)+VLOOKUP($A415,A:AL,37,FALSE)-50),"-",(VLOOKUP($A415,'SegEnds_NonXtal_BW#'!$A:$Z,25,FALSE)+VLOOKUP($A415,A:AL,37,FALSE)-50))</f>
        <v>289</v>
      </c>
      <c r="AK415" s="3">
        <v>292</v>
      </c>
      <c r="AL415" s="3">
        <f>IF(ISERROR((VLOOKUP($A415,'SegEnds_NonXtal_BW#'!$A:$Z,26,FALSE)+VLOOKUP($A415,A:AL,37,FALSE)-50)),"-",(VLOOKUP($A415,'SegEnds_NonXtal_BW#'!$A:$Z,26,FALSE)+VLOOKUP($A415,A:AL,37,FALSE)-50))</f>
        <v>302</v>
      </c>
      <c r="AM415" s="28" t="str">
        <f>VLOOKUP(A415,Classification!A:B,2,FALSE)</f>
        <v>T</v>
      </c>
      <c r="AN415" s="28" t="b">
        <f t="shared" si="269"/>
        <v>1</v>
      </c>
      <c r="AO415" s="3" t="str">
        <f>IF(ISERROR(MATCH(A415,'SegEnds_Xtal_Prot#'!B:B, 0)), "NoXtal", "Xtal")</f>
        <v>NoXtal</v>
      </c>
      <c r="AP415" s="3">
        <f t="shared" si="254"/>
        <v>1</v>
      </c>
      <c r="AQ415" s="3">
        <f t="shared" si="255"/>
        <v>1</v>
      </c>
      <c r="AR415" s="3" t="str">
        <f t="shared" si="256"/>
        <v>-</v>
      </c>
      <c r="AS415" s="3" t="str">
        <f t="shared" si="257"/>
        <v>-</v>
      </c>
      <c r="AT415" s="3">
        <f t="shared" si="258"/>
        <v>3</v>
      </c>
      <c r="AU415" s="3">
        <f t="shared" si="259"/>
        <v>1</v>
      </c>
      <c r="AV415" s="3" t="str">
        <f t="shared" si="260"/>
        <v>-</v>
      </c>
      <c r="AW415" s="3" t="str">
        <f t="shared" si="261"/>
        <v>-</v>
      </c>
      <c r="AX415" s="3">
        <f t="shared" si="262"/>
        <v>10</v>
      </c>
      <c r="AY415" s="3">
        <f t="shared" si="263"/>
        <v>6</v>
      </c>
      <c r="AZ415" s="3">
        <f t="shared" si="264"/>
        <v>1</v>
      </c>
      <c r="BA415" s="3">
        <f>IF(ISERROR(LEN(VLOOKUP(A415,Seqs!A:E,2,FALSE))-AL415),"-",LEN(VLOOKUP(A415,Seqs!A:E,2,FALSE))-AL415)</f>
        <v>7</v>
      </c>
      <c r="BB415" s="16">
        <f t="shared" si="265"/>
        <v>31</v>
      </c>
      <c r="BC415" s="9">
        <f t="shared" si="266"/>
        <v>20</v>
      </c>
      <c r="BD415" s="3">
        <f t="shared" si="267"/>
        <v>31</v>
      </c>
      <c r="BE415" s="3">
        <f t="shared" si="268"/>
        <v>53</v>
      </c>
      <c r="BF415" s="3">
        <f t="shared" si="253"/>
        <v>36</v>
      </c>
    </row>
    <row r="416" spans="1:58" s="3" customFormat="1" x14ac:dyDescent="0.2">
      <c r="A416" s="3" t="s">
        <v>474</v>
      </c>
      <c r="B416" s="3" t="str">
        <f>LOWER(VLOOKUP(A416,Xtal_Templ!A:B,2,FALSE))</f>
        <v>agtr1_human</v>
      </c>
      <c r="C416" s="3">
        <f>VLOOKUP($A416,'SegEnds_NonXtal_BW#'!$A:$Z,3,FALSE)+D416-50</f>
        <v>6</v>
      </c>
      <c r="D416" s="3">
        <v>24</v>
      </c>
      <c r="E416" s="3">
        <f t="shared" si="248"/>
        <v>36</v>
      </c>
      <c r="F416" s="3">
        <f t="shared" si="249"/>
        <v>37</v>
      </c>
      <c r="G416" s="3">
        <v>39</v>
      </c>
      <c r="H416" s="3">
        <f t="shared" si="250"/>
        <v>40</v>
      </c>
      <c r="I416" s="3">
        <f t="shared" si="250"/>
        <v>41</v>
      </c>
      <c r="J416" s="3">
        <v>55</v>
      </c>
      <c r="K416" s="3">
        <f>VLOOKUP($A416,'SegEnds_NonXtal_BW#'!$A:$Z,8,FALSE)+VLOOKUP($A416,A:AL,10,FALSE)-50</f>
        <v>71</v>
      </c>
      <c r="L416" s="3" t="str">
        <f>IF(ISERROR(VLOOKUP($A416,'SegEnds_NonXtal_BW#'!$A:$Z,9,FALSE)+VLOOKUP($A416,A:AL,13,FALSE)-50),"-",(VLOOKUP($A416,'SegEnds_NonXtal_BW#'!$A:$Z,9,FALSE)+VLOOKUP($A416,A:AL,13,FALSE)-50))</f>
        <v>-</v>
      </c>
      <c r="M416" s="3" t="s">
        <v>23</v>
      </c>
      <c r="N416" s="3" t="str">
        <f>IF(ISERROR(VLOOKUP($A416,'SegEnds_NonXtal_BW#'!$A:$Z,10,FALSE)+VLOOKUP($A416,A:AL,13,FALSE)-50),"-",(VLOOKUP($A416,'SegEnds_NonXtal_BW#'!$A:$Z,10,FALSE)+VLOOKUP($A416,A:AL,13,FALSE)-50))</f>
        <v>-</v>
      </c>
      <c r="O416" s="3">
        <f>VLOOKUP($A416,'SegEnds_NonXtal_BW#'!$A:$Z,11,FALSE)+VLOOKUP($A416,A:AL,16,FALSE)-50</f>
        <v>75</v>
      </c>
      <c r="P416" s="3">
        <v>107</v>
      </c>
      <c r="Q416" s="3">
        <f>VLOOKUP($A416,'SegEnds_NonXtal_BW#'!$A:$Z,12,FALSE)+VLOOKUP($A416,A:AL,16,FALSE)-50</f>
        <v>113</v>
      </c>
      <c r="R416" s="3">
        <f t="shared" si="251"/>
        <v>116</v>
      </c>
      <c r="S416" s="3">
        <v>116</v>
      </c>
      <c r="T416" s="100">
        <f t="shared" si="252"/>
        <v>123</v>
      </c>
      <c r="U416" s="9">
        <f>IF(ISERROR(VLOOKUP($A416,'SegEnds_NonXtal_BW#'!$A:$Z,15,FALSE)+VLOOKUP($A416,A:AL,22,FALSE)-50),"-",VLOOKUP($A416,'SegEnds_NonXtal_BW#'!$A:$Z,15,FALSE)+VLOOKUP($A416,A:AL,22,FALSE)-50)</f>
        <v>124</v>
      </c>
      <c r="V416" s="3">
        <v>136</v>
      </c>
      <c r="W416" s="3">
        <f>IF(ISERROR(VLOOKUP($A416,'SegEnds_NonXtal_BW#'!$A:$Z,16,FALSE)+VLOOKUP($A416,A:AL,22,FALSE)-50),"-",(VLOOKUP($A416,'SegEnds_NonXtal_BW#'!$A:$Z,16,FALSE)+VLOOKUP($A416,A:AL,22,FALSE)-50))</f>
        <v>150</v>
      </c>
      <c r="X416" s="3" t="str">
        <f>IF(ISERROR(VLOOKUP($A416,'SegEnds_NonXtal_BW#'!$A:$Z,17,FALSE)+VLOOKUP($A416,A:AL,25,FALSE)-50),"-",(VLOOKUP($A416,'SegEnds_NonXtal_BW#'!$A:$Z,17,FALSE)+VLOOKUP($A416,A:AL,25,FALSE)-50))</f>
        <v>-</v>
      </c>
      <c r="Y416" s="3" t="s">
        <v>23</v>
      </c>
      <c r="Z416" s="3" t="str">
        <f>IF(ISERROR(VLOOKUP($A416,'SegEnds_NonXtal_BW#'!$A:$Z,18,FALSE)+VLOOKUP($A416,A:AL,25,FALSE)-50),"-",(VLOOKUP($A416,'SegEnds_NonXtal_BW#'!$A:$Z,18,FALSE)+VLOOKUP($A416,A:AL,25,FALSE)-50))</f>
        <v>-</v>
      </c>
      <c r="AA416" s="3">
        <f>IF(ISERROR(VLOOKUP($A416,'SegEnds_NonXtal_BW#'!$A:$Z,19,FALSE)+VLOOKUP($A416,A:AL,28,FALSE)-50),"-",(VLOOKUP($A416,'SegEnds_NonXtal_BW#'!$A:$Z,19,FALSE)+VLOOKUP($A416,A:AL,28,FALSE)-50))</f>
        <v>172</v>
      </c>
      <c r="AB416" s="3">
        <v>190</v>
      </c>
      <c r="AC416" s="3">
        <f>IF(ISERROR((VLOOKUP($A416,'SegEnds_NonXtal_BW#'!$A:$Z,20,FALSE)+VLOOKUP($A416,A:AL,28,FALSE)-50)),"-",(VLOOKUP($A416,'SegEnds_NonXtal_BW#'!$A:$Z,20,FALSE)+VLOOKUP($A416,A:AL,28,FALSE)-50))</f>
        <v>212</v>
      </c>
      <c r="AD416" s="3">
        <f>IF(ISERROR(VLOOKUP($A416,'SegEnds_NonXtal_BW#'!$A:$Z,21,FALSE)+VLOOKUP($A416,A:AL,31,FALSE)-50),"-",(VLOOKUP($A416,'SegEnds_NonXtal_BW#'!$A:$Z,21,FALSE)+VLOOKUP($A416,A:AL,31,FALSE)-50))</f>
        <v>222</v>
      </c>
      <c r="AE416" s="3">
        <v>243</v>
      </c>
      <c r="AF416" s="3">
        <f>IF(ISERROR((VLOOKUP($A416,'SegEnds_NonXtal_BW#'!$A:$Z,22,FALSE)+VLOOKUP($A416,A:AL,31,FALSE)-50)),"-",(VLOOKUP($A416,'SegEnds_NonXtal_BW#'!$A:$Z,22,FALSE)+VLOOKUP($A416,A:AL,31,FALSE)-50))</f>
        <v>254</v>
      </c>
      <c r="AG416" s="3">
        <f>IF(ISERROR(VLOOKUP($A416,'SegEnds_NonXtal_BW#'!$A:$Z,23,FALSE)+VLOOKUP($A416,A:AL,34,FALSE)-50),"-",(VLOOKUP($A416,'SegEnds_NonXtal_BW#'!$A:$Z,23,FALSE)+VLOOKUP($A416,A:AL,34,FALSE)-50))</f>
        <v>260</v>
      </c>
      <c r="AH416" s="3">
        <v>279</v>
      </c>
      <c r="AI416" s="3">
        <f>IF(ISERROR((VLOOKUP($A416,'SegEnds_NonXtal_BW#'!$A:$Z,24,FALSE)+VLOOKUP($A416,A:AL,34,FALSE)-50)),"-",(VLOOKUP($A416,'SegEnds_NonXtal_BW#'!$A:$Z,24,FALSE)+VLOOKUP($A416,A:AL,34,FALSE)-50))</f>
        <v>285</v>
      </c>
      <c r="AJ416" s="3">
        <f>IF(ISERROR(VLOOKUP($A416,'SegEnds_NonXtal_BW#'!$A:$Z,25,FALSE)+VLOOKUP($A416,A:AL,37,FALSE)-50),"-",(VLOOKUP($A416,'SegEnds_NonXtal_BW#'!$A:$Z,25,FALSE)+VLOOKUP($A416,A:AL,37,FALSE)-50))</f>
        <v>286</v>
      </c>
      <c r="AK416" s="3">
        <v>289</v>
      </c>
      <c r="AL416" s="3">
        <f>IF(ISERROR((VLOOKUP($A416,'SegEnds_NonXtal_BW#'!$A:$Z,26,FALSE)+VLOOKUP($A416,A:AL,37,FALSE)-50)),"-",(VLOOKUP($A416,'SegEnds_NonXtal_BW#'!$A:$Z,26,FALSE)+VLOOKUP($A416,A:AL,37,FALSE)-50))</f>
        <v>299</v>
      </c>
      <c r="AM416" s="28" t="str">
        <f>VLOOKUP(A416,Classification!A:B,2,FALSE)</f>
        <v>T</v>
      </c>
      <c r="AN416" s="28" t="b">
        <f t="shared" si="269"/>
        <v>1</v>
      </c>
      <c r="AO416" s="3" t="str">
        <f>IF(ISERROR(MATCH(A416,'SegEnds_Xtal_Prot#'!B:B, 0)), "NoXtal", "Xtal")</f>
        <v>NoXtal</v>
      </c>
      <c r="AP416" s="3">
        <f t="shared" si="254"/>
        <v>1</v>
      </c>
      <c r="AQ416" s="3">
        <f t="shared" si="255"/>
        <v>1</v>
      </c>
      <c r="AR416" s="3" t="str">
        <f t="shared" si="256"/>
        <v>-</v>
      </c>
      <c r="AS416" s="3" t="str">
        <f t="shared" si="257"/>
        <v>-</v>
      </c>
      <c r="AT416" s="3">
        <f t="shared" si="258"/>
        <v>3</v>
      </c>
      <c r="AU416" s="3">
        <f t="shared" si="259"/>
        <v>1</v>
      </c>
      <c r="AV416" s="3" t="str">
        <f t="shared" si="260"/>
        <v>-</v>
      </c>
      <c r="AW416" s="3" t="str">
        <f t="shared" si="261"/>
        <v>-</v>
      </c>
      <c r="AX416" s="3">
        <f t="shared" si="262"/>
        <v>10</v>
      </c>
      <c r="AY416" s="3">
        <f t="shared" si="263"/>
        <v>6</v>
      </c>
      <c r="AZ416" s="3">
        <f t="shared" si="264"/>
        <v>1</v>
      </c>
      <c r="BA416" s="3">
        <f>IF(ISERROR(LEN(VLOOKUP(A416,Seqs!A:E,2,FALSE))-AL416),"-",LEN(VLOOKUP(A416,Seqs!A:E,2,FALSE))-AL416)</f>
        <v>13</v>
      </c>
      <c r="BB416" s="16">
        <f t="shared" si="265"/>
        <v>31</v>
      </c>
      <c r="BC416" s="9">
        <f t="shared" si="266"/>
        <v>20</v>
      </c>
      <c r="BD416" s="3">
        <f t="shared" si="267"/>
        <v>31</v>
      </c>
      <c r="BE416" s="3">
        <f t="shared" si="268"/>
        <v>53</v>
      </c>
      <c r="BF416" s="3">
        <f t="shared" si="253"/>
        <v>36</v>
      </c>
    </row>
    <row r="417" spans="20:55" s="3" customFormat="1" x14ac:dyDescent="0.2">
      <c r="T417" s="100"/>
      <c r="U417" s="9"/>
      <c r="AM417" s="28"/>
      <c r="AN417" s="16"/>
      <c r="BB417" s="16"/>
      <c r="BC417" s="9"/>
    </row>
    <row r="418" spans="20:55" s="3" customFormat="1" x14ac:dyDescent="0.2">
      <c r="T418" s="100"/>
      <c r="U418" s="9"/>
      <c r="AM418" s="28"/>
      <c r="AN418" s="16"/>
      <c r="BB418" s="16"/>
      <c r="BC418" s="9"/>
    </row>
  </sheetData>
  <autoFilter ref="A1:BG416" xr:uid="{018C2510-A9D7-0849-A6C7-D85DE3AA35D5}"/>
  <sortState xmlns:xlrd2="http://schemas.microsoft.com/office/spreadsheetml/2017/richdata2" ref="A2:BH409">
    <sortCondition ref="AM2:AM409"/>
    <sortCondition ref="BC2:BC409"/>
    <sortCondition ref="A2:A409"/>
  </sortState>
  <customSheetViews>
    <customSheetView guid="{3E3401AF-8459-8641-BD70-AD04F80E86ED}" scale="120">
      <pane ySplit="1" topLeftCell="A155" activePane="bottomLeft" state="frozenSplit"/>
      <selection pane="bottomLeft" activeCell="AB176" sqref="AB176"/>
      <pageMargins left="0.7" right="0.7" top="0.75" bottom="0.75" header="0.3" footer="0.3"/>
      <pageSetup paperSize="9" orientation="portrait" horizontalDpi="0" verticalDpi="0"/>
    </customSheetView>
  </customSheetViews>
  <conditionalFormatting sqref="AN2:AN416">
    <cfRule type="containsText" dxfId="24" priority="7" operator="containsText" text="FALSE">
      <formula>NOT(ISERROR(SEARCH("FALSE",AN2)))</formula>
    </cfRule>
  </conditionalFormatting>
  <conditionalFormatting sqref="AP1:BA1048576">
    <cfRule type="cellIs" dxfId="23" priority="5" operator="lessThan">
      <formula>1</formula>
    </cfRule>
  </conditionalFormatting>
  <conditionalFormatting sqref="E2:F416">
    <cfRule type="expression" dxfId="22" priority="25">
      <formula>NOT(OR(C2&lt;E2,C2="-",E2="-"))</formula>
    </cfRule>
  </conditionalFormatting>
  <conditionalFormatting sqref="K2:L2 K3 K4:L416">
    <cfRule type="expression" dxfId="21" priority="29">
      <formula>NOT(OR(G2&lt;K2,G2="-",K2="-"))</formula>
    </cfRule>
  </conditionalFormatting>
  <conditionalFormatting sqref="N2:O2 N4:N18 O3:O18 N19:O416">
    <cfRule type="expression" dxfId="20" priority="31">
      <formula>NOT(OR(I2&lt;N2,I2="-",N2="-"))</formula>
    </cfRule>
  </conditionalFormatting>
  <conditionalFormatting sqref="Q2:R416">
    <cfRule type="expression" dxfId="19" priority="33">
      <formula>NOT(OR(K2&lt;Q2,K2="-",Q2="-"))</formula>
    </cfRule>
  </conditionalFormatting>
  <conditionalFormatting sqref="T2:U416">
    <cfRule type="expression" dxfId="18" priority="35">
      <formula>NOT(OR(M2&lt;T2,M2="-",T2="-"))</formula>
    </cfRule>
  </conditionalFormatting>
  <conditionalFormatting sqref="W2:X416">
    <cfRule type="expression" dxfId="17" priority="37">
      <formula>NOT(OR(O2&lt;W2,O2="-",W2="-"))</formula>
    </cfRule>
  </conditionalFormatting>
  <conditionalFormatting sqref="Z2:AA416">
    <cfRule type="expression" dxfId="16" priority="39">
      <formula>NOT(OR(Q2&lt;Z2,Q2="-",Z2="-"))</formula>
    </cfRule>
  </conditionalFormatting>
  <conditionalFormatting sqref="AC2:AD416">
    <cfRule type="expression" dxfId="15" priority="41">
      <formula>NOT(OR(S2&lt;AC2,S2="-",AC2="-"))</formula>
    </cfRule>
  </conditionalFormatting>
  <conditionalFormatting sqref="AF2:AG416">
    <cfRule type="expression" dxfId="14" priority="43">
      <formula>NOT(OR(U2&lt;AF2,U2="-",AF2="-"))</formula>
    </cfRule>
  </conditionalFormatting>
  <conditionalFormatting sqref="AI2:AJ416">
    <cfRule type="expression" dxfId="13" priority="45">
      <formula>NOT(OR(W2&lt;AI2,W2="-",AI2="-"))</formula>
    </cfRule>
  </conditionalFormatting>
  <conditionalFormatting sqref="AL2:AL416">
    <cfRule type="expression" dxfId="12" priority="47">
      <formula>NOT(OR(Y2&lt;AL2,Y2="-",AL2="-"))</formula>
    </cfRule>
  </conditionalFormatting>
  <conditionalFormatting sqref="L3">
    <cfRule type="expression" dxfId="11" priority="3">
      <formula>NOT(OR(H3&lt;L3,H3="-",L3="-"))</formula>
    </cfRule>
  </conditionalFormatting>
  <conditionalFormatting sqref="N3">
    <cfRule type="expression" dxfId="10" priority="4">
      <formula>NOT(OR(I3&lt;N3,I3="-",N3="-"))</formula>
    </cfRule>
  </conditionalFormatting>
  <conditionalFormatting sqref="F2">
    <cfRule type="cellIs" dxfId="9" priority="2" operator="lessThan">
      <formula>$E$2</formula>
    </cfRule>
  </conditionalFormatting>
  <conditionalFormatting sqref="AN1:AN1048576">
    <cfRule type="cellIs" dxfId="8" priority="1" operator="equal">
      <formula>FALSE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0000"/>
  </sheetPr>
  <dimension ref="A1:AH419"/>
  <sheetViews>
    <sheetView zoomScale="120" zoomScaleNormal="120" zoomScalePageLayoutView="120" workbookViewId="0">
      <pane ySplit="1" topLeftCell="A96" activePane="bottomLeft" state="frozenSplit"/>
      <selection pane="bottomLeft" activeCell="A125" sqref="A125"/>
    </sheetView>
  </sheetViews>
  <sheetFormatPr baseColWidth="10" defaultColWidth="10.83203125" defaultRowHeight="16" x14ac:dyDescent="0.2"/>
  <cols>
    <col min="1" max="1" width="13.33203125" style="4" bestFit="1" customWidth="1"/>
    <col min="2" max="2" width="12.83203125" style="4" bestFit="1" customWidth="1"/>
    <col min="3" max="3" width="3.1640625" style="4" bestFit="1" customWidth="1"/>
    <col min="4" max="4" width="7.33203125" style="4" customWidth="1"/>
    <col min="5" max="5" width="5" style="4" bestFit="1" customWidth="1"/>
    <col min="6" max="7" width="6" style="4" bestFit="1" customWidth="1"/>
    <col min="8" max="8" width="6" style="4" customWidth="1"/>
    <col min="9" max="9" width="7" style="4" bestFit="1" customWidth="1"/>
    <col min="10" max="10" width="6" style="4" bestFit="1" customWidth="1"/>
    <col min="11" max="14" width="5" style="4" bestFit="1" customWidth="1"/>
    <col min="15" max="15" width="6" style="4" bestFit="1" customWidth="1"/>
    <col min="16" max="17" width="6" style="4" customWidth="1"/>
    <col min="18" max="19" width="6" style="4" bestFit="1" customWidth="1"/>
    <col min="20" max="20" width="5" style="4" bestFit="1" customWidth="1"/>
    <col min="21" max="21" width="6" style="4" bestFit="1" customWidth="1"/>
    <col min="22" max="22" width="5" style="27" bestFit="1" customWidth="1"/>
    <col min="23" max="23" width="5" style="50" customWidth="1"/>
    <col min="24" max="25" width="5" style="50" bestFit="1" customWidth="1"/>
    <col min="26" max="26" width="4.1640625" style="50" customWidth="1"/>
    <col min="27" max="27" width="5" style="50" bestFit="1" customWidth="1"/>
    <col min="28" max="28" width="4.6640625" style="27" customWidth="1"/>
    <col min="29" max="31" width="4.6640625" style="50" customWidth="1"/>
    <col min="32" max="32" width="5" style="4" customWidth="1"/>
    <col min="33" max="33" width="4.6640625" style="5" customWidth="1"/>
    <col min="34" max="34" width="4.6640625" style="4" customWidth="1"/>
    <col min="35" max="16384" width="10.83203125" style="4"/>
  </cols>
  <sheetData>
    <row r="1" spans="1:34" s="30" customFormat="1" x14ac:dyDescent="0.2">
      <c r="A1" s="30" t="s">
        <v>31</v>
      </c>
      <c r="B1" s="54" t="s">
        <v>1197</v>
      </c>
      <c r="C1" s="30" t="s">
        <v>99</v>
      </c>
      <c r="D1" s="30" t="s">
        <v>1220</v>
      </c>
      <c r="E1" s="30" t="s">
        <v>1463</v>
      </c>
      <c r="F1" s="55" t="s">
        <v>13</v>
      </c>
      <c r="G1" s="20" t="s">
        <v>5</v>
      </c>
      <c r="H1" s="4" t="s">
        <v>1357</v>
      </c>
      <c r="I1" s="20" t="s">
        <v>21</v>
      </c>
      <c r="J1" s="53" t="s">
        <v>25</v>
      </c>
      <c r="K1" s="53" t="s">
        <v>26</v>
      </c>
      <c r="L1" s="20" t="s">
        <v>20</v>
      </c>
      <c r="M1" s="20" t="s">
        <v>18</v>
      </c>
      <c r="N1" s="20" t="s">
        <v>14</v>
      </c>
      <c r="O1" s="53" t="s">
        <v>1313</v>
      </c>
      <c r="P1" s="53" t="s">
        <v>1317</v>
      </c>
      <c r="Q1" s="53" t="s">
        <v>1360</v>
      </c>
      <c r="R1" s="20" t="s">
        <v>9</v>
      </c>
      <c r="S1" s="20" t="s">
        <v>1316</v>
      </c>
      <c r="T1" s="20" t="s">
        <v>12</v>
      </c>
      <c r="U1" s="20" t="s">
        <v>1318</v>
      </c>
      <c r="V1" s="26" t="s">
        <v>1303</v>
      </c>
      <c r="W1" s="30" t="s">
        <v>1304</v>
      </c>
      <c r="X1" s="30" t="s">
        <v>1305</v>
      </c>
      <c r="Y1" s="30" t="s">
        <v>1306</v>
      </c>
      <c r="Z1" s="30" t="s">
        <v>1307</v>
      </c>
      <c r="AA1" s="103" t="s">
        <v>1377</v>
      </c>
      <c r="AB1" s="26" t="s">
        <v>1308</v>
      </c>
      <c r="AC1" s="26" t="s">
        <v>1309</v>
      </c>
      <c r="AD1" s="26" t="s">
        <v>1310</v>
      </c>
      <c r="AE1" s="26" t="s">
        <v>1311</v>
      </c>
      <c r="AF1" s="30" t="s">
        <v>1312</v>
      </c>
      <c r="AG1" s="26" t="s">
        <v>1314</v>
      </c>
      <c r="AH1" s="30" t="s">
        <v>1315</v>
      </c>
    </row>
    <row r="2" spans="1:34" s="2" customFormat="1" x14ac:dyDescent="0.2">
      <c r="A2" s="2" t="s">
        <v>128</v>
      </c>
      <c r="B2" s="2" t="str">
        <f>LOWER(VLOOKUP(A2,Xtal_Templ!A:B,2,FALSE))</f>
        <v>5ht1b_human</v>
      </c>
      <c r="C2" s="2" t="str">
        <f>VLOOKUP(A2,Classification!A:D,2,FALSE)</f>
        <v>A</v>
      </c>
      <c r="D2" s="2" t="str">
        <f>IF(ISERROR(MATCH(A2,'SegEnds_Xtal_Prot#'!B:B, 0)), "NoXtal", "Xtal")</f>
        <v>NoXtal</v>
      </c>
      <c r="G2" s="2" t="s">
        <v>5</v>
      </c>
      <c r="H2" s="4"/>
      <c r="R2" s="2" t="s">
        <v>9</v>
      </c>
      <c r="T2" s="4" t="s">
        <v>12</v>
      </c>
      <c r="V2" s="28" t="str">
        <f>MID(VLOOKUP($A2,Seqs!$A:$B,2,FALSE),VLOOKUP($A2,'SegEnds_NonXtal_Prot#'!$A:$AL,10,FALSE),1)</f>
        <v>D</v>
      </c>
      <c r="W2" s="49" t="str">
        <f>MID(VLOOKUP($A2,Seqs!$A:$B,2,FALSE),VLOOKUP($A2,'SegEnds_NonXtal_Prot#'!$A:$AL,10,FALSE)+6,1)</f>
        <v>L</v>
      </c>
      <c r="X2" s="49" t="str">
        <f>MID(VLOOKUP($A2,Seqs!$A:$B,2,FALSE),VLOOKUP($A2,'SegEnds_NonXtal_Prot#'!$A:$AL,10,FALSE)+7,1)</f>
        <v>V</v>
      </c>
      <c r="Y2" s="49" t="str">
        <f>MID(VLOOKUP($A2,Seqs!$A:$B,2,FALSE),VLOOKUP($A2,'SegEnds_NonXtal_Prot#'!$A:$AL,10,FALSE)+8,1)</f>
        <v>L</v>
      </c>
      <c r="Z2" s="49" t="str">
        <f>MID(VLOOKUP($A2,Seqs!$A:$B,2,FALSE),VLOOKUP($A2,'SegEnds_NonXtal_Prot#'!A:AL,10,FALSE)+9,1)</f>
        <v>P</v>
      </c>
      <c r="AA2" s="49" t="str">
        <f>MID(VLOOKUP($A2,Seqs!$A:$B,2,FALSE),VLOOKUP($A2,'SegEnds_NonXtal_Prot#'!A:AL,10,FALSE)+10,1)</f>
        <v>M</v>
      </c>
      <c r="AB2" s="28" t="str">
        <f>MID(VLOOKUP($A2,Seqs!$A:$B,2,FALSE),VLOOKUP($A2,'SegEnds_NonXtal_Prot#'!$A:$AL,22,FALSE)+6,1)</f>
        <v>I</v>
      </c>
      <c r="AC2" s="49" t="str">
        <f>MID(VLOOKUP($A2,Seqs!$A:$B,2,FALSE),VLOOKUP($A2,'SegEnds_NonXtal_Prot#'!$A:$AL,22,FALSE)+7,1)</f>
        <v>S</v>
      </c>
      <c r="AD2" s="49" t="str">
        <f>MID(VLOOKUP($A2,Seqs!$A:$B,2,FALSE),VLOOKUP($A2,'SegEnds_NonXtal_Prot#'!$A:$AL,22,FALSE)+8,1)</f>
        <v>I</v>
      </c>
      <c r="AE2" s="49" t="str">
        <f>MID(VLOOKUP($A2,Seqs!$A:$B,2,FALSE),VLOOKUP($A2,'SegEnds_NonXtal_Prot#'!$A:$AL,22,FALSE)+9,1)</f>
        <v>P</v>
      </c>
      <c r="AF2" s="49" t="str">
        <f>MID(VLOOKUP($A2,Seqs!$A:$B,2,FALSE),VLOOKUP($A2,'SegEnds_NonXtal_Prot#'!$A:$AL,22,FALSE)+10,1)</f>
        <v>P</v>
      </c>
      <c r="AG2" s="28" t="str">
        <f>MID(VLOOKUP($A2,Seqs!$A:$B,2,FALSE),VLOOKUP($A2,'SegEnds_NonXtal_Prot#'!$A:$AL,28,FALSE)-4,1)</f>
        <v>A</v>
      </c>
      <c r="AH2" s="49" t="str">
        <f>MID(VLOOKUP($A2,Seqs!$A:$B,2,FALSE),VLOOKUP($A2,'SegEnds_NonXtal_Prot#'!$A:$AL,28,FALSE),1)</f>
        <v>P</v>
      </c>
    </row>
    <row r="3" spans="1:34" s="2" customFormat="1" x14ac:dyDescent="0.2">
      <c r="A3" s="2" t="s">
        <v>34</v>
      </c>
      <c r="B3" s="2" t="str">
        <f>LOWER(VLOOKUP(A3,Xtal_Templ!A:B,2,FALSE))</f>
        <v>5ht1b_human</v>
      </c>
      <c r="C3" s="2" t="str">
        <f>VLOOKUP(A3,Classification!A:D,2,FALSE)</f>
        <v>A</v>
      </c>
      <c r="D3" s="2" t="str">
        <f>IF(ISERROR(MATCH(A3,'SegEnds_Xtal_Prot#'!B:B, 0)), "NoXtal", "Xtal")</f>
        <v>Xtal</v>
      </c>
      <c r="G3" s="2" t="s">
        <v>5</v>
      </c>
      <c r="H3" s="4"/>
      <c r="R3" s="2" t="s">
        <v>9</v>
      </c>
      <c r="T3" s="4" t="s">
        <v>12</v>
      </c>
      <c r="V3" s="28" t="str">
        <f>MID(VLOOKUP($A3,Seqs!$A:$B,2,FALSE),VLOOKUP($A3,'SegEnds_NonXtal_Prot#'!A:AL,10,FALSE),1)</f>
        <v>D</v>
      </c>
      <c r="W3" s="49" t="str">
        <f>MID(VLOOKUP($A3,Seqs!$A:$B,2,FALSE),VLOOKUP($A3,'SegEnds_NonXtal_Prot#'!A:AL,10,FALSE)+6,1)</f>
        <v>L</v>
      </c>
      <c r="X3" s="49" t="str">
        <f>MID(VLOOKUP($A3,Seqs!$A:$B,2,FALSE),VLOOKUP($A3,'SegEnds_NonXtal_Prot#'!A:AL,10,FALSE)+7,1)</f>
        <v>V</v>
      </c>
      <c r="Y3" s="49" t="str">
        <f>MID(VLOOKUP($A3,Seqs!$A:$B,2,FALSE),VLOOKUP($A3,'SegEnds_NonXtal_Prot#'!A:AL,10,FALSE)+8,1)</f>
        <v>M</v>
      </c>
      <c r="Z3" s="49" t="str">
        <f>MID(VLOOKUP($A3,Seqs!$A:$B,2,FALSE),VLOOKUP($A3,'SegEnds_NonXtal_Prot#'!A:AL,10,FALSE)+9,1)</f>
        <v>P</v>
      </c>
      <c r="AA3" s="49" t="str">
        <f>MID(VLOOKUP($A3,Seqs!$A:$B,2,FALSE),VLOOKUP($A3,'SegEnds_NonXtal_Prot#'!A:AL,10,FALSE)+10,1)</f>
        <v>I</v>
      </c>
      <c r="AB3" s="28" t="str">
        <f>MID(VLOOKUP($A3,Seqs!$A:$B,2,FALSE),VLOOKUP($A3,'SegEnds_NonXtal_Prot#'!$A:$AL,22,FALSE)+6,1)</f>
        <v>I</v>
      </c>
      <c r="AC3" s="49" t="str">
        <f>MID(VLOOKUP($A3,Seqs!$A:$B,2,FALSE),VLOOKUP($A3,'SegEnds_NonXtal_Prot#'!$A:$AL,22,FALSE)+7,1)</f>
        <v>S</v>
      </c>
      <c r="AD3" s="49" t="str">
        <f>MID(VLOOKUP($A3,Seqs!$A:$B,2,FALSE),VLOOKUP($A3,'SegEnds_NonXtal_Prot#'!$A:$AL,22,FALSE)+8,1)</f>
        <v>L</v>
      </c>
      <c r="AE3" s="49" t="str">
        <f>MID(VLOOKUP($A3,Seqs!$A:$B,2,FALSE),VLOOKUP($A3,'SegEnds_NonXtal_Prot#'!$A:$AL,22,FALSE)+9,1)</f>
        <v>P</v>
      </c>
      <c r="AF3" s="49" t="str">
        <f>MID(VLOOKUP($A3,Seqs!$A:$B,2,FALSE),VLOOKUP($A3,'SegEnds_NonXtal_Prot#'!$A:$AL,22,FALSE)+10,1)</f>
        <v>P</v>
      </c>
      <c r="AG3" s="28" t="str">
        <f>MID(VLOOKUP($A3,Seqs!$A:$B,2,FALSE),VLOOKUP($A3,'SegEnds_NonXtal_Prot#'!$A:$AL,28,FALSE)-4,1)</f>
        <v>A</v>
      </c>
      <c r="AH3" s="49" t="str">
        <f>MID(VLOOKUP($A3,Seqs!$A:$B,2,FALSE),VLOOKUP($A3,'SegEnds_NonXtal_Prot#'!$A:$AL,28,FALSE),1)</f>
        <v>P</v>
      </c>
    </row>
    <row r="4" spans="1:34" s="2" customFormat="1" x14ac:dyDescent="0.2">
      <c r="A4" s="2" t="s">
        <v>129</v>
      </c>
      <c r="B4" s="2" t="str">
        <f>LOWER(VLOOKUP(A4,Xtal_Templ!A:B,2,FALSE))</f>
        <v>5ht1b_human</v>
      </c>
      <c r="C4" s="2" t="str">
        <f>VLOOKUP(A4,Classification!A:D,2,FALSE)</f>
        <v>A</v>
      </c>
      <c r="D4" s="2" t="str">
        <f>IF(ISERROR(MATCH(A4,'SegEnds_Xtal_Prot#'!B:B, 0)), "NoXtal", "Xtal")</f>
        <v>NoXtal</v>
      </c>
      <c r="G4" s="2" t="s">
        <v>5</v>
      </c>
      <c r="H4" s="4"/>
      <c r="R4" s="2" t="s">
        <v>9</v>
      </c>
      <c r="T4" s="4" t="s">
        <v>12</v>
      </c>
      <c r="V4" s="28" t="str">
        <f>MID(VLOOKUP($A4,Seqs!$A:$B,2,FALSE),VLOOKUP($A4,'SegEnds_NonXtal_Prot#'!A:AL,10,FALSE),1)</f>
        <v>D</v>
      </c>
      <c r="W4" s="49" t="str">
        <f>MID(VLOOKUP($A4,Seqs!$A:$B,2,FALSE),VLOOKUP($A4,'SegEnds_NonXtal_Prot#'!A:AL,10,FALSE)+6,1)</f>
        <v>L</v>
      </c>
      <c r="X4" s="49" t="str">
        <f>MID(VLOOKUP($A4,Seqs!$A:$B,2,FALSE),VLOOKUP($A4,'SegEnds_NonXtal_Prot#'!A:AL,10,FALSE)+7,1)</f>
        <v>V</v>
      </c>
      <c r="Y4" s="49" t="str">
        <f>MID(VLOOKUP($A4,Seqs!$A:$B,2,FALSE),VLOOKUP($A4,'SegEnds_NonXtal_Prot#'!A:AL,10,FALSE)+8,1)</f>
        <v>M</v>
      </c>
      <c r="Z4" s="49" t="str">
        <f>MID(VLOOKUP($A4,Seqs!$A:$B,2,FALSE),VLOOKUP($A4,'SegEnds_NonXtal_Prot#'!A:AL,10,FALSE)+9,1)</f>
        <v>P</v>
      </c>
      <c r="AA4" s="49" t="str">
        <f>MID(VLOOKUP($A4,Seqs!$A:$B,2,FALSE),VLOOKUP($A4,'SegEnds_NonXtal_Prot#'!A:AL,10,FALSE)+10,1)</f>
        <v>I</v>
      </c>
      <c r="AB4" s="28" t="str">
        <f>MID(VLOOKUP($A4,Seqs!$A:$B,2,FALSE),VLOOKUP($A4,'SegEnds_NonXtal_Prot#'!$A:$AL,22,FALSE)+6,1)</f>
        <v>I</v>
      </c>
      <c r="AC4" s="49" t="str">
        <f>MID(VLOOKUP($A4,Seqs!$A:$B,2,FALSE),VLOOKUP($A4,'SegEnds_NonXtal_Prot#'!$A:$AL,22,FALSE)+7,1)</f>
        <v>S</v>
      </c>
      <c r="AD4" s="49" t="str">
        <f>MID(VLOOKUP($A4,Seqs!$A:$B,2,FALSE),VLOOKUP($A4,'SegEnds_NonXtal_Prot#'!$A:$AL,22,FALSE)+8,1)</f>
        <v>I</v>
      </c>
      <c r="AE4" s="49" t="str">
        <f>MID(VLOOKUP($A4,Seqs!$A:$B,2,FALSE),VLOOKUP($A4,'SegEnds_NonXtal_Prot#'!$A:$AL,22,FALSE)+9,1)</f>
        <v>P</v>
      </c>
      <c r="AF4" s="49" t="str">
        <f>MID(VLOOKUP($A4,Seqs!$A:$B,2,FALSE),VLOOKUP($A4,'SegEnds_NonXtal_Prot#'!$A:$AL,22,FALSE)+10,1)</f>
        <v>P</v>
      </c>
      <c r="AG4" s="28" t="str">
        <f>MID(VLOOKUP($A4,Seqs!$A:$B,2,FALSE),VLOOKUP($A4,'SegEnds_NonXtal_Prot#'!$A:$AL,28,FALSE)-4,1)</f>
        <v>A</v>
      </c>
      <c r="AH4" s="49" t="str">
        <f>MID(VLOOKUP($A4,Seqs!$A:$B,2,FALSE),VLOOKUP($A4,'SegEnds_NonXtal_Prot#'!$A:$AL,28,FALSE),1)</f>
        <v>P</v>
      </c>
    </row>
    <row r="5" spans="1:34" s="2" customFormat="1" x14ac:dyDescent="0.2">
      <c r="A5" s="2" t="s">
        <v>130</v>
      </c>
      <c r="B5" s="2" t="str">
        <f>LOWER(VLOOKUP(A5,Xtal_Templ!A:B,2,FALSE))</f>
        <v>5ht1b_human</v>
      </c>
      <c r="C5" s="2" t="str">
        <f>VLOOKUP(A5,Classification!A:D,2,FALSE)</f>
        <v>A</v>
      </c>
      <c r="D5" s="2" t="str">
        <f>IF(ISERROR(MATCH(A5,'SegEnds_Xtal_Prot#'!B:B, 0)), "NoXtal", "Xtal")</f>
        <v>NoXtal</v>
      </c>
      <c r="G5" s="2" t="s">
        <v>5</v>
      </c>
      <c r="H5" s="4"/>
      <c r="R5" s="2" t="s">
        <v>9</v>
      </c>
      <c r="T5" s="4" t="s">
        <v>12</v>
      </c>
      <c r="V5" s="28" t="str">
        <f>MID(VLOOKUP($A5,Seqs!$A:$B,2,FALSE),VLOOKUP($A5,'SegEnds_NonXtal_Prot#'!A:AL,10,FALSE),1)</f>
        <v>D</v>
      </c>
      <c r="W5" s="49" t="str">
        <f>MID(VLOOKUP($A5,Seqs!$A:$B,2,FALSE),VLOOKUP($A5,'SegEnds_NonXtal_Prot#'!A:AL,10,FALSE)+6,1)</f>
        <v>L</v>
      </c>
      <c r="X5" s="49" t="str">
        <f>MID(VLOOKUP($A5,Seqs!$A:$B,2,FALSE),VLOOKUP($A5,'SegEnds_NonXtal_Prot#'!A:AL,10,FALSE)+7,1)</f>
        <v>V</v>
      </c>
      <c r="Y5" s="49" t="str">
        <f>MID(VLOOKUP($A5,Seqs!$A:$B,2,FALSE),VLOOKUP($A5,'SegEnds_NonXtal_Prot#'!A:AL,10,FALSE)+8,1)</f>
        <v>M</v>
      </c>
      <c r="Z5" s="49" t="str">
        <f>MID(VLOOKUP($A5,Seqs!$A:$B,2,FALSE),VLOOKUP($A5,'SegEnds_NonXtal_Prot#'!A:AL,10,FALSE)+9,1)</f>
        <v>P</v>
      </c>
      <c r="AA5" s="49" t="str">
        <f>MID(VLOOKUP($A5,Seqs!$A:$B,2,FALSE),VLOOKUP($A5,'SegEnds_NonXtal_Prot#'!A:AL,10,FALSE)+10,1)</f>
        <v>L</v>
      </c>
      <c r="AB5" s="28" t="str">
        <f>MID(VLOOKUP($A5,Seqs!$A:$B,2,FALSE),VLOOKUP($A5,'SegEnds_NonXtal_Prot#'!$A:$AL,22,FALSE)+6,1)</f>
        <v>I</v>
      </c>
      <c r="AC5" s="49" t="str">
        <f>MID(VLOOKUP($A5,Seqs!$A:$B,2,FALSE),VLOOKUP($A5,'SegEnds_NonXtal_Prot#'!$A:$AL,22,FALSE)+7,1)</f>
        <v>S</v>
      </c>
      <c r="AD5" s="49" t="str">
        <f>MID(VLOOKUP($A5,Seqs!$A:$B,2,FALSE),VLOOKUP($A5,'SegEnds_NonXtal_Prot#'!$A:$AL,22,FALSE)+8,1)</f>
        <v>M</v>
      </c>
      <c r="AE5" s="49" t="str">
        <f>MID(VLOOKUP($A5,Seqs!$A:$B,2,FALSE),VLOOKUP($A5,'SegEnds_NonXtal_Prot#'!$A:$AL,22,FALSE)+9,1)</f>
        <v>P</v>
      </c>
      <c r="AF5" s="49" t="str">
        <f>MID(VLOOKUP($A5,Seqs!$A:$B,2,FALSE),VLOOKUP($A5,'SegEnds_NonXtal_Prot#'!$A:$AL,22,FALSE)+10,1)</f>
        <v>P</v>
      </c>
      <c r="AG5" s="28" t="str">
        <f>MID(VLOOKUP($A5,Seqs!$A:$B,2,FALSE),VLOOKUP($A5,'SegEnds_NonXtal_Prot#'!$A:$AL,28,FALSE)-4,1)</f>
        <v>A</v>
      </c>
      <c r="AH5" s="49" t="str">
        <f>MID(VLOOKUP($A5,Seqs!$A:$B,2,FALSE),VLOOKUP($A5,'SegEnds_NonXtal_Prot#'!$A:$AL,28,FALSE),1)</f>
        <v>P</v>
      </c>
    </row>
    <row r="6" spans="1:34" s="2" customFormat="1" x14ac:dyDescent="0.2">
      <c r="A6" s="2" t="s">
        <v>131</v>
      </c>
      <c r="B6" s="2" t="str">
        <f>LOWER(VLOOKUP(A6,Xtal_Templ!A:B,2,FALSE))</f>
        <v>5ht1b_human</v>
      </c>
      <c r="C6" s="2" t="str">
        <f>VLOOKUP(A6,Classification!A:D,2,FALSE)</f>
        <v>A</v>
      </c>
      <c r="D6" s="2" t="str">
        <f>IF(ISERROR(MATCH(A6,'SegEnds_Xtal_Prot#'!B:B, 0)), "NoXtal", "Xtal")</f>
        <v>NoXtal</v>
      </c>
      <c r="G6" s="2" t="s">
        <v>5</v>
      </c>
      <c r="H6" s="4"/>
      <c r="R6" s="2" t="s">
        <v>9</v>
      </c>
      <c r="T6" s="4" t="s">
        <v>12</v>
      </c>
      <c r="V6" s="28" t="str">
        <f>MID(VLOOKUP($A6,Seqs!$A:$B,2,FALSE),VLOOKUP($A6,'SegEnds_NonXtal_Prot#'!A:AL,10,FALSE),1)</f>
        <v>D</v>
      </c>
      <c r="W6" s="49" t="str">
        <f>MID(VLOOKUP($A6,Seqs!$A:$B,2,FALSE),VLOOKUP($A6,'SegEnds_NonXtal_Prot#'!A:AL,10,FALSE)+6,1)</f>
        <v>L</v>
      </c>
      <c r="X6" s="49" t="str">
        <f>MID(VLOOKUP($A6,Seqs!$A:$B,2,FALSE),VLOOKUP($A6,'SegEnds_NonXtal_Prot#'!A:AL,10,FALSE)+7,1)</f>
        <v>V</v>
      </c>
      <c r="Y6" s="49" t="str">
        <f>MID(VLOOKUP($A6,Seqs!$A:$B,2,FALSE),VLOOKUP($A6,'SegEnds_NonXtal_Prot#'!A:AL,10,FALSE)+8,1)</f>
        <v>M</v>
      </c>
      <c r="Z6" s="49" t="str">
        <f>MID(VLOOKUP($A6,Seqs!$A:$B,2,FALSE),VLOOKUP($A6,'SegEnds_NonXtal_Prot#'!A:AL,10,FALSE)+9,1)</f>
        <v>P</v>
      </c>
      <c r="AA6" s="49" t="str">
        <f>MID(VLOOKUP($A6,Seqs!$A:$B,2,FALSE),VLOOKUP($A6,'SegEnds_NonXtal_Prot#'!A:AL,10,FALSE)+10,1)</f>
        <v>F</v>
      </c>
      <c r="AB6" s="28" t="str">
        <f>MID(VLOOKUP($A6,Seqs!$A:$B,2,FALSE),VLOOKUP($A6,'SegEnds_NonXtal_Prot#'!$A:$AL,22,FALSE)+6,1)</f>
        <v>I</v>
      </c>
      <c r="AC6" s="49" t="str">
        <f>MID(VLOOKUP($A6,Seqs!$A:$B,2,FALSE),VLOOKUP($A6,'SegEnds_NonXtal_Prot#'!$A:$AL,22,FALSE)+7,1)</f>
        <v>S</v>
      </c>
      <c r="AD6" s="49" t="str">
        <f>MID(VLOOKUP($A6,Seqs!$A:$B,2,FALSE),VLOOKUP($A6,'SegEnds_NonXtal_Prot#'!$A:$AL,22,FALSE)+8,1)</f>
        <v>M</v>
      </c>
      <c r="AE6" s="49" t="str">
        <f>MID(VLOOKUP($A6,Seqs!$A:$B,2,FALSE),VLOOKUP($A6,'SegEnds_NonXtal_Prot#'!$A:$AL,22,FALSE)+9,1)</f>
        <v>P</v>
      </c>
      <c r="AF6" s="49" t="str">
        <f>MID(VLOOKUP($A6,Seqs!$A:$B,2,FALSE),VLOOKUP($A6,'SegEnds_NonXtal_Prot#'!$A:$AL,22,FALSE)+10,1)</f>
        <v>P</v>
      </c>
      <c r="AG6" s="28" t="str">
        <f>MID(VLOOKUP($A6,Seqs!$A:$B,2,FALSE),VLOOKUP($A6,'SegEnds_NonXtal_Prot#'!$A:$AL,28,FALSE)-4,1)</f>
        <v>A</v>
      </c>
      <c r="AH6" s="49" t="str">
        <f>MID(VLOOKUP($A6,Seqs!$A:$B,2,FALSE),VLOOKUP($A6,'SegEnds_NonXtal_Prot#'!$A:$AL,28,FALSE),1)</f>
        <v>P</v>
      </c>
    </row>
    <row r="7" spans="1:34" s="2" customFormat="1" x14ac:dyDescent="0.2">
      <c r="A7" s="2" t="s">
        <v>135</v>
      </c>
      <c r="B7" s="2" t="str">
        <f>LOWER(VLOOKUP(A7,Xtal_Templ!A:B,2,FALSE))</f>
        <v>5ht1b_human</v>
      </c>
      <c r="C7" s="2" t="str">
        <f>VLOOKUP(A7,Classification!A:D,2,FALSE)</f>
        <v>A</v>
      </c>
      <c r="D7" s="2" t="str">
        <f>IF(ISERROR(MATCH(A7,'SegEnds_Xtal_Prot#'!B:B, 0)), "NoXtal", "Xtal")</f>
        <v>NoXtal</v>
      </c>
      <c r="G7" s="2" t="s">
        <v>5</v>
      </c>
      <c r="H7" s="4"/>
      <c r="R7" s="2" t="s">
        <v>9</v>
      </c>
      <c r="T7" s="4" t="s">
        <v>12</v>
      </c>
      <c r="V7" s="28" t="str">
        <f>MID(VLOOKUP($A7,Seqs!$A:$B,2,FALSE),VLOOKUP($A7,'SegEnds_NonXtal_Prot#'!A:AL,10,FALSE),1)</f>
        <v>D</v>
      </c>
      <c r="W7" s="49" t="str">
        <f>MID(VLOOKUP($A7,Seqs!$A:$B,2,FALSE),VLOOKUP($A7,'SegEnds_NonXtal_Prot#'!A:AL,10,FALSE)+6,1)</f>
        <v>L</v>
      </c>
      <c r="X7" s="49" t="str">
        <f>MID(VLOOKUP($A7,Seqs!$A:$B,2,FALSE),VLOOKUP($A7,'SegEnds_NonXtal_Prot#'!A:AL,10,FALSE)+7,1)</f>
        <v>V</v>
      </c>
      <c r="Y7" s="49" t="str">
        <f>MID(VLOOKUP($A7,Seqs!$A:$B,2,FALSE),VLOOKUP($A7,'SegEnds_NonXtal_Prot#'!A:AL,10,FALSE)+8,1)</f>
        <v>M</v>
      </c>
      <c r="Z7" s="49" t="str">
        <f>MID(VLOOKUP($A7,Seqs!$A:$B,2,FALSE),VLOOKUP($A7,'SegEnds_NonXtal_Prot#'!A:AL,10,FALSE)+9,1)</f>
        <v>P</v>
      </c>
      <c r="AA7" s="49" t="str">
        <f>MID(VLOOKUP($A7,Seqs!$A:$B,2,FALSE),VLOOKUP($A7,'SegEnds_NonXtal_Prot#'!A:AL,10,FALSE)+10,1)</f>
        <v>L</v>
      </c>
      <c r="AB7" s="28" t="str">
        <f>MID(VLOOKUP($A7,Seqs!$A:$B,2,FALSE),VLOOKUP($A7,'SegEnds_NonXtal_Prot#'!$A:$AL,22,FALSE)+6,1)</f>
        <v>I</v>
      </c>
      <c r="AC7" s="49" t="str">
        <f>MID(VLOOKUP($A7,Seqs!$A:$B,2,FALSE),VLOOKUP($A7,'SegEnds_NonXtal_Prot#'!$A:$AL,22,FALSE)+7,1)</f>
        <v>S</v>
      </c>
      <c r="AD7" s="49" t="str">
        <f>MID(VLOOKUP($A7,Seqs!$A:$B,2,FALSE),VLOOKUP($A7,'SegEnds_NonXtal_Prot#'!$A:$AL,22,FALSE)+8,1)</f>
        <v>L</v>
      </c>
      <c r="AE7" s="49" t="str">
        <f>MID(VLOOKUP($A7,Seqs!$A:$B,2,FALSE),VLOOKUP($A7,'SegEnds_NonXtal_Prot#'!$A:$AL,22,FALSE)+9,1)</f>
        <v>A</v>
      </c>
      <c r="AF7" s="49" t="str">
        <f>MID(VLOOKUP($A7,Seqs!$A:$B,2,FALSE),VLOOKUP($A7,'SegEnds_NonXtal_Prot#'!$A:$AL,22,FALSE)+10,1)</f>
        <v>P</v>
      </c>
      <c r="AG7" s="28" t="str">
        <f>MID(VLOOKUP($A7,Seqs!$A:$B,2,FALSE),VLOOKUP($A7,'SegEnds_NonXtal_Prot#'!$A:$AL,28,FALSE)-4,1)</f>
        <v>A</v>
      </c>
      <c r="AH7" s="49" t="str">
        <f>MID(VLOOKUP($A7,Seqs!$A:$B,2,FALSE),VLOOKUP($A7,'SegEnds_NonXtal_Prot#'!$A:$AL,28,FALSE),1)</f>
        <v>P</v>
      </c>
    </row>
    <row r="8" spans="1:34" s="2" customFormat="1" x14ac:dyDescent="0.2">
      <c r="A8" s="2" t="s">
        <v>137</v>
      </c>
      <c r="B8" s="2" t="str">
        <f>LOWER(VLOOKUP(A8,Xtal_Templ!A:B,2,FALSE))</f>
        <v>5ht1b_human</v>
      </c>
      <c r="C8" s="2" t="str">
        <f>VLOOKUP(A8,Classification!A:D,2,FALSE)</f>
        <v>A</v>
      </c>
      <c r="D8" s="2" t="str">
        <f>IF(ISERROR(MATCH(A8,'SegEnds_Xtal_Prot#'!B:B, 0)), "NoXtal", "Xtal")</f>
        <v>NoXtal</v>
      </c>
      <c r="G8" s="2" t="s">
        <v>5</v>
      </c>
      <c r="H8" s="4"/>
      <c r="R8" s="2" t="s">
        <v>9</v>
      </c>
      <c r="T8" s="4" t="s">
        <v>12</v>
      </c>
      <c r="V8" s="28" t="str">
        <f>MID(VLOOKUP($A8,Seqs!$A:$B,2,FALSE),VLOOKUP($A8,'SegEnds_NonXtal_Prot#'!A:AL,10,FALSE),1)</f>
        <v>D</v>
      </c>
      <c r="W8" s="49" t="str">
        <f>MID(VLOOKUP($A8,Seqs!$A:$B,2,FALSE),VLOOKUP($A8,'SegEnds_NonXtal_Prot#'!A:AL,10,FALSE)+6,1)</f>
        <v>A</v>
      </c>
      <c r="X8" s="49" t="str">
        <f>MID(VLOOKUP($A8,Seqs!$A:$B,2,FALSE),VLOOKUP($A8,'SegEnds_NonXtal_Prot#'!A:AL,10,FALSE)+7,1)</f>
        <v>V</v>
      </c>
      <c r="Y8" s="49" t="str">
        <f>MID(VLOOKUP($A8,Seqs!$A:$B,2,FALSE),VLOOKUP($A8,'SegEnds_NonXtal_Prot#'!A:AL,10,FALSE)+8,1)</f>
        <v>M</v>
      </c>
      <c r="Z8" s="49" t="str">
        <f>MID(VLOOKUP($A8,Seqs!$A:$B,2,FALSE),VLOOKUP($A8,'SegEnds_NonXtal_Prot#'!A:AL,10,FALSE)+9,1)</f>
        <v>P</v>
      </c>
      <c r="AA8" s="49" t="str">
        <f>MID(VLOOKUP($A8,Seqs!$A:$B,2,FALSE),VLOOKUP($A8,'SegEnds_NonXtal_Prot#'!A:AL,10,FALSE)+10,1)</f>
        <v>F</v>
      </c>
      <c r="AB8" s="28" t="str">
        <f>MID(VLOOKUP($A8,Seqs!$A:$B,2,FALSE),VLOOKUP($A8,'SegEnds_NonXtal_Prot#'!$A:$AL,22,FALSE)+6,1)</f>
        <v>I</v>
      </c>
      <c r="AC8" s="49" t="str">
        <f>MID(VLOOKUP($A8,Seqs!$A:$B,2,FALSE),VLOOKUP($A8,'SegEnds_NonXtal_Prot#'!$A:$AL,22,FALSE)+7,1)</f>
        <v>T</v>
      </c>
      <c r="AD8" s="49" t="str">
        <f>MID(VLOOKUP($A8,Seqs!$A:$B,2,FALSE),VLOOKUP($A8,'SegEnds_NonXtal_Prot#'!$A:$AL,22,FALSE)+8,1)</f>
        <v>L</v>
      </c>
      <c r="AE8" s="49" t="str">
        <f>MID(VLOOKUP($A8,Seqs!$A:$B,2,FALSE),VLOOKUP($A8,'SegEnds_NonXtal_Prot#'!$A:$AL,22,FALSE)+9,1)</f>
        <v>P</v>
      </c>
      <c r="AF8" s="49" t="str">
        <f>MID(VLOOKUP($A8,Seqs!$A:$B,2,FALSE),VLOOKUP($A8,'SegEnds_NonXtal_Prot#'!$A:$AL,22,FALSE)+10,1)</f>
        <v>P</v>
      </c>
      <c r="AG8" s="28" t="str">
        <f>MID(VLOOKUP($A8,Seqs!$A:$B,2,FALSE),VLOOKUP($A8,'SegEnds_NonXtal_Prot#'!$A:$AL,28,FALSE)-4,1)</f>
        <v>A</v>
      </c>
      <c r="AH8" s="49" t="str">
        <f>MID(VLOOKUP($A8,Seqs!$A:$B,2,FALSE),VLOOKUP($A8,'SegEnds_NonXtal_Prot#'!$A:$AL,28,FALSE),1)</f>
        <v>P</v>
      </c>
    </row>
    <row r="9" spans="1:34" s="2" customFormat="1" x14ac:dyDescent="0.2">
      <c r="A9" s="2" t="s">
        <v>152</v>
      </c>
      <c r="B9" s="2" t="str">
        <f>LOWER(VLOOKUP(A9,Xtal_Templ!A:B,2,FALSE))</f>
        <v>adrb2_human</v>
      </c>
      <c r="C9" s="2" t="str">
        <f>VLOOKUP(A9,Classification!A:D,2,FALSE)</f>
        <v>A</v>
      </c>
      <c r="D9" s="2" t="str">
        <f>IF(ISERROR(MATCH(A9,'SegEnds_Xtal_Prot#'!B:B, 0)), "NoXtal", "Xtal")</f>
        <v>NoXtal</v>
      </c>
      <c r="G9" s="2" t="s">
        <v>5</v>
      </c>
      <c r="H9" s="4"/>
      <c r="R9" s="2" t="s">
        <v>9</v>
      </c>
      <c r="T9" s="4" t="s">
        <v>12</v>
      </c>
      <c r="V9" s="28" t="str">
        <f>MID(VLOOKUP($A9,Seqs!$A:$B,2,FALSE),VLOOKUP($A9,'SegEnds_NonXtal_Prot#'!A:AL,10,FALSE),1)</f>
        <v>D</v>
      </c>
      <c r="W9" s="49" t="str">
        <f>MID(VLOOKUP($A9,Seqs!$A:$B,2,FALSE),VLOOKUP($A9,'SegEnds_NonXtal_Prot#'!A:AL,10,FALSE)+6,1)</f>
        <v>T</v>
      </c>
      <c r="X9" s="49" t="str">
        <f>MID(VLOOKUP($A9,Seqs!$A:$B,2,FALSE),VLOOKUP($A9,'SegEnds_NonXtal_Prot#'!A:AL,10,FALSE)+7,1)</f>
        <v>V</v>
      </c>
      <c r="Y9" s="49" t="str">
        <f>MID(VLOOKUP($A9,Seqs!$A:$B,2,FALSE),VLOOKUP($A9,'SegEnds_NonXtal_Prot#'!A:AL,10,FALSE)+8,1)</f>
        <v>L</v>
      </c>
      <c r="Z9" s="49" t="str">
        <f>MID(VLOOKUP($A9,Seqs!$A:$B,2,FALSE),VLOOKUP($A9,'SegEnds_NonXtal_Prot#'!A:AL,10,FALSE)+9,1)</f>
        <v>P</v>
      </c>
      <c r="AA9" s="49" t="str">
        <f>MID(VLOOKUP($A9,Seqs!$A:$B,2,FALSE),VLOOKUP($A9,'SegEnds_NonXtal_Prot#'!A:AL,10,FALSE)+10,1)</f>
        <v>F</v>
      </c>
      <c r="AB9" s="28" t="str">
        <f>MID(VLOOKUP($A9,Seqs!$A:$B,2,FALSE),VLOOKUP($A9,'SegEnds_NonXtal_Prot#'!$A:$AL,22,FALSE)+6,1)</f>
        <v>I</v>
      </c>
      <c r="AC9" s="49" t="str">
        <f>MID(VLOOKUP($A9,Seqs!$A:$B,2,FALSE),VLOOKUP($A9,'SegEnds_NonXtal_Prot#'!$A:$AL,22,FALSE)+7,1)</f>
        <v>S</v>
      </c>
      <c r="AD9" s="49" t="str">
        <f>MID(VLOOKUP($A9,Seqs!$A:$B,2,FALSE),VLOOKUP($A9,'SegEnds_NonXtal_Prot#'!$A:$AL,22,FALSE)+8,1)</f>
        <v>I</v>
      </c>
      <c r="AE9" s="49" t="str">
        <f>MID(VLOOKUP($A9,Seqs!$A:$B,2,FALSE),VLOOKUP($A9,'SegEnds_NonXtal_Prot#'!$A:$AL,22,FALSE)+9,1)</f>
        <v>G</v>
      </c>
      <c r="AF9" s="49" t="str">
        <f>MID(VLOOKUP($A9,Seqs!$A:$B,2,FALSE),VLOOKUP($A9,'SegEnds_NonXtal_Prot#'!$A:$AL,22,FALSE)+10,1)</f>
        <v>P</v>
      </c>
      <c r="AG9" s="28" t="str">
        <f>MID(VLOOKUP($A9,Seqs!$A:$B,2,FALSE),VLOOKUP($A9,'SegEnds_NonXtal_Prot#'!$A:$AL,28,FALSE)-4,1)</f>
        <v>S</v>
      </c>
      <c r="AH9" s="49" t="str">
        <f>MID(VLOOKUP($A9,Seqs!$A:$B,2,FALSE),VLOOKUP($A9,'SegEnds_NonXtal_Prot#'!$A:$AL,28,FALSE),1)</f>
        <v>P</v>
      </c>
    </row>
    <row r="10" spans="1:34" s="2" customFormat="1" x14ac:dyDescent="0.2">
      <c r="A10" s="2" t="s">
        <v>155</v>
      </c>
      <c r="B10" s="2" t="str">
        <f>LOWER(VLOOKUP(A10,Xtal_Templ!A:B,2,FALSE))</f>
        <v>drd2_human</v>
      </c>
      <c r="C10" s="2" t="str">
        <f>VLOOKUP(A10,Classification!A:D,2,FALSE)</f>
        <v>A</v>
      </c>
      <c r="D10" s="2" t="str">
        <f>IF(ISERROR(MATCH(A10,'SegEnds_Xtal_Prot#'!B:B, 0)), "NoXtal", "Xtal")</f>
        <v>NoXtal</v>
      </c>
      <c r="G10" s="2" t="s">
        <v>5</v>
      </c>
      <c r="H10" s="4"/>
      <c r="R10" s="2" t="s">
        <v>9</v>
      </c>
      <c r="T10" s="4" t="s">
        <v>12</v>
      </c>
      <c r="V10" s="28" t="str">
        <f>MID(VLOOKUP($A10,Seqs!$A:$B,2,FALSE),VLOOKUP($A10,'SegEnds_NonXtal_Prot#'!A:AL,10,FALSE),1)</f>
        <v>D</v>
      </c>
      <c r="W10" s="49" t="str">
        <f>MID(VLOOKUP($A10,Seqs!$A:$B,2,FALSE),VLOOKUP($A10,'SegEnds_NonXtal_Prot#'!A:AL,10,FALSE)+6,1)</f>
        <v>L</v>
      </c>
      <c r="X10" s="49" t="str">
        <f>MID(VLOOKUP($A10,Seqs!$A:$B,2,FALSE),VLOOKUP($A10,'SegEnds_NonXtal_Prot#'!A:AL,10,FALSE)+7,1)</f>
        <v>V</v>
      </c>
      <c r="Y10" s="49" t="str">
        <f>MID(VLOOKUP($A10,Seqs!$A:$B,2,FALSE),VLOOKUP($A10,'SegEnds_NonXtal_Prot#'!A:AL,10,FALSE)+8,1)</f>
        <v>I</v>
      </c>
      <c r="Z10" s="49" t="str">
        <f>MID(VLOOKUP($A10,Seqs!$A:$B,2,FALSE),VLOOKUP($A10,'SegEnds_NonXtal_Prot#'!A:AL,10,FALSE)+9,1)</f>
        <v>P</v>
      </c>
      <c r="AA10" s="49" t="str">
        <f>MID(VLOOKUP($A10,Seqs!$A:$B,2,FALSE),VLOOKUP($A10,'SegEnds_NonXtal_Prot#'!A:AL,10,FALSE)+10,1)</f>
        <v>F</v>
      </c>
      <c r="AB10" s="28" t="str">
        <f>MID(VLOOKUP($A10,Seqs!$A:$B,2,FALSE),VLOOKUP($A10,'SegEnds_NonXtal_Prot#'!$A:$AL,22,FALSE)+6,1)</f>
        <v>I</v>
      </c>
      <c r="AC10" s="49" t="str">
        <f>MID(VLOOKUP($A10,Seqs!$A:$B,2,FALSE),VLOOKUP($A10,'SegEnds_NonXtal_Prot#'!$A:$AL,22,FALSE)+7,1)</f>
        <v>S</v>
      </c>
      <c r="AD10" s="49" t="str">
        <f>MID(VLOOKUP($A10,Seqs!$A:$B,2,FALSE),VLOOKUP($A10,'SegEnds_NonXtal_Prot#'!$A:$AL,22,FALSE)+8,1)</f>
        <v>F</v>
      </c>
      <c r="AE10" s="49" t="str">
        <f>MID(VLOOKUP($A10,Seqs!$A:$B,2,FALSE),VLOOKUP($A10,'SegEnds_NonXtal_Prot#'!$A:$AL,22,FALSE)+9,1)</f>
        <v>P</v>
      </c>
      <c r="AF10" s="49" t="str">
        <f>MID(VLOOKUP($A10,Seqs!$A:$B,2,FALSE),VLOOKUP($A10,'SegEnds_NonXtal_Prot#'!$A:$AL,22,FALSE)+10,1)</f>
        <v>P</v>
      </c>
      <c r="AG10" s="28" t="str">
        <f>MID(VLOOKUP($A10,Seqs!$A:$B,2,FALSE),VLOOKUP($A10,'SegEnds_NonXtal_Prot#'!$A:$AL,28,FALSE)-4,1)</f>
        <v>S</v>
      </c>
      <c r="AH10" s="49" t="str">
        <f>MID(VLOOKUP($A10,Seqs!$A:$B,2,FALSE),VLOOKUP($A10,'SegEnds_NonXtal_Prot#'!$A:$AL,28,FALSE),1)</f>
        <v>P</v>
      </c>
    </row>
    <row r="11" spans="1:34" s="2" customFormat="1" x14ac:dyDescent="0.2">
      <c r="A11" s="2" t="s">
        <v>157</v>
      </c>
      <c r="B11" s="2" t="str">
        <f>LOWER(VLOOKUP(A11,Xtal_Templ!A:B,2,FALSE))</f>
        <v>drd2_human</v>
      </c>
      <c r="C11" s="2" t="str">
        <f>VLOOKUP(A11,Classification!A:D,2,FALSE)</f>
        <v>A</v>
      </c>
      <c r="D11" s="2" t="str">
        <f>IF(ISERROR(MATCH(A11,'SegEnds_Xtal_Prot#'!B:B, 0)), "NoXtal", "Xtal")</f>
        <v>NoXtal</v>
      </c>
      <c r="G11" s="2" t="s">
        <v>5</v>
      </c>
      <c r="H11" s="4"/>
      <c r="R11" s="2" t="s">
        <v>9</v>
      </c>
      <c r="T11" s="4" t="s">
        <v>12</v>
      </c>
      <c r="V11" s="28" t="str">
        <f>MID(VLOOKUP($A11,Seqs!$A:$B,2,FALSE),VLOOKUP($A11,'SegEnds_NonXtal_Prot#'!A:AL,10,FALSE),1)</f>
        <v>D</v>
      </c>
      <c r="W11" s="49" t="str">
        <f>MID(VLOOKUP($A11,Seqs!$A:$B,2,FALSE),VLOOKUP($A11,'SegEnds_NonXtal_Prot#'!A:AL,10,FALSE)+6,1)</f>
        <v>L</v>
      </c>
      <c r="X11" s="49" t="str">
        <f>MID(VLOOKUP($A11,Seqs!$A:$B,2,FALSE),VLOOKUP($A11,'SegEnds_NonXtal_Prot#'!A:AL,10,FALSE)+7,1)</f>
        <v>V</v>
      </c>
      <c r="Y11" s="49" t="str">
        <f>MID(VLOOKUP($A11,Seqs!$A:$B,2,FALSE),VLOOKUP($A11,'SegEnds_NonXtal_Prot#'!A:AL,10,FALSE)+8,1)</f>
        <v>M</v>
      </c>
      <c r="Z11" s="49" t="str">
        <f>MID(VLOOKUP($A11,Seqs!$A:$B,2,FALSE),VLOOKUP($A11,'SegEnds_NonXtal_Prot#'!A:AL,10,FALSE)+9,1)</f>
        <v>P</v>
      </c>
      <c r="AA11" s="49" t="str">
        <f>MID(VLOOKUP($A11,Seqs!$A:$B,2,FALSE),VLOOKUP($A11,'SegEnds_NonXtal_Prot#'!A:AL,10,FALSE)+10,1)</f>
        <v>F</v>
      </c>
      <c r="AB11" s="28" t="str">
        <f>MID(VLOOKUP($A11,Seqs!$A:$B,2,FALSE),VLOOKUP($A11,'SegEnds_NonXtal_Prot#'!$A:$AL,22,FALSE)+6,1)</f>
        <v>I</v>
      </c>
      <c r="AC11" s="49" t="str">
        <f>MID(VLOOKUP($A11,Seqs!$A:$B,2,FALSE),VLOOKUP($A11,'SegEnds_NonXtal_Prot#'!$A:$AL,22,FALSE)+7,1)</f>
        <v>S</v>
      </c>
      <c r="AD11" s="49" t="str">
        <f>MID(VLOOKUP($A11,Seqs!$A:$B,2,FALSE),VLOOKUP($A11,'SegEnds_NonXtal_Prot#'!$A:$AL,22,FALSE)+8,1)</f>
        <v>F</v>
      </c>
      <c r="AE11" s="49" t="str">
        <f>MID(VLOOKUP($A11,Seqs!$A:$B,2,FALSE),VLOOKUP($A11,'SegEnds_NonXtal_Prot#'!$A:$AL,22,FALSE)+9,1)</f>
        <v>P</v>
      </c>
      <c r="AF11" s="49" t="str">
        <f>MID(VLOOKUP($A11,Seqs!$A:$B,2,FALSE),VLOOKUP($A11,'SegEnds_NonXtal_Prot#'!$A:$AL,22,FALSE)+10,1)</f>
        <v>P</v>
      </c>
      <c r="AG11" s="28" t="str">
        <f>MID(VLOOKUP($A11,Seqs!$A:$B,2,FALSE),VLOOKUP($A11,'SegEnds_NonXtal_Prot#'!$A:$AL,28,FALSE)-4,1)</f>
        <v>S</v>
      </c>
      <c r="AH11" s="49" t="str">
        <f>MID(VLOOKUP($A11,Seqs!$A:$B,2,FALSE),VLOOKUP($A11,'SegEnds_NonXtal_Prot#'!$A:$AL,28,FALSE),1)</f>
        <v>P</v>
      </c>
    </row>
    <row r="12" spans="1:34" s="2" customFormat="1" x14ac:dyDescent="0.2">
      <c r="A12" s="2" t="s">
        <v>219</v>
      </c>
      <c r="B12" s="2" t="str">
        <f>LOWER(VLOOKUP(A12,Xtal_Templ!A:B,2,FALSE))</f>
        <v>5ht1b_human</v>
      </c>
      <c r="C12" s="2" t="str">
        <f>VLOOKUP(A12,Classification!A:D,2,FALSE)</f>
        <v>A</v>
      </c>
      <c r="D12" s="2" t="str">
        <f>IF(ISERROR(MATCH(A12,'SegEnds_Xtal_Prot#'!B:B, 0)), "NoXtal", "Xtal")</f>
        <v>NoXtal</v>
      </c>
      <c r="H12" s="4"/>
      <c r="R12" s="2" t="s">
        <v>9</v>
      </c>
      <c r="T12" s="4" t="s">
        <v>12</v>
      </c>
      <c r="V12" s="28" t="str">
        <f>MID(VLOOKUP($A12,Seqs!$A:$B,2,FALSE),VLOOKUP($A12,'SegEnds_NonXtal_Prot#'!A:AL,10,FALSE),1)</f>
        <v>D</v>
      </c>
      <c r="W12" s="49" t="str">
        <f>MID(VLOOKUP($A12,Seqs!$A:$B,2,FALSE),VLOOKUP($A12,'SegEnds_NonXtal_Prot#'!A:AL,10,FALSE)+6,1)</f>
        <v>L</v>
      </c>
      <c r="X12" s="49" t="str">
        <f>MID(VLOOKUP($A12,Seqs!$A:$B,2,FALSE),VLOOKUP($A12,'SegEnds_NonXtal_Prot#'!A:AL,10,FALSE)+7,1)</f>
        <v>H</v>
      </c>
      <c r="Y12" s="49" t="str">
        <f>MID(VLOOKUP($A12,Seqs!$A:$B,2,FALSE),VLOOKUP($A12,'SegEnds_NonXtal_Prot#'!A:AL,10,FALSE)+8,1)</f>
        <v>M</v>
      </c>
      <c r="Z12" s="49" t="str">
        <f>MID(VLOOKUP($A12,Seqs!$A:$B,2,FALSE),VLOOKUP($A12,'SegEnds_NonXtal_Prot#'!A:AL,10,FALSE)+9,1)</f>
        <v>L</v>
      </c>
      <c r="AA12" s="49" t="str">
        <f>MID(VLOOKUP($A12,Seqs!$A:$B,2,FALSE),VLOOKUP($A12,'SegEnds_NonXtal_Prot#'!A:AL,10,FALSE)+10,1)</f>
        <v>I</v>
      </c>
      <c r="AB12" s="28" t="str">
        <f>MID(VLOOKUP($A12,Seqs!$A:$B,2,FALSE),VLOOKUP($A12,'SegEnds_NonXtal_Prot#'!$A:$AL,22,FALSE)+6,1)</f>
        <v>F</v>
      </c>
      <c r="AC12" s="49" t="str">
        <f>MID(VLOOKUP($A12,Seqs!$A:$B,2,FALSE),VLOOKUP($A12,'SegEnds_NonXtal_Prot#'!$A:$AL,22,FALSE)+7,1)</f>
        <v>P</v>
      </c>
      <c r="AD12" s="49" t="str">
        <f>MID(VLOOKUP($A12,Seqs!$A:$B,2,FALSE),VLOOKUP($A12,'SegEnds_NonXtal_Prot#'!$A:$AL,22,FALSE)+8,1)</f>
        <v>T</v>
      </c>
      <c r="AE12" s="49" t="str">
        <f>MID(VLOOKUP($A12,Seqs!$A:$B,2,FALSE),VLOOKUP($A12,'SegEnds_NonXtal_Prot#'!$A:$AL,22,FALSE)+9,1)</f>
        <v>F</v>
      </c>
      <c r="AF12" s="49" t="str">
        <f>MID(VLOOKUP($A12,Seqs!$A:$B,2,FALSE),VLOOKUP($A12,'SegEnds_NonXtal_Prot#'!$A:$AL,22,FALSE)+10,1)</f>
        <v>L</v>
      </c>
      <c r="AG12" s="28" t="str">
        <f>MID(VLOOKUP($A12,Seqs!$A:$B,2,FALSE),VLOOKUP($A12,'SegEnds_NonXtal_Prot#'!$A:$AL,28,FALSE)-4,1)</f>
        <v>M</v>
      </c>
      <c r="AH12" s="49" t="str">
        <f>MID(VLOOKUP($A12,Seqs!$A:$B,2,FALSE),VLOOKUP($A12,'SegEnds_NonXtal_Prot#'!$A:$AL,28,FALSE),1)</f>
        <v>P</v>
      </c>
    </row>
    <row r="13" spans="1:34" s="2" customFormat="1" x14ac:dyDescent="0.2">
      <c r="A13" s="2" t="s">
        <v>226</v>
      </c>
      <c r="B13" s="2" t="str">
        <f>LOWER(VLOOKUP(A13,Xtal_Templ!A:B,2,FALSE))</f>
        <v>5ht1b_human</v>
      </c>
      <c r="C13" s="2" t="str">
        <f>VLOOKUP(A13,Classification!A:D,2,FALSE)</f>
        <v>A</v>
      </c>
      <c r="D13" s="2" t="str">
        <f>IF(ISERROR(MATCH(A13,'SegEnds_Xtal_Prot#'!B:B, 0)), "NoXtal", "Xtal")</f>
        <v>NoXtal</v>
      </c>
      <c r="G13" s="2" t="s">
        <v>5</v>
      </c>
      <c r="H13" s="4"/>
      <c r="R13" s="2" t="s">
        <v>9</v>
      </c>
      <c r="T13" s="4" t="s">
        <v>12</v>
      </c>
      <c r="V13" s="28" t="str">
        <f>MID(VLOOKUP($A13,Seqs!$A:$B,2,FALSE),VLOOKUP($A13,'SegEnds_NonXtal_Prot#'!A:AL,10,FALSE),1)</f>
        <v>N</v>
      </c>
      <c r="W13" s="49" t="str">
        <f>MID(VLOOKUP($A13,Seqs!$A:$B,2,FALSE),VLOOKUP($A13,'SegEnds_NonXtal_Prot#'!A:AL,10,FALSE)+6,1)</f>
        <v>L</v>
      </c>
      <c r="X13" s="49" t="str">
        <f>MID(VLOOKUP($A13,Seqs!$A:$B,2,FALSE),VLOOKUP($A13,'SegEnds_NonXtal_Prot#'!A:AL,10,FALSE)+7,1)</f>
        <v>V</v>
      </c>
      <c r="Y13" s="49" t="str">
        <f>MID(VLOOKUP($A13,Seqs!$A:$B,2,FALSE),VLOOKUP($A13,'SegEnds_NonXtal_Prot#'!A:AL,10,FALSE)+8,1)</f>
        <v>L</v>
      </c>
      <c r="Z13" s="49" t="str">
        <f>MID(VLOOKUP($A13,Seqs!$A:$B,2,FALSE),VLOOKUP($A13,'SegEnds_NonXtal_Prot#'!A:AL,10,FALSE)+9,1)</f>
        <v>P</v>
      </c>
      <c r="AA13" s="49" t="str">
        <f>MID(VLOOKUP($A13,Seqs!$A:$B,2,FALSE),VLOOKUP($A13,'SegEnds_NonXtal_Prot#'!A:AL,10,FALSE)+10,1)</f>
        <v>F</v>
      </c>
      <c r="AB13" s="28" t="str">
        <f>MID(VLOOKUP($A13,Seqs!$A:$B,2,FALSE),VLOOKUP($A13,'SegEnds_NonXtal_Prot#'!$A:$AL,22,FALSE)+6,1)</f>
        <v>G</v>
      </c>
      <c r="AC13" s="49" t="str">
        <f>MID(VLOOKUP($A13,Seqs!$A:$B,2,FALSE),VLOOKUP($A13,'SegEnds_NonXtal_Prot#'!$A:$AL,22,FALSE)+7,1)</f>
        <v>C</v>
      </c>
      <c r="AD13" s="49" t="str">
        <f>MID(VLOOKUP($A13,Seqs!$A:$B,2,FALSE),VLOOKUP($A13,'SegEnds_NonXtal_Prot#'!$A:$AL,22,FALSE)+8,1)</f>
        <v>L</v>
      </c>
      <c r="AE13" s="49" t="str">
        <f>MID(VLOOKUP($A13,Seqs!$A:$B,2,FALSE),VLOOKUP($A13,'SegEnds_NonXtal_Prot#'!$A:$AL,22,FALSE)+9,1)</f>
        <v>P</v>
      </c>
      <c r="AF13" s="49" t="str">
        <f>MID(VLOOKUP($A13,Seqs!$A:$B,2,FALSE),VLOOKUP($A13,'SegEnds_NonXtal_Prot#'!$A:$AL,22,FALSE)+10,1)</f>
        <v>P</v>
      </c>
      <c r="AG13" s="28" t="str">
        <f>MID(VLOOKUP($A13,Seqs!$A:$B,2,FALSE),VLOOKUP($A13,'SegEnds_NonXtal_Prot#'!$A:$AL,28,FALSE)-4,1)</f>
        <v>C</v>
      </c>
      <c r="AH13" s="49" t="str">
        <f>MID(VLOOKUP($A13,Seqs!$A:$B,2,FALSE),VLOOKUP($A13,'SegEnds_NonXtal_Prot#'!$A:$AL,28,FALSE),1)</f>
        <v>P</v>
      </c>
    </row>
    <row r="14" spans="1:34" s="2" customFormat="1" x14ac:dyDescent="0.2">
      <c r="A14" s="2" t="s">
        <v>264</v>
      </c>
      <c r="B14" s="2" t="str">
        <f>LOWER(VLOOKUP(A14,Xtal_Templ!A:B,2,FALSE))</f>
        <v>drd2_human</v>
      </c>
      <c r="C14" s="2" t="str">
        <f>VLOOKUP(A14,Classification!A:D,2,FALSE)</f>
        <v>A</v>
      </c>
      <c r="D14" s="2" t="str">
        <f>IF(ISERROR(MATCH(A14,'SegEnds_Xtal_Prot#'!B:B, 0)), "NoXtal", "Xtal")</f>
        <v>NoXtal</v>
      </c>
      <c r="G14" s="2" t="s">
        <v>5</v>
      </c>
      <c r="H14" s="4"/>
      <c r="N14" s="2" t="s">
        <v>14</v>
      </c>
      <c r="R14" s="2" t="s">
        <v>9</v>
      </c>
      <c r="T14" s="4" t="s">
        <v>12</v>
      </c>
      <c r="V14" s="28" t="str">
        <f>MID(VLOOKUP($A14,Seqs!$A:$B,2,FALSE),VLOOKUP($A14,'SegEnds_NonXtal_Prot#'!A:AL,10,FALSE),1)</f>
        <v>D</v>
      </c>
      <c r="W14" s="49" t="str">
        <f>MID(VLOOKUP($A14,Seqs!$A:$B,2,FALSE),VLOOKUP($A14,'SegEnds_NonXtal_Prot#'!A:AL,10,FALSE)+6,1)</f>
        <v>L</v>
      </c>
      <c r="X14" s="49" t="str">
        <f>MID(VLOOKUP($A14,Seqs!$A:$B,2,FALSE),VLOOKUP($A14,'SegEnds_NonXtal_Prot#'!A:AL,10,FALSE)+7,1)</f>
        <v>N</v>
      </c>
      <c r="Y14" s="49" t="str">
        <f>MID(VLOOKUP($A14,Seqs!$A:$B,2,FALSE),VLOOKUP($A14,'SegEnds_NonXtal_Prot#'!A:AL,10,FALSE)+8,1)</f>
        <v>M</v>
      </c>
      <c r="Z14" s="49" t="str">
        <f>MID(VLOOKUP($A14,Seqs!$A:$B,2,FALSE),VLOOKUP($A14,'SegEnds_NonXtal_Prot#'!A:AL,10,FALSE)+9,1)</f>
        <v>P</v>
      </c>
      <c r="AA14" s="49" t="str">
        <f>MID(VLOOKUP($A14,Seqs!$A:$B,2,FALSE),VLOOKUP($A14,'SegEnds_NonXtal_Prot#'!A:AL,10,FALSE)+10,1)</f>
        <v>F</v>
      </c>
      <c r="AB14" s="28" t="str">
        <f>MID(VLOOKUP($A14,Seqs!$A:$B,2,FALSE),VLOOKUP($A14,'SegEnds_NonXtal_Prot#'!$A:$AL,22,FALSE)+6,1)</f>
        <v>V</v>
      </c>
      <c r="AC14" s="49" t="str">
        <f>MID(VLOOKUP($A14,Seqs!$A:$B,2,FALSE),VLOOKUP($A14,'SegEnds_NonXtal_Prot#'!$A:$AL,22,FALSE)+7,1)</f>
        <v>A</v>
      </c>
      <c r="AD14" s="49" t="str">
        <f>MID(VLOOKUP($A14,Seqs!$A:$B,2,FALSE),VLOOKUP($A14,'SegEnds_NonXtal_Prot#'!$A:$AL,22,FALSE)+8,1)</f>
        <v>F</v>
      </c>
      <c r="AE14" s="49" t="str">
        <f>MID(VLOOKUP($A14,Seqs!$A:$B,2,FALSE),VLOOKUP($A14,'SegEnds_NonXtal_Prot#'!$A:$AL,22,FALSE)+9,1)</f>
        <v>P</v>
      </c>
      <c r="AF14" s="49" t="str">
        <f>MID(VLOOKUP($A14,Seqs!$A:$B,2,FALSE),VLOOKUP($A14,'SegEnds_NonXtal_Prot#'!$A:$AL,22,FALSE)+10,1)</f>
        <v>L</v>
      </c>
      <c r="AG14" s="28" t="str">
        <f>MID(VLOOKUP($A14,Seqs!$A:$B,2,FALSE),VLOOKUP($A14,'SegEnds_NonXtal_Prot#'!$A:$AL,28,FALSE)-4,1)</f>
        <v>S</v>
      </c>
      <c r="AH14" s="49" t="str">
        <f>MID(VLOOKUP($A14,Seqs!$A:$B,2,FALSE),VLOOKUP($A14,'SegEnds_NonXtal_Prot#'!$A:$AL,28,FALSE),1)</f>
        <v>P</v>
      </c>
    </row>
    <row r="15" spans="1:34" s="2" customFormat="1" x14ac:dyDescent="0.2">
      <c r="A15" s="2" t="s">
        <v>387</v>
      </c>
      <c r="B15" s="2" t="str">
        <f>LOWER(VLOOKUP(A15,Xtal_Templ!A:B,2,FALSE))</f>
        <v>adrb2_human</v>
      </c>
      <c r="C15" s="2" t="str">
        <f>VLOOKUP(A15,Classification!A:D,2,FALSE)</f>
        <v>A</v>
      </c>
      <c r="D15" s="2" t="str">
        <f>IF(ISERROR(MATCH(A15,'SegEnds_Xtal_Prot#'!B:B, 0)), "NoXtal", "Xtal")</f>
        <v>NoXtal</v>
      </c>
      <c r="G15" s="2" t="s">
        <v>5</v>
      </c>
      <c r="H15" s="4"/>
      <c r="R15" s="2" t="s">
        <v>9</v>
      </c>
      <c r="T15" s="4" t="s">
        <v>12</v>
      </c>
      <c r="V15" s="28" t="str">
        <f>MID(VLOOKUP($A15,Seqs!$A:$B,2,FALSE),VLOOKUP($A15,'SegEnds_NonXtal_Prot#'!A:AL,10,FALSE),1)</f>
        <v>D</v>
      </c>
      <c r="W15" s="49" t="str">
        <f>MID(VLOOKUP($A15,Seqs!$A:$B,2,FALSE),VLOOKUP($A15,'SegEnds_NonXtal_Prot#'!A:AL,10,FALSE)+6,1)</f>
        <v>T</v>
      </c>
      <c r="X15" s="49" t="str">
        <f>MID(VLOOKUP($A15,Seqs!$A:$B,2,FALSE),VLOOKUP($A15,'SegEnds_NonXtal_Prot#'!A:AL,10,FALSE)+7,1)</f>
        <v>I</v>
      </c>
      <c r="Y15" s="49" t="str">
        <f>MID(VLOOKUP($A15,Seqs!$A:$B,2,FALSE),VLOOKUP($A15,'SegEnds_NonXtal_Prot#'!A:AL,10,FALSE)+8,1)</f>
        <v>M</v>
      </c>
      <c r="Z15" s="49" t="str">
        <f>MID(VLOOKUP($A15,Seqs!$A:$B,2,FALSE),VLOOKUP($A15,'SegEnds_NonXtal_Prot#'!A:AL,10,FALSE)+9,1)</f>
        <v>P</v>
      </c>
      <c r="AA15" s="49" t="str">
        <f>MID(VLOOKUP($A15,Seqs!$A:$B,2,FALSE),VLOOKUP($A15,'SegEnds_NonXtal_Prot#'!A:AL,10,FALSE)+10,1)</f>
        <v>Y</v>
      </c>
      <c r="AB15" s="28" t="str">
        <f>MID(VLOOKUP($A15,Seqs!$A:$B,2,FALSE),VLOOKUP($A15,'SegEnds_NonXtal_Prot#'!$A:$AL,22,FALSE)+6,1)</f>
        <v>F</v>
      </c>
      <c r="AC15" s="49" t="str">
        <f>MID(VLOOKUP($A15,Seqs!$A:$B,2,FALSE),VLOOKUP($A15,'SegEnds_NonXtal_Prot#'!$A:$AL,22,FALSE)+7,1)</f>
        <v>A</v>
      </c>
      <c r="AD15" s="49" t="str">
        <f>MID(VLOOKUP($A15,Seqs!$A:$B,2,FALSE),VLOOKUP($A15,'SegEnds_NonXtal_Prot#'!$A:$AL,22,FALSE)+8,1)</f>
        <v>F</v>
      </c>
      <c r="AE15" s="49" t="str">
        <f>MID(VLOOKUP($A15,Seqs!$A:$B,2,FALSE),VLOOKUP($A15,'SegEnds_NonXtal_Prot#'!$A:$AL,22,FALSE)+9,1)</f>
        <v>G</v>
      </c>
      <c r="AF15" s="49" t="str">
        <f>MID(VLOOKUP($A15,Seqs!$A:$B,2,FALSE),VLOOKUP($A15,'SegEnds_NonXtal_Prot#'!$A:$AL,22,FALSE)+10,1)</f>
        <v>V</v>
      </c>
      <c r="AG15" s="28" t="str">
        <f>MID(VLOOKUP($A15,Seqs!$A:$B,2,FALSE),VLOOKUP($A15,'SegEnds_NonXtal_Prot#'!$A:$AL,28,FALSE)-4,1)</f>
        <v>G</v>
      </c>
      <c r="AH15" s="49" t="str">
        <f>MID(VLOOKUP($A15,Seqs!$A:$B,2,FALSE),VLOOKUP($A15,'SegEnds_NonXtal_Prot#'!$A:$AL,28,FALSE),1)</f>
        <v>P</v>
      </c>
    </row>
    <row r="16" spans="1:34" s="2" customFormat="1" x14ac:dyDescent="0.2">
      <c r="A16" s="2" t="s">
        <v>388</v>
      </c>
      <c r="B16" s="2" t="str">
        <f>LOWER(VLOOKUP(A16,Xtal_Templ!A:B,2,FALSE))</f>
        <v>drd2_human</v>
      </c>
      <c r="C16" s="2" t="str">
        <f>VLOOKUP(A16,Classification!A:D,2,FALSE)</f>
        <v>A</v>
      </c>
      <c r="D16" s="2" t="str">
        <f>IF(ISERROR(MATCH(A16,'SegEnds_Xtal_Prot#'!B:B, 0)), "NoXtal", "Xtal")</f>
        <v>NoXtal</v>
      </c>
      <c r="G16" s="2" t="s">
        <v>5</v>
      </c>
      <c r="H16" s="4"/>
      <c r="R16" s="2" t="s">
        <v>9</v>
      </c>
      <c r="T16" s="4" t="s">
        <v>12</v>
      </c>
      <c r="V16" s="28" t="str">
        <f>MID(VLOOKUP($A16,Seqs!$A:$B,2,FALSE),VLOOKUP($A16,'SegEnds_NonXtal_Prot#'!A:AL,10,FALSE),1)</f>
        <v>D</v>
      </c>
      <c r="W16" s="49" t="str">
        <f>MID(VLOOKUP($A16,Seqs!$A:$B,2,FALSE),VLOOKUP($A16,'SegEnds_NonXtal_Prot#'!A:AL,10,FALSE)+6,1)</f>
        <v>V</v>
      </c>
      <c r="X16" s="49" t="str">
        <f>MID(VLOOKUP($A16,Seqs!$A:$B,2,FALSE),VLOOKUP($A16,'SegEnds_NonXtal_Prot#'!A:AL,10,FALSE)+7,1)</f>
        <v>I</v>
      </c>
      <c r="Y16" s="49" t="str">
        <f>MID(VLOOKUP($A16,Seqs!$A:$B,2,FALSE),VLOOKUP($A16,'SegEnds_NonXtal_Prot#'!A:AL,10,FALSE)+8,1)</f>
        <v>M</v>
      </c>
      <c r="Z16" s="49" t="str">
        <f>MID(VLOOKUP($A16,Seqs!$A:$B,2,FALSE),VLOOKUP($A16,'SegEnds_NonXtal_Prot#'!A:AL,10,FALSE)+9,1)</f>
        <v>P</v>
      </c>
      <c r="AA16" s="49" t="str">
        <f>MID(VLOOKUP($A16,Seqs!$A:$B,2,FALSE),VLOOKUP($A16,'SegEnds_NonXtal_Prot#'!A:AL,10,FALSE)+10,1)</f>
        <v>Y</v>
      </c>
      <c r="AB16" s="28" t="str">
        <f>MID(VLOOKUP($A16,Seqs!$A:$B,2,FALSE),VLOOKUP($A16,'SegEnds_NonXtal_Prot#'!$A:$AL,22,FALSE)+6,1)</f>
        <v>F</v>
      </c>
      <c r="AC16" s="49" t="str">
        <f>MID(VLOOKUP($A16,Seqs!$A:$B,2,FALSE),VLOOKUP($A16,'SegEnds_NonXtal_Prot#'!$A:$AL,22,FALSE)+7,1)</f>
        <v>S</v>
      </c>
      <c r="AD16" s="49" t="str">
        <f>MID(VLOOKUP($A16,Seqs!$A:$B,2,FALSE),VLOOKUP($A16,'SegEnds_NonXtal_Prot#'!$A:$AL,22,FALSE)+8,1)</f>
        <v>F</v>
      </c>
      <c r="AE16" s="49" t="str">
        <f>MID(VLOOKUP($A16,Seqs!$A:$B,2,FALSE),VLOOKUP($A16,'SegEnds_NonXtal_Prot#'!$A:$AL,22,FALSE)+9,1)</f>
        <v>G</v>
      </c>
      <c r="AF16" s="49" t="str">
        <f>MID(VLOOKUP($A16,Seqs!$A:$B,2,FALSE),VLOOKUP($A16,'SegEnds_NonXtal_Prot#'!$A:$AL,22,FALSE)+10,1)</f>
        <v>L</v>
      </c>
      <c r="AG16" s="28" t="str">
        <f>MID(VLOOKUP($A16,Seqs!$A:$B,2,FALSE),VLOOKUP($A16,'SegEnds_NonXtal_Prot#'!$A:$AL,28,FALSE)-4,1)</f>
        <v>C</v>
      </c>
      <c r="AH16" s="49" t="str">
        <f>MID(VLOOKUP($A16,Seqs!$A:$B,2,FALSE),VLOOKUP($A16,'SegEnds_NonXtal_Prot#'!$A:$AL,28,FALSE),1)</f>
        <v>P</v>
      </c>
    </row>
    <row r="17" spans="1:34" s="2" customFormat="1" x14ac:dyDescent="0.2">
      <c r="A17" s="2" t="s">
        <v>389</v>
      </c>
      <c r="B17" s="2" t="str">
        <f>LOWER(VLOOKUP(A17,Xtal_Templ!A:B,2,FALSE))</f>
        <v>5ht1b_human</v>
      </c>
      <c r="C17" s="2" t="str">
        <f>VLOOKUP(A17,Classification!A:D,2,FALSE)</f>
        <v>A</v>
      </c>
      <c r="D17" s="2" t="str">
        <f>IF(ISERROR(MATCH(A17,'SegEnds_Xtal_Prot#'!B:B, 0)), "NoXtal", "Xtal")</f>
        <v>NoXtal</v>
      </c>
      <c r="G17" s="2" t="s">
        <v>5</v>
      </c>
      <c r="H17" s="4"/>
      <c r="R17" s="2" t="s">
        <v>9</v>
      </c>
      <c r="T17" s="4" t="s">
        <v>12</v>
      </c>
      <c r="V17" s="28" t="str">
        <f>MID(VLOOKUP($A17,Seqs!$A:$B,2,FALSE),VLOOKUP($A17,'SegEnds_NonXtal_Prot#'!A:AL,10,FALSE),1)</f>
        <v>D</v>
      </c>
      <c r="W17" s="49" t="str">
        <f>MID(VLOOKUP($A17,Seqs!$A:$B,2,FALSE),VLOOKUP($A17,'SegEnds_NonXtal_Prot#'!A:AL,10,FALSE)+6,1)</f>
        <v>L</v>
      </c>
      <c r="X17" s="49" t="str">
        <f>MID(VLOOKUP($A17,Seqs!$A:$B,2,FALSE),VLOOKUP($A17,'SegEnds_NonXtal_Prot#'!A:AL,10,FALSE)+7,1)</f>
        <v>V</v>
      </c>
      <c r="Y17" s="49" t="str">
        <f>MID(VLOOKUP($A17,Seqs!$A:$B,2,FALSE),VLOOKUP($A17,'SegEnds_NonXtal_Prot#'!A:AL,10,FALSE)+8,1)</f>
        <v>L</v>
      </c>
      <c r="Z17" s="49" t="str">
        <f>MID(VLOOKUP($A17,Seqs!$A:$B,2,FALSE),VLOOKUP($A17,'SegEnds_NonXtal_Prot#'!A:AL,10,FALSE)+9,1)</f>
        <v>P</v>
      </c>
      <c r="AA17" s="49" t="str">
        <f>MID(VLOOKUP($A17,Seqs!$A:$B,2,FALSE),VLOOKUP($A17,'SegEnds_NonXtal_Prot#'!A:AL,10,FALSE)+10,1)</f>
        <v>L</v>
      </c>
      <c r="AB17" s="28" t="str">
        <f>MID(VLOOKUP($A17,Seqs!$A:$B,2,FALSE),VLOOKUP($A17,'SegEnds_NonXtal_Prot#'!$A:$AL,22,FALSE)+6,1)</f>
        <v>Y</v>
      </c>
      <c r="AC17" s="49" t="str">
        <f>MID(VLOOKUP($A17,Seqs!$A:$B,2,FALSE),VLOOKUP($A17,'SegEnds_NonXtal_Prot#'!$A:$AL,22,FALSE)+7,1)</f>
        <v>T</v>
      </c>
      <c r="AD17" s="49" t="str">
        <f>MID(VLOOKUP($A17,Seqs!$A:$B,2,FALSE),VLOOKUP($A17,'SegEnds_NonXtal_Prot#'!$A:$AL,22,FALSE)+8,1)</f>
        <v>S</v>
      </c>
      <c r="AE17" s="49" t="str">
        <f>MID(VLOOKUP($A17,Seqs!$A:$B,2,FALSE),VLOOKUP($A17,'SegEnds_NonXtal_Prot#'!$A:$AL,22,FALSE)+9,1)</f>
        <v>L</v>
      </c>
      <c r="AF17" s="49" t="str">
        <f>MID(VLOOKUP($A17,Seqs!$A:$B,2,FALSE),VLOOKUP($A17,'SegEnds_NonXtal_Prot#'!$A:$AL,22,FALSE)+10,1)</f>
        <v>F</v>
      </c>
      <c r="AG17" s="28" t="str">
        <f>MID(VLOOKUP($A17,Seqs!$A:$B,2,FALSE),VLOOKUP($A17,'SegEnds_NonXtal_Prot#'!$A:$AL,28,FALSE)-4,1)</f>
        <v>L</v>
      </c>
      <c r="AH17" s="49" t="str">
        <f>MID(VLOOKUP($A17,Seqs!$A:$B,2,FALSE),VLOOKUP($A17,'SegEnds_NonXtal_Prot#'!$A:$AL,28,FALSE),1)</f>
        <v>P</v>
      </c>
    </row>
    <row r="18" spans="1:34" s="2" customFormat="1" x14ac:dyDescent="0.2">
      <c r="A18" s="2" t="s">
        <v>390</v>
      </c>
      <c r="B18" s="2" t="str">
        <f>LOWER(VLOOKUP(A18,Xtal_Templ!A:B,2,FALSE))</f>
        <v>5ht1b_human</v>
      </c>
      <c r="C18" s="2" t="str">
        <f>VLOOKUP(A18,Classification!A:D,2,FALSE)</f>
        <v>A</v>
      </c>
      <c r="D18" s="2" t="str">
        <f>IF(ISERROR(MATCH(A18,'SegEnds_Xtal_Prot#'!B:B, 0)), "NoXtal", "Xtal")</f>
        <v>NoXtal</v>
      </c>
      <c r="G18" s="2" t="s">
        <v>5</v>
      </c>
      <c r="H18" s="4"/>
      <c r="R18" s="2" t="s">
        <v>9</v>
      </c>
      <c r="T18" s="4" t="s">
        <v>12</v>
      </c>
      <c r="V18" s="28" t="str">
        <f>MID(VLOOKUP($A18,Seqs!$A:$B,2,FALSE),VLOOKUP($A18,'SegEnds_NonXtal_Prot#'!A:AL,10,FALSE),1)</f>
        <v>D</v>
      </c>
      <c r="W18" s="49" t="str">
        <f>MID(VLOOKUP($A18,Seqs!$A:$B,2,FALSE),VLOOKUP($A18,'SegEnds_NonXtal_Prot#'!A:AL,10,FALSE)+6,1)</f>
        <v>T</v>
      </c>
      <c r="X18" s="49" t="str">
        <f>MID(VLOOKUP($A18,Seqs!$A:$B,2,FALSE),VLOOKUP($A18,'SegEnds_NonXtal_Prot#'!A:AL,10,FALSE)+7,1)</f>
        <v>V</v>
      </c>
      <c r="Y18" s="49" t="str">
        <f>MID(VLOOKUP($A18,Seqs!$A:$B,2,FALSE),VLOOKUP($A18,'SegEnds_NonXtal_Prot#'!A:AL,10,FALSE)+8,1)</f>
        <v>M</v>
      </c>
      <c r="Z18" s="49" t="str">
        <f>MID(VLOOKUP($A18,Seqs!$A:$B,2,FALSE),VLOOKUP($A18,'SegEnds_NonXtal_Prot#'!A:AL,10,FALSE)+9,1)</f>
        <v>P</v>
      </c>
      <c r="AA18" s="49" t="str">
        <f>MID(VLOOKUP($A18,Seqs!$A:$B,2,FALSE),VLOOKUP($A18,'SegEnds_NonXtal_Prot#'!A:AL,10,FALSE)+10,1)</f>
        <v>F</v>
      </c>
      <c r="AB18" s="28" t="str">
        <f>MID(VLOOKUP($A18,Seqs!$A:$B,2,FALSE),VLOOKUP($A18,'SegEnds_NonXtal_Prot#'!$A:$AL,22,FALSE)+6,1)</f>
        <v>Y</v>
      </c>
      <c r="AC18" s="49" t="str">
        <f>MID(VLOOKUP($A18,Seqs!$A:$B,2,FALSE),VLOOKUP($A18,'SegEnds_NonXtal_Prot#'!$A:$AL,22,FALSE)+7,1)</f>
        <v>S</v>
      </c>
      <c r="AD18" s="49" t="str">
        <f>MID(VLOOKUP($A18,Seqs!$A:$B,2,FALSE),VLOOKUP($A18,'SegEnds_NonXtal_Prot#'!$A:$AL,22,FALSE)+8,1)</f>
        <v>G</v>
      </c>
      <c r="AE18" s="49" t="str">
        <f>MID(VLOOKUP($A18,Seqs!$A:$B,2,FALSE),VLOOKUP($A18,'SegEnds_NonXtal_Prot#'!$A:$AL,22,FALSE)+9,1)</f>
        <v>A</v>
      </c>
      <c r="AF18" s="49" t="str">
        <f>MID(VLOOKUP($A18,Seqs!$A:$B,2,FALSE),VLOOKUP($A18,'SegEnds_NonXtal_Prot#'!$A:$AL,22,FALSE)+10,1)</f>
        <v>V</v>
      </c>
      <c r="AG18" s="28" t="str">
        <f>MID(VLOOKUP($A18,Seqs!$A:$B,2,FALSE),VLOOKUP($A18,'SegEnds_NonXtal_Prot#'!$A:$AL,28,FALSE)-4,1)</f>
        <v>S</v>
      </c>
      <c r="AH18" s="49" t="str">
        <f>MID(VLOOKUP($A18,Seqs!$A:$B,2,FALSE),VLOOKUP($A18,'SegEnds_NonXtal_Prot#'!$A:$AL,28,FALSE),1)</f>
        <v>P</v>
      </c>
    </row>
    <row r="19" spans="1:34" s="2" customFormat="1" x14ac:dyDescent="0.2">
      <c r="A19" s="2" t="s">
        <v>391</v>
      </c>
      <c r="B19" s="2" t="str">
        <f>LOWER(VLOOKUP(A19,Xtal_Templ!A:B,2,FALSE))</f>
        <v>5ht1b_human</v>
      </c>
      <c r="C19" s="2" t="str">
        <f>VLOOKUP(A19,Classification!A:D,2,FALSE)</f>
        <v>A</v>
      </c>
      <c r="D19" s="2" t="str">
        <f>IF(ISERROR(MATCH(A19,'SegEnds_Xtal_Prot#'!B:B, 0)), "NoXtal", "Xtal")</f>
        <v>NoXtal</v>
      </c>
      <c r="H19" s="4"/>
      <c r="R19" s="2" t="s">
        <v>9</v>
      </c>
      <c r="T19" s="4" t="s">
        <v>12</v>
      </c>
      <c r="V19" s="28" t="str">
        <f>MID(VLOOKUP($A19,Seqs!$A:$B,2,FALSE),VLOOKUP($A19,'SegEnds_NonXtal_Prot#'!A:AL,10,FALSE),1)</f>
        <v>D</v>
      </c>
      <c r="W19" s="49" t="str">
        <f>MID(VLOOKUP($A19,Seqs!$A:$B,2,FALSE),VLOOKUP($A19,'SegEnds_NonXtal_Prot#'!A:AL,10,FALSE)+6,1)</f>
        <v>T</v>
      </c>
      <c r="X19" s="49" t="str">
        <f>MID(VLOOKUP($A19,Seqs!$A:$B,2,FALSE),VLOOKUP($A19,'SegEnds_NonXtal_Prot#'!A:AL,10,FALSE)+7,1)</f>
        <v>V</v>
      </c>
      <c r="Y19" s="49" t="str">
        <f>MID(VLOOKUP($A19,Seqs!$A:$B,2,FALSE),VLOOKUP($A19,'SegEnds_NonXtal_Prot#'!A:AL,10,FALSE)+8,1)</f>
        <v>M</v>
      </c>
      <c r="Z19" s="49" t="str">
        <f>MID(VLOOKUP($A19,Seqs!$A:$B,2,FALSE),VLOOKUP($A19,'SegEnds_NonXtal_Prot#'!A:AL,10,FALSE)+9,1)</f>
        <v>L</v>
      </c>
      <c r="AA19" s="49" t="str">
        <f>MID(VLOOKUP($A19,Seqs!$A:$B,2,FALSE),VLOOKUP($A19,'SegEnds_NonXtal_Prot#'!A:AL,10,FALSE)+10,1)</f>
        <v>F</v>
      </c>
      <c r="AB19" s="28" t="str">
        <f>MID(VLOOKUP($A19,Seqs!$A:$B,2,FALSE),VLOOKUP($A19,'SegEnds_NonXtal_Prot#'!$A:$AL,22,FALSE)+6,1)</f>
        <v>Y</v>
      </c>
      <c r="AC19" s="49" t="str">
        <f>MID(VLOOKUP($A19,Seqs!$A:$B,2,FALSE),VLOOKUP($A19,'SegEnds_NonXtal_Prot#'!$A:$AL,22,FALSE)+7,1)</f>
        <v>S</v>
      </c>
      <c r="AD19" s="49" t="str">
        <f>MID(VLOOKUP($A19,Seqs!$A:$B,2,FALSE),VLOOKUP($A19,'SegEnds_NonXtal_Prot#'!$A:$AL,22,FALSE)+8,1)</f>
        <v>G</v>
      </c>
      <c r="AE19" s="49" t="str">
        <f>MID(VLOOKUP($A19,Seqs!$A:$B,2,FALSE),VLOOKUP($A19,'SegEnds_NonXtal_Prot#'!$A:$AL,22,FALSE)+9,1)</f>
        <v>A</v>
      </c>
      <c r="AF19" s="49" t="str">
        <f>MID(VLOOKUP($A19,Seqs!$A:$B,2,FALSE),VLOOKUP($A19,'SegEnds_NonXtal_Prot#'!$A:$AL,22,FALSE)+10,1)</f>
        <v>V</v>
      </c>
      <c r="AG19" s="28" t="str">
        <f>MID(VLOOKUP($A19,Seqs!$A:$B,2,FALSE),VLOOKUP($A19,'SegEnds_NonXtal_Prot#'!$A:$AL,28,FALSE)-4,1)</f>
        <v>L</v>
      </c>
      <c r="AH19" s="49" t="str">
        <f>MID(VLOOKUP($A19,Seqs!$A:$B,2,FALSE),VLOOKUP($A19,'SegEnds_NonXtal_Prot#'!$A:$AL,28,FALSE),1)</f>
        <v>P</v>
      </c>
    </row>
    <row r="20" spans="1:34" s="2" customFormat="1" x14ac:dyDescent="0.2">
      <c r="A20" s="2" t="s">
        <v>392</v>
      </c>
      <c r="B20" s="2" t="str">
        <f>LOWER(VLOOKUP(A20,Xtal_Templ!A:B,2,FALSE))</f>
        <v>5ht1b_human</v>
      </c>
      <c r="C20" s="2" t="str">
        <f>VLOOKUP(A20,Classification!A:D,2,FALSE)</f>
        <v>A</v>
      </c>
      <c r="D20" s="2" t="str">
        <f>IF(ISERROR(MATCH(A20,'SegEnds_Xtal_Prot#'!B:B, 0)), "NoXtal", "Xtal")</f>
        <v>NoXtal</v>
      </c>
      <c r="G20" s="2" t="s">
        <v>5</v>
      </c>
      <c r="H20" s="4"/>
      <c r="R20" s="2" t="s">
        <v>9</v>
      </c>
      <c r="T20" s="4" t="s">
        <v>12</v>
      </c>
      <c r="V20" s="28" t="str">
        <f>MID(VLOOKUP($A20,Seqs!$A:$B,2,FALSE),VLOOKUP($A20,'SegEnds_NonXtal_Prot#'!A:AL,10,FALSE),1)</f>
        <v>D</v>
      </c>
      <c r="W20" s="49" t="str">
        <f>MID(VLOOKUP($A20,Seqs!$A:$B,2,FALSE),VLOOKUP($A20,'SegEnds_NonXtal_Prot#'!A:AL,10,FALSE)+6,1)</f>
        <v>T</v>
      </c>
      <c r="X20" s="49" t="str">
        <f>MID(VLOOKUP($A20,Seqs!$A:$B,2,FALSE),VLOOKUP($A20,'SegEnds_NonXtal_Prot#'!A:AL,10,FALSE)+7,1)</f>
        <v>V</v>
      </c>
      <c r="Y20" s="49" t="str">
        <f>MID(VLOOKUP($A20,Seqs!$A:$B,2,FALSE),VLOOKUP($A20,'SegEnds_NonXtal_Prot#'!A:AL,10,FALSE)+8,1)</f>
        <v>M</v>
      </c>
      <c r="Z20" s="49" t="str">
        <f>MID(VLOOKUP($A20,Seqs!$A:$B,2,FALSE),VLOOKUP($A20,'SegEnds_NonXtal_Prot#'!A:AL,10,FALSE)+9,1)</f>
        <v>P</v>
      </c>
      <c r="AA20" s="49" t="str">
        <f>MID(VLOOKUP($A20,Seqs!$A:$B,2,FALSE),VLOOKUP($A20,'SegEnds_NonXtal_Prot#'!A:AL,10,FALSE)+10,1)</f>
        <v>F</v>
      </c>
      <c r="AB20" s="28" t="str">
        <f>MID(VLOOKUP($A20,Seqs!$A:$B,2,FALSE),VLOOKUP($A20,'SegEnds_NonXtal_Prot#'!$A:$AL,22,FALSE)+6,1)</f>
        <v>Y</v>
      </c>
      <c r="AC20" s="49" t="str">
        <f>MID(VLOOKUP($A20,Seqs!$A:$B,2,FALSE),VLOOKUP($A20,'SegEnds_NonXtal_Prot#'!$A:$AL,22,FALSE)+7,1)</f>
        <v>S</v>
      </c>
      <c r="AD20" s="49" t="str">
        <f>MID(VLOOKUP($A20,Seqs!$A:$B,2,FALSE),VLOOKUP($A20,'SegEnds_NonXtal_Prot#'!$A:$AL,22,FALSE)+8,1)</f>
        <v>F</v>
      </c>
      <c r="AE20" s="49" t="str">
        <f>MID(VLOOKUP($A20,Seqs!$A:$B,2,FALSE),VLOOKUP($A20,'SegEnds_NonXtal_Prot#'!$A:$AL,22,FALSE)+9,1)</f>
        <v>S</v>
      </c>
      <c r="AF20" s="49" t="str">
        <f>MID(VLOOKUP($A20,Seqs!$A:$B,2,FALSE),VLOOKUP($A20,'SegEnds_NonXtal_Prot#'!$A:$AL,22,FALSE)+10,1)</f>
        <v>I</v>
      </c>
      <c r="AG20" s="28" t="str">
        <f>MID(VLOOKUP($A20,Seqs!$A:$B,2,FALSE),VLOOKUP($A20,'SegEnds_NonXtal_Prot#'!$A:$AL,28,FALSE)-4,1)</f>
        <v>L</v>
      </c>
      <c r="AH20" s="49" t="str">
        <f>MID(VLOOKUP($A20,Seqs!$A:$B,2,FALSE),VLOOKUP($A20,'SegEnds_NonXtal_Prot#'!$A:$AL,28,FALSE),1)</f>
        <v>P</v>
      </c>
    </row>
    <row r="21" spans="1:34" s="2" customFormat="1" x14ac:dyDescent="0.2">
      <c r="A21" s="2" t="s">
        <v>132</v>
      </c>
      <c r="B21" s="2" t="str">
        <f>LOWER(VLOOKUP(A21,Xtal_Templ!A:B,2,FALSE))</f>
        <v>5ht2a_human</v>
      </c>
      <c r="C21" s="2" t="str">
        <f>VLOOKUP(A21,Classification!A:D,2,FALSE)</f>
        <v>A</v>
      </c>
      <c r="D21" s="2" t="str">
        <f>IF(ISERROR(MATCH(A21,'SegEnds_Xtal_Prot#'!B:B, 0)), "NoXtal", "Xtal")</f>
        <v>Xtal</v>
      </c>
      <c r="G21" s="2" t="s">
        <v>5</v>
      </c>
      <c r="H21" s="4"/>
      <c r="N21" s="2" t="s">
        <v>14</v>
      </c>
      <c r="R21" s="2" t="s">
        <v>9</v>
      </c>
      <c r="T21" s="4" t="s">
        <v>12</v>
      </c>
      <c r="V21" s="28" t="str">
        <f>MID(VLOOKUP($A21,Seqs!$A:$B,2,FALSE),VLOOKUP($A21,'SegEnds_NonXtal_Prot#'!A:AL,10,FALSE),1)</f>
        <v>D</v>
      </c>
      <c r="W21" s="49" t="str">
        <f>MID(VLOOKUP($A21,Seqs!$A:$B,2,FALSE),VLOOKUP($A21,'SegEnds_NonXtal_Prot#'!A:AL,10,FALSE)+6,1)</f>
        <v>L</v>
      </c>
      <c r="X21" s="49" t="str">
        <f>MID(VLOOKUP($A21,Seqs!$A:$B,2,FALSE),VLOOKUP($A21,'SegEnds_NonXtal_Prot#'!A:AL,10,FALSE)+7,1)</f>
        <v>V</v>
      </c>
      <c r="Y21" s="49" t="str">
        <f>MID(VLOOKUP($A21,Seqs!$A:$B,2,FALSE),VLOOKUP($A21,'SegEnds_NonXtal_Prot#'!A:AL,10,FALSE)+8,1)</f>
        <v>M</v>
      </c>
      <c r="Z21" s="49" t="str">
        <f>MID(VLOOKUP($A21,Seqs!$A:$B,2,FALSE),VLOOKUP($A21,'SegEnds_NonXtal_Prot#'!A:AL,10,FALSE)+9,1)</f>
        <v>P</v>
      </c>
      <c r="AA21" s="49" t="str">
        <f>MID(VLOOKUP($A21,Seqs!$A:$B,2,FALSE),VLOOKUP($A21,'SegEnds_NonXtal_Prot#'!A:AL,10,FALSE)+10,1)</f>
        <v>V</v>
      </c>
      <c r="AB21" s="28" t="str">
        <f>MID(VLOOKUP($A21,Seqs!$A:$B,2,FALSE),VLOOKUP($A21,'SegEnds_NonXtal_Prot#'!$A:$AL,22,FALSE)+6,1)</f>
        <v>I</v>
      </c>
      <c r="AC21" s="49" t="str">
        <f>MID(VLOOKUP($A21,Seqs!$A:$B,2,FALSE),VLOOKUP($A21,'SegEnds_NonXtal_Prot#'!$A:$AL,22,FALSE)+7,1)</f>
        <v>S</v>
      </c>
      <c r="AD21" s="49" t="str">
        <f>MID(VLOOKUP($A21,Seqs!$A:$B,2,FALSE),VLOOKUP($A21,'SegEnds_NonXtal_Prot#'!$A:$AL,22,FALSE)+8,1)</f>
        <v>M</v>
      </c>
      <c r="AE21" s="49" t="str">
        <f>MID(VLOOKUP($A21,Seqs!$A:$B,2,FALSE),VLOOKUP($A21,'SegEnds_NonXtal_Prot#'!$A:$AL,22,FALSE)+9,1)</f>
        <v>P</v>
      </c>
      <c r="AF21" s="49" t="str">
        <f>MID(VLOOKUP($A21,Seqs!$A:$B,2,FALSE),VLOOKUP($A21,'SegEnds_NonXtal_Prot#'!$A:$AL,22,FALSE)+10,1)</f>
        <v>I</v>
      </c>
      <c r="AG21" s="28" t="str">
        <f>MID(VLOOKUP($A21,Seqs!$A:$B,2,FALSE),VLOOKUP($A21,'SegEnds_NonXtal_Prot#'!$A:$AL,28,FALSE)-4,1)</f>
        <v>S</v>
      </c>
      <c r="AH21" s="49" t="str">
        <f>MID(VLOOKUP($A21,Seqs!$A:$B,2,FALSE),VLOOKUP($A21,'SegEnds_NonXtal_Prot#'!$A:$AL,28,FALSE),1)</f>
        <v>P</v>
      </c>
    </row>
    <row r="22" spans="1:34" s="2" customFormat="1" x14ac:dyDescent="0.2">
      <c r="A22" s="2" t="s">
        <v>35</v>
      </c>
      <c r="B22" s="2" t="str">
        <f>LOWER(VLOOKUP(A22,Xtal_Templ!A:B,2,FALSE))</f>
        <v>5ht2b_human</v>
      </c>
      <c r="C22" s="2" t="str">
        <f>VLOOKUP(A22,Classification!A:D,2,FALSE)</f>
        <v>A</v>
      </c>
      <c r="D22" s="2" t="str">
        <f>IF(ISERROR(MATCH(A22,'SegEnds_Xtal_Prot#'!B:B, 0)), "NoXtal", "Xtal")</f>
        <v>Xtal</v>
      </c>
      <c r="F22" s="2" t="s">
        <v>13</v>
      </c>
      <c r="G22" s="2" t="s">
        <v>5</v>
      </c>
      <c r="H22" s="4"/>
      <c r="N22" s="2" t="s">
        <v>14</v>
      </c>
      <c r="R22" s="2" t="s">
        <v>9</v>
      </c>
      <c r="T22" s="4" t="s">
        <v>12</v>
      </c>
      <c r="V22" s="28" t="str">
        <f>MID(VLOOKUP($A22,Seqs!$A:$B,2,FALSE),VLOOKUP($A22,'SegEnds_NonXtal_Prot#'!A:AL,10,FALSE),1)</f>
        <v>D</v>
      </c>
      <c r="W22" s="49" t="str">
        <f>MID(VLOOKUP($A22,Seqs!$A:$B,2,FALSE),VLOOKUP($A22,'SegEnds_NonXtal_Prot#'!A:AL,10,FALSE)+6,1)</f>
        <v>F</v>
      </c>
      <c r="X22" s="49" t="str">
        <f>MID(VLOOKUP($A22,Seqs!$A:$B,2,FALSE),VLOOKUP($A22,'SegEnds_NonXtal_Prot#'!A:AL,10,FALSE)+7,1)</f>
        <v>V</v>
      </c>
      <c r="Y22" s="49" t="str">
        <f>MID(VLOOKUP($A22,Seqs!$A:$B,2,FALSE),VLOOKUP($A22,'SegEnds_NonXtal_Prot#'!A:AL,10,FALSE)+8,1)</f>
        <v>M</v>
      </c>
      <c r="Z22" s="49" t="str">
        <f>MID(VLOOKUP($A22,Seqs!$A:$B,2,FALSE),VLOOKUP($A22,'SegEnds_NonXtal_Prot#'!A:AL,10,FALSE)+9,1)</f>
        <v>P</v>
      </c>
      <c r="AA22" s="49" t="str">
        <f>MID(VLOOKUP($A22,Seqs!$A:$B,2,FALSE),VLOOKUP($A22,'SegEnds_NonXtal_Prot#'!A:AL,10,FALSE)+10,1)</f>
        <v>I</v>
      </c>
      <c r="AB22" s="28" t="str">
        <f>MID(VLOOKUP($A22,Seqs!$A:$B,2,FALSE),VLOOKUP($A22,'SegEnds_NonXtal_Prot#'!$A:$AL,22,FALSE)+6,1)</f>
        <v>I</v>
      </c>
      <c r="AC22" s="49" t="str">
        <f>MID(VLOOKUP($A22,Seqs!$A:$B,2,FALSE),VLOOKUP($A22,'SegEnds_NonXtal_Prot#'!$A:$AL,22,FALSE)+7,1)</f>
        <v>A</v>
      </c>
      <c r="AD22" s="49" t="str">
        <f>MID(VLOOKUP($A22,Seqs!$A:$B,2,FALSE),VLOOKUP($A22,'SegEnds_NonXtal_Prot#'!$A:$AL,22,FALSE)+8,1)</f>
        <v>I</v>
      </c>
      <c r="AE22" s="49" t="str">
        <f>MID(VLOOKUP($A22,Seqs!$A:$B,2,FALSE),VLOOKUP($A22,'SegEnds_NonXtal_Prot#'!$A:$AL,22,FALSE)+9,1)</f>
        <v>P</v>
      </c>
      <c r="AF22" s="49" t="str">
        <f>MID(VLOOKUP($A22,Seqs!$A:$B,2,FALSE),VLOOKUP($A22,'SegEnds_NonXtal_Prot#'!$A:$AL,22,FALSE)+10,1)</f>
        <v>V</v>
      </c>
      <c r="AG22" s="28" t="str">
        <f>MID(VLOOKUP($A22,Seqs!$A:$B,2,FALSE),VLOOKUP($A22,'SegEnds_NonXtal_Prot#'!$A:$AL,28,FALSE)-4,1)</f>
        <v>A</v>
      </c>
      <c r="AH22" s="49" t="str">
        <f>MID(VLOOKUP($A22,Seqs!$A:$B,2,FALSE),VLOOKUP($A22,'SegEnds_NonXtal_Prot#'!$A:$AL,28,FALSE),1)</f>
        <v>P</v>
      </c>
    </row>
    <row r="23" spans="1:34" s="2" customFormat="1" x14ac:dyDescent="0.2">
      <c r="A23" s="2" t="s">
        <v>133</v>
      </c>
      <c r="B23" s="2" t="str">
        <f>LOWER(VLOOKUP(A23,Xtal_Templ!A:B,2,FALSE))</f>
        <v>5ht2c_human</v>
      </c>
      <c r="C23" s="2" t="str">
        <f>VLOOKUP(A23,Classification!A:D,2,FALSE)</f>
        <v>A</v>
      </c>
      <c r="D23" s="2" t="str">
        <f>IF(ISERROR(MATCH(A23,'SegEnds_Xtal_Prot#'!B:B, 0)), "NoXtal", "Xtal")</f>
        <v>Xtal</v>
      </c>
      <c r="E23" s="2" t="s">
        <v>1463</v>
      </c>
      <c r="G23" s="2" t="s">
        <v>5</v>
      </c>
      <c r="H23" s="4"/>
      <c r="N23" s="2" t="s">
        <v>14</v>
      </c>
      <c r="R23" s="2" t="s">
        <v>9</v>
      </c>
      <c r="T23" s="4" t="s">
        <v>12</v>
      </c>
      <c r="V23" s="28" t="str">
        <f>MID(VLOOKUP($A23,Seqs!$A:$B,2,FALSE),VLOOKUP($A23,'SegEnds_NonXtal_Prot#'!A:AL,10,FALSE),1)</f>
        <v>D</v>
      </c>
      <c r="W23" s="49" t="str">
        <f>MID(VLOOKUP($A23,Seqs!$A:$B,2,FALSE),VLOOKUP($A23,'SegEnds_NonXtal_Prot#'!A:AL,10,FALSE)+6,1)</f>
        <v>L</v>
      </c>
      <c r="X23" s="49" t="str">
        <f>MID(VLOOKUP($A23,Seqs!$A:$B,2,FALSE),VLOOKUP($A23,'SegEnds_NonXtal_Prot#'!A:AL,10,FALSE)+7,1)</f>
        <v>V</v>
      </c>
      <c r="Y23" s="49" t="str">
        <f>MID(VLOOKUP($A23,Seqs!$A:$B,2,FALSE),VLOOKUP($A23,'SegEnds_NonXtal_Prot#'!A:AL,10,FALSE)+8,1)</f>
        <v>M</v>
      </c>
      <c r="Z23" s="49" t="str">
        <f>MID(VLOOKUP($A23,Seqs!$A:$B,2,FALSE),VLOOKUP($A23,'SegEnds_NonXtal_Prot#'!A:AL,10,FALSE)+9,1)</f>
        <v>P</v>
      </c>
      <c r="AA23" s="49" t="str">
        <f>MID(VLOOKUP($A23,Seqs!$A:$B,2,FALSE),VLOOKUP($A23,'SegEnds_NonXtal_Prot#'!A:AL,10,FALSE)+10,1)</f>
        <v>L</v>
      </c>
      <c r="AB23" s="28" t="str">
        <f>MID(VLOOKUP($A23,Seqs!$A:$B,2,FALSE),VLOOKUP($A23,'SegEnds_NonXtal_Prot#'!$A:$AL,22,FALSE)+6,1)</f>
        <v>V</v>
      </c>
      <c r="AC23" s="49" t="str">
        <f>MID(VLOOKUP($A23,Seqs!$A:$B,2,FALSE),VLOOKUP($A23,'SegEnds_NonXtal_Prot#'!$A:$AL,22,FALSE)+7,1)</f>
        <v>S</v>
      </c>
      <c r="AD23" s="49" t="str">
        <f>MID(VLOOKUP($A23,Seqs!$A:$B,2,FALSE),VLOOKUP($A23,'SegEnds_NonXtal_Prot#'!$A:$AL,22,FALSE)+8,1)</f>
        <v>V</v>
      </c>
      <c r="AE23" s="49" t="str">
        <f>MID(VLOOKUP($A23,Seqs!$A:$B,2,FALSE),VLOOKUP($A23,'SegEnds_NonXtal_Prot#'!$A:$AL,22,FALSE)+9,1)</f>
        <v>P</v>
      </c>
      <c r="AF23" s="49" t="str">
        <f>MID(VLOOKUP($A23,Seqs!$A:$B,2,FALSE),VLOOKUP($A23,'SegEnds_NonXtal_Prot#'!$A:$AL,22,FALSE)+10,1)</f>
        <v>I</v>
      </c>
      <c r="AG23" s="28" t="str">
        <f>MID(VLOOKUP($A23,Seqs!$A:$B,2,FALSE),VLOOKUP($A23,'SegEnds_NonXtal_Prot#'!$A:$AL,28,FALSE)-4,1)</f>
        <v>A</v>
      </c>
      <c r="AH23" s="49" t="str">
        <f>MID(VLOOKUP($A23,Seqs!$A:$B,2,FALSE),VLOOKUP($A23,'SegEnds_NonXtal_Prot#'!$A:$AL,28,FALSE),1)</f>
        <v>P</v>
      </c>
    </row>
    <row r="24" spans="1:34" s="2" customFormat="1" x14ac:dyDescent="0.2">
      <c r="A24" s="2" t="s">
        <v>229</v>
      </c>
      <c r="B24" s="2" t="str">
        <f>LOWER(VLOOKUP(A24,Xtal_Templ!A:B,2,FALSE))</f>
        <v>5ht2a_human</v>
      </c>
      <c r="C24" s="2" t="str">
        <f>VLOOKUP(A24,Classification!A:D,2,FALSE)</f>
        <v>A</v>
      </c>
      <c r="D24" s="2" t="str">
        <f>IF(ISERROR(MATCH(A24,'SegEnds_Xtal_Prot#'!B:B, 0)), "NoXtal", "Xtal")</f>
        <v>NoXtal</v>
      </c>
      <c r="G24" s="2" t="s">
        <v>5</v>
      </c>
      <c r="H24" s="4"/>
      <c r="R24" s="2" t="s">
        <v>9</v>
      </c>
      <c r="T24" s="4" t="s">
        <v>12</v>
      </c>
      <c r="V24" s="28" t="str">
        <f>MID(VLOOKUP($A24,Seqs!$A:$B,2,FALSE),VLOOKUP($A24,'SegEnds_NonXtal_Prot#'!A:AL,10,FALSE),1)</f>
        <v>D</v>
      </c>
      <c r="W24" s="49" t="str">
        <f>MID(VLOOKUP($A24,Seqs!$A:$B,2,FALSE),VLOOKUP($A24,'SegEnds_NonXtal_Prot#'!A:AL,10,FALSE)+6,1)</f>
        <v>V</v>
      </c>
      <c r="X24" s="49" t="str">
        <f>MID(VLOOKUP($A24,Seqs!$A:$B,2,FALSE),VLOOKUP($A24,'SegEnds_NonXtal_Prot#'!A:AL,10,FALSE)+7,1)</f>
        <v>C</v>
      </c>
      <c r="Y24" s="49" t="str">
        <f>MID(VLOOKUP($A24,Seqs!$A:$B,2,FALSE),VLOOKUP($A24,'SegEnds_NonXtal_Prot#'!A:AL,10,FALSE)+8,1)</f>
        <v>F</v>
      </c>
      <c r="Z24" s="49" t="str">
        <f>MID(VLOOKUP($A24,Seqs!$A:$B,2,FALSE),VLOOKUP($A24,'SegEnds_NonXtal_Prot#'!A:AL,10,FALSE)+9,1)</f>
        <v>P</v>
      </c>
      <c r="AA24" s="49" t="str">
        <f>MID(VLOOKUP($A24,Seqs!$A:$B,2,FALSE),VLOOKUP($A24,'SegEnds_NonXtal_Prot#'!A:AL,10,FALSE)+10,1)</f>
        <v>F</v>
      </c>
      <c r="AB24" s="28" t="str">
        <f>MID(VLOOKUP($A24,Seqs!$A:$B,2,FALSE),VLOOKUP($A24,'SegEnds_NonXtal_Prot#'!$A:$AL,22,FALSE)+6,1)</f>
        <v>M</v>
      </c>
      <c r="AC24" s="49" t="str">
        <f>MID(VLOOKUP($A24,Seqs!$A:$B,2,FALSE),VLOOKUP($A24,'SegEnds_NonXtal_Prot#'!$A:$AL,22,FALSE)+7,1)</f>
        <v>A</v>
      </c>
      <c r="AD24" s="49" t="str">
        <f>MID(VLOOKUP($A24,Seqs!$A:$B,2,FALSE),VLOOKUP($A24,'SegEnds_NonXtal_Prot#'!$A:$AL,22,FALSE)+8,1)</f>
        <v>F</v>
      </c>
      <c r="AE24" s="49" t="str">
        <f>MID(VLOOKUP($A24,Seqs!$A:$B,2,FALSE),VLOOKUP($A24,'SegEnds_NonXtal_Prot#'!$A:$AL,22,FALSE)+9,1)</f>
        <v>P</v>
      </c>
      <c r="AF24" s="49" t="str">
        <f>MID(VLOOKUP($A24,Seqs!$A:$B,2,FALSE),VLOOKUP($A24,'SegEnds_NonXtal_Prot#'!$A:$AL,22,FALSE)+10,1)</f>
        <v>P</v>
      </c>
      <c r="AG24" s="28" t="str">
        <f>MID(VLOOKUP($A24,Seqs!$A:$B,2,FALSE),VLOOKUP($A24,'SegEnds_NonXtal_Prot#'!$A:$AL,28,FALSE)-4,1)</f>
        <v>T</v>
      </c>
      <c r="AH24" s="49" t="str">
        <f>MID(VLOOKUP($A24,Seqs!$A:$B,2,FALSE),VLOOKUP($A24,'SegEnds_NonXtal_Prot#'!$A:$AL,28,FALSE),1)</f>
        <v>P</v>
      </c>
    </row>
    <row r="25" spans="1:34" s="2" customFormat="1" x14ac:dyDescent="0.2">
      <c r="A25" s="2" t="s">
        <v>247</v>
      </c>
      <c r="B25" s="2" t="str">
        <f>LOWER(VLOOKUP(A25,Xtal_Templ!A:B,2,FALSE))</f>
        <v>ox1r_human</v>
      </c>
      <c r="C25" s="2" t="str">
        <f>VLOOKUP(A25,Classification!A:D,2,FALSE)</f>
        <v>A</v>
      </c>
      <c r="D25" s="2" t="str">
        <f>IF(ISERROR(MATCH(A25,'SegEnds_Xtal_Prot#'!B:B, 0)), "NoXtal", "Xtal")</f>
        <v>NoXtal</v>
      </c>
      <c r="G25" s="2" t="s">
        <v>5</v>
      </c>
      <c r="H25" s="4"/>
      <c r="T25" s="4" t="s">
        <v>12</v>
      </c>
      <c r="V25" s="28" t="str">
        <f>MID(VLOOKUP($A25,Seqs!$A:$B,2,FALSE),VLOOKUP($A25,'SegEnds_NonXtal_Prot#'!A:AL,10,FALSE),1)</f>
        <v>D</v>
      </c>
      <c r="W25" s="49" t="str">
        <f>MID(VLOOKUP($A25,Seqs!$A:$B,2,FALSE),VLOOKUP($A25,'SegEnds_NonXtal_Prot#'!A:AL,10,FALSE)+6,1)</f>
        <v>A</v>
      </c>
      <c r="X25" s="49" t="str">
        <f>MID(VLOOKUP($A25,Seqs!$A:$B,2,FALSE),VLOOKUP($A25,'SegEnds_NonXtal_Prot#'!A:AL,10,FALSE)+7,1)</f>
        <v>C</v>
      </c>
      <c r="Y25" s="49" t="str">
        <f>MID(VLOOKUP($A25,Seqs!$A:$B,2,FALSE),VLOOKUP($A25,'SegEnds_NonXtal_Prot#'!A:AL,10,FALSE)+8,1)</f>
        <v>L</v>
      </c>
      <c r="Z25" s="49" t="str">
        <f>MID(VLOOKUP($A25,Seqs!$A:$B,2,FALSE),VLOOKUP($A25,'SegEnds_NonXtal_Prot#'!A:AL,10,FALSE)+9,1)</f>
        <v>P</v>
      </c>
      <c r="AA25" s="49" t="str">
        <f>MID(VLOOKUP($A25,Seqs!$A:$B,2,FALSE),VLOOKUP($A25,'SegEnds_NonXtal_Prot#'!A:AL,10,FALSE)+10,1)</f>
        <v>A</v>
      </c>
      <c r="AB25" s="28" t="str">
        <f>MID(VLOOKUP($A25,Seqs!$A:$B,2,FALSE),VLOOKUP($A25,'SegEnds_NonXtal_Prot#'!$A:$AL,22,FALSE)+6,1)</f>
        <v>A</v>
      </c>
      <c r="AC25" s="49" t="str">
        <f>MID(VLOOKUP($A25,Seqs!$A:$B,2,FALSE),VLOOKUP($A25,'SegEnds_NonXtal_Prot#'!$A:$AL,22,FALSE)+7,1)</f>
        <v>A</v>
      </c>
      <c r="AD25" s="49" t="str">
        <f>MID(VLOOKUP($A25,Seqs!$A:$B,2,FALSE),VLOOKUP($A25,'SegEnds_NonXtal_Prot#'!$A:$AL,22,FALSE)+8,1)</f>
        <v>F</v>
      </c>
      <c r="AE25" s="49" t="str">
        <f>MID(VLOOKUP($A25,Seqs!$A:$B,2,FALSE),VLOOKUP($A25,'SegEnds_NonXtal_Prot#'!$A:$AL,22,FALSE)+9,1)</f>
        <v>P</v>
      </c>
      <c r="AF25" s="49" t="str">
        <f>MID(VLOOKUP($A25,Seqs!$A:$B,2,FALSE),VLOOKUP($A25,'SegEnds_NonXtal_Prot#'!$A:$AL,22,FALSE)+10,1)</f>
        <v>P</v>
      </c>
      <c r="AG25" s="28" t="str">
        <f>MID(VLOOKUP($A25,Seqs!$A:$B,2,FALSE),VLOOKUP($A25,'SegEnds_NonXtal_Prot#'!$A:$AL,28,FALSE)-4,1)</f>
        <v>G</v>
      </c>
      <c r="AH25" s="49" t="str">
        <f>MID(VLOOKUP($A25,Seqs!$A:$B,2,FALSE),VLOOKUP($A25,'SegEnds_NonXtal_Prot#'!$A:$AL,28,FALSE),1)</f>
        <v>L</v>
      </c>
    </row>
    <row r="26" spans="1:34" s="2" customFormat="1" x14ac:dyDescent="0.2">
      <c r="A26" s="2" t="s">
        <v>270</v>
      </c>
      <c r="B26" s="2" t="str">
        <f>LOWER(VLOOKUP(A26,Xtal_Templ!A:B,2,FALSE))</f>
        <v>5ht2c_human</v>
      </c>
      <c r="C26" s="2" t="str">
        <f>VLOOKUP(A26,Classification!A:D,2,FALSE)</f>
        <v>A</v>
      </c>
      <c r="D26" s="2" t="str">
        <f>IF(ISERROR(MATCH(A26,'SegEnds_Xtal_Prot#'!B:B, 0)), "NoXtal", "Xtal")</f>
        <v>NoXtal</v>
      </c>
      <c r="G26" s="2" t="s">
        <v>5</v>
      </c>
      <c r="H26" s="4"/>
      <c r="R26" s="2" t="s">
        <v>9</v>
      </c>
      <c r="T26" s="4" t="s">
        <v>12</v>
      </c>
      <c r="V26" s="28" t="str">
        <f>MID(VLOOKUP($A26,Seqs!$A:$B,2,FALSE),VLOOKUP($A26,'SegEnds_NonXtal_Prot#'!A:AL,10,FALSE),1)</f>
        <v>D</v>
      </c>
      <c r="W26" s="49" t="str">
        <f>MID(VLOOKUP($A26,Seqs!$A:$B,2,FALSE),VLOOKUP($A26,'SegEnds_NonXtal_Prot#'!A:AL,10,FALSE)+6,1)</f>
        <v>I</v>
      </c>
      <c r="X26" s="49" t="str">
        <f>MID(VLOOKUP($A26,Seqs!$A:$B,2,FALSE),VLOOKUP($A26,'SegEnds_NonXtal_Prot#'!A:AL,10,FALSE)+7,1)</f>
        <v>C</v>
      </c>
      <c r="Y26" s="49" t="str">
        <f>MID(VLOOKUP($A26,Seqs!$A:$B,2,FALSE),VLOOKUP($A26,'SegEnds_NonXtal_Prot#'!A:AL,10,FALSE)+8,1)</f>
        <v>F</v>
      </c>
      <c r="Z26" s="49" t="str">
        <f>MID(VLOOKUP($A26,Seqs!$A:$B,2,FALSE),VLOOKUP($A26,'SegEnds_NonXtal_Prot#'!A:AL,10,FALSE)+9,1)</f>
        <v>P</v>
      </c>
      <c r="AA26" s="49" t="str">
        <f>MID(VLOOKUP($A26,Seqs!$A:$B,2,FALSE),VLOOKUP($A26,'SegEnds_NonXtal_Prot#'!A:AL,10,FALSE)+10,1)</f>
        <v>F</v>
      </c>
      <c r="AB26" s="28" t="str">
        <f>MID(VLOOKUP($A26,Seqs!$A:$B,2,FALSE),VLOOKUP($A26,'SegEnds_NonXtal_Prot#'!$A:$AL,22,FALSE)+6,1)</f>
        <v>M</v>
      </c>
      <c r="AC26" s="49" t="str">
        <f>MID(VLOOKUP($A26,Seqs!$A:$B,2,FALSE),VLOOKUP($A26,'SegEnds_NonXtal_Prot#'!$A:$AL,22,FALSE)+7,1)</f>
        <v>A</v>
      </c>
      <c r="AD26" s="49" t="str">
        <f>MID(VLOOKUP($A26,Seqs!$A:$B,2,FALSE),VLOOKUP($A26,'SegEnds_NonXtal_Prot#'!$A:$AL,22,FALSE)+8,1)</f>
        <v>F</v>
      </c>
      <c r="AE26" s="49" t="str">
        <f>MID(VLOOKUP($A26,Seqs!$A:$B,2,FALSE),VLOOKUP($A26,'SegEnds_NonXtal_Prot#'!$A:$AL,22,FALSE)+9,1)</f>
        <v>P</v>
      </c>
      <c r="AF26" s="49" t="str">
        <f>MID(VLOOKUP($A26,Seqs!$A:$B,2,FALSE),VLOOKUP($A26,'SegEnds_NonXtal_Prot#'!$A:$AL,22,FALSE)+10,1)</f>
        <v>P</v>
      </c>
      <c r="AG26" s="28" t="str">
        <f>MID(VLOOKUP($A26,Seqs!$A:$B,2,FALSE),VLOOKUP($A26,'SegEnds_NonXtal_Prot#'!$A:$AL,28,FALSE)-4,1)</f>
        <v>T</v>
      </c>
      <c r="AH26" s="49" t="str">
        <f>MID(VLOOKUP($A26,Seqs!$A:$B,2,FALSE),VLOOKUP($A26,'SegEnds_NonXtal_Prot#'!$A:$AL,28,FALSE),1)</f>
        <v>P</v>
      </c>
    </row>
    <row r="27" spans="1:34" s="2" customFormat="1" x14ac:dyDescent="0.2">
      <c r="A27" s="2" t="s">
        <v>138</v>
      </c>
      <c r="B27" s="2" t="str">
        <f>LOWER(VLOOKUP(A27,Xtal_Templ!A:B,2,FALSE))</f>
        <v>aa1r_human</v>
      </c>
      <c r="C27" s="2" t="str">
        <f>VLOOKUP(A27,Classification!A:D,2,FALSE)</f>
        <v>A</v>
      </c>
      <c r="D27" s="2" t="str">
        <f>IF(ISERROR(MATCH(A27,'SegEnds_Xtal_Prot#'!B:B, 0)), "NoXtal", "Xtal")</f>
        <v>Xtal</v>
      </c>
      <c r="G27" s="2" t="s">
        <v>5</v>
      </c>
      <c r="H27" s="4"/>
      <c r="O27" s="2" t="s">
        <v>1313</v>
      </c>
      <c r="R27" s="2" t="s">
        <v>9</v>
      </c>
      <c r="T27" s="4" t="s">
        <v>12</v>
      </c>
      <c r="V27" s="28" t="str">
        <f>MID(VLOOKUP($A27,Seqs!$A:$B,2,FALSE),VLOOKUP($A27,'SegEnds_NonXtal_Prot#'!A:AL,10,FALSE),1)</f>
        <v>D</v>
      </c>
      <c r="W27" s="49" t="str">
        <f>MID(VLOOKUP($A27,Seqs!$A:$B,2,FALSE),VLOOKUP($A27,'SegEnds_NonXtal_Prot#'!A:AL,10,FALSE)+6,1)</f>
        <v>L</v>
      </c>
      <c r="X27" s="49" t="str">
        <f>MID(VLOOKUP($A27,Seqs!$A:$B,2,FALSE),VLOOKUP($A27,'SegEnds_NonXtal_Prot#'!A:AL,10,FALSE)+7,1)</f>
        <v>V</v>
      </c>
      <c r="Y27" s="49" t="str">
        <f>MID(VLOOKUP($A27,Seqs!$A:$B,2,FALSE),VLOOKUP($A27,'SegEnds_NonXtal_Prot#'!A:AL,10,FALSE)+8,1)</f>
        <v>I</v>
      </c>
      <c r="Z27" s="49" t="str">
        <f>MID(VLOOKUP($A27,Seqs!$A:$B,2,FALSE),VLOOKUP($A27,'SegEnds_NonXtal_Prot#'!A:AL,10,FALSE)+9,1)</f>
        <v>P</v>
      </c>
      <c r="AA27" s="49" t="str">
        <f>MID(VLOOKUP($A27,Seqs!$A:$B,2,FALSE),VLOOKUP($A27,'SegEnds_NonXtal_Prot#'!A:AL,10,FALSE)+10,1)</f>
        <v>L</v>
      </c>
      <c r="AB27" s="28" t="str">
        <f>MID(VLOOKUP($A27,Seqs!$A:$B,2,FALSE),VLOOKUP($A27,'SegEnds_NonXtal_Prot#'!$A:$AL,22,FALSE)+6,1)</f>
        <v>V</v>
      </c>
      <c r="AC27" s="49" t="str">
        <f>MID(VLOOKUP($A27,Seqs!$A:$B,2,FALSE),VLOOKUP($A27,'SegEnds_NonXtal_Prot#'!$A:$AL,22,FALSE)+7,1)</f>
        <v>G</v>
      </c>
      <c r="AD27" s="49" t="str">
        <f>MID(VLOOKUP($A27,Seqs!$A:$B,2,FALSE),VLOOKUP($A27,'SegEnds_NonXtal_Prot#'!$A:$AL,22,FALSE)+8,1)</f>
        <v>L</v>
      </c>
      <c r="AE27" s="49" t="str">
        <f>MID(VLOOKUP($A27,Seqs!$A:$B,2,FALSE),VLOOKUP($A27,'SegEnds_NonXtal_Prot#'!$A:$AL,22,FALSE)+9,1)</f>
        <v>T</v>
      </c>
      <c r="AF27" s="49" t="str">
        <f>MID(VLOOKUP($A27,Seqs!$A:$B,2,FALSE),VLOOKUP($A27,'SegEnds_NonXtal_Prot#'!$A:$AL,22,FALSE)+10,1)</f>
        <v>P</v>
      </c>
      <c r="AG27" s="28" t="str">
        <f>MID(VLOOKUP($A27,Seqs!$A:$B,2,FALSE),VLOOKUP($A27,'SegEnds_NonXtal_Prot#'!$A:$AL,28,FALSE)-4,1)</f>
        <v>W</v>
      </c>
      <c r="AH27" s="49" t="str">
        <f>MID(VLOOKUP($A27,Seqs!$A:$B,2,FALSE),VLOOKUP($A27,'SegEnds_NonXtal_Prot#'!$A:$AL,28,FALSE),1)</f>
        <v>P</v>
      </c>
    </row>
    <row r="28" spans="1:34" s="2" customFormat="1" x14ac:dyDescent="0.2">
      <c r="A28" s="2" t="s">
        <v>139</v>
      </c>
      <c r="B28" s="2" t="str">
        <f>LOWER(VLOOKUP(A28,Xtal_Templ!A:B,2,FALSE))</f>
        <v>aa2ar_human</v>
      </c>
      <c r="C28" s="2" t="str">
        <f>VLOOKUP(A28,Classification!A:D,2,FALSE)</f>
        <v>A</v>
      </c>
      <c r="D28" s="2" t="str">
        <f>IF(ISERROR(MATCH(A28,'SegEnds_Xtal_Prot#'!B:B, 0)), "NoXtal", "Xtal")</f>
        <v>Xtal</v>
      </c>
      <c r="G28" s="2" t="s">
        <v>5</v>
      </c>
      <c r="H28" s="4"/>
      <c r="O28" s="2" t="s">
        <v>1313</v>
      </c>
      <c r="R28" s="2" t="s">
        <v>9</v>
      </c>
      <c r="T28" s="4" t="s">
        <v>12</v>
      </c>
      <c r="V28" s="28" t="str">
        <f>MID(VLOOKUP($A28,Seqs!$A:$B,2,FALSE),VLOOKUP($A28,'SegEnds_NonXtal_Prot#'!A:AL,10,FALSE),1)</f>
        <v>D</v>
      </c>
      <c r="W28" s="49" t="str">
        <f>MID(VLOOKUP($A28,Seqs!$A:$B,2,FALSE),VLOOKUP($A28,'SegEnds_NonXtal_Prot#'!A:AL,10,FALSE)+6,1)</f>
        <v>L</v>
      </c>
      <c r="X28" s="49" t="str">
        <f>MID(VLOOKUP($A28,Seqs!$A:$B,2,FALSE),VLOOKUP($A28,'SegEnds_NonXtal_Prot#'!A:AL,10,FALSE)+7,1)</f>
        <v>A</v>
      </c>
      <c r="Y28" s="49" t="str">
        <f>MID(VLOOKUP($A28,Seqs!$A:$B,2,FALSE),VLOOKUP($A28,'SegEnds_NonXtal_Prot#'!A:AL,10,FALSE)+8,1)</f>
        <v>I</v>
      </c>
      <c r="Z28" s="49" t="str">
        <f>MID(VLOOKUP($A28,Seqs!$A:$B,2,FALSE),VLOOKUP($A28,'SegEnds_NonXtal_Prot#'!A:AL,10,FALSE)+9,1)</f>
        <v>P</v>
      </c>
      <c r="AA28" s="49" t="str">
        <f>MID(VLOOKUP($A28,Seqs!$A:$B,2,FALSE),VLOOKUP($A28,'SegEnds_NonXtal_Prot#'!A:AL,10,FALSE)+10,1)</f>
        <v>F</v>
      </c>
      <c r="AB28" s="28" t="str">
        <f>MID(VLOOKUP($A28,Seqs!$A:$B,2,FALSE),VLOOKUP($A28,'SegEnds_NonXtal_Prot#'!$A:$AL,22,FALSE)+6,1)</f>
        <v>I</v>
      </c>
      <c r="AC28" s="49" t="str">
        <f>MID(VLOOKUP($A28,Seqs!$A:$B,2,FALSE),VLOOKUP($A28,'SegEnds_NonXtal_Prot#'!$A:$AL,22,FALSE)+7,1)</f>
        <v>G</v>
      </c>
      <c r="AD28" s="49" t="str">
        <f>MID(VLOOKUP($A28,Seqs!$A:$B,2,FALSE),VLOOKUP($A28,'SegEnds_NonXtal_Prot#'!$A:$AL,22,FALSE)+8,1)</f>
        <v>L</v>
      </c>
      <c r="AE28" s="49" t="str">
        <f>MID(VLOOKUP($A28,Seqs!$A:$B,2,FALSE),VLOOKUP($A28,'SegEnds_NonXtal_Prot#'!$A:$AL,22,FALSE)+9,1)</f>
        <v>T</v>
      </c>
      <c r="AF28" s="49" t="str">
        <f>MID(VLOOKUP($A28,Seqs!$A:$B,2,FALSE),VLOOKUP($A28,'SegEnds_NonXtal_Prot#'!$A:$AL,22,FALSE)+10,1)</f>
        <v>P</v>
      </c>
      <c r="AG28" s="28" t="str">
        <f>MID(VLOOKUP($A28,Seqs!$A:$B,2,FALSE),VLOOKUP($A28,'SegEnds_NonXtal_Prot#'!$A:$AL,28,FALSE)-4,1)</f>
        <v>C</v>
      </c>
      <c r="AH28" s="49" t="str">
        <f>MID(VLOOKUP($A28,Seqs!$A:$B,2,FALSE),VLOOKUP($A28,'SegEnds_NonXtal_Prot#'!$A:$AL,28,FALSE),1)</f>
        <v>P</v>
      </c>
    </row>
    <row r="29" spans="1:34" s="2" customFormat="1" x14ac:dyDescent="0.2">
      <c r="A29" s="2" t="s">
        <v>140</v>
      </c>
      <c r="B29" s="2" t="str">
        <f>LOWER(VLOOKUP(A29,Xtal_Templ!A:B,2,FALSE))</f>
        <v>aa2ar_human</v>
      </c>
      <c r="C29" s="2" t="str">
        <f>VLOOKUP(A29,Classification!A:D,2,FALSE)</f>
        <v>A</v>
      </c>
      <c r="D29" s="2" t="str">
        <f>IF(ISERROR(MATCH(A29,'SegEnds_Xtal_Prot#'!B:B, 0)), "NoXtal", "Xtal")</f>
        <v>NoXtal</v>
      </c>
      <c r="G29" s="2" t="s">
        <v>5</v>
      </c>
      <c r="H29" s="4"/>
      <c r="O29" s="2" t="s">
        <v>1313</v>
      </c>
      <c r="R29" s="2" t="s">
        <v>9</v>
      </c>
      <c r="T29" s="4" t="s">
        <v>12</v>
      </c>
      <c r="V29" s="28" t="str">
        <f>MID(VLOOKUP($A29,Seqs!$A:$B,2,FALSE),VLOOKUP($A29,'SegEnds_NonXtal_Prot#'!A:AL,10,FALSE),1)</f>
        <v>D</v>
      </c>
      <c r="W29" s="49" t="str">
        <f>MID(VLOOKUP($A29,Seqs!$A:$B,2,FALSE),VLOOKUP($A29,'SegEnds_NonXtal_Prot#'!A:AL,10,FALSE)+6,1)</f>
        <v>F</v>
      </c>
      <c r="X29" s="49" t="str">
        <f>MID(VLOOKUP($A29,Seqs!$A:$B,2,FALSE),VLOOKUP($A29,'SegEnds_NonXtal_Prot#'!A:AL,10,FALSE)+7,1)</f>
        <v>A</v>
      </c>
      <c r="Y29" s="49" t="str">
        <f>MID(VLOOKUP($A29,Seqs!$A:$B,2,FALSE),VLOOKUP($A29,'SegEnds_NonXtal_Prot#'!A:AL,10,FALSE)+8,1)</f>
        <v>I</v>
      </c>
      <c r="Z29" s="49" t="str">
        <f>MID(VLOOKUP($A29,Seqs!$A:$B,2,FALSE),VLOOKUP($A29,'SegEnds_NonXtal_Prot#'!A:AL,10,FALSE)+9,1)</f>
        <v>P</v>
      </c>
      <c r="AA29" s="49" t="str">
        <f>MID(VLOOKUP($A29,Seqs!$A:$B,2,FALSE),VLOOKUP($A29,'SegEnds_NonXtal_Prot#'!A:AL,10,FALSE)+10,1)</f>
        <v>F</v>
      </c>
      <c r="AB29" s="28" t="str">
        <f>MID(VLOOKUP($A29,Seqs!$A:$B,2,FALSE),VLOOKUP($A29,'SegEnds_NonXtal_Prot#'!$A:$AL,22,FALSE)+6,1)</f>
        <v>I</v>
      </c>
      <c r="AC29" s="49" t="str">
        <f>MID(VLOOKUP($A29,Seqs!$A:$B,2,FALSE),VLOOKUP($A29,'SegEnds_NonXtal_Prot#'!$A:$AL,22,FALSE)+7,1)</f>
        <v>G</v>
      </c>
      <c r="AD29" s="49" t="str">
        <f>MID(VLOOKUP($A29,Seqs!$A:$B,2,FALSE),VLOOKUP($A29,'SegEnds_NonXtal_Prot#'!$A:$AL,22,FALSE)+8,1)</f>
        <v>L</v>
      </c>
      <c r="AE29" s="49" t="str">
        <f>MID(VLOOKUP($A29,Seqs!$A:$B,2,FALSE),VLOOKUP($A29,'SegEnds_NonXtal_Prot#'!$A:$AL,22,FALSE)+9,1)</f>
        <v>T</v>
      </c>
      <c r="AF29" s="49" t="str">
        <f>MID(VLOOKUP($A29,Seqs!$A:$B,2,FALSE),VLOOKUP($A29,'SegEnds_NonXtal_Prot#'!$A:$AL,22,FALSE)+10,1)</f>
        <v>P</v>
      </c>
      <c r="AG29" s="28" t="str">
        <f>MID(VLOOKUP($A29,Seqs!$A:$B,2,FALSE),VLOOKUP($A29,'SegEnds_NonXtal_Prot#'!$A:$AL,28,FALSE)-4,1)</f>
        <v>C</v>
      </c>
      <c r="AH29" s="49" t="str">
        <f>MID(VLOOKUP($A29,Seqs!$A:$B,2,FALSE),VLOOKUP($A29,'SegEnds_NonXtal_Prot#'!$A:$AL,28,FALSE),1)</f>
        <v>P</v>
      </c>
    </row>
    <row r="30" spans="1:34" s="2" customFormat="1" x14ac:dyDescent="0.2">
      <c r="A30" s="2" t="s">
        <v>141</v>
      </c>
      <c r="B30" s="2" t="str">
        <f>LOWER(VLOOKUP(A30,Xtal_Templ!A:B,2,FALSE))</f>
        <v>aa1r_human</v>
      </c>
      <c r="C30" s="2" t="str">
        <f>VLOOKUP(A30,Classification!A:D,2,FALSE)</f>
        <v>A</v>
      </c>
      <c r="D30" s="2" t="str">
        <f>IF(ISERROR(MATCH(A30,'SegEnds_Xtal_Prot#'!B:B, 0)), "NoXtal", "Xtal")</f>
        <v>NoXtal</v>
      </c>
      <c r="G30" s="2" t="s">
        <v>5</v>
      </c>
      <c r="H30" s="4"/>
      <c r="O30" s="2" t="s">
        <v>1313</v>
      </c>
      <c r="R30" s="2" t="s">
        <v>9</v>
      </c>
      <c r="T30" s="4" t="s">
        <v>12</v>
      </c>
      <c r="V30" s="28" t="str">
        <f>MID(VLOOKUP($A30,Seqs!$A:$B,2,FALSE),VLOOKUP($A30,'SegEnds_NonXtal_Prot#'!A:AL,10,FALSE),1)</f>
        <v>D</v>
      </c>
      <c r="W30" s="49" t="str">
        <f>MID(VLOOKUP($A30,Seqs!$A:$B,2,FALSE),VLOOKUP($A30,'SegEnds_NonXtal_Prot#'!A:AL,10,FALSE)+6,1)</f>
        <v>L</v>
      </c>
      <c r="X30" s="49" t="str">
        <f>MID(VLOOKUP($A30,Seqs!$A:$B,2,FALSE),VLOOKUP($A30,'SegEnds_NonXtal_Prot#'!A:AL,10,FALSE)+7,1)</f>
        <v>V</v>
      </c>
      <c r="Y30" s="49" t="str">
        <f>MID(VLOOKUP($A30,Seqs!$A:$B,2,FALSE),VLOOKUP($A30,'SegEnds_NonXtal_Prot#'!A:AL,10,FALSE)+8,1)</f>
        <v>M</v>
      </c>
      <c r="Z30" s="49" t="str">
        <f>MID(VLOOKUP($A30,Seqs!$A:$B,2,FALSE),VLOOKUP($A30,'SegEnds_NonXtal_Prot#'!A:AL,10,FALSE)+9,1)</f>
        <v>P</v>
      </c>
      <c r="AA30" s="49" t="str">
        <f>MID(VLOOKUP($A30,Seqs!$A:$B,2,FALSE),VLOOKUP($A30,'SegEnds_NonXtal_Prot#'!A:AL,10,FALSE)+10,1)</f>
        <v>L</v>
      </c>
      <c r="AB30" s="28" t="str">
        <f>MID(VLOOKUP($A30,Seqs!$A:$B,2,FALSE),VLOOKUP($A30,'SegEnds_NonXtal_Prot#'!$A:$AL,22,FALSE)+6,1)</f>
        <v>V</v>
      </c>
      <c r="AC30" s="49" t="str">
        <f>MID(VLOOKUP($A30,Seqs!$A:$B,2,FALSE),VLOOKUP($A30,'SegEnds_NonXtal_Prot#'!$A:$AL,22,FALSE)+7,1)</f>
        <v>G</v>
      </c>
      <c r="AD30" s="49" t="str">
        <f>MID(VLOOKUP($A30,Seqs!$A:$B,2,FALSE),VLOOKUP($A30,'SegEnds_NonXtal_Prot#'!$A:$AL,22,FALSE)+8,1)</f>
        <v>L</v>
      </c>
      <c r="AE30" s="49" t="str">
        <f>MID(VLOOKUP($A30,Seqs!$A:$B,2,FALSE),VLOOKUP($A30,'SegEnds_NonXtal_Prot#'!$A:$AL,22,FALSE)+9,1)</f>
        <v>T</v>
      </c>
      <c r="AF30" s="49" t="str">
        <f>MID(VLOOKUP($A30,Seqs!$A:$B,2,FALSE),VLOOKUP($A30,'SegEnds_NonXtal_Prot#'!$A:$AL,22,FALSE)+10,1)</f>
        <v>P</v>
      </c>
      <c r="AG30" s="28" t="str">
        <f>MID(VLOOKUP($A30,Seqs!$A:$B,2,FALSE),VLOOKUP($A30,'SegEnds_NonXtal_Prot#'!$A:$AL,28,FALSE)-4,1)</f>
        <v>W</v>
      </c>
      <c r="AH30" s="49" t="str">
        <f>MID(VLOOKUP($A30,Seqs!$A:$B,2,FALSE),VLOOKUP($A30,'SegEnds_NonXtal_Prot#'!$A:$AL,28,FALSE),1)</f>
        <v>P</v>
      </c>
    </row>
    <row r="31" spans="1:34" s="2" customFormat="1" x14ac:dyDescent="0.2">
      <c r="A31" s="2" t="s">
        <v>203</v>
      </c>
      <c r="B31" s="2" t="str">
        <f>LOWER(VLOOKUP(A31,Xtal_Templ!A:B,2,FALSE))</f>
        <v>aa2ar_human</v>
      </c>
      <c r="C31" s="2" t="str">
        <f>VLOOKUP(A31,Classification!A:D,2,FALSE)</f>
        <v>A</v>
      </c>
      <c r="D31" s="2" t="str">
        <f>IF(ISERROR(MATCH(A31,'SegEnds_Xtal_Prot#'!B:B, 0)), "NoXtal", "Xtal")</f>
        <v>NoXtal</v>
      </c>
      <c r="H31" s="4"/>
      <c r="T31" s="4" t="s">
        <v>12</v>
      </c>
      <c r="V31" s="28" t="str">
        <f>MID(VLOOKUP($A31,Seqs!$A:$B,2,FALSE),VLOOKUP($A31,'SegEnds_NonXtal_Prot#'!A:AL,10,FALSE),1)</f>
        <v>D</v>
      </c>
      <c r="W31" s="49" t="str">
        <f>MID(VLOOKUP($A31,Seqs!$A:$B,2,FALSE),VLOOKUP($A31,'SegEnds_NonXtal_Prot#'!A:AL,10,FALSE)+6,1)</f>
        <v>Y</v>
      </c>
      <c r="X31" s="49" t="str">
        <f>MID(VLOOKUP($A31,Seqs!$A:$B,2,FALSE),VLOOKUP($A31,'SegEnds_NonXtal_Prot#'!A:AL,10,FALSE)+7,1)</f>
        <v>L</v>
      </c>
      <c r="Y31" s="49" t="str">
        <f>MID(VLOOKUP($A31,Seqs!$A:$B,2,FALSE),VLOOKUP($A31,'SegEnds_NonXtal_Prot#'!A:AL,10,FALSE)+8,1)</f>
        <v>L</v>
      </c>
      <c r="Z31" s="49" t="str">
        <f>MID(VLOOKUP($A31,Seqs!$A:$B,2,FALSE),VLOOKUP($A31,'SegEnds_NonXtal_Prot#'!A:AL,10,FALSE)+9,1)</f>
        <v>L</v>
      </c>
      <c r="AA31" s="49" t="str">
        <f>MID(VLOOKUP($A31,Seqs!$A:$B,2,FALSE),VLOOKUP($A31,'SegEnds_NonXtal_Prot#'!A:AL,10,FALSE)+10,1)</f>
        <v>I</v>
      </c>
      <c r="AB31" s="28" t="str">
        <f>MID(VLOOKUP($A31,Seqs!$A:$B,2,FALSE),VLOOKUP($A31,'SegEnds_NonXtal_Prot#'!$A:$AL,22,FALSE)+6,1)</f>
        <v>A</v>
      </c>
      <c r="AC31" s="49" t="str">
        <f>MID(VLOOKUP($A31,Seqs!$A:$B,2,FALSE),VLOOKUP($A31,'SegEnds_NonXtal_Prot#'!$A:$AL,22,FALSE)+7,1)</f>
        <v>A</v>
      </c>
      <c r="AD31" s="49" t="str">
        <f>MID(VLOOKUP($A31,Seqs!$A:$B,2,FALSE),VLOOKUP($A31,'SegEnds_NonXtal_Prot#'!$A:$AL,22,FALSE)+8,1)</f>
        <v>L</v>
      </c>
      <c r="AE31" s="49" t="str">
        <f>MID(VLOOKUP($A31,Seqs!$A:$B,2,FALSE),VLOOKUP($A31,'SegEnds_NonXtal_Prot#'!$A:$AL,22,FALSE)+9,1)</f>
        <v>F</v>
      </c>
      <c r="AF31" s="49" t="str">
        <f>MID(VLOOKUP($A31,Seqs!$A:$B,2,FALSE),VLOOKUP($A31,'SegEnds_NonXtal_Prot#'!$A:$AL,22,FALSE)+10,1)</f>
        <v>P</v>
      </c>
      <c r="AG31" s="28" t="str">
        <f>MID(VLOOKUP($A31,Seqs!$A:$B,2,FALSE),VLOOKUP($A31,'SegEnds_NonXtal_Prot#'!$A:$AL,28,FALSE)-4,1)</f>
        <v>L</v>
      </c>
      <c r="AH31" s="49" t="str">
        <f>MID(VLOOKUP($A31,Seqs!$A:$B,2,FALSE),VLOOKUP($A31,'SegEnds_NonXtal_Prot#'!$A:$AL,28,FALSE),1)</f>
        <v>A</v>
      </c>
    </row>
    <row r="32" spans="1:34" s="2" customFormat="1" x14ac:dyDescent="0.2">
      <c r="A32" s="2" t="s">
        <v>283</v>
      </c>
      <c r="B32" s="2" t="str">
        <f>LOWER(VLOOKUP(A32,Xtal_Templ!A:B,2,FALSE))</f>
        <v>aa2ar_human</v>
      </c>
      <c r="C32" s="2" t="str">
        <f>VLOOKUP(A32,Classification!A:D,2,FALSE)</f>
        <v>A</v>
      </c>
      <c r="D32" s="2" t="str">
        <f>IF(ISERROR(MATCH(A32,'SegEnds_Xtal_Prot#'!B:B, 0)), "NoXtal", "Xtal")</f>
        <v>NoXtal</v>
      </c>
      <c r="H32" s="4"/>
      <c r="T32" s="4" t="s">
        <v>12</v>
      </c>
      <c r="V32" s="28" t="str">
        <f>MID(VLOOKUP($A32,Seqs!$A:$B,2,FALSE),VLOOKUP($A32,'SegEnds_NonXtal_Prot#'!A:AL,10,FALSE),1)</f>
        <v>N</v>
      </c>
      <c r="W32" s="49" t="str">
        <f>MID(VLOOKUP($A32,Seqs!$A:$B,2,FALSE),VLOOKUP($A32,'SegEnds_NonXtal_Prot#'!A:AL,10,FALSE)+6,1)</f>
        <v>S</v>
      </c>
      <c r="X32" s="49" t="str">
        <f>MID(VLOOKUP($A32,Seqs!$A:$B,2,FALSE),VLOOKUP($A32,'SegEnds_NonXtal_Prot#'!A:AL,10,FALSE)+7,1)</f>
        <v>S</v>
      </c>
      <c r="Y32" s="49" t="str">
        <f>MID(VLOOKUP($A32,Seqs!$A:$B,2,FALSE),VLOOKUP($A32,'SegEnds_NonXtal_Prot#'!A:AL,10,FALSE)+8,1)</f>
        <v>A</v>
      </c>
      <c r="Z32" s="49" t="str">
        <f>MID(VLOOKUP($A32,Seqs!$A:$B,2,FALSE),VLOOKUP($A32,'SegEnds_NonXtal_Prot#'!A:AL,10,FALSE)+9,1)</f>
        <v>V</v>
      </c>
      <c r="AA32" s="49" t="str">
        <f>MID(VLOOKUP($A32,Seqs!$A:$B,2,FALSE),VLOOKUP($A32,'SegEnds_NonXtal_Prot#'!A:AL,10,FALSE)+10,1)</f>
        <v>L</v>
      </c>
      <c r="AB32" s="28" t="str">
        <f>MID(VLOOKUP($A32,Seqs!$A:$B,2,FALSE),VLOOKUP($A32,'SegEnds_NonXtal_Prot#'!$A:$AL,22,FALSE)+6,1)</f>
        <v>M</v>
      </c>
      <c r="AC32" s="49" t="str">
        <f>MID(VLOOKUP($A32,Seqs!$A:$B,2,FALSE),VLOOKUP($A32,'SegEnds_NonXtal_Prot#'!$A:$AL,22,FALSE)+7,1)</f>
        <v>A</v>
      </c>
      <c r="AD32" s="49" t="str">
        <f>MID(VLOOKUP($A32,Seqs!$A:$B,2,FALSE),VLOOKUP($A32,'SegEnds_NonXtal_Prot#'!$A:$AL,22,FALSE)+8,1)</f>
        <v>A</v>
      </c>
      <c r="AE32" s="49" t="str">
        <f>MID(VLOOKUP($A32,Seqs!$A:$B,2,FALSE),VLOOKUP($A32,'SegEnds_NonXtal_Prot#'!$A:$AL,22,FALSE)+9,1)</f>
        <v>V</v>
      </c>
      <c r="AF32" s="49" t="str">
        <f>MID(VLOOKUP($A32,Seqs!$A:$B,2,FALSE),VLOOKUP($A32,'SegEnds_NonXtal_Prot#'!$A:$AL,22,FALSE)+10,1)</f>
        <v>P</v>
      </c>
      <c r="AG32" s="28" t="str">
        <f>MID(VLOOKUP($A32,Seqs!$A:$B,2,FALSE),VLOOKUP($A32,'SegEnds_NonXtal_Prot#'!$A:$AL,28,FALSE)-4,1)</f>
        <v>L</v>
      </c>
      <c r="AH32" s="49" t="str">
        <f>MID(VLOOKUP($A32,Seqs!$A:$B,2,FALSE),VLOOKUP($A32,'SegEnds_NonXtal_Prot#'!$A:$AL,28,FALSE),1)</f>
        <v>C</v>
      </c>
    </row>
    <row r="33" spans="1:34" s="2" customFormat="1" x14ac:dyDescent="0.2">
      <c r="A33" s="2" t="s">
        <v>290</v>
      </c>
      <c r="B33" s="2" t="str">
        <f>LOWER(VLOOKUP(A33,Xtal_Templ!A:B,2,FALSE))</f>
        <v>hrh1_human</v>
      </c>
      <c r="C33" s="2" t="str">
        <f>VLOOKUP(A33,Classification!A:D,2,FALSE)</f>
        <v>A</v>
      </c>
      <c r="D33" s="2" t="str">
        <f>IF(ISERROR(MATCH(A33,'SegEnds_Xtal_Prot#'!B:B, 0)), "NoXtal", "Xtal")</f>
        <v>NoXtal</v>
      </c>
      <c r="H33" s="4"/>
      <c r="T33" s="4" t="s">
        <v>12</v>
      </c>
      <c r="V33" s="28" t="str">
        <f>MID(VLOOKUP($A33,Seqs!$A:$B,2,FALSE),VLOOKUP($A33,'SegEnds_NonXtal_Prot#'!A:AL,10,FALSE),1)</f>
        <v>D</v>
      </c>
      <c r="W33" s="49" t="str">
        <f>MID(VLOOKUP($A33,Seqs!$A:$B,2,FALSE),VLOOKUP($A33,'SegEnds_NonXtal_Prot#'!A:AL,10,FALSE)+6,1)</f>
        <v>Y</v>
      </c>
      <c r="X33" s="49" t="str">
        <f>MID(VLOOKUP($A33,Seqs!$A:$B,2,FALSE),VLOOKUP($A33,'SegEnds_NonXtal_Prot#'!A:AL,10,FALSE)+7,1)</f>
        <v>L</v>
      </c>
      <c r="Y33" s="49" t="str">
        <f>MID(VLOOKUP($A33,Seqs!$A:$B,2,FALSE),VLOOKUP($A33,'SegEnds_NonXtal_Prot#'!A:AL,10,FALSE)+8,1)</f>
        <v>L</v>
      </c>
      <c r="Z33" s="49" t="str">
        <f>MID(VLOOKUP($A33,Seqs!$A:$B,2,FALSE),VLOOKUP($A33,'SegEnds_NonXtal_Prot#'!A:AL,10,FALSE)+9,1)</f>
        <v>L</v>
      </c>
      <c r="AA33" s="49" t="str">
        <f>MID(VLOOKUP($A33,Seqs!$A:$B,2,FALSE),VLOOKUP($A33,'SegEnds_NonXtal_Prot#'!A:AL,10,FALSE)+10,1)</f>
        <v>I</v>
      </c>
      <c r="AB33" s="28" t="str">
        <f>MID(VLOOKUP($A33,Seqs!$A:$B,2,FALSE),VLOOKUP($A33,'SegEnds_NonXtal_Prot#'!$A:$AL,22,FALSE)+6,1)</f>
        <v>I</v>
      </c>
      <c r="AC33" s="49" t="str">
        <f>MID(VLOOKUP($A33,Seqs!$A:$B,2,FALSE),VLOOKUP($A33,'SegEnds_NonXtal_Prot#'!$A:$AL,22,FALSE)+7,1)</f>
        <v>A</v>
      </c>
      <c r="AD33" s="49" t="str">
        <f>MID(VLOOKUP($A33,Seqs!$A:$B,2,FALSE),VLOOKUP($A33,'SegEnds_NonXtal_Prot#'!$A:$AL,22,FALSE)+8,1)</f>
        <v>M</v>
      </c>
      <c r="AE33" s="49" t="str">
        <f>MID(VLOOKUP($A33,Seqs!$A:$B,2,FALSE),VLOOKUP($A33,'SegEnds_NonXtal_Prot#'!$A:$AL,22,FALSE)+9,1)</f>
        <v>L</v>
      </c>
      <c r="AF33" s="49" t="str">
        <f>MID(VLOOKUP($A33,Seqs!$A:$B,2,FALSE),VLOOKUP($A33,'SegEnds_NonXtal_Prot#'!$A:$AL,22,FALSE)+10,1)</f>
        <v>P</v>
      </c>
      <c r="AG33" s="28" t="str">
        <f>MID(VLOOKUP($A33,Seqs!$A:$B,2,FALSE),VLOOKUP($A33,'SegEnds_NonXtal_Prot#'!$A:$AL,28,FALSE)-4,1)</f>
        <v>L</v>
      </c>
      <c r="AH33" s="49" t="str">
        <f>MID(VLOOKUP($A33,Seqs!$A:$B,2,FALSE),VLOOKUP($A33,'SegEnds_NonXtal_Prot#'!$A:$AL,28,FALSE),1)</f>
        <v>A</v>
      </c>
    </row>
    <row r="34" spans="1:34" s="2" customFormat="1" x14ac:dyDescent="0.2">
      <c r="A34" s="2" t="s">
        <v>297</v>
      </c>
      <c r="B34" s="2" t="str">
        <f>LOWER(VLOOKUP(A34,Xtal_Templ!A:B,2,FALSE))</f>
        <v>lpar1_human</v>
      </c>
      <c r="C34" s="2" t="str">
        <f>VLOOKUP(A34,Classification!A:D,2,FALSE)</f>
        <v>A</v>
      </c>
      <c r="D34" s="2" t="str">
        <f>IF(ISERROR(MATCH(A34,'SegEnds_Xtal_Prot#'!B:B, 0)), "NoXtal", "Xtal")</f>
        <v>NoXtal</v>
      </c>
      <c r="H34" s="4"/>
      <c r="T34" s="4" t="s">
        <v>12</v>
      </c>
      <c r="V34" s="28" t="str">
        <f>MID(VLOOKUP($A34,Seqs!$A:$B,2,FALSE),VLOOKUP($A34,'SegEnds_NonXtal_Prot#'!A:AL,10,FALSE),1)</f>
        <v>D</v>
      </c>
      <c r="W34" s="49" t="str">
        <f>MID(VLOOKUP($A34,Seqs!$A:$B,2,FALSE),VLOOKUP($A34,'SegEnds_NonXtal_Prot#'!A:AL,10,FALSE)+6,1)</f>
        <v>S</v>
      </c>
      <c r="X34" s="49" t="str">
        <f>MID(VLOOKUP($A34,Seqs!$A:$B,2,FALSE),VLOOKUP($A34,'SegEnds_NonXtal_Prot#'!A:AL,10,FALSE)+7,1)</f>
        <v>S</v>
      </c>
      <c r="Y34" s="49" t="str">
        <f>MID(VLOOKUP($A34,Seqs!$A:$B,2,FALSE),VLOOKUP($A34,'SegEnds_NonXtal_Prot#'!A:AL,10,FALSE)+8,1)</f>
        <v>A</v>
      </c>
      <c r="Z34" s="49" t="str">
        <f>MID(VLOOKUP($A34,Seqs!$A:$B,2,FALSE),VLOOKUP($A34,'SegEnds_NonXtal_Prot#'!A:AL,10,FALSE)+9,1)</f>
        <v>W</v>
      </c>
      <c r="AA34" s="49" t="str">
        <f>MID(VLOOKUP($A34,Seqs!$A:$B,2,FALSE),VLOOKUP($A34,'SegEnds_NonXtal_Prot#'!A:AL,10,FALSE)+10,1)</f>
        <v>E</v>
      </c>
      <c r="AB34" s="28" t="str">
        <f>MID(VLOOKUP($A34,Seqs!$A:$B,2,FALSE),VLOOKUP($A34,'SegEnds_NonXtal_Prot#'!$A:$AL,22,FALSE)+6,1)</f>
        <v>C</v>
      </c>
      <c r="AC34" s="49" t="str">
        <f>MID(VLOOKUP($A34,Seqs!$A:$B,2,FALSE),VLOOKUP($A34,'SegEnds_NonXtal_Prot#'!$A:$AL,22,FALSE)+7,1)</f>
        <v>G</v>
      </c>
      <c r="AD34" s="49" t="str">
        <f>MID(VLOOKUP($A34,Seqs!$A:$B,2,FALSE),VLOOKUP($A34,'SegEnds_NonXtal_Prot#'!$A:$AL,22,FALSE)+8,1)</f>
        <v>I</v>
      </c>
      <c r="AE34" s="49" t="str">
        <f>MID(VLOOKUP($A34,Seqs!$A:$B,2,FALSE),VLOOKUP($A34,'SegEnds_NonXtal_Prot#'!$A:$AL,22,FALSE)+9,1)</f>
        <v>V</v>
      </c>
      <c r="AF34" s="49" t="str">
        <f>MID(VLOOKUP($A34,Seqs!$A:$B,2,FALSE),VLOOKUP($A34,'SegEnds_NonXtal_Prot#'!$A:$AL,22,FALSE)+10,1)</f>
        <v>F</v>
      </c>
      <c r="AG34" s="28" t="str">
        <f>MID(VLOOKUP($A34,Seqs!$A:$B,2,FALSE),VLOOKUP($A34,'SegEnds_NonXtal_Prot#'!$A:$AL,28,FALSE)-4,1)</f>
        <v>S</v>
      </c>
      <c r="AH34" s="49" t="str">
        <f>MID(VLOOKUP($A34,Seqs!$A:$B,2,FALSE),VLOOKUP($A34,'SegEnds_NonXtal_Prot#'!$A:$AL,28,FALSE),1)</f>
        <v>H</v>
      </c>
    </row>
    <row r="35" spans="1:34" s="2" customFormat="1" x14ac:dyDescent="0.2">
      <c r="A35" s="2" t="s">
        <v>360</v>
      </c>
      <c r="B35" s="2" t="str">
        <f>LOWER(VLOOKUP(A35,Xtal_Templ!A:B,2,FALSE))</f>
        <v>ta2r_human</v>
      </c>
      <c r="C35" s="2" t="str">
        <f>VLOOKUP(A35,Classification!A:D,2,FALSE)</f>
        <v>A</v>
      </c>
      <c r="D35" s="2" t="str">
        <f>IF(ISERROR(MATCH(A35,'SegEnds_Xtal_Prot#'!B:B, 0)), "NoXtal", "Xtal")</f>
        <v>NoXtal</v>
      </c>
      <c r="H35" s="4"/>
      <c r="T35" s="4" t="s">
        <v>12</v>
      </c>
      <c r="V35" s="28" t="str">
        <f>MID(VLOOKUP($A35,Seqs!$A:$B,2,FALSE),VLOOKUP($A35,'SegEnds_NonXtal_Prot#'!A:AL,10,FALSE),1)</f>
        <v>D</v>
      </c>
      <c r="W35" s="49" t="str">
        <f>MID(VLOOKUP($A35,Seqs!$A:$B,2,FALSE),VLOOKUP($A35,'SegEnds_NonXtal_Prot#'!A:AL,10,FALSE)+6,1)</f>
        <v>I</v>
      </c>
      <c r="X35" s="49" t="str">
        <f>MID(VLOOKUP($A35,Seqs!$A:$B,2,FALSE),VLOOKUP($A35,'SegEnds_NonXtal_Prot#'!A:AL,10,FALSE)+7,1)</f>
        <v>P</v>
      </c>
      <c r="Y35" s="49" t="str">
        <f>MID(VLOOKUP($A35,Seqs!$A:$B,2,FALSE),VLOOKUP($A35,'SegEnds_NonXtal_Prot#'!A:AL,10,FALSE)+8,1)</f>
        <v>G</v>
      </c>
      <c r="Z35" s="49" t="str">
        <f>MID(VLOOKUP($A35,Seqs!$A:$B,2,FALSE),VLOOKUP($A35,'SegEnds_NonXtal_Prot#'!A:AL,10,FALSE)+9,1)</f>
        <v>A</v>
      </c>
      <c r="AA35" s="49" t="str">
        <f>MID(VLOOKUP($A35,Seqs!$A:$B,2,FALSE),VLOOKUP($A35,'SegEnds_NonXtal_Prot#'!A:AL,10,FALSE)+10,1)</f>
        <v>L</v>
      </c>
      <c r="AB35" s="28" t="str">
        <f>MID(VLOOKUP($A35,Seqs!$A:$B,2,FALSE),VLOOKUP($A35,'SegEnds_NonXtal_Prot#'!$A:$AL,22,FALSE)+6,1)</f>
        <v>V</v>
      </c>
      <c r="AC35" s="49" t="str">
        <f>MID(VLOOKUP($A35,Seqs!$A:$B,2,FALSE),VLOOKUP($A35,'SegEnds_NonXtal_Prot#'!$A:$AL,22,FALSE)+7,1)</f>
        <v>A</v>
      </c>
      <c r="AD35" s="49" t="str">
        <f>MID(VLOOKUP($A35,Seqs!$A:$B,2,FALSE),VLOOKUP($A35,'SegEnds_NonXtal_Prot#'!$A:$AL,22,FALSE)+8,1)</f>
        <v>L</v>
      </c>
      <c r="AE35" s="49" t="str">
        <f>MID(VLOOKUP($A35,Seqs!$A:$B,2,FALSE),VLOOKUP($A35,'SegEnds_NonXtal_Prot#'!$A:$AL,22,FALSE)+9,1)</f>
        <v>L</v>
      </c>
      <c r="AF35" s="49" t="str">
        <f>MID(VLOOKUP($A35,Seqs!$A:$B,2,FALSE),VLOOKUP($A35,'SegEnds_NonXtal_Prot#'!$A:$AL,22,FALSE)+10,1)</f>
        <v>P</v>
      </c>
      <c r="AG35" s="28" t="str">
        <f>MID(VLOOKUP($A35,Seqs!$A:$B,2,FALSE),VLOOKUP($A35,'SegEnds_NonXtal_Prot#'!$A:$AL,28,FALSE)-4,1)</f>
        <v>L</v>
      </c>
      <c r="AH35" s="49" t="str">
        <f>MID(VLOOKUP($A35,Seqs!$A:$B,2,FALSE),VLOOKUP($A35,'SegEnds_NonXtal_Prot#'!$A:$AL,28,FALSE),1)</f>
        <v>L</v>
      </c>
    </row>
    <row r="36" spans="1:34" s="2" customFormat="1" x14ac:dyDescent="0.2">
      <c r="A36" s="2" t="s">
        <v>394</v>
      </c>
      <c r="B36" s="2" t="str">
        <f>LOWER(VLOOKUP(A36,Xtal_Templ!A:B,2,FALSE))</f>
        <v>aa2ar_human</v>
      </c>
      <c r="C36" s="2" t="str">
        <f>VLOOKUP(A36,Classification!A:D,2,FALSE)</f>
        <v>A</v>
      </c>
      <c r="D36" s="2" t="str">
        <f>IF(ISERROR(MATCH(A36,'SegEnds_Xtal_Prot#'!B:B, 0)), "NoXtal", "Xtal")</f>
        <v>NoXtal</v>
      </c>
      <c r="H36" s="4"/>
      <c r="T36" s="4" t="s">
        <v>12</v>
      </c>
      <c r="V36" s="28" t="str">
        <f>MID(VLOOKUP($A36,Seqs!$A:$B,2,FALSE),VLOOKUP($A36,'SegEnds_NonXtal_Prot#'!A:AL,10,FALSE),1)</f>
        <v>D</v>
      </c>
      <c r="W36" s="49" t="str">
        <f>MID(VLOOKUP($A36,Seqs!$A:$B,2,FALSE),VLOOKUP($A36,'SegEnds_NonXtal_Prot#'!A:AL,10,FALSE)+6,1)</f>
        <v>Y</v>
      </c>
      <c r="X36" s="49" t="str">
        <f>MID(VLOOKUP($A36,Seqs!$A:$B,2,FALSE),VLOOKUP($A36,'SegEnds_NonXtal_Prot#'!A:AL,10,FALSE)+7,1)</f>
        <v>L</v>
      </c>
      <c r="Y36" s="49" t="str">
        <f>MID(VLOOKUP($A36,Seqs!$A:$B,2,FALSE),VLOOKUP($A36,'SegEnds_NonXtal_Prot#'!A:AL,10,FALSE)+8,1)</f>
        <v>L</v>
      </c>
      <c r="Z36" s="49" t="str">
        <f>MID(VLOOKUP($A36,Seqs!$A:$B,2,FALSE),VLOOKUP($A36,'SegEnds_NonXtal_Prot#'!A:AL,10,FALSE)+9,1)</f>
        <v>L</v>
      </c>
      <c r="AA36" s="49" t="str">
        <f>MID(VLOOKUP($A36,Seqs!$A:$B,2,FALSE),VLOOKUP($A36,'SegEnds_NonXtal_Prot#'!A:AL,10,FALSE)+10,1)</f>
        <v>I</v>
      </c>
      <c r="AB36" s="28" t="str">
        <f>MID(VLOOKUP($A36,Seqs!$A:$B,2,FALSE),VLOOKUP($A36,'SegEnds_NonXtal_Prot#'!$A:$AL,22,FALSE)+6,1)</f>
        <v>L</v>
      </c>
      <c r="AC36" s="49" t="str">
        <f>MID(VLOOKUP($A36,Seqs!$A:$B,2,FALSE),VLOOKUP($A36,'SegEnds_NonXtal_Prot#'!$A:$AL,22,FALSE)+7,1)</f>
        <v>A</v>
      </c>
      <c r="AD36" s="49" t="str">
        <f>MID(VLOOKUP($A36,Seqs!$A:$B,2,FALSE),VLOOKUP($A36,'SegEnds_NonXtal_Prot#'!$A:$AL,22,FALSE)+8,1)</f>
        <v>L</v>
      </c>
      <c r="AE36" s="49" t="str">
        <f>MID(VLOOKUP($A36,Seqs!$A:$B,2,FALSE),VLOOKUP($A36,'SegEnds_NonXtal_Prot#'!$A:$AL,22,FALSE)+9,1)</f>
        <v>L</v>
      </c>
      <c r="AF36" s="49" t="str">
        <f>MID(VLOOKUP($A36,Seqs!$A:$B,2,FALSE),VLOOKUP($A36,'SegEnds_NonXtal_Prot#'!$A:$AL,22,FALSE)+10,1)</f>
        <v>P</v>
      </c>
      <c r="AG36" s="28" t="str">
        <f>MID(VLOOKUP($A36,Seqs!$A:$B,2,FALSE),VLOOKUP($A36,'SegEnds_NonXtal_Prot#'!$A:$AL,28,FALSE)-4,1)</f>
        <v>L</v>
      </c>
      <c r="AH36" s="49" t="str">
        <f>MID(VLOOKUP($A36,Seqs!$A:$B,2,FALSE),VLOOKUP($A36,'SegEnds_NonXtal_Prot#'!$A:$AL,28,FALSE),1)</f>
        <v>A</v>
      </c>
    </row>
    <row r="37" spans="1:34" s="2" customFormat="1" x14ac:dyDescent="0.2">
      <c r="A37" s="2" t="s">
        <v>146</v>
      </c>
      <c r="B37" s="2" t="str">
        <f>LOWER(VLOOKUP(A37,Xtal_Templ!A:B,2,FALSE))</f>
        <v>acm1_human</v>
      </c>
      <c r="C37" s="2" t="str">
        <f>VLOOKUP(A37,Classification!A:D,2,FALSE)</f>
        <v>A</v>
      </c>
      <c r="D37" s="2" t="str">
        <f>IF(ISERROR(MATCH(A37,'SegEnds_Xtal_Prot#'!B:B, 0)), "NoXtal", "Xtal")</f>
        <v>Xtal</v>
      </c>
      <c r="G37" s="2" t="s">
        <v>5</v>
      </c>
      <c r="H37" s="4"/>
      <c r="R37" s="2" t="s">
        <v>9</v>
      </c>
      <c r="T37" s="4" t="s">
        <v>12</v>
      </c>
      <c r="V37" s="28" t="str">
        <f>MID(VLOOKUP($A37,Seqs!$A:$B,2,FALSE),VLOOKUP($A37,'SegEnds_NonXtal_Prot#'!A:AL,10,FALSE),1)</f>
        <v>D</v>
      </c>
      <c r="W37" s="49" t="str">
        <f>MID(VLOOKUP($A37,Seqs!$A:$B,2,FALSE),VLOOKUP($A37,'SegEnds_NonXtal_Prot#'!A:AL,10,FALSE)+6,1)</f>
        <v>F</v>
      </c>
      <c r="X37" s="49" t="str">
        <f>MID(VLOOKUP($A37,Seqs!$A:$B,2,FALSE),VLOOKUP($A37,'SegEnds_NonXtal_Prot#'!A:AL,10,FALSE)+7,1)</f>
        <v>S</v>
      </c>
      <c r="Y37" s="49" t="str">
        <f>MID(VLOOKUP($A37,Seqs!$A:$B,2,FALSE),VLOOKUP($A37,'SegEnds_NonXtal_Prot#'!A:AL,10,FALSE)+8,1)</f>
        <v>M</v>
      </c>
      <c r="Z37" s="49" t="str">
        <f>MID(VLOOKUP($A37,Seqs!$A:$B,2,FALSE),VLOOKUP($A37,'SegEnds_NonXtal_Prot#'!A:AL,10,FALSE)+9,1)</f>
        <v>N</v>
      </c>
      <c r="AA37" s="49" t="str">
        <f>MID(VLOOKUP($A37,Seqs!$A:$B,2,FALSE),VLOOKUP($A37,'SegEnds_NonXtal_Prot#'!A:AL,10,FALSE)+10,1)</f>
        <v>L</v>
      </c>
      <c r="AB37" s="28" t="str">
        <f>MID(VLOOKUP($A37,Seqs!$A:$B,2,FALSE),VLOOKUP($A37,'SegEnds_NonXtal_Prot#'!$A:$AL,22,FALSE)+6,1)</f>
        <v>L</v>
      </c>
      <c r="AC37" s="49" t="str">
        <f>MID(VLOOKUP($A37,Seqs!$A:$B,2,FALSE),VLOOKUP($A37,'SegEnds_NonXtal_Prot#'!$A:$AL,22,FALSE)+7,1)</f>
        <v>W</v>
      </c>
      <c r="AD37" s="49" t="str">
        <f>MID(VLOOKUP($A37,Seqs!$A:$B,2,FALSE),VLOOKUP($A37,'SegEnds_NonXtal_Prot#'!$A:$AL,22,FALSE)+8,1)</f>
        <v>A</v>
      </c>
      <c r="AE37" s="49" t="str">
        <f>MID(VLOOKUP($A37,Seqs!$A:$B,2,FALSE),VLOOKUP($A37,'SegEnds_NonXtal_Prot#'!$A:$AL,22,FALSE)+9,1)</f>
        <v>P</v>
      </c>
      <c r="AF37" s="49" t="str">
        <f>MID(VLOOKUP($A37,Seqs!$A:$B,2,FALSE),VLOOKUP($A37,'SegEnds_NonXtal_Prot#'!$A:$AL,22,FALSE)+10,1)</f>
        <v>A</v>
      </c>
      <c r="AG37" s="28" t="str">
        <f>MID(VLOOKUP($A37,Seqs!$A:$B,2,FALSE),VLOOKUP($A37,'SegEnds_NonXtal_Prot#'!$A:$AL,28,FALSE)-4,1)</f>
        <v>A</v>
      </c>
      <c r="AH37" s="49" t="str">
        <f>MID(VLOOKUP($A37,Seqs!$A:$B,2,FALSE),VLOOKUP($A37,'SegEnds_NonXtal_Prot#'!$A:$AL,28,FALSE),1)</f>
        <v>P</v>
      </c>
    </row>
    <row r="38" spans="1:34" s="2" customFormat="1" x14ac:dyDescent="0.2">
      <c r="A38" s="2" t="s">
        <v>234</v>
      </c>
      <c r="B38" s="2" t="str">
        <f>LOWER(VLOOKUP(A38,Xtal_Templ!A:B,2,FALSE))</f>
        <v>lpar1_human</v>
      </c>
      <c r="C38" s="2" t="str">
        <f>VLOOKUP(A38,Classification!A:D,2,FALSE)</f>
        <v>A</v>
      </c>
      <c r="D38" s="2" t="str">
        <f>IF(ISERROR(MATCH(A38,'SegEnds_Xtal_Prot#'!B:B, 0)), "NoXtal", "Xtal")</f>
        <v>NoXtal</v>
      </c>
      <c r="H38" s="4"/>
      <c r="R38" s="2" t="s">
        <v>9</v>
      </c>
      <c r="T38" s="4" t="s">
        <v>12</v>
      </c>
      <c r="V38" s="28" t="str">
        <f>MID(VLOOKUP($A38,Seqs!$A:$B,2,FALSE),VLOOKUP($A38,'SegEnds_NonXtal_Prot#'!A:AL,10,FALSE),1)</f>
        <v>G</v>
      </c>
      <c r="W38" s="49" t="str">
        <f>MID(VLOOKUP($A38,Seqs!$A:$B,2,FALSE),VLOOKUP($A38,'SegEnds_NonXtal_Prot#'!A:AL,10,FALSE)+6,1)</f>
        <v>A</v>
      </c>
      <c r="X38" s="49" t="str">
        <f>MID(VLOOKUP($A38,Seqs!$A:$B,2,FALSE),VLOOKUP($A38,'SegEnds_NonXtal_Prot#'!A:AL,10,FALSE)+7,1)</f>
        <v>L</v>
      </c>
      <c r="Y38" s="49" t="str">
        <f>MID(VLOOKUP($A38,Seqs!$A:$B,2,FALSE),VLOOKUP($A38,'SegEnds_NonXtal_Prot#'!A:AL,10,FALSE)+8,1)</f>
        <v>P</v>
      </c>
      <c r="Z38" s="49" t="str">
        <f>MID(VLOOKUP($A38,Seqs!$A:$B,2,FALSE),VLOOKUP($A38,'SegEnds_NonXtal_Prot#'!A:AL,10,FALSE)+9,1)</f>
        <v>T</v>
      </c>
      <c r="AA38" s="49" t="str">
        <f>MID(VLOOKUP($A38,Seqs!$A:$B,2,FALSE),VLOOKUP($A38,'SegEnds_NonXtal_Prot#'!A:AL,10,FALSE)+10,1)</f>
        <v>L</v>
      </c>
      <c r="AB38" s="28" t="str">
        <f>MID(VLOOKUP($A38,Seqs!$A:$B,2,FALSE),VLOOKUP($A38,'SegEnds_NonXtal_Prot#'!$A:$AL,22,FALSE)+6,1)</f>
        <v>F</v>
      </c>
      <c r="AC38" s="49" t="str">
        <f>MID(VLOOKUP($A38,Seqs!$A:$B,2,FALSE),VLOOKUP($A38,'SegEnds_NonXtal_Prot#'!$A:$AL,22,FALSE)+7,1)</f>
        <v>A</v>
      </c>
      <c r="AD38" s="49" t="str">
        <f>MID(VLOOKUP($A38,Seqs!$A:$B,2,FALSE),VLOOKUP($A38,'SegEnds_NonXtal_Prot#'!$A:$AL,22,FALSE)+8,1)</f>
        <v>S</v>
      </c>
      <c r="AE38" s="49" t="str">
        <f>MID(VLOOKUP($A38,Seqs!$A:$B,2,FALSE),VLOOKUP($A38,'SegEnds_NonXtal_Prot#'!$A:$AL,22,FALSE)+9,1)</f>
        <v>L</v>
      </c>
      <c r="AF38" s="49" t="str">
        <f>MID(VLOOKUP($A38,Seqs!$A:$B,2,FALSE),VLOOKUP($A38,'SegEnds_NonXtal_Prot#'!$A:$AL,22,FALSE)+10,1)</f>
        <v>P</v>
      </c>
      <c r="AG38" s="28" t="str">
        <f>MID(VLOOKUP($A38,Seqs!$A:$B,2,FALSE),VLOOKUP($A38,'SegEnds_NonXtal_Prot#'!$A:$AL,28,FALSE)-4,1)</f>
        <v>G</v>
      </c>
      <c r="AH38" s="49" t="str">
        <f>MID(VLOOKUP($A38,Seqs!$A:$B,2,FALSE),VLOOKUP($A38,'SegEnds_NonXtal_Prot#'!$A:$AL,28,FALSE),1)</f>
        <v>P</v>
      </c>
    </row>
    <row r="39" spans="1:34" s="2" customFormat="1" x14ac:dyDescent="0.2">
      <c r="A39" s="2" t="s">
        <v>279</v>
      </c>
      <c r="B39" s="2" t="str">
        <f>LOWER(VLOOKUP(A39,Xtal_Templ!A:B,2,FALSE))</f>
        <v>hrh1_human</v>
      </c>
      <c r="C39" s="2" t="str">
        <f>VLOOKUP(A39,Classification!A:D,2,FALSE)</f>
        <v>A</v>
      </c>
      <c r="D39" s="2" t="str">
        <f>IF(ISERROR(MATCH(A39,'SegEnds_Xtal_Prot#'!B:B, 0)), "NoXtal", "Xtal")</f>
        <v>NoXtal</v>
      </c>
      <c r="G39" s="2" t="s">
        <v>5</v>
      </c>
      <c r="H39" s="4"/>
      <c r="N39" s="2" t="s">
        <v>14</v>
      </c>
      <c r="R39" s="2" t="s">
        <v>9</v>
      </c>
      <c r="T39" s="4" t="s">
        <v>12</v>
      </c>
      <c r="V39" s="28" t="str">
        <f>MID(VLOOKUP($A39,Seqs!$A:$B,2,FALSE),VLOOKUP($A39,'SegEnds_NonXtal_Prot#'!A:AL,10,FALSE),1)</f>
        <v>D</v>
      </c>
      <c r="W39" s="49" t="str">
        <f>MID(VLOOKUP($A39,Seqs!$A:$B,2,FALSE),VLOOKUP($A39,'SegEnds_NonXtal_Prot#'!A:AL,10,FALSE)+6,1)</f>
        <v>F</v>
      </c>
      <c r="X39" s="49" t="str">
        <f>MID(VLOOKUP($A39,Seqs!$A:$B,2,FALSE),VLOOKUP($A39,'SegEnds_NonXtal_Prot#'!A:AL,10,FALSE)+7,1)</f>
        <v>C</v>
      </c>
      <c r="Y39" s="49" t="str">
        <f>MID(VLOOKUP($A39,Seqs!$A:$B,2,FALSE),VLOOKUP($A39,'SegEnds_NonXtal_Prot#'!A:AL,10,FALSE)+8,1)</f>
        <v>I</v>
      </c>
      <c r="Z39" s="49" t="str">
        <f>MID(VLOOKUP($A39,Seqs!$A:$B,2,FALSE),VLOOKUP($A39,'SegEnds_NonXtal_Prot#'!A:AL,10,FALSE)+9,1)</f>
        <v>P</v>
      </c>
      <c r="AA39" s="49" t="str">
        <f>MID(VLOOKUP($A39,Seqs!$A:$B,2,FALSE),VLOOKUP($A39,'SegEnds_NonXtal_Prot#'!A:AL,10,FALSE)+10,1)</f>
        <v>L</v>
      </c>
      <c r="AB39" s="28" t="str">
        <f>MID(VLOOKUP($A39,Seqs!$A:$B,2,FALSE),VLOOKUP($A39,'SegEnds_NonXtal_Prot#'!$A:$AL,22,FALSE)+6,1)</f>
        <v>L</v>
      </c>
      <c r="AC39" s="49" t="str">
        <f>MID(VLOOKUP($A39,Seqs!$A:$B,2,FALSE),VLOOKUP($A39,'SegEnds_NonXtal_Prot#'!$A:$AL,22,FALSE)+7,1)</f>
        <v>Y</v>
      </c>
      <c r="AD39" s="49" t="str">
        <f>MID(VLOOKUP($A39,Seqs!$A:$B,2,FALSE),VLOOKUP($A39,'SegEnds_NonXtal_Prot#'!$A:$AL,22,FALSE)+8,1)</f>
        <v>G</v>
      </c>
      <c r="AE39" s="49" t="str">
        <f>MID(VLOOKUP($A39,Seqs!$A:$B,2,FALSE),VLOOKUP($A39,'SegEnds_NonXtal_Prot#'!$A:$AL,22,FALSE)+9,1)</f>
        <v>P</v>
      </c>
      <c r="AF39" s="49" t="str">
        <f>MID(VLOOKUP($A39,Seqs!$A:$B,2,FALSE),VLOOKUP($A39,'SegEnds_NonXtal_Prot#'!$A:$AL,22,FALSE)+10,1)</f>
        <v>A</v>
      </c>
      <c r="AG39" s="28" t="str">
        <f>MID(VLOOKUP($A39,Seqs!$A:$B,2,FALSE),VLOOKUP($A39,'SegEnds_NonXtal_Prot#'!$A:$AL,28,FALSE)-4,1)</f>
        <v>E</v>
      </c>
      <c r="AH39" s="49" t="str">
        <f>MID(VLOOKUP($A39,Seqs!$A:$B,2,FALSE),VLOOKUP($A39,'SegEnds_NonXtal_Prot#'!$A:$AL,28,FALSE),1)</f>
        <v>P</v>
      </c>
    </row>
    <row r="40" spans="1:34" s="2" customFormat="1" x14ac:dyDescent="0.2">
      <c r="A40" s="2" t="s">
        <v>147</v>
      </c>
      <c r="B40" s="2" t="str">
        <f>LOWER(VLOOKUP(A40,Xtal_Templ!A:B,2,FALSE))</f>
        <v>acm2_human</v>
      </c>
      <c r="C40" s="2" t="str">
        <f>VLOOKUP(A40,Classification!A:D,2,FALSE)</f>
        <v>A</v>
      </c>
      <c r="D40" s="2" t="str">
        <f>IF(ISERROR(MATCH(A40,'SegEnds_Xtal_Prot#'!B:B, 0)), "NoXtal", "Xtal")</f>
        <v>Xtal</v>
      </c>
      <c r="G40" s="2" t="s">
        <v>5</v>
      </c>
      <c r="H40" s="4"/>
      <c r="R40" s="2" t="s">
        <v>9</v>
      </c>
      <c r="T40" s="4" t="s">
        <v>12</v>
      </c>
      <c r="V40" s="28" t="str">
        <f>MID(VLOOKUP($A40,Seqs!$A:$B,2,FALSE),VLOOKUP($A40,'SegEnds_NonXtal_Prot#'!A:AL,10,FALSE),1)</f>
        <v>D</v>
      </c>
      <c r="W40" s="49" t="str">
        <f>MID(VLOOKUP($A40,Seqs!$A:$B,2,FALSE),VLOOKUP($A40,'SegEnds_NonXtal_Prot#'!A:AL,10,FALSE)+6,1)</f>
        <v>F</v>
      </c>
      <c r="X40" s="49" t="str">
        <f>MID(VLOOKUP($A40,Seqs!$A:$B,2,FALSE),VLOOKUP($A40,'SegEnds_NonXtal_Prot#'!A:AL,10,FALSE)+7,1)</f>
        <v>S</v>
      </c>
      <c r="Y40" s="49" t="str">
        <f>MID(VLOOKUP($A40,Seqs!$A:$B,2,FALSE),VLOOKUP($A40,'SegEnds_NonXtal_Prot#'!A:AL,10,FALSE)+8,1)</f>
        <v>M</v>
      </c>
      <c r="Z40" s="49" t="str">
        <f>MID(VLOOKUP($A40,Seqs!$A:$B,2,FALSE),VLOOKUP($A40,'SegEnds_NonXtal_Prot#'!A:AL,10,FALSE)+9,1)</f>
        <v>N</v>
      </c>
      <c r="AA40" s="49" t="str">
        <f>MID(VLOOKUP($A40,Seqs!$A:$B,2,FALSE),VLOOKUP($A40,'SegEnds_NonXtal_Prot#'!A:AL,10,FALSE)+10,1)</f>
        <v>L</v>
      </c>
      <c r="AB40" s="28" t="str">
        <f>MID(VLOOKUP($A40,Seqs!$A:$B,2,FALSE),VLOOKUP($A40,'SegEnds_NonXtal_Prot#'!$A:$AL,22,FALSE)+6,1)</f>
        <v>L</v>
      </c>
      <c r="AC40" s="49" t="str">
        <f>MID(VLOOKUP($A40,Seqs!$A:$B,2,FALSE),VLOOKUP($A40,'SegEnds_NonXtal_Prot#'!$A:$AL,22,FALSE)+7,1)</f>
        <v>W</v>
      </c>
      <c r="AD40" s="49" t="str">
        <f>MID(VLOOKUP($A40,Seqs!$A:$B,2,FALSE),VLOOKUP($A40,'SegEnds_NonXtal_Prot#'!$A:$AL,22,FALSE)+8,1)</f>
        <v>A</v>
      </c>
      <c r="AE40" s="49" t="str">
        <f>MID(VLOOKUP($A40,Seqs!$A:$B,2,FALSE),VLOOKUP($A40,'SegEnds_NonXtal_Prot#'!$A:$AL,22,FALSE)+9,1)</f>
        <v>P</v>
      </c>
      <c r="AF40" s="49" t="str">
        <f>MID(VLOOKUP($A40,Seqs!$A:$B,2,FALSE),VLOOKUP($A40,'SegEnds_NonXtal_Prot#'!$A:$AL,22,FALSE)+10,1)</f>
        <v>A</v>
      </c>
      <c r="AG40" s="28" t="str">
        <f>MID(VLOOKUP($A40,Seqs!$A:$B,2,FALSE),VLOOKUP($A40,'SegEnds_NonXtal_Prot#'!$A:$AL,28,FALSE)-4,1)</f>
        <v>A</v>
      </c>
      <c r="AH40" s="49" t="str">
        <f>MID(VLOOKUP($A40,Seqs!$A:$B,2,FALSE),VLOOKUP($A40,'SegEnds_NonXtal_Prot#'!$A:$AL,28,FALSE),1)</f>
        <v>P</v>
      </c>
    </row>
    <row r="41" spans="1:34" s="2" customFormat="1" x14ac:dyDescent="0.2">
      <c r="A41" s="2" t="s">
        <v>148</v>
      </c>
      <c r="B41" s="2" t="str">
        <f>LOWER(VLOOKUP(A41,Xtal_Templ!A:B,2,FALSE))</f>
        <v>acm3_rat</v>
      </c>
      <c r="C41" s="2" t="str">
        <f>VLOOKUP(A41,Classification!A:D,2,FALSE)</f>
        <v>A</v>
      </c>
      <c r="D41" s="2" t="str">
        <f>IF(ISERROR(MATCH(A41,'SegEnds_Xtal_Prot#'!B:B, 0)), "NoXtal", "Xtal")</f>
        <v>NoXtal</v>
      </c>
      <c r="G41" s="2" t="s">
        <v>5</v>
      </c>
      <c r="H41" s="4"/>
      <c r="R41" s="2" t="s">
        <v>9</v>
      </c>
      <c r="T41" s="4" t="s">
        <v>12</v>
      </c>
      <c r="V41" s="28" t="str">
        <f>MID(VLOOKUP($A41,Seqs!$A:$B,2,FALSE),VLOOKUP($A41,'SegEnds_NonXtal_Prot#'!A:AL,10,FALSE),1)</f>
        <v>D</v>
      </c>
      <c r="W41" s="49" t="str">
        <f>MID(VLOOKUP($A41,Seqs!$A:$B,2,FALSE),VLOOKUP($A41,'SegEnds_NonXtal_Prot#'!A:AL,10,FALSE)+6,1)</f>
        <v>I</v>
      </c>
      <c r="X41" s="49" t="str">
        <f>MID(VLOOKUP($A41,Seqs!$A:$B,2,FALSE),VLOOKUP($A41,'SegEnds_NonXtal_Prot#'!A:AL,10,FALSE)+7,1)</f>
        <v>S</v>
      </c>
      <c r="Y41" s="49" t="str">
        <f>MID(VLOOKUP($A41,Seqs!$A:$B,2,FALSE),VLOOKUP($A41,'SegEnds_NonXtal_Prot#'!A:AL,10,FALSE)+8,1)</f>
        <v>M</v>
      </c>
      <c r="Z41" s="49" t="str">
        <f>MID(VLOOKUP($A41,Seqs!$A:$B,2,FALSE),VLOOKUP($A41,'SegEnds_NonXtal_Prot#'!A:AL,10,FALSE)+9,1)</f>
        <v>N</v>
      </c>
      <c r="AA41" s="49" t="str">
        <f>MID(VLOOKUP($A41,Seqs!$A:$B,2,FALSE),VLOOKUP($A41,'SegEnds_NonXtal_Prot#'!A:AL,10,FALSE)+10,1)</f>
        <v>L</v>
      </c>
      <c r="AB41" s="28" t="str">
        <f>MID(VLOOKUP($A41,Seqs!$A:$B,2,FALSE),VLOOKUP($A41,'SegEnds_NonXtal_Prot#'!$A:$AL,22,FALSE)+6,1)</f>
        <v>L</v>
      </c>
      <c r="AC41" s="49" t="str">
        <f>MID(VLOOKUP($A41,Seqs!$A:$B,2,FALSE),VLOOKUP($A41,'SegEnds_NonXtal_Prot#'!$A:$AL,22,FALSE)+7,1)</f>
        <v>W</v>
      </c>
      <c r="AD41" s="49" t="str">
        <f>MID(VLOOKUP($A41,Seqs!$A:$B,2,FALSE),VLOOKUP($A41,'SegEnds_NonXtal_Prot#'!$A:$AL,22,FALSE)+8,1)</f>
        <v>A</v>
      </c>
      <c r="AE41" s="49" t="str">
        <f>MID(VLOOKUP($A41,Seqs!$A:$B,2,FALSE),VLOOKUP($A41,'SegEnds_NonXtal_Prot#'!$A:$AL,22,FALSE)+9,1)</f>
        <v>P</v>
      </c>
      <c r="AF41" s="49" t="str">
        <f>MID(VLOOKUP($A41,Seqs!$A:$B,2,FALSE),VLOOKUP($A41,'SegEnds_NonXtal_Prot#'!$A:$AL,22,FALSE)+10,1)</f>
        <v>A</v>
      </c>
      <c r="AG41" s="28" t="str">
        <f>MID(VLOOKUP($A41,Seqs!$A:$B,2,FALSE),VLOOKUP($A41,'SegEnds_NonXtal_Prot#'!$A:$AL,28,FALSE)-4,1)</f>
        <v>A</v>
      </c>
      <c r="AH41" s="49" t="str">
        <f>MID(VLOOKUP($A41,Seqs!$A:$B,2,FALSE),VLOOKUP($A41,'SegEnds_NonXtal_Prot#'!$A:$AL,28,FALSE),1)</f>
        <v>P</v>
      </c>
    </row>
    <row r="42" spans="1:34" s="2" customFormat="1" x14ac:dyDescent="0.2">
      <c r="A42" s="2" t="s">
        <v>903</v>
      </c>
      <c r="B42" s="2" t="str">
        <f>LOWER(VLOOKUP(A42,Xtal_Templ!A:B,2,FALSE))</f>
        <v>acm3_rat</v>
      </c>
      <c r="C42" s="2" t="str">
        <f>VLOOKUP(A42,Classification!A:D,2,FALSE)</f>
        <v>A</v>
      </c>
      <c r="D42" s="2" t="str">
        <f>IF(ISERROR(MATCH(A42,'SegEnds_Xtal_Prot#'!B:B, 0)), "NoXtal", "Xtal")</f>
        <v>Xtal</v>
      </c>
      <c r="G42" s="2" t="s">
        <v>5</v>
      </c>
      <c r="H42" s="4"/>
      <c r="R42" s="2" t="s">
        <v>9</v>
      </c>
      <c r="T42" s="4" t="s">
        <v>12</v>
      </c>
      <c r="V42" s="28" t="str">
        <f>MID(VLOOKUP($A42,Seqs!$A:$B,2,FALSE),VLOOKUP($A42,'SegEnds_NonXtal_Prot#'!A:AL,10,FALSE),1)</f>
        <v>D</v>
      </c>
      <c r="W42" s="49" t="str">
        <f>MID(VLOOKUP($A42,Seqs!$A:$B,2,FALSE),VLOOKUP($A42,'SegEnds_NonXtal_Prot#'!A:AL,10,FALSE)+6,1)</f>
        <v>I</v>
      </c>
      <c r="X42" s="49" t="str">
        <f>MID(VLOOKUP($A42,Seqs!$A:$B,2,FALSE),VLOOKUP($A42,'SegEnds_NonXtal_Prot#'!A:AL,10,FALSE)+7,1)</f>
        <v>S</v>
      </c>
      <c r="Y42" s="49" t="str">
        <f>MID(VLOOKUP($A42,Seqs!$A:$B,2,FALSE),VLOOKUP($A42,'SegEnds_NonXtal_Prot#'!A:AL,10,FALSE)+8,1)</f>
        <v>M</v>
      </c>
      <c r="Z42" s="49" t="str">
        <f>MID(VLOOKUP($A42,Seqs!$A:$B,2,FALSE),VLOOKUP($A42,'SegEnds_NonXtal_Prot#'!A:AL,10,FALSE)+9,1)</f>
        <v>N</v>
      </c>
      <c r="AA42" s="49" t="str">
        <f>MID(VLOOKUP($A42,Seqs!$A:$B,2,FALSE),VLOOKUP($A42,'SegEnds_NonXtal_Prot#'!A:AL,10,FALSE)+10,1)</f>
        <v>L</v>
      </c>
      <c r="AB42" s="28" t="str">
        <f>MID(VLOOKUP($A42,Seqs!$A:$B,2,FALSE),VLOOKUP($A42,'SegEnds_NonXtal_Prot#'!$A:$AL,22,FALSE)+6,1)</f>
        <v>L</v>
      </c>
      <c r="AC42" s="49" t="str">
        <f>MID(VLOOKUP($A42,Seqs!$A:$B,2,FALSE),VLOOKUP($A42,'SegEnds_NonXtal_Prot#'!$A:$AL,22,FALSE)+7,1)</f>
        <v>W</v>
      </c>
      <c r="AD42" s="49" t="str">
        <f>MID(VLOOKUP($A42,Seqs!$A:$B,2,FALSE),VLOOKUP($A42,'SegEnds_NonXtal_Prot#'!$A:$AL,22,FALSE)+8,1)</f>
        <v>A</v>
      </c>
      <c r="AE42" s="49" t="str">
        <f>MID(VLOOKUP($A42,Seqs!$A:$B,2,FALSE),VLOOKUP($A42,'SegEnds_NonXtal_Prot#'!$A:$AL,22,FALSE)+9,1)</f>
        <v>P</v>
      </c>
      <c r="AF42" s="49" t="str">
        <f>MID(VLOOKUP($A42,Seqs!$A:$B,2,FALSE),VLOOKUP($A42,'SegEnds_NonXtal_Prot#'!$A:$AL,22,FALSE)+10,1)</f>
        <v>A</v>
      </c>
      <c r="AG42" s="28" t="str">
        <f>MID(VLOOKUP($A42,Seqs!$A:$B,2,FALSE),VLOOKUP($A42,'SegEnds_NonXtal_Prot#'!$A:$AL,28,FALSE)-4,1)</f>
        <v>A</v>
      </c>
      <c r="AH42" s="49" t="str">
        <f>MID(VLOOKUP($A42,Seqs!$A:$B,2,FALSE),VLOOKUP($A42,'SegEnds_NonXtal_Prot#'!$A:$AL,28,FALSE),1)</f>
        <v>P</v>
      </c>
    </row>
    <row r="43" spans="1:34" s="2" customFormat="1" x14ac:dyDescent="0.2">
      <c r="A43" s="2" t="s">
        <v>150</v>
      </c>
      <c r="B43" s="2" t="str">
        <f>LOWER(VLOOKUP(A43,Xtal_Templ!A:B,2,FALSE))</f>
        <v>acm5_human</v>
      </c>
      <c r="C43" s="2" t="str">
        <f>VLOOKUP(A43,Classification!A:D,2,FALSE)</f>
        <v>A</v>
      </c>
      <c r="D43" s="2" t="str">
        <f>IF(ISERROR(MATCH(A43,'SegEnds_Xtal_Prot#'!B:B, 0)), "NoXtal", "Xtal")</f>
        <v>Xtal</v>
      </c>
      <c r="G43" s="2" t="s">
        <v>5</v>
      </c>
      <c r="H43" s="4"/>
      <c r="R43" s="2" t="s">
        <v>9</v>
      </c>
      <c r="T43" s="4" t="s">
        <v>12</v>
      </c>
      <c r="V43" s="28" t="str">
        <f>MID(VLOOKUP($A43,Seqs!$A:$B,2,FALSE),VLOOKUP($A43,'SegEnds_NonXtal_Prot#'!A:AL,10,FALSE),1)</f>
        <v>D</v>
      </c>
      <c r="W43" s="49" t="str">
        <f>MID(VLOOKUP($A43,Seqs!$A:$B,2,FALSE),VLOOKUP($A43,'SegEnds_NonXtal_Prot#'!A:AL,10,FALSE)+6,1)</f>
        <v>F</v>
      </c>
      <c r="X43" s="49" t="str">
        <f>MID(VLOOKUP($A43,Seqs!$A:$B,2,FALSE),VLOOKUP($A43,'SegEnds_NonXtal_Prot#'!A:AL,10,FALSE)+7,1)</f>
        <v>S</v>
      </c>
      <c r="Y43" s="49" t="str">
        <f>MID(VLOOKUP($A43,Seqs!$A:$B,2,FALSE),VLOOKUP($A43,'SegEnds_NonXtal_Prot#'!A:AL,10,FALSE)+8,1)</f>
        <v>M</v>
      </c>
      <c r="Z43" s="49" t="str">
        <f>MID(VLOOKUP($A43,Seqs!$A:$B,2,FALSE),VLOOKUP($A43,'SegEnds_NonXtal_Prot#'!A:AL,10,FALSE)+9,1)</f>
        <v>N</v>
      </c>
      <c r="AA43" s="49" t="str">
        <f>MID(VLOOKUP($A43,Seqs!$A:$B,2,FALSE),VLOOKUP($A43,'SegEnds_NonXtal_Prot#'!A:AL,10,FALSE)+10,1)</f>
        <v>L</v>
      </c>
      <c r="AB43" s="28" t="str">
        <f>MID(VLOOKUP($A43,Seqs!$A:$B,2,FALSE),VLOOKUP($A43,'SegEnds_NonXtal_Prot#'!$A:$AL,22,FALSE)+6,1)</f>
        <v>L</v>
      </c>
      <c r="AC43" s="49" t="str">
        <f>MID(VLOOKUP($A43,Seqs!$A:$B,2,FALSE),VLOOKUP($A43,'SegEnds_NonXtal_Prot#'!$A:$AL,22,FALSE)+7,1)</f>
        <v>W</v>
      </c>
      <c r="AD43" s="49" t="str">
        <f>MID(VLOOKUP($A43,Seqs!$A:$B,2,FALSE),VLOOKUP($A43,'SegEnds_NonXtal_Prot#'!$A:$AL,22,FALSE)+8,1)</f>
        <v>A</v>
      </c>
      <c r="AE43" s="49" t="str">
        <f>MID(VLOOKUP($A43,Seqs!$A:$B,2,FALSE),VLOOKUP($A43,'SegEnds_NonXtal_Prot#'!$A:$AL,22,FALSE)+9,1)</f>
        <v>P</v>
      </c>
      <c r="AF43" s="49" t="str">
        <f>MID(VLOOKUP($A43,Seqs!$A:$B,2,FALSE),VLOOKUP($A43,'SegEnds_NonXtal_Prot#'!$A:$AL,22,FALSE)+10,1)</f>
        <v>A</v>
      </c>
      <c r="AG43" s="28" t="str">
        <f>MID(VLOOKUP($A43,Seqs!$A:$B,2,FALSE),VLOOKUP($A43,'SegEnds_NonXtal_Prot#'!$A:$AL,28,FALSE)-4,1)</f>
        <v>A</v>
      </c>
      <c r="AH43" s="49" t="str">
        <f>MID(VLOOKUP($A43,Seqs!$A:$B,2,FALSE),VLOOKUP($A43,'SegEnds_NonXtal_Prot#'!$A:$AL,28,FALSE),1)</f>
        <v>P</v>
      </c>
    </row>
    <row r="44" spans="1:34" s="2" customFormat="1" ht="17" customHeight="1" x14ac:dyDescent="0.2">
      <c r="A44" s="2" t="s">
        <v>280</v>
      </c>
      <c r="B44" s="2" t="str">
        <f>LOWER(VLOOKUP(A44,Xtal_Templ!A:B,2,FALSE))</f>
        <v>acm3_rat</v>
      </c>
      <c r="C44" s="2" t="str">
        <f>VLOOKUP(A44,Classification!A:D,2,FALSE)</f>
        <v>A</v>
      </c>
      <c r="D44" s="2" t="str">
        <f>IF(ISERROR(MATCH(A44,'SegEnds_Xtal_Prot#'!B:B, 0)), "NoXtal", "Xtal")</f>
        <v>NoXtal</v>
      </c>
      <c r="G44" s="2" t="s">
        <v>5</v>
      </c>
      <c r="H44" s="4"/>
      <c r="N44" s="2" t="s">
        <v>14</v>
      </c>
      <c r="R44" s="2" t="s">
        <v>9</v>
      </c>
      <c r="T44" s="4" t="s">
        <v>12</v>
      </c>
      <c r="V44" s="28" t="str">
        <f>MID(VLOOKUP($A44,Seqs!$A:$B,2,FALSE),VLOOKUP($A44,'SegEnds_NonXtal_Prot#'!A:AL,10,FALSE),1)</f>
        <v>D</v>
      </c>
      <c r="W44" s="49" t="str">
        <f>MID(VLOOKUP($A44,Seqs!$A:$B,2,FALSE),VLOOKUP($A44,'SegEnds_NonXtal_Prot#'!A:AL,10,FALSE)+6,1)</f>
        <v>I</v>
      </c>
      <c r="X44" s="49" t="str">
        <f>MID(VLOOKUP($A44,Seqs!$A:$B,2,FALSE),VLOOKUP($A44,'SegEnds_NonXtal_Prot#'!A:AL,10,FALSE)+7,1)</f>
        <v>S</v>
      </c>
      <c r="Y44" s="49" t="str">
        <f>MID(VLOOKUP($A44,Seqs!$A:$B,2,FALSE),VLOOKUP($A44,'SegEnds_NonXtal_Prot#'!A:AL,10,FALSE)+8,1)</f>
        <v>I</v>
      </c>
      <c r="Z44" s="49" t="str">
        <f>MID(VLOOKUP($A44,Seqs!$A:$B,2,FALSE),VLOOKUP($A44,'SegEnds_NonXtal_Prot#'!A:AL,10,FALSE)+9,1)</f>
        <v>P</v>
      </c>
      <c r="AA44" s="49" t="str">
        <f>MID(VLOOKUP($A44,Seqs!$A:$B,2,FALSE),VLOOKUP($A44,'SegEnds_NonXtal_Prot#'!A:AL,10,FALSE)+10,1)</f>
        <v>L</v>
      </c>
      <c r="AB44" s="28" t="str">
        <f>MID(VLOOKUP($A44,Seqs!$A:$B,2,FALSE),VLOOKUP($A44,'SegEnds_NonXtal_Prot#'!$A:$AL,22,FALSE)+6,1)</f>
        <v>V</v>
      </c>
      <c r="AC44" s="49" t="str">
        <f>MID(VLOOKUP($A44,Seqs!$A:$B,2,FALSE),VLOOKUP($A44,'SegEnds_NonXtal_Prot#'!$A:$AL,22,FALSE)+7,1)</f>
        <v>N</v>
      </c>
      <c r="AD44" s="49" t="str">
        <f>MID(VLOOKUP($A44,Seqs!$A:$B,2,FALSE),VLOOKUP($A44,'SegEnds_NonXtal_Prot#'!$A:$AL,22,FALSE)+8,1)</f>
        <v>G</v>
      </c>
      <c r="AE44" s="49" t="str">
        <f>MID(VLOOKUP($A44,Seqs!$A:$B,2,FALSE),VLOOKUP($A44,'SegEnds_NonXtal_Prot#'!$A:$AL,22,FALSE)+9,1)</f>
        <v>P</v>
      </c>
      <c r="AF44" s="49" t="str">
        <f>MID(VLOOKUP($A44,Seqs!$A:$B,2,FALSE),VLOOKUP($A44,'SegEnds_NonXtal_Prot#'!$A:$AL,22,FALSE)+10,1)</f>
        <v>M</v>
      </c>
      <c r="AG44" s="28" t="str">
        <f>MID(VLOOKUP($A44,Seqs!$A:$B,2,FALSE),VLOOKUP($A44,'SegEnds_NonXtal_Prot#'!$A:$AL,28,FALSE)-4,1)</f>
        <v>E</v>
      </c>
      <c r="AH44" s="49" t="str">
        <f>MID(VLOOKUP($A44,Seqs!$A:$B,2,FALSE),VLOOKUP($A44,'SegEnds_NonXtal_Prot#'!$A:$AL,28,FALSE),1)</f>
        <v>P</v>
      </c>
    </row>
    <row r="45" spans="1:34" s="2" customFormat="1" x14ac:dyDescent="0.2">
      <c r="A45" s="2" t="s">
        <v>149</v>
      </c>
      <c r="B45" s="2" t="str">
        <f>LOWER(VLOOKUP(A45,Xtal_Templ!A:B,2,FALSE))</f>
        <v>acm4_human</v>
      </c>
      <c r="C45" s="2" t="str">
        <f>VLOOKUP(A45,Classification!A:D,2,FALSE)</f>
        <v>A</v>
      </c>
      <c r="D45" s="2" t="str">
        <f>IF(ISERROR(MATCH(A45,'SegEnds_Xtal_Prot#'!B:B, 0)), "NoXtal", "Xtal")</f>
        <v>Xtal</v>
      </c>
      <c r="G45" s="2" t="s">
        <v>5</v>
      </c>
      <c r="H45" s="4"/>
      <c r="R45" s="2" t="s">
        <v>9</v>
      </c>
      <c r="T45" s="4" t="s">
        <v>12</v>
      </c>
      <c r="V45" s="28" t="str">
        <f>MID(VLOOKUP($A45,Seqs!$A:$B,2,FALSE),VLOOKUP($A45,'SegEnds_NonXtal_Prot#'!A:AL,10,FALSE),1)</f>
        <v>D</v>
      </c>
      <c r="W45" s="49" t="str">
        <f>MID(VLOOKUP($A45,Seqs!$A:$B,2,FALSE),VLOOKUP($A45,'SegEnds_NonXtal_Prot#'!A:AL,10,FALSE)+6,1)</f>
        <v>F</v>
      </c>
      <c r="X45" s="49" t="str">
        <f>MID(VLOOKUP($A45,Seqs!$A:$B,2,FALSE),VLOOKUP($A45,'SegEnds_NonXtal_Prot#'!A:AL,10,FALSE)+7,1)</f>
        <v>S</v>
      </c>
      <c r="Y45" s="49" t="str">
        <f>MID(VLOOKUP($A45,Seqs!$A:$B,2,FALSE),VLOOKUP($A45,'SegEnds_NonXtal_Prot#'!A:AL,10,FALSE)+8,1)</f>
        <v>M</v>
      </c>
      <c r="Z45" s="49" t="str">
        <f>MID(VLOOKUP($A45,Seqs!$A:$B,2,FALSE),VLOOKUP($A45,'SegEnds_NonXtal_Prot#'!A:AL,10,FALSE)+9,1)</f>
        <v>N</v>
      </c>
      <c r="AA45" s="49" t="str">
        <f>MID(VLOOKUP($A45,Seqs!$A:$B,2,FALSE),VLOOKUP($A45,'SegEnds_NonXtal_Prot#'!A:AL,10,FALSE)+10,1)</f>
        <v>L</v>
      </c>
      <c r="AB45" s="28" t="str">
        <f>MID(VLOOKUP($A45,Seqs!$A:$B,2,FALSE),VLOOKUP($A45,'SegEnds_NonXtal_Prot#'!$A:$AL,22,FALSE)+6,1)</f>
        <v>L</v>
      </c>
      <c r="AC45" s="49" t="str">
        <f>MID(VLOOKUP($A45,Seqs!$A:$B,2,FALSE),VLOOKUP($A45,'SegEnds_NonXtal_Prot#'!$A:$AL,22,FALSE)+7,1)</f>
        <v>W</v>
      </c>
      <c r="AD45" s="49" t="str">
        <f>MID(VLOOKUP($A45,Seqs!$A:$B,2,FALSE),VLOOKUP($A45,'SegEnds_NonXtal_Prot#'!$A:$AL,22,FALSE)+8,1)</f>
        <v>A</v>
      </c>
      <c r="AE45" s="49" t="str">
        <f>MID(VLOOKUP($A45,Seqs!$A:$B,2,FALSE),VLOOKUP($A45,'SegEnds_NonXtal_Prot#'!$A:$AL,22,FALSE)+9,1)</f>
        <v>P</v>
      </c>
      <c r="AF45" s="49" t="str">
        <f>MID(VLOOKUP($A45,Seqs!$A:$B,2,FALSE),VLOOKUP($A45,'SegEnds_NonXtal_Prot#'!$A:$AL,22,FALSE)+10,1)</f>
        <v>A</v>
      </c>
      <c r="AG45" s="28" t="str">
        <f>MID(VLOOKUP($A45,Seqs!$A:$B,2,FALSE),VLOOKUP($A45,'SegEnds_NonXtal_Prot#'!$A:$AL,28,FALSE)-4,1)</f>
        <v>A</v>
      </c>
      <c r="AH45" s="49" t="str">
        <f>MID(VLOOKUP($A45,Seqs!$A:$B,2,FALSE),VLOOKUP($A45,'SegEnds_NonXtal_Prot#'!$A:$AL,28,FALSE),1)</f>
        <v>P</v>
      </c>
    </row>
    <row r="46" spans="1:34" s="2" customFormat="1" x14ac:dyDescent="0.2">
      <c r="A46" s="2" t="s">
        <v>227</v>
      </c>
      <c r="B46" s="2" t="str">
        <f>LOWER(VLOOKUP(A46,Xtal_Templ!A:B,2,FALSE))</f>
        <v>npy1r_human</v>
      </c>
      <c r="C46" s="2" t="str">
        <f>VLOOKUP(A46,Classification!A:D,2,FALSE)</f>
        <v>A</v>
      </c>
      <c r="D46" s="2" t="str">
        <f>IF(ISERROR(MATCH(A46,'SegEnds_Xtal_Prot#'!B:B, 0)), "NoXtal", "Xtal")</f>
        <v>NoXtal</v>
      </c>
      <c r="H46" s="4"/>
      <c r="T46" s="4" t="s">
        <v>12</v>
      </c>
      <c r="V46" s="28" t="str">
        <f>MID(VLOOKUP($A46,Seqs!$A:$B,2,FALSE),VLOOKUP($A46,'SegEnds_NonXtal_Prot#'!A:AL,10,FALSE),1)</f>
        <v>T</v>
      </c>
      <c r="W46" s="49" t="str">
        <f>MID(VLOOKUP($A46,Seqs!$A:$B,2,FALSE),VLOOKUP($A46,'SegEnds_NonXtal_Prot#'!A:AL,10,FALSE)+6,1)</f>
        <v>A</v>
      </c>
      <c r="X46" s="49" t="str">
        <f>MID(VLOOKUP($A46,Seqs!$A:$B,2,FALSE),VLOOKUP($A46,'SegEnds_NonXtal_Prot#'!A:AL,10,FALSE)+7,1)</f>
        <v>V</v>
      </c>
      <c r="Y46" s="49" t="str">
        <f>MID(VLOOKUP($A46,Seqs!$A:$B,2,FALSE),VLOOKUP($A46,'SegEnds_NonXtal_Prot#'!A:AL,10,FALSE)+8,1)</f>
        <v>P</v>
      </c>
      <c r="Z46" s="49" t="str">
        <f>MID(VLOOKUP($A46,Seqs!$A:$B,2,FALSE),VLOOKUP($A46,'SegEnds_NonXtal_Prot#'!A:AL,10,FALSE)+9,1)</f>
        <v>L</v>
      </c>
      <c r="AA46" s="49" t="str">
        <f>MID(VLOOKUP($A46,Seqs!$A:$B,2,FALSE),VLOOKUP($A46,'SegEnds_NonXtal_Prot#'!A:AL,10,FALSE)+10,1)</f>
        <v>T</v>
      </c>
      <c r="AB46" s="28" t="str">
        <f>MID(VLOOKUP($A46,Seqs!$A:$B,2,FALSE),VLOOKUP($A46,'SegEnds_NonXtal_Prot#'!$A:$AL,22,FALSE)+6,1)</f>
        <v>L</v>
      </c>
      <c r="AC46" s="49" t="str">
        <f>MID(VLOOKUP($A46,Seqs!$A:$B,2,FALSE),VLOOKUP($A46,'SegEnds_NonXtal_Prot#'!$A:$AL,22,FALSE)+7,1)</f>
        <v>S</v>
      </c>
      <c r="AD46" s="49" t="str">
        <f>MID(VLOOKUP($A46,Seqs!$A:$B,2,FALSE),VLOOKUP($A46,'SegEnds_NonXtal_Prot#'!$A:$AL,22,FALSE)+8,1)</f>
        <v>T</v>
      </c>
      <c r="AE46" s="49" t="str">
        <f>MID(VLOOKUP($A46,Seqs!$A:$B,2,FALSE),VLOOKUP($A46,'SegEnds_NonXtal_Prot#'!$A:$AL,22,FALSE)+9,1)</f>
        <v>L</v>
      </c>
      <c r="AF46" s="49" t="str">
        <f>MID(VLOOKUP($A46,Seqs!$A:$B,2,FALSE),VLOOKUP($A46,'SegEnds_NonXtal_Prot#'!$A:$AL,22,FALSE)+10,1)</f>
        <v>P</v>
      </c>
      <c r="AG46" s="28" t="str">
        <f>MID(VLOOKUP($A46,Seqs!$A:$B,2,FALSE),VLOOKUP($A46,'SegEnds_NonXtal_Prot#'!$A:$AL,28,FALSE)-4,1)</f>
        <v>L</v>
      </c>
      <c r="AH46" s="49" t="str">
        <f>MID(VLOOKUP($A46,Seqs!$A:$B,2,FALSE),VLOOKUP($A46,'SegEnds_NonXtal_Prot#'!$A:$AL,28,FALSE),1)</f>
        <v>I</v>
      </c>
    </row>
    <row r="47" spans="1:34" s="2" customFormat="1" x14ac:dyDescent="0.2">
      <c r="A47" s="2" t="s">
        <v>134</v>
      </c>
      <c r="B47" s="2" t="str">
        <f>LOWER(VLOOKUP(A47,Xtal_Templ!A:B,2,FALSE))</f>
        <v>adrb2_human</v>
      </c>
      <c r="C47" s="2" t="str">
        <f>VLOOKUP(A47,Classification!A:D,2,FALSE)</f>
        <v>A</v>
      </c>
      <c r="D47" s="2" t="str">
        <f>IF(ISERROR(MATCH(A47,'SegEnds_Xtal_Prot#'!B:B, 0)), "NoXtal", "Xtal")</f>
        <v>NoXtal</v>
      </c>
      <c r="G47" s="2" t="s">
        <v>5</v>
      </c>
      <c r="H47" s="4"/>
      <c r="R47" s="2" t="s">
        <v>9</v>
      </c>
      <c r="T47" s="4" t="s">
        <v>12</v>
      </c>
      <c r="V47" s="28" t="str">
        <f>MID(VLOOKUP($A47,Seqs!$A:$B,2,FALSE),VLOOKUP($A47,'SegEnds_NonXtal_Prot#'!A:AL,10,FALSE),1)</f>
        <v>D</v>
      </c>
      <c r="W47" s="49" t="str">
        <f>MID(VLOOKUP($A47,Seqs!$A:$B,2,FALSE),VLOOKUP($A47,'SegEnds_NonXtal_Prot#'!A:AL,10,FALSE)+6,1)</f>
        <v>L</v>
      </c>
      <c r="X47" s="49" t="str">
        <f>MID(VLOOKUP($A47,Seqs!$A:$B,2,FALSE),VLOOKUP($A47,'SegEnds_NonXtal_Prot#'!A:AL,10,FALSE)+7,1)</f>
        <v>V</v>
      </c>
      <c r="Y47" s="49" t="str">
        <f>MID(VLOOKUP($A47,Seqs!$A:$B,2,FALSE),VLOOKUP($A47,'SegEnds_NonXtal_Prot#'!A:AL,10,FALSE)+8,1)</f>
        <v>M</v>
      </c>
      <c r="Z47" s="49" t="str">
        <f>MID(VLOOKUP($A47,Seqs!$A:$B,2,FALSE),VLOOKUP($A47,'SegEnds_NonXtal_Prot#'!A:AL,10,FALSE)+9,1)</f>
        <v>P</v>
      </c>
      <c r="AA47" s="49" t="str">
        <f>MID(VLOOKUP($A47,Seqs!$A:$B,2,FALSE),VLOOKUP($A47,'SegEnds_NonXtal_Prot#'!A:AL,10,FALSE)+10,1)</f>
        <v>F</v>
      </c>
      <c r="AB47" s="28" t="str">
        <f>MID(VLOOKUP($A47,Seqs!$A:$B,2,FALSE),VLOOKUP($A47,'SegEnds_NonXtal_Prot#'!$A:$AL,22,FALSE)+6,1)</f>
        <v>I</v>
      </c>
      <c r="AC47" s="49" t="str">
        <f>MID(VLOOKUP($A47,Seqs!$A:$B,2,FALSE),VLOOKUP($A47,'SegEnds_NonXtal_Prot#'!$A:$AL,22,FALSE)+7,1)</f>
        <v>S</v>
      </c>
      <c r="AD47" s="49" t="str">
        <f>MID(VLOOKUP($A47,Seqs!$A:$B,2,FALSE),VLOOKUP($A47,'SegEnds_NonXtal_Prot#'!$A:$AL,22,FALSE)+8,1)</f>
        <v>F</v>
      </c>
      <c r="AE47" s="49" t="str">
        <f>MID(VLOOKUP($A47,Seqs!$A:$B,2,FALSE),VLOOKUP($A47,'SegEnds_NonXtal_Prot#'!$A:$AL,22,FALSE)+9,1)</f>
        <v>L</v>
      </c>
      <c r="AF47" s="49" t="str">
        <f>MID(VLOOKUP($A47,Seqs!$A:$B,2,FALSE),VLOOKUP($A47,'SegEnds_NonXtal_Prot#'!$A:$AL,22,FALSE)+10,1)</f>
        <v>P</v>
      </c>
      <c r="AG47" s="28" t="str">
        <f>MID(VLOOKUP($A47,Seqs!$A:$B,2,FALSE),VLOOKUP($A47,'SegEnds_NonXtal_Prot#'!$A:$AL,28,FALSE)-4,1)</f>
        <v>A</v>
      </c>
      <c r="AH47" s="49" t="str">
        <f>MID(VLOOKUP($A47,Seqs!$A:$B,2,FALSE),VLOOKUP($A47,'SegEnds_NonXtal_Prot#'!$A:$AL,28,FALSE),1)</f>
        <v>P</v>
      </c>
    </row>
    <row r="48" spans="1:34" s="2" customFormat="1" x14ac:dyDescent="0.2">
      <c r="A48" s="2" t="s">
        <v>136</v>
      </c>
      <c r="B48" s="2" t="str">
        <f>LOWER(VLOOKUP(A48,Xtal_Templ!A:B,2,FALSE))</f>
        <v>5ht2c_human</v>
      </c>
      <c r="C48" s="2" t="str">
        <f>VLOOKUP(A48,Classification!A:D,2,FALSE)</f>
        <v>A</v>
      </c>
      <c r="D48" s="2" t="str">
        <f>IF(ISERROR(MATCH(A48,'SegEnds_Xtal_Prot#'!B:B, 0)), "NoXtal", "Xtal")</f>
        <v>NoXtal</v>
      </c>
      <c r="G48" s="2" t="s">
        <v>5</v>
      </c>
      <c r="H48" s="4"/>
      <c r="R48" s="2" t="s">
        <v>9</v>
      </c>
      <c r="T48" s="4" t="s">
        <v>12</v>
      </c>
      <c r="V48" s="28" t="str">
        <f>MID(VLOOKUP($A48,Seqs!$A:$B,2,FALSE),VLOOKUP($A48,'SegEnds_NonXtal_Prot#'!A:AL,10,FALSE),1)</f>
        <v>D</v>
      </c>
      <c r="W48" s="49" t="str">
        <f>MID(VLOOKUP($A48,Seqs!$A:$B,2,FALSE),VLOOKUP($A48,'SegEnds_NonXtal_Prot#'!A:AL,10,FALSE)+6,1)</f>
        <v>V</v>
      </c>
      <c r="X48" s="49" t="str">
        <f>MID(VLOOKUP($A48,Seqs!$A:$B,2,FALSE),VLOOKUP($A48,'SegEnds_NonXtal_Prot#'!A:AL,10,FALSE)+7,1)</f>
        <v>V</v>
      </c>
      <c r="Y48" s="49" t="str">
        <f>MID(VLOOKUP($A48,Seqs!$A:$B,2,FALSE),VLOOKUP($A48,'SegEnds_NonXtal_Prot#'!A:AL,10,FALSE)+8,1)</f>
        <v>M</v>
      </c>
      <c r="Z48" s="49" t="str">
        <f>MID(VLOOKUP($A48,Seqs!$A:$B,2,FALSE),VLOOKUP($A48,'SegEnds_NonXtal_Prot#'!A:AL,10,FALSE)+9,1)</f>
        <v>P</v>
      </c>
      <c r="AA48" s="49" t="str">
        <f>MID(VLOOKUP($A48,Seqs!$A:$B,2,FALSE),VLOOKUP($A48,'SegEnds_NonXtal_Prot#'!A:AL,10,FALSE)+10,1)</f>
        <v>P</v>
      </c>
      <c r="AB48" s="28" t="str">
        <f>MID(VLOOKUP($A48,Seqs!$A:$B,2,FALSE),VLOOKUP($A48,'SegEnds_NonXtal_Prot#'!$A:$AL,22,FALSE)+6,1)</f>
        <v>A</v>
      </c>
      <c r="AC48" s="49" t="str">
        <f>MID(VLOOKUP($A48,Seqs!$A:$B,2,FALSE),VLOOKUP($A48,'SegEnds_NonXtal_Prot#'!$A:$AL,22,FALSE)+7,1)</f>
        <v>S</v>
      </c>
      <c r="AD48" s="49" t="str">
        <f>MID(VLOOKUP($A48,Seqs!$A:$B,2,FALSE),VLOOKUP($A48,'SegEnds_NonXtal_Prot#'!$A:$AL,22,FALSE)+8,1)</f>
        <v>F</v>
      </c>
      <c r="AE48" s="49" t="str">
        <f>MID(VLOOKUP($A48,Seqs!$A:$B,2,FALSE),VLOOKUP($A48,'SegEnds_NonXtal_Prot#'!$A:$AL,22,FALSE)+9,1)</f>
        <v>L</v>
      </c>
      <c r="AF48" s="49" t="str">
        <f>MID(VLOOKUP($A48,Seqs!$A:$B,2,FALSE),VLOOKUP($A48,'SegEnds_NonXtal_Prot#'!$A:$AL,22,FALSE)+10,1)</f>
        <v>P</v>
      </c>
      <c r="AG48" s="28" t="str">
        <f>MID(VLOOKUP($A48,Seqs!$A:$B,2,FALSE),VLOOKUP($A48,'SegEnds_NonXtal_Prot#'!$A:$AL,28,FALSE)-4,1)</f>
        <v>T</v>
      </c>
      <c r="AH48" s="49" t="str">
        <f>MID(VLOOKUP($A48,Seqs!$A:$B,2,FALSE),VLOOKUP($A48,'SegEnds_NonXtal_Prot#'!$A:$AL,28,FALSE),1)</f>
        <v>P</v>
      </c>
    </row>
    <row r="49" spans="1:34" s="2" customFormat="1" x14ac:dyDescent="0.2">
      <c r="A49" s="2" t="s">
        <v>153</v>
      </c>
      <c r="B49" s="2" t="str">
        <f>LOWER(VLOOKUP(A49,Xtal_Templ!A:B,2,FALSE))</f>
        <v>drd2_human</v>
      </c>
      <c r="C49" s="2" t="str">
        <f>VLOOKUP(A49,Classification!A:D,2,FALSE)</f>
        <v>A</v>
      </c>
      <c r="D49" s="2" t="str">
        <f>IF(ISERROR(MATCH(A49,'SegEnds_Xtal_Prot#'!B:B, 0)), "NoXtal", "Xtal")</f>
        <v>NoXtal</v>
      </c>
      <c r="G49" s="2" t="s">
        <v>5</v>
      </c>
      <c r="H49" s="4"/>
      <c r="R49" s="2" t="s">
        <v>9</v>
      </c>
      <c r="T49" s="4" t="s">
        <v>12</v>
      </c>
      <c r="V49" s="28" t="str">
        <f>MID(VLOOKUP($A49,Seqs!$A:$B,2,FALSE),VLOOKUP($A49,'SegEnds_NonXtal_Prot#'!A:AL,10,FALSE),1)</f>
        <v>D</v>
      </c>
      <c r="W49" s="49" t="str">
        <f>MID(VLOOKUP($A49,Seqs!$A:$B,2,FALSE),VLOOKUP($A49,'SegEnds_NonXtal_Prot#'!A:AL,10,FALSE)+6,1)</f>
        <v>T</v>
      </c>
      <c r="X49" s="49" t="str">
        <f>MID(VLOOKUP($A49,Seqs!$A:$B,2,FALSE),VLOOKUP($A49,'SegEnds_NonXtal_Prot#'!A:AL,10,FALSE)+7,1)</f>
        <v>V</v>
      </c>
      <c r="Y49" s="49" t="str">
        <f>MID(VLOOKUP($A49,Seqs!$A:$B,2,FALSE),VLOOKUP($A49,'SegEnds_NonXtal_Prot#'!A:AL,10,FALSE)+8,1)</f>
        <v>L</v>
      </c>
      <c r="Z49" s="49" t="str">
        <f>MID(VLOOKUP($A49,Seqs!$A:$B,2,FALSE),VLOOKUP($A49,'SegEnds_NonXtal_Prot#'!A:AL,10,FALSE)+9,1)</f>
        <v>P</v>
      </c>
      <c r="AA49" s="49" t="str">
        <f>MID(VLOOKUP($A49,Seqs!$A:$B,2,FALSE),VLOOKUP($A49,'SegEnds_NonXtal_Prot#'!A:AL,10,FALSE)+10,1)</f>
        <v>F</v>
      </c>
      <c r="AB49" s="28" t="str">
        <f>MID(VLOOKUP($A49,Seqs!$A:$B,2,FALSE),VLOOKUP($A49,'SegEnds_NonXtal_Prot#'!$A:$AL,22,FALSE)+6,1)</f>
        <v>I</v>
      </c>
      <c r="AC49" s="49" t="str">
        <f>MID(VLOOKUP($A49,Seqs!$A:$B,2,FALSE),VLOOKUP($A49,'SegEnds_NonXtal_Prot#'!$A:$AL,22,FALSE)+7,1)</f>
        <v>S</v>
      </c>
      <c r="AD49" s="49" t="str">
        <f>MID(VLOOKUP($A49,Seqs!$A:$B,2,FALSE),VLOOKUP($A49,'SegEnds_NonXtal_Prot#'!$A:$AL,22,FALSE)+8,1)</f>
        <v>I</v>
      </c>
      <c r="AE49" s="49" t="str">
        <f>MID(VLOOKUP($A49,Seqs!$A:$B,2,FALSE),VLOOKUP($A49,'SegEnds_NonXtal_Prot#'!$A:$AL,22,FALSE)+9,1)</f>
        <v>G</v>
      </c>
      <c r="AF49" s="49" t="str">
        <f>MID(VLOOKUP($A49,Seqs!$A:$B,2,FALSE),VLOOKUP($A49,'SegEnds_NonXtal_Prot#'!$A:$AL,22,FALSE)+10,1)</f>
        <v>P</v>
      </c>
      <c r="AG49" s="28" t="str">
        <f>MID(VLOOKUP($A49,Seqs!$A:$B,2,FALSE),VLOOKUP($A49,'SegEnds_NonXtal_Prot#'!$A:$AL,28,FALSE)-4,1)</f>
        <v>S</v>
      </c>
      <c r="AH49" s="49" t="str">
        <f>MID(VLOOKUP($A49,Seqs!$A:$B,2,FALSE),VLOOKUP($A49,'SegEnds_NonXtal_Prot#'!$A:$AL,28,FALSE),1)</f>
        <v>P</v>
      </c>
    </row>
    <row r="50" spans="1:34" s="2" customFormat="1" x14ac:dyDescent="0.2">
      <c r="A50" s="2" t="s">
        <v>154</v>
      </c>
      <c r="B50" s="2" t="str">
        <f>LOWER(VLOOKUP(A50,Xtal_Templ!A:B,2,FALSE))</f>
        <v>adrb2_human</v>
      </c>
      <c r="C50" s="2" t="str">
        <f>VLOOKUP(A50,Classification!A:D,2,FALSE)</f>
        <v>A</v>
      </c>
      <c r="D50" s="2" t="str">
        <f>IF(ISERROR(MATCH(A50,'SegEnds_Xtal_Prot#'!B:B, 0)), "NoXtal", "Xtal")</f>
        <v>NoXtal</v>
      </c>
      <c r="G50" s="2" t="s">
        <v>5</v>
      </c>
      <c r="H50" s="4"/>
      <c r="R50" s="2" t="s">
        <v>9</v>
      </c>
      <c r="T50" s="4" t="s">
        <v>12</v>
      </c>
      <c r="V50" s="28" t="str">
        <f>MID(VLOOKUP($A50,Seqs!$A:$B,2,FALSE),VLOOKUP($A50,'SegEnds_NonXtal_Prot#'!A:AL,10,FALSE),1)</f>
        <v>D</v>
      </c>
      <c r="W50" s="49" t="str">
        <f>MID(VLOOKUP($A50,Seqs!$A:$B,2,FALSE),VLOOKUP($A50,'SegEnds_NonXtal_Prot#'!A:AL,10,FALSE)+6,1)</f>
        <v>T</v>
      </c>
      <c r="X50" s="49" t="str">
        <f>MID(VLOOKUP($A50,Seqs!$A:$B,2,FALSE),VLOOKUP($A50,'SegEnds_NonXtal_Prot#'!A:AL,10,FALSE)+7,1)</f>
        <v>V</v>
      </c>
      <c r="Y50" s="49" t="str">
        <f>MID(VLOOKUP($A50,Seqs!$A:$B,2,FALSE),VLOOKUP($A50,'SegEnds_NonXtal_Prot#'!A:AL,10,FALSE)+8,1)</f>
        <v>L</v>
      </c>
      <c r="Z50" s="49" t="str">
        <f>MID(VLOOKUP($A50,Seqs!$A:$B,2,FALSE),VLOOKUP($A50,'SegEnds_NonXtal_Prot#'!A:AL,10,FALSE)+9,1)</f>
        <v>P</v>
      </c>
      <c r="AA50" s="49" t="str">
        <f>MID(VLOOKUP($A50,Seqs!$A:$B,2,FALSE),VLOOKUP($A50,'SegEnds_NonXtal_Prot#'!A:AL,10,FALSE)+10,1)</f>
        <v>F</v>
      </c>
      <c r="AB50" s="28" t="str">
        <f>MID(VLOOKUP($A50,Seqs!$A:$B,2,FALSE),VLOOKUP($A50,'SegEnds_NonXtal_Prot#'!$A:$AL,22,FALSE)+6,1)</f>
        <v>V</v>
      </c>
      <c r="AC50" s="49" t="str">
        <f>MID(VLOOKUP($A50,Seqs!$A:$B,2,FALSE),VLOOKUP($A50,'SegEnds_NonXtal_Prot#'!$A:$AL,22,FALSE)+7,1)</f>
        <v>S</v>
      </c>
      <c r="AD50" s="49" t="str">
        <f>MID(VLOOKUP($A50,Seqs!$A:$B,2,FALSE),VLOOKUP($A50,'SegEnds_NonXtal_Prot#'!$A:$AL,22,FALSE)+8,1)</f>
        <v>V</v>
      </c>
      <c r="AE50" s="49" t="str">
        <f>MID(VLOOKUP($A50,Seqs!$A:$B,2,FALSE),VLOOKUP($A50,'SegEnds_NonXtal_Prot#'!$A:$AL,22,FALSE)+9,1)</f>
        <v>G</v>
      </c>
      <c r="AF50" s="49" t="str">
        <f>MID(VLOOKUP($A50,Seqs!$A:$B,2,FALSE),VLOOKUP($A50,'SegEnds_NonXtal_Prot#'!$A:$AL,22,FALSE)+10,1)</f>
        <v>P</v>
      </c>
      <c r="AG50" s="28" t="str">
        <f>MID(VLOOKUP($A50,Seqs!$A:$B,2,FALSE),VLOOKUP($A50,'SegEnds_NonXtal_Prot#'!$A:$AL,28,FALSE)-4,1)</f>
        <v>S</v>
      </c>
      <c r="AH50" s="49" t="str">
        <f>MID(VLOOKUP($A50,Seqs!$A:$B,2,FALSE),VLOOKUP($A50,'SegEnds_NonXtal_Prot#'!$A:$AL,28,FALSE),1)</f>
        <v>P</v>
      </c>
    </row>
    <row r="51" spans="1:34" s="2" customFormat="1" x14ac:dyDescent="0.2">
      <c r="A51" s="2" t="s">
        <v>125</v>
      </c>
      <c r="B51" s="2" t="str">
        <f>LOWER(VLOOKUP(A51,Xtal_Templ!A:B,2,FALSE))</f>
        <v>adrb2_human</v>
      </c>
      <c r="C51" s="2" t="str">
        <f>VLOOKUP(A51,Classification!A:D,2,FALSE)</f>
        <v>A</v>
      </c>
      <c r="D51" s="2" t="str">
        <f>IF(ISERROR(MATCH(A51,'SegEnds_Xtal_Prot#'!B:B, 0)), "NoXtal", "Xtal")</f>
        <v>NoXtal</v>
      </c>
      <c r="G51" s="2" t="s">
        <v>5</v>
      </c>
      <c r="H51" s="4"/>
      <c r="R51" s="2" t="s">
        <v>9</v>
      </c>
      <c r="T51" s="4" t="s">
        <v>12</v>
      </c>
      <c r="V51" s="28" t="str">
        <f>MID(VLOOKUP($A51,Seqs!$A:$B,2,FALSE),VLOOKUP($A51,'SegEnds_NonXtal_Prot#'!A:AL,10,FALSE),1)</f>
        <v>D</v>
      </c>
      <c r="W51" s="49" t="str">
        <f>MID(VLOOKUP($A51,Seqs!$A:$B,2,FALSE),VLOOKUP($A51,'SegEnds_NonXtal_Prot#'!A:AL,10,FALSE)+6,1)</f>
        <v>L</v>
      </c>
      <c r="X51" s="49" t="str">
        <f>MID(VLOOKUP($A51,Seqs!$A:$B,2,FALSE),VLOOKUP($A51,'SegEnds_NonXtal_Prot#'!A:AL,10,FALSE)+7,1)</f>
        <v>V</v>
      </c>
      <c r="Y51" s="49" t="str">
        <f>MID(VLOOKUP($A51,Seqs!$A:$B,2,FALSE),VLOOKUP($A51,'SegEnds_NonXtal_Prot#'!A:AL,10,FALSE)+8,1)</f>
        <v>V</v>
      </c>
      <c r="Z51" s="49" t="str">
        <f>MID(VLOOKUP($A51,Seqs!$A:$B,2,FALSE),VLOOKUP($A51,'SegEnds_NonXtal_Prot#'!A:AL,10,FALSE)+9,1)</f>
        <v>P</v>
      </c>
      <c r="AA51" s="49" t="str">
        <f>MID(VLOOKUP($A51,Seqs!$A:$B,2,FALSE),VLOOKUP($A51,'SegEnds_NonXtal_Prot#'!A:AL,10,FALSE)+10,1)</f>
        <v>F</v>
      </c>
      <c r="AB51" s="28" t="str">
        <f>MID(VLOOKUP($A51,Seqs!$A:$B,2,FALSE),VLOOKUP($A51,'SegEnds_NonXtal_Prot#'!$A:$AL,22,FALSE)+6,1)</f>
        <v>V</v>
      </c>
      <c r="AC51" s="49" t="str">
        <f>MID(VLOOKUP($A51,Seqs!$A:$B,2,FALSE),VLOOKUP($A51,'SegEnds_NonXtal_Prot#'!$A:$AL,22,FALSE)+7,1)</f>
        <v>S</v>
      </c>
      <c r="AD51" s="49" t="str">
        <f>MID(VLOOKUP($A51,Seqs!$A:$B,2,FALSE),VLOOKUP($A51,'SegEnds_NonXtal_Prot#'!$A:$AL,22,FALSE)+8,1)</f>
        <v>F</v>
      </c>
      <c r="AE51" s="49" t="str">
        <f>MID(VLOOKUP($A51,Seqs!$A:$B,2,FALSE),VLOOKUP($A51,'SegEnds_NonXtal_Prot#'!$A:$AL,22,FALSE)+9,1)</f>
        <v>L</v>
      </c>
      <c r="AF51" s="49" t="str">
        <f>MID(VLOOKUP($A51,Seqs!$A:$B,2,FALSE),VLOOKUP($A51,'SegEnds_NonXtal_Prot#'!$A:$AL,22,FALSE)+10,1)</f>
        <v>P</v>
      </c>
      <c r="AG51" s="28" t="str">
        <f>MID(VLOOKUP($A51,Seqs!$A:$B,2,FALSE),VLOOKUP($A51,'SegEnds_NonXtal_Prot#'!$A:$AL,28,FALSE)-4,1)</f>
        <v>S</v>
      </c>
      <c r="AH51" s="49" t="str">
        <f>MID(VLOOKUP($A51,Seqs!$A:$B,2,FALSE),VLOOKUP($A51,'SegEnds_NonXtal_Prot#'!$A:$AL,28,FALSE),1)</f>
        <v>P</v>
      </c>
    </row>
    <row r="52" spans="1:34" s="2" customFormat="1" x14ac:dyDescent="0.2">
      <c r="A52" s="2" t="s">
        <v>905</v>
      </c>
      <c r="B52" s="2" t="str">
        <f>LOWER(VLOOKUP(A52,Xtal_Templ!A:B,2,FALSE))</f>
        <v>adrb1_melga</v>
      </c>
      <c r="C52" s="2" t="str">
        <f>VLOOKUP(A52,Classification!A:D,2,FALSE)</f>
        <v>A</v>
      </c>
      <c r="D52" s="2" t="str">
        <f>IF(ISERROR(MATCH(A52,'SegEnds_Xtal_Prot#'!B:B, 0)), "NoXtal", "Xtal")</f>
        <v>Xtal</v>
      </c>
      <c r="G52" s="2" t="s">
        <v>5</v>
      </c>
      <c r="H52" s="4"/>
      <c r="R52" s="2" t="s">
        <v>9</v>
      </c>
      <c r="T52" s="4" t="s">
        <v>12</v>
      </c>
      <c r="V52" s="28" t="str">
        <f>MID(VLOOKUP($A52,Seqs!$A:$B,2,FALSE),VLOOKUP($A52,'SegEnds_NonXtal_Prot#'!A:AL,10,FALSE),1)</f>
        <v>D</v>
      </c>
      <c r="W52" s="49" t="str">
        <f>MID(VLOOKUP($A52,Seqs!$A:$B,2,FALSE),VLOOKUP($A52,'SegEnds_NonXtal_Prot#'!A:AL,10,FALSE)+6,1)</f>
        <v>L</v>
      </c>
      <c r="X52" s="49" t="str">
        <f>MID(VLOOKUP($A52,Seqs!$A:$B,2,FALSE),VLOOKUP($A52,'SegEnds_NonXtal_Prot#'!A:AL,10,FALSE)+7,1)</f>
        <v>V</v>
      </c>
      <c r="Y52" s="49" t="str">
        <f>MID(VLOOKUP($A52,Seqs!$A:$B,2,FALSE),VLOOKUP($A52,'SegEnds_NonXtal_Prot#'!A:AL,10,FALSE)+8,1)</f>
        <v>V</v>
      </c>
      <c r="Z52" s="49" t="str">
        <f>MID(VLOOKUP($A52,Seqs!$A:$B,2,FALSE),VLOOKUP($A52,'SegEnds_NonXtal_Prot#'!A:AL,10,FALSE)+9,1)</f>
        <v>P</v>
      </c>
      <c r="AA52" s="49" t="str">
        <f>MID(VLOOKUP($A52,Seqs!$A:$B,2,FALSE),VLOOKUP($A52,'SegEnds_NonXtal_Prot#'!A:AL,10,FALSE)+10,1)</f>
        <v>F</v>
      </c>
      <c r="AB52" s="28" t="str">
        <f>MID(VLOOKUP($A52,Seqs!$A:$B,2,FALSE),VLOOKUP($A52,'SegEnds_NonXtal_Prot#'!$A:$AL,22,FALSE)+6,1)</f>
        <v>V</v>
      </c>
      <c r="AC52" s="49" t="str">
        <f>MID(VLOOKUP($A52,Seqs!$A:$B,2,FALSE),VLOOKUP($A52,'SegEnds_NonXtal_Prot#'!$A:$AL,22,FALSE)+7,1)</f>
        <v>S</v>
      </c>
      <c r="AD52" s="49" t="str">
        <f>MID(VLOOKUP($A52,Seqs!$A:$B,2,FALSE),VLOOKUP($A52,'SegEnds_NonXtal_Prot#'!$A:$AL,22,FALSE)+8,1)</f>
        <v>F</v>
      </c>
      <c r="AE52" s="49" t="str">
        <f>MID(VLOOKUP($A52,Seqs!$A:$B,2,FALSE),VLOOKUP($A52,'SegEnds_NonXtal_Prot#'!$A:$AL,22,FALSE)+9,1)</f>
        <v>L</v>
      </c>
      <c r="AF52" s="49" t="str">
        <f>MID(VLOOKUP($A52,Seqs!$A:$B,2,FALSE),VLOOKUP($A52,'SegEnds_NonXtal_Prot#'!$A:$AL,22,FALSE)+10,1)</f>
        <v>P</v>
      </c>
      <c r="AG52" s="28" t="str">
        <f>MID(VLOOKUP($A52,Seqs!$A:$B,2,FALSE),VLOOKUP($A52,'SegEnds_NonXtal_Prot#'!$A:$AL,28,FALSE)-4,1)</f>
        <v>S</v>
      </c>
      <c r="AH52" s="49" t="str">
        <f>MID(VLOOKUP($A52,Seqs!$A:$B,2,FALSE),VLOOKUP($A52,'SegEnds_NonXtal_Prot#'!$A:$AL,28,FALSE),1)</f>
        <v>P</v>
      </c>
    </row>
    <row r="53" spans="1:34" s="2" customFormat="1" x14ac:dyDescent="0.2">
      <c r="A53" s="2" t="s">
        <v>102</v>
      </c>
      <c r="B53" s="2" t="str">
        <f>LOWER(VLOOKUP(A53,Xtal_Templ!A:B,2,FALSE))</f>
        <v>adrb2_human</v>
      </c>
      <c r="C53" s="2" t="str">
        <f>VLOOKUP(A53,Classification!A:D,2,FALSE)</f>
        <v>A</v>
      </c>
      <c r="D53" s="2" t="str">
        <f>IF(ISERROR(MATCH(A53,'SegEnds_Xtal_Prot#'!B:B, 0)), "NoXtal", "Xtal")</f>
        <v>NoXtal</v>
      </c>
      <c r="G53" s="2" t="s">
        <v>5</v>
      </c>
      <c r="H53" s="4"/>
      <c r="R53" s="2" t="s">
        <v>9</v>
      </c>
      <c r="T53" s="4" t="s">
        <v>12</v>
      </c>
      <c r="V53" s="28" t="str">
        <f>MID(VLOOKUP($A53,Seqs!$A:$B,2,FALSE),VLOOKUP($A53,'SegEnds_NonXtal_Prot#'!A:AL,10,FALSE),1)</f>
        <v>D</v>
      </c>
      <c r="W53" s="49" t="str">
        <f>MID(VLOOKUP($A53,Seqs!$A:$B,2,FALSE),VLOOKUP($A53,'SegEnds_NonXtal_Prot#'!A:AL,10,FALSE)+6,1)</f>
        <v>L</v>
      </c>
      <c r="X53" s="49" t="str">
        <f>MID(VLOOKUP($A53,Seqs!$A:$B,2,FALSE),VLOOKUP($A53,'SegEnds_NonXtal_Prot#'!A:AL,10,FALSE)+7,1)</f>
        <v>V</v>
      </c>
      <c r="Y53" s="49" t="str">
        <f>MID(VLOOKUP($A53,Seqs!$A:$B,2,FALSE),VLOOKUP($A53,'SegEnds_NonXtal_Prot#'!A:AL,10,FALSE)+8,1)</f>
        <v>V</v>
      </c>
      <c r="Z53" s="49" t="str">
        <f>MID(VLOOKUP($A53,Seqs!$A:$B,2,FALSE),VLOOKUP($A53,'SegEnds_NonXtal_Prot#'!A:AL,10,FALSE)+9,1)</f>
        <v>P</v>
      </c>
      <c r="AA53" s="49" t="str">
        <f>MID(VLOOKUP($A53,Seqs!$A:$B,2,FALSE),VLOOKUP($A53,'SegEnds_NonXtal_Prot#'!A:AL,10,FALSE)+10,1)</f>
        <v>P</v>
      </c>
      <c r="AB53" s="28" t="str">
        <f>MID(VLOOKUP($A53,Seqs!$A:$B,2,FALSE),VLOOKUP($A53,'SegEnds_NonXtal_Prot#'!$A:$AL,22,FALSE)+6,1)</f>
        <v>V</v>
      </c>
      <c r="AC53" s="49" t="str">
        <f>MID(VLOOKUP($A53,Seqs!$A:$B,2,FALSE),VLOOKUP($A53,'SegEnds_NonXtal_Prot#'!$A:$AL,22,FALSE)+7,1)</f>
        <v>S</v>
      </c>
      <c r="AD53" s="49" t="str">
        <f>MID(VLOOKUP($A53,Seqs!$A:$B,2,FALSE),VLOOKUP($A53,'SegEnds_NonXtal_Prot#'!$A:$AL,22,FALSE)+8,1)</f>
        <v>F</v>
      </c>
      <c r="AE53" s="49" t="str">
        <f>MID(VLOOKUP($A53,Seqs!$A:$B,2,FALSE),VLOOKUP($A53,'SegEnds_NonXtal_Prot#'!$A:$AL,22,FALSE)+9,1)</f>
        <v>A</v>
      </c>
      <c r="AF53" s="49" t="str">
        <f>MID(VLOOKUP($A53,Seqs!$A:$B,2,FALSE),VLOOKUP($A53,'SegEnds_NonXtal_Prot#'!$A:$AL,22,FALSE)+10,1)</f>
        <v>P</v>
      </c>
      <c r="AG53" s="28" t="str">
        <f>MID(VLOOKUP($A53,Seqs!$A:$B,2,FALSE),VLOOKUP($A53,'SegEnds_NonXtal_Prot#'!$A:$AL,28,FALSE)-4,1)</f>
        <v>S</v>
      </c>
      <c r="AH53" s="49" t="str">
        <f>MID(VLOOKUP($A53,Seqs!$A:$B,2,FALSE),VLOOKUP($A53,'SegEnds_NonXtal_Prot#'!$A:$AL,28,FALSE),1)</f>
        <v>P</v>
      </c>
    </row>
    <row r="54" spans="1:34" s="2" customFormat="1" x14ac:dyDescent="0.2">
      <c r="A54" s="2" t="s">
        <v>190</v>
      </c>
      <c r="B54" s="2" t="str">
        <f>LOWER(VLOOKUP(A54,Xtal_Templ!A:B,2,FALSE))</f>
        <v>adrb2_human</v>
      </c>
      <c r="C54" s="2" t="str">
        <f>VLOOKUP(A54,Classification!A:D,2,FALSE)</f>
        <v>A</v>
      </c>
      <c r="D54" s="2" t="str">
        <f>IF(ISERROR(MATCH(A54,'SegEnds_Xtal_Prot#'!B:B, 0)), "NoXtal", "Xtal")</f>
        <v>NoXtal</v>
      </c>
      <c r="G54" s="2" t="s">
        <v>5</v>
      </c>
      <c r="H54" s="4"/>
      <c r="R54" s="2" t="s">
        <v>9</v>
      </c>
      <c r="T54" s="4" t="s">
        <v>12</v>
      </c>
      <c r="V54" s="28" t="str">
        <f>MID(VLOOKUP($A54,Seqs!$A:$B,2,FALSE),VLOOKUP($A54,'SegEnds_NonXtal_Prot#'!A:AL,10,FALSE),1)</f>
        <v>D</v>
      </c>
      <c r="W54" s="49" t="str">
        <f>MID(VLOOKUP($A54,Seqs!$A:$B,2,FALSE),VLOOKUP($A54,'SegEnds_NonXtal_Prot#'!A:AL,10,FALSE)+6,1)</f>
        <v>L</v>
      </c>
      <c r="X54" s="49" t="str">
        <f>MID(VLOOKUP($A54,Seqs!$A:$B,2,FALSE),VLOOKUP($A54,'SegEnds_NonXtal_Prot#'!A:AL,10,FALSE)+7,1)</f>
        <v>V</v>
      </c>
      <c r="Y54" s="49" t="str">
        <f>MID(VLOOKUP($A54,Seqs!$A:$B,2,FALSE),VLOOKUP($A54,'SegEnds_NonXtal_Prot#'!A:AL,10,FALSE)+8,1)</f>
        <v>M</v>
      </c>
      <c r="Z54" s="49" t="str">
        <f>MID(VLOOKUP($A54,Seqs!$A:$B,2,FALSE),VLOOKUP($A54,'SegEnds_NonXtal_Prot#'!A:AL,10,FALSE)+9,1)</f>
        <v>P</v>
      </c>
      <c r="AA54" s="49" t="str">
        <f>MID(VLOOKUP($A54,Seqs!$A:$B,2,FALSE),VLOOKUP($A54,'SegEnds_NonXtal_Prot#'!A:AL,10,FALSE)+10,1)</f>
        <v>W</v>
      </c>
      <c r="AB54" s="28" t="str">
        <f>MID(VLOOKUP($A54,Seqs!$A:$B,2,FALSE),VLOOKUP($A54,'SegEnds_NonXtal_Prot#'!$A:$AL,22,FALSE)+6,1)</f>
        <v>I</v>
      </c>
      <c r="AC54" s="49" t="str">
        <f>MID(VLOOKUP($A54,Seqs!$A:$B,2,FALSE),VLOOKUP($A54,'SegEnds_NonXtal_Prot#'!$A:$AL,22,FALSE)+7,1)</f>
        <v>S</v>
      </c>
      <c r="AD54" s="49" t="str">
        <f>MID(VLOOKUP($A54,Seqs!$A:$B,2,FALSE),VLOOKUP($A54,'SegEnds_NonXtal_Prot#'!$A:$AL,22,FALSE)+8,1)</f>
        <v>F</v>
      </c>
      <c r="AE54" s="49" t="str">
        <f>MID(VLOOKUP($A54,Seqs!$A:$B,2,FALSE),VLOOKUP($A54,'SegEnds_NonXtal_Prot#'!$A:$AL,22,FALSE)+9,1)</f>
        <v>I</v>
      </c>
      <c r="AF54" s="49" t="str">
        <f>MID(VLOOKUP($A54,Seqs!$A:$B,2,FALSE),VLOOKUP($A54,'SegEnds_NonXtal_Prot#'!$A:$AL,22,FALSE)+10,1)</f>
        <v>P</v>
      </c>
      <c r="AG54" s="28" t="str">
        <f>MID(VLOOKUP($A54,Seqs!$A:$B,2,FALSE),VLOOKUP($A54,'SegEnds_NonXtal_Prot#'!$A:$AL,28,FALSE)-4,1)</f>
        <v>S</v>
      </c>
      <c r="AH54" s="49" t="str">
        <f>MID(VLOOKUP($A54,Seqs!$A:$B,2,FALSE),VLOOKUP($A54,'SegEnds_NonXtal_Prot#'!$A:$AL,28,FALSE),1)</f>
        <v>P</v>
      </c>
    </row>
    <row r="55" spans="1:34" s="2" customFormat="1" x14ac:dyDescent="0.2">
      <c r="A55" s="2" t="s">
        <v>194</v>
      </c>
      <c r="B55" s="2" t="str">
        <f>LOWER(VLOOKUP(A55,Xtal_Templ!A:B,2,FALSE))</f>
        <v>adrb2_human</v>
      </c>
      <c r="C55" s="2" t="str">
        <f>VLOOKUP(A55,Classification!A:D,2,FALSE)</f>
        <v>A</v>
      </c>
      <c r="D55" s="2" t="str">
        <f>IF(ISERROR(MATCH(A55,'SegEnds_Xtal_Prot#'!B:B, 0)), "NoXtal", "Xtal")</f>
        <v>NoXtal</v>
      </c>
      <c r="G55" s="2" t="s">
        <v>5</v>
      </c>
      <c r="H55" s="4"/>
      <c r="R55" s="2" t="s">
        <v>9</v>
      </c>
      <c r="T55" s="4" t="s">
        <v>12</v>
      </c>
      <c r="V55" s="28" t="str">
        <f>MID(VLOOKUP($A55,Seqs!$A:$B,2,FALSE),VLOOKUP($A55,'SegEnds_NonXtal_Prot#'!A:AL,10,FALSE),1)</f>
        <v>D</v>
      </c>
      <c r="W55" s="49" t="str">
        <f>MID(VLOOKUP($A55,Seqs!$A:$B,2,FALSE),VLOOKUP($A55,'SegEnds_NonXtal_Prot#'!A:AL,10,FALSE)+6,1)</f>
        <v>L</v>
      </c>
      <c r="X55" s="49" t="str">
        <f>MID(VLOOKUP($A55,Seqs!$A:$B,2,FALSE),VLOOKUP($A55,'SegEnds_NonXtal_Prot#'!A:AL,10,FALSE)+7,1)</f>
        <v>V</v>
      </c>
      <c r="Y55" s="49" t="str">
        <f>MID(VLOOKUP($A55,Seqs!$A:$B,2,FALSE),VLOOKUP($A55,'SegEnds_NonXtal_Prot#'!A:AL,10,FALSE)+8,1)</f>
        <v>M</v>
      </c>
      <c r="Z55" s="49" t="str">
        <f>MID(VLOOKUP($A55,Seqs!$A:$B,2,FALSE),VLOOKUP($A55,'SegEnds_NonXtal_Prot#'!A:AL,10,FALSE)+9,1)</f>
        <v>P</v>
      </c>
      <c r="AA55" s="49" t="str">
        <f>MID(VLOOKUP($A55,Seqs!$A:$B,2,FALSE),VLOOKUP($A55,'SegEnds_NonXtal_Prot#'!A:AL,10,FALSE)+10,1)</f>
        <v>W</v>
      </c>
      <c r="AB55" s="28" t="str">
        <f>MID(VLOOKUP($A55,Seqs!$A:$B,2,FALSE),VLOOKUP($A55,'SegEnds_NonXtal_Prot#'!$A:$AL,22,FALSE)+6,1)</f>
        <v>I</v>
      </c>
      <c r="AC55" s="49" t="str">
        <f>MID(VLOOKUP($A55,Seqs!$A:$B,2,FALSE),VLOOKUP($A55,'SegEnds_NonXtal_Prot#'!$A:$AL,22,FALSE)+7,1)</f>
        <v>S</v>
      </c>
      <c r="AD55" s="49" t="str">
        <f>MID(VLOOKUP($A55,Seqs!$A:$B,2,FALSE),VLOOKUP($A55,'SegEnds_NonXtal_Prot#'!$A:$AL,22,FALSE)+8,1)</f>
        <v>F</v>
      </c>
      <c r="AE55" s="49" t="str">
        <f>MID(VLOOKUP($A55,Seqs!$A:$B,2,FALSE),VLOOKUP($A55,'SegEnds_NonXtal_Prot#'!$A:$AL,22,FALSE)+9,1)</f>
        <v>I</v>
      </c>
      <c r="AF55" s="49" t="str">
        <f>MID(VLOOKUP($A55,Seqs!$A:$B,2,FALSE),VLOOKUP($A55,'SegEnds_NonXtal_Prot#'!$A:$AL,22,FALSE)+10,1)</f>
        <v>P</v>
      </c>
      <c r="AG55" s="28" t="str">
        <f>MID(VLOOKUP($A55,Seqs!$A:$B,2,FALSE),VLOOKUP($A55,'SegEnds_NonXtal_Prot#'!$A:$AL,28,FALSE)-4,1)</f>
        <v>S</v>
      </c>
      <c r="AH55" s="49" t="str">
        <f>MID(VLOOKUP($A55,Seqs!$A:$B,2,FALSE),VLOOKUP($A55,'SegEnds_NonXtal_Prot#'!$A:$AL,28,FALSE),1)</f>
        <v>P</v>
      </c>
    </row>
    <row r="56" spans="1:34" s="2" customFormat="1" x14ac:dyDescent="0.2">
      <c r="A56" s="2" t="s">
        <v>211</v>
      </c>
      <c r="B56" s="2" t="str">
        <f>LOWER(VLOOKUP(A56,Xtal_Templ!A:B,2,FALSE))</f>
        <v>ccr5_human</v>
      </c>
      <c r="C56" s="2" t="str">
        <f>VLOOKUP(A56,Classification!A:D,2,FALSE)</f>
        <v>A</v>
      </c>
      <c r="D56" s="2" t="str">
        <f>IF(ISERROR(MATCH(A56,'SegEnds_Xtal_Prot#'!B:B, 0)), "NoXtal", "Xtal")</f>
        <v>NoXtal</v>
      </c>
      <c r="G56" s="2" t="s">
        <v>5</v>
      </c>
      <c r="H56" s="4"/>
      <c r="T56" s="4" t="s">
        <v>12</v>
      </c>
      <c r="V56" s="28" t="str">
        <f>MID(VLOOKUP($A56,Seqs!$A:$B,2,FALSE),VLOOKUP($A56,'SegEnds_NonXtal_Prot#'!A:AL,10,FALSE),1)</f>
        <v>D</v>
      </c>
      <c r="W56" s="49" t="str">
        <f>MID(VLOOKUP($A56,Seqs!$A:$B,2,FALSE),VLOOKUP($A56,'SegEnds_NonXtal_Prot#'!A:AL,10,FALSE)+6,1)</f>
        <v>L</v>
      </c>
      <c r="X56" s="49" t="str">
        <f>MID(VLOOKUP($A56,Seqs!$A:$B,2,FALSE),VLOOKUP($A56,'SegEnds_NonXtal_Prot#'!A:AL,10,FALSE)+7,1)</f>
        <v>V</v>
      </c>
      <c r="Y56" s="49" t="str">
        <f>MID(VLOOKUP($A56,Seqs!$A:$B,2,FALSE),VLOOKUP($A56,'SegEnds_NonXtal_Prot#'!A:AL,10,FALSE)+8,1)</f>
        <v>A</v>
      </c>
      <c r="Z56" s="49" t="str">
        <f>MID(VLOOKUP($A56,Seqs!$A:$B,2,FALSE),VLOOKUP($A56,'SegEnds_NonXtal_Prot#'!A:AL,10,FALSE)+9,1)</f>
        <v>P</v>
      </c>
      <c r="AA56" s="49" t="str">
        <f>MID(VLOOKUP($A56,Seqs!$A:$B,2,FALSE),VLOOKUP($A56,'SegEnds_NonXtal_Prot#'!A:AL,10,FALSE)+10,1)</f>
        <v>W</v>
      </c>
      <c r="AB56" s="28" t="str">
        <f>MID(VLOOKUP($A56,Seqs!$A:$B,2,FALSE),VLOOKUP($A56,'SegEnds_NonXtal_Prot#'!$A:$AL,22,FALSE)+6,1)</f>
        <v>Q</v>
      </c>
      <c r="AC56" s="49" t="str">
        <f>MID(VLOOKUP($A56,Seqs!$A:$B,2,FALSE),VLOOKUP($A56,'SegEnds_NonXtal_Prot#'!$A:$AL,22,FALSE)+7,1)</f>
        <v>S</v>
      </c>
      <c r="AD56" s="49" t="str">
        <f>MID(VLOOKUP($A56,Seqs!$A:$B,2,FALSE),VLOOKUP($A56,'SegEnds_NonXtal_Prot#'!$A:$AL,22,FALSE)+8,1)</f>
        <v>T</v>
      </c>
      <c r="AE56" s="49" t="str">
        <f>MID(VLOOKUP($A56,Seqs!$A:$B,2,FALSE),VLOOKUP($A56,'SegEnds_NonXtal_Prot#'!$A:$AL,22,FALSE)+9,1)</f>
        <v>P</v>
      </c>
      <c r="AF56" s="49" t="str">
        <f>MID(VLOOKUP($A56,Seqs!$A:$B,2,FALSE),VLOOKUP($A56,'SegEnds_NonXtal_Prot#'!$A:$AL,22,FALSE)+10,1)</f>
        <v>P</v>
      </c>
      <c r="AG56" s="28" t="str">
        <f>MID(VLOOKUP($A56,Seqs!$A:$B,2,FALSE),VLOOKUP($A56,'SegEnds_NonXtal_Prot#'!$A:$AL,28,FALSE)-4,1)</f>
        <v>F</v>
      </c>
      <c r="AH56" s="49" t="str">
        <f>MID(VLOOKUP($A56,Seqs!$A:$B,2,FALSE),VLOOKUP($A56,'SegEnds_NonXtal_Prot#'!$A:$AL,28,FALSE),1)</f>
        <v>P</v>
      </c>
    </row>
    <row r="57" spans="1:34" s="2" customFormat="1" x14ac:dyDescent="0.2">
      <c r="A57" s="2" t="s">
        <v>258</v>
      </c>
      <c r="B57" s="2" t="str">
        <f>LOWER(VLOOKUP(A57,Xtal_Templ!A:B,2,FALSE))</f>
        <v>5ht1b_human</v>
      </c>
      <c r="C57" s="2" t="str">
        <f>VLOOKUP(A57,Classification!A:D,2,FALSE)</f>
        <v>A</v>
      </c>
      <c r="D57" s="2" t="str">
        <f>IF(ISERROR(MATCH(A57,'SegEnds_Xtal_Prot#'!B:B, 0)), "NoXtal", "Xtal")</f>
        <v>NoXtal</v>
      </c>
      <c r="G57" s="2" t="s">
        <v>5</v>
      </c>
      <c r="H57" s="4"/>
      <c r="N57" s="2" t="s">
        <v>14</v>
      </c>
      <c r="R57" s="2" t="s">
        <v>9</v>
      </c>
      <c r="T57" s="4" t="s">
        <v>12</v>
      </c>
      <c r="V57" s="28" t="str">
        <f>MID(VLOOKUP($A57,Seqs!$A:$B,2,FALSE),VLOOKUP($A57,'SegEnds_NonXtal_Prot#'!A:AL,10,FALSE),1)</f>
        <v>D</v>
      </c>
      <c r="W57" s="49" t="str">
        <f>MID(VLOOKUP($A57,Seqs!$A:$B,2,FALSE),VLOOKUP($A57,'SegEnds_NonXtal_Prot#'!A:AL,10,FALSE)+6,1)</f>
        <v>C</v>
      </c>
      <c r="X57" s="49" t="str">
        <f>MID(VLOOKUP($A57,Seqs!$A:$B,2,FALSE),VLOOKUP($A57,'SegEnds_NonXtal_Prot#'!A:AL,10,FALSE)+7,1)</f>
        <v>C</v>
      </c>
      <c r="Y57" s="49" t="str">
        <f>MID(VLOOKUP($A57,Seqs!$A:$B,2,FALSE),VLOOKUP($A57,'SegEnds_NonXtal_Prot#'!A:AL,10,FALSE)+8,1)</f>
        <v>M</v>
      </c>
      <c r="Z57" s="49" t="str">
        <f>MID(VLOOKUP($A57,Seqs!$A:$B,2,FALSE),VLOOKUP($A57,'SegEnds_NonXtal_Prot#'!A:AL,10,FALSE)+9,1)</f>
        <v>P</v>
      </c>
      <c r="AA57" s="49" t="str">
        <f>MID(VLOOKUP($A57,Seqs!$A:$B,2,FALSE),VLOOKUP($A57,'SegEnds_NonXtal_Prot#'!A:AL,10,FALSE)+10,1)</f>
        <v>F</v>
      </c>
      <c r="AB57" s="28" t="str">
        <f>MID(VLOOKUP($A57,Seqs!$A:$B,2,FALSE),VLOOKUP($A57,'SegEnds_NonXtal_Prot#'!$A:$AL,22,FALSE)+6,1)</f>
        <v>I</v>
      </c>
      <c r="AC57" s="49" t="str">
        <f>MID(VLOOKUP($A57,Seqs!$A:$B,2,FALSE),VLOOKUP($A57,'SegEnds_NonXtal_Prot#'!$A:$AL,22,FALSE)+7,1)</f>
        <v>A</v>
      </c>
      <c r="AD57" s="49" t="str">
        <f>MID(VLOOKUP($A57,Seqs!$A:$B,2,FALSE),VLOOKUP($A57,'SegEnds_NonXtal_Prot#'!$A:$AL,22,FALSE)+8,1)</f>
        <v>G</v>
      </c>
      <c r="AE57" s="49" t="str">
        <f>MID(VLOOKUP($A57,Seqs!$A:$B,2,FALSE),VLOOKUP($A57,'SegEnds_NonXtal_Prot#'!$A:$AL,22,FALSE)+9,1)</f>
        <v>P</v>
      </c>
      <c r="AF57" s="49" t="str">
        <f>MID(VLOOKUP($A57,Seqs!$A:$B,2,FALSE),VLOOKUP($A57,'SegEnds_NonXtal_Prot#'!$A:$AL,22,FALSE)+10,1)</f>
        <v>S</v>
      </c>
      <c r="AG57" s="28" t="str">
        <f>MID(VLOOKUP($A57,Seqs!$A:$B,2,FALSE),VLOOKUP($A57,'SegEnds_NonXtal_Prot#'!$A:$AL,28,FALSE)-4,1)</f>
        <v>V</v>
      </c>
      <c r="AH57" s="49" t="str">
        <f>MID(VLOOKUP($A57,Seqs!$A:$B,2,FALSE),VLOOKUP($A57,'SegEnds_NonXtal_Prot#'!$A:$AL,28,FALSE),1)</f>
        <v>P</v>
      </c>
    </row>
    <row r="58" spans="1:34" s="2" customFormat="1" x14ac:dyDescent="0.2">
      <c r="A58" s="2" t="s">
        <v>278</v>
      </c>
      <c r="B58" s="2" t="str">
        <f>LOWER(VLOOKUP(A58,Xtal_Templ!A:B,2,FALSE))</f>
        <v>adrb2_human</v>
      </c>
      <c r="C58" s="2" t="str">
        <f>VLOOKUP(A58,Classification!A:D,2,FALSE)</f>
        <v>A</v>
      </c>
      <c r="D58" s="2" t="str">
        <f>IF(ISERROR(MATCH(A58,'SegEnds_Xtal_Prot#'!B:B, 0)), "NoXtal", "Xtal")</f>
        <v>NoXtal</v>
      </c>
      <c r="G58" s="2" t="s">
        <v>5</v>
      </c>
      <c r="H58" s="4"/>
      <c r="R58" s="2" t="s">
        <v>9</v>
      </c>
      <c r="T58" s="4" t="s">
        <v>12</v>
      </c>
      <c r="V58" s="28" t="str">
        <f>MID(VLOOKUP($A58,Seqs!$A:$B,2,FALSE),VLOOKUP($A58,'SegEnds_NonXtal_Prot#'!A:AL,10,FALSE),1)</f>
        <v>D</v>
      </c>
      <c r="W58" s="49" t="str">
        <f>MID(VLOOKUP($A58,Seqs!$A:$B,2,FALSE),VLOOKUP($A58,'SegEnds_NonXtal_Prot#'!A:AL,10,FALSE)+6,1)</f>
        <v>L</v>
      </c>
      <c r="X58" s="49" t="str">
        <f>MID(VLOOKUP($A58,Seqs!$A:$B,2,FALSE),VLOOKUP($A58,'SegEnds_NonXtal_Prot#'!A:AL,10,FALSE)+7,1)</f>
        <v>V</v>
      </c>
      <c r="Y58" s="49" t="str">
        <f>MID(VLOOKUP($A58,Seqs!$A:$B,2,FALSE),VLOOKUP($A58,'SegEnds_NonXtal_Prot#'!A:AL,10,FALSE)+8,1)</f>
        <v>L</v>
      </c>
      <c r="Z58" s="49" t="str">
        <f>MID(VLOOKUP($A58,Seqs!$A:$B,2,FALSE),VLOOKUP($A58,'SegEnds_NonXtal_Prot#'!A:AL,10,FALSE)+9,1)</f>
        <v>P</v>
      </c>
      <c r="AA58" s="49" t="str">
        <f>MID(VLOOKUP($A58,Seqs!$A:$B,2,FALSE),VLOOKUP($A58,'SegEnds_NonXtal_Prot#'!A:AL,10,FALSE)+10,1)</f>
        <v>F</v>
      </c>
      <c r="AB58" s="28" t="str">
        <f>MID(VLOOKUP($A58,Seqs!$A:$B,2,FALSE),VLOOKUP($A58,'SegEnds_NonXtal_Prot#'!$A:$AL,22,FALSE)+6,1)</f>
        <v>L</v>
      </c>
      <c r="AC58" s="49" t="str">
        <f>MID(VLOOKUP($A58,Seqs!$A:$B,2,FALSE),VLOOKUP($A58,'SegEnds_NonXtal_Prot#'!$A:$AL,22,FALSE)+7,1)</f>
        <v>S</v>
      </c>
      <c r="AD58" s="49" t="str">
        <f>MID(VLOOKUP($A58,Seqs!$A:$B,2,FALSE),VLOOKUP($A58,'SegEnds_NonXtal_Prot#'!$A:$AL,22,FALSE)+8,1)</f>
        <v>F</v>
      </c>
      <c r="AE58" s="49" t="str">
        <f>MID(VLOOKUP($A58,Seqs!$A:$B,2,FALSE),VLOOKUP($A58,'SegEnds_NonXtal_Prot#'!$A:$AL,22,FALSE)+9,1)</f>
        <v>L</v>
      </c>
      <c r="AF58" s="49" t="str">
        <f>MID(VLOOKUP($A58,Seqs!$A:$B,2,FALSE),VLOOKUP($A58,'SegEnds_NonXtal_Prot#'!$A:$AL,22,FALSE)+10,1)</f>
        <v>S</v>
      </c>
      <c r="AG58" s="28" t="str">
        <f>MID(VLOOKUP($A58,Seqs!$A:$B,2,FALSE),VLOOKUP($A58,'SegEnds_NonXtal_Prot#'!$A:$AL,28,FALSE)-4,1)</f>
        <v>T</v>
      </c>
      <c r="AH58" s="49" t="str">
        <f>MID(VLOOKUP($A58,Seqs!$A:$B,2,FALSE),VLOOKUP($A58,'SegEnds_NonXtal_Prot#'!$A:$AL,28,FALSE),1)</f>
        <v>P</v>
      </c>
    </row>
    <row r="59" spans="1:34" s="2" customFormat="1" x14ac:dyDescent="0.2">
      <c r="A59" s="2" t="s">
        <v>310</v>
      </c>
      <c r="B59" s="2" t="str">
        <f>LOWER(VLOOKUP(A59,Xtal_Templ!A:B,2,FALSE))</f>
        <v>mtr1a_human</v>
      </c>
      <c r="C59" s="2" t="str">
        <f>VLOOKUP(A59,Classification!A:D,2,FALSE)</f>
        <v>A</v>
      </c>
      <c r="D59" s="2" t="str">
        <f>IF(ISERROR(MATCH(A59,'SegEnds_Xtal_Prot#'!B:B, 0)), "NoXtal", "Xtal")</f>
        <v>Xtal</v>
      </c>
      <c r="G59" s="2" t="s">
        <v>5</v>
      </c>
      <c r="H59" s="4"/>
      <c r="N59" s="2" t="s">
        <v>14</v>
      </c>
      <c r="R59" s="2" t="s">
        <v>9</v>
      </c>
      <c r="T59" s="4" t="s">
        <v>12</v>
      </c>
      <c r="V59" s="28" t="str">
        <f>MID(VLOOKUP($A59,Seqs!$A:$B,2,FALSE),VLOOKUP($A59,'SegEnds_NonXtal_Prot#'!A:AL,10,FALSE),1)</f>
        <v>D</v>
      </c>
      <c r="W59" s="49" t="str">
        <f>MID(VLOOKUP($A59,Seqs!$A:$B,2,FALSE),VLOOKUP($A59,'SegEnds_NonXtal_Prot#'!A:AL,10,FALSE)+6,1)</f>
        <v>Y</v>
      </c>
      <c r="X59" s="49" t="str">
        <f>MID(VLOOKUP($A59,Seqs!$A:$B,2,FALSE),VLOOKUP($A59,'SegEnds_NonXtal_Prot#'!A:AL,10,FALSE)+7,1)</f>
        <v>P</v>
      </c>
      <c r="Y59" s="49" t="str">
        <f>MID(VLOOKUP($A59,Seqs!$A:$B,2,FALSE),VLOOKUP($A59,'SegEnds_NonXtal_Prot#'!A:AL,10,FALSE)+8,1)</f>
        <v>Y</v>
      </c>
      <c r="Z59" s="49" t="str">
        <f>MID(VLOOKUP($A59,Seqs!$A:$B,2,FALSE),VLOOKUP($A59,'SegEnds_NonXtal_Prot#'!A:AL,10,FALSE)+9,1)</f>
        <v>P</v>
      </c>
      <c r="AA59" s="49" t="str">
        <f>MID(VLOOKUP($A59,Seqs!$A:$B,2,FALSE),VLOOKUP($A59,'SegEnds_NonXtal_Prot#'!A:AL,10,FALSE)+10,1)</f>
        <v>L</v>
      </c>
      <c r="AB59" s="28" t="str">
        <f>MID(VLOOKUP($A59,Seqs!$A:$B,2,FALSE),VLOOKUP($A59,'SegEnds_NonXtal_Prot#'!$A:$AL,22,FALSE)+6,1)</f>
        <v>A</v>
      </c>
      <c r="AC59" s="49" t="str">
        <f>MID(VLOOKUP($A59,Seqs!$A:$B,2,FALSE),VLOOKUP($A59,'SegEnds_NonXtal_Prot#'!$A:$AL,22,FALSE)+7,1)</f>
        <v>V</v>
      </c>
      <c r="AD59" s="49" t="str">
        <f>MID(VLOOKUP($A59,Seqs!$A:$B,2,FALSE),VLOOKUP($A59,'SegEnds_NonXtal_Prot#'!$A:$AL,22,FALSE)+8,1)</f>
        <v>L</v>
      </c>
      <c r="AE59" s="49" t="str">
        <f>MID(VLOOKUP($A59,Seqs!$A:$B,2,FALSE),VLOOKUP($A59,'SegEnds_NonXtal_Prot#'!$A:$AL,22,FALSE)+9,1)</f>
        <v>P</v>
      </c>
      <c r="AF59" s="49" t="str">
        <f>MID(VLOOKUP($A59,Seqs!$A:$B,2,FALSE),VLOOKUP($A59,'SegEnds_NonXtal_Prot#'!$A:$AL,22,FALSE)+10,1)</f>
        <v>N</v>
      </c>
      <c r="AG59" s="28" t="str">
        <f>MID(VLOOKUP($A59,Seqs!$A:$B,2,FALSE),VLOOKUP($A59,'SegEnds_NonXtal_Prot#'!$A:$AL,28,FALSE)-4,1)</f>
        <v>H</v>
      </c>
      <c r="AH59" s="49" t="str">
        <f>MID(VLOOKUP($A59,Seqs!$A:$B,2,FALSE),VLOOKUP($A59,'SegEnds_NonXtal_Prot#'!$A:$AL,28,FALSE),1)</f>
        <v>P</v>
      </c>
    </row>
    <row r="60" spans="1:34" s="2" customFormat="1" x14ac:dyDescent="0.2">
      <c r="A60" s="2" t="s">
        <v>375</v>
      </c>
      <c r="B60" s="2" t="str">
        <f>LOWER(VLOOKUP(A60,Xtal_Templ!A:B,2,FALSE))</f>
        <v>aa1r_human</v>
      </c>
      <c r="C60" s="2" t="str">
        <f>VLOOKUP(A60,Classification!A:D,2,FALSE)</f>
        <v>A</v>
      </c>
      <c r="D60" s="2" t="str">
        <f>IF(ISERROR(MATCH(A60,'SegEnds_Xtal_Prot#'!B:B, 0)), "NoXtal", "Xtal")</f>
        <v>NoXtal</v>
      </c>
      <c r="H60" s="4"/>
      <c r="T60" s="4" t="s">
        <v>12</v>
      </c>
      <c r="V60" s="28" t="str">
        <f>MID(VLOOKUP($A60,Seqs!$A:$B,2,FALSE),VLOOKUP($A60,'SegEnds_NonXtal_Prot#'!A:AL,10,FALSE),1)</f>
        <v>D</v>
      </c>
      <c r="W60" s="49" t="str">
        <f>MID(VLOOKUP($A60,Seqs!$A:$B,2,FALSE),VLOOKUP($A60,'SegEnds_NonXtal_Prot#'!A:AL,10,FALSE)+6,1)</f>
        <v>Y</v>
      </c>
      <c r="X60" s="49" t="str">
        <f>MID(VLOOKUP($A60,Seqs!$A:$B,2,FALSE),VLOOKUP($A60,'SegEnds_NonXtal_Prot#'!A:AL,10,FALSE)+7,1)</f>
        <v>L</v>
      </c>
      <c r="Y60" s="49" t="str">
        <f>MID(VLOOKUP($A60,Seqs!$A:$B,2,FALSE),VLOOKUP($A60,'SegEnds_NonXtal_Prot#'!A:AL,10,FALSE)+8,1)</f>
        <v>F</v>
      </c>
      <c r="Z60" s="49" t="str">
        <f>MID(VLOOKUP($A60,Seqs!$A:$B,2,FALSE),VLOOKUP($A60,'SegEnds_NonXtal_Prot#'!A:AL,10,FALSE)+9,1)</f>
        <v>F</v>
      </c>
      <c r="AA60" s="49" t="str">
        <f>MID(VLOOKUP($A60,Seqs!$A:$B,2,FALSE),VLOOKUP($A60,'SegEnds_NonXtal_Prot#'!A:AL,10,FALSE)+10,1)</f>
        <v>V</v>
      </c>
      <c r="AB60" s="28" t="str">
        <f>MID(VLOOKUP($A60,Seqs!$A:$B,2,FALSE),VLOOKUP($A60,'SegEnds_NonXtal_Prot#'!$A:$AL,22,FALSE)+6,1)</f>
        <v>I</v>
      </c>
      <c r="AC60" s="49" t="str">
        <f>MID(VLOOKUP($A60,Seqs!$A:$B,2,FALSE),VLOOKUP($A60,'SegEnds_NonXtal_Prot#'!$A:$AL,22,FALSE)+7,1)</f>
        <v>A</v>
      </c>
      <c r="AD60" s="49" t="str">
        <f>MID(VLOOKUP($A60,Seqs!$A:$B,2,FALSE),VLOOKUP($A60,'SegEnds_NonXtal_Prot#'!$A:$AL,22,FALSE)+8,1)</f>
        <v>V</v>
      </c>
      <c r="AE60" s="49" t="str">
        <f>MID(VLOOKUP($A60,Seqs!$A:$B,2,FALSE),VLOOKUP($A60,'SegEnds_NonXtal_Prot#'!$A:$AL,22,FALSE)+9,1)</f>
        <v>I</v>
      </c>
      <c r="AF60" s="49" t="str">
        <f>MID(VLOOKUP($A60,Seqs!$A:$B,2,FALSE),VLOOKUP($A60,'SegEnds_NonXtal_Prot#'!$A:$AL,22,FALSE)+10,1)</f>
        <v>P</v>
      </c>
      <c r="AG60" s="28" t="str">
        <f>MID(VLOOKUP($A60,Seqs!$A:$B,2,FALSE),VLOOKUP($A60,'SegEnds_NonXtal_Prot#'!$A:$AL,28,FALSE)-4,1)</f>
        <v>V</v>
      </c>
      <c r="AH60" s="49" t="str">
        <f>MID(VLOOKUP($A60,Seqs!$A:$B,2,FALSE),VLOOKUP($A60,'SegEnds_NonXtal_Prot#'!$A:$AL,28,FALSE),1)</f>
        <v>A</v>
      </c>
    </row>
    <row r="61" spans="1:34" s="2" customFormat="1" x14ac:dyDescent="0.2">
      <c r="A61" s="2" t="s">
        <v>386</v>
      </c>
      <c r="B61" s="2" t="str">
        <f>LOWER(VLOOKUP(A61,Xtal_Templ!A:B,2,FALSE))</f>
        <v>drd2_human</v>
      </c>
      <c r="C61" s="2" t="str">
        <f>VLOOKUP(A61,Classification!A:D,2,FALSE)</f>
        <v>A</v>
      </c>
      <c r="D61" s="2" t="str">
        <f>IF(ISERROR(MATCH(A61,'SegEnds_Xtal_Prot#'!B:B, 0)), "NoXtal", "Xtal")</f>
        <v>NoXtal</v>
      </c>
      <c r="G61" s="2" t="s">
        <v>5</v>
      </c>
      <c r="H61" s="4"/>
      <c r="R61" s="2" t="s">
        <v>9</v>
      </c>
      <c r="T61" s="4" t="s">
        <v>12</v>
      </c>
      <c r="V61" s="28" t="str">
        <f>MID(VLOOKUP($A61,Seqs!$A:$B,2,FALSE),VLOOKUP($A61,'SegEnds_NonXtal_Prot#'!A:AL,10,FALSE),1)</f>
        <v>D</v>
      </c>
      <c r="W61" s="49" t="str">
        <f>MID(VLOOKUP($A61,Seqs!$A:$B,2,FALSE),VLOOKUP($A61,'SegEnds_NonXtal_Prot#'!A:AL,10,FALSE)+6,1)</f>
        <v>L</v>
      </c>
      <c r="X61" s="49" t="str">
        <f>MID(VLOOKUP($A61,Seqs!$A:$B,2,FALSE),VLOOKUP($A61,'SegEnds_NonXtal_Prot#'!A:AL,10,FALSE)+7,1)</f>
        <v>V</v>
      </c>
      <c r="Y61" s="49" t="str">
        <f>MID(VLOOKUP($A61,Seqs!$A:$B,2,FALSE),VLOOKUP($A61,'SegEnds_NonXtal_Prot#'!A:AL,10,FALSE)+8,1)</f>
        <v>M</v>
      </c>
      <c r="Z61" s="49" t="str">
        <f>MID(VLOOKUP($A61,Seqs!$A:$B,2,FALSE),VLOOKUP($A61,'SegEnds_NonXtal_Prot#'!A:AL,10,FALSE)+9,1)</f>
        <v>P</v>
      </c>
      <c r="AA61" s="49" t="str">
        <f>MID(VLOOKUP($A61,Seqs!$A:$B,2,FALSE),VLOOKUP($A61,'SegEnds_NonXtal_Prot#'!A:AL,10,FALSE)+10,1)</f>
        <v>Y</v>
      </c>
      <c r="AB61" s="28" t="str">
        <f>MID(VLOOKUP($A61,Seqs!$A:$B,2,FALSE),VLOOKUP($A61,'SegEnds_NonXtal_Prot#'!$A:$AL,22,FALSE)+6,1)</f>
        <v>F</v>
      </c>
      <c r="AC61" s="49" t="str">
        <f>MID(VLOOKUP($A61,Seqs!$A:$B,2,FALSE),VLOOKUP($A61,'SegEnds_NonXtal_Prot#'!$A:$AL,22,FALSE)+7,1)</f>
        <v>A</v>
      </c>
      <c r="AD61" s="49" t="str">
        <f>MID(VLOOKUP($A61,Seqs!$A:$B,2,FALSE),VLOOKUP($A61,'SegEnds_NonXtal_Prot#'!$A:$AL,22,FALSE)+8,1)</f>
        <v>F</v>
      </c>
      <c r="AE61" s="49" t="str">
        <f>MID(VLOOKUP($A61,Seqs!$A:$B,2,FALSE),VLOOKUP($A61,'SegEnds_NonXtal_Prot#'!$A:$AL,22,FALSE)+9,1)</f>
        <v>G</v>
      </c>
      <c r="AF61" s="49" t="str">
        <f>MID(VLOOKUP($A61,Seqs!$A:$B,2,FALSE),VLOOKUP($A61,'SegEnds_NonXtal_Prot#'!$A:$AL,22,FALSE)+10,1)</f>
        <v>M</v>
      </c>
      <c r="AG61" s="28" t="str">
        <f>MID(VLOOKUP($A61,Seqs!$A:$B,2,FALSE),VLOOKUP($A61,'SegEnds_NonXtal_Prot#'!$A:$AL,28,FALSE)-4,1)</f>
        <v>S</v>
      </c>
      <c r="AH61" s="49" t="str">
        <f>MID(VLOOKUP($A61,Seqs!$A:$B,2,FALSE),VLOOKUP($A61,'SegEnds_NonXtal_Prot#'!$A:$AL,28,FALSE),1)</f>
        <v>P</v>
      </c>
    </row>
    <row r="62" spans="1:34" s="2" customFormat="1" x14ac:dyDescent="0.2">
      <c r="A62" s="2" t="s">
        <v>126</v>
      </c>
      <c r="B62" s="2" t="str">
        <f>LOWER(VLOOKUP(A62,Xtal_Templ!A:B,2,FALSE))</f>
        <v>adrb2_human</v>
      </c>
      <c r="C62" s="2" t="str">
        <f>VLOOKUP(A62,Classification!A:D,2,FALSE)</f>
        <v>A</v>
      </c>
      <c r="D62" s="2" t="str">
        <f>IF(ISERROR(MATCH(A62,'SegEnds_Xtal_Prot#'!B:B, 0)), "NoXtal", "Xtal")</f>
        <v>Xtal</v>
      </c>
      <c r="G62" s="2" t="s">
        <v>5</v>
      </c>
      <c r="H62" s="4"/>
      <c r="R62" s="2" t="s">
        <v>9</v>
      </c>
      <c r="T62" s="4" t="s">
        <v>12</v>
      </c>
      <c r="V62" s="28" t="str">
        <f>MID(VLOOKUP($A62,Seqs!$A:$B,2,FALSE),VLOOKUP($A62,'SegEnds_NonXtal_Prot#'!A:AL,10,FALSE),1)</f>
        <v>D</v>
      </c>
      <c r="W62" s="49" t="str">
        <f>MID(VLOOKUP($A62,Seqs!$A:$B,2,FALSE),VLOOKUP($A62,'SegEnds_NonXtal_Prot#'!A:AL,10,FALSE)+6,1)</f>
        <v>A</v>
      </c>
      <c r="X62" s="49" t="str">
        <f>MID(VLOOKUP($A62,Seqs!$A:$B,2,FALSE),VLOOKUP($A62,'SegEnds_NonXtal_Prot#'!A:AL,10,FALSE)+7,1)</f>
        <v>V</v>
      </c>
      <c r="Y62" s="49" t="str">
        <f>MID(VLOOKUP($A62,Seqs!$A:$B,2,FALSE),VLOOKUP($A62,'SegEnds_NonXtal_Prot#'!A:AL,10,FALSE)+8,1)</f>
        <v>V</v>
      </c>
      <c r="Z62" s="49" t="str">
        <f>MID(VLOOKUP($A62,Seqs!$A:$B,2,FALSE),VLOOKUP($A62,'SegEnds_NonXtal_Prot#'!A:AL,10,FALSE)+9,1)</f>
        <v>P</v>
      </c>
      <c r="AA62" s="49" t="str">
        <f>MID(VLOOKUP($A62,Seqs!$A:$B,2,FALSE),VLOOKUP($A62,'SegEnds_NonXtal_Prot#'!A:AL,10,FALSE)+10,1)</f>
        <v>F</v>
      </c>
      <c r="AB62" s="28" t="str">
        <f>MID(VLOOKUP($A62,Seqs!$A:$B,2,FALSE),VLOOKUP($A62,'SegEnds_NonXtal_Prot#'!$A:$AL,22,FALSE)+6,1)</f>
        <v>T</v>
      </c>
      <c r="AC62" s="49" t="str">
        <f>MID(VLOOKUP($A62,Seqs!$A:$B,2,FALSE),VLOOKUP($A62,'SegEnds_NonXtal_Prot#'!$A:$AL,22,FALSE)+7,1)</f>
        <v>S</v>
      </c>
      <c r="AD62" s="49" t="str">
        <f>MID(VLOOKUP($A62,Seqs!$A:$B,2,FALSE),VLOOKUP($A62,'SegEnds_NonXtal_Prot#'!$A:$AL,22,FALSE)+8,1)</f>
        <v>F</v>
      </c>
      <c r="AE62" s="49" t="str">
        <f>MID(VLOOKUP($A62,Seqs!$A:$B,2,FALSE),VLOOKUP($A62,'SegEnds_NonXtal_Prot#'!$A:$AL,22,FALSE)+9,1)</f>
        <v>L</v>
      </c>
      <c r="AF62" s="49" t="str">
        <f>MID(VLOOKUP($A62,Seqs!$A:$B,2,FALSE),VLOOKUP($A62,'SegEnds_NonXtal_Prot#'!$A:$AL,22,FALSE)+10,1)</f>
        <v>P</v>
      </c>
      <c r="AG62" s="28" t="str">
        <f>MID(VLOOKUP($A62,Seqs!$A:$B,2,FALSE),VLOOKUP($A62,'SegEnds_NonXtal_Prot#'!$A:$AL,28,FALSE)-4,1)</f>
        <v>S</v>
      </c>
      <c r="AH62" s="49" t="str">
        <f>MID(VLOOKUP($A62,Seqs!$A:$B,2,FALSE),VLOOKUP($A62,'SegEnds_NonXtal_Prot#'!$A:$AL,28,FALSE),1)</f>
        <v>P</v>
      </c>
    </row>
    <row r="63" spans="1:34" s="2" customFormat="1" x14ac:dyDescent="0.2">
      <c r="A63" s="2" t="s">
        <v>374</v>
      </c>
      <c r="B63" s="2" t="str">
        <f>LOWER(VLOOKUP(A63,Xtal_Templ!A:B,2,FALSE))</f>
        <v>aa1r_human</v>
      </c>
      <c r="C63" s="2" t="str">
        <f>VLOOKUP(A63,Classification!A:D,2,FALSE)</f>
        <v>A</v>
      </c>
      <c r="D63" s="2" t="str">
        <f>IF(ISERROR(MATCH(A63,'SegEnds_Xtal_Prot#'!B:B, 0)), "NoXtal", "Xtal")</f>
        <v>NoXtal</v>
      </c>
      <c r="H63" s="4"/>
      <c r="T63" s="4" t="s">
        <v>12</v>
      </c>
      <c r="V63" s="28" t="str">
        <f>MID(VLOOKUP($A63,Seqs!$A:$B,2,FALSE),VLOOKUP($A63,'SegEnds_NonXtal_Prot#'!A:AL,10,FALSE),1)</f>
        <v>D</v>
      </c>
      <c r="W63" s="49" t="str">
        <f>MID(VLOOKUP($A63,Seqs!$A:$B,2,FALSE),VLOOKUP($A63,'SegEnds_NonXtal_Prot#'!A:AL,10,FALSE)+6,1)</f>
        <v>Y</v>
      </c>
      <c r="X63" s="49" t="str">
        <f>MID(VLOOKUP($A63,Seqs!$A:$B,2,FALSE),VLOOKUP($A63,'SegEnds_NonXtal_Prot#'!A:AL,10,FALSE)+7,1)</f>
        <v>L</v>
      </c>
      <c r="Y63" s="49" t="str">
        <f>MID(VLOOKUP($A63,Seqs!$A:$B,2,FALSE),VLOOKUP($A63,'SegEnds_NonXtal_Prot#'!A:AL,10,FALSE)+8,1)</f>
        <v>F</v>
      </c>
      <c r="Z63" s="49" t="str">
        <f>MID(VLOOKUP($A63,Seqs!$A:$B,2,FALSE),VLOOKUP($A63,'SegEnds_NonXtal_Prot#'!A:AL,10,FALSE)+9,1)</f>
        <v>V</v>
      </c>
      <c r="AA63" s="49" t="str">
        <f>MID(VLOOKUP($A63,Seqs!$A:$B,2,FALSE),VLOOKUP($A63,'SegEnds_NonXtal_Prot#'!A:AL,10,FALSE)+10,1)</f>
        <v>I</v>
      </c>
      <c r="AB63" s="28" t="str">
        <f>MID(VLOOKUP($A63,Seqs!$A:$B,2,FALSE),VLOOKUP($A63,'SegEnds_NonXtal_Prot#'!$A:$AL,22,FALSE)+6,1)</f>
        <v>V</v>
      </c>
      <c r="AC63" s="49" t="str">
        <f>MID(VLOOKUP($A63,Seqs!$A:$B,2,FALSE),VLOOKUP($A63,'SegEnds_NonXtal_Prot#'!$A:$AL,22,FALSE)+7,1)</f>
        <v>A</v>
      </c>
      <c r="AD63" s="49" t="str">
        <f>MID(VLOOKUP($A63,Seqs!$A:$B,2,FALSE),VLOOKUP($A63,'SegEnds_NonXtal_Prot#'!$A:$AL,22,FALSE)+8,1)</f>
        <v>F</v>
      </c>
      <c r="AE63" s="49" t="str">
        <f>MID(VLOOKUP($A63,Seqs!$A:$B,2,FALSE),VLOOKUP($A63,'SegEnds_NonXtal_Prot#'!$A:$AL,22,FALSE)+9,1)</f>
        <v>I</v>
      </c>
      <c r="AF63" s="49" t="str">
        <f>MID(VLOOKUP($A63,Seqs!$A:$B,2,FALSE),VLOOKUP($A63,'SegEnds_NonXtal_Prot#'!$A:$AL,22,FALSE)+10,1)</f>
        <v>P</v>
      </c>
      <c r="AG63" s="28" t="str">
        <f>MID(VLOOKUP($A63,Seqs!$A:$B,2,FALSE),VLOOKUP($A63,'SegEnds_NonXtal_Prot#'!$A:$AL,28,FALSE)-4,1)</f>
        <v>I</v>
      </c>
      <c r="AH63" s="49" t="str">
        <f>MID(VLOOKUP($A63,Seqs!$A:$B,2,FALSE),VLOOKUP($A63,'SegEnds_NonXtal_Prot#'!$A:$AL,28,FALSE),1)</f>
        <v>A</v>
      </c>
    </row>
    <row r="64" spans="1:34" s="2" customFormat="1" x14ac:dyDescent="0.2">
      <c r="A64" s="2" t="s">
        <v>144</v>
      </c>
      <c r="B64" s="2" t="str">
        <f>LOWER(VLOOKUP(A64,Xtal_Templ!A:B,2,FALSE))</f>
        <v>ccr7_human</v>
      </c>
      <c r="C64" s="2" t="str">
        <f>VLOOKUP(A64,Classification!A:D,2,FALSE)</f>
        <v>A</v>
      </c>
      <c r="D64" s="2" t="str">
        <f>IF(ISERROR(MATCH(A64,'SegEnds_Xtal_Prot#'!B:B, 0)), "NoXtal", "Xtal")</f>
        <v>NoXtal</v>
      </c>
      <c r="H64" s="4"/>
      <c r="N64" s="2" t="s">
        <v>14</v>
      </c>
      <c r="R64" s="2" t="s">
        <v>9</v>
      </c>
      <c r="T64" s="4" t="s">
        <v>12</v>
      </c>
      <c r="V64" s="28" t="str">
        <f>MID(VLOOKUP($A64,Seqs!$A:$B,2,FALSE),VLOOKUP($A64,'SegEnds_NonXtal_Prot#'!A:AL,10,FALSE),1)</f>
        <v>D</v>
      </c>
      <c r="W64" s="49" t="str">
        <f>MID(VLOOKUP($A64,Seqs!$A:$B,2,FALSE),VLOOKUP($A64,'SegEnds_NonXtal_Prot#'!A:AL,10,FALSE)+6,1)</f>
        <v>T</v>
      </c>
      <c r="X64" s="49" t="str">
        <f>MID(VLOOKUP($A64,Seqs!$A:$B,2,FALSE),VLOOKUP($A64,'SegEnds_NonXtal_Prot#'!A:AL,10,FALSE)+7,1)</f>
        <v>I</v>
      </c>
      <c r="Y64" s="49" t="str">
        <f>MID(VLOOKUP($A64,Seqs!$A:$B,2,FALSE),VLOOKUP($A64,'SegEnds_NonXtal_Prot#'!A:AL,10,FALSE)+8,1)</f>
        <v>P</v>
      </c>
      <c r="Z64" s="49" t="str">
        <f>MID(VLOOKUP($A64,Seqs!$A:$B,2,FALSE),VLOOKUP($A64,'SegEnds_NonXtal_Prot#'!A:AL,10,FALSE)+9,1)</f>
        <v>V</v>
      </c>
      <c r="AA64" s="49" t="str">
        <f>MID(VLOOKUP($A64,Seqs!$A:$B,2,FALSE),VLOOKUP($A64,'SegEnds_NonXtal_Prot#'!A:AL,10,FALSE)+10,1)</f>
        <v>W</v>
      </c>
      <c r="AB64" s="28" t="str">
        <f>MID(VLOOKUP($A64,Seqs!$A:$B,2,FALSE),VLOOKUP($A64,'SegEnds_NonXtal_Prot#'!$A:$AL,22,FALSE)+6,1)</f>
        <v>V</v>
      </c>
      <c r="AC64" s="49" t="str">
        <f>MID(VLOOKUP($A64,Seqs!$A:$B,2,FALSE),VLOOKUP($A64,'SegEnds_NonXtal_Prot#'!$A:$AL,22,FALSE)+7,1)</f>
        <v>S</v>
      </c>
      <c r="AD64" s="49" t="str">
        <f>MID(VLOOKUP($A64,Seqs!$A:$B,2,FALSE),VLOOKUP($A64,'SegEnds_NonXtal_Prot#'!$A:$AL,22,FALSE)+8,1)</f>
        <v>L</v>
      </c>
      <c r="AE64" s="49" t="str">
        <f>MID(VLOOKUP($A64,Seqs!$A:$B,2,FALSE),VLOOKUP($A64,'SegEnds_NonXtal_Prot#'!$A:$AL,22,FALSE)+9,1)</f>
        <v>P</v>
      </c>
      <c r="AF64" s="49" t="str">
        <f>MID(VLOOKUP($A64,Seqs!$A:$B,2,FALSE),VLOOKUP($A64,'SegEnds_NonXtal_Prot#'!$A:$AL,22,FALSE)+10,1)</f>
        <v>D</v>
      </c>
      <c r="AG64" s="28" t="str">
        <f>MID(VLOOKUP($A64,Seqs!$A:$B,2,FALSE),VLOOKUP($A64,'SegEnds_NonXtal_Prot#'!$A:$AL,28,FALSE)-4,1)</f>
        <v>G</v>
      </c>
      <c r="AH64" s="49" t="str">
        <f>MID(VLOOKUP($A64,Seqs!$A:$B,2,FALSE),VLOOKUP($A64,'SegEnds_NonXtal_Prot#'!$A:$AL,28,FALSE),1)</f>
        <v>P</v>
      </c>
    </row>
    <row r="65" spans="1:34" s="2" customFormat="1" x14ac:dyDescent="0.2">
      <c r="A65" s="2" t="s">
        <v>158</v>
      </c>
      <c r="B65" s="2" t="str">
        <f>LOWER(VLOOKUP(A65,Xtal_Templ!A:B,2,FALSE))</f>
        <v>agtr1_human</v>
      </c>
      <c r="C65" s="2" t="str">
        <f>VLOOKUP(A65,Classification!A:D,2,FALSE)</f>
        <v>A</v>
      </c>
      <c r="D65" s="2" t="str">
        <f>IF(ISERROR(MATCH(A65,'SegEnds_Xtal_Prot#'!B:B, 0)), "NoXtal", "Xtal")</f>
        <v>Xtal</v>
      </c>
      <c r="H65" s="4"/>
      <c r="N65" s="106" t="s">
        <v>14</v>
      </c>
      <c r="R65" s="2" t="s">
        <v>9</v>
      </c>
      <c r="T65" s="4" t="s">
        <v>12</v>
      </c>
      <c r="V65" s="28" t="str">
        <f>MID(VLOOKUP($A65,Seqs!$A:$B,2,FALSE),VLOOKUP($A65,'SegEnds_NonXtal_Prot#'!A:AL,10,FALSE),1)</f>
        <v>D</v>
      </c>
      <c r="W65" s="49" t="str">
        <f>MID(VLOOKUP($A65,Seqs!$A:$B,2,FALSE),VLOOKUP($A65,'SegEnds_NonXtal_Prot#'!A:AL,10,FALSE)+6,1)</f>
        <v>T</v>
      </c>
      <c r="X65" s="49" t="str">
        <f>MID(VLOOKUP($A65,Seqs!$A:$B,2,FALSE),VLOOKUP($A65,'SegEnds_NonXtal_Prot#'!A:AL,10,FALSE)+7,1)</f>
        <v>L</v>
      </c>
      <c r="Y65" s="49" t="str">
        <f>MID(VLOOKUP($A65,Seqs!$A:$B,2,FALSE),VLOOKUP($A65,'SegEnds_NonXtal_Prot#'!A:AL,10,FALSE)+8,1)</f>
        <v>P</v>
      </c>
      <c r="Z65" s="49" t="str">
        <f>MID(VLOOKUP($A65,Seqs!$A:$B,2,FALSE),VLOOKUP($A65,'SegEnds_NonXtal_Prot#'!A:AL,10,FALSE)+9,1)</f>
        <v>L</v>
      </c>
      <c r="AA65" s="49" t="str">
        <f>MID(VLOOKUP($A65,Seqs!$A:$B,2,FALSE),VLOOKUP($A65,'SegEnds_NonXtal_Prot#'!A:AL,10,FALSE)+10,1)</f>
        <v>W</v>
      </c>
      <c r="AB65" s="28" t="str">
        <f>MID(VLOOKUP($A65,Seqs!$A:$B,2,FALSE),VLOOKUP($A65,'SegEnds_NonXtal_Prot#'!$A:$AL,22,FALSE)+6,1)</f>
        <v>A</v>
      </c>
      <c r="AC65" s="49" t="str">
        <f>MID(VLOOKUP($A65,Seqs!$A:$B,2,FALSE),VLOOKUP($A65,'SegEnds_NonXtal_Prot#'!$A:$AL,22,FALSE)+7,1)</f>
        <v>S</v>
      </c>
      <c r="AD65" s="49" t="str">
        <f>MID(VLOOKUP($A65,Seqs!$A:$B,2,FALSE),VLOOKUP($A65,'SegEnds_NonXtal_Prot#'!$A:$AL,22,FALSE)+8,1)</f>
        <v>L</v>
      </c>
      <c r="AE65" s="49" t="str">
        <f>MID(VLOOKUP($A65,Seqs!$A:$B,2,FALSE),VLOOKUP($A65,'SegEnds_NonXtal_Prot#'!$A:$AL,22,FALSE)+9,1)</f>
        <v>P</v>
      </c>
      <c r="AF65" s="49" t="str">
        <f>MID(VLOOKUP($A65,Seqs!$A:$B,2,FALSE),VLOOKUP($A65,'SegEnds_NonXtal_Prot#'!$A:$AL,22,FALSE)+10,1)</f>
        <v>A</v>
      </c>
      <c r="AG65" s="28" t="str">
        <f>MID(VLOOKUP($A65,Seqs!$A:$B,2,FALSE),VLOOKUP($A65,'SegEnds_NonXtal_Prot#'!$A:$AL,28,FALSE)-4,1)</f>
        <v>G</v>
      </c>
      <c r="AH65" s="49" t="str">
        <f>MID(VLOOKUP($A65,Seqs!$A:$B,2,FALSE),VLOOKUP($A65,'SegEnds_NonXtal_Prot#'!$A:$AL,28,FALSE),1)</f>
        <v>P</v>
      </c>
    </row>
    <row r="66" spans="1:34" s="2" customFormat="1" x14ac:dyDescent="0.2">
      <c r="A66" s="2" t="s">
        <v>159</v>
      </c>
      <c r="B66" s="2" t="s">
        <v>159</v>
      </c>
      <c r="C66" s="2" t="str">
        <f>VLOOKUP(A66,Classification!A:D,2,FALSE)</f>
        <v>A</v>
      </c>
      <c r="D66" s="2" t="str">
        <f>IF(ISERROR(MATCH(A66,'SegEnds_Xtal_Prot#'!B:B, 0)), "NoXtal", "Xtal")</f>
        <v>Xtal</v>
      </c>
      <c r="H66" s="4"/>
      <c r="N66" s="106" t="s">
        <v>14</v>
      </c>
      <c r="R66" s="2" t="s">
        <v>9</v>
      </c>
      <c r="T66" s="4" t="s">
        <v>12</v>
      </c>
      <c r="V66" s="28" t="str">
        <f>MID(VLOOKUP($A66,Seqs!$A:$B,2,FALSE),VLOOKUP($A66,'SegEnds_NonXtal_Prot#'!A:AL,10,FALSE),1)</f>
        <v>D</v>
      </c>
      <c r="W66" s="49" t="str">
        <f>MID(VLOOKUP($A66,Seqs!$A:$B,2,FALSE),VLOOKUP($A66,'SegEnds_NonXtal_Prot#'!A:AL,10,FALSE)+6,1)</f>
        <v>T</v>
      </c>
      <c r="X66" s="49" t="str">
        <f>MID(VLOOKUP($A66,Seqs!$A:$B,2,FALSE),VLOOKUP($A66,'SegEnds_NonXtal_Prot#'!A:AL,10,FALSE)+7,1)</f>
        <v>L</v>
      </c>
      <c r="Y66" s="49" t="str">
        <f>MID(VLOOKUP($A66,Seqs!$A:$B,2,FALSE),VLOOKUP($A66,'SegEnds_NonXtal_Prot#'!A:AL,10,FALSE)+8,1)</f>
        <v>P</v>
      </c>
      <c r="Z66" s="49" t="str">
        <f>MID(VLOOKUP($A66,Seqs!$A:$B,2,FALSE),VLOOKUP($A66,'SegEnds_NonXtal_Prot#'!A:AL,10,FALSE)+9,1)</f>
        <v>L</v>
      </c>
      <c r="AA66" s="49" t="str">
        <f>MID(VLOOKUP($A66,Seqs!$A:$B,2,FALSE),VLOOKUP($A66,'SegEnds_NonXtal_Prot#'!A:AL,10,FALSE)+10,1)</f>
        <v>W</v>
      </c>
      <c r="AB66" s="28" t="str">
        <f>MID(VLOOKUP($A66,Seqs!$A:$B,2,FALSE),VLOOKUP($A66,'SegEnds_NonXtal_Prot#'!$A:$AL,22,FALSE)+6,1)</f>
        <v>S</v>
      </c>
      <c r="AC66" s="49" t="str">
        <f>MID(VLOOKUP($A66,Seqs!$A:$B,2,FALSE),VLOOKUP($A66,'SegEnds_NonXtal_Prot#'!$A:$AL,22,FALSE)+7,1)</f>
        <v>S</v>
      </c>
      <c r="AD66" s="49" t="str">
        <f>MID(VLOOKUP($A66,Seqs!$A:$B,2,FALSE),VLOOKUP($A66,'SegEnds_NonXtal_Prot#'!$A:$AL,22,FALSE)+8,1)</f>
        <v>L</v>
      </c>
      <c r="AE66" s="49" t="str">
        <f>MID(VLOOKUP($A66,Seqs!$A:$B,2,FALSE),VLOOKUP($A66,'SegEnds_NonXtal_Prot#'!$A:$AL,22,FALSE)+9,1)</f>
        <v>P</v>
      </c>
      <c r="AF66" s="49" t="str">
        <f>MID(VLOOKUP($A66,Seqs!$A:$B,2,FALSE),VLOOKUP($A66,'SegEnds_NonXtal_Prot#'!$A:$AL,22,FALSE)+10,1)</f>
        <v>T</v>
      </c>
      <c r="AG66" s="28" t="str">
        <f>MID(VLOOKUP($A66,Seqs!$A:$B,2,FALSE),VLOOKUP($A66,'SegEnds_NonXtal_Prot#'!$A:$AL,28,FALSE)-4,1)</f>
        <v>G</v>
      </c>
      <c r="AH66" s="49" t="str">
        <f>MID(VLOOKUP($A66,Seqs!$A:$B,2,FALSE),VLOOKUP($A66,'SegEnds_NonXtal_Prot#'!$A:$AL,28,FALSE),1)</f>
        <v>P</v>
      </c>
    </row>
    <row r="67" spans="1:34" s="2" customFormat="1" ht="17" customHeight="1" x14ac:dyDescent="0.2">
      <c r="A67" s="2" t="s">
        <v>160</v>
      </c>
      <c r="B67" s="2" t="str">
        <f>LOWER(VLOOKUP(A67,Xtal_Templ!A:B,2,FALSE))</f>
        <v>apj_human</v>
      </c>
      <c r="C67" s="2" t="str">
        <f>VLOOKUP(A67,Classification!A:D,2,FALSE)</f>
        <v>A</v>
      </c>
      <c r="D67" s="2" t="str">
        <f>IF(ISERROR(MATCH(A67,'SegEnds_Xtal_Prot#'!B:B, 0)), "NoXtal", "Xtal")</f>
        <v>Xtal</v>
      </c>
      <c r="H67" s="50"/>
      <c r="N67" s="2" t="s">
        <v>14</v>
      </c>
      <c r="R67" s="2" t="s">
        <v>9</v>
      </c>
      <c r="T67" s="4" t="s">
        <v>12</v>
      </c>
      <c r="V67" s="28" t="str">
        <f>MID(VLOOKUP($A67,Seqs!$A:$B,2,FALSE),VLOOKUP($A67,'SegEnds_NonXtal_Prot#'!A:AL,10,FALSE),1)</f>
        <v>D</v>
      </c>
      <c r="W67" s="49" t="str">
        <f>MID(VLOOKUP($A67,Seqs!$A:$B,2,FALSE),VLOOKUP($A67,'SegEnds_NonXtal_Prot#'!A:AL,10,FALSE)+6,1)</f>
        <v>T</v>
      </c>
      <c r="X67" s="49" t="str">
        <f>MID(VLOOKUP($A67,Seqs!$A:$B,2,FALSE),VLOOKUP($A67,'SegEnds_NonXtal_Prot#'!A:AL,10,FALSE)+7,1)</f>
        <v>L</v>
      </c>
      <c r="Y67" s="49" t="str">
        <f>MID(VLOOKUP($A67,Seqs!$A:$B,2,FALSE),VLOOKUP($A67,'SegEnds_NonXtal_Prot#'!A:AL,10,FALSE)+8,1)</f>
        <v>P</v>
      </c>
      <c r="Z67" s="49" t="str">
        <f>MID(VLOOKUP($A67,Seqs!$A:$B,2,FALSE),VLOOKUP($A67,'SegEnds_NonXtal_Prot#'!A:AL,10,FALSE)+9,1)</f>
        <v>L</v>
      </c>
      <c r="AA67" s="49" t="str">
        <f>MID(VLOOKUP($A67,Seqs!$A:$B,2,FALSE),VLOOKUP($A67,'SegEnds_NonXtal_Prot#'!A:AL,10,FALSE)+10,1)</f>
        <v>W</v>
      </c>
      <c r="AB67" s="28" t="str">
        <f>MID(VLOOKUP($A67,Seqs!$A:$B,2,FALSE),VLOOKUP($A67,'SegEnds_NonXtal_Prot#'!$A:$AL,22,FALSE)+6,1)</f>
        <v>L</v>
      </c>
      <c r="AC67" s="49" t="str">
        <f>MID(VLOOKUP($A67,Seqs!$A:$B,2,FALSE),VLOOKUP($A67,'SegEnds_NonXtal_Prot#'!$A:$AL,22,FALSE)+7,1)</f>
        <v>A</v>
      </c>
      <c r="AD67" s="49" t="str">
        <f>MID(VLOOKUP($A67,Seqs!$A:$B,2,FALSE),VLOOKUP($A67,'SegEnds_NonXtal_Prot#'!$A:$AL,22,FALSE)+8,1)</f>
        <v>M</v>
      </c>
      <c r="AE67" s="49" t="str">
        <f>MID(VLOOKUP($A67,Seqs!$A:$B,2,FALSE),VLOOKUP($A67,'SegEnds_NonXtal_Prot#'!$A:$AL,22,FALSE)+9,1)</f>
        <v>P</v>
      </c>
      <c r="AF67" s="49" t="str">
        <f>MID(VLOOKUP($A67,Seqs!$A:$B,2,FALSE),VLOOKUP($A67,'SegEnds_NonXtal_Prot#'!$A:$AL,22,FALSE)+10,1)</f>
        <v>V</v>
      </c>
      <c r="AG67" s="28" t="str">
        <f>MID(VLOOKUP($A67,Seqs!$A:$B,2,FALSE),VLOOKUP($A67,'SegEnds_NonXtal_Prot#'!$A:$AL,28,FALSE)-4,1)</f>
        <v>G</v>
      </c>
      <c r="AH67" s="49" t="str">
        <f>MID(VLOOKUP($A67,Seqs!$A:$B,2,FALSE),VLOOKUP($A67,'SegEnds_NonXtal_Prot#'!$A:$AL,28,FALSE),1)</f>
        <v>P</v>
      </c>
    </row>
    <row r="68" spans="1:34" s="2" customFormat="1" x14ac:dyDescent="0.2">
      <c r="A68" s="2" t="s">
        <v>161</v>
      </c>
      <c r="B68" s="2" t="str">
        <f>LOWER(VLOOKUP(A68,Xtal_Templ!A:B,2,FALSE))</f>
        <v>agtr1_human</v>
      </c>
      <c r="C68" s="2" t="str">
        <f>VLOOKUP(A68,Classification!A:D,2,FALSE)</f>
        <v>A</v>
      </c>
      <c r="D68" s="2" t="str">
        <f>IF(ISERROR(MATCH(A68,'SegEnds_Xtal_Prot#'!B:B, 0)), "NoXtal", "Xtal")</f>
        <v>NoXtal</v>
      </c>
      <c r="H68" s="4"/>
      <c r="N68" s="2" t="s">
        <v>14</v>
      </c>
      <c r="R68" s="2" t="s">
        <v>9</v>
      </c>
      <c r="T68" s="4" t="s">
        <v>12</v>
      </c>
      <c r="V68" s="28" t="str">
        <f>MID(VLOOKUP($A68,Seqs!$A:$B,2,FALSE),VLOOKUP($A68,'SegEnds_NonXtal_Prot#'!A:AL,10,FALSE),1)</f>
        <v>D</v>
      </c>
      <c r="W68" s="49" t="str">
        <f>MID(VLOOKUP($A68,Seqs!$A:$B,2,FALSE),VLOOKUP($A68,'SegEnds_NonXtal_Prot#'!A:AL,10,FALSE)+6,1)</f>
        <v>G</v>
      </c>
      <c r="X68" s="49" t="str">
        <f>MID(VLOOKUP($A68,Seqs!$A:$B,2,FALSE),VLOOKUP($A68,'SegEnds_NonXtal_Prot#'!A:AL,10,FALSE)+7,1)</f>
        <v>L</v>
      </c>
      <c r="Y68" s="49" t="str">
        <f>MID(VLOOKUP($A68,Seqs!$A:$B,2,FALSE),VLOOKUP($A68,'SegEnds_NonXtal_Prot#'!A:AL,10,FALSE)+8,1)</f>
        <v>P</v>
      </c>
      <c r="Z68" s="49" t="str">
        <f>MID(VLOOKUP($A68,Seqs!$A:$B,2,FALSE),VLOOKUP($A68,'SegEnds_NonXtal_Prot#'!A:AL,10,FALSE)+9,1)</f>
        <v>F</v>
      </c>
      <c r="AA68" s="49" t="str">
        <f>MID(VLOOKUP($A68,Seqs!$A:$B,2,FALSE),VLOOKUP($A68,'SegEnds_NonXtal_Prot#'!A:AL,10,FALSE)+10,1)</f>
        <v>W</v>
      </c>
      <c r="AB68" s="28" t="str">
        <f>MID(VLOOKUP($A68,Seqs!$A:$B,2,FALSE),VLOOKUP($A68,'SegEnds_NonXtal_Prot#'!$A:$AL,22,FALSE)+6,1)</f>
        <v>L</v>
      </c>
      <c r="AC68" s="49" t="str">
        <f>MID(VLOOKUP($A68,Seqs!$A:$B,2,FALSE),VLOOKUP($A68,'SegEnds_NonXtal_Prot#'!$A:$AL,22,FALSE)+7,1)</f>
        <v>S</v>
      </c>
      <c r="AD68" s="49" t="str">
        <f>MID(VLOOKUP($A68,Seqs!$A:$B,2,FALSE),VLOOKUP($A68,'SegEnds_NonXtal_Prot#'!$A:$AL,22,FALSE)+8,1)</f>
        <v>I</v>
      </c>
      <c r="AE68" s="49" t="str">
        <f>MID(VLOOKUP($A68,Seqs!$A:$B,2,FALSE),VLOOKUP($A68,'SegEnds_NonXtal_Prot#'!$A:$AL,22,FALSE)+9,1)</f>
        <v>P</v>
      </c>
      <c r="AF68" s="49" t="str">
        <f>MID(VLOOKUP($A68,Seqs!$A:$B,2,FALSE),VLOOKUP($A68,'SegEnds_NonXtal_Prot#'!$A:$AL,22,FALSE)+10,1)</f>
        <v>T</v>
      </c>
      <c r="AG68" s="28" t="str">
        <f>MID(VLOOKUP($A68,Seqs!$A:$B,2,FALSE),VLOOKUP($A68,'SegEnds_NonXtal_Prot#'!$A:$AL,28,FALSE)-4,1)</f>
        <v>G</v>
      </c>
      <c r="AH68" s="49" t="str">
        <f>MID(VLOOKUP($A68,Seqs!$A:$B,2,FALSE),VLOOKUP($A68,'SegEnds_NonXtal_Prot#'!$A:$AL,28,FALSE),1)</f>
        <v>P</v>
      </c>
    </row>
    <row r="69" spans="1:34" s="40" customFormat="1" x14ac:dyDescent="0.2">
      <c r="A69" s="2" t="s">
        <v>162</v>
      </c>
      <c r="B69" s="2" t="str">
        <f>LOWER(VLOOKUP(A69,Xtal_Templ!A:B,2,FALSE))</f>
        <v>agtr2_human</v>
      </c>
      <c r="C69" s="2" t="str">
        <f>VLOOKUP(A69,Classification!A:D,2,FALSE)</f>
        <v>A</v>
      </c>
      <c r="D69" s="2" t="str">
        <f>IF(ISERROR(MATCH(A69,'SegEnds_Xtal_Prot#'!B:B, 0)), "NoXtal", "Xtal")</f>
        <v>NoXtal</v>
      </c>
      <c r="E69" s="2"/>
      <c r="F69" s="2"/>
      <c r="G69" s="2"/>
      <c r="H69" s="4"/>
      <c r="I69" s="2"/>
      <c r="J69" s="2"/>
      <c r="K69" s="2"/>
      <c r="L69" s="2"/>
      <c r="M69" s="2"/>
      <c r="N69" s="2" t="s">
        <v>14</v>
      </c>
      <c r="O69" s="2"/>
      <c r="P69" s="2"/>
      <c r="Q69" s="2"/>
      <c r="R69" s="2" t="s">
        <v>9</v>
      </c>
      <c r="S69" s="2"/>
      <c r="T69" s="4" t="s">
        <v>12</v>
      </c>
      <c r="U69" s="2"/>
      <c r="V69" s="28" t="str">
        <f>MID(VLOOKUP($A69,Seqs!$A:$B,2,FALSE),VLOOKUP($A69,'SegEnds_NonXtal_Prot#'!A:AL,10,FALSE),1)</f>
        <v>D</v>
      </c>
      <c r="W69" s="49" t="str">
        <f>MID(VLOOKUP($A69,Seqs!$A:$B,2,FALSE),VLOOKUP($A69,'SegEnds_NonXtal_Prot#'!A:AL,10,FALSE)+6,1)</f>
        <v>G</v>
      </c>
      <c r="X69" s="49" t="str">
        <f>MID(VLOOKUP($A69,Seqs!$A:$B,2,FALSE),VLOOKUP($A69,'SegEnds_NonXtal_Prot#'!A:AL,10,FALSE)+7,1)</f>
        <v>L</v>
      </c>
      <c r="Y69" s="49" t="str">
        <f>MID(VLOOKUP($A69,Seqs!$A:$B,2,FALSE),VLOOKUP($A69,'SegEnds_NonXtal_Prot#'!A:AL,10,FALSE)+8,1)</f>
        <v>P</v>
      </c>
      <c r="Z69" s="49" t="str">
        <f>MID(VLOOKUP($A69,Seqs!$A:$B,2,FALSE),VLOOKUP($A69,'SegEnds_NonXtal_Prot#'!A:AL,10,FALSE)+9,1)</f>
        <v>F</v>
      </c>
      <c r="AA69" s="49" t="str">
        <f>MID(VLOOKUP($A69,Seqs!$A:$B,2,FALSE),VLOOKUP($A69,'SegEnds_NonXtal_Prot#'!A:AL,10,FALSE)+10,1)</f>
        <v>W</v>
      </c>
      <c r="AB69" s="28" t="str">
        <f>MID(VLOOKUP($A69,Seqs!$A:$B,2,FALSE),VLOOKUP($A69,'SegEnds_NonXtal_Prot#'!$A:$AL,22,FALSE)+6,1)</f>
        <v>L</v>
      </c>
      <c r="AC69" s="49" t="str">
        <f>MID(VLOOKUP($A69,Seqs!$A:$B,2,FALSE),VLOOKUP($A69,'SegEnds_NonXtal_Prot#'!$A:$AL,22,FALSE)+7,1)</f>
        <v>S</v>
      </c>
      <c r="AD69" s="49" t="str">
        <f>MID(VLOOKUP($A69,Seqs!$A:$B,2,FALSE),VLOOKUP($A69,'SegEnds_NonXtal_Prot#'!$A:$AL,22,FALSE)+8,1)</f>
        <v>S</v>
      </c>
      <c r="AE69" s="49" t="str">
        <f>MID(VLOOKUP($A69,Seqs!$A:$B,2,FALSE),VLOOKUP($A69,'SegEnds_NonXtal_Prot#'!$A:$AL,22,FALSE)+9,1)</f>
        <v>P</v>
      </c>
      <c r="AF69" s="49" t="str">
        <f>MID(VLOOKUP($A69,Seqs!$A:$B,2,FALSE),VLOOKUP($A69,'SegEnds_NonXtal_Prot#'!$A:$AL,22,FALSE)+10,1)</f>
        <v>M</v>
      </c>
      <c r="AG69" s="28" t="str">
        <f>MID(VLOOKUP($A69,Seqs!$A:$B,2,FALSE),VLOOKUP($A69,'SegEnds_NonXtal_Prot#'!$A:$AL,28,FALSE)-4,1)</f>
        <v>G</v>
      </c>
      <c r="AH69" s="49" t="str">
        <f>MID(VLOOKUP($A69,Seqs!$A:$B,2,FALSE),VLOOKUP($A69,'SegEnds_NonXtal_Prot#'!$A:$AL,28,FALSE),1)</f>
        <v>P</v>
      </c>
    </row>
    <row r="70" spans="1:34" s="2" customFormat="1" x14ac:dyDescent="0.2">
      <c r="A70" s="2" t="s">
        <v>165</v>
      </c>
      <c r="B70" s="2" t="str">
        <f>LOWER(VLOOKUP(A70,Xtal_Templ!A:B,2,FALSE))</f>
        <v>c5ar1_human</v>
      </c>
      <c r="C70" s="2" t="str">
        <f>VLOOKUP(A70,Classification!A:D,2,FALSE)</f>
        <v>A</v>
      </c>
      <c r="D70" s="2" t="str">
        <f>IF(ISERROR(MATCH(A70,'SegEnds_Xtal_Prot#'!B:B, 0)), "NoXtal", "Xtal")</f>
        <v>Xtal</v>
      </c>
      <c r="H70" s="4"/>
      <c r="N70" s="2" t="s">
        <v>14</v>
      </c>
      <c r="R70" s="2" t="s">
        <v>9</v>
      </c>
      <c r="T70" s="4" t="s">
        <v>12</v>
      </c>
      <c r="V70" s="28" t="str">
        <f>MID(VLOOKUP($A70,Seqs!$A:$B,2,FALSE),VLOOKUP($A70,'SegEnds_NonXtal_Prot#'!A:AL,10,FALSE),1)</f>
        <v>D</v>
      </c>
      <c r="W70" s="49" t="str">
        <f>MID(VLOOKUP($A70,Seqs!$A:$B,2,FALSE),VLOOKUP($A70,'SegEnds_NonXtal_Prot#'!A:AL,10,FALSE)+6,1)</f>
        <v>A</v>
      </c>
      <c r="X70" s="49" t="str">
        <f>MID(VLOOKUP($A70,Seqs!$A:$B,2,FALSE),VLOOKUP($A70,'SegEnds_NonXtal_Prot#'!A:AL,10,FALSE)+7,1)</f>
        <v>L</v>
      </c>
      <c r="Y70" s="49" t="str">
        <f>MID(VLOOKUP($A70,Seqs!$A:$B,2,FALSE),VLOOKUP($A70,'SegEnds_NonXtal_Prot#'!A:AL,10,FALSE)+8,1)</f>
        <v>P</v>
      </c>
      <c r="Z70" s="49" t="str">
        <f>MID(VLOOKUP($A70,Seqs!$A:$B,2,FALSE),VLOOKUP($A70,'SegEnds_NonXtal_Prot#'!A:AL,10,FALSE)+9,1)</f>
        <v>I</v>
      </c>
      <c r="AA70" s="49" t="str">
        <f>MID(VLOOKUP($A70,Seqs!$A:$B,2,FALSE),VLOOKUP($A70,'SegEnds_NonXtal_Prot#'!A:AL,10,FALSE)+10,1)</f>
        <v>L</v>
      </c>
      <c r="AB70" s="28" t="str">
        <f>MID(VLOOKUP($A70,Seqs!$A:$B,2,FALSE),VLOOKUP($A70,'SegEnds_NonXtal_Prot#'!$A:$AL,22,FALSE)+6,1)</f>
        <v>L</v>
      </c>
      <c r="AC70" s="49" t="str">
        <f>MID(VLOOKUP($A70,Seqs!$A:$B,2,FALSE),VLOOKUP($A70,'SegEnds_NonXtal_Prot#'!$A:$AL,22,FALSE)+7,1)</f>
        <v>T</v>
      </c>
      <c r="AD70" s="49" t="str">
        <f>MID(VLOOKUP($A70,Seqs!$A:$B,2,FALSE),VLOOKUP($A70,'SegEnds_NonXtal_Prot#'!$A:$AL,22,FALSE)+8,1)</f>
        <v>I</v>
      </c>
      <c r="AE70" s="49" t="str">
        <f>MID(VLOOKUP($A70,Seqs!$A:$B,2,FALSE),VLOOKUP($A70,'SegEnds_NonXtal_Prot#'!$A:$AL,22,FALSE)+9,1)</f>
        <v>P</v>
      </c>
      <c r="AF70" s="49" t="str">
        <f>MID(VLOOKUP($A70,Seqs!$A:$B,2,FALSE),VLOOKUP($A70,'SegEnds_NonXtal_Prot#'!$A:$AL,22,FALSE)+10,1)</f>
        <v>S</v>
      </c>
      <c r="AG70" s="28" t="str">
        <f>MID(VLOOKUP($A70,Seqs!$A:$B,2,FALSE),VLOOKUP($A70,'SegEnds_NonXtal_Prot#'!$A:$AL,28,FALSE)-4,1)</f>
        <v>G</v>
      </c>
      <c r="AH70" s="49" t="str">
        <f>MID(VLOOKUP($A70,Seqs!$A:$B,2,FALSE),VLOOKUP($A70,'SegEnds_NonXtal_Prot#'!$A:$AL,28,FALSE),1)</f>
        <v>P</v>
      </c>
    </row>
    <row r="71" spans="1:34" s="2" customFormat="1" x14ac:dyDescent="0.2">
      <c r="A71" s="2" t="s">
        <v>181</v>
      </c>
      <c r="B71" s="2" t="str">
        <f>LOWER(VLOOKUP(A71,Xtal_Templ!A:B,2,FALSE))</f>
        <v>fpr2_human</v>
      </c>
      <c r="C71" s="2" t="str">
        <f>VLOOKUP(A71,Classification!A:D,2,FALSE)</f>
        <v>A</v>
      </c>
      <c r="D71" s="2" t="str">
        <f>IF(ISERROR(MATCH(A71,'SegEnds_Xtal_Prot#'!B:B, 0)), "NoXtal", "Xtal")</f>
        <v>NoXtal</v>
      </c>
      <c r="H71" s="4"/>
      <c r="N71" s="2" t="s">
        <v>14</v>
      </c>
      <c r="R71" s="2" t="s">
        <v>9</v>
      </c>
      <c r="T71" s="4" t="s">
        <v>12</v>
      </c>
      <c r="V71" s="28" t="str">
        <f>MID(VLOOKUP($A71,Seqs!$A:$B,2,FALSE),VLOOKUP($A71,'SegEnds_NonXtal_Prot#'!A:AL,10,FALSE),1)</f>
        <v>D</v>
      </c>
      <c r="W71" s="49" t="str">
        <f>MID(VLOOKUP($A71,Seqs!$A:$B,2,FALSE),VLOOKUP($A71,'SegEnds_NonXtal_Prot#'!A:AL,10,FALSE)+6,1)</f>
        <v>F</v>
      </c>
      <c r="X71" s="49" t="str">
        <f>MID(VLOOKUP($A71,Seqs!$A:$B,2,FALSE),VLOOKUP($A71,'SegEnds_NonXtal_Prot#'!A:AL,10,FALSE)+7,1)</f>
        <v>L</v>
      </c>
      <c r="Y71" s="49" t="str">
        <f>MID(VLOOKUP($A71,Seqs!$A:$B,2,FALSE),VLOOKUP($A71,'SegEnds_NonXtal_Prot#'!A:AL,10,FALSE)+8,1)</f>
        <v>P</v>
      </c>
      <c r="Z71" s="49" t="str">
        <f>MID(VLOOKUP($A71,Seqs!$A:$B,2,FALSE),VLOOKUP($A71,'SegEnds_NonXtal_Prot#'!A:AL,10,FALSE)+9,1)</f>
        <v>I</v>
      </c>
      <c r="AA71" s="49" t="str">
        <f>MID(VLOOKUP($A71,Seqs!$A:$B,2,FALSE),VLOOKUP($A71,'SegEnds_NonXtal_Prot#'!A:AL,10,FALSE)+10,1)</f>
        <v>H</v>
      </c>
      <c r="AB71" s="28" t="str">
        <f>MID(VLOOKUP($A71,Seqs!$A:$B,2,FALSE),VLOOKUP($A71,'SegEnds_NonXtal_Prot#'!$A:$AL,22,FALSE)+6,1)</f>
        <v>L</v>
      </c>
      <c r="AC71" s="49" t="str">
        <f>MID(VLOOKUP($A71,Seqs!$A:$B,2,FALSE),VLOOKUP($A71,'SegEnds_NonXtal_Prot#'!$A:$AL,22,FALSE)+7,1)</f>
        <v>S</v>
      </c>
      <c r="AD71" s="49" t="str">
        <f>MID(VLOOKUP($A71,Seqs!$A:$B,2,FALSE),VLOOKUP($A71,'SegEnds_NonXtal_Prot#'!$A:$AL,22,FALSE)+8,1)</f>
        <v>S</v>
      </c>
      <c r="AE71" s="49" t="str">
        <f>MID(VLOOKUP($A71,Seqs!$A:$B,2,FALSE),VLOOKUP($A71,'SegEnds_NonXtal_Prot#'!$A:$AL,22,FALSE)+9,1)</f>
        <v>P</v>
      </c>
      <c r="AF71" s="49" t="str">
        <f>MID(VLOOKUP($A71,Seqs!$A:$B,2,FALSE),VLOOKUP($A71,'SegEnds_NonXtal_Prot#'!$A:$AL,22,FALSE)+10,1)</f>
        <v>S</v>
      </c>
      <c r="AG71" s="28" t="str">
        <f>MID(VLOOKUP($A71,Seqs!$A:$B,2,FALSE),VLOOKUP($A71,'SegEnds_NonXtal_Prot#'!$A:$AL,28,FALSE)-4,1)</f>
        <v>G</v>
      </c>
      <c r="AH71" s="49" t="str">
        <f>MID(VLOOKUP($A71,Seqs!$A:$B,2,FALSE),VLOOKUP($A71,'SegEnds_NonXtal_Prot#'!$A:$AL,28,FALSE),1)</f>
        <v>P</v>
      </c>
    </row>
    <row r="72" spans="1:34" s="2" customFormat="1" x14ac:dyDescent="0.2">
      <c r="A72" s="2" t="s">
        <v>232</v>
      </c>
      <c r="B72" s="2" t="str">
        <f>LOWER(VLOOKUP(A72,Xtal_Templ!A:B,2,FALSE))</f>
        <v>apj_human</v>
      </c>
      <c r="C72" s="2" t="str">
        <f>VLOOKUP(A72,Classification!A:D,2,FALSE)</f>
        <v>A</v>
      </c>
      <c r="D72" s="2" t="str">
        <f>IF(ISERROR(MATCH(A72,'SegEnds_Xtal_Prot#'!B:B, 0)), "NoXtal", "Xtal")</f>
        <v>NoXtal</v>
      </c>
      <c r="H72" s="4"/>
      <c r="N72" s="2" t="s">
        <v>14</v>
      </c>
      <c r="R72" s="2" t="s">
        <v>9</v>
      </c>
      <c r="T72" s="4" t="s">
        <v>12</v>
      </c>
      <c r="V72" s="28" t="str">
        <f>MID(VLOOKUP($A72,Seqs!$A:$B,2,FALSE),VLOOKUP($A72,'SegEnds_NonXtal_Prot#'!A:AL,10,FALSE),1)</f>
        <v>D</v>
      </c>
      <c r="W72" s="49" t="str">
        <f>MID(VLOOKUP($A72,Seqs!$A:$B,2,FALSE),VLOOKUP($A72,'SegEnds_NonXtal_Prot#'!A:AL,10,FALSE)+6,1)</f>
        <v>S</v>
      </c>
      <c r="X72" s="49" t="str">
        <f>MID(VLOOKUP($A72,Seqs!$A:$B,2,FALSE),VLOOKUP($A72,'SegEnds_NonXtal_Prot#'!A:AL,10,FALSE)+7,1)</f>
        <v>L</v>
      </c>
      <c r="Y72" s="49" t="str">
        <f>MID(VLOOKUP($A72,Seqs!$A:$B,2,FALSE),VLOOKUP($A72,'SegEnds_NonXtal_Prot#'!A:AL,10,FALSE)+8,1)</f>
        <v>P</v>
      </c>
      <c r="Z72" s="49" t="str">
        <f>MID(VLOOKUP($A72,Seqs!$A:$B,2,FALSE),VLOOKUP($A72,'SegEnds_NonXtal_Prot#'!A:AL,10,FALSE)+9,1)</f>
        <v>V</v>
      </c>
      <c r="AA72" s="49" t="str">
        <f>MID(VLOOKUP($A72,Seqs!$A:$B,2,FALSE),VLOOKUP($A72,'SegEnds_NonXtal_Prot#'!A:AL,10,FALSE)+10,1)</f>
        <v>W</v>
      </c>
      <c r="AB72" s="28" t="str">
        <f>MID(VLOOKUP($A72,Seqs!$A:$B,2,FALSE),VLOOKUP($A72,'SegEnds_NonXtal_Prot#'!$A:$AL,22,FALSE)+6,1)</f>
        <v>I</v>
      </c>
      <c r="AC72" s="49" t="str">
        <f>MID(VLOOKUP($A72,Seqs!$A:$B,2,FALSE),VLOOKUP($A72,'SegEnds_NonXtal_Prot#'!$A:$AL,22,FALSE)+7,1)</f>
        <v>P</v>
      </c>
      <c r="AD72" s="49" t="str">
        <f>MID(VLOOKUP($A72,Seqs!$A:$B,2,FALSE),VLOOKUP($A72,'SegEnds_NonXtal_Prot#'!$A:$AL,22,FALSE)+8,1)</f>
        <v>L</v>
      </c>
      <c r="AE72" s="49" t="str">
        <f>MID(VLOOKUP($A72,Seqs!$A:$B,2,FALSE),VLOOKUP($A72,'SegEnds_NonXtal_Prot#'!$A:$AL,22,FALSE)+9,1)</f>
        <v>P</v>
      </c>
      <c r="AF72" s="49" t="str">
        <f>MID(VLOOKUP($A72,Seqs!$A:$B,2,FALSE),VLOOKUP($A72,'SegEnds_NonXtal_Prot#'!$A:$AL,22,FALSE)+10,1)</f>
        <v>E</v>
      </c>
      <c r="AG72" s="28" t="str">
        <f>MID(VLOOKUP($A72,Seqs!$A:$B,2,FALSE),VLOOKUP($A72,'SegEnds_NonXtal_Prot#'!$A:$AL,28,FALSE)-4,1)</f>
        <v>G</v>
      </c>
      <c r="AH72" s="49" t="str">
        <f>MID(VLOOKUP($A72,Seqs!$A:$B,2,FALSE),VLOOKUP($A72,'SegEnds_NonXtal_Prot#'!$A:$AL,28,FALSE),1)</f>
        <v>P</v>
      </c>
    </row>
    <row r="73" spans="1:34" s="2" customFormat="1" x14ac:dyDescent="0.2">
      <c r="A73" s="2" t="s">
        <v>235</v>
      </c>
      <c r="B73" s="2" t="str">
        <f>LOWER(VLOOKUP(A73,Xtal_Templ!A:B,2,FALSE))</f>
        <v>cltr2_human</v>
      </c>
      <c r="C73" s="2" t="str">
        <f>VLOOKUP(A73,Classification!A:D,2,FALSE)</f>
        <v>A</v>
      </c>
      <c r="D73" s="2" t="str">
        <f>IF(ISERROR(MATCH(A73,'SegEnds_Xtal_Prot#'!B:B, 0)), "NoXtal", "Xtal")</f>
        <v>NoXtal</v>
      </c>
      <c r="H73" s="4"/>
      <c r="R73" s="2" t="s">
        <v>9</v>
      </c>
      <c r="T73" s="4" t="s">
        <v>12</v>
      </c>
      <c r="V73" s="28" t="str">
        <f>MID(VLOOKUP($A73,Seqs!$A:$B,2,FALSE),VLOOKUP($A73,'SegEnds_NonXtal_Prot#'!A:AL,10,FALSE),1)</f>
        <v>D</v>
      </c>
      <c r="W73" s="49" t="str">
        <f>MID(VLOOKUP($A73,Seqs!$A:$B,2,FALSE),VLOOKUP($A73,'SegEnds_NonXtal_Prot#'!A:AL,10,FALSE)+6,1)</f>
        <v>D</v>
      </c>
      <c r="X73" s="49" t="str">
        <f>MID(VLOOKUP($A73,Seqs!$A:$B,2,FALSE),VLOOKUP($A73,'SegEnds_NonXtal_Prot#'!A:AL,10,FALSE)+7,1)</f>
        <v>S</v>
      </c>
      <c r="Y73" s="49" t="str">
        <f>MID(VLOOKUP($A73,Seqs!$A:$B,2,FALSE),VLOOKUP($A73,'SegEnds_NonXtal_Prot#'!A:AL,10,FALSE)+8,1)</f>
        <v>L</v>
      </c>
      <c r="Z73" s="49" t="str">
        <f>MID(VLOOKUP($A73,Seqs!$A:$B,2,FALSE),VLOOKUP($A73,'SegEnds_NonXtal_Prot#'!A:AL,10,FALSE)+9,1)</f>
        <v>I</v>
      </c>
      <c r="AA73" s="49" t="str">
        <f>MID(VLOOKUP($A73,Seqs!$A:$B,2,FALSE),VLOOKUP($A73,'SegEnds_NonXtal_Prot#'!A:AL,10,FALSE)+10,1)</f>
        <v>E</v>
      </c>
      <c r="AB73" s="28" t="str">
        <f>MID(VLOOKUP($A73,Seqs!$A:$B,2,FALSE),VLOOKUP($A73,'SegEnds_NonXtal_Prot#'!$A:$AL,22,FALSE)+6,1)</f>
        <v>A</v>
      </c>
      <c r="AC73" s="49" t="str">
        <f>MID(VLOOKUP($A73,Seqs!$A:$B,2,FALSE),VLOOKUP($A73,'SegEnds_NonXtal_Prot#'!$A:$AL,22,FALSE)+7,1)</f>
        <v>T</v>
      </c>
      <c r="AD73" s="49" t="str">
        <f>MID(VLOOKUP($A73,Seqs!$A:$B,2,FALSE),VLOOKUP($A73,'SegEnds_NonXtal_Prot#'!$A:$AL,22,FALSE)+8,1)</f>
        <v>L</v>
      </c>
      <c r="AE73" s="49" t="str">
        <f>MID(VLOOKUP($A73,Seqs!$A:$B,2,FALSE),VLOOKUP($A73,'SegEnds_NonXtal_Prot#'!$A:$AL,22,FALSE)+9,1)</f>
        <v>V</v>
      </c>
      <c r="AF73" s="49" t="str">
        <f>MID(VLOOKUP($A73,Seqs!$A:$B,2,FALSE),VLOOKUP($A73,'SegEnds_NonXtal_Prot#'!$A:$AL,22,FALSE)+10,1)</f>
        <v>P</v>
      </c>
      <c r="AG73" s="28" t="str">
        <f>MID(VLOOKUP($A73,Seqs!$A:$B,2,FALSE),VLOOKUP($A73,'SegEnds_NonXtal_Prot#'!$A:$AL,28,FALSE)-4,1)</f>
        <v>G</v>
      </c>
      <c r="AH73" s="49" t="str">
        <f>MID(VLOOKUP($A73,Seqs!$A:$B,2,FALSE),VLOOKUP($A73,'SegEnds_NonXtal_Prot#'!$A:$AL,28,FALSE),1)</f>
        <v>P</v>
      </c>
    </row>
    <row r="74" spans="1:34" s="2" customFormat="1" x14ac:dyDescent="0.2">
      <c r="A74" s="2" t="s">
        <v>236</v>
      </c>
      <c r="B74" s="2" t="str">
        <f>LOWER(VLOOKUP(A74,Xtal_Templ!A:B,2,FALSE))</f>
        <v>fpr2_human</v>
      </c>
      <c r="C74" s="2" t="str">
        <f>VLOOKUP(A74,Classification!A:D,2,FALSE)</f>
        <v>A</v>
      </c>
      <c r="D74" s="2" t="str">
        <f>IF(ISERROR(MATCH(A74,'SegEnds_Xtal_Prot#'!B:B, 0)), "NoXtal", "Xtal")</f>
        <v>NoXtal</v>
      </c>
      <c r="H74" s="4"/>
      <c r="R74" s="2" t="s">
        <v>9</v>
      </c>
      <c r="T74" s="4" t="s">
        <v>12</v>
      </c>
      <c r="V74" s="28" t="str">
        <f>MID(VLOOKUP($A74,Seqs!$A:$B,2,FALSE),VLOOKUP($A74,'SegEnds_NonXtal_Prot#'!A:AL,10,FALSE),1)</f>
        <v>D</v>
      </c>
      <c r="W74" s="49" t="str">
        <f>MID(VLOOKUP($A74,Seqs!$A:$B,2,FALSE),VLOOKUP($A74,'SegEnds_NonXtal_Prot#'!A:AL,10,FALSE)+6,1)</f>
        <v>F</v>
      </c>
      <c r="X74" s="49" t="str">
        <f>MID(VLOOKUP($A74,Seqs!$A:$B,2,FALSE),VLOOKUP($A74,'SegEnds_NonXtal_Prot#'!A:AL,10,FALSE)+7,1)</f>
        <v>L</v>
      </c>
      <c r="Y74" s="49" t="str">
        <f>MID(VLOOKUP($A74,Seqs!$A:$B,2,FALSE),VLOOKUP($A74,'SegEnds_NonXtal_Prot#'!A:AL,10,FALSE)+8,1)</f>
        <v>P</v>
      </c>
      <c r="Z74" s="49" t="str">
        <f>MID(VLOOKUP($A74,Seqs!$A:$B,2,FALSE),VLOOKUP($A74,'SegEnds_NonXtal_Prot#'!A:AL,10,FALSE)+9,1)</f>
        <v>L</v>
      </c>
      <c r="AA74" s="49" t="str">
        <f>MID(VLOOKUP($A74,Seqs!$A:$B,2,FALSE),VLOOKUP($A74,'SegEnds_NonXtal_Prot#'!A:AL,10,FALSE)+10,1)</f>
        <v>Y</v>
      </c>
      <c r="AB74" s="28" t="str">
        <f>MID(VLOOKUP($A74,Seqs!$A:$B,2,FALSE),VLOOKUP($A74,'SegEnds_NonXtal_Prot#'!$A:$AL,22,FALSE)+6,1)</f>
        <v>I</v>
      </c>
      <c r="AC74" s="49" t="str">
        <f>MID(VLOOKUP($A74,Seqs!$A:$B,2,FALSE),VLOOKUP($A74,'SegEnds_NonXtal_Prot#'!$A:$AL,22,FALSE)+7,1)</f>
        <v>G</v>
      </c>
      <c r="AD74" s="49" t="str">
        <f>MID(VLOOKUP($A74,Seqs!$A:$B,2,FALSE),VLOOKUP($A74,'SegEnds_NonXtal_Prot#'!$A:$AL,22,FALSE)+8,1)</f>
        <v>G</v>
      </c>
      <c r="AE74" s="49" t="str">
        <f>MID(VLOOKUP($A74,Seqs!$A:$B,2,FALSE),VLOOKUP($A74,'SegEnds_NonXtal_Prot#'!$A:$AL,22,FALSE)+9,1)</f>
        <v>P</v>
      </c>
      <c r="AF74" s="49" t="str">
        <f>MID(VLOOKUP($A74,Seqs!$A:$B,2,FALSE),VLOOKUP($A74,'SegEnds_NonXtal_Prot#'!$A:$AL,22,FALSE)+10,1)</f>
        <v>A</v>
      </c>
      <c r="AG74" s="28" t="str">
        <f>MID(VLOOKUP($A74,Seqs!$A:$B,2,FALSE),VLOOKUP($A74,'SegEnds_NonXtal_Prot#'!$A:$AL,28,FALSE)-4,1)</f>
        <v>G</v>
      </c>
      <c r="AH74" s="49" t="str">
        <f>MID(VLOOKUP($A74,Seqs!$A:$B,2,FALSE),VLOOKUP($A74,'SegEnds_NonXtal_Prot#'!$A:$AL,28,FALSE),1)</f>
        <v>P</v>
      </c>
    </row>
    <row r="75" spans="1:34" s="2" customFormat="1" x14ac:dyDescent="0.2">
      <c r="A75" s="2" t="s">
        <v>238</v>
      </c>
      <c r="B75" s="2" t="str">
        <f>LOWER(VLOOKUP(A75,Xtal_Templ!A:B,2,FALSE))</f>
        <v>apj_human</v>
      </c>
      <c r="C75" s="2" t="str">
        <f>VLOOKUP(A75,Classification!A:D,2,FALSE)</f>
        <v>A</v>
      </c>
      <c r="D75" s="2" t="str">
        <f>IF(ISERROR(MATCH(A75,'SegEnds_Xtal_Prot#'!B:B, 0)), "NoXtal", "Xtal")</f>
        <v>NoXtal</v>
      </c>
      <c r="H75" s="4"/>
      <c r="R75" s="2" t="s">
        <v>9</v>
      </c>
      <c r="T75" s="4" t="s">
        <v>12</v>
      </c>
      <c r="V75" s="28" t="str">
        <f>MID(VLOOKUP($A75,Seqs!$A:$B,2,FALSE),VLOOKUP($A75,'SegEnds_NonXtal_Prot#'!A:AL,10,FALSE),1)</f>
        <v>D</v>
      </c>
      <c r="W75" s="49" t="str">
        <f>MID(VLOOKUP($A75,Seqs!$A:$B,2,FALSE),VLOOKUP($A75,'SegEnds_NonXtal_Prot#'!A:AL,10,FALSE)+6,1)</f>
        <v>T</v>
      </c>
      <c r="X75" s="49" t="str">
        <f>MID(VLOOKUP($A75,Seqs!$A:$B,2,FALSE),VLOOKUP($A75,'SegEnds_NonXtal_Prot#'!A:AL,10,FALSE)+7,1)</f>
        <v>L</v>
      </c>
      <c r="Y75" s="49" t="str">
        <f>MID(VLOOKUP($A75,Seqs!$A:$B,2,FALSE),VLOOKUP($A75,'SegEnds_NonXtal_Prot#'!A:AL,10,FALSE)+8,1)</f>
        <v>P</v>
      </c>
      <c r="Z75" s="49" t="str">
        <f>MID(VLOOKUP($A75,Seqs!$A:$B,2,FALSE),VLOOKUP($A75,'SegEnds_NonXtal_Prot#'!A:AL,10,FALSE)+9,1)</f>
        <v>L</v>
      </c>
      <c r="AA75" s="49" t="str">
        <f>MID(VLOOKUP($A75,Seqs!$A:$B,2,FALSE),VLOOKUP($A75,'SegEnds_NonXtal_Prot#'!A:AL,10,FALSE)+10,1)</f>
        <v>W</v>
      </c>
      <c r="AB75" s="28" t="str">
        <f>MID(VLOOKUP($A75,Seqs!$A:$B,2,FALSE),VLOOKUP($A75,'SegEnds_NonXtal_Prot#'!$A:$AL,22,FALSE)+6,1)</f>
        <v>L</v>
      </c>
      <c r="AC75" s="49" t="str">
        <f>MID(VLOOKUP($A75,Seqs!$A:$B,2,FALSE),VLOOKUP($A75,'SegEnds_NonXtal_Prot#'!$A:$AL,22,FALSE)+7,1)</f>
        <v>G</v>
      </c>
      <c r="AD75" s="49" t="str">
        <f>MID(VLOOKUP($A75,Seqs!$A:$B,2,FALSE),VLOOKUP($A75,'SegEnds_NonXtal_Prot#'!$A:$AL,22,FALSE)+8,1)</f>
        <v>L</v>
      </c>
      <c r="AE75" s="49" t="str">
        <f>MID(VLOOKUP($A75,Seqs!$A:$B,2,FALSE),VLOOKUP($A75,'SegEnds_NonXtal_Prot#'!$A:$AL,22,FALSE)+9,1)</f>
        <v>P</v>
      </c>
      <c r="AF75" s="49" t="str">
        <f>MID(VLOOKUP($A75,Seqs!$A:$B,2,FALSE),VLOOKUP($A75,'SegEnds_NonXtal_Prot#'!$A:$AL,22,FALSE)+10,1)</f>
        <v>T</v>
      </c>
      <c r="AG75" s="28" t="str">
        <f>MID(VLOOKUP($A75,Seqs!$A:$B,2,FALSE),VLOOKUP($A75,'SegEnds_NonXtal_Prot#'!$A:$AL,28,FALSE)-4,1)</f>
        <v>T</v>
      </c>
      <c r="AH75" s="49" t="str">
        <f>MID(VLOOKUP($A75,Seqs!$A:$B,2,FALSE),VLOOKUP($A75,'SegEnds_NonXtal_Prot#'!$A:$AL,28,FALSE),1)</f>
        <v>P</v>
      </c>
    </row>
    <row r="76" spans="1:34" s="2" customFormat="1" x14ac:dyDescent="0.2">
      <c r="A76" s="2" t="s">
        <v>245</v>
      </c>
      <c r="B76" s="2" t="str">
        <f>LOWER(VLOOKUP(A76,Xtal_Templ!A:B,2,FALSE))</f>
        <v>agtr1_human</v>
      </c>
      <c r="C76" s="2" t="str">
        <f>VLOOKUP(A76,Classification!A:D,2,FALSE)</f>
        <v>A</v>
      </c>
      <c r="D76" s="2" t="str">
        <f>IF(ISERROR(MATCH(A76,'SegEnds_Xtal_Prot#'!B:B, 0)), "NoXtal", "Xtal")</f>
        <v>NoXtal</v>
      </c>
      <c r="H76" s="4"/>
      <c r="R76" s="2" t="s">
        <v>9</v>
      </c>
      <c r="T76" s="4" t="s">
        <v>12</v>
      </c>
      <c r="V76" s="28" t="str">
        <f>MID(VLOOKUP($A76,Seqs!$A:$B,2,FALSE),VLOOKUP($A76,'SegEnds_NonXtal_Prot#'!A:AL,10,FALSE),1)</f>
        <v>D</v>
      </c>
      <c r="W76" s="49" t="str">
        <f>MID(VLOOKUP($A76,Seqs!$A:$B,2,FALSE),VLOOKUP($A76,'SegEnds_NonXtal_Prot#'!A:AL,10,FALSE)+6,1)</f>
        <v>T</v>
      </c>
      <c r="X76" s="49" t="str">
        <f>MID(VLOOKUP($A76,Seqs!$A:$B,2,FALSE),VLOOKUP($A76,'SegEnds_NonXtal_Prot#'!A:AL,10,FALSE)+7,1)</f>
        <v>L</v>
      </c>
      <c r="Y76" s="49" t="str">
        <f>MID(VLOOKUP($A76,Seqs!$A:$B,2,FALSE),VLOOKUP($A76,'SegEnds_NonXtal_Prot#'!A:AL,10,FALSE)+8,1)</f>
        <v>P</v>
      </c>
      <c r="Z76" s="49" t="str">
        <f>MID(VLOOKUP($A76,Seqs!$A:$B,2,FALSE),VLOOKUP($A76,'SegEnds_NonXtal_Prot#'!A:AL,10,FALSE)+9,1)</f>
        <v>L</v>
      </c>
      <c r="AA76" s="49" t="str">
        <f>MID(VLOOKUP($A76,Seqs!$A:$B,2,FALSE),VLOOKUP($A76,'SegEnds_NonXtal_Prot#'!A:AL,10,FALSE)+10,1)</f>
        <v>W</v>
      </c>
      <c r="AB76" s="28" t="str">
        <f>MID(VLOOKUP($A76,Seqs!$A:$B,2,FALSE),VLOOKUP($A76,'SegEnds_NonXtal_Prot#'!$A:$AL,22,FALSE)+6,1)</f>
        <v>A</v>
      </c>
      <c r="AC76" s="49" t="str">
        <f>MID(VLOOKUP($A76,Seqs!$A:$B,2,FALSE),VLOOKUP($A76,'SegEnds_NonXtal_Prot#'!$A:$AL,22,FALSE)+7,1)</f>
        <v>G</v>
      </c>
      <c r="AD76" s="49" t="str">
        <f>MID(VLOOKUP($A76,Seqs!$A:$B,2,FALSE),VLOOKUP($A76,'SegEnds_NonXtal_Prot#'!$A:$AL,22,FALSE)+8,1)</f>
        <v>L</v>
      </c>
      <c r="AE76" s="49" t="str">
        <f>MID(VLOOKUP($A76,Seqs!$A:$B,2,FALSE),VLOOKUP($A76,'SegEnds_NonXtal_Prot#'!$A:$AL,22,FALSE)+9,1)</f>
        <v>P</v>
      </c>
      <c r="AF76" s="49" t="str">
        <f>MID(VLOOKUP($A76,Seqs!$A:$B,2,FALSE),VLOOKUP($A76,'SegEnds_NonXtal_Prot#'!$A:$AL,22,FALSE)+10,1)</f>
        <v>S</v>
      </c>
      <c r="AG76" s="28" t="str">
        <f>MID(VLOOKUP($A76,Seqs!$A:$B,2,FALSE),VLOOKUP($A76,'SegEnds_NonXtal_Prot#'!$A:$AL,28,FALSE)-4,1)</f>
        <v>T</v>
      </c>
      <c r="AH76" s="49" t="str">
        <f>MID(VLOOKUP($A76,Seqs!$A:$B,2,FALSE),VLOOKUP($A76,'SegEnds_NonXtal_Prot#'!$A:$AL,28,FALSE),1)</f>
        <v>P</v>
      </c>
    </row>
    <row r="77" spans="1:34" s="2" customFormat="1" x14ac:dyDescent="0.2">
      <c r="A77" s="2" t="s">
        <v>251</v>
      </c>
      <c r="B77" s="2" t="str">
        <f>LOWER(VLOOKUP(A77,Xtal_Templ!A:B,2,FALSE))</f>
        <v>fpr2_human</v>
      </c>
      <c r="C77" s="2" t="str">
        <f>VLOOKUP(A77,Classification!A:D,2,FALSE)</f>
        <v>A</v>
      </c>
      <c r="D77" s="2" t="str">
        <f>IF(ISERROR(MATCH(A77,'SegEnds_Xtal_Prot#'!B:B, 0)), "NoXtal", "Xtal")</f>
        <v>NoXtal</v>
      </c>
      <c r="H77" s="4"/>
      <c r="N77" s="2" t="s">
        <v>14</v>
      </c>
      <c r="R77" s="2" t="s">
        <v>9</v>
      </c>
      <c r="T77" s="4" t="s">
        <v>12</v>
      </c>
      <c r="V77" s="28" t="str">
        <f>MID(VLOOKUP($A77,Seqs!$A:$B,2,FALSE),VLOOKUP($A77,'SegEnds_NonXtal_Prot#'!A:AL,10,FALSE),1)</f>
        <v>Y</v>
      </c>
      <c r="W77" s="49" t="str">
        <f>MID(VLOOKUP($A77,Seqs!$A:$B,2,FALSE),VLOOKUP($A77,'SegEnds_NonXtal_Prot#'!A:AL,10,FALSE)+6,1)</f>
        <v>I</v>
      </c>
      <c r="X77" s="49" t="str">
        <f>MID(VLOOKUP($A77,Seqs!$A:$B,2,FALSE),VLOOKUP($A77,'SegEnds_NonXtal_Prot#'!A:AL,10,FALSE)+7,1)</f>
        <v>L</v>
      </c>
      <c r="Y77" s="49" t="str">
        <f>MID(VLOOKUP($A77,Seqs!$A:$B,2,FALSE),VLOOKUP($A77,'SegEnds_NonXtal_Prot#'!A:AL,10,FALSE)+8,1)</f>
        <v>P</v>
      </c>
      <c r="Z77" s="49" t="str">
        <f>MID(VLOOKUP($A77,Seqs!$A:$B,2,FALSE),VLOOKUP($A77,'SegEnds_NonXtal_Prot#'!A:AL,10,FALSE)+9,1)</f>
        <v>F</v>
      </c>
      <c r="AA77" s="49" t="str">
        <f>MID(VLOOKUP($A77,Seqs!$A:$B,2,FALSE),VLOOKUP($A77,'SegEnds_NonXtal_Prot#'!A:AL,10,FALSE)+10,1)</f>
        <v>M</v>
      </c>
      <c r="AB77" s="28" t="str">
        <f>MID(VLOOKUP($A77,Seqs!$A:$B,2,FALSE),VLOOKUP($A77,'SegEnds_NonXtal_Prot#'!$A:$AL,22,FALSE)+6,1)</f>
        <v>L</v>
      </c>
      <c r="AC77" s="49" t="str">
        <f>MID(VLOOKUP($A77,Seqs!$A:$B,2,FALSE),VLOOKUP($A77,'SegEnds_NonXtal_Prot#'!$A:$AL,22,FALSE)+7,1)</f>
        <v>S</v>
      </c>
      <c r="AD77" s="49" t="str">
        <f>MID(VLOOKUP($A77,Seqs!$A:$B,2,FALSE),VLOOKUP($A77,'SegEnds_NonXtal_Prot#'!$A:$AL,22,FALSE)+8,1)</f>
        <v>I</v>
      </c>
      <c r="AE77" s="49" t="str">
        <f>MID(VLOOKUP($A77,Seqs!$A:$B,2,FALSE),VLOOKUP($A77,'SegEnds_NonXtal_Prot#'!$A:$AL,22,FALSE)+9,1)</f>
        <v>P</v>
      </c>
      <c r="AF77" s="49" t="str">
        <f>MID(VLOOKUP($A77,Seqs!$A:$B,2,FALSE),VLOOKUP($A77,'SegEnds_NonXtal_Prot#'!$A:$AL,22,FALSE)+10,1)</f>
        <v>Y</v>
      </c>
      <c r="AG77" s="28" t="str">
        <f>MID(VLOOKUP($A77,Seqs!$A:$B,2,FALSE),VLOOKUP($A77,'SegEnds_NonXtal_Prot#'!$A:$AL,28,FALSE)-4,1)</f>
        <v>G</v>
      </c>
      <c r="AH77" s="49" t="str">
        <f>MID(VLOOKUP($A77,Seqs!$A:$B,2,FALSE),VLOOKUP($A77,'SegEnds_NonXtal_Prot#'!$A:$AL,28,FALSE),1)</f>
        <v>P</v>
      </c>
    </row>
    <row r="78" spans="1:34" s="2" customFormat="1" x14ac:dyDescent="0.2">
      <c r="A78" s="2" t="s">
        <v>282</v>
      </c>
      <c r="B78" s="2" t="str">
        <f>LOWER(VLOOKUP(A78,Xtal_Templ!A:B,2,FALSE))</f>
        <v>agtr1_human</v>
      </c>
      <c r="C78" s="2" t="str">
        <f>VLOOKUP(A78,Classification!A:D,2,FALSE)</f>
        <v>A</v>
      </c>
      <c r="D78" s="2" t="str">
        <f>IF(ISERROR(MATCH(A78,'SegEnds_Xtal_Prot#'!B:B, 0)), "NoXtal", "Xtal")</f>
        <v>NoXtal</v>
      </c>
      <c r="H78" s="4"/>
      <c r="T78" s="4" t="s">
        <v>12</v>
      </c>
      <c r="V78" s="28" t="str">
        <f>MID(VLOOKUP($A78,Seqs!$A:$B,2,FALSE),VLOOKUP($A78,'SegEnds_NonXtal_Prot#'!A:AL,10,FALSE),1)</f>
        <v>N</v>
      </c>
      <c r="W78" s="49" t="str">
        <f>MID(VLOOKUP($A78,Seqs!$A:$B,2,FALSE),VLOOKUP($A78,'SegEnds_NonXtal_Prot#'!A:AL,10,FALSE)+6,1)</f>
        <v>Y</v>
      </c>
      <c r="X78" s="49" t="str">
        <f>MID(VLOOKUP($A78,Seqs!$A:$B,2,FALSE),VLOOKUP($A78,'SegEnds_NonXtal_Prot#'!A:AL,10,FALSE)+7,1)</f>
        <v>T</v>
      </c>
      <c r="Y78" s="49" t="str">
        <f>MID(VLOOKUP($A78,Seqs!$A:$B,2,FALSE),VLOOKUP($A78,'SegEnds_NonXtal_Prot#'!A:AL,10,FALSE)+8,1)</f>
        <v>G</v>
      </c>
      <c r="Z78" s="49" t="str">
        <f>MID(VLOOKUP($A78,Seqs!$A:$B,2,FALSE),VLOOKUP($A78,'SegEnds_NonXtal_Prot#'!A:AL,10,FALSE)+9,1)</f>
        <v>I</v>
      </c>
      <c r="AA78" s="49" t="str">
        <f>MID(VLOOKUP($A78,Seqs!$A:$B,2,FALSE),VLOOKUP($A78,'SegEnds_NonXtal_Prot#'!A:AL,10,FALSE)+10,1)</f>
        <v>L</v>
      </c>
      <c r="AB78" s="28" t="str">
        <f>MID(VLOOKUP($A78,Seqs!$A:$B,2,FALSE),VLOOKUP($A78,'SegEnds_NonXtal_Prot#'!$A:$AL,22,FALSE)+6,1)</f>
        <v>A</v>
      </c>
      <c r="AC78" s="49" t="str">
        <f>MID(VLOOKUP($A78,Seqs!$A:$B,2,FALSE),VLOOKUP($A78,'SegEnds_NonXtal_Prot#'!$A:$AL,22,FALSE)+7,1)</f>
        <v>G</v>
      </c>
      <c r="AD78" s="49" t="str">
        <f>MID(VLOOKUP($A78,Seqs!$A:$B,2,FALSE),VLOOKUP($A78,'SegEnds_NonXtal_Prot#'!$A:$AL,22,FALSE)+8,1)</f>
        <v>C</v>
      </c>
      <c r="AE78" s="49" t="str">
        <f>MID(VLOOKUP($A78,Seqs!$A:$B,2,FALSE),VLOOKUP($A78,'SegEnds_NonXtal_Prot#'!$A:$AL,22,FALSE)+9,1)</f>
        <v>F</v>
      </c>
      <c r="AF78" s="49" t="str">
        <f>MID(VLOOKUP($A78,Seqs!$A:$B,2,FALSE),VLOOKUP($A78,'SegEnds_NonXtal_Prot#'!$A:$AL,22,FALSE)+10,1)</f>
        <v>P</v>
      </c>
      <c r="AG78" s="28" t="str">
        <f>MID(VLOOKUP($A78,Seqs!$A:$B,2,FALSE),VLOOKUP($A78,'SegEnds_NonXtal_Prot#'!$A:$AL,28,FALSE)-4,1)</f>
        <v>L</v>
      </c>
      <c r="AH78" s="49" t="str">
        <f>MID(VLOOKUP($A78,Seqs!$A:$B,2,FALSE),VLOOKUP($A78,'SegEnds_NonXtal_Prot#'!$A:$AL,28,FALSE),1)</f>
        <v>A</v>
      </c>
    </row>
    <row r="79" spans="1:34" s="2" customFormat="1" x14ac:dyDescent="0.2">
      <c r="A79" s="2" t="s">
        <v>291</v>
      </c>
      <c r="B79" s="2" t="str">
        <f>LOWER(VLOOKUP(A79,Xtal_Templ!A:B,2,FALSE))</f>
        <v>ccr7_human</v>
      </c>
      <c r="C79" s="2" t="str">
        <f>VLOOKUP(A79,Classification!A:D,2,FALSE)</f>
        <v>A</v>
      </c>
      <c r="D79" s="2" t="str">
        <f>IF(ISERROR(MATCH(A79,'SegEnds_Xtal_Prot#'!B:B, 0)), "NoXtal", "Xtal")</f>
        <v>NoXtal</v>
      </c>
      <c r="H79" s="4"/>
      <c r="N79" s="2" t="s">
        <v>14</v>
      </c>
      <c r="R79" s="2" t="s">
        <v>9</v>
      </c>
      <c r="T79" s="4" t="s">
        <v>12</v>
      </c>
      <c r="V79" s="28" t="str">
        <f>MID(VLOOKUP($A79,Seqs!$A:$B,2,FALSE),VLOOKUP($A79,'SegEnds_NonXtal_Prot#'!A:AL,10,FALSE),1)</f>
        <v>D</v>
      </c>
      <c r="W79" s="49" t="str">
        <f>MID(VLOOKUP($A79,Seqs!$A:$B,2,FALSE),VLOOKUP($A79,'SegEnds_NonXtal_Prot#'!A:AL,10,FALSE)+6,1)</f>
        <v>T</v>
      </c>
      <c r="X79" s="49" t="str">
        <f>MID(VLOOKUP($A79,Seqs!$A:$B,2,FALSE),VLOOKUP($A79,'SegEnds_NonXtal_Prot#'!A:AL,10,FALSE)+7,1)</f>
        <v>A</v>
      </c>
      <c r="Y79" s="49" t="str">
        <f>MID(VLOOKUP($A79,Seqs!$A:$B,2,FALSE),VLOOKUP($A79,'SegEnds_NonXtal_Prot#'!A:AL,10,FALSE)+8,1)</f>
        <v>P</v>
      </c>
      <c r="Z79" s="49" t="str">
        <f>MID(VLOOKUP($A79,Seqs!$A:$B,2,FALSE),VLOOKUP($A79,'SegEnds_NonXtal_Prot#'!A:AL,10,FALSE)+9,1)</f>
        <v>F</v>
      </c>
      <c r="AA79" s="49" t="str">
        <f>MID(VLOOKUP($A79,Seqs!$A:$B,2,FALSE),VLOOKUP($A79,'SegEnds_NonXtal_Prot#'!A:AL,10,FALSE)+10,1)</f>
        <v>F</v>
      </c>
      <c r="AB79" s="28" t="str">
        <f>MID(VLOOKUP($A79,Seqs!$A:$B,2,FALSE),VLOOKUP($A79,'SegEnds_NonXtal_Prot#'!$A:$AL,22,FALSE)+6,1)</f>
        <v>L</v>
      </c>
      <c r="AC79" s="49" t="str">
        <f>MID(VLOOKUP($A79,Seqs!$A:$B,2,FALSE),VLOOKUP($A79,'SegEnds_NonXtal_Prot#'!$A:$AL,22,FALSE)+7,1)</f>
        <v>A</v>
      </c>
      <c r="AD79" s="49" t="str">
        <f>MID(VLOOKUP($A79,Seqs!$A:$B,2,FALSE),VLOOKUP($A79,'SegEnds_NonXtal_Prot#'!$A:$AL,22,FALSE)+8,1)</f>
        <v>T</v>
      </c>
      <c r="AE79" s="49" t="str">
        <f>MID(VLOOKUP($A79,Seqs!$A:$B,2,FALSE),VLOOKUP($A79,'SegEnds_NonXtal_Prot#'!$A:$AL,22,FALSE)+9,1)</f>
        <v>P</v>
      </c>
      <c r="AF79" s="49" t="str">
        <f>MID(VLOOKUP($A79,Seqs!$A:$B,2,FALSE),VLOOKUP($A79,'SegEnds_NonXtal_Prot#'!$A:$AL,22,FALSE)+10,1)</f>
        <v>V</v>
      </c>
      <c r="AG79" s="28" t="str">
        <f>MID(VLOOKUP($A79,Seqs!$A:$B,2,FALSE),VLOOKUP($A79,'SegEnds_NonXtal_Prot#'!$A:$AL,28,FALSE)-4,1)</f>
        <v>G</v>
      </c>
      <c r="AH79" s="49" t="str">
        <f>MID(VLOOKUP($A79,Seqs!$A:$B,2,FALSE),VLOOKUP($A79,'SegEnds_NonXtal_Prot#'!$A:$AL,28,FALSE),1)</f>
        <v>P</v>
      </c>
    </row>
    <row r="80" spans="1:34" s="2" customFormat="1" x14ac:dyDescent="0.2">
      <c r="A80" s="2" t="s">
        <v>303</v>
      </c>
      <c r="B80" s="2" t="str">
        <f>LOWER(VLOOKUP(A80,Xtal_Templ!A:B,2,FALSE))</f>
        <v>agtr1_human</v>
      </c>
      <c r="C80" s="2" t="str">
        <f>VLOOKUP(A80,Classification!A:D,2,FALSE)</f>
        <v>A</v>
      </c>
      <c r="D80" s="2" t="str">
        <f>IF(ISERROR(MATCH(A80,'SegEnds_Xtal_Prot#'!B:B, 0)), "NoXtal", "Xtal")</f>
        <v>NoXtal</v>
      </c>
      <c r="H80" s="4"/>
      <c r="T80" s="4" t="s">
        <v>12</v>
      </c>
      <c r="V80" s="28" t="str">
        <f>MID(VLOOKUP($A80,Seqs!$A:$B,2,FALSE),VLOOKUP($A80,'SegEnds_NonXtal_Prot#'!A:AL,10,FALSE),1)</f>
        <v>D</v>
      </c>
      <c r="W80" s="49" t="str">
        <f>MID(VLOOKUP($A80,Seqs!$A:$B,2,FALSE),VLOOKUP($A80,'SegEnds_NonXtal_Prot#'!A:AL,10,FALSE)+6,1)</f>
        <v>C</v>
      </c>
      <c r="X80" s="49" t="str">
        <f>MID(VLOOKUP($A80,Seqs!$A:$B,2,FALSE),VLOOKUP($A80,'SegEnds_NonXtal_Prot#'!A:AL,10,FALSE)+7,1)</f>
        <v>R</v>
      </c>
      <c r="Y80" s="49" t="str">
        <f>MID(VLOOKUP($A80,Seqs!$A:$B,2,FALSE),VLOOKUP($A80,'SegEnds_NonXtal_Prot#'!A:AL,10,FALSE)+8,1)</f>
        <v>V</v>
      </c>
      <c r="Z80" s="49" t="str">
        <f>MID(VLOOKUP($A80,Seqs!$A:$B,2,FALSE),VLOOKUP($A80,'SegEnds_NonXtal_Prot#'!A:AL,10,FALSE)+9,1)</f>
        <v>G</v>
      </c>
      <c r="AA80" s="49" t="str">
        <f>MID(VLOOKUP($A80,Seqs!$A:$B,2,FALSE),VLOOKUP($A80,'SegEnds_NonXtal_Prot#'!A:AL,10,FALSE)+10,1)</f>
        <v>F</v>
      </c>
      <c r="AB80" s="28" t="str">
        <f>MID(VLOOKUP($A80,Seqs!$A:$B,2,FALSE),VLOOKUP($A80,'SegEnds_NonXtal_Prot#'!$A:$AL,22,FALSE)+6,1)</f>
        <v>A</v>
      </c>
      <c r="AC80" s="49" t="str">
        <f>MID(VLOOKUP($A80,Seqs!$A:$B,2,FALSE),VLOOKUP($A80,'SegEnds_NonXtal_Prot#'!$A:$AL,22,FALSE)+7,1)</f>
        <v>V</v>
      </c>
      <c r="AD80" s="49" t="str">
        <f>MID(VLOOKUP($A80,Seqs!$A:$B,2,FALSE),VLOOKUP($A80,'SegEnds_NonXtal_Prot#'!$A:$AL,22,FALSE)+8,1)</f>
        <v>P</v>
      </c>
      <c r="AE80" s="49" t="str">
        <f>MID(VLOOKUP($A80,Seqs!$A:$B,2,FALSE),VLOOKUP($A80,'SegEnds_NonXtal_Prot#'!$A:$AL,22,FALSE)+9,1)</f>
        <v>L</v>
      </c>
      <c r="AF80" s="49" t="str">
        <f>MID(VLOOKUP($A80,Seqs!$A:$B,2,FALSE),VLOOKUP($A80,'SegEnds_NonXtal_Prot#'!$A:$AL,22,FALSE)+10,1)</f>
        <v>P</v>
      </c>
      <c r="AG80" s="28" t="str">
        <f>MID(VLOOKUP($A80,Seqs!$A:$B,2,FALSE),VLOOKUP($A80,'SegEnds_NonXtal_Prot#'!$A:$AL,28,FALSE)-4,1)</f>
        <v>L</v>
      </c>
      <c r="AH80" s="49" t="str">
        <f>MID(VLOOKUP($A80,Seqs!$A:$B,2,FALSE),VLOOKUP($A80,'SegEnds_NonXtal_Prot#'!$A:$AL,28,FALSE),1)</f>
        <v>R</v>
      </c>
    </row>
    <row r="81" spans="1:34" s="2" customFormat="1" x14ac:dyDescent="0.2">
      <c r="A81" s="2" t="s">
        <v>305</v>
      </c>
      <c r="B81" s="2" t="str">
        <f>LOWER(VLOOKUP(A81,Xtal_Templ!A:B,2,FALSE))</f>
        <v>c5ar1_human</v>
      </c>
      <c r="C81" s="2" t="str">
        <f>VLOOKUP(A81,Classification!A:D,2,FALSE)</f>
        <v>A</v>
      </c>
      <c r="D81" s="2" t="str">
        <f>IF(ISERROR(MATCH(A81,'SegEnds_Xtal_Prot#'!B:B, 0)), "NoXtal", "Xtal")</f>
        <v>NoXtal</v>
      </c>
      <c r="H81" s="4"/>
      <c r="T81" s="4" t="s">
        <v>12</v>
      </c>
      <c r="V81" s="28" t="str">
        <f>MID(VLOOKUP($A81,Seqs!$A:$B,2,FALSE),VLOOKUP($A81,'SegEnds_NonXtal_Prot#'!A:AL,10,FALSE),1)</f>
        <v>D</v>
      </c>
      <c r="W81" s="49" t="str">
        <f>MID(VLOOKUP($A81,Seqs!$A:$B,2,FALSE),VLOOKUP($A81,'SegEnds_NonXtal_Prot#'!A:AL,10,FALSE)+6,1)</f>
        <v>F</v>
      </c>
      <c r="X81" s="49" t="str">
        <f>MID(VLOOKUP($A81,Seqs!$A:$B,2,FALSE),VLOOKUP($A81,'SegEnds_NonXtal_Prot#'!A:AL,10,FALSE)+7,1)</f>
        <v>Q</v>
      </c>
      <c r="Y81" s="49" t="str">
        <f>MID(VLOOKUP($A81,Seqs!$A:$B,2,FALSE),VLOOKUP($A81,'SegEnds_NonXtal_Prot#'!A:AL,10,FALSE)+8,1)</f>
        <v>I</v>
      </c>
      <c r="Z81" s="49" t="str">
        <f>MID(VLOOKUP($A81,Seqs!$A:$B,2,FALSE),VLOOKUP($A81,'SegEnds_NonXtal_Prot#'!A:AL,10,FALSE)+9,1)</f>
        <v>I</v>
      </c>
      <c r="AA81" s="49" t="str">
        <f>MID(VLOOKUP($A81,Seqs!$A:$B,2,FALSE),VLOOKUP($A81,'SegEnds_NonXtal_Prot#'!A:AL,10,FALSE)+10,1)</f>
        <v>N</v>
      </c>
      <c r="AB81" s="28" t="str">
        <f>MID(VLOOKUP($A81,Seqs!$A:$B,2,FALSE),VLOOKUP($A81,'SegEnds_NonXtal_Prot#'!$A:$AL,22,FALSE)+6,1)</f>
        <v>L</v>
      </c>
      <c r="AC81" s="49" t="str">
        <f>MID(VLOOKUP($A81,Seqs!$A:$B,2,FALSE),VLOOKUP($A81,'SegEnds_NonXtal_Prot#'!$A:$AL,22,FALSE)+7,1)</f>
        <v>S</v>
      </c>
      <c r="AD81" s="49" t="str">
        <f>MID(VLOOKUP($A81,Seqs!$A:$B,2,FALSE),VLOOKUP($A81,'SegEnds_NonXtal_Prot#'!$A:$AL,22,FALSE)+8,1)</f>
        <v>I</v>
      </c>
      <c r="AE81" s="49" t="str">
        <f>MID(VLOOKUP($A81,Seqs!$A:$B,2,FALSE),VLOOKUP($A81,'SegEnds_NonXtal_Prot#'!$A:$AL,22,FALSE)+9,1)</f>
        <v>L</v>
      </c>
      <c r="AF81" s="49" t="str">
        <f>MID(VLOOKUP($A81,Seqs!$A:$B,2,FALSE),VLOOKUP($A81,'SegEnds_NonXtal_Prot#'!$A:$AL,22,FALSE)+10,1)</f>
        <v>E</v>
      </c>
      <c r="AG81" s="28" t="str">
        <f>MID(VLOOKUP($A81,Seqs!$A:$B,2,FALSE),VLOOKUP($A81,'SegEnds_NonXtal_Prot#'!$A:$AL,28,FALSE)-4,1)</f>
        <v>I</v>
      </c>
      <c r="AH81" s="49" t="str">
        <f>MID(VLOOKUP($A81,Seqs!$A:$B,2,FALSE),VLOOKUP($A81,'SegEnds_NonXtal_Prot#'!$A:$AL,28,FALSE),1)</f>
        <v>M</v>
      </c>
    </row>
    <row r="82" spans="1:34" s="2" customFormat="1" x14ac:dyDescent="0.2">
      <c r="A82" s="2" t="s">
        <v>330</v>
      </c>
      <c r="B82" s="2" t="str">
        <f>LOWER(VLOOKUP(A82,Xtal_Templ!A:B,2,FALSE))</f>
        <v>ptafr_human</v>
      </c>
      <c r="C82" s="2" t="str">
        <f>VLOOKUP(A82,Classification!A:D,2,FALSE)</f>
        <v>A</v>
      </c>
      <c r="D82" s="2" t="str">
        <f>IF(ISERROR(MATCH(A82,'SegEnds_Xtal_Prot#'!B:B, 0)), "NoXtal", "Xtal")</f>
        <v>NoXtal</v>
      </c>
      <c r="H82" s="4"/>
      <c r="R82" s="2" t="s">
        <v>9</v>
      </c>
      <c r="S82" s="106"/>
      <c r="T82" s="4" t="s">
        <v>12</v>
      </c>
      <c r="V82" s="28" t="str">
        <f>MID(VLOOKUP($A82,Seqs!$A:$B,2,FALSE),VLOOKUP($A82,'SegEnds_NonXtal_Prot#'!A:AL,10,FALSE),1)</f>
        <v>D</v>
      </c>
      <c r="W82" s="49" t="str">
        <f>MID(VLOOKUP($A82,Seqs!$A:$B,2,FALSE),VLOOKUP($A82,'SegEnds_NonXtal_Prot#'!A:AL,10,FALSE)+6,1)</f>
        <v>S</v>
      </c>
      <c r="X82" s="49" t="str">
        <f>MID(VLOOKUP($A82,Seqs!$A:$B,2,FALSE),VLOOKUP($A82,'SegEnds_NonXtal_Prot#'!A:AL,10,FALSE)+7,1)</f>
        <v>L</v>
      </c>
      <c r="Y82" s="49" t="str">
        <f>MID(VLOOKUP($A82,Seqs!$A:$B,2,FALSE),VLOOKUP($A82,'SegEnds_NonXtal_Prot#'!A:AL,10,FALSE)+8,1)</f>
        <v>P</v>
      </c>
      <c r="Z82" s="49" t="str">
        <f>MID(VLOOKUP($A82,Seqs!$A:$B,2,FALSE),VLOOKUP($A82,'SegEnds_NonXtal_Prot#'!A:AL,10,FALSE)+9,1)</f>
        <v>F</v>
      </c>
      <c r="AA82" s="49" t="str">
        <f>MID(VLOOKUP($A82,Seqs!$A:$B,2,FALSE),VLOOKUP($A82,'SegEnds_NonXtal_Prot#'!A:AL,10,FALSE)+10,1)</f>
        <v>W</v>
      </c>
      <c r="AB82" s="28" t="str">
        <f>MID(VLOOKUP($A82,Seqs!$A:$B,2,FALSE),VLOOKUP($A82,'SegEnds_NonXtal_Prot#'!$A:$AL,22,FALSE)+6,1)</f>
        <v>T</v>
      </c>
      <c r="AC82" s="49" t="str">
        <f>MID(VLOOKUP($A82,Seqs!$A:$B,2,FALSE),VLOOKUP($A82,'SegEnds_NonXtal_Prot#'!$A:$AL,22,FALSE)+7,1)</f>
        <v>S</v>
      </c>
      <c r="AD82" s="49" t="str">
        <f>MID(VLOOKUP($A82,Seqs!$A:$B,2,FALSE),VLOOKUP($A82,'SegEnds_NonXtal_Prot#'!$A:$AL,22,FALSE)+8,1)</f>
        <v>I</v>
      </c>
      <c r="AE82" s="49" t="str">
        <f>MID(VLOOKUP($A82,Seqs!$A:$B,2,FALSE),VLOOKUP($A82,'SegEnds_NonXtal_Prot#'!$A:$AL,22,FALSE)+9,1)</f>
        <v>Y</v>
      </c>
      <c r="AF82" s="49" t="str">
        <f>MID(VLOOKUP($A82,Seqs!$A:$B,2,FALSE),VLOOKUP($A82,'SegEnds_NonXtal_Prot#'!$A:$AL,22,FALSE)+10,1)</f>
        <v>F</v>
      </c>
      <c r="AG82" s="28" t="str">
        <f>MID(VLOOKUP($A82,Seqs!$A:$B,2,FALSE),VLOOKUP($A82,'SegEnds_NonXtal_Prot#'!$A:$AL,28,FALSE)-4,1)</f>
        <v>G</v>
      </c>
      <c r="AH82" s="49" t="str">
        <f>MID(VLOOKUP($A82,Seqs!$A:$B,2,FALSE),VLOOKUP($A82,'SegEnds_NonXtal_Prot#'!$A:$AL,28,FALSE),1)</f>
        <v>P</v>
      </c>
    </row>
    <row r="83" spans="1:34" s="2" customFormat="1" x14ac:dyDescent="0.2">
      <c r="A83" s="2" t="s">
        <v>372</v>
      </c>
      <c r="B83" s="2" t="str">
        <f>LOWER(VLOOKUP(A83,Xtal_Templ!A:B,2,FALSE))</f>
        <v>agtr1_human</v>
      </c>
      <c r="C83" s="2" t="str">
        <f>VLOOKUP(A83,Classification!A:D,2,FALSE)</f>
        <v>A</v>
      </c>
      <c r="D83" s="2" t="str">
        <f>IF(ISERROR(MATCH(A83,'SegEnds_Xtal_Prot#'!B:B, 0)), "NoXtal", "Xtal")</f>
        <v>NoXtal</v>
      </c>
      <c r="H83" s="4"/>
      <c r="N83" s="2" t="s">
        <v>14</v>
      </c>
      <c r="R83" s="2" t="s">
        <v>9</v>
      </c>
      <c r="T83" s="4" t="s">
        <v>12</v>
      </c>
      <c r="V83" s="28" t="str">
        <f>MID(VLOOKUP($A83,Seqs!$A:$B,2,FALSE),VLOOKUP($A83,'SegEnds_NonXtal_Prot#'!A:AL,10,FALSE),1)</f>
        <v>D</v>
      </c>
      <c r="W83" s="49" t="str">
        <f>MID(VLOOKUP($A83,Seqs!$A:$B,2,FALSE),VLOOKUP($A83,'SegEnds_NonXtal_Prot#'!A:AL,10,FALSE)+6,1)</f>
        <v>T</v>
      </c>
      <c r="X83" s="49" t="str">
        <f>MID(VLOOKUP($A83,Seqs!$A:$B,2,FALSE),VLOOKUP($A83,'SegEnds_NonXtal_Prot#'!A:AL,10,FALSE)+7,1)</f>
        <v>L</v>
      </c>
      <c r="Y83" s="49" t="str">
        <f>MID(VLOOKUP($A83,Seqs!$A:$B,2,FALSE),VLOOKUP($A83,'SegEnds_NonXtal_Prot#'!A:AL,10,FALSE)+8,1)</f>
        <v>P</v>
      </c>
      <c r="Z83" s="49" t="str">
        <f>MID(VLOOKUP($A83,Seqs!$A:$B,2,FALSE),VLOOKUP($A83,'SegEnds_NonXtal_Prot#'!A:AL,10,FALSE)+9,1)</f>
        <v>F</v>
      </c>
      <c r="AA83" s="49" t="str">
        <f>MID(VLOOKUP($A83,Seqs!$A:$B,2,FALSE),VLOOKUP($A83,'SegEnds_NonXtal_Prot#'!A:AL,10,FALSE)+10,1)</f>
        <v>W</v>
      </c>
      <c r="AB83" s="28" t="str">
        <f>MID(VLOOKUP($A83,Seqs!$A:$B,2,FALSE),VLOOKUP($A83,'SegEnds_NonXtal_Prot#'!$A:$AL,22,FALSE)+6,1)</f>
        <v>A</v>
      </c>
      <c r="AC83" s="49" t="str">
        <f>MID(VLOOKUP($A83,Seqs!$A:$B,2,FALSE),VLOOKUP($A83,'SegEnds_NonXtal_Prot#'!$A:$AL,22,FALSE)+7,1)</f>
        <v>S</v>
      </c>
      <c r="AD83" s="49" t="str">
        <f>MID(VLOOKUP($A83,Seqs!$A:$B,2,FALSE),VLOOKUP($A83,'SegEnds_NonXtal_Prot#'!$A:$AL,22,FALSE)+8,1)</f>
        <v>L</v>
      </c>
      <c r="AE83" s="49" t="str">
        <f>MID(VLOOKUP($A83,Seqs!$A:$B,2,FALSE),VLOOKUP($A83,'SegEnds_NonXtal_Prot#'!$A:$AL,22,FALSE)+9,1)</f>
        <v>P</v>
      </c>
      <c r="AF83" s="49" t="str">
        <f>MID(VLOOKUP($A83,Seqs!$A:$B,2,FALSE),VLOOKUP($A83,'SegEnds_NonXtal_Prot#'!$A:$AL,22,FALSE)+10,1)</f>
        <v>S</v>
      </c>
      <c r="AG83" s="28" t="str">
        <f>MID(VLOOKUP($A83,Seqs!$A:$B,2,FALSE),VLOOKUP($A83,'SegEnds_NonXtal_Prot#'!$A:$AL,28,FALSE)-4,1)</f>
        <v>G</v>
      </c>
      <c r="AH83" s="49" t="str">
        <f>MID(VLOOKUP($A83,Seqs!$A:$B,2,FALSE),VLOOKUP($A83,'SegEnds_NonXtal_Prot#'!$A:$AL,28,FALSE),1)</f>
        <v>P</v>
      </c>
    </row>
    <row r="84" spans="1:34" s="2" customFormat="1" x14ac:dyDescent="0.2">
      <c r="A84" s="2" t="s">
        <v>373</v>
      </c>
      <c r="B84" s="2" t="str">
        <f>LOWER(VLOOKUP(A84,Xtal_Templ!A:B,2,FALSE))</f>
        <v>oprd_human</v>
      </c>
      <c r="C84" s="2" t="str">
        <f>VLOOKUP(A84,Classification!A:D,2,FALSE)</f>
        <v>A</v>
      </c>
      <c r="D84" s="2" t="str">
        <f>IF(ISERROR(MATCH(A84,'SegEnds_Xtal_Prot#'!B:B, 0)), "NoXtal", "Xtal")</f>
        <v>NoXtal</v>
      </c>
      <c r="H84" s="4"/>
      <c r="N84" s="2" t="s">
        <v>14</v>
      </c>
      <c r="R84" s="2" t="s">
        <v>9</v>
      </c>
      <c r="T84" s="4" t="s">
        <v>12</v>
      </c>
      <c r="V84" s="28" t="str">
        <f>MID(VLOOKUP($A84,Seqs!$A:$B,2,FALSE),VLOOKUP($A84,'SegEnds_NonXtal_Prot#'!A:AL,10,FALSE),1)</f>
        <v>D</v>
      </c>
      <c r="W84" s="49" t="str">
        <f>MID(VLOOKUP($A84,Seqs!$A:$B,2,FALSE),VLOOKUP($A84,'SegEnds_NonXtal_Prot#'!A:AL,10,FALSE)+6,1)</f>
        <v>T</v>
      </c>
      <c r="X84" s="49" t="str">
        <f>MID(VLOOKUP($A84,Seqs!$A:$B,2,FALSE),VLOOKUP($A84,'SegEnds_NonXtal_Prot#'!A:AL,10,FALSE)+7,1)</f>
        <v>L</v>
      </c>
      <c r="Y84" s="49" t="str">
        <f>MID(VLOOKUP($A84,Seqs!$A:$B,2,FALSE),VLOOKUP($A84,'SegEnds_NonXtal_Prot#'!A:AL,10,FALSE)+8,1)</f>
        <v>P</v>
      </c>
      <c r="Z84" s="49" t="str">
        <f>MID(VLOOKUP($A84,Seqs!$A:$B,2,FALSE),VLOOKUP($A84,'SegEnds_NonXtal_Prot#'!A:AL,10,FALSE)+9,1)</f>
        <v>F</v>
      </c>
      <c r="AA84" s="49" t="str">
        <f>MID(VLOOKUP($A84,Seqs!$A:$B,2,FALSE),VLOOKUP($A84,'SegEnds_NonXtal_Prot#'!A:AL,10,FALSE)+10,1)</f>
        <v>W</v>
      </c>
      <c r="AB84" s="28" t="str">
        <f>MID(VLOOKUP($A84,Seqs!$A:$B,2,FALSE),VLOOKUP($A84,'SegEnds_NonXtal_Prot#'!$A:$AL,22,FALSE)+6,1)</f>
        <v>V</v>
      </c>
      <c r="AC84" s="49" t="str">
        <f>MID(VLOOKUP($A84,Seqs!$A:$B,2,FALSE),VLOOKUP($A84,'SegEnds_NonXtal_Prot#'!$A:$AL,22,FALSE)+7,1)</f>
        <v>T</v>
      </c>
      <c r="AD84" s="49" t="str">
        <f>MID(VLOOKUP($A84,Seqs!$A:$B,2,FALSE),VLOOKUP($A84,'SegEnds_NonXtal_Prot#'!$A:$AL,22,FALSE)+8,1)</f>
        <v>V</v>
      </c>
      <c r="AE84" s="49" t="str">
        <f>MID(VLOOKUP($A84,Seqs!$A:$B,2,FALSE),VLOOKUP($A84,'SegEnds_NonXtal_Prot#'!$A:$AL,22,FALSE)+9,1)</f>
        <v>P</v>
      </c>
      <c r="AF84" s="49" t="str">
        <f>MID(VLOOKUP($A84,Seqs!$A:$B,2,FALSE),VLOOKUP($A84,'SegEnds_NonXtal_Prot#'!$A:$AL,22,FALSE)+10,1)</f>
        <v>T</v>
      </c>
      <c r="AG84" s="28" t="str">
        <f>MID(VLOOKUP($A84,Seqs!$A:$B,2,FALSE),VLOOKUP($A84,'SegEnds_NonXtal_Prot#'!$A:$AL,28,FALSE)-4,1)</f>
        <v>A</v>
      </c>
      <c r="AH84" s="49" t="str">
        <f>MID(VLOOKUP($A84,Seqs!$A:$B,2,FALSE),VLOOKUP($A84,'SegEnds_NonXtal_Prot#'!$A:$AL,28,FALSE),1)</f>
        <v>P</v>
      </c>
    </row>
    <row r="85" spans="1:34" s="2" customFormat="1" x14ac:dyDescent="0.2">
      <c r="A85" s="2" t="s">
        <v>170</v>
      </c>
      <c r="B85" s="2" t="str">
        <f>LOWER(VLOOKUP(A85,Xtal_Templ!A:B,2,FALSE))</f>
        <v>ccr2_human</v>
      </c>
      <c r="C85" s="2" t="str">
        <f>VLOOKUP(A85,Classification!A:D,2,FALSE)</f>
        <v>A</v>
      </c>
      <c r="D85" s="2" t="str">
        <f>IF(ISERROR(MATCH(A85,'SegEnds_Xtal_Prot#'!B:B, 0)), "NoXtal", "Xtal")</f>
        <v>Xtal</v>
      </c>
      <c r="H85" s="4"/>
      <c r="N85" s="2" t="s">
        <v>14</v>
      </c>
      <c r="R85" s="2" t="s">
        <v>9</v>
      </c>
      <c r="T85" s="4" t="s">
        <v>12</v>
      </c>
      <c r="V85" s="28" t="str">
        <f>MID(VLOOKUP($A85,Seqs!$A:$B,2,FALSE),VLOOKUP($A85,'SegEnds_NonXtal_Prot#'!A:AL,10,FALSE),1)</f>
        <v>D</v>
      </c>
      <c r="W85" s="49" t="str">
        <f>MID(VLOOKUP($A85,Seqs!$A:$B,2,FALSE),VLOOKUP($A85,'SegEnds_NonXtal_Prot#'!A:AL,10,FALSE)+6,1)</f>
        <v>T</v>
      </c>
      <c r="X85" s="49" t="str">
        <f>MID(VLOOKUP($A85,Seqs!$A:$B,2,FALSE),VLOOKUP($A85,'SegEnds_NonXtal_Prot#'!A:AL,10,FALSE)+7,1)</f>
        <v>L</v>
      </c>
      <c r="Y85" s="49" t="str">
        <f>MID(VLOOKUP($A85,Seqs!$A:$B,2,FALSE),VLOOKUP($A85,'SegEnds_NonXtal_Prot#'!A:AL,10,FALSE)+8,1)</f>
        <v>P</v>
      </c>
      <c r="Z85" s="49" t="str">
        <f>MID(VLOOKUP($A85,Seqs!$A:$B,2,FALSE),VLOOKUP($A85,'SegEnds_NonXtal_Prot#'!A:AL,10,FALSE)+9,1)</f>
        <v>L</v>
      </c>
      <c r="AA85" s="49" t="str">
        <f>MID(VLOOKUP($A85,Seqs!$A:$B,2,FALSE),VLOOKUP($A85,'SegEnds_NonXtal_Prot#'!A:AL,10,FALSE)+10,1)</f>
        <v>W</v>
      </c>
      <c r="AB85" s="28" t="str">
        <f>MID(VLOOKUP($A85,Seqs!$A:$B,2,FALSE),VLOOKUP($A85,'SegEnds_NonXtal_Prot#'!$A:$AL,22,FALSE)+6,1)</f>
        <v>A</v>
      </c>
      <c r="AC85" s="49" t="str">
        <f>MID(VLOOKUP($A85,Seqs!$A:$B,2,FALSE),VLOOKUP($A85,'SegEnds_NonXtal_Prot#'!$A:$AL,22,FALSE)+7,1)</f>
        <v>S</v>
      </c>
      <c r="AD85" s="49" t="str">
        <f>MID(VLOOKUP($A85,Seqs!$A:$B,2,FALSE),VLOOKUP($A85,'SegEnds_NonXtal_Prot#'!$A:$AL,22,FALSE)+8,1)</f>
        <v>V</v>
      </c>
      <c r="AE85" s="49" t="str">
        <f>MID(VLOOKUP($A85,Seqs!$A:$B,2,FALSE),VLOOKUP($A85,'SegEnds_NonXtal_Prot#'!$A:$AL,22,FALSE)+9,1)</f>
        <v>P</v>
      </c>
      <c r="AF85" s="49" t="str">
        <f>MID(VLOOKUP($A85,Seqs!$A:$B,2,FALSE),VLOOKUP($A85,'SegEnds_NonXtal_Prot#'!$A:$AL,22,FALSE)+10,1)</f>
        <v>G</v>
      </c>
      <c r="AG85" s="28" t="str">
        <f>MID(VLOOKUP($A85,Seqs!$A:$B,2,FALSE),VLOOKUP($A85,'SegEnds_NonXtal_Prot#'!$A:$AL,28,FALSE)-4,1)</f>
        <v>G</v>
      </c>
      <c r="AH85" s="49" t="str">
        <f>MID(VLOOKUP($A85,Seqs!$A:$B,2,FALSE),VLOOKUP($A85,'SegEnds_NonXtal_Prot#'!$A:$AL,28,FALSE),1)</f>
        <v>P</v>
      </c>
    </row>
    <row r="86" spans="1:34" s="2" customFormat="1" x14ac:dyDescent="0.2">
      <c r="A86" s="2" t="s">
        <v>142</v>
      </c>
      <c r="B86" s="2" t="str">
        <f>LOWER(VLOOKUP(A86,Xtal_Templ!A:B,2,FALSE))</f>
        <v>fpr2_human</v>
      </c>
      <c r="C86" s="2" t="str">
        <f>VLOOKUP(A86,Classification!A:D,2,FALSE)</f>
        <v>A</v>
      </c>
      <c r="D86" s="2" t="str">
        <f>IF(ISERROR(MATCH(A86,'SegEnds_Xtal_Prot#'!B:B, 0)), "NoXtal", "Xtal")</f>
        <v>NoXtal</v>
      </c>
      <c r="H86" s="4"/>
      <c r="N86" s="2" t="s">
        <v>14</v>
      </c>
      <c r="T86" s="4" t="s">
        <v>12</v>
      </c>
      <c r="V86" s="28" t="str">
        <f>MID(VLOOKUP($A86,Seqs!$A:$B,2,FALSE),VLOOKUP($A86,'SegEnds_NonXtal_Prot#'!A:AL,10,FALSE),1)</f>
        <v>S</v>
      </c>
      <c r="W86" s="49" t="str">
        <f>MID(VLOOKUP($A86,Seqs!$A:$B,2,FALSE),VLOOKUP($A86,'SegEnds_NonXtal_Prot#'!A:AL,10,FALSE)+6,1)</f>
        <v>V</v>
      </c>
      <c r="X86" s="49" t="str">
        <f>MID(VLOOKUP($A86,Seqs!$A:$B,2,FALSE),VLOOKUP($A86,'SegEnds_NonXtal_Prot#'!A:AL,10,FALSE)+7,1)</f>
        <v>V</v>
      </c>
      <c r="Y86" s="49" t="str">
        <f>MID(VLOOKUP($A86,Seqs!$A:$B,2,FALSE),VLOOKUP($A86,'SegEnds_NonXtal_Prot#'!A:AL,10,FALSE)+8,1)</f>
        <v>P</v>
      </c>
      <c r="Z86" s="49" t="str">
        <f>MID(VLOOKUP($A86,Seqs!$A:$B,2,FALSE),VLOOKUP($A86,'SegEnds_NonXtal_Prot#'!A:AL,10,FALSE)+9,1)</f>
        <v>V</v>
      </c>
      <c r="AA86" s="49" t="str">
        <f>MID(VLOOKUP($A86,Seqs!$A:$B,2,FALSE),VLOOKUP($A86,'SegEnds_NonXtal_Prot#'!A:AL,10,FALSE)+10,1)</f>
        <v>L</v>
      </c>
      <c r="AB86" s="28" t="str">
        <f>MID(VLOOKUP($A86,Seqs!$A:$B,2,FALSE),VLOOKUP($A86,'SegEnds_NonXtal_Prot#'!$A:$AL,22,FALSE)+6,1)</f>
        <v>L</v>
      </c>
      <c r="AC86" s="49" t="str">
        <f>MID(VLOOKUP($A86,Seqs!$A:$B,2,FALSE),VLOOKUP($A86,'SegEnds_NonXtal_Prot#'!$A:$AL,22,FALSE)+7,1)</f>
        <v>T</v>
      </c>
      <c r="AD86" s="49" t="str">
        <f>MID(VLOOKUP($A86,Seqs!$A:$B,2,FALSE),VLOOKUP($A86,'SegEnds_NonXtal_Prot#'!$A:$AL,22,FALSE)+8,1)</f>
        <v>L</v>
      </c>
      <c r="AE86" s="49" t="str">
        <f>MID(VLOOKUP($A86,Seqs!$A:$B,2,FALSE),VLOOKUP($A86,'SegEnds_NonXtal_Prot#'!$A:$AL,22,FALSE)+9,1)</f>
        <v>P</v>
      </c>
      <c r="AF86" s="49" t="str">
        <f>MID(VLOOKUP($A86,Seqs!$A:$B,2,FALSE),VLOOKUP($A86,'SegEnds_NonXtal_Prot#'!$A:$AL,22,FALSE)+10,1)</f>
        <v>V</v>
      </c>
      <c r="AG86" s="28" t="str">
        <f>MID(VLOOKUP($A86,Seqs!$A:$B,2,FALSE),VLOOKUP($A86,'SegEnds_NonXtal_Prot#'!$A:$AL,28,FALSE)-4,1)</f>
        <v>C</v>
      </c>
      <c r="AH86" s="49" t="str">
        <f>MID(VLOOKUP($A86,Seqs!$A:$B,2,FALSE),VLOOKUP($A86,'SegEnds_NonXtal_Prot#'!$A:$AL,28,FALSE),1)</f>
        <v>F</v>
      </c>
    </row>
    <row r="87" spans="1:34" s="2" customFormat="1" x14ac:dyDescent="0.2">
      <c r="A87" s="2" t="s">
        <v>143</v>
      </c>
      <c r="B87" s="2" t="str">
        <f>LOWER(VLOOKUP(A87,Xtal_Templ!A:B,2,FALSE))</f>
        <v>ccr2_human</v>
      </c>
      <c r="C87" s="2" t="str">
        <f>VLOOKUP(A87,Classification!A:D,2,FALSE)</f>
        <v>A</v>
      </c>
      <c r="D87" s="2" t="str">
        <f>IF(ISERROR(MATCH(A87,'SegEnds_Xtal_Prot#'!B:B, 0)), "NoXtal", "Xtal")</f>
        <v>NoXtal</v>
      </c>
      <c r="H87" s="4"/>
      <c r="N87" s="2" t="s">
        <v>14</v>
      </c>
      <c r="R87" s="2" t="s">
        <v>9</v>
      </c>
      <c r="T87" s="4" t="s">
        <v>12</v>
      </c>
      <c r="V87" s="28" t="str">
        <f>MID(VLOOKUP($A87,Seqs!$A:$B,2,FALSE),VLOOKUP($A87,'SegEnds_NonXtal_Prot#'!A:AL,10,FALSE),1)</f>
        <v>N</v>
      </c>
      <c r="W87" s="49" t="str">
        <f>MID(VLOOKUP($A87,Seqs!$A:$B,2,FALSE),VLOOKUP($A87,'SegEnds_NonXtal_Prot#'!A:AL,10,FALSE)+6,1)</f>
        <v>T</v>
      </c>
      <c r="X87" s="49" t="str">
        <f>MID(VLOOKUP($A87,Seqs!$A:$B,2,FALSE),VLOOKUP($A87,'SegEnds_NonXtal_Prot#'!A:AL,10,FALSE)+7,1)</f>
        <v>L</v>
      </c>
      <c r="Y87" s="49" t="str">
        <f>MID(VLOOKUP($A87,Seqs!$A:$B,2,FALSE),VLOOKUP($A87,'SegEnds_NonXtal_Prot#'!A:AL,10,FALSE)+8,1)</f>
        <v>P</v>
      </c>
      <c r="Z87" s="49" t="str">
        <f>MID(VLOOKUP($A87,Seqs!$A:$B,2,FALSE),VLOOKUP($A87,'SegEnds_NonXtal_Prot#'!A:AL,10,FALSE)+9,1)</f>
        <v>F</v>
      </c>
      <c r="AA87" s="49" t="str">
        <f>MID(VLOOKUP($A87,Seqs!$A:$B,2,FALSE),VLOOKUP($A87,'SegEnds_NonXtal_Prot#'!A:AL,10,FALSE)+10,1)</f>
        <v>W</v>
      </c>
      <c r="AB87" s="28" t="str">
        <f>MID(VLOOKUP($A87,Seqs!$A:$B,2,FALSE),VLOOKUP($A87,'SegEnds_NonXtal_Prot#'!$A:$AL,22,FALSE)+6,1)</f>
        <v>V</v>
      </c>
      <c r="AC87" s="49" t="str">
        <f>MID(VLOOKUP($A87,Seqs!$A:$B,2,FALSE),VLOOKUP($A87,'SegEnds_NonXtal_Prot#'!$A:$AL,22,FALSE)+7,1)</f>
        <v>S</v>
      </c>
      <c r="AD87" s="49" t="str">
        <f>MID(VLOOKUP($A87,Seqs!$A:$B,2,FALSE),VLOOKUP($A87,'SegEnds_NonXtal_Prot#'!$A:$AL,22,FALSE)+8,1)</f>
        <v>I</v>
      </c>
      <c r="AE87" s="49" t="str">
        <f>MID(VLOOKUP($A87,Seqs!$A:$B,2,FALSE),VLOOKUP($A87,'SegEnds_NonXtal_Prot#'!$A:$AL,22,FALSE)+9,1)</f>
        <v>P</v>
      </c>
      <c r="AF87" s="49" t="str">
        <f>MID(VLOOKUP($A87,Seqs!$A:$B,2,FALSE),VLOOKUP($A87,'SegEnds_NonXtal_Prot#'!$A:$AL,22,FALSE)+10,1)</f>
        <v>D</v>
      </c>
      <c r="AG87" s="28" t="str">
        <f>MID(VLOOKUP($A87,Seqs!$A:$B,2,FALSE),VLOOKUP($A87,'SegEnds_NonXtal_Prot#'!$A:$AL,28,FALSE)-4,1)</f>
        <v>G</v>
      </c>
      <c r="AH87" s="49" t="str">
        <f>MID(VLOOKUP($A87,Seqs!$A:$B,2,FALSE),VLOOKUP($A87,'SegEnds_NonXtal_Prot#'!$A:$AL,28,FALSE),1)</f>
        <v>P</v>
      </c>
    </row>
    <row r="88" spans="1:34" s="2" customFormat="1" x14ac:dyDescent="0.2">
      <c r="A88" s="2" t="s">
        <v>145</v>
      </c>
      <c r="B88" s="2" t="str">
        <f>LOWER(VLOOKUP(A88,Xtal_Templ!A:B,2,FALSE))</f>
        <v>ccr9_human</v>
      </c>
      <c r="C88" s="2" t="str">
        <f>VLOOKUP(A88,Classification!A:D,2,FALSE)</f>
        <v>A</v>
      </c>
      <c r="D88" s="2" t="str">
        <f>IF(ISERROR(MATCH(A88,'SegEnds_Xtal_Prot#'!B:B, 0)), "NoXtal", "Xtal")</f>
        <v>NoXtal</v>
      </c>
      <c r="H88" s="4"/>
      <c r="N88" s="2" t="s">
        <v>14</v>
      </c>
      <c r="R88" s="2" t="s">
        <v>9</v>
      </c>
      <c r="T88" s="4" t="s">
        <v>12</v>
      </c>
      <c r="V88" s="28" t="str">
        <f>MID(VLOOKUP($A88,Seqs!$A:$B,2,FALSE),VLOOKUP($A88,'SegEnds_NonXtal_Prot#'!A:AL,10,FALSE),1)</f>
        <v>D</v>
      </c>
      <c r="W88" s="49" t="str">
        <f>MID(VLOOKUP($A88,Seqs!$A:$B,2,FALSE),VLOOKUP($A88,'SegEnds_NonXtal_Prot#'!A:AL,10,FALSE)+6,1)</f>
        <v>T</v>
      </c>
      <c r="X88" s="49" t="str">
        <f>MID(VLOOKUP($A88,Seqs!$A:$B,2,FALSE),VLOOKUP($A88,'SegEnds_NonXtal_Prot#'!A:AL,10,FALSE)+7,1)</f>
        <v>L</v>
      </c>
      <c r="Y88" s="49" t="str">
        <f>MID(VLOOKUP($A88,Seqs!$A:$B,2,FALSE),VLOOKUP($A88,'SegEnds_NonXtal_Prot#'!A:AL,10,FALSE)+8,1)</f>
        <v>P</v>
      </c>
      <c r="Z88" s="49" t="str">
        <f>MID(VLOOKUP($A88,Seqs!$A:$B,2,FALSE),VLOOKUP($A88,'SegEnds_NonXtal_Prot#'!A:AL,10,FALSE)+9,1)</f>
        <v>F</v>
      </c>
      <c r="AA88" s="49" t="str">
        <f>MID(VLOOKUP($A88,Seqs!$A:$B,2,FALSE),VLOOKUP($A88,'SegEnds_NonXtal_Prot#'!A:AL,10,FALSE)+10,1)</f>
        <v>W</v>
      </c>
      <c r="AB88" s="28" t="str">
        <f>MID(VLOOKUP($A88,Seqs!$A:$B,2,FALSE),VLOOKUP($A88,'SegEnds_NonXtal_Prot#'!$A:$AL,22,FALSE)+6,1)</f>
        <v>L</v>
      </c>
      <c r="AC88" s="49" t="str">
        <f>MID(VLOOKUP($A88,Seqs!$A:$B,2,FALSE),VLOOKUP($A88,'SegEnds_NonXtal_Prot#'!$A:$AL,22,FALSE)+7,1)</f>
        <v>S</v>
      </c>
      <c r="AD88" s="49" t="str">
        <f>MID(VLOOKUP($A88,Seqs!$A:$B,2,FALSE),VLOOKUP($A88,'SegEnds_NonXtal_Prot#'!$A:$AL,22,FALSE)+8,1)</f>
        <v>I</v>
      </c>
      <c r="AE88" s="49" t="str">
        <f>MID(VLOOKUP($A88,Seqs!$A:$B,2,FALSE),VLOOKUP($A88,'SegEnds_NonXtal_Prot#'!$A:$AL,22,FALSE)+9,1)</f>
        <v>P</v>
      </c>
      <c r="AF88" s="49" t="str">
        <f>MID(VLOOKUP($A88,Seqs!$A:$B,2,FALSE),VLOOKUP($A88,'SegEnds_NonXtal_Prot#'!$A:$AL,22,FALSE)+10,1)</f>
        <v>Q</v>
      </c>
      <c r="AG88" s="28" t="str">
        <f>MID(VLOOKUP($A88,Seqs!$A:$B,2,FALSE),VLOOKUP($A88,'SegEnds_NonXtal_Prot#'!$A:$AL,28,FALSE)-4,1)</f>
        <v>G</v>
      </c>
      <c r="AH88" s="49" t="str">
        <f>MID(VLOOKUP($A88,Seqs!$A:$B,2,FALSE),VLOOKUP($A88,'SegEnds_NonXtal_Prot#'!$A:$AL,28,FALSE),1)</f>
        <v>P</v>
      </c>
    </row>
    <row r="89" spans="1:34" s="2" customFormat="1" x14ac:dyDescent="0.2">
      <c r="A89" s="2" t="s">
        <v>168</v>
      </c>
      <c r="B89" s="2" t="str">
        <f>LOWER(VLOOKUP(A89,Xtal_Templ!A:B,2,FALSE))</f>
        <v>ccr5_human</v>
      </c>
      <c r="C89" s="2" t="str">
        <f>VLOOKUP(A89,Classification!A:D,2,FALSE)</f>
        <v>A</v>
      </c>
      <c r="D89" s="2" t="str">
        <f>IF(ISERROR(MATCH(A89,'SegEnds_Xtal_Prot#'!B:B, 0)), "NoXtal", "Xtal")</f>
        <v>NoXtal</v>
      </c>
      <c r="H89" s="4"/>
      <c r="N89" s="2" t="s">
        <v>14</v>
      </c>
      <c r="R89" s="2" t="s">
        <v>9</v>
      </c>
      <c r="T89" s="4" t="s">
        <v>12</v>
      </c>
      <c r="V89" s="28" t="str">
        <f>MID(VLOOKUP($A89,Seqs!$A:$B,2,FALSE),VLOOKUP($A89,'SegEnds_NonXtal_Prot#'!A:AL,10,FALSE),1)</f>
        <v>D</v>
      </c>
      <c r="W89" s="49" t="str">
        <f>MID(VLOOKUP($A89,Seqs!$A:$B,2,FALSE),VLOOKUP($A89,'SegEnds_NonXtal_Prot#'!A:AL,10,FALSE)+6,1)</f>
        <v>T</v>
      </c>
      <c r="X89" s="49" t="str">
        <f>MID(VLOOKUP($A89,Seqs!$A:$B,2,FALSE),VLOOKUP($A89,'SegEnds_NonXtal_Prot#'!A:AL,10,FALSE)+7,1)</f>
        <v>L</v>
      </c>
      <c r="Y89" s="49" t="str">
        <f>MID(VLOOKUP($A89,Seqs!$A:$B,2,FALSE),VLOOKUP($A89,'SegEnds_NonXtal_Prot#'!A:AL,10,FALSE)+8,1)</f>
        <v>P</v>
      </c>
      <c r="Z89" s="49" t="str">
        <f>MID(VLOOKUP($A89,Seqs!$A:$B,2,FALSE),VLOOKUP($A89,'SegEnds_NonXtal_Prot#'!A:AL,10,FALSE)+9,1)</f>
        <v>F</v>
      </c>
      <c r="AA89" s="49" t="str">
        <f>MID(VLOOKUP($A89,Seqs!$A:$B,2,FALSE),VLOOKUP($A89,'SegEnds_NonXtal_Prot#'!A:AL,10,FALSE)+10,1)</f>
        <v>W</v>
      </c>
      <c r="AB89" s="28" t="str">
        <f>MID(VLOOKUP($A89,Seqs!$A:$B,2,FALSE),VLOOKUP($A89,'SegEnds_NonXtal_Prot#'!$A:$AL,22,FALSE)+6,1)</f>
        <v>A</v>
      </c>
      <c r="AC89" s="49" t="str">
        <f>MID(VLOOKUP($A89,Seqs!$A:$B,2,FALSE),VLOOKUP($A89,'SegEnds_NonXtal_Prot#'!$A:$AL,22,FALSE)+7,1)</f>
        <v>S</v>
      </c>
      <c r="AD89" s="49" t="str">
        <f>MID(VLOOKUP($A89,Seqs!$A:$B,2,FALSE),VLOOKUP($A89,'SegEnds_NonXtal_Prot#'!$A:$AL,22,FALSE)+8,1)</f>
        <v>M</v>
      </c>
      <c r="AE89" s="49" t="str">
        <f>MID(VLOOKUP($A89,Seqs!$A:$B,2,FALSE),VLOOKUP($A89,'SegEnds_NonXtal_Prot#'!$A:$AL,22,FALSE)+9,1)</f>
        <v>P</v>
      </c>
      <c r="AF89" s="49" t="str">
        <f>MID(VLOOKUP($A89,Seqs!$A:$B,2,FALSE),VLOOKUP($A89,'SegEnds_NonXtal_Prot#'!$A:$AL,22,FALSE)+10,1)</f>
        <v>G</v>
      </c>
      <c r="AG89" s="28" t="str">
        <f>MID(VLOOKUP($A89,Seqs!$A:$B,2,FALSE),VLOOKUP($A89,'SegEnds_NonXtal_Prot#'!$A:$AL,28,FALSE)-4,1)</f>
        <v>G</v>
      </c>
      <c r="AH89" s="49" t="str">
        <f>MID(VLOOKUP($A89,Seqs!$A:$B,2,FALSE),VLOOKUP($A89,'SegEnds_NonXtal_Prot#'!$A:$AL,28,FALSE),1)</f>
        <v>P</v>
      </c>
    </row>
    <row r="90" spans="1:34" s="2" customFormat="1" x14ac:dyDescent="0.2">
      <c r="A90" s="2" t="s">
        <v>169</v>
      </c>
      <c r="B90" s="2" t="str">
        <f>LOWER(VLOOKUP(A90,Xtal_Templ!A:B,2,FALSE))</f>
        <v>ccr7_human</v>
      </c>
      <c r="C90" s="2" t="str">
        <f>VLOOKUP(A90,Classification!A:D,2,FALSE)</f>
        <v>A</v>
      </c>
      <c r="D90" s="2" t="str">
        <f>IF(ISERROR(MATCH(A90,'SegEnds_Xtal_Prot#'!B:B, 0)), "NoXtal", "Xtal")</f>
        <v>NoXtal</v>
      </c>
      <c r="H90" s="4"/>
      <c r="N90" s="2" t="s">
        <v>14</v>
      </c>
      <c r="R90" s="2" t="s">
        <v>9</v>
      </c>
      <c r="T90" s="4" t="s">
        <v>12</v>
      </c>
      <c r="V90" s="28" t="str">
        <f>MID(VLOOKUP($A90,Seqs!$A:$B,2,FALSE),VLOOKUP($A90,'SegEnds_NonXtal_Prot#'!A:AL,10,FALSE),1)</f>
        <v>D</v>
      </c>
      <c r="W90" s="49" t="str">
        <f>MID(VLOOKUP($A90,Seqs!$A:$B,2,FALSE),VLOOKUP($A90,'SegEnds_NonXtal_Prot#'!A:AL,10,FALSE)+6,1)</f>
        <v>T</v>
      </c>
      <c r="X90" s="49" t="str">
        <f>MID(VLOOKUP($A90,Seqs!$A:$B,2,FALSE),VLOOKUP($A90,'SegEnds_NonXtal_Prot#'!A:AL,10,FALSE)+7,1)</f>
        <v>L</v>
      </c>
      <c r="Y90" s="49" t="str">
        <f>MID(VLOOKUP($A90,Seqs!$A:$B,2,FALSE),VLOOKUP($A90,'SegEnds_NonXtal_Prot#'!A:AL,10,FALSE)+8,1)</f>
        <v>P</v>
      </c>
      <c r="Z90" s="49" t="str">
        <f>MID(VLOOKUP($A90,Seqs!$A:$B,2,FALSE),VLOOKUP($A90,'SegEnds_NonXtal_Prot#'!A:AL,10,FALSE)+9,1)</f>
        <v>F</v>
      </c>
      <c r="AA90" s="49" t="str">
        <f>MID(VLOOKUP($A90,Seqs!$A:$B,2,FALSE),VLOOKUP($A90,'SegEnds_NonXtal_Prot#'!A:AL,10,FALSE)+10,1)</f>
        <v>A</v>
      </c>
      <c r="AB90" s="28" t="str">
        <f>MID(VLOOKUP($A90,Seqs!$A:$B,2,FALSE),VLOOKUP($A90,'SegEnds_NonXtal_Prot#'!$A:$AL,22,FALSE)+6,1)</f>
        <v>L</v>
      </c>
      <c r="AC90" s="49" t="str">
        <f>MID(VLOOKUP($A90,Seqs!$A:$B,2,FALSE),VLOOKUP($A90,'SegEnds_NonXtal_Prot#'!$A:$AL,22,FALSE)+7,1)</f>
        <v>A</v>
      </c>
      <c r="AD90" s="49" t="str">
        <f>MID(VLOOKUP($A90,Seqs!$A:$B,2,FALSE),VLOOKUP($A90,'SegEnds_NonXtal_Prot#'!$A:$AL,22,FALSE)+8,1)</f>
        <v>L</v>
      </c>
      <c r="AE90" s="49" t="str">
        <f>MID(VLOOKUP($A90,Seqs!$A:$B,2,FALSE),VLOOKUP($A90,'SegEnds_NonXtal_Prot#'!$A:$AL,22,FALSE)+9,1)</f>
        <v>P</v>
      </c>
      <c r="AF90" s="49" t="str">
        <f>MID(VLOOKUP($A90,Seqs!$A:$B,2,FALSE),VLOOKUP($A90,'SegEnds_NonXtal_Prot#'!$A:$AL,22,FALSE)+10,1)</f>
        <v>A</v>
      </c>
      <c r="AG90" s="28" t="str">
        <f>MID(VLOOKUP($A90,Seqs!$A:$B,2,FALSE),VLOOKUP($A90,'SegEnds_NonXtal_Prot#'!$A:$AL,28,FALSE)-4,1)</f>
        <v>G</v>
      </c>
      <c r="AH90" s="49" t="str">
        <f>MID(VLOOKUP($A90,Seqs!$A:$B,2,FALSE),VLOOKUP($A90,'SegEnds_NonXtal_Prot#'!$A:$AL,28,FALSE),1)</f>
        <v>P</v>
      </c>
    </row>
    <row r="91" spans="1:34" s="2" customFormat="1" x14ac:dyDescent="0.2">
      <c r="A91" s="2" t="s">
        <v>171</v>
      </c>
      <c r="B91" s="2" t="str">
        <f>LOWER(VLOOKUP(A91,Xtal_Templ!A:B,2,FALSE))</f>
        <v>ccr5_human</v>
      </c>
      <c r="C91" s="2" t="str">
        <f>VLOOKUP(A91,Classification!A:D,2,FALSE)</f>
        <v>A</v>
      </c>
      <c r="D91" s="2" t="str">
        <f>IF(ISERROR(MATCH(A91,'SegEnds_Xtal_Prot#'!B:B, 0)), "NoXtal", "Xtal")</f>
        <v>NoXtal</v>
      </c>
      <c r="H91" s="4"/>
      <c r="N91" s="2" t="s">
        <v>14</v>
      </c>
      <c r="R91" s="2" t="s">
        <v>9</v>
      </c>
      <c r="T91" s="4" t="s">
        <v>12</v>
      </c>
      <c r="V91" s="28" t="str">
        <f>MID(VLOOKUP($A91,Seqs!$A:$B,2,FALSE),VLOOKUP($A91,'SegEnds_NonXtal_Prot#'!A:AL,10,FALSE),1)</f>
        <v>D</v>
      </c>
      <c r="W91" s="49" t="str">
        <f>MID(VLOOKUP($A91,Seqs!$A:$B,2,FALSE),VLOOKUP($A91,'SegEnds_NonXtal_Prot#'!A:AL,10,FALSE)+6,1)</f>
        <v>T</v>
      </c>
      <c r="X91" s="49" t="str">
        <f>MID(VLOOKUP($A91,Seqs!$A:$B,2,FALSE),VLOOKUP($A91,'SegEnds_NonXtal_Prot#'!A:AL,10,FALSE)+7,1)</f>
        <v>L</v>
      </c>
      <c r="Y91" s="49" t="str">
        <f>MID(VLOOKUP($A91,Seqs!$A:$B,2,FALSE),VLOOKUP($A91,'SegEnds_NonXtal_Prot#'!A:AL,10,FALSE)+8,1)</f>
        <v>P</v>
      </c>
      <c r="Z91" s="49" t="str">
        <f>MID(VLOOKUP($A91,Seqs!$A:$B,2,FALSE),VLOOKUP($A91,'SegEnds_NonXtal_Prot#'!A:AL,10,FALSE)+9,1)</f>
        <v>F</v>
      </c>
      <c r="AA91" s="49" t="str">
        <f>MID(VLOOKUP($A91,Seqs!$A:$B,2,FALSE),VLOOKUP($A91,'SegEnds_NonXtal_Prot#'!A:AL,10,FALSE)+10,1)</f>
        <v>W</v>
      </c>
      <c r="AB91" s="28" t="str">
        <f>MID(VLOOKUP($A91,Seqs!$A:$B,2,FALSE),VLOOKUP($A91,'SegEnds_NonXtal_Prot#'!$A:$AL,22,FALSE)+6,1)</f>
        <v>A</v>
      </c>
      <c r="AC91" s="49" t="str">
        <f>MID(VLOOKUP($A91,Seqs!$A:$B,2,FALSE),VLOOKUP($A91,'SegEnds_NonXtal_Prot#'!$A:$AL,22,FALSE)+7,1)</f>
        <v>A</v>
      </c>
      <c r="AD91" s="49" t="str">
        <f>MID(VLOOKUP($A91,Seqs!$A:$B,2,FALSE),VLOOKUP($A91,'SegEnds_NonXtal_Prot#'!$A:$AL,22,FALSE)+8,1)</f>
        <v>L</v>
      </c>
      <c r="AE91" s="49" t="str">
        <f>MID(VLOOKUP($A91,Seqs!$A:$B,2,FALSE),VLOOKUP($A91,'SegEnds_NonXtal_Prot#'!$A:$AL,22,FALSE)+9,1)</f>
        <v>P</v>
      </c>
      <c r="AF91" s="49" t="str">
        <f>MID(VLOOKUP($A91,Seqs!$A:$B,2,FALSE),VLOOKUP($A91,'SegEnds_NonXtal_Prot#'!$A:$AL,22,FALSE)+10,1)</f>
        <v>E</v>
      </c>
      <c r="AG91" s="28" t="str">
        <f>MID(VLOOKUP($A91,Seqs!$A:$B,2,FALSE),VLOOKUP($A91,'SegEnds_NonXtal_Prot#'!$A:$AL,28,FALSE)-4,1)</f>
        <v>C</v>
      </c>
      <c r="AH91" s="49" t="str">
        <f>MID(VLOOKUP($A91,Seqs!$A:$B,2,FALSE),VLOOKUP($A91,'SegEnds_NonXtal_Prot#'!$A:$AL,28,FALSE),1)</f>
        <v>P</v>
      </c>
    </row>
    <row r="92" spans="1:34" s="2" customFormat="1" x14ac:dyDescent="0.2">
      <c r="A92" s="2" t="s">
        <v>172</v>
      </c>
      <c r="B92" s="2" t="str">
        <f>LOWER(VLOOKUP(A92,Xtal_Templ!A:B,2,FALSE))</f>
        <v>ccr5_human</v>
      </c>
      <c r="C92" s="2" t="str">
        <f>VLOOKUP(A92,Classification!A:D,2,FALSE)</f>
        <v>A</v>
      </c>
      <c r="D92" s="2" t="str">
        <f>IF(ISERROR(MATCH(A92,'SegEnds_Xtal_Prot#'!B:B, 0)), "NoXtal", "Xtal")</f>
        <v>NoXtal</v>
      </c>
      <c r="H92" s="4"/>
      <c r="N92" s="2" t="s">
        <v>14</v>
      </c>
      <c r="R92" s="2" t="s">
        <v>9</v>
      </c>
      <c r="T92" s="4" t="s">
        <v>12</v>
      </c>
      <c r="V92" s="28" t="str">
        <f>MID(VLOOKUP($A92,Seqs!$A:$B,2,FALSE),VLOOKUP($A92,'SegEnds_NonXtal_Prot#'!A:AL,10,FALSE),1)</f>
        <v>D</v>
      </c>
      <c r="W92" s="49" t="str">
        <f>MID(VLOOKUP($A92,Seqs!$A:$B,2,FALSE),VLOOKUP($A92,'SegEnds_NonXtal_Prot#'!A:AL,10,FALSE)+6,1)</f>
        <v>S</v>
      </c>
      <c r="X92" s="49" t="str">
        <f>MID(VLOOKUP($A92,Seqs!$A:$B,2,FALSE),VLOOKUP($A92,'SegEnds_NonXtal_Prot#'!A:AL,10,FALSE)+7,1)</f>
        <v>L</v>
      </c>
      <c r="Y92" s="49" t="str">
        <f>MID(VLOOKUP($A92,Seqs!$A:$B,2,FALSE),VLOOKUP($A92,'SegEnds_NonXtal_Prot#'!A:AL,10,FALSE)+8,1)</f>
        <v>P</v>
      </c>
      <c r="Z92" s="49" t="str">
        <f>MID(VLOOKUP($A92,Seqs!$A:$B,2,FALSE),VLOOKUP($A92,'SegEnds_NonXtal_Prot#'!A:AL,10,FALSE)+9,1)</f>
        <v>F</v>
      </c>
      <c r="AA92" s="49" t="str">
        <f>MID(VLOOKUP($A92,Seqs!$A:$B,2,FALSE),VLOOKUP($A92,'SegEnds_NonXtal_Prot#'!A:AL,10,FALSE)+10,1)</f>
        <v>W</v>
      </c>
      <c r="AB92" s="28" t="str">
        <f>MID(VLOOKUP($A92,Seqs!$A:$B,2,FALSE),VLOOKUP($A92,'SegEnds_NonXtal_Prot#'!$A:$AL,22,FALSE)+6,1)</f>
        <v>A</v>
      </c>
      <c r="AC92" s="49" t="str">
        <f>MID(VLOOKUP($A92,Seqs!$A:$B,2,FALSE),VLOOKUP($A92,'SegEnds_NonXtal_Prot#'!$A:$AL,22,FALSE)+7,1)</f>
        <v>S</v>
      </c>
      <c r="AD92" s="49" t="str">
        <f>MID(VLOOKUP($A92,Seqs!$A:$B,2,FALSE),VLOOKUP($A92,'SegEnds_NonXtal_Prot#'!$A:$AL,22,FALSE)+8,1)</f>
        <v>L</v>
      </c>
      <c r="AE92" s="49" t="str">
        <f>MID(VLOOKUP($A92,Seqs!$A:$B,2,FALSE),VLOOKUP($A92,'SegEnds_NonXtal_Prot#'!$A:$AL,22,FALSE)+9,1)</f>
        <v>P</v>
      </c>
      <c r="AF92" s="49" t="str">
        <f>MID(VLOOKUP($A92,Seqs!$A:$B,2,FALSE),VLOOKUP($A92,'SegEnds_NonXtal_Prot#'!$A:$AL,22,FALSE)+10,1)</f>
        <v>G</v>
      </c>
      <c r="AG92" s="28" t="str">
        <f>MID(VLOOKUP($A92,Seqs!$A:$B,2,FALSE),VLOOKUP($A92,'SegEnds_NonXtal_Prot#'!$A:$AL,28,FALSE)-4,1)</f>
        <v>G</v>
      </c>
      <c r="AH92" s="49" t="str">
        <f>MID(VLOOKUP($A92,Seqs!$A:$B,2,FALSE),VLOOKUP($A92,'SegEnds_NonXtal_Prot#'!$A:$AL,28,FALSE),1)</f>
        <v>P</v>
      </c>
    </row>
    <row r="93" spans="1:34" s="2" customFormat="1" x14ac:dyDescent="0.2">
      <c r="A93" s="2" t="s">
        <v>173</v>
      </c>
      <c r="B93" s="2" t="str">
        <f>LOWER(VLOOKUP(A93,Xtal_Templ!A:B,2,FALSE))</f>
        <v>ccr5_human</v>
      </c>
      <c r="C93" s="2" t="str">
        <f>VLOOKUP(A93,Classification!A:D,2,FALSE)</f>
        <v>A</v>
      </c>
      <c r="D93" s="2" t="str">
        <f>IF(ISERROR(MATCH(A93,'SegEnds_Xtal_Prot#'!B:B, 0)), "NoXtal", "Xtal")</f>
        <v>Xtal</v>
      </c>
      <c r="H93" s="4"/>
      <c r="N93" s="2" t="s">
        <v>14</v>
      </c>
      <c r="R93" s="2" t="s">
        <v>9</v>
      </c>
      <c r="T93" s="4" t="s">
        <v>12</v>
      </c>
      <c r="V93" s="28" t="str">
        <f>MID(VLOOKUP($A93,Seqs!$A:$B,2,FALSE),VLOOKUP($A93,'SegEnds_NonXtal_Prot#'!A:AL,10,FALSE),1)</f>
        <v>D</v>
      </c>
      <c r="W93" s="49" t="str">
        <f>MID(VLOOKUP($A93,Seqs!$A:$B,2,FALSE),VLOOKUP($A93,'SegEnds_NonXtal_Prot#'!A:AL,10,FALSE)+6,1)</f>
        <v>T</v>
      </c>
      <c r="X93" s="49" t="str">
        <f>MID(VLOOKUP($A93,Seqs!$A:$B,2,FALSE),VLOOKUP($A93,'SegEnds_NonXtal_Prot#'!A:AL,10,FALSE)+7,1)</f>
        <v>V</v>
      </c>
      <c r="Y93" s="49" t="str">
        <f>MID(VLOOKUP($A93,Seqs!$A:$B,2,FALSE),VLOOKUP($A93,'SegEnds_NonXtal_Prot#'!A:AL,10,FALSE)+8,1)</f>
        <v>P</v>
      </c>
      <c r="Z93" s="49" t="str">
        <f>MID(VLOOKUP($A93,Seqs!$A:$B,2,FALSE),VLOOKUP($A93,'SegEnds_NonXtal_Prot#'!A:AL,10,FALSE)+9,1)</f>
        <v>F</v>
      </c>
      <c r="AA93" s="49" t="str">
        <f>MID(VLOOKUP($A93,Seqs!$A:$B,2,FALSE),VLOOKUP($A93,'SegEnds_NonXtal_Prot#'!A:AL,10,FALSE)+10,1)</f>
        <v>W</v>
      </c>
      <c r="AB93" s="28" t="str">
        <f>MID(VLOOKUP($A93,Seqs!$A:$B,2,FALSE),VLOOKUP($A93,'SegEnds_NonXtal_Prot#'!$A:$AL,22,FALSE)+6,1)</f>
        <v>A</v>
      </c>
      <c r="AC93" s="49" t="str">
        <f>MID(VLOOKUP($A93,Seqs!$A:$B,2,FALSE),VLOOKUP($A93,'SegEnds_NonXtal_Prot#'!$A:$AL,22,FALSE)+7,1)</f>
        <v>S</v>
      </c>
      <c r="AD93" s="49" t="str">
        <f>MID(VLOOKUP($A93,Seqs!$A:$B,2,FALSE),VLOOKUP($A93,'SegEnds_NonXtal_Prot#'!$A:$AL,22,FALSE)+8,1)</f>
        <v>L</v>
      </c>
      <c r="AE93" s="49" t="str">
        <f>MID(VLOOKUP($A93,Seqs!$A:$B,2,FALSE),VLOOKUP($A93,'SegEnds_NonXtal_Prot#'!$A:$AL,22,FALSE)+9,1)</f>
        <v>P</v>
      </c>
      <c r="AF93" s="49" t="str">
        <f>MID(VLOOKUP($A93,Seqs!$A:$B,2,FALSE),VLOOKUP($A93,'SegEnds_NonXtal_Prot#'!$A:$AL,22,FALSE)+10,1)</f>
        <v>G</v>
      </c>
      <c r="AG93" s="28" t="str">
        <f>MID(VLOOKUP($A93,Seqs!$A:$B,2,FALSE),VLOOKUP($A93,'SegEnds_NonXtal_Prot#'!$A:$AL,28,FALSE)-4,1)</f>
        <v>G</v>
      </c>
      <c r="AH93" s="49" t="str">
        <f>MID(VLOOKUP($A93,Seqs!$A:$B,2,FALSE),VLOOKUP($A93,'SegEnds_NonXtal_Prot#'!$A:$AL,28,FALSE),1)</f>
        <v>P</v>
      </c>
    </row>
    <row r="94" spans="1:34" s="2" customFormat="1" x14ac:dyDescent="0.2">
      <c r="A94" s="2" t="s">
        <v>174</v>
      </c>
      <c r="B94" s="2" t="str">
        <f>LOWER(VLOOKUP(A94,Xtal_Templ!A:B,2,FALSE))</f>
        <v>ccr7_human</v>
      </c>
      <c r="C94" s="2" t="str">
        <f>VLOOKUP(A94,Classification!A:D,2,FALSE)</f>
        <v>A</v>
      </c>
      <c r="D94" s="2" t="str">
        <f>IF(ISERROR(MATCH(A94,'SegEnds_Xtal_Prot#'!B:B, 0)), "NoXtal", "Xtal")</f>
        <v>NoXtal</v>
      </c>
      <c r="H94" s="4"/>
      <c r="R94" s="2" t="s">
        <v>9</v>
      </c>
      <c r="T94" s="4" t="s">
        <v>12</v>
      </c>
      <c r="V94" s="28" t="str">
        <f>MID(VLOOKUP($A94,Seqs!$A:$B,2,FALSE),VLOOKUP($A94,'SegEnds_NonXtal_Prot#'!A:AL,10,FALSE),1)</f>
        <v>D</v>
      </c>
      <c r="W94" s="49" t="str">
        <f>MID(VLOOKUP($A94,Seqs!$A:$B,2,FALSE),VLOOKUP($A94,'SegEnds_NonXtal_Prot#'!A:AL,10,FALSE)+6,1)</f>
        <v>T</v>
      </c>
      <c r="X94" s="49" t="str">
        <f>MID(VLOOKUP($A94,Seqs!$A:$B,2,FALSE),VLOOKUP($A94,'SegEnds_NonXtal_Prot#'!A:AL,10,FALSE)+7,1)</f>
        <v>L</v>
      </c>
      <c r="Y94" s="49" t="str">
        <f>MID(VLOOKUP($A94,Seqs!$A:$B,2,FALSE),VLOOKUP($A94,'SegEnds_NonXtal_Prot#'!A:AL,10,FALSE)+8,1)</f>
        <v>P</v>
      </c>
      <c r="Z94" s="49" t="str">
        <f>MID(VLOOKUP($A94,Seqs!$A:$B,2,FALSE),VLOOKUP($A94,'SegEnds_NonXtal_Prot#'!A:AL,10,FALSE)+9,1)</f>
        <v>F</v>
      </c>
      <c r="AA94" s="49" t="str">
        <f>MID(VLOOKUP($A94,Seqs!$A:$B,2,FALSE),VLOOKUP($A94,'SegEnds_NonXtal_Prot#'!A:AL,10,FALSE)+10,1)</f>
        <v>W</v>
      </c>
      <c r="AB94" s="28" t="str">
        <f>MID(VLOOKUP($A94,Seqs!$A:$B,2,FALSE),VLOOKUP($A94,'SegEnds_NonXtal_Prot#'!$A:$AL,22,FALSE)+6,1)</f>
        <v>I</v>
      </c>
      <c r="AC94" s="49" t="str">
        <f>MID(VLOOKUP($A94,Seqs!$A:$B,2,FALSE),VLOOKUP($A94,'SegEnds_NonXtal_Prot#'!$A:$AL,22,FALSE)+7,1)</f>
        <v>S</v>
      </c>
      <c r="AD94" s="49" t="str">
        <f>MID(VLOOKUP($A94,Seqs!$A:$B,2,FALSE),VLOOKUP($A94,'SegEnds_NonXtal_Prot#'!$A:$AL,22,FALSE)+8,1)</f>
        <v>S</v>
      </c>
      <c r="AE94" s="49" t="str">
        <f>MID(VLOOKUP($A94,Seqs!$A:$B,2,FALSE),VLOOKUP($A94,'SegEnds_NonXtal_Prot#'!$A:$AL,22,FALSE)+9,1)</f>
        <v>S</v>
      </c>
      <c r="AF94" s="49" t="str">
        <f>MID(VLOOKUP($A94,Seqs!$A:$B,2,FALSE),VLOOKUP($A94,'SegEnds_NonXtal_Prot#'!$A:$AL,22,FALSE)+10,1)</f>
        <v>T</v>
      </c>
      <c r="AG94" s="28" t="str">
        <f>MID(VLOOKUP($A94,Seqs!$A:$B,2,FALSE),VLOOKUP($A94,'SegEnds_NonXtal_Prot#'!$A:$AL,28,FALSE)-4,1)</f>
        <v>G</v>
      </c>
      <c r="AH94" s="49" t="str">
        <f>MID(VLOOKUP($A94,Seqs!$A:$B,2,FALSE),VLOOKUP($A94,'SegEnds_NonXtal_Prot#'!$A:$AL,28,FALSE),1)</f>
        <v>P</v>
      </c>
    </row>
    <row r="95" spans="1:34" s="2" customFormat="1" x14ac:dyDescent="0.2">
      <c r="A95" s="2" t="s">
        <v>175</v>
      </c>
      <c r="B95" s="2" t="str">
        <f>LOWER(VLOOKUP(A95,Xtal_Templ!A:B,2,FALSE))</f>
        <v>ccr7_human</v>
      </c>
      <c r="C95" s="2" t="str">
        <f>VLOOKUP(A95,Classification!A:D,2,FALSE)</f>
        <v>A</v>
      </c>
      <c r="D95" s="2" t="str">
        <f>IF(ISERROR(MATCH(A95,'SegEnds_Xtal_Prot#'!B:B, 0)), "NoXtal", "Xtal")</f>
        <v>Xtal</v>
      </c>
      <c r="H95" s="4"/>
      <c r="N95" s="2" t="s">
        <v>14</v>
      </c>
      <c r="R95" s="2" t="s">
        <v>9</v>
      </c>
      <c r="T95" s="4" t="s">
        <v>12</v>
      </c>
      <c r="V95" s="28" t="str">
        <f>MID(VLOOKUP($A95,Seqs!$A:$B,2,FALSE),VLOOKUP($A95,'SegEnds_NonXtal_Prot#'!A:AL,10,FALSE),1)</f>
        <v>D</v>
      </c>
      <c r="W95" s="49" t="str">
        <f>MID(VLOOKUP($A95,Seqs!$A:$B,2,FALSE),VLOOKUP($A95,'SegEnds_NonXtal_Prot#'!A:AL,10,FALSE)+6,1)</f>
        <v>T</v>
      </c>
      <c r="X95" s="49" t="str">
        <f>MID(VLOOKUP($A95,Seqs!$A:$B,2,FALSE),VLOOKUP($A95,'SegEnds_NonXtal_Prot#'!A:AL,10,FALSE)+7,1)</f>
        <v>L</v>
      </c>
      <c r="Y95" s="49" t="str">
        <f>MID(VLOOKUP($A95,Seqs!$A:$B,2,FALSE),VLOOKUP($A95,'SegEnds_NonXtal_Prot#'!A:AL,10,FALSE)+8,1)</f>
        <v>P</v>
      </c>
      <c r="Z95" s="49" t="str">
        <f>MID(VLOOKUP($A95,Seqs!$A:$B,2,FALSE),VLOOKUP($A95,'SegEnds_NonXtal_Prot#'!A:AL,10,FALSE)+9,1)</f>
        <v>F</v>
      </c>
      <c r="AA95" s="49" t="str">
        <f>MID(VLOOKUP($A95,Seqs!$A:$B,2,FALSE),VLOOKUP($A95,'SegEnds_NonXtal_Prot#'!A:AL,10,FALSE)+10,1)</f>
        <v>W</v>
      </c>
      <c r="AB95" s="28" t="str">
        <f>MID(VLOOKUP($A95,Seqs!$A:$B,2,FALSE),VLOOKUP($A95,'SegEnds_NonXtal_Prot#'!$A:$AL,22,FALSE)+6,1)</f>
        <v>L</v>
      </c>
      <c r="AC95" s="49" t="str">
        <f>MID(VLOOKUP($A95,Seqs!$A:$B,2,FALSE),VLOOKUP($A95,'SegEnds_NonXtal_Prot#'!$A:$AL,22,FALSE)+7,1)</f>
        <v>S</v>
      </c>
      <c r="AD95" s="49" t="str">
        <f>MID(VLOOKUP($A95,Seqs!$A:$B,2,FALSE),VLOOKUP($A95,'SegEnds_NonXtal_Prot#'!$A:$AL,22,FALSE)+8,1)</f>
        <v>I</v>
      </c>
      <c r="AE95" s="49" t="str">
        <f>MID(VLOOKUP($A95,Seqs!$A:$B,2,FALSE),VLOOKUP($A95,'SegEnds_NonXtal_Prot#'!$A:$AL,22,FALSE)+9,1)</f>
        <v>P</v>
      </c>
      <c r="AF95" s="49" t="str">
        <f>MID(VLOOKUP($A95,Seqs!$A:$B,2,FALSE),VLOOKUP($A95,'SegEnds_NonXtal_Prot#'!$A:$AL,22,FALSE)+10,1)</f>
        <v>E</v>
      </c>
      <c r="AG95" s="28" t="str">
        <f>MID(VLOOKUP($A95,Seqs!$A:$B,2,FALSE),VLOOKUP($A95,'SegEnds_NonXtal_Prot#'!$A:$AL,28,FALSE)-4,1)</f>
        <v>G</v>
      </c>
      <c r="AH95" s="49" t="str">
        <f>MID(VLOOKUP($A95,Seqs!$A:$B,2,FALSE),VLOOKUP($A95,'SegEnds_NonXtal_Prot#'!$A:$AL,28,FALSE),1)</f>
        <v>P</v>
      </c>
    </row>
    <row r="96" spans="1:34" s="2" customFormat="1" x14ac:dyDescent="0.2">
      <c r="A96" s="2" t="s">
        <v>176</v>
      </c>
      <c r="B96" s="2" t="str">
        <f>LOWER(VLOOKUP(A96,Xtal_Templ!A:B,2,FALSE))</f>
        <v>ccr5_human</v>
      </c>
      <c r="C96" s="2" t="str">
        <f>VLOOKUP(A96,Classification!A:D,2,FALSE)</f>
        <v>A</v>
      </c>
      <c r="D96" s="2" t="str">
        <f>IF(ISERROR(MATCH(A96,'SegEnds_Xtal_Prot#'!B:B, 0)), "NoXtal", "Xtal")</f>
        <v>NoXtal</v>
      </c>
      <c r="H96" s="4"/>
      <c r="N96" s="2" t="s">
        <v>14</v>
      </c>
      <c r="R96" s="2" t="s">
        <v>9</v>
      </c>
      <c r="T96" s="4" t="s">
        <v>12</v>
      </c>
      <c r="V96" s="28" t="str">
        <f>MID(VLOOKUP($A96,Seqs!$A:$B,2,FALSE),VLOOKUP($A96,'SegEnds_NonXtal_Prot#'!A:AL,10,FALSE),1)</f>
        <v>D</v>
      </c>
      <c r="W96" s="49" t="str">
        <f>MID(VLOOKUP($A96,Seqs!$A:$B,2,FALSE),VLOOKUP($A96,'SegEnds_NonXtal_Prot#'!A:AL,10,FALSE)+6,1)</f>
        <v>S</v>
      </c>
      <c r="X96" s="49" t="str">
        <f>MID(VLOOKUP($A96,Seqs!$A:$B,2,FALSE),VLOOKUP($A96,'SegEnds_NonXtal_Prot#'!A:AL,10,FALSE)+7,1)</f>
        <v>F</v>
      </c>
      <c r="Y96" s="49" t="str">
        <f>MID(VLOOKUP($A96,Seqs!$A:$B,2,FALSE),VLOOKUP($A96,'SegEnds_NonXtal_Prot#'!A:AL,10,FALSE)+8,1)</f>
        <v>P</v>
      </c>
      <c r="Z96" s="49" t="str">
        <f>MID(VLOOKUP($A96,Seqs!$A:$B,2,FALSE),VLOOKUP($A96,'SegEnds_NonXtal_Prot#'!A:AL,10,FALSE)+9,1)</f>
        <v>F</v>
      </c>
      <c r="AA96" s="49" t="str">
        <f>MID(VLOOKUP($A96,Seqs!$A:$B,2,FALSE),VLOOKUP($A96,'SegEnds_NonXtal_Prot#'!A:AL,10,FALSE)+10,1)</f>
        <v>Q</v>
      </c>
      <c r="AB96" s="28" t="str">
        <f>MID(VLOOKUP($A96,Seqs!$A:$B,2,FALSE),VLOOKUP($A96,'SegEnds_NonXtal_Prot#'!$A:$AL,22,FALSE)+6,1)</f>
        <v>A</v>
      </c>
      <c r="AC96" s="49" t="str">
        <f>MID(VLOOKUP($A96,Seqs!$A:$B,2,FALSE),VLOOKUP($A96,'SegEnds_NonXtal_Prot#'!$A:$AL,22,FALSE)+7,1)</f>
        <v>T</v>
      </c>
      <c r="AD96" s="49" t="str">
        <f>MID(VLOOKUP($A96,Seqs!$A:$B,2,FALSE),VLOOKUP($A96,'SegEnds_NonXtal_Prot#'!$A:$AL,22,FALSE)+8,1)</f>
        <v>I</v>
      </c>
      <c r="AE96" s="49" t="str">
        <f>MID(VLOOKUP($A96,Seqs!$A:$B,2,FALSE),VLOOKUP($A96,'SegEnds_NonXtal_Prot#'!$A:$AL,22,FALSE)+9,1)</f>
        <v>P</v>
      </c>
      <c r="AF96" s="49" t="str">
        <f>MID(VLOOKUP($A96,Seqs!$A:$B,2,FALSE),VLOOKUP($A96,'SegEnds_NonXtal_Prot#'!$A:$AL,22,FALSE)+10,1)</f>
        <v>L</v>
      </c>
      <c r="AG96" s="28" t="str">
        <f>MID(VLOOKUP($A96,Seqs!$A:$B,2,FALSE),VLOOKUP($A96,'SegEnds_NonXtal_Prot#'!$A:$AL,28,FALSE)-4,1)</f>
        <v>G</v>
      </c>
      <c r="AH96" s="49" t="str">
        <f>MID(VLOOKUP($A96,Seqs!$A:$B,2,FALSE),VLOOKUP($A96,'SegEnds_NonXtal_Prot#'!$A:$AL,28,FALSE),1)</f>
        <v>P</v>
      </c>
    </row>
    <row r="97" spans="1:34" s="2" customFormat="1" x14ac:dyDescent="0.2">
      <c r="A97" s="2" t="s">
        <v>178</v>
      </c>
      <c r="B97" s="2" t="str">
        <f>LOWER(VLOOKUP(A97,Xtal_Templ!A:B,2,FALSE))</f>
        <v>ccr5_human</v>
      </c>
      <c r="C97" s="2" t="str">
        <f>VLOOKUP(A97,Classification!A:D,2,FALSE)</f>
        <v>A</v>
      </c>
      <c r="D97" s="2" t="str">
        <f>IF(ISERROR(MATCH(A97,'SegEnds_Xtal_Prot#'!B:B, 0)), "NoXtal", "Xtal")</f>
        <v>NoXtal</v>
      </c>
      <c r="H97" s="4"/>
      <c r="N97" s="2" t="s">
        <v>14</v>
      </c>
      <c r="R97" s="2" t="s">
        <v>9</v>
      </c>
      <c r="T97" s="4" t="s">
        <v>12</v>
      </c>
      <c r="V97" s="28" t="str">
        <f>MID(VLOOKUP($A97,Seqs!$A:$B,2,FALSE),VLOOKUP($A97,'SegEnds_NonXtal_Prot#'!A:AL,10,FALSE),1)</f>
        <v>N</v>
      </c>
      <c r="W97" s="49" t="str">
        <f>MID(VLOOKUP($A97,Seqs!$A:$B,2,FALSE),VLOOKUP($A97,'SegEnds_NonXtal_Prot#'!A:AL,10,FALSE)+6,1)</f>
        <v>T</v>
      </c>
      <c r="X97" s="49" t="str">
        <f>MID(VLOOKUP($A97,Seqs!$A:$B,2,FALSE),VLOOKUP($A97,'SegEnds_NonXtal_Prot#'!A:AL,10,FALSE)+7,1)</f>
        <v>L</v>
      </c>
      <c r="Y97" s="49" t="str">
        <f>MID(VLOOKUP($A97,Seqs!$A:$B,2,FALSE),VLOOKUP($A97,'SegEnds_NonXtal_Prot#'!A:AL,10,FALSE)+8,1)</f>
        <v>P</v>
      </c>
      <c r="Z97" s="49" t="str">
        <f>MID(VLOOKUP($A97,Seqs!$A:$B,2,FALSE),VLOOKUP($A97,'SegEnds_NonXtal_Prot#'!A:AL,10,FALSE)+9,1)</f>
        <v>F</v>
      </c>
      <c r="AA97" s="49" t="str">
        <f>MID(VLOOKUP($A97,Seqs!$A:$B,2,FALSE),VLOOKUP($A97,'SegEnds_NonXtal_Prot#'!A:AL,10,FALSE)+10,1)</f>
        <v>W</v>
      </c>
      <c r="AB97" s="28" t="str">
        <f>MID(VLOOKUP($A97,Seqs!$A:$B,2,FALSE),VLOOKUP($A97,'SegEnds_NonXtal_Prot#'!$A:$AL,22,FALSE)+6,1)</f>
        <v>A</v>
      </c>
      <c r="AC97" s="49" t="str">
        <f>MID(VLOOKUP($A97,Seqs!$A:$B,2,FALSE),VLOOKUP($A97,'SegEnds_NonXtal_Prot#'!$A:$AL,22,FALSE)+7,1)</f>
        <v>T</v>
      </c>
      <c r="AD97" s="49" t="str">
        <f>MID(VLOOKUP($A97,Seqs!$A:$B,2,FALSE),VLOOKUP($A97,'SegEnds_NonXtal_Prot#'!$A:$AL,22,FALSE)+8,1)</f>
        <v>L</v>
      </c>
      <c r="AE97" s="49" t="str">
        <f>MID(VLOOKUP($A97,Seqs!$A:$B,2,FALSE),VLOOKUP($A97,'SegEnds_NonXtal_Prot#'!$A:$AL,22,FALSE)+9,1)</f>
        <v>P</v>
      </c>
      <c r="AF97" s="49" t="str">
        <f>MID(VLOOKUP($A97,Seqs!$A:$B,2,FALSE),VLOOKUP($A97,'SegEnds_NonXtal_Prot#'!$A:$AL,22,FALSE)+10,1)</f>
        <v>E</v>
      </c>
      <c r="AG97" s="28" t="str">
        <f>MID(VLOOKUP($A97,Seqs!$A:$B,2,FALSE),VLOOKUP($A97,'SegEnds_NonXtal_Prot#'!$A:$AL,28,FALSE)-4,1)</f>
        <v>V</v>
      </c>
      <c r="AH97" s="49" t="str">
        <f>MID(VLOOKUP($A97,Seqs!$A:$B,2,FALSE),VLOOKUP($A97,'SegEnds_NonXtal_Prot#'!$A:$AL,28,FALSE),1)</f>
        <v>P</v>
      </c>
    </row>
    <row r="98" spans="1:34" s="2" customFormat="1" x14ac:dyDescent="0.2">
      <c r="A98" s="2" t="s">
        <v>184</v>
      </c>
      <c r="B98" s="2" t="str">
        <f>LOWER(VLOOKUP(A98,Xtal_Templ!A:B,2,FALSE))</f>
        <v>ccr2_human</v>
      </c>
      <c r="C98" s="2" t="str">
        <f>VLOOKUP(A98,Classification!A:D,2,FALSE)</f>
        <v>A</v>
      </c>
      <c r="D98" s="2" t="str">
        <f>IF(ISERROR(MATCH(A98,'SegEnds_Xtal_Prot#'!B:B, 0)), "NoXtal", "Xtal")</f>
        <v>NoXtal</v>
      </c>
      <c r="H98" s="4"/>
      <c r="N98" s="2" t="s">
        <v>14</v>
      </c>
      <c r="R98" s="2" t="s">
        <v>9</v>
      </c>
      <c r="T98" s="4" t="s">
        <v>12</v>
      </c>
      <c r="V98" s="28" t="str">
        <f>MID(VLOOKUP($A98,Seqs!$A:$B,2,FALSE),VLOOKUP($A98,'SegEnds_NonXtal_Prot#'!A:AL,10,FALSE),1)</f>
        <v>D</v>
      </c>
      <c r="W98" s="49" t="str">
        <f>MID(VLOOKUP($A98,Seqs!$A:$B,2,FALSE),VLOOKUP($A98,'SegEnds_NonXtal_Prot#'!A:AL,10,FALSE)+6,1)</f>
        <v>T</v>
      </c>
      <c r="X98" s="49" t="str">
        <f>MID(VLOOKUP($A98,Seqs!$A:$B,2,FALSE),VLOOKUP($A98,'SegEnds_NonXtal_Prot#'!A:AL,10,FALSE)+7,1)</f>
        <v>L</v>
      </c>
      <c r="Y98" s="49" t="str">
        <f>MID(VLOOKUP($A98,Seqs!$A:$B,2,FALSE),VLOOKUP($A98,'SegEnds_NonXtal_Prot#'!A:AL,10,FALSE)+8,1)</f>
        <v>P</v>
      </c>
      <c r="Z98" s="49" t="str">
        <f>MID(VLOOKUP($A98,Seqs!$A:$B,2,FALSE),VLOOKUP($A98,'SegEnds_NonXtal_Prot#'!A:AL,10,FALSE)+9,1)</f>
        <v>F</v>
      </c>
      <c r="AA98" s="49" t="str">
        <f>MID(VLOOKUP($A98,Seqs!$A:$B,2,FALSE),VLOOKUP($A98,'SegEnds_NonXtal_Prot#'!A:AL,10,FALSE)+10,1)</f>
        <v>W</v>
      </c>
      <c r="AB98" s="28" t="str">
        <f>MID(VLOOKUP($A98,Seqs!$A:$B,2,FALSE),VLOOKUP($A98,'SegEnds_NonXtal_Prot#'!$A:$AL,22,FALSE)+6,1)</f>
        <v>V</v>
      </c>
      <c r="AC98" s="49" t="str">
        <f>MID(VLOOKUP($A98,Seqs!$A:$B,2,FALSE),VLOOKUP($A98,'SegEnds_NonXtal_Prot#'!$A:$AL,22,FALSE)+7,1)</f>
        <v>A</v>
      </c>
      <c r="AD98" s="49" t="str">
        <f>MID(VLOOKUP($A98,Seqs!$A:$B,2,FALSE),VLOOKUP($A98,'SegEnds_NonXtal_Prot#'!$A:$AL,22,FALSE)+8,1)</f>
        <v>A</v>
      </c>
      <c r="AE98" s="49" t="str">
        <f>MID(VLOOKUP($A98,Seqs!$A:$B,2,FALSE),VLOOKUP($A98,'SegEnds_NonXtal_Prot#'!$A:$AL,22,FALSE)+9,1)</f>
        <v>P</v>
      </c>
      <c r="AF98" s="49" t="str">
        <f>MID(VLOOKUP($A98,Seqs!$A:$B,2,FALSE),VLOOKUP($A98,'SegEnds_NonXtal_Prot#'!$A:$AL,22,FALSE)+10,1)</f>
        <v>Q</v>
      </c>
      <c r="AG98" s="28" t="str">
        <f>MID(VLOOKUP($A98,Seqs!$A:$B,2,FALSE),VLOOKUP($A98,'SegEnds_NonXtal_Prot#'!$A:$AL,28,FALSE)-4,1)</f>
        <v>G</v>
      </c>
      <c r="AH98" s="49" t="str">
        <f>MID(VLOOKUP($A98,Seqs!$A:$B,2,FALSE),VLOOKUP($A98,'SegEnds_NonXtal_Prot#'!$A:$AL,28,FALSE),1)</f>
        <v>P</v>
      </c>
    </row>
    <row r="99" spans="1:34" s="2" customFormat="1" x14ac:dyDescent="0.2">
      <c r="A99" s="2" t="s">
        <v>185</v>
      </c>
      <c r="B99" s="2" t="str">
        <f>LOWER(VLOOKUP(A99,Xtal_Templ!A:B,2,FALSE))</f>
        <v>ccr7_human</v>
      </c>
      <c r="C99" s="2" t="str">
        <f>VLOOKUP(A99,Classification!A:D,2,FALSE)</f>
        <v>A</v>
      </c>
      <c r="D99" s="2" t="str">
        <f>IF(ISERROR(MATCH(A99,'SegEnds_Xtal_Prot#'!B:B, 0)), "NoXtal", "Xtal")</f>
        <v>NoXtal</v>
      </c>
      <c r="H99" s="4"/>
      <c r="N99" s="2" t="s">
        <v>14</v>
      </c>
      <c r="R99" s="2" t="s">
        <v>9</v>
      </c>
      <c r="T99" s="4" t="s">
        <v>12</v>
      </c>
      <c r="V99" s="28" t="str">
        <f>MID(VLOOKUP($A99,Seqs!$A:$B,2,FALSE),VLOOKUP($A99,'SegEnds_NonXtal_Prot#'!A:AL,10,FALSE),1)</f>
        <v>D</v>
      </c>
      <c r="W99" s="49" t="str">
        <f>MID(VLOOKUP($A99,Seqs!$A:$B,2,FALSE),VLOOKUP($A99,'SegEnds_NonXtal_Prot#'!A:AL,10,FALSE)+6,1)</f>
        <v>T</v>
      </c>
      <c r="X99" s="49" t="str">
        <f>MID(VLOOKUP($A99,Seqs!$A:$B,2,FALSE),VLOOKUP($A99,'SegEnds_NonXtal_Prot#'!A:AL,10,FALSE)+7,1)</f>
        <v>L</v>
      </c>
      <c r="Y99" s="49" t="str">
        <f>MID(VLOOKUP($A99,Seqs!$A:$B,2,FALSE),VLOOKUP($A99,'SegEnds_NonXtal_Prot#'!A:AL,10,FALSE)+8,1)</f>
        <v>P</v>
      </c>
      <c r="Z99" s="49" t="str">
        <f>MID(VLOOKUP($A99,Seqs!$A:$B,2,FALSE),VLOOKUP($A99,'SegEnds_NonXtal_Prot#'!A:AL,10,FALSE)+9,1)</f>
        <v>I</v>
      </c>
      <c r="AA99" s="49" t="str">
        <f>MID(VLOOKUP($A99,Seqs!$A:$B,2,FALSE),VLOOKUP($A99,'SegEnds_NonXtal_Prot#'!A:AL,10,FALSE)+10,1)</f>
        <v>W</v>
      </c>
      <c r="AB99" s="28" t="str">
        <f>MID(VLOOKUP($A99,Seqs!$A:$B,2,FALSE),VLOOKUP($A99,'SegEnds_NonXtal_Prot#'!$A:$AL,22,FALSE)+6,1)</f>
        <v>L</v>
      </c>
      <c r="AC99" s="49" t="str">
        <f>MID(VLOOKUP($A99,Seqs!$A:$B,2,FALSE),VLOOKUP($A99,'SegEnds_NonXtal_Prot#'!$A:$AL,22,FALSE)+7,1)</f>
        <v>S</v>
      </c>
      <c r="AD99" s="49" t="str">
        <f>MID(VLOOKUP($A99,Seqs!$A:$B,2,FALSE),VLOOKUP($A99,'SegEnds_NonXtal_Prot#'!$A:$AL,22,FALSE)+8,1)</f>
        <v>L</v>
      </c>
      <c r="AE99" s="49" t="str">
        <f>MID(VLOOKUP($A99,Seqs!$A:$B,2,FALSE),VLOOKUP($A99,'SegEnds_NonXtal_Prot#'!$A:$AL,22,FALSE)+9,1)</f>
        <v>P</v>
      </c>
      <c r="AF99" s="49" t="str">
        <f>MID(VLOOKUP($A99,Seqs!$A:$B,2,FALSE),VLOOKUP($A99,'SegEnds_NonXtal_Prot#'!$A:$AL,22,FALSE)+10,1)</f>
        <v>F</v>
      </c>
      <c r="AG99" s="28" t="str">
        <f>MID(VLOOKUP($A99,Seqs!$A:$B,2,FALSE),VLOOKUP($A99,'SegEnds_NonXtal_Prot#'!$A:$AL,28,FALSE)-4,1)</f>
        <v>G</v>
      </c>
      <c r="AH99" s="49" t="str">
        <f>MID(VLOOKUP($A99,Seqs!$A:$B,2,FALSE),VLOOKUP($A99,'SegEnds_NonXtal_Prot#'!$A:$AL,28,FALSE),1)</f>
        <v>P</v>
      </c>
    </row>
    <row r="100" spans="1:34" s="2" customFormat="1" x14ac:dyDescent="0.2">
      <c r="A100" s="2" t="s">
        <v>186</v>
      </c>
      <c r="B100" s="2" t="str">
        <f>LOWER(VLOOKUP(A100,Xtal_Templ!A:B,2,FALSE))</f>
        <v>ccr7_human</v>
      </c>
      <c r="C100" s="2" t="str">
        <f>VLOOKUP(A100,Classification!A:D,2,FALSE)</f>
        <v>A</v>
      </c>
      <c r="D100" s="2" t="str">
        <f>IF(ISERROR(MATCH(A100,'SegEnds_Xtal_Prot#'!B:B, 0)), "NoXtal", "Xtal")</f>
        <v>NoXtal</v>
      </c>
      <c r="H100" s="4"/>
      <c r="N100" s="2" t="s">
        <v>14</v>
      </c>
      <c r="R100" s="2" t="s">
        <v>9</v>
      </c>
      <c r="T100" s="4" t="s">
        <v>12</v>
      </c>
      <c r="V100" s="28" t="str">
        <f>MID(VLOOKUP($A100,Seqs!$A:$B,2,FALSE),VLOOKUP($A100,'SegEnds_NonXtal_Prot#'!A:AL,10,FALSE),1)</f>
        <v>D</v>
      </c>
      <c r="W100" s="49" t="str">
        <f>MID(VLOOKUP($A100,Seqs!$A:$B,2,FALSE),VLOOKUP($A100,'SegEnds_NonXtal_Prot#'!A:AL,10,FALSE)+6,1)</f>
        <v>T</v>
      </c>
      <c r="X100" s="49" t="str">
        <f>MID(VLOOKUP($A100,Seqs!$A:$B,2,FALSE),VLOOKUP($A100,'SegEnds_NonXtal_Prot#'!A:AL,10,FALSE)+7,1)</f>
        <v>L</v>
      </c>
      <c r="Y100" s="49" t="str">
        <f>MID(VLOOKUP($A100,Seqs!$A:$B,2,FALSE),VLOOKUP($A100,'SegEnds_NonXtal_Prot#'!A:AL,10,FALSE)+8,1)</f>
        <v>P</v>
      </c>
      <c r="Z100" s="49" t="str">
        <f>MID(VLOOKUP($A100,Seqs!$A:$B,2,FALSE),VLOOKUP($A100,'SegEnds_NonXtal_Prot#'!A:AL,10,FALSE)+9,1)</f>
        <v>I</v>
      </c>
      <c r="AA100" s="49" t="str">
        <f>MID(VLOOKUP($A100,Seqs!$A:$B,2,FALSE),VLOOKUP($A100,'SegEnds_NonXtal_Prot#'!A:AL,10,FALSE)+10,1)</f>
        <v>W</v>
      </c>
      <c r="AB100" s="28" t="str">
        <f>MID(VLOOKUP($A100,Seqs!$A:$B,2,FALSE),VLOOKUP($A100,'SegEnds_NonXtal_Prot#'!$A:$AL,22,FALSE)+6,1)</f>
        <v>L</v>
      </c>
      <c r="AC100" s="49" t="str">
        <f>MID(VLOOKUP($A100,Seqs!$A:$B,2,FALSE),VLOOKUP($A100,'SegEnds_NonXtal_Prot#'!$A:$AL,22,FALSE)+7,1)</f>
        <v>A</v>
      </c>
      <c r="AD100" s="49" t="str">
        <f>MID(VLOOKUP($A100,Seqs!$A:$B,2,FALSE),VLOOKUP($A100,'SegEnds_NonXtal_Prot#'!$A:$AL,22,FALSE)+8,1)</f>
        <v>L</v>
      </c>
      <c r="AE100" s="49" t="str">
        <f>MID(VLOOKUP($A100,Seqs!$A:$B,2,FALSE),VLOOKUP($A100,'SegEnds_NonXtal_Prot#'!$A:$AL,22,FALSE)+9,1)</f>
        <v>P</v>
      </c>
      <c r="AF100" s="49" t="str">
        <f>MID(VLOOKUP($A100,Seqs!$A:$B,2,FALSE),VLOOKUP($A100,'SegEnds_NonXtal_Prot#'!$A:$AL,22,FALSE)+10,1)</f>
        <v>V</v>
      </c>
      <c r="AG100" s="28" t="str">
        <f>MID(VLOOKUP($A100,Seqs!$A:$B,2,FALSE),VLOOKUP($A100,'SegEnds_NonXtal_Prot#'!$A:$AL,28,FALSE)-4,1)</f>
        <v>G</v>
      </c>
      <c r="AH100" s="49" t="str">
        <f>MID(VLOOKUP($A100,Seqs!$A:$B,2,FALSE),VLOOKUP($A100,'SegEnds_NonXtal_Prot#'!$A:$AL,28,FALSE),1)</f>
        <v>P</v>
      </c>
    </row>
    <row r="101" spans="1:34" s="2" customFormat="1" x14ac:dyDescent="0.2">
      <c r="A101" s="2" t="s">
        <v>189</v>
      </c>
      <c r="B101" s="2" t="str">
        <f>LOWER(VLOOKUP(A101,Xtal_Templ!A:B,2,FALSE))</f>
        <v>ccr9_human</v>
      </c>
      <c r="C101" s="2" t="str">
        <f>VLOOKUP(A101,Classification!A:D,2,FALSE)</f>
        <v>A</v>
      </c>
      <c r="D101" s="2" t="str">
        <f>IF(ISERROR(MATCH(A101,'SegEnds_Xtal_Prot#'!B:B, 0)), "NoXtal", "Xtal")</f>
        <v>NoXtal</v>
      </c>
      <c r="H101" s="4"/>
      <c r="N101" s="2" t="s">
        <v>14</v>
      </c>
      <c r="R101" s="2" t="s">
        <v>9</v>
      </c>
      <c r="T101" s="4" t="s">
        <v>12</v>
      </c>
      <c r="V101" s="28" t="str">
        <f>MID(VLOOKUP($A101,Seqs!$A:$B,2,FALSE),VLOOKUP($A101,'SegEnds_NonXtal_Prot#'!A:AL,10,FALSE),1)</f>
        <v>D</v>
      </c>
      <c r="W101" s="49" t="str">
        <f>MID(VLOOKUP($A101,Seqs!$A:$B,2,FALSE),VLOOKUP($A101,'SegEnds_NonXtal_Prot#'!A:AL,10,FALSE)+6,1)</f>
        <v>T</v>
      </c>
      <c r="X101" s="49" t="str">
        <f>MID(VLOOKUP($A101,Seqs!$A:$B,2,FALSE),VLOOKUP($A101,'SegEnds_NonXtal_Prot#'!A:AL,10,FALSE)+7,1)</f>
        <v>L</v>
      </c>
      <c r="Y101" s="49" t="str">
        <f>MID(VLOOKUP($A101,Seqs!$A:$B,2,FALSE),VLOOKUP($A101,'SegEnds_NonXtal_Prot#'!A:AL,10,FALSE)+8,1)</f>
        <v>P</v>
      </c>
      <c r="Z101" s="49" t="str">
        <f>MID(VLOOKUP($A101,Seqs!$A:$B,2,FALSE),VLOOKUP($A101,'SegEnds_NonXtal_Prot#'!A:AL,10,FALSE)+9,1)</f>
        <v>F</v>
      </c>
      <c r="AA101" s="49" t="str">
        <f>MID(VLOOKUP($A101,Seqs!$A:$B,2,FALSE),VLOOKUP($A101,'SegEnds_NonXtal_Prot#'!A:AL,10,FALSE)+10,1)</f>
        <v>W</v>
      </c>
      <c r="AB101" s="28" t="str">
        <f>MID(VLOOKUP($A101,Seqs!$A:$B,2,FALSE),VLOOKUP($A101,'SegEnds_NonXtal_Prot#'!$A:$AL,22,FALSE)+6,1)</f>
        <v>V</v>
      </c>
      <c r="AC101" s="49" t="str">
        <f>MID(VLOOKUP($A101,Seqs!$A:$B,2,FALSE),VLOOKUP($A101,'SegEnds_NonXtal_Prot#'!$A:$AL,22,FALSE)+7,1)</f>
        <v>S</v>
      </c>
      <c r="AD101" s="49" t="str">
        <f>MID(VLOOKUP($A101,Seqs!$A:$B,2,FALSE),VLOOKUP($A101,'SegEnds_NonXtal_Prot#'!$A:$AL,22,FALSE)+8,1)</f>
        <v>L</v>
      </c>
      <c r="AE101" s="49" t="str">
        <f>MID(VLOOKUP($A101,Seqs!$A:$B,2,FALSE),VLOOKUP($A101,'SegEnds_NonXtal_Prot#'!$A:$AL,22,FALSE)+9,1)</f>
        <v>P</v>
      </c>
      <c r="AF101" s="49" t="str">
        <f>MID(VLOOKUP($A101,Seqs!$A:$B,2,FALSE),VLOOKUP($A101,'SegEnds_NonXtal_Prot#'!$A:$AL,22,FALSE)+10,1)</f>
        <v>Q</v>
      </c>
      <c r="AG101" s="28" t="str">
        <f>MID(VLOOKUP($A101,Seqs!$A:$B,2,FALSE),VLOOKUP($A101,'SegEnds_NonXtal_Prot#'!$A:$AL,28,FALSE)-4,1)</f>
        <v>G</v>
      </c>
      <c r="AH101" s="49" t="str">
        <f>MID(VLOOKUP($A101,Seqs!$A:$B,2,FALSE),VLOOKUP($A101,'SegEnds_NonXtal_Prot#'!$A:$AL,28,FALSE),1)</f>
        <v>P</v>
      </c>
    </row>
    <row r="102" spans="1:34" s="2" customFormat="1" x14ac:dyDescent="0.2">
      <c r="A102" s="2" t="s">
        <v>399</v>
      </c>
      <c r="B102" s="2" t="str">
        <f>LOWER(VLOOKUP(A102,Xtal_Templ!A:B,2,FALSE))</f>
        <v>ccr5_human</v>
      </c>
      <c r="C102" s="2" t="str">
        <f>VLOOKUP(A102,Classification!A:D,2,FALSE)</f>
        <v>A</v>
      </c>
      <c r="D102" s="2" t="str">
        <f>IF(ISERROR(MATCH(A102,'SegEnds_Xtal_Prot#'!B:B, 0)), "NoXtal", "Xtal")</f>
        <v>NoXtal</v>
      </c>
      <c r="H102" s="4"/>
      <c r="T102" s="4" t="s">
        <v>12</v>
      </c>
      <c r="V102" s="28" t="str">
        <f>MID(VLOOKUP($A102,Seqs!$A:$B,2,FALSE),VLOOKUP($A102,'SegEnds_NonXtal_Prot#'!A:AL,10,FALSE),1)</f>
        <v>D</v>
      </c>
      <c r="W102" s="49" t="str">
        <f>MID(VLOOKUP($A102,Seqs!$A:$B,2,FALSE),VLOOKUP($A102,'SegEnds_NonXtal_Prot#'!A:AL,10,FALSE)+6,1)</f>
        <v>L</v>
      </c>
      <c r="X102" s="49" t="str">
        <f>MID(VLOOKUP($A102,Seqs!$A:$B,2,FALSE),VLOOKUP($A102,'SegEnds_NonXtal_Prot#'!A:AL,10,FALSE)+7,1)</f>
        <v>L</v>
      </c>
      <c r="Y102" s="49" t="str">
        <f>MID(VLOOKUP($A102,Seqs!$A:$B,2,FALSE),VLOOKUP($A102,'SegEnds_NonXtal_Prot#'!A:AL,10,FALSE)+8,1)</f>
        <v>P</v>
      </c>
      <c r="Z102" s="49" t="str">
        <f>MID(VLOOKUP($A102,Seqs!$A:$B,2,FALSE),VLOOKUP($A102,'SegEnds_NonXtal_Prot#'!A:AL,10,FALSE)+9,1)</f>
        <v>V</v>
      </c>
      <c r="AA102" s="49" t="str">
        <f>MID(VLOOKUP($A102,Seqs!$A:$B,2,FALSE),VLOOKUP($A102,'SegEnds_NonXtal_Prot#'!A:AL,10,FALSE)+10,1)</f>
        <v>W</v>
      </c>
      <c r="AB102" s="28" t="str">
        <f>MID(VLOOKUP($A102,Seqs!$A:$B,2,FALSE),VLOOKUP($A102,'SegEnds_NonXtal_Prot#'!$A:$AL,22,FALSE)+6,1)</f>
        <v>S</v>
      </c>
      <c r="AC102" s="49" t="str">
        <f>MID(VLOOKUP($A102,Seqs!$A:$B,2,FALSE),VLOOKUP($A102,'SegEnds_NonXtal_Prot#'!$A:$AL,22,FALSE)+7,1)</f>
        <v>S</v>
      </c>
      <c r="AD102" s="49" t="str">
        <f>MID(VLOOKUP($A102,Seqs!$A:$B,2,FALSE),VLOOKUP($A102,'SegEnds_NonXtal_Prot#'!$A:$AL,22,FALSE)+8,1)</f>
        <v>I</v>
      </c>
      <c r="AE102" s="49" t="str">
        <f>MID(VLOOKUP($A102,Seqs!$A:$B,2,FALSE),VLOOKUP($A102,'SegEnds_NonXtal_Prot#'!$A:$AL,22,FALSE)+9,1)</f>
        <v>L</v>
      </c>
      <c r="AF102" s="49" t="str">
        <f>MID(VLOOKUP($A102,Seqs!$A:$B,2,FALSE),VLOOKUP($A102,'SegEnds_NonXtal_Prot#'!$A:$AL,22,FALSE)+10,1)</f>
        <v>D</v>
      </c>
      <c r="AG102" s="28" t="str">
        <f>MID(VLOOKUP($A102,Seqs!$A:$B,2,FALSE),VLOOKUP($A102,'SegEnds_NonXtal_Prot#'!$A:$AL,28,FALSE)-4,1)</f>
        <v>F</v>
      </c>
      <c r="AH102" s="49" t="str">
        <f>MID(VLOOKUP($A102,Seqs!$A:$B,2,FALSE),VLOOKUP($A102,'SegEnds_NonXtal_Prot#'!$A:$AL,28,FALSE),1)</f>
        <v>S</v>
      </c>
    </row>
    <row r="103" spans="1:34" s="2" customFormat="1" x14ac:dyDescent="0.2">
      <c r="A103" s="40" t="s">
        <v>177</v>
      </c>
      <c r="B103" s="40" t="str">
        <f>LOWER(VLOOKUP(A103,Xtal_Templ!A:B,2,FALSE))</f>
        <v>ccr9_human</v>
      </c>
      <c r="C103" s="40" t="str">
        <f>VLOOKUP(A103,Classification!A:D,2,FALSE)</f>
        <v>A</v>
      </c>
      <c r="D103" s="40" t="str">
        <f>IF(ISERROR(MATCH(A103,'SegEnds_Xtal_Prot#'!B:B, 0)), "NoXtal", "Xtal")</f>
        <v>Xtal</v>
      </c>
      <c r="E103" s="40"/>
      <c r="F103" s="40"/>
      <c r="G103" s="40"/>
      <c r="H103" s="11"/>
      <c r="I103" s="40"/>
      <c r="J103" s="40"/>
      <c r="K103" s="40"/>
      <c r="L103" s="40"/>
      <c r="M103" s="40"/>
      <c r="N103" s="40" t="s">
        <v>14</v>
      </c>
      <c r="O103" s="40"/>
      <c r="P103" s="40"/>
      <c r="Q103" s="40"/>
      <c r="R103" s="40" t="s">
        <v>9</v>
      </c>
      <c r="S103" s="40"/>
      <c r="T103" s="11" t="s">
        <v>12</v>
      </c>
      <c r="U103" s="40"/>
      <c r="V103" s="58" t="str">
        <f>MID(VLOOKUP($A103,Seqs!$A:$B,2,FALSE),VLOOKUP($A103,'SegEnds_NonXtal_Prot#'!A:AL,10,FALSE),1)</f>
        <v>D</v>
      </c>
      <c r="W103" s="51" t="str">
        <f>MID(VLOOKUP($A103,Seqs!$A:$B,2,FALSE),VLOOKUP($A103,'SegEnds_NonXtal_Prot#'!A:AL,10,FALSE)+6,1)</f>
        <v>T</v>
      </c>
      <c r="X103" s="51" t="str">
        <f>MID(VLOOKUP($A103,Seqs!$A:$B,2,FALSE),VLOOKUP($A103,'SegEnds_NonXtal_Prot#'!A:AL,10,FALSE)+7,1)</f>
        <v>L</v>
      </c>
      <c r="Y103" s="51" t="str">
        <f>MID(VLOOKUP($A103,Seqs!$A:$B,2,FALSE),VLOOKUP($A103,'SegEnds_NonXtal_Prot#'!A:AL,10,FALSE)+8,1)</f>
        <v>P</v>
      </c>
      <c r="Z103" s="49" t="str">
        <f>MID(VLOOKUP($A103,Seqs!$A:$B,2,FALSE),VLOOKUP($A103,'SegEnds_NonXtal_Prot#'!A:AL,10,FALSE)+9,1)</f>
        <v>F</v>
      </c>
      <c r="AA103" s="49" t="str">
        <f>MID(VLOOKUP($A103,Seqs!$A:$B,2,FALSE),VLOOKUP($A103,'SegEnds_NonXtal_Prot#'!A:AL,10,FALSE)+10,1)</f>
        <v>W</v>
      </c>
      <c r="AB103" s="58" t="str">
        <f>MID(VLOOKUP($A103,Seqs!$A:$B,2,FALSE),VLOOKUP($A103,'SegEnds_NonXtal_Prot#'!$A:$AL,22,FALSE)+6,1)</f>
        <v>L</v>
      </c>
      <c r="AC103" s="51" t="str">
        <f>MID(VLOOKUP($A103,Seqs!$A:$B,2,FALSE),VLOOKUP($A103,'SegEnds_NonXtal_Prot#'!$A:$AL,22,FALSE)+7,1)</f>
        <v>C</v>
      </c>
      <c r="AD103" s="51" t="str">
        <f>MID(VLOOKUP($A103,Seqs!$A:$B,2,FALSE),VLOOKUP($A103,'SegEnds_NonXtal_Prot#'!$A:$AL,22,FALSE)+8,1)</f>
        <v>I</v>
      </c>
      <c r="AE103" s="51" t="str">
        <f>MID(VLOOKUP($A103,Seqs!$A:$B,2,FALSE),VLOOKUP($A103,'SegEnds_NonXtal_Prot#'!$A:$AL,22,FALSE)+9,1)</f>
        <v>P</v>
      </c>
      <c r="AF103" s="51" t="str">
        <f>MID(VLOOKUP($A103,Seqs!$A:$B,2,FALSE),VLOOKUP($A103,'SegEnds_NonXtal_Prot#'!$A:$AL,22,FALSE)+10,1)</f>
        <v>E</v>
      </c>
      <c r="AG103" s="58" t="str">
        <f>MID(VLOOKUP($A103,Seqs!$A:$B,2,FALSE),VLOOKUP($A103,'SegEnds_NonXtal_Prot#'!$A:$AL,28,FALSE)-4,1)</f>
        <v>G</v>
      </c>
      <c r="AH103" s="51" t="str">
        <f>MID(VLOOKUP($A103,Seqs!$A:$B,2,FALSE),VLOOKUP($A103,'SegEnds_NonXtal_Prot#'!$A:$AL,28,FALSE),1)</f>
        <v>P</v>
      </c>
    </row>
    <row r="104" spans="1:34" s="2" customFormat="1" x14ac:dyDescent="0.2">
      <c r="A104" s="2" t="s">
        <v>182</v>
      </c>
      <c r="B104" s="2" t="str">
        <f>LOWER(VLOOKUP(A104,Xtal_Templ!A:B,2,FALSE))</f>
        <v>cnr1_human</v>
      </c>
      <c r="C104" s="2" t="str">
        <f>VLOOKUP(A104,Classification!A:D,2,FALSE)</f>
        <v>A</v>
      </c>
      <c r="D104" s="2" t="str">
        <f>IF(ISERROR(MATCH(A104,'SegEnds_Xtal_Prot#'!B:B, 0)), "NoXtal", "Xtal")</f>
        <v>Xtal</v>
      </c>
      <c r="H104" s="4"/>
      <c r="T104" s="4" t="s">
        <v>12</v>
      </c>
      <c r="V104" s="28" t="str">
        <f>MID(VLOOKUP($A104,Seqs!$A:$B,2,FALSE),VLOOKUP($A104,'SegEnds_NonXtal_Prot#'!A:AL,10,FALSE),1)</f>
        <v>D</v>
      </c>
      <c r="W104" s="49" t="str">
        <f>MID(VLOOKUP($A104,Seqs!$A:$B,2,FALSE),VLOOKUP($A104,'SegEnds_NonXtal_Prot#'!A:AL,10,FALSE)+6,1)</f>
        <v>I</v>
      </c>
      <c r="X104" s="49" t="str">
        <f>MID(VLOOKUP($A104,Seqs!$A:$B,2,FALSE),VLOOKUP($A104,'SegEnds_NonXtal_Prot#'!A:AL,10,FALSE)+7,1)</f>
        <v>F</v>
      </c>
      <c r="Y104" s="49" t="str">
        <f>MID(VLOOKUP($A104,Seqs!$A:$B,2,FALSE),VLOOKUP($A104,'SegEnds_NonXtal_Prot#'!A:AL,10,FALSE)+8,1)</f>
        <v>V</v>
      </c>
      <c r="Z104" s="49" t="str">
        <f>MID(VLOOKUP($A104,Seqs!$A:$B,2,FALSE),VLOOKUP($A104,'SegEnds_NonXtal_Prot#'!A:AL,10,FALSE)+9,1)</f>
        <v>Y</v>
      </c>
      <c r="AA104" s="49" t="str">
        <f>MID(VLOOKUP($A104,Seqs!$A:$B,2,FALSE),VLOOKUP($A104,'SegEnds_NonXtal_Prot#'!A:AL,10,FALSE)+10,1)</f>
        <v>S</v>
      </c>
      <c r="AB104" s="28" t="str">
        <f>MID(VLOOKUP($A104,Seqs!$A:$B,2,FALSE),VLOOKUP($A104,'SegEnds_NonXtal_Prot#'!$A:$AL,22,FALSE)+6,1)</f>
        <v>I</v>
      </c>
      <c r="AC104" s="49" t="str">
        <f>MID(VLOOKUP($A104,Seqs!$A:$B,2,FALSE),VLOOKUP($A104,'SegEnds_NonXtal_Prot#'!$A:$AL,22,FALSE)+7,1)</f>
        <v>A</v>
      </c>
      <c r="AD104" s="49" t="str">
        <f>MID(VLOOKUP($A104,Seqs!$A:$B,2,FALSE),VLOOKUP($A104,'SegEnds_NonXtal_Prot#'!$A:$AL,22,FALSE)+8,1)</f>
        <v>V</v>
      </c>
      <c r="AE104" s="49" t="str">
        <f>MID(VLOOKUP($A104,Seqs!$A:$B,2,FALSE),VLOOKUP($A104,'SegEnds_NonXtal_Prot#'!$A:$AL,22,FALSE)+9,1)</f>
        <v>L</v>
      </c>
      <c r="AF104" s="49" t="str">
        <f>MID(VLOOKUP($A104,Seqs!$A:$B,2,FALSE),VLOOKUP($A104,'SegEnds_NonXtal_Prot#'!$A:$AL,22,FALSE)+10,1)</f>
        <v>P</v>
      </c>
      <c r="AG104" s="28" t="str">
        <f>MID(VLOOKUP($A104,Seqs!$A:$B,2,FALSE),VLOOKUP($A104,'SegEnds_NonXtal_Prot#'!$A:$AL,28,FALSE)-4,1)</f>
        <v>V</v>
      </c>
      <c r="AH104" s="49" t="str">
        <f>MID(VLOOKUP($A104,Seqs!$A:$B,2,FALSE),VLOOKUP($A104,'SegEnds_NonXtal_Prot#'!$A:$AL,28,FALSE),1)</f>
        <v>L</v>
      </c>
    </row>
    <row r="105" spans="1:34" s="2" customFormat="1" ht="17" customHeight="1" x14ac:dyDescent="0.2">
      <c r="A105" s="2" t="s">
        <v>183</v>
      </c>
      <c r="B105" s="2" t="str">
        <f>LOWER(VLOOKUP(A105,Xtal_Templ!A:B,2,FALSE))</f>
        <v>cnr2_human</v>
      </c>
      <c r="C105" s="2" t="str">
        <f>VLOOKUP(A105,Classification!A:D,2,FALSE)</f>
        <v>A</v>
      </c>
      <c r="D105" s="2" t="str">
        <f>IF(ISERROR(MATCH(A105,'SegEnds_Xtal_Prot#'!B:B, 0)), "NoXtal", "Xtal")</f>
        <v>Xtal</v>
      </c>
      <c r="H105" s="4"/>
      <c r="T105" s="4" t="s">
        <v>12</v>
      </c>
      <c r="V105" s="28" t="str">
        <f>MID(VLOOKUP($A105,Seqs!$A:$B,2,FALSE),VLOOKUP($A105,'SegEnds_NonXtal_Prot#'!A:AL,10,FALSE),1)</f>
        <v>D</v>
      </c>
      <c r="W105" s="49" t="str">
        <f>MID(VLOOKUP($A105,Seqs!$A:$B,2,FALSE),VLOOKUP($A105,'SegEnds_NonXtal_Prot#'!A:AL,10,FALSE)+6,1)</f>
        <v>V</v>
      </c>
      <c r="X105" s="49" t="str">
        <f>MID(VLOOKUP($A105,Seqs!$A:$B,2,FALSE),VLOOKUP($A105,'SegEnds_NonXtal_Prot#'!A:AL,10,FALSE)+7,1)</f>
        <v>F</v>
      </c>
      <c r="Y105" s="49" t="str">
        <f>MID(VLOOKUP($A105,Seqs!$A:$B,2,FALSE),VLOOKUP($A105,'SegEnds_NonXtal_Prot#'!A:AL,10,FALSE)+8,1)</f>
        <v>A</v>
      </c>
      <c r="Z105" s="49" t="str">
        <f>MID(VLOOKUP($A105,Seqs!$A:$B,2,FALSE),VLOOKUP($A105,'SegEnds_NonXtal_Prot#'!A:AL,10,FALSE)+9,1)</f>
        <v>C</v>
      </c>
      <c r="AA105" s="49" t="str">
        <f>MID(VLOOKUP($A105,Seqs!$A:$B,2,FALSE),VLOOKUP($A105,'SegEnds_NonXtal_Prot#'!A:AL,10,FALSE)+10,1)</f>
        <v>S</v>
      </c>
      <c r="AB105" s="28" t="str">
        <f>MID(VLOOKUP($A105,Seqs!$A:$B,2,FALSE),VLOOKUP($A105,'SegEnds_NonXtal_Prot#'!$A:$AL,22,FALSE)+6,1)</f>
        <v>V</v>
      </c>
      <c r="AC105" s="49" t="str">
        <f>MID(VLOOKUP($A105,Seqs!$A:$B,2,FALSE),VLOOKUP($A105,'SegEnds_NonXtal_Prot#'!$A:$AL,22,FALSE)+7,1)</f>
        <v>S</v>
      </c>
      <c r="AD105" s="49" t="str">
        <f>MID(VLOOKUP($A105,Seqs!$A:$B,2,FALSE),VLOOKUP($A105,'SegEnds_NonXtal_Prot#'!$A:$AL,22,FALSE)+8,1)</f>
        <v>Y</v>
      </c>
      <c r="AE105" s="49" t="str">
        <f>MID(VLOOKUP($A105,Seqs!$A:$B,2,FALSE),VLOOKUP($A105,'SegEnds_NonXtal_Prot#'!$A:$AL,22,FALSE)+9,1)</f>
        <v>L</v>
      </c>
      <c r="AF105" s="49" t="str">
        <f>MID(VLOOKUP($A105,Seqs!$A:$B,2,FALSE),VLOOKUP($A105,'SegEnds_NonXtal_Prot#'!$A:$AL,22,FALSE)+10,1)</f>
        <v>P</v>
      </c>
      <c r="AG105" s="28" t="str">
        <f>MID(VLOOKUP($A105,Seqs!$A:$B,2,FALSE),VLOOKUP($A105,'SegEnds_NonXtal_Prot#'!$A:$AL,28,FALSE)-4,1)</f>
        <v>F</v>
      </c>
      <c r="AH105" s="49" t="str">
        <f>MID(VLOOKUP($A105,Seqs!$A:$B,2,FALSE),VLOOKUP($A105,'SegEnds_NonXtal_Prot#'!$A:$AL,28,FALSE),1)</f>
        <v>L</v>
      </c>
    </row>
    <row r="106" spans="1:34" s="2" customFormat="1" x14ac:dyDescent="0.2">
      <c r="A106" s="2" t="s">
        <v>166</v>
      </c>
      <c r="B106" s="2" t="str">
        <f>LOWER(VLOOKUP(A106,Xtal_Templ!A:B,2,FALSE))</f>
        <v>c5ar1_human</v>
      </c>
      <c r="C106" s="2" t="str">
        <f>VLOOKUP(A106,Classification!A:D,2,FALSE)</f>
        <v>A</v>
      </c>
      <c r="D106" s="2" t="str">
        <f>IF(ISERROR(MATCH(A106,'SegEnds_Xtal_Prot#'!B:B, 0)), "NoXtal", "Xtal")</f>
        <v>NoXtal</v>
      </c>
      <c r="H106" s="4"/>
      <c r="N106" s="2" t="s">
        <v>14</v>
      </c>
      <c r="R106" s="2" t="s">
        <v>9</v>
      </c>
      <c r="T106" s="4" t="s">
        <v>12</v>
      </c>
      <c r="V106" s="28" t="str">
        <f>MID(VLOOKUP($A106,Seqs!$A:$B,2,FALSE),VLOOKUP($A106,'SegEnds_NonXtal_Prot#'!A:AL,10,FALSE),1)</f>
        <v>D</v>
      </c>
      <c r="W106" s="49" t="str">
        <f>MID(VLOOKUP($A106,Seqs!$A:$B,2,FALSE),VLOOKUP($A106,'SegEnds_NonXtal_Prot#'!A:AL,10,FALSE)+6,1)</f>
        <v>S</v>
      </c>
      <c r="X106" s="49" t="str">
        <f>MID(VLOOKUP($A106,Seqs!$A:$B,2,FALSE),VLOOKUP($A106,'SegEnds_NonXtal_Prot#'!A:AL,10,FALSE)+7,1)</f>
        <v>L</v>
      </c>
      <c r="Y106" s="49" t="str">
        <f>MID(VLOOKUP($A106,Seqs!$A:$B,2,FALSE),VLOOKUP($A106,'SegEnds_NonXtal_Prot#'!A:AL,10,FALSE)+8,1)</f>
        <v>P</v>
      </c>
      <c r="Z106" s="49" t="str">
        <f>MID(VLOOKUP($A106,Seqs!$A:$B,2,FALSE),VLOOKUP($A106,'SegEnds_NonXtal_Prot#'!A:AL,10,FALSE)+9,1)</f>
        <v>I</v>
      </c>
      <c r="AA106" s="49" t="str">
        <f>MID(VLOOKUP($A106,Seqs!$A:$B,2,FALSE),VLOOKUP($A106,'SegEnds_NonXtal_Prot#'!A:AL,10,FALSE)+10,1)</f>
        <v>L</v>
      </c>
      <c r="AB106" s="28" t="str">
        <f>MID(VLOOKUP($A106,Seqs!$A:$B,2,FALSE),VLOOKUP($A106,'SegEnds_NonXtal_Prot#'!$A:$AL,22,FALSE)+6,1)</f>
        <v>L</v>
      </c>
      <c r="AC106" s="49" t="str">
        <f>MID(VLOOKUP($A106,Seqs!$A:$B,2,FALSE),VLOOKUP($A106,'SegEnds_NonXtal_Prot#'!$A:$AL,22,FALSE)+7,1)</f>
        <v>T</v>
      </c>
      <c r="AD106" s="49" t="str">
        <f>MID(VLOOKUP($A106,Seqs!$A:$B,2,FALSE),VLOOKUP($A106,'SegEnds_NonXtal_Prot#'!$A:$AL,22,FALSE)+8,1)</f>
        <v>V</v>
      </c>
      <c r="AE106" s="49" t="str">
        <f>MID(VLOOKUP($A106,Seqs!$A:$B,2,FALSE),VLOOKUP($A106,'SegEnds_NonXtal_Prot#'!$A:$AL,22,FALSE)+9,1)</f>
        <v>P</v>
      </c>
      <c r="AF106" s="49" t="str">
        <f>MID(VLOOKUP($A106,Seqs!$A:$B,2,FALSE),VLOOKUP($A106,'SegEnds_NonXtal_Prot#'!$A:$AL,22,FALSE)+10,1)</f>
        <v>S</v>
      </c>
      <c r="AG106" s="28" t="str">
        <f>MID(VLOOKUP($A106,Seqs!$A:$B,2,FALSE),VLOOKUP($A106,'SegEnds_NonXtal_Prot#'!$A:$AL,28,FALSE)-4,1)</f>
        <v>G</v>
      </c>
      <c r="AH106" s="49" t="str">
        <f>MID(VLOOKUP($A106,Seqs!$A:$B,2,FALSE),VLOOKUP($A106,'SegEnds_NonXtal_Prot#'!$A:$AL,28,FALSE),1)</f>
        <v>P</v>
      </c>
    </row>
    <row r="107" spans="1:34" s="2" customFormat="1" x14ac:dyDescent="0.2">
      <c r="A107" s="2" t="s">
        <v>187</v>
      </c>
      <c r="B107" s="2" t="str">
        <f>LOWER(VLOOKUP(A107,Xtal_Templ!A:B,2,FALSE))</f>
        <v>ccr7_human</v>
      </c>
      <c r="C107" s="2" t="str">
        <f>VLOOKUP(A107,Classification!A:D,2,FALSE)</f>
        <v>A</v>
      </c>
      <c r="D107" s="2" t="str">
        <f>IF(ISERROR(MATCH(A107,'SegEnds_Xtal_Prot#'!B:B, 0)), "NoXtal", "Xtal")</f>
        <v>NoXtal</v>
      </c>
      <c r="H107" s="4"/>
      <c r="N107" s="2" t="s">
        <v>14</v>
      </c>
      <c r="R107" s="2" t="s">
        <v>9</v>
      </c>
      <c r="T107" s="4" t="s">
        <v>12</v>
      </c>
      <c r="V107" s="28" t="str">
        <f>MID(VLOOKUP($A107,Seqs!$A:$B,2,FALSE),VLOOKUP($A107,'SegEnds_NonXtal_Prot#'!A:AL,10,FALSE),1)</f>
        <v>D</v>
      </c>
      <c r="W107" s="49" t="str">
        <f>MID(VLOOKUP($A107,Seqs!$A:$B,2,FALSE),VLOOKUP($A107,'SegEnds_NonXtal_Prot#'!A:AL,10,FALSE)+6,1)</f>
        <v>T</v>
      </c>
      <c r="X107" s="49" t="str">
        <f>MID(VLOOKUP($A107,Seqs!$A:$B,2,FALSE),VLOOKUP($A107,'SegEnds_NonXtal_Prot#'!A:AL,10,FALSE)+7,1)</f>
        <v>L</v>
      </c>
      <c r="Y107" s="49" t="str">
        <f>MID(VLOOKUP($A107,Seqs!$A:$B,2,FALSE),VLOOKUP($A107,'SegEnds_NonXtal_Prot#'!A:AL,10,FALSE)+8,1)</f>
        <v>P</v>
      </c>
      <c r="Z107" s="49" t="str">
        <f>MID(VLOOKUP($A107,Seqs!$A:$B,2,FALSE),VLOOKUP($A107,'SegEnds_NonXtal_Prot#'!A:AL,10,FALSE)+9,1)</f>
        <v>L</v>
      </c>
      <c r="AA107" s="49" t="str">
        <f>MID(VLOOKUP($A107,Seqs!$A:$B,2,FALSE),VLOOKUP($A107,'SegEnds_NonXtal_Prot#'!A:AL,10,FALSE)+10,1)</f>
        <v>W</v>
      </c>
      <c r="AB107" s="28" t="str">
        <f>MID(VLOOKUP($A107,Seqs!$A:$B,2,FALSE),VLOOKUP($A107,'SegEnds_NonXtal_Prot#'!$A:$AL,22,FALSE)+6,1)</f>
        <v>F</v>
      </c>
      <c r="AC107" s="49" t="str">
        <f>MID(VLOOKUP($A107,Seqs!$A:$B,2,FALSE),VLOOKUP($A107,'SegEnds_NonXtal_Prot#'!$A:$AL,22,FALSE)+7,1)</f>
        <v>A</v>
      </c>
      <c r="AD107" s="49" t="str">
        <f>MID(VLOOKUP($A107,Seqs!$A:$B,2,FALSE),VLOOKUP($A107,'SegEnds_NonXtal_Prot#'!$A:$AL,22,FALSE)+8,1)</f>
        <v>L</v>
      </c>
      <c r="AE107" s="49" t="str">
        <f>MID(VLOOKUP($A107,Seqs!$A:$B,2,FALSE),VLOOKUP($A107,'SegEnds_NonXtal_Prot#'!$A:$AL,22,FALSE)+9,1)</f>
        <v>P</v>
      </c>
      <c r="AF107" s="49" t="str">
        <f>MID(VLOOKUP($A107,Seqs!$A:$B,2,FALSE),VLOOKUP($A107,'SegEnds_NonXtal_Prot#'!$A:$AL,22,FALSE)+10,1)</f>
        <v>D</v>
      </c>
      <c r="AG107" s="28" t="str">
        <f>MID(VLOOKUP($A107,Seqs!$A:$B,2,FALSE),VLOOKUP($A107,'SegEnds_NonXtal_Prot#'!$A:$AL,28,FALSE)-4,1)</f>
        <v>G</v>
      </c>
      <c r="AH107" s="49" t="str">
        <f>MID(VLOOKUP($A107,Seqs!$A:$B,2,FALSE),VLOOKUP($A107,'SegEnds_NonXtal_Prot#'!$A:$AL,28,FALSE),1)</f>
        <v>P</v>
      </c>
    </row>
    <row r="108" spans="1:34" s="2" customFormat="1" x14ac:dyDescent="0.2">
      <c r="A108" s="2" t="s">
        <v>1165</v>
      </c>
      <c r="B108" s="2" t="str">
        <f>LOWER(VLOOKUP(A108,Xtal_Templ!A:B,2,FALSE))</f>
        <v>cxcr4_human</v>
      </c>
      <c r="C108" s="2" t="str">
        <f>VLOOKUP(A108,Classification!A:D,2,FALSE)</f>
        <v>A</v>
      </c>
      <c r="D108" s="2" t="str">
        <f>IF(ISERROR(MATCH(A108,'SegEnds_Xtal_Prot#'!B:B, 0)), "NoXtal", "Xtal")</f>
        <v>Xtal</v>
      </c>
      <c r="H108" s="4"/>
      <c r="N108" s="2" t="s">
        <v>14</v>
      </c>
      <c r="R108" s="2" t="s">
        <v>9</v>
      </c>
      <c r="T108" s="4" t="s">
        <v>12</v>
      </c>
      <c r="V108" s="28" t="str">
        <f>MID(VLOOKUP($A108,Seqs!$A:$B,2,FALSE),VLOOKUP($A108,'SegEnds_NonXtal_Prot#'!A:AL,10,FALSE),1)</f>
        <v>D</v>
      </c>
      <c r="W108" s="49" t="str">
        <f>MID(VLOOKUP($A108,Seqs!$A:$B,2,FALSE),VLOOKUP($A108,'SegEnds_NonXtal_Prot#'!A:AL,10,FALSE)+6,1)</f>
        <v>T</v>
      </c>
      <c r="X108" s="49" t="str">
        <f>MID(VLOOKUP($A108,Seqs!$A:$B,2,FALSE),VLOOKUP($A108,'SegEnds_NonXtal_Prot#'!A:AL,10,FALSE)+7,1)</f>
        <v>L</v>
      </c>
      <c r="Y108" s="49" t="str">
        <f>MID(VLOOKUP($A108,Seqs!$A:$B,2,FALSE),VLOOKUP($A108,'SegEnds_NonXtal_Prot#'!A:AL,10,FALSE)+8,1)</f>
        <v>P</v>
      </c>
      <c r="Z108" s="49" t="str">
        <f>MID(VLOOKUP($A108,Seqs!$A:$B,2,FALSE),VLOOKUP($A108,'SegEnds_NonXtal_Prot#'!A:AL,10,FALSE)+9,1)</f>
        <v>F</v>
      </c>
      <c r="AA108" s="49" t="str">
        <f>MID(VLOOKUP($A108,Seqs!$A:$B,2,FALSE),VLOOKUP($A108,'SegEnds_NonXtal_Prot#'!A:AL,10,FALSE)+10,1)</f>
        <v>W</v>
      </c>
      <c r="AB108" s="28" t="str">
        <f>MID(VLOOKUP($A108,Seqs!$A:$B,2,FALSE),VLOOKUP($A108,'SegEnds_NonXtal_Prot#'!$A:$AL,22,FALSE)+6,1)</f>
        <v>L</v>
      </c>
      <c r="AC108" s="49" t="str">
        <f>MID(VLOOKUP($A108,Seqs!$A:$B,2,FALSE),VLOOKUP($A108,'SegEnds_NonXtal_Prot#'!$A:$AL,22,FALSE)+7,1)</f>
        <v>T</v>
      </c>
      <c r="AD108" s="49" t="str">
        <f>MID(VLOOKUP($A108,Seqs!$A:$B,2,FALSE),VLOOKUP($A108,'SegEnds_NonXtal_Prot#'!$A:$AL,22,FALSE)+8,1)</f>
        <v>I</v>
      </c>
      <c r="AE108" s="49" t="str">
        <f>MID(VLOOKUP($A108,Seqs!$A:$B,2,FALSE),VLOOKUP($A108,'SegEnds_NonXtal_Prot#'!$A:$AL,22,FALSE)+9,1)</f>
        <v>P</v>
      </c>
      <c r="AF108" s="49" t="str">
        <f>MID(VLOOKUP($A108,Seqs!$A:$B,2,FALSE),VLOOKUP($A108,'SegEnds_NonXtal_Prot#'!$A:$AL,22,FALSE)+10,1)</f>
        <v>D</v>
      </c>
      <c r="AG108" s="28" t="str">
        <f>MID(VLOOKUP($A108,Seqs!$A:$B,2,FALSE),VLOOKUP($A108,'SegEnds_NonXtal_Prot#'!$A:$AL,28,FALSE)-4,1)</f>
        <v>G</v>
      </c>
      <c r="AH108" s="49" t="str">
        <f>MID(VLOOKUP($A108,Seqs!$A:$B,2,FALSE),VLOOKUP($A108,'SegEnds_NonXtal_Prot#'!$A:$AL,28,FALSE),1)</f>
        <v>P</v>
      </c>
    </row>
    <row r="109" spans="1:34" s="2" customFormat="1" x14ac:dyDescent="0.2">
      <c r="A109" s="2" t="s">
        <v>188</v>
      </c>
      <c r="B109" s="2" t="str">
        <f>LOWER(VLOOKUP(A109,Xtal_Templ!A:B,2,FALSE))</f>
        <v>ccr7_human</v>
      </c>
      <c r="C109" s="2" t="str">
        <f>VLOOKUP(A109,Classification!A:D,2,FALSE)</f>
        <v>A</v>
      </c>
      <c r="D109" s="2" t="str">
        <f>IF(ISERROR(MATCH(A109,'SegEnds_Xtal_Prot#'!B:B, 0)), "NoXtal", "Xtal")</f>
        <v>NoXtal</v>
      </c>
      <c r="H109" s="4"/>
      <c r="N109" s="2" t="s">
        <v>14</v>
      </c>
      <c r="R109" s="2" t="s">
        <v>9</v>
      </c>
      <c r="T109" s="4" t="s">
        <v>12</v>
      </c>
      <c r="V109" s="28" t="str">
        <f>MID(VLOOKUP($A109,Seqs!$A:$B,2,FALSE),VLOOKUP($A109,'SegEnds_NonXtal_Prot#'!A:AL,10,FALSE),1)</f>
        <v>D</v>
      </c>
      <c r="W109" s="49" t="str">
        <f>MID(VLOOKUP($A109,Seqs!$A:$B,2,FALSE),VLOOKUP($A109,'SegEnds_NonXtal_Prot#'!A:AL,10,FALSE)+6,1)</f>
        <v>I</v>
      </c>
      <c r="X109" s="49" t="str">
        <f>MID(VLOOKUP($A109,Seqs!$A:$B,2,FALSE),VLOOKUP($A109,'SegEnds_NonXtal_Prot#'!A:AL,10,FALSE)+7,1)</f>
        <v>L</v>
      </c>
      <c r="Y109" s="49" t="str">
        <f>MID(VLOOKUP($A109,Seqs!$A:$B,2,FALSE),VLOOKUP($A109,'SegEnds_NonXtal_Prot#'!A:AL,10,FALSE)+8,1)</f>
        <v>P</v>
      </c>
      <c r="Z109" s="49" t="str">
        <f>MID(VLOOKUP($A109,Seqs!$A:$B,2,FALSE),VLOOKUP($A109,'SegEnds_NonXtal_Prot#'!A:AL,10,FALSE)+9,1)</f>
        <v>F</v>
      </c>
      <c r="AA109" s="49" t="str">
        <f>MID(VLOOKUP($A109,Seqs!$A:$B,2,FALSE),VLOOKUP($A109,'SegEnds_NonXtal_Prot#'!A:AL,10,FALSE)+10,1)</f>
        <v>A</v>
      </c>
      <c r="AB109" s="28" t="str">
        <f>MID(VLOOKUP($A109,Seqs!$A:$B,2,FALSE),VLOOKUP($A109,'SegEnds_NonXtal_Prot#'!$A:$AL,22,FALSE)+6,1)</f>
        <v>L</v>
      </c>
      <c r="AC109" s="49" t="str">
        <f>MID(VLOOKUP($A109,Seqs!$A:$B,2,FALSE),VLOOKUP($A109,'SegEnds_NonXtal_Prot#'!$A:$AL,22,FALSE)+7,1)</f>
        <v>A</v>
      </c>
      <c r="AD109" s="49" t="str">
        <f>MID(VLOOKUP($A109,Seqs!$A:$B,2,FALSE),VLOOKUP($A109,'SegEnds_NonXtal_Prot#'!$A:$AL,22,FALSE)+8,1)</f>
        <v>L</v>
      </c>
      <c r="AE109" s="49" t="str">
        <f>MID(VLOOKUP($A109,Seqs!$A:$B,2,FALSE),VLOOKUP($A109,'SegEnds_NonXtal_Prot#'!$A:$AL,22,FALSE)+9,1)</f>
        <v>P</v>
      </c>
      <c r="AF109" s="49" t="str">
        <f>MID(VLOOKUP($A109,Seqs!$A:$B,2,FALSE),VLOOKUP($A109,'SegEnds_NonXtal_Prot#'!$A:$AL,22,FALSE)+10,1)</f>
        <v>E</v>
      </c>
      <c r="AG109" s="28" t="str">
        <f>MID(VLOOKUP($A109,Seqs!$A:$B,2,FALSE),VLOOKUP($A109,'SegEnds_NonXtal_Prot#'!$A:$AL,28,FALSE)-4,1)</f>
        <v>G</v>
      </c>
      <c r="AH109" s="49" t="str">
        <f>MID(VLOOKUP($A109,Seqs!$A:$B,2,FALSE),VLOOKUP($A109,'SegEnds_NonXtal_Prot#'!$A:$AL,28,FALSE),1)</f>
        <v>P</v>
      </c>
    </row>
    <row r="110" spans="1:34" s="2" customFormat="1" x14ac:dyDescent="0.2">
      <c r="A110" s="2" t="s">
        <v>200</v>
      </c>
      <c r="B110" s="2" t="str">
        <f>LOWER(VLOOKUP(A110,Xtal_Templ!A:B,2,FALSE))</f>
        <v>fpr2_human</v>
      </c>
      <c r="C110" s="2" t="str">
        <f>VLOOKUP(A110,Classification!A:D,2,FALSE)</f>
        <v>A</v>
      </c>
      <c r="D110" s="2" t="str">
        <f>IF(ISERROR(MATCH(A110,'SegEnds_Xtal_Prot#'!B:B, 0)), "NoXtal", "Xtal")</f>
        <v>NoXtal</v>
      </c>
      <c r="H110" s="4"/>
      <c r="N110" s="2" t="s">
        <v>14</v>
      </c>
      <c r="R110" s="2" t="s">
        <v>9</v>
      </c>
      <c r="T110" s="4" t="s">
        <v>12</v>
      </c>
      <c r="V110" s="28" t="str">
        <f>MID(VLOOKUP($A110,Seqs!$A:$B,2,FALSE),VLOOKUP($A110,'SegEnds_NonXtal_Prot#'!A:AL,10,FALSE),1)</f>
        <v>D</v>
      </c>
      <c r="W110" s="49" t="str">
        <f>MID(VLOOKUP($A110,Seqs!$A:$B,2,FALSE),VLOOKUP($A110,'SegEnds_NonXtal_Prot#'!A:AL,10,FALSE)+6,1)</f>
        <v>T</v>
      </c>
      <c r="X110" s="49" t="str">
        <f>MID(VLOOKUP($A110,Seqs!$A:$B,2,FALSE),VLOOKUP($A110,'SegEnds_NonXtal_Prot#'!A:AL,10,FALSE)+7,1)</f>
        <v>L</v>
      </c>
      <c r="Y110" s="49" t="str">
        <f>MID(VLOOKUP($A110,Seqs!$A:$B,2,FALSE),VLOOKUP($A110,'SegEnds_NonXtal_Prot#'!A:AL,10,FALSE)+8,1)</f>
        <v>P</v>
      </c>
      <c r="Z110" s="49" t="str">
        <f>MID(VLOOKUP($A110,Seqs!$A:$B,2,FALSE),VLOOKUP($A110,'SegEnds_NonXtal_Prot#'!A:AL,10,FALSE)+9,1)</f>
        <v>F</v>
      </c>
      <c r="AA110" s="49" t="str">
        <f>MID(VLOOKUP($A110,Seqs!$A:$B,2,FALSE),VLOOKUP($A110,'SegEnds_NonXtal_Prot#'!A:AL,10,FALSE)+10,1)</f>
        <v>F</v>
      </c>
      <c r="AB110" s="28" t="str">
        <f>MID(VLOOKUP($A110,Seqs!$A:$B,2,FALSE),VLOOKUP($A110,'SegEnds_NonXtal_Prot#'!$A:$AL,22,FALSE)+6,1)</f>
        <v>L</v>
      </c>
      <c r="AC110" s="49" t="str">
        <f>MID(VLOOKUP($A110,Seqs!$A:$B,2,FALSE),VLOOKUP($A110,'SegEnds_NonXtal_Prot#'!$A:$AL,22,FALSE)+7,1)</f>
        <v>T</v>
      </c>
      <c r="AD110" s="49" t="str">
        <f>MID(VLOOKUP($A110,Seqs!$A:$B,2,FALSE),VLOOKUP($A110,'SegEnds_NonXtal_Prot#'!$A:$AL,22,FALSE)+8,1)</f>
        <v>L</v>
      </c>
      <c r="AE110" s="49" t="str">
        <f>MID(VLOOKUP($A110,Seqs!$A:$B,2,FALSE),VLOOKUP($A110,'SegEnds_NonXtal_Prot#'!$A:$AL,22,FALSE)+9,1)</f>
        <v>P</v>
      </c>
      <c r="AF110" s="49" t="str">
        <f>MID(VLOOKUP($A110,Seqs!$A:$B,2,FALSE),VLOOKUP($A110,'SegEnds_NonXtal_Prot#'!$A:$AL,22,FALSE)+10,1)</f>
        <v>V</v>
      </c>
      <c r="AG110" s="28" t="str">
        <f>MID(VLOOKUP($A110,Seqs!$A:$B,2,FALSE),VLOOKUP($A110,'SegEnds_NonXtal_Prot#'!$A:$AL,28,FALSE)-4,1)</f>
        <v>G</v>
      </c>
      <c r="AH110" s="49" t="str">
        <f>MID(VLOOKUP($A110,Seqs!$A:$B,2,FALSE),VLOOKUP($A110,'SegEnds_NonXtal_Prot#'!$A:$AL,28,FALSE),1)</f>
        <v>P</v>
      </c>
    </row>
    <row r="111" spans="1:34" s="2" customFormat="1" x14ac:dyDescent="0.2">
      <c r="A111" s="2" t="s">
        <v>201</v>
      </c>
      <c r="B111" s="2" t="str">
        <f>LOWER(VLOOKUP(A111,Xtal_Templ!A:B,2,FALSE))</f>
        <v>fpr2_human</v>
      </c>
      <c r="C111" s="2" t="str">
        <f>VLOOKUP(A111,Classification!A:D,2,FALSE)</f>
        <v>A</v>
      </c>
      <c r="D111" s="2" t="str">
        <f>IF(ISERROR(MATCH(A111,'SegEnds_Xtal_Prot#'!B:B, 0)), "NoXtal", "Xtal")</f>
        <v>Xtal</v>
      </c>
      <c r="H111" s="4"/>
      <c r="N111" s="2" t="s">
        <v>14</v>
      </c>
      <c r="R111" s="2" t="s">
        <v>9</v>
      </c>
      <c r="T111" s="4" t="s">
        <v>12</v>
      </c>
      <c r="V111" s="28" t="str">
        <f>MID(VLOOKUP($A111,Seqs!$A:$B,2,FALSE),VLOOKUP($A111,'SegEnds_NonXtal_Prot#'!A:AL,10,FALSE),1)</f>
        <v>D</v>
      </c>
      <c r="W111" s="49" t="str">
        <f>MID(VLOOKUP($A111,Seqs!$A:$B,2,FALSE),VLOOKUP($A111,'SegEnds_NonXtal_Prot#'!A:AL,10,FALSE)+6,1)</f>
        <v>T</v>
      </c>
      <c r="X111" s="49" t="str">
        <f>MID(VLOOKUP($A111,Seqs!$A:$B,2,FALSE),VLOOKUP($A111,'SegEnds_NonXtal_Prot#'!A:AL,10,FALSE)+7,1)</f>
        <v>L</v>
      </c>
      <c r="Y111" s="49" t="str">
        <f>MID(VLOOKUP($A111,Seqs!$A:$B,2,FALSE),VLOOKUP($A111,'SegEnds_NonXtal_Prot#'!A:AL,10,FALSE)+8,1)</f>
        <v>P</v>
      </c>
      <c r="Z111" s="49" t="str">
        <f>MID(VLOOKUP($A111,Seqs!$A:$B,2,FALSE),VLOOKUP($A111,'SegEnds_NonXtal_Prot#'!A:AL,10,FALSE)+9,1)</f>
        <v>F</v>
      </c>
      <c r="AA111" s="49" t="str">
        <f>MID(VLOOKUP($A111,Seqs!$A:$B,2,FALSE),VLOOKUP($A111,'SegEnds_NonXtal_Prot#'!A:AL,10,FALSE)+10,1)</f>
        <v>L</v>
      </c>
      <c r="AB111" s="28" t="str">
        <f>MID(VLOOKUP($A111,Seqs!$A:$B,2,FALSE),VLOOKUP($A111,'SegEnds_NonXtal_Prot#'!$A:$AL,22,FALSE)+6,1)</f>
        <v>L</v>
      </c>
      <c r="AC111" s="49" t="str">
        <f>MID(VLOOKUP($A111,Seqs!$A:$B,2,FALSE),VLOOKUP($A111,'SegEnds_NonXtal_Prot#'!$A:$AL,22,FALSE)+7,1)</f>
        <v>T</v>
      </c>
      <c r="AD111" s="49" t="str">
        <f>MID(VLOOKUP($A111,Seqs!$A:$B,2,FALSE),VLOOKUP($A111,'SegEnds_NonXtal_Prot#'!$A:$AL,22,FALSE)+8,1)</f>
        <v>L</v>
      </c>
      <c r="AE111" s="49" t="str">
        <f>MID(VLOOKUP($A111,Seqs!$A:$B,2,FALSE),VLOOKUP($A111,'SegEnds_NonXtal_Prot#'!$A:$AL,22,FALSE)+9,1)</f>
        <v>P</v>
      </c>
      <c r="AF111" s="49" t="str">
        <f>MID(VLOOKUP($A111,Seqs!$A:$B,2,FALSE),VLOOKUP($A111,'SegEnds_NonXtal_Prot#'!$A:$AL,22,FALSE)+10,1)</f>
        <v>V</v>
      </c>
      <c r="AG111" s="28" t="str">
        <f>MID(VLOOKUP($A111,Seqs!$A:$B,2,FALSE),VLOOKUP($A111,'SegEnds_NonXtal_Prot#'!$A:$AL,28,FALSE)-4,1)</f>
        <v>G</v>
      </c>
      <c r="AH111" s="49" t="str">
        <f>MID(VLOOKUP($A111,Seqs!$A:$B,2,FALSE),VLOOKUP($A111,'SegEnds_NonXtal_Prot#'!$A:$AL,28,FALSE),1)</f>
        <v>P</v>
      </c>
    </row>
    <row r="112" spans="1:34" s="2" customFormat="1" x14ac:dyDescent="0.2">
      <c r="A112" s="2" t="s">
        <v>202</v>
      </c>
      <c r="B112" s="2" t="str">
        <f>LOWER(VLOOKUP(A112,Xtal_Templ!A:B,2,FALSE))</f>
        <v>fpr2_human</v>
      </c>
      <c r="C112" s="2" t="str">
        <f>VLOOKUP(A112,Classification!A:D,2,FALSE)</f>
        <v>A</v>
      </c>
      <c r="D112" s="2" t="str">
        <f>IF(ISERROR(MATCH(A112,'SegEnds_Xtal_Prot#'!B:B, 0)), "NoXtal", "Xtal")</f>
        <v>NoXtal</v>
      </c>
      <c r="H112" s="4"/>
      <c r="N112" s="2" t="s">
        <v>14</v>
      </c>
      <c r="R112" s="2" t="s">
        <v>9</v>
      </c>
      <c r="T112" s="4" t="s">
        <v>12</v>
      </c>
      <c r="V112" s="28" t="str">
        <f>MID(VLOOKUP($A112,Seqs!$A:$B,2,FALSE),VLOOKUP($A112,'SegEnds_NonXtal_Prot#'!A:AL,10,FALSE),1)</f>
        <v>D</v>
      </c>
      <c r="W112" s="49" t="str">
        <f>MID(VLOOKUP($A112,Seqs!$A:$B,2,FALSE),VLOOKUP($A112,'SegEnds_NonXtal_Prot#'!A:AL,10,FALSE)+6,1)</f>
        <v>I</v>
      </c>
      <c r="X112" s="49" t="str">
        <f>MID(VLOOKUP($A112,Seqs!$A:$B,2,FALSE),VLOOKUP($A112,'SegEnds_NonXtal_Prot#'!A:AL,10,FALSE)+7,1)</f>
        <v>L</v>
      </c>
      <c r="Y112" s="49" t="str">
        <f>MID(VLOOKUP($A112,Seqs!$A:$B,2,FALSE),VLOOKUP($A112,'SegEnds_NonXtal_Prot#'!A:AL,10,FALSE)+8,1)</f>
        <v>P</v>
      </c>
      <c r="Z112" s="49" t="str">
        <f>MID(VLOOKUP($A112,Seqs!$A:$B,2,FALSE),VLOOKUP($A112,'SegEnds_NonXtal_Prot#'!A:AL,10,FALSE)+9,1)</f>
        <v>F</v>
      </c>
      <c r="AA112" s="49" t="str">
        <f>MID(VLOOKUP($A112,Seqs!$A:$B,2,FALSE),VLOOKUP($A112,'SegEnds_NonXtal_Prot#'!A:AL,10,FALSE)+10,1)</f>
        <v>R</v>
      </c>
      <c r="AB112" s="28" t="str">
        <f>MID(VLOOKUP($A112,Seqs!$A:$B,2,FALSE),VLOOKUP($A112,'SegEnds_NonXtal_Prot#'!$A:$AL,22,FALSE)+6,1)</f>
        <v>L</v>
      </c>
      <c r="AC112" s="49" t="str">
        <f>MID(VLOOKUP($A112,Seqs!$A:$B,2,FALSE),VLOOKUP($A112,'SegEnds_NonXtal_Prot#'!$A:$AL,22,FALSE)+7,1)</f>
        <v>T</v>
      </c>
      <c r="AD112" s="49" t="str">
        <f>MID(VLOOKUP($A112,Seqs!$A:$B,2,FALSE),VLOOKUP($A112,'SegEnds_NonXtal_Prot#'!$A:$AL,22,FALSE)+8,1)</f>
        <v>L</v>
      </c>
      <c r="AE112" s="49" t="str">
        <f>MID(VLOOKUP($A112,Seqs!$A:$B,2,FALSE),VLOOKUP($A112,'SegEnds_NonXtal_Prot#'!$A:$AL,22,FALSE)+9,1)</f>
        <v>P</v>
      </c>
      <c r="AF112" s="49" t="str">
        <f>MID(VLOOKUP($A112,Seqs!$A:$B,2,FALSE),VLOOKUP($A112,'SegEnds_NonXtal_Prot#'!$A:$AL,22,FALSE)+10,1)</f>
        <v>N</v>
      </c>
      <c r="AG112" s="28" t="str">
        <f>MID(VLOOKUP($A112,Seqs!$A:$B,2,FALSE),VLOOKUP($A112,'SegEnds_NonXtal_Prot#'!$A:$AL,28,FALSE)-4,1)</f>
        <v>G</v>
      </c>
      <c r="AH112" s="49" t="str">
        <f>MID(VLOOKUP($A112,Seqs!$A:$B,2,FALSE),VLOOKUP($A112,'SegEnds_NonXtal_Prot#'!$A:$AL,28,FALSE),1)</f>
        <v>P</v>
      </c>
    </row>
    <row r="113" spans="1:34" s="2" customFormat="1" x14ac:dyDescent="0.2">
      <c r="A113" s="2" t="s">
        <v>292</v>
      </c>
      <c r="B113" s="2" t="str">
        <f>LOWER(VLOOKUP(A113,Xtal_Templ!A:B,2,FALSE))</f>
        <v>pd2r2_human</v>
      </c>
      <c r="C113" s="2" t="str">
        <f>VLOOKUP(A113,Classification!A:D,2,FALSE)</f>
        <v>A</v>
      </c>
      <c r="D113" s="2" t="str">
        <f>IF(ISERROR(MATCH(A113,'SegEnds_Xtal_Prot#'!B:B, 0)), "NoXtal", "Xtal")</f>
        <v>NoXtal</v>
      </c>
      <c r="H113" s="4"/>
      <c r="N113" s="2" t="s">
        <v>14</v>
      </c>
      <c r="R113" s="2" t="s">
        <v>9</v>
      </c>
      <c r="T113" s="4" t="s">
        <v>12</v>
      </c>
      <c r="V113" s="28" t="str">
        <f>MID(VLOOKUP($A113,Seqs!$A:$B,2,FALSE),VLOOKUP($A113,'SegEnds_NonXtal_Prot#'!A:AL,10,FALSE),1)</f>
        <v>D</v>
      </c>
      <c r="W113" s="49" t="str">
        <f>MID(VLOOKUP($A113,Seqs!$A:$B,2,FALSE),VLOOKUP($A113,'SegEnds_NonXtal_Prot#'!A:AL,10,FALSE)+6,1)</f>
        <v>L</v>
      </c>
      <c r="X113" s="49" t="str">
        <f>MID(VLOOKUP($A113,Seqs!$A:$B,2,FALSE),VLOOKUP($A113,'SegEnds_NonXtal_Prot#'!A:AL,10,FALSE)+7,1)</f>
        <v>T</v>
      </c>
      <c r="Y113" s="49" t="str">
        <f>MID(VLOOKUP($A113,Seqs!$A:$B,2,FALSE),VLOOKUP($A113,'SegEnds_NonXtal_Prot#'!A:AL,10,FALSE)+8,1)</f>
        <v>P</v>
      </c>
      <c r="Z113" s="49" t="str">
        <f>MID(VLOOKUP($A113,Seqs!$A:$B,2,FALSE),VLOOKUP($A113,'SegEnds_NonXtal_Prot#'!A:AL,10,FALSE)+9,1)</f>
        <v>L</v>
      </c>
      <c r="AA113" s="49" t="str">
        <f>MID(VLOOKUP($A113,Seqs!$A:$B,2,FALSE),VLOOKUP($A113,'SegEnds_NonXtal_Prot#'!A:AL,10,FALSE)+10,1)</f>
        <v>F</v>
      </c>
      <c r="AB113" s="28" t="str">
        <f>MID(VLOOKUP($A113,Seqs!$A:$B,2,FALSE),VLOOKUP($A113,'SegEnds_NonXtal_Prot#'!$A:$AL,22,FALSE)+6,1)</f>
        <v>L</v>
      </c>
      <c r="AC113" s="49" t="str">
        <f>MID(VLOOKUP($A113,Seqs!$A:$B,2,FALSE),VLOOKUP($A113,'SegEnds_NonXtal_Prot#'!$A:$AL,22,FALSE)+7,1)</f>
        <v>A</v>
      </c>
      <c r="AD113" s="49" t="str">
        <f>MID(VLOOKUP($A113,Seqs!$A:$B,2,FALSE),VLOOKUP($A113,'SegEnds_NonXtal_Prot#'!$A:$AL,22,FALSE)+8,1)</f>
        <v>V</v>
      </c>
      <c r="AE113" s="49" t="str">
        <f>MID(VLOOKUP($A113,Seqs!$A:$B,2,FALSE),VLOOKUP($A113,'SegEnds_NonXtal_Prot#'!$A:$AL,22,FALSE)+9,1)</f>
        <v>P</v>
      </c>
      <c r="AF113" s="49" t="str">
        <f>MID(VLOOKUP($A113,Seqs!$A:$B,2,FALSE),VLOOKUP($A113,'SegEnds_NonXtal_Prot#'!$A:$AL,22,FALSE)+10,1)</f>
        <v>A</v>
      </c>
      <c r="AG113" s="28" t="str">
        <f>MID(VLOOKUP($A113,Seqs!$A:$B,2,FALSE),VLOOKUP($A113,'SegEnds_NonXtal_Prot#'!$A:$AL,28,FALSE)-4,1)</f>
        <v>A</v>
      </c>
      <c r="AH113" s="49" t="str">
        <f>MID(VLOOKUP($A113,Seqs!$A:$B,2,FALSE),VLOOKUP($A113,'SegEnds_NonXtal_Prot#'!$A:$AL,28,FALSE),1)</f>
        <v>P</v>
      </c>
    </row>
    <row r="114" spans="1:34" s="2" customFormat="1" x14ac:dyDescent="0.2">
      <c r="A114" s="2" t="s">
        <v>156</v>
      </c>
      <c r="B114" s="2" t="str">
        <f>LOWER(VLOOKUP(A114,Xtal_Templ!A:B,2,FALSE))</f>
        <v>drd2_human</v>
      </c>
      <c r="C114" s="2" t="str">
        <f>VLOOKUP(A114,Classification!A:D,2,FALSE)</f>
        <v>A</v>
      </c>
      <c r="D114" s="2" t="str">
        <f>IF(ISERROR(MATCH(A114,'SegEnds_Xtal_Prot#'!B:B, 0)), "NoXtal", "Xtal")</f>
        <v>NoXtal</v>
      </c>
      <c r="G114" s="2" t="s">
        <v>5</v>
      </c>
      <c r="H114" s="4"/>
      <c r="R114" s="2" t="s">
        <v>9</v>
      </c>
      <c r="T114" s="4" t="s">
        <v>12</v>
      </c>
      <c r="V114" s="28" t="str">
        <f>MID(VLOOKUP($A114,Seqs!$A:$B,2,FALSE),VLOOKUP($A114,'SegEnds_NonXtal_Prot#'!A:AL,10,FALSE),1)</f>
        <v>D</v>
      </c>
      <c r="W114" s="49" t="str">
        <f>MID(VLOOKUP($A114,Seqs!$A:$B,2,FALSE),VLOOKUP($A114,'SegEnds_NonXtal_Prot#'!A:AL,10,FALSE)+6,1)</f>
        <v>L</v>
      </c>
      <c r="X114" s="49" t="str">
        <f>MID(VLOOKUP($A114,Seqs!$A:$B,2,FALSE),VLOOKUP($A114,'SegEnds_NonXtal_Prot#'!A:AL,10,FALSE)+7,1)</f>
        <v>I</v>
      </c>
      <c r="Y114" s="49" t="str">
        <f>MID(VLOOKUP($A114,Seqs!$A:$B,2,FALSE),VLOOKUP($A114,'SegEnds_NonXtal_Prot#'!A:AL,10,FALSE)+8,1)</f>
        <v>I</v>
      </c>
      <c r="Z114" s="49" t="str">
        <f>MID(VLOOKUP($A114,Seqs!$A:$B,2,FALSE),VLOOKUP($A114,'SegEnds_NonXtal_Prot#'!A:AL,10,FALSE)+9,1)</f>
        <v>P</v>
      </c>
      <c r="AA114" s="49" t="str">
        <f>MID(VLOOKUP($A114,Seqs!$A:$B,2,FALSE),VLOOKUP($A114,'SegEnds_NonXtal_Prot#'!A:AL,10,FALSE)+10,1)</f>
        <v>F</v>
      </c>
      <c r="AB114" s="28" t="str">
        <f>MID(VLOOKUP($A114,Seqs!$A:$B,2,FALSE),VLOOKUP($A114,'SegEnds_NonXtal_Prot#'!$A:$AL,22,FALSE)+6,1)</f>
        <v>I</v>
      </c>
      <c r="AC114" s="49" t="str">
        <f>MID(VLOOKUP($A114,Seqs!$A:$B,2,FALSE),VLOOKUP($A114,'SegEnds_NonXtal_Prot#'!$A:$AL,22,FALSE)+7,1)</f>
        <v>S</v>
      </c>
      <c r="AD114" s="49" t="str">
        <f>MID(VLOOKUP($A114,Seqs!$A:$B,2,FALSE),VLOOKUP($A114,'SegEnds_NonXtal_Prot#'!$A:$AL,22,FALSE)+8,1)</f>
        <v>L</v>
      </c>
      <c r="AE114" s="49" t="str">
        <f>MID(VLOOKUP($A114,Seqs!$A:$B,2,FALSE),VLOOKUP($A114,'SegEnds_NonXtal_Prot#'!$A:$AL,22,FALSE)+9,1)</f>
        <v>P</v>
      </c>
      <c r="AF114" s="49" t="str">
        <f>MID(VLOOKUP($A114,Seqs!$A:$B,2,FALSE),VLOOKUP($A114,'SegEnds_NonXtal_Prot#'!$A:$AL,22,FALSE)+10,1)</f>
        <v>P</v>
      </c>
      <c r="AG114" s="28" t="str">
        <f>MID(VLOOKUP($A114,Seqs!$A:$B,2,FALSE),VLOOKUP($A114,'SegEnds_NonXtal_Prot#'!$A:$AL,28,FALSE)-4,1)</f>
        <v>S</v>
      </c>
      <c r="AH114" s="49" t="str">
        <f>MID(VLOOKUP($A114,Seqs!$A:$B,2,FALSE),VLOOKUP($A114,'SegEnds_NonXtal_Prot#'!$A:$AL,28,FALSE),1)</f>
        <v>P</v>
      </c>
    </row>
    <row r="115" spans="1:34" s="2" customFormat="1" x14ac:dyDescent="0.2">
      <c r="A115" s="2" t="s">
        <v>191</v>
      </c>
      <c r="B115" s="2" t="str">
        <f>LOWER(VLOOKUP(A115,Xtal_Templ!A:B,2,FALSE))</f>
        <v>drd2_human</v>
      </c>
      <c r="C115" s="2" t="str">
        <f>VLOOKUP(A115,Classification!A:D,2,FALSE)</f>
        <v>A</v>
      </c>
      <c r="D115" s="2" t="str">
        <f>IF(ISERROR(MATCH(A115,'SegEnds_Xtal_Prot#'!B:B, 0)), "NoXtal", "Xtal")</f>
        <v>Xtal</v>
      </c>
      <c r="G115" s="2" t="s">
        <v>5</v>
      </c>
      <c r="H115" s="4"/>
      <c r="N115" s="2" t="s">
        <v>14</v>
      </c>
      <c r="R115" s="2" t="s">
        <v>9</v>
      </c>
      <c r="T115" s="4" t="s">
        <v>12</v>
      </c>
      <c r="V115" s="28" t="str">
        <f>MID(VLOOKUP($A115,Seqs!$A:$B,2,FALSE),VLOOKUP($A115,'SegEnds_NonXtal_Prot#'!A:AL,10,FALSE),1)</f>
        <v>D</v>
      </c>
      <c r="W115" s="49" t="str">
        <f>MID(VLOOKUP($A115,Seqs!$A:$B,2,FALSE),VLOOKUP($A115,'SegEnds_NonXtal_Prot#'!A:AL,10,FALSE)+6,1)</f>
        <v>L</v>
      </c>
      <c r="X115" s="49" t="str">
        <f>MID(VLOOKUP($A115,Seqs!$A:$B,2,FALSE),VLOOKUP($A115,'SegEnds_NonXtal_Prot#'!A:AL,10,FALSE)+7,1)</f>
        <v>V</v>
      </c>
      <c r="Y115" s="49" t="str">
        <f>MID(VLOOKUP($A115,Seqs!$A:$B,2,FALSE),VLOOKUP($A115,'SegEnds_NonXtal_Prot#'!A:AL,10,FALSE)+8,1)</f>
        <v>M</v>
      </c>
      <c r="Z115" s="49" t="str">
        <f>MID(VLOOKUP($A115,Seqs!$A:$B,2,FALSE),VLOOKUP($A115,'SegEnds_NonXtal_Prot#'!A:AL,10,FALSE)+9,1)</f>
        <v>P</v>
      </c>
      <c r="AA115" s="49" t="str">
        <f>MID(VLOOKUP($A115,Seqs!$A:$B,2,FALSE),VLOOKUP($A115,'SegEnds_NonXtal_Prot#'!A:AL,10,FALSE)+10,1)</f>
        <v>W</v>
      </c>
      <c r="AB115" s="28" t="str">
        <f>MID(VLOOKUP($A115,Seqs!$A:$B,2,FALSE),VLOOKUP($A115,'SegEnds_NonXtal_Prot#'!$A:$AL,22,FALSE)+6,1)</f>
        <v>I</v>
      </c>
      <c r="AC115" s="49" t="str">
        <f>MID(VLOOKUP($A115,Seqs!$A:$B,2,FALSE),VLOOKUP($A115,'SegEnds_NonXtal_Prot#'!$A:$AL,22,FALSE)+7,1)</f>
        <v>S</v>
      </c>
      <c r="AD115" s="49" t="str">
        <f>MID(VLOOKUP($A115,Seqs!$A:$B,2,FALSE),VLOOKUP($A115,'SegEnds_NonXtal_Prot#'!$A:$AL,22,FALSE)+8,1)</f>
        <v>C</v>
      </c>
      <c r="AE115" s="49" t="str">
        <f>MID(VLOOKUP($A115,Seqs!$A:$B,2,FALSE),VLOOKUP($A115,'SegEnds_NonXtal_Prot#'!$A:$AL,22,FALSE)+9,1)</f>
        <v>P</v>
      </c>
      <c r="AF115" s="49" t="str">
        <f>MID(VLOOKUP($A115,Seqs!$A:$B,2,FALSE),VLOOKUP($A115,'SegEnds_NonXtal_Prot#'!$A:$AL,22,FALSE)+10,1)</f>
        <v>L</v>
      </c>
      <c r="AG115" s="28" t="str">
        <f>MID(VLOOKUP($A115,Seqs!$A:$B,2,FALSE),VLOOKUP($A115,'SegEnds_NonXtal_Prot#'!$A:$AL,28,FALSE)-4,1)</f>
        <v>S</v>
      </c>
      <c r="AH115" s="49" t="str">
        <f>MID(VLOOKUP($A115,Seqs!$A:$B,2,FALSE),VLOOKUP($A115,'SegEnds_NonXtal_Prot#'!$A:$AL,28,FALSE),1)</f>
        <v>P</v>
      </c>
    </row>
    <row r="116" spans="1:34" s="2" customFormat="1" x14ac:dyDescent="0.2">
      <c r="A116" s="2" t="s">
        <v>192</v>
      </c>
      <c r="B116" s="2" t="str">
        <f>LOWER(VLOOKUP(A116,Xtal_Templ!A:B,2,FALSE))</f>
        <v>drd3_human</v>
      </c>
      <c r="C116" s="2" t="str">
        <f>VLOOKUP(A116,Classification!A:D,2,FALSE)</f>
        <v>A</v>
      </c>
      <c r="D116" s="2" t="str">
        <f>IF(ISERROR(MATCH(A116,'SegEnds_Xtal_Prot#'!B:B, 0)), "NoXtal", "Xtal")</f>
        <v>Xtal</v>
      </c>
      <c r="G116" s="2" t="s">
        <v>5</v>
      </c>
      <c r="H116" s="4"/>
      <c r="N116" s="2" t="s">
        <v>14</v>
      </c>
      <c r="R116" s="2" t="s">
        <v>9</v>
      </c>
      <c r="T116" s="4" t="s">
        <v>12</v>
      </c>
      <c r="V116" s="28" t="str">
        <f>MID(VLOOKUP($A116,Seqs!$A:$B,2,FALSE),VLOOKUP($A116,'SegEnds_NonXtal_Prot#'!A:AL,10,FALSE),1)</f>
        <v>D</v>
      </c>
      <c r="W116" s="49" t="str">
        <f>MID(VLOOKUP($A116,Seqs!$A:$B,2,FALSE),VLOOKUP($A116,'SegEnds_NonXtal_Prot#'!A:AL,10,FALSE)+6,1)</f>
        <v>L</v>
      </c>
      <c r="X116" s="49" t="str">
        <f>MID(VLOOKUP($A116,Seqs!$A:$B,2,FALSE),VLOOKUP($A116,'SegEnds_NonXtal_Prot#'!A:AL,10,FALSE)+7,1)</f>
        <v>V</v>
      </c>
      <c r="Y116" s="49" t="str">
        <f>MID(VLOOKUP($A116,Seqs!$A:$B,2,FALSE),VLOOKUP($A116,'SegEnds_NonXtal_Prot#'!A:AL,10,FALSE)+8,1)</f>
        <v>M</v>
      </c>
      <c r="Z116" s="49" t="str">
        <f>MID(VLOOKUP($A116,Seqs!$A:$B,2,FALSE),VLOOKUP($A116,'SegEnds_NonXtal_Prot#'!A:AL,10,FALSE)+9,1)</f>
        <v>P</v>
      </c>
      <c r="AA116" s="49" t="str">
        <f>MID(VLOOKUP($A116,Seqs!$A:$B,2,FALSE),VLOOKUP($A116,'SegEnds_NonXtal_Prot#'!A:AL,10,FALSE)+10,1)</f>
        <v>W</v>
      </c>
      <c r="AB116" s="28" t="str">
        <f>MID(VLOOKUP($A116,Seqs!$A:$B,2,FALSE),VLOOKUP($A116,'SegEnds_NonXtal_Prot#'!$A:$AL,22,FALSE)+6,1)</f>
        <v>V</v>
      </c>
      <c r="AC116" s="49" t="str">
        <f>MID(VLOOKUP($A116,Seqs!$A:$B,2,FALSE),VLOOKUP($A116,'SegEnds_NonXtal_Prot#'!$A:$AL,22,FALSE)+7,1)</f>
        <v>S</v>
      </c>
      <c r="AD116" s="49" t="str">
        <f>MID(VLOOKUP($A116,Seqs!$A:$B,2,FALSE),VLOOKUP($A116,'SegEnds_NonXtal_Prot#'!$A:$AL,22,FALSE)+8,1)</f>
        <v>C</v>
      </c>
      <c r="AE116" s="49" t="str">
        <f>MID(VLOOKUP($A116,Seqs!$A:$B,2,FALSE),VLOOKUP($A116,'SegEnds_NonXtal_Prot#'!$A:$AL,22,FALSE)+9,1)</f>
        <v>P</v>
      </c>
      <c r="AF116" s="49" t="str">
        <f>MID(VLOOKUP($A116,Seqs!$A:$B,2,FALSE),VLOOKUP($A116,'SegEnds_NonXtal_Prot#'!$A:$AL,22,FALSE)+10,1)</f>
        <v>L</v>
      </c>
      <c r="AG116" s="28" t="str">
        <f>MID(VLOOKUP($A116,Seqs!$A:$B,2,FALSE),VLOOKUP($A116,'SegEnds_NonXtal_Prot#'!$A:$AL,28,FALSE)-4,1)</f>
        <v>S</v>
      </c>
      <c r="AH116" s="49" t="str">
        <f>MID(VLOOKUP($A116,Seqs!$A:$B,2,FALSE),VLOOKUP($A116,'SegEnds_NonXtal_Prot#'!$A:$AL,28,FALSE),1)</f>
        <v>P</v>
      </c>
    </row>
    <row r="117" spans="1:34" s="2" customFormat="1" x14ac:dyDescent="0.2">
      <c r="A117" s="2" t="s">
        <v>193</v>
      </c>
      <c r="B117" s="2" t="str">
        <f>LOWER(VLOOKUP(A117,Xtal_Templ!A:B,2,FALSE))</f>
        <v>drd4_human</v>
      </c>
      <c r="C117" s="2" t="str">
        <f>VLOOKUP(A117,Classification!A:D,2,FALSE)</f>
        <v>A</v>
      </c>
      <c r="D117" s="2" t="str">
        <f>IF(ISERROR(MATCH(A117,'SegEnds_Xtal_Prot#'!B:B, 0)), "NoXtal", "Xtal")</f>
        <v>Xtal</v>
      </c>
      <c r="G117" s="2" t="s">
        <v>5</v>
      </c>
      <c r="H117" s="4"/>
      <c r="N117" s="2" t="s">
        <v>14</v>
      </c>
      <c r="R117" s="2" t="s">
        <v>9</v>
      </c>
      <c r="T117" s="4" t="s">
        <v>12</v>
      </c>
      <c r="V117" s="28" t="str">
        <f>MID(VLOOKUP($A117,Seqs!$A:$B,2,FALSE),VLOOKUP($A117,'SegEnds_NonXtal_Prot#'!A:AL,10,FALSE),1)</f>
        <v>D</v>
      </c>
      <c r="W117" s="49" t="str">
        <f>MID(VLOOKUP($A117,Seqs!$A:$B,2,FALSE),VLOOKUP($A117,'SegEnds_NonXtal_Prot#'!A:AL,10,FALSE)+6,1)</f>
        <v>L</v>
      </c>
      <c r="X117" s="49" t="str">
        <f>MID(VLOOKUP($A117,Seqs!$A:$B,2,FALSE),VLOOKUP($A117,'SegEnds_NonXtal_Prot#'!A:AL,10,FALSE)+7,1)</f>
        <v>V</v>
      </c>
      <c r="Y117" s="49" t="str">
        <f>MID(VLOOKUP($A117,Seqs!$A:$B,2,FALSE),VLOOKUP($A117,'SegEnds_NonXtal_Prot#'!A:AL,10,FALSE)+8,1)</f>
        <v>L</v>
      </c>
      <c r="Z117" s="49" t="str">
        <f>MID(VLOOKUP($A117,Seqs!$A:$B,2,FALSE),VLOOKUP($A117,'SegEnds_NonXtal_Prot#'!A:AL,10,FALSE)+9,1)</f>
        <v>P</v>
      </c>
      <c r="AA117" s="49" t="str">
        <f>MID(VLOOKUP($A117,Seqs!$A:$B,2,FALSE),VLOOKUP($A117,'SegEnds_NonXtal_Prot#'!A:AL,10,FALSE)+10,1)</f>
        <v>L</v>
      </c>
      <c r="AB117" s="28" t="str">
        <f>MID(VLOOKUP($A117,Seqs!$A:$B,2,FALSE),VLOOKUP($A117,'SegEnds_NonXtal_Prot#'!$A:$AL,22,FALSE)+6,1)</f>
        <v>V</v>
      </c>
      <c r="AC117" s="49" t="str">
        <f>MID(VLOOKUP($A117,Seqs!$A:$B,2,FALSE),VLOOKUP($A117,'SegEnds_NonXtal_Prot#'!$A:$AL,22,FALSE)+7,1)</f>
        <v>A</v>
      </c>
      <c r="AD117" s="49" t="str">
        <f>MID(VLOOKUP($A117,Seqs!$A:$B,2,FALSE),VLOOKUP($A117,'SegEnds_NonXtal_Prot#'!$A:$AL,22,FALSE)+8,1)</f>
        <v>A</v>
      </c>
      <c r="AE117" s="49" t="str">
        <f>MID(VLOOKUP($A117,Seqs!$A:$B,2,FALSE),VLOOKUP($A117,'SegEnds_NonXtal_Prot#'!$A:$AL,22,FALSE)+9,1)</f>
        <v>P</v>
      </c>
      <c r="AF117" s="49" t="str">
        <f>MID(VLOOKUP($A117,Seqs!$A:$B,2,FALSE),VLOOKUP($A117,'SegEnds_NonXtal_Prot#'!$A:$AL,22,FALSE)+10,1)</f>
        <v>V</v>
      </c>
      <c r="AG117" s="28" t="str">
        <f>MID(VLOOKUP($A117,Seqs!$A:$B,2,FALSE),VLOOKUP($A117,'SegEnds_NonXtal_Prot#'!$A:$AL,28,FALSE)-4,1)</f>
        <v>S</v>
      </c>
      <c r="AH117" s="49" t="str">
        <f>MID(VLOOKUP($A117,Seqs!$A:$B,2,FALSE),VLOOKUP($A117,'SegEnds_NonXtal_Prot#'!$A:$AL,28,FALSE),1)</f>
        <v>P</v>
      </c>
    </row>
    <row r="118" spans="1:34" s="2" customFormat="1" x14ac:dyDescent="0.2">
      <c r="A118" s="2" t="s">
        <v>262</v>
      </c>
      <c r="B118" s="2" t="str">
        <f>LOWER(VLOOKUP(A118,Xtal_Templ!A:B,2,FALSE))</f>
        <v>ox2r_human</v>
      </c>
      <c r="C118" s="2" t="str">
        <f>VLOOKUP(A118,Classification!A:D,2,FALSE)</f>
        <v>A</v>
      </c>
      <c r="D118" s="2" t="str">
        <f>IF(ISERROR(MATCH(A118,'SegEnds_Xtal_Prot#'!B:B, 0)), "NoXtal", "Xtal")</f>
        <v>NoXtal</v>
      </c>
      <c r="G118" s="2" t="s">
        <v>5</v>
      </c>
      <c r="H118" s="4"/>
      <c r="R118" s="2" t="s">
        <v>9</v>
      </c>
      <c r="T118" s="4" t="s">
        <v>12</v>
      </c>
      <c r="V118" s="28" t="str">
        <f>MID(VLOOKUP($A118,Seqs!$A:$B,2,FALSE),VLOOKUP($A118,'SegEnds_NonXtal_Prot#'!A:AL,10,FALSE),1)</f>
        <v>D</v>
      </c>
      <c r="W118" s="49" t="str">
        <f>MID(VLOOKUP($A118,Seqs!$A:$B,2,FALSE),VLOOKUP($A118,'SegEnds_NonXtal_Prot#'!A:AL,10,FALSE)+6,1)</f>
        <v>T</v>
      </c>
      <c r="X118" s="49" t="str">
        <f>MID(VLOOKUP($A118,Seqs!$A:$B,2,FALSE),VLOOKUP($A118,'SegEnds_NonXtal_Prot#'!A:AL,10,FALSE)+7,1)</f>
        <v>L</v>
      </c>
      <c r="Y118" s="49" t="str">
        <f>MID(VLOOKUP($A118,Seqs!$A:$B,2,FALSE),VLOOKUP($A118,'SegEnds_NonXtal_Prot#'!A:AL,10,FALSE)+8,1)</f>
        <v>M</v>
      </c>
      <c r="Z118" s="49" t="str">
        <f>MID(VLOOKUP($A118,Seqs!$A:$B,2,FALSE),VLOOKUP($A118,'SegEnds_NonXtal_Prot#'!A:AL,10,FALSE)+9,1)</f>
        <v>P</v>
      </c>
      <c r="AA118" s="49" t="str">
        <f>MID(VLOOKUP($A118,Seqs!$A:$B,2,FALSE),VLOOKUP($A118,'SegEnds_NonXtal_Prot#'!A:AL,10,FALSE)+10,1)</f>
        <v>L</v>
      </c>
      <c r="AB118" s="28" t="str">
        <f>MID(VLOOKUP($A118,Seqs!$A:$B,2,FALSE),VLOOKUP($A118,'SegEnds_NonXtal_Prot#'!$A:$AL,22,FALSE)+6,1)</f>
        <v>M</v>
      </c>
      <c r="AC118" s="49" t="str">
        <f>MID(VLOOKUP($A118,Seqs!$A:$B,2,FALSE),VLOOKUP($A118,'SegEnds_NonXtal_Prot#'!$A:$AL,22,FALSE)+7,1)</f>
        <v>A</v>
      </c>
      <c r="AD118" s="49" t="str">
        <f>MID(VLOOKUP($A118,Seqs!$A:$B,2,FALSE),VLOOKUP($A118,'SegEnds_NonXtal_Prot#'!$A:$AL,22,FALSE)+8,1)</f>
        <v>S</v>
      </c>
      <c r="AE118" s="49" t="str">
        <f>MID(VLOOKUP($A118,Seqs!$A:$B,2,FALSE),VLOOKUP($A118,'SegEnds_NonXtal_Prot#'!$A:$AL,22,FALSE)+9,1)</f>
        <v>V</v>
      </c>
      <c r="AF118" s="49" t="str">
        <f>MID(VLOOKUP($A118,Seqs!$A:$B,2,FALSE),VLOOKUP($A118,'SegEnds_NonXtal_Prot#'!$A:$AL,22,FALSE)+10,1)</f>
        <v>P</v>
      </c>
      <c r="AG118" s="28" t="str">
        <f>MID(VLOOKUP($A118,Seqs!$A:$B,2,FALSE),VLOOKUP($A118,'SegEnds_NonXtal_Prot#'!$A:$AL,28,FALSE)-4,1)</f>
        <v>Y</v>
      </c>
      <c r="AH118" s="49" t="str">
        <f>MID(VLOOKUP($A118,Seqs!$A:$B,2,FALSE),VLOOKUP($A118,'SegEnds_NonXtal_Prot#'!$A:$AL,28,FALSE),1)</f>
        <v>P</v>
      </c>
    </row>
    <row r="119" spans="1:34" s="2" customFormat="1" x14ac:dyDescent="0.2">
      <c r="A119" s="2" t="s">
        <v>263</v>
      </c>
      <c r="B119" s="2" t="str">
        <f>LOWER(VLOOKUP(A119,Xtal_Templ!A:B,2,FALSE))</f>
        <v>drd3_human</v>
      </c>
      <c r="C119" s="2" t="str">
        <f>VLOOKUP(A119,Classification!A:D,2,FALSE)</f>
        <v>A</v>
      </c>
      <c r="D119" s="2" t="str">
        <f>IF(ISERROR(MATCH(A119,'SegEnds_Xtal_Prot#'!B:B, 0)), "NoXtal", "Xtal")</f>
        <v>NoXtal</v>
      </c>
      <c r="G119" s="2" t="s">
        <v>5</v>
      </c>
      <c r="H119" s="4"/>
      <c r="R119" s="2" t="s">
        <v>9</v>
      </c>
      <c r="T119" s="4" t="s">
        <v>12</v>
      </c>
      <c r="V119" s="28" t="str">
        <f>MID(VLOOKUP($A119,Seqs!$A:$B,2,FALSE),VLOOKUP($A119,'SegEnds_NonXtal_Prot#'!A:AL,10,FALSE),1)</f>
        <v>D</v>
      </c>
      <c r="W119" s="49" t="str">
        <f>MID(VLOOKUP($A119,Seqs!$A:$B,2,FALSE),VLOOKUP($A119,'SegEnds_NonXtal_Prot#'!A:AL,10,FALSE)+6,1)</f>
        <v>S</v>
      </c>
      <c r="X119" s="49" t="str">
        <f>MID(VLOOKUP($A119,Seqs!$A:$B,2,FALSE),VLOOKUP($A119,'SegEnds_NonXtal_Prot#'!A:AL,10,FALSE)+7,1)</f>
        <v>I</v>
      </c>
      <c r="Y119" s="49" t="str">
        <f>MID(VLOOKUP($A119,Seqs!$A:$B,2,FALSE),VLOOKUP($A119,'SegEnds_NonXtal_Prot#'!A:AL,10,FALSE)+8,1)</f>
        <v>M</v>
      </c>
      <c r="Z119" s="49" t="str">
        <f>MID(VLOOKUP($A119,Seqs!$A:$B,2,FALSE),VLOOKUP($A119,'SegEnds_NonXtal_Prot#'!A:AL,10,FALSE)+9,1)</f>
        <v>P</v>
      </c>
      <c r="AA119" s="49" t="str">
        <f>MID(VLOOKUP($A119,Seqs!$A:$B,2,FALSE),VLOOKUP($A119,'SegEnds_NonXtal_Prot#'!A:AL,10,FALSE)+10,1)</f>
        <v>L</v>
      </c>
      <c r="AB119" s="28" t="str">
        <f>MID(VLOOKUP($A119,Seqs!$A:$B,2,FALSE),VLOOKUP($A119,'SegEnds_NonXtal_Prot#'!$A:$AL,22,FALSE)+6,1)</f>
        <v>L</v>
      </c>
      <c r="AC119" s="49" t="str">
        <f>MID(VLOOKUP($A119,Seqs!$A:$B,2,FALSE),VLOOKUP($A119,'SegEnds_NonXtal_Prot#'!$A:$AL,22,FALSE)+7,1)</f>
        <v>G</v>
      </c>
      <c r="AD119" s="49" t="str">
        <f>MID(VLOOKUP($A119,Seqs!$A:$B,2,FALSE),VLOOKUP($A119,'SegEnds_NonXtal_Prot#'!$A:$AL,22,FALSE)+8,1)</f>
        <v>A</v>
      </c>
      <c r="AE119" s="49" t="str">
        <f>MID(VLOOKUP($A119,Seqs!$A:$B,2,FALSE),VLOOKUP($A119,'SegEnds_NonXtal_Prot#'!$A:$AL,22,FALSE)+9,1)</f>
        <v>L</v>
      </c>
      <c r="AF119" s="49" t="str">
        <f>MID(VLOOKUP($A119,Seqs!$A:$B,2,FALSE),VLOOKUP($A119,'SegEnds_NonXtal_Prot#'!$A:$AL,22,FALSE)+10,1)</f>
        <v>S</v>
      </c>
      <c r="AG119" s="28" t="str">
        <f>MID(VLOOKUP($A119,Seqs!$A:$B,2,FALSE),VLOOKUP($A119,'SegEnds_NonXtal_Prot#'!$A:$AL,28,FALSE)-4,1)</f>
        <v>A</v>
      </c>
      <c r="AH119" s="49" t="str">
        <f>MID(VLOOKUP($A119,Seqs!$A:$B,2,FALSE),VLOOKUP($A119,'SegEnds_NonXtal_Prot#'!$A:$AL,28,FALSE),1)</f>
        <v>P</v>
      </c>
    </row>
    <row r="120" spans="1:34" s="2" customFormat="1" x14ac:dyDescent="0.2">
      <c r="A120" s="2" t="s">
        <v>265</v>
      </c>
      <c r="B120" s="2" t="str">
        <f>LOWER(VLOOKUP(A120,Xtal_Templ!A:B,2,FALSE))</f>
        <v>adrb2_human</v>
      </c>
      <c r="C120" s="2" t="str">
        <f>VLOOKUP(A120,Classification!A:D,2,FALSE)</f>
        <v>A</v>
      </c>
      <c r="D120" s="2" t="str">
        <f>IF(ISERROR(MATCH(A120,'SegEnds_Xtal_Prot#'!B:B, 0)), "NoXtal", "Xtal")</f>
        <v>NoXtal</v>
      </c>
      <c r="G120" s="2" t="s">
        <v>5</v>
      </c>
      <c r="H120" s="4"/>
      <c r="T120" s="4" t="s">
        <v>12</v>
      </c>
      <c r="V120" s="28" t="str">
        <f>MID(VLOOKUP($A120,Seqs!$A:$B,2,FALSE),VLOOKUP($A120,'SegEnds_NonXtal_Prot#'!A:AL,10,FALSE),1)</f>
        <v>D</v>
      </c>
      <c r="W120" s="49" t="str">
        <f>MID(VLOOKUP($A120,Seqs!$A:$B,2,FALSE),VLOOKUP($A120,'SegEnds_NonXtal_Prot#'!A:AL,10,FALSE)+6,1)</f>
        <v>V</v>
      </c>
      <c r="X120" s="49" t="str">
        <f>MID(VLOOKUP($A120,Seqs!$A:$B,2,FALSE),VLOOKUP($A120,'SegEnds_NonXtal_Prot#'!A:AL,10,FALSE)+7,1)</f>
        <v>T</v>
      </c>
      <c r="Y120" s="49" t="str">
        <f>MID(VLOOKUP($A120,Seqs!$A:$B,2,FALSE),VLOOKUP($A120,'SegEnds_NonXtal_Prot#'!A:AL,10,FALSE)+8,1)</f>
        <v>A</v>
      </c>
      <c r="Z120" s="49" t="str">
        <f>MID(VLOOKUP($A120,Seqs!$A:$B,2,FALSE),VLOOKUP($A120,'SegEnds_NonXtal_Prot#'!A:AL,10,FALSE)+9,1)</f>
        <v>P</v>
      </c>
      <c r="AA120" s="49" t="str">
        <f>MID(VLOOKUP($A120,Seqs!$A:$B,2,FALSE),VLOOKUP($A120,'SegEnds_NonXtal_Prot#'!A:AL,10,FALSE)+10,1)</f>
        <v>M</v>
      </c>
      <c r="AB120" s="28" t="str">
        <f>MID(VLOOKUP($A120,Seqs!$A:$B,2,FALSE),VLOOKUP($A120,'SegEnds_NonXtal_Prot#'!$A:$AL,22,FALSE)+6,1)</f>
        <v>L</v>
      </c>
      <c r="AC120" s="49" t="str">
        <f>MID(VLOOKUP($A120,Seqs!$A:$B,2,FALSE),VLOOKUP($A120,'SegEnds_NonXtal_Prot#'!$A:$AL,22,FALSE)+7,1)</f>
        <v>A</v>
      </c>
      <c r="AD120" s="49" t="str">
        <f>MID(VLOOKUP($A120,Seqs!$A:$B,2,FALSE),VLOOKUP($A120,'SegEnds_NonXtal_Prot#'!$A:$AL,22,FALSE)+8,1)</f>
        <v>T</v>
      </c>
      <c r="AE120" s="49" t="str">
        <f>MID(VLOOKUP($A120,Seqs!$A:$B,2,FALSE),VLOOKUP($A120,'SegEnds_NonXtal_Prot#'!$A:$AL,22,FALSE)+9,1)</f>
        <v>L</v>
      </c>
      <c r="AF120" s="49" t="str">
        <f>MID(VLOOKUP($A120,Seqs!$A:$B,2,FALSE),VLOOKUP($A120,'SegEnds_NonXtal_Prot#'!$A:$AL,22,FALSE)+10,1)</f>
        <v>A</v>
      </c>
      <c r="AG120" s="28" t="str">
        <f>MID(VLOOKUP($A120,Seqs!$A:$B,2,FALSE),VLOOKUP($A120,'SegEnds_NonXtal_Prot#'!$A:$AL,28,FALSE)-4,1)</f>
        <v>D</v>
      </c>
      <c r="AH120" s="49" t="str">
        <f>MID(VLOOKUP($A120,Seqs!$A:$B,2,FALSE),VLOOKUP($A120,'SegEnds_NonXtal_Prot#'!$A:$AL,28,FALSE),1)</f>
        <v>C</v>
      </c>
    </row>
    <row r="121" spans="1:34" s="2" customFormat="1" x14ac:dyDescent="0.2">
      <c r="A121" s="2" t="s">
        <v>272</v>
      </c>
      <c r="B121" s="2" t="str">
        <f>LOWER(VLOOKUP(A121,Xtal_Templ!A:B,2,FALSE))</f>
        <v>ox1r_human</v>
      </c>
      <c r="C121" s="2" t="str">
        <f>VLOOKUP(A121,Classification!A:D,2,FALSE)</f>
        <v>A</v>
      </c>
      <c r="D121" s="2" t="str">
        <f>IF(ISERROR(MATCH(A121,'SegEnds_Xtal_Prot#'!B:B, 0)), "NoXtal", "Xtal")</f>
        <v>NoXtal</v>
      </c>
      <c r="G121" s="2" t="s">
        <v>5</v>
      </c>
      <c r="H121" s="4"/>
      <c r="R121" s="2" t="s">
        <v>9</v>
      </c>
      <c r="T121" s="4" t="s">
        <v>12</v>
      </c>
      <c r="V121" s="28" t="str">
        <f>MID(VLOOKUP($A121,Seqs!$A:$B,2,FALSE),VLOOKUP($A121,'SegEnds_NonXtal_Prot#'!A:AL,10,FALSE),1)</f>
        <v>D</v>
      </c>
      <c r="W121" s="49" t="str">
        <f>MID(VLOOKUP($A121,Seqs!$A:$B,2,FALSE),VLOOKUP($A121,'SegEnds_NonXtal_Prot#'!A:AL,10,FALSE)+6,1)</f>
        <v>L</v>
      </c>
      <c r="X121" s="49" t="str">
        <f>MID(VLOOKUP($A121,Seqs!$A:$B,2,FALSE),VLOOKUP($A121,'SegEnds_NonXtal_Prot#'!A:AL,10,FALSE)+7,1)</f>
        <v>W</v>
      </c>
      <c r="Y121" s="49" t="str">
        <f>MID(VLOOKUP($A121,Seqs!$A:$B,2,FALSE),VLOOKUP($A121,'SegEnds_NonXtal_Prot#'!A:AL,10,FALSE)+8,1)</f>
        <v>M</v>
      </c>
      <c r="Z121" s="49" t="str">
        <f>MID(VLOOKUP($A121,Seqs!$A:$B,2,FALSE),VLOOKUP($A121,'SegEnds_NonXtal_Prot#'!A:AL,10,FALSE)+9,1)</f>
        <v>P</v>
      </c>
      <c r="AA121" s="49" t="str">
        <f>MID(VLOOKUP($A121,Seqs!$A:$B,2,FALSE),VLOOKUP($A121,'SegEnds_NonXtal_Prot#'!A:AL,10,FALSE)+10,1)</f>
        <v>Q</v>
      </c>
      <c r="AB121" s="28" t="str">
        <f>MID(VLOOKUP($A121,Seqs!$A:$B,2,FALSE),VLOOKUP($A121,'SegEnds_NonXtal_Prot#'!$A:$AL,22,FALSE)+6,1)</f>
        <v>L</v>
      </c>
      <c r="AC121" s="49" t="str">
        <f>MID(VLOOKUP($A121,Seqs!$A:$B,2,FALSE),VLOOKUP($A121,'SegEnds_NonXtal_Prot#'!$A:$AL,22,FALSE)+7,1)</f>
        <v>V</v>
      </c>
      <c r="AD121" s="49" t="str">
        <f>MID(VLOOKUP($A121,Seqs!$A:$B,2,FALSE),VLOOKUP($A121,'SegEnds_NonXtal_Prot#'!$A:$AL,22,FALSE)+8,1)</f>
        <v>L</v>
      </c>
      <c r="AE121" s="49" t="str">
        <f>MID(VLOOKUP($A121,Seqs!$A:$B,2,FALSE),VLOOKUP($A121,'SegEnds_NonXtal_Prot#'!$A:$AL,22,FALSE)+9,1)</f>
        <v>L</v>
      </c>
      <c r="AF121" s="49" t="str">
        <f>MID(VLOOKUP($A121,Seqs!$A:$B,2,FALSE),VLOOKUP($A121,'SegEnds_NonXtal_Prot#'!$A:$AL,22,FALSE)+10,1)</f>
        <v>L</v>
      </c>
      <c r="AG121" s="28" t="str">
        <f>MID(VLOOKUP($A121,Seqs!$A:$B,2,FALSE),VLOOKUP($A121,'SegEnds_NonXtal_Prot#'!$A:$AL,28,FALSE)-4,1)</f>
        <v>L</v>
      </c>
      <c r="AH121" s="49" t="str">
        <f>MID(VLOOKUP($A121,Seqs!$A:$B,2,FALSE),VLOOKUP($A121,'SegEnds_NonXtal_Prot#'!$A:$AL,28,FALSE),1)</f>
        <v>P</v>
      </c>
    </row>
    <row r="122" spans="1:34" s="2" customFormat="1" x14ac:dyDescent="0.2">
      <c r="A122" s="2" t="s">
        <v>365</v>
      </c>
      <c r="B122" s="2" t="str">
        <f>LOWER(VLOOKUP(A122,Xtal_Templ!A:B,2,FALSE))</f>
        <v>pe2r4_human</v>
      </c>
      <c r="C122" s="2" t="str">
        <f>VLOOKUP(A122,Classification!A:D,2,FALSE)</f>
        <v>A</v>
      </c>
      <c r="D122" s="2" t="str">
        <f>IF(ISERROR(MATCH(A122,'SegEnds_Xtal_Prot#'!B:B, 0)), "NoXtal", "Xtal")</f>
        <v>NoXtal</v>
      </c>
      <c r="G122" s="2" t="s">
        <v>5</v>
      </c>
      <c r="H122" s="4"/>
      <c r="T122" s="4" t="s">
        <v>12</v>
      </c>
      <c r="V122" s="28" t="str">
        <f>MID(VLOOKUP($A122,Seqs!$A:$B,2,FALSE),VLOOKUP($A122,'SegEnds_NonXtal_Prot#'!A:AL,10,FALSE),1)</f>
        <v>D</v>
      </c>
      <c r="W122" s="49" t="str">
        <f>MID(VLOOKUP($A122,Seqs!$A:$B,2,FALSE),VLOOKUP($A122,'SegEnds_NonXtal_Prot#'!A:AL,10,FALSE)+6,1)</f>
        <v>F</v>
      </c>
      <c r="X122" s="49" t="str">
        <f>MID(VLOOKUP($A122,Seqs!$A:$B,2,FALSE),VLOOKUP($A122,'SegEnds_NonXtal_Prot#'!A:AL,10,FALSE)+7,1)</f>
        <v>L</v>
      </c>
      <c r="Y122" s="49" t="str">
        <f>MID(VLOOKUP($A122,Seqs!$A:$B,2,FALSE),VLOOKUP($A122,'SegEnds_NonXtal_Prot#'!A:AL,10,FALSE)+8,1)</f>
        <v>S</v>
      </c>
      <c r="Z122" s="49" t="str">
        <f>MID(VLOOKUP($A122,Seqs!$A:$B,2,FALSE),VLOOKUP($A122,'SegEnds_NonXtal_Prot#'!A:AL,10,FALSE)+9,1)</f>
        <v>P</v>
      </c>
      <c r="AA122" s="49" t="str">
        <f>MID(VLOOKUP($A122,Seqs!$A:$B,2,FALSE),VLOOKUP($A122,'SegEnds_NonXtal_Prot#'!A:AL,10,FALSE)+10,1)</f>
        <v>A</v>
      </c>
      <c r="AB122" s="28" t="str">
        <f>MID(VLOOKUP($A122,Seqs!$A:$B,2,FALSE),VLOOKUP($A122,'SegEnds_NonXtal_Prot#'!$A:$AL,22,FALSE)+6,1)</f>
        <v>F</v>
      </c>
      <c r="AC122" s="49" t="str">
        <f>MID(VLOOKUP($A122,Seqs!$A:$B,2,FALSE),VLOOKUP($A122,'SegEnds_NonXtal_Prot#'!$A:$AL,22,FALSE)+7,1)</f>
        <v>C</v>
      </c>
      <c r="AD122" s="49" t="str">
        <f>MID(VLOOKUP($A122,Seqs!$A:$B,2,FALSE),VLOOKUP($A122,'SegEnds_NonXtal_Prot#'!$A:$AL,22,FALSE)+8,1)</f>
        <v>A</v>
      </c>
      <c r="AE122" s="49" t="str">
        <f>MID(VLOOKUP($A122,Seqs!$A:$B,2,FALSE),VLOOKUP($A122,'SegEnds_NonXtal_Prot#'!$A:$AL,22,FALSE)+9,1)</f>
        <v>L</v>
      </c>
      <c r="AF122" s="49" t="str">
        <f>MID(VLOOKUP($A122,Seqs!$A:$B,2,FALSE),VLOOKUP($A122,'SegEnds_NonXtal_Prot#'!$A:$AL,22,FALSE)+10,1)</f>
        <v>P</v>
      </c>
      <c r="AG122" s="28" t="str">
        <f>MID(VLOOKUP($A122,Seqs!$A:$B,2,FALSE),VLOOKUP($A122,'SegEnds_NonXtal_Prot#'!$A:$AL,28,FALSE)-4,1)</f>
        <v>A</v>
      </c>
      <c r="AH122" s="49" t="str">
        <f>MID(VLOOKUP($A122,Seqs!$A:$B,2,FALSE),VLOOKUP($A122,'SegEnds_NonXtal_Prot#'!$A:$AL,28,FALSE),1)</f>
        <v>A</v>
      </c>
    </row>
    <row r="123" spans="1:34" s="2" customFormat="1" x14ac:dyDescent="0.2">
      <c r="A123" s="2" t="s">
        <v>195</v>
      </c>
      <c r="B123" s="2" t="str">
        <f>LOWER(VLOOKUP(A123,Xtal_Templ!A:B,2,FALSE))</f>
        <v>ednrb_human</v>
      </c>
      <c r="C123" s="2" t="str">
        <f>VLOOKUP(A123,Classification!A:D,2,FALSE)</f>
        <v>A</v>
      </c>
      <c r="D123" s="2" t="str">
        <f>IF(ISERROR(MATCH(A123,'SegEnds_Xtal_Prot#'!B:B, 0)), "NoXtal", "Xtal")</f>
        <v>NoXtal</v>
      </c>
      <c r="G123" s="2" t="s">
        <v>5</v>
      </c>
      <c r="H123" s="4"/>
      <c r="N123" s="2" t="s">
        <v>14</v>
      </c>
      <c r="R123" s="2" t="s">
        <v>9</v>
      </c>
      <c r="T123" s="4" t="s">
        <v>12</v>
      </c>
      <c r="V123" s="28" t="str">
        <f>MID(VLOOKUP($A123,Seqs!$A:$B,2,FALSE),VLOOKUP($A123,'SegEnds_NonXtal_Prot#'!A:AL,10,FALSE),1)</f>
        <v>D</v>
      </c>
      <c r="W123" s="49" t="str">
        <f>MID(VLOOKUP($A123,Seqs!$A:$B,2,FALSE),VLOOKUP($A123,'SegEnds_NonXtal_Prot#'!A:AL,10,FALSE)+6,1)</f>
        <v>I</v>
      </c>
      <c r="X123" s="49" t="str">
        <f>MID(VLOOKUP($A123,Seqs!$A:$B,2,FALSE),VLOOKUP($A123,'SegEnds_NonXtal_Prot#'!A:AL,10,FALSE)+7,1)</f>
        <v>D</v>
      </c>
      <c r="Y123" s="49" t="str">
        <f>MID(VLOOKUP($A123,Seqs!$A:$B,2,FALSE),VLOOKUP($A123,'SegEnds_NonXtal_Prot#'!A:AL,10,FALSE)+8,1)</f>
        <v>L</v>
      </c>
      <c r="Z123" s="49" t="str">
        <f>MID(VLOOKUP($A123,Seqs!$A:$B,2,FALSE),VLOOKUP($A123,'SegEnds_NonXtal_Prot#'!A:AL,10,FALSE)+9,1)</f>
        <v>P</v>
      </c>
      <c r="AA123" s="49" t="str">
        <f>MID(VLOOKUP($A123,Seqs!$A:$B,2,FALSE),VLOOKUP($A123,'SegEnds_NonXtal_Prot#'!A:AL,10,FALSE)+10,1)</f>
        <v>I</v>
      </c>
      <c r="AB123" s="28" t="str">
        <f>MID(VLOOKUP($A123,Seqs!$A:$B,2,FALSE),VLOOKUP($A123,'SegEnds_NonXtal_Prot#'!$A:$AL,22,FALSE)+6,1)</f>
        <v>L</v>
      </c>
      <c r="AC123" s="49" t="str">
        <f>MID(VLOOKUP($A123,Seqs!$A:$B,2,FALSE),VLOOKUP($A123,'SegEnds_NonXtal_Prot#'!$A:$AL,22,FALSE)+7,1)</f>
        <v>A</v>
      </c>
      <c r="AD123" s="49" t="str">
        <f>MID(VLOOKUP($A123,Seqs!$A:$B,2,FALSE),VLOOKUP($A123,'SegEnds_NonXtal_Prot#'!$A:$AL,22,FALSE)+8,1)</f>
        <v>I</v>
      </c>
      <c r="AE123" s="49" t="str">
        <f>MID(VLOOKUP($A123,Seqs!$A:$B,2,FALSE),VLOOKUP($A123,'SegEnds_NonXtal_Prot#'!$A:$AL,22,FALSE)+9,1)</f>
        <v>P</v>
      </c>
      <c r="AF123" s="49" t="str">
        <f>MID(VLOOKUP($A123,Seqs!$A:$B,2,FALSE),VLOOKUP($A123,'SegEnds_NonXtal_Prot#'!$A:$AL,22,FALSE)+10,1)</f>
        <v>E</v>
      </c>
      <c r="AG123" s="28" t="str">
        <f>MID(VLOOKUP($A123,Seqs!$A:$B,2,FALSE),VLOOKUP($A123,'SegEnds_NonXtal_Prot#'!$A:$AL,28,FALSE)-4,1)</f>
        <v>Y</v>
      </c>
      <c r="AH123" s="49" t="str">
        <f>MID(VLOOKUP($A123,Seqs!$A:$B,2,FALSE),VLOOKUP($A123,'SegEnds_NonXtal_Prot#'!$A:$AL,28,FALSE),1)</f>
        <v>P</v>
      </c>
    </row>
    <row r="124" spans="1:34" s="2" customFormat="1" x14ac:dyDescent="0.2">
      <c r="A124" s="2" t="s">
        <v>196</v>
      </c>
      <c r="B124" s="2" t="str">
        <f>LOWER(VLOOKUP(A124,Xtal_Templ!A:B,2,FALSE))</f>
        <v>ednrb_human</v>
      </c>
      <c r="C124" s="2" t="str">
        <f>VLOOKUP(A124,Classification!A:D,2,FALSE)</f>
        <v>A</v>
      </c>
      <c r="D124" s="2" t="str">
        <f>IF(ISERROR(MATCH(A124,'SegEnds_Xtal_Prot#'!B:B, 0)), "NoXtal", "Xtal")</f>
        <v>Xtal</v>
      </c>
      <c r="G124" s="2" t="s">
        <v>5</v>
      </c>
      <c r="H124" s="4"/>
      <c r="N124" s="2" t="s">
        <v>14</v>
      </c>
      <c r="R124" s="2" t="s">
        <v>9</v>
      </c>
      <c r="T124" s="4" t="s">
        <v>12</v>
      </c>
      <c r="V124" s="28" t="str">
        <f>MID(VLOOKUP($A124,Seqs!$A:$B,2,FALSE),VLOOKUP($A124,'SegEnds_NonXtal_Prot#'!A:AL,10,FALSE),1)</f>
        <v>D</v>
      </c>
      <c r="W124" s="49" t="str">
        <f>MID(VLOOKUP($A124,Seqs!$A:$B,2,FALSE),VLOOKUP($A124,'SegEnds_NonXtal_Prot#'!A:AL,10,FALSE)+6,1)</f>
        <v>I</v>
      </c>
      <c r="X124" s="49" t="str">
        <f>MID(VLOOKUP($A124,Seqs!$A:$B,2,FALSE),VLOOKUP($A124,'SegEnds_NonXtal_Prot#'!A:AL,10,FALSE)+7,1)</f>
        <v>D</v>
      </c>
      <c r="Y124" s="49" t="str">
        <f>MID(VLOOKUP($A124,Seqs!$A:$B,2,FALSE),VLOOKUP($A124,'SegEnds_NonXtal_Prot#'!A:AL,10,FALSE)+8,1)</f>
        <v>I</v>
      </c>
      <c r="Z124" s="49" t="str">
        <f>MID(VLOOKUP($A124,Seqs!$A:$B,2,FALSE),VLOOKUP($A124,'SegEnds_NonXtal_Prot#'!A:AL,10,FALSE)+9,1)</f>
        <v>P</v>
      </c>
      <c r="AA124" s="49" t="str">
        <f>MID(VLOOKUP($A124,Seqs!$A:$B,2,FALSE),VLOOKUP($A124,'SegEnds_NonXtal_Prot#'!A:AL,10,FALSE)+10,1)</f>
        <v>I</v>
      </c>
      <c r="AB124" s="28" t="str">
        <f>MID(VLOOKUP($A124,Seqs!$A:$B,2,FALSE),VLOOKUP($A124,'SegEnds_NonXtal_Prot#'!$A:$AL,22,FALSE)+6,1)</f>
        <v>L</v>
      </c>
      <c r="AC124" s="49" t="str">
        <f>MID(VLOOKUP($A124,Seqs!$A:$B,2,FALSE),VLOOKUP($A124,'SegEnds_NonXtal_Prot#'!$A:$AL,22,FALSE)+7,1)</f>
        <v>A</v>
      </c>
      <c r="AD124" s="49" t="str">
        <f>MID(VLOOKUP($A124,Seqs!$A:$B,2,FALSE),VLOOKUP($A124,'SegEnds_NonXtal_Prot#'!$A:$AL,22,FALSE)+8,1)</f>
        <v>V</v>
      </c>
      <c r="AE124" s="49" t="str">
        <f>MID(VLOOKUP($A124,Seqs!$A:$B,2,FALSE),VLOOKUP($A124,'SegEnds_NonXtal_Prot#'!$A:$AL,22,FALSE)+9,1)</f>
        <v>P</v>
      </c>
      <c r="AF124" s="49" t="str">
        <f>MID(VLOOKUP($A124,Seqs!$A:$B,2,FALSE),VLOOKUP($A124,'SegEnds_NonXtal_Prot#'!$A:$AL,22,FALSE)+10,1)</f>
        <v>E</v>
      </c>
      <c r="AG124" s="28" t="str">
        <f>MID(VLOOKUP($A124,Seqs!$A:$B,2,FALSE),VLOOKUP($A124,'SegEnds_NonXtal_Prot#'!$A:$AL,28,FALSE)-4,1)</f>
        <v>Y</v>
      </c>
      <c r="AH124" s="49" t="str">
        <f>MID(VLOOKUP($A124,Seqs!$A:$B,2,FALSE),VLOOKUP($A124,'SegEnds_NonXtal_Prot#'!$A:$AL,28,FALSE),1)</f>
        <v>P</v>
      </c>
    </row>
    <row r="125" spans="1:34" s="2" customFormat="1" x14ac:dyDescent="0.2">
      <c r="A125" s="2" t="s">
        <v>1676</v>
      </c>
      <c r="B125" s="2" t="str">
        <f>LOWER(VLOOKUP(A125,Xtal_Templ!A:B,2,FALSE))</f>
        <v>ednrb_human</v>
      </c>
      <c r="C125" s="2" t="str">
        <f>VLOOKUP(A125,Classification!A:D,2,FALSE)</f>
        <v>A</v>
      </c>
      <c r="D125" s="2" t="str">
        <f>IF(ISERROR(MATCH(A125,'SegEnds_Xtal_Prot#'!B:B, 0)), "NoXtal", "Xtal")</f>
        <v>NoXtal</v>
      </c>
      <c r="G125" s="2" t="s">
        <v>5</v>
      </c>
      <c r="H125" s="4"/>
      <c r="N125" s="2" t="s">
        <v>14</v>
      </c>
      <c r="R125" s="2" t="s">
        <v>9</v>
      </c>
      <c r="T125" s="4" t="s">
        <v>12</v>
      </c>
      <c r="V125" s="28" t="str">
        <f>MID(VLOOKUP($A125,Seqs!$A:$B,2,FALSE),VLOOKUP($A125,'SegEnds_NonXtal_Prot#'!A:AL,10,FALSE),1)</f>
        <v>D</v>
      </c>
      <c r="W125" s="49" t="str">
        <f>MID(VLOOKUP($A125,Seqs!$A:$B,2,FALSE),VLOOKUP($A125,'SegEnds_NonXtal_Prot#'!A:AL,10,FALSE)+6,1)</f>
        <v>F</v>
      </c>
      <c r="X125" s="49" t="str">
        <f>MID(VLOOKUP($A125,Seqs!$A:$B,2,FALSE),VLOOKUP($A125,'SegEnds_NonXtal_Prot#'!A:AL,10,FALSE)+7,1)</f>
        <v>C</v>
      </c>
      <c r="Y125" s="49" t="str">
        <f>MID(VLOOKUP($A125,Seqs!$A:$B,2,FALSE),VLOOKUP($A125,'SegEnds_NonXtal_Prot#'!A:AL,10,FALSE)+8,1)</f>
        <v>L</v>
      </c>
      <c r="Z125" s="49" t="str">
        <f>MID(VLOOKUP($A125,Seqs!$A:$B,2,FALSE),VLOOKUP($A125,'SegEnds_NonXtal_Prot#'!A:AL,10,FALSE)+9,1)</f>
        <v>P</v>
      </c>
      <c r="AA125" s="49" t="str">
        <f>MID(VLOOKUP($A125,Seqs!$A:$B,2,FALSE),VLOOKUP($A125,'SegEnds_NonXtal_Prot#'!A:AL,10,FALSE)+10,1)</f>
        <v>I</v>
      </c>
      <c r="AB125" s="28" t="str">
        <f>MID(VLOOKUP($A125,Seqs!$A:$B,2,FALSE),VLOOKUP($A125,'SegEnds_NonXtal_Prot#'!$A:$AL,22,FALSE)+6,1)</f>
        <v>L</v>
      </c>
      <c r="AC125" s="49" t="str">
        <f>MID(VLOOKUP($A125,Seqs!$A:$B,2,FALSE),VLOOKUP($A125,'SegEnds_NonXtal_Prot#'!$A:$AL,22,FALSE)+7,1)</f>
        <v>A</v>
      </c>
      <c r="AD125" s="49" t="str">
        <f>MID(VLOOKUP($A125,Seqs!$A:$B,2,FALSE),VLOOKUP($A125,'SegEnds_NonXtal_Prot#'!$A:$AL,22,FALSE)+8,1)</f>
        <v>V</v>
      </c>
      <c r="AE125" s="49" t="str">
        <f>MID(VLOOKUP($A125,Seqs!$A:$B,2,FALSE),VLOOKUP($A125,'SegEnds_NonXtal_Prot#'!$A:$AL,22,FALSE)+9,1)</f>
        <v>P</v>
      </c>
      <c r="AF125" s="49" t="str">
        <f>MID(VLOOKUP($A125,Seqs!$A:$B,2,FALSE),VLOOKUP($A125,'SegEnds_NonXtal_Prot#'!$A:$AL,22,FALSE)+10,1)</f>
        <v>E</v>
      </c>
      <c r="AG125" s="28" t="str">
        <f>MID(VLOOKUP($A125,Seqs!$A:$B,2,FALSE),VLOOKUP($A125,'SegEnds_NonXtal_Prot#'!$A:$AL,28,FALSE)-4,1)</f>
        <v>Y</v>
      </c>
      <c r="AH125" s="49" t="str">
        <f>MID(VLOOKUP($A125,Seqs!$A:$B,2,FALSE),VLOOKUP($A125,'SegEnds_NonXtal_Prot#'!$A:$AL,28,FALSE),1)</f>
        <v>P</v>
      </c>
    </row>
    <row r="126" spans="1:34" s="2" customFormat="1" x14ac:dyDescent="0.2">
      <c r="A126" s="2" t="s">
        <v>254</v>
      </c>
      <c r="B126" s="2" t="str">
        <f>LOWER(VLOOKUP(A126,Xtal_Templ!A:B,2,FALSE))</f>
        <v>ednrb_human</v>
      </c>
      <c r="C126" s="2" t="str">
        <f>VLOOKUP(A126,Classification!A:D,2,FALSE)</f>
        <v>A</v>
      </c>
      <c r="D126" s="2" t="str">
        <f>IF(ISERROR(MATCH(A126,'SegEnds_Xtal_Prot#'!B:B, 0)), "NoXtal", "Xtal")</f>
        <v>NoXtal</v>
      </c>
      <c r="G126" s="2" t="s">
        <v>5</v>
      </c>
      <c r="H126" s="4"/>
      <c r="N126" s="2" t="s">
        <v>14</v>
      </c>
      <c r="R126" s="2" t="s">
        <v>9</v>
      </c>
      <c r="T126" s="4" t="s">
        <v>12</v>
      </c>
      <c r="V126" s="28" t="str">
        <f>MID(VLOOKUP($A126,Seqs!$A:$B,2,FALSE),VLOOKUP($A126,'SegEnds_NonXtal_Prot#'!A:AL,10,FALSE),1)</f>
        <v>D</v>
      </c>
      <c r="W126" s="49" t="str">
        <f>MID(VLOOKUP($A126,Seqs!$A:$B,2,FALSE),VLOOKUP($A126,'SegEnds_NonXtal_Prot#'!A:AL,10,FALSE)+6,1)</f>
        <v>F</v>
      </c>
      <c r="X126" s="49" t="str">
        <f>MID(VLOOKUP($A126,Seqs!$A:$B,2,FALSE),VLOOKUP($A126,'SegEnds_NonXtal_Prot#'!A:AL,10,FALSE)+7,1)</f>
        <v>C</v>
      </c>
      <c r="Y126" s="49" t="str">
        <f>MID(VLOOKUP($A126,Seqs!$A:$B,2,FALSE),VLOOKUP($A126,'SegEnds_NonXtal_Prot#'!A:AL,10,FALSE)+8,1)</f>
        <v>L</v>
      </c>
      <c r="Z126" s="49" t="str">
        <f>MID(VLOOKUP($A126,Seqs!$A:$B,2,FALSE),VLOOKUP($A126,'SegEnds_NonXtal_Prot#'!A:AL,10,FALSE)+9,1)</f>
        <v>P</v>
      </c>
      <c r="AA126" s="49" t="str">
        <f>MID(VLOOKUP($A126,Seqs!$A:$B,2,FALSE),VLOOKUP($A126,'SegEnds_NonXtal_Prot#'!A:AL,10,FALSE)+10,1)</f>
        <v>L</v>
      </c>
      <c r="AB126" s="28" t="str">
        <f>MID(VLOOKUP($A126,Seqs!$A:$B,2,FALSE),VLOOKUP($A126,'SegEnds_NonXtal_Prot#'!$A:$AL,22,FALSE)+6,1)</f>
        <v>L</v>
      </c>
      <c r="AC126" s="49" t="str">
        <f>MID(VLOOKUP($A126,Seqs!$A:$B,2,FALSE),VLOOKUP($A126,'SegEnds_NonXtal_Prot#'!$A:$AL,22,FALSE)+7,1)</f>
        <v>A</v>
      </c>
      <c r="AD126" s="49" t="str">
        <f>MID(VLOOKUP($A126,Seqs!$A:$B,2,FALSE),VLOOKUP($A126,'SegEnds_NonXtal_Prot#'!$A:$AL,22,FALSE)+8,1)</f>
        <v>L</v>
      </c>
      <c r="AE126" s="49" t="str">
        <f>MID(VLOOKUP($A126,Seqs!$A:$B,2,FALSE),VLOOKUP($A126,'SegEnds_NonXtal_Prot#'!$A:$AL,22,FALSE)+9,1)</f>
        <v>P</v>
      </c>
      <c r="AF126" s="49" t="str">
        <f>MID(VLOOKUP($A126,Seqs!$A:$B,2,FALSE),VLOOKUP($A126,'SegEnds_NonXtal_Prot#'!$A:$AL,22,FALSE)+10,1)</f>
        <v>E</v>
      </c>
      <c r="AG126" s="28" t="str">
        <f>MID(VLOOKUP($A126,Seqs!$A:$B,2,FALSE),VLOOKUP($A126,'SegEnds_NonXtal_Prot#'!$A:$AL,28,FALSE)-4,1)</f>
        <v>Y</v>
      </c>
      <c r="AH126" s="49" t="str">
        <f>MID(VLOOKUP($A126,Seqs!$A:$B,2,FALSE),VLOOKUP($A126,'SegEnds_NonXtal_Prot#'!$A:$AL,28,FALSE),1)</f>
        <v>P</v>
      </c>
    </row>
    <row r="127" spans="1:34" s="2" customFormat="1" x14ac:dyDescent="0.2">
      <c r="A127" s="2" t="s">
        <v>273</v>
      </c>
      <c r="B127" s="2" t="str">
        <f>LOWER(VLOOKUP(A127,Xtal_Templ!A:B,2,FALSE))</f>
        <v>ednrb_human</v>
      </c>
      <c r="C127" s="2" t="str">
        <f>VLOOKUP(A127,Classification!A:D,2,FALSE)</f>
        <v>A</v>
      </c>
      <c r="D127" s="2" t="str">
        <f>IF(ISERROR(MATCH(A127,'SegEnds_Xtal_Prot#'!B:B, 0)), "NoXtal", "Xtal")</f>
        <v>NoXtal</v>
      </c>
      <c r="G127" s="2" t="s">
        <v>5</v>
      </c>
      <c r="H127" s="4"/>
      <c r="N127" s="2" t="s">
        <v>14</v>
      </c>
      <c r="T127" s="4" t="s">
        <v>12</v>
      </c>
      <c r="V127" s="28" t="str">
        <f>MID(VLOOKUP($A127,Seqs!$A:$B,2,FALSE),VLOOKUP($A127,'SegEnds_NonXtal_Prot#'!A:AL,10,FALSE),1)</f>
        <v>D</v>
      </c>
      <c r="W127" s="49" t="str">
        <f>MID(VLOOKUP($A127,Seqs!$A:$B,2,FALSE),VLOOKUP($A127,'SegEnds_NonXtal_Prot#'!A:AL,10,FALSE)+6,1)</f>
        <v>T</v>
      </c>
      <c r="X127" s="49" t="str">
        <f>MID(VLOOKUP($A127,Seqs!$A:$B,2,FALSE),VLOOKUP($A127,'SegEnds_NonXtal_Prot#'!A:AL,10,FALSE)+7,1)</f>
        <v>C</v>
      </c>
      <c r="Y127" s="49" t="str">
        <f>MID(VLOOKUP($A127,Seqs!$A:$B,2,FALSE),VLOOKUP($A127,'SegEnds_NonXtal_Prot#'!A:AL,10,FALSE)+8,1)</f>
        <v>A</v>
      </c>
      <c r="Z127" s="49" t="str">
        <f>MID(VLOOKUP($A127,Seqs!$A:$B,2,FALSE),VLOOKUP($A127,'SegEnds_NonXtal_Prot#'!A:AL,10,FALSE)+9,1)</f>
        <v>P</v>
      </c>
      <c r="AA127" s="49" t="str">
        <f>MID(VLOOKUP($A127,Seqs!$A:$B,2,FALSE),VLOOKUP($A127,'SegEnds_NonXtal_Prot#'!A:AL,10,FALSE)+10,1)</f>
        <v>V</v>
      </c>
      <c r="AB127" s="28" t="str">
        <f>MID(VLOOKUP($A127,Seqs!$A:$B,2,FALSE),VLOOKUP($A127,'SegEnds_NonXtal_Prot#'!$A:$AL,22,FALSE)+6,1)</f>
        <v>L</v>
      </c>
      <c r="AC127" s="49" t="str">
        <f>MID(VLOOKUP($A127,Seqs!$A:$B,2,FALSE),VLOOKUP($A127,'SegEnds_NonXtal_Prot#'!$A:$AL,22,FALSE)+7,1)</f>
        <v>A</v>
      </c>
      <c r="AD127" s="49" t="str">
        <f>MID(VLOOKUP($A127,Seqs!$A:$B,2,FALSE),VLOOKUP($A127,'SegEnds_NonXtal_Prot#'!$A:$AL,22,FALSE)+8,1)</f>
        <v>I</v>
      </c>
      <c r="AE127" s="49" t="str">
        <f>MID(VLOOKUP($A127,Seqs!$A:$B,2,FALSE),VLOOKUP($A127,'SegEnds_NonXtal_Prot#'!$A:$AL,22,FALSE)+9,1)</f>
        <v>P</v>
      </c>
      <c r="AF127" s="49" t="str">
        <f>MID(VLOOKUP($A127,Seqs!$A:$B,2,FALSE),VLOOKUP($A127,'SegEnds_NonXtal_Prot#'!$A:$AL,22,FALSE)+10,1)</f>
        <v>E</v>
      </c>
      <c r="AG127" s="28" t="str">
        <f>MID(VLOOKUP($A127,Seqs!$A:$B,2,FALSE),VLOOKUP($A127,'SegEnds_NonXtal_Prot#'!$A:$AL,28,FALSE)-4,1)</f>
        <v>F</v>
      </c>
      <c r="AH127" s="49" t="str">
        <f>MID(VLOOKUP($A127,Seqs!$A:$B,2,FALSE),VLOOKUP($A127,'SegEnds_NonXtal_Prot#'!$A:$AL,28,FALSE),1)</f>
        <v>P</v>
      </c>
    </row>
    <row r="128" spans="1:34" s="2" customFormat="1" x14ac:dyDescent="0.2">
      <c r="A128" s="2" t="s">
        <v>316</v>
      </c>
      <c r="B128" s="2" t="str">
        <f>LOWER(VLOOKUP(A128,Xtal_Templ!A:B,2,FALSE))</f>
        <v>ednrb_human</v>
      </c>
      <c r="C128" s="2" t="str">
        <f>VLOOKUP(A128,Classification!A:D,2,FALSE)</f>
        <v>A</v>
      </c>
      <c r="D128" s="2" t="str">
        <f>IF(ISERROR(MATCH(A128,'SegEnds_Xtal_Prot#'!B:B, 0)), "NoXtal", "Xtal")</f>
        <v>NoXtal</v>
      </c>
      <c r="G128" s="2" t="s">
        <v>5</v>
      </c>
      <c r="H128" s="4"/>
      <c r="N128" s="2" t="s">
        <v>14</v>
      </c>
      <c r="R128" s="2" t="s">
        <v>9</v>
      </c>
      <c r="T128" s="4" t="s">
        <v>12</v>
      </c>
      <c r="V128" s="28" t="str">
        <f>MID(VLOOKUP($A128,Seqs!$A:$B,2,FALSE),VLOOKUP($A128,'SegEnds_NonXtal_Prot#'!A:AL,10,FALSE),1)</f>
        <v>D</v>
      </c>
      <c r="W128" s="49" t="str">
        <f>MID(VLOOKUP($A128,Seqs!$A:$B,2,FALSE),VLOOKUP($A128,'SegEnds_NonXtal_Prot#'!A:AL,10,FALSE)+6,1)</f>
        <v>T</v>
      </c>
      <c r="X128" s="49" t="str">
        <f>MID(VLOOKUP($A128,Seqs!$A:$B,2,FALSE),VLOOKUP($A128,'SegEnds_NonXtal_Prot#'!A:AL,10,FALSE)+7,1)</f>
        <v>C</v>
      </c>
      <c r="Y128" s="49" t="str">
        <f>MID(VLOOKUP($A128,Seqs!$A:$B,2,FALSE),VLOOKUP($A128,'SegEnds_NonXtal_Prot#'!A:AL,10,FALSE)+8,1)</f>
        <v>V</v>
      </c>
      <c r="Z128" s="49" t="str">
        <f>MID(VLOOKUP($A128,Seqs!$A:$B,2,FALSE),VLOOKUP($A128,'SegEnds_NonXtal_Prot#'!A:AL,10,FALSE)+9,1)</f>
        <v>P</v>
      </c>
      <c r="AA128" s="49" t="str">
        <f>MID(VLOOKUP($A128,Seqs!$A:$B,2,FALSE),VLOOKUP($A128,'SegEnds_NonXtal_Prot#'!A:AL,10,FALSE)+10,1)</f>
        <v>V</v>
      </c>
      <c r="AB128" s="28" t="str">
        <f>MID(VLOOKUP($A128,Seqs!$A:$B,2,FALSE),VLOOKUP($A128,'SegEnds_NonXtal_Prot#'!$A:$AL,22,FALSE)+6,1)</f>
        <v>L</v>
      </c>
      <c r="AC128" s="49" t="str">
        <f>MID(VLOOKUP($A128,Seqs!$A:$B,2,FALSE),VLOOKUP($A128,'SegEnds_NonXtal_Prot#'!$A:$AL,22,FALSE)+7,1)</f>
        <v>A</v>
      </c>
      <c r="AD128" s="49" t="str">
        <f>MID(VLOOKUP($A128,Seqs!$A:$B,2,FALSE),VLOOKUP($A128,'SegEnds_NonXtal_Prot#'!$A:$AL,22,FALSE)+8,1)</f>
        <v>V</v>
      </c>
      <c r="AE128" s="49" t="str">
        <f>MID(VLOOKUP($A128,Seqs!$A:$B,2,FALSE),VLOOKUP($A128,'SegEnds_NonXtal_Prot#'!$A:$AL,22,FALSE)+9,1)</f>
        <v>P</v>
      </c>
      <c r="AF128" s="49" t="str">
        <f>MID(VLOOKUP($A128,Seqs!$A:$B,2,FALSE),VLOOKUP($A128,'SegEnds_NonXtal_Prot#'!$A:$AL,22,FALSE)+10,1)</f>
        <v>E</v>
      </c>
      <c r="AG128" s="28" t="str">
        <f>MID(VLOOKUP($A128,Seqs!$A:$B,2,FALSE),VLOOKUP($A128,'SegEnds_NonXtal_Prot#'!$A:$AL,28,FALSE)-4,1)</f>
        <v>Y</v>
      </c>
      <c r="AH128" s="49" t="str">
        <f>MID(VLOOKUP($A128,Seqs!$A:$B,2,FALSE),VLOOKUP($A128,'SegEnds_NonXtal_Prot#'!$A:$AL,28,FALSE),1)</f>
        <v>P</v>
      </c>
    </row>
    <row r="129" spans="1:34" s="2" customFormat="1" x14ac:dyDescent="0.2">
      <c r="A129" s="2" t="s">
        <v>1166</v>
      </c>
      <c r="B129" s="2" t="str">
        <f>LOWER(VLOOKUP(A129,Xtal_Templ!A:B,2,FALSE))</f>
        <v>ffar1_human</v>
      </c>
      <c r="C129" s="2" t="str">
        <f>VLOOKUP(A129,Classification!A:D,2,FALSE)</f>
        <v>A</v>
      </c>
      <c r="D129" s="2" t="str">
        <f>IF(ISERROR(MATCH(A129,'SegEnds_Xtal_Prot#'!B:B, 0)), "NoXtal", "Xtal")</f>
        <v>Xtal</v>
      </c>
      <c r="H129" s="4"/>
      <c r="R129" s="2" t="s">
        <v>9</v>
      </c>
      <c r="S129" s="2" t="s">
        <v>1316</v>
      </c>
      <c r="T129" s="4" t="s">
        <v>12</v>
      </c>
      <c r="V129" s="28" t="str">
        <f>MID(VLOOKUP($A129,Seqs!$A:$B,2,FALSE),VLOOKUP($A129,'SegEnds_NonXtal_Prot#'!A:AL,10,FALSE),1)</f>
        <v>D</v>
      </c>
      <c r="W129" s="49" t="str">
        <f>MID(VLOOKUP($A129,Seqs!$A:$B,2,FALSE),VLOOKUP($A129,'SegEnds_NonXtal_Prot#'!A:AL,10,FALSE)+6,1)</f>
        <v>S</v>
      </c>
      <c r="X129" s="49" t="str">
        <f>MID(VLOOKUP($A129,Seqs!$A:$B,2,FALSE),VLOOKUP($A129,'SegEnds_NonXtal_Prot#'!A:AL,10,FALSE)+7,1)</f>
        <v>L</v>
      </c>
      <c r="Y129" s="49" t="str">
        <f>MID(VLOOKUP($A129,Seqs!$A:$B,2,FALSE),VLOOKUP($A129,'SegEnds_NonXtal_Prot#'!A:AL,10,FALSE)+8,1)</f>
        <v>P</v>
      </c>
      <c r="Z129" s="49" t="str">
        <f>MID(VLOOKUP($A129,Seqs!$A:$B,2,FALSE),VLOOKUP($A129,'SegEnds_NonXtal_Prot#'!A:AL,10,FALSE)+9,1)</f>
        <v>L</v>
      </c>
      <c r="AA129" s="49" t="str">
        <f>MID(VLOOKUP($A129,Seqs!$A:$B,2,FALSE),VLOOKUP($A129,'SegEnds_NonXtal_Prot#'!A:AL,10,FALSE)+10,1)</f>
        <v>K</v>
      </c>
      <c r="AB129" s="28" t="str">
        <f>MID(VLOOKUP($A129,Seqs!$A:$B,2,FALSE),VLOOKUP($A129,'SegEnds_NonXtal_Prot#'!$A:$AL,22,FALSE)+6,1)</f>
        <v>H</v>
      </c>
      <c r="AC129" s="49" t="str">
        <f>MID(VLOOKUP($A129,Seqs!$A:$B,2,FALSE),VLOOKUP($A129,'SegEnds_NonXtal_Prot#'!$A:$AL,22,FALSE)+7,1)</f>
        <v>L</v>
      </c>
      <c r="AD129" s="49" t="str">
        <f>MID(VLOOKUP($A129,Seqs!$A:$B,2,FALSE),VLOOKUP($A129,'SegEnds_NonXtal_Prot#'!$A:$AL,22,FALSE)+8,1)</f>
        <v>G</v>
      </c>
      <c r="AE129" s="49" t="str">
        <f>MID(VLOOKUP($A129,Seqs!$A:$B,2,FALSE),VLOOKUP($A129,'SegEnds_NonXtal_Prot#'!$A:$AL,22,FALSE)+9,1)</f>
        <v>L</v>
      </c>
      <c r="AF129" s="49" t="str">
        <f>MID(VLOOKUP($A129,Seqs!$A:$B,2,FALSE),VLOOKUP($A129,'SegEnds_NonXtal_Prot#'!$A:$AL,22,FALSE)+10,1)</f>
        <v>V</v>
      </c>
      <c r="AG129" s="28" t="str">
        <f>MID(VLOOKUP($A129,Seqs!$A:$B,2,FALSE),VLOOKUP($A129,'SegEnds_NonXtal_Prot#'!$A:$AL,28,FALSE)-4,1)</f>
        <v>L</v>
      </c>
      <c r="AH129" s="49" t="str">
        <f>MID(VLOOKUP($A129,Seqs!$A:$B,2,FALSE),VLOOKUP($A129,'SegEnds_NonXtal_Prot#'!$A:$AL,28,FALSE),1)</f>
        <v>P</v>
      </c>
    </row>
    <row r="130" spans="1:34" s="2" customFormat="1" x14ac:dyDescent="0.2">
      <c r="A130" s="2" t="s">
        <v>197</v>
      </c>
      <c r="B130" s="2" t="str">
        <f>LOWER(VLOOKUP(A130,Xtal_Templ!A:B,2,FALSE))</f>
        <v>par2_human</v>
      </c>
      <c r="C130" s="2" t="str">
        <f>VLOOKUP(A130,Classification!A:D,2,FALSE)</f>
        <v>A</v>
      </c>
      <c r="D130" s="2" t="str">
        <f>IF(ISERROR(MATCH(A130,'SegEnds_Xtal_Prot#'!B:B, 0)), "NoXtal", "Xtal")</f>
        <v>NoXtal</v>
      </c>
      <c r="H130" s="4"/>
      <c r="R130" s="2" t="s">
        <v>9</v>
      </c>
      <c r="S130" s="2" t="s">
        <v>1316</v>
      </c>
      <c r="T130" s="4" t="s">
        <v>12</v>
      </c>
      <c r="V130" s="28" t="str">
        <f>MID(VLOOKUP($A130,Seqs!$A:$B,2,FALSE),VLOOKUP($A130,'SegEnds_NonXtal_Prot#'!A:AL,10,FALSE),1)</f>
        <v>D</v>
      </c>
      <c r="W130" s="49" t="str">
        <f>MID(VLOOKUP($A130,Seqs!$A:$B,2,FALSE),VLOOKUP($A130,'SegEnds_NonXtal_Prot#'!A:AL,10,FALSE)+6,1)</f>
        <v>L</v>
      </c>
      <c r="X130" s="49" t="str">
        <f>MID(VLOOKUP($A130,Seqs!$A:$B,2,FALSE),VLOOKUP($A130,'SegEnds_NonXtal_Prot#'!A:AL,10,FALSE)+7,1)</f>
        <v>L</v>
      </c>
      <c r="Y130" s="49" t="str">
        <f>MID(VLOOKUP($A130,Seqs!$A:$B,2,FALSE),VLOOKUP($A130,'SegEnds_NonXtal_Prot#'!A:AL,10,FALSE)+8,1)</f>
        <v>P</v>
      </c>
      <c r="Z130" s="49" t="str">
        <f>MID(VLOOKUP($A130,Seqs!$A:$B,2,FALSE),VLOOKUP($A130,'SegEnds_NonXtal_Prot#'!A:AL,10,FALSE)+9,1)</f>
        <v>F</v>
      </c>
      <c r="AA130" s="49" t="str">
        <f>MID(VLOOKUP($A130,Seqs!$A:$B,2,FALSE),VLOOKUP($A130,'SegEnds_NonXtal_Prot#'!A:AL,10,FALSE)+10,1)</f>
        <v>K</v>
      </c>
      <c r="AB130" s="28" t="str">
        <f>MID(VLOOKUP($A130,Seqs!$A:$B,2,FALSE),VLOOKUP($A130,'SegEnds_NonXtal_Prot#'!$A:$AL,22,FALSE)+6,1)</f>
        <v>H</v>
      </c>
      <c r="AC130" s="49" t="str">
        <f>MID(VLOOKUP($A130,Seqs!$A:$B,2,FALSE),VLOOKUP($A130,'SegEnds_NonXtal_Prot#'!$A:$AL,22,FALSE)+7,1)</f>
        <v>C</v>
      </c>
      <c r="AD130" s="49" t="str">
        <f>MID(VLOOKUP($A130,Seqs!$A:$B,2,FALSE),VLOOKUP($A130,'SegEnds_NonXtal_Prot#'!$A:$AL,22,FALSE)+8,1)</f>
        <v>T</v>
      </c>
      <c r="AE130" s="49" t="str">
        <f>MID(VLOOKUP($A130,Seqs!$A:$B,2,FALSE),VLOOKUP($A130,'SegEnds_NonXtal_Prot#'!$A:$AL,22,FALSE)+9,1)</f>
        <v>I</v>
      </c>
      <c r="AF130" s="49" t="str">
        <f>MID(VLOOKUP($A130,Seqs!$A:$B,2,FALSE),VLOOKUP($A130,'SegEnds_NonXtal_Prot#'!$A:$AL,22,FALSE)+10,1)</f>
        <v>V</v>
      </c>
      <c r="AG130" s="28" t="str">
        <f>MID(VLOOKUP($A130,Seqs!$A:$B,2,FALSE),VLOOKUP($A130,'SegEnds_NonXtal_Prot#'!$A:$AL,28,FALSE)-4,1)</f>
        <v>L</v>
      </c>
      <c r="AH130" s="49" t="str">
        <f>MID(VLOOKUP($A130,Seqs!$A:$B,2,FALSE),VLOOKUP($A130,'SegEnds_NonXtal_Prot#'!$A:$AL,28,FALSE),1)</f>
        <v>P</v>
      </c>
    </row>
    <row r="131" spans="1:34" s="2" customFormat="1" x14ac:dyDescent="0.2">
      <c r="A131" s="2" t="s">
        <v>218</v>
      </c>
      <c r="B131" s="2" t="str">
        <f>LOWER(VLOOKUP(A131,Xtal_Templ!A:B,2,FALSE))</f>
        <v>fpr2_human</v>
      </c>
      <c r="C131" s="2" t="str">
        <f>VLOOKUP(A131,Classification!A:D,2,FALSE)</f>
        <v>A</v>
      </c>
      <c r="D131" s="2" t="str">
        <f>IF(ISERROR(MATCH(A131,'SegEnds_Xtal_Prot#'!B:B, 0)), "NoXtal", "Xtal")</f>
        <v>NoXtal</v>
      </c>
      <c r="G131" s="2" t="s">
        <v>5</v>
      </c>
      <c r="H131" s="4"/>
      <c r="R131" s="2" t="s">
        <v>9</v>
      </c>
      <c r="T131" s="4" t="s">
        <v>12</v>
      </c>
      <c r="V131" s="28" t="str">
        <f>MID(VLOOKUP($A131,Seqs!$A:$B,2,FALSE),VLOOKUP($A131,'SegEnds_NonXtal_Prot#'!A:AL,10,FALSE),1)</f>
        <v>A</v>
      </c>
      <c r="W131" s="49" t="str">
        <f>MID(VLOOKUP($A131,Seqs!$A:$B,2,FALSE),VLOOKUP($A131,'SegEnds_NonXtal_Prot#'!A:AL,10,FALSE)+6,1)</f>
        <v>L</v>
      </c>
      <c r="X131" s="49" t="str">
        <f>MID(VLOOKUP($A131,Seqs!$A:$B,2,FALSE),VLOOKUP($A131,'SegEnds_NonXtal_Prot#'!A:AL,10,FALSE)+7,1)</f>
        <v>L</v>
      </c>
      <c r="Y131" s="49" t="str">
        <f>MID(VLOOKUP($A131,Seqs!$A:$B,2,FALSE),VLOOKUP($A131,'SegEnds_NonXtal_Prot#'!A:AL,10,FALSE)+8,1)</f>
        <v>G</v>
      </c>
      <c r="Z131" s="49" t="str">
        <f>MID(VLOOKUP($A131,Seqs!$A:$B,2,FALSE),VLOOKUP($A131,'SegEnds_NonXtal_Prot#'!A:AL,10,FALSE)+9,1)</f>
        <v>P</v>
      </c>
      <c r="AA131" s="49" t="str">
        <f>MID(VLOOKUP($A131,Seqs!$A:$B,2,FALSE),VLOOKUP($A131,'SegEnds_NonXtal_Prot#'!A:AL,10,FALSE)+10,1)</f>
        <v>P</v>
      </c>
      <c r="AB131" s="28" t="str">
        <f>MID(VLOOKUP($A131,Seqs!$A:$B,2,FALSE),VLOOKUP($A131,'SegEnds_NonXtal_Prot#'!$A:$AL,22,FALSE)+6,1)</f>
        <v>T</v>
      </c>
      <c r="AC131" s="49" t="str">
        <f>MID(VLOOKUP($A131,Seqs!$A:$B,2,FALSE),VLOOKUP($A131,'SegEnds_NonXtal_Prot#'!$A:$AL,22,FALSE)+7,1)</f>
        <v>S</v>
      </c>
      <c r="AD131" s="49" t="str">
        <f>MID(VLOOKUP($A131,Seqs!$A:$B,2,FALSE),VLOOKUP($A131,'SegEnds_NonXtal_Prot#'!$A:$AL,22,FALSE)+8,1)</f>
        <v>F</v>
      </c>
      <c r="AE131" s="49" t="str">
        <f>MID(VLOOKUP($A131,Seqs!$A:$B,2,FALSE),VLOOKUP($A131,'SegEnds_NonXtal_Prot#'!$A:$AL,22,FALSE)+9,1)</f>
        <v>S</v>
      </c>
      <c r="AF131" s="49" t="str">
        <f>MID(VLOOKUP($A131,Seqs!$A:$B,2,FALSE),VLOOKUP($A131,'SegEnds_NonXtal_Prot#'!$A:$AL,22,FALSE)+10,1)</f>
        <v>S</v>
      </c>
      <c r="AG131" s="28" t="str">
        <f>MID(VLOOKUP($A131,Seqs!$A:$B,2,FALSE),VLOOKUP($A131,'SegEnds_NonXtal_Prot#'!$A:$AL,28,FALSE)-4,1)</f>
        <v>G</v>
      </c>
      <c r="AH131" s="49" t="str">
        <f>MID(VLOOKUP($A131,Seqs!$A:$B,2,FALSE),VLOOKUP($A131,'SegEnds_NonXtal_Prot#'!$A:$AL,28,FALSE),1)</f>
        <v>P</v>
      </c>
    </row>
    <row r="132" spans="1:34" s="2" customFormat="1" x14ac:dyDescent="0.2">
      <c r="A132" s="2" t="s">
        <v>225</v>
      </c>
      <c r="B132" s="2" t="str">
        <f>LOWER(VLOOKUP(A132,Xtal_Templ!A:B,2,FALSE))</f>
        <v>p2y12_human</v>
      </c>
      <c r="C132" s="2" t="str">
        <f>VLOOKUP(A132,Classification!A:D,2,FALSE)</f>
        <v>A</v>
      </c>
      <c r="D132" s="2" t="str">
        <f>IF(ISERROR(MATCH(A132,'SegEnds_Xtal_Prot#'!B:B, 0)), "NoXtal", "Xtal")</f>
        <v>NoXtal</v>
      </c>
      <c r="H132" s="4"/>
      <c r="T132" s="4" t="s">
        <v>12</v>
      </c>
      <c r="V132" s="28" t="str">
        <f>MID(VLOOKUP($A132,Seqs!$A:$B,2,FALSE),VLOOKUP($A132,'SegEnds_NonXtal_Prot#'!A:AL,10,FALSE),1)</f>
        <v>D</v>
      </c>
      <c r="W132" s="49" t="str">
        <f>MID(VLOOKUP($A132,Seqs!$A:$B,2,FALSE),VLOOKUP($A132,'SegEnds_NonXtal_Prot#'!A:AL,10,FALSE)+6,1)</f>
        <v>N</v>
      </c>
      <c r="X132" s="49" t="str">
        <f>MID(VLOOKUP($A132,Seqs!$A:$B,2,FALSE),VLOOKUP($A132,'SegEnds_NonXtal_Prot#'!A:AL,10,FALSE)+7,1)</f>
        <v>I</v>
      </c>
      <c r="Y132" s="49" t="str">
        <f>MID(VLOOKUP($A132,Seqs!$A:$B,2,FALSE),VLOOKUP($A132,'SegEnds_NonXtal_Prot#'!A:AL,10,FALSE)+8,1)</f>
        <v>S</v>
      </c>
      <c r="Z132" s="49" t="str">
        <f>MID(VLOOKUP($A132,Seqs!$A:$B,2,FALSE),VLOOKUP($A132,'SegEnds_NonXtal_Prot#'!A:AL,10,FALSE)+9,1)</f>
        <v>I</v>
      </c>
      <c r="AA132" s="49" t="str">
        <f>MID(VLOOKUP($A132,Seqs!$A:$B,2,FALSE),VLOOKUP($A132,'SegEnds_NonXtal_Prot#'!A:AL,10,FALSE)+10,1)</f>
        <v>I</v>
      </c>
      <c r="AB132" s="28" t="str">
        <f>MID(VLOOKUP($A132,Seqs!$A:$B,2,FALSE),VLOOKUP($A132,'SegEnds_NonXtal_Prot#'!$A:$AL,22,FALSE)+6,1)</f>
        <v>Y</v>
      </c>
      <c r="AC132" s="49" t="str">
        <f>MID(VLOOKUP($A132,Seqs!$A:$B,2,FALSE),VLOOKUP($A132,'SegEnds_NonXtal_Prot#'!$A:$AL,22,FALSE)+7,1)</f>
        <v>V</v>
      </c>
      <c r="AD132" s="49" t="str">
        <f>MID(VLOOKUP($A132,Seqs!$A:$B,2,FALSE),VLOOKUP($A132,'SegEnds_NonXtal_Prot#'!$A:$AL,22,FALSE)+8,1)</f>
        <v>L</v>
      </c>
      <c r="AE132" s="49" t="str">
        <f>MID(VLOOKUP($A132,Seqs!$A:$B,2,FALSE),VLOOKUP($A132,'SegEnds_NonXtal_Prot#'!$A:$AL,22,FALSE)+9,1)</f>
        <v>G</v>
      </c>
      <c r="AF132" s="49" t="str">
        <f>MID(VLOOKUP($A132,Seqs!$A:$B,2,FALSE),VLOOKUP($A132,'SegEnds_NonXtal_Prot#'!$A:$AL,22,FALSE)+10,1)</f>
        <v>D</v>
      </c>
      <c r="AG132" s="28" t="str">
        <f>MID(VLOOKUP($A132,Seqs!$A:$B,2,FALSE),VLOOKUP($A132,'SegEnds_NonXtal_Prot#'!$A:$AL,28,FALSE)-4,1)</f>
        <v>I</v>
      </c>
      <c r="AH132" s="49" t="str">
        <f>MID(VLOOKUP($A132,Seqs!$A:$B,2,FALSE),VLOOKUP($A132,'SegEnds_NonXtal_Prot#'!$A:$AL,28,FALSE),1)</f>
        <v>A</v>
      </c>
    </row>
    <row r="133" spans="1:34" s="2" customFormat="1" x14ac:dyDescent="0.2">
      <c r="A133" s="2" t="s">
        <v>244</v>
      </c>
      <c r="B133" s="2" t="str">
        <f>LOWER(VLOOKUP(A133,Xtal_Templ!A:B,2,FALSE))</f>
        <v>5ht2c_human</v>
      </c>
      <c r="C133" s="2" t="str">
        <f>VLOOKUP(A133,Classification!A:D,2,FALSE)</f>
        <v>A</v>
      </c>
      <c r="D133" s="2" t="str">
        <f>IF(ISERROR(MATCH(A133,'SegEnds_Xtal_Prot#'!B:B, 0)), "NoXtal", "Xtal")</f>
        <v>NoXtal</v>
      </c>
      <c r="G133" s="2" t="s">
        <v>5</v>
      </c>
      <c r="H133" s="4"/>
      <c r="T133" s="4" t="s">
        <v>12</v>
      </c>
      <c r="V133" s="28" t="str">
        <f>MID(VLOOKUP($A133,Seqs!$A:$B,2,FALSE),VLOOKUP($A133,'SegEnds_NonXtal_Prot#'!A:AL,10,FALSE),1)</f>
        <v>D</v>
      </c>
      <c r="W133" s="49" t="str">
        <f>MID(VLOOKUP($A133,Seqs!$A:$B,2,FALSE),VLOOKUP($A133,'SegEnds_NonXtal_Prot#'!A:AL,10,FALSE)+6,1)</f>
        <v>G</v>
      </c>
      <c r="X133" s="49" t="str">
        <f>MID(VLOOKUP($A133,Seqs!$A:$B,2,FALSE),VLOOKUP($A133,'SegEnds_NonXtal_Prot#'!A:AL,10,FALSE)+7,1)</f>
        <v>C</v>
      </c>
      <c r="Y133" s="49" t="str">
        <f>MID(VLOOKUP($A133,Seqs!$A:$B,2,FALSE),VLOOKUP($A133,'SegEnds_NonXtal_Prot#'!A:AL,10,FALSE)+8,1)</f>
        <v>I</v>
      </c>
      <c r="Z133" s="49" t="str">
        <f>MID(VLOOKUP($A133,Seqs!$A:$B,2,FALSE),VLOOKUP($A133,'SegEnds_NonXtal_Prot#'!A:AL,10,FALSE)+9,1)</f>
        <v>P</v>
      </c>
      <c r="AA133" s="49" t="str">
        <f>MID(VLOOKUP($A133,Seqs!$A:$B,2,FALSE),VLOOKUP($A133,'SegEnds_NonXtal_Prot#'!A:AL,10,FALSE)+10,1)</f>
        <v>L</v>
      </c>
      <c r="AB133" s="28" t="str">
        <f>MID(VLOOKUP($A133,Seqs!$A:$B,2,FALSE),VLOOKUP($A133,'SegEnds_NonXtal_Prot#'!$A:$AL,22,FALSE)+6,1)</f>
        <v>S</v>
      </c>
      <c r="AC133" s="49" t="str">
        <f>MID(VLOOKUP($A133,Seqs!$A:$B,2,FALSE),VLOOKUP($A133,'SegEnds_NonXtal_Prot#'!$A:$AL,22,FALSE)+7,1)</f>
        <v>F</v>
      </c>
      <c r="AD133" s="49" t="str">
        <f>MID(VLOOKUP($A133,Seqs!$A:$B,2,FALSE),VLOOKUP($A133,'SegEnds_NonXtal_Prot#'!$A:$AL,22,FALSE)+8,1)</f>
        <v>L</v>
      </c>
      <c r="AE133" s="49" t="str">
        <f>MID(VLOOKUP($A133,Seqs!$A:$B,2,FALSE),VLOOKUP($A133,'SegEnds_NonXtal_Prot#'!$A:$AL,22,FALSE)+9,1)</f>
        <v>I</v>
      </c>
      <c r="AF133" s="49" t="str">
        <f>MID(VLOOKUP($A133,Seqs!$A:$B,2,FALSE),VLOOKUP($A133,'SegEnds_NonXtal_Prot#'!$A:$AL,22,FALSE)+10,1)</f>
        <v>P</v>
      </c>
      <c r="AG133" s="28" t="str">
        <f>MID(VLOOKUP($A133,Seqs!$A:$B,2,FALSE),VLOOKUP($A133,'SegEnds_NonXtal_Prot#'!$A:$AL,28,FALSE)-4,1)</f>
        <v>I</v>
      </c>
      <c r="AH133" s="49" t="str">
        <f>MID(VLOOKUP($A133,Seqs!$A:$B,2,FALSE),VLOOKUP($A133,'SegEnds_NonXtal_Prot#'!$A:$AL,28,FALSE),1)</f>
        <v>T</v>
      </c>
    </row>
    <row r="134" spans="1:34" s="2" customFormat="1" x14ac:dyDescent="0.2">
      <c r="A134" s="2" t="s">
        <v>277</v>
      </c>
      <c r="B134" s="2" t="str">
        <f>LOWER(VLOOKUP(A134,Xtal_Templ!A:B,2,FALSE))</f>
        <v>hrh1_human</v>
      </c>
      <c r="C134" s="2" t="str">
        <f>VLOOKUP(A134,Classification!A:D,2,FALSE)</f>
        <v>A</v>
      </c>
      <c r="D134" s="2" t="str">
        <f>IF(ISERROR(MATCH(A134,'SegEnds_Xtal_Prot#'!B:B, 0)), "NoXtal", "Xtal")</f>
        <v>Xtal</v>
      </c>
      <c r="G134" s="2" t="s">
        <v>5</v>
      </c>
      <c r="H134" s="4"/>
      <c r="L134" s="2" t="s">
        <v>20</v>
      </c>
      <c r="R134" s="2" t="s">
        <v>9</v>
      </c>
      <c r="T134" s="4" t="s">
        <v>12</v>
      </c>
      <c r="V134" s="28" t="str">
        <f>MID(VLOOKUP($A134,Seqs!$A:$B,2,FALSE),VLOOKUP($A134,'SegEnds_NonXtal_Prot#'!A:AL,10,FALSE),1)</f>
        <v>D</v>
      </c>
      <c r="W134" s="49" t="str">
        <f>MID(VLOOKUP($A134,Seqs!$A:$B,2,FALSE),VLOOKUP($A134,'SegEnds_NonXtal_Prot#'!A:AL,10,FALSE)+6,1)</f>
        <v>V</v>
      </c>
      <c r="X134" s="49" t="str">
        <f>MID(VLOOKUP($A134,Seqs!$A:$B,2,FALSE),VLOOKUP($A134,'SegEnds_NonXtal_Prot#'!A:AL,10,FALSE)+7,1)</f>
        <v>V</v>
      </c>
      <c r="Y134" s="49" t="str">
        <f>MID(VLOOKUP($A134,Seqs!$A:$B,2,FALSE),VLOOKUP($A134,'SegEnds_NonXtal_Prot#'!A:AL,10,FALSE)+8,1)</f>
        <v>M</v>
      </c>
      <c r="Z134" s="49" t="str">
        <f>MID(VLOOKUP($A134,Seqs!$A:$B,2,FALSE),VLOOKUP($A134,'SegEnds_NonXtal_Prot#'!A:AL,10,FALSE)+9,1)</f>
        <v>P</v>
      </c>
      <c r="AA134" s="49" t="str">
        <f>MID(VLOOKUP($A134,Seqs!$A:$B,2,FALSE),VLOOKUP($A134,'SegEnds_NonXtal_Prot#'!A:AL,10,FALSE)+10,1)</f>
        <v>M</v>
      </c>
      <c r="AB134" s="28" t="str">
        <f>MID(VLOOKUP($A134,Seqs!$A:$B,2,FALSE),VLOOKUP($A134,'SegEnds_NonXtal_Prot#'!$A:$AL,22,FALSE)+6,1)</f>
        <v>W</v>
      </c>
      <c r="AC134" s="49" t="str">
        <f>MID(VLOOKUP($A134,Seqs!$A:$B,2,FALSE),VLOOKUP($A134,'SegEnds_NonXtal_Prot#'!$A:$AL,22,FALSE)+7,1)</f>
        <v>V</v>
      </c>
      <c r="AD134" s="49" t="str">
        <f>MID(VLOOKUP($A134,Seqs!$A:$B,2,FALSE),VLOOKUP($A134,'SegEnds_NonXtal_Prot#'!$A:$AL,22,FALSE)+8,1)</f>
        <v>I</v>
      </c>
      <c r="AE134" s="49" t="str">
        <f>MID(VLOOKUP($A134,Seqs!$A:$B,2,FALSE),VLOOKUP($A134,'SegEnds_NonXtal_Prot#'!$A:$AL,22,FALSE)+9,1)</f>
        <v>P</v>
      </c>
      <c r="AF134" s="49" t="str">
        <f>MID(VLOOKUP($A134,Seqs!$A:$B,2,FALSE),VLOOKUP($A134,'SegEnds_NonXtal_Prot#'!$A:$AL,22,FALSE)+10,1)</f>
        <v>I</v>
      </c>
      <c r="AG134" s="28" t="str">
        <f>MID(VLOOKUP($A134,Seqs!$A:$B,2,FALSE),VLOOKUP($A134,'SegEnds_NonXtal_Prot#'!$A:$AL,28,FALSE)-4,1)</f>
        <v>N</v>
      </c>
      <c r="AH134" s="49" t="str">
        <f>MID(VLOOKUP($A134,Seqs!$A:$B,2,FALSE),VLOOKUP($A134,'SegEnds_NonXtal_Prot#'!$A:$AL,28,FALSE),1)</f>
        <v>P</v>
      </c>
    </row>
    <row r="135" spans="1:34" s="2" customFormat="1" x14ac:dyDescent="0.2">
      <c r="A135" s="2" t="s">
        <v>248</v>
      </c>
      <c r="B135" s="2" t="str">
        <f>LOWER(VLOOKUP(A135,Xtal_Templ!A:B,2,FALSE))</f>
        <v>lpar1_human</v>
      </c>
      <c r="C135" s="2" t="str">
        <f>VLOOKUP(A135,Classification!A:D,2,FALSE)</f>
        <v>A</v>
      </c>
      <c r="D135" s="2" t="str">
        <f>IF(ISERROR(MATCH(A135,'SegEnds_Xtal_Prot#'!B:B, 0)), "NoXtal", "Xtal")</f>
        <v>NoXtal</v>
      </c>
      <c r="H135" s="4"/>
      <c r="T135" s="4" t="s">
        <v>12</v>
      </c>
      <c r="V135" s="28" t="str">
        <f>MID(VLOOKUP($A135,Seqs!$A:$B,2,FALSE),VLOOKUP($A135,'SegEnds_NonXtal_Prot#'!A:AL,10,FALSE),1)</f>
        <v>D</v>
      </c>
      <c r="W135" s="49" t="str">
        <f>MID(VLOOKUP($A135,Seqs!$A:$B,2,FALSE),VLOOKUP($A135,'SegEnds_NonXtal_Prot#'!A:AL,10,FALSE)+6,1)</f>
        <v>G</v>
      </c>
      <c r="X135" s="49" t="str">
        <f>MID(VLOOKUP($A135,Seqs!$A:$B,2,FALSE),VLOOKUP($A135,'SegEnds_NonXtal_Prot#'!A:AL,10,FALSE)+7,1)</f>
        <v>L</v>
      </c>
      <c r="Y135" s="49" t="str">
        <f>MID(VLOOKUP($A135,Seqs!$A:$B,2,FALSE),VLOOKUP($A135,'SegEnds_NonXtal_Prot#'!A:AL,10,FALSE)+8,1)</f>
        <v>V</v>
      </c>
      <c r="Z135" s="49" t="str">
        <f>MID(VLOOKUP($A135,Seqs!$A:$B,2,FALSE),VLOOKUP($A135,'SegEnds_NonXtal_Prot#'!A:AL,10,FALSE)+9,1)</f>
        <v>L</v>
      </c>
      <c r="AA135" s="49" t="str">
        <f>MID(VLOOKUP($A135,Seqs!$A:$B,2,FALSE),VLOOKUP($A135,'SegEnds_NonXtal_Prot#'!A:AL,10,FALSE)+10,1)</f>
        <v>H</v>
      </c>
      <c r="AB135" s="28" t="str">
        <f>MID(VLOOKUP($A135,Seqs!$A:$B,2,FALSE),VLOOKUP($A135,'SegEnds_NonXtal_Prot#'!$A:$AL,22,FALSE)+6,1)</f>
        <v>L</v>
      </c>
      <c r="AC135" s="49" t="str">
        <f>MID(VLOOKUP($A135,Seqs!$A:$B,2,FALSE),VLOOKUP($A135,'SegEnds_NonXtal_Prot#'!$A:$AL,22,FALSE)+7,1)</f>
        <v>G</v>
      </c>
      <c r="AD135" s="49" t="str">
        <f>MID(VLOOKUP($A135,Seqs!$A:$B,2,FALSE),VLOOKUP($A135,'SegEnds_NonXtal_Prot#'!$A:$AL,22,FALSE)+8,1)</f>
        <v>L</v>
      </c>
      <c r="AE135" s="49" t="str">
        <f>MID(VLOOKUP($A135,Seqs!$A:$B,2,FALSE),VLOOKUP($A135,'SegEnds_NonXtal_Prot#'!$A:$AL,22,FALSE)+9,1)</f>
        <v>L</v>
      </c>
      <c r="AF135" s="49" t="str">
        <f>MID(VLOOKUP($A135,Seqs!$A:$B,2,FALSE),VLOOKUP($A135,'SegEnds_NonXtal_Prot#'!$A:$AL,22,FALSE)+10,1)</f>
        <v>P</v>
      </c>
      <c r="AG135" s="28" t="str">
        <f>MID(VLOOKUP($A135,Seqs!$A:$B,2,FALSE),VLOOKUP($A135,'SegEnds_NonXtal_Prot#'!$A:$AL,28,FALSE)-4,1)</f>
        <v>A</v>
      </c>
      <c r="AH135" s="49" t="str">
        <f>MID(VLOOKUP($A135,Seqs!$A:$B,2,FALSE),VLOOKUP($A135,'SegEnds_NonXtal_Prot#'!$A:$AL,28,FALSE),1)</f>
        <v>V</v>
      </c>
    </row>
    <row r="136" spans="1:34" s="2" customFormat="1" x14ac:dyDescent="0.2">
      <c r="A136" s="2" t="s">
        <v>103</v>
      </c>
      <c r="B136" s="2" t="str">
        <f>LOWER(VLOOKUP(A136,Xtal_Templ!A:B,2,FALSE))</f>
        <v>lpar1_human</v>
      </c>
      <c r="C136" s="2" t="str">
        <f>VLOOKUP(A136,Classification!A:D,2,FALSE)</f>
        <v>A</v>
      </c>
      <c r="D136" s="2" t="str">
        <f>IF(ISERROR(MATCH(A136,'SegEnds_Xtal_Prot#'!B:B, 0)), "NoXtal", "Xtal")</f>
        <v>Xtal</v>
      </c>
      <c r="H136" s="4"/>
      <c r="I136" s="2" t="s">
        <v>21</v>
      </c>
      <c r="T136" s="4" t="s">
        <v>12</v>
      </c>
      <c r="V136" s="28" t="str">
        <f>MID(VLOOKUP($A136,Seqs!$A:$B,2,FALSE),VLOOKUP($A136,'SegEnds_NonXtal_Prot#'!A:AL,10,FALSE),1)</f>
        <v>D</v>
      </c>
      <c r="W136" s="49" t="str">
        <f>MID(VLOOKUP($A136,Seqs!$A:$B,2,FALSE),VLOOKUP($A136,'SegEnds_NonXtal_Prot#'!A:AL,10,FALSE)+6,1)</f>
        <v>A</v>
      </c>
      <c r="X136" s="49" t="str">
        <f>MID(VLOOKUP($A136,Seqs!$A:$B,2,FALSE),VLOOKUP($A136,'SegEnds_NonXtal_Prot#'!A:AL,10,FALSE)+7,1)</f>
        <v>Y</v>
      </c>
      <c r="Y136" s="49" t="str">
        <f>MID(VLOOKUP($A136,Seqs!$A:$B,2,FALSE),VLOOKUP($A136,'SegEnds_NonXtal_Prot#'!A:AL,10,FALSE)+8,1)</f>
        <v>F</v>
      </c>
      <c r="Z136" s="49" t="str">
        <f>MID(VLOOKUP($A136,Seqs!$A:$B,2,FALSE),VLOOKUP($A136,'SegEnds_NonXtal_Prot#'!A:AL,10,FALSE)+9,1)</f>
        <v>Y</v>
      </c>
      <c r="AA136" s="49" t="str">
        <f>MID(VLOOKUP($A136,Seqs!$A:$B,2,FALSE),VLOOKUP($A136,'SegEnds_NonXtal_Prot#'!A:AL,10,FALSE)+10,1)</f>
        <v>L</v>
      </c>
      <c r="AB136" s="28" t="str">
        <f>MID(VLOOKUP($A136,Seqs!$A:$B,2,FALSE),VLOOKUP($A136,'SegEnds_NonXtal_Prot#'!$A:$AL,22,FALSE)+6,1)</f>
        <v>M</v>
      </c>
      <c r="AC136" s="49" t="str">
        <f>MID(VLOOKUP($A136,Seqs!$A:$B,2,FALSE),VLOOKUP($A136,'SegEnds_NonXtal_Prot#'!$A:$AL,22,FALSE)+7,1)</f>
        <v>G</v>
      </c>
      <c r="AD136" s="49" t="str">
        <f>MID(VLOOKUP($A136,Seqs!$A:$B,2,FALSE),VLOOKUP($A136,'SegEnds_NonXtal_Prot#'!$A:$AL,22,FALSE)+8,1)</f>
        <v>A</v>
      </c>
      <c r="AE136" s="49" t="str">
        <f>MID(VLOOKUP($A136,Seqs!$A:$B,2,FALSE),VLOOKUP($A136,'SegEnds_NonXtal_Prot#'!$A:$AL,22,FALSE)+9,1)</f>
        <v>I</v>
      </c>
      <c r="AF136" s="49" t="str">
        <f>MID(VLOOKUP($A136,Seqs!$A:$B,2,FALSE),VLOOKUP($A136,'SegEnds_NonXtal_Prot#'!$A:$AL,22,FALSE)+10,1)</f>
        <v>P</v>
      </c>
      <c r="AG136" s="28" t="str">
        <f>MID(VLOOKUP($A136,Seqs!$A:$B,2,FALSE),VLOOKUP($A136,'SegEnds_NonXtal_Prot#'!$A:$AL,28,FALSE)-4,1)</f>
        <v>F</v>
      </c>
      <c r="AH136" s="49" t="str">
        <f>MID(VLOOKUP($A136,Seqs!$A:$B,2,FALSE),VLOOKUP($A136,'SegEnds_NonXtal_Prot#'!$A:$AL,28,FALSE),1)</f>
        <v>T</v>
      </c>
    </row>
    <row r="137" spans="1:34" s="2" customFormat="1" x14ac:dyDescent="0.2">
      <c r="A137" s="2" t="s">
        <v>285</v>
      </c>
      <c r="B137" s="2" t="str">
        <f>LOWER(VLOOKUP(A137,Xtal_Templ!A:B,2,FALSE))</f>
        <v>lpar1_human</v>
      </c>
      <c r="C137" s="2" t="str">
        <f>VLOOKUP(A137,Classification!A:D,2,FALSE)</f>
        <v>A</v>
      </c>
      <c r="D137" s="2" t="str">
        <f>IF(ISERROR(MATCH(A137,'SegEnds_Xtal_Prot#'!B:B, 0)), "NoXtal", "Xtal")</f>
        <v>NoXtal</v>
      </c>
      <c r="H137" s="4"/>
      <c r="I137" s="2" t="s">
        <v>21</v>
      </c>
      <c r="T137" s="4" t="s">
        <v>12</v>
      </c>
      <c r="V137" s="28" t="str">
        <f>MID(VLOOKUP($A137,Seqs!$A:$B,2,FALSE),VLOOKUP($A137,'SegEnds_NonXtal_Prot#'!A:AL,10,FALSE),1)</f>
        <v>D</v>
      </c>
      <c r="W137" s="49" t="str">
        <f>MID(VLOOKUP($A137,Seqs!$A:$B,2,FALSE),VLOOKUP($A137,'SegEnds_NonXtal_Prot#'!A:AL,10,FALSE)+6,1)</f>
        <v>A</v>
      </c>
      <c r="X137" s="49" t="str">
        <f>MID(VLOOKUP($A137,Seqs!$A:$B,2,FALSE),VLOOKUP($A137,'SegEnds_NonXtal_Prot#'!A:AL,10,FALSE)+7,1)</f>
        <v>Y</v>
      </c>
      <c r="Y137" s="49" t="str">
        <f>MID(VLOOKUP($A137,Seqs!$A:$B,2,FALSE),VLOOKUP($A137,'SegEnds_NonXtal_Prot#'!A:AL,10,FALSE)+8,1)</f>
        <v>L</v>
      </c>
      <c r="Z137" s="49" t="str">
        <f>MID(VLOOKUP($A137,Seqs!$A:$B,2,FALSE),VLOOKUP($A137,'SegEnds_NonXtal_Prot#'!A:AL,10,FALSE)+9,1)</f>
        <v>F</v>
      </c>
      <c r="AA137" s="49" t="str">
        <f>MID(VLOOKUP($A137,Seqs!$A:$B,2,FALSE),VLOOKUP($A137,'SegEnds_NonXtal_Prot#'!A:AL,10,FALSE)+10,1)</f>
        <v>L</v>
      </c>
      <c r="AB137" s="28" t="str">
        <f>MID(VLOOKUP($A137,Seqs!$A:$B,2,FALSE),VLOOKUP($A137,'SegEnds_NonXtal_Prot#'!$A:$AL,22,FALSE)+6,1)</f>
        <v>L</v>
      </c>
      <c r="AC137" s="49" t="str">
        <f>MID(VLOOKUP($A137,Seqs!$A:$B,2,FALSE),VLOOKUP($A137,'SegEnds_NonXtal_Prot#'!$A:$AL,22,FALSE)+7,1)</f>
        <v>G</v>
      </c>
      <c r="AD137" s="49" t="str">
        <f>MID(VLOOKUP($A137,Seqs!$A:$B,2,FALSE),VLOOKUP($A137,'SegEnds_NonXtal_Prot#'!$A:$AL,22,FALSE)+8,1)</f>
        <v>L</v>
      </c>
      <c r="AE137" s="49" t="str">
        <f>MID(VLOOKUP($A137,Seqs!$A:$B,2,FALSE),VLOOKUP($A137,'SegEnds_NonXtal_Prot#'!$A:$AL,22,FALSE)+9,1)</f>
        <v>L</v>
      </c>
      <c r="AF137" s="49" t="str">
        <f>MID(VLOOKUP($A137,Seqs!$A:$B,2,FALSE),VLOOKUP($A137,'SegEnds_NonXtal_Prot#'!$A:$AL,22,FALSE)+10,1)</f>
        <v>P</v>
      </c>
      <c r="AG137" s="28" t="str">
        <f>MID(VLOOKUP($A137,Seqs!$A:$B,2,FALSE),VLOOKUP($A137,'SegEnds_NonXtal_Prot#'!$A:$AL,28,FALSE)-4,1)</f>
        <v>S</v>
      </c>
      <c r="AH137" s="49" t="str">
        <f>MID(VLOOKUP($A137,Seqs!$A:$B,2,FALSE),VLOOKUP($A137,'SegEnds_NonXtal_Prot#'!$A:$AL,28,FALSE),1)</f>
        <v>V</v>
      </c>
    </row>
    <row r="138" spans="1:34" s="2" customFormat="1" x14ac:dyDescent="0.2">
      <c r="A138" s="2" t="s">
        <v>286</v>
      </c>
      <c r="B138" s="2" t="str">
        <f>LOWER(VLOOKUP(A138,Xtal_Templ!A:B,2,FALSE))</f>
        <v>lpar1_human</v>
      </c>
      <c r="C138" s="2" t="str">
        <f>VLOOKUP(A138,Classification!A:D,2,FALSE)</f>
        <v>A</v>
      </c>
      <c r="D138" s="2" t="str">
        <f>IF(ISERROR(MATCH(A138,'SegEnds_Xtal_Prot#'!B:B, 0)), "NoXtal", "Xtal")</f>
        <v>NoXtal</v>
      </c>
      <c r="H138" s="4"/>
      <c r="I138" s="2" t="s">
        <v>21</v>
      </c>
      <c r="T138" s="4" t="s">
        <v>12</v>
      </c>
      <c r="V138" s="28" t="str">
        <f>MID(VLOOKUP($A138,Seqs!$A:$B,2,FALSE),VLOOKUP($A138,'SegEnds_NonXtal_Prot#'!A:AL,10,FALSE),1)</f>
        <v>D</v>
      </c>
      <c r="W138" s="49" t="str">
        <f>MID(VLOOKUP($A138,Seqs!$A:$B,2,FALSE),VLOOKUP($A138,'SegEnds_NonXtal_Prot#'!A:AL,10,FALSE)+6,1)</f>
        <v>A</v>
      </c>
      <c r="X138" s="49" t="str">
        <f>MID(VLOOKUP($A138,Seqs!$A:$B,2,FALSE),VLOOKUP($A138,'SegEnds_NonXtal_Prot#'!A:AL,10,FALSE)+7,1)</f>
        <v>Y</v>
      </c>
      <c r="Y138" s="49" t="str">
        <f>MID(VLOOKUP($A138,Seqs!$A:$B,2,FALSE),VLOOKUP($A138,'SegEnds_NonXtal_Prot#'!A:AL,10,FALSE)+8,1)</f>
        <v>V</v>
      </c>
      <c r="Z138" s="49" t="str">
        <f>MID(VLOOKUP($A138,Seqs!$A:$B,2,FALSE),VLOOKUP($A138,'SegEnds_NonXtal_Prot#'!A:AL,10,FALSE)+9,1)</f>
        <v>F</v>
      </c>
      <c r="AA138" s="49" t="str">
        <f>MID(VLOOKUP($A138,Seqs!$A:$B,2,FALSE),VLOOKUP($A138,'SegEnds_NonXtal_Prot#'!A:AL,10,FALSE)+10,1)</f>
        <v>L</v>
      </c>
      <c r="AB138" s="28" t="str">
        <f>MID(VLOOKUP($A138,Seqs!$A:$B,2,FALSE),VLOOKUP($A138,'SegEnds_NonXtal_Prot#'!$A:$AL,22,FALSE)+6,1)</f>
        <v>M</v>
      </c>
      <c r="AC138" s="49" t="str">
        <f>MID(VLOOKUP($A138,Seqs!$A:$B,2,FALSE),VLOOKUP($A138,'SegEnds_NonXtal_Prot#'!$A:$AL,22,FALSE)+7,1)</f>
        <v>G</v>
      </c>
      <c r="AD138" s="49" t="str">
        <f>MID(VLOOKUP($A138,Seqs!$A:$B,2,FALSE),VLOOKUP($A138,'SegEnds_NonXtal_Prot#'!$A:$AL,22,FALSE)+8,1)</f>
        <v>A</v>
      </c>
      <c r="AE138" s="49" t="str">
        <f>MID(VLOOKUP($A138,Seqs!$A:$B,2,FALSE),VLOOKUP($A138,'SegEnds_NonXtal_Prot#'!$A:$AL,22,FALSE)+9,1)</f>
        <v>V</v>
      </c>
      <c r="AF138" s="49" t="str">
        <f>MID(VLOOKUP($A138,Seqs!$A:$B,2,FALSE),VLOOKUP($A138,'SegEnds_NonXtal_Prot#'!$A:$AL,22,FALSE)+10,1)</f>
        <v>P</v>
      </c>
      <c r="AG138" s="28" t="str">
        <f>MID(VLOOKUP($A138,Seqs!$A:$B,2,FALSE),VLOOKUP($A138,'SegEnds_NonXtal_Prot#'!$A:$AL,28,FALSE)-4,1)</f>
        <v>S</v>
      </c>
      <c r="AH138" s="49" t="str">
        <f>MID(VLOOKUP($A138,Seqs!$A:$B,2,FALSE),VLOOKUP($A138,'SegEnds_NonXtal_Prot#'!$A:$AL,28,FALSE),1)</f>
        <v>A</v>
      </c>
    </row>
    <row r="139" spans="1:34" s="2" customFormat="1" x14ac:dyDescent="0.2">
      <c r="A139" s="2" t="s">
        <v>1434</v>
      </c>
      <c r="B139" s="2" t="str">
        <f>LOWER(VLOOKUP(A139,Xtal_Templ!A:B,2,FALSE))</f>
        <v>q08bg4_danre</v>
      </c>
      <c r="C139" s="2" t="str">
        <f>VLOOKUP(A139,Classification!A:D,2,FALSE)</f>
        <v>A</v>
      </c>
      <c r="D139" s="2" t="str">
        <f>IF(ISERROR(MATCH(A139,'SegEnds_Xtal_Prot#'!B:B, 0)), "NoXtal", "Xtal")</f>
        <v>Xtal</v>
      </c>
      <c r="H139" s="4"/>
      <c r="R139" s="2" t="s">
        <v>9</v>
      </c>
      <c r="T139" s="4" t="s">
        <v>12</v>
      </c>
      <c r="V139" s="28" t="str">
        <f>MID(VLOOKUP($A139,Seqs!$A:$B,2,FALSE),VLOOKUP($A139,'SegEnds_NonXtal_Prot#'!A:AL,10,FALSE),1)</f>
        <v>D</v>
      </c>
      <c r="W139" s="49" t="str">
        <f>MID(VLOOKUP($A139,Seqs!$A:$B,2,FALSE),VLOOKUP($A139,'SegEnds_NonXtal_Prot#'!A:AL,10,FALSE)+6,1)</f>
        <v>T</v>
      </c>
      <c r="X139" s="49" t="str">
        <f>MID(VLOOKUP($A139,Seqs!$A:$B,2,FALSE),VLOOKUP($A139,'SegEnds_NonXtal_Prot#'!A:AL,10,FALSE)+7,1)</f>
        <v>L</v>
      </c>
      <c r="Y139" s="49" t="str">
        <f>MID(VLOOKUP($A139,Seqs!$A:$B,2,FALSE),VLOOKUP($A139,'SegEnds_NonXtal_Prot#'!A:AL,10,FALSE)+8,1)</f>
        <v>P</v>
      </c>
      <c r="Z139" s="49" t="str">
        <f>MID(VLOOKUP($A139,Seqs!$A:$B,2,FALSE),VLOOKUP($A139,'SegEnds_NonXtal_Prot#'!A:AL,10,FALSE)+9,1)</f>
        <v>L</v>
      </c>
      <c r="AA139" s="49" t="str">
        <f>MID(VLOOKUP($A139,Seqs!$A:$B,2,FALSE),VLOOKUP($A139,'SegEnds_NonXtal_Prot#'!A:AL,10,FALSE)+10,1)</f>
        <v>R</v>
      </c>
      <c r="AB139" s="28" t="str">
        <f>MID(VLOOKUP($A139,Seqs!$A:$B,2,FALSE),VLOOKUP($A139,'SegEnds_NonXtal_Prot#'!$A:$AL,22,FALSE)+6,1)</f>
        <v>G</v>
      </c>
      <c r="AC139" s="49" t="str">
        <f>MID(VLOOKUP($A139,Seqs!$A:$B,2,FALSE),VLOOKUP($A139,'SegEnds_NonXtal_Prot#'!$A:$AL,22,FALSE)+7,1)</f>
        <v>S</v>
      </c>
      <c r="AD139" s="49" t="str">
        <f>MID(VLOOKUP($A139,Seqs!$A:$B,2,FALSE),VLOOKUP($A139,'SegEnds_NonXtal_Prot#'!$A:$AL,22,FALSE)+8,1)</f>
        <v>L</v>
      </c>
      <c r="AE139" s="49" t="str">
        <f>MID(VLOOKUP($A139,Seqs!$A:$B,2,FALSE),VLOOKUP($A139,'SegEnds_NonXtal_Prot#'!$A:$AL,22,FALSE)+9,1)</f>
        <v>P</v>
      </c>
      <c r="AF139" s="49" t="str">
        <f>MID(VLOOKUP($A139,Seqs!$A:$B,2,FALSE),VLOOKUP($A139,'SegEnds_NonXtal_Prot#'!$A:$AL,22,FALSE)+10,1)</f>
        <v>T</v>
      </c>
      <c r="AG139" s="28" t="str">
        <f>MID(VLOOKUP($A139,Seqs!$A:$B,2,FALSE),VLOOKUP($A139,'SegEnds_NonXtal_Prot#'!$A:$AL,28,FALSE)-4,1)</f>
        <v>G</v>
      </c>
      <c r="AH139" s="49" t="str">
        <f>MID(VLOOKUP($A139,Seqs!$A:$B,2,FALSE),VLOOKUP($A139,'SegEnds_NonXtal_Prot#'!$A:$AL,28,FALSE),1)</f>
        <v>P</v>
      </c>
    </row>
    <row r="140" spans="1:34" s="2" customFormat="1" x14ac:dyDescent="0.2">
      <c r="A140" s="2" t="s">
        <v>1445</v>
      </c>
      <c r="B140" s="2" t="str">
        <f>LOWER(VLOOKUP(A140,Xtal_Templ!A:B,2,FALSE))</f>
        <v>q9wtk1_cavpo</v>
      </c>
      <c r="C140" s="2" t="str">
        <f>VLOOKUP(A140,Classification!A:D,2,FALSE)</f>
        <v>A</v>
      </c>
      <c r="D140" s="2" t="str">
        <f>IF(ISERROR(MATCH(A140,'SegEnds_Xtal_Prot#'!B:B, 0)), "NoXtal", "Xtal")</f>
        <v>Xtal</v>
      </c>
      <c r="F140" s="121"/>
      <c r="G140" s="121"/>
      <c r="H140" s="121"/>
      <c r="I140" s="121"/>
      <c r="J140" s="121"/>
      <c r="K140" s="121"/>
      <c r="L140" s="121"/>
      <c r="M140" s="121"/>
      <c r="N140" s="122" t="s">
        <v>14</v>
      </c>
      <c r="O140" s="121"/>
      <c r="P140" s="121"/>
      <c r="Q140" s="121"/>
      <c r="R140" s="121" t="s">
        <v>9</v>
      </c>
      <c r="S140" s="121"/>
      <c r="T140" s="121" t="s">
        <v>12</v>
      </c>
      <c r="U140" s="121"/>
      <c r="V140" s="28" t="str">
        <f>MID(VLOOKUP($A140,Seqs!$A:$B,2,FALSE),VLOOKUP($A140,'SegEnds_NonXtal_Prot#'!A:AL,10,FALSE),1)</f>
        <v>D</v>
      </c>
      <c r="W140" s="49" t="str">
        <f>MID(VLOOKUP($A140,Seqs!$A:$B,2,FALSE),VLOOKUP($A140,'SegEnds_NonXtal_Prot#'!A:AL,10,FALSE)+6,1)</f>
        <v>T</v>
      </c>
      <c r="X140" s="49" t="str">
        <f>MID(VLOOKUP($A140,Seqs!$A:$B,2,FALSE),VLOOKUP($A140,'SegEnds_NonXtal_Prot#'!A:AL,10,FALSE)+7,1)</f>
        <v>A</v>
      </c>
      <c r="Y140" s="49" t="str">
        <f>MID(VLOOKUP($A140,Seqs!$A:$B,2,FALSE),VLOOKUP($A140,'SegEnds_NonXtal_Prot#'!A:AL,10,FALSE)+8,1)</f>
        <v>P</v>
      </c>
      <c r="Z140" s="49" t="str">
        <f>MID(VLOOKUP($A140,Seqs!$A:$B,2,FALSE),VLOOKUP($A140,'SegEnds_NonXtal_Prot#'!A:AL,10,FALSE)+9,1)</f>
        <v>F</v>
      </c>
      <c r="AA140" s="49" t="str">
        <f>MID(VLOOKUP($A140,Seqs!$A:$B,2,FALSE),VLOOKUP($A140,'SegEnds_NonXtal_Prot#'!A:AL,10,FALSE)+10,1)</f>
        <v>F</v>
      </c>
      <c r="AB140" s="28" t="str">
        <f>MID(VLOOKUP($A140,Seqs!$A:$B,2,FALSE),VLOOKUP($A140,'SegEnds_NonXtal_Prot#'!$A:$AL,22,FALSE)+6,1)</f>
        <v>L</v>
      </c>
      <c r="AC140" s="49" t="str">
        <f>MID(VLOOKUP($A140,Seqs!$A:$B,2,FALSE),VLOOKUP($A140,'SegEnds_NonXtal_Prot#'!$A:$AL,22,FALSE)+7,1)</f>
        <v>A</v>
      </c>
      <c r="AD140" s="49" t="str">
        <f>MID(VLOOKUP($A140,Seqs!$A:$B,2,FALSE),VLOOKUP($A140,'SegEnds_NonXtal_Prot#'!$A:$AL,22,FALSE)+8,1)</f>
        <v>T</v>
      </c>
      <c r="AE140" s="49" t="str">
        <f>MID(VLOOKUP($A140,Seqs!$A:$B,2,FALSE),VLOOKUP($A140,'SegEnds_NonXtal_Prot#'!$A:$AL,22,FALSE)+9,1)</f>
        <v>P</v>
      </c>
      <c r="AF140" s="49" t="str">
        <f>MID(VLOOKUP($A140,Seqs!$A:$B,2,FALSE),VLOOKUP($A140,'SegEnds_NonXtal_Prot#'!$A:$AL,22,FALSE)+10,1)</f>
        <v>V</v>
      </c>
      <c r="AG140" s="28" t="str">
        <f>MID(VLOOKUP($A140,Seqs!$A:$B,2,FALSE),VLOOKUP($A140,'SegEnds_NonXtal_Prot#'!$A:$AL,28,FALSE)-4,1)</f>
        <v>G</v>
      </c>
      <c r="AH140" s="49" t="str">
        <f>MID(VLOOKUP($A140,Seqs!$A:$B,2,FALSE),VLOOKUP($A140,'SegEnds_NonXtal_Prot#'!$A:$AL,28,FALSE),1)</f>
        <v>P</v>
      </c>
    </row>
    <row r="141" spans="1:34" s="2" customFormat="1" x14ac:dyDescent="0.2">
      <c r="A141" s="2" t="s">
        <v>208</v>
      </c>
      <c r="B141" s="2" t="str">
        <f>LOWER(VLOOKUP(A141,Xtal_Templ!A:B,2,FALSE))</f>
        <v>ntr1_human</v>
      </c>
      <c r="C141" s="2" t="str">
        <f>VLOOKUP(A141,Classification!A:D,2,FALSE)</f>
        <v>A</v>
      </c>
      <c r="D141" s="2" t="str">
        <f>IF(ISERROR(MATCH(A141,'SegEnds_Xtal_Prot#'!B:B, 0)), "NoXtal", "Xtal")</f>
        <v>NoXtal</v>
      </c>
      <c r="H141" s="4"/>
      <c r="N141" s="2" t="s">
        <v>14</v>
      </c>
      <c r="T141" s="4" t="s">
        <v>12</v>
      </c>
      <c r="V141" s="28" t="str">
        <f>MID(VLOOKUP($A141,Seqs!$A:$B,2,FALSE),VLOOKUP($A141,'SegEnds_NonXtal_Prot#'!A:AL,10,FALSE),1)</f>
        <v>D</v>
      </c>
      <c r="W141" s="49" t="str">
        <f>MID(VLOOKUP($A141,Seqs!$A:$B,2,FALSE),VLOOKUP($A141,'SegEnds_NonXtal_Prot#'!A:AL,10,FALSE)+6,1)</f>
        <v>C</v>
      </c>
      <c r="X141" s="49" t="str">
        <f>MID(VLOOKUP($A141,Seqs!$A:$B,2,FALSE),VLOOKUP($A141,'SegEnds_NonXtal_Prot#'!A:AL,10,FALSE)+7,1)</f>
        <v>M</v>
      </c>
      <c r="Y141" s="49" t="str">
        <f>MID(VLOOKUP($A141,Seqs!$A:$B,2,FALSE),VLOOKUP($A141,'SegEnds_NonXtal_Prot#'!A:AL,10,FALSE)+8,1)</f>
        <v>P</v>
      </c>
      <c r="Z141" s="49" t="str">
        <f>MID(VLOOKUP($A141,Seqs!$A:$B,2,FALSE),VLOOKUP($A141,'SegEnds_NonXtal_Prot#'!A:AL,10,FALSE)+9,1)</f>
        <v>L</v>
      </c>
      <c r="AA141" s="49" t="str">
        <f>MID(VLOOKUP($A141,Seqs!$A:$B,2,FALSE),VLOOKUP($A141,'SegEnds_NonXtal_Prot#'!A:AL,10,FALSE)+10,1)</f>
        <v>D</v>
      </c>
      <c r="AB141" s="28" t="str">
        <f>MID(VLOOKUP($A141,Seqs!$A:$B,2,FALSE),VLOOKUP($A141,'SegEnds_NonXtal_Prot#'!$A:$AL,22,FALSE)+6,1)</f>
        <v>S</v>
      </c>
      <c r="AC141" s="49" t="str">
        <f>MID(VLOOKUP($A141,Seqs!$A:$B,2,FALSE),VLOOKUP($A141,'SegEnds_NonXtal_Prot#'!$A:$AL,22,FALSE)+7,1)</f>
        <v>A</v>
      </c>
      <c r="AD141" s="49" t="str">
        <f>MID(VLOOKUP($A141,Seqs!$A:$B,2,FALSE),VLOOKUP($A141,'SegEnds_NonXtal_Prot#'!$A:$AL,22,FALSE)+8,1)</f>
        <v>G</v>
      </c>
      <c r="AE141" s="49" t="str">
        <f>MID(VLOOKUP($A141,Seqs!$A:$B,2,FALSE),VLOOKUP($A141,'SegEnds_NonXtal_Prot#'!$A:$AL,22,FALSE)+9,1)</f>
        <v>P</v>
      </c>
      <c r="AF141" s="49" t="str">
        <f>MID(VLOOKUP($A141,Seqs!$A:$B,2,FALSE),VLOOKUP($A141,'SegEnds_NonXtal_Prot#'!$A:$AL,22,FALSE)+10,1)</f>
        <v>I</v>
      </c>
      <c r="AG141" s="28" t="str">
        <f>MID(VLOOKUP($A141,Seqs!$A:$B,2,FALSE),VLOOKUP($A141,'SegEnds_NonXtal_Prot#'!$A:$AL,28,FALSE)-4,1)</f>
        <v>F</v>
      </c>
      <c r="AH141" s="49" t="str">
        <f>MID(VLOOKUP($A141,Seqs!$A:$B,2,FALSE),VLOOKUP($A141,'SegEnds_NonXtal_Prot#'!$A:$AL,28,FALSE),1)</f>
        <v>P</v>
      </c>
    </row>
    <row r="142" spans="1:34" s="2" customFormat="1" x14ac:dyDescent="0.2">
      <c r="A142" s="2" t="s">
        <v>215</v>
      </c>
      <c r="B142" s="2" t="str">
        <f>LOWER(VLOOKUP(A142,Xtal_Templ!A:B,2,FALSE))</f>
        <v>5ht2c_human</v>
      </c>
      <c r="C142" s="2" t="str">
        <f>VLOOKUP(A142,Classification!A:D,2,FALSE)</f>
        <v>A</v>
      </c>
      <c r="D142" s="2" t="str">
        <f>IF(ISERROR(MATCH(A142,'SegEnds_Xtal_Prot#'!B:B, 0)), "NoXtal", "Xtal")</f>
        <v>NoXtal</v>
      </c>
      <c r="H142" s="4"/>
      <c r="R142" s="2" t="s">
        <v>9</v>
      </c>
      <c r="T142" s="4" t="s">
        <v>12</v>
      </c>
      <c r="V142" s="28" t="str">
        <f>MID(VLOOKUP($A142,Seqs!$A:$B,2,FALSE),VLOOKUP($A142,'SegEnds_NonXtal_Prot#'!A:AL,10,FALSE),1)</f>
        <v>D</v>
      </c>
      <c r="W142" s="49" t="str">
        <f>MID(VLOOKUP($A142,Seqs!$A:$B,2,FALSE),VLOOKUP($A142,'SegEnds_NonXtal_Prot#'!A:AL,10,FALSE)+6,1)</f>
        <v>F</v>
      </c>
      <c r="X142" s="49" t="str">
        <f>MID(VLOOKUP($A142,Seqs!$A:$B,2,FALSE),VLOOKUP($A142,'SegEnds_NonXtal_Prot#'!A:AL,10,FALSE)+7,1)</f>
        <v>I</v>
      </c>
      <c r="Y142" s="49" t="str">
        <f>MID(VLOOKUP($A142,Seqs!$A:$B,2,FALSE),VLOOKUP($A142,'SegEnds_NonXtal_Prot#'!A:AL,10,FALSE)+8,1)</f>
        <v>V</v>
      </c>
      <c r="Z142" s="49" t="str">
        <f>MID(VLOOKUP($A142,Seqs!$A:$B,2,FALSE),VLOOKUP($A142,'SegEnds_NonXtal_Prot#'!A:AL,10,FALSE)+9,1)</f>
        <v>F</v>
      </c>
      <c r="AA142" s="49" t="str">
        <f>MID(VLOOKUP($A142,Seqs!$A:$B,2,FALSE),VLOOKUP($A142,'SegEnds_NonXtal_Prot#'!A:AL,10,FALSE)+10,1)</f>
        <v>V</v>
      </c>
      <c r="AB142" s="28" t="str">
        <f>MID(VLOOKUP($A142,Seqs!$A:$B,2,FALSE),VLOOKUP($A142,'SegEnds_NonXtal_Prot#'!$A:$AL,22,FALSE)+6,1)</f>
        <v>L</v>
      </c>
      <c r="AC142" s="49" t="str">
        <f>MID(VLOOKUP($A142,Seqs!$A:$B,2,FALSE),VLOOKUP($A142,'SegEnds_NonXtal_Prot#'!$A:$AL,22,FALSE)+7,1)</f>
        <v>T</v>
      </c>
      <c r="AD142" s="49" t="str">
        <f>MID(VLOOKUP($A142,Seqs!$A:$B,2,FALSE),VLOOKUP($A142,'SegEnds_NonXtal_Prot#'!$A:$AL,22,FALSE)+8,1)</f>
        <v>S</v>
      </c>
      <c r="AE142" s="49" t="str">
        <f>MID(VLOOKUP($A142,Seqs!$A:$B,2,FALSE),VLOOKUP($A142,'SegEnds_NonXtal_Prot#'!$A:$AL,22,FALSE)+9,1)</f>
        <v>I</v>
      </c>
      <c r="AF142" s="49" t="str">
        <f>MID(VLOOKUP($A142,Seqs!$A:$B,2,FALSE),VLOOKUP($A142,'SegEnds_NonXtal_Prot#'!$A:$AL,22,FALSE)+10,1)</f>
        <v>P</v>
      </c>
      <c r="AG142" s="28" t="str">
        <f>MID(VLOOKUP($A142,Seqs!$A:$B,2,FALSE),VLOOKUP($A142,'SegEnds_NonXtal_Prot#'!$A:$AL,28,FALSE)-4,1)</f>
        <v>V</v>
      </c>
      <c r="AH142" s="49" t="str">
        <f>MID(VLOOKUP($A142,Seqs!$A:$B,2,FALSE),VLOOKUP($A142,'SegEnds_NonXtal_Prot#'!$A:$AL,28,FALSE),1)</f>
        <v>P</v>
      </c>
    </row>
    <row r="143" spans="1:34" s="2" customFormat="1" x14ac:dyDescent="0.2">
      <c r="A143" s="2" t="s">
        <v>223</v>
      </c>
      <c r="B143" s="2" t="str">
        <f>LOWER(VLOOKUP(A143,Xtal_Templ!A:B,2,FALSE))</f>
        <v>fpr2_human</v>
      </c>
      <c r="C143" s="2" t="str">
        <f>VLOOKUP(A143,Classification!A:D,2,FALSE)</f>
        <v>A</v>
      </c>
      <c r="D143" s="2" t="str">
        <f>IF(ISERROR(MATCH(A143,'SegEnds_Xtal_Prot#'!B:B, 0)), "NoXtal", "Xtal")</f>
        <v>NoXtal</v>
      </c>
      <c r="H143" s="4"/>
      <c r="N143" s="2" t="s">
        <v>14</v>
      </c>
      <c r="R143" s="2" t="s">
        <v>9</v>
      </c>
      <c r="T143" s="4" t="s">
        <v>12</v>
      </c>
      <c r="V143" s="28" t="str">
        <f>MID(VLOOKUP($A143,Seqs!$A:$B,2,FALSE),VLOOKUP($A143,'SegEnds_NonXtal_Prot#'!A:AL,10,FALSE),1)</f>
        <v>D</v>
      </c>
      <c r="W143" s="49" t="str">
        <f>MID(VLOOKUP($A143,Seqs!$A:$B,2,FALSE),VLOOKUP($A143,'SegEnds_NonXtal_Prot#'!A:AL,10,FALSE)+6,1)</f>
        <v>A</v>
      </c>
      <c r="X143" s="49" t="str">
        <f>MID(VLOOKUP($A143,Seqs!$A:$B,2,FALSE),VLOOKUP($A143,'SegEnds_NonXtal_Prot#'!A:AL,10,FALSE)+7,1)</f>
        <v>A</v>
      </c>
      <c r="Y143" s="49" t="str">
        <f>MID(VLOOKUP($A143,Seqs!$A:$B,2,FALSE),VLOOKUP($A143,'SegEnds_NonXtal_Prot#'!A:AL,10,FALSE)+8,1)</f>
        <v>A</v>
      </c>
      <c r="Z143" s="49" t="str">
        <f>MID(VLOOKUP($A143,Seqs!$A:$B,2,FALSE),VLOOKUP($A143,'SegEnds_NonXtal_Prot#'!A:AL,10,FALSE)+9,1)</f>
        <v>F</v>
      </c>
      <c r="AA143" s="49" t="str">
        <f>MID(VLOOKUP($A143,Seqs!$A:$B,2,FALSE),VLOOKUP($A143,'SegEnds_NonXtal_Prot#'!A:AL,10,FALSE)+10,1)</f>
        <v>Q</v>
      </c>
      <c r="AB143" s="28" t="str">
        <f>MID(VLOOKUP($A143,Seqs!$A:$B,2,FALSE),VLOOKUP($A143,'SegEnds_NonXtal_Prot#'!$A:$AL,22,FALSE)+6,1)</f>
        <v>F</v>
      </c>
      <c r="AC143" s="49" t="str">
        <f>MID(VLOOKUP($A143,Seqs!$A:$B,2,FALSE),VLOOKUP($A143,'SegEnds_NonXtal_Prot#'!$A:$AL,22,FALSE)+7,1)</f>
        <v>S</v>
      </c>
      <c r="AD143" s="49" t="str">
        <f>MID(VLOOKUP($A143,Seqs!$A:$B,2,FALSE),VLOOKUP($A143,'SegEnds_NonXtal_Prot#'!$A:$AL,22,FALSE)+8,1)</f>
        <v>V</v>
      </c>
      <c r="AE143" s="49" t="str">
        <f>MID(VLOOKUP($A143,Seqs!$A:$B,2,FALSE),VLOOKUP($A143,'SegEnds_NonXtal_Prot#'!$A:$AL,22,FALSE)+9,1)</f>
        <v>P</v>
      </c>
      <c r="AF143" s="49" t="str">
        <f>MID(VLOOKUP($A143,Seqs!$A:$B,2,FALSE),VLOOKUP($A143,'SegEnds_NonXtal_Prot#'!$A:$AL,22,FALSE)+10,1)</f>
        <v>W</v>
      </c>
      <c r="AG143" s="28" t="str">
        <f>MID(VLOOKUP($A143,Seqs!$A:$B,2,FALSE),VLOOKUP($A143,'SegEnds_NonXtal_Prot#'!$A:$AL,28,FALSE)-4,1)</f>
        <v>G</v>
      </c>
      <c r="AH143" s="49" t="str">
        <f>MID(VLOOKUP($A143,Seqs!$A:$B,2,FALSE),VLOOKUP($A143,'SegEnds_NonXtal_Prot#'!$A:$AL,28,FALSE),1)</f>
        <v>P</v>
      </c>
    </row>
    <row r="144" spans="1:34" s="2" customFormat="1" x14ac:dyDescent="0.2">
      <c r="A144" s="2" t="s">
        <v>255</v>
      </c>
      <c r="B144" s="2" t="str">
        <f>LOWER(VLOOKUP(A144,Xtal_Templ!A:B,2,FALSE))</f>
        <v>ntr1_rat</v>
      </c>
      <c r="C144" s="2" t="str">
        <f>VLOOKUP(A144,Classification!A:D,2,FALSE)</f>
        <v>A</v>
      </c>
      <c r="D144" s="2" t="str">
        <f>IF(ISERROR(MATCH(A144,'SegEnds_Xtal_Prot#'!B:B, 0)), "NoXtal", "Xtal")</f>
        <v>NoXtal</v>
      </c>
      <c r="G144" s="2" t="s">
        <v>5</v>
      </c>
      <c r="H144" s="4"/>
      <c r="N144" s="2" t="s">
        <v>14</v>
      </c>
      <c r="T144" s="4" t="s">
        <v>12</v>
      </c>
      <c r="V144" s="28" t="str">
        <f>MID(VLOOKUP($A144,Seqs!$A:$B,2,FALSE),VLOOKUP($A144,'SegEnds_NonXtal_Prot#'!A:AL,10,FALSE),1)</f>
        <v>D</v>
      </c>
      <c r="W144" s="49" t="str">
        <f>MID(VLOOKUP($A144,Seqs!$A:$B,2,FALSE),VLOOKUP($A144,'SegEnds_NonXtal_Prot#'!A:AL,10,FALSE)+6,1)</f>
        <v>I</v>
      </c>
      <c r="X144" s="49" t="str">
        <f>MID(VLOOKUP($A144,Seqs!$A:$B,2,FALSE),VLOOKUP($A144,'SegEnds_NonXtal_Prot#'!A:AL,10,FALSE)+7,1)</f>
        <v>G</v>
      </c>
      <c r="Y144" s="49" t="str">
        <f>MID(VLOOKUP($A144,Seqs!$A:$B,2,FALSE),VLOOKUP($A144,'SegEnds_NonXtal_Prot#'!A:AL,10,FALSE)+8,1)</f>
        <v>M</v>
      </c>
      <c r="Z144" s="49" t="str">
        <f>MID(VLOOKUP($A144,Seqs!$A:$B,2,FALSE),VLOOKUP($A144,'SegEnds_NonXtal_Prot#'!A:AL,10,FALSE)+9,1)</f>
        <v>P</v>
      </c>
      <c r="AA144" s="49" t="str">
        <f>MID(VLOOKUP($A144,Seqs!$A:$B,2,FALSE),VLOOKUP($A144,'SegEnds_NonXtal_Prot#'!A:AL,10,FALSE)+10,1)</f>
        <v>M</v>
      </c>
      <c r="AB144" s="28" t="str">
        <f>MID(VLOOKUP($A144,Seqs!$A:$B,2,FALSE),VLOOKUP($A144,'SegEnds_NonXtal_Prot#'!$A:$AL,22,FALSE)+6,1)</f>
        <v>V</v>
      </c>
      <c r="AC144" s="49" t="str">
        <f>MID(VLOOKUP($A144,Seqs!$A:$B,2,FALSE),VLOOKUP($A144,'SegEnds_NonXtal_Prot#'!$A:$AL,22,FALSE)+7,1)</f>
        <v>A</v>
      </c>
      <c r="AD144" s="49" t="str">
        <f>MID(VLOOKUP($A144,Seqs!$A:$B,2,FALSE),VLOOKUP($A144,'SegEnds_NonXtal_Prot#'!$A:$AL,22,FALSE)+8,1)</f>
        <v>L</v>
      </c>
      <c r="AE144" s="49" t="str">
        <f>MID(VLOOKUP($A144,Seqs!$A:$B,2,FALSE),VLOOKUP($A144,'SegEnds_NonXtal_Prot#'!$A:$AL,22,FALSE)+9,1)</f>
        <v>P</v>
      </c>
      <c r="AF144" s="49" t="str">
        <f>MID(VLOOKUP($A144,Seqs!$A:$B,2,FALSE),VLOOKUP($A144,'SegEnds_NonXtal_Prot#'!$A:$AL,22,FALSE)+10,1)</f>
        <v>L</v>
      </c>
      <c r="AG144" s="28" t="str">
        <f>MID(VLOOKUP($A144,Seqs!$A:$B,2,FALSE),VLOOKUP($A144,'SegEnds_NonXtal_Prot#'!$A:$AL,28,FALSE)-4,1)</f>
        <v>A</v>
      </c>
      <c r="AH144" s="49" t="str">
        <f>MID(VLOOKUP($A144,Seqs!$A:$B,2,FALSE),VLOOKUP($A144,'SegEnds_NonXtal_Prot#'!$A:$AL,28,FALSE),1)</f>
        <v>Y</v>
      </c>
    </row>
    <row r="145" spans="1:34" s="2" customFormat="1" x14ac:dyDescent="0.2">
      <c r="A145" s="2" t="s">
        <v>309</v>
      </c>
      <c r="B145" s="2" t="str">
        <f>LOWER(VLOOKUP(A145,Xtal_Templ!A:B,2,FALSE))</f>
        <v>ntr1_rat</v>
      </c>
      <c r="C145" s="2" t="str">
        <f>VLOOKUP(A145,Classification!A:D,2,FALSE)</f>
        <v>A</v>
      </c>
      <c r="D145" s="2" t="str">
        <f>IF(ISERROR(MATCH(A145,'SegEnds_Xtal_Prot#'!B:B, 0)), "NoXtal", "Xtal")</f>
        <v>NoXtal</v>
      </c>
      <c r="H145" s="4"/>
      <c r="N145" s="2" t="s">
        <v>14</v>
      </c>
      <c r="R145" s="2" t="s">
        <v>9</v>
      </c>
      <c r="T145" s="4" t="s">
        <v>12</v>
      </c>
      <c r="V145" s="28" t="str">
        <f>MID(VLOOKUP($A145,Seqs!$A:$B,2,FALSE),VLOOKUP($A145,'SegEnds_NonXtal_Prot#'!A:AL,10,FALSE),1)</f>
        <v>D</v>
      </c>
      <c r="W145" s="49" t="str">
        <f>MID(VLOOKUP($A145,Seqs!$A:$B,2,FALSE),VLOOKUP($A145,'SegEnds_NonXtal_Prot#'!A:AL,10,FALSE)+6,1)</f>
        <v>G</v>
      </c>
      <c r="X145" s="49" t="str">
        <f>MID(VLOOKUP($A145,Seqs!$A:$B,2,FALSE),VLOOKUP($A145,'SegEnds_NonXtal_Prot#'!A:AL,10,FALSE)+7,1)</f>
        <v>L</v>
      </c>
      <c r="Y145" s="49" t="str">
        <f>MID(VLOOKUP($A145,Seqs!$A:$B,2,FALSE),VLOOKUP($A145,'SegEnds_NonXtal_Prot#'!A:AL,10,FALSE)+8,1)</f>
        <v>P</v>
      </c>
      <c r="Z145" s="49" t="str">
        <f>MID(VLOOKUP($A145,Seqs!$A:$B,2,FALSE),VLOOKUP($A145,'SegEnds_NonXtal_Prot#'!A:AL,10,FALSE)+9,1)</f>
        <v>F</v>
      </c>
      <c r="AA145" s="49" t="str">
        <f>MID(VLOOKUP($A145,Seqs!$A:$B,2,FALSE),VLOOKUP($A145,'SegEnds_NonXtal_Prot#'!A:AL,10,FALSE)+10,1)</f>
        <v>D</v>
      </c>
      <c r="AB145" s="28" t="str">
        <f>MID(VLOOKUP($A145,Seqs!$A:$B,2,FALSE),VLOOKUP($A145,'SegEnds_NonXtal_Prot#'!$A:$AL,22,FALSE)+6,1)</f>
        <v>S</v>
      </c>
      <c r="AC145" s="49" t="str">
        <f>MID(VLOOKUP($A145,Seqs!$A:$B,2,FALSE),VLOOKUP($A145,'SegEnds_NonXtal_Prot#'!$A:$AL,22,FALSE)+7,1)</f>
        <v>A</v>
      </c>
      <c r="AD145" s="49" t="str">
        <f>MID(VLOOKUP($A145,Seqs!$A:$B,2,FALSE),VLOOKUP($A145,'SegEnds_NonXtal_Prot#'!$A:$AL,22,FALSE)+8,1)</f>
        <v>G</v>
      </c>
      <c r="AE145" s="49" t="str">
        <f>MID(VLOOKUP($A145,Seqs!$A:$B,2,FALSE),VLOOKUP($A145,'SegEnds_NonXtal_Prot#'!$A:$AL,22,FALSE)+9,1)</f>
        <v>P</v>
      </c>
      <c r="AF145" s="49" t="str">
        <f>MID(VLOOKUP($A145,Seqs!$A:$B,2,FALSE),VLOOKUP($A145,'SegEnds_NonXtal_Prot#'!$A:$AL,22,FALSE)+10,1)</f>
        <v>F</v>
      </c>
      <c r="AG145" s="28" t="str">
        <f>MID(VLOOKUP($A145,Seqs!$A:$B,2,FALSE),VLOOKUP($A145,'SegEnds_NonXtal_Prot#'!$A:$AL,28,FALSE)-4,1)</f>
        <v>Y</v>
      </c>
      <c r="AH145" s="49" t="str">
        <f>MID(VLOOKUP($A145,Seqs!$A:$B,2,FALSE),VLOOKUP($A145,'SegEnds_NonXtal_Prot#'!$A:$AL,28,FALSE),1)</f>
        <v>P</v>
      </c>
    </row>
    <row r="146" spans="1:34" s="2" customFormat="1" x14ac:dyDescent="0.2">
      <c r="A146" s="2" t="s">
        <v>317</v>
      </c>
      <c r="B146" s="2" t="str">
        <f>LOWER(VLOOKUP(A146,Xtal_Templ!A:B,2,FALSE))</f>
        <v>ntr1_rat</v>
      </c>
      <c r="C146" s="2" t="str">
        <f>VLOOKUP(A146,Classification!A:D,2,FALSE)</f>
        <v>A</v>
      </c>
      <c r="D146" s="2" t="str">
        <f>IF(ISERROR(MATCH(A146,'SegEnds_Xtal_Prot#'!B:B, 0)), "NoXtal", "Xtal")</f>
        <v>NoXtal</v>
      </c>
      <c r="G146" s="2" t="s">
        <v>5</v>
      </c>
      <c r="H146" s="4"/>
      <c r="N146" s="2" t="s">
        <v>14</v>
      </c>
      <c r="T146" s="4" t="s">
        <v>12</v>
      </c>
      <c r="V146" s="28" t="str">
        <f>MID(VLOOKUP($A146,Seqs!$A:$B,2,FALSE),VLOOKUP($A146,'SegEnds_NonXtal_Prot#'!A:AL,10,FALSE),1)</f>
        <v>D</v>
      </c>
      <c r="W146" s="49" t="str">
        <f>MID(VLOOKUP($A146,Seqs!$A:$B,2,FALSE),VLOOKUP($A146,'SegEnds_NonXtal_Prot#'!A:AL,10,FALSE)+6,1)</f>
        <v>V</v>
      </c>
      <c r="X146" s="49" t="str">
        <f>MID(VLOOKUP($A146,Seqs!$A:$B,2,FALSE),VLOOKUP($A146,'SegEnds_NonXtal_Prot#'!A:AL,10,FALSE)+7,1)</f>
        <v>G</v>
      </c>
      <c r="Y146" s="49" t="str">
        <f>MID(VLOOKUP($A146,Seqs!$A:$B,2,FALSE),VLOOKUP($A146,'SegEnds_NonXtal_Prot#'!A:AL,10,FALSE)+8,1)</f>
        <v>L</v>
      </c>
      <c r="Z146" s="49" t="str">
        <f>MID(VLOOKUP($A146,Seqs!$A:$B,2,FALSE),VLOOKUP($A146,'SegEnds_NonXtal_Prot#'!A:AL,10,FALSE)+9,1)</f>
        <v>P</v>
      </c>
      <c r="AA146" s="49" t="str">
        <f>MID(VLOOKUP($A146,Seqs!$A:$B,2,FALSE),VLOOKUP($A146,'SegEnds_NonXtal_Prot#'!A:AL,10,FALSE)+10,1)</f>
        <v>L</v>
      </c>
      <c r="AB146" s="28" t="str">
        <f>MID(VLOOKUP($A146,Seqs!$A:$B,2,FALSE),VLOOKUP($A146,'SegEnds_NonXtal_Prot#'!$A:$AL,22,FALSE)+6,1)</f>
        <v>C</v>
      </c>
      <c r="AC146" s="49" t="str">
        <f>MID(VLOOKUP($A146,Seqs!$A:$B,2,FALSE),VLOOKUP($A146,'SegEnds_NonXtal_Prot#'!$A:$AL,22,FALSE)+7,1)</f>
        <v>S</v>
      </c>
      <c r="AD146" s="49" t="str">
        <f>MID(VLOOKUP($A146,Seqs!$A:$B,2,FALSE),VLOOKUP($A146,'SegEnds_NonXtal_Prot#'!$A:$AL,22,FALSE)+8,1)</f>
        <v>L</v>
      </c>
      <c r="AE146" s="49" t="str">
        <f>MID(VLOOKUP($A146,Seqs!$A:$B,2,FALSE),VLOOKUP($A146,'SegEnds_NonXtal_Prot#'!$A:$AL,22,FALSE)+9,1)</f>
        <v>P</v>
      </c>
      <c r="AF146" s="49" t="str">
        <f>MID(VLOOKUP($A146,Seqs!$A:$B,2,FALSE),VLOOKUP($A146,'SegEnds_NonXtal_Prot#'!$A:$AL,22,FALSE)+10,1)</f>
        <v>N</v>
      </c>
      <c r="AG146" s="28" t="str">
        <f>MID(VLOOKUP($A146,Seqs!$A:$B,2,FALSE),VLOOKUP($A146,'SegEnds_NonXtal_Prot#'!$A:$AL,28,FALSE)-4,1)</f>
        <v>F</v>
      </c>
      <c r="AH146" s="49" t="str">
        <f>MID(VLOOKUP($A146,Seqs!$A:$B,2,FALSE),VLOOKUP($A146,'SegEnds_NonXtal_Prot#'!$A:$AL,28,FALSE),1)</f>
        <v>P</v>
      </c>
    </row>
    <row r="147" spans="1:34" s="2" customFormat="1" x14ac:dyDescent="0.2">
      <c r="A147" s="2" t="s">
        <v>318</v>
      </c>
      <c r="B147" s="2" t="str">
        <f>LOWER(VLOOKUP(A147,Xtal_Templ!A:B,2,FALSE))</f>
        <v>ntr1_rat</v>
      </c>
      <c r="C147" s="2" t="str">
        <f>VLOOKUP(A147,Classification!A:D,2,FALSE)</f>
        <v>A</v>
      </c>
      <c r="D147" s="2" t="str">
        <f>IF(ISERROR(MATCH(A147,'SegEnds_Xtal_Prot#'!B:B, 0)), "NoXtal", "Xtal")</f>
        <v>NoXtal</v>
      </c>
      <c r="G147" s="2" t="s">
        <v>5</v>
      </c>
      <c r="H147" s="4"/>
      <c r="N147" s="2" t="s">
        <v>14</v>
      </c>
      <c r="T147" s="4" t="s">
        <v>12</v>
      </c>
      <c r="V147" s="28" t="str">
        <f>MID(VLOOKUP($A147,Seqs!$A:$B,2,FALSE),VLOOKUP($A147,'SegEnds_NonXtal_Prot#'!A:AL,10,FALSE),1)</f>
        <v>D</v>
      </c>
      <c r="W147" s="49" t="str">
        <f>MID(VLOOKUP($A147,Seqs!$A:$B,2,FALSE),VLOOKUP($A147,'SegEnds_NonXtal_Prot#'!A:AL,10,FALSE)+6,1)</f>
        <v>L</v>
      </c>
      <c r="X147" s="49" t="str">
        <f>MID(VLOOKUP($A147,Seqs!$A:$B,2,FALSE),VLOOKUP($A147,'SegEnds_NonXtal_Prot#'!A:AL,10,FALSE)+7,1)</f>
        <v>G</v>
      </c>
      <c r="Y147" s="49" t="str">
        <f>MID(VLOOKUP($A147,Seqs!$A:$B,2,FALSE),VLOOKUP($A147,'SegEnds_NonXtal_Prot#'!A:AL,10,FALSE)+8,1)</f>
        <v>M</v>
      </c>
      <c r="Z147" s="49" t="str">
        <f>MID(VLOOKUP($A147,Seqs!$A:$B,2,FALSE),VLOOKUP($A147,'SegEnds_NonXtal_Prot#'!A:AL,10,FALSE)+9,1)</f>
        <v>P</v>
      </c>
      <c r="AA147" s="49" t="str">
        <f>MID(VLOOKUP($A147,Seqs!$A:$B,2,FALSE),VLOOKUP($A147,'SegEnds_NonXtal_Prot#'!A:AL,10,FALSE)+10,1)</f>
        <v>L</v>
      </c>
      <c r="AB147" s="28" t="str">
        <f>MID(VLOOKUP($A147,Seqs!$A:$B,2,FALSE),VLOOKUP($A147,'SegEnds_NonXtal_Prot#'!$A:$AL,22,FALSE)+6,1)</f>
        <v>F</v>
      </c>
      <c r="AC147" s="49" t="str">
        <f>MID(VLOOKUP($A147,Seqs!$A:$B,2,FALSE),VLOOKUP($A147,'SegEnds_NonXtal_Prot#'!$A:$AL,22,FALSE)+7,1)</f>
        <v>S</v>
      </c>
      <c r="AD147" s="49" t="str">
        <f>MID(VLOOKUP($A147,Seqs!$A:$B,2,FALSE),VLOOKUP($A147,'SegEnds_NonXtal_Prot#'!$A:$AL,22,FALSE)+8,1)</f>
        <v>L</v>
      </c>
      <c r="AE147" s="49" t="str">
        <f>MID(VLOOKUP($A147,Seqs!$A:$B,2,FALSE),VLOOKUP($A147,'SegEnds_NonXtal_Prot#'!$A:$AL,22,FALSE)+9,1)</f>
        <v>P</v>
      </c>
      <c r="AF147" s="49" t="str">
        <f>MID(VLOOKUP($A147,Seqs!$A:$B,2,FALSE),VLOOKUP($A147,'SegEnds_NonXtal_Prot#'!$A:$AL,22,FALSE)+10,1)</f>
        <v>N</v>
      </c>
      <c r="AG147" s="28" t="str">
        <f>MID(VLOOKUP($A147,Seqs!$A:$B,2,FALSE),VLOOKUP($A147,'SegEnds_NonXtal_Prot#'!$A:$AL,28,FALSE)-4,1)</f>
        <v>F</v>
      </c>
      <c r="AH147" s="49" t="str">
        <f>MID(VLOOKUP($A147,Seqs!$A:$B,2,FALSE),VLOOKUP($A147,'SegEnds_NonXtal_Prot#'!$A:$AL,28,FALSE),1)</f>
        <v>P</v>
      </c>
    </row>
    <row r="148" spans="1:34" s="2" customFormat="1" x14ac:dyDescent="0.2">
      <c r="A148" s="2" t="s">
        <v>127</v>
      </c>
      <c r="B148" s="2" t="str">
        <f>LOWER(VLOOKUP(A148,Xtal_Templ!A:B,2,FALSE))</f>
        <v>ntr1_human</v>
      </c>
      <c r="C148" s="2" t="str">
        <f>VLOOKUP(A148,Classification!A:D,2,FALSE)</f>
        <v>A</v>
      </c>
      <c r="D148" s="2" t="str">
        <f>IF(ISERROR(MATCH(A148,'SegEnds_Xtal_Prot#'!B:B, 0)), "NoXtal", "Xtal")</f>
        <v>Xtal</v>
      </c>
      <c r="G148" s="2" t="s">
        <v>5</v>
      </c>
      <c r="H148" s="4"/>
      <c r="N148" s="2" t="s">
        <v>14</v>
      </c>
      <c r="R148" s="2" t="s">
        <v>9</v>
      </c>
      <c r="T148" s="4" t="s">
        <v>12</v>
      </c>
      <c r="V148" s="28" t="str">
        <f>MID(VLOOKUP($A148,Seqs!$A:$B,2,FALSE),VLOOKUP($A148,'SegEnds_NonXtal_Prot#'!A:AL,10,FALSE),1)</f>
        <v>D</v>
      </c>
      <c r="W148" s="49" t="str">
        <f>MID(VLOOKUP($A148,Seqs!$A:$B,2,FALSE),VLOOKUP($A148,'SegEnds_NonXtal_Prot#'!A:AL,10,FALSE)+6,1)</f>
        <v>L</v>
      </c>
      <c r="X148" s="49" t="str">
        <f>MID(VLOOKUP($A148,Seqs!$A:$B,2,FALSE),VLOOKUP($A148,'SegEnds_NonXtal_Prot#'!A:AL,10,FALSE)+7,1)</f>
        <v>A</v>
      </c>
      <c r="Y148" s="49" t="str">
        <f>MID(VLOOKUP($A148,Seqs!$A:$B,2,FALSE),VLOOKUP($A148,'SegEnds_NonXtal_Prot#'!A:AL,10,FALSE)+8,1)</f>
        <v>M</v>
      </c>
      <c r="Z148" s="49" t="str">
        <f>MID(VLOOKUP($A148,Seqs!$A:$B,2,FALSE),VLOOKUP($A148,'SegEnds_NonXtal_Prot#'!A:AL,10,FALSE)+9,1)</f>
        <v>P</v>
      </c>
      <c r="AA148" s="49" t="str">
        <f>MID(VLOOKUP($A148,Seqs!$A:$B,2,FALSE),VLOOKUP($A148,'SegEnds_NonXtal_Prot#'!A:AL,10,FALSE)+10,1)</f>
        <v>V</v>
      </c>
      <c r="AB148" s="28" t="str">
        <f>MID(VLOOKUP($A148,Seqs!$A:$B,2,FALSE),VLOOKUP($A148,'SegEnds_NonXtal_Prot#'!$A:$AL,22,FALSE)+6,1)</f>
        <v>L</v>
      </c>
      <c r="AC148" s="49" t="str">
        <f>MID(VLOOKUP($A148,Seqs!$A:$B,2,FALSE),VLOOKUP($A148,'SegEnds_NonXtal_Prot#'!$A:$AL,22,FALSE)+7,1)</f>
        <v>A</v>
      </c>
      <c r="AD148" s="49" t="str">
        <f>MID(VLOOKUP($A148,Seqs!$A:$B,2,FALSE),VLOOKUP($A148,'SegEnds_NonXtal_Prot#'!$A:$AL,22,FALSE)+8,1)</f>
        <v>V</v>
      </c>
      <c r="AE148" s="49" t="str">
        <f>MID(VLOOKUP($A148,Seqs!$A:$B,2,FALSE),VLOOKUP($A148,'SegEnds_NonXtal_Prot#'!$A:$AL,22,FALSE)+9,1)</f>
        <v>P</v>
      </c>
      <c r="AF148" s="49" t="str">
        <f>MID(VLOOKUP($A148,Seqs!$A:$B,2,FALSE),VLOOKUP($A148,'SegEnds_NonXtal_Prot#'!$A:$AL,22,FALSE)+10,1)</f>
        <v>M</v>
      </c>
      <c r="AG148" s="28" t="str">
        <f>MID(VLOOKUP($A148,Seqs!$A:$B,2,FALSE),VLOOKUP($A148,'SegEnds_NonXtal_Prot#'!$A:$AL,28,FALSE)-4,1)</f>
        <v>S</v>
      </c>
      <c r="AH148" s="49" t="str">
        <f>MID(VLOOKUP($A148,Seqs!$A:$B,2,FALSE),VLOOKUP($A148,'SegEnds_NonXtal_Prot#'!$A:$AL,28,FALSE),1)</f>
        <v>P</v>
      </c>
    </row>
    <row r="149" spans="1:34" s="2" customFormat="1" x14ac:dyDescent="0.2">
      <c r="A149" s="2" t="s">
        <v>907</v>
      </c>
      <c r="B149" s="2" t="str">
        <f>LOWER(VLOOKUP(A149,Xtal_Templ!A:B,2,FALSE))</f>
        <v>ntr1_rat</v>
      </c>
      <c r="C149" s="2" t="str">
        <f>VLOOKUP(A149,Classification!A:D,2,FALSE)</f>
        <v>A</v>
      </c>
      <c r="D149" s="2" t="str">
        <f>IF(ISERROR(MATCH(A149,'SegEnds_Xtal_Prot#'!B:B, 0)), "NoXtal", "Xtal")</f>
        <v>Xtal</v>
      </c>
      <c r="G149" s="2" t="s">
        <v>5</v>
      </c>
      <c r="H149" s="4"/>
      <c r="N149" s="2" t="s">
        <v>14</v>
      </c>
      <c r="R149" s="2" t="s">
        <v>9</v>
      </c>
      <c r="T149" s="4" t="s">
        <v>12</v>
      </c>
      <c r="V149" s="28" t="str">
        <f>MID(VLOOKUP($A149,Seqs!$A:$B,2,FALSE),VLOOKUP($A149,'SegEnds_NonXtal_Prot#'!A:AL,10,FALSE),1)</f>
        <v>D</v>
      </c>
      <c r="W149" s="49" t="str">
        <f>MID(VLOOKUP($A149,Seqs!$A:$B,2,FALSE),VLOOKUP($A149,'SegEnds_NonXtal_Prot#'!A:AL,10,FALSE)+6,1)</f>
        <v>L</v>
      </c>
      <c r="X149" s="49" t="str">
        <f>MID(VLOOKUP($A149,Seqs!$A:$B,2,FALSE),VLOOKUP($A149,'SegEnds_NonXtal_Prot#'!A:AL,10,FALSE)+7,1)</f>
        <v>A</v>
      </c>
      <c r="Y149" s="49" t="str">
        <f>MID(VLOOKUP($A149,Seqs!$A:$B,2,FALSE),VLOOKUP($A149,'SegEnds_NonXtal_Prot#'!A:AL,10,FALSE)+8,1)</f>
        <v>M</v>
      </c>
      <c r="Z149" s="49" t="str">
        <f>MID(VLOOKUP($A149,Seqs!$A:$B,2,FALSE),VLOOKUP($A149,'SegEnds_NonXtal_Prot#'!A:AL,10,FALSE)+9,1)</f>
        <v>P</v>
      </c>
      <c r="AA149" s="49" t="str">
        <f>MID(VLOOKUP($A149,Seqs!$A:$B,2,FALSE),VLOOKUP($A149,'SegEnds_NonXtal_Prot#'!A:AL,10,FALSE)+10,1)</f>
        <v>V</v>
      </c>
      <c r="AB149" s="28" t="str">
        <f>MID(VLOOKUP($A149,Seqs!$A:$B,2,FALSE),VLOOKUP($A149,'SegEnds_NonXtal_Prot#'!$A:$AL,22,FALSE)+6,1)</f>
        <v>L</v>
      </c>
      <c r="AC149" s="49" t="str">
        <f>MID(VLOOKUP($A149,Seqs!$A:$B,2,FALSE),VLOOKUP($A149,'SegEnds_NonXtal_Prot#'!$A:$AL,22,FALSE)+7,1)</f>
        <v>A</v>
      </c>
      <c r="AD149" s="49" t="str">
        <f>MID(VLOOKUP($A149,Seqs!$A:$B,2,FALSE),VLOOKUP($A149,'SegEnds_NonXtal_Prot#'!$A:$AL,22,FALSE)+8,1)</f>
        <v>I</v>
      </c>
      <c r="AE149" s="49" t="str">
        <f>MID(VLOOKUP($A149,Seqs!$A:$B,2,FALSE),VLOOKUP($A149,'SegEnds_NonXtal_Prot#'!$A:$AL,22,FALSE)+9,1)</f>
        <v>P</v>
      </c>
      <c r="AF149" s="49" t="str">
        <f>MID(VLOOKUP($A149,Seqs!$A:$B,2,FALSE),VLOOKUP($A149,'SegEnds_NonXtal_Prot#'!$A:$AL,22,FALSE)+10,1)</f>
        <v>M</v>
      </c>
      <c r="AG149" s="28" t="str">
        <f>MID(VLOOKUP($A149,Seqs!$A:$B,2,FALSE),VLOOKUP($A149,'SegEnds_NonXtal_Prot#'!$A:$AL,28,FALSE)-4,1)</f>
        <v>S</v>
      </c>
      <c r="AH149" s="49" t="str">
        <f>MID(VLOOKUP($A149,Seqs!$A:$B,2,FALSE),VLOOKUP($A149,'SegEnds_NonXtal_Prot#'!$A:$AL,28,FALSE),1)</f>
        <v>P</v>
      </c>
    </row>
    <row r="150" spans="1:34" s="2" customFormat="1" x14ac:dyDescent="0.2">
      <c r="A150" s="2" t="s">
        <v>329</v>
      </c>
      <c r="B150" s="2" t="str">
        <f>LOWER(VLOOKUP(A150,Xtal_Templ!A:B,2,FALSE))</f>
        <v>ntr1_rat</v>
      </c>
      <c r="C150" s="2" t="str">
        <f>VLOOKUP(A150,Classification!A:D,2,FALSE)</f>
        <v>A</v>
      </c>
      <c r="D150" s="2" t="str">
        <f>IF(ISERROR(MATCH(A150,'SegEnds_Xtal_Prot#'!B:B, 0)), "NoXtal", "Xtal")</f>
        <v>NoXtal</v>
      </c>
      <c r="G150" s="2" t="s">
        <v>5</v>
      </c>
      <c r="H150" s="4"/>
      <c r="N150" s="2" t="s">
        <v>14</v>
      </c>
      <c r="R150" s="2" t="s">
        <v>9</v>
      </c>
      <c r="T150" s="4" t="s">
        <v>12</v>
      </c>
      <c r="V150" s="28" t="str">
        <f>MID(VLOOKUP($A150,Seqs!$A:$B,2,FALSE),VLOOKUP($A150,'SegEnds_NonXtal_Prot#'!A:AL,10,FALSE),1)</f>
        <v>G</v>
      </c>
      <c r="W150" s="49" t="str">
        <f>MID(VLOOKUP($A150,Seqs!$A:$B,2,FALSE),VLOOKUP($A150,'SegEnds_NonXtal_Prot#'!A:AL,10,FALSE)+6,1)</f>
        <v>V</v>
      </c>
      <c r="X150" s="49" t="str">
        <f>MID(VLOOKUP($A150,Seqs!$A:$B,2,FALSE),VLOOKUP($A150,'SegEnds_NonXtal_Prot#'!A:AL,10,FALSE)+7,1)</f>
        <v>G</v>
      </c>
      <c r="Y150" s="49" t="str">
        <f>MID(VLOOKUP($A150,Seqs!$A:$B,2,FALSE),VLOOKUP($A150,'SegEnds_NonXtal_Prot#'!A:AL,10,FALSE)+8,1)</f>
        <v>V</v>
      </c>
      <c r="Z150" s="49" t="str">
        <f>MID(VLOOKUP($A150,Seqs!$A:$B,2,FALSE),VLOOKUP($A150,'SegEnds_NonXtal_Prot#'!A:AL,10,FALSE)+9,1)</f>
        <v>P</v>
      </c>
      <c r="AA150" s="49" t="str">
        <f>MID(VLOOKUP($A150,Seqs!$A:$B,2,FALSE),VLOOKUP($A150,'SegEnds_NonXtal_Prot#'!A:AL,10,FALSE)+10,1)</f>
        <v>V</v>
      </c>
      <c r="AB150" s="28" t="str">
        <f>MID(VLOOKUP($A150,Seqs!$A:$B,2,FALSE),VLOOKUP($A150,'SegEnds_NonXtal_Prot#'!$A:$AL,22,FALSE)+6,1)</f>
        <v>L</v>
      </c>
      <c r="AC150" s="49" t="str">
        <f>MID(VLOOKUP($A150,Seqs!$A:$B,2,FALSE),VLOOKUP($A150,'SegEnds_NonXtal_Prot#'!$A:$AL,22,FALSE)+7,1)</f>
        <v>A</v>
      </c>
      <c r="AD150" s="49" t="str">
        <f>MID(VLOOKUP($A150,Seqs!$A:$B,2,FALSE),VLOOKUP($A150,'SegEnds_NonXtal_Prot#'!$A:$AL,22,FALSE)+8,1)</f>
        <v>L</v>
      </c>
      <c r="AE150" s="49" t="str">
        <f>MID(VLOOKUP($A150,Seqs!$A:$B,2,FALSE),VLOOKUP($A150,'SegEnds_NonXtal_Prot#'!$A:$AL,22,FALSE)+9,1)</f>
        <v>P</v>
      </c>
      <c r="AF150" s="49" t="str">
        <f>MID(VLOOKUP($A150,Seqs!$A:$B,2,FALSE),VLOOKUP($A150,'SegEnds_NonXtal_Prot#'!$A:$AL,22,FALSE)+10,1)</f>
        <v>M</v>
      </c>
      <c r="AG150" s="28" t="str">
        <f>MID(VLOOKUP($A150,Seqs!$A:$B,2,FALSE),VLOOKUP($A150,'SegEnds_NonXtal_Prot#'!$A:$AL,28,FALSE)-4,1)</f>
        <v>S</v>
      </c>
      <c r="AH150" s="49" t="str">
        <f>MID(VLOOKUP($A150,Seqs!$A:$B,2,FALSE),VLOOKUP($A150,'SegEnds_NonXtal_Prot#'!$A:$AL,28,FALSE),1)</f>
        <v>P</v>
      </c>
    </row>
    <row r="151" spans="1:34" s="2" customFormat="1" x14ac:dyDescent="0.2">
      <c r="A151" s="2" t="s">
        <v>361</v>
      </c>
      <c r="B151" s="2" t="str">
        <f>LOWER(VLOOKUP(A151,Xtal_Templ!A:B,2,FALSE))</f>
        <v>pe2r4_human</v>
      </c>
      <c r="C151" s="2" t="str">
        <f>VLOOKUP(A151,Classification!A:D,2,FALSE)</f>
        <v>A</v>
      </c>
      <c r="D151" s="2" t="str">
        <f>IF(ISERROR(MATCH(A151,'SegEnds_Xtal_Prot#'!B:B, 0)), "NoXtal", "Xtal")</f>
        <v>NoXtal</v>
      </c>
      <c r="G151" s="2" t="s">
        <v>5</v>
      </c>
      <c r="H151" s="4"/>
      <c r="T151" s="4" t="s">
        <v>12</v>
      </c>
      <c r="V151" s="28" t="str">
        <f>MID(VLOOKUP($A151,Seqs!$A:$B,2,FALSE),VLOOKUP($A151,'SegEnds_NonXtal_Prot#'!A:AL,10,FALSE),1)</f>
        <v>D</v>
      </c>
      <c r="W151" s="49" t="str">
        <f>MID(VLOOKUP($A151,Seqs!$A:$B,2,FALSE),VLOOKUP($A151,'SegEnds_NonXtal_Prot#'!A:AL,10,FALSE)+6,1)</f>
        <v>L</v>
      </c>
      <c r="X151" s="49" t="str">
        <f>MID(VLOOKUP($A151,Seqs!$A:$B,2,FALSE),VLOOKUP($A151,'SegEnds_NonXtal_Prot#'!A:AL,10,FALSE)+7,1)</f>
        <v>I</v>
      </c>
      <c r="Y151" s="49" t="str">
        <f>MID(VLOOKUP($A151,Seqs!$A:$B,2,FALSE),VLOOKUP($A151,'SegEnds_NonXtal_Prot#'!A:AL,10,FALSE)+8,1)</f>
        <v>S</v>
      </c>
      <c r="Z151" s="49" t="str">
        <f>MID(VLOOKUP($A151,Seqs!$A:$B,2,FALSE),VLOOKUP($A151,'SegEnds_NonXtal_Prot#'!A:AL,10,FALSE)+9,1)</f>
        <v>P</v>
      </c>
      <c r="AA151" s="49" t="str">
        <f>MID(VLOOKUP($A151,Seqs!$A:$B,2,FALSE),VLOOKUP($A151,'SegEnds_NonXtal_Prot#'!A:AL,10,FALSE)+10,1)</f>
        <v>V</v>
      </c>
      <c r="AB151" s="28" t="str">
        <f>MID(VLOOKUP($A151,Seqs!$A:$B,2,FALSE),VLOOKUP($A151,'SegEnds_NonXtal_Prot#'!$A:$AL,22,FALSE)+6,1)</f>
        <v>F</v>
      </c>
      <c r="AC151" s="49" t="str">
        <f>MID(VLOOKUP($A151,Seqs!$A:$B,2,FALSE),VLOOKUP($A151,'SegEnds_NonXtal_Prot#'!$A:$AL,22,FALSE)+7,1)</f>
        <v>C</v>
      </c>
      <c r="AD151" s="49" t="str">
        <f>MID(VLOOKUP($A151,Seqs!$A:$B,2,FALSE),VLOOKUP($A151,'SegEnds_NonXtal_Prot#'!$A:$AL,22,FALSE)+8,1)</f>
        <v>S</v>
      </c>
      <c r="AE151" s="49" t="str">
        <f>MID(VLOOKUP($A151,Seqs!$A:$B,2,FALSE),VLOOKUP($A151,'SegEnds_NonXtal_Prot#'!$A:$AL,22,FALSE)+9,1)</f>
        <v>L</v>
      </c>
      <c r="AF151" s="49" t="str">
        <f>MID(VLOOKUP($A151,Seqs!$A:$B,2,FALSE),VLOOKUP($A151,'SegEnds_NonXtal_Prot#'!$A:$AL,22,FALSE)+10,1)</f>
        <v>P</v>
      </c>
      <c r="AG151" s="28" t="str">
        <f>MID(VLOOKUP($A151,Seqs!$A:$B,2,FALSE),VLOOKUP($A151,'SegEnds_NonXtal_Prot#'!$A:$AL,28,FALSE)-4,1)</f>
        <v>L</v>
      </c>
      <c r="AH151" s="49" t="str">
        <f>MID(VLOOKUP($A151,Seqs!$A:$B,2,FALSE),VLOOKUP($A151,'SegEnds_NonXtal_Prot#'!$A:$AL,28,FALSE),1)</f>
        <v>V</v>
      </c>
    </row>
    <row r="152" spans="1:34" s="2" customFormat="1" x14ac:dyDescent="0.2">
      <c r="A152" s="2" t="s">
        <v>334</v>
      </c>
      <c r="B152" s="2" t="str">
        <f>LOWER(VLOOKUP(A152,Xtal_Templ!A:B,2,FALSE))</f>
        <v>oprd_human</v>
      </c>
      <c r="C152" s="2" t="str">
        <f>VLOOKUP(A152,Classification!A:D,2,FALSE)</f>
        <v>A</v>
      </c>
      <c r="D152" s="2" t="str">
        <f>IF(ISERROR(MATCH(A152,'SegEnds_Xtal_Prot#'!B:B, 0)), "NoXtal", "Xtal")</f>
        <v>Xtal</v>
      </c>
      <c r="H152" s="4"/>
      <c r="R152" s="2" t="s">
        <v>9</v>
      </c>
      <c r="T152" s="4" t="s">
        <v>12</v>
      </c>
      <c r="V152" s="28" t="str">
        <f>MID(VLOOKUP($A152,Seqs!$A:$B,2,FALSE),VLOOKUP($A152,'SegEnds_NonXtal_Prot#'!A:AL,10,FALSE),1)</f>
        <v>D</v>
      </c>
      <c r="W152" s="49" t="str">
        <f>MID(VLOOKUP($A152,Seqs!$A:$B,2,FALSE),VLOOKUP($A152,'SegEnds_NonXtal_Prot#'!A:AL,10,FALSE)+6,1)</f>
        <v>T</v>
      </c>
      <c r="X152" s="49" t="str">
        <f>MID(VLOOKUP($A152,Seqs!$A:$B,2,FALSE),VLOOKUP($A152,'SegEnds_NonXtal_Prot#'!A:AL,10,FALSE)+7,1)</f>
        <v>L</v>
      </c>
      <c r="Y152" s="49" t="str">
        <f>MID(VLOOKUP($A152,Seqs!$A:$B,2,FALSE),VLOOKUP($A152,'SegEnds_NonXtal_Prot#'!A:AL,10,FALSE)+8,1)</f>
        <v>P</v>
      </c>
      <c r="Z152" s="49" t="str">
        <f>MID(VLOOKUP($A152,Seqs!$A:$B,2,FALSE),VLOOKUP($A152,'SegEnds_NonXtal_Prot#'!A:AL,10,FALSE)+9,1)</f>
        <v>F</v>
      </c>
      <c r="AA152" s="49" t="str">
        <f>MID(VLOOKUP($A152,Seqs!$A:$B,2,FALSE),VLOOKUP($A152,'SegEnds_NonXtal_Prot#'!A:AL,10,FALSE)+10,1)</f>
        <v>Q</v>
      </c>
      <c r="AB152" s="28" t="str">
        <f>MID(VLOOKUP($A152,Seqs!$A:$B,2,FALSE),VLOOKUP($A152,'SegEnds_NonXtal_Prot#'!$A:$AL,22,FALSE)+6,1)</f>
        <v>V</v>
      </c>
      <c r="AC152" s="49" t="str">
        <f>MID(VLOOKUP($A152,Seqs!$A:$B,2,FALSE),VLOOKUP($A152,'SegEnds_NonXtal_Prot#'!$A:$AL,22,FALSE)+7,1)</f>
        <v>G</v>
      </c>
      <c r="AD152" s="49" t="str">
        <f>MID(VLOOKUP($A152,Seqs!$A:$B,2,FALSE),VLOOKUP($A152,'SegEnds_NonXtal_Prot#'!$A:$AL,22,FALSE)+8,1)</f>
        <v>V</v>
      </c>
      <c r="AE152" s="49" t="str">
        <f>MID(VLOOKUP($A152,Seqs!$A:$B,2,FALSE),VLOOKUP($A152,'SegEnds_NonXtal_Prot#'!$A:$AL,22,FALSE)+9,1)</f>
        <v>P</v>
      </c>
      <c r="AF152" s="49" t="str">
        <f>MID(VLOOKUP($A152,Seqs!$A:$B,2,FALSE),VLOOKUP($A152,'SegEnds_NonXtal_Prot#'!$A:$AL,22,FALSE)+10,1)</f>
        <v>I</v>
      </c>
      <c r="AG152" s="28" t="str">
        <f>MID(VLOOKUP($A152,Seqs!$A:$B,2,FALSE),VLOOKUP($A152,'SegEnds_NonXtal_Prot#'!$A:$AL,28,FALSE)-4,1)</f>
        <v>A</v>
      </c>
      <c r="AH152" s="49" t="str">
        <f>MID(VLOOKUP($A152,Seqs!$A:$B,2,FALSE),VLOOKUP($A152,'SegEnds_NonXtal_Prot#'!$A:$AL,28,FALSE),1)</f>
        <v>P</v>
      </c>
    </row>
    <row r="153" spans="1:34" s="2" customFormat="1" x14ac:dyDescent="0.2">
      <c r="A153" s="2" t="s">
        <v>267</v>
      </c>
      <c r="B153" s="2" t="str">
        <f>LOWER(VLOOKUP(A153,Xtal_Templ!A:B,2,FALSE))</f>
        <v>oprd_human</v>
      </c>
      <c r="C153" s="2" t="str">
        <f>VLOOKUP(A153,Classification!A:D,2,FALSE)</f>
        <v>A</v>
      </c>
      <c r="D153" s="2" t="str">
        <f>IF(ISERROR(MATCH(A153,'SegEnds_Xtal_Prot#'!B:B, 0)), "NoXtal", "Xtal")</f>
        <v>NoXtal</v>
      </c>
      <c r="H153" s="4"/>
      <c r="N153" s="2" t="s">
        <v>14</v>
      </c>
      <c r="T153" s="4" t="s">
        <v>12</v>
      </c>
      <c r="V153" s="28" t="str">
        <f>MID(VLOOKUP($A153,Seqs!$A:$B,2,FALSE),VLOOKUP($A153,'SegEnds_NonXtal_Prot#'!A:AL,10,FALSE),1)</f>
        <v>N</v>
      </c>
      <c r="W153" s="49" t="str">
        <f>MID(VLOOKUP($A153,Seqs!$A:$B,2,FALSE),VLOOKUP($A153,'SegEnds_NonXtal_Prot#'!A:AL,10,FALSE)+6,1)</f>
        <v>A</v>
      </c>
      <c r="X153" s="49" t="str">
        <f>MID(VLOOKUP($A153,Seqs!$A:$B,2,FALSE),VLOOKUP($A153,'SegEnds_NonXtal_Prot#'!A:AL,10,FALSE)+7,1)</f>
        <v>M</v>
      </c>
      <c r="Y153" s="49" t="str">
        <f>MID(VLOOKUP($A153,Seqs!$A:$B,2,FALSE),VLOOKUP($A153,'SegEnds_NonXtal_Prot#'!A:AL,10,FALSE)+8,1)</f>
        <v>P</v>
      </c>
      <c r="Z153" s="49" t="str">
        <f>MID(VLOOKUP($A153,Seqs!$A:$B,2,FALSE),VLOOKUP($A153,'SegEnds_NonXtal_Prot#'!A:AL,10,FALSE)+9,1)</f>
        <v>F</v>
      </c>
      <c r="AA153" s="49" t="str">
        <f>MID(VLOOKUP($A153,Seqs!$A:$B,2,FALSE),VLOOKUP($A153,'SegEnds_NonXtal_Prot#'!A:AL,10,FALSE)+10,1)</f>
        <v>M</v>
      </c>
      <c r="AB153" s="28" t="str">
        <f>MID(VLOOKUP($A153,Seqs!$A:$B,2,FALSE),VLOOKUP($A153,'SegEnds_NonXtal_Prot#'!$A:$AL,22,FALSE)+6,1)</f>
        <v>I</v>
      </c>
      <c r="AC153" s="49" t="str">
        <f>MID(VLOOKUP($A153,Seqs!$A:$B,2,FALSE),VLOOKUP($A153,'SegEnds_NonXtal_Prot#'!$A:$AL,22,FALSE)+7,1)</f>
        <v>I</v>
      </c>
      <c r="AD153" s="49" t="str">
        <f>MID(VLOOKUP($A153,Seqs!$A:$B,2,FALSE),VLOOKUP($A153,'SegEnds_NonXtal_Prot#'!$A:$AL,22,FALSE)+8,1)</f>
        <v>I</v>
      </c>
      <c r="AE153" s="49" t="str">
        <f>MID(VLOOKUP($A153,Seqs!$A:$B,2,FALSE),VLOOKUP($A153,'SegEnds_NonXtal_Prot#'!$A:$AL,22,FALSE)+9,1)</f>
        <v>P</v>
      </c>
      <c r="AF153" s="49" t="str">
        <f>MID(VLOOKUP($A153,Seqs!$A:$B,2,FALSE),VLOOKUP($A153,'SegEnds_NonXtal_Prot#'!$A:$AL,22,FALSE)+10,1)</f>
        <v>V</v>
      </c>
      <c r="AG153" s="28" t="str">
        <f>MID(VLOOKUP($A153,Seqs!$A:$B,2,FALSE),VLOOKUP($A153,'SegEnds_NonXtal_Prot#'!$A:$AL,28,FALSE)-4,1)</f>
        <v>F</v>
      </c>
      <c r="AH153" s="49" t="str">
        <f>MID(VLOOKUP($A153,Seqs!$A:$B,2,FALSE),VLOOKUP($A153,'SegEnds_NonXtal_Prot#'!$A:$AL,28,FALSE),1)</f>
        <v>S</v>
      </c>
    </row>
    <row r="154" spans="1:34" s="2" customFormat="1" x14ac:dyDescent="0.2">
      <c r="A154" s="2" t="s">
        <v>299</v>
      </c>
      <c r="B154" s="2" t="str">
        <f>LOWER(VLOOKUP(A154,Xtal_Templ!A:B,2,FALSE))</f>
        <v>oprd_human</v>
      </c>
      <c r="C154" s="2" t="str">
        <f>VLOOKUP(A154,Classification!A:D,2,FALSE)</f>
        <v>A</v>
      </c>
      <c r="D154" s="2" t="str">
        <f>IF(ISERROR(MATCH(A154,'SegEnds_Xtal_Prot#'!B:B, 0)), "NoXtal", "Xtal")</f>
        <v>NoXtal</v>
      </c>
      <c r="H154" s="4"/>
      <c r="N154" s="2" t="s">
        <v>14</v>
      </c>
      <c r="R154" s="2" t="s">
        <v>9</v>
      </c>
      <c r="T154" s="4" t="s">
        <v>12</v>
      </c>
      <c r="V154" s="28" t="str">
        <f>MID(VLOOKUP($A154,Seqs!$A:$B,2,FALSE),VLOOKUP($A154,'SegEnds_NonXtal_Prot#'!A:AL,10,FALSE),1)</f>
        <v>D</v>
      </c>
      <c r="W154" s="49" t="str">
        <f>MID(VLOOKUP($A154,Seqs!$A:$B,2,FALSE),VLOOKUP($A154,'SegEnds_NonXtal_Prot#'!A:AL,10,FALSE)+6,1)</f>
        <v>G</v>
      </c>
      <c r="X154" s="49" t="str">
        <f>MID(VLOOKUP($A154,Seqs!$A:$B,2,FALSE),VLOOKUP($A154,'SegEnds_NonXtal_Prot#'!A:AL,10,FALSE)+7,1)</f>
        <v>M</v>
      </c>
      <c r="Y154" s="49" t="str">
        <f>MID(VLOOKUP($A154,Seqs!$A:$B,2,FALSE),VLOOKUP($A154,'SegEnds_NonXtal_Prot#'!A:AL,10,FALSE)+8,1)</f>
        <v>P</v>
      </c>
      <c r="Z154" s="49" t="str">
        <f>MID(VLOOKUP($A154,Seqs!$A:$B,2,FALSE),VLOOKUP($A154,'SegEnds_NonXtal_Prot#'!A:AL,10,FALSE)+9,1)</f>
        <v>F</v>
      </c>
      <c r="AA154" s="49" t="str">
        <f>MID(VLOOKUP($A154,Seqs!$A:$B,2,FALSE),VLOOKUP($A154,'SegEnds_NonXtal_Prot#'!A:AL,10,FALSE)+10,1)</f>
        <v>L</v>
      </c>
      <c r="AB154" s="28" t="str">
        <f>MID(VLOOKUP($A154,Seqs!$A:$B,2,FALSE),VLOOKUP($A154,'SegEnds_NonXtal_Prot#'!$A:$AL,22,FALSE)+6,1)</f>
        <v>L</v>
      </c>
      <c r="AC154" s="49" t="str">
        <f>MID(VLOOKUP($A154,Seqs!$A:$B,2,FALSE),VLOOKUP($A154,'SegEnds_NonXtal_Prot#'!$A:$AL,22,FALSE)+7,1)</f>
        <v>A</v>
      </c>
      <c r="AD154" s="49" t="str">
        <f>MID(VLOOKUP($A154,Seqs!$A:$B,2,FALSE),VLOOKUP($A154,'SegEnds_NonXtal_Prot#'!$A:$AL,22,FALSE)+8,1)</f>
        <v>L</v>
      </c>
      <c r="AE154" s="49" t="str">
        <f>MID(VLOOKUP($A154,Seqs!$A:$B,2,FALSE),VLOOKUP($A154,'SegEnds_NonXtal_Prot#'!$A:$AL,22,FALSE)+9,1)</f>
        <v>P</v>
      </c>
      <c r="AF154" s="49" t="str">
        <f>MID(VLOOKUP($A154,Seqs!$A:$B,2,FALSE),VLOOKUP($A154,'SegEnds_NonXtal_Prot#'!$A:$AL,22,FALSE)+10,1)</f>
        <v>V</v>
      </c>
      <c r="AG154" s="28" t="str">
        <f>MID(VLOOKUP($A154,Seqs!$A:$B,2,FALSE),VLOOKUP($A154,'SegEnds_NonXtal_Prot#'!$A:$AL,28,FALSE)-4,1)</f>
        <v>T</v>
      </c>
      <c r="AH154" s="49" t="str">
        <f>MID(VLOOKUP($A154,Seqs!$A:$B,2,FALSE),VLOOKUP($A154,'SegEnds_NonXtal_Prot#'!$A:$AL,28,FALSE),1)</f>
        <v>P</v>
      </c>
    </row>
    <row r="155" spans="1:34" s="2" customFormat="1" x14ac:dyDescent="0.2">
      <c r="A155" s="2" t="s">
        <v>320</v>
      </c>
      <c r="B155" s="2" t="str">
        <f>LOWER(VLOOKUP(A155,Xtal_Templ!A:B,2,FALSE))</f>
        <v>oprd_human</v>
      </c>
      <c r="C155" s="2" t="str">
        <f>VLOOKUP(A155,Classification!A:D,2,FALSE)</f>
        <v>A</v>
      </c>
      <c r="D155" s="2" t="str">
        <f>IF(ISERROR(MATCH(A155,'SegEnds_Xtal_Prot#'!B:B, 0)), "NoXtal", "Xtal")</f>
        <v>NoXtal</v>
      </c>
      <c r="H155" s="4"/>
      <c r="N155" s="2" t="s">
        <v>14</v>
      </c>
      <c r="R155" s="2" t="s">
        <v>9</v>
      </c>
      <c r="T155" s="4" t="s">
        <v>12</v>
      </c>
      <c r="V155" s="28" t="str">
        <f>MID(VLOOKUP($A155,Seqs!$A:$B,2,FALSE),VLOOKUP($A155,'SegEnds_NonXtal_Prot#'!A:AL,10,FALSE),1)</f>
        <v>D</v>
      </c>
      <c r="W155" s="49" t="str">
        <f>MID(VLOOKUP($A155,Seqs!$A:$B,2,FALSE),VLOOKUP($A155,'SegEnds_NonXtal_Prot#'!A:AL,10,FALSE)+6,1)</f>
        <v>V</v>
      </c>
      <c r="X155" s="49" t="str">
        <f>MID(VLOOKUP($A155,Seqs!$A:$B,2,FALSE),VLOOKUP($A155,'SegEnds_NonXtal_Prot#'!A:AL,10,FALSE)+7,1)</f>
        <v>L</v>
      </c>
      <c r="Y155" s="49" t="str">
        <f>MID(VLOOKUP($A155,Seqs!$A:$B,2,FALSE),VLOOKUP($A155,'SegEnds_NonXtal_Prot#'!A:AL,10,FALSE)+8,1)</f>
        <v>P</v>
      </c>
      <c r="Z155" s="49" t="str">
        <f>MID(VLOOKUP($A155,Seqs!$A:$B,2,FALSE),VLOOKUP($A155,'SegEnds_NonXtal_Prot#'!A:AL,10,FALSE)+9,1)</f>
        <v>V</v>
      </c>
      <c r="AA155" s="49" t="str">
        <f>MID(VLOOKUP($A155,Seqs!$A:$B,2,FALSE),VLOOKUP($A155,'SegEnds_NonXtal_Prot#'!A:AL,10,FALSE)+10,1)</f>
        <v>N</v>
      </c>
      <c r="AB155" s="28" t="str">
        <f>MID(VLOOKUP($A155,Seqs!$A:$B,2,FALSE),VLOOKUP($A155,'SegEnds_NonXtal_Prot#'!$A:$AL,22,FALSE)+6,1)</f>
        <v>L</v>
      </c>
      <c r="AC155" s="49" t="str">
        <f>MID(VLOOKUP($A155,Seqs!$A:$B,2,FALSE),VLOOKUP($A155,'SegEnds_NonXtal_Prot#'!$A:$AL,22,FALSE)+7,1)</f>
        <v>V</v>
      </c>
      <c r="AD155" s="49" t="str">
        <f>MID(VLOOKUP($A155,Seqs!$A:$B,2,FALSE),VLOOKUP($A155,'SegEnds_NonXtal_Prot#'!$A:$AL,22,FALSE)+8,1)</f>
        <v>L</v>
      </c>
      <c r="AE155" s="49" t="str">
        <f>MID(VLOOKUP($A155,Seqs!$A:$B,2,FALSE),VLOOKUP($A155,'SegEnds_NonXtal_Prot#'!$A:$AL,22,FALSE)+9,1)</f>
        <v>P</v>
      </c>
      <c r="AF155" s="49" t="str">
        <f>MID(VLOOKUP($A155,Seqs!$A:$B,2,FALSE),VLOOKUP($A155,'SegEnds_NonXtal_Prot#'!$A:$AL,22,FALSE)+10,1)</f>
        <v>F</v>
      </c>
      <c r="AG155" s="28" t="str">
        <f>MID(VLOOKUP($A155,Seqs!$A:$B,2,FALSE),VLOOKUP($A155,'SegEnds_NonXtal_Prot#'!$A:$AL,28,FALSE)-4,1)</f>
        <v>G</v>
      </c>
      <c r="AH155" s="49" t="str">
        <f>MID(VLOOKUP($A155,Seqs!$A:$B,2,FALSE),VLOOKUP($A155,'SegEnds_NonXtal_Prot#'!$A:$AL,28,FALSE),1)</f>
        <v>P</v>
      </c>
    </row>
    <row r="156" spans="1:34" s="2" customFormat="1" x14ac:dyDescent="0.2">
      <c r="A156" s="2" t="s">
        <v>909</v>
      </c>
      <c r="B156" s="2" t="str">
        <f>LOWER(VLOOKUP(A156,Xtal_Templ!A:B,2,FALSE))</f>
        <v>oprd_mouse</v>
      </c>
      <c r="C156" s="2" t="str">
        <f>VLOOKUP(A156,Classification!A:D,2,FALSE)</f>
        <v>A</v>
      </c>
      <c r="D156" s="2" t="str">
        <f>IF(ISERROR(MATCH(A156,'SegEnds_Xtal_Prot#'!B:B, 0)), "NoXtal", "Xtal")</f>
        <v>Xtal</v>
      </c>
      <c r="H156" s="4"/>
      <c r="R156" s="2" t="s">
        <v>9</v>
      </c>
      <c r="T156" s="4" t="s">
        <v>12</v>
      </c>
      <c r="V156" s="28" t="str">
        <f>MID(VLOOKUP($A156,Seqs!$A:$B,2,FALSE),VLOOKUP($A156,'SegEnds_NonXtal_Prot#'!A:AL,10,FALSE),1)</f>
        <v>D</v>
      </c>
      <c r="W156" s="49" t="str">
        <f>MID(VLOOKUP($A156,Seqs!$A:$B,2,FALSE),VLOOKUP($A156,'SegEnds_NonXtal_Prot#'!A:AL,10,FALSE)+6,1)</f>
        <v>T</v>
      </c>
      <c r="X156" s="49" t="str">
        <f>MID(VLOOKUP($A156,Seqs!$A:$B,2,FALSE),VLOOKUP($A156,'SegEnds_NonXtal_Prot#'!A:AL,10,FALSE)+7,1)</f>
        <v>L</v>
      </c>
      <c r="Y156" s="49" t="str">
        <f>MID(VLOOKUP($A156,Seqs!$A:$B,2,FALSE),VLOOKUP($A156,'SegEnds_NonXtal_Prot#'!A:AL,10,FALSE)+8,1)</f>
        <v>P</v>
      </c>
      <c r="Z156" s="49" t="str">
        <f>MID(VLOOKUP($A156,Seqs!$A:$B,2,FALSE),VLOOKUP($A156,'SegEnds_NonXtal_Prot#'!A:AL,10,FALSE)+9,1)</f>
        <v>F</v>
      </c>
      <c r="AA156" s="49" t="str">
        <f>MID(VLOOKUP($A156,Seqs!$A:$B,2,FALSE),VLOOKUP($A156,'SegEnds_NonXtal_Prot#'!A:AL,10,FALSE)+10,1)</f>
        <v>Q</v>
      </c>
      <c r="AB156" s="28" t="str">
        <f>MID(VLOOKUP($A156,Seqs!$A:$B,2,FALSE),VLOOKUP($A156,'SegEnds_NonXtal_Prot#'!$A:$AL,22,FALSE)+6,1)</f>
        <v>V</v>
      </c>
      <c r="AC156" s="49" t="str">
        <f>MID(VLOOKUP($A156,Seqs!$A:$B,2,FALSE),VLOOKUP($A156,'SegEnds_NonXtal_Prot#'!$A:$AL,22,FALSE)+7,1)</f>
        <v>G</v>
      </c>
      <c r="AD156" s="49" t="str">
        <f>MID(VLOOKUP($A156,Seqs!$A:$B,2,FALSE),VLOOKUP($A156,'SegEnds_NonXtal_Prot#'!$A:$AL,22,FALSE)+8,1)</f>
        <v>V</v>
      </c>
      <c r="AE156" s="49" t="str">
        <f>MID(VLOOKUP($A156,Seqs!$A:$B,2,FALSE),VLOOKUP($A156,'SegEnds_NonXtal_Prot#'!$A:$AL,22,FALSE)+9,1)</f>
        <v>P</v>
      </c>
      <c r="AF156" s="49" t="str">
        <f>MID(VLOOKUP($A156,Seqs!$A:$B,2,FALSE),VLOOKUP($A156,'SegEnds_NonXtal_Prot#'!$A:$AL,22,FALSE)+10,1)</f>
        <v>I</v>
      </c>
      <c r="AG156" s="28" t="str">
        <f>MID(VLOOKUP($A156,Seqs!$A:$B,2,FALSE),VLOOKUP($A156,'SegEnds_NonXtal_Prot#'!$A:$AL,28,FALSE)-4,1)</f>
        <v>A</v>
      </c>
      <c r="AH156" s="49" t="str">
        <f>MID(VLOOKUP($A156,Seqs!$A:$B,2,FALSE),VLOOKUP($A156,'SegEnds_NonXtal_Prot#'!$A:$AL,28,FALSE),1)</f>
        <v>P</v>
      </c>
    </row>
    <row r="157" spans="1:34" s="2" customFormat="1" x14ac:dyDescent="0.2">
      <c r="A157" s="2" t="s">
        <v>359</v>
      </c>
      <c r="B157" s="2" t="str">
        <f>LOWER(VLOOKUP(A157,Xtal_Templ!A:B,2,FALSE))</f>
        <v>pd2r2_human</v>
      </c>
      <c r="C157" s="2" t="str">
        <f>VLOOKUP(A157,Classification!A:D,2,FALSE)</f>
        <v>A</v>
      </c>
      <c r="D157" s="2" t="str">
        <f>IF(ISERROR(MATCH(A157,'SegEnds_Xtal_Prot#'!B:B, 0)), "NoXtal", "Xtal")</f>
        <v>Xtal</v>
      </c>
      <c r="H157" s="4"/>
      <c r="N157" s="2" t="s">
        <v>14</v>
      </c>
      <c r="R157" s="2" t="s">
        <v>9</v>
      </c>
      <c r="T157" s="4" t="s">
        <v>12</v>
      </c>
      <c r="V157" s="28" t="str">
        <f>MID(VLOOKUP($A157,Seqs!$A:$B,2,FALSE),VLOOKUP($A157,'SegEnds_NonXtal_Prot#'!A:AL,10,FALSE),1)</f>
        <v>D</v>
      </c>
      <c r="W157" s="49" t="str">
        <f>MID(VLOOKUP($A157,Seqs!$A:$B,2,FALSE),VLOOKUP($A157,'SegEnds_NonXtal_Prot#'!A:AL,10,FALSE)+6,1)</f>
        <v>S</v>
      </c>
      <c r="X157" s="49" t="str">
        <f>MID(VLOOKUP($A157,Seqs!$A:$B,2,FALSE),VLOOKUP($A157,'SegEnds_NonXtal_Prot#'!A:AL,10,FALSE)+7,1)</f>
        <v>L</v>
      </c>
      <c r="Y157" s="49" t="str">
        <f>MID(VLOOKUP($A157,Seqs!$A:$B,2,FALSE),VLOOKUP($A157,'SegEnds_NonXtal_Prot#'!A:AL,10,FALSE)+8,1)</f>
        <v>P</v>
      </c>
      <c r="Z157" s="49" t="str">
        <f>MID(VLOOKUP($A157,Seqs!$A:$B,2,FALSE),VLOOKUP($A157,'SegEnds_NonXtal_Prot#'!A:AL,10,FALSE)+9,1)</f>
        <v>F</v>
      </c>
      <c r="AA157" s="49" t="str">
        <f>MID(VLOOKUP($A157,Seqs!$A:$B,2,FALSE),VLOOKUP($A157,'SegEnds_NonXtal_Prot#'!A:AL,10,FALSE)+10,1)</f>
        <v>F</v>
      </c>
      <c r="AB157" s="28" t="str">
        <f>MID(VLOOKUP($A157,Seqs!$A:$B,2,FALSE),VLOOKUP($A157,'SegEnds_NonXtal_Prot#'!$A:$AL,22,FALSE)+6,1)</f>
        <v>N</v>
      </c>
      <c r="AC157" s="49" t="str">
        <f>MID(VLOOKUP($A157,Seqs!$A:$B,2,FALSE),VLOOKUP($A157,'SegEnds_NonXtal_Prot#'!$A:$AL,22,FALSE)+7,1)</f>
        <v>T</v>
      </c>
      <c r="AD157" s="49" t="str">
        <f>MID(VLOOKUP($A157,Seqs!$A:$B,2,FALSE),VLOOKUP($A157,'SegEnds_NonXtal_Prot#'!$A:$AL,22,FALSE)+8,1)</f>
        <v>V</v>
      </c>
      <c r="AE157" s="49" t="str">
        <f>MID(VLOOKUP($A157,Seqs!$A:$B,2,FALSE),VLOOKUP($A157,'SegEnds_NonXtal_Prot#'!$A:$AL,22,FALSE)+9,1)</f>
        <v>P</v>
      </c>
      <c r="AF157" s="49" t="str">
        <f>MID(VLOOKUP($A157,Seqs!$A:$B,2,FALSE),VLOOKUP($A157,'SegEnds_NonXtal_Prot#'!$A:$AL,22,FALSE)+10,1)</f>
        <v>Y</v>
      </c>
      <c r="AG157" s="28" t="str">
        <f>MID(VLOOKUP($A157,Seqs!$A:$B,2,FALSE),VLOOKUP($A157,'SegEnds_NonXtal_Prot#'!$A:$AL,28,FALSE)-4,1)</f>
        <v>A</v>
      </c>
      <c r="AH157" s="49" t="str">
        <f>MID(VLOOKUP($A157,Seqs!$A:$B,2,FALSE),VLOOKUP($A157,'SegEnds_NonXtal_Prot#'!$A:$AL,28,FALSE),1)</f>
        <v>P</v>
      </c>
    </row>
    <row r="158" spans="1:34" s="2" customFormat="1" x14ac:dyDescent="0.2">
      <c r="A158" s="2" t="s">
        <v>383</v>
      </c>
      <c r="B158" s="2" t="str">
        <f>LOWER(VLOOKUP(A158,Xtal_Templ!A:B,2,FALSE))</f>
        <v>oprk_human</v>
      </c>
      <c r="C158" s="2" t="str">
        <f>VLOOKUP(A158,Classification!A:D,2,FALSE)</f>
        <v>A</v>
      </c>
      <c r="D158" s="2" t="str">
        <f>IF(ISERROR(MATCH(A158,'SegEnds_Xtal_Prot#'!B:B, 0)), "NoXtal", "Xtal")</f>
        <v>NoXtal</v>
      </c>
      <c r="H158" s="4"/>
      <c r="N158" s="2" t="s">
        <v>14</v>
      </c>
      <c r="R158" s="2" t="s">
        <v>9</v>
      </c>
      <c r="T158" s="4" t="s">
        <v>12</v>
      </c>
      <c r="V158" s="28" t="str">
        <f>MID(VLOOKUP($A158,Seqs!$A:$B,2,FALSE),VLOOKUP($A158,'SegEnds_NonXtal_Prot#'!A:AL,10,FALSE),1)</f>
        <v>D</v>
      </c>
      <c r="W158" s="49" t="str">
        <f>MID(VLOOKUP($A158,Seqs!$A:$B,2,FALSE),VLOOKUP($A158,'SegEnds_NonXtal_Prot#'!A:AL,10,FALSE)+6,1)</f>
        <v>S</v>
      </c>
      <c r="X158" s="49" t="str">
        <f>MID(VLOOKUP($A158,Seqs!$A:$B,2,FALSE),VLOOKUP($A158,'SegEnds_NonXtal_Prot#'!A:AL,10,FALSE)+7,1)</f>
        <v>V</v>
      </c>
      <c r="Y158" s="49" t="str">
        <f>MID(VLOOKUP($A158,Seqs!$A:$B,2,FALSE),VLOOKUP($A158,'SegEnds_NonXtal_Prot#'!A:AL,10,FALSE)+8,1)</f>
        <v>P</v>
      </c>
      <c r="Z158" s="49" t="str">
        <f>MID(VLOOKUP($A158,Seqs!$A:$B,2,FALSE),VLOOKUP($A158,'SegEnds_NonXtal_Prot#'!A:AL,10,FALSE)+9,1)</f>
        <v>F</v>
      </c>
      <c r="AA158" s="49" t="str">
        <f>MID(VLOOKUP($A158,Seqs!$A:$B,2,FALSE),VLOOKUP($A158,'SegEnds_NonXtal_Prot#'!A:AL,10,FALSE)+10,1)</f>
        <v>V</v>
      </c>
      <c r="AB158" s="28" t="str">
        <f>MID(VLOOKUP($A158,Seqs!$A:$B,2,FALSE),VLOOKUP($A158,'SegEnds_NonXtal_Prot#'!$A:$AL,22,FALSE)+6,1)</f>
        <v>V</v>
      </c>
      <c r="AC158" s="49" t="str">
        <f>MID(VLOOKUP($A158,Seqs!$A:$B,2,FALSE),VLOOKUP($A158,'SegEnds_NonXtal_Prot#'!$A:$AL,22,FALSE)+7,1)</f>
        <v>T</v>
      </c>
      <c r="AD158" s="49" t="str">
        <f>MID(VLOOKUP($A158,Seqs!$A:$B,2,FALSE),VLOOKUP($A158,'SegEnds_NonXtal_Prot#'!$A:$AL,22,FALSE)+8,1)</f>
        <v>L</v>
      </c>
      <c r="AE158" s="49" t="str">
        <f>MID(VLOOKUP($A158,Seqs!$A:$B,2,FALSE),VLOOKUP($A158,'SegEnds_NonXtal_Prot#'!$A:$AL,22,FALSE)+9,1)</f>
        <v>P</v>
      </c>
      <c r="AF158" s="49" t="str">
        <f>MID(VLOOKUP($A158,Seqs!$A:$B,2,FALSE),VLOOKUP($A158,'SegEnds_NonXtal_Prot#'!$A:$AL,22,FALSE)+10,1)</f>
        <v>I</v>
      </c>
      <c r="AG158" s="28" t="str">
        <f>MID(VLOOKUP($A158,Seqs!$A:$B,2,FALSE),VLOOKUP($A158,'SegEnds_NonXtal_Prot#'!$A:$AL,28,FALSE)-4,1)</f>
        <v>G</v>
      </c>
      <c r="AH158" s="49" t="str">
        <f>MID(VLOOKUP($A158,Seqs!$A:$B,2,FALSE),VLOOKUP($A158,'SegEnds_NonXtal_Prot#'!$A:$AL,28,FALSE),1)</f>
        <v>P</v>
      </c>
    </row>
    <row r="159" spans="1:34" s="2" customFormat="1" x14ac:dyDescent="0.2">
      <c r="A159" s="2" t="s">
        <v>164</v>
      </c>
      <c r="B159" s="2" t="str">
        <f>LOWER(VLOOKUP(A159,Xtal_Templ!A:B,2,FALSE))</f>
        <v>c5ar1_human</v>
      </c>
      <c r="C159" s="2" t="str">
        <f>VLOOKUP(A159,Classification!A:D,2,FALSE)</f>
        <v>A</v>
      </c>
      <c r="D159" s="2" t="str">
        <f>IF(ISERROR(MATCH(A159,'SegEnds_Xtal_Prot#'!B:B, 0)), "NoXtal", "Xtal")</f>
        <v>NoXtal</v>
      </c>
      <c r="H159" s="4"/>
      <c r="N159" s="2" t="s">
        <v>14</v>
      </c>
      <c r="R159" s="2" t="s">
        <v>9</v>
      </c>
      <c r="T159" s="4" t="s">
        <v>12</v>
      </c>
      <c r="V159" s="28" t="str">
        <f>MID(VLOOKUP($A159,Seqs!$A:$B,2,FALSE),VLOOKUP($A159,'SegEnds_NonXtal_Prot#'!A:AL,10,FALSE),1)</f>
        <v>D</v>
      </c>
      <c r="W159" s="49" t="str">
        <f>MID(VLOOKUP($A159,Seqs!$A:$B,2,FALSE),VLOOKUP($A159,'SegEnds_NonXtal_Prot#'!A:AL,10,FALSE)+6,1)</f>
        <v>S</v>
      </c>
      <c r="X159" s="49" t="str">
        <f>MID(VLOOKUP($A159,Seqs!$A:$B,2,FALSE),VLOOKUP($A159,'SegEnds_NonXtal_Prot#'!A:AL,10,FALSE)+7,1)</f>
        <v>L</v>
      </c>
      <c r="Y159" s="49" t="str">
        <f>MID(VLOOKUP($A159,Seqs!$A:$B,2,FALSE),VLOOKUP($A159,'SegEnds_NonXtal_Prot#'!A:AL,10,FALSE)+8,1)</f>
        <v>P</v>
      </c>
      <c r="Z159" s="49" t="str">
        <f>MID(VLOOKUP($A159,Seqs!$A:$B,2,FALSE),VLOOKUP($A159,'SegEnds_NonXtal_Prot#'!A:AL,10,FALSE)+9,1)</f>
        <v>F</v>
      </c>
      <c r="AA159" s="49" t="str">
        <f>MID(VLOOKUP($A159,Seqs!$A:$B,2,FALSE),VLOOKUP($A159,'SegEnds_NonXtal_Prot#'!A:AL,10,FALSE)+10,1)</f>
        <v>S</v>
      </c>
      <c r="AB159" s="28" t="str">
        <f>MID(VLOOKUP($A159,Seqs!$A:$B,2,FALSE),VLOOKUP($A159,'SegEnds_NonXtal_Prot#'!$A:$AL,22,FALSE)+6,1)</f>
        <v>M</v>
      </c>
      <c r="AC159" s="49" t="str">
        <f>MID(VLOOKUP($A159,Seqs!$A:$B,2,FALSE),VLOOKUP($A159,'SegEnds_NonXtal_Prot#'!$A:$AL,22,FALSE)+7,1)</f>
        <v>C</v>
      </c>
      <c r="AD159" s="49" t="str">
        <f>MID(VLOOKUP($A159,Seqs!$A:$B,2,FALSE),VLOOKUP($A159,'SegEnds_NonXtal_Prot#'!$A:$AL,22,FALSE)+8,1)</f>
        <v>I</v>
      </c>
      <c r="AE159" s="49" t="str">
        <f>MID(VLOOKUP($A159,Seqs!$A:$B,2,FALSE),VLOOKUP($A159,'SegEnds_NonXtal_Prot#'!$A:$AL,22,FALSE)+9,1)</f>
        <v>P</v>
      </c>
      <c r="AF159" s="49" t="str">
        <f>MID(VLOOKUP($A159,Seqs!$A:$B,2,FALSE),VLOOKUP($A159,'SegEnds_NonXtal_Prot#'!$A:$AL,22,FALSE)+10,1)</f>
        <v>V</v>
      </c>
      <c r="AG159" s="28" t="str">
        <f>MID(VLOOKUP($A159,Seqs!$A:$B,2,FALSE),VLOOKUP($A159,'SegEnds_NonXtal_Prot#'!$A:$AL,28,FALSE)-4,1)</f>
        <v>G</v>
      </c>
      <c r="AH159" s="49" t="str">
        <f>MID(VLOOKUP($A159,Seqs!$A:$B,2,FALSE),VLOOKUP($A159,'SegEnds_NonXtal_Prot#'!$A:$AL,28,FALSE),1)</f>
        <v>P</v>
      </c>
    </row>
    <row r="160" spans="1:34" s="2" customFormat="1" x14ac:dyDescent="0.2">
      <c r="A160" s="2" t="s">
        <v>199</v>
      </c>
      <c r="B160" s="2" t="str">
        <f>LOWER(VLOOKUP(A160,Xtal_Templ!A:B,2,FALSE))</f>
        <v>ox2r_human</v>
      </c>
      <c r="C160" s="2" t="str">
        <f>VLOOKUP(A160,Classification!A:D,2,FALSE)</f>
        <v>A</v>
      </c>
      <c r="D160" s="2" t="str">
        <f>IF(ISERROR(MATCH(A160,'SegEnds_Xtal_Prot#'!B:B, 0)), "NoXtal", "Xtal")</f>
        <v>NoXtal</v>
      </c>
      <c r="H160" s="4"/>
      <c r="N160" s="2" t="s">
        <v>14</v>
      </c>
      <c r="R160" s="2" t="s">
        <v>9</v>
      </c>
      <c r="S160" s="2" t="s">
        <v>1316</v>
      </c>
      <c r="T160" s="4" t="s">
        <v>12</v>
      </c>
      <c r="V160" s="28" t="str">
        <f>MID(VLOOKUP($A160,Seqs!$A:$B,2,FALSE),VLOOKUP($A160,'SegEnds_NonXtal_Prot#'!A:AL,10,FALSE),1)</f>
        <v>D</v>
      </c>
      <c r="W160" s="49" t="str">
        <f>MID(VLOOKUP($A160,Seqs!$A:$B,2,FALSE),VLOOKUP($A160,'SegEnds_NonXtal_Prot#'!A:AL,10,FALSE)+6,1)</f>
        <v>A</v>
      </c>
      <c r="X160" s="49" t="str">
        <f>MID(VLOOKUP($A160,Seqs!$A:$B,2,FALSE),VLOOKUP($A160,'SegEnds_NonXtal_Prot#'!A:AL,10,FALSE)+7,1)</f>
        <v>I</v>
      </c>
      <c r="Y160" s="49" t="str">
        <f>MID(VLOOKUP($A160,Seqs!$A:$B,2,FALSE),VLOOKUP($A160,'SegEnds_NonXtal_Prot#'!A:AL,10,FALSE)+8,1)</f>
        <v>P</v>
      </c>
      <c r="Z160" s="49" t="str">
        <f>MID(VLOOKUP($A160,Seqs!$A:$B,2,FALSE),VLOOKUP($A160,'SegEnds_NonXtal_Prot#'!A:AL,10,FALSE)+9,1)</f>
        <v>L</v>
      </c>
      <c r="AA160" s="49" t="str">
        <f>MID(VLOOKUP($A160,Seqs!$A:$B,2,FALSE),VLOOKUP($A160,'SegEnds_NonXtal_Prot#'!A:AL,10,FALSE)+10,1)</f>
        <v>V</v>
      </c>
      <c r="AB160" s="28" t="str">
        <f>MID(VLOOKUP($A160,Seqs!$A:$B,2,FALSE),VLOOKUP($A160,'SegEnds_NonXtal_Prot#'!$A:$AL,22,FALSE)+6,1)</f>
        <v>A</v>
      </c>
      <c r="AC160" s="49" t="str">
        <f>MID(VLOOKUP($A160,Seqs!$A:$B,2,FALSE),VLOOKUP($A160,'SegEnds_NonXtal_Prot#'!$A:$AL,22,FALSE)+7,1)</f>
        <v>A</v>
      </c>
      <c r="AD160" s="49" t="str">
        <f>MID(VLOOKUP($A160,Seqs!$A:$B,2,FALSE),VLOOKUP($A160,'SegEnds_NonXtal_Prot#'!$A:$AL,22,FALSE)+8,1)</f>
        <v>L</v>
      </c>
      <c r="AE160" s="49" t="str">
        <f>MID(VLOOKUP($A160,Seqs!$A:$B,2,FALSE),VLOOKUP($A160,'SegEnds_NonXtal_Prot#'!$A:$AL,22,FALSE)+9,1)</f>
        <v>P</v>
      </c>
      <c r="AF160" s="49" t="str">
        <f>MID(VLOOKUP($A160,Seqs!$A:$B,2,FALSE),VLOOKUP($A160,'SegEnds_NonXtal_Prot#'!$A:$AL,22,FALSE)+10,1)</f>
        <v>L</v>
      </c>
      <c r="AG160" s="28" t="str">
        <f>MID(VLOOKUP($A160,Seqs!$A:$B,2,FALSE),VLOOKUP($A160,'SegEnds_NonXtal_Prot#'!$A:$AL,28,FALSE)-4,1)</f>
        <v>N</v>
      </c>
      <c r="AH160" s="49" t="str">
        <f>MID(VLOOKUP($A160,Seqs!$A:$B,2,FALSE),VLOOKUP($A160,'SegEnds_NonXtal_Prot#'!$A:$AL,28,FALSE),1)</f>
        <v>P</v>
      </c>
    </row>
    <row r="161" spans="1:34" s="2" customFormat="1" x14ac:dyDescent="0.2">
      <c r="A161" s="2" t="s">
        <v>250</v>
      </c>
      <c r="B161" s="2" t="str">
        <f>LOWER(VLOOKUP(A161,Xtal_Templ!A:B,2,FALSE))</f>
        <v>fpr2_human</v>
      </c>
      <c r="C161" s="2" t="str">
        <f>VLOOKUP(A161,Classification!A:D,2,FALSE)</f>
        <v>A</v>
      </c>
      <c r="D161" s="2" t="str">
        <f>IF(ISERROR(MATCH(A161,'SegEnds_Xtal_Prot#'!B:B, 0)), "NoXtal", "Xtal")</f>
        <v>NoXtal</v>
      </c>
      <c r="H161" s="4"/>
      <c r="R161" s="2" t="s">
        <v>9</v>
      </c>
      <c r="T161" s="4" t="s">
        <v>12</v>
      </c>
      <c r="V161" s="28" t="str">
        <f>MID(VLOOKUP($A161,Seqs!$A:$B,2,FALSE),VLOOKUP($A161,'SegEnds_NonXtal_Prot#'!A:AL,10,FALSE),1)</f>
        <v>D</v>
      </c>
      <c r="W161" s="49" t="str">
        <f>MID(VLOOKUP($A161,Seqs!$A:$B,2,FALSE),VLOOKUP($A161,'SegEnds_NonXtal_Prot#'!A:AL,10,FALSE)+6,1)</f>
        <v>S</v>
      </c>
      <c r="X161" s="49" t="str">
        <f>MID(VLOOKUP($A161,Seqs!$A:$B,2,FALSE),VLOOKUP($A161,'SegEnds_NonXtal_Prot#'!A:AL,10,FALSE)+7,1)</f>
        <v>L</v>
      </c>
      <c r="Y161" s="49" t="str">
        <f>MID(VLOOKUP($A161,Seqs!$A:$B,2,FALSE),VLOOKUP($A161,'SegEnds_NonXtal_Prot#'!A:AL,10,FALSE)+8,1)</f>
        <v>P</v>
      </c>
      <c r="Z161" s="49" t="str">
        <f>MID(VLOOKUP($A161,Seqs!$A:$B,2,FALSE),VLOOKUP($A161,'SegEnds_NonXtal_Prot#'!A:AL,10,FALSE)+9,1)</f>
        <v>I</v>
      </c>
      <c r="AA161" s="49" t="str">
        <f>MID(VLOOKUP($A161,Seqs!$A:$B,2,FALSE),VLOOKUP($A161,'SegEnds_NonXtal_Prot#'!A:AL,10,FALSE)+10,1)</f>
        <v>A</v>
      </c>
      <c r="AB161" s="28" t="str">
        <f>MID(VLOOKUP($A161,Seqs!$A:$B,2,FALSE),VLOOKUP($A161,'SegEnds_NonXtal_Prot#'!$A:$AL,22,FALSE)+6,1)</f>
        <v>L</v>
      </c>
      <c r="AC161" s="49" t="str">
        <f>MID(VLOOKUP($A161,Seqs!$A:$B,2,FALSE),VLOOKUP($A161,'SegEnds_NonXtal_Prot#'!$A:$AL,22,FALSE)+7,1)</f>
        <v>C</v>
      </c>
      <c r="AD161" s="49" t="str">
        <f>MID(VLOOKUP($A161,Seqs!$A:$B,2,FALSE),VLOOKUP($A161,'SegEnds_NonXtal_Prot#'!$A:$AL,22,FALSE)+8,1)</f>
        <v>S</v>
      </c>
      <c r="AE161" s="49" t="str">
        <f>MID(VLOOKUP($A161,Seqs!$A:$B,2,FALSE),VLOOKUP($A161,'SegEnds_NonXtal_Prot#'!$A:$AL,22,FALSE)+9,1)</f>
        <v>A</v>
      </c>
      <c r="AF161" s="49" t="str">
        <f>MID(VLOOKUP($A161,Seqs!$A:$B,2,FALSE),VLOOKUP($A161,'SegEnds_NonXtal_Prot#'!$A:$AL,22,FALSE)+10,1)</f>
        <v>H</v>
      </c>
      <c r="AG161" s="28" t="str">
        <f>MID(VLOOKUP($A161,Seqs!$A:$B,2,FALSE),VLOOKUP($A161,'SegEnds_NonXtal_Prot#'!$A:$AL,28,FALSE)-4,1)</f>
        <v>G</v>
      </c>
      <c r="AH161" s="49" t="str">
        <f>MID(VLOOKUP($A161,Seqs!$A:$B,2,FALSE),VLOOKUP($A161,'SegEnds_NonXtal_Prot#'!$A:$AL,28,FALSE),1)</f>
        <v>P</v>
      </c>
    </row>
    <row r="162" spans="1:34" s="2" customFormat="1" x14ac:dyDescent="0.2">
      <c r="A162" s="2" t="s">
        <v>307</v>
      </c>
      <c r="B162" s="2" t="str">
        <f>LOWER(VLOOKUP(A162,Xtal_Templ!A:B,2,FALSE))</f>
        <v>par2_human</v>
      </c>
      <c r="C162" s="2" t="str">
        <f>VLOOKUP(A162,Classification!A:D,2,FALSE)</f>
        <v>A</v>
      </c>
      <c r="D162" s="2" t="str">
        <f>IF(ISERROR(MATCH(A162,'SegEnds_Xtal_Prot#'!B:B, 0)), "NoXtal", "Xtal")</f>
        <v>NoXtal</v>
      </c>
      <c r="H162" s="4"/>
      <c r="T162" s="4" t="s">
        <v>12</v>
      </c>
      <c r="V162" s="28" t="str">
        <f>MID(VLOOKUP($A162,Seqs!$A:$B,2,FALSE),VLOOKUP($A162,'SegEnds_NonXtal_Prot#'!A:AL,10,FALSE),1)</f>
        <v>D</v>
      </c>
      <c r="W162" s="49" t="str">
        <f>MID(VLOOKUP($A162,Seqs!$A:$B,2,FALSE),VLOOKUP($A162,'SegEnds_NonXtal_Prot#'!A:AL,10,FALSE)+6,1)</f>
        <v>F</v>
      </c>
      <c r="X162" s="49" t="str">
        <f>MID(VLOOKUP($A162,Seqs!$A:$B,2,FALSE),VLOOKUP($A162,'SegEnds_NonXtal_Prot#'!A:AL,10,FALSE)+7,1)</f>
        <v>Q</v>
      </c>
      <c r="Y162" s="49" t="str">
        <f>MID(VLOOKUP($A162,Seqs!$A:$B,2,FALSE),VLOOKUP($A162,'SegEnds_NonXtal_Prot#'!A:AL,10,FALSE)+8,1)</f>
        <v>I</v>
      </c>
      <c r="Z162" s="49" t="str">
        <f>MID(VLOOKUP($A162,Seqs!$A:$B,2,FALSE),VLOOKUP($A162,'SegEnds_NonXtal_Prot#'!A:AL,10,FALSE)+9,1)</f>
        <v>I</v>
      </c>
      <c r="AA162" s="49" t="str">
        <f>MID(VLOOKUP($A162,Seqs!$A:$B,2,FALSE),VLOOKUP($A162,'SegEnds_NonXtal_Prot#'!A:AL,10,FALSE)+10,1)</f>
        <v>R</v>
      </c>
      <c r="AB162" s="28" t="str">
        <f>MID(VLOOKUP($A162,Seqs!$A:$B,2,FALSE),VLOOKUP($A162,'SegEnds_NonXtal_Prot#'!$A:$AL,22,FALSE)+6,1)</f>
        <v>F</v>
      </c>
      <c r="AC162" s="49" t="str">
        <f>MID(VLOOKUP($A162,Seqs!$A:$B,2,FALSE),VLOOKUP($A162,'SegEnds_NonXtal_Prot#'!$A:$AL,22,FALSE)+7,1)</f>
        <v>S</v>
      </c>
      <c r="AD162" s="49" t="str">
        <f>MID(VLOOKUP($A162,Seqs!$A:$B,2,FALSE),VLOOKUP($A162,'SegEnds_NonXtal_Prot#'!$A:$AL,22,FALSE)+8,1)</f>
        <v>M</v>
      </c>
      <c r="AE162" s="49" t="str">
        <f>MID(VLOOKUP($A162,Seqs!$A:$B,2,FALSE),VLOOKUP($A162,'SegEnds_NonXtal_Prot#'!$A:$AL,22,FALSE)+9,1)</f>
        <v>L</v>
      </c>
      <c r="AF162" s="49" t="str">
        <f>MID(VLOOKUP($A162,Seqs!$A:$B,2,FALSE),VLOOKUP($A162,'SegEnds_NonXtal_Prot#'!$A:$AL,22,FALSE)+10,1)</f>
        <v>E</v>
      </c>
      <c r="AG162" s="28" t="str">
        <f>MID(VLOOKUP($A162,Seqs!$A:$B,2,FALSE),VLOOKUP($A162,'SegEnds_NonXtal_Prot#'!$A:$AL,28,FALSE)-4,1)</f>
        <v>I</v>
      </c>
      <c r="AH162" s="49" t="str">
        <f>MID(VLOOKUP($A162,Seqs!$A:$B,2,FALSE),VLOOKUP($A162,'SegEnds_NonXtal_Prot#'!$A:$AL,28,FALSE),1)</f>
        <v>V</v>
      </c>
    </row>
    <row r="163" spans="1:34" s="2" customFormat="1" x14ac:dyDescent="0.2">
      <c r="A163" s="2" t="s">
        <v>335</v>
      </c>
      <c r="B163" s="2" t="str">
        <f>LOWER(VLOOKUP(A163,Xtal_Templ!A:B,2,FALSE))</f>
        <v>oprk_human</v>
      </c>
      <c r="C163" s="2" t="str">
        <f>VLOOKUP(A163,Classification!A:D,2,FALSE)</f>
        <v>A</v>
      </c>
      <c r="D163" s="2" t="str">
        <f>IF(ISERROR(MATCH(A163,'SegEnds_Xtal_Prot#'!B:B, 0)), "NoXtal", "Xtal")</f>
        <v>Xtal</v>
      </c>
      <c r="H163" s="4"/>
      <c r="R163" s="2" t="s">
        <v>9</v>
      </c>
      <c r="T163" s="4" t="s">
        <v>12</v>
      </c>
      <c r="V163" s="28" t="str">
        <f>MID(VLOOKUP($A163,Seqs!$A:$B,2,FALSE),VLOOKUP($A163,'SegEnds_NonXtal_Prot#'!A:AL,10,FALSE),1)</f>
        <v>D</v>
      </c>
      <c r="W163" s="49" t="str">
        <f>MID(VLOOKUP($A163,Seqs!$A:$B,2,FALSE),VLOOKUP($A163,'SegEnds_NonXtal_Prot#'!A:AL,10,FALSE)+6,1)</f>
        <v>T</v>
      </c>
      <c r="X163" s="49" t="str">
        <f>MID(VLOOKUP($A163,Seqs!$A:$B,2,FALSE),VLOOKUP($A163,'SegEnds_NonXtal_Prot#'!A:AL,10,FALSE)+7,1)</f>
        <v>M</v>
      </c>
      <c r="Y163" s="49" t="str">
        <f>MID(VLOOKUP($A163,Seqs!$A:$B,2,FALSE),VLOOKUP($A163,'SegEnds_NonXtal_Prot#'!A:AL,10,FALSE)+8,1)</f>
        <v>P</v>
      </c>
      <c r="Z163" s="49" t="str">
        <f>MID(VLOOKUP($A163,Seqs!$A:$B,2,FALSE),VLOOKUP($A163,'SegEnds_NonXtal_Prot#'!A:AL,10,FALSE)+9,1)</f>
        <v>F</v>
      </c>
      <c r="AA163" s="49" t="str">
        <f>MID(VLOOKUP($A163,Seqs!$A:$B,2,FALSE),VLOOKUP($A163,'SegEnds_NonXtal_Prot#'!A:AL,10,FALSE)+10,1)</f>
        <v>Q</v>
      </c>
      <c r="AB163" s="28" t="str">
        <f>MID(VLOOKUP($A163,Seqs!$A:$B,2,FALSE),VLOOKUP($A163,'SegEnds_NonXtal_Prot#'!$A:$AL,22,FALSE)+6,1)</f>
        <v>V</v>
      </c>
      <c r="AC163" s="49" t="str">
        <f>MID(VLOOKUP($A163,Seqs!$A:$B,2,FALSE),VLOOKUP($A163,'SegEnds_NonXtal_Prot#'!$A:$AL,22,FALSE)+7,1)</f>
        <v>G</v>
      </c>
      <c r="AD163" s="49" t="str">
        <f>MID(VLOOKUP($A163,Seqs!$A:$B,2,FALSE),VLOOKUP($A163,'SegEnds_NonXtal_Prot#'!$A:$AL,22,FALSE)+8,1)</f>
        <v>I</v>
      </c>
      <c r="AE163" s="49" t="str">
        <f>MID(VLOOKUP($A163,Seqs!$A:$B,2,FALSE),VLOOKUP($A163,'SegEnds_NonXtal_Prot#'!$A:$AL,22,FALSE)+9,1)</f>
        <v>S</v>
      </c>
      <c r="AF163" s="49" t="str">
        <f>MID(VLOOKUP($A163,Seqs!$A:$B,2,FALSE),VLOOKUP($A163,'SegEnds_NonXtal_Prot#'!$A:$AL,22,FALSE)+10,1)</f>
        <v>A</v>
      </c>
      <c r="AG163" s="28" t="str">
        <f>MID(VLOOKUP($A163,Seqs!$A:$B,2,FALSE),VLOOKUP($A163,'SegEnds_NonXtal_Prot#'!$A:$AL,28,FALSE)-4,1)</f>
        <v>A</v>
      </c>
      <c r="AH163" s="49" t="str">
        <f>MID(VLOOKUP($A163,Seqs!$A:$B,2,FALSE),VLOOKUP($A163,'SegEnds_NonXtal_Prot#'!$A:$AL,28,FALSE),1)</f>
        <v>P</v>
      </c>
    </row>
    <row r="164" spans="1:34" s="2" customFormat="1" x14ac:dyDescent="0.2">
      <c r="A164" s="2" t="s">
        <v>341</v>
      </c>
      <c r="B164" s="2" t="str">
        <f>LOWER(VLOOKUP(A164,Xtal_Templ!A:B,2,FALSE))</f>
        <v>pd2r2_human</v>
      </c>
      <c r="C164" s="2" t="str">
        <f>VLOOKUP(A164,Classification!A:D,2,FALSE)</f>
        <v>A</v>
      </c>
      <c r="D164" s="2" t="str">
        <f>IF(ISERROR(MATCH(A164,'SegEnds_Xtal_Prot#'!B:B, 0)), "NoXtal", "Xtal")</f>
        <v>NoXtal</v>
      </c>
      <c r="H164" s="4"/>
      <c r="R164" s="2" t="s">
        <v>9</v>
      </c>
      <c r="T164" s="4" t="s">
        <v>12</v>
      </c>
      <c r="V164" s="28" t="str">
        <f>MID(VLOOKUP($A164,Seqs!$A:$B,2,FALSE),VLOOKUP($A164,'SegEnds_NonXtal_Prot#'!A:AL,10,FALSE),1)</f>
        <v>D</v>
      </c>
      <c r="W164" s="49" t="str">
        <f>MID(VLOOKUP($A164,Seqs!$A:$B,2,FALSE),VLOOKUP($A164,'SegEnds_NonXtal_Prot#'!A:AL,10,FALSE)+6,1)</f>
        <v>N</v>
      </c>
      <c r="X164" s="49" t="str">
        <f>MID(VLOOKUP($A164,Seqs!$A:$B,2,FALSE),VLOOKUP($A164,'SegEnds_NonXtal_Prot#'!A:AL,10,FALSE)+7,1)</f>
        <v>L</v>
      </c>
      <c r="Y164" s="49" t="str">
        <f>MID(VLOOKUP($A164,Seqs!$A:$B,2,FALSE),VLOOKUP($A164,'SegEnds_NonXtal_Prot#'!A:AL,10,FALSE)+8,1)</f>
        <v>P</v>
      </c>
      <c r="Z164" s="49" t="str">
        <f>MID(VLOOKUP($A164,Seqs!$A:$B,2,FALSE),VLOOKUP($A164,'SegEnds_NonXtal_Prot#'!A:AL,10,FALSE)+9,1)</f>
        <v>L</v>
      </c>
      <c r="AA164" s="49" t="str">
        <f>MID(VLOOKUP($A164,Seqs!$A:$B,2,FALSE),VLOOKUP($A164,'SegEnds_NonXtal_Prot#'!A:AL,10,FALSE)+10,1)</f>
        <v>R</v>
      </c>
      <c r="AB164" s="28" t="str">
        <f>MID(VLOOKUP($A164,Seqs!$A:$B,2,FALSE),VLOOKUP($A164,'SegEnds_NonXtal_Prot#'!$A:$AL,22,FALSE)+6,1)</f>
        <v>L</v>
      </c>
      <c r="AC164" s="49" t="str">
        <f>MID(VLOOKUP($A164,Seqs!$A:$B,2,FALSE),VLOOKUP($A164,'SegEnds_NonXtal_Prot#'!$A:$AL,22,FALSE)+7,1)</f>
        <v>N</v>
      </c>
      <c r="AD164" s="49" t="str">
        <f>MID(VLOOKUP($A164,Seqs!$A:$B,2,FALSE),VLOOKUP($A164,'SegEnds_NonXtal_Prot#'!$A:$AL,22,FALSE)+8,1)</f>
        <v>G</v>
      </c>
      <c r="AE164" s="49" t="str">
        <f>MID(VLOOKUP($A164,Seqs!$A:$B,2,FALSE),VLOOKUP($A164,'SegEnds_NonXtal_Prot#'!$A:$AL,22,FALSE)+9,1)</f>
        <v>H</v>
      </c>
      <c r="AF164" s="49" t="str">
        <f>MID(VLOOKUP($A164,Seqs!$A:$B,2,FALSE),VLOOKUP($A164,'SegEnds_NonXtal_Prot#'!$A:$AL,22,FALSE)+10,1)</f>
        <v>L</v>
      </c>
      <c r="AG164" s="28" t="str">
        <f>MID(VLOOKUP($A164,Seqs!$A:$B,2,FALSE),VLOOKUP($A164,'SegEnds_NonXtal_Prot#'!$A:$AL,28,FALSE)-4,1)</f>
        <v>E</v>
      </c>
      <c r="AH164" s="49" t="str">
        <f>MID(VLOOKUP($A164,Seqs!$A:$B,2,FALSE),VLOOKUP($A164,'SegEnds_NonXtal_Prot#'!$A:$AL,28,FALSE),1)</f>
        <v>P</v>
      </c>
    </row>
    <row r="165" spans="1:34" s="2" customFormat="1" x14ac:dyDescent="0.2">
      <c r="A165" s="2" t="s">
        <v>204</v>
      </c>
      <c r="B165" s="2" t="str">
        <f>LOWER(VLOOKUP(A165,Xtal_Templ!A:B,2,FALSE))</f>
        <v>oprk_human</v>
      </c>
      <c r="C165" s="2" t="str">
        <f>VLOOKUP(A165,Classification!A:D,2,FALSE)</f>
        <v>A</v>
      </c>
      <c r="D165" s="2" t="str">
        <f>IF(ISERROR(MATCH(A165,'SegEnds_Xtal_Prot#'!B:B, 0)), "NoXtal", "Xtal")</f>
        <v>NoXtal</v>
      </c>
      <c r="G165" s="2" t="s">
        <v>5</v>
      </c>
      <c r="H165" s="4"/>
      <c r="N165" s="2" t="s">
        <v>14</v>
      </c>
      <c r="R165" s="2" t="s">
        <v>9</v>
      </c>
      <c r="T165" s="4" t="s">
        <v>12</v>
      </c>
      <c r="V165" s="28" t="str">
        <f>MID(VLOOKUP($A165,Seqs!$A:$B,2,FALSE),VLOOKUP($A165,'SegEnds_NonXtal_Prot#'!A:AL,10,FALSE),1)</f>
        <v>D</v>
      </c>
      <c r="W165" s="49" t="str">
        <f>MID(VLOOKUP($A165,Seqs!$A:$B,2,FALSE),VLOOKUP($A165,'SegEnds_NonXtal_Prot#'!A:AL,10,FALSE)+6,1)</f>
        <v>F</v>
      </c>
      <c r="X165" s="49" t="str">
        <f>MID(VLOOKUP($A165,Seqs!$A:$B,2,FALSE),VLOOKUP($A165,'SegEnds_NonXtal_Prot#'!A:AL,10,FALSE)+7,1)</f>
        <v>C</v>
      </c>
      <c r="Y165" s="49" t="str">
        <f>MID(VLOOKUP($A165,Seqs!$A:$B,2,FALSE),VLOOKUP($A165,'SegEnds_NonXtal_Prot#'!A:AL,10,FALSE)+8,1)</f>
        <v>I</v>
      </c>
      <c r="Z165" s="49" t="str">
        <f>MID(VLOOKUP($A165,Seqs!$A:$B,2,FALSE),VLOOKUP($A165,'SegEnds_NonXtal_Prot#'!A:AL,10,FALSE)+9,1)</f>
        <v>P</v>
      </c>
      <c r="AA165" s="49" t="str">
        <f>MID(VLOOKUP($A165,Seqs!$A:$B,2,FALSE),VLOOKUP($A165,'SegEnds_NonXtal_Prot#'!A:AL,10,FALSE)+10,1)</f>
        <v>F</v>
      </c>
      <c r="AB165" s="28" t="str">
        <f>MID(VLOOKUP($A165,Seqs!$A:$B,2,FALSE),VLOOKUP($A165,'SegEnds_NonXtal_Prot#'!$A:$AL,22,FALSE)+6,1)</f>
        <v>M</v>
      </c>
      <c r="AC165" s="49" t="str">
        <f>MID(VLOOKUP($A165,Seqs!$A:$B,2,FALSE),VLOOKUP($A165,'SegEnds_NonXtal_Prot#'!$A:$AL,22,FALSE)+7,1)</f>
        <v>A</v>
      </c>
      <c r="AD165" s="49" t="str">
        <f>MID(VLOOKUP($A165,Seqs!$A:$B,2,FALSE),VLOOKUP($A165,'SegEnds_NonXtal_Prot#'!$A:$AL,22,FALSE)+8,1)</f>
        <v>S</v>
      </c>
      <c r="AE165" s="49" t="str">
        <f>MID(VLOOKUP($A165,Seqs!$A:$B,2,FALSE),VLOOKUP($A165,'SegEnds_NonXtal_Prot#'!$A:$AL,22,FALSE)+9,1)</f>
        <v>P</v>
      </c>
      <c r="AF165" s="49" t="str">
        <f>MID(VLOOKUP($A165,Seqs!$A:$B,2,FALSE),VLOOKUP($A165,'SegEnds_NonXtal_Prot#'!$A:$AL,22,FALSE)+10,1)</f>
        <v>V</v>
      </c>
      <c r="AG165" s="28" t="str">
        <f>MID(VLOOKUP($A165,Seqs!$A:$B,2,FALSE),VLOOKUP($A165,'SegEnds_NonXtal_Prot#'!$A:$AL,28,FALSE)-4,1)</f>
        <v>G</v>
      </c>
      <c r="AH165" s="49" t="str">
        <f>MID(VLOOKUP($A165,Seqs!$A:$B,2,FALSE),VLOOKUP($A165,'SegEnds_NonXtal_Prot#'!$A:$AL,28,FALSE),1)</f>
        <v>P</v>
      </c>
    </row>
    <row r="166" spans="1:34" s="2" customFormat="1" x14ac:dyDescent="0.2">
      <c r="A166" s="2" t="s">
        <v>205</v>
      </c>
      <c r="B166" s="2" t="str">
        <f>LOWER(VLOOKUP(A166,Xtal_Templ!A:B,2,FALSE))</f>
        <v>oprk_human</v>
      </c>
      <c r="C166" s="2" t="str">
        <f>VLOOKUP(A166,Classification!A:D,2,FALSE)</f>
        <v>A</v>
      </c>
      <c r="D166" s="2" t="str">
        <f>IF(ISERROR(MATCH(A166,'SegEnds_Xtal_Prot#'!B:B, 0)), "NoXtal", "Xtal")</f>
        <v>NoXtal</v>
      </c>
      <c r="G166" s="2" t="s">
        <v>5</v>
      </c>
      <c r="H166" s="4"/>
      <c r="N166" s="2" t="s">
        <v>14</v>
      </c>
      <c r="R166" s="2" t="s">
        <v>9</v>
      </c>
      <c r="T166" s="4" t="s">
        <v>12</v>
      </c>
      <c r="V166" s="28" t="str">
        <f>MID(VLOOKUP($A166,Seqs!$A:$B,2,FALSE),VLOOKUP($A166,'SegEnds_NonXtal_Prot#'!A:AL,10,FALSE),1)</f>
        <v>D</v>
      </c>
      <c r="W166" s="49" t="str">
        <f>MID(VLOOKUP($A166,Seqs!$A:$B,2,FALSE),VLOOKUP($A166,'SegEnds_NonXtal_Prot#'!A:AL,10,FALSE)+6,1)</f>
        <v>C</v>
      </c>
      <c r="X166" s="49" t="str">
        <f>MID(VLOOKUP($A166,Seqs!$A:$B,2,FALSE),VLOOKUP($A166,'SegEnds_NonXtal_Prot#'!A:AL,10,FALSE)+7,1)</f>
        <v>C</v>
      </c>
      <c r="Y166" s="49" t="str">
        <f>MID(VLOOKUP($A166,Seqs!$A:$B,2,FALSE),VLOOKUP($A166,'SegEnds_NonXtal_Prot#'!A:AL,10,FALSE)+8,1)</f>
        <v>V</v>
      </c>
      <c r="Z166" s="49" t="str">
        <f>MID(VLOOKUP($A166,Seqs!$A:$B,2,FALSE),VLOOKUP($A166,'SegEnds_NonXtal_Prot#'!A:AL,10,FALSE)+9,1)</f>
        <v>P</v>
      </c>
      <c r="AA166" s="49" t="str">
        <f>MID(VLOOKUP($A166,Seqs!$A:$B,2,FALSE),VLOOKUP($A166,'SegEnds_NonXtal_Prot#'!A:AL,10,FALSE)+10,1)</f>
        <v>F</v>
      </c>
      <c r="AB166" s="28" t="str">
        <f>MID(VLOOKUP($A166,Seqs!$A:$B,2,FALSE),VLOOKUP($A166,'SegEnds_NonXtal_Prot#'!$A:$AL,22,FALSE)+6,1)</f>
        <v>F</v>
      </c>
      <c r="AC166" s="49" t="str">
        <f>MID(VLOOKUP($A166,Seqs!$A:$B,2,FALSE),VLOOKUP($A166,'SegEnds_NonXtal_Prot#'!$A:$AL,22,FALSE)+7,1)</f>
        <v>S</v>
      </c>
      <c r="AD166" s="49" t="str">
        <f>MID(VLOOKUP($A166,Seqs!$A:$B,2,FALSE),VLOOKUP($A166,'SegEnds_NonXtal_Prot#'!$A:$AL,22,FALSE)+8,1)</f>
        <v>G</v>
      </c>
      <c r="AE166" s="49" t="str">
        <f>MID(VLOOKUP($A166,Seqs!$A:$B,2,FALSE),VLOOKUP($A166,'SegEnds_NonXtal_Prot#'!$A:$AL,22,FALSE)+9,1)</f>
        <v>P</v>
      </c>
      <c r="AF166" s="49" t="str">
        <f>MID(VLOOKUP($A166,Seqs!$A:$B,2,FALSE),VLOOKUP($A166,'SegEnds_NonXtal_Prot#'!$A:$AL,22,FALSE)+10,1)</f>
        <v>Y</v>
      </c>
      <c r="AG166" s="28" t="str">
        <f>MID(VLOOKUP($A166,Seqs!$A:$B,2,FALSE),VLOOKUP($A166,'SegEnds_NonXtal_Prot#'!$A:$AL,28,FALSE)-4,1)</f>
        <v>S</v>
      </c>
      <c r="AH166" s="49" t="str">
        <f>MID(VLOOKUP($A166,Seqs!$A:$B,2,FALSE),VLOOKUP($A166,'SegEnds_NonXtal_Prot#'!$A:$AL,28,FALSE),1)</f>
        <v>P</v>
      </c>
    </row>
    <row r="167" spans="1:34" s="2" customFormat="1" x14ac:dyDescent="0.2">
      <c r="A167" s="2" t="s">
        <v>206</v>
      </c>
      <c r="B167" s="2" t="str">
        <f>LOWER(VLOOKUP(A167,Xtal_Templ!A:B,2,FALSE))</f>
        <v>oprk_human</v>
      </c>
      <c r="C167" s="2" t="str">
        <f>VLOOKUP(A167,Classification!A:D,2,FALSE)</f>
        <v>A</v>
      </c>
      <c r="D167" s="2" t="str">
        <f>IF(ISERROR(MATCH(A167,'SegEnds_Xtal_Prot#'!B:B, 0)), "NoXtal", "Xtal")</f>
        <v>NoXtal</v>
      </c>
      <c r="G167" s="2" t="s">
        <v>5</v>
      </c>
      <c r="H167" s="4"/>
      <c r="N167" s="2" t="s">
        <v>14</v>
      </c>
      <c r="R167" s="2" t="s">
        <v>9</v>
      </c>
      <c r="T167" s="4" t="s">
        <v>12</v>
      </c>
      <c r="V167" s="28" t="str">
        <f>MID(VLOOKUP($A167,Seqs!$A:$B,2,FALSE),VLOOKUP($A167,'SegEnds_NonXtal_Prot#'!A:AL,10,FALSE),1)</f>
        <v>D</v>
      </c>
      <c r="W167" s="49" t="str">
        <f>MID(VLOOKUP($A167,Seqs!$A:$B,2,FALSE),VLOOKUP($A167,'SegEnds_NonXtal_Prot#'!A:AL,10,FALSE)+6,1)</f>
        <v>C</v>
      </c>
      <c r="X167" s="49" t="str">
        <f>MID(VLOOKUP($A167,Seqs!$A:$B,2,FALSE),VLOOKUP($A167,'SegEnds_NonXtal_Prot#'!A:AL,10,FALSE)+7,1)</f>
        <v>C</v>
      </c>
      <c r="Y167" s="49" t="str">
        <f>MID(VLOOKUP($A167,Seqs!$A:$B,2,FALSE),VLOOKUP($A167,'SegEnds_NonXtal_Prot#'!A:AL,10,FALSE)+8,1)</f>
        <v>V</v>
      </c>
      <c r="Z167" s="49" t="str">
        <f>MID(VLOOKUP($A167,Seqs!$A:$B,2,FALSE),VLOOKUP($A167,'SegEnds_NonXtal_Prot#'!A:AL,10,FALSE)+9,1)</f>
        <v>P</v>
      </c>
      <c r="AA167" s="49" t="str">
        <f>MID(VLOOKUP($A167,Seqs!$A:$B,2,FALSE),VLOOKUP($A167,'SegEnds_NonXtal_Prot#'!A:AL,10,FALSE)+10,1)</f>
        <v>F</v>
      </c>
      <c r="AB167" s="28" t="str">
        <f>MID(VLOOKUP($A167,Seqs!$A:$B,2,FALSE),VLOOKUP($A167,'SegEnds_NonXtal_Prot#'!$A:$AL,22,FALSE)+6,1)</f>
        <v>F</v>
      </c>
      <c r="AC167" s="49" t="str">
        <f>MID(VLOOKUP($A167,Seqs!$A:$B,2,FALSE),VLOOKUP($A167,'SegEnds_NonXtal_Prot#'!$A:$AL,22,FALSE)+7,1)</f>
        <v>S</v>
      </c>
      <c r="AD167" s="49" t="str">
        <f>MID(VLOOKUP($A167,Seqs!$A:$B,2,FALSE),VLOOKUP($A167,'SegEnds_NonXtal_Prot#'!$A:$AL,22,FALSE)+8,1)</f>
        <v>A</v>
      </c>
      <c r="AE167" s="49" t="str">
        <f>MID(VLOOKUP($A167,Seqs!$A:$B,2,FALSE),VLOOKUP($A167,'SegEnds_NonXtal_Prot#'!$A:$AL,22,FALSE)+9,1)</f>
        <v>P</v>
      </c>
      <c r="AF167" s="49" t="str">
        <f>MID(VLOOKUP($A167,Seqs!$A:$B,2,FALSE),VLOOKUP($A167,'SegEnds_NonXtal_Prot#'!$A:$AL,22,FALSE)+10,1)</f>
        <v>Y</v>
      </c>
      <c r="AG167" s="28" t="str">
        <f>MID(VLOOKUP($A167,Seqs!$A:$B,2,FALSE),VLOOKUP($A167,'SegEnds_NonXtal_Prot#'!$A:$AL,28,FALSE)-4,1)</f>
        <v>G</v>
      </c>
      <c r="AH167" s="49" t="str">
        <f>MID(VLOOKUP($A167,Seqs!$A:$B,2,FALSE),VLOOKUP($A167,'SegEnds_NonXtal_Prot#'!$A:$AL,28,FALSE),1)</f>
        <v>P</v>
      </c>
    </row>
    <row r="168" spans="1:34" s="2" customFormat="1" x14ac:dyDescent="0.2">
      <c r="A168" s="2" t="s">
        <v>209</v>
      </c>
      <c r="B168" s="2" t="str">
        <f>LOWER(VLOOKUP(A168,Xtal_Templ!A:B,2,FALSE))</f>
        <v>apj_human</v>
      </c>
      <c r="C168" s="2" t="str">
        <f>VLOOKUP(A168,Classification!A:D,2,FALSE)</f>
        <v>A</v>
      </c>
      <c r="D168" s="2" t="str">
        <f>IF(ISERROR(MATCH(A168,'SegEnds_Xtal_Prot#'!B:B, 0)), "NoXtal", "Xtal")</f>
        <v>NoXtal</v>
      </c>
      <c r="G168" s="106" t="s">
        <v>5</v>
      </c>
      <c r="N168" s="2" t="s">
        <v>14</v>
      </c>
      <c r="R168" s="2" t="s">
        <v>9</v>
      </c>
      <c r="T168" s="4" t="s">
        <v>12</v>
      </c>
      <c r="V168" s="28" t="str">
        <f>MID(VLOOKUP($A168,Seqs!$A:$B,2,FALSE),VLOOKUP($A168,'SegEnds_NonXtal_Prot#'!A:AL,10,FALSE),1)</f>
        <v>N</v>
      </c>
      <c r="W168" s="49" t="str">
        <f>MID(VLOOKUP($A168,Seqs!$A:$B,2,FALSE),VLOOKUP($A168,'SegEnds_NonXtal_Prot#'!A:AL,10,FALSE)+6,1)</f>
        <v>I</v>
      </c>
      <c r="X168" s="49" t="str">
        <f>MID(VLOOKUP($A168,Seqs!$A:$B,2,FALSE),VLOOKUP($A168,'SegEnds_NonXtal_Prot#'!A:AL,10,FALSE)+7,1)</f>
        <v>V</v>
      </c>
      <c r="Y168" s="49" t="str">
        <f>MID(VLOOKUP($A168,Seqs!$A:$B,2,FALSE),VLOOKUP($A168,'SegEnds_NonXtal_Prot#'!A:AL,10,FALSE)+8,1)</f>
        <v>M</v>
      </c>
      <c r="Z168" s="49" t="str">
        <f>MID(VLOOKUP($A168,Seqs!$A:$B,2,FALSE),VLOOKUP($A168,'SegEnds_NonXtal_Prot#'!A:AL,10,FALSE)+9,1)</f>
        <v>P</v>
      </c>
      <c r="AA168" s="49" t="str">
        <f>MID(VLOOKUP($A168,Seqs!$A:$B,2,FALSE),VLOOKUP($A168,'SegEnds_NonXtal_Prot#'!A:AL,10,FALSE)+10,1)</f>
        <v>L</v>
      </c>
      <c r="AB168" s="28" t="str">
        <f>MID(VLOOKUP($A168,Seqs!$A:$B,2,FALSE),VLOOKUP($A168,'SegEnds_NonXtal_Prot#'!$A:$AL,22,FALSE)+6,1)</f>
        <v>F</v>
      </c>
      <c r="AC168" s="49" t="str">
        <f>MID(VLOOKUP($A168,Seqs!$A:$B,2,FALSE),VLOOKUP($A168,'SegEnds_NonXtal_Prot#'!$A:$AL,22,FALSE)+7,1)</f>
        <v>A</v>
      </c>
      <c r="AD168" s="49" t="str">
        <f>MID(VLOOKUP($A168,Seqs!$A:$B,2,FALSE),VLOOKUP($A168,'SegEnds_NonXtal_Prot#'!$A:$AL,22,FALSE)+8,1)</f>
        <v>G</v>
      </c>
      <c r="AE168" s="49" t="str">
        <f>MID(VLOOKUP($A168,Seqs!$A:$B,2,FALSE),VLOOKUP($A168,'SegEnds_NonXtal_Prot#'!$A:$AL,22,FALSE)+9,1)</f>
        <v>P</v>
      </c>
      <c r="AF168" s="49" t="str">
        <f>MID(VLOOKUP($A168,Seqs!$A:$B,2,FALSE),VLOOKUP($A168,'SegEnds_NonXtal_Prot#'!$A:$AL,22,FALSE)+10,1)</f>
        <v>Q</v>
      </c>
      <c r="AG168" s="28" t="str">
        <f>MID(VLOOKUP($A168,Seqs!$A:$B,2,FALSE),VLOOKUP($A168,'SegEnds_NonXtal_Prot#'!$A:$AL,28,FALSE)-4,1)</f>
        <v>L</v>
      </c>
      <c r="AH168" s="49" t="str">
        <f>MID(VLOOKUP($A168,Seqs!$A:$B,2,FALSE),VLOOKUP($A168,'SegEnds_NonXtal_Prot#'!$A:$AL,28,FALSE),1)</f>
        <v>P</v>
      </c>
    </row>
    <row r="169" spans="1:34" s="2" customFormat="1" x14ac:dyDescent="0.2">
      <c r="A169" s="2" t="s">
        <v>336</v>
      </c>
      <c r="B169" s="2" t="str">
        <f>LOWER(VLOOKUP(A169,Xtal_Templ!A:B,2,FALSE))</f>
        <v>oprm_mouse</v>
      </c>
      <c r="C169" s="2" t="str">
        <f>VLOOKUP(A169,Classification!A:D,2,FALSE)</f>
        <v>A</v>
      </c>
      <c r="D169" s="2" t="str">
        <f>IF(ISERROR(MATCH(A169,'SegEnds_Xtal_Prot#'!B:B, 0)), "NoXtal", "Xtal")</f>
        <v>NoXtal</v>
      </c>
      <c r="H169" s="4"/>
      <c r="R169" s="2" t="s">
        <v>9</v>
      </c>
      <c r="T169" s="4" t="s">
        <v>12</v>
      </c>
      <c r="V169" s="28" t="str">
        <f>MID(VLOOKUP($A169,Seqs!$A:$B,2,FALSE),VLOOKUP($A169,'SegEnds_NonXtal_Prot#'!A:AL,10,FALSE),1)</f>
        <v>D</v>
      </c>
      <c r="W169" s="49" t="str">
        <f>MID(VLOOKUP($A169,Seqs!$A:$B,2,FALSE),VLOOKUP($A169,'SegEnds_NonXtal_Prot#'!A:AL,10,FALSE)+6,1)</f>
        <v>T</v>
      </c>
      <c r="X169" s="49" t="str">
        <f>MID(VLOOKUP($A169,Seqs!$A:$B,2,FALSE),VLOOKUP($A169,'SegEnds_NonXtal_Prot#'!A:AL,10,FALSE)+7,1)</f>
        <v>L</v>
      </c>
      <c r="Y169" s="49" t="str">
        <f>MID(VLOOKUP($A169,Seqs!$A:$B,2,FALSE),VLOOKUP($A169,'SegEnds_NonXtal_Prot#'!A:AL,10,FALSE)+8,1)</f>
        <v>P</v>
      </c>
      <c r="Z169" s="49" t="str">
        <f>MID(VLOOKUP($A169,Seqs!$A:$B,2,FALSE),VLOOKUP($A169,'SegEnds_NonXtal_Prot#'!A:AL,10,FALSE)+9,1)</f>
        <v>F</v>
      </c>
      <c r="AA169" s="49" t="str">
        <f>MID(VLOOKUP($A169,Seqs!$A:$B,2,FALSE),VLOOKUP($A169,'SegEnds_NonXtal_Prot#'!A:AL,10,FALSE)+10,1)</f>
        <v>Q</v>
      </c>
      <c r="AB169" s="28" t="str">
        <f>MID(VLOOKUP($A169,Seqs!$A:$B,2,FALSE),VLOOKUP($A169,'SegEnds_NonXtal_Prot#'!$A:$AL,22,FALSE)+6,1)</f>
        <v>I</v>
      </c>
      <c r="AC169" s="49" t="str">
        <f>MID(VLOOKUP($A169,Seqs!$A:$B,2,FALSE),VLOOKUP($A169,'SegEnds_NonXtal_Prot#'!$A:$AL,22,FALSE)+7,1)</f>
        <v>G</v>
      </c>
      <c r="AD169" s="49" t="str">
        <f>MID(VLOOKUP($A169,Seqs!$A:$B,2,FALSE),VLOOKUP($A169,'SegEnds_NonXtal_Prot#'!$A:$AL,22,FALSE)+8,1)</f>
        <v>L</v>
      </c>
      <c r="AE169" s="49" t="str">
        <f>MID(VLOOKUP($A169,Seqs!$A:$B,2,FALSE),VLOOKUP($A169,'SegEnds_NonXtal_Prot#'!$A:$AL,22,FALSE)+9,1)</f>
        <v>P</v>
      </c>
      <c r="AF169" s="49" t="str">
        <f>MID(VLOOKUP($A169,Seqs!$A:$B,2,FALSE),VLOOKUP($A169,'SegEnds_NonXtal_Prot#'!$A:$AL,22,FALSE)+10,1)</f>
        <v>V</v>
      </c>
      <c r="AG169" s="28" t="str">
        <f>MID(VLOOKUP($A169,Seqs!$A:$B,2,FALSE),VLOOKUP($A169,'SegEnds_NonXtal_Prot#'!$A:$AL,28,FALSE)-4,1)</f>
        <v>A</v>
      </c>
      <c r="AH169" s="49" t="str">
        <f>MID(VLOOKUP($A169,Seqs!$A:$B,2,FALSE),VLOOKUP($A169,'SegEnds_NonXtal_Prot#'!$A:$AL,28,FALSE),1)</f>
        <v>P</v>
      </c>
    </row>
    <row r="170" spans="1:34" s="2" customFormat="1" x14ac:dyDescent="0.2">
      <c r="A170" s="2" t="s">
        <v>911</v>
      </c>
      <c r="B170" s="2" t="str">
        <f>LOWER(VLOOKUP(A170,Xtal_Templ!A:B,2,FALSE))</f>
        <v>oprm_mouse</v>
      </c>
      <c r="C170" s="2" t="str">
        <f>VLOOKUP(A170,Classification!A:D,2,FALSE)</f>
        <v>A</v>
      </c>
      <c r="D170" s="2" t="str">
        <f>IF(ISERROR(MATCH(A170,'SegEnds_Xtal_Prot#'!B:B, 0)), "NoXtal", "Xtal")</f>
        <v>Xtal</v>
      </c>
      <c r="H170" s="4"/>
      <c r="R170" s="2" t="s">
        <v>9</v>
      </c>
      <c r="T170" s="4" t="s">
        <v>12</v>
      </c>
      <c r="V170" s="28" t="str">
        <f>MID(VLOOKUP($A170,Seqs!$A:$B,2,FALSE),VLOOKUP($A170,'SegEnds_NonXtal_Prot#'!A:AL,10,FALSE),1)</f>
        <v>D</v>
      </c>
      <c r="W170" s="49" t="str">
        <f>MID(VLOOKUP($A170,Seqs!$A:$B,2,FALSE),VLOOKUP($A170,'SegEnds_NonXtal_Prot#'!A:AL,10,FALSE)+6,1)</f>
        <v>T</v>
      </c>
      <c r="X170" s="49" t="str">
        <f>MID(VLOOKUP($A170,Seqs!$A:$B,2,FALSE),VLOOKUP($A170,'SegEnds_NonXtal_Prot#'!A:AL,10,FALSE)+7,1)</f>
        <v>L</v>
      </c>
      <c r="Y170" s="49" t="str">
        <f>MID(VLOOKUP($A170,Seqs!$A:$B,2,FALSE),VLOOKUP($A170,'SegEnds_NonXtal_Prot#'!A:AL,10,FALSE)+8,1)</f>
        <v>P</v>
      </c>
      <c r="Z170" s="49" t="str">
        <f>MID(VLOOKUP($A170,Seqs!$A:$B,2,FALSE),VLOOKUP($A170,'SegEnds_NonXtal_Prot#'!A:AL,10,FALSE)+9,1)</f>
        <v>F</v>
      </c>
      <c r="AA170" s="49" t="str">
        <f>MID(VLOOKUP($A170,Seqs!$A:$B,2,FALSE),VLOOKUP($A170,'SegEnds_NonXtal_Prot#'!A:AL,10,FALSE)+10,1)</f>
        <v>Q</v>
      </c>
      <c r="AB170" s="28" t="str">
        <f>MID(VLOOKUP($A170,Seqs!$A:$B,2,FALSE),VLOOKUP($A170,'SegEnds_NonXtal_Prot#'!$A:$AL,22,FALSE)+6,1)</f>
        <v>I</v>
      </c>
      <c r="AC170" s="49" t="str">
        <f>MID(VLOOKUP($A170,Seqs!$A:$B,2,FALSE),VLOOKUP($A170,'SegEnds_NonXtal_Prot#'!$A:$AL,22,FALSE)+7,1)</f>
        <v>G</v>
      </c>
      <c r="AD170" s="49" t="str">
        <f>MID(VLOOKUP($A170,Seqs!$A:$B,2,FALSE),VLOOKUP($A170,'SegEnds_NonXtal_Prot#'!$A:$AL,22,FALSE)+8,1)</f>
        <v>L</v>
      </c>
      <c r="AE170" s="49" t="str">
        <f>MID(VLOOKUP($A170,Seqs!$A:$B,2,FALSE),VLOOKUP($A170,'SegEnds_NonXtal_Prot#'!$A:$AL,22,FALSE)+9,1)</f>
        <v>P</v>
      </c>
      <c r="AF170" s="49" t="str">
        <f>MID(VLOOKUP($A170,Seqs!$A:$B,2,FALSE),VLOOKUP($A170,'SegEnds_NonXtal_Prot#'!$A:$AL,22,FALSE)+10,1)</f>
        <v>V</v>
      </c>
      <c r="AG170" s="28" t="str">
        <f>MID(VLOOKUP($A170,Seqs!$A:$B,2,FALSE),VLOOKUP($A170,'SegEnds_NonXtal_Prot#'!$A:$AL,28,FALSE)-4,1)</f>
        <v>A</v>
      </c>
      <c r="AH170" s="49" t="str">
        <f>MID(VLOOKUP($A170,Seqs!$A:$B,2,FALSE),VLOOKUP($A170,'SegEnds_NonXtal_Prot#'!$A:$AL,28,FALSE),1)</f>
        <v>P</v>
      </c>
    </row>
    <row r="171" spans="1:34" s="2" customFormat="1" x14ac:dyDescent="0.2">
      <c r="A171" s="2" t="s">
        <v>380</v>
      </c>
      <c r="B171" s="2" t="str">
        <f>LOWER(VLOOKUP(A171,Xtal_Templ!A:B,2,FALSE))</f>
        <v>oprk_human</v>
      </c>
      <c r="C171" s="2" t="str">
        <f>VLOOKUP(A171,Classification!A:D,2,FALSE)</f>
        <v>A</v>
      </c>
      <c r="D171" s="2" t="str">
        <f>IF(ISERROR(MATCH(A171,'SegEnds_Xtal_Prot#'!B:B, 0)), "NoXtal", "Xtal")</f>
        <v>NoXtal</v>
      </c>
      <c r="H171" s="4"/>
      <c r="N171" s="2" t="s">
        <v>14</v>
      </c>
      <c r="R171" s="2" t="s">
        <v>9</v>
      </c>
      <c r="T171" s="4" t="s">
        <v>12</v>
      </c>
      <c r="V171" s="28" t="str">
        <f>MID(VLOOKUP($A171,Seqs!$A:$B,2,FALSE),VLOOKUP($A171,'SegEnds_NonXtal_Prot#'!A:AL,10,FALSE),1)</f>
        <v>D</v>
      </c>
      <c r="W171" s="49" t="str">
        <f>MID(VLOOKUP($A171,Seqs!$A:$B,2,FALSE),VLOOKUP($A171,'SegEnds_NonXtal_Prot#'!A:AL,10,FALSE)+6,1)</f>
        <v>S</v>
      </c>
      <c r="X171" s="49" t="str">
        <f>MID(VLOOKUP($A171,Seqs!$A:$B,2,FALSE),VLOOKUP($A171,'SegEnds_NonXtal_Prot#'!A:AL,10,FALSE)+7,1)</f>
        <v>V</v>
      </c>
      <c r="Y171" s="49" t="str">
        <f>MID(VLOOKUP($A171,Seqs!$A:$B,2,FALSE),VLOOKUP($A171,'SegEnds_NonXtal_Prot#'!A:AL,10,FALSE)+8,1)</f>
        <v>P</v>
      </c>
      <c r="Z171" s="49" t="str">
        <f>MID(VLOOKUP($A171,Seqs!$A:$B,2,FALSE),VLOOKUP($A171,'SegEnds_NonXtal_Prot#'!A:AL,10,FALSE)+9,1)</f>
        <v>F</v>
      </c>
      <c r="AA171" s="49" t="str">
        <f>MID(VLOOKUP($A171,Seqs!$A:$B,2,FALSE),VLOOKUP($A171,'SegEnds_NonXtal_Prot#'!A:AL,10,FALSE)+10,1)</f>
        <v>L</v>
      </c>
      <c r="AB171" s="28" t="str">
        <f>MID(VLOOKUP($A171,Seqs!$A:$B,2,FALSE),VLOOKUP($A171,'SegEnds_NonXtal_Prot#'!$A:$AL,22,FALSE)+6,1)</f>
        <v>V</v>
      </c>
      <c r="AC171" s="49" t="str">
        <f>MID(VLOOKUP($A171,Seqs!$A:$B,2,FALSE),VLOOKUP($A171,'SegEnds_NonXtal_Prot#'!$A:$AL,22,FALSE)+7,1)</f>
        <v>I</v>
      </c>
      <c r="AD171" s="49" t="str">
        <f>MID(VLOOKUP($A171,Seqs!$A:$B,2,FALSE),VLOOKUP($A171,'SegEnds_NonXtal_Prot#'!$A:$AL,22,FALSE)+8,1)</f>
        <v>L</v>
      </c>
      <c r="AE171" s="49" t="str">
        <f>MID(VLOOKUP($A171,Seqs!$A:$B,2,FALSE),VLOOKUP($A171,'SegEnds_NonXtal_Prot#'!$A:$AL,22,FALSE)+9,1)</f>
        <v>P</v>
      </c>
      <c r="AF171" s="49" t="str">
        <f>MID(VLOOKUP($A171,Seqs!$A:$B,2,FALSE),VLOOKUP($A171,'SegEnds_NonXtal_Prot#'!$A:$AL,22,FALSE)+10,1)</f>
        <v>I</v>
      </c>
      <c r="AG171" s="28" t="str">
        <f>MID(VLOOKUP($A171,Seqs!$A:$B,2,FALSE),VLOOKUP($A171,'SegEnds_NonXtal_Prot#'!$A:$AL,28,FALSE)-4,1)</f>
        <v>G</v>
      </c>
      <c r="AH171" s="49" t="str">
        <f>MID(VLOOKUP($A171,Seqs!$A:$B,2,FALSE),VLOOKUP($A171,'SegEnds_NonXtal_Prot#'!$A:$AL,28,FALSE),1)</f>
        <v>P</v>
      </c>
    </row>
    <row r="172" spans="1:34" s="2" customFormat="1" x14ac:dyDescent="0.2">
      <c r="A172" s="2" t="s">
        <v>381</v>
      </c>
      <c r="B172" s="2" t="str">
        <f>LOWER(VLOOKUP(A172,Xtal_Templ!A:B,2,FALSE))</f>
        <v>oprk_human</v>
      </c>
      <c r="C172" s="2" t="str">
        <f>VLOOKUP(A172,Classification!A:D,2,FALSE)</f>
        <v>A</v>
      </c>
      <c r="D172" s="2" t="str">
        <f>IF(ISERROR(MATCH(A172,'SegEnds_Xtal_Prot#'!B:B, 0)), "NoXtal", "Xtal")</f>
        <v>NoXtal</v>
      </c>
      <c r="H172" s="4"/>
      <c r="N172" s="2" t="s">
        <v>14</v>
      </c>
      <c r="R172" s="2" t="s">
        <v>9</v>
      </c>
      <c r="T172" s="4" t="s">
        <v>12</v>
      </c>
      <c r="V172" s="28" t="str">
        <f>MID(VLOOKUP($A172,Seqs!$A:$B,2,FALSE),VLOOKUP($A172,'SegEnds_NonXtal_Prot#'!A:AL,10,FALSE),1)</f>
        <v>D</v>
      </c>
      <c r="W172" s="49" t="str">
        <f>MID(VLOOKUP($A172,Seqs!$A:$B,2,FALSE),VLOOKUP($A172,'SegEnds_NonXtal_Prot#'!A:AL,10,FALSE)+6,1)</f>
        <v>G</v>
      </c>
      <c r="X172" s="49" t="str">
        <f>MID(VLOOKUP($A172,Seqs!$A:$B,2,FALSE),VLOOKUP($A172,'SegEnds_NonXtal_Prot#'!A:AL,10,FALSE)+7,1)</f>
        <v>L</v>
      </c>
      <c r="Y172" s="49" t="str">
        <f>MID(VLOOKUP($A172,Seqs!$A:$B,2,FALSE),VLOOKUP($A172,'SegEnds_NonXtal_Prot#'!A:AL,10,FALSE)+8,1)</f>
        <v>P</v>
      </c>
      <c r="Z172" s="49" t="str">
        <f>MID(VLOOKUP($A172,Seqs!$A:$B,2,FALSE),VLOOKUP($A172,'SegEnds_NonXtal_Prot#'!A:AL,10,FALSE)+9,1)</f>
        <v>F</v>
      </c>
      <c r="AA172" s="49" t="str">
        <f>MID(VLOOKUP($A172,Seqs!$A:$B,2,FALSE),VLOOKUP($A172,'SegEnds_NonXtal_Prot#'!A:AL,10,FALSE)+10,1)</f>
        <v>L</v>
      </c>
      <c r="AB172" s="28" t="str">
        <f>MID(VLOOKUP($A172,Seqs!$A:$B,2,FALSE),VLOOKUP($A172,'SegEnds_NonXtal_Prot#'!$A:$AL,22,FALSE)+6,1)</f>
        <v>V</v>
      </c>
      <c r="AC172" s="49" t="str">
        <f>MID(VLOOKUP($A172,Seqs!$A:$B,2,FALSE),VLOOKUP($A172,'SegEnds_NonXtal_Prot#'!$A:$AL,22,FALSE)+7,1)</f>
        <v>I</v>
      </c>
      <c r="AD172" s="49" t="str">
        <f>MID(VLOOKUP($A172,Seqs!$A:$B,2,FALSE),VLOOKUP($A172,'SegEnds_NonXtal_Prot#'!$A:$AL,22,FALSE)+8,1)</f>
        <v>L</v>
      </c>
      <c r="AE172" s="49" t="str">
        <f>MID(VLOOKUP($A172,Seqs!$A:$B,2,FALSE),VLOOKUP($A172,'SegEnds_NonXtal_Prot#'!$A:$AL,22,FALSE)+9,1)</f>
        <v>P</v>
      </c>
      <c r="AF172" s="49" t="str">
        <f>MID(VLOOKUP($A172,Seqs!$A:$B,2,FALSE),VLOOKUP($A172,'SegEnds_NonXtal_Prot#'!$A:$AL,22,FALSE)+10,1)</f>
        <v>I</v>
      </c>
      <c r="AG172" s="28" t="str">
        <f>MID(VLOOKUP($A172,Seqs!$A:$B,2,FALSE),VLOOKUP($A172,'SegEnds_NonXtal_Prot#'!$A:$AL,28,FALSE)-4,1)</f>
        <v>G</v>
      </c>
      <c r="AH172" s="49" t="str">
        <f>MID(VLOOKUP($A172,Seqs!$A:$B,2,FALSE),VLOOKUP($A172,'SegEnds_NonXtal_Prot#'!$A:$AL,28,FALSE),1)</f>
        <v>P</v>
      </c>
    </row>
    <row r="173" spans="1:34" s="2" customFormat="1" x14ac:dyDescent="0.2">
      <c r="A173" s="2" t="s">
        <v>384</v>
      </c>
      <c r="B173" s="2" t="str">
        <f>LOWER(VLOOKUP(A173,Xtal_Templ!A:B,2,FALSE))</f>
        <v>oprk_human</v>
      </c>
      <c r="C173" s="2" t="str">
        <f>VLOOKUP(A173,Classification!A:D,2,FALSE)</f>
        <v>A</v>
      </c>
      <c r="D173" s="2" t="str">
        <f>IF(ISERROR(MATCH(A173,'SegEnds_Xtal_Prot#'!B:B, 0)), "NoXtal", "Xtal")</f>
        <v>NoXtal</v>
      </c>
      <c r="H173" s="4"/>
      <c r="N173" s="2" t="s">
        <v>14</v>
      </c>
      <c r="R173" s="2" t="s">
        <v>9</v>
      </c>
      <c r="T173" s="4" t="s">
        <v>12</v>
      </c>
      <c r="V173" s="28" t="str">
        <f>MID(VLOOKUP($A173,Seqs!$A:$B,2,FALSE),VLOOKUP($A173,'SegEnds_NonXtal_Prot#'!A:AL,10,FALSE),1)</f>
        <v>D</v>
      </c>
      <c r="W173" s="49" t="str">
        <f>MID(VLOOKUP($A173,Seqs!$A:$B,2,FALSE),VLOOKUP($A173,'SegEnds_NonXtal_Prot#'!A:AL,10,FALSE)+6,1)</f>
        <v>G</v>
      </c>
      <c r="X173" s="49" t="str">
        <f>MID(VLOOKUP($A173,Seqs!$A:$B,2,FALSE),VLOOKUP($A173,'SegEnds_NonXtal_Prot#'!A:AL,10,FALSE)+7,1)</f>
        <v>L</v>
      </c>
      <c r="Y173" s="49" t="str">
        <f>MID(VLOOKUP($A173,Seqs!$A:$B,2,FALSE),VLOOKUP($A173,'SegEnds_NonXtal_Prot#'!A:AL,10,FALSE)+8,1)</f>
        <v>P</v>
      </c>
      <c r="Z173" s="49" t="str">
        <f>MID(VLOOKUP($A173,Seqs!$A:$B,2,FALSE),VLOOKUP($A173,'SegEnds_NonXtal_Prot#'!A:AL,10,FALSE)+9,1)</f>
        <v>F</v>
      </c>
      <c r="AA173" s="49" t="str">
        <f>MID(VLOOKUP($A173,Seqs!$A:$B,2,FALSE),VLOOKUP($A173,'SegEnds_NonXtal_Prot#'!A:AL,10,FALSE)+10,1)</f>
        <v>L</v>
      </c>
      <c r="AB173" s="28" t="str">
        <f>MID(VLOOKUP($A173,Seqs!$A:$B,2,FALSE),VLOOKUP($A173,'SegEnds_NonXtal_Prot#'!$A:$AL,22,FALSE)+6,1)</f>
        <v>M</v>
      </c>
      <c r="AC173" s="49" t="str">
        <f>MID(VLOOKUP($A173,Seqs!$A:$B,2,FALSE),VLOOKUP($A173,'SegEnds_NonXtal_Prot#'!$A:$AL,22,FALSE)+7,1)</f>
        <v>S</v>
      </c>
      <c r="AD173" s="49" t="str">
        <f>MID(VLOOKUP($A173,Seqs!$A:$B,2,FALSE),VLOOKUP($A173,'SegEnds_NonXtal_Prot#'!$A:$AL,22,FALSE)+8,1)</f>
        <v>L</v>
      </c>
      <c r="AE173" s="49" t="str">
        <f>MID(VLOOKUP($A173,Seqs!$A:$B,2,FALSE),VLOOKUP($A173,'SegEnds_NonXtal_Prot#'!$A:$AL,22,FALSE)+9,1)</f>
        <v>P</v>
      </c>
      <c r="AF173" s="49" t="str">
        <f>MID(VLOOKUP($A173,Seqs!$A:$B,2,FALSE),VLOOKUP($A173,'SegEnds_NonXtal_Prot#'!$A:$AL,22,FALSE)+10,1)</f>
        <v>L</v>
      </c>
      <c r="AG173" s="28" t="str">
        <f>MID(VLOOKUP($A173,Seqs!$A:$B,2,FALSE),VLOOKUP($A173,'SegEnds_NonXtal_Prot#'!$A:$AL,28,FALSE)-4,1)</f>
        <v>G</v>
      </c>
      <c r="AH173" s="49" t="str">
        <f>MID(VLOOKUP($A173,Seqs!$A:$B,2,FALSE),VLOOKUP($A173,'SegEnds_NonXtal_Prot#'!$A:$AL,28,FALSE),1)</f>
        <v>P</v>
      </c>
    </row>
    <row r="174" spans="1:34" s="2" customFormat="1" x14ac:dyDescent="0.2">
      <c r="A174" s="2" t="s">
        <v>396</v>
      </c>
      <c r="B174" s="2" t="str">
        <f>LOWER(VLOOKUP(A174,Xtal_Templ!A:B,2,FALSE))</f>
        <v>ox2r_human</v>
      </c>
      <c r="C174" s="2" t="str">
        <f>VLOOKUP(A174,Classification!A:D,2,FALSE)</f>
        <v>A</v>
      </c>
      <c r="D174" s="2" t="str">
        <f>IF(ISERROR(MATCH(A174,'SegEnds_Xtal_Prot#'!B:B, 0)), "NoXtal", "Xtal")</f>
        <v>NoXtal</v>
      </c>
      <c r="H174" s="4"/>
      <c r="N174" s="2" t="s">
        <v>14</v>
      </c>
      <c r="R174" s="2" t="s">
        <v>9</v>
      </c>
      <c r="T174" s="4" t="s">
        <v>12</v>
      </c>
      <c r="V174" s="28" t="str">
        <f>MID(VLOOKUP($A174,Seqs!$A:$B,2,FALSE),VLOOKUP($A174,'SegEnds_NonXtal_Prot#'!A:AL,10,FALSE),1)</f>
        <v>D</v>
      </c>
      <c r="W174" s="49" t="str">
        <f>MID(VLOOKUP($A174,Seqs!$A:$B,2,FALSE),VLOOKUP($A174,'SegEnds_NonXtal_Prot#'!A:AL,10,FALSE)+6,1)</f>
        <v>F</v>
      </c>
      <c r="X174" s="49" t="str">
        <f>MID(VLOOKUP($A174,Seqs!$A:$B,2,FALSE),VLOOKUP($A174,'SegEnds_NonXtal_Prot#'!A:AL,10,FALSE)+7,1)</f>
        <v>Q</v>
      </c>
      <c r="Y174" s="49" t="str">
        <f>MID(VLOOKUP($A174,Seqs!$A:$B,2,FALSE),VLOOKUP($A174,'SegEnds_NonXtal_Prot#'!A:AL,10,FALSE)+8,1)</f>
        <v>V</v>
      </c>
      <c r="Z174" s="49" t="str">
        <f>MID(VLOOKUP($A174,Seqs!$A:$B,2,FALSE),VLOOKUP($A174,'SegEnds_NonXtal_Prot#'!A:AL,10,FALSE)+9,1)</f>
        <v>L</v>
      </c>
      <c r="AA174" s="49" t="str">
        <f>MID(VLOOKUP($A174,Seqs!$A:$B,2,FALSE),VLOOKUP($A174,'SegEnds_NonXtal_Prot#'!A:AL,10,FALSE)+10,1)</f>
        <v>P</v>
      </c>
      <c r="AB174" s="28" t="str">
        <f>MID(VLOOKUP($A174,Seqs!$A:$B,2,FALSE),VLOOKUP($A174,'SegEnds_NonXtal_Prot#'!$A:$AL,22,FALSE)+6,1)</f>
        <v>L</v>
      </c>
      <c r="AC174" s="49" t="str">
        <f>MID(VLOOKUP($A174,Seqs!$A:$B,2,FALSE),VLOOKUP($A174,'SegEnds_NonXtal_Prot#'!$A:$AL,22,FALSE)+7,1)</f>
        <v>S</v>
      </c>
      <c r="AD174" s="49" t="str">
        <f>MID(VLOOKUP($A174,Seqs!$A:$B,2,FALSE),VLOOKUP($A174,'SegEnds_NonXtal_Prot#'!$A:$AL,22,FALSE)+8,1)</f>
        <v>T</v>
      </c>
      <c r="AE174" s="49" t="str">
        <f>MID(VLOOKUP($A174,Seqs!$A:$B,2,FALSE),VLOOKUP($A174,'SegEnds_NonXtal_Prot#'!$A:$AL,22,FALSE)+9,1)</f>
        <v>P</v>
      </c>
      <c r="AF174" s="49" t="str">
        <f>MID(VLOOKUP($A174,Seqs!$A:$B,2,FALSE),VLOOKUP($A174,'SegEnds_NonXtal_Prot#'!$A:$AL,22,FALSE)+10,1)</f>
        <v>Q</v>
      </c>
      <c r="AG174" s="28" t="str">
        <f>MID(VLOOKUP($A174,Seqs!$A:$B,2,FALSE),VLOOKUP($A174,'SegEnds_NonXtal_Prot#'!$A:$AL,28,FALSE)-4,1)</f>
        <v>I</v>
      </c>
      <c r="AH174" s="49" t="str">
        <f>MID(VLOOKUP($A174,Seqs!$A:$B,2,FALSE),VLOOKUP($A174,'SegEnds_NonXtal_Prot#'!$A:$AL,28,FALSE),1)</f>
        <v>P</v>
      </c>
    </row>
    <row r="175" spans="1:34" s="2" customFormat="1" x14ac:dyDescent="0.2">
      <c r="A175" s="2" t="s">
        <v>216</v>
      </c>
      <c r="B175" s="2" t="str">
        <f>LOWER(VLOOKUP(A175,Xtal_Templ!A:B,2,FALSE))</f>
        <v>ccr7_human</v>
      </c>
      <c r="C175" s="2" t="str">
        <f>VLOOKUP(A175,Classification!A:D,2,FALSE)</f>
        <v>A</v>
      </c>
      <c r="D175" s="2" t="str">
        <f>IF(ISERROR(MATCH(A175,'SegEnds_Xtal_Prot#'!B:B, 0)), "NoXtal", "Xtal")</f>
        <v>NoXtal</v>
      </c>
      <c r="H175" s="4"/>
      <c r="N175" s="2" t="s">
        <v>14</v>
      </c>
      <c r="T175" s="4" t="s">
        <v>12</v>
      </c>
      <c r="V175" s="28" t="str">
        <f>MID(VLOOKUP($A175,Seqs!$A:$B,2,FALSE),VLOOKUP($A175,'SegEnds_NonXtal_Prot#'!A:AL,10,FALSE),1)</f>
        <v>H</v>
      </c>
      <c r="W175" s="49" t="str">
        <f>MID(VLOOKUP($A175,Seqs!$A:$B,2,FALSE),VLOOKUP($A175,'SegEnds_NonXtal_Prot#'!A:AL,10,FALSE)+6,1)</f>
        <v>T</v>
      </c>
      <c r="X175" s="49" t="str">
        <f>MID(VLOOKUP($A175,Seqs!$A:$B,2,FALSE),VLOOKUP($A175,'SegEnds_NonXtal_Prot#'!A:AL,10,FALSE)+7,1)</f>
        <v>V</v>
      </c>
      <c r="Y175" s="49" t="str">
        <f>MID(VLOOKUP($A175,Seqs!$A:$B,2,FALSE),VLOOKUP($A175,'SegEnds_NonXtal_Prot#'!A:AL,10,FALSE)+8,1)</f>
        <v>P</v>
      </c>
      <c r="Z175" s="49" t="str">
        <f>MID(VLOOKUP($A175,Seqs!$A:$B,2,FALSE),VLOOKUP($A175,'SegEnds_NonXtal_Prot#'!A:AL,10,FALSE)+9,1)</f>
        <v>F</v>
      </c>
      <c r="AA175" s="49" t="str">
        <f>MID(VLOOKUP($A175,Seqs!$A:$B,2,FALSE),VLOOKUP($A175,'SegEnds_NonXtal_Prot#'!A:AL,10,FALSE)+10,1)</f>
        <v>R</v>
      </c>
      <c r="AB175" s="28" t="str">
        <f>MID(VLOOKUP($A175,Seqs!$A:$B,2,FALSE),VLOOKUP($A175,'SegEnds_NonXtal_Prot#'!$A:$AL,22,FALSE)+6,1)</f>
        <v>I</v>
      </c>
      <c r="AC175" s="49" t="str">
        <f>MID(VLOOKUP($A175,Seqs!$A:$B,2,FALSE),VLOOKUP($A175,'SegEnds_NonXtal_Prot#'!$A:$AL,22,FALSE)+7,1)</f>
        <v>V</v>
      </c>
      <c r="AD175" s="49" t="str">
        <f>MID(VLOOKUP($A175,Seqs!$A:$B,2,FALSE),VLOOKUP($A175,'SegEnds_NonXtal_Prot#'!$A:$AL,22,FALSE)+8,1)</f>
        <v>V</v>
      </c>
      <c r="AE175" s="49" t="str">
        <f>MID(VLOOKUP($A175,Seqs!$A:$B,2,FALSE),VLOOKUP($A175,'SegEnds_NonXtal_Prot#'!$A:$AL,22,FALSE)+9,1)</f>
        <v>P</v>
      </c>
      <c r="AF175" s="49" t="str">
        <f>MID(VLOOKUP($A175,Seqs!$A:$B,2,FALSE),VLOOKUP($A175,'SegEnds_NonXtal_Prot#'!$A:$AL,22,FALSE)+10,1)</f>
        <v>L</v>
      </c>
      <c r="AG175" s="28" t="str">
        <f>MID(VLOOKUP($A175,Seqs!$A:$B,2,FALSE),VLOOKUP($A175,'SegEnds_NonXtal_Prot#'!$A:$AL,28,FALSE)-4,1)</f>
        <v>V</v>
      </c>
      <c r="AH175" s="49" t="str">
        <f>MID(VLOOKUP($A175,Seqs!$A:$B,2,FALSE),VLOOKUP($A175,'SegEnds_NonXtal_Prot#'!$A:$AL,28,FALSE),1)</f>
        <v>L</v>
      </c>
    </row>
    <row r="176" spans="1:34" s="2" customFormat="1" x14ac:dyDescent="0.2">
      <c r="A176" s="2" t="s">
        <v>217</v>
      </c>
      <c r="B176" s="2" t="str">
        <f>LOWER(VLOOKUP(A176,Xtal_Templ!A:B,2,FALSE))</f>
        <v>5ht2a_human</v>
      </c>
      <c r="C176" s="2" t="str">
        <f>VLOOKUP(A176,Classification!A:D,2,FALSE)</f>
        <v>A</v>
      </c>
      <c r="D176" s="2" t="str">
        <f>IF(ISERROR(MATCH(A176,'SegEnds_Xtal_Prot#'!B:B, 0)), "NoXtal", "Xtal")</f>
        <v>NoXtal</v>
      </c>
      <c r="H176" s="4"/>
      <c r="R176" s="2" t="s">
        <v>9</v>
      </c>
      <c r="T176" s="4" t="s">
        <v>12</v>
      </c>
      <c r="V176" s="28" t="str">
        <f>MID(VLOOKUP($A176,Seqs!$A:$B,2,FALSE),VLOOKUP($A176,'SegEnds_NonXtal_Prot#'!A:AL,10,FALSE),1)</f>
        <v>D</v>
      </c>
      <c r="W176" s="49" t="str">
        <f>MID(VLOOKUP($A176,Seqs!$A:$B,2,FALSE),VLOOKUP($A176,'SegEnds_NonXtal_Prot#'!A:AL,10,FALSE)+6,1)</f>
        <v>V</v>
      </c>
      <c r="X176" s="49" t="str">
        <f>MID(VLOOKUP($A176,Seqs!$A:$B,2,FALSE),VLOOKUP($A176,'SegEnds_NonXtal_Prot#'!A:AL,10,FALSE)+7,1)</f>
        <v>I</v>
      </c>
      <c r="Y176" s="49" t="str">
        <f>MID(VLOOKUP($A176,Seqs!$A:$B,2,FALSE),VLOOKUP($A176,'SegEnds_NonXtal_Prot#'!A:AL,10,FALSE)+8,1)</f>
        <v>V</v>
      </c>
      <c r="Z176" s="49" t="str">
        <f>MID(VLOOKUP($A176,Seqs!$A:$B,2,FALSE),VLOOKUP($A176,'SegEnds_NonXtal_Prot#'!A:AL,10,FALSE)+9,1)</f>
        <v>F</v>
      </c>
      <c r="AA176" s="49" t="str">
        <f>MID(VLOOKUP($A176,Seqs!$A:$B,2,FALSE),VLOOKUP($A176,'SegEnds_NonXtal_Prot#'!A:AL,10,FALSE)+10,1)</f>
        <v>A</v>
      </c>
      <c r="AB176" s="28" t="str">
        <f>MID(VLOOKUP($A176,Seqs!$A:$B,2,FALSE),VLOOKUP($A176,'SegEnds_NonXtal_Prot#'!$A:$AL,22,FALSE)+6,1)</f>
        <v>L</v>
      </c>
      <c r="AC176" s="49" t="str">
        <f>MID(VLOOKUP($A176,Seqs!$A:$B,2,FALSE),VLOOKUP($A176,'SegEnds_NonXtal_Prot#'!$A:$AL,22,FALSE)+7,1)</f>
        <v>T</v>
      </c>
      <c r="AD176" s="49" t="str">
        <f>MID(VLOOKUP($A176,Seqs!$A:$B,2,FALSE),VLOOKUP($A176,'SegEnds_NonXtal_Prot#'!$A:$AL,22,FALSE)+8,1)</f>
        <v>G</v>
      </c>
      <c r="AE176" s="49" t="str">
        <f>MID(VLOOKUP($A176,Seqs!$A:$B,2,FALSE),VLOOKUP($A176,'SegEnds_NonXtal_Prot#'!$A:$AL,22,FALSE)+9,1)</f>
        <v>I</v>
      </c>
      <c r="AF176" s="49" t="str">
        <f>MID(VLOOKUP($A176,Seqs!$A:$B,2,FALSE),VLOOKUP($A176,'SegEnds_NonXtal_Prot#'!$A:$AL,22,FALSE)+10,1)</f>
        <v>P</v>
      </c>
      <c r="AG176" s="28" t="str">
        <f>MID(VLOOKUP($A176,Seqs!$A:$B,2,FALSE),VLOOKUP($A176,'SegEnds_NonXtal_Prot#'!$A:$AL,28,FALSE)-4,1)</f>
        <v>V</v>
      </c>
      <c r="AH176" s="49" t="str">
        <f>MID(VLOOKUP($A176,Seqs!$A:$B,2,FALSE),VLOOKUP($A176,'SegEnds_NonXtal_Prot#'!$A:$AL,28,FALSE),1)</f>
        <v>P</v>
      </c>
    </row>
    <row r="177" spans="1:34" s="2" customFormat="1" x14ac:dyDescent="0.2">
      <c r="A177" s="2" t="s">
        <v>281</v>
      </c>
      <c r="B177" s="2" t="str">
        <f>LOWER(VLOOKUP(A177,Xtal_Templ!A:B,2,FALSE))</f>
        <v>oprk_human</v>
      </c>
      <c r="C177" s="2" t="str">
        <f>VLOOKUP(A177,Classification!A:D,2,FALSE)</f>
        <v>A</v>
      </c>
      <c r="D177" s="2" t="str">
        <f>IF(ISERROR(MATCH(A177,'SegEnds_Xtal_Prot#'!B:B, 0)), "NoXtal", "Xtal")</f>
        <v>NoXtal</v>
      </c>
      <c r="G177" s="2" t="s">
        <v>5</v>
      </c>
      <c r="H177" s="4"/>
      <c r="N177" s="2" t="s">
        <v>14</v>
      </c>
      <c r="R177" s="2" t="s">
        <v>9</v>
      </c>
      <c r="T177" s="4" t="s">
        <v>12</v>
      </c>
      <c r="V177" s="28" t="str">
        <f>MID(VLOOKUP($A177,Seqs!$A:$B,2,FALSE),VLOOKUP($A177,'SegEnds_NonXtal_Prot#'!A:AL,10,FALSE),1)</f>
        <v>D</v>
      </c>
      <c r="W177" s="49" t="str">
        <f>MID(VLOOKUP($A177,Seqs!$A:$B,2,FALSE),VLOOKUP($A177,'SegEnds_NonXtal_Prot#'!A:AL,10,FALSE)+6,1)</f>
        <v>C</v>
      </c>
      <c r="X177" s="49" t="str">
        <f>MID(VLOOKUP($A177,Seqs!$A:$B,2,FALSE),VLOOKUP($A177,'SegEnds_NonXtal_Prot#'!A:AL,10,FALSE)+7,1)</f>
        <v>C</v>
      </c>
      <c r="Y177" s="49" t="str">
        <f>MID(VLOOKUP($A177,Seqs!$A:$B,2,FALSE),VLOOKUP($A177,'SegEnds_NonXtal_Prot#'!A:AL,10,FALSE)+8,1)</f>
        <v>V</v>
      </c>
      <c r="Z177" s="49" t="str">
        <f>MID(VLOOKUP($A177,Seqs!$A:$B,2,FALSE),VLOOKUP($A177,'SegEnds_NonXtal_Prot#'!A:AL,10,FALSE)+9,1)</f>
        <v>P</v>
      </c>
      <c r="AA177" s="49" t="str">
        <f>MID(VLOOKUP($A177,Seqs!$A:$B,2,FALSE),VLOOKUP($A177,'SegEnds_NonXtal_Prot#'!A:AL,10,FALSE)+10,1)</f>
        <v>F</v>
      </c>
      <c r="AB177" s="28" t="str">
        <f>MID(VLOOKUP($A177,Seqs!$A:$B,2,FALSE),VLOOKUP($A177,'SegEnds_NonXtal_Prot#'!$A:$AL,22,FALSE)+6,1)</f>
        <v>V</v>
      </c>
      <c r="AC177" s="49" t="str">
        <f>MID(VLOOKUP($A177,Seqs!$A:$B,2,FALSE),VLOOKUP($A177,'SegEnds_NonXtal_Prot#'!$A:$AL,22,FALSE)+7,1)</f>
        <v>S</v>
      </c>
      <c r="AD177" s="49" t="str">
        <f>MID(VLOOKUP($A177,Seqs!$A:$B,2,FALSE),VLOOKUP($A177,'SegEnds_NonXtal_Prot#'!$A:$AL,22,FALSE)+8,1)</f>
        <v>A</v>
      </c>
      <c r="AE177" s="49" t="str">
        <f>MID(VLOOKUP($A177,Seqs!$A:$B,2,FALSE),VLOOKUP($A177,'SegEnds_NonXtal_Prot#'!$A:$AL,22,FALSE)+9,1)</f>
        <v>P</v>
      </c>
      <c r="AF177" s="49" t="str">
        <f>MID(VLOOKUP($A177,Seqs!$A:$B,2,FALSE),VLOOKUP($A177,'SegEnds_NonXtal_Prot#'!$A:$AL,22,FALSE)+10,1)</f>
        <v>V</v>
      </c>
      <c r="AG177" s="28" t="str">
        <f>MID(VLOOKUP($A177,Seqs!$A:$B,2,FALSE),VLOOKUP($A177,'SegEnds_NonXtal_Prot#'!$A:$AL,28,FALSE)-4,1)</f>
        <v>L</v>
      </c>
      <c r="AH177" s="49" t="str">
        <f>MID(VLOOKUP($A177,Seqs!$A:$B,2,FALSE),VLOOKUP($A177,'SegEnds_NonXtal_Prot#'!$A:$AL,28,FALSE),1)</f>
        <v>P</v>
      </c>
    </row>
    <row r="178" spans="1:34" s="2" customFormat="1" x14ac:dyDescent="0.2">
      <c r="A178" s="2" t="s">
        <v>298</v>
      </c>
      <c r="B178" s="2" t="str">
        <f>LOWER(VLOOKUP(A178,Xtal_Templ!A:B,2,FALSE))</f>
        <v>oprk_human</v>
      </c>
      <c r="C178" s="2" t="str">
        <f>VLOOKUP(A178,Classification!A:D,2,FALSE)</f>
        <v>A</v>
      </c>
      <c r="D178" s="2" t="str">
        <f>IF(ISERROR(MATCH(A178,'SegEnds_Xtal_Prot#'!B:B, 0)), "NoXtal", "Xtal")</f>
        <v>NoXtal</v>
      </c>
      <c r="H178" s="4"/>
      <c r="N178" s="2" t="s">
        <v>14</v>
      </c>
      <c r="R178" s="2" t="s">
        <v>9</v>
      </c>
      <c r="T178" s="4" t="s">
        <v>12</v>
      </c>
      <c r="V178" s="28" t="str">
        <f>MID(VLOOKUP($A178,Seqs!$A:$B,2,FALSE),VLOOKUP($A178,'SegEnds_NonXtal_Prot#'!A:AL,10,FALSE),1)</f>
        <v>D</v>
      </c>
      <c r="W178" s="49" t="str">
        <f>MID(VLOOKUP($A178,Seqs!$A:$B,2,FALSE),VLOOKUP($A178,'SegEnds_NonXtal_Prot#'!A:AL,10,FALSE)+6,1)</f>
        <v>G</v>
      </c>
      <c r="X178" s="49" t="str">
        <f>MID(VLOOKUP($A178,Seqs!$A:$B,2,FALSE),VLOOKUP($A178,'SegEnds_NonXtal_Prot#'!A:AL,10,FALSE)+7,1)</f>
        <v>M</v>
      </c>
      <c r="Y178" s="49" t="str">
        <f>MID(VLOOKUP($A178,Seqs!$A:$B,2,FALSE),VLOOKUP($A178,'SegEnds_NonXtal_Prot#'!A:AL,10,FALSE)+8,1)</f>
        <v>P</v>
      </c>
      <c r="Z178" s="49" t="str">
        <f>MID(VLOOKUP($A178,Seqs!$A:$B,2,FALSE),VLOOKUP($A178,'SegEnds_NonXtal_Prot#'!A:AL,10,FALSE)+9,1)</f>
        <v>F</v>
      </c>
      <c r="AA178" s="49" t="str">
        <f>MID(VLOOKUP($A178,Seqs!$A:$B,2,FALSE),VLOOKUP($A178,'SegEnds_NonXtal_Prot#'!A:AL,10,FALSE)+10,1)</f>
        <v>M</v>
      </c>
      <c r="AB178" s="28" t="str">
        <f>MID(VLOOKUP($A178,Seqs!$A:$B,2,FALSE),VLOOKUP($A178,'SegEnds_NonXtal_Prot#'!$A:$AL,22,FALSE)+6,1)</f>
        <v>S</v>
      </c>
      <c r="AC178" s="49" t="str">
        <f>MID(VLOOKUP($A178,Seqs!$A:$B,2,FALSE),VLOOKUP($A178,'SegEnds_NonXtal_Prot#'!$A:$AL,22,FALSE)+7,1)</f>
        <v>I</v>
      </c>
      <c r="AD178" s="49" t="str">
        <f>MID(VLOOKUP($A178,Seqs!$A:$B,2,FALSE),VLOOKUP($A178,'SegEnds_NonXtal_Prot#'!$A:$AL,22,FALSE)+8,1)</f>
        <v>T</v>
      </c>
      <c r="AE178" s="49" t="str">
        <f>MID(VLOOKUP($A178,Seqs!$A:$B,2,FALSE),VLOOKUP($A178,'SegEnds_NonXtal_Prot#'!$A:$AL,22,FALSE)+9,1)</f>
        <v>P</v>
      </c>
      <c r="AF178" s="49" t="str">
        <f>MID(VLOOKUP($A178,Seqs!$A:$B,2,FALSE),VLOOKUP($A178,'SegEnds_NonXtal_Prot#'!$A:$AL,22,FALSE)+10,1)</f>
        <v>V</v>
      </c>
      <c r="AG178" s="28" t="str">
        <f>MID(VLOOKUP($A178,Seqs!$A:$B,2,FALSE),VLOOKUP($A178,'SegEnds_NonXtal_Prot#'!$A:$AL,28,FALSE)-4,1)</f>
        <v>A</v>
      </c>
      <c r="AH178" s="49" t="str">
        <f>MID(VLOOKUP($A178,Seqs!$A:$B,2,FALSE),VLOOKUP($A178,'SegEnds_NonXtal_Prot#'!$A:$AL,28,FALSE),1)</f>
        <v>P</v>
      </c>
    </row>
    <row r="179" spans="1:34" s="2" customFormat="1" x14ac:dyDescent="0.2">
      <c r="A179" s="2" t="s">
        <v>319</v>
      </c>
      <c r="B179" s="2" t="str">
        <f>LOWER(VLOOKUP(A179,Xtal_Templ!A:B,2,FALSE))</f>
        <v>oprd_human</v>
      </c>
      <c r="C179" s="2" t="str">
        <f>VLOOKUP(A179,Classification!A:D,2,FALSE)</f>
        <v>A</v>
      </c>
      <c r="D179" s="2" t="str">
        <f>IF(ISERROR(MATCH(A179,'SegEnds_Xtal_Prot#'!B:B, 0)), "NoXtal", "Xtal")</f>
        <v>NoXtal</v>
      </c>
      <c r="H179" s="4"/>
      <c r="N179" s="2" t="s">
        <v>14</v>
      </c>
      <c r="R179" s="2" t="s">
        <v>9</v>
      </c>
      <c r="T179" s="4" t="s">
        <v>12</v>
      </c>
      <c r="V179" s="28" t="str">
        <f>MID(VLOOKUP($A179,Seqs!$A:$B,2,FALSE),VLOOKUP($A179,'SegEnds_NonXtal_Prot#'!A:AL,10,FALSE),1)</f>
        <v>D</v>
      </c>
      <c r="W179" s="49" t="str">
        <f>MID(VLOOKUP($A179,Seqs!$A:$B,2,FALSE),VLOOKUP($A179,'SegEnds_NonXtal_Prot#'!A:AL,10,FALSE)+6,1)</f>
        <v>V</v>
      </c>
      <c r="X179" s="49" t="str">
        <f>MID(VLOOKUP($A179,Seqs!$A:$B,2,FALSE),VLOOKUP($A179,'SegEnds_NonXtal_Prot#'!A:AL,10,FALSE)+7,1)</f>
        <v>L</v>
      </c>
      <c r="Y179" s="49" t="str">
        <f>MID(VLOOKUP($A179,Seqs!$A:$B,2,FALSE),VLOOKUP($A179,'SegEnds_NonXtal_Prot#'!A:AL,10,FALSE)+8,1)</f>
        <v>P</v>
      </c>
      <c r="Z179" s="49" t="str">
        <f>MID(VLOOKUP($A179,Seqs!$A:$B,2,FALSE),VLOOKUP($A179,'SegEnds_NonXtal_Prot#'!A:AL,10,FALSE)+9,1)</f>
        <v>I</v>
      </c>
      <c r="AA179" s="49" t="str">
        <f>MID(VLOOKUP($A179,Seqs!$A:$B,2,FALSE),VLOOKUP($A179,'SegEnds_NonXtal_Prot#'!A:AL,10,FALSE)+10,1)</f>
        <v>N</v>
      </c>
      <c r="AB179" s="28" t="str">
        <f>MID(VLOOKUP($A179,Seqs!$A:$B,2,FALSE),VLOOKUP($A179,'SegEnds_NonXtal_Prot#'!$A:$AL,22,FALSE)+6,1)</f>
        <v>V</v>
      </c>
      <c r="AC179" s="49" t="str">
        <f>MID(VLOOKUP($A179,Seqs!$A:$B,2,FALSE),VLOOKUP($A179,'SegEnds_NonXtal_Prot#'!$A:$AL,22,FALSE)+7,1)</f>
        <v>V</v>
      </c>
      <c r="AD179" s="49" t="str">
        <f>MID(VLOOKUP($A179,Seqs!$A:$B,2,FALSE),VLOOKUP($A179,'SegEnds_NonXtal_Prot#'!$A:$AL,22,FALSE)+8,1)</f>
        <v>L</v>
      </c>
      <c r="AE179" s="49" t="str">
        <f>MID(VLOOKUP($A179,Seqs!$A:$B,2,FALSE),VLOOKUP($A179,'SegEnds_NonXtal_Prot#'!$A:$AL,22,FALSE)+9,1)</f>
        <v>P</v>
      </c>
      <c r="AF179" s="49" t="str">
        <f>MID(VLOOKUP($A179,Seqs!$A:$B,2,FALSE),VLOOKUP($A179,'SegEnds_NonXtal_Prot#'!$A:$AL,22,FALSE)+10,1)</f>
        <v>F</v>
      </c>
      <c r="AG179" s="28" t="str">
        <f>MID(VLOOKUP($A179,Seqs!$A:$B,2,FALSE),VLOOKUP($A179,'SegEnds_NonXtal_Prot#'!$A:$AL,28,FALSE)-4,1)</f>
        <v>G</v>
      </c>
      <c r="AH179" s="49" t="str">
        <f>MID(VLOOKUP($A179,Seqs!$A:$B,2,FALSE),VLOOKUP($A179,'SegEnds_NonXtal_Prot#'!$A:$AL,28,FALSE),1)</f>
        <v>P</v>
      </c>
    </row>
    <row r="180" spans="1:34" s="2" customFormat="1" x14ac:dyDescent="0.2">
      <c r="A180" s="2" t="s">
        <v>1167</v>
      </c>
      <c r="B180" s="2" t="str">
        <f>LOWER(VLOOKUP(A180,Xtal_Templ!A:B,2,FALSE))</f>
        <v>oprx_human</v>
      </c>
      <c r="C180" s="2" t="str">
        <f>VLOOKUP(A180,Classification!A:D,2,FALSE)</f>
        <v>A</v>
      </c>
      <c r="D180" s="2" t="str">
        <f>IF(ISERROR(MATCH(A180,'SegEnds_Xtal_Prot#'!B:B, 0)), "NoXtal", "Xtal")</f>
        <v>Xtal</v>
      </c>
      <c r="H180" s="4"/>
      <c r="R180" s="2" t="s">
        <v>9</v>
      </c>
      <c r="T180" s="4" t="s">
        <v>12</v>
      </c>
      <c r="V180" s="28" t="str">
        <f>MID(VLOOKUP($A180,Seqs!$A:$B,2,FALSE),VLOOKUP($A180,'SegEnds_NonXtal_Prot#'!A:AL,10,FALSE),1)</f>
        <v>D</v>
      </c>
      <c r="W180" s="49" t="str">
        <f>MID(VLOOKUP($A180,Seqs!$A:$B,2,FALSE),VLOOKUP($A180,'SegEnds_NonXtal_Prot#'!A:AL,10,FALSE)+6,1)</f>
        <v>T</v>
      </c>
      <c r="X180" s="49" t="str">
        <f>MID(VLOOKUP($A180,Seqs!$A:$B,2,FALSE),VLOOKUP($A180,'SegEnds_NonXtal_Prot#'!A:AL,10,FALSE)+7,1)</f>
        <v>L</v>
      </c>
      <c r="Y180" s="49" t="str">
        <f>MID(VLOOKUP($A180,Seqs!$A:$B,2,FALSE),VLOOKUP($A180,'SegEnds_NonXtal_Prot#'!A:AL,10,FALSE)+8,1)</f>
        <v>P</v>
      </c>
      <c r="Z180" s="49" t="str">
        <f>MID(VLOOKUP($A180,Seqs!$A:$B,2,FALSE),VLOOKUP($A180,'SegEnds_NonXtal_Prot#'!A:AL,10,FALSE)+9,1)</f>
        <v>F</v>
      </c>
      <c r="AA180" s="49" t="str">
        <f>MID(VLOOKUP($A180,Seqs!$A:$B,2,FALSE),VLOOKUP($A180,'SegEnds_NonXtal_Prot#'!A:AL,10,FALSE)+10,1)</f>
        <v>Q</v>
      </c>
      <c r="AB180" s="28" t="str">
        <f>MID(VLOOKUP($A180,Seqs!$A:$B,2,FALSE),VLOOKUP($A180,'SegEnds_NonXtal_Prot#'!$A:$AL,22,FALSE)+6,1)</f>
        <v>V</v>
      </c>
      <c r="AC180" s="49" t="str">
        <f>MID(VLOOKUP($A180,Seqs!$A:$B,2,FALSE),VLOOKUP($A180,'SegEnds_NonXtal_Prot#'!$A:$AL,22,FALSE)+7,1)</f>
        <v>G</v>
      </c>
      <c r="AD180" s="49" t="str">
        <f>MID(VLOOKUP($A180,Seqs!$A:$B,2,FALSE),VLOOKUP($A180,'SegEnds_NonXtal_Prot#'!$A:$AL,22,FALSE)+8,1)</f>
        <v>V</v>
      </c>
      <c r="AE180" s="49" t="str">
        <f>MID(VLOOKUP($A180,Seqs!$A:$B,2,FALSE),VLOOKUP($A180,'SegEnds_NonXtal_Prot#'!$A:$AL,22,FALSE)+9,1)</f>
        <v>P</v>
      </c>
      <c r="AF180" s="49" t="str">
        <f>MID(VLOOKUP($A180,Seqs!$A:$B,2,FALSE),VLOOKUP($A180,'SegEnds_NonXtal_Prot#'!$A:$AL,22,FALSE)+10,1)</f>
        <v>V</v>
      </c>
      <c r="AG180" s="28" t="str">
        <f>MID(VLOOKUP($A180,Seqs!$A:$B,2,FALSE),VLOOKUP($A180,'SegEnds_NonXtal_Prot#'!$A:$AL,28,FALSE)-4,1)</f>
        <v>S</v>
      </c>
      <c r="AH180" s="49" t="str">
        <f>MID(VLOOKUP($A180,Seqs!$A:$B,2,FALSE),VLOOKUP($A180,'SegEnds_NonXtal_Prot#'!$A:$AL,28,FALSE),1)</f>
        <v>P</v>
      </c>
    </row>
    <row r="181" spans="1:34" s="2" customFormat="1" x14ac:dyDescent="0.2">
      <c r="A181" s="2" t="s">
        <v>382</v>
      </c>
      <c r="B181" s="2" t="str">
        <f>LOWER(VLOOKUP(A181,Xtal_Templ!A:B,2,FALSE))</f>
        <v>oprk_human</v>
      </c>
      <c r="C181" s="2" t="str">
        <f>VLOOKUP(A181,Classification!A:D,2,FALSE)</f>
        <v>A</v>
      </c>
      <c r="D181" s="2" t="str">
        <f>IF(ISERROR(MATCH(A181,'SegEnds_Xtal_Prot#'!B:B, 0)), "NoXtal", "Xtal")</f>
        <v>NoXtal</v>
      </c>
      <c r="H181" s="4"/>
      <c r="N181" s="2" t="s">
        <v>14</v>
      </c>
      <c r="R181" s="2" t="s">
        <v>9</v>
      </c>
      <c r="T181" s="4" t="s">
        <v>12</v>
      </c>
      <c r="V181" s="28" t="str">
        <f>MID(VLOOKUP($A181,Seqs!$A:$B,2,FALSE),VLOOKUP($A181,'SegEnds_NonXtal_Prot#'!A:AL,10,FALSE),1)</f>
        <v>D</v>
      </c>
      <c r="W181" s="49" t="str">
        <f>MID(VLOOKUP($A181,Seqs!$A:$B,2,FALSE),VLOOKUP($A181,'SegEnds_NonXtal_Prot#'!A:AL,10,FALSE)+6,1)</f>
        <v>G</v>
      </c>
      <c r="X181" s="49" t="str">
        <f>MID(VLOOKUP($A181,Seqs!$A:$B,2,FALSE),VLOOKUP($A181,'SegEnds_NonXtal_Prot#'!A:AL,10,FALSE)+7,1)</f>
        <v>L</v>
      </c>
      <c r="Y181" s="49" t="str">
        <f>MID(VLOOKUP($A181,Seqs!$A:$B,2,FALSE),VLOOKUP($A181,'SegEnds_NonXtal_Prot#'!A:AL,10,FALSE)+8,1)</f>
        <v>P</v>
      </c>
      <c r="Z181" s="49" t="str">
        <f>MID(VLOOKUP($A181,Seqs!$A:$B,2,FALSE),VLOOKUP($A181,'SegEnds_NonXtal_Prot#'!A:AL,10,FALSE)+9,1)</f>
        <v>F</v>
      </c>
      <c r="AA181" s="49" t="str">
        <f>MID(VLOOKUP($A181,Seqs!$A:$B,2,FALSE),VLOOKUP($A181,'SegEnds_NonXtal_Prot#'!A:AL,10,FALSE)+10,1)</f>
        <v>L</v>
      </c>
      <c r="AB181" s="28" t="str">
        <f>MID(VLOOKUP($A181,Seqs!$A:$B,2,FALSE),VLOOKUP($A181,'SegEnds_NonXtal_Prot#'!$A:$AL,22,FALSE)+6,1)</f>
        <v>V</v>
      </c>
      <c r="AC181" s="49" t="str">
        <f>MID(VLOOKUP($A181,Seqs!$A:$B,2,FALSE),VLOOKUP($A181,'SegEnds_NonXtal_Prot#'!$A:$AL,22,FALSE)+7,1)</f>
        <v>V</v>
      </c>
      <c r="AD181" s="49" t="str">
        <f>MID(VLOOKUP($A181,Seqs!$A:$B,2,FALSE),VLOOKUP($A181,'SegEnds_NonXtal_Prot#'!$A:$AL,22,FALSE)+8,1)</f>
        <v>L</v>
      </c>
      <c r="AE181" s="49" t="str">
        <f>MID(VLOOKUP($A181,Seqs!$A:$B,2,FALSE),VLOOKUP($A181,'SegEnds_NonXtal_Prot#'!$A:$AL,22,FALSE)+9,1)</f>
        <v>P</v>
      </c>
      <c r="AF181" s="49" t="str">
        <f>MID(VLOOKUP($A181,Seqs!$A:$B,2,FALSE),VLOOKUP($A181,'SegEnds_NonXtal_Prot#'!$A:$AL,22,FALSE)+10,1)</f>
        <v>V</v>
      </c>
      <c r="AG181" s="28" t="str">
        <f>MID(VLOOKUP($A181,Seqs!$A:$B,2,FALSE),VLOOKUP($A181,'SegEnds_NonXtal_Prot#'!$A:$AL,28,FALSE)-4,1)</f>
        <v>G</v>
      </c>
      <c r="AH181" s="49" t="str">
        <f>MID(VLOOKUP($A181,Seqs!$A:$B,2,FALSE),VLOOKUP($A181,'SegEnds_NonXtal_Prot#'!$A:$AL,28,FALSE),1)</f>
        <v>P</v>
      </c>
    </row>
    <row r="182" spans="1:34" s="2" customFormat="1" x14ac:dyDescent="0.2">
      <c r="A182" s="2" t="s">
        <v>393</v>
      </c>
      <c r="B182" s="2" t="str">
        <f>LOWER(VLOOKUP(A182,Xtal_Templ!A:B,2,FALSE))</f>
        <v>oprx_human</v>
      </c>
      <c r="C182" s="2" t="str">
        <f>VLOOKUP(A182,Classification!A:D,2,FALSE)</f>
        <v>A</v>
      </c>
      <c r="D182" s="2" t="str">
        <f>IF(ISERROR(MATCH(A182,'SegEnds_Xtal_Prot#'!B:B, 0)), "NoXtal", "Xtal")</f>
        <v>NoXtal</v>
      </c>
      <c r="H182" s="4"/>
      <c r="T182" s="4" t="s">
        <v>12</v>
      </c>
      <c r="V182" s="28" t="str">
        <f>MID(VLOOKUP($A182,Seqs!$A:$B,2,FALSE),VLOOKUP($A182,'SegEnds_NonXtal_Prot#'!A:AL,10,FALSE),1)</f>
        <v>D</v>
      </c>
      <c r="W182" s="49" t="str">
        <f>MID(VLOOKUP($A182,Seqs!$A:$B,2,FALSE),VLOOKUP($A182,'SegEnds_NonXtal_Prot#'!A:AL,10,FALSE)+6,1)</f>
        <v>A</v>
      </c>
      <c r="X182" s="49" t="str">
        <f>MID(VLOOKUP($A182,Seqs!$A:$B,2,FALSE),VLOOKUP($A182,'SegEnds_NonXtal_Prot#'!A:AL,10,FALSE)+7,1)</f>
        <v>A</v>
      </c>
      <c r="Y182" s="49" t="str">
        <f>MID(VLOOKUP($A182,Seqs!$A:$B,2,FALSE),VLOOKUP($A182,'SegEnds_NonXtal_Prot#'!A:AL,10,FALSE)+8,1)</f>
        <v>G</v>
      </c>
      <c r="Z182" s="49" t="str">
        <f>MID(VLOOKUP($A182,Seqs!$A:$B,2,FALSE),VLOOKUP($A182,'SegEnds_NonXtal_Prot#'!A:AL,10,FALSE)+9,1)</f>
        <v>L</v>
      </c>
      <c r="AA182" s="49" t="str">
        <f>MID(VLOOKUP($A182,Seqs!$A:$B,2,FALSE),VLOOKUP($A182,'SegEnds_NonXtal_Prot#'!A:AL,10,FALSE)+10,1)</f>
        <v>P</v>
      </c>
      <c r="AB182" s="28" t="str">
        <f>MID(VLOOKUP($A182,Seqs!$A:$B,2,FALSE),VLOOKUP($A182,'SegEnds_NonXtal_Prot#'!$A:$AL,22,FALSE)+6,1)</f>
        <v>Y</v>
      </c>
      <c r="AC182" s="49" t="str">
        <f>MID(VLOOKUP($A182,Seqs!$A:$B,2,FALSE),VLOOKUP($A182,'SegEnds_NonXtal_Prot#'!$A:$AL,22,FALSE)+7,1)</f>
        <v>C</v>
      </c>
      <c r="AD182" s="49" t="str">
        <f>MID(VLOOKUP($A182,Seqs!$A:$B,2,FALSE),VLOOKUP($A182,'SegEnds_NonXtal_Prot#'!$A:$AL,22,FALSE)+8,1)</f>
        <v>M</v>
      </c>
      <c r="AE182" s="49" t="str">
        <f>MID(VLOOKUP($A182,Seqs!$A:$B,2,FALSE),VLOOKUP($A182,'SegEnds_NonXtal_Prot#'!$A:$AL,22,FALSE)+9,1)</f>
        <v>L</v>
      </c>
      <c r="AF182" s="49" t="str">
        <f>MID(VLOOKUP($A182,Seqs!$A:$B,2,FALSE),VLOOKUP($A182,'SegEnds_NonXtal_Prot#'!$A:$AL,22,FALSE)+10,1)</f>
        <v>W</v>
      </c>
      <c r="AG182" s="28" t="str">
        <f>MID(VLOOKUP($A182,Seqs!$A:$B,2,FALSE),VLOOKUP($A182,'SegEnds_NonXtal_Prot#'!$A:$AL,28,FALSE)-4,1)</f>
        <v>F</v>
      </c>
      <c r="AH182" s="49" t="str">
        <f>MID(VLOOKUP($A182,Seqs!$A:$B,2,FALSE),VLOOKUP($A182,'SegEnds_NonXtal_Prot#'!$A:$AL,28,FALSE),1)</f>
        <v>P</v>
      </c>
    </row>
    <row r="183" spans="1:34" s="2" customFormat="1" x14ac:dyDescent="0.2">
      <c r="A183" s="2" t="s">
        <v>395</v>
      </c>
      <c r="B183" s="2" t="str">
        <f>LOWER(VLOOKUP(A183,Xtal_Templ!A:B,2,FALSE))</f>
        <v>ccr5_human</v>
      </c>
      <c r="C183" s="2" t="str">
        <f>VLOOKUP(A183,Classification!A:D,2,FALSE)</f>
        <v>A</v>
      </c>
      <c r="D183" s="2" t="str">
        <f>IF(ISERROR(MATCH(A183,'SegEnds_Xtal_Prot#'!B:B, 0)), "NoXtal", "Xtal")</f>
        <v>NoXtal</v>
      </c>
      <c r="H183" s="4"/>
      <c r="N183" s="2" t="s">
        <v>14</v>
      </c>
      <c r="R183" s="2" t="s">
        <v>9</v>
      </c>
      <c r="T183" s="4" t="s">
        <v>12</v>
      </c>
      <c r="V183" s="28" t="str">
        <f>MID(VLOOKUP($A183,Seqs!$A:$B,2,FALSE),VLOOKUP($A183,'SegEnds_NonXtal_Prot#'!A:AL,10,FALSE),1)</f>
        <v>D</v>
      </c>
      <c r="W183" s="49" t="str">
        <f>MID(VLOOKUP($A183,Seqs!$A:$B,2,FALSE),VLOOKUP($A183,'SegEnds_NonXtal_Prot#'!A:AL,10,FALSE)+6,1)</f>
        <v>S</v>
      </c>
      <c r="X183" s="49" t="str">
        <f>MID(VLOOKUP($A183,Seqs!$A:$B,2,FALSE),VLOOKUP($A183,'SegEnds_NonXtal_Prot#'!A:AL,10,FALSE)+7,1)</f>
        <v>I</v>
      </c>
      <c r="Y183" s="49" t="str">
        <f>MID(VLOOKUP($A183,Seqs!$A:$B,2,FALSE),VLOOKUP($A183,'SegEnds_NonXtal_Prot#'!A:AL,10,FALSE)+8,1)</f>
        <v>P</v>
      </c>
      <c r="Z183" s="49" t="str">
        <f>MID(VLOOKUP($A183,Seqs!$A:$B,2,FALSE),VLOOKUP($A183,'SegEnds_NonXtal_Prot#'!A:AL,10,FALSE)+9,1)</f>
        <v>F</v>
      </c>
      <c r="AA183" s="49" t="str">
        <f>MID(VLOOKUP($A183,Seqs!$A:$B,2,FALSE),VLOOKUP($A183,'SegEnds_NonXtal_Prot#'!A:AL,10,FALSE)+10,1)</f>
        <v>I</v>
      </c>
      <c r="AB183" s="28" t="str">
        <f>MID(VLOOKUP($A183,Seqs!$A:$B,2,FALSE),VLOOKUP($A183,'SegEnds_NonXtal_Prot#'!$A:$AL,22,FALSE)+6,1)</f>
        <v>L</v>
      </c>
      <c r="AC183" s="49" t="str">
        <f>MID(VLOOKUP($A183,Seqs!$A:$B,2,FALSE),VLOOKUP($A183,'SegEnds_NonXtal_Prot#'!$A:$AL,22,FALSE)+7,1)</f>
        <v>T</v>
      </c>
      <c r="AD183" s="49" t="str">
        <f>MID(VLOOKUP($A183,Seqs!$A:$B,2,FALSE),VLOOKUP($A183,'SegEnds_NonXtal_Prot#'!$A:$AL,22,FALSE)+8,1)</f>
        <v>L</v>
      </c>
      <c r="AE183" s="49" t="str">
        <f>MID(VLOOKUP($A183,Seqs!$A:$B,2,FALSE),VLOOKUP($A183,'SegEnds_NonXtal_Prot#'!$A:$AL,22,FALSE)+9,1)</f>
        <v>P</v>
      </c>
      <c r="AF183" s="49" t="str">
        <f>MID(VLOOKUP($A183,Seqs!$A:$B,2,FALSE),VLOOKUP($A183,'SegEnds_NonXtal_Prot#'!$A:$AL,22,FALSE)+10,1)</f>
        <v>V</v>
      </c>
      <c r="AG183" s="28" t="str">
        <f>MID(VLOOKUP($A183,Seqs!$A:$B,2,FALSE),VLOOKUP($A183,'SegEnds_NonXtal_Prot#'!$A:$AL,28,FALSE)-4,1)</f>
        <v>S</v>
      </c>
      <c r="AH183" s="49" t="str">
        <f>MID(VLOOKUP($A183,Seqs!$A:$B,2,FALSE),VLOOKUP($A183,'SegEnds_NonXtal_Prot#'!$A:$AL,28,FALSE),1)</f>
        <v>P</v>
      </c>
    </row>
    <row r="184" spans="1:34" s="2" customFormat="1" x14ac:dyDescent="0.2">
      <c r="A184" s="2" t="s">
        <v>397</v>
      </c>
      <c r="B184" s="2" t="str">
        <f>LOWER(VLOOKUP(A184,Xtal_Templ!A:B,2,FALSE))</f>
        <v>ntr1_human</v>
      </c>
      <c r="C184" s="2" t="str">
        <f>VLOOKUP(A184,Classification!A:D,2,FALSE)</f>
        <v>A</v>
      </c>
      <c r="D184" s="2" t="str">
        <f>IF(ISERROR(MATCH(A184,'SegEnds_Xtal_Prot#'!B:B, 0)), "NoXtal", "Xtal")</f>
        <v>NoXtal</v>
      </c>
      <c r="H184" s="4"/>
      <c r="N184" s="2" t="s">
        <v>14</v>
      </c>
      <c r="R184" s="2" t="s">
        <v>9</v>
      </c>
      <c r="T184" s="4" t="s">
        <v>12</v>
      </c>
      <c r="V184" s="28" t="str">
        <f>MID(VLOOKUP($A184,Seqs!$A:$B,2,FALSE),VLOOKUP($A184,'SegEnds_NonXtal_Prot#'!A:AL,10,FALSE),1)</f>
        <v>D</v>
      </c>
      <c r="W184" s="49" t="str">
        <f>MID(VLOOKUP($A184,Seqs!$A:$B,2,FALSE),VLOOKUP($A184,'SegEnds_NonXtal_Prot#'!A:AL,10,FALSE)+6,1)</f>
        <v>F</v>
      </c>
      <c r="X184" s="49" t="str">
        <f>MID(VLOOKUP($A184,Seqs!$A:$B,2,FALSE),VLOOKUP($A184,'SegEnds_NonXtal_Prot#'!A:AL,10,FALSE)+7,1)</f>
        <v>Q</v>
      </c>
      <c r="Y184" s="49" t="str">
        <f>MID(VLOOKUP($A184,Seqs!$A:$B,2,FALSE),VLOOKUP($A184,'SegEnds_NonXtal_Prot#'!A:AL,10,FALSE)+8,1)</f>
        <v>V</v>
      </c>
      <c r="Z184" s="49" t="str">
        <f>MID(VLOOKUP($A184,Seqs!$A:$B,2,FALSE),VLOOKUP($A184,'SegEnds_NonXtal_Prot#'!A:AL,10,FALSE)+9,1)</f>
        <v>L</v>
      </c>
      <c r="AA184" s="49" t="str">
        <f>MID(VLOOKUP($A184,Seqs!$A:$B,2,FALSE),VLOOKUP($A184,'SegEnds_NonXtal_Prot#'!A:AL,10,FALSE)+10,1)</f>
        <v>P</v>
      </c>
      <c r="AB184" s="28" t="str">
        <f>MID(VLOOKUP($A184,Seqs!$A:$B,2,FALSE),VLOOKUP($A184,'SegEnds_NonXtal_Prot#'!$A:$AL,22,FALSE)+6,1)</f>
        <v>F</v>
      </c>
      <c r="AC184" s="49" t="str">
        <f>MID(VLOOKUP($A184,Seqs!$A:$B,2,FALSE),VLOOKUP($A184,'SegEnds_NonXtal_Prot#'!$A:$AL,22,FALSE)+7,1)</f>
        <v>S</v>
      </c>
      <c r="AD184" s="49" t="str">
        <f>MID(VLOOKUP($A184,Seqs!$A:$B,2,FALSE),VLOOKUP($A184,'SegEnds_NonXtal_Prot#'!$A:$AL,22,FALSE)+8,1)</f>
        <v>L</v>
      </c>
      <c r="AE184" s="49" t="str">
        <f>MID(VLOOKUP($A184,Seqs!$A:$B,2,FALSE),VLOOKUP($A184,'SegEnds_NonXtal_Prot#'!$A:$AL,22,FALSE)+9,1)</f>
        <v>P</v>
      </c>
      <c r="AF184" s="49" t="str">
        <f>MID(VLOOKUP($A184,Seqs!$A:$B,2,FALSE),VLOOKUP($A184,'SegEnds_NonXtal_Prot#'!$A:$AL,22,FALSE)+10,1)</f>
        <v>Q</v>
      </c>
      <c r="AG184" s="28" t="str">
        <f>MID(VLOOKUP($A184,Seqs!$A:$B,2,FALSE),VLOOKUP($A184,'SegEnds_NonXtal_Prot#'!$A:$AL,28,FALSE)-4,1)</f>
        <v>I</v>
      </c>
      <c r="AH184" s="49" t="str">
        <f>MID(VLOOKUP($A184,Seqs!$A:$B,2,FALSE),VLOOKUP($A184,'SegEnds_NonXtal_Prot#'!$A:$AL,28,FALSE),1)</f>
        <v>P</v>
      </c>
    </row>
    <row r="185" spans="1:34" s="2" customFormat="1" x14ac:dyDescent="0.2">
      <c r="A185" s="2" t="s">
        <v>398</v>
      </c>
      <c r="B185" s="2" t="str">
        <f>LOWER(VLOOKUP(A185,Xtal_Templ!A:B,2,FALSE))</f>
        <v>mtr1b_human</v>
      </c>
      <c r="C185" s="2" t="str">
        <f>VLOOKUP(A185,Classification!A:D,2,FALSE)</f>
        <v>A</v>
      </c>
      <c r="D185" s="2" t="str">
        <f>IF(ISERROR(MATCH(A185,'SegEnds_Xtal_Prot#'!B:B, 0)), "NoXtal", "Xtal")</f>
        <v>NoXtal</v>
      </c>
      <c r="H185" s="4"/>
      <c r="N185" s="2" t="s">
        <v>14</v>
      </c>
      <c r="R185" s="2" t="s">
        <v>9</v>
      </c>
      <c r="T185" s="4" t="s">
        <v>12</v>
      </c>
      <c r="V185" s="28" t="str">
        <f>MID(VLOOKUP($A185,Seqs!$A:$B,2,FALSE),VLOOKUP($A185,'SegEnds_NonXtal_Prot#'!A:AL,10,FALSE),1)</f>
        <v>D</v>
      </c>
      <c r="W185" s="49" t="str">
        <f>MID(VLOOKUP($A185,Seqs!$A:$B,2,FALSE),VLOOKUP($A185,'SegEnds_NonXtal_Prot#'!A:AL,10,FALSE)+6,1)</f>
        <v>F</v>
      </c>
      <c r="X185" s="49" t="str">
        <f>MID(VLOOKUP($A185,Seqs!$A:$B,2,FALSE),VLOOKUP($A185,'SegEnds_NonXtal_Prot#'!A:AL,10,FALSE)+7,1)</f>
        <v>Q</v>
      </c>
      <c r="Y185" s="49" t="str">
        <f>MID(VLOOKUP($A185,Seqs!$A:$B,2,FALSE),VLOOKUP($A185,'SegEnds_NonXtal_Prot#'!A:AL,10,FALSE)+8,1)</f>
        <v>V</v>
      </c>
      <c r="Z185" s="49" t="str">
        <f>MID(VLOOKUP($A185,Seqs!$A:$B,2,FALSE),VLOOKUP($A185,'SegEnds_NonXtal_Prot#'!A:AL,10,FALSE)+9,1)</f>
        <v>L</v>
      </c>
      <c r="AA185" s="49" t="str">
        <f>MID(VLOOKUP($A185,Seqs!$A:$B,2,FALSE),VLOOKUP($A185,'SegEnds_NonXtal_Prot#'!A:AL,10,FALSE)+10,1)</f>
        <v>P</v>
      </c>
      <c r="AB185" s="28" t="str">
        <f>MID(VLOOKUP($A185,Seqs!$A:$B,2,FALSE),VLOOKUP($A185,'SegEnds_NonXtal_Prot#'!$A:$AL,22,FALSE)+6,1)</f>
        <v>L</v>
      </c>
      <c r="AC185" s="49" t="str">
        <f>MID(VLOOKUP($A185,Seqs!$A:$B,2,FALSE),VLOOKUP($A185,'SegEnds_NonXtal_Prot#'!$A:$AL,22,FALSE)+7,1)</f>
        <v>S</v>
      </c>
      <c r="AD185" s="49" t="str">
        <f>MID(VLOOKUP($A185,Seqs!$A:$B,2,FALSE),VLOOKUP($A185,'SegEnds_NonXtal_Prot#'!$A:$AL,22,FALSE)+8,1)</f>
        <v>L</v>
      </c>
      <c r="AE185" s="49" t="str">
        <f>MID(VLOOKUP($A185,Seqs!$A:$B,2,FALSE),VLOOKUP($A185,'SegEnds_NonXtal_Prot#'!$A:$AL,22,FALSE)+9,1)</f>
        <v>P</v>
      </c>
      <c r="AF185" s="49" t="str">
        <f>MID(VLOOKUP($A185,Seqs!$A:$B,2,FALSE),VLOOKUP($A185,'SegEnds_NonXtal_Prot#'!$A:$AL,22,FALSE)+10,1)</f>
        <v>Q</v>
      </c>
      <c r="AG185" s="28" t="str">
        <f>MID(VLOOKUP($A185,Seqs!$A:$B,2,FALSE),VLOOKUP($A185,'SegEnds_NonXtal_Prot#'!$A:$AL,28,FALSE)-4,1)</f>
        <v>V</v>
      </c>
      <c r="AH185" s="49" t="str">
        <f>MID(VLOOKUP($A185,Seqs!$A:$B,2,FALSE),VLOOKUP($A185,'SegEnds_NonXtal_Prot#'!$A:$AL,28,FALSE),1)</f>
        <v>P</v>
      </c>
    </row>
    <row r="186" spans="1:34" s="2" customFormat="1" x14ac:dyDescent="0.2">
      <c r="A186" s="2" t="s">
        <v>331</v>
      </c>
      <c r="B186" s="2" t="str">
        <f>LOWER(VLOOKUP(A186,Xtal_Templ!A:B,2,FALSE))</f>
        <v>opsd_bovin</v>
      </c>
      <c r="C186" s="2" t="str">
        <f>VLOOKUP(A186,Classification!A:D,2,FALSE)</f>
        <v>A</v>
      </c>
      <c r="D186" s="2" t="str">
        <f>IF(ISERROR(MATCH(A186,'SegEnds_Xtal_Prot#'!B:B, 0)), "NoXtal", "Xtal")</f>
        <v>NoXtal</v>
      </c>
      <c r="G186" s="2" t="s">
        <v>5</v>
      </c>
      <c r="H186" s="4"/>
      <c r="R186" s="2" t="s">
        <v>9</v>
      </c>
      <c r="T186" s="4" t="s">
        <v>12</v>
      </c>
      <c r="V186" s="28" t="str">
        <f>MID(VLOOKUP($A186,Seqs!$A:$B,2,FALSE),VLOOKUP($A186,'SegEnds_NonXtal_Prot#'!A:AL,10,FALSE),1)</f>
        <v>D</v>
      </c>
      <c r="W186" s="49" t="str">
        <f>MID(VLOOKUP($A186,Seqs!$A:$B,2,FALSE),VLOOKUP($A186,'SegEnds_NonXtal_Prot#'!A:AL,10,FALSE)+6,1)</f>
        <v>F</v>
      </c>
      <c r="X186" s="49" t="str">
        <f>MID(VLOOKUP($A186,Seqs!$A:$B,2,FALSE),VLOOKUP($A186,'SegEnds_NonXtal_Prot#'!A:AL,10,FALSE)+7,1)</f>
        <v>G</v>
      </c>
      <c r="Y186" s="49" t="str">
        <f>MID(VLOOKUP($A186,Seqs!$A:$B,2,FALSE),VLOOKUP($A186,'SegEnds_NonXtal_Prot#'!A:AL,10,FALSE)+8,1)</f>
        <v>V</v>
      </c>
      <c r="Z186" s="49" t="str">
        <f>MID(VLOOKUP($A186,Seqs!$A:$B,2,FALSE),VLOOKUP($A186,'SegEnds_NonXtal_Prot#'!A:AL,10,FALSE)+9,1)</f>
        <v>T</v>
      </c>
      <c r="AA186" s="49" t="str">
        <f>MID(VLOOKUP($A186,Seqs!$A:$B,2,FALSE),VLOOKUP($A186,'SegEnds_NonXtal_Prot#'!A:AL,10,FALSE)+10,1)</f>
        <v>F</v>
      </c>
      <c r="AB186" s="28" t="str">
        <f>MID(VLOOKUP($A186,Seqs!$A:$B,2,FALSE),VLOOKUP($A186,'SegEnds_NonXtal_Prot#'!$A:$AL,22,FALSE)+6,1)</f>
        <v>W</v>
      </c>
      <c r="AC186" s="49" t="str">
        <f>MID(VLOOKUP($A186,Seqs!$A:$B,2,FALSE),VLOOKUP($A186,'SegEnds_NonXtal_Prot#'!$A:$AL,22,FALSE)+7,1)</f>
        <v>A</v>
      </c>
      <c r="AD186" s="49" t="str">
        <f>MID(VLOOKUP($A186,Seqs!$A:$B,2,FALSE),VLOOKUP($A186,'SegEnds_NonXtal_Prot#'!$A:$AL,22,FALSE)+8,1)</f>
        <v>G</v>
      </c>
      <c r="AE186" s="49" t="str">
        <f>MID(VLOOKUP($A186,Seqs!$A:$B,2,FALSE),VLOOKUP($A186,'SegEnds_NonXtal_Prot#'!$A:$AL,22,FALSE)+9,1)</f>
        <v>A</v>
      </c>
      <c r="AF186" s="49" t="str">
        <f>MID(VLOOKUP($A186,Seqs!$A:$B,2,FALSE),VLOOKUP($A186,'SegEnds_NonXtal_Prot#'!$A:$AL,22,FALSE)+10,1)</f>
        <v>P</v>
      </c>
      <c r="AG186" s="28" t="str">
        <f>MID(VLOOKUP($A186,Seqs!$A:$B,2,FALSE),VLOOKUP($A186,'SegEnds_NonXtal_Prot#'!$A:$AL,28,FALSE)-4,1)</f>
        <v>C</v>
      </c>
      <c r="AH186" s="49" t="str">
        <f>MID(VLOOKUP($A186,Seqs!$A:$B,2,FALSE),VLOOKUP($A186,'SegEnds_NonXtal_Prot#'!$A:$AL,28,FALSE),1)</f>
        <v>P</v>
      </c>
    </row>
    <row r="187" spans="1:34" s="2" customFormat="1" x14ac:dyDescent="0.2">
      <c r="A187" s="2" t="s">
        <v>332</v>
      </c>
      <c r="B187" s="2" t="s">
        <v>913</v>
      </c>
      <c r="C187" s="2" t="str">
        <f>VLOOKUP(A187,Classification!A:D,2,FALSE)</f>
        <v>A</v>
      </c>
      <c r="D187" s="2" t="str">
        <f>IF(ISERROR(MATCH(A187,'SegEnds_Xtal_Prot#'!B:B, 0)), "NoXtal", "Xtal")</f>
        <v>NoXtal</v>
      </c>
      <c r="G187" s="2" t="s">
        <v>5</v>
      </c>
      <c r="H187" s="4"/>
      <c r="R187" s="2" t="s">
        <v>9</v>
      </c>
      <c r="T187" s="4" t="s">
        <v>12</v>
      </c>
      <c r="V187" s="28" t="str">
        <f>MID(VLOOKUP($A187,Seqs!$A:$B,2,FALSE),VLOOKUP($A187,'SegEnds_NonXtal_Prot#'!A:AL,10,FALSE),1)</f>
        <v>D</v>
      </c>
      <c r="W187" s="49" t="str">
        <f>MID(VLOOKUP($A187,Seqs!$A:$B,2,FALSE),VLOOKUP($A187,'SegEnds_NonXtal_Prot#'!A:AL,10,FALSE)+6,1)</f>
        <v>T</v>
      </c>
      <c r="X187" s="49" t="str">
        <f>MID(VLOOKUP($A187,Seqs!$A:$B,2,FALSE),VLOOKUP($A187,'SegEnds_NonXtal_Prot#'!A:AL,10,FALSE)+7,1)</f>
        <v>Q</v>
      </c>
      <c r="Y187" s="49" t="str">
        <f>MID(VLOOKUP($A187,Seqs!$A:$B,2,FALSE),VLOOKUP($A187,'SegEnds_NonXtal_Prot#'!A:AL,10,FALSE)+8,1)</f>
        <v>A</v>
      </c>
      <c r="Z187" s="49" t="str">
        <f>MID(VLOOKUP($A187,Seqs!$A:$B,2,FALSE),VLOOKUP($A187,'SegEnds_NonXtal_Prot#'!A:AL,10,FALSE)+9,1)</f>
        <v>P</v>
      </c>
      <c r="AA187" s="49" t="str">
        <f>MID(VLOOKUP($A187,Seqs!$A:$B,2,FALSE),VLOOKUP($A187,'SegEnds_NonXtal_Prot#'!A:AL,10,FALSE)+10,1)</f>
        <v>V</v>
      </c>
      <c r="AB187" s="28" t="str">
        <f>MID(VLOOKUP($A187,Seqs!$A:$B,2,FALSE),VLOOKUP($A187,'SegEnds_NonXtal_Prot#'!$A:$AL,22,FALSE)+6,1)</f>
        <v>W</v>
      </c>
      <c r="AC187" s="49" t="str">
        <f>MID(VLOOKUP($A187,Seqs!$A:$B,2,FALSE),VLOOKUP($A187,'SegEnds_NonXtal_Prot#'!$A:$AL,22,FALSE)+7,1)</f>
        <v>S</v>
      </c>
      <c r="AD187" s="49" t="str">
        <f>MID(VLOOKUP($A187,Seqs!$A:$B,2,FALSE),VLOOKUP($A187,'SegEnds_NonXtal_Prot#'!$A:$AL,22,FALSE)+8,1)</f>
        <v>L</v>
      </c>
      <c r="AE187" s="49" t="str">
        <f>MID(VLOOKUP($A187,Seqs!$A:$B,2,FALSE),VLOOKUP($A187,'SegEnds_NonXtal_Prot#'!$A:$AL,22,FALSE)+9,1)</f>
        <v>P</v>
      </c>
      <c r="AF187" s="49" t="str">
        <f>MID(VLOOKUP($A187,Seqs!$A:$B,2,FALSE),VLOOKUP($A187,'SegEnds_NonXtal_Prot#'!$A:$AL,22,FALSE)+10,1)</f>
        <v>P</v>
      </c>
      <c r="AG187" s="28" t="str">
        <f>MID(VLOOKUP($A187,Seqs!$A:$B,2,FALSE),VLOOKUP($A187,'SegEnds_NonXtal_Prot#'!$A:$AL,28,FALSE)-4,1)</f>
        <v>V</v>
      </c>
      <c r="AH187" s="49" t="str">
        <f>MID(VLOOKUP($A187,Seqs!$A:$B,2,FALSE),VLOOKUP($A187,'SegEnds_NonXtal_Prot#'!$A:$AL,28,FALSE),1)</f>
        <v>P</v>
      </c>
    </row>
    <row r="188" spans="1:34" s="2" customFormat="1" x14ac:dyDescent="0.2">
      <c r="A188" s="2" t="s">
        <v>333</v>
      </c>
      <c r="B188" s="2" t="s">
        <v>913</v>
      </c>
      <c r="C188" s="2" t="str">
        <f>VLOOKUP(A188,Classification!A:D,2,FALSE)</f>
        <v>A</v>
      </c>
      <c r="D188" s="2" t="str">
        <f>IF(ISERROR(MATCH(A188,'SegEnds_Xtal_Prot#'!B:B, 0)), "NoXtal", "Xtal")</f>
        <v>NoXtal</v>
      </c>
      <c r="G188" s="2" t="s">
        <v>5</v>
      </c>
      <c r="H188" s="4"/>
      <c r="R188" s="2" t="s">
        <v>9</v>
      </c>
      <c r="T188" s="4" t="s">
        <v>12</v>
      </c>
      <c r="V188" s="28" t="str">
        <f>MID(VLOOKUP($A188,Seqs!$A:$B,2,FALSE),VLOOKUP($A188,'SegEnds_NonXtal_Prot#'!A:AL,10,FALSE),1)</f>
        <v>D</v>
      </c>
      <c r="W188" s="49" t="str">
        <f>MID(VLOOKUP($A188,Seqs!$A:$B,2,FALSE),VLOOKUP($A188,'SegEnds_NonXtal_Prot#'!A:AL,10,FALSE)+6,1)</f>
        <v>V</v>
      </c>
      <c r="X188" s="49" t="str">
        <f>MID(VLOOKUP($A188,Seqs!$A:$B,2,FALSE),VLOOKUP($A188,'SegEnds_NonXtal_Prot#'!A:AL,10,FALSE)+7,1)</f>
        <v>G</v>
      </c>
      <c r="Y188" s="49" t="str">
        <f>MID(VLOOKUP($A188,Seqs!$A:$B,2,FALSE),VLOOKUP($A188,'SegEnds_NonXtal_Prot#'!A:AL,10,FALSE)+8,1)</f>
        <v>K</v>
      </c>
      <c r="Z188" s="49" t="str">
        <f>MID(VLOOKUP($A188,Seqs!$A:$B,2,FALSE),VLOOKUP($A188,'SegEnds_NonXtal_Prot#'!A:AL,10,FALSE)+9,1)</f>
        <v>P</v>
      </c>
      <c r="AA188" s="49" t="str">
        <f>MID(VLOOKUP($A188,Seqs!$A:$B,2,FALSE),VLOOKUP($A188,'SegEnds_NonXtal_Prot#'!A:AL,10,FALSE)+10,1)</f>
        <v>F</v>
      </c>
      <c r="AB188" s="28" t="str">
        <f>MID(VLOOKUP($A188,Seqs!$A:$B,2,FALSE),VLOOKUP($A188,'SegEnds_NonXtal_Prot#'!$A:$AL,22,FALSE)+6,1)</f>
        <v>W</v>
      </c>
      <c r="AC188" s="49" t="str">
        <f>MID(VLOOKUP($A188,Seqs!$A:$B,2,FALSE),VLOOKUP($A188,'SegEnds_NonXtal_Prot#'!$A:$AL,22,FALSE)+7,1)</f>
        <v>T</v>
      </c>
      <c r="AD188" s="49" t="str">
        <f>MID(VLOOKUP($A188,Seqs!$A:$B,2,FALSE),VLOOKUP($A188,'SegEnds_NonXtal_Prot#'!$A:$AL,22,FALSE)+8,1)</f>
        <v>T</v>
      </c>
      <c r="AE188" s="49" t="str">
        <f>MID(VLOOKUP($A188,Seqs!$A:$B,2,FALSE),VLOOKUP($A188,'SegEnds_NonXtal_Prot#'!$A:$AL,22,FALSE)+9,1)</f>
        <v>M</v>
      </c>
      <c r="AF188" s="49" t="str">
        <f>MID(VLOOKUP($A188,Seqs!$A:$B,2,FALSE),VLOOKUP($A188,'SegEnds_NonXtal_Prot#'!$A:$AL,22,FALSE)+10,1)</f>
        <v>P</v>
      </c>
      <c r="AG188" s="28" t="str">
        <f>MID(VLOOKUP($A188,Seqs!$A:$B,2,FALSE),VLOOKUP($A188,'SegEnds_NonXtal_Prot#'!$A:$AL,28,FALSE)-4,1)</f>
        <v>C</v>
      </c>
      <c r="AH188" s="49" t="str">
        <f>MID(VLOOKUP($A188,Seqs!$A:$B,2,FALSE),VLOOKUP($A188,'SegEnds_NonXtal_Prot#'!$A:$AL,28,FALSE),1)</f>
        <v>P</v>
      </c>
    </row>
    <row r="189" spans="1:34" s="2" customFormat="1" x14ac:dyDescent="0.2">
      <c r="A189" s="2" t="s">
        <v>913</v>
      </c>
      <c r="B189" s="2" t="str">
        <f>LOWER(VLOOKUP(A189,Xtal_Templ!A:B,2,FALSE))</f>
        <v>opsd_bovin</v>
      </c>
      <c r="C189" s="2" t="str">
        <f>VLOOKUP(A189,Classification!A:D,2,FALSE)</f>
        <v>A</v>
      </c>
      <c r="D189" s="2" t="str">
        <f>IF(ISERROR(MATCH(A189,'SegEnds_Xtal_Prot#'!B:B, 0)), "NoXtal", "Xtal")</f>
        <v>Xtal</v>
      </c>
      <c r="G189" s="2" t="s">
        <v>5</v>
      </c>
      <c r="H189" s="4"/>
      <c r="R189" s="2" t="s">
        <v>9</v>
      </c>
      <c r="T189" s="4" t="s">
        <v>12</v>
      </c>
      <c r="V189" s="28" t="str">
        <f>MID(VLOOKUP($A189,Seqs!$A:$B,2,FALSE),VLOOKUP($A189,'SegEnds_NonXtal_Prot#'!A:AL,10,FALSE),1)</f>
        <v>D</v>
      </c>
      <c r="W189" s="49" t="str">
        <f>MID(VLOOKUP($A189,Seqs!$A:$B,2,FALSE),VLOOKUP($A189,'SegEnds_NonXtal_Prot#'!A:AL,10,FALSE)+6,1)</f>
        <v>G</v>
      </c>
      <c r="X189" s="49" t="str">
        <f>MID(VLOOKUP($A189,Seqs!$A:$B,2,FALSE),VLOOKUP($A189,'SegEnds_NonXtal_Prot#'!A:AL,10,FALSE)+7,1)</f>
        <v>G</v>
      </c>
      <c r="Y189" s="49" t="str">
        <f>MID(VLOOKUP($A189,Seqs!$A:$B,2,FALSE),VLOOKUP($A189,'SegEnds_NonXtal_Prot#'!A:AL,10,FALSE)+8,1)</f>
        <v>F</v>
      </c>
      <c r="Z189" s="49" t="str">
        <f>MID(VLOOKUP($A189,Seqs!$A:$B,2,FALSE),VLOOKUP($A189,'SegEnds_NonXtal_Prot#'!A:AL,10,FALSE)+9,1)</f>
        <v>T</v>
      </c>
      <c r="AA189" s="49" t="str">
        <f>MID(VLOOKUP($A189,Seqs!$A:$B,2,FALSE),VLOOKUP($A189,'SegEnds_NonXtal_Prot#'!A:AL,10,FALSE)+10,1)</f>
        <v>T</v>
      </c>
      <c r="AB189" s="28" t="str">
        <f>MID(VLOOKUP($A189,Seqs!$A:$B,2,FALSE),VLOOKUP($A189,'SegEnds_NonXtal_Prot#'!$A:$AL,22,FALSE)+6,1)</f>
        <v>C</v>
      </c>
      <c r="AC189" s="49" t="str">
        <f>MID(VLOOKUP($A189,Seqs!$A:$B,2,FALSE),VLOOKUP($A189,'SegEnds_NonXtal_Prot#'!$A:$AL,22,FALSE)+7,1)</f>
        <v>A</v>
      </c>
      <c r="AD189" s="49" t="str">
        <f>MID(VLOOKUP($A189,Seqs!$A:$B,2,FALSE),VLOOKUP($A189,'SegEnds_NonXtal_Prot#'!$A:$AL,22,FALSE)+8,1)</f>
        <v>A</v>
      </c>
      <c r="AE189" s="49" t="str">
        <f>MID(VLOOKUP($A189,Seqs!$A:$B,2,FALSE),VLOOKUP($A189,'SegEnds_NonXtal_Prot#'!$A:$AL,22,FALSE)+9,1)</f>
        <v>P</v>
      </c>
      <c r="AF189" s="49" t="str">
        <f>MID(VLOOKUP($A189,Seqs!$A:$B,2,FALSE),VLOOKUP($A189,'SegEnds_NonXtal_Prot#'!$A:$AL,22,FALSE)+10,1)</f>
        <v>P</v>
      </c>
      <c r="AG189" s="28" t="str">
        <f>MID(VLOOKUP($A189,Seqs!$A:$B,2,FALSE),VLOOKUP($A189,'SegEnds_NonXtal_Prot#'!$A:$AL,28,FALSE)-4,1)</f>
        <v>H</v>
      </c>
      <c r="AH189" s="49" t="str">
        <f>MID(VLOOKUP($A189,Seqs!$A:$B,2,FALSE),VLOOKUP($A189,'SegEnds_NonXtal_Prot#'!$A:$AL,28,FALSE),1)</f>
        <v>P</v>
      </c>
    </row>
    <row r="190" spans="1:34" s="2" customFormat="1" x14ac:dyDescent="0.2">
      <c r="A190" s="2" t="s">
        <v>284</v>
      </c>
      <c r="B190" s="2" t="str">
        <f>LOWER(VLOOKUP(A190,Xtal_Templ!A:B,2,FALSE))</f>
        <v>mtr1a_human</v>
      </c>
      <c r="C190" s="2" t="str">
        <f>VLOOKUP(A190,Classification!A:D,2,FALSE)</f>
        <v>A</v>
      </c>
      <c r="D190" s="2" t="str">
        <f>IF(ISERROR(MATCH(A190,'SegEnds_Xtal_Prot#'!B:B, 0)), "NoXtal", "Xtal")</f>
        <v>NoXtal</v>
      </c>
      <c r="H190" s="4"/>
      <c r="T190" s="4" t="s">
        <v>12</v>
      </c>
      <c r="V190" s="28" t="str">
        <f>MID(VLOOKUP($A190,Seqs!$A:$B,2,FALSE),VLOOKUP($A190,'SegEnds_NonXtal_Prot#'!A:AL,10,FALSE),1)</f>
        <v>N</v>
      </c>
      <c r="W190" s="49" t="str">
        <f>MID(VLOOKUP($A190,Seqs!$A:$B,2,FALSE),VLOOKUP($A190,'SegEnds_NonXtal_Prot#'!A:AL,10,FALSE)+6,1)</f>
        <v>S</v>
      </c>
      <c r="X190" s="49" t="str">
        <f>MID(VLOOKUP($A190,Seqs!$A:$B,2,FALSE),VLOOKUP($A190,'SegEnds_NonXtal_Prot#'!A:AL,10,FALSE)+7,1)</f>
        <v>C</v>
      </c>
      <c r="Y190" s="49" t="str">
        <f>MID(VLOOKUP($A190,Seqs!$A:$B,2,FALSE),VLOOKUP($A190,'SegEnds_NonXtal_Prot#'!A:AL,10,FALSE)+8,1)</f>
        <v>G</v>
      </c>
      <c r="Z190" s="49" t="str">
        <f>MID(VLOOKUP($A190,Seqs!$A:$B,2,FALSE),VLOOKUP($A190,'SegEnds_NonXtal_Prot#'!A:AL,10,FALSE)+9,1)</f>
        <v>L</v>
      </c>
      <c r="AA190" s="49" t="str">
        <f>MID(VLOOKUP($A190,Seqs!$A:$B,2,FALSE),VLOOKUP($A190,'SegEnds_NonXtal_Prot#'!A:AL,10,FALSE)+10,1)</f>
        <v>L</v>
      </c>
      <c r="AB190" s="28" t="str">
        <f>MID(VLOOKUP($A190,Seqs!$A:$B,2,FALSE),VLOOKUP($A190,'SegEnds_NonXtal_Prot#'!$A:$AL,22,FALSE)+6,1)</f>
        <v>A</v>
      </c>
      <c r="AC190" s="49" t="str">
        <f>MID(VLOOKUP($A190,Seqs!$A:$B,2,FALSE),VLOOKUP($A190,'SegEnds_NonXtal_Prot#'!$A:$AL,22,FALSE)+7,1)</f>
        <v>A</v>
      </c>
      <c r="AD190" s="49" t="str">
        <f>MID(VLOOKUP($A190,Seqs!$A:$B,2,FALSE),VLOOKUP($A190,'SegEnds_NonXtal_Prot#'!$A:$AL,22,FALSE)+8,1)</f>
        <v>A</v>
      </c>
      <c r="AE190" s="49" t="str">
        <f>MID(VLOOKUP($A190,Seqs!$A:$B,2,FALSE),VLOOKUP($A190,'SegEnds_NonXtal_Prot#'!$A:$AL,22,FALSE)+9,1)</f>
        <v>L</v>
      </c>
      <c r="AF190" s="49" t="str">
        <f>MID(VLOOKUP($A190,Seqs!$A:$B,2,FALSE),VLOOKUP($A190,'SegEnds_NonXtal_Prot#'!$A:$AL,22,FALSE)+10,1)</f>
        <v>P</v>
      </c>
      <c r="AG190" s="28" t="str">
        <f>MID(VLOOKUP($A190,Seqs!$A:$B,2,FALSE),VLOOKUP($A190,'SegEnds_NonXtal_Prot#'!$A:$AL,28,FALSE)-4,1)</f>
        <v>M</v>
      </c>
      <c r="AH190" s="49" t="str">
        <f>MID(VLOOKUP($A190,Seqs!$A:$B,2,FALSE),VLOOKUP($A190,'SegEnds_NonXtal_Prot#'!$A:$AL,28,FALSE),1)</f>
        <v>C</v>
      </c>
    </row>
    <row r="191" spans="1:34" s="2" customFormat="1" x14ac:dyDescent="0.2">
      <c r="A191" s="2" t="s">
        <v>337</v>
      </c>
      <c r="B191" s="2" t="str">
        <f>LOWER(VLOOKUP(A191,Xtal_Templ!A:B,2,FALSE))</f>
        <v>opsd_human</v>
      </c>
      <c r="C191" s="2" t="str">
        <f>VLOOKUP(A191,Classification!A:D,2,FALSE)</f>
        <v>A</v>
      </c>
      <c r="D191" s="2" t="str">
        <f>IF(ISERROR(MATCH(A191,'SegEnds_Xtal_Prot#'!B:B, 0)), "NoXtal", "Xtal")</f>
        <v>NoXtal</v>
      </c>
      <c r="H191" s="4"/>
      <c r="R191" s="2" t="s">
        <v>9</v>
      </c>
      <c r="T191" s="4" t="s">
        <v>12</v>
      </c>
      <c r="V191" s="28" t="str">
        <f>MID(VLOOKUP($A191,Seqs!$A:$B,2,FALSE),VLOOKUP($A191,'SegEnds_NonXtal_Prot#'!A:AL,10,FALSE),1)</f>
        <v>G</v>
      </c>
      <c r="W191" s="49" t="str">
        <f>MID(VLOOKUP($A191,Seqs!$A:$B,2,FALSE),VLOOKUP($A191,'SegEnds_NonXtal_Prot#'!A:AL,10,FALSE)+6,1)</f>
        <v>F</v>
      </c>
      <c r="X191" s="49" t="str">
        <f>MID(VLOOKUP($A191,Seqs!$A:$B,2,FALSE),VLOOKUP($A191,'SegEnds_NonXtal_Prot#'!A:AL,10,FALSE)+7,1)</f>
        <v>S</v>
      </c>
      <c r="Y191" s="49" t="str">
        <f>MID(VLOOKUP($A191,Seqs!$A:$B,2,FALSE),VLOOKUP($A191,'SegEnds_NonXtal_Prot#'!A:AL,10,FALSE)+8,1)</f>
        <v>V</v>
      </c>
      <c r="Z191" s="49" t="str">
        <f>MID(VLOOKUP($A191,Seqs!$A:$B,2,FALSE),VLOOKUP($A191,'SegEnds_NonXtal_Prot#'!A:AL,10,FALSE)+9,1)</f>
        <v>F</v>
      </c>
      <c r="AA191" s="49" t="str">
        <f>MID(VLOOKUP($A191,Seqs!$A:$B,2,FALSE),VLOOKUP($A191,'SegEnds_NonXtal_Prot#'!A:AL,10,FALSE)+10,1)</f>
        <v>P</v>
      </c>
      <c r="AB191" s="28" t="str">
        <f>MID(VLOOKUP($A191,Seqs!$A:$B,2,FALSE),VLOOKUP($A191,'SegEnds_NonXtal_Prot#'!$A:$AL,22,FALSE)+6,1)</f>
        <v>V</v>
      </c>
      <c r="AC191" s="49" t="str">
        <f>MID(VLOOKUP($A191,Seqs!$A:$B,2,FALSE),VLOOKUP($A191,'SegEnds_NonXtal_Prot#'!$A:$AL,22,FALSE)+7,1)</f>
        <v>S</v>
      </c>
      <c r="AD191" s="49" t="str">
        <f>MID(VLOOKUP($A191,Seqs!$A:$B,2,FALSE),VLOOKUP($A191,'SegEnds_NonXtal_Prot#'!$A:$AL,22,FALSE)+8,1)</f>
        <v>I</v>
      </c>
      <c r="AE191" s="49" t="str">
        <f>MID(VLOOKUP($A191,Seqs!$A:$B,2,FALSE),VLOOKUP($A191,'SegEnds_NonXtal_Prot#'!$A:$AL,22,FALSE)+9,1)</f>
        <v>P</v>
      </c>
      <c r="AF191" s="49" t="str">
        <f>MID(VLOOKUP($A191,Seqs!$A:$B,2,FALSE),VLOOKUP($A191,'SegEnds_NonXtal_Prot#'!$A:$AL,22,FALSE)+10,1)</f>
        <v>P</v>
      </c>
      <c r="AG191" s="28" t="str">
        <f>MID(VLOOKUP($A191,Seqs!$A:$B,2,FALSE),VLOOKUP($A191,'SegEnds_NonXtal_Prot#'!$A:$AL,28,FALSE)-4,1)</f>
        <v>C</v>
      </c>
      <c r="AH191" s="49" t="str">
        <f>MID(VLOOKUP($A191,Seqs!$A:$B,2,FALSE),VLOOKUP($A191,'SegEnds_NonXtal_Prot#'!$A:$AL,28,FALSE),1)</f>
        <v>P</v>
      </c>
    </row>
    <row r="192" spans="1:34" s="2" customFormat="1" x14ac:dyDescent="0.2">
      <c r="A192" s="2" t="s">
        <v>338</v>
      </c>
      <c r="B192" s="2" t="str">
        <f>LOWER(VLOOKUP(A192,Xtal_Templ!A:B,2,FALSE))</f>
        <v>opsd_human</v>
      </c>
      <c r="C192" s="2" t="str">
        <f>VLOOKUP(A192,Classification!A:D,2,FALSE)</f>
        <v>A</v>
      </c>
      <c r="D192" s="2" t="str">
        <f>IF(ISERROR(MATCH(A192,'SegEnds_Xtal_Prot#'!B:B, 0)), "NoXtal", "Xtal")</f>
        <v>Xtal</v>
      </c>
      <c r="G192" s="2" t="s">
        <v>5</v>
      </c>
      <c r="H192" s="4"/>
      <c r="R192" s="2" t="s">
        <v>9</v>
      </c>
      <c r="T192" s="4" t="s">
        <v>12</v>
      </c>
      <c r="V192" s="28" t="str">
        <f>MID(VLOOKUP($A192,Seqs!$A:$B,2,FALSE),VLOOKUP($A192,'SegEnds_NonXtal_Prot#'!A:AL,10,FALSE),1)</f>
        <v>D</v>
      </c>
      <c r="W192" s="49" t="str">
        <f>MID(VLOOKUP($A192,Seqs!$A:$B,2,FALSE),VLOOKUP($A192,'SegEnds_NonXtal_Prot#'!A:AL,10,FALSE)+6,1)</f>
        <v>G</v>
      </c>
      <c r="X192" s="49" t="str">
        <f>MID(VLOOKUP($A192,Seqs!$A:$B,2,FALSE),VLOOKUP($A192,'SegEnds_NonXtal_Prot#'!A:AL,10,FALSE)+7,1)</f>
        <v>G</v>
      </c>
      <c r="Y192" s="49" t="str">
        <f>MID(VLOOKUP($A192,Seqs!$A:$B,2,FALSE),VLOOKUP($A192,'SegEnds_NonXtal_Prot#'!A:AL,10,FALSE)+8,1)</f>
        <v>F</v>
      </c>
      <c r="Z192" s="49" t="str">
        <f>MID(VLOOKUP($A192,Seqs!$A:$B,2,FALSE),VLOOKUP($A192,'SegEnds_NonXtal_Prot#'!A:AL,10,FALSE)+9,1)</f>
        <v>T</v>
      </c>
      <c r="AA192" s="49" t="str">
        <f>MID(VLOOKUP($A192,Seqs!$A:$B,2,FALSE),VLOOKUP($A192,'SegEnds_NonXtal_Prot#'!A:AL,10,FALSE)+10,1)</f>
        <v>S</v>
      </c>
      <c r="AB192" s="28" t="str">
        <f>MID(VLOOKUP($A192,Seqs!$A:$B,2,FALSE),VLOOKUP($A192,'SegEnds_NonXtal_Prot#'!$A:$AL,22,FALSE)+6,1)</f>
        <v>C</v>
      </c>
      <c r="AC192" s="49" t="str">
        <f>MID(VLOOKUP($A192,Seqs!$A:$B,2,FALSE),VLOOKUP($A192,'SegEnds_NonXtal_Prot#'!$A:$AL,22,FALSE)+7,1)</f>
        <v>A</v>
      </c>
      <c r="AD192" s="49" t="str">
        <f>MID(VLOOKUP($A192,Seqs!$A:$B,2,FALSE),VLOOKUP($A192,'SegEnds_NonXtal_Prot#'!$A:$AL,22,FALSE)+8,1)</f>
        <v>A</v>
      </c>
      <c r="AE192" s="49" t="str">
        <f>MID(VLOOKUP($A192,Seqs!$A:$B,2,FALSE),VLOOKUP($A192,'SegEnds_NonXtal_Prot#'!$A:$AL,22,FALSE)+9,1)</f>
        <v>P</v>
      </c>
      <c r="AF192" s="49" t="str">
        <f>MID(VLOOKUP($A192,Seqs!$A:$B,2,FALSE),VLOOKUP($A192,'SegEnds_NonXtal_Prot#'!$A:$AL,22,FALSE)+10,1)</f>
        <v>P</v>
      </c>
      <c r="AG192" s="28" t="str">
        <f>MID(VLOOKUP($A192,Seqs!$A:$B,2,FALSE),VLOOKUP($A192,'SegEnds_NonXtal_Prot#'!$A:$AL,28,FALSE)-4,1)</f>
        <v>H</v>
      </c>
      <c r="AH192" s="49" t="str">
        <f>MID(VLOOKUP($A192,Seqs!$A:$B,2,FALSE),VLOOKUP($A192,'SegEnds_NonXtal_Prot#'!$A:$AL,28,FALSE),1)</f>
        <v>P</v>
      </c>
    </row>
    <row r="193" spans="1:34" s="2" customFormat="1" x14ac:dyDescent="0.2">
      <c r="A193" s="2" t="s">
        <v>339</v>
      </c>
      <c r="B193" s="2" t="str">
        <f>LOWER(VLOOKUP(A193,Xtal_Templ!A:B,2,FALSE))</f>
        <v>opsd_human</v>
      </c>
      <c r="C193" s="2" t="str">
        <f>VLOOKUP(A193,Classification!A:D,2,FALSE)</f>
        <v>A</v>
      </c>
      <c r="D193" s="2" t="str">
        <f>IF(ISERROR(MATCH(A193,'SegEnds_Xtal_Prot#'!B:B, 0)), "NoXtal", "Xtal")</f>
        <v>NoXtal</v>
      </c>
      <c r="H193" s="4"/>
      <c r="R193" s="2" t="s">
        <v>9</v>
      </c>
      <c r="T193" s="4" t="s">
        <v>12</v>
      </c>
      <c r="V193" s="28" t="str">
        <f>MID(VLOOKUP($A193,Seqs!$A:$B,2,FALSE),VLOOKUP($A193,'SegEnds_NonXtal_Prot#'!A:AL,10,FALSE),1)</f>
        <v>D</v>
      </c>
      <c r="W193" s="49" t="str">
        <f>MID(VLOOKUP($A193,Seqs!$A:$B,2,FALSE),VLOOKUP($A193,'SegEnds_NonXtal_Prot#'!A:AL,10,FALSE)+6,1)</f>
        <v>I</v>
      </c>
      <c r="X193" s="49" t="str">
        <f>MID(VLOOKUP($A193,Seqs!$A:$B,2,FALSE),VLOOKUP($A193,'SegEnds_NonXtal_Prot#'!A:AL,10,FALSE)+7,1)</f>
        <v>A</v>
      </c>
      <c r="Y193" s="49" t="str">
        <f>MID(VLOOKUP($A193,Seqs!$A:$B,2,FALSE),VLOOKUP($A193,'SegEnds_NonXtal_Prot#'!A:AL,10,FALSE)+8,1)</f>
        <v>S</v>
      </c>
      <c r="Z193" s="49" t="str">
        <f>MID(VLOOKUP($A193,Seqs!$A:$B,2,FALSE),VLOOKUP($A193,'SegEnds_NonXtal_Prot#'!A:AL,10,FALSE)+9,1)</f>
        <v>T</v>
      </c>
      <c r="AA193" s="49" t="str">
        <f>MID(VLOOKUP($A193,Seqs!$A:$B,2,FALSE),VLOOKUP($A193,'SegEnds_NonXtal_Prot#'!A:AL,10,FALSE)+10,1)</f>
        <v>I</v>
      </c>
      <c r="AB193" s="28" t="str">
        <f>MID(VLOOKUP($A193,Seqs!$A:$B,2,FALSE),VLOOKUP($A193,'SegEnds_NonXtal_Prot#'!$A:$AL,22,FALSE)+6,1)</f>
        <v>W</v>
      </c>
      <c r="AC193" s="49" t="str">
        <f>MID(VLOOKUP($A193,Seqs!$A:$B,2,FALSE),VLOOKUP($A193,'SegEnds_NonXtal_Prot#'!$A:$AL,22,FALSE)+7,1)</f>
        <v>T</v>
      </c>
      <c r="AD193" s="49" t="str">
        <f>MID(VLOOKUP($A193,Seqs!$A:$B,2,FALSE),VLOOKUP($A193,'SegEnds_NonXtal_Prot#'!$A:$AL,22,FALSE)+8,1)</f>
        <v>A</v>
      </c>
      <c r="AE193" s="49" t="str">
        <f>MID(VLOOKUP($A193,Seqs!$A:$B,2,FALSE),VLOOKUP($A193,'SegEnds_NonXtal_Prot#'!$A:$AL,22,FALSE)+9,1)</f>
        <v>P</v>
      </c>
      <c r="AF193" s="49" t="str">
        <f>MID(VLOOKUP($A193,Seqs!$A:$B,2,FALSE),VLOOKUP($A193,'SegEnds_NonXtal_Prot#'!$A:$AL,22,FALSE)+10,1)</f>
        <v>P</v>
      </c>
      <c r="AG193" s="28" t="str">
        <f>MID(VLOOKUP($A193,Seqs!$A:$B,2,FALSE),VLOOKUP($A193,'SegEnds_NonXtal_Prot#'!$A:$AL,28,FALSE)-4,1)</f>
        <v>C</v>
      </c>
      <c r="AH193" s="49" t="str">
        <f>MID(VLOOKUP($A193,Seqs!$A:$B,2,FALSE),VLOOKUP($A193,'SegEnds_NonXtal_Prot#'!$A:$AL,28,FALSE),1)</f>
        <v>P</v>
      </c>
    </row>
    <row r="194" spans="1:34" s="2" customFormat="1" x14ac:dyDescent="0.2">
      <c r="A194" s="2" t="s">
        <v>340</v>
      </c>
      <c r="B194" s="2" t="str">
        <f>LOWER(VLOOKUP(A194,Xtal_Templ!A:B,2,FALSE))</f>
        <v>opsd_human</v>
      </c>
      <c r="C194" s="2" t="str">
        <f>VLOOKUP(A194,Classification!A:D,2,FALSE)</f>
        <v>A</v>
      </c>
      <c r="D194" s="2" t="str">
        <f>IF(ISERROR(MATCH(A194,'SegEnds_Xtal_Prot#'!B:B, 0)), "NoXtal", "Xtal")</f>
        <v>NoXtal</v>
      </c>
      <c r="H194" s="4"/>
      <c r="R194" s="2" t="s">
        <v>9</v>
      </c>
      <c r="T194" s="4" t="s">
        <v>12</v>
      </c>
      <c r="V194" s="28" t="str">
        <f>MID(VLOOKUP($A194,Seqs!$A:$B,2,FALSE),VLOOKUP($A194,'SegEnds_NonXtal_Prot#'!A:AL,10,FALSE),1)</f>
        <v>D</v>
      </c>
      <c r="W194" s="49" t="str">
        <f>MID(VLOOKUP($A194,Seqs!$A:$B,2,FALSE),VLOOKUP($A194,'SegEnds_NonXtal_Prot#'!A:AL,10,FALSE)+6,1)</f>
        <v>I</v>
      </c>
      <c r="X194" s="49" t="str">
        <f>MID(VLOOKUP($A194,Seqs!$A:$B,2,FALSE),VLOOKUP($A194,'SegEnds_NonXtal_Prot#'!A:AL,10,FALSE)+7,1)</f>
        <v>A</v>
      </c>
      <c r="Y194" s="49" t="str">
        <f>MID(VLOOKUP($A194,Seqs!$A:$B,2,FALSE),VLOOKUP($A194,'SegEnds_NonXtal_Prot#'!A:AL,10,FALSE)+8,1)</f>
        <v>S</v>
      </c>
      <c r="Z194" s="49" t="str">
        <f>MID(VLOOKUP($A194,Seqs!$A:$B,2,FALSE),VLOOKUP($A194,'SegEnds_NonXtal_Prot#'!A:AL,10,FALSE)+9,1)</f>
        <v>T</v>
      </c>
      <c r="AA194" s="49" t="str">
        <f>MID(VLOOKUP($A194,Seqs!$A:$B,2,FALSE),VLOOKUP($A194,'SegEnds_NonXtal_Prot#'!A:AL,10,FALSE)+10,1)</f>
        <v>I</v>
      </c>
      <c r="AB194" s="28" t="str">
        <f>MID(VLOOKUP($A194,Seqs!$A:$B,2,FALSE),VLOOKUP($A194,'SegEnds_NonXtal_Prot#'!$A:$AL,22,FALSE)+6,1)</f>
        <v>W</v>
      </c>
      <c r="AC194" s="49" t="str">
        <f>MID(VLOOKUP($A194,Seqs!$A:$B,2,FALSE),VLOOKUP($A194,'SegEnds_NonXtal_Prot#'!$A:$AL,22,FALSE)+7,1)</f>
        <v>T</v>
      </c>
      <c r="AD194" s="49" t="str">
        <f>MID(VLOOKUP($A194,Seqs!$A:$B,2,FALSE),VLOOKUP($A194,'SegEnds_NonXtal_Prot#'!$A:$AL,22,FALSE)+8,1)</f>
        <v>A</v>
      </c>
      <c r="AE194" s="49" t="str">
        <f>MID(VLOOKUP($A194,Seqs!$A:$B,2,FALSE),VLOOKUP($A194,'SegEnds_NonXtal_Prot#'!$A:$AL,22,FALSE)+9,1)</f>
        <v>P</v>
      </c>
      <c r="AF194" s="49" t="str">
        <f>MID(VLOOKUP($A194,Seqs!$A:$B,2,FALSE),VLOOKUP($A194,'SegEnds_NonXtal_Prot#'!$A:$AL,22,FALSE)+10,1)</f>
        <v>P</v>
      </c>
      <c r="AG194" s="28" t="str">
        <f>MID(VLOOKUP($A194,Seqs!$A:$B,2,FALSE),VLOOKUP($A194,'SegEnds_NonXtal_Prot#'!$A:$AL,28,FALSE)-4,1)</f>
        <v>C</v>
      </c>
      <c r="AH194" s="49" t="str">
        <f>MID(VLOOKUP($A194,Seqs!$A:$B,2,FALSE),VLOOKUP($A194,'SegEnds_NonXtal_Prot#'!$A:$AL,28,FALSE),1)</f>
        <v>P</v>
      </c>
    </row>
    <row r="195" spans="1:34" s="2" customFormat="1" x14ac:dyDescent="0.2">
      <c r="A195" s="2" t="s">
        <v>915</v>
      </c>
      <c r="B195" s="2" t="str">
        <f>LOWER(VLOOKUP(A195,Xtal_Templ!A:B,2,FALSE))</f>
        <v>opsd_todpa</v>
      </c>
      <c r="C195" s="2" t="str">
        <f>VLOOKUP(A195,Classification!A:D,2,FALSE)</f>
        <v>A</v>
      </c>
      <c r="D195" s="2" t="str">
        <f>IF(ISERROR(MATCH(A195,'SegEnds_Xtal_Prot#'!B:B, 0)), "NoXtal", "Xtal")</f>
        <v>Xtal</v>
      </c>
      <c r="H195" s="4" t="s">
        <v>1357</v>
      </c>
      <c r="R195" s="2" t="s">
        <v>9</v>
      </c>
      <c r="T195" s="4" t="s">
        <v>12</v>
      </c>
      <c r="V195" s="28" t="str">
        <f>MID(VLOOKUP($A195,Seqs!$A:$B,2,FALSE),VLOOKUP($A195,'SegEnds_NonXtal_Prot#'!A:AL,10,FALSE),1)</f>
        <v>D</v>
      </c>
      <c r="W195" s="49" t="str">
        <f>MID(VLOOKUP($A195,Seqs!$A:$B,2,FALSE),VLOOKUP($A195,'SegEnds_NonXtal_Prot#'!A:AL,10,FALSE)+6,1)</f>
        <v>V</v>
      </c>
      <c r="X195" s="49" t="str">
        <f>MID(VLOOKUP($A195,Seqs!$A:$B,2,FALSE),VLOOKUP($A195,'SegEnds_NonXtal_Prot#'!A:AL,10,FALSE)+7,1)</f>
        <v>N</v>
      </c>
      <c r="Y195" s="49" t="str">
        <f>MID(VLOOKUP($A195,Seqs!$A:$B,2,FALSE),VLOOKUP($A195,'SegEnds_NonXtal_Prot#'!A:AL,10,FALSE)+8,1)</f>
        <v>G</v>
      </c>
      <c r="Z195" s="49" t="str">
        <f>MID(VLOOKUP($A195,Seqs!$A:$B,2,FALSE),VLOOKUP($A195,'SegEnds_NonXtal_Prot#'!A:AL,10,FALSE)+9,1)</f>
        <v>F</v>
      </c>
      <c r="AA195" s="49" t="str">
        <f>MID(VLOOKUP($A195,Seqs!$A:$B,2,FALSE),VLOOKUP($A195,'SegEnds_NonXtal_Prot#'!A:AL,10,FALSE)+10,1)</f>
        <v>P</v>
      </c>
      <c r="AB195" s="28" t="str">
        <f>MID(VLOOKUP($A195,Seqs!$A:$B,2,FALSE),VLOOKUP($A195,'SegEnds_NonXtal_Prot#'!$A:$AL,22,FALSE)+6,1)</f>
        <v>W</v>
      </c>
      <c r="AC195" s="49" t="str">
        <f>MID(VLOOKUP($A195,Seqs!$A:$B,2,FALSE),VLOOKUP($A195,'SegEnds_NonXtal_Prot#'!$A:$AL,22,FALSE)+7,1)</f>
        <v>A</v>
      </c>
      <c r="AD195" s="49" t="str">
        <f>MID(VLOOKUP($A195,Seqs!$A:$B,2,FALSE),VLOOKUP($A195,'SegEnds_NonXtal_Prot#'!$A:$AL,22,FALSE)+8,1)</f>
        <v>I</v>
      </c>
      <c r="AE195" s="49" t="str">
        <f>MID(VLOOKUP($A195,Seqs!$A:$B,2,FALSE),VLOOKUP($A195,'SegEnds_NonXtal_Prot#'!$A:$AL,22,FALSE)+9,1)</f>
        <v>G</v>
      </c>
      <c r="AF195" s="49" t="str">
        <f>MID(VLOOKUP($A195,Seqs!$A:$B,2,FALSE),VLOOKUP($A195,'SegEnds_NonXtal_Prot#'!$A:$AL,22,FALSE)+10,1)</f>
        <v>P</v>
      </c>
      <c r="AG195" s="28" t="str">
        <f>MID(VLOOKUP($A195,Seqs!$A:$B,2,FALSE),VLOOKUP($A195,'SegEnds_NonXtal_Prot#'!$A:$AL,28,FALSE)-4,1)</f>
        <v>G</v>
      </c>
      <c r="AH195" s="49" t="str">
        <f>MID(VLOOKUP($A195,Seqs!$A:$B,2,FALSE),VLOOKUP($A195,'SegEnds_NonXtal_Prot#'!$A:$AL,28,FALSE),1)</f>
        <v>P</v>
      </c>
    </row>
    <row r="196" spans="1:34" s="2" customFormat="1" x14ac:dyDescent="0.2">
      <c r="A196" s="2" t="s">
        <v>214</v>
      </c>
      <c r="B196" s="2" t="str">
        <f>LOWER(VLOOKUP(A196,Xtal_Templ!A:B,2,FALSE))</f>
        <v>mtr1a_human</v>
      </c>
      <c r="C196" s="2" t="str">
        <f>VLOOKUP(A196,Classification!A:D,2,FALSE)</f>
        <v>A</v>
      </c>
      <c r="D196" s="2" t="str">
        <f>IF(ISERROR(MATCH(A196,'SegEnds_Xtal_Prot#'!B:B, 0)), "NoXtal", "Xtal")</f>
        <v>NoXtal</v>
      </c>
      <c r="G196" s="2" t="s">
        <v>5</v>
      </c>
      <c r="H196" s="4"/>
      <c r="N196" s="2" t="s">
        <v>14</v>
      </c>
      <c r="R196" s="2" t="s">
        <v>9</v>
      </c>
      <c r="T196" s="4" t="s">
        <v>12</v>
      </c>
      <c r="V196" s="28" t="str">
        <f>MID(VLOOKUP($A196,Seqs!$A:$B,2,FALSE),VLOOKUP($A196,'SegEnds_NonXtal_Prot#'!A:AL,10,FALSE),1)</f>
        <v>D</v>
      </c>
      <c r="W196" s="49" t="str">
        <f>MID(VLOOKUP($A196,Seqs!$A:$B,2,FALSE),VLOOKUP($A196,'SegEnds_NonXtal_Prot#'!A:AL,10,FALSE)+6,1)</f>
        <v>L</v>
      </c>
      <c r="X196" s="49" t="str">
        <f>MID(VLOOKUP($A196,Seqs!$A:$B,2,FALSE),VLOOKUP($A196,'SegEnds_NonXtal_Prot#'!A:AL,10,FALSE)+7,1)</f>
        <v>C</v>
      </c>
      <c r="Y196" s="49" t="str">
        <f>MID(VLOOKUP($A196,Seqs!$A:$B,2,FALSE),VLOOKUP($A196,'SegEnds_NonXtal_Prot#'!A:AL,10,FALSE)+8,1)</f>
        <v>L</v>
      </c>
      <c r="Z196" s="49" t="str">
        <f>MID(VLOOKUP($A196,Seqs!$A:$B,2,FALSE),VLOOKUP($A196,'SegEnds_NonXtal_Prot#'!A:AL,10,FALSE)+9,1)</f>
        <v>P</v>
      </c>
      <c r="AA196" s="49" t="str">
        <f>MID(VLOOKUP($A196,Seqs!$A:$B,2,FALSE),VLOOKUP($A196,'SegEnds_NonXtal_Prot#'!A:AL,10,FALSE)+10,1)</f>
        <v>A</v>
      </c>
      <c r="AB196" s="28" t="str">
        <f>MID(VLOOKUP($A196,Seqs!$A:$B,2,FALSE),VLOOKUP($A196,'SegEnds_NonXtal_Prot#'!$A:$AL,22,FALSE)+6,1)</f>
        <v>F</v>
      </c>
      <c r="AC196" s="49" t="str">
        <f>MID(VLOOKUP($A196,Seqs!$A:$B,2,FALSE),VLOOKUP($A196,'SegEnds_NonXtal_Prot#'!$A:$AL,22,FALSE)+7,1)</f>
        <v>S</v>
      </c>
      <c r="AD196" s="49" t="str">
        <f>MID(VLOOKUP($A196,Seqs!$A:$B,2,FALSE),VLOOKUP($A196,'SegEnds_NonXtal_Prot#'!$A:$AL,22,FALSE)+8,1)</f>
        <v>L</v>
      </c>
      <c r="AE196" s="49" t="str">
        <f>MID(VLOOKUP($A196,Seqs!$A:$B,2,FALSE),VLOOKUP($A196,'SegEnds_NonXtal_Prot#'!$A:$AL,22,FALSE)+9,1)</f>
        <v>P</v>
      </c>
      <c r="AF196" s="49" t="str">
        <f>MID(VLOOKUP($A196,Seqs!$A:$B,2,FALSE),VLOOKUP($A196,'SegEnds_NonXtal_Prot#'!$A:$AL,22,FALSE)+10,1)</f>
        <v>W</v>
      </c>
      <c r="AG196" s="28" t="str">
        <f>MID(VLOOKUP($A196,Seqs!$A:$B,2,FALSE),VLOOKUP($A196,'SegEnds_NonXtal_Prot#'!$A:$AL,28,FALSE)-4,1)</f>
        <v>C</v>
      </c>
      <c r="AH196" s="49" t="str">
        <f>MID(VLOOKUP($A196,Seqs!$A:$B,2,FALSE),VLOOKUP($A196,'SegEnds_NonXtal_Prot#'!$A:$AL,28,FALSE),1)</f>
        <v>P</v>
      </c>
    </row>
    <row r="197" spans="1:34" s="2" customFormat="1" x14ac:dyDescent="0.2">
      <c r="A197" s="2" t="s">
        <v>221</v>
      </c>
      <c r="B197" s="2" t="str">
        <f>LOWER(VLOOKUP(A197,Xtal_Templ!A:B,2,FALSE))</f>
        <v>cxcr4_human</v>
      </c>
      <c r="C197" s="2" t="str">
        <f>VLOOKUP(A197,Classification!A:D,2,FALSE)</f>
        <v>A</v>
      </c>
      <c r="D197" s="2" t="str">
        <f>IF(ISERROR(MATCH(A197,'SegEnds_Xtal_Prot#'!B:B, 0)), "NoXtal", "Xtal")</f>
        <v>NoXtal</v>
      </c>
      <c r="H197" s="4"/>
      <c r="R197" s="2" t="s">
        <v>9</v>
      </c>
      <c r="T197" s="4" t="s">
        <v>12</v>
      </c>
      <c r="V197" s="28" t="str">
        <f>MID(VLOOKUP($A197,Seqs!$A:$B,2,FALSE),VLOOKUP($A197,'SegEnds_NonXtal_Prot#'!A:AL,10,FALSE),1)</f>
        <v>D</v>
      </c>
      <c r="W197" s="49" t="str">
        <f>MID(VLOOKUP($A197,Seqs!$A:$B,2,FALSE),VLOOKUP($A197,'SegEnds_NonXtal_Prot#'!A:AL,10,FALSE)+6,1)</f>
        <v>G</v>
      </c>
      <c r="X197" s="49" t="str">
        <f>MID(VLOOKUP($A197,Seqs!$A:$B,2,FALSE),VLOOKUP($A197,'SegEnds_NonXtal_Prot#'!A:AL,10,FALSE)+7,1)</f>
        <v>T</v>
      </c>
      <c r="Y197" s="49" t="str">
        <f>MID(VLOOKUP($A197,Seqs!$A:$B,2,FALSE),VLOOKUP($A197,'SegEnds_NonXtal_Prot#'!A:AL,10,FALSE)+8,1)</f>
        <v>A</v>
      </c>
      <c r="Z197" s="49" t="str">
        <f>MID(VLOOKUP($A197,Seqs!$A:$B,2,FALSE),VLOOKUP($A197,'SegEnds_NonXtal_Prot#'!A:AL,10,FALSE)+9,1)</f>
        <v>L</v>
      </c>
      <c r="AA197" s="49" t="str">
        <f>MID(VLOOKUP($A197,Seqs!$A:$B,2,FALSE),VLOOKUP($A197,'SegEnds_NonXtal_Prot#'!A:AL,10,FALSE)+10,1)</f>
        <v>S</v>
      </c>
      <c r="AB197" s="28" t="str">
        <f>MID(VLOOKUP($A197,Seqs!$A:$B,2,FALSE),VLOOKUP($A197,'SegEnds_NonXtal_Prot#'!$A:$AL,22,FALSE)+6,1)</f>
        <v>L</v>
      </c>
      <c r="AC197" s="49" t="str">
        <f>MID(VLOOKUP($A197,Seqs!$A:$B,2,FALSE),VLOOKUP($A197,'SegEnds_NonXtal_Prot#'!$A:$AL,22,FALSE)+7,1)</f>
        <v>A</v>
      </c>
      <c r="AD197" s="49" t="str">
        <f>MID(VLOOKUP($A197,Seqs!$A:$B,2,FALSE),VLOOKUP($A197,'SegEnds_NonXtal_Prot#'!$A:$AL,22,FALSE)+8,1)</f>
        <v>L</v>
      </c>
      <c r="AE197" s="49" t="str">
        <f>MID(VLOOKUP($A197,Seqs!$A:$B,2,FALSE),VLOOKUP($A197,'SegEnds_NonXtal_Prot#'!$A:$AL,22,FALSE)+9,1)</f>
        <v>P</v>
      </c>
      <c r="AF197" s="49" t="str">
        <f>MID(VLOOKUP($A197,Seqs!$A:$B,2,FALSE),VLOOKUP($A197,'SegEnds_NonXtal_Prot#'!$A:$AL,22,FALSE)+10,1)</f>
        <v>P</v>
      </c>
      <c r="AG197" s="28" t="str">
        <f>MID(VLOOKUP($A197,Seqs!$A:$B,2,FALSE),VLOOKUP($A197,'SegEnds_NonXtal_Prot#'!$A:$AL,28,FALSE)-4,1)</f>
        <v>G</v>
      </c>
      <c r="AH197" s="49" t="str">
        <f>MID(VLOOKUP($A197,Seqs!$A:$B,2,FALSE),VLOOKUP($A197,'SegEnds_NonXtal_Prot#'!$A:$AL,28,FALSE),1)</f>
        <v>P</v>
      </c>
    </row>
    <row r="198" spans="1:34" s="2" customFormat="1" x14ac:dyDescent="0.2">
      <c r="A198" s="2" t="s">
        <v>231</v>
      </c>
      <c r="B198" s="2" t="str">
        <f>LOWER(VLOOKUP(A198,Xtal_Templ!A:B,2,FALSE))</f>
        <v>ox1r_human</v>
      </c>
      <c r="C198" s="2" t="str">
        <f>VLOOKUP(A198,Classification!A:D,2,FALSE)</f>
        <v>A</v>
      </c>
      <c r="D198" s="2" t="str">
        <f>IF(ISERROR(MATCH(A198,'SegEnds_Xtal_Prot#'!B:B, 0)), "NoXtal", "Xtal")</f>
        <v>NoXtal</v>
      </c>
      <c r="G198" s="2" t="s">
        <v>5</v>
      </c>
      <c r="H198" s="4"/>
      <c r="N198" s="2" t="s">
        <v>14</v>
      </c>
      <c r="R198" s="2" t="s">
        <v>9</v>
      </c>
      <c r="T198" s="4" t="s">
        <v>12</v>
      </c>
      <c r="V198" s="28" t="str">
        <f>MID(VLOOKUP($A198,Seqs!$A:$B,2,FALSE),VLOOKUP($A198,'SegEnds_NonXtal_Prot#'!A:AL,10,FALSE),1)</f>
        <v>G</v>
      </c>
      <c r="W198" s="49" t="str">
        <f>MID(VLOOKUP($A198,Seqs!$A:$B,2,FALSE),VLOOKUP($A198,'SegEnds_NonXtal_Prot#'!A:AL,10,FALSE)+6,1)</f>
        <v>V</v>
      </c>
      <c r="X198" s="49" t="str">
        <f>MID(VLOOKUP($A198,Seqs!$A:$B,2,FALSE),VLOOKUP($A198,'SegEnds_NonXtal_Prot#'!A:AL,10,FALSE)+7,1)</f>
        <v>C</v>
      </c>
      <c r="Y198" s="49" t="str">
        <f>MID(VLOOKUP($A198,Seqs!$A:$B,2,FALSE),VLOOKUP($A198,'SegEnds_NonXtal_Prot#'!A:AL,10,FALSE)+8,1)</f>
        <v>V</v>
      </c>
      <c r="Z198" s="49" t="str">
        <f>MID(VLOOKUP($A198,Seqs!$A:$B,2,FALSE),VLOOKUP($A198,'SegEnds_NonXtal_Prot#'!A:AL,10,FALSE)+9,1)</f>
        <v>P</v>
      </c>
      <c r="AA198" s="49" t="str">
        <f>MID(VLOOKUP($A198,Seqs!$A:$B,2,FALSE),VLOOKUP($A198,'SegEnds_NonXtal_Prot#'!A:AL,10,FALSE)+10,1)</f>
        <v>F</v>
      </c>
      <c r="AB198" s="28" t="str">
        <f>MID(VLOOKUP($A198,Seqs!$A:$B,2,FALSE),VLOOKUP($A198,'SegEnds_NonXtal_Prot#'!$A:$AL,22,FALSE)+6,1)</f>
        <v>A</v>
      </c>
      <c r="AC198" s="49" t="str">
        <f>MID(VLOOKUP($A198,Seqs!$A:$B,2,FALSE),VLOOKUP($A198,'SegEnds_NonXtal_Prot#'!$A:$AL,22,FALSE)+7,1)</f>
        <v>S</v>
      </c>
      <c r="AD198" s="49" t="str">
        <f>MID(VLOOKUP($A198,Seqs!$A:$B,2,FALSE),VLOOKUP($A198,'SegEnds_NonXtal_Prot#'!$A:$AL,22,FALSE)+8,1)</f>
        <v>V</v>
      </c>
      <c r="AE198" s="49" t="str">
        <f>MID(VLOOKUP($A198,Seqs!$A:$B,2,FALSE),VLOOKUP($A198,'SegEnds_NonXtal_Prot#'!$A:$AL,22,FALSE)+9,1)</f>
        <v>P</v>
      </c>
      <c r="AF198" s="49" t="str">
        <f>MID(VLOOKUP($A198,Seqs!$A:$B,2,FALSE),VLOOKUP($A198,'SegEnds_NonXtal_Prot#'!$A:$AL,22,FALSE)+10,1)</f>
        <v>V</v>
      </c>
      <c r="AG198" s="28" t="str">
        <f>MID(VLOOKUP($A198,Seqs!$A:$B,2,FALSE),VLOOKUP($A198,'SegEnds_NonXtal_Prot#'!$A:$AL,28,FALSE)-4,1)</f>
        <v>T</v>
      </c>
      <c r="AH198" s="49" t="str">
        <f>MID(VLOOKUP($A198,Seqs!$A:$B,2,FALSE),VLOOKUP($A198,'SegEnds_NonXtal_Prot#'!$A:$AL,28,FALSE),1)</f>
        <v>P</v>
      </c>
    </row>
    <row r="199" spans="1:34" s="2" customFormat="1" x14ac:dyDescent="0.2">
      <c r="A199" s="2" t="s">
        <v>266</v>
      </c>
      <c r="B199" s="2" t="str">
        <f>LOWER(VLOOKUP(A199,Xtal_Templ!A:B,2,FALSE))</f>
        <v>drd2_human</v>
      </c>
      <c r="C199" s="2" t="str">
        <f>VLOOKUP(A199,Classification!A:D,2,FALSE)</f>
        <v>A</v>
      </c>
      <c r="D199" s="2" t="str">
        <f>IF(ISERROR(MATCH(A199,'SegEnds_Xtal_Prot#'!B:B, 0)), "NoXtal", "Xtal")</f>
        <v>NoXtal</v>
      </c>
      <c r="G199" s="2" t="s">
        <v>5</v>
      </c>
      <c r="H199" s="4"/>
      <c r="R199" s="2" t="s">
        <v>9</v>
      </c>
      <c r="T199" s="4" t="s">
        <v>12</v>
      </c>
      <c r="V199" s="28" t="str">
        <f>MID(VLOOKUP($A199,Seqs!$A:$B,2,FALSE),VLOOKUP($A199,'SegEnds_NonXtal_Prot#'!A:AL,10,FALSE),1)</f>
        <v>H</v>
      </c>
      <c r="W199" s="49" t="str">
        <f>MID(VLOOKUP($A199,Seqs!$A:$B,2,FALSE),VLOOKUP($A199,'SegEnds_NonXtal_Prot#'!A:AL,10,FALSE)+6,1)</f>
        <v>L</v>
      </c>
      <c r="X199" s="49" t="str">
        <f>MID(VLOOKUP($A199,Seqs!$A:$B,2,FALSE),VLOOKUP($A199,'SegEnds_NonXtal_Prot#'!A:AL,10,FALSE)+7,1)</f>
        <v>D</v>
      </c>
      <c r="Y199" s="49" t="str">
        <f>MID(VLOOKUP($A199,Seqs!$A:$B,2,FALSE),VLOOKUP($A199,'SegEnds_NonXtal_Prot#'!A:AL,10,FALSE)+8,1)</f>
        <v>M</v>
      </c>
      <c r="Z199" s="49" t="str">
        <f>MID(VLOOKUP($A199,Seqs!$A:$B,2,FALSE),VLOOKUP($A199,'SegEnds_NonXtal_Prot#'!A:AL,10,FALSE)+9,1)</f>
        <v>P</v>
      </c>
      <c r="AA199" s="49" t="str">
        <f>MID(VLOOKUP($A199,Seqs!$A:$B,2,FALSE),VLOOKUP($A199,'SegEnds_NonXtal_Prot#'!A:AL,10,FALSE)+10,1)</f>
        <v>F</v>
      </c>
      <c r="AB199" s="28" t="str">
        <f>MID(VLOOKUP($A199,Seqs!$A:$B,2,FALSE),VLOOKUP($A199,'SegEnds_NonXtal_Prot#'!$A:$AL,22,FALSE)+6,1)</f>
        <v>F</v>
      </c>
      <c r="AC199" s="49" t="str">
        <f>MID(VLOOKUP($A199,Seqs!$A:$B,2,FALSE),VLOOKUP($A199,'SegEnds_NonXtal_Prot#'!$A:$AL,22,FALSE)+7,1)</f>
        <v>S</v>
      </c>
      <c r="AD199" s="49" t="str">
        <f>MID(VLOOKUP($A199,Seqs!$A:$B,2,FALSE),VLOOKUP($A199,'SegEnds_NonXtal_Prot#'!$A:$AL,22,FALSE)+8,1)</f>
        <v>G</v>
      </c>
      <c r="AE199" s="49" t="str">
        <f>MID(VLOOKUP($A199,Seqs!$A:$B,2,FALSE),VLOOKUP($A199,'SegEnds_NonXtal_Prot#'!$A:$AL,22,FALSE)+9,1)</f>
        <v>A</v>
      </c>
      <c r="AF199" s="49" t="str">
        <f>MID(VLOOKUP($A199,Seqs!$A:$B,2,FALSE),VLOOKUP($A199,'SegEnds_NonXtal_Prot#'!$A:$AL,22,FALSE)+10,1)</f>
        <v>A</v>
      </c>
      <c r="AG199" s="28" t="str">
        <f>MID(VLOOKUP($A199,Seqs!$A:$B,2,FALSE),VLOOKUP($A199,'SegEnds_NonXtal_Prot#'!$A:$AL,28,FALSE)-4,1)</f>
        <v>G</v>
      </c>
      <c r="AH199" s="49" t="str">
        <f>MID(VLOOKUP($A199,Seqs!$A:$B,2,FALSE),VLOOKUP($A199,'SegEnds_NonXtal_Prot#'!$A:$AL,28,FALSE),1)</f>
        <v>P</v>
      </c>
    </row>
    <row r="200" spans="1:34" s="2" customFormat="1" x14ac:dyDescent="0.2">
      <c r="A200" s="2" t="s">
        <v>269</v>
      </c>
      <c r="B200" s="2" t="str">
        <f>LOWER(VLOOKUP(A200,Xtal_Templ!A:B,2,FALSE))</f>
        <v>ednrb_human</v>
      </c>
      <c r="C200" s="2" t="str">
        <f>VLOOKUP(A200,Classification!A:D,2,FALSE)</f>
        <v>A</v>
      </c>
      <c r="D200" s="2" t="str">
        <f>IF(ISERROR(MATCH(A200,'SegEnds_Xtal_Prot#'!B:B, 0)), "NoXtal", "Xtal")</f>
        <v>NoXtal</v>
      </c>
      <c r="G200" s="2" t="s">
        <v>5</v>
      </c>
      <c r="H200" s="4"/>
      <c r="N200" s="2" t="s">
        <v>14</v>
      </c>
      <c r="R200" s="2" t="s">
        <v>9</v>
      </c>
      <c r="T200" s="4" t="s">
        <v>12</v>
      </c>
      <c r="V200" s="28" t="str">
        <f>MID(VLOOKUP($A200,Seqs!$A:$B,2,FALSE),VLOOKUP($A200,'SegEnds_NonXtal_Prot#'!A:AL,10,FALSE),1)</f>
        <v>D</v>
      </c>
      <c r="W200" s="49" t="str">
        <f>MID(VLOOKUP($A200,Seqs!$A:$B,2,FALSE),VLOOKUP($A200,'SegEnds_NonXtal_Prot#'!A:AL,10,FALSE)+6,1)</f>
        <v>L</v>
      </c>
      <c r="X200" s="49" t="str">
        <f>MID(VLOOKUP($A200,Seqs!$A:$B,2,FALSE),VLOOKUP($A200,'SegEnds_NonXtal_Prot#'!A:AL,10,FALSE)+7,1)</f>
        <v>L</v>
      </c>
      <c r="Y200" s="49" t="str">
        <f>MID(VLOOKUP($A200,Seqs!$A:$B,2,FALSE),VLOOKUP($A200,'SegEnds_NonXtal_Prot#'!A:AL,10,FALSE)+8,1)</f>
        <v>Q</v>
      </c>
      <c r="Z200" s="49" t="str">
        <f>MID(VLOOKUP($A200,Seqs!$A:$B,2,FALSE),VLOOKUP($A200,'SegEnds_NonXtal_Prot#'!A:AL,10,FALSE)+9,1)</f>
        <v>P</v>
      </c>
      <c r="AA200" s="49" t="str">
        <f>MID(VLOOKUP($A200,Seqs!$A:$B,2,FALSE),VLOOKUP($A200,'SegEnds_NonXtal_Prot#'!A:AL,10,FALSE)+10,1)</f>
        <v>F</v>
      </c>
      <c r="AB200" s="28" t="str">
        <f>MID(VLOOKUP($A200,Seqs!$A:$B,2,FALSE),VLOOKUP($A200,'SegEnds_NonXtal_Prot#'!$A:$AL,22,FALSE)+6,1)</f>
        <v>S</v>
      </c>
      <c r="AC200" s="49" t="str">
        <f>MID(VLOOKUP($A200,Seqs!$A:$B,2,FALSE),VLOOKUP($A200,'SegEnds_NonXtal_Prot#'!$A:$AL,22,FALSE)+7,1)</f>
        <v>F</v>
      </c>
      <c r="AD200" s="49" t="str">
        <f>MID(VLOOKUP($A200,Seqs!$A:$B,2,FALSE),VLOOKUP($A200,'SegEnds_NonXtal_Prot#'!$A:$AL,22,FALSE)+8,1)</f>
        <v>A</v>
      </c>
      <c r="AE200" s="49" t="str">
        <f>MID(VLOOKUP($A200,Seqs!$A:$B,2,FALSE),VLOOKUP($A200,'SegEnds_NonXtal_Prot#'!$A:$AL,22,FALSE)+9,1)</f>
        <v>P</v>
      </c>
      <c r="AF200" s="49" t="str">
        <f>MID(VLOOKUP($A200,Seqs!$A:$B,2,FALSE),VLOOKUP($A200,'SegEnds_NonXtal_Prot#'!$A:$AL,22,FALSE)+10,1)</f>
        <v>L</v>
      </c>
      <c r="AG200" s="28" t="str">
        <f>MID(VLOOKUP($A200,Seqs!$A:$B,2,FALSE),VLOOKUP($A200,'SegEnds_NonXtal_Prot#'!$A:$AL,28,FALSE)-4,1)</f>
        <v>D</v>
      </c>
      <c r="AH200" s="49" t="str">
        <f>MID(VLOOKUP($A200,Seqs!$A:$B,2,FALSE),VLOOKUP($A200,'SegEnds_NonXtal_Prot#'!$A:$AL,28,FALSE),1)</f>
        <v>P</v>
      </c>
    </row>
    <row r="201" spans="1:34" s="2" customFormat="1" x14ac:dyDescent="0.2">
      <c r="A201" s="2" t="s">
        <v>314</v>
      </c>
      <c r="B201" s="2" t="str">
        <f>LOWER(VLOOKUP(A201,Xtal_Templ!A:B,2,FALSE))</f>
        <v>nk1r_human</v>
      </c>
      <c r="C201" s="2" t="str">
        <f>VLOOKUP(A201,Classification!A:D,2,FALSE)</f>
        <v>A</v>
      </c>
      <c r="D201" s="2" t="str">
        <f>IF(ISERROR(MATCH(A201,'SegEnds_Xtal_Prot#'!B:B, 0)), "NoXtal", "Xtal")</f>
        <v>NoXtal</v>
      </c>
      <c r="H201" s="4"/>
      <c r="N201" s="2" t="s">
        <v>14</v>
      </c>
      <c r="R201" s="2" t="s">
        <v>9</v>
      </c>
      <c r="T201" s="4" t="s">
        <v>12</v>
      </c>
      <c r="V201" s="28" t="str">
        <f>MID(VLOOKUP($A201,Seqs!$A:$B,2,FALSE),VLOOKUP($A201,'SegEnds_NonXtal_Prot#'!A:AL,10,FALSE),1)</f>
        <v>D</v>
      </c>
      <c r="W201" s="49" t="str">
        <f>MID(VLOOKUP($A201,Seqs!$A:$B,2,FALSE),VLOOKUP($A201,'SegEnds_NonXtal_Prot#'!A:AL,10,FALSE)+6,1)</f>
        <v>F</v>
      </c>
      <c r="X201" s="49" t="str">
        <f>MID(VLOOKUP($A201,Seqs!$A:$B,2,FALSE),VLOOKUP($A201,'SegEnds_NonXtal_Prot#'!A:AL,10,FALSE)+7,1)</f>
        <v>N</v>
      </c>
      <c r="Y201" s="49" t="str">
        <f>MID(VLOOKUP($A201,Seqs!$A:$B,2,FALSE),VLOOKUP($A201,'SegEnds_NonXtal_Prot#'!A:AL,10,FALSE)+8,1)</f>
        <v>A</v>
      </c>
      <c r="Z201" s="49" t="str">
        <f>MID(VLOOKUP($A201,Seqs!$A:$B,2,FALSE),VLOOKUP($A201,'SegEnds_NonXtal_Prot#'!A:AL,10,FALSE)+9,1)</f>
        <v>A</v>
      </c>
      <c r="AA201" s="49" t="str">
        <f>MID(VLOOKUP($A201,Seqs!$A:$B,2,FALSE),VLOOKUP($A201,'SegEnds_NonXtal_Prot#'!A:AL,10,FALSE)+10,1)</f>
        <v>F</v>
      </c>
      <c r="AB201" s="28" t="str">
        <f>MID(VLOOKUP($A201,Seqs!$A:$B,2,FALSE),VLOOKUP($A201,'SegEnds_NonXtal_Prot#'!$A:$AL,22,FALSE)+6,1)</f>
        <v>L</v>
      </c>
      <c r="AC201" s="49" t="str">
        <f>MID(VLOOKUP($A201,Seqs!$A:$B,2,FALSE),VLOOKUP($A201,'SegEnds_NonXtal_Prot#'!$A:$AL,22,FALSE)+7,1)</f>
        <v>A</v>
      </c>
      <c r="AD201" s="49" t="str">
        <f>MID(VLOOKUP($A201,Seqs!$A:$B,2,FALSE),VLOOKUP($A201,'SegEnds_NonXtal_Prot#'!$A:$AL,22,FALSE)+8,1)</f>
        <v>S</v>
      </c>
      <c r="AE201" s="49" t="str">
        <f>MID(VLOOKUP($A201,Seqs!$A:$B,2,FALSE),VLOOKUP($A201,'SegEnds_NonXtal_Prot#'!$A:$AL,22,FALSE)+9,1)</f>
        <v>P</v>
      </c>
      <c r="AF201" s="49" t="str">
        <f>MID(VLOOKUP($A201,Seqs!$A:$B,2,FALSE),VLOOKUP($A201,'SegEnds_NonXtal_Prot#'!$A:$AL,22,FALSE)+10,1)</f>
        <v>Q</v>
      </c>
      <c r="AG201" s="28" t="str">
        <f>MID(VLOOKUP($A201,Seqs!$A:$B,2,FALSE),VLOOKUP($A201,'SegEnds_NonXtal_Prot#'!$A:$AL,28,FALSE)-4,1)</f>
        <v>I</v>
      </c>
      <c r="AH201" s="49" t="str">
        <f>MID(VLOOKUP($A201,Seqs!$A:$B,2,FALSE),VLOOKUP($A201,'SegEnds_NonXtal_Prot#'!$A:$AL,28,FALSE),1)</f>
        <v>P</v>
      </c>
    </row>
    <row r="202" spans="1:34" s="2" customFormat="1" x14ac:dyDescent="0.2">
      <c r="A202" s="2" t="s">
        <v>322</v>
      </c>
      <c r="B202" s="2" t="str">
        <f>LOWER(VLOOKUP(A202,Xtal_Templ!A:B,2,FALSE))</f>
        <v>ox1r_human</v>
      </c>
      <c r="C202" s="2" t="str">
        <f>VLOOKUP(A202,Classification!A:D,2,FALSE)</f>
        <v>A</v>
      </c>
      <c r="D202" s="2" t="str">
        <f>IF(ISERROR(MATCH(A202,'SegEnds_Xtal_Prot#'!B:B, 0)), "NoXtal", "Xtal")</f>
        <v>NoXtal</v>
      </c>
      <c r="G202" s="2" t="s">
        <v>5</v>
      </c>
      <c r="H202" s="4"/>
      <c r="N202" s="2" t="s">
        <v>14</v>
      </c>
      <c r="R202" s="2" t="s">
        <v>9</v>
      </c>
      <c r="T202" s="4" t="s">
        <v>12</v>
      </c>
      <c r="V202" s="28" t="str">
        <f>MID(VLOOKUP($A202,Seqs!$A:$B,2,FALSE),VLOOKUP($A202,'SegEnds_NonXtal_Prot#'!A:AL,10,FALSE),1)</f>
        <v>D</v>
      </c>
      <c r="W202" s="49" t="str">
        <f>MID(VLOOKUP($A202,Seqs!$A:$B,2,FALSE),VLOOKUP($A202,'SegEnds_NonXtal_Prot#'!A:AL,10,FALSE)+6,1)</f>
        <v>F</v>
      </c>
      <c r="X202" s="49" t="str">
        <f>MID(VLOOKUP($A202,Seqs!$A:$B,2,FALSE),VLOOKUP($A202,'SegEnds_NonXtal_Prot#'!A:AL,10,FALSE)+7,1)</f>
        <v>C</v>
      </c>
      <c r="Y202" s="49" t="str">
        <f>MID(VLOOKUP($A202,Seqs!$A:$B,2,FALSE),VLOOKUP($A202,'SegEnds_NonXtal_Prot#'!A:AL,10,FALSE)+8,1)</f>
        <v>M</v>
      </c>
      <c r="Z202" s="49" t="str">
        <f>MID(VLOOKUP($A202,Seqs!$A:$B,2,FALSE),VLOOKUP($A202,'SegEnds_NonXtal_Prot#'!A:AL,10,FALSE)+9,1)</f>
        <v>P</v>
      </c>
      <c r="AA202" s="49" t="str">
        <f>MID(VLOOKUP($A202,Seqs!$A:$B,2,FALSE),VLOOKUP($A202,'SegEnds_NonXtal_Prot#'!A:AL,10,FALSE)+10,1)</f>
        <v>I</v>
      </c>
      <c r="AB202" s="28" t="str">
        <f>MID(VLOOKUP($A202,Seqs!$A:$B,2,FALSE),VLOOKUP($A202,'SegEnds_NonXtal_Prot#'!$A:$AL,22,FALSE)+6,1)</f>
        <v>I</v>
      </c>
      <c r="AC202" s="49" t="str">
        <f>MID(VLOOKUP($A202,Seqs!$A:$B,2,FALSE),VLOOKUP($A202,'SegEnds_NonXtal_Prot#'!$A:$AL,22,FALSE)+7,1)</f>
        <v>M</v>
      </c>
      <c r="AD202" s="49" t="str">
        <f>MID(VLOOKUP($A202,Seqs!$A:$B,2,FALSE),VLOOKUP($A202,'SegEnds_NonXtal_Prot#'!$A:$AL,22,FALSE)+8,1)</f>
        <v>S</v>
      </c>
      <c r="AE202" s="49" t="str">
        <f>MID(VLOOKUP($A202,Seqs!$A:$B,2,FALSE),VLOOKUP($A202,'SegEnds_NonXtal_Prot#'!$A:$AL,22,FALSE)+9,1)</f>
        <v>P</v>
      </c>
      <c r="AF202" s="49" t="str">
        <f>MID(VLOOKUP($A202,Seqs!$A:$B,2,FALSE),VLOOKUP($A202,'SegEnds_NonXtal_Prot#'!$A:$AL,22,FALSE)+10,1)</f>
        <v>S</v>
      </c>
      <c r="AG202" s="28" t="str">
        <f>MID(VLOOKUP($A202,Seqs!$A:$B,2,FALSE),VLOOKUP($A202,'SegEnds_NonXtal_Prot#'!$A:$AL,28,FALSE)-4,1)</f>
        <v>I</v>
      </c>
      <c r="AH202" s="49" t="str">
        <f>MID(VLOOKUP($A202,Seqs!$A:$B,2,FALSE),VLOOKUP($A202,'SegEnds_NonXtal_Prot#'!$A:$AL,28,FALSE),1)</f>
        <v>P</v>
      </c>
    </row>
    <row r="203" spans="1:34" s="2" customFormat="1" x14ac:dyDescent="0.2">
      <c r="A203" s="2" t="s">
        <v>325</v>
      </c>
      <c r="B203" s="2" t="str">
        <f>LOWER(VLOOKUP(A203,Xtal_Templ!A:B,2,FALSE))</f>
        <v>ox1r_human</v>
      </c>
      <c r="C203" s="2" t="str">
        <f>VLOOKUP(A203,Classification!A:D,2,FALSE)</f>
        <v>A</v>
      </c>
      <c r="D203" s="2" t="str">
        <f>IF(ISERROR(MATCH(A203,'SegEnds_Xtal_Prot#'!B:B, 0)), "NoXtal", "Xtal")</f>
        <v>NoXtal</v>
      </c>
      <c r="G203" s="2" t="s">
        <v>5</v>
      </c>
      <c r="H203" s="4"/>
      <c r="N203" s="2" t="s">
        <v>14</v>
      </c>
      <c r="R203" s="2" t="s">
        <v>9</v>
      </c>
      <c r="T203" s="4" t="s">
        <v>12</v>
      </c>
      <c r="V203" s="28" t="str">
        <f>MID(VLOOKUP($A203,Seqs!$A:$B,2,FALSE),VLOOKUP($A203,'SegEnds_NonXtal_Prot#'!A:AL,10,FALSE),1)</f>
        <v>D</v>
      </c>
      <c r="W203" s="49" t="str">
        <f>MID(VLOOKUP($A203,Seqs!$A:$B,2,FALSE),VLOOKUP($A203,'SegEnds_NonXtal_Prot#'!A:AL,10,FALSE)+6,1)</f>
        <v>L</v>
      </c>
      <c r="X203" s="49" t="str">
        <f>MID(VLOOKUP($A203,Seqs!$A:$B,2,FALSE),VLOOKUP($A203,'SegEnds_NonXtal_Prot#'!A:AL,10,FALSE)+7,1)</f>
        <v>C</v>
      </c>
      <c r="Y203" s="49" t="str">
        <f>MID(VLOOKUP($A203,Seqs!$A:$B,2,FALSE),VLOOKUP($A203,'SegEnds_NonXtal_Prot#'!A:AL,10,FALSE)+8,1)</f>
        <v>L</v>
      </c>
      <c r="Z203" s="49" t="str">
        <f>MID(VLOOKUP($A203,Seqs!$A:$B,2,FALSE),VLOOKUP($A203,'SegEnds_NonXtal_Prot#'!A:AL,10,FALSE)+9,1)</f>
        <v>P</v>
      </c>
      <c r="AA203" s="49" t="str">
        <f>MID(VLOOKUP($A203,Seqs!$A:$B,2,FALSE),VLOOKUP($A203,'SegEnds_NonXtal_Prot#'!A:AL,10,FALSE)+10,1)</f>
        <v>F</v>
      </c>
      <c r="AB203" s="28" t="str">
        <f>MID(VLOOKUP($A203,Seqs!$A:$B,2,FALSE),VLOOKUP($A203,'SegEnds_NonXtal_Prot#'!$A:$AL,22,FALSE)+6,1)</f>
        <v>L</v>
      </c>
      <c r="AC203" s="49" t="str">
        <f>MID(VLOOKUP($A203,Seqs!$A:$B,2,FALSE),VLOOKUP($A203,'SegEnds_NonXtal_Prot#'!$A:$AL,22,FALSE)+7,1)</f>
        <v>A</v>
      </c>
      <c r="AD203" s="49" t="str">
        <f>MID(VLOOKUP($A203,Seqs!$A:$B,2,FALSE),VLOOKUP($A203,'SegEnds_NonXtal_Prot#'!$A:$AL,22,FALSE)+8,1)</f>
        <v>S</v>
      </c>
      <c r="AE203" s="49" t="str">
        <f>MID(VLOOKUP($A203,Seqs!$A:$B,2,FALSE),VLOOKUP($A203,'SegEnds_NonXtal_Prot#'!$A:$AL,22,FALSE)+9,1)</f>
        <v>P</v>
      </c>
      <c r="AF203" s="49" t="str">
        <f>MID(VLOOKUP($A203,Seqs!$A:$B,2,FALSE),VLOOKUP($A203,'SegEnds_NonXtal_Prot#'!$A:$AL,22,FALSE)+10,1)</f>
        <v>L</v>
      </c>
      <c r="AG203" s="28" t="str">
        <f>MID(VLOOKUP($A203,Seqs!$A:$B,2,FALSE),VLOOKUP($A203,'SegEnds_NonXtal_Prot#'!$A:$AL,28,FALSE)-4,1)</f>
        <v>L</v>
      </c>
      <c r="AH203" s="49" t="str">
        <f>MID(VLOOKUP($A203,Seqs!$A:$B,2,FALSE),VLOOKUP($A203,'SegEnds_NonXtal_Prot#'!$A:$AL,28,FALSE),1)</f>
        <v>P</v>
      </c>
    </row>
    <row r="204" spans="1:34" s="2" customFormat="1" x14ac:dyDescent="0.2">
      <c r="A204" s="2" t="s">
        <v>1168</v>
      </c>
      <c r="B204" s="2" t="str">
        <f>LOWER(VLOOKUP(A204,Xtal_Templ!A:B,2,FALSE))</f>
        <v>ox1r_human</v>
      </c>
      <c r="C204" s="2" t="str">
        <f>VLOOKUP(A204,Classification!A:D,2,FALSE)</f>
        <v>A</v>
      </c>
      <c r="D204" s="2" t="str">
        <f>IF(ISERROR(MATCH(A204,'SegEnds_Xtal_Prot#'!B:B, 0)), "NoXtal", "Xtal")</f>
        <v>Xtal</v>
      </c>
      <c r="G204" s="2" t="s">
        <v>5</v>
      </c>
      <c r="H204" s="4"/>
      <c r="N204" s="2" t="s">
        <v>14</v>
      </c>
      <c r="R204" s="2" t="s">
        <v>9</v>
      </c>
      <c r="T204" s="4" t="s">
        <v>12</v>
      </c>
      <c r="V204" s="28" t="str">
        <f>MID(VLOOKUP($A204,Seqs!$A:$B,2,FALSE),VLOOKUP($A204,'SegEnds_NonXtal_Prot#'!A:AL,10,FALSE),1)</f>
        <v>D</v>
      </c>
      <c r="W204" s="49" t="str">
        <f>MID(VLOOKUP($A204,Seqs!$A:$B,2,FALSE),VLOOKUP($A204,'SegEnds_NonXtal_Prot#'!A:AL,10,FALSE)+6,1)</f>
        <v>I</v>
      </c>
      <c r="X204" s="49" t="str">
        <f>MID(VLOOKUP($A204,Seqs!$A:$B,2,FALSE),VLOOKUP($A204,'SegEnds_NonXtal_Prot#'!A:AL,10,FALSE)+7,1)</f>
        <v>C</v>
      </c>
      <c r="Y204" s="49" t="str">
        <f>MID(VLOOKUP($A204,Seqs!$A:$B,2,FALSE),VLOOKUP($A204,'SegEnds_NonXtal_Prot#'!A:AL,10,FALSE)+8,1)</f>
        <v>L</v>
      </c>
      <c r="Z204" s="49" t="str">
        <f>MID(VLOOKUP($A204,Seqs!$A:$B,2,FALSE),VLOOKUP($A204,'SegEnds_NonXtal_Prot#'!A:AL,10,FALSE)+9,1)</f>
        <v>P</v>
      </c>
      <c r="AA204" s="49" t="str">
        <f>MID(VLOOKUP($A204,Seqs!$A:$B,2,FALSE),VLOOKUP($A204,'SegEnds_NonXtal_Prot#'!A:AL,10,FALSE)+10,1)</f>
        <v>A</v>
      </c>
      <c r="AB204" s="28" t="str">
        <f>MID(VLOOKUP($A204,Seqs!$A:$B,2,FALSE),VLOOKUP($A204,'SegEnds_NonXtal_Prot#'!$A:$AL,22,FALSE)+6,1)</f>
        <v>I</v>
      </c>
      <c r="AC204" s="49" t="str">
        <f>MID(VLOOKUP($A204,Seqs!$A:$B,2,FALSE),VLOOKUP($A204,'SegEnds_NonXtal_Prot#'!$A:$AL,22,FALSE)+7,1)</f>
        <v>M</v>
      </c>
      <c r="AD204" s="49" t="str">
        <f>MID(VLOOKUP($A204,Seqs!$A:$B,2,FALSE),VLOOKUP($A204,'SegEnds_NonXtal_Prot#'!$A:$AL,22,FALSE)+8,1)</f>
        <v>V</v>
      </c>
      <c r="AE204" s="49" t="str">
        <f>MID(VLOOKUP($A204,Seqs!$A:$B,2,FALSE),VLOOKUP($A204,'SegEnds_NonXtal_Prot#'!$A:$AL,22,FALSE)+9,1)</f>
        <v>P</v>
      </c>
      <c r="AF204" s="49" t="str">
        <f>MID(VLOOKUP($A204,Seqs!$A:$B,2,FALSE),VLOOKUP($A204,'SegEnds_NonXtal_Prot#'!$A:$AL,22,FALSE)+10,1)</f>
        <v>Q</v>
      </c>
      <c r="AG204" s="28" t="str">
        <f>MID(VLOOKUP($A204,Seqs!$A:$B,2,FALSE),VLOOKUP($A204,'SegEnds_NonXtal_Prot#'!$A:$AL,28,FALSE)-4,1)</f>
        <v>T</v>
      </c>
      <c r="AH204" s="49" t="str">
        <f>MID(VLOOKUP($A204,Seqs!$A:$B,2,FALSE),VLOOKUP($A204,'SegEnds_NonXtal_Prot#'!$A:$AL,28,FALSE),1)</f>
        <v>P</v>
      </c>
    </row>
    <row r="205" spans="1:34" s="2" customFormat="1" x14ac:dyDescent="0.2">
      <c r="A205" s="2" t="s">
        <v>343</v>
      </c>
      <c r="B205" s="2" t="str">
        <f>LOWER(VLOOKUP(A205,Xtal_Templ!A:B,2,FALSE))</f>
        <v>ox1r_human</v>
      </c>
      <c r="C205" s="2" t="str">
        <f>VLOOKUP(A205,Classification!A:D,2,FALSE)</f>
        <v>A</v>
      </c>
      <c r="D205" s="2" t="str">
        <f>IF(ISERROR(MATCH(A205,'SegEnds_Xtal_Prot#'!B:B, 0)), "NoXtal", "Xtal")</f>
        <v>NoXtal</v>
      </c>
      <c r="H205" s="4"/>
      <c r="N205" s="2" t="s">
        <v>14</v>
      </c>
      <c r="R205" s="2" t="s">
        <v>9</v>
      </c>
      <c r="T205" s="4" t="s">
        <v>12</v>
      </c>
      <c r="V205" s="28" t="str">
        <f>MID(VLOOKUP($A205,Seqs!$A:$B,2,FALSE),VLOOKUP($A205,'SegEnds_NonXtal_Prot#'!A:AL,10,FALSE),1)</f>
        <v>D</v>
      </c>
      <c r="W205" s="49" t="str">
        <f>MID(VLOOKUP($A205,Seqs!$A:$B,2,FALSE),VLOOKUP($A205,'SegEnds_NonXtal_Prot#'!A:AL,10,FALSE)+6,1)</f>
        <v>F</v>
      </c>
      <c r="X205" s="49" t="str">
        <f>MID(VLOOKUP($A205,Seqs!$A:$B,2,FALSE),VLOOKUP($A205,'SegEnds_NonXtal_Prot#'!A:AL,10,FALSE)+7,1)</f>
        <v>Q</v>
      </c>
      <c r="Y205" s="49" t="str">
        <f>MID(VLOOKUP($A205,Seqs!$A:$B,2,FALSE),VLOOKUP($A205,'SegEnds_NonXtal_Prot#'!A:AL,10,FALSE)+8,1)</f>
        <v>V</v>
      </c>
      <c r="Z205" s="49" t="str">
        <f>MID(VLOOKUP($A205,Seqs!$A:$B,2,FALSE),VLOOKUP($A205,'SegEnds_NonXtal_Prot#'!A:AL,10,FALSE)+9,1)</f>
        <v>L</v>
      </c>
      <c r="AA205" s="49" t="str">
        <f>MID(VLOOKUP($A205,Seqs!$A:$B,2,FALSE),VLOOKUP($A205,'SegEnds_NonXtal_Prot#'!A:AL,10,FALSE)+10,1)</f>
        <v>P</v>
      </c>
      <c r="AB205" s="28" t="str">
        <f>MID(VLOOKUP($A205,Seqs!$A:$B,2,FALSE),VLOOKUP($A205,'SegEnds_NonXtal_Prot#'!$A:$AL,22,FALSE)+6,1)</f>
        <v>A</v>
      </c>
      <c r="AC205" s="49" t="str">
        <f>MID(VLOOKUP($A205,Seqs!$A:$B,2,FALSE),VLOOKUP($A205,'SegEnds_NonXtal_Prot#'!$A:$AL,22,FALSE)+7,1)</f>
        <v>S</v>
      </c>
      <c r="AD205" s="49" t="str">
        <f>MID(VLOOKUP($A205,Seqs!$A:$B,2,FALSE),VLOOKUP($A205,'SegEnds_NonXtal_Prot#'!$A:$AL,22,FALSE)+8,1)</f>
        <v>A</v>
      </c>
      <c r="AE205" s="49" t="str">
        <f>MID(VLOOKUP($A205,Seqs!$A:$B,2,FALSE),VLOOKUP($A205,'SegEnds_NonXtal_Prot#'!$A:$AL,22,FALSE)+9,1)</f>
        <v>P</v>
      </c>
      <c r="AF205" s="49" t="str">
        <f>MID(VLOOKUP($A205,Seqs!$A:$B,2,FALSE),VLOOKUP($A205,'SegEnds_NonXtal_Prot#'!$A:$AL,22,FALSE)+10,1)</f>
        <v>Q</v>
      </c>
      <c r="AG205" s="28" t="str">
        <f>MID(VLOOKUP($A205,Seqs!$A:$B,2,FALSE),VLOOKUP($A205,'SegEnds_NonXtal_Prot#'!$A:$AL,28,FALSE)-4,1)</f>
        <v>V</v>
      </c>
      <c r="AH205" s="49" t="str">
        <f>MID(VLOOKUP($A205,Seqs!$A:$B,2,FALSE),VLOOKUP($A205,'SegEnds_NonXtal_Prot#'!$A:$AL,28,FALSE),1)</f>
        <v>P</v>
      </c>
    </row>
    <row r="206" spans="1:34" s="2" customFormat="1" x14ac:dyDescent="0.2">
      <c r="A206" s="2" t="s">
        <v>163</v>
      </c>
      <c r="B206" s="2" t="str">
        <f>LOWER(VLOOKUP(A206,Xtal_Templ!A:B,2,FALSE))</f>
        <v>ednrb_human</v>
      </c>
      <c r="C206" s="2" t="str">
        <f>VLOOKUP(A206,Classification!A:D,2,FALSE)</f>
        <v>A</v>
      </c>
      <c r="D206" s="2" t="str">
        <f>IF(ISERROR(MATCH(A206,'SegEnds_Xtal_Prot#'!B:B, 0)), "NoXtal", "Xtal")</f>
        <v>NoXtal</v>
      </c>
      <c r="G206" s="2" t="s">
        <v>5</v>
      </c>
      <c r="H206" s="4"/>
      <c r="N206" s="2" t="s">
        <v>14</v>
      </c>
      <c r="T206" s="4" t="s">
        <v>12</v>
      </c>
      <c r="V206" s="28" t="str">
        <f>MID(VLOOKUP($A206,Seqs!$A:$B,2,FALSE),VLOOKUP($A206,'SegEnds_NonXtal_Prot#'!A:AL,10,FALSE),1)</f>
        <v>D</v>
      </c>
      <c r="W206" s="49" t="str">
        <f>MID(VLOOKUP($A206,Seqs!$A:$B,2,FALSE),VLOOKUP($A206,'SegEnds_NonXtal_Prot#'!A:AL,10,FALSE)+6,1)</f>
        <v>T</v>
      </c>
      <c r="X206" s="49" t="str">
        <f>MID(VLOOKUP($A206,Seqs!$A:$B,2,FALSE),VLOOKUP($A206,'SegEnds_NonXtal_Prot#'!A:AL,10,FALSE)+7,1)</f>
        <v>C</v>
      </c>
      <c r="Y206" s="49" t="str">
        <f>MID(VLOOKUP($A206,Seqs!$A:$B,2,FALSE),VLOOKUP($A206,'SegEnds_NonXtal_Prot#'!A:AL,10,FALSE)+8,1)</f>
        <v>V</v>
      </c>
      <c r="Z206" s="49" t="str">
        <f>MID(VLOOKUP($A206,Seqs!$A:$B,2,FALSE),VLOOKUP($A206,'SegEnds_NonXtal_Prot#'!A:AL,10,FALSE)+9,1)</f>
        <v>P</v>
      </c>
      <c r="AA206" s="49" t="str">
        <f>MID(VLOOKUP($A206,Seqs!$A:$B,2,FALSE),VLOOKUP($A206,'SegEnds_NonXtal_Prot#'!A:AL,10,FALSE)+10,1)</f>
        <v>V</v>
      </c>
      <c r="AB206" s="28" t="str">
        <f>MID(VLOOKUP($A206,Seqs!$A:$B,2,FALSE),VLOOKUP($A206,'SegEnds_NonXtal_Prot#'!$A:$AL,22,FALSE)+6,1)</f>
        <v>F</v>
      </c>
      <c r="AC206" s="49" t="str">
        <f>MID(VLOOKUP($A206,Seqs!$A:$B,2,FALSE),VLOOKUP($A206,'SegEnds_NonXtal_Prot#'!$A:$AL,22,FALSE)+7,1)</f>
        <v>A</v>
      </c>
      <c r="AD206" s="49" t="str">
        <f>MID(VLOOKUP($A206,Seqs!$A:$B,2,FALSE),VLOOKUP($A206,'SegEnds_NonXtal_Prot#'!$A:$AL,22,FALSE)+8,1)</f>
        <v>L</v>
      </c>
      <c r="AE206" s="49" t="str">
        <f>MID(VLOOKUP($A206,Seqs!$A:$B,2,FALSE),VLOOKUP($A206,'SegEnds_NonXtal_Prot#'!$A:$AL,22,FALSE)+9,1)</f>
        <v>P</v>
      </c>
      <c r="AF206" s="49" t="str">
        <f>MID(VLOOKUP($A206,Seqs!$A:$B,2,FALSE),VLOOKUP($A206,'SegEnds_NonXtal_Prot#'!$A:$AL,22,FALSE)+10,1)</f>
        <v>E</v>
      </c>
      <c r="AG206" s="28" t="str">
        <f>MID(VLOOKUP($A206,Seqs!$A:$B,2,FALSE),VLOOKUP($A206,'SegEnds_NonXtal_Prot#'!$A:$AL,28,FALSE)-4,1)</f>
        <v>F</v>
      </c>
      <c r="AH206" s="49" t="str">
        <f>MID(VLOOKUP($A206,Seqs!$A:$B,2,FALSE),VLOOKUP($A206,'SegEnds_NonXtal_Prot#'!$A:$AL,28,FALSE),1)</f>
        <v>P</v>
      </c>
    </row>
    <row r="207" spans="1:34" s="2" customFormat="1" x14ac:dyDescent="0.2">
      <c r="A207" s="2" t="s">
        <v>167</v>
      </c>
      <c r="B207" s="2" t="str">
        <f>LOWER(VLOOKUP(A207,Xtal_Templ!A:B,2,FALSE))</f>
        <v>ox1r_human</v>
      </c>
      <c r="C207" s="2" t="str">
        <f>VLOOKUP(A207,Classification!A:D,2,FALSE)</f>
        <v>A</v>
      </c>
      <c r="D207" s="2" t="str">
        <f>IF(ISERROR(MATCH(A207,'SegEnds_Xtal_Prot#'!B:B, 0)), "NoXtal", "Xtal")</f>
        <v>NoXtal</v>
      </c>
      <c r="G207" s="2" t="s">
        <v>5</v>
      </c>
      <c r="H207" s="4"/>
      <c r="N207" s="2" t="s">
        <v>14</v>
      </c>
      <c r="R207" s="2" t="s">
        <v>9</v>
      </c>
      <c r="T207" s="4" t="s">
        <v>12</v>
      </c>
      <c r="V207" s="28" t="str">
        <f>MID(VLOOKUP($A207,Seqs!$A:$B,2,FALSE),VLOOKUP($A207,'SegEnds_NonXtal_Prot#'!A:AL,10,FALSE),1)</f>
        <v>D</v>
      </c>
      <c r="W207" s="49" t="str">
        <f>MID(VLOOKUP($A207,Seqs!$A:$B,2,FALSE),VLOOKUP($A207,'SegEnds_NonXtal_Prot#'!A:AL,10,FALSE)+6,1)</f>
        <v>F</v>
      </c>
      <c r="X207" s="49" t="str">
        <f>MID(VLOOKUP($A207,Seqs!$A:$B,2,FALSE),VLOOKUP($A207,'SegEnds_NonXtal_Prot#'!A:AL,10,FALSE)+7,1)</f>
        <v>C</v>
      </c>
      <c r="Y207" s="49" t="str">
        <f>MID(VLOOKUP($A207,Seqs!$A:$B,2,FALSE),VLOOKUP($A207,'SegEnds_NonXtal_Prot#'!A:AL,10,FALSE)+8,1)</f>
        <v>M</v>
      </c>
      <c r="Z207" s="49" t="str">
        <f>MID(VLOOKUP($A207,Seqs!$A:$B,2,FALSE),VLOOKUP($A207,'SegEnds_NonXtal_Prot#'!A:AL,10,FALSE)+9,1)</f>
        <v>P</v>
      </c>
      <c r="AA207" s="49" t="str">
        <f>MID(VLOOKUP($A207,Seqs!$A:$B,2,FALSE),VLOOKUP($A207,'SegEnds_NonXtal_Prot#'!A:AL,10,FALSE)+10,1)</f>
        <v>F</v>
      </c>
      <c r="AB207" s="28" t="str">
        <f>MID(VLOOKUP($A207,Seqs!$A:$B,2,FALSE),VLOOKUP($A207,'SegEnds_NonXtal_Prot#'!$A:$AL,22,FALSE)+6,1)</f>
        <v>I</v>
      </c>
      <c r="AC207" s="49" t="str">
        <f>MID(VLOOKUP($A207,Seqs!$A:$B,2,FALSE),VLOOKUP($A207,'SegEnds_NonXtal_Prot#'!$A:$AL,22,FALSE)+7,1)</f>
        <v>M</v>
      </c>
      <c r="AD207" s="49" t="str">
        <f>MID(VLOOKUP($A207,Seqs!$A:$B,2,FALSE),VLOOKUP($A207,'SegEnds_NonXtal_Prot#'!$A:$AL,22,FALSE)+8,1)</f>
        <v>T</v>
      </c>
      <c r="AE207" s="49" t="str">
        <f>MID(VLOOKUP($A207,Seqs!$A:$B,2,FALSE),VLOOKUP($A207,'SegEnds_NonXtal_Prot#'!$A:$AL,22,FALSE)+9,1)</f>
        <v>P</v>
      </c>
      <c r="AF207" s="49" t="str">
        <f>MID(VLOOKUP($A207,Seqs!$A:$B,2,FALSE),VLOOKUP($A207,'SegEnds_NonXtal_Prot#'!$A:$AL,22,FALSE)+10,1)</f>
        <v>Y</v>
      </c>
      <c r="AG207" s="28" t="str">
        <f>MID(VLOOKUP($A207,Seqs!$A:$B,2,FALSE),VLOOKUP($A207,'SegEnds_NonXtal_Prot#'!$A:$AL,28,FALSE)-4,1)</f>
        <v>L</v>
      </c>
      <c r="AH207" s="49" t="str">
        <f>MID(VLOOKUP($A207,Seqs!$A:$B,2,FALSE),VLOOKUP($A207,'SegEnds_NonXtal_Prot#'!$A:$AL,28,FALSE),1)</f>
        <v>P</v>
      </c>
    </row>
    <row r="208" spans="1:34" s="2" customFormat="1" x14ac:dyDescent="0.2">
      <c r="A208" s="2" t="s">
        <v>207</v>
      </c>
      <c r="B208" s="2" t="str">
        <f>LOWER(VLOOKUP(A208,Xtal_Templ!A:B,2,FALSE))</f>
        <v>ox2r_human</v>
      </c>
      <c r="C208" s="2" t="str">
        <f>VLOOKUP(A208,Classification!A:D,2,FALSE)</f>
        <v>A</v>
      </c>
      <c r="D208" s="2" t="str">
        <f>IF(ISERROR(MATCH(A208,'SegEnds_Xtal_Prot#'!B:B, 0)), "NoXtal", "Xtal")</f>
        <v>NoXtal</v>
      </c>
      <c r="G208" s="2" t="s">
        <v>5</v>
      </c>
      <c r="H208" s="4"/>
      <c r="N208" s="2" t="s">
        <v>14</v>
      </c>
      <c r="R208" s="2" t="s">
        <v>9</v>
      </c>
      <c r="T208" s="4" t="s">
        <v>12</v>
      </c>
      <c r="V208" s="28" t="str">
        <f>MID(VLOOKUP($A208,Seqs!$A:$B,2,FALSE),VLOOKUP($A208,'SegEnds_NonXtal_Prot#'!A:AL,10,FALSE),1)</f>
        <v>D</v>
      </c>
      <c r="W208" s="49" t="str">
        <f>MID(VLOOKUP($A208,Seqs!$A:$B,2,FALSE),VLOOKUP($A208,'SegEnds_NonXtal_Prot#'!A:AL,10,FALSE)+6,1)</f>
        <v>A</v>
      </c>
      <c r="X208" s="49" t="str">
        <f>MID(VLOOKUP($A208,Seqs!$A:$B,2,FALSE),VLOOKUP($A208,'SegEnds_NonXtal_Prot#'!A:AL,10,FALSE)+7,1)</f>
        <v>C</v>
      </c>
      <c r="Y208" s="49" t="str">
        <f>MID(VLOOKUP($A208,Seqs!$A:$B,2,FALSE),VLOOKUP($A208,'SegEnds_NonXtal_Prot#'!A:AL,10,FALSE)+8,1)</f>
        <v>M</v>
      </c>
      <c r="Z208" s="49" t="str">
        <f>MID(VLOOKUP($A208,Seqs!$A:$B,2,FALSE),VLOOKUP($A208,'SegEnds_NonXtal_Prot#'!A:AL,10,FALSE)+9,1)</f>
        <v>P</v>
      </c>
      <c r="AA208" s="49" t="str">
        <f>MID(VLOOKUP($A208,Seqs!$A:$B,2,FALSE),VLOOKUP($A208,'SegEnds_NonXtal_Prot#'!A:AL,10,FALSE)+10,1)</f>
        <v>F</v>
      </c>
      <c r="AB208" s="28" t="str">
        <f>MID(VLOOKUP($A208,Seqs!$A:$B,2,FALSE),VLOOKUP($A208,'SegEnds_NonXtal_Prot#'!$A:$AL,22,FALSE)+6,1)</f>
        <v>L</v>
      </c>
      <c r="AC208" s="49" t="str">
        <f>MID(VLOOKUP($A208,Seqs!$A:$B,2,FALSE),VLOOKUP($A208,'SegEnds_NonXtal_Prot#'!$A:$AL,22,FALSE)+7,1)</f>
        <v>M</v>
      </c>
      <c r="AD208" s="49" t="str">
        <f>MID(VLOOKUP($A208,Seqs!$A:$B,2,FALSE),VLOOKUP($A208,'SegEnds_NonXtal_Prot#'!$A:$AL,22,FALSE)+8,1)</f>
        <v>V</v>
      </c>
      <c r="AE208" s="49" t="str">
        <f>MID(VLOOKUP($A208,Seqs!$A:$B,2,FALSE),VLOOKUP($A208,'SegEnds_NonXtal_Prot#'!$A:$AL,22,FALSE)+9,1)</f>
        <v>P</v>
      </c>
      <c r="AF208" s="49" t="str">
        <f>MID(VLOOKUP($A208,Seqs!$A:$B,2,FALSE),VLOOKUP($A208,'SegEnds_NonXtal_Prot#'!$A:$AL,22,FALSE)+10,1)</f>
        <v>Y</v>
      </c>
      <c r="AG208" s="28" t="str">
        <f>MID(VLOOKUP($A208,Seqs!$A:$B,2,FALSE),VLOOKUP($A208,'SegEnds_NonXtal_Prot#'!$A:$AL,28,FALSE)-4,1)</f>
        <v>L</v>
      </c>
      <c r="AH208" s="49" t="str">
        <f>MID(VLOOKUP($A208,Seqs!$A:$B,2,FALSE),VLOOKUP($A208,'SegEnds_NonXtal_Prot#'!$A:$AL,28,FALSE),1)</f>
        <v>P</v>
      </c>
    </row>
    <row r="209" spans="1:34" s="2" customFormat="1" x14ac:dyDescent="0.2">
      <c r="A209" s="2" t="s">
        <v>222</v>
      </c>
      <c r="B209" s="2" t="str">
        <f>LOWER(VLOOKUP(A209,Xtal_Templ!A:B,2,FALSE))</f>
        <v>agtr2_human</v>
      </c>
      <c r="C209" s="2" t="str">
        <f>VLOOKUP(A209,Classification!A:D,2,FALSE)</f>
        <v>A</v>
      </c>
      <c r="D209" s="2" t="str">
        <f>IF(ISERROR(MATCH(A209,'SegEnds_Xtal_Prot#'!B:B, 0)), "NoXtal", "Xtal")</f>
        <v>NoXtal</v>
      </c>
      <c r="G209" s="2" t="s">
        <v>5</v>
      </c>
      <c r="H209" s="4"/>
      <c r="N209" s="2" t="s">
        <v>14</v>
      </c>
      <c r="R209" s="2" t="s">
        <v>9</v>
      </c>
      <c r="T209" s="4" t="s">
        <v>12</v>
      </c>
      <c r="V209" s="28" t="str">
        <f>MID(VLOOKUP($A209,Seqs!$A:$B,2,FALSE),VLOOKUP($A209,'SegEnds_NonXtal_Prot#'!A:AL,10,FALSE),1)</f>
        <v>D</v>
      </c>
      <c r="W209" s="49" t="str">
        <f>MID(VLOOKUP($A209,Seqs!$A:$B,2,FALSE),VLOOKUP($A209,'SegEnds_NonXtal_Prot#'!A:AL,10,FALSE)+6,1)</f>
        <v>F</v>
      </c>
      <c r="X209" s="49" t="str">
        <f>MID(VLOOKUP($A209,Seqs!$A:$B,2,FALSE),VLOOKUP($A209,'SegEnds_NonXtal_Prot#'!A:AL,10,FALSE)+7,1)</f>
        <v>S</v>
      </c>
      <c r="Y209" s="49" t="str">
        <f>MID(VLOOKUP($A209,Seqs!$A:$B,2,FALSE),VLOOKUP($A209,'SegEnds_NonXtal_Prot#'!A:AL,10,FALSE)+8,1)</f>
        <v>A</v>
      </c>
      <c r="Z209" s="49" t="str">
        <f>MID(VLOOKUP($A209,Seqs!$A:$B,2,FALSE),VLOOKUP($A209,'SegEnds_NonXtal_Prot#'!A:AL,10,FALSE)+9,1)</f>
        <v>P</v>
      </c>
      <c r="AA209" s="49" t="str">
        <f>MID(VLOOKUP($A209,Seqs!$A:$B,2,FALSE),VLOOKUP($A209,'SegEnds_NonXtal_Prot#'!A:AL,10,FALSE)+10,1)</f>
        <v>I</v>
      </c>
      <c r="AB209" s="28" t="str">
        <f>MID(VLOOKUP($A209,Seqs!$A:$B,2,FALSE),VLOOKUP($A209,'SegEnds_NonXtal_Prot#'!$A:$AL,22,FALSE)+6,1)</f>
        <v>L</v>
      </c>
      <c r="AC209" s="49" t="str">
        <f>MID(VLOOKUP($A209,Seqs!$A:$B,2,FALSE),VLOOKUP($A209,'SegEnds_NonXtal_Prot#'!$A:$AL,22,FALSE)+7,1)</f>
        <v>P</v>
      </c>
      <c r="AD209" s="49" t="str">
        <f>MID(VLOOKUP($A209,Seqs!$A:$B,2,FALSE),VLOOKUP($A209,'SegEnds_NonXtal_Prot#'!$A:$AL,22,FALSE)+8,1)</f>
        <v>L</v>
      </c>
      <c r="AE209" s="49" t="str">
        <f>MID(VLOOKUP($A209,Seqs!$A:$B,2,FALSE),VLOOKUP($A209,'SegEnds_NonXtal_Prot#'!$A:$AL,22,FALSE)+9,1)</f>
        <v>P</v>
      </c>
      <c r="AF209" s="49" t="str">
        <f>MID(VLOOKUP($A209,Seqs!$A:$B,2,FALSE),VLOOKUP($A209,'SegEnds_NonXtal_Prot#'!$A:$AL,22,FALSE)+10,1)</f>
        <v>E</v>
      </c>
      <c r="AG209" s="28" t="str">
        <f>MID(VLOOKUP($A209,Seqs!$A:$B,2,FALSE),VLOOKUP($A209,'SegEnds_NonXtal_Prot#'!$A:$AL,28,FALSE)-4,1)</f>
        <v>A</v>
      </c>
      <c r="AH209" s="49" t="str">
        <f>MID(VLOOKUP($A209,Seqs!$A:$B,2,FALSE),VLOOKUP($A209,'SegEnds_NonXtal_Prot#'!$A:$AL,28,FALSE),1)</f>
        <v>P</v>
      </c>
    </row>
    <row r="210" spans="1:34" s="2" customFormat="1" x14ac:dyDescent="0.2">
      <c r="A210" s="2" t="s">
        <v>224</v>
      </c>
      <c r="B210" s="2" t="str">
        <f>LOWER(VLOOKUP(A210,Xtal_Templ!A:B,2,FALSE))</f>
        <v>ox2r_human</v>
      </c>
      <c r="C210" s="2" t="str">
        <f>VLOOKUP(A210,Classification!A:D,2,FALSE)</f>
        <v>A</v>
      </c>
      <c r="D210" s="2" t="str">
        <f>IF(ISERROR(MATCH(A210,'SegEnds_Xtal_Prot#'!B:B, 0)), "NoXtal", "Xtal")</f>
        <v>NoXtal</v>
      </c>
      <c r="H210" s="4"/>
      <c r="T210" s="4" t="s">
        <v>12</v>
      </c>
      <c r="V210" s="28" t="str">
        <f>MID(VLOOKUP($A210,Seqs!$A:$B,2,FALSE),VLOOKUP($A210,'SegEnds_NonXtal_Prot#'!A:AL,10,FALSE),1)</f>
        <v>T</v>
      </c>
      <c r="W210" s="49" t="str">
        <f>MID(VLOOKUP($A210,Seqs!$A:$B,2,FALSE),VLOOKUP($A210,'SegEnds_NonXtal_Prot#'!A:AL,10,FALSE)+6,1)</f>
        <v>A</v>
      </c>
      <c r="X210" s="49" t="str">
        <f>MID(VLOOKUP($A210,Seqs!$A:$B,2,FALSE),VLOOKUP($A210,'SegEnds_NonXtal_Prot#'!A:AL,10,FALSE)+7,1)</f>
        <v>V</v>
      </c>
      <c r="Y210" s="49" t="str">
        <f>MID(VLOOKUP($A210,Seqs!$A:$B,2,FALSE),VLOOKUP($A210,'SegEnds_NonXtal_Prot#'!A:AL,10,FALSE)+8,1)</f>
        <v>P</v>
      </c>
      <c r="Z210" s="49" t="str">
        <f>MID(VLOOKUP($A210,Seqs!$A:$B,2,FALSE),VLOOKUP($A210,'SegEnds_NonXtal_Prot#'!A:AL,10,FALSE)+9,1)</f>
        <v>I</v>
      </c>
      <c r="AA210" s="49" t="str">
        <f>MID(VLOOKUP($A210,Seqs!$A:$B,2,FALSE),VLOOKUP($A210,'SegEnds_NonXtal_Prot#'!A:AL,10,FALSE)+10,1)</f>
        <v>A</v>
      </c>
      <c r="AB210" s="28" t="str">
        <f>MID(VLOOKUP($A210,Seqs!$A:$B,2,FALSE),VLOOKUP($A210,'SegEnds_NonXtal_Prot#'!$A:$AL,22,FALSE)+6,1)</f>
        <v>L</v>
      </c>
      <c r="AC210" s="49" t="str">
        <f>MID(VLOOKUP($A210,Seqs!$A:$B,2,FALSE),VLOOKUP($A210,'SegEnds_NonXtal_Prot#'!$A:$AL,22,FALSE)+7,1)</f>
        <v>S</v>
      </c>
      <c r="AD210" s="49" t="str">
        <f>MID(VLOOKUP($A210,Seqs!$A:$B,2,FALSE),VLOOKUP($A210,'SegEnds_NonXtal_Prot#'!$A:$AL,22,FALSE)+8,1)</f>
        <v>A</v>
      </c>
      <c r="AE210" s="49" t="str">
        <f>MID(VLOOKUP($A210,Seqs!$A:$B,2,FALSE),VLOOKUP($A210,'SegEnds_NonXtal_Prot#'!$A:$AL,22,FALSE)+9,1)</f>
        <v>L</v>
      </c>
      <c r="AF210" s="49" t="str">
        <f>MID(VLOOKUP($A210,Seqs!$A:$B,2,FALSE),VLOOKUP($A210,'SegEnds_NonXtal_Prot#'!$A:$AL,22,FALSE)+10,1)</f>
        <v>P</v>
      </c>
      <c r="AG210" s="28" t="str">
        <f>MID(VLOOKUP($A210,Seqs!$A:$B,2,FALSE),VLOOKUP($A210,'SegEnds_NonXtal_Prot#'!$A:$AL,28,FALSE)-4,1)</f>
        <v>V</v>
      </c>
      <c r="AH210" s="49" t="str">
        <f>MID(VLOOKUP($A210,Seqs!$A:$B,2,FALSE),VLOOKUP($A210,'SegEnds_NonXtal_Prot#'!$A:$AL,28,FALSE),1)</f>
        <v>V</v>
      </c>
    </row>
    <row r="211" spans="1:34" s="2" customFormat="1" x14ac:dyDescent="0.2">
      <c r="A211" s="2" t="s">
        <v>241</v>
      </c>
      <c r="B211" s="2" t="str">
        <f>LOWER(VLOOKUP(A211,Xtal_Templ!A:B,2,FALSE))</f>
        <v>ox2r_human</v>
      </c>
      <c r="C211" s="2" t="str">
        <f>VLOOKUP(A211,Classification!A:D,2,FALSE)</f>
        <v>A</v>
      </c>
      <c r="D211" s="2" t="str">
        <f>IF(ISERROR(MATCH(A211,'SegEnds_Xtal_Prot#'!B:B, 0)), "NoXtal", "Xtal")</f>
        <v>NoXtal</v>
      </c>
      <c r="G211" s="2" t="s">
        <v>5</v>
      </c>
      <c r="H211" s="4"/>
      <c r="N211" s="2" t="s">
        <v>14</v>
      </c>
      <c r="R211" s="2" t="s">
        <v>9</v>
      </c>
      <c r="T211" s="4" t="s">
        <v>12</v>
      </c>
      <c r="V211" s="28" t="str">
        <f>MID(VLOOKUP($A211,Seqs!$A:$B,2,FALSE),VLOOKUP($A211,'SegEnds_NonXtal_Prot#'!A:AL,10,FALSE),1)</f>
        <v>D</v>
      </c>
      <c r="W211" s="49" t="str">
        <f>MID(VLOOKUP($A211,Seqs!$A:$B,2,FALSE),VLOOKUP($A211,'SegEnds_NonXtal_Prot#'!A:AL,10,FALSE)+6,1)</f>
        <v>A</v>
      </c>
      <c r="X211" s="49" t="str">
        <f>MID(VLOOKUP($A211,Seqs!$A:$B,2,FALSE),VLOOKUP($A211,'SegEnds_NonXtal_Prot#'!A:AL,10,FALSE)+7,1)</f>
        <v>S</v>
      </c>
      <c r="Y211" s="49" t="str">
        <f>MID(VLOOKUP($A211,Seqs!$A:$B,2,FALSE),VLOOKUP($A211,'SegEnds_NonXtal_Prot#'!A:AL,10,FALSE)+8,1)</f>
        <v>T</v>
      </c>
      <c r="Z211" s="49" t="str">
        <f>MID(VLOOKUP($A211,Seqs!$A:$B,2,FALSE),VLOOKUP($A211,'SegEnds_NonXtal_Prot#'!A:AL,10,FALSE)+9,1)</f>
        <v>P</v>
      </c>
      <c r="AA211" s="49" t="str">
        <f>MID(VLOOKUP($A211,Seqs!$A:$B,2,FALSE),VLOOKUP($A211,'SegEnds_NonXtal_Prot#'!A:AL,10,FALSE)+10,1)</f>
        <v>F</v>
      </c>
      <c r="AB211" s="28" t="str">
        <f>MID(VLOOKUP($A211,Seqs!$A:$B,2,FALSE),VLOOKUP($A211,'SegEnds_NonXtal_Prot#'!$A:$AL,22,FALSE)+6,1)</f>
        <v>F</v>
      </c>
      <c r="AC211" s="49" t="str">
        <f>MID(VLOOKUP($A211,Seqs!$A:$B,2,FALSE),VLOOKUP($A211,'SegEnds_NonXtal_Prot#'!$A:$AL,22,FALSE)+7,1)</f>
        <v>V</v>
      </c>
      <c r="AD211" s="49" t="str">
        <f>MID(VLOOKUP($A211,Seqs!$A:$B,2,FALSE),VLOOKUP($A211,'SegEnds_NonXtal_Prot#'!$A:$AL,22,FALSE)+8,1)</f>
        <v>T</v>
      </c>
      <c r="AE211" s="49" t="str">
        <f>MID(VLOOKUP($A211,Seqs!$A:$B,2,FALSE),VLOOKUP($A211,'SegEnds_NonXtal_Prot#'!$A:$AL,22,FALSE)+9,1)</f>
        <v>P</v>
      </c>
      <c r="AF211" s="49" t="str">
        <f>MID(VLOOKUP($A211,Seqs!$A:$B,2,FALSE),VLOOKUP($A211,'SegEnds_NonXtal_Prot#'!$A:$AL,22,FALSE)+10,1)</f>
        <v>V</v>
      </c>
      <c r="AG211" s="28" t="str">
        <f>MID(VLOOKUP($A211,Seqs!$A:$B,2,FALSE),VLOOKUP($A211,'SegEnds_NonXtal_Prot#'!$A:$AL,28,FALSE)-4,1)</f>
        <v>G</v>
      </c>
      <c r="AH211" s="49" t="str">
        <f>MID(VLOOKUP($A211,Seqs!$A:$B,2,FALSE),VLOOKUP($A211,'SegEnds_NonXtal_Prot#'!$A:$AL,28,FALSE),1)</f>
        <v>P</v>
      </c>
    </row>
    <row r="212" spans="1:34" s="2" customFormat="1" x14ac:dyDescent="0.2">
      <c r="A212" s="2" t="s">
        <v>243</v>
      </c>
      <c r="B212" s="2" t="str">
        <f>LOWER(VLOOKUP(A212,Xtal_Templ!A:B,2,FALSE))</f>
        <v>gpr52_human</v>
      </c>
      <c r="C212" s="2" t="str">
        <f>VLOOKUP(A212,Classification!A:D,2,FALSE)</f>
        <v>A</v>
      </c>
      <c r="D212" s="2" t="str">
        <f>IF(ISERROR(MATCH(A212,'SegEnds_Xtal_Prot#'!B:B, 0)), "NoXtal", "Xtal")</f>
        <v>NoXtal</v>
      </c>
      <c r="H212" s="4"/>
      <c r="N212" s="2" t="s">
        <v>14</v>
      </c>
      <c r="R212" s="2" t="s">
        <v>9</v>
      </c>
      <c r="T212" s="4" t="s">
        <v>12</v>
      </c>
      <c r="V212" s="28" t="str">
        <f>MID(VLOOKUP($A212,Seqs!$A:$B,2,FALSE),VLOOKUP($A212,'SegEnds_NonXtal_Prot#'!A:AL,10,FALSE),1)</f>
        <v>D</v>
      </c>
      <c r="W212" s="49" t="str">
        <f>MID(VLOOKUP($A212,Seqs!$A:$B,2,FALSE),VLOOKUP($A212,'SegEnds_NonXtal_Prot#'!A:AL,10,FALSE)+6,1)</f>
        <v>S</v>
      </c>
      <c r="X212" s="49" t="str">
        <f>MID(VLOOKUP($A212,Seqs!$A:$B,2,FALSE),VLOOKUP($A212,'SegEnds_NonXtal_Prot#'!A:AL,10,FALSE)+7,1)</f>
        <v>C</v>
      </c>
      <c r="Y212" s="49" t="str">
        <f>MID(VLOOKUP($A212,Seqs!$A:$B,2,FALSE),VLOOKUP($A212,'SegEnds_NonXtal_Prot#'!A:AL,10,FALSE)+8,1)</f>
        <v>V</v>
      </c>
      <c r="Z212" s="49" t="str">
        <f>MID(VLOOKUP($A212,Seqs!$A:$B,2,FALSE),VLOOKUP($A212,'SegEnds_NonXtal_Prot#'!A:AL,10,FALSE)+9,1)</f>
        <v>V</v>
      </c>
      <c r="AA212" s="49" t="str">
        <f>MID(VLOOKUP($A212,Seqs!$A:$B,2,FALSE),VLOOKUP($A212,'SegEnds_NonXtal_Prot#'!A:AL,10,FALSE)+10,1)</f>
        <v>P</v>
      </c>
      <c r="AB212" s="28" t="str">
        <f>MID(VLOOKUP($A212,Seqs!$A:$B,2,FALSE),VLOOKUP($A212,'SegEnds_NonXtal_Prot#'!$A:$AL,22,FALSE)+6,1)</f>
        <v>V</v>
      </c>
      <c r="AC212" s="49" t="str">
        <f>MID(VLOOKUP($A212,Seqs!$A:$B,2,FALSE),VLOOKUP($A212,'SegEnds_NonXtal_Prot#'!$A:$AL,22,FALSE)+7,1)</f>
        <v>F</v>
      </c>
      <c r="AD212" s="49" t="str">
        <f>MID(VLOOKUP($A212,Seqs!$A:$B,2,FALSE),VLOOKUP($A212,'SegEnds_NonXtal_Prot#'!$A:$AL,22,FALSE)+8,1)</f>
        <v>L</v>
      </c>
      <c r="AE212" s="49" t="str">
        <f>MID(VLOOKUP($A212,Seqs!$A:$B,2,FALSE),VLOOKUP($A212,'SegEnds_NonXtal_Prot#'!$A:$AL,22,FALSE)+9,1)</f>
        <v>P</v>
      </c>
      <c r="AF212" s="49" t="str">
        <f>MID(VLOOKUP($A212,Seqs!$A:$B,2,FALSE),VLOOKUP($A212,'SegEnds_NonXtal_Prot#'!$A:$AL,22,FALSE)+10,1)</f>
        <v>S</v>
      </c>
      <c r="AG212" s="28" t="str">
        <f>MID(VLOOKUP($A212,Seqs!$A:$B,2,FALSE),VLOOKUP($A212,'SegEnds_NonXtal_Prot#'!$A:$AL,28,FALSE)-4,1)</f>
        <v>M</v>
      </c>
      <c r="AH212" s="49" t="str">
        <f>MID(VLOOKUP($A212,Seqs!$A:$B,2,FALSE),VLOOKUP($A212,'SegEnds_NonXtal_Prot#'!$A:$AL,28,FALSE),1)</f>
        <v>P</v>
      </c>
    </row>
    <row r="213" spans="1:34" s="2" customFormat="1" x14ac:dyDescent="0.2">
      <c r="A213" s="2" t="s">
        <v>246</v>
      </c>
      <c r="B213" s="2" t="str">
        <f>LOWER(VLOOKUP(A213,Xtal_Templ!A:B,2,FALSE))</f>
        <v>drd2_human</v>
      </c>
      <c r="C213" s="2" t="str">
        <f>VLOOKUP(A213,Classification!A:D,2,FALSE)</f>
        <v>A</v>
      </c>
      <c r="D213" s="2" t="str">
        <f>IF(ISERROR(MATCH(A213,'SegEnds_Xtal_Prot#'!B:B, 0)), "NoXtal", "Xtal")</f>
        <v>NoXtal</v>
      </c>
      <c r="G213" s="2" t="s">
        <v>5</v>
      </c>
      <c r="H213" s="4"/>
      <c r="T213" s="4" t="s">
        <v>12</v>
      </c>
      <c r="V213" s="28" t="str">
        <f>MID(VLOOKUP($A213,Seqs!$A:$B,2,FALSE),VLOOKUP($A213,'SegEnds_NonXtal_Prot#'!A:AL,10,FALSE),1)</f>
        <v>N</v>
      </c>
      <c r="W213" s="49" t="str">
        <f>MID(VLOOKUP($A213,Seqs!$A:$B,2,FALSE),VLOOKUP($A213,'SegEnds_NonXtal_Prot#'!A:AL,10,FALSE)+6,1)</f>
        <v>V</v>
      </c>
      <c r="X213" s="49" t="str">
        <f>MID(VLOOKUP($A213,Seqs!$A:$B,2,FALSE),VLOOKUP($A213,'SegEnds_NonXtal_Prot#'!A:AL,10,FALSE)+7,1)</f>
        <v>N</v>
      </c>
      <c r="Y213" s="49" t="str">
        <f>MID(VLOOKUP($A213,Seqs!$A:$B,2,FALSE),VLOOKUP($A213,'SegEnds_NonXtal_Prot#'!A:AL,10,FALSE)+8,1)</f>
        <v>M</v>
      </c>
      <c r="Z213" s="49" t="str">
        <f>MID(VLOOKUP($A213,Seqs!$A:$B,2,FALSE),VLOOKUP($A213,'SegEnds_NonXtal_Prot#'!A:AL,10,FALSE)+9,1)</f>
        <v>P</v>
      </c>
      <c r="AA213" s="49" t="str">
        <f>MID(VLOOKUP($A213,Seqs!$A:$B,2,FALSE),VLOOKUP($A213,'SegEnds_NonXtal_Prot#'!A:AL,10,FALSE)+10,1)</f>
        <v>L</v>
      </c>
      <c r="AB213" s="28" t="str">
        <f>MID(VLOOKUP($A213,Seqs!$A:$B,2,FALSE),VLOOKUP($A213,'SegEnds_NonXtal_Prot#'!$A:$AL,22,FALSE)+6,1)</f>
        <v>F</v>
      </c>
      <c r="AC213" s="49" t="str">
        <f>MID(VLOOKUP($A213,Seqs!$A:$B,2,FALSE),VLOOKUP($A213,'SegEnds_NonXtal_Prot#'!$A:$AL,22,FALSE)+7,1)</f>
        <v>P</v>
      </c>
      <c r="AD213" s="49" t="str">
        <f>MID(VLOOKUP($A213,Seqs!$A:$B,2,FALSE),VLOOKUP($A213,'SegEnds_NonXtal_Prot#'!$A:$AL,22,FALSE)+8,1)</f>
        <v>A</v>
      </c>
      <c r="AE213" s="49" t="str">
        <f>MID(VLOOKUP($A213,Seqs!$A:$B,2,FALSE),VLOOKUP($A213,'SegEnds_NonXtal_Prot#'!$A:$AL,22,FALSE)+9,1)</f>
        <v>A</v>
      </c>
      <c r="AF213" s="49" t="str">
        <f>MID(VLOOKUP($A213,Seqs!$A:$B,2,FALSE),VLOOKUP($A213,'SegEnds_NonXtal_Prot#'!$A:$AL,22,FALSE)+10,1)</f>
        <v>A</v>
      </c>
      <c r="AG213" s="28" t="str">
        <f>MID(VLOOKUP($A213,Seqs!$A:$B,2,FALSE),VLOOKUP($A213,'SegEnds_NonXtal_Prot#'!$A:$AL,28,FALSE)-4,1)</f>
        <v>S</v>
      </c>
      <c r="AH213" s="49" t="str">
        <f>MID(VLOOKUP($A213,Seqs!$A:$B,2,FALSE),VLOOKUP($A213,'SegEnds_NonXtal_Prot#'!$A:$AL,28,FALSE),1)</f>
        <v>S</v>
      </c>
    </row>
    <row r="214" spans="1:34" s="2" customFormat="1" x14ac:dyDescent="0.2">
      <c r="A214" s="2" t="s">
        <v>259</v>
      </c>
      <c r="B214" s="2" t="str">
        <f>LOWER(VLOOKUP(A214,Xtal_Templ!A:B,2,FALSE))</f>
        <v>gpr52_human</v>
      </c>
      <c r="C214" s="2" t="str">
        <f>VLOOKUP(A214,Classification!A:D,2,FALSE)</f>
        <v>A</v>
      </c>
      <c r="D214" s="2" t="str">
        <f>IF(ISERROR(MATCH(A214,'SegEnds_Xtal_Prot#'!B:B, 0)), "NoXtal", "Xtal")</f>
        <v>Xtal</v>
      </c>
      <c r="H214" s="4"/>
      <c r="N214" s="2" t="s">
        <v>14</v>
      </c>
      <c r="R214" s="2" t="s">
        <v>9</v>
      </c>
      <c r="T214" s="4" t="s">
        <v>12</v>
      </c>
      <c r="V214" s="28" t="str">
        <f>MID(VLOOKUP($A214,Seqs!$A:$B,2,FALSE),VLOOKUP($A214,'SegEnds_NonXtal_Prot#'!A:AL,10,FALSE),1)</f>
        <v>D</v>
      </c>
      <c r="W214" s="49" t="str">
        <f>MID(VLOOKUP($A214,Seqs!$A:$B,2,FALSE),VLOOKUP($A214,'SegEnds_NonXtal_Prot#'!A:AL,10,FALSE)+6,1)</f>
        <v>S</v>
      </c>
      <c r="X214" s="49" t="str">
        <f>MID(VLOOKUP($A214,Seqs!$A:$B,2,FALSE),VLOOKUP($A214,'SegEnds_NonXtal_Prot#'!A:AL,10,FALSE)+7,1)</f>
        <v>C</v>
      </c>
      <c r="Y214" s="49" t="str">
        <f>MID(VLOOKUP($A214,Seqs!$A:$B,2,FALSE),VLOOKUP($A214,'SegEnds_NonXtal_Prot#'!A:AL,10,FALSE)+8,1)</f>
        <v>L</v>
      </c>
      <c r="Z214" s="49" t="str">
        <f>MID(VLOOKUP($A214,Seqs!$A:$B,2,FALSE),VLOOKUP($A214,'SegEnds_NonXtal_Prot#'!A:AL,10,FALSE)+9,1)</f>
        <v>V</v>
      </c>
      <c r="AA214" s="49" t="str">
        <f>MID(VLOOKUP($A214,Seqs!$A:$B,2,FALSE),VLOOKUP($A214,'SegEnds_NonXtal_Prot#'!A:AL,10,FALSE)+10,1)</f>
        <v>P</v>
      </c>
      <c r="AB214" s="28" t="str">
        <f>MID(VLOOKUP($A214,Seqs!$A:$B,2,FALSE),VLOOKUP($A214,'SegEnds_NonXtal_Prot#'!$A:$AL,22,FALSE)+6,1)</f>
        <v>I</v>
      </c>
      <c r="AC214" s="49" t="str">
        <f>MID(VLOOKUP($A214,Seqs!$A:$B,2,FALSE),VLOOKUP($A214,'SegEnds_NonXtal_Prot#'!$A:$AL,22,FALSE)+7,1)</f>
        <v>F</v>
      </c>
      <c r="AD214" s="49" t="str">
        <f>MID(VLOOKUP($A214,Seqs!$A:$B,2,FALSE),VLOOKUP($A214,'SegEnds_NonXtal_Prot#'!$A:$AL,22,FALSE)+8,1)</f>
        <v>L</v>
      </c>
      <c r="AE214" s="49" t="str">
        <f>MID(VLOOKUP($A214,Seqs!$A:$B,2,FALSE),VLOOKUP($A214,'SegEnds_NonXtal_Prot#'!$A:$AL,22,FALSE)+9,1)</f>
        <v>P</v>
      </c>
      <c r="AF214" s="49" t="str">
        <f>MID(VLOOKUP($A214,Seqs!$A:$B,2,FALSE),VLOOKUP($A214,'SegEnds_NonXtal_Prot#'!$A:$AL,22,FALSE)+10,1)</f>
        <v>S</v>
      </c>
      <c r="AG214" s="28" t="str">
        <f>MID(VLOOKUP($A214,Seqs!$A:$B,2,FALSE),VLOOKUP($A214,'SegEnds_NonXtal_Prot#'!$A:$AL,28,FALSE)-4,1)</f>
        <v>L</v>
      </c>
      <c r="AH214" s="49" t="str">
        <f>MID(VLOOKUP($A214,Seqs!$A:$B,2,FALSE),VLOOKUP($A214,'SegEnds_NonXtal_Prot#'!$A:$AL,28,FALSE),1)</f>
        <v>P</v>
      </c>
    </row>
    <row r="215" spans="1:34" s="2" customFormat="1" x14ac:dyDescent="0.2">
      <c r="A215" s="2" t="s">
        <v>268</v>
      </c>
      <c r="B215" s="2" t="str">
        <f>LOWER(VLOOKUP(A215,Xtal_Templ!A:B,2,FALSE))</f>
        <v>ox2r_human</v>
      </c>
      <c r="C215" s="2" t="str">
        <f>VLOOKUP(A215,Classification!A:D,2,FALSE)</f>
        <v>A</v>
      </c>
      <c r="D215" s="2" t="str">
        <f>IF(ISERROR(MATCH(A215,'SegEnds_Xtal_Prot#'!B:B, 0)), "NoXtal", "Xtal")</f>
        <v>NoXtal</v>
      </c>
      <c r="G215" s="2" t="s">
        <v>5</v>
      </c>
      <c r="H215" s="4"/>
      <c r="N215" s="2" t="s">
        <v>14</v>
      </c>
      <c r="R215" s="2" t="s">
        <v>9</v>
      </c>
      <c r="T215" s="4" t="s">
        <v>12</v>
      </c>
      <c r="V215" s="28" t="str">
        <f>MID(VLOOKUP($A215,Seqs!$A:$B,2,FALSE),VLOOKUP($A215,'SegEnds_NonXtal_Prot#'!A:AL,10,FALSE),1)</f>
        <v>D</v>
      </c>
      <c r="W215" s="49" t="str">
        <f>MID(VLOOKUP($A215,Seqs!$A:$B,2,FALSE),VLOOKUP($A215,'SegEnds_NonXtal_Prot#'!A:AL,10,FALSE)+6,1)</f>
        <v>L</v>
      </c>
      <c r="X215" s="49" t="str">
        <f>MID(VLOOKUP($A215,Seqs!$A:$B,2,FALSE),VLOOKUP($A215,'SegEnds_NonXtal_Prot#'!A:AL,10,FALSE)+7,1)</f>
        <v>N</v>
      </c>
      <c r="Y215" s="49" t="str">
        <f>MID(VLOOKUP($A215,Seqs!$A:$B,2,FALSE),VLOOKUP($A215,'SegEnds_NonXtal_Prot#'!A:AL,10,FALSE)+8,1)</f>
        <v>T</v>
      </c>
      <c r="Z215" s="49" t="str">
        <f>MID(VLOOKUP($A215,Seqs!$A:$B,2,FALSE),VLOOKUP($A215,'SegEnds_NonXtal_Prot#'!A:AL,10,FALSE)+9,1)</f>
        <v>P</v>
      </c>
      <c r="AA215" s="49" t="str">
        <f>MID(VLOOKUP($A215,Seqs!$A:$B,2,FALSE),VLOOKUP($A215,'SegEnds_NonXtal_Prot#'!A:AL,10,FALSE)+10,1)</f>
        <v>F</v>
      </c>
      <c r="AB215" s="28" t="str">
        <f>MID(VLOOKUP($A215,Seqs!$A:$B,2,FALSE),VLOOKUP($A215,'SegEnds_NonXtal_Prot#'!$A:$AL,22,FALSE)+6,1)</f>
        <v>F</v>
      </c>
      <c r="AC215" s="49" t="str">
        <f>MID(VLOOKUP($A215,Seqs!$A:$B,2,FALSE),VLOOKUP($A215,'SegEnds_NonXtal_Prot#'!$A:$AL,22,FALSE)+7,1)</f>
        <v>S</v>
      </c>
      <c r="AD215" s="49" t="str">
        <f>MID(VLOOKUP($A215,Seqs!$A:$B,2,FALSE),VLOOKUP($A215,'SegEnds_NonXtal_Prot#'!$A:$AL,22,FALSE)+8,1)</f>
        <v>L</v>
      </c>
      <c r="AE215" s="49" t="str">
        <f>MID(VLOOKUP($A215,Seqs!$A:$B,2,FALSE),VLOOKUP($A215,'SegEnds_NonXtal_Prot#'!$A:$AL,22,FALSE)+9,1)</f>
        <v>P</v>
      </c>
      <c r="AF215" s="49" t="str">
        <f>MID(VLOOKUP($A215,Seqs!$A:$B,2,FALSE),VLOOKUP($A215,'SegEnds_NonXtal_Prot#'!$A:$AL,22,FALSE)+10,1)</f>
        <v>H</v>
      </c>
      <c r="AG215" s="28" t="str">
        <f>MID(VLOOKUP($A215,Seqs!$A:$B,2,FALSE),VLOOKUP($A215,'SegEnds_NonXtal_Prot#'!$A:$AL,28,FALSE)-4,1)</f>
        <v>L</v>
      </c>
      <c r="AH215" s="49" t="str">
        <f>MID(VLOOKUP($A215,Seqs!$A:$B,2,FALSE),VLOOKUP($A215,'SegEnds_NonXtal_Prot#'!$A:$AL,28,FALSE),1)</f>
        <v>P</v>
      </c>
    </row>
    <row r="216" spans="1:34" s="2" customFormat="1" x14ac:dyDescent="0.2">
      <c r="A216" s="2" t="s">
        <v>311</v>
      </c>
      <c r="B216" s="2" t="str">
        <f>LOWER(VLOOKUP(A216,Xtal_Templ!A:B,2,FALSE))</f>
        <v>mtr1b_human</v>
      </c>
      <c r="C216" s="2" t="str">
        <f>VLOOKUP(A216,Classification!A:D,2,FALSE)</f>
        <v>A</v>
      </c>
      <c r="D216" s="2" t="str">
        <f>IF(ISERROR(MATCH(A216,'SegEnds_Xtal_Prot#'!B:B, 0)), "NoXtal", "Xtal")</f>
        <v>Xtal</v>
      </c>
      <c r="G216" s="2" t="s">
        <v>5</v>
      </c>
      <c r="H216" s="4"/>
      <c r="N216" s="2" t="s">
        <v>14</v>
      </c>
      <c r="R216" s="2" t="s">
        <v>9</v>
      </c>
      <c r="T216" s="4" t="s">
        <v>12</v>
      </c>
      <c r="V216" s="28" t="str">
        <f>MID(VLOOKUP($A216,Seqs!$A:$B,2,FALSE),VLOOKUP($A216,'SegEnds_NonXtal_Prot#'!A:AL,10,FALSE),1)</f>
        <v>D</v>
      </c>
      <c r="W216" s="49" t="str">
        <f>MID(VLOOKUP($A216,Seqs!$A:$B,2,FALSE),VLOOKUP($A216,'SegEnds_NonXtal_Prot#'!A:AL,10,FALSE)+6,1)</f>
        <v>Y</v>
      </c>
      <c r="X216" s="49" t="str">
        <f>MID(VLOOKUP($A216,Seqs!$A:$B,2,FALSE),VLOOKUP($A216,'SegEnds_NonXtal_Prot#'!A:AL,10,FALSE)+7,1)</f>
        <v>P</v>
      </c>
      <c r="Y216" s="49" t="str">
        <f>MID(VLOOKUP($A216,Seqs!$A:$B,2,FALSE),VLOOKUP($A216,'SegEnds_NonXtal_Prot#'!A:AL,10,FALSE)+8,1)</f>
        <v>Y</v>
      </c>
      <c r="Z216" s="49" t="str">
        <f>MID(VLOOKUP($A216,Seqs!$A:$B,2,FALSE),VLOOKUP($A216,'SegEnds_NonXtal_Prot#'!A:AL,10,FALSE)+9,1)</f>
        <v>P</v>
      </c>
      <c r="AA216" s="49" t="str">
        <f>MID(VLOOKUP($A216,Seqs!$A:$B,2,FALSE),VLOOKUP($A216,'SegEnds_NonXtal_Prot#'!A:AL,10,FALSE)+10,1)</f>
        <v>L</v>
      </c>
      <c r="AB216" s="28" t="str">
        <f>MID(VLOOKUP($A216,Seqs!$A:$B,2,FALSE),VLOOKUP($A216,'SegEnds_NonXtal_Prot#'!$A:$AL,22,FALSE)+6,1)</f>
        <v>A</v>
      </c>
      <c r="AC216" s="49" t="str">
        <f>MID(VLOOKUP($A216,Seqs!$A:$B,2,FALSE),VLOOKUP($A216,'SegEnds_NonXtal_Prot#'!$A:$AL,22,FALSE)+7,1)</f>
        <v>L</v>
      </c>
      <c r="AD216" s="49" t="str">
        <f>MID(VLOOKUP($A216,Seqs!$A:$B,2,FALSE),VLOOKUP($A216,'SegEnds_NonXtal_Prot#'!$A:$AL,22,FALSE)+8,1)</f>
        <v>L</v>
      </c>
      <c r="AE216" s="49" t="str">
        <f>MID(VLOOKUP($A216,Seqs!$A:$B,2,FALSE),VLOOKUP($A216,'SegEnds_NonXtal_Prot#'!$A:$AL,22,FALSE)+9,1)</f>
        <v>P</v>
      </c>
      <c r="AF216" s="49" t="str">
        <f>MID(VLOOKUP($A216,Seqs!$A:$B,2,FALSE),VLOOKUP($A216,'SegEnds_NonXtal_Prot#'!$A:$AL,22,FALSE)+10,1)</f>
        <v>N</v>
      </c>
      <c r="AG216" s="28" t="str">
        <f>MID(VLOOKUP($A216,Seqs!$A:$B,2,FALSE),VLOOKUP($A216,'SegEnds_NonXtal_Prot#'!$A:$AL,28,FALSE)-4,1)</f>
        <v>H</v>
      </c>
      <c r="AH216" s="49" t="str">
        <f>MID(VLOOKUP($A216,Seqs!$A:$B,2,FALSE),VLOOKUP($A216,'SegEnds_NonXtal_Prot#'!$A:$AL,28,FALSE),1)</f>
        <v>P</v>
      </c>
    </row>
    <row r="217" spans="1:34" s="2" customFormat="1" x14ac:dyDescent="0.2">
      <c r="A217" s="2" t="s">
        <v>312</v>
      </c>
      <c r="B217" s="2" t="str">
        <f>LOWER(VLOOKUP(A217,Xtal_Templ!A:B,2,FALSE))</f>
        <v>mtr1a_human</v>
      </c>
      <c r="C217" s="2" t="str">
        <f>VLOOKUP(A217,Classification!A:D,2,FALSE)</f>
        <v>A</v>
      </c>
      <c r="D217" s="2" t="str">
        <f>IF(ISERROR(MATCH(A217,'SegEnds_Xtal_Prot#'!B:B, 0)), "NoXtal", "Xtal")</f>
        <v>NoXtal</v>
      </c>
      <c r="H217" s="4"/>
      <c r="N217" s="2" t="s">
        <v>14</v>
      </c>
      <c r="R217" s="2" t="s">
        <v>9</v>
      </c>
      <c r="T217" s="4" t="s">
        <v>12</v>
      </c>
      <c r="V217" s="28" t="str">
        <f>MID(VLOOKUP($A217,Seqs!$A:$B,2,FALSE),VLOOKUP($A217,'SegEnds_NonXtal_Prot#'!A:AL,10,FALSE),1)</f>
        <v>D</v>
      </c>
      <c r="W217" s="49" t="str">
        <f>MID(VLOOKUP($A217,Seqs!$A:$B,2,FALSE),VLOOKUP($A217,'SegEnds_NonXtal_Prot#'!A:AL,10,FALSE)+6,1)</f>
        <v>Y</v>
      </c>
      <c r="X217" s="49" t="str">
        <f>MID(VLOOKUP($A217,Seqs!$A:$B,2,FALSE),VLOOKUP($A217,'SegEnds_NonXtal_Prot#'!A:AL,10,FALSE)+7,1)</f>
        <v>P</v>
      </c>
      <c r="Y217" s="49" t="str">
        <f>MID(VLOOKUP($A217,Seqs!$A:$B,2,FALSE),VLOOKUP($A217,'SegEnds_NonXtal_Prot#'!A:AL,10,FALSE)+8,1)</f>
        <v>Y</v>
      </c>
      <c r="Z217" s="49" t="str">
        <f>MID(VLOOKUP($A217,Seqs!$A:$B,2,FALSE),VLOOKUP($A217,'SegEnds_NonXtal_Prot#'!A:AL,10,FALSE)+9,1)</f>
        <v>P</v>
      </c>
      <c r="AA217" s="49" t="str">
        <f>MID(VLOOKUP($A217,Seqs!$A:$B,2,FALSE),VLOOKUP($A217,'SegEnds_NonXtal_Prot#'!A:AL,10,FALSE)+10,1)</f>
        <v>L</v>
      </c>
      <c r="AB217" s="28" t="str">
        <f>MID(VLOOKUP($A217,Seqs!$A:$B,2,FALSE),VLOOKUP($A217,'SegEnds_NonXtal_Prot#'!$A:$AL,22,FALSE)+6,1)</f>
        <v>A</v>
      </c>
      <c r="AC217" s="49" t="str">
        <f>MID(VLOOKUP($A217,Seqs!$A:$B,2,FALSE),VLOOKUP($A217,'SegEnds_NonXtal_Prot#'!$A:$AL,22,FALSE)+7,1)</f>
        <v>V</v>
      </c>
      <c r="AD217" s="49" t="str">
        <f>MID(VLOOKUP($A217,Seqs!$A:$B,2,FALSE),VLOOKUP($A217,'SegEnds_NonXtal_Prot#'!$A:$AL,22,FALSE)+8,1)</f>
        <v>L</v>
      </c>
      <c r="AE217" s="49" t="str">
        <f>MID(VLOOKUP($A217,Seqs!$A:$B,2,FALSE),VLOOKUP($A217,'SegEnds_NonXtal_Prot#'!$A:$AL,22,FALSE)+9,1)</f>
        <v>P</v>
      </c>
      <c r="AF217" s="49" t="str">
        <f>MID(VLOOKUP($A217,Seqs!$A:$B,2,FALSE),VLOOKUP($A217,'SegEnds_NonXtal_Prot#'!$A:$AL,22,FALSE)+10,1)</f>
        <v>N</v>
      </c>
      <c r="AG217" s="28" t="str">
        <f>MID(VLOOKUP($A217,Seqs!$A:$B,2,FALSE),VLOOKUP($A217,'SegEnds_NonXtal_Prot#'!$A:$AL,28,FALSE)-4,1)</f>
        <v>H</v>
      </c>
      <c r="AH217" s="49" t="str">
        <f>MID(VLOOKUP($A217,Seqs!$A:$B,2,FALSE),VLOOKUP($A217,'SegEnds_NonXtal_Prot#'!$A:$AL,28,FALSE),1)</f>
        <v>P</v>
      </c>
    </row>
    <row r="218" spans="1:34" s="2" customFormat="1" x14ac:dyDescent="0.2">
      <c r="A218" s="2" t="s">
        <v>313</v>
      </c>
      <c r="B218" s="2" t="str">
        <f>LOWER(VLOOKUP(A218,Xtal_Templ!A:B,2,FALSE))</f>
        <v>nk1r_human</v>
      </c>
      <c r="C218" s="2" t="str">
        <f>VLOOKUP(A218,Classification!A:D,2,FALSE)</f>
        <v>A</v>
      </c>
      <c r="D218" s="2" t="str">
        <f>IF(ISERROR(MATCH(A218,'SegEnds_Xtal_Prot#'!B:B, 0)), "NoXtal", "Xtal")</f>
        <v>Xtal</v>
      </c>
      <c r="N218" s="2" t="s">
        <v>14</v>
      </c>
      <c r="R218" s="2" t="s">
        <v>9</v>
      </c>
      <c r="T218" s="4" t="s">
        <v>12</v>
      </c>
      <c r="V218" s="28" t="str">
        <f>MID(VLOOKUP($A218,Seqs!$A:$B,2,FALSE),VLOOKUP($A218,'SegEnds_NonXtal_Prot#'!A:AL,10,FALSE),1)</f>
        <v>E</v>
      </c>
      <c r="W218" s="49" t="str">
        <f>MID(VLOOKUP($A218,Seqs!$A:$B,2,FALSE),VLOOKUP($A218,'SegEnds_NonXtal_Prot#'!A:AL,10,FALSE)+6,1)</f>
        <v>F</v>
      </c>
      <c r="X218" s="49" t="str">
        <f>MID(VLOOKUP($A218,Seqs!$A:$B,2,FALSE),VLOOKUP($A218,'SegEnds_NonXtal_Prot#'!A:AL,10,FALSE)+7,1)</f>
        <v>N</v>
      </c>
      <c r="Y218" s="49" t="str">
        <f>MID(VLOOKUP($A218,Seqs!$A:$B,2,FALSE),VLOOKUP($A218,'SegEnds_NonXtal_Prot#'!A:AL,10,FALSE)+8,1)</f>
        <v>T</v>
      </c>
      <c r="Z218" s="49" t="str">
        <f>MID(VLOOKUP($A218,Seqs!$A:$B,2,FALSE),VLOOKUP($A218,'SegEnds_NonXtal_Prot#'!A:AL,10,FALSE)+9,1)</f>
        <v>V</v>
      </c>
      <c r="AA218" s="49" t="str">
        <f>MID(VLOOKUP($A218,Seqs!$A:$B,2,FALSE),VLOOKUP($A218,'SegEnds_NonXtal_Prot#'!A:AL,10,FALSE)+10,1)</f>
        <v>V</v>
      </c>
      <c r="AB218" s="28" t="str">
        <f>MID(VLOOKUP($A218,Seqs!$A:$B,2,FALSE),VLOOKUP($A218,'SegEnds_NonXtal_Prot#'!$A:$AL,22,FALSE)+6,1)</f>
        <v>L</v>
      </c>
      <c r="AC218" s="49" t="str">
        <f>MID(VLOOKUP($A218,Seqs!$A:$B,2,FALSE),VLOOKUP($A218,'SegEnds_NonXtal_Prot#'!$A:$AL,22,FALSE)+7,1)</f>
        <v>A</v>
      </c>
      <c r="AD218" s="49" t="str">
        <f>MID(VLOOKUP($A218,Seqs!$A:$B,2,FALSE),VLOOKUP($A218,'SegEnds_NonXtal_Prot#'!$A:$AL,22,FALSE)+8,1)</f>
        <v>F</v>
      </c>
      <c r="AE218" s="49" t="str">
        <f>MID(VLOOKUP($A218,Seqs!$A:$B,2,FALSE),VLOOKUP($A218,'SegEnds_NonXtal_Prot#'!$A:$AL,22,FALSE)+9,1)</f>
        <v>P</v>
      </c>
      <c r="AF218" s="49" t="str">
        <f>MID(VLOOKUP($A218,Seqs!$A:$B,2,FALSE),VLOOKUP($A218,'SegEnds_NonXtal_Prot#'!$A:$AL,22,FALSE)+10,1)</f>
        <v>Q</v>
      </c>
      <c r="AG218" s="28" t="str">
        <f>MID(VLOOKUP($A218,Seqs!$A:$B,2,FALSE),VLOOKUP($A218,'SegEnds_NonXtal_Prot#'!$A:$AL,28,FALSE)-4,1)</f>
        <v>I</v>
      </c>
      <c r="AH218" s="49" t="str">
        <f>MID(VLOOKUP($A218,Seqs!$A:$B,2,FALSE),VLOOKUP($A218,'SegEnds_NonXtal_Prot#'!$A:$AL,28,FALSE),1)</f>
        <v>P</v>
      </c>
    </row>
    <row r="219" spans="1:34" s="2" customFormat="1" x14ac:dyDescent="0.2">
      <c r="A219" s="2" t="s">
        <v>315</v>
      </c>
      <c r="B219" s="2" t="str">
        <f>LOWER(VLOOKUP(A219,Xtal_Templ!A:B,2,FALSE))</f>
        <v>nk1r_human</v>
      </c>
      <c r="C219" s="2" t="str">
        <f>VLOOKUP(A219,Classification!A:D,2,FALSE)</f>
        <v>A</v>
      </c>
      <c r="D219" s="2" t="str">
        <f>IF(ISERROR(MATCH(A219,'SegEnds_Xtal_Prot#'!B:B, 0)), "NoXtal", "Xtal")</f>
        <v>NoXtal</v>
      </c>
      <c r="H219" s="4"/>
      <c r="N219" s="2" t="s">
        <v>14</v>
      </c>
      <c r="R219" s="2" t="s">
        <v>9</v>
      </c>
      <c r="T219" s="4" t="s">
        <v>12</v>
      </c>
      <c r="V219" s="28" t="str">
        <f>MID(VLOOKUP($A219,Seqs!$A:$B,2,FALSE),VLOOKUP($A219,'SegEnds_NonXtal_Prot#'!A:AL,10,FALSE),1)</f>
        <v>D</v>
      </c>
      <c r="W219" s="49" t="str">
        <f>MID(VLOOKUP($A219,Seqs!$A:$B,2,FALSE),VLOOKUP($A219,'SegEnds_NonXtal_Prot#'!A:AL,10,FALSE)+6,1)</f>
        <v>F</v>
      </c>
      <c r="X219" s="49" t="str">
        <f>MID(VLOOKUP($A219,Seqs!$A:$B,2,FALSE),VLOOKUP($A219,'SegEnds_NonXtal_Prot#'!A:AL,10,FALSE)+7,1)</f>
        <v>N</v>
      </c>
      <c r="Y219" s="49" t="str">
        <f>MID(VLOOKUP($A219,Seqs!$A:$B,2,FALSE),VLOOKUP($A219,'SegEnds_NonXtal_Prot#'!A:AL,10,FALSE)+8,1)</f>
        <v>T</v>
      </c>
      <c r="Z219" s="49" t="str">
        <f>MID(VLOOKUP($A219,Seqs!$A:$B,2,FALSE),VLOOKUP($A219,'SegEnds_NonXtal_Prot#'!A:AL,10,FALSE)+9,1)</f>
        <v>L</v>
      </c>
      <c r="AA219" s="49" t="str">
        <f>MID(VLOOKUP($A219,Seqs!$A:$B,2,FALSE),VLOOKUP($A219,'SegEnds_NonXtal_Prot#'!A:AL,10,FALSE)+10,1)</f>
        <v>V</v>
      </c>
      <c r="AB219" s="28" t="str">
        <f>MID(VLOOKUP($A219,Seqs!$A:$B,2,FALSE),VLOOKUP($A219,'SegEnds_NonXtal_Prot#'!$A:$AL,22,FALSE)+6,1)</f>
        <v>L</v>
      </c>
      <c r="AC219" s="49" t="str">
        <f>MID(VLOOKUP($A219,Seqs!$A:$B,2,FALSE),VLOOKUP($A219,'SegEnds_NonXtal_Prot#'!$A:$AL,22,FALSE)+7,1)</f>
        <v>A</v>
      </c>
      <c r="AD219" s="49" t="str">
        <f>MID(VLOOKUP($A219,Seqs!$A:$B,2,FALSE),VLOOKUP($A219,'SegEnds_NonXtal_Prot#'!$A:$AL,22,FALSE)+8,1)</f>
        <v>F</v>
      </c>
      <c r="AE219" s="49" t="str">
        <f>MID(VLOOKUP($A219,Seqs!$A:$B,2,FALSE),VLOOKUP($A219,'SegEnds_NonXtal_Prot#'!$A:$AL,22,FALSE)+9,1)</f>
        <v>P</v>
      </c>
      <c r="AF219" s="49" t="str">
        <f>MID(VLOOKUP($A219,Seqs!$A:$B,2,FALSE),VLOOKUP($A219,'SegEnds_NonXtal_Prot#'!$A:$AL,22,FALSE)+10,1)</f>
        <v>Q</v>
      </c>
      <c r="AG219" s="28" t="str">
        <f>MID(VLOOKUP($A219,Seqs!$A:$B,2,FALSE),VLOOKUP($A219,'SegEnds_NonXtal_Prot#'!$A:$AL,28,FALSE)-4,1)</f>
        <v>V</v>
      </c>
      <c r="AH219" s="49" t="str">
        <f>MID(VLOOKUP($A219,Seqs!$A:$B,2,FALSE),VLOOKUP($A219,'SegEnds_NonXtal_Prot#'!$A:$AL,28,FALSE),1)</f>
        <v>P</v>
      </c>
    </row>
    <row r="220" spans="1:34" s="2" customFormat="1" x14ac:dyDescent="0.2">
      <c r="A220" s="2" t="s">
        <v>321</v>
      </c>
      <c r="B220" s="2" t="str">
        <f>LOWER(VLOOKUP(A220,Xtal_Templ!A:B,2,FALSE))</f>
        <v>ox1r_human</v>
      </c>
      <c r="C220" s="2" t="str">
        <f>VLOOKUP(A220,Classification!A:D,2,FALSE)</f>
        <v>A</v>
      </c>
      <c r="D220" s="2" t="str">
        <f>IF(ISERROR(MATCH(A220,'SegEnds_Xtal_Prot#'!B:B, 0)), "NoXtal", "Xtal")</f>
        <v>NoXtal</v>
      </c>
      <c r="G220" s="2" t="s">
        <v>5</v>
      </c>
      <c r="H220" s="4"/>
      <c r="N220" s="2" t="s">
        <v>14</v>
      </c>
      <c r="R220" s="2" t="s">
        <v>9</v>
      </c>
      <c r="T220" s="4" t="s">
        <v>12</v>
      </c>
      <c r="V220" s="28" t="str">
        <f>MID(VLOOKUP($A220,Seqs!$A:$B,2,FALSE),VLOOKUP($A220,'SegEnds_NonXtal_Prot#'!A:AL,10,FALSE),1)</f>
        <v>D</v>
      </c>
      <c r="W220" s="49" t="str">
        <f>MID(VLOOKUP($A220,Seqs!$A:$B,2,FALSE),VLOOKUP($A220,'SegEnds_NonXtal_Prot#'!A:AL,10,FALSE)+6,1)</f>
        <v>F</v>
      </c>
      <c r="X220" s="49" t="str">
        <f>MID(VLOOKUP($A220,Seqs!$A:$B,2,FALSE),VLOOKUP($A220,'SegEnds_NonXtal_Prot#'!A:AL,10,FALSE)+7,1)</f>
        <v>C</v>
      </c>
      <c r="Y220" s="49" t="str">
        <f>MID(VLOOKUP($A220,Seqs!$A:$B,2,FALSE),VLOOKUP($A220,'SegEnds_NonXtal_Prot#'!A:AL,10,FALSE)+8,1)</f>
        <v>M</v>
      </c>
      <c r="Z220" s="49" t="str">
        <f>MID(VLOOKUP($A220,Seqs!$A:$B,2,FALSE),VLOOKUP($A220,'SegEnds_NonXtal_Prot#'!A:AL,10,FALSE)+9,1)</f>
        <v>P</v>
      </c>
      <c r="AA220" s="49" t="str">
        <f>MID(VLOOKUP($A220,Seqs!$A:$B,2,FALSE),VLOOKUP($A220,'SegEnds_NonXtal_Prot#'!A:AL,10,FALSE)+10,1)</f>
        <v>T</v>
      </c>
      <c r="AB220" s="28" t="str">
        <f>MID(VLOOKUP($A220,Seqs!$A:$B,2,FALSE),VLOOKUP($A220,'SegEnds_NonXtal_Prot#'!$A:$AL,22,FALSE)+6,1)</f>
        <v>I</v>
      </c>
      <c r="AC220" s="49" t="str">
        <f>MID(VLOOKUP($A220,Seqs!$A:$B,2,FALSE),VLOOKUP($A220,'SegEnds_NonXtal_Prot#'!$A:$AL,22,FALSE)+7,1)</f>
        <v>M</v>
      </c>
      <c r="AD220" s="49" t="str">
        <f>MID(VLOOKUP($A220,Seqs!$A:$B,2,FALSE),VLOOKUP($A220,'SegEnds_NonXtal_Prot#'!$A:$AL,22,FALSE)+8,1)</f>
        <v>C</v>
      </c>
      <c r="AE220" s="49" t="str">
        <f>MID(VLOOKUP($A220,Seqs!$A:$B,2,FALSE),VLOOKUP($A220,'SegEnds_NonXtal_Prot#'!$A:$AL,22,FALSE)+9,1)</f>
        <v>P</v>
      </c>
      <c r="AF220" s="49" t="str">
        <f>MID(VLOOKUP($A220,Seqs!$A:$B,2,FALSE),VLOOKUP($A220,'SegEnds_NonXtal_Prot#'!$A:$AL,22,FALSE)+10,1)</f>
        <v>S</v>
      </c>
      <c r="AG220" s="28" t="str">
        <f>MID(VLOOKUP($A220,Seqs!$A:$B,2,FALSE),VLOOKUP($A220,'SegEnds_NonXtal_Prot#'!$A:$AL,28,FALSE)-4,1)</f>
        <v>I</v>
      </c>
      <c r="AH220" s="49" t="str">
        <f>MID(VLOOKUP($A220,Seqs!$A:$B,2,FALSE),VLOOKUP($A220,'SegEnds_NonXtal_Prot#'!$A:$AL,28,FALSE),1)</f>
        <v>P</v>
      </c>
    </row>
    <row r="221" spans="1:34" s="2" customFormat="1" x14ac:dyDescent="0.2">
      <c r="A221" s="2" t="s">
        <v>323</v>
      </c>
      <c r="B221" s="2" t="str">
        <f>LOWER(VLOOKUP(A221,Xtal_Templ!A:B,2,FALSE))</f>
        <v>5ht2c_human</v>
      </c>
      <c r="C221" s="2" t="str">
        <f>VLOOKUP(A221,Classification!A:D,2,FALSE)</f>
        <v>A</v>
      </c>
      <c r="D221" s="2" t="str">
        <f>IF(ISERROR(MATCH(A221,'SegEnds_Xtal_Prot#'!B:B, 0)), "NoXtal", "Xtal")</f>
        <v>NoXtal</v>
      </c>
      <c r="H221" s="4"/>
      <c r="N221" s="2" t="s">
        <v>14</v>
      </c>
      <c r="R221" s="2" t="s">
        <v>9</v>
      </c>
      <c r="T221" s="4" t="s">
        <v>12</v>
      </c>
      <c r="V221" s="28" t="str">
        <f>MID(VLOOKUP($A221,Seqs!$A:$B,2,FALSE),VLOOKUP($A221,'SegEnds_NonXtal_Prot#'!A:AL,10,FALSE),1)</f>
        <v>D</v>
      </c>
      <c r="W221" s="49" t="str">
        <f>MID(VLOOKUP($A221,Seqs!$A:$B,2,FALSE),VLOOKUP($A221,'SegEnds_NonXtal_Prot#'!A:AL,10,FALSE)+6,1)</f>
        <v>V</v>
      </c>
      <c r="X221" s="49" t="str">
        <f>MID(VLOOKUP($A221,Seqs!$A:$B,2,FALSE),VLOOKUP($A221,'SegEnds_NonXtal_Prot#'!A:AL,10,FALSE)+7,1)</f>
        <v>N</v>
      </c>
      <c r="Y221" s="49" t="str">
        <f>MID(VLOOKUP($A221,Seqs!$A:$B,2,FALSE),VLOOKUP($A221,'SegEnds_NonXtal_Prot#'!A:AL,10,FALSE)+8,1)</f>
        <v>I</v>
      </c>
      <c r="Z221" s="49" t="str">
        <f>MID(VLOOKUP($A221,Seqs!$A:$B,2,FALSE),VLOOKUP($A221,'SegEnds_NonXtal_Prot#'!A:AL,10,FALSE)+9,1)</f>
        <v>L</v>
      </c>
      <c r="AA221" s="49" t="str">
        <f>MID(VLOOKUP($A221,Seqs!$A:$B,2,FALSE),VLOOKUP($A221,'SegEnds_NonXtal_Prot#'!A:AL,10,FALSE)+10,1)</f>
        <v>T</v>
      </c>
      <c r="AB221" s="28" t="str">
        <f>MID(VLOOKUP($A221,Seqs!$A:$B,2,FALSE),VLOOKUP($A221,'SegEnds_NonXtal_Prot#'!$A:$AL,22,FALSE)+6,1)</f>
        <v>F</v>
      </c>
      <c r="AC221" s="49" t="str">
        <f>MID(VLOOKUP($A221,Seqs!$A:$B,2,FALSE),VLOOKUP($A221,'SegEnds_NonXtal_Prot#'!$A:$AL,22,FALSE)+7,1)</f>
        <v>S</v>
      </c>
      <c r="AD221" s="49" t="str">
        <f>MID(VLOOKUP($A221,Seqs!$A:$B,2,FALSE),VLOOKUP($A221,'SegEnds_NonXtal_Prot#'!$A:$AL,22,FALSE)+8,1)</f>
        <v>I</v>
      </c>
      <c r="AE221" s="49" t="str">
        <f>MID(VLOOKUP($A221,Seqs!$A:$B,2,FALSE),VLOOKUP($A221,'SegEnds_NonXtal_Prot#'!$A:$AL,22,FALSE)+9,1)</f>
        <v>P</v>
      </c>
      <c r="AF221" s="49" t="str">
        <f>MID(VLOOKUP($A221,Seqs!$A:$B,2,FALSE),VLOOKUP($A221,'SegEnds_NonXtal_Prot#'!$A:$AL,22,FALSE)+10,1)</f>
        <v>T</v>
      </c>
      <c r="AG221" s="28" t="str">
        <f>MID(VLOOKUP($A221,Seqs!$A:$B,2,FALSE),VLOOKUP($A221,'SegEnds_NonXtal_Prot#'!$A:$AL,28,FALSE)-4,1)</f>
        <v>V</v>
      </c>
      <c r="AH221" s="49" t="str">
        <f>MID(VLOOKUP($A221,Seqs!$A:$B,2,FALSE),VLOOKUP($A221,'SegEnds_NonXtal_Prot#'!$A:$AL,28,FALSE),1)</f>
        <v>P</v>
      </c>
    </row>
    <row r="222" spans="1:34" s="2" customFormat="1" x14ac:dyDescent="0.2">
      <c r="A222" s="2" t="s">
        <v>324</v>
      </c>
      <c r="B222" s="2" t="str">
        <f>LOWER(VLOOKUP(A222,Xtal_Templ!A:B,2,FALSE))</f>
        <v>npy1r_human</v>
      </c>
      <c r="C222" s="2" t="str">
        <f>VLOOKUP(A222,Classification!A:D,2,FALSE)</f>
        <v>A</v>
      </c>
      <c r="D222" s="2" t="str">
        <f>IF(ISERROR(MATCH(A222,'SegEnds_Xtal_Prot#'!B:B, 0)), "NoXtal", "Xtal")</f>
        <v>Xtal</v>
      </c>
      <c r="G222" s="2" t="s">
        <v>5</v>
      </c>
      <c r="H222" s="4"/>
      <c r="N222" s="2" t="s">
        <v>14</v>
      </c>
      <c r="R222" s="2" t="s">
        <v>9</v>
      </c>
      <c r="T222" s="4" t="s">
        <v>12</v>
      </c>
      <c r="V222" s="28" t="str">
        <f>MID(VLOOKUP($A222,Seqs!$A:$B,2,FALSE),VLOOKUP($A222,'SegEnds_NonXtal_Prot#'!A:AL,10,FALSE),1)</f>
        <v>D</v>
      </c>
      <c r="W222" s="49" t="str">
        <f>MID(VLOOKUP($A222,Seqs!$A:$B,2,FALSE),VLOOKUP($A222,'SegEnds_NonXtal_Prot#'!A:AL,10,FALSE)+6,1)</f>
        <v>M</v>
      </c>
      <c r="X222" s="49" t="str">
        <f>MID(VLOOKUP($A222,Seqs!$A:$B,2,FALSE),VLOOKUP($A222,'SegEnds_NonXtal_Prot#'!A:AL,10,FALSE)+7,1)</f>
        <v>C</v>
      </c>
      <c r="Y222" s="49" t="str">
        <f>MID(VLOOKUP($A222,Seqs!$A:$B,2,FALSE),VLOOKUP($A222,'SegEnds_NonXtal_Prot#'!A:AL,10,FALSE)+8,1)</f>
        <v>L</v>
      </c>
      <c r="Z222" s="49" t="str">
        <f>MID(VLOOKUP($A222,Seqs!$A:$B,2,FALSE),VLOOKUP($A222,'SegEnds_NonXtal_Prot#'!A:AL,10,FALSE)+9,1)</f>
        <v>P</v>
      </c>
      <c r="AA222" s="49" t="str">
        <f>MID(VLOOKUP($A222,Seqs!$A:$B,2,FALSE),VLOOKUP($A222,'SegEnds_NonXtal_Prot#'!A:AL,10,FALSE)+10,1)</f>
        <v>F</v>
      </c>
      <c r="AB222" s="28" t="str">
        <f>MID(VLOOKUP($A222,Seqs!$A:$B,2,FALSE),VLOOKUP($A222,'SegEnds_NonXtal_Prot#'!$A:$AL,22,FALSE)+6,1)</f>
        <v>S</v>
      </c>
      <c r="AC222" s="49" t="str">
        <f>MID(VLOOKUP($A222,Seqs!$A:$B,2,FALSE),VLOOKUP($A222,'SegEnds_NonXtal_Prot#'!$A:$AL,22,FALSE)+7,1)</f>
        <v>S</v>
      </c>
      <c r="AD222" s="49" t="str">
        <f>MID(VLOOKUP($A222,Seqs!$A:$B,2,FALSE),VLOOKUP($A222,'SegEnds_NonXtal_Prot#'!$A:$AL,22,FALSE)+8,1)</f>
        <v>L</v>
      </c>
      <c r="AE222" s="49" t="str">
        <f>MID(VLOOKUP($A222,Seqs!$A:$B,2,FALSE),VLOOKUP($A222,'SegEnds_NonXtal_Prot#'!$A:$AL,22,FALSE)+9,1)</f>
        <v>P</v>
      </c>
      <c r="AF222" s="49" t="str">
        <f>MID(VLOOKUP($A222,Seqs!$A:$B,2,FALSE),VLOOKUP($A222,'SegEnds_NonXtal_Prot#'!$A:$AL,22,FALSE)+10,1)</f>
        <v>F</v>
      </c>
      <c r="AG222" s="28" t="str">
        <f>MID(VLOOKUP($A222,Seqs!$A:$B,2,FALSE),VLOOKUP($A222,'SegEnds_NonXtal_Prot#'!$A:$AL,28,FALSE)-4,1)</f>
        <v>Q</v>
      </c>
      <c r="AH222" s="49" t="str">
        <f>MID(VLOOKUP($A222,Seqs!$A:$B,2,FALSE),VLOOKUP($A222,'SegEnds_NonXtal_Prot#'!$A:$AL,28,FALSE),1)</f>
        <v>P</v>
      </c>
    </row>
    <row r="223" spans="1:34" s="2" customFormat="1" x14ac:dyDescent="0.2">
      <c r="A223" s="2" t="s">
        <v>326</v>
      </c>
      <c r="B223" s="2" t="str">
        <f>LOWER(VLOOKUP(A223,Xtal_Templ!A:B,2,FALSE))</f>
        <v>npy1r_human</v>
      </c>
      <c r="C223" s="2" t="str">
        <f>VLOOKUP(A223,Classification!A:D,2,FALSE)</f>
        <v>A</v>
      </c>
      <c r="D223" s="2" t="str">
        <f>IF(ISERROR(MATCH(A223,'SegEnds_Xtal_Prot#'!B:B, 0)), "NoXtal", "Xtal")</f>
        <v>NoXtal</v>
      </c>
      <c r="G223" s="2" t="s">
        <v>5</v>
      </c>
      <c r="H223" s="4"/>
      <c r="N223" s="2" t="s">
        <v>14</v>
      </c>
      <c r="R223" s="2" t="s">
        <v>9</v>
      </c>
      <c r="T223" s="4" t="s">
        <v>12</v>
      </c>
      <c r="V223" s="28" t="str">
        <f>MID(VLOOKUP($A223,Seqs!$A:$B,2,FALSE),VLOOKUP($A223,'SegEnds_NonXtal_Prot#'!A:AL,10,FALSE),1)</f>
        <v>D</v>
      </c>
      <c r="W223" s="49" t="str">
        <f>MID(VLOOKUP($A223,Seqs!$A:$B,2,FALSE),VLOOKUP($A223,'SegEnds_NonXtal_Prot#'!A:AL,10,FALSE)+6,1)</f>
        <v>L</v>
      </c>
      <c r="X223" s="49" t="str">
        <f>MID(VLOOKUP($A223,Seqs!$A:$B,2,FALSE),VLOOKUP($A223,'SegEnds_NonXtal_Prot#'!A:AL,10,FALSE)+7,1)</f>
        <v>C</v>
      </c>
      <c r="Y223" s="49" t="str">
        <f>MID(VLOOKUP($A223,Seqs!$A:$B,2,FALSE),VLOOKUP($A223,'SegEnds_NonXtal_Prot#'!A:AL,10,FALSE)+8,1)</f>
        <v>Q</v>
      </c>
      <c r="Z223" s="49" t="str">
        <f>MID(VLOOKUP($A223,Seqs!$A:$B,2,FALSE),VLOOKUP($A223,'SegEnds_NonXtal_Prot#'!A:AL,10,FALSE)+9,1)</f>
        <v>P</v>
      </c>
      <c r="AA223" s="49" t="str">
        <f>MID(VLOOKUP($A223,Seqs!$A:$B,2,FALSE),VLOOKUP($A223,'SegEnds_NonXtal_Prot#'!A:AL,10,FALSE)+10,1)</f>
        <v>L</v>
      </c>
      <c r="AB223" s="28" t="str">
        <f>MID(VLOOKUP($A223,Seqs!$A:$B,2,FALSE),VLOOKUP($A223,'SegEnds_NonXtal_Prot#'!$A:$AL,22,FALSE)+6,1)</f>
        <v>L</v>
      </c>
      <c r="AC223" s="49" t="str">
        <f>MID(VLOOKUP($A223,Seqs!$A:$B,2,FALSE),VLOOKUP($A223,'SegEnds_NonXtal_Prot#'!$A:$AL,22,FALSE)+7,1)</f>
        <v>S</v>
      </c>
      <c r="AD223" s="49" t="str">
        <f>MID(VLOOKUP($A223,Seqs!$A:$B,2,FALSE),VLOOKUP($A223,'SegEnds_NonXtal_Prot#'!$A:$AL,22,FALSE)+8,1)</f>
        <v>L</v>
      </c>
      <c r="AE223" s="49" t="str">
        <f>MID(VLOOKUP($A223,Seqs!$A:$B,2,FALSE),VLOOKUP($A223,'SegEnds_NonXtal_Prot#'!$A:$AL,22,FALSE)+9,1)</f>
        <v>P</v>
      </c>
      <c r="AF223" s="49" t="str">
        <f>MID(VLOOKUP($A223,Seqs!$A:$B,2,FALSE),VLOOKUP($A223,'SegEnds_NonXtal_Prot#'!$A:$AL,22,FALSE)+10,1)</f>
        <v>F</v>
      </c>
      <c r="AG223" s="28" t="str">
        <f>MID(VLOOKUP($A223,Seqs!$A:$B,2,FALSE),VLOOKUP($A223,'SegEnds_NonXtal_Prot#'!$A:$AL,28,FALSE)-4,1)</f>
        <v>Q</v>
      </c>
      <c r="AH223" s="49" t="str">
        <f>MID(VLOOKUP($A223,Seqs!$A:$B,2,FALSE),VLOOKUP($A223,'SegEnds_NonXtal_Prot#'!$A:$AL,28,FALSE),1)</f>
        <v>P</v>
      </c>
    </row>
    <row r="224" spans="1:34" s="2" customFormat="1" x14ac:dyDescent="0.2">
      <c r="A224" s="2" t="s">
        <v>327</v>
      </c>
      <c r="B224" s="2" t="str">
        <f>LOWER(VLOOKUP(A224,Xtal_Templ!A:B,2,FALSE))</f>
        <v>npy1r_human</v>
      </c>
      <c r="C224" s="2" t="str">
        <f>VLOOKUP(A224,Classification!A:D,2,FALSE)</f>
        <v>A</v>
      </c>
      <c r="D224" s="2" t="str">
        <f>IF(ISERROR(MATCH(A224,'SegEnds_Xtal_Prot#'!B:B, 0)), "NoXtal", "Xtal")</f>
        <v>NoXtal</v>
      </c>
      <c r="G224" s="2" t="s">
        <v>5</v>
      </c>
      <c r="H224" s="4"/>
      <c r="N224" s="2" t="s">
        <v>14</v>
      </c>
      <c r="R224" s="2" t="s">
        <v>9</v>
      </c>
      <c r="T224" s="4" t="s">
        <v>12</v>
      </c>
      <c r="V224" s="28" t="str">
        <f>MID(VLOOKUP($A224,Seqs!$A:$B,2,FALSE),VLOOKUP($A224,'SegEnds_NonXtal_Prot#'!A:AL,10,FALSE),1)</f>
        <v>D</v>
      </c>
      <c r="W224" s="49" t="str">
        <f>MID(VLOOKUP($A224,Seqs!$A:$B,2,FALSE),VLOOKUP($A224,'SegEnds_NonXtal_Prot#'!A:AL,10,FALSE)+6,1)</f>
        <v>F</v>
      </c>
      <c r="X224" s="49" t="str">
        <f>MID(VLOOKUP($A224,Seqs!$A:$B,2,FALSE),VLOOKUP($A224,'SegEnds_NonXtal_Prot#'!A:AL,10,FALSE)+7,1)</f>
        <v>C</v>
      </c>
      <c r="Y224" s="49" t="str">
        <f>MID(VLOOKUP($A224,Seqs!$A:$B,2,FALSE),VLOOKUP($A224,'SegEnds_NonXtal_Prot#'!A:AL,10,FALSE)+8,1)</f>
        <v>S</v>
      </c>
      <c r="Z224" s="49" t="str">
        <f>MID(VLOOKUP($A224,Seqs!$A:$B,2,FALSE),VLOOKUP($A224,'SegEnds_NonXtal_Prot#'!A:AL,10,FALSE)+9,1)</f>
        <v>P</v>
      </c>
      <c r="AA224" s="49" t="str">
        <f>MID(VLOOKUP($A224,Seqs!$A:$B,2,FALSE),VLOOKUP($A224,'SegEnds_NonXtal_Prot#'!A:AL,10,FALSE)+10,1)</f>
        <v>F</v>
      </c>
      <c r="AB224" s="28" t="str">
        <f>MID(VLOOKUP($A224,Seqs!$A:$B,2,FALSE),VLOOKUP($A224,'SegEnds_NonXtal_Prot#'!$A:$AL,22,FALSE)+6,1)</f>
        <v>I</v>
      </c>
      <c r="AC224" s="49" t="str">
        <f>MID(VLOOKUP($A224,Seqs!$A:$B,2,FALSE),VLOOKUP($A224,'SegEnds_NonXtal_Prot#'!$A:$AL,22,FALSE)+7,1)</f>
        <v>C</v>
      </c>
      <c r="AD224" s="49" t="str">
        <f>MID(VLOOKUP($A224,Seqs!$A:$B,2,FALSE),VLOOKUP($A224,'SegEnds_NonXtal_Prot#'!$A:$AL,22,FALSE)+8,1)</f>
        <v>S</v>
      </c>
      <c r="AE224" s="49" t="str">
        <f>MID(VLOOKUP($A224,Seqs!$A:$B,2,FALSE),VLOOKUP($A224,'SegEnds_NonXtal_Prot#'!$A:$AL,22,FALSE)+9,1)</f>
        <v>P</v>
      </c>
      <c r="AF224" s="49" t="str">
        <f>MID(VLOOKUP($A224,Seqs!$A:$B,2,FALSE),VLOOKUP($A224,'SegEnds_NonXtal_Prot#'!$A:$AL,22,FALSE)+10,1)</f>
        <v>L</v>
      </c>
      <c r="AG224" s="28" t="str">
        <f>MID(VLOOKUP($A224,Seqs!$A:$B,2,FALSE),VLOOKUP($A224,'SegEnds_NonXtal_Prot#'!$A:$AL,28,FALSE)-4,1)</f>
        <v>Q</v>
      </c>
      <c r="AH224" s="49" t="str">
        <f>MID(VLOOKUP($A224,Seqs!$A:$B,2,FALSE),VLOOKUP($A224,'SegEnds_NonXtal_Prot#'!$A:$AL,28,FALSE),1)</f>
        <v>P</v>
      </c>
    </row>
    <row r="225" spans="1:34" s="2" customFormat="1" x14ac:dyDescent="0.2">
      <c r="A225" s="2" t="s">
        <v>328</v>
      </c>
      <c r="B225" s="2" t="str">
        <f>LOWER(VLOOKUP(A225,Xtal_Templ!A:B,2,FALSE))</f>
        <v>npy1r_human</v>
      </c>
      <c r="C225" s="2" t="str">
        <f>VLOOKUP(A225,Classification!A:D,2,FALSE)</f>
        <v>A</v>
      </c>
      <c r="D225" s="2" t="str">
        <f>IF(ISERROR(MATCH(A225,'SegEnds_Xtal_Prot#'!B:B, 0)), "NoXtal", "Xtal")</f>
        <v>NoXtal</v>
      </c>
      <c r="H225" s="4"/>
      <c r="N225" s="2" t="s">
        <v>14</v>
      </c>
      <c r="R225" s="2" t="s">
        <v>9</v>
      </c>
      <c r="T225" s="4" t="s">
        <v>12</v>
      </c>
      <c r="V225" s="28" t="str">
        <f>MID(VLOOKUP($A225,Seqs!$A:$B,2,FALSE),VLOOKUP($A225,'SegEnds_NonXtal_Prot#'!A:AL,10,FALSE),1)</f>
        <v>D</v>
      </c>
      <c r="W225" s="49" t="str">
        <f>MID(VLOOKUP($A225,Seqs!$A:$B,2,FALSE),VLOOKUP($A225,'SegEnds_NonXtal_Prot#'!A:AL,10,FALSE)+6,1)</f>
        <v>M</v>
      </c>
      <c r="X225" s="49" t="str">
        <f>MID(VLOOKUP($A225,Seqs!$A:$B,2,FALSE),VLOOKUP($A225,'SegEnds_NonXtal_Prot#'!A:AL,10,FALSE)+7,1)</f>
        <v>C</v>
      </c>
      <c r="Y225" s="49" t="str">
        <f>MID(VLOOKUP($A225,Seqs!$A:$B,2,FALSE),VLOOKUP($A225,'SegEnds_NonXtal_Prot#'!A:AL,10,FALSE)+8,1)</f>
        <v>I</v>
      </c>
      <c r="Z225" s="49" t="str">
        <f>MID(VLOOKUP($A225,Seqs!$A:$B,2,FALSE),VLOOKUP($A225,'SegEnds_NonXtal_Prot#'!A:AL,10,FALSE)+9,1)</f>
        <v>H</v>
      </c>
      <c r="AA225" s="49" t="str">
        <f>MID(VLOOKUP($A225,Seqs!$A:$B,2,FALSE),VLOOKUP($A225,'SegEnds_NonXtal_Prot#'!A:AL,10,FALSE)+10,1)</f>
        <v>F</v>
      </c>
      <c r="AB225" s="28" t="str">
        <f>MID(VLOOKUP($A225,Seqs!$A:$B,2,FALSE),VLOOKUP($A225,'SegEnds_NonXtal_Prot#'!$A:$AL,22,FALSE)+6,1)</f>
        <v>L</v>
      </c>
      <c r="AC225" s="49" t="str">
        <f>MID(VLOOKUP($A225,Seqs!$A:$B,2,FALSE),VLOOKUP($A225,'SegEnds_NonXtal_Prot#'!$A:$AL,22,FALSE)+7,1)</f>
        <v>S</v>
      </c>
      <c r="AD225" s="49" t="str">
        <f>MID(VLOOKUP($A225,Seqs!$A:$B,2,FALSE),VLOOKUP($A225,'SegEnds_NonXtal_Prot#'!$A:$AL,22,FALSE)+8,1)</f>
        <v>I</v>
      </c>
      <c r="AE225" s="49" t="str">
        <f>MID(VLOOKUP($A225,Seqs!$A:$B,2,FALSE),VLOOKUP($A225,'SegEnds_NonXtal_Prot#'!$A:$AL,22,FALSE)+9,1)</f>
        <v>P</v>
      </c>
      <c r="AF225" s="49" t="str">
        <f>MID(VLOOKUP($A225,Seqs!$A:$B,2,FALSE),VLOOKUP($A225,'SegEnds_NonXtal_Prot#'!$A:$AL,22,FALSE)+10,1)</f>
        <v>F</v>
      </c>
      <c r="AG225" s="28" t="str">
        <f>MID(VLOOKUP($A225,Seqs!$A:$B,2,FALSE),VLOOKUP($A225,'SegEnds_NonXtal_Prot#'!$A:$AL,28,FALSE)-4,1)</f>
        <v>Q</v>
      </c>
      <c r="AH225" s="49" t="str">
        <f>MID(VLOOKUP($A225,Seqs!$A:$B,2,FALSE),VLOOKUP($A225,'SegEnds_NonXtal_Prot#'!$A:$AL,28,FALSE),1)</f>
        <v>P</v>
      </c>
    </row>
    <row r="226" spans="1:34" s="2" customFormat="1" x14ac:dyDescent="0.2">
      <c r="A226" s="2" t="s">
        <v>1169</v>
      </c>
      <c r="B226" s="2" t="str">
        <f>LOWER(VLOOKUP(A226,Xtal_Templ!A:B,2,FALSE))</f>
        <v>ox2r_human</v>
      </c>
      <c r="C226" s="2" t="str">
        <f>VLOOKUP(A226,Classification!A:D,2,FALSE)</f>
        <v>A</v>
      </c>
      <c r="D226" s="2" t="str">
        <f>IF(ISERROR(MATCH(A226,'SegEnds_Xtal_Prot#'!B:B, 0)), "NoXtal", "Xtal")</f>
        <v>Xtal</v>
      </c>
      <c r="G226" s="2" t="s">
        <v>5</v>
      </c>
      <c r="H226" s="4"/>
      <c r="N226" s="2" t="s">
        <v>14</v>
      </c>
      <c r="R226" s="2" t="s">
        <v>9</v>
      </c>
      <c r="T226" s="4" t="s">
        <v>12</v>
      </c>
      <c r="V226" s="28" t="str">
        <f>MID(VLOOKUP($A226,Seqs!$A:$B,2,FALSE),VLOOKUP($A226,'SegEnds_NonXtal_Prot#'!A:AL,10,FALSE),1)</f>
        <v>D</v>
      </c>
      <c r="W226" s="49" t="str">
        <f>MID(VLOOKUP($A226,Seqs!$A:$B,2,FALSE),VLOOKUP($A226,'SegEnds_NonXtal_Prot#'!A:AL,10,FALSE)+6,1)</f>
        <v>T</v>
      </c>
      <c r="X226" s="49" t="str">
        <f>MID(VLOOKUP($A226,Seqs!$A:$B,2,FALSE),VLOOKUP($A226,'SegEnds_NonXtal_Prot#'!A:AL,10,FALSE)+7,1)</f>
        <v>C</v>
      </c>
      <c r="Y226" s="49" t="str">
        <f>MID(VLOOKUP($A226,Seqs!$A:$B,2,FALSE),VLOOKUP($A226,'SegEnds_NonXtal_Prot#'!A:AL,10,FALSE)+8,1)</f>
        <v>L</v>
      </c>
      <c r="Z226" s="49" t="str">
        <f>MID(VLOOKUP($A226,Seqs!$A:$B,2,FALSE),VLOOKUP($A226,'SegEnds_NonXtal_Prot#'!A:AL,10,FALSE)+9,1)</f>
        <v>P</v>
      </c>
      <c r="AA226" s="49" t="str">
        <f>MID(VLOOKUP($A226,Seqs!$A:$B,2,FALSE),VLOOKUP($A226,'SegEnds_NonXtal_Prot#'!A:AL,10,FALSE)+10,1)</f>
        <v>A</v>
      </c>
      <c r="AB226" s="28" t="str">
        <f>MID(VLOOKUP($A226,Seqs!$A:$B,2,FALSE),VLOOKUP($A226,'SegEnds_NonXtal_Prot#'!$A:$AL,22,FALSE)+6,1)</f>
        <v>I</v>
      </c>
      <c r="AC226" s="49" t="str">
        <f>MID(VLOOKUP($A226,Seqs!$A:$B,2,FALSE),VLOOKUP($A226,'SegEnds_NonXtal_Prot#'!$A:$AL,22,FALSE)+7,1)</f>
        <v>M</v>
      </c>
      <c r="AD226" s="49" t="str">
        <f>MID(VLOOKUP($A226,Seqs!$A:$B,2,FALSE),VLOOKUP($A226,'SegEnds_NonXtal_Prot#'!$A:$AL,22,FALSE)+8,1)</f>
        <v>I</v>
      </c>
      <c r="AE226" s="49" t="str">
        <f>MID(VLOOKUP($A226,Seqs!$A:$B,2,FALSE),VLOOKUP($A226,'SegEnds_NonXtal_Prot#'!$A:$AL,22,FALSE)+9,1)</f>
        <v>P</v>
      </c>
      <c r="AF226" s="49" t="str">
        <f>MID(VLOOKUP($A226,Seqs!$A:$B,2,FALSE),VLOOKUP($A226,'SegEnds_NonXtal_Prot#'!$A:$AL,22,FALSE)+10,1)</f>
        <v>Q</v>
      </c>
      <c r="AG226" s="28" t="str">
        <f>MID(VLOOKUP($A226,Seqs!$A:$B,2,FALSE),VLOOKUP($A226,'SegEnds_NonXtal_Prot#'!$A:$AL,28,FALSE)-4,1)</f>
        <v>T</v>
      </c>
      <c r="AH226" s="49" t="str">
        <f>MID(VLOOKUP($A226,Seqs!$A:$B,2,FALSE),VLOOKUP($A226,'SegEnds_NonXtal_Prot#'!$A:$AL,28,FALSE),1)</f>
        <v>P</v>
      </c>
    </row>
    <row r="227" spans="1:34" s="2" customFormat="1" x14ac:dyDescent="0.2">
      <c r="A227" s="2" t="s">
        <v>358</v>
      </c>
      <c r="B227" s="2" t="str">
        <f>LOWER(VLOOKUP(A227,Xtal_Templ!A:B,2,FALSE))</f>
        <v>pe2r4_human</v>
      </c>
      <c r="C227" s="2" t="str">
        <f>VLOOKUP(A227,Classification!A:D,2,FALSE)</f>
        <v>A</v>
      </c>
      <c r="D227" s="2" t="str">
        <f>IF(ISERROR(MATCH(A227,'SegEnds_Xtal_Prot#'!B:B, 0)), "NoXtal", "Xtal")</f>
        <v>NoXtal</v>
      </c>
      <c r="G227" s="2" t="s">
        <v>5</v>
      </c>
      <c r="H227" s="4"/>
      <c r="T227" s="4" t="s">
        <v>12</v>
      </c>
      <c r="V227" s="28" t="str">
        <f>MID(VLOOKUP($A227,Seqs!$A:$B,2,FALSE),VLOOKUP($A227,'SegEnds_NonXtal_Prot#'!A:AL,10,FALSE),1)</f>
        <v>D</v>
      </c>
      <c r="W227" s="49" t="str">
        <f>MID(VLOOKUP($A227,Seqs!$A:$B,2,FALSE),VLOOKUP($A227,'SegEnds_NonXtal_Prot#'!A:AL,10,FALSE)+6,1)</f>
        <v>L</v>
      </c>
      <c r="X227" s="49" t="str">
        <f>MID(VLOOKUP($A227,Seqs!$A:$B,2,FALSE),VLOOKUP($A227,'SegEnds_NonXtal_Prot#'!A:AL,10,FALSE)+7,1)</f>
        <v>L</v>
      </c>
      <c r="Y227" s="49" t="str">
        <f>MID(VLOOKUP($A227,Seqs!$A:$B,2,FALSE),VLOOKUP($A227,'SegEnds_NonXtal_Prot#'!A:AL,10,FALSE)+8,1)</f>
        <v>S</v>
      </c>
      <c r="Z227" s="49" t="str">
        <f>MID(VLOOKUP($A227,Seqs!$A:$B,2,FALSE),VLOOKUP($A227,'SegEnds_NonXtal_Prot#'!A:AL,10,FALSE)+9,1)</f>
        <v>P</v>
      </c>
      <c r="AA227" s="49" t="str">
        <f>MID(VLOOKUP($A227,Seqs!$A:$B,2,FALSE),VLOOKUP($A227,'SegEnds_NonXtal_Prot#'!A:AL,10,FALSE)+10,1)</f>
        <v>V</v>
      </c>
      <c r="AB227" s="28" t="str">
        <f>MID(VLOOKUP($A227,Seqs!$A:$B,2,FALSE),VLOOKUP($A227,'SegEnds_NonXtal_Prot#'!$A:$AL,22,FALSE)+6,1)</f>
        <v>F</v>
      </c>
      <c r="AC227" s="49" t="str">
        <f>MID(VLOOKUP($A227,Seqs!$A:$B,2,FALSE),VLOOKUP($A227,'SegEnds_NonXtal_Prot#'!$A:$AL,22,FALSE)+7,1)</f>
        <v>C</v>
      </c>
      <c r="AD227" s="49" t="str">
        <f>MID(VLOOKUP($A227,Seqs!$A:$B,2,FALSE),VLOOKUP($A227,'SegEnds_NonXtal_Prot#'!$A:$AL,22,FALSE)+8,1)</f>
        <v>A</v>
      </c>
      <c r="AE227" s="49" t="str">
        <f>MID(VLOOKUP($A227,Seqs!$A:$B,2,FALSE),VLOOKUP($A227,'SegEnds_NonXtal_Prot#'!$A:$AL,22,FALSE)+9,1)</f>
        <v>L</v>
      </c>
      <c r="AF227" s="49" t="str">
        <f>MID(VLOOKUP($A227,Seqs!$A:$B,2,FALSE),VLOOKUP($A227,'SegEnds_NonXtal_Prot#'!$A:$AL,22,FALSE)+10,1)</f>
        <v>P</v>
      </c>
      <c r="AG227" s="28" t="str">
        <f>MID(VLOOKUP($A227,Seqs!$A:$B,2,FALSE),VLOOKUP($A227,'SegEnds_NonXtal_Prot#'!$A:$AL,28,FALSE)-4,1)</f>
        <v>A</v>
      </c>
      <c r="AH227" s="49" t="str">
        <f>MID(VLOOKUP($A227,Seqs!$A:$B,2,FALSE),VLOOKUP($A227,'SegEnds_NonXtal_Prot#'!$A:$AL,28,FALSE),1)</f>
        <v>L</v>
      </c>
    </row>
    <row r="228" spans="1:34" s="2" customFormat="1" x14ac:dyDescent="0.2">
      <c r="A228" s="2" t="s">
        <v>366</v>
      </c>
      <c r="B228" s="2" t="str">
        <f>LOWER(VLOOKUP(A228,Xtal_Templ!A:B,2,FALSE))</f>
        <v>npy1r_human</v>
      </c>
      <c r="C228" s="2" t="str">
        <f>VLOOKUP(A228,Classification!A:D,2,FALSE)</f>
        <v>A</v>
      </c>
      <c r="D228" s="2" t="str">
        <f>IF(ISERROR(MATCH(A228,'SegEnds_Xtal_Prot#'!B:B, 0)), "NoXtal", "Xtal")</f>
        <v>NoXtal</v>
      </c>
      <c r="G228" s="2" t="s">
        <v>5</v>
      </c>
      <c r="H228" s="4"/>
      <c r="N228" s="2" t="s">
        <v>14</v>
      </c>
      <c r="R228" s="2" t="s">
        <v>9</v>
      </c>
      <c r="T228" s="4" t="s">
        <v>12</v>
      </c>
      <c r="V228" s="28" t="str">
        <f>MID(VLOOKUP($A228,Seqs!$A:$B,2,FALSE),VLOOKUP($A228,'SegEnds_NonXtal_Prot#'!A:AL,10,FALSE),1)</f>
        <v>D</v>
      </c>
      <c r="W228" s="49" t="str">
        <f>MID(VLOOKUP($A228,Seqs!$A:$B,2,FALSE),VLOOKUP($A228,'SegEnds_NonXtal_Prot#'!A:AL,10,FALSE)+6,1)</f>
        <v>V</v>
      </c>
      <c r="X228" s="49" t="str">
        <f>MID(VLOOKUP($A228,Seqs!$A:$B,2,FALSE),VLOOKUP($A228,'SegEnds_NonXtal_Prot#'!A:AL,10,FALSE)+7,1)</f>
        <v>C</v>
      </c>
      <c r="Y228" s="49" t="str">
        <f>MID(VLOOKUP($A228,Seqs!$A:$B,2,FALSE),VLOOKUP($A228,'SegEnds_NonXtal_Prot#'!A:AL,10,FALSE)+8,1)</f>
        <v>C</v>
      </c>
      <c r="Z228" s="49" t="str">
        <f>MID(VLOOKUP($A228,Seqs!$A:$B,2,FALSE),VLOOKUP($A228,'SegEnds_NonXtal_Prot#'!A:AL,10,FALSE)+9,1)</f>
        <v>P</v>
      </c>
      <c r="AA228" s="49" t="str">
        <f>MID(VLOOKUP($A228,Seqs!$A:$B,2,FALSE),VLOOKUP($A228,'SegEnds_NonXtal_Prot#'!A:AL,10,FALSE)+10,1)</f>
        <v>F</v>
      </c>
      <c r="AB228" s="28" t="str">
        <f>MID(VLOOKUP($A228,Seqs!$A:$B,2,FALSE),VLOOKUP($A228,'SegEnds_NonXtal_Prot#'!$A:$AL,22,FALSE)+6,1)</f>
        <v>I</v>
      </c>
      <c r="AC228" s="49" t="str">
        <f>MID(VLOOKUP($A228,Seqs!$A:$B,2,FALSE),VLOOKUP($A228,'SegEnds_NonXtal_Prot#'!$A:$AL,22,FALSE)+7,1)</f>
        <v>A</v>
      </c>
      <c r="AD228" s="49" t="str">
        <f>MID(VLOOKUP($A228,Seqs!$A:$B,2,FALSE),VLOOKUP($A228,'SegEnds_NonXtal_Prot#'!$A:$AL,22,FALSE)+8,1)</f>
        <v>I</v>
      </c>
      <c r="AE228" s="49" t="str">
        <f>MID(VLOOKUP($A228,Seqs!$A:$B,2,FALSE),VLOOKUP($A228,'SegEnds_NonXtal_Prot#'!$A:$AL,22,FALSE)+9,1)</f>
        <v>P</v>
      </c>
      <c r="AF228" s="49" t="str">
        <f>MID(VLOOKUP($A228,Seqs!$A:$B,2,FALSE),VLOOKUP($A228,'SegEnds_NonXtal_Prot#'!$A:$AL,22,FALSE)+10,1)</f>
        <v>S</v>
      </c>
      <c r="AG228" s="28" t="str">
        <f>MID(VLOOKUP($A228,Seqs!$A:$B,2,FALSE),VLOOKUP($A228,'SegEnds_NonXtal_Prot#'!$A:$AL,28,FALSE)-4,1)</f>
        <v>E</v>
      </c>
      <c r="AH228" s="49" t="str">
        <f>MID(VLOOKUP($A228,Seqs!$A:$B,2,FALSE),VLOOKUP($A228,'SegEnds_NonXtal_Prot#'!$A:$AL,28,FALSE),1)</f>
        <v>P</v>
      </c>
    </row>
    <row r="229" spans="1:34" s="2" customFormat="1" x14ac:dyDescent="0.2">
      <c r="A229" s="2" t="s">
        <v>367</v>
      </c>
      <c r="B229" s="2" t="str">
        <f>LOWER(VLOOKUP(A229,Xtal_Templ!A:B,2,FALSE))</f>
        <v>npy1r_human</v>
      </c>
      <c r="C229" s="2" t="str">
        <f>VLOOKUP(A229,Classification!A:D,2,FALSE)</f>
        <v>A</v>
      </c>
      <c r="D229" s="2" t="str">
        <f>IF(ISERROR(MATCH(A229,'SegEnds_Xtal_Prot#'!B:B, 0)), "NoXtal", "Xtal")</f>
        <v>NoXtal</v>
      </c>
      <c r="G229" s="2" t="s">
        <v>5</v>
      </c>
      <c r="H229" s="4"/>
      <c r="N229" s="2" t="s">
        <v>14</v>
      </c>
      <c r="R229" s="2" t="s">
        <v>9</v>
      </c>
      <c r="T229" s="4" t="s">
        <v>12</v>
      </c>
      <c r="V229" s="28" t="str">
        <f>MID(VLOOKUP($A229,Seqs!$A:$B,2,FALSE),VLOOKUP($A229,'SegEnds_NonXtal_Prot#'!A:AL,10,FALSE),1)</f>
        <v>D</v>
      </c>
      <c r="W229" s="49" t="str">
        <f>MID(VLOOKUP($A229,Seqs!$A:$B,2,FALSE),VLOOKUP($A229,'SegEnds_NonXtal_Prot#'!A:AL,10,FALSE)+6,1)</f>
        <v>I</v>
      </c>
      <c r="X229" s="49" t="str">
        <f>MID(VLOOKUP($A229,Seqs!$A:$B,2,FALSE),VLOOKUP($A229,'SegEnds_NonXtal_Prot#'!A:AL,10,FALSE)+7,1)</f>
        <v>C</v>
      </c>
      <c r="Y229" s="49" t="str">
        <f>MID(VLOOKUP($A229,Seqs!$A:$B,2,FALSE),VLOOKUP($A229,'SegEnds_NonXtal_Prot#'!A:AL,10,FALSE)+8,1)</f>
        <v>C</v>
      </c>
      <c r="Z229" s="49" t="str">
        <f>MID(VLOOKUP($A229,Seqs!$A:$B,2,FALSE),VLOOKUP($A229,'SegEnds_NonXtal_Prot#'!A:AL,10,FALSE)+9,1)</f>
        <v>P</v>
      </c>
      <c r="AA229" s="49" t="str">
        <f>MID(VLOOKUP($A229,Seqs!$A:$B,2,FALSE),VLOOKUP($A229,'SegEnds_NonXtal_Prot#'!A:AL,10,FALSE)+10,1)</f>
        <v>F</v>
      </c>
      <c r="AB229" s="28" t="str">
        <f>MID(VLOOKUP($A229,Seqs!$A:$B,2,FALSE),VLOOKUP($A229,'SegEnds_NonXtal_Prot#'!$A:$AL,22,FALSE)+6,1)</f>
        <v>I</v>
      </c>
      <c r="AC229" s="49" t="str">
        <f>MID(VLOOKUP($A229,Seqs!$A:$B,2,FALSE),VLOOKUP($A229,'SegEnds_NonXtal_Prot#'!$A:$AL,22,FALSE)+7,1)</f>
        <v>A</v>
      </c>
      <c r="AD229" s="49" t="str">
        <f>MID(VLOOKUP($A229,Seqs!$A:$B,2,FALSE),VLOOKUP($A229,'SegEnds_NonXtal_Prot#'!$A:$AL,22,FALSE)+8,1)</f>
        <v>I</v>
      </c>
      <c r="AE229" s="49" t="str">
        <f>MID(VLOOKUP($A229,Seqs!$A:$B,2,FALSE),VLOOKUP($A229,'SegEnds_NonXtal_Prot#'!$A:$AL,22,FALSE)+9,1)</f>
        <v>P</v>
      </c>
      <c r="AF229" s="49" t="str">
        <f>MID(VLOOKUP($A229,Seqs!$A:$B,2,FALSE),VLOOKUP($A229,'SegEnds_NonXtal_Prot#'!$A:$AL,22,FALSE)+10,1)</f>
        <v>S</v>
      </c>
      <c r="AG229" s="28" t="str">
        <f>MID(VLOOKUP($A229,Seqs!$A:$B,2,FALSE),VLOOKUP($A229,'SegEnds_NonXtal_Prot#'!$A:$AL,28,FALSE)-4,1)</f>
        <v>E</v>
      </c>
      <c r="AH229" s="49" t="str">
        <f>MID(VLOOKUP($A229,Seqs!$A:$B,2,FALSE),VLOOKUP($A229,'SegEnds_NonXtal_Prot#'!$A:$AL,28,FALSE),1)</f>
        <v>P</v>
      </c>
    </row>
    <row r="230" spans="1:34" s="2" customFormat="1" x14ac:dyDescent="0.2">
      <c r="A230" s="2" t="s">
        <v>368</v>
      </c>
      <c r="B230" s="2" t="str">
        <f>LOWER(VLOOKUP(A230,Xtal_Templ!A:B,2,FALSE))</f>
        <v>ox2r_human</v>
      </c>
      <c r="C230" s="2" t="str">
        <f>VLOOKUP(A230,Classification!A:D,2,FALSE)</f>
        <v>A</v>
      </c>
      <c r="D230" s="2" t="str">
        <f>IF(ISERROR(MATCH(A230,'SegEnds_Xtal_Prot#'!B:B, 0)), "NoXtal", "Xtal")</f>
        <v>NoXtal</v>
      </c>
      <c r="G230" s="2" t="s">
        <v>5</v>
      </c>
      <c r="H230" s="4"/>
      <c r="N230" s="2" t="s">
        <v>14</v>
      </c>
      <c r="R230" s="2" t="s">
        <v>9</v>
      </c>
      <c r="T230" s="4" t="s">
        <v>12</v>
      </c>
      <c r="V230" s="28" t="str">
        <f>MID(VLOOKUP($A230,Seqs!$A:$B,2,FALSE),VLOOKUP($A230,'SegEnds_NonXtal_Prot#'!A:AL,10,FALSE),1)</f>
        <v>D</v>
      </c>
      <c r="W230" s="49" t="str">
        <f>MID(VLOOKUP($A230,Seqs!$A:$B,2,FALSE),VLOOKUP($A230,'SegEnds_NonXtal_Prot#'!A:AL,10,FALSE)+6,1)</f>
        <v>A</v>
      </c>
      <c r="X230" s="49" t="str">
        <f>MID(VLOOKUP($A230,Seqs!$A:$B,2,FALSE),VLOOKUP($A230,'SegEnds_NonXtal_Prot#'!A:AL,10,FALSE)+7,1)</f>
        <v>C</v>
      </c>
      <c r="Y230" s="49" t="str">
        <f>MID(VLOOKUP($A230,Seqs!$A:$B,2,FALSE),VLOOKUP($A230,'SegEnds_NonXtal_Prot#'!A:AL,10,FALSE)+8,1)</f>
        <v>V</v>
      </c>
      <c r="Z230" s="49" t="str">
        <f>MID(VLOOKUP($A230,Seqs!$A:$B,2,FALSE),VLOOKUP($A230,'SegEnds_NonXtal_Prot#'!A:AL,10,FALSE)+9,1)</f>
        <v>P</v>
      </c>
      <c r="AA230" s="49" t="str">
        <f>MID(VLOOKUP($A230,Seqs!$A:$B,2,FALSE),VLOOKUP($A230,'SegEnds_NonXtal_Prot#'!A:AL,10,FALSE)+10,1)</f>
        <v>L</v>
      </c>
      <c r="AB230" s="28" t="str">
        <f>MID(VLOOKUP($A230,Seqs!$A:$B,2,FALSE),VLOOKUP($A230,'SegEnds_NonXtal_Prot#'!$A:$AL,22,FALSE)+6,1)</f>
        <v>L</v>
      </c>
      <c r="AC230" s="49" t="str">
        <f>MID(VLOOKUP($A230,Seqs!$A:$B,2,FALSE),VLOOKUP($A230,'SegEnds_NonXtal_Prot#'!$A:$AL,22,FALSE)+7,1)</f>
        <v>A</v>
      </c>
      <c r="AD230" s="49" t="str">
        <f>MID(VLOOKUP($A230,Seqs!$A:$B,2,FALSE),VLOOKUP($A230,'SegEnds_NonXtal_Prot#'!$A:$AL,22,FALSE)+8,1)</f>
        <v>L</v>
      </c>
      <c r="AE230" s="49" t="str">
        <f>MID(VLOOKUP($A230,Seqs!$A:$B,2,FALSE),VLOOKUP($A230,'SegEnds_NonXtal_Prot#'!$A:$AL,22,FALSE)+9,1)</f>
        <v>P</v>
      </c>
      <c r="AF230" s="49" t="str">
        <f>MID(VLOOKUP($A230,Seqs!$A:$B,2,FALSE),VLOOKUP($A230,'SegEnds_NonXtal_Prot#'!$A:$AL,22,FALSE)+10,1)</f>
        <v>A</v>
      </c>
      <c r="AG230" s="28" t="str">
        <f>MID(VLOOKUP($A230,Seqs!$A:$B,2,FALSE),VLOOKUP($A230,'SegEnds_NonXtal_Prot#'!$A:$AL,28,FALSE)-4,1)</f>
        <v>T</v>
      </c>
      <c r="AH230" s="49" t="str">
        <f>MID(VLOOKUP($A230,Seqs!$A:$B,2,FALSE),VLOOKUP($A230,'SegEnds_NonXtal_Prot#'!$A:$AL,28,FALSE),1)</f>
        <v>P</v>
      </c>
    </row>
    <row r="231" spans="1:34" s="2" customFormat="1" x14ac:dyDescent="0.2">
      <c r="A231" s="2" t="s">
        <v>371</v>
      </c>
      <c r="B231" s="2" t="str">
        <f>LOWER(VLOOKUP(A231,Xtal_Templ!A:B,2,FALSE))</f>
        <v>ox2r_human</v>
      </c>
      <c r="C231" s="2" t="str">
        <f>VLOOKUP(A231,Classification!A:D,2,FALSE)</f>
        <v>A</v>
      </c>
      <c r="D231" s="2" t="str">
        <f>IF(ISERROR(MATCH(A231,'SegEnds_Xtal_Prot#'!B:B, 0)), "NoXtal", "Xtal")</f>
        <v>NoXtal</v>
      </c>
      <c r="G231" s="2" t="s">
        <v>5</v>
      </c>
      <c r="H231" s="4"/>
      <c r="R231" s="2" t="s">
        <v>9</v>
      </c>
      <c r="T231" s="4" t="s">
        <v>12</v>
      </c>
      <c r="V231" s="28" t="str">
        <f>MID(VLOOKUP($A231,Seqs!$A:$B,2,FALSE),VLOOKUP($A231,'SegEnds_NonXtal_Prot#'!A:AL,10,FALSE),1)</f>
        <v>D</v>
      </c>
      <c r="W231" s="49" t="str">
        <f>MID(VLOOKUP($A231,Seqs!$A:$B,2,FALSE),VLOOKUP($A231,'SegEnds_NonXtal_Prot#'!A:AL,10,FALSE)+6,1)</f>
        <v>F</v>
      </c>
      <c r="X231" s="49" t="str">
        <f>MID(VLOOKUP($A231,Seqs!$A:$B,2,FALSE),VLOOKUP($A231,'SegEnds_NonXtal_Prot#'!A:AL,10,FALSE)+7,1)</f>
        <v>C</v>
      </c>
      <c r="Y231" s="49" t="str">
        <f>MID(VLOOKUP($A231,Seqs!$A:$B,2,FALSE),VLOOKUP($A231,'SegEnds_NonXtal_Prot#'!A:AL,10,FALSE)+8,1)</f>
        <v>I</v>
      </c>
      <c r="Z231" s="49" t="str">
        <f>MID(VLOOKUP($A231,Seqs!$A:$B,2,FALSE),VLOOKUP($A231,'SegEnds_NonXtal_Prot#'!A:AL,10,FALSE)+9,1)</f>
        <v>P</v>
      </c>
      <c r="AA231" s="49" t="str">
        <f>MID(VLOOKUP($A231,Seqs!$A:$B,2,FALSE),VLOOKUP($A231,'SegEnds_NonXtal_Prot#'!A:AL,10,FALSE)+10,1)</f>
        <v>V</v>
      </c>
      <c r="AB231" s="28" t="str">
        <f>MID(VLOOKUP($A231,Seqs!$A:$B,2,FALSE),VLOOKUP($A231,'SegEnds_NonXtal_Prot#'!$A:$AL,22,FALSE)+6,1)</f>
        <v>V</v>
      </c>
      <c r="AC231" s="49" t="str">
        <f>MID(VLOOKUP($A231,Seqs!$A:$B,2,FALSE),VLOOKUP($A231,'SegEnds_NonXtal_Prot#'!$A:$AL,22,FALSE)+7,1)</f>
        <v>G</v>
      </c>
      <c r="AD231" s="49" t="str">
        <f>MID(VLOOKUP($A231,Seqs!$A:$B,2,FALSE),VLOOKUP($A231,'SegEnds_NonXtal_Prot#'!$A:$AL,22,FALSE)+8,1)</f>
        <v>S</v>
      </c>
      <c r="AE231" s="49" t="str">
        <f>MID(VLOOKUP($A231,Seqs!$A:$B,2,FALSE),VLOOKUP($A231,'SegEnds_NonXtal_Prot#'!$A:$AL,22,FALSE)+9,1)</f>
        <v>P</v>
      </c>
      <c r="AF231" s="49" t="str">
        <f>MID(VLOOKUP($A231,Seqs!$A:$B,2,FALSE),VLOOKUP($A231,'SegEnds_NonXtal_Prot#'!$A:$AL,22,FALSE)+10,1)</f>
        <v>M</v>
      </c>
      <c r="AG231" s="28" t="str">
        <f>MID(VLOOKUP($A231,Seqs!$A:$B,2,FALSE),VLOOKUP($A231,'SegEnds_NonXtal_Prot#'!$A:$AL,28,FALSE)-4,1)</f>
        <v>L</v>
      </c>
      <c r="AH231" s="49" t="str">
        <f>MID(VLOOKUP($A231,Seqs!$A:$B,2,FALSE),VLOOKUP($A231,'SegEnds_NonXtal_Prot#'!$A:$AL,28,FALSE),1)</f>
        <v>P</v>
      </c>
    </row>
    <row r="232" spans="1:34" s="2" customFormat="1" x14ac:dyDescent="0.2">
      <c r="A232" s="2" t="s">
        <v>179</v>
      </c>
      <c r="B232" s="2" t="str">
        <f>LOWER(VLOOKUP(A232,Xtal_Templ!A:B,2,FALSE))</f>
        <v>cltr1_human</v>
      </c>
      <c r="C232" s="2" t="str">
        <f>VLOOKUP(A232,Classification!A:D,2,FALSE)</f>
        <v>A</v>
      </c>
      <c r="D232" s="2" t="str">
        <f>IF(ISERROR(MATCH(A232,'SegEnds_Xtal_Prot#'!B:B, 0)), "NoXtal", "Xtal")</f>
        <v>Xtal</v>
      </c>
      <c r="H232" s="4"/>
      <c r="N232" s="2" t="s">
        <v>14</v>
      </c>
      <c r="R232" s="2" t="s">
        <v>9</v>
      </c>
      <c r="S232" s="2" t="s">
        <v>1316</v>
      </c>
      <c r="T232" s="4" t="s">
        <v>12</v>
      </c>
      <c r="V232" s="28" t="str">
        <f>MID(VLOOKUP($A232,Seqs!$A:$B,2,FALSE),VLOOKUP($A232,'SegEnds_NonXtal_Prot#'!A:AL,10,FALSE),1)</f>
        <v>D</v>
      </c>
      <c r="W232" s="49" t="str">
        <f>MID(VLOOKUP($A232,Seqs!$A:$B,2,FALSE),VLOOKUP($A232,'SegEnds_NonXtal_Prot#'!A:AL,10,FALSE)+6,1)</f>
        <v>T</v>
      </c>
      <c r="X232" s="49" t="str">
        <f>MID(VLOOKUP($A232,Seqs!$A:$B,2,FALSE),VLOOKUP($A232,'SegEnds_NonXtal_Prot#'!A:AL,10,FALSE)+7,1)</f>
        <v>L</v>
      </c>
      <c r="Y232" s="49" t="str">
        <f>MID(VLOOKUP($A232,Seqs!$A:$B,2,FALSE),VLOOKUP($A232,'SegEnds_NonXtal_Prot#'!A:AL,10,FALSE)+8,1)</f>
        <v>P</v>
      </c>
      <c r="Z232" s="49" t="str">
        <f>MID(VLOOKUP($A232,Seqs!$A:$B,2,FALSE),VLOOKUP($A232,'SegEnds_NonXtal_Prot#'!A:AL,10,FALSE)+9,1)</f>
        <v>L</v>
      </c>
      <c r="AA232" s="49" t="str">
        <f>MID(VLOOKUP($A232,Seqs!$A:$B,2,FALSE),VLOOKUP($A232,'SegEnds_NonXtal_Prot#'!A:AL,10,FALSE)+10,1)</f>
        <v>R</v>
      </c>
      <c r="AB232" s="28" t="str">
        <f>MID(VLOOKUP($A232,Seqs!$A:$B,2,FALSE),VLOOKUP($A232,'SegEnds_NonXtal_Prot#'!$A:$AL,22,FALSE)+6,1)</f>
        <v>T</v>
      </c>
      <c r="AC232" s="49" t="str">
        <f>MID(VLOOKUP($A232,Seqs!$A:$B,2,FALSE),VLOOKUP($A232,'SegEnds_NonXtal_Prot#'!$A:$AL,22,FALSE)+7,1)</f>
        <v>S</v>
      </c>
      <c r="AD232" s="49" t="str">
        <f>MID(VLOOKUP($A232,Seqs!$A:$B,2,FALSE),VLOOKUP($A232,'SegEnds_NonXtal_Prot#'!$A:$AL,22,FALSE)+8,1)</f>
        <v>S</v>
      </c>
      <c r="AE232" s="49" t="str">
        <f>MID(VLOOKUP($A232,Seqs!$A:$B,2,FALSE),VLOOKUP($A232,'SegEnds_NonXtal_Prot#'!$A:$AL,22,FALSE)+9,1)</f>
        <v>P</v>
      </c>
      <c r="AF232" s="49" t="str">
        <f>MID(VLOOKUP($A232,Seqs!$A:$B,2,FALSE),VLOOKUP($A232,'SegEnds_NonXtal_Prot#'!$A:$AL,22,FALSE)+10,1)</f>
        <v>F</v>
      </c>
      <c r="AG232" s="28" t="str">
        <f>MID(VLOOKUP($A232,Seqs!$A:$B,2,FALSE),VLOOKUP($A232,'SegEnds_NonXtal_Prot#'!$A:$AL,28,FALSE)-4,1)</f>
        <v>G</v>
      </c>
      <c r="AH232" s="49" t="str">
        <f>MID(VLOOKUP($A232,Seqs!$A:$B,2,FALSE),VLOOKUP($A232,'SegEnds_NonXtal_Prot#'!$A:$AL,28,FALSE),1)</f>
        <v>P</v>
      </c>
    </row>
    <row r="233" spans="1:34" s="2" customFormat="1" x14ac:dyDescent="0.2">
      <c r="A233" s="2" t="s">
        <v>180</v>
      </c>
      <c r="B233" s="2" t="str">
        <f>LOWER(VLOOKUP(A233,Xtal_Templ!A:B,2,FALSE))</f>
        <v>cltr2_human</v>
      </c>
      <c r="C233" s="2" t="str">
        <f>VLOOKUP(A233,Classification!A:D,2,FALSE)</f>
        <v>A</v>
      </c>
      <c r="D233" s="2" t="str">
        <f>IF(ISERROR(MATCH(A233,'SegEnds_Xtal_Prot#'!B:B, 0)), "NoXtal", "Xtal")</f>
        <v>Xtal</v>
      </c>
      <c r="H233" s="4"/>
      <c r="N233" s="2" t="s">
        <v>14</v>
      </c>
      <c r="R233" s="2" t="s">
        <v>9</v>
      </c>
      <c r="S233" s="2" t="s">
        <v>1316</v>
      </c>
      <c r="T233" s="4" t="s">
        <v>12</v>
      </c>
      <c r="V233" s="28" t="str">
        <f>MID(VLOOKUP($A233,Seqs!$A:$B,2,FALSE),VLOOKUP($A233,'SegEnds_NonXtal_Prot#'!A:AL,10,FALSE),1)</f>
        <v>D</v>
      </c>
      <c r="W233" s="49" t="str">
        <f>MID(VLOOKUP($A233,Seqs!$A:$B,2,FALSE),VLOOKUP($A233,'SegEnds_NonXtal_Prot#'!A:AL,10,FALSE)+6,1)</f>
        <v>T</v>
      </c>
      <c r="X233" s="49" t="str">
        <f>MID(VLOOKUP($A233,Seqs!$A:$B,2,FALSE),VLOOKUP($A233,'SegEnds_NonXtal_Prot#'!A:AL,10,FALSE)+7,1)</f>
        <v>L</v>
      </c>
      <c r="Y233" s="49" t="str">
        <f>MID(VLOOKUP($A233,Seqs!$A:$B,2,FALSE),VLOOKUP($A233,'SegEnds_NonXtal_Prot#'!A:AL,10,FALSE)+8,1)</f>
        <v>P</v>
      </c>
      <c r="Z233" s="49" t="str">
        <f>MID(VLOOKUP($A233,Seqs!$A:$B,2,FALSE),VLOOKUP($A233,'SegEnds_NonXtal_Prot#'!A:AL,10,FALSE)+9,1)</f>
        <v>F</v>
      </c>
      <c r="AA233" s="49" t="str">
        <f>MID(VLOOKUP($A233,Seqs!$A:$B,2,FALSE),VLOOKUP($A233,'SegEnds_NonXtal_Prot#'!A:AL,10,FALSE)+10,1)</f>
        <v>R</v>
      </c>
      <c r="AB233" s="28" t="str">
        <f>MID(VLOOKUP($A233,Seqs!$A:$B,2,FALSE),VLOOKUP($A233,'SegEnds_NonXtal_Prot#'!$A:$AL,22,FALSE)+6,1)</f>
        <v>S</v>
      </c>
      <c r="AC233" s="49" t="str">
        <f>MID(VLOOKUP($A233,Seqs!$A:$B,2,FALSE),VLOOKUP($A233,'SegEnds_NonXtal_Prot#'!$A:$AL,22,FALSE)+7,1)</f>
        <v>S</v>
      </c>
      <c r="AD233" s="49" t="str">
        <f>MID(VLOOKUP($A233,Seqs!$A:$B,2,FALSE),VLOOKUP($A233,'SegEnds_NonXtal_Prot#'!$A:$AL,22,FALSE)+8,1)</f>
        <v>I</v>
      </c>
      <c r="AE233" s="49" t="str">
        <f>MID(VLOOKUP($A233,Seqs!$A:$B,2,FALSE),VLOOKUP($A233,'SegEnds_NonXtal_Prot#'!$A:$AL,22,FALSE)+9,1)</f>
        <v>M</v>
      </c>
      <c r="AF233" s="49" t="str">
        <f>MID(VLOOKUP($A233,Seqs!$A:$B,2,FALSE),VLOOKUP($A233,'SegEnds_NonXtal_Prot#'!$A:$AL,22,FALSE)+10,1)</f>
        <v>L</v>
      </c>
      <c r="AG233" s="28" t="str">
        <f>MID(VLOOKUP($A233,Seqs!$A:$B,2,FALSE),VLOOKUP($A233,'SegEnds_NonXtal_Prot#'!$A:$AL,28,FALSE)-4,1)</f>
        <v>G</v>
      </c>
      <c r="AH233" s="49" t="str">
        <f>MID(VLOOKUP($A233,Seqs!$A:$B,2,FALSE),VLOOKUP($A233,'SegEnds_NonXtal_Prot#'!$A:$AL,28,FALSE),1)</f>
        <v>P</v>
      </c>
    </row>
    <row r="234" spans="1:34" s="2" customFormat="1" x14ac:dyDescent="0.2">
      <c r="A234" s="2" t="s">
        <v>213</v>
      </c>
      <c r="B234" s="2" t="str">
        <f>LOWER(VLOOKUP(A234,Xtal_Templ!A:B,2,FALSE))</f>
        <v>par2_human</v>
      </c>
      <c r="C234" s="2" t="str">
        <f>VLOOKUP(A234,Classification!A:D,2,FALSE)</f>
        <v>A</v>
      </c>
      <c r="D234" s="2" t="str">
        <f>IF(ISERROR(MATCH(A234,'SegEnds_Xtal_Prot#'!B:B, 0)), "NoXtal", "Xtal")</f>
        <v>NoXtal</v>
      </c>
      <c r="H234" s="4"/>
      <c r="N234" s="2" t="s">
        <v>14</v>
      </c>
      <c r="R234" s="2" t="s">
        <v>9</v>
      </c>
      <c r="T234" s="4" t="s">
        <v>12</v>
      </c>
      <c r="V234" s="28" t="str">
        <f>MID(VLOOKUP($A234,Seqs!$A:$B,2,FALSE),VLOOKUP($A234,'SegEnds_NonXtal_Prot#'!A:AL,10,FALSE),1)</f>
        <v>E</v>
      </c>
      <c r="W234" s="49" t="str">
        <f>MID(VLOOKUP($A234,Seqs!$A:$B,2,FALSE),VLOOKUP($A234,'SegEnds_NonXtal_Prot#'!A:AL,10,FALSE)+6,1)</f>
        <v>T</v>
      </c>
      <c r="X234" s="49" t="str">
        <f>MID(VLOOKUP($A234,Seqs!$A:$B,2,FALSE),VLOOKUP($A234,'SegEnds_NonXtal_Prot#'!A:AL,10,FALSE)+7,1)</f>
        <v>L</v>
      </c>
      <c r="Y234" s="49" t="str">
        <f>MID(VLOOKUP($A234,Seqs!$A:$B,2,FALSE),VLOOKUP($A234,'SegEnds_NonXtal_Prot#'!A:AL,10,FALSE)+8,1)</f>
        <v>P</v>
      </c>
      <c r="Z234" s="49" t="str">
        <f>MID(VLOOKUP($A234,Seqs!$A:$B,2,FALSE),VLOOKUP($A234,'SegEnds_NonXtal_Prot#'!A:AL,10,FALSE)+9,1)</f>
        <v>L</v>
      </c>
      <c r="AA234" s="49" t="str">
        <f>MID(VLOOKUP($A234,Seqs!$A:$B,2,FALSE),VLOOKUP($A234,'SegEnds_NonXtal_Prot#'!A:AL,10,FALSE)+10,1)</f>
        <v>W</v>
      </c>
      <c r="AB234" s="28" t="str">
        <f>MID(VLOOKUP($A234,Seqs!$A:$B,2,FALSE),VLOOKUP($A234,'SegEnds_NonXtal_Prot#'!$A:$AL,22,FALSE)+6,1)</f>
        <v>V</v>
      </c>
      <c r="AC234" s="49" t="str">
        <f>MID(VLOOKUP($A234,Seqs!$A:$B,2,FALSE),VLOOKUP($A234,'SegEnds_NonXtal_Prot#'!$A:$AL,22,FALSE)+7,1)</f>
        <v>H</v>
      </c>
      <c r="AD234" s="49" t="str">
        <f>MID(VLOOKUP($A234,Seqs!$A:$B,2,FALSE),VLOOKUP($A234,'SegEnds_NonXtal_Prot#'!$A:$AL,22,FALSE)+8,1)</f>
        <v>Y</v>
      </c>
      <c r="AE234" s="49" t="str">
        <f>MID(VLOOKUP($A234,Seqs!$A:$B,2,FALSE),VLOOKUP($A234,'SegEnds_NonXtal_Prot#'!$A:$AL,22,FALSE)+9,1)</f>
        <v>P</v>
      </c>
      <c r="AF234" s="49" t="str">
        <f>MID(VLOOKUP($A234,Seqs!$A:$B,2,FALSE),VLOOKUP($A234,'SegEnds_NonXtal_Prot#'!$A:$AL,22,FALSE)+10,1)</f>
        <v>V</v>
      </c>
      <c r="AG234" s="28" t="str">
        <f>MID(VLOOKUP($A234,Seqs!$A:$B,2,FALSE),VLOOKUP($A234,'SegEnds_NonXtal_Prot#'!$A:$AL,28,FALSE)-4,1)</f>
        <v>G</v>
      </c>
      <c r="AH234" s="49" t="str">
        <f>MID(VLOOKUP($A234,Seqs!$A:$B,2,FALSE),VLOOKUP($A234,'SegEnds_NonXtal_Prot#'!$A:$AL,28,FALSE),1)</f>
        <v>P</v>
      </c>
    </row>
    <row r="235" spans="1:34" s="2" customFormat="1" x14ac:dyDescent="0.2">
      <c r="A235" s="2" t="s">
        <v>230</v>
      </c>
      <c r="B235" s="2" t="str">
        <f>LOWER(VLOOKUP(A235,Xtal_Templ!A:B,2,FALSE))</f>
        <v>p2ry1_human</v>
      </c>
      <c r="C235" s="2" t="str">
        <f>VLOOKUP(A235,Classification!A:D,2,FALSE)</f>
        <v>A</v>
      </c>
      <c r="D235" s="2" t="str">
        <f>IF(ISERROR(MATCH(A235,'SegEnds_Xtal_Prot#'!B:B, 0)), "NoXtal", "Xtal")</f>
        <v>NoXtal</v>
      </c>
      <c r="H235" s="4"/>
      <c r="R235" s="2" t="s">
        <v>9</v>
      </c>
      <c r="T235" s="4" t="s">
        <v>12</v>
      </c>
      <c r="V235" s="28" t="str">
        <f>MID(VLOOKUP($A235,Seqs!$A:$B,2,FALSE),VLOOKUP($A235,'SegEnds_NonXtal_Prot#'!A:AL,10,FALSE),1)</f>
        <v>D</v>
      </c>
      <c r="W235" s="49" t="str">
        <f>MID(VLOOKUP($A235,Seqs!$A:$B,2,FALSE),VLOOKUP($A235,'SegEnds_NonXtal_Prot#'!A:AL,10,FALSE)+6,1)</f>
        <v>S</v>
      </c>
      <c r="X235" s="49" t="str">
        <f>MID(VLOOKUP($A235,Seqs!$A:$B,2,FALSE),VLOOKUP($A235,'SegEnds_NonXtal_Prot#'!A:AL,10,FALSE)+7,1)</f>
        <v>L</v>
      </c>
      <c r="Y235" s="49" t="str">
        <f>MID(VLOOKUP($A235,Seqs!$A:$B,2,FALSE),VLOOKUP($A235,'SegEnds_NonXtal_Prot#'!A:AL,10,FALSE)+8,1)</f>
        <v>P</v>
      </c>
      <c r="Z235" s="49" t="str">
        <f>MID(VLOOKUP($A235,Seqs!$A:$B,2,FALSE),VLOOKUP($A235,'SegEnds_NonXtal_Prot#'!A:AL,10,FALSE)+9,1)</f>
        <v>L</v>
      </c>
      <c r="AA235" s="49" t="str">
        <f>MID(VLOOKUP($A235,Seqs!$A:$B,2,FALSE),VLOOKUP($A235,'SegEnds_NonXtal_Prot#'!A:AL,10,FALSE)+10,1)</f>
        <v>R</v>
      </c>
      <c r="AB235" s="28" t="str">
        <f>MID(VLOOKUP($A235,Seqs!$A:$B,2,FALSE),VLOOKUP($A235,'SegEnds_NonXtal_Prot#'!$A:$AL,22,FALSE)+6,1)</f>
        <v>A</v>
      </c>
      <c r="AC235" s="49" t="str">
        <f>MID(VLOOKUP($A235,Seqs!$A:$B,2,FALSE),VLOOKUP($A235,'SegEnds_NonXtal_Prot#'!$A:$AL,22,FALSE)+7,1)</f>
        <v>C</v>
      </c>
      <c r="AD235" s="49" t="str">
        <f>MID(VLOOKUP($A235,Seqs!$A:$B,2,FALSE),VLOOKUP($A235,'SegEnds_NonXtal_Prot#'!$A:$AL,22,FALSE)+8,1)</f>
        <v>V</v>
      </c>
      <c r="AE235" s="49" t="str">
        <f>MID(VLOOKUP($A235,Seqs!$A:$B,2,FALSE),VLOOKUP($A235,'SegEnds_NonXtal_Prot#'!$A:$AL,22,FALSE)+9,1)</f>
        <v>L</v>
      </c>
      <c r="AF235" s="49" t="str">
        <f>MID(VLOOKUP($A235,Seqs!$A:$B,2,FALSE),VLOOKUP($A235,'SegEnds_NonXtal_Prot#'!$A:$AL,22,FALSE)+10,1)</f>
        <v>F</v>
      </c>
      <c r="AG235" s="28" t="str">
        <f>MID(VLOOKUP($A235,Seqs!$A:$B,2,FALSE),VLOOKUP($A235,'SegEnds_NonXtal_Prot#'!$A:$AL,28,FALSE)-4,1)</f>
        <v>G</v>
      </c>
      <c r="AH235" s="49" t="str">
        <f>MID(VLOOKUP($A235,Seqs!$A:$B,2,FALSE),VLOOKUP($A235,'SegEnds_NonXtal_Prot#'!$A:$AL,28,FALSE),1)</f>
        <v>P</v>
      </c>
    </row>
    <row r="236" spans="1:34" s="2" customFormat="1" x14ac:dyDescent="0.2">
      <c r="A236" s="2" t="s">
        <v>239</v>
      </c>
      <c r="B236" s="2" t="str">
        <f>LOWER(VLOOKUP(A236,Xtal_Templ!A:B,2,FALSE))</f>
        <v>cltr2_human</v>
      </c>
      <c r="C236" s="2" t="str">
        <f>VLOOKUP(A236,Classification!A:D,2,FALSE)</f>
        <v>A</v>
      </c>
      <c r="D236" s="2" t="str">
        <f>IF(ISERROR(MATCH(A236,'SegEnds_Xtal_Prot#'!B:B, 0)), "NoXtal", "Xtal")</f>
        <v>NoXtal</v>
      </c>
      <c r="H236" s="4"/>
      <c r="N236" s="2" t="s">
        <v>14</v>
      </c>
      <c r="R236" s="2" t="s">
        <v>9</v>
      </c>
      <c r="T236" s="4" t="s">
        <v>12</v>
      </c>
      <c r="V236" s="28" t="str">
        <f>MID(VLOOKUP($A236,Seqs!$A:$B,2,FALSE),VLOOKUP($A236,'SegEnds_NonXtal_Prot#'!A:AL,10,FALSE),1)</f>
        <v>D</v>
      </c>
      <c r="W236" s="49" t="str">
        <f>MID(VLOOKUP($A236,Seqs!$A:$B,2,FALSE),VLOOKUP($A236,'SegEnds_NonXtal_Prot#'!A:AL,10,FALSE)+6,1)</f>
        <v>V</v>
      </c>
      <c r="X236" s="49" t="str">
        <f>MID(VLOOKUP($A236,Seqs!$A:$B,2,FALSE),VLOOKUP($A236,'SegEnds_NonXtal_Prot#'!A:AL,10,FALSE)+7,1)</f>
        <v>L</v>
      </c>
      <c r="Y236" s="49" t="str">
        <f>MID(VLOOKUP($A236,Seqs!$A:$B,2,FALSE),VLOOKUP($A236,'SegEnds_NonXtal_Prot#'!A:AL,10,FALSE)+8,1)</f>
        <v>P</v>
      </c>
      <c r="Z236" s="49" t="str">
        <f>MID(VLOOKUP($A236,Seqs!$A:$B,2,FALSE),VLOOKUP($A236,'SegEnds_NonXtal_Prot#'!A:AL,10,FALSE)+9,1)</f>
        <v>T</v>
      </c>
      <c r="AA236" s="49" t="str">
        <f>MID(VLOOKUP($A236,Seqs!$A:$B,2,FALSE),VLOOKUP($A236,'SegEnds_NonXtal_Prot#'!A:AL,10,FALSE)+10,1)</f>
        <v>R</v>
      </c>
      <c r="AB236" s="28" t="str">
        <f>MID(VLOOKUP($A236,Seqs!$A:$B,2,FALSE),VLOOKUP($A236,'SegEnds_NonXtal_Prot#'!$A:$AL,22,FALSE)+6,1)</f>
        <v>A</v>
      </c>
      <c r="AC236" s="49" t="str">
        <f>MID(VLOOKUP($A236,Seqs!$A:$B,2,FALSE),VLOOKUP($A236,'SegEnds_NonXtal_Prot#'!$A:$AL,22,FALSE)+7,1)</f>
        <v>M</v>
      </c>
      <c r="AD236" s="49" t="str">
        <f>MID(VLOOKUP($A236,Seqs!$A:$B,2,FALSE),VLOOKUP($A236,'SegEnds_NonXtal_Prot#'!$A:$AL,22,FALSE)+8,1)</f>
        <v>A</v>
      </c>
      <c r="AE236" s="49" t="str">
        <f>MID(VLOOKUP($A236,Seqs!$A:$B,2,FALSE),VLOOKUP($A236,'SegEnds_NonXtal_Prot#'!$A:$AL,22,FALSE)+9,1)</f>
        <v>P</v>
      </c>
      <c r="AF236" s="49" t="str">
        <f>MID(VLOOKUP($A236,Seqs!$A:$B,2,FALSE),VLOOKUP($A236,'SegEnds_NonXtal_Prot#'!$A:$AL,22,FALSE)+10,1)</f>
        <v>L</v>
      </c>
      <c r="AG236" s="28" t="str">
        <f>MID(VLOOKUP($A236,Seqs!$A:$B,2,FALSE),VLOOKUP($A236,'SegEnds_NonXtal_Prot#'!$A:$AL,28,FALSE)-4,1)</f>
        <v>A</v>
      </c>
      <c r="AH236" s="49" t="str">
        <f>MID(VLOOKUP($A236,Seqs!$A:$B,2,FALSE),VLOOKUP($A236,'SegEnds_NonXtal_Prot#'!$A:$AL,28,FALSE),1)</f>
        <v>P</v>
      </c>
    </row>
    <row r="237" spans="1:34" s="2" customFormat="1" x14ac:dyDescent="0.2">
      <c r="A237" s="2" t="s">
        <v>240</v>
      </c>
      <c r="B237" s="2" t="str">
        <f>LOWER(VLOOKUP(A237,Xtal_Templ!A:B,2,FALSE))</f>
        <v>ccr7_human</v>
      </c>
      <c r="C237" s="2" t="str">
        <f>VLOOKUP(A237,Classification!A:D,2,FALSE)</f>
        <v>A</v>
      </c>
      <c r="D237" s="2" t="str">
        <f>IF(ISERROR(MATCH(A237,'SegEnds_Xtal_Prot#'!B:B, 0)), "NoXtal", "Xtal")</f>
        <v>NoXtal</v>
      </c>
      <c r="H237" s="4"/>
      <c r="N237" s="2" t="s">
        <v>14</v>
      </c>
      <c r="T237" s="4" t="s">
        <v>12</v>
      </c>
      <c r="V237" s="28" t="str">
        <f>MID(VLOOKUP($A237,Seqs!$A:$B,2,FALSE),VLOOKUP($A237,'SegEnds_NonXtal_Prot#'!A:AL,10,FALSE),1)</f>
        <v>D</v>
      </c>
      <c r="W237" s="49" t="str">
        <f>MID(VLOOKUP($A237,Seqs!$A:$B,2,FALSE),VLOOKUP($A237,'SegEnds_NonXtal_Prot#'!A:AL,10,FALSE)+6,1)</f>
        <v>T</v>
      </c>
      <c r="X237" s="49" t="str">
        <f>MID(VLOOKUP($A237,Seqs!$A:$B,2,FALSE),VLOOKUP($A237,'SegEnds_NonXtal_Prot#'!A:AL,10,FALSE)+7,1)</f>
        <v>L</v>
      </c>
      <c r="Y237" s="49" t="str">
        <f>MID(VLOOKUP($A237,Seqs!$A:$B,2,FALSE),VLOOKUP($A237,'SegEnds_NonXtal_Prot#'!A:AL,10,FALSE)+8,1)</f>
        <v>P</v>
      </c>
      <c r="Z237" s="49" t="str">
        <f>MID(VLOOKUP($A237,Seqs!$A:$B,2,FALSE),VLOOKUP($A237,'SegEnds_NonXtal_Prot#'!A:AL,10,FALSE)+9,1)</f>
        <v>F</v>
      </c>
      <c r="AA237" s="49" t="str">
        <f>MID(VLOOKUP($A237,Seqs!$A:$B,2,FALSE),VLOOKUP($A237,'SegEnds_NonXtal_Prot#'!A:AL,10,FALSE)+10,1)</f>
        <v>R</v>
      </c>
      <c r="AB237" s="28" t="str">
        <f>MID(VLOOKUP($A237,Seqs!$A:$B,2,FALSE),VLOOKUP($A237,'SegEnds_NonXtal_Prot#'!$A:$AL,22,FALSE)+6,1)</f>
        <v>T</v>
      </c>
      <c r="AC237" s="49" t="str">
        <f>MID(VLOOKUP($A237,Seqs!$A:$B,2,FALSE),VLOOKUP($A237,'SegEnds_NonXtal_Prot#'!$A:$AL,22,FALSE)+7,1)</f>
        <v>T</v>
      </c>
      <c r="AD237" s="49" t="str">
        <f>MID(VLOOKUP($A237,Seqs!$A:$B,2,FALSE),VLOOKUP($A237,'SegEnds_NonXtal_Prot#'!$A:$AL,22,FALSE)+8,1)</f>
        <v>T</v>
      </c>
      <c r="AE237" s="49" t="str">
        <f>MID(VLOOKUP($A237,Seqs!$A:$B,2,FALSE),VLOOKUP($A237,'SegEnds_NonXtal_Prot#'!$A:$AL,22,FALSE)+9,1)</f>
        <v>P</v>
      </c>
      <c r="AF237" s="49" t="str">
        <f>MID(VLOOKUP($A237,Seqs!$A:$B,2,FALSE),VLOOKUP($A237,'SegEnds_NonXtal_Prot#'!$A:$AL,22,FALSE)+10,1)</f>
        <v>L</v>
      </c>
      <c r="AG237" s="28" t="str">
        <f>MID(VLOOKUP($A237,Seqs!$A:$B,2,FALSE),VLOOKUP($A237,'SegEnds_NonXtal_Prot#'!$A:$AL,28,FALSE)-4,1)</f>
        <v>F</v>
      </c>
      <c r="AH237" s="49" t="str">
        <f>MID(VLOOKUP($A237,Seqs!$A:$B,2,FALSE),VLOOKUP($A237,'SegEnds_NonXtal_Prot#'!$A:$AL,28,FALSE),1)</f>
        <v>P</v>
      </c>
    </row>
    <row r="238" spans="1:34" s="2" customFormat="1" x14ac:dyDescent="0.2">
      <c r="A238" s="2" t="s">
        <v>249</v>
      </c>
      <c r="B238" s="2" t="str">
        <f>LOWER(VLOOKUP(A238,Xtal_Templ!A:B,2,FALSE))</f>
        <v>oprd_mouse</v>
      </c>
      <c r="C238" s="2" t="str">
        <f>VLOOKUP(A238,Classification!A:D,2,FALSE)</f>
        <v>A</v>
      </c>
      <c r="D238" s="2" t="str">
        <f>IF(ISERROR(MATCH(A238,'SegEnds_Xtal_Prot#'!B:B, 0)), "NoXtal", "Xtal")</f>
        <v>NoXtal</v>
      </c>
      <c r="H238" s="4"/>
      <c r="N238" s="2" t="s">
        <v>14</v>
      </c>
      <c r="R238" s="2" t="s">
        <v>9</v>
      </c>
      <c r="T238" s="4" t="s">
        <v>12</v>
      </c>
      <c r="V238" s="28" t="str">
        <f>MID(VLOOKUP($A238,Seqs!$A:$B,2,FALSE),VLOOKUP($A238,'SegEnds_NonXtal_Prot#'!A:AL,10,FALSE),1)</f>
        <v>D</v>
      </c>
      <c r="W238" s="49" t="str">
        <f>MID(VLOOKUP($A238,Seqs!$A:$B,2,FALSE),VLOOKUP($A238,'SegEnds_NonXtal_Prot#'!A:AL,10,FALSE)+6,1)</f>
        <v>C</v>
      </c>
      <c r="X238" s="49" t="str">
        <f>MID(VLOOKUP($A238,Seqs!$A:$B,2,FALSE),VLOOKUP($A238,'SegEnds_NonXtal_Prot#'!A:AL,10,FALSE)+7,1)</f>
        <v>L</v>
      </c>
      <c r="Y238" s="49" t="str">
        <f>MID(VLOOKUP($A238,Seqs!$A:$B,2,FALSE),VLOOKUP($A238,'SegEnds_NonXtal_Prot#'!A:AL,10,FALSE)+8,1)</f>
        <v>P</v>
      </c>
      <c r="Z238" s="49" t="str">
        <f>MID(VLOOKUP($A238,Seqs!$A:$B,2,FALSE),VLOOKUP($A238,'SegEnds_NonXtal_Prot#'!A:AL,10,FALSE)+9,1)</f>
        <v>F</v>
      </c>
      <c r="AA238" s="49" t="str">
        <f>MID(VLOOKUP($A238,Seqs!$A:$B,2,FALSE),VLOOKUP($A238,'SegEnds_NonXtal_Prot#'!A:AL,10,FALSE)+10,1)</f>
        <v>L</v>
      </c>
      <c r="AB238" s="28" t="str">
        <f>MID(VLOOKUP($A238,Seqs!$A:$B,2,FALSE),VLOOKUP($A238,'SegEnds_NonXtal_Prot#'!$A:$AL,22,FALSE)+6,1)</f>
        <v>L</v>
      </c>
      <c r="AC238" s="49" t="str">
        <f>MID(VLOOKUP($A238,Seqs!$A:$B,2,FALSE),VLOOKUP($A238,'SegEnds_NonXtal_Prot#'!$A:$AL,22,FALSE)+7,1)</f>
        <v>T</v>
      </c>
      <c r="AD238" s="49" t="str">
        <f>MID(VLOOKUP($A238,Seqs!$A:$B,2,FALSE),VLOOKUP($A238,'SegEnds_NonXtal_Prot#'!$A:$AL,22,FALSE)+8,1)</f>
        <v>C</v>
      </c>
      <c r="AE238" s="49" t="str">
        <f>MID(VLOOKUP($A238,Seqs!$A:$B,2,FALSE),VLOOKUP($A238,'SegEnds_NonXtal_Prot#'!$A:$AL,22,FALSE)+9,1)</f>
        <v>P</v>
      </c>
      <c r="AF238" s="49" t="str">
        <f>MID(VLOOKUP($A238,Seqs!$A:$B,2,FALSE),VLOOKUP($A238,'SegEnds_NonXtal_Prot#'!$A:$AL,22,FALSE)+10,1)</f>
        <v>G</v>
      </c>
      <c r="AG238" s="28" t="str">
        <f>MID(VLOOKUP($A238,Seqs!$A:$B,2,FALSE),VLOOKUP($A238,'SegEnds_NonXtal_Prot#'!$A:$AL,28,FALSE)-4,1)</f>
        <v>Q</v>
      </c>
      <c r="AH238" s="49" t="str">
        <f>MID(VLOOKUP($A238,Seqs!$A:$B,2,FALSE),VLOOKUP($A238,'SegEnds_NonXtal_Prot#'!$A:$AL,28,FALSE),1)</f>
        <v>P</v>
      </c>
    </row>
    <row r="239" spans="1:34" s="2" customFormat="1" x14ac:dyDescent="0.2">
      <c r="A239" s="2" t="s">
        <v>256</v>
      </c>
      <c r="B239" s="2" t="str">
        <f>LOWER(VLOOKUP(A239,Xtal_Templ!A:B,2,FALSE))</f>
        <v>ptafr_human</v>
      </c>
      <c r="C239" s="2" t="str">
        <f>VLOOKUP(A239,Classification!A:D,2,FALSE)</f>
        <v>A</v>
      </c>
      <c r="D239" s="2" t="str">
        <f>IF(ISERROR(MATCH(A239,'SegEnds_Xtal_Prot#'!B:B, 0)), "NoXtal", "Xtal")</f>
        <v>NoXtal</v>
      </c>
      <c r="H239" s="4"/>
      <c r="R239" s="2" t="s">
        <v>9</v>
      </c>
      <c r="S239" s="106"/>
      <c r="T239" s="4" t="s">
        <v>12</v>
      </c>
      <c r="V239" s="28" t="str">
        <f>MID(VLOOKUP($A239,Seqs!$A:$B,2,FALSE),VLOOKUP($A239,'SegEnds_NonXtal_Prot#'!A:AL,10,FALSE),1)</f>
        <v>D</v>
      </c>
      <c r="W239" s="49" t="str">
        <f>MID(VLOOKUP($A239,Seqs!$A:$B,2,FALSE),VLOOKUP($A239,'SegEnds_NonXtal_Prot#'!A:AL,10,FALSE)+6,1)</f>
        <v>T</v>
      </c>
      <c r="X239" s="49" t="str">
        <f>MID(VLOOKUP($A239,Seqs!$A:$B,2,FALSE),VLOOKUP($A239,'SegEnds_NonXtal_Prot#'!A:AL,10,FALSE)+7,1)</f>
        <v>L</v>
      </c>
      <c r="Y239" s="49" t="str">
        <f>MID(VLOOKUP($A239,Seqs!$A:$B,2,FALSE),VLOOKUP($A239,'SegEnds_NonXtal_Prot#'!A:AL,10,FALSE)+8,1)</f>
        <v>P</v>
      </c>
      <c r="Z239" s="49" t="str">
        <f>MID(VLOOKUP($A239,Seqs!$A:$B,2,FALSE),VLOOKUP($A239,'SegEnds_NonXtal_Prot#'!A:AL,10,FALSE)+9,1)</f>
        <v>L</v>
      </c>
      <c r="AA239" s="49" t="str">
        <f>MID(VLOOKUP($A239,Seqs!$A:$B,2,FALSE),VLOOKUP($A239,'SegEnds_NonXtal_Prot#'!A:AL,10,FALSE)+10,1)</f>
        <v>W</v>
      </c>
      <c r="AB239" s="28" t="str">
        <f>MID(VLOOKUP($A239,Seqs!$A:$B,2,FALSE),VLOOKUP($A239,'SegEnds_NonXtal_Prot#'!$A:$AL,22,FALSE)+6,1)</f>
        <v>A</v>
      </c>
      <c r="AC239" s="49" t="str">
        <f>MID(VLOOKUP($A239,Seqs!$A:$B,2,FALSE),VLOOKUP($A239,'SegEnds_NonXtal_Prot#'!$A:$AL,22,FALSE)+7,1)</f>
        <v>N</v>
      </c>
      <c r="AD239" s="49" t="str">
        <f>MID(VLOOKUP($A239,Seqs!$A:$B,2,FALSE),VLOOKUP($A239,'SegEnds_NonXtal_Prot#'!$A:$AL,22,FALSE)+8,1)</f>
        <v>S</v>
      </c>
      <c r="AE239" s="49" t="str">
        <f>MID(VLOOKUP($A239,Seqs!$A:$B,2,FALSE),VLOOKUP($A239,'SegEnds_NonXtal_Prot#'!$A:$AL,22,FALSE)+9,1)</f>
        <v>A</v>
      </c>
      <c r="AF239" s="49" t="str">
        <f>MID(VLOOKUP($A239,Seqs!$A:$B,2,FALSE),VLOOKUP($A239,'SegEnds_NonXtal_Prot#'!$A:$AL,22,FALSE)+10,1)</f>
        <v>P</v>
      </c>
      <c r="AG239" s="28" t="str">
        <f>MID(VLOOKUP($A239,Seqs!$A:$B,2,FALSE),VLOOKUP($A239,'SegEnds_NonXtal_Prot#'!$A:$AL,28,FALSE)-4,1)</f>
        <v>G</v>
      </c>
      <c r="AH239" s="49" t="str">
        <f>MID(VLOOKUP($A239,Seqs!$A:$B,2,FALSE),VLOOKUP($A239,'SegEnds_NonXtal_Prot#'!$A:$AL,28,FALSE),1)</f>
        <v>P</v>
      </c>
    </row>
    <row r="240" spans="1:34" s="2" customFormat="1" x14ac:dyDescent="0.2">
      <c r="A240" s="2" t="s">
        <v>274</v>
      </c>
      <c r="B240" s="2" t="str">
        <f>LOWER(VLOOKUP(A240,Xtal_Templ!A:B,2,FALSE))</f>
        <v>p2ry1_human</v>
      </c>
      <c r="C240" s="2" t="str">
        <f>VLOOKUP(A240,Classification!A:D,2,FALSE)</f>
        <v>A</v>
      </c>
      <c r="D240" s="2" t="str">
        <f>IF(ISERROR(MATCH(A240,'SegEnds_Xtal_Prot#'!B:B, 0)), "NoXtal", "Xtal")</f>
        <v>NoXtal</v>
      </c>
      <c r="H240" s="4"/>
      <c r="R240" s="2" t="s">
        <v>9</v>
      </c>
      <c r="T240" s="4" t="s">
        <v>12</v>
      </c>
      <c r="V240" s="28" t="str">
        <f>MID(VLOOKUP($A240,Seqs!$A:$B,2,FALSE),VLOOKUP($A240,'SegEnds_NonXtal_Prot#'!A:AL,10,FALSE),1)</f>
        <v>D</v>
      </c>
      <c r="W240" s="49" t="str">
        <f>MID(VLOOKUP($A240,Seqs!$A:$B,2,FALSE),VLOOKUP($A240,'SegEnds_NonXtal_Prot#'!A:AL,10,FALSE)+6,1)</f>
        <v>C</v>
      </c>
      <c r="X240" s="49" t="str">
        <f>MID(VLOOKUP($A240,Seqs!$A:$B,2,FALSE),VLOOKUP($A240,'SegEnds_NonXtal_Prot#'!A:AL,10,FALSE)+7,1)</f>
        <v>L</v>
      </c>
      <c r="Y240" s="49" t="str">
        <f>MID(VLOOKUP($A240,Seqs!$A:$B,2,FALSE),VLOOKUP($A240,'SegEnds_NonXtal_Prot#'!A:AL,10,FALSE)+8,1)</f>
        <v>P</v>
      </c>
      <c r="Z240" s="49" t="str">
        <f>MID(VLOOKUP($A240,Seqs!$A:$B,2,FALSE),VLOOKUP($A240,'SegEnds_NonXtal_Prot#'!A:AL,10,FALSE)+9,1)</f>
        <v>F</v>
      </c>
      <c r="AA240" s="49" t="str">
        <f>MID(VLOOKUP($A240,Seqs!$A:$B,2,FALSE),VLOOKUP($A240,'SegEnds_NonXtal_Prot#'!A:AL,10,FALSE)+10,1)</f>
        <v>R</v>
      </c>
      <c r="AB240" s="28" t="str">
        <f>MID(VLOOKUP($A240,Seqs!$A:$B,2,FALSE),VLOOKUP($A240,'SegEnds_NonXtal_Prot#'!$A:$AL,22,FALSE)+6,1)</f>
        <v>G</v>
      </c>
      <c r="AC240" s="49" t="str">
        <f>MID(VLOOKUP($A240,Seqs!$A:$B,2,FALSE),VLOOKUP($A240,'SegEnds_NonXtal_Prot#'!$A:$AL,22,FALSE)+7,1)</f>
        <v>T</v>
      </c>
      <c r="AD240" s="49" t="str">
        <f>MID(VLOOKUP($A240,Seqs!$A:$B,2,FALSE),VLOOKUP($A240,'SegEnds_NonXtal_Prot#'!$A:$AL,22,FALSE)+8,1)</f>
        <v>V</v>
      </c>
      <c r="AE240" s="49" t="str">
        <f>MID(VLOOKUP($A240,Seqs!$A:$B,2,FALSE),VLOOKUP($A240,'SegEnds_NonXtal_Prot#'!$A:$AL,22,FALSE)+9,1)</f>
        <v>Y</v>
      </c>
      <c r="AF240" s="49" t="str">
        <f>MID(VLOOKUP($A240,Seqs!$A:$B,2,FALSE),VLOOKUP($A240,'SegEnds_NonXtal_Prot#'!$A:$AL,22,FALSE)+10,1)</f>
        <v>L</v>
      </c>
      <c r="AG240" s="28" t="str">
        <f>MID(VLOOKUP($A240,Seqs!$A:$B,2,FALSE),VLOOKUP($A240,'SegEnds_NonXtal_Prot#'!$A:$AL,28,FALSE)-4,1)</f>
        <v>E</v>
      </c>
      <c r="AH240" s="49" t="str">
        <f>MID(VLOOKUP($A240,Seqs!$A:$B,2,FALSE),VLOOKUP($A240,'SegEnds_NonXtal_Prot#'!$A:$AL,28,FALSE),1)</f>
        <v>P</v>
      </c>
    </row>
    <row r="241" spans="1:34" s="2" customFormat="1" x14ac:dyDescent="0.2">
      <c r="A241" s="2" t="s">
        <v>275</v>
      </c>
      <c r="B241" s="2" t="str">
        <f>LOWER(VLOOKUP(A241,Xtal_Templ!A:B,2,FALSE))</f>
        <v>p2ry1_human</v>
      </c>
      <c r="C241" s="2" t="str">
        <f>VLOOKUP(A241,Classification!A:D,2,FALSE)</f>
        <v>A</v>
      </c>
      <c r="D241" s="2" t="str">
        <f>IF(ISERROR(MATCH(A241,'SegEnds_Xtal_Prot#'!B:B, 0)), "NoXtal", "Xtal")</f>
        <v>NoXtal</v>
      </c>
      <c r="H241" s="4"/>
      <c r="R241" s="2" t="s">
        <v>9</v>
      </c>
      <c r="T241" s="4" t="s">
        <v>12</v>
      </c>
      <c r="V241" s="28" t="str">
        <f>MID(VLOOKUP($A241,Seqs!$A:$B,2,FALSE),VLOOKUP($A241,'SegEnds_NonXtal_Prot#'!A:AL,10,FALSE),1)</f>
        <v>D</v>
      </c>
      <c r="W241" s="49" t="str">
        <f>MID(VLOOKUP($A241,Seqs!$A:$B,2,FALSE),VLOOKUP($A241,'SegEnds_NonXtal_Prot#'!A:AL,10,FALSE)+6,1)</f>
        <v>C</v>
      </c>
      <c r="X241" s="49" t="str">
        <f>MID(VLOOKUP($A241,Seqs!$A:$B,2,FALSE),VLOOKUP($A241,'SegEnds_NonXtal_Prot#'!A:AL,10,FALSE)+7,1)</f>
        <v>L</v>
      </c>
      <c r="Y241" s="49" t="str">
        <f>MID(VLOOKUP($A241,Seqs!$A:$B,2,FALSE),VLOOKUP($A241,'SegEnds_NonXtal_Prot#'!A:AL,10,FALSE)+8,1)</f>
        <v>P</v>
      </c>
      <c r="Z241" s="49" t="str">
        <f>MID(VLOOKUP($A241,Seqs!$A:$B,2,FALSE),VLOOKUP($A241,'SegEnds_NonXtal_Prot#'!A:AL,10,FALSE)+9,1)</f>
        <v>F</v>
      </c>
      <c r="AA241" s="49" t="str">
        <f>MID(VLOOKUP($A241,Seqs!$A:$B,2,FALSE),VLOOKUP($A241,'SegEnds_NonXtal_Prot#'!A:AL,10,FALSE)+10,1)</f>
        <v>L</v>
      </c>
      <c r="AB241" s="28" t="str">
        <f>MID(VLOOKUP($A241,Seqs!$A:$B,2,FALSE),VLOOKUP($A241,'SegEnds_NonXtal_Prot#'!$A:$AL,22,FALSE)+6,1)</f>
        <v>L</v>
      </c>
      <c r="AC241" s="49" t="str">
        <f>MID(VLOOKUP($A241,Seqs!$A:$B,2,FALSE),VLOOKUP($A241,'SegEnds_NonXtal_Prot#'!$A:$AL,22,FALSE)+7,1)</f>
        <v>T</v>
      </c>
      <c r="AD241" s="49" t="str">
        <f>MID(VLOOKUP($A241,Seqs!$A:$B,2,FALSE),VLOOKUP($A241,'SegEnds_NonXtal_Prot#'!$A:$AL,22,FALSE)+8,1)</f>
        <v>V</v>
      </c>
      <c r="AE241" s="49" t="str">
        <f>MID(VLOOKUP($A241,Seqs!$A:$B,2,FALSE),VLOOKUP($A241,'SegEnds_NonXtal_Prot#'!$A:$AL,22,FALSE)+9,1)</f>
        <v>H</v>
      </c>
      <c r="AF241" s="49" t="str">
        <f>MID(VLOOKUP($A241,Seqs!$A:$B,2,FALSE),VLOOKUP($A241,'SegEnds_NonXtal_Prot#'!$A:$AL,22,FALSE)+10,1)</f>
        <v>L</v>
      </c>
      <c r="AG241" s="28" t="str">
        <f>MID(VLOOKUP($A241,Seqs!$A:$B,2,FALSE),VLOOKUP($A241,'SegEnds_NonXtal_Prot#'!$A:$AL,28,FALSE)-4,1)</f>
        <v>E</v>
      </c>
      <c r="AH241" s="49" t="str">
        <f>MID(VLOOKUP($A241,Seqs!$A:$B,2,FALSE),VLOOKUP($A241,'SegEnds_NonXtal_Prot#'!$A:$AL,28,FALSE),1)</f>
        <v>P</v>
      </c>
    </row>
    <row r="242" spans="1:34" s="2" customFormat="1" x14ac:dyDescent="0.2">
      <c r="A242" s="2" t="s">
        <v>276</v>
      </c>
      <c r="B242" s="2" t="str">
        <f>LOWER(VLOOKUP(A242,Xtal_Templ!A:B,2,FALSE))</f>
        <v>p2ry1_human</v>
      </c>
      <c r="C242" s="2" t="str">
        <f>VLOOKUP(A242,Classification!A:D,2,FALSE)</f>
        <v>A</v>
      </c>
      <c r="D242" s="2" t="str">
        <f>IF(ISERROR(MATCH(A242,'SegEnds_Xtal_Prot#'!B:B, 0)), "NoXtal", "Xtal")</f>
        <v>NoXtal</v>
      </c>
      <c r="H242" s="4"/>
      <c r="R242" s="2" t="s">
        <v>9</v>
      </c>
      <c r="T242" s="4" t="s">
        <v>12</v>
      </c>
      <c r="V242" s="28" t="str">
        <f>MID(VLOOKUP($A242,Seqs!$A:$B,2,FALSE),VLOOKUP($A242,'SegEnds_NonXtal_Prot#'!A:AL,10,FALSE),1)</f>
        <v>D</v>
      </c>
      <c r="W242" s="49" t="str">
        <f>MID(VLOOKUP($A242,Seqs!$A:$B,2,FALSE),VLOOKUP($A242,'SegEnds_NonXtal_Prot#'!A:AL,10,FALSE)+6,1)</f>
        <v>C</v>
      </c>
      <c r="X242" s="49" t="str">
        <f>MID(VLOOKUP($A242,Seqs!$A:$B,2,FALSE),VLOOKUP($A242,'SegEnds_NonXtal_Prot#'!A:AL,10,FALSE)+7,1)</f>
        <v>L</v>
      </c>
      <c r="Y242" s="49" t="str">
        <f>MID(VLOOKUP($A242,Seqs!$A:$B,2,FALSE),VLOOKUP($A242,'SegEnds_NonXtal_Prot#'!A:AL,10,FALSE)+8,1)</f>
        <v>P</v>
      </c>
      <c r="Z242" s="49" t="str">
        <f>MID(VLOOKUP($A242,Seqs!$A:$B,2,FALSE),VLOOKUP($A242,'SegEnds_NonXtal_Prot#'!A:AL,10,FALSE)+9,1)</f>
        <v>F</v>
      </c>
      <c r="AA242" s="49" t="str">
        <f>MID(VLOOKUP($A242,Seqs!$A:$B,2,FALSE),VLOOKUP($A242,'SegEnds_NonXtal_Prot#'!A:AL,10,FALSE)+10,1)</f>
        <v>V</v>
      </c>
      <c r="AB242" s="28" t="str">
        <f>MID(VLOOKUP($A242,Seqs!$A:$B,2,FALSE),VLOOKUP($A242,'SegEnds_NonXtal_Prot#'!$A:$AL,22,FALSE)+6,1)</f>
        <v>L</v>
      </c>
      <c r="AC242" s="49" t="str">
        <f>MID(VLOOKUP($A242,Seqs!$A:$B,2,FALSE),VLOOKUP($A242,'SegEnds_NonXtal_Prot#'!$A:$AL,22,FALSE)+7,1)</f>
        <v>T</v>
      </c>
      <c r="AD242" s="49" t="str">
        <f>MID(VLOOKUP($A242,Seqs!$A:$B,2,FALSE),VLOOKUP($A242,'SegEnds_NonXtal_Prot#'!$A:$AL,22,FALSE)+8,1)</f>
        <v>V</v>
      </c>
      <c r="AE242" s="49" t="str">
        <f>MID(VLOOKUP($A242,Seqs!$A:$B,2,FALSE),VLOOKUP($A242,'SegEnds_NonXtal_Prot#'!$A:$AL,22,FALSE)+9,1)</f>
        <v>H</v>
      </c>
      <c r="AF242" s="49" t="str">
        <f>MID(VLOOKUP($A242,Seqs!$A:$B,2,FALSE),VLOOKUP($A242,'SegEnds_NonXtal_Prot#'!$A:$AL,22,FALSE)+10,1)</f>
        <v>L</v>
      </c>
      <c r="AG242" s="28" t="str">
        <f>MID(VLOOKUP($A242,Seqs!$A:$B,2,FALSE),VLOOKUP($A242,'SegEnds_NonXtal_Prot#'!$A:$AL,28,FALSE)-4,1)</f>
        <v>E</v>
      </c>
      <c r="AH242" s="49" t="str">
        <f>MID(VLOOKUP($A242,Seqs!$A:$B,2,FALSE),VLOOKUP($A242,'SegEnds_NonXtal_Prot#'!$A:$AL,28,FALSE),1)</f>
        <v>P</v>
      </c>
    </row>
    <row r="243" spans="1:34" s="2" customFormat="1" x14ac:dyDescent="0.2">
      <c r="A243" s="2" t="s">
        <v>287</v>
      </c>
      <c r="B243" s="2" t="str">
        <f>LOWER(VLOOKUP(A243,Xtal_Templ!A:B,2,FALSE))</f>
        <v>oprk_human</v>
      </c>
      <c r="C243" s="2" t="str">
        <f>VLOOKUP(A243,Classification!A:D,2,FALSE)</f>
        <v>A</v>
      </c>
      <c r="D243" s="2" t="str">
        <f>IF(ISERROR(MATCH(A243,'SegEnds_Xtal_Prot#'!B:B, 0)), "NoXtal", "Xtal")</f>
        <v>NoXtal</v>
      </c>
      <c r="H243" s="4"/>
      <c r="R243" s="2" t="s">
        <v>9</v>
      </c>
      <c r="T243" s="4" t="s">
        <v>12</v>
      </c>
      <c r="V243" s="28" t="str">
        <f>MID(VLOOKUP($A243,Seqs!$A:$B,2,FALSE),VLOOKUP($A243,'SegEnds_NonXtal_Prot#'!A:AL,10,FALSE),1)</f>
        <v>D</v>
      </c>
      <c r="W243" s="49" t="str">
        <f>MID(VLOOKUP($A243,Seqs!$A:$B,2,FALSE),VLOOKUP($A243,'SegEnds_NonXtal_Prot#'!A:AL,10,FALSE)+6,1)</f>
        <v>T</v>
      </c>
      <c r="X243" s="49" t="str">
        <f>MID(VLOOKUP($A243,Seqs!$A:$B,2,FALSE),VLOOKUP($A243,'SegEnds_NonXtal_Prot#'!A:AL,10,FALSE)+7,1)</f>
        <v>L</v>
      </c>
      <c r="Y243" s="49" t="str">
        <f>MID(VLOOKUP($A243,Seqs!$A:$B,2,FALSE),VLOOKUP($A243,'SegEnds_NonXtal_Prot#'!A:AL,10,FALSE)+8,1)</f>
        <v>P</v>
      </c>
      <c r="Z243" s="49" t="str">
        <f>MID(VLOOKUP($A243,Seqs!$A:$B,2,FALSE),VLOOKUP($A243,'SegEnds_NonXtal_Prot#'!A:AL,10,FALSE)+9,1)</f>
        <v>F</v>
      </c>
      <c r="AA243" s="49" t="str">
        <f>MID(VLOOKUP($A243,Seqs!$A:$B,2,FALSE),VLOOKUP($A243,'SegEnds_NonXtal_Prot#'!A:AL,10,FALSE)+10,1)</f>
        <v>K</v>
      </c>
      <c r="AB243" s="28" t="str">
        <f>MID(VLOOKUP($A243,Seqs!$A:$B,2,FALSE),VLOOKUP($A243,'SegEnds_NonXtal_Prot#'!$A:$AL,22,FALSE)+6,1)</f>
        <v>G</v>
      </c>
      <c r="AC243" s="49" t="str">
        <f>MID(VLOOKUP($A243,Seqs!$A:$B,2,FALSE),VLOOKUP($A243,'SegEnds_NonXtal_Prot#'!$A:$AL,22,FALSE)+7,1)</f>
        <v>G</v>
      </c>
      <c r="AD243" s="49" t="str">
        <f>MID(VLOOKUP($A243,Seqs!$A:$B,2,FALSE),VLOOKUP($A243,'SegEnds_NonXtal_Prot#'!$A:$AL,22,FALSE)+8,1)</f>
        <v>I</v>
      </c>
      <c r="AE243" s="49" t="str">
        <f>MID(VLOOKUP($A243,Seqs!$A:$B,2,FALSE),VLOOKUP($A243,'SegEnds_NonXtal_Prot#'!$A:$AL,22,FALSE)+9,1)</f>
        <v>S</v>
      </c>
      <c r="AF243" s="49" t="str">
        <f>MID(VLOOKUP($A243,Seqs!$A:$B,2,FALSE),VLOOKUP($A243,'SegEnds_NonXtal_Prot#'!$A:$AL,22,FALSE)+10,1)</f>
        <v>A</v>
      </c>
      <c r="AG243" s="28" t="str">
        <f>MID(VLOOKUP($A243,Seqs!$A:$B,2,FALSE),VLOOKUP($A243,'SegEnds_NonXtal_Prot#'!$A:$AL,28,FALSE)-4,1)</f>
        <v>G</v>
      </c>
      <c r="AH243" s="49" t="str">
        <f>MID(VLOOKUP($A243,Seqs!$A:$B,2,FALSE),VLOOKUP($A243,'SegEnds_NonXtal_Prot#'!$A:$AL,28,FALSE),1)</f>
        <v>P</v>
      </c>
    </row>
    <row r="244" spans="1:34" s="2" customFormat="1" x14ac:dyDescent="0.2">
      <c r="A244" s="2" t="s">
        <v>288</v>
      </c>
      <c r="B244" s="2" t="str">
        <f>LOWER(VLOOKUP(A244,Xtal_Templ!A:B,2,FALSE))</f>
        <v>cltr2_human</v>
      </c>
      <c r="C244" s="2" t="str">
        <f>VLOOKUP(A244,Classification!A:D,2,FALSE)</f>
        <v>A</v>
      </c>
      <c r="D244" s="2" t="str">
        <f>IF(ISERROR(MATCH(A244,'SegEnds_Xtal_Prot#'!B:B, 0)), "NoXtal", "Xtal")</f>
        <v>NoXtal</v>
      </c>
      <c r="H244" s="4"/>
      <c r="N244" s="2" t="s">
        <v>14</v>
      </c>
      <c r="R244" s="2" t="s">
        <v>9</v>
      </c>
      <c r="T244" s="4" t="s">
        <v>12</v>
      </c>
      <c r="V244" s="28" t="str">
        <f>MID(VLOOKUP($A244,Seqs!$A:$B,2,FALSE),VLOOKUP($A244,'SegEnds_NonXtal_Prot#'!A:AL,10,FALSE),1)</f>
        <v>D</v>
      </c>
      <c r="W244" s="49" t="str">
        <f>MID(VLOOKUP($A244,Seqs!$A:$B,2,FALSE),VLOOKUP($A244,'SegEnds_NonXtal_Prot#'!A:AL,10,FALSE)+6,1)</f>
        <v>S</v>
      </c>
      <c r="X244" s="49" t="str">
        <f>MID(VLOOKUP($A244,Seqs!$A:$B,2,FALSE),VLOOKUP($A244,'SegEnds_NonXtal_Prot#'!A:AL,10,FALSE)+7,1)</f>
        <v>L</v>
      </c>
      <c r="Y244" s="49" t="str">
        <f>MID(VLOOKUP($A244,Seqs!$A:$B,2,FALSE),VLOOKUP($A244,'SegEnds_NonXtal_Prot#'!A:AL,10,FALSE)+8,1)</f>
        <v>P</v>
      </c>
      <c r="Z244" s="49" t="str">
        <f>MID(VLOOKUP($A244,Seqs!$A:$B,2,FALSE),VLOOKUP($A244,'SegEnds_NonXtal_Prot#'!A:AL,10,FALSE)+9,1)</f>
        <v>V</v>
      </c>
      <c r="AA244" s="49" t="str">
        <f>MID(VLOOKUP($A244,Seqs!$A:$B,2,FALSE),VLOOKUP($A244,'SegEnds_NonXtal_Prot#'!A:AL,10,FALSE)+10,1)</f>
        <v>R</v>
      </c>
      <c r="AB244" s="28" t="str">
        <f>MID(VLOOKUP($A244,Seqs!$A:$B,2,FALSE),VLOOKUP($A244,'SegEnds_NonXtal_Prot#'!$A:$AL,22,FALSE)+6,1)</f>
        <v>F</v>
      </c>
      <c r="AC244" s="49" t="str">
        <f>MID(VLOOKUP($A244,Seqs!$A:$B,2,FALSE),VLOOKUP($A244,'SegEnds_NonXtal_Prot#'!$A:$AL,22,FALSE)+7,1)</f>
        <v>A</v>
      </c>
      <c r="AD244" s="49" t="str">
        <f>MID(VLOOKUP($A244,Seqs!$A:$B,2,FALSE),VLOOKUP($A244,'SegEnds_NonXtal_Prot#'!$A:$AL,22,FALSE)+8,1)</f>
        <v>V</v>
      </c>
      <c r="AE244" s="49" t="str">
        <f>MID(VLOOKUP($A244,Seqs!$A:$B,2,FALSE),VLOOKUP($A244,'SegEnds_NonXtal_Prot#'!$A:$AL,22,FALSE)+9,1)</f>
        <v>P</v>
      </c>
      <c r="AF244" s="49" t="str">
        <f>MID(VLOOKUP($A244,Seqs!$A:$B,2,FALSE),VLOOKUP($A244,'SegEnds_NonXtal_Prot#'!$A:$AL,22,FALSE)+10,1)</f>
        <v>A</v>
      </c>
      <c r="AG244" s="28" t="str">
        <f>MID(VLOOKUP($A244,Seqs!$A:$B,2,FALSE),VLOOKUP($A244,'SegEnds_NonXtal_Prot#'!$A:$AL,28,FALSE)-4,1)</f>
        <v>G</v>
      </c>
      <c r="AH244" s="49" t="str">
        <f>MID(VLOOKUP($A244,Seqs!$A:$B,2,FALSE),VLOOKUP($A244,'SegEnds_NonXtal_Prot#'!$A:$AL,28,FALSE),1)</f>
        <v>P</v>
      </c>
    </row>
    <row r="245" spans="1:34" s="2" customFormat="1" x14ac:dyDescent="0.2">
      <c r="A245" s="2" t="s">
        <v>289</v>
      </c>
      <c r="B245" s="2" t="str">
        <f>LOWER(VLOOKUP(A245,Xtal_Templ!A:B,2,FALSE))</f>
        <v>cltr1_human</v>
      </c>
      <c r="C245" s="2" t="str">
        <f>VLOOKUP(A245,Classification!A:D,2,FALSE)</f>
        <v>A</v>
      </c>
      <c r="D245" s="2" t="str">
        <f>IF(ISERROR(MATCH(A245,'SegEnds_Xtal_Prot#'!B:B, 0)), "NoXtal", "Xtal")</f>
        <v>NoXtal</v>
      </c>
      <c r="H245" s="4"/>
      <c r="N245" s="2" t="s">
        <v>14</v>
      </c>
      <c r="R245" s="2" t="s">
        <v>9</v>
      </c>
      <c r="S245" s="106"/>
      <c r="T245" s="4" t="s">
        <v>12</v>
      </c>
      <c r="V245" s="28" t="str">
        <f>MID(VLOOKUP($A245,Seqs!$A:$B,2,FALSE),VLOOKUP($A245,'SegEnds_NonXtal_Prot#'!A:AL,10,FALSE),1)</f>
        <v>D</v>
      </c>
      <c r="W245" s="49" t="str">
        <f>MID(VLOOKUP($A245,Seqs!$A:$B,2,FALSE),VLOOKUP($A245,'SegEnds_NonXtal_Prot#'!A:AL,10,FALSE)+6,1)</f>
        <v>T</v>
      </c>
      <c r="X245" s="49" t="str">
        <f>MID(VLOOKUP($A245,Seqs!$A:$B,2,FALSE),VLOOKUP($A245,'SegEnds_NonXtal_Prot#'!A:AL,10,FALSE)+7,1)</f>
        <v>L</v>
      </c>
      <c r="Y245" s="49" t="str">
        <f>MID(VLOOKUP($A245,Seqs!$A:$B,2,FALSE),VLOOKUP($A245,'SegEnds_NonXtal_Prot#'!A:AL,10,FALSE)+8,1)</f>
        <v>P</v>
      </c>
      <c r="Z245" s="49" t="str">
        <f>MID(VLOOKUP($A245,Seqs!$A:$B,2,FALSE),VLOOKUP($A245,'SegEnds_NonXtal_Prot#'!A:AL,10,FALSE)+9,1)</f>
        <v>F</v>
      </c>
      <c r="AA245" s="49" t="str">
        <f>MID(VLOOKUP($A245,Seqs!$A:$B,2,FALSE),VLOOKUP($A245,'SegEnds_NonXtal_Prot#'!A:AL,10,FALSE)+10,1)</f>
        <v>R</v>
      </c>
      <c r="AB245" s="28" t="str">
        <f>MID(VLOOKUP($A245,Seqs!$A:$B,2,FALSE),VLOOKUP($A245,'SegEnds_NonXtal_Prot#'!$A:$AL,22,FALSE)+6,1)</f>
        <v>G</v>
      </c>
      <c r="AC245" s="49" t="str">
        <f>MID(VLOOKUP($A245,Seqs!$A:$B,2,FALSE),VLOOKUP($A245,'SegEnds_NonXtal_Prot#'!$A:$AL,22,FALSE)+7,1)</f>
        <v>S</v>
      </c>
      <c r="AD245" s="49" t="str">
        <f>MID(VLOOKUP($A245,Seqs!$A:$B,2,FALSE),VLOOKUP($A245,'SegEnds_NonXtal_Prot#'!$A:$AL,22,FALSE)+8,1)</f>
        <v>A</v>
      </c>
      <c r="AE245" s="49" t="str">
        <f>MID(VLOOKUP($A245,Seqs!$A:$B,2,FALSE),VLOOKUP($A245,'SegEnds_NonXtal_Prot#'!$A:$AL,22,FALSE)+9,1)</f>
        <v>P</v>
      </c>
      <c r="AF245" s="49" t="str">
        <f>MID(VLOOKUP($A245,Seqs!$A:$B,2,FALSE),VLOOKUP($A245,'SegEnds_NonXtal_Prot#'!$A:$AL,22,FALSE)+10,1)</f>
        <v>A</v>
      </c>
      <c r="AG245" s="28" t="str">
        <f>MID(VLOOKUP($A245,Seqs!$A:$B,2,FALSE),VLOOKUP($A245,'SegEnds_NonXtal_Prot#'!$A:$AL,28,FALSE)-4,1)</f>
        <v>G</v>
      </c>
      <c r="AH245" s="49" t="str">
        <f>MID(VLOOKUP($A245,Seqs!$A:$B,2,FALSE),VLOOKUP($A245,'SegEnds_NonXtal_Prot#'!$A:$AL,28,FALSE),1)</f>
        <v>P</v>
      </c>
    </row>
    <row r="246" spans="1:34" s="2" customFormat="1" x14ac:dyDescent="0.2">
      <c r="A246" s="2" t="s">
        <v>293</v>
      </c>
      <c r="B246" s="2" t="str">
        <f>LOWER(VLOOKUP(A246,Xtal_Templ!A:B,2,FALSE))</f>
        <v>agtr1_human</v>
      </c>
      <c r="C246" s="2" t="str">
        <f>VLOOKUP(A246,Classification!A:D,2,FALSE)</f>
        <v>A</v>
      </c>
      <c r="D246" s="2" t="str">
        <f>IF(ISERROR(MATCH(A246,'SegEnds_Xtal_Prot#'!B:B, 0)), "NoXtal", "Xtal")</f>
        <v>NoXtal</v>
      </c>
      <c r="H246" s="4"/>
      <c r="R246" s="2" t="s">
        <v>9</v>
      </c>
      <c r="T246" s="4" t="s">
        <v>12</v>
      </c>
      <c r="V246" s="28" t="str">
        <f>MID(VLOOKUP($A246,Seqs!$A:$B,2,FALSE),VLOOKUP($A246,'SegEnds_NonXtal_Prot#'!A:AL,10,FALSE),1)</f>
        <v>D</v>
      </c>
      <c r="W246" s="49" t="str">
        <f>MID(VLOOKUP($A246,Seqs!$A:$B,2,FALSE),VLOOKUP($A246,'SegEnds_NonXtal_Prot#'!A:AL,10,FALSE)+6,1)</f>
        <v>C</v>
      </c>
      <c r="X246" s="49" t="str">
        <f>MID(VLOOKUP($A246,Seqs!$A:$B,2,FALSE),VLOOKUP($A246,'SegEnds_NonXtal_Prot#'!A:AL,10,FALSE)+7,1)</f>
        <v>I</v>
      </c>
      <c r="Y246" s="49" t="str">
        <f>MID(VLOOKUP($A246,Seqs!$A:$B,2,FALSE),VLOOKUP($A246,'SegEnds_NonXtal_Prot#'!A:AL,10,FALSE)+8,1)</f>
        <v>F</v>
      </c>
      <c r="Z246" s="49" t="str">
        <f>MID(VLOOKUP($A246,Seqs!$A:$B,2,FALSE),VLOOKUP($A246,'SegEnds_NonXtal_Prot#'!A:AL,10,FALSE)+9,1)</f>
        <v>I</v>
      </c>
      <c r="AA246" s="49" t="str">
        <f>MID(VLOOKUP($A246,Seqs!$A:$B,2,FALSE),VLOOKUP($A246,'SegEnds_NonXtal_Prot#'!A:AL,10,FALSE)+10,1)</f>
        <v>L</v>
      </c>
      <c r="AB246" s="28" t="str">
        <f>MID(VLOOKUP($A246,Seqs!$A:$B,2,FALSE),VLOOKUP($A246,'SegEnds_NonXtal_Prot#'!$A:$AL,22,FALSE)+6,1)</f>
        <v>V</v>
      </c>
      <c r="AC246" s="49" t="str">
        <f>MID(VLOOKUP($A246,Seqs!$A:$B,2,FALSE),VLOOKUP($A246,'SegEnds_NonXtal_Prot#'!$A:$AL,22,FALSE)+7,1)</f>
        <v>T</v>
      </c>
      <c r="AD246" s="49" t="str">
        <f>MID(VLOOKUP($A246,Seqs!$A:$B,2,FALSE),VLOOKUP($A246,'SegEnds_NonXtal_Prot#'!$A:$AL,22,FALSE)+8,1)</f>
        <v>T</v>
      </c>
      <c r="AE246" s="49" t="str">
        <f>MID(VLOOKUP($A246,Seqs!$A:$B,2,FALSE),VLOOKUP($A246,'SegEnds_NonXtal_Prot#'!$A:$AL,22,FALSE)+9,1)</f>
        <v>M</v>
      </c>
      <c r="AF246" s="49" t="str">
        <f>MID(VLOOKUP($A246,Seqs!$A:$B,2,FALSE),VLOOKUP($A246,'SegEnds_NonXtal_Prot#'!$A:$AL,22,FALSE)+10,1)</f>
        <v>E</v>
      </c>
      <c r="AG246" s="28" t="str">
        <f>MID(VLOOKUP($A246,Seqs!$A:$B,2,FALSE),VLOOKUP($A246,'SegEnds_NonXtal_Prot#'!$A:$AL,28,FALSE)-4,1)</f>
        <v>L</v>
      </c>
      <c r="AH246" s="49" t="str">
        <f>MID(VLOOKUP($A246,Seqs!$A:$B,2,FALSE),VLOOKUP($A246,'SegEnds_NonXtal_Prot#'!$A:$AL,28,FALSE),1)</f>
        <v>P</v>
      </c>
    </row>
    <row r="247" spans="1:34" s="2" customFormat="1" x14ac:dyDescent="0.2">
      <c r="A247" s="2" t="s">
        <v>294</v>
      </c>
      <c r="B247" s="2" t="str">
        <f>LOWER(VLOOKUP(A247,Xtal_Templ!A:B,2,FALSE))</f>
        <v>ccr9_human</v>
      </c>
      <c r="C247" s="2" t="str">
        <f>VLOOKUP(A247,Classification!A:D,2,FALSE)</f>
        <v>A</v>
      </c>
      <c r="D247" s="2" t="str">
        <f>IF(ISERROR(MATCH(A247,'SegEnds_Xtal_Prot#'!B:B, 0)), "NoXtal", "Xtal")</f>
        <v>NoXtal</v>
      </c>
      <c r="H247" s="4"/>
      <c r="T247" s="4" t="s">
        <v>12</v>
      </c>
      <c r="V247" s="28" t="str">
        <f>MID(VLOOKUP($A247,Seqs!$A:$B,2,FALSE),VLOOKUP($A247,'SegEnds_NonXtal_Prot#'!A:AL,10,FALSE),1)</f>
        <v>D</v>
      </c>
      <c r="W247" s="49" t="str">
        <f>MID(VLOOKUP($A247,Seqs!$A:$B,2,FALSE),VLOOKUP($A247,'SegEnds_NonXtal_Prot#'!A:AL,10,FALSE)+6,1)</f>
        <v>C</v>
      </c>
      <c r="X247" s="49" t="str">
        <f>MID(VLOOKUP($A247,Seqs!$A:$B,2,FALSE),VLOOKUP($A247,'SegEnds_NonXtal_Prot#'!A:AL,10,FALSE)+7,1)</f>
        <v>S</v>
      </c>
      <c r="Y247" s="49" t="str">
        <f>MID(VLOOKUP($A247,Seqs!$A:$B,2,FALSE),VLOOKUP($A247,'SegEnds_NonXtal_Prot#'!A:AL,10,FALSE)+8,1)</f>
        <v>A</v>
      </c>
      <c r="Z247" s="49" t="str">
        <f>MID(VLOOKUP($A247,Seqs!$A:$B,2,FALSE),VLOOKUP($A247,'SegEnds_NonXtal_Prot#'!A:AL,10,FALSE)+9,1)</f>
        <v>V</v>
      </c>
      <c r="AA247" s="49" t="str">
        <f>MID(VLOOKUP($A247,Seqs!$A:$B,2,FALSE),VLOOKUP($A247,'SegEnds_NonXtal_Prot#'!A:AL,10,FALSE)+10,1)</f>
        <v>G</v>
      </c>
      <c r="AB247" s="28" t="str">
        <f>MID(VLOOKUP($A247,Seqs!$A:$B,2,FALSE),VLOOKUP($A247,'SegEnds_NonXtal_Prot#'!$A:$AL,22,FALSE)+6,1)</f>
        <v>I</v>
      </c>
      <c r="AC247" s="49" t="str">
        <f>MID(VLOOKUP($A247,Seqs!$A:$B,2,FALSE),VLOOKUP($A247,'SegEnds_NonXtal_Prot#'!$A:$AL,22,FALSE)+7,1)</f>
        <v>N</v>
      </c>
      <c r="AD247" s="49" t="str">
        <f>MID(VLOOKUP($A247,Seqs!$A:$B,2,FALSE),VLOOKUP($A247,'SegEnds_NonXtal_Prot#'!$A:$AL,22,FALSE)+8,1)</f>
        <v>I</v>
      </c>
      <c r="AE247" s="49" t="str">
        <f>MID(VLOOKUP($A247,Seqs!$A:$B,2,FALSE),VLOOKUP($A247,'SegEnds_NonXtal_Prot#'!$A:$AL,22,FALSE)+9,1)</f>
        <v>V</v>
      </c>
      <c r="AF247" s="49" t="str">
        <f>MID(VLOOKUP($A247,Seqs!$A:$B,2,FALSE),VLOOKUP($A247,'SegEnds_NonXtal_Prot#'!$A:$AL,22,FALSE)+10,1)</f>
        <v>K</v>
      </c>
      <c r="AG247" s="28" t="str">
        <f>MID(VLOOKUP($A247,Seqs!$A:$B,2,FALSE),VLOOKUP($A247,'SegEnds_NonXtal_Prot#'!$A:$AL,28,FALSE)-4,1)</f>
        <v>A</v>
      </c>
      <c r="AH247" s="49" t="str">
        <f>MID(VLOOKUP($A247,Seqs!$A:$B,2,FALSE),VLOOKUP($A247,'SegEnds_NonXtal_Prot#'!$A:$AL,28,FALSE),1)</f>
        <v>L</v>
      </c>
    </row>
    <row r="248" spans="1:34" s="2" customFormat="1" x14ac:dyDescent="0.2">
      <c r="A248" s="2" t="s">
        <v>300</v>
      </c>
      <c r="B248" s="2" t="str">
        <f>LOWER(VLOOKUP(A248,Xtal_Templ!A:B,2,FALSE))</f>
        <v>c5ar1_human</v>
      </c>
      <c r="C248" s="2" t="str">
        <f>VLOOKUP(A248,Classification!A:D,2,FALSE)</f>
        <v>A</v>
      </c>
      <c r="D248" s="2" t="str">
        <f>IF(ISERROR(MATCH(A248,'SegEnds_Xtal_Prot#'!B:B, 0)), "NoXtal", "Xtal")</f>
        <v>NoXtal</v>
      </c>
      <c r="H248" s="4"/>
      <c r="R248" s="2" t="s">
        <v>9</v>
      </c>
      <c r="T248" s="4" t="s">
        <v>12</v>
      </c>
      <c r="V248" s="28" t="str">
        <f>MID(VLOOKUP($A248,Seqs!$A:$B,2,FALSE),VLOOKUP($A248,'SegEnds_NonXtal_Prot#'!A:AL,10,FALSE),1)</f>
        <v>D</v>
      </c>
      <c r="W248" s="49" t="str">
        <f>MID(VLOOKUP($A248,Seqs!$A:$B,2,FALSE),VLOOKUP($A248,'SegEnds_NonXtal_Prot#'!A:AL,10,FALSE)+6,1)</f>
        <v>S</v>
      </c>
      <c r="X248" s="49" t="str">
        <f>MID(VLOOKUP($A248,Seqs!$A:$B,2,FALSE),VLOOKUP($A248,'SegEnds_NonXtal_Prot#'!A:AL,10,FALSE)+7,1)</f>
        <v>M</v>
      </c>
      <c r="Y248" s="49" t="str">
        <f>MID(VLOOKUP($A248,Seqs!$A:$B,2,FALSE),VLOOKUP($A248,'SegEnds_NonXtal_Prot#'!A:AL,10,FALSE)+8,1)</f>
        <v>A</v>
      </c>
      <c r="Z248" s="49" t="str">
        <f>MID(VLOOKUP($A248,Seqs!$A:$B,2,FALSE),VLOOKUP($A248,'SegEnds_NonXtal_Prot#'!A:AL,10,FALSE)+9,1)</f>
        <v>S</v>
      </c>
      <c r="AA248" s="49" t="str">
        <f>MID(VLOOKUP($A248,Seqs!$A:$B,2,FALSE),VLOOKUP($A248,'SegEnds_NonXtal_Prot#'!A:AL,10,FALSE)+10,1)</f>
        <v>T</v>
      </c>
      <c r="AB248" s="28" t="str">
        <f>MID(VLOOKUP($A248,Seqs!$A:$B,2,FALSE),VLOOKUP($A248,'SegEnds_NonXtal_Prot#'!$A:$AL,22,FALSE)+6,1)</f>
        <v>M</v>
      </c>
      <c r="AC248" s="49" t="str">
        <f>MID(VLOOKUP($A248,Seqs!$A:$B,2,FALSE),VLOOKUP($A248,'SegEnds_NonXtal_Prot#'!$A:$AL,22,FALSE)+7,1)</f>
        <v>N</v>
      </c>
      <c r="AD248" s="49" t="str">
        <f>MID(VLOOKUP($A248,Seqs!$A:$B,2,FALSE),VLOOKUP($A248,'SegEnds_NonXtal_Prot#'!$A:$AL,22,FALSE)+8,1)</f>
        <v>G</v>
      </c>
      <c r="AE248" s="49" t="str">
        <f>MID(VLOOKUP($A248,Seqs!$A:$B,2,FALSE),VLOOKUP($A248,'SegEnds_NonXtal_Prot#'!$A:$AL,22,FALSE)+9,1)</f>
        <v>L</v>
      </c>
      <c r="AF248" s="49" t="str">
        <f>MID(VLOOKUP($A248,Seqs!$A:$B,2,FALSE),VLOOKUP($A248,'SegEnds_NonXtal_Prot#'!$A:$AL,22,FALSE)+10,1)</f>
        <v>T</v>
      </c>
      <c r="AG248" s="28" t="str">
        <f>MID(VLOOKUP($A248,Seqs!$A:$B,2,FALSE),VLOOKUP($A248,'SegEnds_NonXtal_Prot#'!$A:$AL,28,FALSE)-4,1)</f>
        <v>G</v>
      </c>
      <c r="AH248" s="49" t="str">
        <f>MID(VLOOKUP($A248,Seqs!$A:$B,2,FALSE),VLOOKUP($A248,'SegEnds_NonXtal_Prot#'!$A:$AL,28,FALSE),1)</f>
        <v>P</v>
      </c>
    </row>
    <row r="249" spans="1:34" s="2" customFormat="1" x14ac:dyDescent="0.2">
      <c r="A249" s="2" t="s">
        <v>302</v>
      </c>
      <c r="B249" s="2" t="str">
        <f>LOWER(VLOOKUP(A249,Xtal_Templ!A:B,2,FALSE))</f>
        <v>c5ar1_human</v>
      </c>
      <c r="C249" s="2" t="str">
        <f>VLOOKUP(A249,Classification!A:D,2,FALSE)</f>
        <v>A</v>
      </c>
      <c r="D249" s="2" t="str">
        <f>IF(ISERROR(MATCH(A249,'SegEnds_Xtal_Prot#'!B:B, 0)), "NoXtal", "Xtal")</f>
        <v>NoXtal</v>
      </c>
      <c r="H249" s="4"/>
      <c r="R249" s="2" t="s">
        <v>9</v>
      </c>
      <c r="T249" s="4" t="s">
        <v>12</v>
      </c>
      <c r="V249" s="28" t="str">
        <f>MID(VLOOKUP($A249,Seqs!$A:$B,2,FALSE),VLOOKUP($A249,'SegEnds_NonXtal_Prot#'!A:AL,10,FALSE),1)</f>
        <v>D</v>
      </c>
      <c r="W249" s="49" t="str">
        <f>MID(VLOOKUP($A249,Seqs!$A:$B,2,FALSE),VLOOKUP($A249,'SegEnds_NonXtal_Prot#'!A:AL,10,FALSE)+6,1)</f>
        <v>S</v>
      </c>
      <c r="X249" s="49" t="str">
        <f>MID(VLOOKUP($A249,Seqs!$A:$B,2,FALSE),VLOOKUP($A249,'SegEnds_NonXtal_Prot#'!A:AL,10,FALSE)+7,1)</f>
        <v>K</v>
      </c>
      <c r="Y249" s="49" t="str">
        <f>MID(VLOOKUP($A249,Seqs!$A:$B,2,FALSE),VLOOKUP($A249,'SegEnds_NonXtal_Prot#'!A:AL,10,FALSE)+8,1)</f>
        <v>A</v>
      </c>
      <c r="Z249" s="49" t="str">
        <f>MID(VLOOKUP($A249,Seqs!$A:$B,2,FALSE),VLOOKUP($A249,'SegEnds_NonXtal_Prot#'!A:AL,10,FALSE)+9,1)</f>
        <v>V</v>
      </c>
      <c r="AA249" s="49" t="str">
        <f>MID(VLOOKUP($A249,Seqs!$A:$B,2,FALSE),VLOOKUP($A249,'SegEnds_NonXtal_Prot#'!A:AL,10,FALSE)+10,1)</f>
        <v>F</v>
      </c>
      <c r="AB249" s="28" t="str">
        <f>MID(VLOOKUP($A249,Seqs!$A:$B,2,FALSE),VLOOKUP($A249,'SegEnds_NonXtal_Prot#'!$A:$AL,22,FALSE)+6,1)</f>
        <v>V</v>
      </c>
      <c r="AC249" s="49" t="str">
        <f>MID(VLOOKUP($A249,Seqs!$A:$B,2,FALSE),VLOOKUP($A249,'SegEnds_NonXtal_Prot#'!$A:$AL,22,FALSE)+7,1)</f>
        <v>T</v>
      </c>
      <c r="AD249" s="49" t="str">
        <f>MID(VLOOKUP($A249,Seqs!$A:$B,2,FALSE),VLOOKUP($A249,'SegEnds_NonXtal_Prot#'!$A:$AL,22,FALSE)+8,1)</f>
        <v>C</v>
      </c>
      <c r="AE249" s="49" t="str">
        <f>MID(VLOOKUP($A249,Seqs!$A:$B,2,FALSE),VLOOKUP($A249,'SegEnds_NonXtal_Prot#'!$A:$AL,22,FALSE)+9,1)</f>
        <v>L</v>
      </c>
      <c r="AF249" s="49" t="str">
        <f>MID(VLOOKUP($A249,Seqs!$A:$B,2,FALSE),VLOOKUP($A249,'SegEnds_NonXtal_Prot#'!$A:$AL,22,FALSE)+10,1)</f>
        <v>H</v>
      </c>
      <c r="AG249" s="28" t="str">
        <f>MID(VLOOKUP($A249,Seqs!$A:$B,2,FALSE),VLOOKUP($A249,'SegEnds_NonXtal_Prot#'!$A:$AL,28,FALSE)-4,1)</f>
        <v>L</v>
      </c>
      <c r="AH249" s="49" t="str">
        <f>MID(VLOOKUP($A249,Seqs!$A:$B,2,FALSE),VLOOKUP($A249,'SegEnds_NonXtal_Prot#'!$A:$AL,28,FALSE),1)</f>
        <v>P</v>
      </c>
    </row>
    <row r="250" spans="1:34" s="2" customFormat="1" x14ac:dyDescent="0.2">
      <c r="A250" s="2" t="s">
        <v>304</v>
      </c>
      <c r="B250" s="2" t="str">
        <f>LOWER(VLOOKUP(A250,Xtal_Templ!A:B,2,FALSE))</f>
        <v>agtr1_human</v>
      </c>
      <c r="C250" s="2" t="str">
        <f>VLOOKUP(A250,Classification!A:D,2,FALSE)</f>
        <v>A</v>
      </c>
      <c r="D250" s="2" t="str">
        <f>IF(ISERROR(MATCH(A250,'SegEnds_Xtal_Prot#'!B:B, 0)), "NoXtal", "Xtal")</f>
        <v>NoXtal</v>
      </c>
      <c r="H250" s="4"/>
      <c r="T250" s="4" t="s">
        <v>12</v>
      </c>
      <c r="V250" s="28" t="str">
        <f>MID(VLOOKUP($A250,Seqs!$A:$B,2,FALSE),VLOOKUP($A250,'SegEnds_NonXtal_Prot#'!A:AL,10,FALSE),1)</f>
        <v>D</v>
      </c>
      <c r="W250" s="49" t="str">
        <f>MID(VLOOKUP($A250,Seqs!$A:$B,2,FALSE),VLOOKUP($A250,'SegEnds_NonXtal_Prot#'!A:AL,10,FALSE)+6,1)</f>
        <v>G</v>
      </c>
      <c r="X250" s="49" t="str">
        <f>MID(VLOOKUP($A250,Seqs!$A:$B,2,FALSE),VLOOKUP($A250,'SegEnds_NonXtal_Prot#'!A:AL,10,FALSE)+7,1)</f>
        <v>R</v>
      </c>
      <c r="Y250" s="49" t="str">
        <f>MID(VLOOKUP($A250,Seqs!$A:$B,2,FALSE),VLOOKUP($A250,'SegEnds_NonXtal_Prot#'!A:AL,10,FALSE)+8,1)</f>
        <v>L</v>
      </c>
      <c r="Z250" s="49" t="str">
        <f>MID(VLOOKUP($A250,Seqs!$A:$B,2,FALSE),VLOOKUP($A250,'SegEnds_NonXtal_Prot#'!A:AL,10,FALSE)+9,1)</f>
        <v>I</v>
      </c>
      <c r="AA250" s="49" t="str">
        <f>MID(VLOOKUP($A250,Seqs!$A:$B,2,FALSE),VLOOKUP($A250,'SegEnds_NonXtal_Prot#'!A:AL,10,FALSE)+10,1)</f>
        <v>Y</v>
      </c>
      <c r="AB250" s="28" t="str">
        <f>MID(VLOOKUP($A250,Seqs!$A:$B,2,FALSE),VLOOKUP($A250,'SegEnds_NonXtal_Prot#'!$A:$AL,22,FALSE)+6,1)</f>
        <v>R</v>
      </c>
      <c r="AC250" s="49" t="str">
        <f>MID(VLOOKUP($A250,Seqs!$A:$B,2,FALSE),VLOOKUP($A250,'SegEnds_NonXtal_Prot#'!$A:$AL,22,FALSE)+7,1)</f>
        <v>S</v>
      </c>
      <c r="AD250" s="49" t="str">
        <f>MID(VLOOKUP($A250,Seqs!$A:$B,2,FALSE),VLOOKUP($A250,'SegEnds_NonXtal_Prot#'!$A:$AL,22,FALSE)+8,1)</f>
        <v>I</v>
      </c>
      <c r="AE250" s="49" t="str">
        <f>MID(VLOOKUP($A250,Seqs!$A:$B,2,FALSE),VLOOKUP($A250,'SegEnds_NonXtal_Prot#'!$A:$AL,22,FALSE)+9,1)</f>
        <v>L</v>
      </c>
      <c r="AF250" s="49" t="str">
        <f>MID(VLOOKUP($A250,Seqs!$A:$B,2,FALSE),VLOOKUP($A250,'SegEnds_NonXtal_Prot#'!$A:$AL,22,FALSE)+10,1)</f>
        <v>E</v>
      </c>
      <c r="AG250" s="28" t="str">
        <f>MID(VLOOKUP($A250,Seqs!$A:$B,2,FALSE),VLOOKUP($A250,'SegEnds_NonXtal_Prot#'!$A:$AL,28,FALSE)-4,1)</f>
        <v>I</v>
      </c>
      <c r="AH250" s="49" t="str">
        <f>MID(VLOOKUP($A250,Seqs!$A:$B,2,FALSE),VLOOKUP($A250,'SegEnds_NonXtal_Prot#'!$A:$AL,28,FALSE),1)</f>
        <v>V</v>
      </c>
    </row>
    <row r="251" spans="1:34" s="2" customFormat="1" x14ac:dyDescent="0.2">
      <c r="A251" s="2" t="s">
        <v>342</v>
      </c>
      <c r="B251" s="2" t="str">
        <f>LOWER(VLOOKUP(A251,Xtal_Templ!A:B,2,FALSE))</f>
        <v>p2ry1_human</v>
      </c>
      <c r="C251" s="2" t="str">
        <f>VLOOKUP(A251,Classification!A:D,2,FALSE)</f>
        <v>A</v>
      </c>
      <c r="D251" s="2" t="str">
        <f>IF(ISERROR(MATCH(A251,'SegEnds_Xtal_Prot#'!B:B, 0)), "NoXtal", "Xtal")</f>
        <v>NoXtal</v>
      </c>
      <c r="H251" s="4"/>
      <c r="N251" s="2" t="s">
        <v>14</v>
      </c>
      <c r="R251" s="2" t="s">
        <v>9</v>
      </c>
      <c r="T251" s="4" t="s">
        <v>12</v>
      </c>
      <c r="V251" s="28" t="str">
        <f>MID(VLOOKUP($A251,Seqs!$A:$B,2,FALSE),VLOOKUP($A251,'SegEnds_NonXtal_Prot#'!A:AL,10,FALSE),1)</f>
        <v>D</v>
      </c>
      <c r="W251" s="49" t="str">
        <f>MID(VLOOKUP($A251,Seqs!$A:$B,2,FALSE),VLOOKUP($A251,'SegEnds_NonXtal_Prot#'!A:AL,10,FALSE)+6,1)</f>
        <v>S</v>
      </c>
      <c r="X251" s="49" t="str">
        <f>MID(VLOOKUP($A251,Seqs!$A:$B,2,FALSE),VLOOKUP($A251,'SegEnds_NonXtal_Prot#'!A:AL,10,FALSE)+7,1)</f>
        <v>L</v>
      </c>
      <c r="Y251" s="49" t="str">
        <f>MID(VLOOKUP($A251,Seqs!$A:$B,2,FALSE),VLOOKUP($A251,'SegEnds_NonXtal_Prot#'!A:AL,10,FALSE)+8,1)</f>
        <v>P</v>
      </c>
      <c r="Z251" s="49" t="str">
        <f>MID(VLOOKUP($A251,Seqs!$A:$B,2,FALSE),VLOOKUP($A251,'SegEnds_NonXtal_Prot#'!A:AL,10,FALSE)+9,1)</f>
        <v>F</v>
      </c>
      <c r="AA251" s="49" t="str">
        <f>MID(VLOOKUP($A251,Seqs!$A:$B,2,FALSE),VLOOKUP($A251,'SegEnds_NonXtal_Prot#'!A:AL,10,FALSE)+10,1)</f>
        <v>L</v>
      </c>
      <c r="AB251" s="28" t="str">
        <f>MID(VLOOKUP($A251,Seqs!$A:$B,2,FALSE),VLOOKUP($A251,'SegEnds_NonXtal_Prot#'!$A:$AL,22,FALSE)+6,1)</f>
        <v>A</v>
      </c>
      <c r="AC251" s="49" t="str">
        <f>MID(VLOOKUP($A251,Seqs!$A:$B,2,FALSE),VLOOKUP($A251,'SegEnds_NonXtal_Prot#'!$A:$AL,22,FALSE)+7,1)</f>
        <v>V</v>
      </c>
      <c r="AD251" s="49" t="str">
        <f>MID(VLOOKUP($A251,Seqs!$A:$B,2,FALSE),VLOOKUP($A251,'SegEnds_NonXtal_Prot#'!$A:$AL,22,FALSE)+8,1)</f>
        <v>I</v>
      </c>
      <c r="AE251" s="49" t="str">
        <f>MID(VLOOKUP($A251,Seqs!$A:$B,2,FALSE),VLOOKUP($A251,'SegEnds_NonXtal_Prot#'!$A:$AL,22,FALSE)+9,1)</f>
        <v>P</v>
      </c>
      <c r="AF251" s="49" t="str">
        <f>MID(VLOOKUP($A251,Seqs!$A:$B,2,FALSE),VLOOKUP($A251,'SegEnds_NonXtal_Prot#'!$A:$AL,22,FALSE)+10,1)</f>
        <v>M</v>
      </c>
      <c r="AG251" s="28" t="str">
        <f>MID(VLOOKUP($A251,Seqs!$A:$B,2,FALSE),VLOOKUP($A251,'SegEnds_NonXtal_Prot#'!$A:$AL,28,FALSE)-4,1)</f>
        <v>T</v>
      </c>
      <c r="AH251" s="49" t="str">
        <f>MID(VLOOKUP($A251,Seqs!$A:$B,2,FALSE),VLOOKUP($A251,'SegEnds_NonXtal_Prot#'!$A:$AL,28,FALSE),1)</f>
        <v>P</v>
      </c>
    </row>
    <row r="252" spans="1:34" s="2" customFormat="1" x14ac:dyDescent="0.2">
      <c r="A252" s="2" t="s">
        <v>344</v>
      </c>
      <c r="B252" s="2" t="str">
        <f>LOWER(VLOOKUP(A252,Xtal_Templ!A:B,2,FALSE))</f>
        <v>p2ry1_human</v>
      </c>
      <c r="C252" s="2" t="str">
        <f>VLOOKUP(A252,Classification!A:D,2,FALSE)</f>
        <v>A</v>
      </c>
      <c r="D252" s="2" t="str">
        <f>IF(ISERROR(MATCH(A252,'SegEnds_Xtal_Prot#'!B:B, 0)), "NoXtal", "Xtal")</f>
        <v>Xtal</v>
      </c>
      <c r="H252" s="4"/>
      <c r="R252" s="2" t="s">
        <v>9</v>
      </c>
      <c r="S252" s="2" t="s">
        <v>1316</v>
      </c>
      <c r="T252" s="4" t="s">
        <v>12</v>
      </c>
      <c r="V252" s="28" t="str">
        <f>MID(VLOOKUP($A252,Seqs!$A:$B,2,FALSE),VLOOKUP($A252,'SegEnds_NonXtal_Prot#'!A:AL,10,FALSE),1)</f>
        <v>D</v>
      </c>
      <c r="W252" s="49" t="str">
        <f>MID(VLOOKUP($A252,Seqs!$A:$B,2,FALSE),VLOOKUP($A252,'SegEnds_NonXtal_Prot#'!A:AL,10,FALSE)+6,1)</f>
        <v>T</v>
      </c>
      <c r="X252" s="49" t="str">
        <f>MID(VLOOKUP($A252,Seqs!$A:$B,2,FALSE),VLOOKUP($A252,'SegEnds_NonXtal_Prot#'!A:AL,10,FALSE)+7,1)</f>
        <v>L</v>
      </c>
      <c r="Y252" s="49" t="str">
        <f>MID(VLOOKUP($A252,Seqs!$A:$B,2,FALSE),VLOOKUP($A252,'SegEnds_NonXtal_Prot#'!A:AL,10,FALSE)+8,1)</f>
        <v>P</v>
      </c>
      <c r="Z252" s="49" t="str">
        <f>MID(VLOOKUP($A252,Seqs!$A:$B,2,FALSE),VLOOKUP($A252,'SegEnds_NonXtal_Prot#'!A:AL,10,FALSE)+9,1)</f>
        <v>A</v>
      </c>
      <c r="AA252" s="49" t="str">
        <f>MID(VLOOKUP($A252,Seqs!$A:$B,2,FALSE),VLOOKUP($A252,'SegEnds_NonXtal_Prot#'!A:AL,10,FALSE)+10,1)</f>
        <v>L</v>
      </c>
      <c r="AB252" s="28" t="str">
        <f>MID(VLOOKUP($A252,Seqs!$A:$B,2,FALSE),VLOOKUP($A252,'SegEnds_NonXtal_Prot#'!$A:$AL,22,FALSE)+6,1)</f>
        <v>A</v>
      </c>
      <c r="AC252" s="49" t="str">
        <f>MID(VLOOKUP($A252,Seqs!$A:$B,2,FALSE),VLOOKUP($A252,'SegEnds_NonXtal_Prot#'!$A:$AL,22,FALSE)+7,1)</f>
        <v>I</v>
      </c>
      <c r="AD252" s="49" t="str">
        <f>MID(VLOOKUP($A252,Seqs!$A:$B,2,FALSE),VLOOKUP($A252,'SegEnds_NonXtal_Prot#'!$A:$AL,22,FALSE)+8,1)</f>
        <v>S</v>
      </c>
      <c r="AE252" s="49" t="str">
        <f>MID(VLOOKUP($A252,Seqs!$A:$B,2,FALSE),VLOOKUP($A252,'SegEnds_NonXtal_Prot#'!$A:$AL,22,FALSE)+9,1)</f>
        <v>P</v>
      </c>
      <c r="AF252" s="49" t="str">
        <f>MID(VLOOKUP($A252,Seqs!$A:$B,2,FALSE),VLOOKUP($A252,'SegEnds_NonXtal_Prot#'!$A:$AL,22,FALSE)+10,1)</f>
        <v>I</v>
      </c>
      <c r="AG252" s="28" t="str">
        <f>MID(VLOOKUP($A252,Seqs!$A:$B,2,FALSE),VLOOKUP($A252,'SegEnds_NonXtal_Prot#'!$A:$AL,28,FALSE)-4,1)</f>
        <v>M</v>
      </c>
      <c r="AH252" s="49" t="str">
        <f>MID(VLOOKUP($A252,Seqs!$A:$B,2,FALSE),VLOOKUP($A252,'SegEnds_NonXtal_Prot#'!$A:$AL,28,FALSE),1)</f>
        <v>P</v>
      </c>
    </row>
    <row r="253" spans="1:34" s="2" customFormat="1" x14ac:dyDescent="0.2">
      <c r="A253" s="2" t="s">
        <v>345</v>
      </c>
      <c r="B253" s="2" t="str">
        <f>LOWER(VLOOKUP(A253,Xtal_Templ!A:B,2,FALSE))</f>
        <v>p2ry1_human</v>
      </c>
      <c r="C253" s="2" t="str">
        <f>VLOOKUP(A253,Classification!A:D,2,FALSE)</f>
        <v>A</v>
      </c>
      <c r="D253" s="2" t="str">
        <f>IF(ISERROR(MATCH(A253,'SegEnds_Xtal_Prot#'!B:B, 0)), "NoXtal", "Xtal")</f>
        <v>NoXtal</v>
      </c>
      <c r="H253" s="4"/>
      <c r="R253" s="2" t="s">
        <v>9</v>
      </c>
      <c r="S253" s="2" t="s">
        <v>1316</v>
      </c>
      <c r="T253" s="4" t="s">
        <v>12</v>
      </c>
      <c r="V253" s="28" t="str">
        <f>MID(VLOOKUP($A253,Seqs!$A:$B,2,FALSE),VLOOKUP($A253,'SegEnds_NonXtal_Prot#'!A:AL,10,FALSE),1)</f>
        <v>D</v>
      </c>
      <c r="W253" s="49" t="str">
        <f>MID(VLOOKUP($A253,Seqs!$A:$B,2,FALSE),VLOOKUP($A253,'SegEnds_NonXtal_Prot#'!A:AL,10,FALSE)+6,1)</f>
        <v>S</v>
      </c>
      <c r="X253" s="49" t="str">
        <f>MID(VLOOKUP($A253,Seqs!$A:$B,2,FALSE),VLOOKUP($A253,'SegEnds_NonXtal_Prot#'!A:AL,10,FALSE)+7,1)</f>
        <v>L</v>
      </c>
      <c r="Y253" s="49" t="str">
        <f>MID(VLOOKUP($A253,Seqs!$A:$B,2,FALSE),VLOOKUP($A253,'SegEnds_NonXtal_Prot#'!A:AL,10,FALSE)+8,1)</f>
        <v>P</v>
      </c>
      <c r="Z253" s="49" t="str">
        <f>MID(VLOOKUP($A253,Seqs!$A:$B,2,FALSE),VLOOKUP($A253,'SegEnds_NonXtal_Prot#'!A:AL,10,FALSE)+9,1)</f>
        <v>L</v>
      </c>
      <c r="AA253" s="49" t="str">
        <f>MID(VLOOKUP($A253,Seqs!$A:$B,2,FALSE),VLOOKUP($A253,'SegEnds_NonXtal_Prot#'!A:AL,10,FALSE)+10,1)</f>
        <v>L</v>
      </c>
      <c r="AB253" s="28" t="str">
        <f>MID(VLOOKUP($A253,Seqs!$A:$B,2,FALSE),VLOOKUP($A253,'SegEnds_NonXtal_Prot#'!$A:$AL,22,FALSE)+6,1)</f>
        <v>C</v>
      </c>
      <c r="AC253" s="49" t="str">
        <f>MID(VLOOKUP($A253,Seqs!$A:$B,2,FALSE),VLOOKUP($A253,'SegEnds_NonXtal_Prot#'!$A:$AL,22,FALSE)+7,1)</f>
        <v>Q</v>
      </c>
      <c r="AD253" s="49" t="str">
        <f>MID(VLOOKUP($A253,Seqs!$A:$B,2,FALSE),VLOOKUP($A253,'SegEnds_NonXtal_Prot#'!$A:$AL,22,FALSE)+8,1)</f>
        <v>A</v>
      </c>
      <c r="AE253" s="49" t="str">
        <f>MID(VLOOKUP($A253,Seqs!$A:$B,2,FALSE),VLOOKUP($A253,'SegEnds_NonXtal_Prot#'!$A:$AL,22,FALSE)+9,1)</f>
        <v>P</v>
      </c>
      <c r="AF253" s="49" t="str">
        <f>MID(VLOOKUP($A253,Seqs!$A:$B,2,FALSE),VLOOKUP($A253,'SegEnds_NonXtal_Prot#'!$A:$AL,22,FALSE)+10,1)</f>
        <v>V</v>
      </c>
      <c r="AG253" s="28" t="str">
        <f>MID(VLOOKUP($A253,Seqs!$A:$B,2,FALSE),VLOOKUP($A253,'SegEnds_NonXtal_Prot#'!$A:$AL,28,FALSE)-4,1)</f>
        <v>L</v>
      </c>
      <c r="AH253" s="49" t="str">
        <f>MID(VLOOKUP($A253,Seqs!$A:$B,2,FALSE),VLOOKUP($A253,'SegEnds_NonXtal_Prot#'!$A:$AL,28,FALSE),1)</f>
        <v>P</v>
      </c>
    </row>
    <row r="254" spans="1:34" s="2" customFormat="1" x14ac:dyDescent="0.2">
      <c r="A254" s="2" t="s">
        <v>346</v>
      </c>
      <c r="B254" s="2" t="str">
        <f>LOWER(VLOOKUP(A254,Xtal_Templ!A:B,2,FALSE))</f>
        <v>p2ry1_human</v>
      </c>
      <c r="C254" s="2" t="str">
        <f>VLOOKUP(A254,Classification!A:D,2,FALSE)</f>
        <v>A</v>
      </c>
      <c r="D254" s="2" t="str">
        <f>IF(ISERROR(MATCH(A254,'SegEnds_Xtal_Prot#'!B:B, 0)), "NoXtal", "Xtal")</f>
        <v>NoXtal</v>
      </c>
      <c r="H254" s="4"/>
      <c r="R254" s="2" t="s">
        <v>9</v>
      </c>
      <c r="S254" s="2" t="s">
        <v>1316</v>
      </c>
      <c r="T254" s="4" t="s">
        <v>12</v>
      </c>
      <c r="V254" s="28" t="str">
        <f>MID(VLOOKUP($A254,Seqs!$A:$B,2,FALSE),VLOOKUP($A254,'SegEnds_NonXtal_Prot#'!A:AL,10,FALSE),1)</f>
        <v>D</v>
      </c>
      <c r="W254" s="49" t="str">
        <f>MID(VLOOKUP($A254,Seqs!$A:$B,2,FALSE),VLOOKUP($A254,'SegEnds_NonXtal_Prot#'!A:AL,10,FALSE)+6,1)</f>
        <v>S</v>
      </c>
      <c r="X254" s="49" t="str">
        <f>MID(VLOOKUP($A254,Seqs!$A:$B,2,FALSE),VLOOKUP($A254,'SegEnds_NonXtal_Prot#'!A:AL,10,FALSE)+7,1)</f>
        <v>L</v>
      </c>
      <c r="Y254" s="49" t="str">
        <f>MID(VLOOKUP($A254,Seqs!$A:$B,2,FALSE),VLOOKUP($A254,'SegEnds_NonXtal_Prot#'!A:AL,10,FALSE)+8,1)</f>
        <v>P</v>
      </c>
      <c r="Z254" s="49" t="str">
        <f>MID(VLOOKUP($A254,Seqs!$A:$B,2,FALSE),VLOOKUP($A254,'SegEnds_NonXtal_Prot#'!A:AL,10,FALSE)+9,1)</f>
        <v>T</v>
      </c>
      <c r="AA254" s="49" t="str">
        <f>MID(VLOOKUP($A254,Seqs!$A:$B,2,FALSE),VLOOKUP($A254,'SegEnds_NonXtal_Prot#'!A:AL,10,FALSE)+10,1)</f>
        <v>L</v>
      </c>
      <c r="AB254" s="28" t="str">
        <f>MID(VLOOKUP($A254,Seqs!$A:$B,2,FALSE),VLOOKUP($A254,'SegEnds_NonXtal_Prot#'!$A:$AL,22,FALSE)+6,1)</f>
        <v>C</v>
      </c>
      <c r="AC254" s="49" t="str">
        <f>MID(VLOOKUP($A254,Seqs!$A:$B,2,FALSE),VLOOKUP($A254,'SegEnds_NonXtal_Prot#'!$A:$AL,22,FALSE)+7,1)</f>
        <v>L</v>
      </c>
      <c r="AD254" s="49" t="str">
        <f>MID(VLOOKUP($A254,Seqs!$A:$B,2,FALSE),VLOOKUP($A254,'SegEnds_NonXtal_Prot#'!$A:$AL,22,FALSE)+8,1)</f>
        <v>V</v>
      </c>
      <c r="AE254" s="49" t="str">
        <f>MID(VLOOKUP($A254,Seqs!$A:$B,2,FALSE),VLOOKUP($A254,'SegEnds_NonXtal_Prot#'!$A:$AL,22,FALSE)+9,1)</f>
        <v>P</v>
      </c>
      <c r="AF254" s="49" t="str">
        <f>MID(VLOOKUP($A254,Seqs!$A:$B,2,FALSE),VLOOKUP($A254,'SegEnds_NonXtal_Prot#'!$A:$AL,22,FALSE)+10,1)</f>
        <v>N</v>
      </c>
      <c r="AG254" s="28" t="str">
        <f>MID(VLOOKUP($A254,Seqs!$A:$B,2,FALSE),VLOOKUP($A254,'SegEnds_NonXtal_Prot#'!$A:$AL,28,FALSE)-4,1)</f>
        <v>L</v>
      </c>
      <c r="AH254" s="49" t="str">
        <f>MID(VLOOKUP($A254,Seqs!$A:$B,2,FALSE),VLOOKUP($A254,'SegEnds_NonXtal_Prot#'!$A:$AL,28,FALSE),1)</f>
        <v>P</v>
      </c>
    </row>
    <row r="255" spans="1:34" s="2" customFormat="1" x14ac:dyDescent="0.2">
      <c r="A255" s="2" t="s">
        <v>347</v>
      </c>
      <c r="B255" s="2" t="str">
        <f>LOWER(VLOOKUP(A255,Xtal_Templ!A:B,2,FALSE))</f>
        <v>p2ry1_human</v>
      </c>
      <c r="C255" s="2" t="str">
        <f>VLOOKUP(A255,Classification!A:D,2,FALSE)</f>
        <v>A</v>
      </c>
      <c r="D255" s="2" t="str">
        <f>IF(ISERROR(MATCH(A255,'SegEnds_Xtal_Prot#'!B:B, 0)), "NoXtal", "Xtal")</f>
        <v>NoXtal</v>
      </c>
      <c r="H255" s="4"/>
      <c r="R255" s="2" t="s">
        <v>9</v>
      </c>
      <c r="S255" s="2" t="s">
        <v>1316</v>
      </c>
      <c r="T255" s="4" t="s">
        <v>12</v>
      </c>
      <c r="V255" s="28" t="str">
        <f>MID(VLOOKUP($A255,Seqs!$A:$B,2,FALSE),VLOOKUP($A255,'SegEnds_NonXtal_Prot#'!A:AL,10,FALSE),1)</f>
        <v>D</v>
      </c>
      <c r="W255" s="49" t="str">
        <f>MID(VLOOKUP($A255,Seqs!$A:$B,2,FALSE),VLOOKUP($A255,'SegEnds_NonXtal_Prot#'!A:AL,10,FALSE)+6,1)</f>
        <v>S</v>
      </c>
      <c r="X255" s="49" t="str">
        <f>MID(VLOOKUP($A255,Seqs!$A:$B,2,FALSE),VLOOKUP($A255,'SegEnds_NonXtal_Prot#'!A:AL,10,FALSE)+7,1)</f>
        <v>L</v>
      </c>
      <c r="Y255" s="49" t="str">
        <f>MID(VLOOKUP($A255,Seqs!$A:$B,2,FALSE),VLOOKUP($A255,'SegEnds_NonXtal_Prot#'!A:AL,10,FALSE)+8,1)</f>
        <v>P</v>
      </c>
      <c r="Z255" s="49" t="str">
        <f>MID(VLOOKUP($A255,Seqs!$A:$B,2,FALSE),VLOOKUP($A255,'SegEnds_NonXtal_Prot#'!A:AL,10,FALSE)+9,1)</f>
        <v>L</v>
      </c>
      <c r="AA255" s="49" t="str">
        <f>MID(VLOOKUP($A255,Seqs!$A:$B,2,FALSE),VLOOKUP($A255,'SegEnds_NonXtal_Prot#'!A:AL,10,FALSE)+10,1)</f>
        <v>L</v>
      </c>
      <c r="AB255" s="28" t="str">
        <f>MID(VLOOKUP($A255,Seqs!$A:$B,2,FALSE),VLOOKUP($A255,'SegEnds_NonXtal_Prot#'!$A:$AL,22,FALSE)+6,1)</f>
        <v>Q</v>
      </c>
      <c r="AC255" s="49" t="str">
        <f>MID(VLOOKUP($A255,Seqs!$A:$B,2,FALSE),VLOOKUP($A255,'SegEnds_NonXtal_Prot#'!$A:$AL,22,FALSE)+7,1)</f>
        <v>C</v>
      </c>
      <c r="AD255" s="49" t="str">
        <f>MID(VLOOKUP($A255,Seqs!$A:$B,2,FALSE),VLOOKUP($A255,'SegEnds_NonXtal_Prot#'!$A:$AL,22,FALSE)+8,1)</f>
        <v>L</v>
      </c>
      <c r="AE255" s="49" t="str">
        <f>MID(VLOOKUP($A255,Seqs!$A:$B,2,FALSE),VLOOKUP($A255,'SegEnds_NonXtal_Prot#'!$A:$AL,22,FALSE)+9,1)</f>
        <v>P</v>
      </c>
      <c r="AF255" s="49" t="str">
        <f>MID(VLOOKUP($A255,Seqs!$A:$B,2,FALSE),VLOOKUP($A255,'SegEnds_NonXtal_Prot#'!$A:$AL,22,FALSE)+10,1)</f>
        <v>T</v>
      </c>
      <c r="AG255" s="28" t="str">
        <f>MID(VLOOKUP($A255,Seqs!$A:$B,2,FALSE),VLOOKUP($A255,'SegEnds_NonXtal_Prot#'!$A:$AL,28,FALSE)-4,1)</f>
        <v>G</v>
      </c>
      <c r="AH255" s="49" t="str">
        <f>MID(VLOOKUP($A255,Seqs!$A:$B,2,FALSE),VLOOKUP($A255,'SegEnds_NonXtal_Prot#'!$A:$AL,28,FALSE),1)</f>
        <v>P</v>
      </c>
    </row>
    <row r="256" spans="1:34" s="2" customFormat="1" x14ac:dyDescent="0.2">
      <c r="A256" s="2" t="s">
        <v>349</v>
      </c>
      <c r="B256" s="2" t="str">
        <f>LOWER(VLOOKUP(A256,Xtal_Templ!A:B,2,FALSE))</f>
        <v>ptafr_human</v>
      </c>
      <c r="C256" s="2" t="str">
        <f>VLOOKUP(A256,Classification!A:D,2,FALSE)</f>
        <v>A</v>
      </c>
      <c r="D256" s="2" t="str">
        <f>IF(ISERROR(MATCH(A256,'SegEnds_Xtal_Prot#'!B:B, 0)), "NoXtal", "Xtal")</f>
        <v>NoXtal</v>
      </c>
      <c r="H256" s="4"/>
      <c r="R256" s="2" t="s">
        <v>9</v>
      </c>
      <c r="S256" s="2" t="s">
        <v>1316</v>
      </c>
      <c r="T256" s="4" t="s">
        <v>12</v>
      </c>
      <c r="V256" s="28" t="str">
        <f>MID(VLOOKUP($A256,Seqs!$A:$B,2,FALSE),VLOOKUP($A256,'SegEnds_NonXtal_Prot#'!A:AL,10,FALSE),1)</f>
        <v>D</v>
      </c>
      <c r="W256" s="49" t="str">
        <f>MID(VLOOKUP($A256,Seqs!$A:$B,2,FALSE),VLOOKUP($A256,'SegEnds_NonXtal_Prot#'!A:AL,10,FALSE)+6,1)</f>
        <v>S</v>
      </c>
      <c r="X256" s="49" t="str">
        <f>MID(VLOOKUP($A256,Seqs!$A:$B,2,FALSE),VLOOKUP($A256,'SegEnds_NonXtal_Prot#'!A:AL,10,FALSE)+7,1)</f>
        <v>L</v>
      </c>
      <c r="Y256" s="49" t="str">
        <f>MID(VLOOKUP($A256,Seqs!$A:$B,2,FALSE),VLOOKUP($A256,'SegEnds_NonXtal_Prot#'!A:AL,10,FALSE)+8,1)</f>
        <v>P</v>
      </c>
      <c r="Z256" s="49" t="str">
        <f>MID(VLOOKUP($A256,Seqs!$A:$B,2,FALSE),VLOOKUP($A256,'SegEnds_NonXtal_Prot#'!A:AL,10,FALSE)+9,1)</f>
        <v>L</v>
      </c>
      <c r="AA256" s="49" t="str">
        <f>MID(VLOOKUP($A256,Seqs!$A:$B,2,FALSE),VLOOKUP($A256,'SegEnds_NonXtal_Prot#'!A:AL,10,FALSE)+10,1)</f>
        <v>R</v>
      </c>
      <c r="AB256" s="28" t="str">
        <f>MID(VLOOKUP($A256,Seqs!$A:$B,2,FALSE),VLOOKUP($A256,'SegEnds_NonXtal_Prot#'!$A:$AL,22,FALSE)+6,1)</f>
        <v>A</v>
      </c>
      <c r="AC256" s="49" t="str">
        <f>MID(VLOOKUP($A256,Seqs!$A:$B,2,FALSE),VLOOKUP($A256,'SegEnds_NonXtal_Prot#'!$A:$AL,22,FALSE)+7,1)</f>
        <v>C</v>
      </c>
      <c r="AD256" s="49" t="str">
        <f>MID(VLOOKUP($A256,Seqs!$A:$B,2,FALSE),VLOOKUP($A256,'SegEnds_NonXtal_Prot#'!$A:$AL,22,FALSE)+8,1)</f>
        <v>L</v>
      </c>
      <c r="AE256" s="49" t="str">
        <f>MID(VLOOKUP($A256,Seqs!$A:$B,2,FALSE),VLOOKUP($A256,'SegEnds_NonXtal_Prot#'!$A:$AL,22,FALSE)+9,1)</f>
        <v>P</v>
      </c>
      <c r="AF256" s="49" t="str">
        <f>MID(VLOOKUP($A256,Seqs!$A:$B,2,FALSE),VLOOKUP($A256,'SegEnds_NonXtal_Prot#'!$A:$AL,22,FALSE)+10,1)</f>
        <v>F</v>
      </c>
      <c r="AG256" s="28" t="str">
        <f>MID(VLOOKUP($A256,Seqs!$A:$B,2,FALSE),VLOOKUP($A256,'SegEnds_NonXtal_Prot#'!$A:$AL,28,FALSE)-4,1)</f>
        <v>G</v>
      </c>
      <c r="AH256" s="49" t="str">
        <f>MID(VLOOKUP($A256,Seqs!$A:$B,2,FALSE),VLOOKUP($A256,'SegEnds_NonXtal_Prot#'!$A:$AL,28,FALSE),1)</f>
        <v>P</v>
      </c>
    </row>
    <row r="257" spans="1:34" s="2" customFormat="1" x14ac:dyDescent="0.2">
      <c r="A257" s="2" t="s">
        <v>350</v>
      </c>
      <c r="B257" s="2" t="str">
        <f>LOWER(VLOOKUP(A257,Xtal_Templ!A:B,2,FALSE))</f>
        <v>p2ry1_human</v>
      </c>
      <c r="C257" s="2" t="str">
        <f>VLOOKUP(A257,Classification!A:D,2,FALSE)</f>
        <v>A</v>
      </c>
      <c r="D257" s="2" t="str">
        <f>IF(ISERROR(MATCH(A257,'SegEnds_Xtal_Prot#'!B:B, 0)), "NoXtal", "Xtal")</f>
        <v>NoXtal</v>
      </c>
      <c r="H257" s="4"/>
      <c r="R257" s="2" t="s">
        <v>9</v>
      </c>
      <c r="S257" s="2" t="s">
        <v>1316</v>
      </c>
      <c r="T257" s="4" t="s">
        <v>12</v>
      </c>
      <c r="V257" s="28" t="str">
        <f>MID(VLOOKUP($A257,Seqs!$A:$B,2,FALSE),VLOOKUP($A257,'SegEnds_NonXtal_Prot#'!A:AL,10,FALSE),1)</f>
        <v>D</v>
      </c>
      <c r="W257" s="49" t="str">
        <f>MID(VLOOKUP($A257,Seqs!$A:$B,2,FALSE),VLOOKUP($A257,'SegEnds_NonXtal_Prot#'!A:AL,10,FALSE)+6,1)</f>
        <v>T</v>
      </c>
      <c r="X257" s="49" t="str">
        <f>MID(VLOOKUP($A257,Seqs!$A:$B,2,FALSE),VLOOKUP($A257,'SegEnds_NonXtal_Prot#'!A:AL,10,FALSE)+7,1)</f>
        <v>L</v>
      </c>
      <c r="Y257" s="49" t="str">
        <f>MID(VLOOKUP($A257,Seqs!$A:$B,2,FALSE),VLOOKUP($A257,'SegEnds_NonXtal_Prot#'!A:AL,10,FALSE)+8,1)</f>
        <v>P</v>
      </c>
      <c r="Z257" s="49" t="str">
        <f>MID(VLOOKUP($A257,Seqs!$A:$B,2,FALSE),VLOOKUP($A257,'SegEnds_NonXtal_Prot#'!A:AL,10,FALSE)+9,1)</f>
        <v>P</v>
      </c>
      <c r="AA257" s="49" t="str">
        <f>MID(VLOOKUP($A257,Seqs!$A:$B,2,FALSE),VLOOKUP($A257,'SegEnds_NonXtal_Prot#'!A:AL,10,FALSE)+10,1)</f>
        <v>L</v>
      </c>
      <c r="AB257" s="28" t="str">
        <f>MID(VLOOKUP($A257,Seqs!$A:$B,2,FALSE),VLOOKUP($A257,'SegEnds_NonXtal_Prot#'!$A:$AL,22,FALSE)+6,1)</f>
        <v>L</v>
      </c>
      <c r="AC257" s="49" t="str">
        <f>MID(VLOOKUP($A257,Seqs!$A:$B,2,FALSE),VLOOKUP($A257,'SegEnds_NonXtal_Prot#'!$A:$AL,22,FALSE)+7,1)</f>
        <v>A</v>
      </c>
      <c r="AD257" s="49" t="str">
        <f>MID(VLOOKUP($A257,Seqs!$A:$B,2,FALSE),VLOOKUP($A257,'SegEnds_NonXtal_Prot#'!$A:$AL,22,FALSE)+8,1)</f>
        <v>M</v>
      </c>
      <c r="AE257" s="49" t="str">
        <f>MID(VLOOKUP($A257,Seqs!$A:$B,2,FALSE),VLOOKUP($A257,'SegEnds_NonXtal_Prot#'!$A:$AL,22,FALSE)+9,1)</f>
        <v>P</v>
      </c>
      <c r="AF257" s="49" t="str">
        <f>MID(VLOOKUP($A257,Seqs!$A:$B,2,FALSE),VLOOKUP($A257,'SegEnds_NonXtal_Prot#'!$A:$AL,22,FALSE)+10,1)</f>
        <v>T</v>
      </c>
      <c r="AG257" s="28" t="str">
        <f>MID(VLOOKUP($A257,Seqs!$A:$B,2,FALSE),VLOOKUP($A257,'SegEnds_NonXtal_Prot#'!$A:$AL,28,FALSE)-4,1)</f>
        <v>G</v>
      </c>
      <c r="AH257" s="49" t="str">
        <f>MID(VLOOKUP($A257,Seqs!$A:$B,2,FALSE),VLOOKUP($A257,'SegEnds_NonXtal_Prot#'!$A:$AL,28,FALSE),1)</f>
        <v>P</v>
      </c>
    </row>
    <row r="258" spans="1:34" s="2" customFormat="1" x14ac:dyDescent="0.2">
      <c r="A258" s="2" t="s">
        <v>369</v>
      </c>
      <c r="B258" s="2" t="str">
        <f>LOWER(VLOOKUP(A258,Xtal_Templ!A:B,2,FALSE))</f>
        <v>ptafr_human</v>
      </c>
      <c r="C258" s="2" t="str">
        <f>VLOOKUP(A258,Classification!A:D,2,FALSE)</f>
        <v>A</v>
      </c>
      <c r="D258" s="2" t="str">
        <f>IF(ISERROR(MATCH(A258,'SegEnds_Xtal_Prot#'!B:B, 0)), "NoXtal", "Xtal")</f>
        <v>NoXtal</v>
      </c>
      <c r="H258" s="4"/>
      <c r="R258" s="2" t="s">
        <v>9</v>
      </c>
      <c r="S258" s="106"/>
      <c r="T258" s="4" t="s">
        <v>12</v>
      </c>
      <c r="V258" s="28" t="str">
        <f>MID(VLOOKUP($A258,Seqs!$A:$B,2,FALSE),VLOOKUP($A258,'SegEnds_NonXtal_Prot#'!A:AL,10,FALSE),1)</f>
        <v>D</v>
      </c>
      <c r="W258" s="49" t="str">
        <f>MID(VLOOKUP($A258,Seqs!$A:$B,2,FALSE),VLOOKUP($A258,'SegEnds_NonXtal_Prot#'!A:AL,10,FALSE)+6,1)</f>
        <v>T</v>
      </c>
      <c r="X258" s="49" t="str">
        <f>MID(VLOOKUP($A258,Seqs!$A:$B,2,FALSE),VLOOKUP($A258,'SegEnds_NonXtal_Prot#'!A:AL,10,FALSE)+7,1)</f>
        <v>L</v>
      </c>
      <c r="Y258" s="49" t="str">
        <f>MID(VLOOKUP($A258,Seqs!$A:$B,2,FALSE),VLOOKUP($A258,'SegEnds_NonXtal_Prot#'!A:AL,10,FALSE)+8,1)</f>
        <v>P</v>
      </c>
      <c r="Z258" s="49" t="str">
        <f>MID(VLOOKUP($A258,Seqs!$A:$B,2,FALSE),VLOOKUP($A258,'SegEnds_NonXtal_Prot#'!A:AL,10,FALSE)+9,1)</f>
        <v>L</v>
      </c>
      <c r="AA258" s="49" t="str">
        <f>MID(VLOOKUP($A258,Seqs!$A:$B,2,FALSE),VLOOKUP($A258,'SegEnds_NonXtal_Prot#'!A:AL,10,FALSE)+10,1)</f>
        <v>W</v>
      </c>
      <c r="AB258" s="28" t="str">
        <f>MID(VLOOKUP($A258,Seqs!$A:$B,2,FALSE),VLOOKUP($A258,'SegEnds_NonXtal_Prot#'!$A:$AL,22,FALSE)+6,1)</f>
        <v>F</v>
      </c>
      <c r="AC258" s="49" t="str">
        <f>MID(VLOOKUP($A258,Seqs!$A:$B,2,FALSE),VLOOKUP($A258,'SegEnds_NonXtal_Prot#'!$A:$AL,22,FALSE)+7,1)</f>
        <v>N</v>
      </c>
      <c r="AD258" s="49" t="str">
        <f>MID(VLOOKUP($A258,Seqs!$A:$B,2,FALSE),VLOOKUP($A258,'SegEnds_NonXtal_Prot#'!$A:$AL,22,FALSE)+8,1)</f>
        <v>A</v>
      </c>
      <c r="AE258" s="49" t="str">
        <f>MID(VLOOKUP($A258,Seqs!$A:$B,2,FALSE),VLOOKUP($A258,'SegEnds_NonXtal_Prot#'!$A:$AL,22,FALSE)+9,1)</f>
        <v>V</v>
      </c>
      <c r="AF258" s="49" t="str">
        <f>MID(VLOOKUP($A258,Seqs!$A:$B,2,FALSE),VLOOKUP($A258,'SegEnds_NonXtal_Prot#'!$A:$AL,22,FALSE)+10,1)</f>
        <v>M</v>
      </c>
      <c r="AG258" s="28" t="str">
        <f>MID(VLOOKUP($A258,Seqs!$A:$B,2,FALSE),VLOOKUP($A258,'SegEnds_NonXtal_Prot#'!$A:$AL,28,FALSE)-4,1)</f>
        <v>G</v>
      </c>
      <c r="AH258" s="49" t="str">
        <f>MID(VLOOKUP($A258,Seqs!$A:$B,2,FALSE),VLOOKUP($A258,'SegEnds_NonXtal_Prot#'!$A:$AL,28,FALSE),1)</f>
        <v>P</v>
      </c>
    </row>
    <row r="259" spans="1:34" s="2" customFormat="1" x14ac:dyDescent="0.2">
      <c r="A259" s="2" t="s">
        <v>385</v>
      </c>
      <c r="B259" s="2" t="str">
        <f>LOWER(VLOOKUP(A259,Xtal_Templ!A:B,2,FALSE))</f>
        <v>sucr1_rat</v>
      </c>
      <c r="C259" s="2" t="str">
        <f>VLOOKUP(A259,Classification!A:D,2,FALSE)</f>
        <v>A</v>
      </c>
      <c r="D259" s="2" t="str">
        <f>IF(ISERROR(MATCH(A259,'SegEnds_Xtal_Prot#'!B:B, 0)), "NoXtal", "Xtal")</f>
        <v>NoXtal</v>
      </c>
      <c r="H259" s="4"/>
      <c r="N259" s="2" t="s">
        <v>14</v>
      </c>
      <c r="R259" s="2" t="s">
        <v>9</v>
      </c>
      <c r="T259" s="4" t="s">
        <v>12</v>
      </c>
      <c r="V259" s="28" t="str">
        <f>MID(VLOOKUP($A259,Seqs!$A:$B,2,FALSE),VLOOKUP($A259,'SegEnds_NonXtal_Prot#'!A:AL,10,FALSE),1)</f>
        <v>D</v>
      </c>
      <c r="W259" s="49" t="str">
        <f>MID(VLOOKUP($A259,Seqs!$A:$B,2,FALSE),VLOOKUP($A259,'SegEnds_NonXtal_Prot#'!A:AL,10,FALSE)+6,1)</f>
        <v>T</v>
      </c>
      <c r="X259" s="49" t="str">
        <f>MID(VLOOKUP($A259,Seqs!$A:$B,2,FALSE),VLOOKUP($A259,'SegEnds_NonXtal_Prot#'!A:AL,10,FALSE)+7,1)</f>
        <v>L</v>
      </c>
      <c r="Y259" s="49" t="str">
        <f>MID(VLOOKUP($A259,Seqs!$A:$B,2,FALSE),VLOOKUP($A259,'SegEnds_NonXtal_Prot#'!A:AL,10,FALSE)+8,1)</f>
        <v>P</v>
      </c>
      <c r="Z259" s="49" t="str">
        <f>MID(VLOOKUP($A259,Seqs!$A:$B,2,FALSE),VLOOKUP($A259,'SegEnds_NonXtal_Prot#'!A:AL,10,FALSE)+9,1)</f>
        <v>M</v>
      </c>
      <c r="AA259" s="49" t="str">
        <f>MID(VLOOKUP($A259,Seqs!$A:$B,2,FALSE),VLOOKUP($A259,'SegEnds_NonXtal_Prot#'!A:AL,10,FALSE)+10,1)</f>
        <v>L</v>
      </c>
      <c r="AB259" s="28" t="str">
        <f>MID(VLOOKUP($A259,Seqs!$A:$B,2,FALSE),VLOOKUP($A259,'SegEnds_NonXtal_Prot#'!$A:$AL,22,FALSE)+6,1)</f>
        <v>E</v>
      </c>
      <c r="AC259" s="49" t="str">
        <f>MID(VLOOKUP($A259,Seqs!$A:$B,2,FALSE),VLOOKUP($A259,'SegEnds_NonXtal_Prot#'!$A:$AL,22,FALSE)+7,1)</f>
        <v>L</v>
      </c>
      <c r="AD259" s="49" t="str">
        <f>MID(VLOOKUP($A259,Seqs!$A:$B,2,FALSE),VLOOKUP($A259,'SegEnds_NonXtal_Prot#'!$A:$AL,22,FALSE)+8,1)</f>
        <v>L</v>
      </c>
      <c r="AE259" s="49" t="str">
        <f>MID(VLOOKUP($A259,Seqs!$A:$B,2,FALSE),VLOOKUP($A259,'SegEnds_NonXtal_Prot#'!$A:$AL,22,FALSE)+9,1)</f>
        <v>P</v>
      </c>
      <c r="AF259" s="49" t="str">
        <f>MID(VLOOKUP($A259,Seqs!$A:$B,2,FALSE),VLOOKUP($A259,'SegEnds_NonXtal_Prot#'!$A:$AL,22,FALSE)+10,1)</f>
        <v>I</v>
      </c>
      <c r="AG259" s="28" t="str">
        <f>MID(VLOOKUP($A259,Seqs!$A:$B,2,FALSE),VLOOKUP($A259,'SegEnds_NonXtal_Prot#'!$A:$AL,28,FALSE)-4,1)</f>
        <v>G</v>
      </c>
      <c r="AH259" s="49" t="str">
        <f>MID(VLOOKUP($A259,Seqs!$A:$B,2,FALSE),VLOOKUP($A259,'SegEnds_NonXtal_Prot#'!$A:$AL,28,FALSE),1)</f>
        <v>P</v>
      </c>
    </row>
    <row r="260" spans="1:34" s="2" customFormat="1" x14ac:dyDescent="0.2">
      <c r="A260" s="2" t="s">
        <v>1591</v>
      </c>
      <c r="B260" s="2" t="str">
        <f>LOWER(VLOOKUP(A260,Xtal_Templ!A:B,2,FALSE))</f>
        <v>sucr1_rat</v>
      </c>
      <c r="C260" s="2" t="str">
        <f>VLOOKUP(A260,Classification!A:D,2,FALSE)</f>
        <v>A</v>
      </c>
      <c r="D260" s="2" t="str">
        <f>IF(ISERROR(MATCH(A260,'SegEnds_Xtal_Prot#'!B:B, 0)), "NoXtal", "Xtal")</f>
        <v>Xtal</v>
      </c>
      <c r="H260" s="4"/>
      <c r="N260" s="2" t="s">
        <v>14</v>
      </c>
      <c r="R260" s="2" t="s">
        <v>9</v>
      </c>
      <c r="T260" s="4" t="s">
        <v>12</v>
      </c>
      <c r="V260" s="28" t="str">
        <f>MID(VLOOKUP($A260,Seqs!$A:$B,2,FALSE),VLOOKUP($A260,'SegEnds_NonXtal_Prot#'!A:AL,10,FALSE),1)</f>
        <v>D</v>
      </c>
      <c r="W260" s="49" t="str">
        <f>MID(VLOOKUP($A260,Seqs!$A:$B,2,FALSE),VLOOKUP($A260,'SegEnds_NonXtal_Prot#'!A:AL,10,FALSE)+6,1)</f>
        <v>T</v>
      </c>
      <c r="X260" s="49" t="str">
        <f>MID(VLOOKUP($A260,Seqs!$A:$B,2,FALSE),VLOOKUP($A260,'SegEnds_NonXtal_Prot#'!A:AL,10,FALSE)+7,1)</f>
        <v>L</v>
      </c>
      <c r="Y260" s="49" t="str">
        <f>MID(VLOOKUP($A260,Seqs!$A:$B,2,FALSE),VLOOKUP($A260,'SegEnds_NonXtal_Prot#'!A:AL,10,FALSE)+8,1)</f>
        <v>P</v>
      </c>
      <c r="Z260" s="49" t="str">
        <f>MID(VLOOKUP($A260,Seqs!$A:$B,2,FALSE),VLOOKUP($A260,'SegEnds_NonXtal_Prot#'!A:AL,10,FALSE)+9,1)</f>
        <v>M</v>
      </c>
      <c r="AA260" s="49" t="str">
        <f>MID(VLOOKUP($A260,Seqs!$A:$B,2,FALSE),VLOOKUP($A260,'SegEnds_NonXtal_Prot#'!A:AL,10,FALSE)+10,1)</f>
        <v>L</v>
      </c>
      <c r="AB260" s="28" t="str">
        <f>MID(VLOOKUP($A260,Seqs!$A:$B,2,FALSE),VLOOKUP($A260,'SegEnds_NonXtal_Prot#'!$A:$AL,22,FALSE)+6,1)</f>
        <v>E</v>
      </c>
      <c r="AC260" s="49" t="str">
        <f>MID(VLOOKUP($A260,Seqs!$A:$B,2,FALSE),VLOOKUP($A260,'SegEnds_NonXtal_Prot#'!$A:$AL,22,FALSE)+7,1)</f>
        <v>V</v>
      </c>
      <c r="AD260" s="49" t="str">
        <f>MID(VLOOKUP($A260,Seqs!$A:$B,2,FALSE),VLOOKUP($A260,'SegEnds_NonXtal_Prot#'!$A:$AL,22,FALSE)+8,1)</f>
        <v>L</v>
      </c>
      <c r="AE260" s="49" t="str">
        <f>MID(VLOOKUP($A260,Seqs!$A:$B,2,FALSE),VLOOKUP($A260,'SegEnds_NonXtal_Prot#'!$A:$AL,22,FALSE)+9,1)</f>
        <v>P</v>
      </c>
      <c r="AF260" s="49" t="str">
        <f>MID(VLOOKUP($A260,Seqs!$A:$B,2,FALSE),VLOOKUP($A260,'SegEnds_NonXtal_Prot#'!$A:$AL,22,FALSE)+10,1)</f>
        <v>M</v>
      </c>
      <c r="AG260" s="28" t="str">
        <f>MID(VLOOKUP($A260,Seqs!$A:$B,2,FALSE),VLOOKUP($A260,'SegEnds_NonXtal_Prot#'!$A:$AL,28,FALSE)-4,1)</f>
        <v>G</v>
      </c>
      <c r="AH260" s="49" t="str">
        <f>MID(VLOOKUP($A260,Seqs!$A:$B,2,FALSE),VLOOKUP($A260,'SegEnds_NonXtal_Prot#'!$A:$AL,28,FALSE),1)</f>
        <v>P</v>
      </c>
    </row>
    <row r="261" spans="1:34" s="2" customFormat="1" x14ac:dyDescent="0.2">
      <c r="A261" s="2" t="s">
        <v>228</v>
      </c>
      <c r="B261" s="2" t="str">
        <f>LOWER(VLOOKUP(A261,Xtal_Templ!A:B,2,FALSE))</f>
        <v>p2y12_human</v>
      </c>
      <c r="C261" s="2" t="str">
        <f>VLOOKUP(A261,Classification!A:D,2,FALSE)</f>
        <v>A</v>
      </c>
      <c r="D261" s="2" t="str">
        <f>IF(ISERROR(MATCH(A261,'SegEnds_Xtal_Prot#'!B:B, 0)), "NoXtal", "Xtal")</f>
        <v>NoXtal</v>
      </c>
      <c r="H261" s="4"/>
      <c r="N261" s="2" t="s">
        <v>14</v>
      </c>
      <c r="T261" s="4" t="s">
        <v>12</v>
      </c>
      <c r="V261" s="28" t="str">
        <f>MID(VLOOKUP($A261,Seqs!$A:$B,2,FALSE),VLOOKUP($A261,'SegEnds_NonXtal_Prot#'!A:AL,10,FALSE),1)</f>
        <v>D</v>
      </c>
      <c r="W261" s="49" t="str">
        <f>MID(VLOOKUP($A261,Seqs!$A:$B,2,FALSE),VLOOKUP($A261,'SegEnds_NonXtal_Prot#'!A:AL,10,FALSE)+6,1)</f>
        <v>A</v>
      </c>
      <c r="X261" s="49" t="str">
        <f>MID(VLOOKUP($A261,Seqs!$A:$B,2,FALSE),VLOOKUP($A261,'SegEnds_NonXtal_Prot#'!A:AL,10,FALSE)+7,1)</f>
        <v>L</v>
      </c>
      <c r="Y261" s="49" t="str">
        <f>MID(VLOOKUP($A261,Seqs!$A:$B,2,FALSE),VLOOKUP($A261,'SegEnds_NonXtal_Prot#'!A:AL,10,FALSE)+8,1)</f>
        <v>P</v>
      </c>
      <c r="Z261" s="49" t="str">
        <f>MID(VLOOKUP($A261,Seqs!$A:$B,2,FALSE),VLOOKUP($A261,'SegEnds_NonXtal_Prot#'!A:AL,10,FALSE)+9,1)</f>
        <v>V</v>
      </c>
      <c r="AA261" s="49" t="str">
        <f>MID(VLOOKUP($A261,Seqs!$A:$B,2,FALSE),VLOOKUP($A261,'SegEnds_NonXtal_Prot#'!A:AL,10,FALSE)+10,1)</f>
        <v>K</v>
      </c>
      <c r="AB261" s="28" t="str">
        <f>MID(VLOOKUP($A261,Seqs!$A:$B,2,FALSE),VLOOKUP($A261,'SegEnds_NonXtal_Prot#'!$A:$AL,22,FALSE)+6,1)</f>
        <v>I</v>
      </c>
      <c r="AC261" s="49" t="str">
        <f>MID(VLOOKUP($A261,Seqs!$A:$B,2,FALSE),VLOOKUP($A261,'SegEnds_NonXtal_Prot#'!$A:$AL,22,FALSE)+7,1)</f>
        <v>M</v>
      </c>
      <c r="AD261" s="49" t="str">
        <f>MID(VLOOKUP($A261,Seqs!$A:$B,2,FALSE),VLOOKUP($A261,'SegEnds_NonXtal_Prot#'!$A:$AL,22,FALSE)+8,1)</f>
        <v>V</v>
      </c>
      <c r="AE261" s="49" t="str">
        <f>MID(VLOOKUP($A261,Seqs!$A:$B,2,FALSE),VLOOKUP($A261,'SegEnds_NonXtal_Prot#'!$A:$AL,22,FALSE)+9,1)</f>
        <v>P</v>
      </c>
      <c r="AF261" s="49" t="str">
        <f>MID(VLOOKUP($A261,Seqs!$A:$B,2,FALSE),VLOOKUP($A261,'SegEnds_NonXtal_Prot#'!$A:$AL,22,FALSE)+10,1)</f>
        <v>N</v>
      </c>
      <c r="AG261" s="28" t="str">
        <f>MID(VLOOKUP($A261,Seqs!$A:$B,2,FALSE),VLOOKUP($A261,'SegEnds_NonXtal_Prot#'!$A:$AL,28,FALSE)-4,1)</f>
        <v>I</v>
      </c>
      <c r="AH261" s="49" t="str">
        <f>MID(VLOOKUP($A261,Seqs!$A:$B,2,FALSE),VLOOKUP($A261,'SegEnds_NonXtal_Prot#'!$A:$AL,28,FALSE),1)</f>
        <v>F</v>
      </c>
    </row>
    <row r="262" spans="1:34" s="2" customFormat="1" x14ac:dyDescent="0.2">
      <c r="A262" s="2" t="s">
        <v>233</v>
      </c>
      <c r="B262" s="2" t="str">
        <f>LOWER(VLOOKUP(A262,Xtal_Templ!A:B,2,FALSE))</f>
        <v>oprk_human</v>
      </c>
      <c r="C262" s="2" t="str">
        <f>VLOOKUP(A262,Classification!A:D,2,FALSE)</f>
        <v>A</v>
      </c>
      <c r="D262" s="2" t="str">
        <f>IF(ISERROR(MATCH(A262,'SegEnds_Xtal_Prot#'!B:B, 0)), "NoXtal", "Xtal")</f>
        <v>NoXtal</v>
      </c>
      <c r="H262" s="4"/>
      <c r="N262" s="2" t="s">
        <v>14</v>
      </c>
      <c r="R262" s="2" t="s">
        <v>9</v>
      </c>
      <c r="T262" s="4" t="s">
        <v>12</v>
      </c>
      <c r="V262" s="28" t="str">
        <f>MID(VLOOKUP($A262,Seqs!$A:$B,2,FALSE),VLOOKUP($A262,'SegEnds_NonXtal_Prot#'!A:AL,10,FALSE),1)</f>
        <v>D</v>
      </c>
      <c r="W262" s="49" t="str">
        <f>MID(VLOOKUP($A262,Seqs!$A:$B,2,FALSE),VLOOKUP($A262,'SegEnds_NonXtal_Prot#'!A:AL,10,FALSE)+6,1)</f>
        <v>A</v>
      </c>
      <c r="X262" s="49" t="str">
        <f>MID(VLOOKUP($A262,Seqs!$A:$B,2,FALSE),VLOOKUP($A262,'SegEnds_NonXtal_Prot#'!A:AL,10,FALSE)+7,1)</f>
        <v>L</v>
      </c>
      <c r="Y262" s="49" t="str">
        <f>MID(VLOOKUP($A262,Seqs!$A:$B,2,FALSE),VLOOKUP($A262,'SegEnds_NonXtal_Prot#'!A:AL,10,FALSE)+8,1)</f>
        <v>P</v>
      </c>
      <c r="Z262" s="49" t="str">
        <f>MID(VLOOKUP($A262,Seqs!$A:$B,2,FALSE),VLOOKUP($A262,'SegEnds_NonXtal_Prot#'!A:AL,10,FALSE)+9,1)</f>
        <v>T</v>
      </c>
      <c r="AA262" s="49" t="str">
        <f>MID(VLOOKUP($A262,Seqs!$A:$B,2,FALSE),VLOOKUP($A262,'SegEnds_NonXtal_Prot#'!A:AL,10,FALSE)+10,1)</f>
        <v>R</v>
      </c>
      <c r="AB262" s="28" t="str">
        <f>MID(VLOOKUP($A262,Seqs!$A:$B,2,FALSE),VLOOKUP($A262,'SegEnds_NonXtal_Prot#'!$A:$AL,22,FALSE)+6,1)</f>
        <v>Q</v>
      </c>
      <c r="AC262" s="49" t="str">
        <f>MID(VLOOKUP($A262,Seqs!$A:$B,2,FALSE),VLOOKUP($A262,'SegEnds_NonXtal_Prot#'!$A:$AL,22,FALSE)+7,1)</f>
        <v>T</v>
      </c>
      <c r="AD262" s="49" t="str">
        <f>MID(VLOOKUP($A262,Seqs!$A:$B,2,FALSE),VLOOKUP($A262,'SegEnds_NonXtal_Prot#'!$A:$AL,22,FALSE)+8,1)</f>
        <v>L</v>
      </c>
      <c r="AE262" s="49" t="str">
        <f>MID(VLOOKUP($A262,Seqs!$A:$B,2,FALSE),VLOOKUP($A262,'SegEnds_NonXtal_Prot#'!$A:$AL,22,FALSE)+9,1)</f>
        <v>P</v>
      </c>
      <c r="AF262" s="49" t="str">
        <f>MID(VLOOKUP($A262,Seqs!$A:$B,2,FALSE),VLOOKUP($A262,'SegEnds_NonXtal_Prot#'!$A:$AL,22,FALSE)+10,1)</f>
        <v>L</v>
      </c>
      <c r="AG262" s="28" t="str">
        <f>MID(VLOOKUP($A262,Seqs!$A:$B,2,FALSE),VLOOKUP($A262,'SegEnds_NonXtal_Prot#'!$A:$AL,28,FALSE)-4,1)</f>
        <v>G</v>
      </c>
      <c r="AH262" s="49" t="str">
        <f>MID(VLOOKUP($A262,Seqs!$A:$B,2,FALSE),VLOOKUP($A262,'SegEnds_NonXtal_Prot#'!$A:$AL,28,FALSE),1)</f>
        <v>P</v>
      </c>
    </row>
    <row r="263" spans="1:34" s="2" customFormat="1" x14ac:dyDescent="0.2">
      <c r="A263" s="2" t="s">
        <v>252</v>
      </c>
      <c r="B263" s="2" t="str">
        <f>LOWER(VLOOKUP(A263,Xtal_Templ!A:B,2,FALSE))</f>
        <v>ptafr_human</v>
      </c>
      <c r="C263" s="2" t="str">
        <f>VLOOKUP(A263,Classification!A:D,2,FALSE)</f>
        <v>A</v>
      </c>
      <c r="D263" s="2" t="str">
        <f>IF(ISERROR(MATCH(A263,'SegEnds_Xtal_Prot#'!B:B, 0)), "NoXtal", "Xtal")</f>
        <v>NoXtal</v>
      </c>
      <c r="H263" s="4"/>
      <c r="S263" s="106"/>
      <c r="T263" s="4" t="s">
        <v>12</v>
      </c>
      <c r="V263" s="28" t="str">
        <f>MID(VLOOKUP($A263,Seqs!$A:$B,2,FALSE),VLOOKUP($A263,'SegEnds_NonXtal_Prot#'!A:AL,10,FALSE),1)</f>
        <v>D</v>
      </c>
      <c r="W263" s="49" t="str">
        <f>MID(VLOOKUP($A263,Seqs!$A:$B,2,FALSE),VLOOKUP($A263,'SegEnds_NonXtal_Prot#'!A:AL,10,FALSE)+6,1)</f>
        <v>C</v>
      </c>
      <c r="X263" s="49" t="str">
        <f>MID(VLOOKUP($A263,Seqs!$A:$B,2,FALSE),VLOOKUP($A263,'SegEnds_NonXtal_Prot#'!A:AL,10,FALSE)+7,1)</f>
        <v>L</v>
      </c>
      <c r="Y263" s="49" t="str">
        <f>MID(VLOOKUP($A263,Seqs!$A:$B,2,FALSE),VLOOKUP($A263,'SegEnds_NonXtal_Prot#'!A:AL,10,FALSE)+8,1)</f>
        <v>P</v>
      </c>
      <c r="Z263" s="49" t="str">
        <f>MID(VLOOKUP($A263,Seqs!$A:$B,2,FALSE),VLOOKUP($A263,'SegEnds_NonXtal_Prot#'!A:AL,10,FALSE)+9,1)</f>
        <v>F</v>
      </c>
      <c r="AA263" s="49" t="str">
        <f>MID(VLOOKUP($A263,Seqs!$A:$B,2,FALSE),VLOOKUP($A263,'SegEnds_NonXtal_Prot#'!A:AL,10,FALSE)+10,1)</f>
        <v>R</v>
      </c>
      <c r="AB263" s="28" t="str">
        <f>MID(VLOOKUP($A263,Seqs!$A:$B,2,FALSE),VLOOKUP($A263,'SegEnds_NonXtal_Prot#'!$A:$AL,22,FALSE)+6,1)</f>
        <v>G</v>
      </c>
      <c r="AC263" s="49" t="str">
        <f>MID(VLOOKUP($A263,Seqs!$A:$B,2,FALSE),VLOOKUP($A263,'SegEnds_NonXtal_Prot#'!$A:$AL,22,FALSE)+7,1)</f>
        <v>F</v>
      </c>
      <c r="AD263" s="49" t="str">
        <f>MID(VLOOKUP($A263,Seqs!$A:$B,2,FALSE),VLOOKUP($A263,'SegEnds_NonXtal_Prot#'!$A:$AL,22,FALSE)+8,1)</f>
        <v>L</v>
      </c>
      <c r="AE263" s="49" t="str">
        <f>MID(VLOOKUP($A263,Seqs!$A:$B,2,FALSE),VLOOKUP($A263,'SegEnds_NonXtal_Prot#'!$A:$AL,22,FALSE)+9,1)</f>
        <v>T</v>
      </c>
      <c r="AF263" s="49" t="str">
        <f>MID(VLOOKUP($A263,Seqs!$A:$B,2,FALSE),VLOOKUP($A263,'SegEnds_NonXtal_Prot#'!$A:$AL,22,FALSE)+10,1)</f>
        <v>M</v>
      </c>
      <c r="AG263" s="28" t="str">
        <f>MID(VLOOKUP($A263,Seqs!$A:$B,2,FALSE),VLOOKUP($A263,'SegEnds_NonXtal_Prot#'!$A:$AL,28,FALSE)-4,1)</f>
        <v>M</v>
      </c>
      <c r="AH263" s="49" t="str">
        <f>MID(VLOOKUP($A263,Seqs!$A:$B,2,FALSE),VLOOKUP($A263,'SegEnds_NonXtal_Prot#'!$A:$AL,28,FALSE),1)</f>
        <v>I</v>
      </c>
    </row>
    <row r="264" spans="1:34" s="2" customFormat="1" x14ac:dyDescent="0.2">
      <c r="A264" s="2" t="s">
        <v>271</v>
      </c>
      <c r="B264" s="2" t="str">
        <f>LOWER(VLOOKUP(A264,Xtal_Templ!A:B,2,FALSE))</f>
        <v>p2y12_human</v>
      </c>
      <c r="C264" s="2" t="str">
        <f>VLOOKUP(A264,Classification!A:D,2,FALSE)</f>
        <v>A</v>
      </c>
      <c r="D264" s="2" t="str">
        <f>IF(ISERROR(MATCH(A264,'SegEnds_Xtal_Prot#'!B:B, 0)), "NoXtal", "Xtal")</f>
        <v>NoXtal</v>
      </c>
      <c r="H264" s="4"/>
      <c r="N264" s="2" t="s">
        <v>14</v>
      </c>
      <c r="T264" s="4" t="s">
        <v>12</v>
      </c>
      <c r="V264" s="28" t="str">
        <f>MID(VLOOKUP($A264,Seqs!$A:$B,2,FALSE),VLOOKUP($A264,'SegEnds_NonXtal_Prot#'!A:AL,10,FALSE),1)</f>
        <v>D</v>
      </c>
      <c r="W264" s="49" t="str">
        <f>MID(VLOOKUP($A264,Seqs!$A:$B,2,FALSE),VLOOKUP($A264,'SegEnds_NonXtal_Prot#'!A:AL,10,FALSE)+6,1)</f>
        <v>T</v>
      </c>
      <c r="X264" s="49" t="str">
        <f>MID(VLOOKUP($A264,Seqs!$A:$B,2,FALSE),VLOOKUP($A264,'SegEnds_NonXtal_Prot#'!A:AL,10,FALSE)+7,1)</f>
        <v>F</v>
      </c>
      <c r="Y264" s="49" t="str">
        <f>MID(VLOOKUP($A264,Seqs!$A:$B,2,FALSE),VLOOKUP($A264,'SegEnds_NonXtal_Prot#'!A:AL,10,FALSE)+8,1)</f>
        <v>P</v>
      </c>
      <c r="Z264" s="49" t="str">
        <f>MID(VLOOKUP($A264,Seqs!$A:$B,2,FALSE),VLOOKUP($A264,'SegEnds_NonXtal_Prot#'!A:AL,10,FALSE)+9,1)</f>
        <v>F</v>
      </c>
      <c r="AA264" s="49" t="str">
        <f>MID(VLOOKUP($A264,Seqs!$A:$B,2,FALSE),VLOOKUP($A264,'SegEnds_NonXtal_Prot#'!A:AL,10,FALSE)+10,1)</f>
        <v>R</v>
      </c>
      <c r="AB264" s="28" t="str">
        <f>MID(VLOOKUP($A264,Seqs!$A:$B,2,FALSE),VLOOKUP($A264,'SegEnds_NonXtal_Prot#'!$A:$AL,22,FALSE)+6,1)</f>
        <v>L</v>
      </c>
      <c r="AC264" s="49" t="str">
        <f>MID(VLOOKUP($A264,Seqs!$A:$B,2,FALSE),VLOOKUP($A264,'SegEnds_NonXtal_Prot#'!$A:$AL,22,FALSE)+7,1)</f>
        <v>S</v>
      </c>
      <c r="AD264" s="49" t="str">
        <f>MID(VLOOKUP($A264,Seqs!$A:$B,2,FALSE),VLOOKUP($A264,'SegEnds_NonXtal_Prot#'!$A:$AL,22,FALSE)+8,1)</f>
        <v>L</v>
      </c>
      <c r="AE264" s="49" t="str">
        <f>MID(VLOOKUP($A264,Seqs!$A:$B,2,FALSE),VLOOKUP($A264,'SegEnds_NonXtal_Prot#'!$A:$AL,22,FALSE)+9,1)</f>
        <v>P</v>
      </c>
      <c r="AF264" s="49" t="str">
        <f>MID(VLOOKUP($A264,Seqs!$A:$B,2,FALSE),VLOOKUP($A264,'SegEnds_NonXtal_Prot#'!$A:$AL,22,FALSE)+10,1)</f>
        <v>N</v>
      </c>
      <c r="AG264" s="28" t="str">
        <f>MID(VLOOKUP($A264,Seqs!$A:$B,2,FALSE),VLOOKUP($A264,'SegEnds_NonXtal_Prot#'!$A:$AL,28,FALSE)-4,1)</f>
        <v>L</v>
      </c>
      <c r="AH264" s="49" t="str">
        <f>MID(VLOOKUP($A264,Seqs!$A:$B,2,FALSE),VLOOKUP($A264,'SegEnds_NonXtal_Prot#'!$A:$AL,28,FALSE),1)</f>
        <v>V</v>
      </c>
    </row>
    <row r="265" spans="1:34" s="2" customFormat="1" x14ac:dyDescent="0.2">
      <c r="A265" s="2" t="s">
        <v>306</v>
      </c>
      <c r="B265" s="2" t="str">
        <f>LOWER(VLOOKUP(A265,Xtal_Templ!A:B,2,FALSE))</f>
        <v>pd2r2_human</v>
      </c>
      <c r="C265" s="2" t="str">
        <f>VLOOKUP(A265,Classification!A:D,2,FALSE)</f>
        <v>A</v>
      </c>
      <c r="D265" s="2" t="str">
        <f>IF(ISERROR(MATCH(A265,'SegEnds_Xtal_Prot#'!B:B, 0)), "NoXtal", "Xtal")</f>
        <v>NoXtal</v>
      </c>
      <c r="H265" s="4"/>
      <c r="T265" s="4" t="s">
        <v>12</v>
      </c>
      <c r="V265" s="28" t="str">
        <f>MID(VLOOKUP($A265,Seqs!$A:$B,2,FALSE),VLOOKUP($A265,'SegEnds_NonXtal_Prot#'!A:AL,10,FALSE),1)</f>
        <v>D</v>
      </c>
      <c r="W265" s="49" t="str">
        <f>MID(VLOOKUP($A265,Seqs!$A:$B,2,FALSE),VLOOKUP($A265,'SegEnds_NonXtal_Prot#'!A:AL,10,FALSE)+6,1)</f>
        <v>G</v>
      </c>
      <c r="X265" s="49" t="str">
        <f>MID(VLOOKUP($A265,Seqs!$A:$B,2,FALSE),VLOOKUP($A265,'SegEnds_NonXtal_Prot#'!A:AL,10,FALSE)+7,1)</f>
        <v>H</v>
      </c>
      <c r="Y265" s="49" t="str">
        <f>MID(VLOOKUP($A265,Seqs!$A:$B,2,FALSE),VLOOKUP($A265,'SegEnds_NonXtal_Prot#'!A:AL,10,FALSE)+8,1)</f>
        <v>I</v>
      </c>
      <c r="Z265" s="49" t="str">
        <f>MID(VLOOKUP($A265,Seqs!$A:$B,2,FALSE),VLOOKUP($A265,'SegEnds_NonXtal_Prot#'!A:AL,10,FALSE)+9,1)</f>
        <v>I</v>
      </c>
      <c r="AA265" s="49" t="str">
        <f>MID(VLOOKUP($A265,Seqs!$A:$B,2,FALSE),VLOOKUP($A265,'SegEnds_NonXtal_Prot#'!A:AL,10,FALSE)+10,1)</f>
        <v>C</v>
      </c>
      <c r="AB265" s="28" t="str">
        <f>MID(VLOOKUP($A265,Seqs!$A:$B,2,FALSE),VLOOKUP($A265,'SegEnds_NonXtal_Prot#'!$A:$AL,22,FALSE)+6,1)</f>
        <v>R</v>
      </c>
      <c r="AC265" s="49" t="str">
        <f>MID(VLOOKUP($A265,Seqs!$A:$B,2,FALSE),VLOOKUP($A265,'SegEnds_NonXtal_Prot#'!$A:$AL,22,FALSE)+7,1)</f>
        <v>S</v>
      </c>
      <c r="AD265" s="49" t="str">
        <f>MID(VLOOKUP($A265,Seqs!$A:$B,2,FALSE),VLOOKUP($A265,'SegEnds_NonXtal_Prot#'!$A:$AL,22,FALSE)+8,1)</f>
        <v>I</v>
      </c>
      <c r="AE265" s="49" t="str">
        <f>MID(VLOOKUP($A265,Seqs!$A:$B,2,FALSE),VLOOKUP($A265,'SegEnds_NonXtal_Prot#'!$A:$AL,22,FALSE)+9,1)</f>
        <v>L</v>
      </c>
      <c r="AF265" s="49" t="str">
        <f>MID(VLOOKUP($A265,Seqs!$A:$B,2,FALSE),VLOOKUP($A265,'SegEnds_NonXtal_Prot#'!$A:$AL,22,FALSE)+10,1)</f>
        <v>E</v>
      </c>
      <c r="AG265" s="28" t="str">
        <f>MID(VLOOKUP($A265,Seqs!$A:$B,2,FALSE),VLOOKUP($A265,'SegEnds_NonXtal_Prot#'!$A:$AL,28,FALSE)-4,1)</f>
        <v>V</v>
      </c>
      <c r="AH265" s="49" t="str">
        <f>MID(VLOOKUP($A265,Seqs!$A:$B,2,FALSE),VLOOKUP($A265,'SegEnds_NonXtal_Prot#'!$A:$AL,28,FALSE),1)</f>
        <v>V</v>
      </c>
    </row>
    <row r="266" spans="1:34" s="2" customFormat="1" x14ac:dyDescent="0.2">
      <c r="A266" s="2" t="s">
        <v>351</v>
      </c>
      <c r="B266" s="2" t="str">
        <f>LOWER(VLOOKUP(A266,Xtal_Templ!A:B,2,FALSE))</f>
        <v>p2y12_human</v>
      </c>
      <c r="C266" s="2" t="str">
        <f>VLOOKUP(A266,Classification!A:D,2,FALSE)</f>
        <v>A</v>
      </c>
      <c r="D266" s="2" t="str">
        <f>IF(ISERROR(MATCH(A266,'SegEnds_Xtal_Prot#'!B:B, 0)), "NoXtal", "Xtal")</f>
        <v>Xtal</v>
      </c>
      <c r="H266" s="4"/>
      <c r="S266" s="2" t="s">
        <v>1316</v>
      </c>
      <c r="T266" s="4" t="s">
        <v>12</v>
      </c>
      <c r="V266" s="28" t="str">
        <f>MID(VLOOKUP($A266,Seqs!$A:$B,2,FALSE),VLOOKUP($A266,'SegEnds_NonXtal_Prot#'!A:AL,10,FALSE),1)</f>
        <v>D</v>
      </c>
      <c r="W266" s="49" t="str">
        <f>MID(VLOOKUP($A266,Seqs!$A:$B,2,FALSE),VLOOKUP($A266,'SegEnds_NonXtal_Prot#'!A:AL,10,FALSE)+6,1)</f>
        <v>T</v>
      </c>
      <c r="X266" s="49" t="str">
        <f>MID(VLOOKUP($A266,Seqs!$A:$B,2,FALSE),VLOOKUP($A266,'SegEnds_NonXtal_Prot#'!A:AL,10,FALSE)+7,1)</f>
        <v>F</v>
      </c>
      <c r="Y266" s="49" t="str">
        <f>MID(VLOOKUP($A266,Seqs!$A:$B,2,FALSE),VLOOKUP($A266,'SegEnds_NonXtal_Prot#'!A:AL,10,FALSE)+8,1)</f>
        <v>P</v>
      </c>
      <c r="Z266" s="49" t="str">
        <f>MID(VLOOKUP($A266,Seqs!$A:$B,2,FALSE),VLOOKUP($A266,'SegEnds_NonXtal_Prot#'!A:AL,10,FALSE)+9,1)</f>
        <v>F</v>
      </c>
      <c r="AA266" s="49" t="str">
        <f>MID(VLOOKUP($A266,Seqs!$A:$B,2,FALSE),VLOOKUP($A266,'SegEnds_NonXtal_Prot#'!A:AL,10,FALSE)+10,1)</f>
        <v>K</v>
      </c>
      <c r="AB266" s="28" t="str">
        <f>MID(VLOOKUP($A266,Seqs!$A:$B,2,FALSE),VLOOKUP($A266,'SegEnds_NonXtal_Prot#'!$A:$AL,22,FALSE)+6,1)</f>
        <v>L</v>
      </c>
      <c r="AC266" s="49" t="str">
        <f>MID(VLOOKUP($A266,Seqs!$A:$B,2,FALSE),VLOOKUP($A266,'SegEnds_NonXtal_Prot#'!$A:$AL,22,FALSE)+7,1)</f>
        <v>S</v>
      </c>
      <c r="AD266" s="49" t="str">
        <f>MID(VLOOKUP($A266,Seqs!$A:$B,2,FALSE),VLOOKUP($A266,'SegEnds_NonXtal_Prot#'!$A:$AL,22,FALSE)+8,1)</f>
        <v>L</v>
      </c>
      <c r="AE266" s="49" t="str">
        <f>MID(VLOOKUP($A266,Seqs!$A:$B,2,FALSE),VLOOKUP($A266,'SegEnds_NonXtal_Prot#'!$A:$AL,22,FALSE)+9,1)</f>
        <v>P</v>
      </c>
      <c r="AF266" s="49" t="str">
        <f>MID(VLOOKUP($A266,Seqs!$A:$B,2,FALSE),VLOOKUP($A266,'SegEnds_NonXtal_Prot#'!$A:$AL,22,FALSE)+10,1)</f>
        <v>N</v>
      </c>
      <c r="AG266" s="28" t="str">
        <f>MID(VLOOKUP($A266,Seqs!$A:$B,2,FALSE),VLOOKUP($A266,'SegEnds_NonXtal_Prot#'!$A:$AL,28,FALSE)-4,1)</f>
        <v>I</v>
      </c>
      <c r="AH266" s="49" t="str">
        <f>MID(VLOOKUP($A266,Seqs!$A:$B,2,FALSE),VLOOKUP($A266,'SegEnds_NonXtal_Prot#'!$A:$AL,28,FALSE),1)</f>
        <v>N</v>
      </c>
    </row>
    <row r="267" spans="1:34" s="2" customFormat="1" x14ac:dyDescent="0.2">
      <c r="A267" s="2" t="s">
        <v>352</v>
      </c>
      <c r="B267" s="2" t="str">
        <f>LOWER(VLOOKUP(A267,Xtal_Templ!A:B,2,FALSE))</f>
        <v>p2y12_human</v>
      </c>
      <c r="C267" s="2" t="str">
        <f>VLOOKUP(A267,Classification!A:D,2,FALSE)</f>
        <v>A</v>
      </c>
      <c r="D267" s="2" t="str">
        <f>IF(ISERROR(MATCH(A267,'SegEnds_Xtal_Prot#'!B:B, 0)), "NoXtal", "Xtal")</f>
        <v>NoXtal</v>
      </c>
      <c r="H267" s="4"/>
      <c r="S267" s="2" t="s">
        <v>1316</v>
      </c>
      <c r="T267" s="4" t="s">
        <v>12</v>
      </c>
      <c r="V267" s="28" t="str">
        <f>MID(VLOOKUP($A267,Seqs!$A:$B,2,FALSE),VLOOKUP($A267,'SegEnds_NonXtal_Prot#'!A:AL,10,FALSE),1)</f>
        <v>D</v>
      </c>
      <c r="W267" s="49" t="str">
        <f>MID(VLOOKUP($A267,Seqs!$A:$B,2,FALSE),VLOOKUP($A267,'SegEnds_NonXtal_Prot#'!A:AL,10,FALSE)+6,1)</f>
        <v>M</v>
      </c>
      <c r="X267" s="49" t="str">
        <f>MID(VLOOKUP($A267,Seqs!$A:$B,2,FALSE),VLOOKUP($A267,'SegEnds_NonXtal_Prot#'!A:AL,10,FALSE)+7,1)</f>
        <v>L</v>
      </c>
      <c r="Y267" s="49" t="str">
        <f>MID(VLOOKUP($A267,Seqs!$A:$B,2,FALSE),VLOOKUP($A267,'SegEnds_NonXtal_Prot#'!A:AL,10,FALSE)+8,1)</f>
        <v>P</v>
      </c>
      <c r="Z267" s="49" t="str">
        <f>MID(VLOOKUP($A267,Seqs!$A:$B,2,FALSE),VLOOKUP($A267,'SegEnds_NonXtal_Prot#'!A:AL,10,FALSE)+9,1)</f>
        <v>F</v>
      </c>
      <c r="AA267" s="49" t="str">
        <f>MID(VLOOKUP($A267,Seqs!$A:$B,2,FALSE),VLOOKUP($A267,'SegEnds_NonXtal_Prot#'!A:AL,10,FALSE)+10,1)</f>
        <v>K</v>
      </c>
      <c r="AB267" s="28" t="str">
        <f>MID(VLOOKUP($A267,Seqs!$A:$B,2,FALSE),VLOOKUP($A267,'SegEnds_NonXtal_Prot#'!$A:$AL,22,FALSE)+6,1)</f>
        <v>I</v>
      </c>
      <c r="AC267" s="49" t="str">
        <f>MID(VLOOKUP($A267,Seqs!$A:$B,2,FALSE),VLOOKUP($A267,'SegEnds_NonXtal_Prot#'!$A:$AL,22,FALSE)+7,1)</f>
        <v>S</v>
      </c>
      <c r="AD267" s="49" t="str">
        <f>MID(VLOOKUP($A267,Seqs!$A:$B,2,FALSE),VLOOKUP($A267,'SegEnds_NonXtal_Prot#'!$A:$AL,22,FALSE)+8,1)</f>
        <v>L</v>
      </c>
      <c r="AE267" s="49" t="str">
        <f>MID(VLOOKUP($A267,Seqs!$A:$B,2,FALSE),VLOOKUP($A267,'SegEnds_NonXtal_Prot#'!$A:$AL,22,FALSE)+9,1)</f>
        <v>P</v>
      </c>
      <c r="AF267" s="49" t="str">
        <f>MID(VLOOKUP($A267,Seqs!$A:$B,2,FALSE),VLOOKUP($A267,'SegEnds_NonXtal_Prot#'!$A:$AL,22,FALSE)+10,1)</f>
        <v>N</v>
      </c>
      <c r="AG267" s="28" t="str">
        <f>MID(VLOOKUP($A267,Seqs!$A:$B,2,FALSE),VLOOKUP($A267,'SegEnds_NonXtal_Prot#'!$A:$AL,28,FALSE)-4,1)</f>
        <v>I</v>
      </c>
      <c r="AH267" s="49" t="str">
        <f>MID(VLOOKUP($A267,Seqs!$A:$B,2,FALSE),VLOOKUP($A267,'SegEnds_NonXtal_Prot#'!$A:$AL,28,FALSE),1)</f>
        <v>V</v>
      </c>
    </row>
    <row r="268" spans="1:34" s="2" customFormat="1" x14ac:dyDescent="0.2">
      <c r="A268" s="2" t="s">
        <v>353</v>
      </c>
      <c r="B268" s="2" t="str">
        <f>LOWER(VLOOKUP(A268,Xtal_Templ!A:B,2,FALSE))</f>
        <v>p2y12_human</v>
      </c>
      <c r="C268" s="2" t="str">
        <f>VLOOKUP(A268,Classification!A:D,2,FALSE)</f>
        <v>A</v>
      </c>
      <c r="D268" s="2" t="str">
        <f>IF(ISERROR(MATCH(A268,'SegEnds_Xtal_Prot#'!B:B, 0)), "NoXtal", "Xtal")</f>
        <v>NoXtal</v>
      </c>
      <c r="H268" s="4"/>
      <c r="S268" s="2" t="s">
        <v>1316</v>
      </c>
      <c r="T268" s="4" t="s">
        <v>12</v>
      </c>
      <c r="V268" s="28" t="str">
        <f>MID(VLOOKUP($A268,Seqs!$A:$B,2,FALSE),VLOOKUP($A268,'SegEnds_NonXtal_Prot#'!A:AL,10,FALSE),1)</f>
        <v>D</v>
      </c>
      <c r="W268" s="49" t="str">
        <f>MID(VLOOKUP($A268,Seqs!$A:$B,2,FALSE),VLOOKUP($A268,'SegEnds_NonXtal_Prot#'!A:AL,10,FALSE)+6,1)</f>
        <v>T</v>
      </c>
      <c r="X268" s="49" t="str">
        <f>MID(VLOOKUP($A268,Seqs!$A:$B,2,FALSE),VLOOKUP($A268,'SegEnds_NonXtal_Prot#'!A:AL,10,FALSE)+7,1)</f>
        <v>F</v>
      </c>
      <c r="Y268" s="49" t="str">
        <f>MID(VLOOKUP($A268,Seqs!$A:$B,2,FALSE),VLOOKUP($A268,'SegEnds_NonXtal_Prot#'!A:AL,10,FALSE)+8,1)</f>
        <v>P</v>
      </c>
      <c r="Z268" s="49" t="str">
        <f>MID(VLOOKUP($A268,Seqs!$A:$B,2,FALSE),VLOOKUP($A268,'SegEnds_NonXtal_Prot#'!A:AL,10,FALSE)+9,1)</f>
        <v>F</v>
      </c>
      <c r="AA268" s="49" t="str">
        <f>MID(VLOOKUP($A268,Seqs!$A:$B,2,FALSE),VLOOKUP($A268,'SegEnds_NonXtal_Prot#'!A:AL,10,FALSE)+10,1)</f>
        <v>K</v>
      </c>
      <c r="AB268" s="28" t="str">
        <f>MID(VLOOKUP($A268,Seqs!$A:$B,2,FALSE),VLOOKUP($A268,'SegEnds_NonXtal_Prot#'!$A:$AL,22,FALSE)+6,1)</f>
        <v>L</v>
      </c>
      <c r="AC268" s="49" t="str">
        <f>MID(VLOOKUP($A268,Seqs!$A:$B,2,FALSE),VLOOKUP($A268,'SegEnds_NonXtal_Prot#'!$A:$AL,22,FALSE)+7,1)</f>
        <v>A</v>
      </c>
      <c r="AD268" s="49" t="str">
        <f>MID(VLOOKUP($A268,Seqs!$A:$B,2,FALSE),VLOOKUP($A268,'SegEnds_NonXtal_Prot#'!$A:$AL,22,FALSE)+8,1)</f>
        <v>V</v>
      </c>
      <c r="AE268" s="49" t="str">
        <f>MID(VLOOKUP($A268,Seqs!$A:$B,2,FALSE),VLOOKUP($A268,'SegEnds_NonXtal_Prot#'!$A:$AL,22,FALSE)+9,1)</f>
        <v>P</v>
      </c>
      <c r="AF268" s="49" t="str">
        <f>MID(VLOOKUP($A268,Seqs!$A:$B,2,FALSE),VLOOKUP($A268,'SegEnds_NonXtal_Prot#'!$A:$AL,22,FALSE)+10,1)</f>
        <v>N</v>
      </c>
      <c r="AG268" s="28" t="str">
        <f>MID(VLOOKUP($A268,Seqs!$A:$B,2,FALSE),VLOOKUP($A268,'SegEnds_NonXtal_Prot#'!$A:$AL,28,FALSE)-4,1)</f>
        <v>I</v>
      </c>
      <c r="AH268" s="49" t="str">
        <f>MID(VLOOKUP($A268,Seqs!$A:$B,2,FALSE),VLOOKUP($A268,'SegEnds_NonXtal_Prot#'!$A:$AL,28,FALSE),1)</f>
        <v>V</v>
      </c>
    </row>
    <row r="269" spans="1:34" s="2" customFormat="1" x14ac:dyDescent="0.2">
      <c r="A269" s="2" t="s">
        <v>363</v>
      </c>
      <c r="B269" s="2" t="str">
        <f>LOWER(VLOOKUP(A269,Xtal_Templ!A:B,2,FALSE))</f>
        <v>pe2r4_human</v>
      </c>
      <c r="C269" s="2" t="str">
        <f>VLOOKUP(A269,Classification!A:D,2,FALSE)</f>
        <v>A</v>
      </c>
      <c r="D269" s="2" t="str">
        <f>IF(ISERROR(MATCH(A269,'SegEnds_Xtal_Prot#'!B:B, 0)), "NoXtal", "Xtal")</f>
        <v>Xtal</v>
      </c>
      <c r="G269" s="2" t="s">
        <v>5</v>
      </c>
      <c r="H269" s="4"/>
      <c r="T269" s="4" t="s">
        <v>12</v>
      </c>
      <c r="V269" s="28" t="str">
        <f>MID(VLOOKUP($A269,Seqs!$A:$B,2,FALSE),VLOOKUP($A269,'SegEnds_NonXtal_Prot#'!A:AL,10,FALSE),1)</f>
        <v>D</v>
      </c>
      <c r="W269" s="49" t="str">
        <f>MID(VLOOKUP($A269,Seqs!$A:$B,2,FALSE),VLOOKUP($A269,'SegEnds_NonXtal_Prot#'!A:AL,10,FALSE)+6,1)</f>
        <v>L</v>
      </c>
      <c r="X269" s="49" t="str">
        <f>MID(VLOOKUP($A269,Seqs!$A:$B,2,FALSE),VLOOKUP($A269,'SegEnds_NonXtal_Prot#'!A:AL,10,FALSE)+7,1)</f>
        <v>V</v>
      </c>
      <c r="Y269" s="49" t="str">
        <f>MID(VLOOKUP($A269,Seqs!$A:$B,2,FALSE),VLOOKUP($A269,'SegEnds_NonXtal_Prot#'!A:AL,10,FALSE)+8,1)</f>
        <v>S</v>
      </c>
      <c r="Z269" s="49" t="str">
        <f>MID(VLOOKUP($A269,Seqs!$A:$B,2,FALSE),VLOOKUP($A269,'SegEnds_NonXtal_Prot#'!A:AL,10,FALSE)+9,1)</f>
        <v>P</v>
      </c>
      <c r="AA269" s="49" t="str">
        <f>MID(VLOOKUP($A269,Seqs!$A:$B,2,FALSE),VLOOKUP($A269,'SegEnds_NonXtal_Prot#'!A:AL,10,FALSE)+10,1)</f>
        <v>V</v>
      </c>
      <c r="AB269" s="28" t="str">
        <f>MID(VLOOKUP($A269,Seqs!$A:$B,2,FALSE),VLOOKUP($A269,'SegEnds_NonXtal_Prot#'!$A:$AL,22,FALSE)+6,1)</f>
        <v>F</v>
      </c>
      <c r="AC269" s="49" t="str">
        <f>MID(VLOOKUP($A269,Seqs!$A:$B,2,FALSE),VLOOKUP($A269,'SegEnds_NonXtal_Prot#'!$A:$AL,22,FALSE)+7,1)</f>
        <v>C</v>
      </c>
      <c r="AD269" s="49" t="str">
        <f>MID(VLOOKUP($A269,Seqs!$A:$B,2,FALSE),VLOOKUP($A269,'SegEnds_NonXtal_Prot#'!$A:$AL,22,FALSE)+8,1)</f>
        <v>A</v>
      </c>
      <c r="AE269" s="49" t="str">
        <f>MID(VLOOKUP($A269,Seqs!$A:$B,2,FALSE),VLOOKUP($A269,'SegEnds_NonXtal_Prot#'!$A:$AL,22,FALSE)+9,1)</f>
        <v>L</v>
      </c>
      <c r="AF269" s="49" t="str">
        <f>MID(VLOOKUP($A269,Seqs!$A:$B,2,FALSE),VLOOKUP($A269,'SegEnds_NonXtal_Prot#'!$A:$AL,22,FALSE)+10,1)</f>
        <v>P</v>
      </c>
      <c r="AG269" s="28" t="str">
        <f>MID(VLOOKUP($A269,Seqs!$A:$B,2,FALSE),VLOOKUP($A269,'SegEnds_NonXtal_Prot#'!$A:$AL,28,FALSE)-4,1)</f>
        <v>F</v>
      </c>
      <c r="AH269" s="49" t="str">
        <f>MID(VLOOKUP($A269,Seqs!$A:$B,2,FALSE),VLOOKUP($A269,'SegEnds_NonXtal_Prot#'!$A:$AL,28,FALSE),1)</f>
        <v>L</v>
      </c>
    </row>
    <row r="270" spans="1:34" s="2" customFormat="1" x14ac:dyDescent="0.2">
      <c r="A270" s="2" t="s">
        <v>364</v>
      </c>
      <c r="B270" s="2" t="str">
        <f>LOWER(VLOOKUP(A270,Xtal_Templ!A:B,2,FALSE))</f>
        <v>ta2r_human</v>
      </c>
      <c r="C270" s="2" t="str">
        <f>VLOOKUP(A270,Classification!A:D,2,FALSE)</f>
        <v>A</v>
      </c>
      <c r="D270" s="2" t="str">
        <f>IF(ISERROR(MATCH(A270,'SegEnds_Xtal_Prot#'!B:B, 0)), "NoXtal", "Xtal")</f>
        <v>NoXtal</v>
      </c>
      <c r="H270" s="4"/>
      <c r="T270" s="4" t="s">
        <v>12</v>
      </c>
      <c r="V270" s="28" t="str">
        <f>MID(VLOOKUP($A270,Seqs!$A:$B,2,FALSE),VLOOKUP($A270,'SegEnds_NonXtal_Prot#'!A:AL,10,FALSE),1)</f>
        <v>D</v>
      </c>
      <c r="W270" s="49" t="str">
        <f>MID(VLOOKUP($A270,Seqs!$A:$B,2,FALSE),VLOOKUP($A270,'SegEnds_NonXtal_Prot#'!A:AL,10,FALSE)+6,1)</f>
        <v>I</v>
      </c>
      <c r="X270" s="49" t="str">
        <f>MID(VLOOKUP($A270,Seqs!$A:$B,2,FALSE),VLOOKUP($A270,'SegEnds_NonXtal_Prot#'!A:AL,10,FALSE)+7,1)</f>
        <v>N</v>
      </c>
      <c r="Y270" s="49" t="str">
        <f>MID(VLOOKUP($A270,Seqs!$A:$B,2,FALSE),VLOOKUP($A270,'SegEnds_NonXtal_Prot#'!A:AL,10,FALSE)+8,1)</f>
        <v>G</v>
      </c>
      <c r="Z270" s="49" t="str">
        <f>MID(VLOOKUP($A270,Seqs!$A:$B,2,FALSE),VLOOKUP($A270,'SegEnds_NonXtal_Prot#'!A:AL,10,FALSE)+9,1)</f>
        <v>A</v>
      </c>
      <c r="AA270" s="49" t="str">
        <f>MID(VLOOKUP($A270,Seqs!$A:$B,2,FALSE),VLOOKUP($A270,'SegEnds_NonXtal_Prot#'!A:AL,10,FALSE)+10,1)</f>
        <v>I</v>
      </c>
      <c r="AB270" s="28" t="str">
        <f>MID(VLOOKUP($A270,Seqs!$A:$B,2,FALSE),VLOOKUP($A270,'SegEnds_NonXtal_Prot#'!$A:$AL,22,FALSE)+6,1)</f>
        <v>I</v>
      </c>
      <c r="AC270" s="49" t="str">
        <f>MID(VLOOKUP($A270,Seqs!$A:$B,2,FALSE),VLOOKUP($A270,'SegEnds_NonXtal_Prot#'!$A:$AL,22,FALSE)+7,1)</f>
        <v>A</v>
      </c>
      <c r="AD270" s="49" t="str">
        <f>MID(VLOOKUP($A270,Seqs!$A:$B,2,FALSE),VLOOKUP($A270,'SegEnds_NonXtal_Prot#'!$A:$AL,22,FALSE)+8,1)</f>
        <v>L</v>
      </c>
      <c r="AE270" s="49" t="str">
        <f>MID(VLOOKUP($A270,Seqs!$A:$B,2,FALSE),VLOOKUP($A270,'SegEnds_NonXtal_Prot#'!$A:$AL,22,FALSE)+9,1)</f>
        <v>L</v>
      </c>
      <c r="AF270" s="49" t="str">
        <f>MID(VLOOKUP($A270,Seqs!$A:$B,2,FALSE),VLOOKUP($A270,'SegEnds_NonXtal_Prot#'!$A:$AL,22,FALSE)+10,1)</f>
        <v>P</v>
      </c>
      <c r="AG270" s="28" t="str">
        <f>MID(VLOOKUP($A270,Seqs!$A:$B,2,FALSE),VLOOKUP($A270,'SegEnds_NonXtal_Prot#'!$A:$AL,28,FALSE)-4,1)</f>
        <v>L</v>
      </c>
      <c r="AH270" s="49" t="str">
        <f>MID(VLOOKUP($A270,Seqs!$A:$B,2,FALSE),VLOOKUP($A270,'SegEnds_NonXtal_Prot#'!$A:$AL,28,FALSE),1)</f>
        <v>G</v>
      </c>
    </row>
    <row r="271" spans="1:34" s="2" customFormat="1" x14ac:dyDescent="0.2">
      <c r="A271" s="2" t="s">
        <v>370</v>
      </c>
      <c r="B271" s="2" t="str">
        <f>LOWER(VLOOKUP(A271,Xtal_Templ!A:B,2,FALSE))</f>
        <v>ptafr_human</v>
      </c>
      <c r="C271" s="2" t="str">
        <f>VLOOKUP(A271,Classification!A:D,2,FALSE)</f>
        <v>A</v>
      </c>
      <c r="D271" s="2" t="str">
        <f>IF(ISERROR(MATCH(A271,'SegEnds_Xtal_Prot#'!B:B, 0)), "NoXtal", "Xtal")</f>
        <v>Xtal</v>
      </c>
      <c r="H271" s="4"/>
      <c r="S271" s="2" t="s">
        <v>1316</v>
      </c>
      <c r="T271" s="4" t="s">
        <v>12</v>
      </c>
      <c r="V271" s="28" t="str">
        <f>MID(VLOOKUP($A271,Seqs!$A:$B,2,FALSE),VLOOKUP($A271,'SegEnds_NonXtal_Prot#'!A:AL,10,FALSE),1)</f>
        <v>D</v>
      </c>
      <c r="W271" s="49" t="str">
        <f>MID(VLOOKUP($A271,Seqs!$A:$B,2,FALSE),VLOOKUP($A271,'SegEnds_NonXtal_Prot#'!A:AL,10,FALSE)+6,1)</f>
        <v>T</v>
      </c>
      <c r="X271" s="49" t="str">
        <f>MID(VLOOKUP($A271,Seqs!$A:$B,2,FALSE),VLOOKUP($A271,'SegEnds_NonXtal_Prot#'!A:AL,10,FALSE)+7,1)</f>
        <v>L</v>
      </c>
      <c r="Y271" s="49" t="str">
        <f>MID(VLOOKUP($A271,Seqs!$A:$B,2,FALSE),VLOOKUP($A271,'SegEnds_NonXtal_Prot#'!A:AL,10,FALSE)+8,1)</f>
        <v>P</v>
      </c>
      <c r="Z271" s="49" t="str">
        <f>MID(VLOOKUP($A271,Seqs!$A:$B,2,FALSE),VLOOKUP($A271,'SegEnds_NonXtal_Prot#'!A:AL,10,FALSE)+9,1)</f>
        <v>L</v>
      </c>
      <c r="AA271" s="49" t="str">
        <f>MID(VLOOKUP($A271,Seqs!$A:$B,2,FALSE),VLOOKUP($A271,'SegEnds_NonXtal_Prot#'!A:AL,10,FALSE)+10,1)</f>
        <v>W</v>
      </c>
      <c r="AB271" s="28" t="str">
        <f>MID(VLOOKUP($A271,Seqs!$A:$B,2,FALSE),VLOOKUP($A271,'SegEnds_NonXtal_Prot#'!$A:$AL,22,FALSE)+6,1)</f>
        <v>A</v>
      </c>
      <c r="AC271" s="49" t="str">
        <f>MID(VLOOKUP($A271,Seqs!$A:$B,2,FALSE),VLOOKUP($A271,'SegEnds_NonXtal_Prot#'!$A:$AL,22,FALSE)+7,1)</f>
        <v>A</v>
      </c>
      <c r="AD271" s="49" t="str">
        <f>MID(VLOOKUP($A271,Seqs!$A:$B,2,FALSE),VLOOKUP($A271,'SegEnds_NonXtal_Prot#'!$A:$AL,22,FALSE)+8,1)</f>
        <v>S</v>
      </c>
      <c r="AE271" s="49" t="str">
        <f>MID(VLOOKUP($A271,Seqs!$A:$B,2,FALSE),VLOOKUP($A271,'SegEnds_NonXtal_Prot#'!$A:$AL,22,FALSE)+9,1)</f>
        <v>Y</v>
      </c>
      <c r="AF271" s="49" t="str">
        <f>MID(VLOOKUP($A271,Seqs!$A:$B,2,FALSE),VLOOKUP($A271,'SegEnds_NonXtal_Prot#'!$A:$AL,22,FALSE)+10,1)</f>
        <v>F</v>
      </c>
      <c r="AG271" s="28" t="str">
        <f>MID(VLOOKUP($A271,Seqs!$A:$B,2,FALSE),VLOOKUP($A271,'SegEnds_NonXtal_Prot#'!$A:$AL,28,FALSE)-4,1)</f>
        <v>S</v>
      </c>
      <c r="AH271" s="49" t="str">
        <f>MID(VLOOKUP($A271,Seqs!$A:$B,2,FALSE),VLOOKUP($A271,'SegEnds_NonXtal_Prot#'!$A:$AL,28,FALSE),1)</f>
        <v>V</v>
      </c>
    </row>
    <row r="272" spans="1:34" s="2" customFormat="1" x14ac:dyDescent="0.2">
      <c r="A272" s="2" t="s">
        <v>198</v>
      </c>
      <c r="B272" s="2" t="str">
        <f>LOWER(VLOOKUP(A272,Xtal_Templ!A:B,2,FALSE))</f>
        <v>par1_human</v>
      </c>
      <c r="C272" s="2" t="str">
        <f>VLOOKUP(A272,Classification!A:D,2,FALSE)</f>
        <v>A</v>
      </c>
      <c r="D272" s="2" t="str">
        <f>IF(ISERROR(MATCH(A272,'SegEnds_Xtal_Prot#'!B:B, 0)), "NoXtal", "Xtal")</f>
        <v>NoXtal</v>
      </c>
      <c r="H272" s="4"/>
      <c r="R272" s="2" t="s">
        <v>9</v>
      </c>
      <c r="S272" s="2" t="s">
        <v>1316</v>
      </c>
      <c r="T272" s="4" t="s">
        <v>12</v>
      </c>
      <c r="V272" s="28" t="str">
        <f>MID(VLOOKUP($A272,Seqs!$A:$B,2,FALSE),VLOOKUP($A272,'SegEnds_NonXtal_Prot#'!A:AL,10,FALSE),1)</f>
        <v>D</v>
      </c>
      <c r="W272" s="49" t="str">
        <f>MID(VLOOKUP($A272,Seqs!$A:$B,2,FALSE),VLOOKUP($A272,'SegEnds_NonXtal_Prot#'!A:AL,10,FALSE)+6,1)</f>
        <v>F</v>
      </c>
      <c r="X272" s="49" t="str">
        <f>MID(VLOOKUP($A272,Seqs!$A:$B,2,FALSE),VLOOKUP($A272,'SegEnds_NonXtal_Prot#'!A:AL,10,FALSE)+7,1)</f>
        <v>L</v>
      </c>
      <c r="Y272" s="49" t="str">
        <f>MID(VLOOKUP($A272,Seqs!$A:$B,2,FALSE),VLOOKUP($A272,'SegEnds_NonXtal_Prot#'!A:AL,10,FALSE)+8,1)</f>
        <v>P</v>
      </c>
      <c r="Z272" s="49" t="str">
        <f>MID(VLOOKUP($A272,Seqs!$A:$B,2,FALSE),VLOOKUP($A272,'SegEnds_NonXtal_Prot#'!A:AL,10,FALSE)+9,1)</f>
        <v>F</v>
      </c>
      <c r="AA272" s="49" t="str">
        <f>MID(VLOOKUP($A272,Seqs!$A:$B,2,FALSE),VLOOKUP($A272,'SegEnds_NonXtal_Prot#'!A:AL,10,FALSE)+10,1)</f>
        <v>R</v>
      </c>
      <c r="AB272" s="28" t="str">
        <f>MID(VLOOKUP($A272,Seqs!$A:$B,2,FALSE),VLOOKUP($A272,'SegEnds_NonXtal_Prot#'!$A:$AL,22,FALSE)+6,1)</f>
        <v>H</v>
      </c>
      <c r="AC272" s="49" t="str">
        <f>MID(VLOOKUP($A272,Seqs!$A:$B,2,FALSE),VLOOKUP($A272,'SegEnds_NonXtal_Prot#'!$A:$AL,22,FALSE)+7,1)</f>
        <v>C</v>
      </c>
      <c r="AD272" s="49" t="str">
        <f>MID(VLOOKUP($A272,Seqs!$A:$B,2,FALSE),VLOOKUP($A272,'SegEnds_NonXtal_Prot#'!$A:$AL,22,FALSE)+8,1)</f>
        <v>S</v>
      </c>
      <c r="AE272" s="49" t="str">
        <f>MID(VLOOKUP($A272,Seqs!$A:$B,2,FALSE),VLOOKUP($A272,'SegEnds_NonXtal_Prot#'!$A:$AL,22,FALSE)+9,1)</f>
        <v>V</v>
      </c>
      <c r="AF272" s="49" t="str">
        <f>MID(VLOOKUP($A272,Seqs!$A:$B,2,FALSE),VLOOKUP($A272,'SegEnds_NonXtal_Prot#'!$A:$AL,22,FALSE)+10,1)</f>
        <v>V</v>
      </c>
      <c r="AG272" s="28" t="str">
        <f>MID(VLOOKUP($A272,Seqs!$A:$B,2,FALSE),VLOOKUP($A272,'SegEnds_NonXtal_Prot#'!$A:$AL,28,FALSE)-4,1)</f>
        <v>L</v>
      </c>
      <c r="AH272" s="49" t="str">
        <f>MID(VLOOKUP($A272,Seqs!$A:$B,2,FALSE),VLOOKUP($A272,'SegEnds_NonXtal_Prot#'!$A:$AL,28,FALSE),1)</f>
        <v>P</v>
      </c>
    </row>
    <row r="273" spans="1:34" s="2" customFormat="1" x14ac:dyDescent="0.2">
      <c r="A273" s="2" t="s">
        <v>242</v>
      </c>
      <c r="B273" s="2" t="str">
        <f>LOWER(VLOOKUP(A273,Xtal_Templ!A:B,2,FALSE))</f>
        <v>par2_human</v>
      </c>
      <c r="C273" s="2" t="str">
        <f>VLOOKUP(A273,Classification!A:D,2,FALSE)</f>
        <v>A</v>
      </c>
      <c r="D273" s="2" t="str">
        <f>IF(ISERROR(MATCH(A273,'SegEnds_Xtal_Prot#'!B:B, 0)), "NoXtal", "Xtal")</f>
        <v>NoXtal</v>
      </c>
      <c r="H273" s="4"/>
      <c r="R273" s="2" t="s">
        <v>9</v>
      </c>
      <c r="T273" s="4" t="s">
        <v>12</v>
      </c>
      <c r="V273" s="28" t="str">
        <f>MID(VLOOKUP($A273,Seqs!$A:$B,2,FALSE),VLOOKUP($A273,'SegEnds_NonXtal_Prot#'!A:AL,10,FALSE),1)</f>
        <v>D</v>
      </c>
      <c r="W273" s="49" t="str">
        <f>MID(VLOOKUP($A273,Seqs!$A:$B,2,FALSE),VLOOKUP($A273,'SegEnds_NonXtal_Prot#'!A:AL,10,FALSE)+6,1)</f>
        <v>S</v>
      </c>
      <c r="X273" s="49" t="str">
        <f>MID(VLOOKUP($A273,Seqs!$A:$B,2,FALSE),VLOOKUP($A273,'SegEnds_NonXtal_Prot#'!A:AL,10,FALSE)+7,1)</f>
        <v>L</v>
      </c>
      <c r="Y273" s="49" t="str">
        <f>MID(VLOOKUP($A273,Seqs!$A:$B,2,FALSE),VLOOKUP($A273,'SegEnds_NonXtal_Prot#'!A:AL,10,FALSE)+8,1)</f>
        <v>P</v>
      </c>
      <c r="Z273" s="49" t="str">
        <f>MID(VLOOKUP($A273,Seqs!$A:$B,2,FALSE),VLOOKUP($A273,'SegEnds_NonXtal_Prot#'!A:AL,10,FALSE)+9,1)</f>
        <v>T</v>
      </c>
      <c r="AA273" s="49" t="str">
        <f>MID(VLOOKUP($A273,Seqs!$A:$B,2,FALSE),VLOOKUP($A273,'SegEnds_NonXtal_Prot#'!A:AL,10,FALSE)+10,1)</f>
        <v>R</v>
      </c>
      <c r="AB273" s="28" t="str">
        <f>MID(VLOOKUP($A273,Seqs!$A:$B,2,FALSE),VLOOKUP($A273,'SegEnds_NonXtal_Prot#'!$A:$AL,22,FALSE)+6,1)</f>
        <v>V</v>
      </c>
      <c r="AC273" s="49" t="str">
        <f>MID(VLOOKUP($A273,Seqs!$A:$B,2,FALSE),VLOOKUP($A273,'SegEnds_NonXtal_Prot#'!$A:$AL,22,FALSE)+7,1)</f>
        <v>T</v>
      </c>
      <c r="AD273" s="49" t="str">
        <f>MID(VLOOKUP($A273,Seqs!$A:$B,2,FALSE),VLOOKUP($A273,'SegEnds_NonXtal_Prot#'!$A:$AL,22,FALSE)+8,1)</f>
        <v>L</v>
      </c>
      <c r="AE273" s="49" t="str">
        <f>MID(VLOOKUP($A273,Seqs!$A:$B,2,FALSE),VLOOKUP($A273,'SegEnds_NonXtal_Prot#'!$A:$AL,22,FALSE)+9,1)</f>
        <v>S</v>
      </c>
      <c r="AF273" s="49" t="str">
        <f>MID(VLOOKUP($A273,Seqs!$A:$B,2,FALSE),VLOOKUP($A273,'SegEnds_NonXtal_Prot#'!$A:$AL,22,FALSE)+10,1)</f>
        <v>V</v>
      </c>
      <c r="AG273" s="28" t="str">
        <f>MID(VLOOKUP($A273,Seqs!$A:$B,2,FALSE),VLOOKUP($A273,'SegEnds_NonXtal_Prot#'!$A:$AL,28,FALSE)-4,1)</f>
        <v>E</v>
      </c>
      <c r="AH273" s="49" t="str">
        <f>MID(VLOOKUP($A273,Seqs!$A:$B,2,FALSE),VLOOKUP($A273,'SegEnds_NonXtal_Prot#'!$A:$AL,28,FALSE),1)</f>
        <v>P</v>
      </c>
    </row>
    <row r="274" spans="1:34" s="2" customFormat="1" x14ac:dyDescent="0.2">
      <c r="A274" s="2" t="s">
        <v>253</v>
      </c>
      <c r="B274" s="2" t="str">
        <f>LOWER(VLOOKUP(A274,Xtal_Templ!A:B,2,FALSE))</f>
        <v>fpr2_human</v>
      </c>
      <c r="C274" s="2" t="str">
        <f>VLOOKUP(A274,Classification!A:D,2,FALSE)</f>
        <v>A</v>
      </c>
      <c r="D274" s="2" t="str">
        <f>IF(ISERROR(MATCH(A274,'SegEnds_Xtal_Prot#'!B:B, 0)), "NoXtal", "Xtal")</f>
        <v>NoXtal</v>
      </c>
      <c r="H274" s="4"/>
      <c r="R274" s="2" t="s">
        <v>9</v>
      </c>
      <c r="T274" s="4" t="s">
        <v>12</v>
      </c>
      <c r="V274" s="28" t="str">
        <f>MID(VLOOKUP($A274,Seqs!$A:$B,2,FALSE),VLOOKUP($A274,'SegEnds_NonXtal_Prot#'!A:AL,10,FALSE),1)</f>
        <v>D</v>
      </c>
      <c r="W274" s="49" t="str">
        <f>MID(VLOOKUP($A274,Seqs!$A:$B,2,FALSE),VLOOKUP($A274,'SegEnds_NonXtal_Prot#'!A:AL,10,FALSE)+6,1)</f>
        <v>T</v>
      </c>
      <c r="X274" s="49" t="str">
        <f>MID(VLOOKUP($A274,Seqs!$A:$B,2,FALSE),VLOOKUP($A274,'SegEnds_NonXtal_Prot#'!A:AL,10,FALSE)+7,1)</f>
        <v>L</v>
      </c>
      <c r="Y274" s="49" t="str">
        <f>MID(VLOOKUP($A274,Seqs!$A:$B,2,FALSE),VLOOKUP($A274,'SegEnds_NonXtal_Prot#'!A:AL,10,FALSE)+8,1)</f>
        <v>P</v>
      </c>
      <c r="Z274" s="49" t="str">
        <f>MID(VLOOKUP($A274,Seqs!$A:$B,2,FALSE),VLOOKUP($A274,'SegEnds_NonXtal_Prot#'!A:AL,10,FALSE)+9,1)</f>
        <v>F</v>
      </c>
      <c r="AA274" s="49" t="str">
        <f>MID(VLOOKUP($A274,Seqs!$A:$B,2,FALSE),VLOOKUP($A274,'SegEnds_NonXtal_Prot#'!A:AL,10,FALSE)+10,1)</f>
        <v>V</v>
      </c>
      <c r="AB274" s="28" t="str">
        <f>MID(VLOOKUP($A274,Seqs!$A:$B,2,FALSE),VLOOKUP($A274,'SegEnds_NonXtal_Prot#'!$A:$AL,22,FALSE)+6,1)</f>
        <v>S</v>
      </c>
      <c r="AC274" s="49" t="str">
        <f>MID(VLOOKUP($A274,Seqs!$A:$B,2,FALSE),VLOOKUP($A274,'SegEnds_NonXtal_Prot#'!$A:$AL,22,FALSE)+7,1)</f>
        <v>L</v>
      </c>
      <c r="AD274" s="49" t="str">
        <f>MID(VLOOKUP($A274,Seqs!$A:$B,2,FALSE),VLOOKUP($A274,'SegEnds_NonXtal_Prot#'!$A:$AL,22,FALSE)+8,1)</f>
        <v>V</v>
      </c>
      <c r="AE274" s="49" t="str">
        <f>MID(VLOOKUP($A274,Seqs!$A:$B,2,FALSE),VLOOKUP($A274,'SegEnds_NonXtal_Prot#'!$A:$AL,22,FALSE)+9,1)</f>
        <v>A</v>
      </c>
      <c r="AF274" s="49" t="str">
        <f>MID(VLOOKUP($A274,Seqs!$A:$B,2,FALSE),VLOOKUP($A274,'SegEnds_NonXtal_Prot#'!$A:$AL,22,FALSE)+10,1)</f>
        <v>R</v>
      </c>
      <c r="AG274" s="28" t="str">
        <f>MID(VLOOKUP($A274,Seqs!$A:$B,2,FALSE),VLOOKUP($A274,'SegEnds_NonXtal_Prot#'!$A:$AL,28,FALSE)-4,1)</f>
        <v>G</v>
      </c>
      <c r="AH274" s="49" t="str">
        <f>MID(VLOOKUP($A274,Seqs!$A:$B,2,FALSE),VLOOKUP($A274,'SegEnds_NonXtal_Prot#'!$A:$AL,28,FALSE),1)</f>
        <v>P</v>
      </c>
    </row>
    <row r="275" spans="1:34" s="2" customFormat="1" x14ac:dyDescent="0.2">
      <c r="A275" s="2" t="s">
        <v>257</v>
      </c>
      <c r="B275" s="2" t="str">
        <f>LOWER(VLOOKUP(A275,Xtal_Templ!A:B,2,FALSE))</f>
        <v>par1_human</v>
      </c>
      <c r="C275" s="2" t="str">
        <f>VLOOKUP(A275,Classification!A:D,2,FALSE)</f>
        <v>A</v>
      </c>
      <c r="D275" s="2" t="str">
        <f>IF(ISERROR(MATCH(A275,'SegEnds_Xtal_Prot#'!B:B, 0)), "NoXtal", "Xtal")</f>
        <v>NoXtal</v>
      </c>
      <c r="H275" s="4"/>
      <c r="R275" s="2" t="s">
        <v>9</v>
      </c>
      <c r="S275" s="2" t="s">
        <v>1316</v>
      </c>
      <c r="T275" s="4" t="s">
        <v>12</v>
      </c>
      <c r="V275" s="28" t="str">
        <f>MID(VLOOKUP($A275,Seqs!$A:$B,2,FALSE),VLOOKUP($A275,'SegEnds_NonXtal_Prot#'!A:AL,10,FALSE),1)</f>
        <v>D</v>
      </c>
      <c r="W275" s="49" t="str">
        <f>MID(VLOOKUP($A275,Seqs!$A:$B,2,FALSE),VLOOKUP($A275,'SegEnds_NonXtal_Prot#'!A:AL,10,FALSE)+6,1)</f>
        <v>F</v>
      </c>
      <c r="X275" s="49" t="str">
        <f>MID(VLOOKUP($A275,Seqs!$A:$B,2,FALSE),VLOOKUP($A275,'SegEnds_NonXtal_Prot#'!A:AL,10,FALSE)+7,1)</f>
        <v>L</v>
      </c>
      <c r="Y275" s="49" t="str">
        <f>MID(VLOOKUP($A275,Seqs!$A:$B,2,FALSE),VLOOKUP($A275,'SegEnds_NonXtal_Prot#'!A:AL,10,FALSE)+8,1)</f>
        <v>P</v>
      </c>
      <c r="Z275" s="49" t="str">
        <f>MID(VLOOKUP($A275,Seqs!$A:$B,2,FALSE),VLOOKUP($A275,'SegEnds_NonXtal_Prot#'!A:AL,10,FALSE)+9,1)</f>
        <v>F</v>
      </c>
      <c r="AA275" s="49" t="str">
        <f>MID(VLOOKUP($A275,Seqs!$A:$B,2,FALSE),VLOOKUP($A275,'SegEnds_NonXtal_Prot#'!A:AL,10,FALSE)+10,1)</f>
        <v>R</v>
      </c>
      <c r="AB275" s="28" t="str">
        <f>MID(VLOOKUP($A275,Seqs!$A:$B,2,FALSE),VLOOKUP($A275,'SegEnds_NonXtal_Prot#'!$A:$AL,22,FALSE)+6,1)</f>
        <v>H</v>
      </c>
      <c r="AC275" s="49" t="str">
        <f>MID(VLOOKUP($A275,Seqs!$A:$B,2,FALSE),VLOOKUP($A275,'SegEnds_NonXtal_Prot#'!$A:$AL,22,FALSE)+7,1)</f>
        <v>C</v>
      </c>
      <c r="AD275" s="49" t="str">
        <f>MID(VLOOKUP($A275,Seqs!$A:$B,2,FALSE),VLOOKUP($A275,'SegEnds_NonXtal_Prot#'!$A:$AL,22,FALSE)+8,1)</f>
        <v>S</v>
      </c>
      <c r="AE275" s="49" t="str">
        <f>MID(VLOOKUP($A275,Seqs!$A:$B,2,FALSE),VLOOKUP($A275,'SegEnds_NonXtal_Prot#'!$A:$AL,22,FALSE)+9,1)</f>
        <v>V</v>
      </c>
      <c r="AF275" s="49" t="str">
        <f>MID(VLOOKUP($A275,Seqs!$A:$B,2,FALSE),VLOOKUP($A275,'SegEnds_NonXtal_Prot#'!$A:$AL,22,FALSE)+10,1)</f>
        <v>V</v>
      </c>
      <c r="AG275" s="28" t="str">
        <f>MID(VLOOKUP($A275,Seqs!$A:$B,2,FALSE),VLOOKUP($A275,'SegEnds_NonXtal_Prot#'!$A:$AL,28,FALSE)-4,1)</f>
        <v>L</v>
      </c>
      <c r="AH275" s="49" t="str">
        <f>MID(VLOOKUP($A275,Seqs!$A:$B,2,FALSE),VLOOKUP($A275,'SegEnds_NonXtal_Prot#'!$A:$AL,28,FALSE),1)</f>
        <v>P</v>
      </c>
    </row>
    <row r="276" spans="1:34" s="2" customFormat="1" x14ac:dyDescent="0.2">
      <c r="A276" s="2" t="s">
        <v>260</v>
      </c>
      <c r="B276" s="2" t="str">
        <f>LOWER(VLOOKUP(A276,Xtal_Templ!A:B,2,FALSE))</f>
        <v>oprk_human</v>
      </c>
      <c r="C276" s="2" t="str">
        <f>VLOOKUP(A276,Classification!A:D,2,FALSE)</f>
        <v>A</v>
      </c>
      <c r="D276" s="2" t="str">
        <f>IF(ISERROR(MATCH(A276,'SegEnds_Xtal_Prot#'!B:B, 0)), "NoXtal", "Xtal")</f>
        <v>NoXtal</v>
      </c>
      <c r="H276" s="4"/>
      <c r="N276" s="2" t="s">
        <v>14</v>
      </c>
      <c r="R276" s="2" t="s">
        <v>9</v>
      </c>
      <c r="T276" s="4" t="s">
        <v>12</v>
      </c>
      <c r="V276" s="28" t="str">
        <f>MID(VLOOKUP($A276,Seqs!$A:$B,2,FALSE),VLOOKUP($A276,'SegEnds_NonXtal_Prot#'!A:AL,10,FALSE),1)</f>
        <v>D</v>
      </c>
      <c r="W276" s="49" t="str">
        <f>MID(VLOOKUP($A276,Seqs!$A:$B,2,FALSE),VLOOKUP($A276,'SegEnds_NonXtal_Prot#'!A:AL,10,FALSE)+6,1)</f>
        <v>S</v>
      </c>
      <c r="X276" s="49" t="str">
        <f>MID(VLOOKUP($A276,Seqs!$A:$B,2,FALSE),VLOOKUP($A276,'SegEnds_NonXtal_Prot#'!A:AL,10,FALSE)+7,1)</f>
        <v>L</v>
      </c>
      <c r="Y276" s="49" t="str">
        <f>MID(VLOOKUP($A276,Seqs!$A:$B,2,FALSE),VLOOKUP($A276,'SegEnds_NonXtal_Prot#'!A:AL,10,FALSE)+8,1)</f>
        <v>P</v>
      </c>
      <c r="Z276" s="49" t="str">
        <f>MID(VLOOKUP($A276,Seqs!$A:$B,2,FALSE),VLOOKUP($A276,'SegEnds_NonXtal_Prot#'!A:AL,10,FALSE)+9,1)</f>
        <v>F</v>
      </c>
      <c r="AA276" s="49" t="str">
        <f>MID(VLOOKUP($A276,Seqs!$A:$B,2,FALSE),VLOOKUP($A276,'SegEnds_NonXtal_Prot#'!A:AL,10,FALSE)+10,1)</f>
        <v>K</v>
      </c>
      <c r="AB276" s="28" t="str">
        <f>MID(VLOOKUP($A276,Seqs!$A:$B,2,FALSE),VLOOKUP($A276,'SegEnds_NonXtal_Prot#'!$A:$AL,22,FALSE)+6,1)</f>
        <v>G</v>
      </c>
      <c r="AC276" s="49" t="str">
        <f>MID(VLOOKUP($A276,Seqs!$A:$B,2,FALSE),VLOOKUP($A276,'SegEnds_NonXtal_Prot#'!$A:$AL,22,FALSE)+7,1)</f>
        <v>S</v>
      </c>
      <c r="AD276" s="49" t="str">
        <f>MID(VLOOKUP($A276,Seqs!$A:$B,2,FALSE),VLOOKUP($A276,'SegEnds_NonXtal_Prot#'!$A:$AL,22,FALSE)+8,1)</f>
        <v>I</v>
      </c>
      <c r="AE276" s="49" t="str">
        <f>MID(VLOOKUP($A276,Seqs!$A:$B,2,FALSE),VLOOKUP($A276,'SegEnds_NonXtal_Prot#'!$A:$AL,22,FALSE)+9,1)</f>
        <v>P</v>
      </c>
      <c r="AF276" s="49" t="str">
        <f>MID(VLOOKUP($A276,Seqs!$A:$B,2,FALSE),VLOOKUP($A276,'SegEnds_NonXtal_Prot#'!$A:$AL,22,FALSE)+10,1)</f>
        <v>I</v>
      </c>
      <c r="AG276" s="28" t="str">
        <f>MID(VLOOKUP($A276,Seqs!$A:$B,2,FALSE),VLOOKUP($A276,'SegEnds_NonXtal_Prot#'!$A:$AL,28,FALSE)-4,1)</f>
        <v>G</v>
      </c>
      <c r="AH276" s="49" t="str">
        <f>MID(VLOOKUP($A276,Seqs!$A:$B,2,FALSE),VLOOKUP($A276,'SegEnds_NonXtal_Prot#'!$A:$AL,28,FALSE),1)</f>
        <v>P</v>
      </c>
    </row>
    <row r="277" spans="1:34" s="2" customFormat="1" x14ac:dyDescent="0.2">
      <c r="A277" s="2" t="s">
        <v>301</v>
      </c>
      <c r="B277" s="2" t="str">
        <f>LOWER(VLOOKUP(A277,Xtal_Templ!A:B,2,FALSE))</f>
        <v>cxcr4_human</v>
      </c>
      <c r="C277" s="2" t="str">
        <f>VLOOKUP(A277,Classification!A:D,2,FALSE)</f>
        <v>A</v>
      </c>
      <c r="D277" s="2" t="str">
        <f>IF(ISERROR(MATCH(A277,'SegEnds_Xtal_Prot#'!B:B, 0)), "NoXtal", "Xtal")</f>
        <v>NoXtal</v>
      </c>
      <c r="H277" s="4"/>
      <c r="T277" s="4" t="s">
        <v>12</v>
      </c>
      <c r="V277" s="28" t="str">
        <f>MID(VLOOKUP($A277,Seqs!$A:$B,2,FALSE),VLOOKUP($A277,'SegEnds_NonXtal_Prot#'!A:AL,10,FALSE),1)</f>
        <v>D</v>
      </c>
      <c r="W277" s="49" t="str">
        <f>MID(VLOOKUP($A277,Seqs!$A:$B,2,FALSE),VLOOKUP($A277,'SegEnds_NonXtal_Prot#'!A:AL,10,FALSE)+6,1)</f>
        <v>C</v>
      </c>
      <c r="X277" s="49" t="str">
        <f>MID(VLOOKUP($A277,Seqs!$A:$B,2,FALSE),VLOOKUP($A277,'SegEnds_NonXtal_Prot#'!A:AL,10,FALSE)+7,1)</f>
        <v>H</v>
      </c>
      <c r="Y277" s="49" t="str">
        <f>MID(VLOOKUP($A277,Seqs!$A:$B,2,FALSE),VLOOKUP($A277,'SegEnds_NonXtal_Prot#'!A:AL,10,FALSE)+8,1)</f>
        <v>M</v>
      </c>
      <c r="Z277" s="49" t="str">
        <f>MID(VLOOKUP($A277,Seqs!$A:$B,2,FALSE),VLOOKUP($A277,'SegEnds_NonXtal_Prot#'!A:AL,10,FALSE)+9,1)</f>
        <v>V</v>
      </c>
      <c r="AA277" s="49" t="str">
        <f>MID(VLOOKUP($A277,Seqs!$A:$B,2,FALSE),VLOOKUP($A277,'SegEnds_NonXtal_Prot#'!A:AL,10,FALSE)+10,1)</f>
        <v>A</v>
      </c>
      <c r="AB277" s="28" t="str">
        <f>MID(VLOOKUP($A277,Seqs!$A:$B,2,FALSE),VLOOKUP($A277,'SegEnds_NonXtal_Prot#'!$A:$AL,22,FALSE)+6,1)</f>
        <v>L</v>
      </c>
      <c r="AC277" s="49" t="str">
        <f>MID(VLOOKUP($A277,Seqs!$A:$B,2,FALSE),VLOOKUP($A277,'SegEnds_NonXtal_Prot#'!$A:$AL,22,FALSE)+7,1)</f>
        <v>H</v>
      </c>
      <c r="AD277" s="49" t="str">
        <f>MID(VLOOKUP($A277,Seqs!$A:$B,2,FALSE),VLOOKUP($A277,'SegEnds_NonXtal_Prot#'!$A:$AL,22,FALSE)+8,1)</f>
        <v>L</v>
      </c>
      <c r="AE277" s="49" t="str">
        <f>MID(VLOOKUP($A277,Seqs!$A:$B,2,FALSE),VLOOKUP($A277,'SegEnds_NonXtal_Prot#'!$A:$AL,22,FALSE)+9,1)</f>
        <v>L</v>
      </c>
      <c r="AF277" s="49" t="str">
        <f>MID(VLOOKUP($A277,Seqs!$A:$B,2,FALSE),VLOOKUP($A277,'SegEnds_NonXtal_Prot#'!$A:$AL,22,FALSE)+10,1)</f>
        <v>L</v>
      </c>
      <c r="AG277" s="28" t="str">
        <f>MID(VLOOKUP($A277,Seqs!$A:$B,2,FALSE),VLOOKUP($A277,'SegEnds_NonXtal_Prot#'!$A:$AL,28,FALSE)-4,1)</f>
        <v>A</v>
      </c>
      <c r="AH277" s="49" t="str">
        <f>MID(VLOOKUP($A277,Seqs!$A:$B,2,FALSE),VLOOKUP($A277,'SegEnds_NonXtal_Prot#'!$A:$AL,28,FALSE),1)</f>
        <v>C</v>
      </c>
    </row>
    <row r="278" spans="1:34" s="2" customFormat="1" x14ac:dyDescent="0.2">
      <c r="A278" s="2" t="s">
        <v>348</v>
      </c>
      <c r="B278" s="2" t="str">
        <f>LOWER(VLOOKUP(A278,Xtal_Templ!A:B,2,FALSE))</f>
        <v>par2_human</v>
      </c>
      <c r="C278" s="2" t="str">
        <f>VLOOKUP(A278,Classification!A:D,2,FALSE)</f>
        <v>A</v>
      </c>
      <c r="D278" s="2" t="str">
        <f>IF(ISERROR(MATCH(A278,'SegEnds_Xtal_Prot#'!B:B, 0)), "NoXtal", "Xtal")</f>
        <v>NoXtal</v>
      </c>
      <c r="H278" s="4"/>
      <c r="R278" s="2" t="s">
        <v>9</v>
      </c>
      <c r="S278" s="2" t="s">
        <v>1316</v>
      </c>
      <c r="T278" s="4" t="s">
        <v>12</v>
      </c>
      <c r="V278" s="28" t="str">
        <f>MID(VLOOKUP($A278,Seqs!$A:$B,2,FALSE),VLOOKUP($A278,'SegEnds_NonXtal_Prot#'!A:AL,10,FALSE),1)</f>
        <v>D</v>
      </c>
      <c r="W278" s="49" t="str">
        <f>MID(VLOOKUP($A278,Seqs!$A:$B,2,FALSE),VLOOKUP($A278,'SegEnds_NonXtal_Prot#'!A:AL,10,FALSE)+6,1)</f>
        <v>V</v>
      </c>
      <c r="X278" s="49" t="str">
        <f>MID(VLOOKUP($A278,Seqs!$A:$B,2,FALSE),VLOOKUP($A278,'SegEnds_NonXtal_Prot#'!A:AL,10,FALSE)+7,1)</f>
        <v>L</v>
      </c>
      <c r="Y278" s="49" t="str">
        <f>MID(VLOOKUP($A278,Seqs!$A:$B,2,FALSE),VLOOKUP($A278,'SegEnds_NonXtal_Prot#'!A:AL,10,FALSE)+8,1)</f>
        <v>P</v>
      </c>
      <c r="Z278" s="49" t="str">
        <f>MID(VLOOKUP($A278,Seqs!$A:$B,2,FALSE),VLOOKUP($A278,'SegEnds_NonXtal_Prot#'!A:AL,10,FALSE)+9,1)</f>
        <v>F</v>
      </c>
      <c r="AA278" s="49" t="str">
        <f>MID(VLOOKUP($A278,Seqs!$A:$B,2,FALSE),VLOOKUP($A278,'SegEnds_NonXtal_Prot#'!A:AL,10,FALSE)+10,1)</f>
        <v>Q</v>
      </c>
      <c r="AB278" s="28" t="str">
        <f>MID(VLOOKUP($A278,Seqs!$A:$B,2,FALSE),VLOOKUP($A278,'SegEnds_NonXtal_Prot#'!$A:$AL,22,FALSE)+6,1)</f>
        <v>A</v>
      </c>
      <c r="AC278" s="49" t="str">
        <f>MID(VLOOKUP($A278,Seqs!$A:$B,2,FALSE),VLOOKUP($A278,'SegEnds_NonXtal_Prot#'!$A:$AL,22,FALSE)+7,1)</f>
        <v>L</v>
      </c>
      <c r="AD278" s="49" t="str">
        <f>MID(VLOOKUP($A278,Seqs!$A:$B,2,FALSE),VLOOKUP($A278,'SegEnds_NonXtal_Prot#'!$A:$AL,22,FALSE)+8,1)</f>
        <v>S</v>
      </c>
      <c r="AE278" s="49" t="str">
        <f>MID(VLOOKUP($A278,Seqs!$A:$B,2,FALSE),VLOOKUP($A278,'SegEnds_NonXtal_Prot#'!$A:$AL,22,FALSE)+9,1)</f>
        <v>P</v>
      </c>
      <c r="AF278" s="49" t="str">
        <f>MID(VLOOKUP($A278,Seqs!$A:$B,2,FALSE),VLOOKUP($A278,'SegEnds_NonXtal_Prot#'!$A:$AL,22,FALSE)+10,1)</f>
        <v>L</v>
      </c>
      <c r="AG278" s="28" t="str">
        <f>MID(VLOOKUP($A278,Seqs!$A:$B,2,FALSE),VLOOKUP($A278,'SegEnds_NonXtal_Prot#'!$A:$AL,28,FALSE)-4,1)</f>
        <v>L</v>
      </c>
      <c r="AH278" s="49" t="str">
        <f>MID(VLOOKUP($A278,Seqs!$A:$B,2,FALSE),VLOOKUP($A278,'SegEnds_NonXtal_Prot#'!$A:$AL,28,FALSE),1)</f>
        <v>P</v>
      </c>
    </row>
    <row r="279" spans="1:34" s="2" customFormat="1" x14ac:dyDescent="0.2">
      <c r="A279" s="2" t="s">
        <v>354</v>
      </c>
      <c r="B279" s="2" t="str">
        <f>LOWER(VLOOKUP(A279,Xtal_Templ!A:B,2,FALSE))</f>
        <v>par1_human</v>
      </c>
      <c r="C279" s="2" t="str">
        <f>VLOOKUP(A279,Classification!A:D,2,FALSE)</f>
        <v>A</v>
      </c>
      <c r="D279" s="2" t="str">
        <f>IF(ISERROR(MATCH(A279,'SegEnds_Xtal_Prot#'!B:B, 0)), "NoXtal", "Xtal")</f>
        <v>Xtal</v>
      </c>
      <c r="H279" s="4"/>
      <c r="N279" s="2" t="s">
        <v>14</v>
      </c>
      <c r="S279" s="2" t="s">
        <v>1316</v>
      </c>
      <c r="T279" s="4" t="s">
        <v>12</v>
      </c>
      <c r="V279" s="28" t="str">
        <f>MID(VLOOKUP($A279,Seqs!$A:$B,2,FALSE),VLOOKUP($A279,'SegEnds_NonXtal_Prot#'!A:AL,10,FALSE),1)</f>
        <v>D</v>
      </c>
      <c r="W279" s="49" t="str">
        <f>MID(VLOOKUP($A279,Seqs!$A:$B,2,FALSE),VLOOKUP($A279,'SegEnds_NonXtal_Prot#'!A:AL,10,FALSE)+6,1)</f>
        <v>V</v>
      </c>
      <c r="X279" s="49" t="str">
        <f>MID(VLOOKUP($A279,Seqs!$A:$B,2,FALSE),VLOOKUP($A279,'SegEnds_NonXtal_Prot#'!A:AL,10,FALSE)+7,1)</f>
        <v>L</v>
      </c>
      <c r="Y279" s="49" t="str">
        <f>MID(VLOOKUP($A279,Seqs!$A:$B,2,FALSE),VLOOKUP($A279,'SegEnds_NonXtal_Prot#'!A:AL,10,FALSE)+8,1)</f>
        <v>P</v>
      </c>
      <c r="Z279" s="49" t="str">
        <f>MID(VLOOKUP($A279,Seqs!$A:$B,2,FALSE),VLOOKUP($A279,'SegEnds_NonXtal_Prot#'!A:AL,10,FALSE)+9,1)</f>
        <v>F</v>
      </c>
      <c r="AA279" s="49" t="str">
        <f>MID(VLOOKUP($A279,Seqs!$A:$B,2,FALSE),VLOOKUP($A279,'SegEnds_NonXtal_Prot#'!A:AL,10,FALSE)+10,1)</f>
        <v>K</v>
      </c>
      <c r="AB279" s="28" t="str">
        <f>MID(VLOOKUP($A279,Seqs!$A:$B,2,FALSE),VLOOKUP($A279,'SegEnds_NonXtal_Prot#'!$A:$AL,22,FALSE)+6,1)</f>
        <v>G</v>
      </c>
      <c r="AC279" s="49" t="str">
        <f>MID(VLOOKUP($A279,Seqs!$A:$B,2,FALSE),VLOOKUP($A279,'SegEnds_NonXtal_Prot#'!$A:$AL,22,FALSE)+7,1)</f>
        <v>V</v>
      </c>
      <c r="AD279" s="49" t="str">
        <f>MID(VLOOKUP($A279,Seqs!$A:$B,2,FALSE),VLOOKUP($A279,'SegEnds_NonXtal_Prot#'!$A:$AL,22,FALSE)+8,1)</f>
        <v>V</v>
      </c>
      <c r="AE279" s="49" t="str">
        <f>MID(VLOOKUP($A279,Seqs!$A:$B,2,FALSE),VLOOKUP($A279,'SegEnds_NonXtal_Prot#'!$A:$AL,22,FALSE)+9,1)</f>
        <v>P</v>
      </c>
      <c r="AF279" s="49" t="str">
        <f>MID(VLOOKUP($A279,Seqs!$A:$B,2,FALSE),VLOOKUP($A279,'SegEnds_NonXtal_Prot#'!$A:$AL,22,FALSE)+10,1)</f>
        <v>L</v>
      </c>
      <c r="AG279" s="28" t="str">
        <f>MID(VLOOKUP($A279,Seqs!$A:$B,2,FALSE),VLOOKUP($A279,'SegEnds_NonXtal_Prot#'!$A:$AL,28,FALSE)-4,1)</f>
        <v>F</v>
      </c>
      <c r="AH279" s="49" t="str">
        <f>MID(VLOOKUP($A279,Seqs!$A:$B,2,FALSE),VLOOKUP($A279,'SegEnds_NonXtal_Prot#'!$A:$AL,28,FALSE),1)</f>
        <v>P</v>
      </c>
    </row>
    <row r="280" spans="1:34" s="2" customFormat="1" x14ac:dyDescent="0.2">
      <c r="A280" s="2" t="s">
        <v>355</v>
      </c>
      <c r="B280" s="2" t="str">
        <f>LOWER(VLOOKUP(A280,Xtal_Templ!A:B,2,FALSE))</f>
        <v>par2_human</v>
      </c>
      <c r="C280" s="2" t="str">
        <f>VLOOKUP(A280,Classification!A:D,2,FALSE)</f>
        <v>A</v>
      </c>
      <c r="D280" s="2" t="str">
        <f>IF(ISERROR(MATCH(A280,'SegEnds_Xtal_Prot#'!B:B, 0)), "NoXtal", "Xtal")</f>
        <v>Xtal</v>
      </c>
      <c r="H280" s="4"/>
      <c r="N280" s="2" t="s">
        <v>14</v>
      </c>
      <c r="R280" s="2" t="s">
        <v>9</v>
      </c>
      <c r="S280" s="2" t="s">
        <v>1316</v>
      </c>
      <c r="T280" s="4" t="s">
        <v>12</v>
      </c>
      <c r="V280" s="28" t="str">
        <f>MID(VLOOKUP($A280,Seqs!$A:$B,2,FALSE),VLOOKUP($A280,'SegEnds_NonXtal_Prot#'!A:AL,10,FALSE),1)</f>
        <v>D</v>
      </c>
      <c r="W280" s="49" t="str">
        <f>MID(VLOOKUP($A280,Seqs!$A:$B,2,FALSE),VLOOKUP($A280,'SegEnds_NonXtal_Prot#'!A:AL,10,FALSE)+6,1)</f>
        <v>W</v>
      </c>
      <c r="X280" s="49" t="str">
        <f>MID(VLOOKUP($A280,Seqs!$A:$B,2,FALSE),VLOOKUP($A280,'SegEnds_NonXtal_Prot#'!A:AL,10,FALSE)+7,1)</f>
        <v>F</v>
      </c>
      <c r="Y280" s="49" t="str">
        <f>MID(VLOOKUP($A280,Seqs!$A:$B,2,FALSE),VLOOKUP($A280,'SegEnds_NonXtal_Prot#'!A:AL,10,FALSE)+8,1)</f>
        <v>P</v>
      </c>
      <c r="Z280" s="49" t="str">
        <f>MID(VLOOKUP($A280,Seqs!$A:$B,2,FALSE),VLOOKUP($A280,'SegEnds_NonXtal_Prot#'!A:AL,10,FALSE)+9,1)</f>
        <v>L</v>
      </c>
      <c r="AA280" s="49" t="str">
        <f>MID(VLOOKUP($A280,Seqs!$A:$B,2,FALSE),VLOOKUP($A280,'SegEnds_NonXtal_Prot#'!A:AL,10,FALSE)+10,1)</f>
        <v>K</v>
      </c>
      <c r="AB280" s="28" t="str">
        <f>MID(VLOOKUP($A280,Seqs!$A:$B,2,FALSE),VLOOKUP($A280,'SegEnds_NonXtal_Prot#'!$A:$AL,22,FALSE)+6,1)</f>
        <v>V</v>
      </c>
      <c r="AC280" s="49" t="str">
        <f>MID(VLOOKUP($A280,Seqs!$A:$B,2,FALSE),VLOOKUP($A280,'SegEnds_NonXtal_Prot#'!$A:$AL,22,FALSE)+7,1)</f>
        <v>T</v>
      </c>
      <c r="AD280" s="49" t="str">
        <f>MID(VLOOKUP($A280,Seqs!$A:$B,2,FALSE),VLOOKUP($A280,'SegEnds_NonXtal_Prot#'!$A:$AL,22,FALSE)+8,1)</f>
        <v>I</v>
      </c>
      <c r="AE280" s="49" t="str">
        <f>MID(VLOOKUP($A280,Seqs!$A:$B,2,FALSE),VLOOKUP($A280,'SegEnds_NonXtal_Prot#'!$A:$AL,22,FALSE)+9,1)</f>
        <v>P</v>
      </c>
      <c r="AF280" s="49" t="str">
        <f>MID(VLOOKUP($A280,Seqs!$A:$B,2,FALSE),VLOOKUP($A280,'SegEnds_NonXtal_Prot#'!$A:$AL,22,FALSE)+10,1)</f>
        <v>L</v>
      </c>
      <c r="AG280" s="28" t="str">
        <f>MID(VLOOKUP($A280,Seqs!$A:$B,2,FALSE),VLOOKUP($A280,'SegEnds_NonXtal_Prot#'!$A:$AL,28,FALSE)-4,1)</f>
        <v>V</v>
      </c>
      <c r="AH280" s="49" t="str">
        <f>MID(VLOOKUP($A280,Seqs!$A:$B,2,FALSE),VLOOKUP($A280,'SegEnds_NonXtal_Prot#'!$A:$AL,28,FALSE),1)</f>
        <v>P</v>
      </c>
    </row>
    <row r="281" spans="1:34" s="2" customFormat="1" x14ac:dyDescent="0.2">
      <c r="A281" s="2" t="s">
        <v>356</v>
      </c>
      <c r="B281" s="2" t="str">
        <f>LOWER(VLOOKUP(A281,Xtal_Templ!A:B,2,FALSE))</f>
        <v>par2_human</v>
      </c>
      <c r="C281" s="2" t="str">
        <f>VLOOKUP(A281,Classification!A:D,2,FALSE)</f>
        <v>A</v>
      </c>
      <c r="D281" s="2" t="str">
        <f>IF(ISERROR(MATCH(A281,'SegEnds_Xtal_Prot#'!B:B, 0)), "NoXtal", "Xtal")</f>
        <v>NoXtal</v>
      </c>
      <c r="H281" s="4"/>
      <c r="N281" s="2" t="s">
        <v>14</v>
      </c>
      <c r="R281" s="2" t="s">
        <v>9</v>
      </c>
      <c r="S281" s="2" t="s">
        <v>1316</v>
      </c>
      <c r="T281" s="4" t="s">
        <v>12</v>
      </c>
      <c r="V281" s="28" t="str">
        <f>MID(VLOOKUP($A281,Seqs!$A:$B,2,FALSE),VLOOKUP($A281,'SegEnds_NonXtal_Prot#'!A:AL,10,FALSE),1)</f>
        <v>D</v>
      </c>
      <c r="W281" s="49" t="str">
        <f>MID(VLOOKUP($A281,Seqs!$A:$B,2,FALSE),VLOOKUP($A281,'SegEnds_NonXtal_Prot#'!A:AL,10,FALSE)+6,1)</f>
        <v>T</v>
      </c>
      <c r="X281" s="49" t="str">
        <f>MID(VLOOKUP($A281,Seqs!$A:$B,2,FALSE),VLOOKUP($A281,'SegEnds_NonXtal_Prot#'!A:AL,10,FALSE)+7,1)</f>
        <v>L</v>
      </c>
      <c r="Y281" s="49" t="str">
        <f>MID(VLOOKUP($A281,Seqs!$A:$B,2,FALSE),VLOOKUP($A281,'SegEnds_NonXtal_Prot#'!A:AL,10,FALSE)+8,1)</f>
        <v>P</v>
      </c>
      <c r="Z281" s="49" t="str">
        <f>MID(VLOOKUP($A281,Seqs!$A:$B,2,FALSE),VLOOKUP($A281,'SegEnds_NonXtal_Prot#'!A:AL,10,FALSE)+9,1)</f>
        <v>F</v>
      </c>
      <c r="AA281" s="49" t="str">
        <f>MID(VLOOKUP($A281,Seqs!$A:$B,2,FALSE),VLOOKUP($A281,'SegEnds_NonXtal_Prot#'!A:AL,10,FALSE)+10,1)</f>
        <v>K</v>
      </c>
      <c r="AB281" s="28" t="str">
        <f>MID(VLOOKUP($A281,Seqs!$A:$B,2,FALSE),VLOOKUP($A281,'SegEnds_NonXtal_Prot#'!$A:$AL,22,FALSE)+6,1)</f>
        <v>Y</v>
      </c>
      <c r="AC281" s="49" t="str">
        <f>MID(VLOOKUP($A281,Seqs!$A:$B,2,FALSE),VLOOKUP($A281,'SegEnds_NonXtal_Prot#'!$A:$AL,22,FALSE)+7,1)</f>
        <v>M</v>
      </c>
      <c r="AD281" s="49" t="str">
        <f>MID(VLOOKUP($A281,Seqs!$A:$B,2,FALSE),VLOOKUP($A281,'SegEnds_NonXtal_Prot#'!$A:$AL,22,FALSE)+8,1)</f>
        <v>L</v>
      </c>
      <c r="AE281" s="49" t="str">
        <f>MID(VLOOKUP($A281,Seqs!$A:$B,2,FALSE),VLOOKUP($A281,'SegEnds_NonXtal_Prot#'!$A:$AL,22,FALSE)+9,1)</f>
        <v>P</v>
      </c>
      <c r="AF281" s="49" t="str">
        <f>MID(VLOOKUP($A281,Seqs!$A:$B,2,FALSE),VLOOKUP($A281,'SegEnds_NonXtal_Prot#'!$A:$AL,22,FALSE)+10,1)</f>
        <v>F</v>
      </c>
      <c r="AG281" s="28" t="str">
        <f>MID(VLOOKUP($A281,Seqs!$A:$B,2,FALSE),VLOOKUP($A281,'SegEnds_NonXtal_Prot#'!$A:$AL,28,FALSE)-4,1)</f>
        <v>G</v>
      </c>
      <c r="AH281" s="49" t="str">
        <f>MID(VLOOKUP($A281,Seqs!$A:$B,2,FALSE),VLOOKUP($A281,'SegEnds_NonXtal_Prot#'!$A:$AL,28,FALSE),1)</f>
        <v>P</v>
      </c>
    </row>
    <row r="282" spans="1:34" s="2" customFormat="1" x14ac:dyDescent="0.2">
      <c r="A282" s="2" t="s">
        <v>357</v>
      </c>
      <c r="B282" s="2" t="str">
        <f>LOWER(VLOOKUP(A282,Xtal_Templ!A:B,2,FALSE))</f>
        <v>par2_human</v>
      </c>
      <c r="C282" s="2" t="str">
        <f>VLOOKUP(A282,Classification!A:D,2,FALSE)</f>
        <v>A</v>
      </c>
      <c r="D282" s="2" t="str">
        <f>IF(ISERROR(MATCH(A282,'SegEnds_Xtal_Prot#'!B:B, 0)), "NoXtal", "Xtal")</f>
        <v>NoXtal</v>
      </c>
      <c r="H282" s="4"/>
      <c r="N282" s="2" t="s">
        <v>14</v>
      </c>
      <c r="R282" s="2" t="s">
        <v>9</v>
      </c>
      <c r="S282" s="2" t="s">
        <v>1316</v>
      </c>
      <c r="T282" s="4" t="s">
        <v>12</v>
      </c>
      <c r="V282" s="28" t="str">
        <f>MID(VLOOKUP($A282,Seqs!$A:$B,2,FALSE),VLOOKUP($A282,'SegEnds_NonXtal_Prot#'!A:AL,10,FALSE),1)</f>
        <v>D</v>
      </c>
      <c r="W282" s="49" t="str">
        <f>MID(VLOOKUP($A282,Seqs!$A:$B,2,FALSE),VLOOKUP($A282,'SegEnds_NonXtal_Prot#'!A:AL,10,FALSE)+6,1)</f>
        <v>A</v>
      </c>
      <c r="X282" s="49" t="str">
        <f>MID(VLOOKUP($A282,Seqs!$A:$B,2,FALSE),VLOOKUP($A282,'SegEnds_NonXtal_Prot#'!A:AL,10,FALSE)+7,1)</f>
        <v>L</v>
      </c>
      <c r="Y282" s="49" t="str">
        <f>MID(VLOOKUP($A282,Seqs!$A:$B,2,FALSE),VLOOKUP($A282,'SegEnds_NonXtal_Prot#'!A:AL,10,FALSE)+8,1)</f>
        <v>P</v>
      </c>
      <c r="Z282" s="49" t="str">
        <f>MID(VLOOKUP($A282,Seqs!$A:$B,2,FALSE),VLOOKUP($A282,'SegEnds_NonXtal_Prot#'!A:AL,10,FALSE)+9,1)</f>
        <v>P</v>
      </c>
      <c r="AA282" s="49" t="str">
        <f>MID(VLOOKUP($A282,Seqs!$A:$B,2,FALSE),VLOOKUP($A282,'SegEnds_NonXtal_Prot#'!A:AL,10,FALSE)+10,1)</f>
        <v>R</v>
      </c>
      <c r="AB282" s="28" t="str">
        <f>MID(VLOOKUP($A282,Seqs!$A:$B,2,FALSE),VLOOKUP($A282,'SegEnds_NonXtal_Prot#'!$A:$AL,22,FALSE)+6,1)</f>
        <v>L</v>
      </c>
      <c r="AC282" s="49" t="str">
        <f>MID(VLOOKUP($A282,Seqs!$A:$B,2,FALSE),VLOOKUP($A282,'SegEnds_NonXtal_Prot#'!$A:$AL,22,FALSE)+7,1)</f>
        <v>A</v>
      </c>
      <c r="AD282" s="49" t="str">
        <f>MID(VLOOKUP($A282,Seqs!$A:$B,2,FALSE),VLOOKUP($A282,'SegEnds_NonXtal_Prot#'!$A:$AL,22,FALSE)+8,1)</f>
        <v>L</v>
      </c>
      <c r="AE282" s="49" t="str">
        <f>MID(VLOOKUP($A282,Seqs!$A:$B,2,FALSE),VLOOKUP($A282,'SegEnds_NonXtal_Prot#'!$A:$AL,22,FALSE)+9,1)</f>
        <v>P</v>
      </c>
      <c r="AF282" s="49" t="str">
        <f>MID(VLOOKUP($A282,Seqs!$A:$B,2,FALSE),VLOOKUP($A282,'SegEnds_NonXtal_Prot#'!$A:$AL,22,FALSE)+10,1)</f>
        <v>L</v>
      </c>
      <c r="AG282" s="28" t="str">
        <f>MID(VLOOKUP($A282,Seqs!$A:$B,2,FALSE),VLOOKUP($A282,'SegEnds_NonXtal_Prot#'!$A:$AL,28,FALSE)-4,1)</f>
        <v>G</v>
      </c>
      <c r="AH282" s="49" t="str">
        <f>MID(VLOOKUP($A282,Seqs!$A:$B,2,FALSE),VLOOKUP($A282,'SegEnds_NonXtal_Prot#'!$A:$AL,28,FALSE),1)</f>
        <v>P</v>
      </c>
    </row>
    <row r="283" spans="1:34" s="2" customFormat="1" x14ac:dyDescent="0.2">
      <c r="A283" s="2" t="s">
        <v>151</v>
      </c>
      <c r="B283" s="2" t="str">
        <f>LOWER(VLOOKUP(A283,Xtal_Templ!A:B,2,FALSE))</f>
        <v>s1pr1_human</v>
      </c>
      <c r="C283" s="2" t="str">
        <f>VLOOKUP(A283,Classification!A:D,2,FALSE)</f>
        <v>A</v>
      </c>
      <c r="D283" s="2" t="str">
        <f>IF(ISERROR(MATCH(A283,'SegEnds_Xtal_Prot#'!B:B, 0)), "NoXtal", "Xtal")</f>
        <v>NoXtal</v>
      </c>
      <c r="H283" s="4"/>
      <c r="T283" s="4" t="s">
        <v>12</v>
      </c>
      <c r="V283" s="28" t="str">
        <f>MID(VLOOKUP($A283,Seqs!$A:$B,2,FALSE),VLOOKUP($A283,'SegEnds_NonXtal_Prot#'!A:AL,10,FALSE),1)</f>
        <v>D</v>
      </c>
      <c r="W283" s="49" t="str">
        <f>MID(VLOOKUP($A283,Seqs!$A:$B,2,FALSE),VLOOKUP($A283,'SegEnds_NonXtal_Prot#'!A:AL,10,FALSE)+6,1)</f>
        <v>Y</v>
      </c>
      <c r="X283" s="49" t="str">
        <f>MID(VLOOKUP($A283,Seqs!$A:$B,2,FALSE),VLOOKUP($A283,'SegEnds_NonXtal_Prot#'!A:AL,10,FALSE)+7,1)</f>
        <v>K</v>
      </c>
      <c r="Y283" s="49" t="str">
        <f>MID(VLOOKUP($A283,Seqs!$A:$B,2,FALSE),VLOOKUP($A283,'SegEnds_NonXtal_Prot#'!A:AL,10,FALSE)+8,1)</f>
        <v>I</v>
      </c>
      <c r="Z283" s="49" t="str">
        <f>MID(VLOOKUP($A283,Seqs!$A:$B,2,FALSE),VLOOKUP($A283,'SegEnds_NonXtal_Prot#'!A:AL,10,FALSE)+9,1)</f>
        <v>L</v>
      </c>
      <c r="AA283" s="49" t="str">
        <f>MID(VLOOKUP($A283,Seqs!$A:$B,2,FALSE),VLOOKUP($A283,'SegEnds_NonXtal_Prot#'!A:AL,10,FALSE)+10,1)</f>
        <v>E</v>
      </c>
      <c r="AB283" s="28" t="str">
        <f>MID(VLOOKUP($A283,Seqs!$A:$B,2,FALSE),VLOOKUP($A283,'SegEnds_NonXtal_Prot#'!$A:$AL,22,FALSE)+6,1)</f>
        <v>T</v>
      </c>
      <c r="AC283" s="49" t="str">
        <f>MID(VLOOKUP($A283,Seqs!$A:$B,2,FALSE),VLOOKUP($A283,'SegEnds_NonXtal_Prot#'!$A:$AL,22,FALSE)+7,1)</f>
        <v>G</v>
      </c>
      <c r="AD283" s="49" t="str">
        <f>MID(VLOOKUP($A283,Seqs!$A:$B,2,FALSE),VLOOKUP($A283,'SegEnds_NonXtal_Prot#'!$A:$AL,22,FALSE)+8,1)</f>
        <v>I</v>
      </c>
      <c r="AE283" s="49" t="str">
        <f>MID(VLOOKUP($A283,Seqs!$A:$B,2,FALSE),VLOOKUP($A283,'SegEnds_NonXtal_Prot#'!$A:$AL,22,FALSE)+9,1)</f>
        <v>T</v>
      </c>
      <c r="AF283" s="49" t="str">
        <f>MID(VLOOKUP($A283,Seqs!$A:$B,2,FALSE),VLOOKUP($A283,'SegEnds_NonXtal_Prot#'!$A:$AL,22,FALSE)+10,1)</f>
        <v>M</v>
      </c>
      <c r="AG283" s="28" t="str">
        <f>MID(VLOOKUP($A283,Seqs!$A:$B,2,FALSE),VLOOKUP($A283,'SegEnds_NonXtal_Prot#'!$A:$AL,28,FALSE)-4,1)</f>
        <v>C</v>
      </c>
      <c r="AH283" s="49" t="str">
        <f>MID(VLOOKUP($A283,Seqs!$A:$B,2,FALSE),VLOOKUP($A283,'SegEnds_NonXtal_Prot#'!$A:$AL,28,FALSE),1)</f>
        <v>H</v>
      </c>
    </row>
    <row r="284" spans="1:34" s="2" customFormat="1" x14ac:dyDescent="0.2">
      <c r="A284" s="2" t="s">
        <v>212</v>
      </c>
      <c r="B284" s="2" t="str">
        <f>LOWER(VLOOKUP(A284,Xtal_Templ!A:B,2,FALSE))</f>
        <v>5ht2a_human</v>
      </c>
      <c r="C284" s="2" t="str">
        <f>VLOOKUP(A284,Classification!A:D,2,FALSE)</f>
        <v>A</v>
      </c>
      <c r="D284" s="2" t="str">
        <f>IF(ISERROR(MATCH(A284,'SegEnds_Xtal_Prot#'!B:B, 0)), "NoXtal", "Xtal")</f>
        <v>NoXtal</v>
      </c>
      <c r="H284" s="4"/>
      <c r="R284" s="2" t="s">
        <v>9</v>
      </c>
      <c r="T284" s="4" t="s">
        <v>12</v>
      </c>
      <c r="V284" s="28" t="str">
        <f>MID(VLOOKUP($A284,Seqs!$A:$B,2,FALSE),VLOOKUP($A284,'SegEnds_NonXtal_Prot#'!A:AL,10,FALSE),1)</f>
        <v>D</v>
      </c>
      <c r="W284" s="49" t="str">
        <f>MID(VLOOKUP($A284,Seqs!$A:$B,2,FALSE),VLOOKUP($A284,'SegEnds_NonXtal_Prot#'!A:AL,10,FALSE)+6,1)</f>
        <v>A</v>
      </c>
      <c r="X284" s="49" t="str">
        <f>MID(VLOOKUP($A284,Seqs!$A:$B,2,FALSE),VLOOKUP($A284,'SegEnds_NonXtal_Prot#'!A:AL,10,FALSE)+7,1)</f>
        <v>I</v>
      </c>
      <c r="Y284" s="49" t="str">
        <f>MID(VLOOKUP($A284,Seqs!$A:$B,2,FALSE),VLOOKUP($A284,'SegEnds_NonXtal_Prot#'!A:AL,10,FALSE)+8,1)</f>
        <v>S</v>
      </c>
      <c r="Z284" s="49" t="str">
        <f>MID(VLOOKUP($A284,Seqs!$A:$B,2,FALSE),VLOOKUP($A284,'SegEnds_NonXtal_Prot#'!A:AL,10,FALSE)+9,1)</f>
        <v>G</v>
      </c>
      <c r="AA284" s="49" t="str">
        <f>MID(VLOOKUP($A284,Seqs!$A:$B,2,FALSE),VLOOKUP($A284,'SegEnds_NonXtal_Prot#'!A:AL,10,FALSE)+10,1)</f>
        <v>L</v>
      </c>
      <c r="AB284" s="28" t="str">
        <f>MID(VLOOKUP($A284,Seqs!$A:$B,2,FALSE),VLOOKUP($A284,'SegEnds_NonXtal_Prot#'!$A:$AL,22,FALSE)+6,1)</f>
        <v>I</v>
      </c>
      <c r="AC284" s="49" t="str">
        <f>MID(VLOOKUP($A284,Seqs!$A:$B,2,FALSE),VLOOKUP($A284,'SegEnds_NonXtal_Prot#'!$A:$AL,22,FALSE)+7,1)</f>
        <v>G</v>
      </c>
      <c r="AD284" s="49" t="str">
        <f>MID(VLOOKUP($A284,Seqs!$A:$B,2,FALSE),VLOOKUP($A284,'SegEnds_NonXtal_Prot#'!$A:$AL,22,FALSE)+8,1)</f>
        <v>F</v>
      </c>
      <c r="AE284" s="49" t="str">
        <f>MID(VLOOKUP($A284,Seqs!$A:$B,2,FALSE),VLOOKUP($A284,'SegEnds_NonXtal_Prot#'!$A:$AL,22,FALSE)+9,1)</f>
        <v>L</v>
      </c>
      <c r="AF284" s="49" t="str">
        <f>MID(VLOOKUP($A284,Seqs!$A:$B,2,FALSE),VLOOKUP($A284,'SegEnds_NonXtal_Prot#'!$A:$AL,22,FALSE)+10,1)</f>
        <v>P</v>
      </c>
      <c r="AG284" s="28" t="str">
        <f>MID(VLOOKUP($A284,Seqs!$A:$B,2,FALSE),VLOOKUP($A284,'SegEnds_NonXtal_Prot#'!$A:$AL,28,FALSE)-4,1)</f>
        <v>V</v>
      </c>
      <c r="AH284" s="49" t="str">
        <f>MID(VLOOKUP($A284,Seqs!$A:$B,2,FALSE),VLOOKUP($A284,'SegEnds_NonXtal_Prot#'!$A:$AL,28,FALSE),1)</f>
        <v>P</v>
      </c>
    </row>
    <row r="285" spans="1:34" s="2" customFormat="1" x14ac:dyDescent="0.2">
      <c r="A285" s="2" t="s">
        <v>237</v>
      </c>
      <c r="B285" s="2" t="str">
        <f>LOWER(VLOOKUP(A285,Xtal_Templ!A:B,2,FALSE))</f>
        <v>lpar1_human</v>
      </c>
      <c r="C285" s="2" t="str">
        <f>VLOOKUP(A285,Classification!A:D,2,FALSE)</f>
        <v>A</v>
      </c>
      <c r="D285" s="2" t="str">
        <f>IF(ISERROR(MATCH(A285,'SegEnds_Xtal_Prot#'!B:B, 0)), "NoXtal", "Xtal")</f>
        <v>NoXtal</v>
      </c>
      <c r="H285" s="4"/>
      <c r="T285" s="4" t="s">
        <v>12</v>
      </c>
      <c r="V285" s="28" t="str">
        <f>MID(VLOOKUP($A285,Seqs!$A:$B,2,FALSE),VLOOKUP($A285,'SegEnds_NonXtal_Prot#'!A:AL,10,FALSE),1)</f>
        <v>D</v>
      </c>
      <c r="W285" s="49" t="str">
        <f>MID(VLOOKUP($A285,Seqs!$A:$B,2,FALSE),VLOOKUP($A285,'SegEnds_NonXtal_Prot#'!A:AL,10,FALSE)+6,1)</f>
        <v>G</v>
      </c>
      <c r="X285" s="49" t="str">
        <f>MID(VLOOKUP($A285,Seqs!$A:$B,2,FALSE),VLOOKUP($A285,'SegEnds_NonXtal_Prot#'!A:AL,10,FALSE)+7,1)</f>
        <v>L</v>
      </c>
      <c r="Y285" s="49" t="str">
        <f>MID(VLOOKUP($A285,Seqs!$A:$B,2,FALSE),VLOOKUP($A285,'SegEnds_NonXtal_Prot#'!A:AL,10,FALSE)+8,1)</f>
        <v>I</v>
      </c>
      <c r="Z285" s="49" t="str">
        <f>MID(VLOOKUP($A285,Seqs!$A:$B,2,FALSE),VLOOKUP($A285,'SegEnds_NonXtal_Prot#'!A:AL,10,FALSE)+9,1)</f>
        <v>T</v>
      </c>
      <c r="AA285" s="49" t="str">
        <f>MID(VLOOKUP($A285,Seqs!$A:$B,2,FALSE),VLOOKUP($A285,'SegEnds_NonXtal_Prot#'!A:AL,10,FALSE)+10,1)</f>
        <v>N</v>
      </c>
      <c r="AB285" s="28" t="str">
        <f>MID(VLOOKUP($A285,Seqs!$A:$B,2,FALSE),VLOOKUP($A285,'SegEnds_NonXtal_Prot#'!$A:$AL,22,FALSE)+6,1)</f>
        <v>L</v>
      </c>
      <c r="AC285" s="49" t="str">
        <f>MID(VLOOKUP($A285,Seqs!$A:$B,2,FALSE),VLOOKUP($A285,'SegEnds_NonXtal_Prot#'!$A:$AL,22,FALSE)+7,1)</f>
        <v>G</v>
      </c>
      <c r="AD285" s="49" t="str">
        <f>MID(VLOOKUP($A285,Seqs!$A:$B,2,FALSE),VLOOKUP($A285,'SegEnds_NonXtal_Prot#'!$A:$AL,22,FALSE)+8,1)</f>
        <v>L</v>
      </c>
      <c r="AE285" s="49" t="str">
        <f>MID(VLOOKUP($A285,Seqs!$A:$B,2,FALSE),VLOOKUP($A285,'SegEnds_NonXtal_Prot#'!$A:$AL,22,FALSE)+9,1)</f>
        <v>L</v>
      </c>
      <c r="AF285" s="49" t="str">
        <f>MID(VLOOKUP($A285,Seqs!$A:$B,2,FALSE),VLOOKUP($A285,'SegEnds_NonXtal_Prot#'!$A:$AL,22,FALSE)+10,1)</f>
        <v>P</v>
      </c>
      <c r="AG285" s="28" t="str">
        <f>MID(VLOOKUP($A285,Seqs!$A:$B,2,FALSE),VLOOKUP($A285,'SegEnds_NonXtal_Prot#'!$A:$AL,28,FALSE)-4,1)</f>
        <v>S</v>
      </c>
      <c r="AH285" s="49" t="str">
        <f>MID(VLOOKUP($A285,Seqs!$A:$B,2,FALSE),VLOOKUP($A285,'SegEnds_NonXtal_Prot#'!$A:$AL,28,FALSE),1)</f>
        <v>M</v>
      </c>
    </row>
    <row r="286" spans="1:34" s="2" customFormat="1" x14ac:dyDescent="0.2">
      <c r="A286" s="2" t="s">
        <v>261</v>
      </c>
      <c r="B286" s="2" t="str">
        <f>LOWER(VLOOKUP(A286,Xtal_Templ!A:B,2,FALSE))</f>
        <v>s1pr1_human</v>
      </c>
      <c r="C286" s="2" t="str">
        <f>VLOOKUP(A286,Classification!A:D,2,FALSE)</f>
        <v>A</v>
      </c>
      <c r="D286" s="2" t="str">
        <f>IF(ISERROR(MATCH(A286,'SegEnds_Xtal_Prot#'!B:B, 0)), "NoXtal", "Xtal")</f>
        <v>NoXtal</v>
      </c>
      <c r="H286" s="4"/>
      <c r="T286" s="4" t="s">
        <v>12</v>
      </c>
      <c r="V286" s="28" t="str">
        <f>MID(VLOOKUP($A286,Seqs!$A:$B,2,FALSE),VLOOKUP($A286,'SegEnds_NonXtal_Prot#'!A:AL,10,FALSE),1)</f>
        <v>D</v>
      </c>
      <c r="W286" s="49" t="str">
        <f>MID(VLOOKUP($A286,Seqs!$A:$B,2,FALSE),VLOOKUP($A286,'SegEnds_NonXtal_Prot#'!A:AL,10,FALSE)+6,1)</f>
        <v>G</v>
      </c>
      <c r="X286" s="49" t="str">
        <f>MID(VLOOKUP($A286,Seqs!$A:$B,2,FALSE),VLOOKUP($A286,'SegEnds_NonXtal_Prot#'!A:AL,10,FALSE)+7,1)</f>
        <v>L</v>
      </c>
      <c r="Y286" s="49" t="str">
        <f>MID(VLOOKUP($A286,Seqs!$A:$B,2,FALSE),VLOOKUP($A286,'SegEnds_NonXtal_Prot#'!A:AL,10,FALSE)+8,1)</f>
        <v>I</v>
      </c>
      <c r="Z286" s="49" t="str">
        <f>MID(VLOOKUP($A286,Seqs!$A:$B,2,FALSE),VLOOKUP($A286,'SegEnds_NonXtal_Prot#'!A:AL,10,FALSE)+9,1)</f>
        <v>L</v>
      </c>
      <c r="AA286" s="49" t="str">
        <f>MID(VLOOKUP($A286,Seqs!$A:$B,2,FALSE),VLOOKUP($A286,'SegEnds_NonXtal_Prot#'!A:AL,10,FALSE)+10,1)</f>
        <v>H</v>
      </c>
      <c r="AB286" s="28" t="str">
        <f>MID(VLOOKUP($A286,Seqs!$A:$B,2,FALSE),VLOOKUP($A286,'SegEnds_NonXtal_Prot#'!$A:$AL,22,FALSE)+6,1)</f>
        <v>L</v>
      </c>
      <c r="AC286" s="49" t="str">
        <f>MID(VLOOKUP($A286,Seqs!$A:$B,2,FALSE),VLOOKUP($A286,'SegEnds_NonXtal_Prot#'!$A:$AL,22,FALSE)+7,1)</f>
        <v>G</v>
      </c>
      <c r="AD286" s="49" t="str">
        <f>MID(VLOOKUP($A286,Seqs!$A:$B,2,FALSE),VLOOKUP($A286,'SegEnds_NonXtal_Prot#'!$A:$AL,22,FALSE)+8,1)</f>
        <v>L</v>
      </c>
      <c r="AE286" s="49" t="str">
        <f>MID(VLOOKUP($A286,Seqs!$A:$B,2,FALSE),VLOOKUP($A286,'SegEnds_NonXtal_Prot#'!$A:$AL,22,FALSE)+9,1)</f>
        <v>L</v>
      </c>
      <c r="AF286" s="49" t="str">
        <f>MID(VLOOKUP($A286,Seqs!$A:$B,2,FALSE),VLOOKUP($A286,'SegEnds_NonXtal_Prot#'!$A:$AL,22,FALSE)+10,1)</f>
        <v>P</v>
      </c>
      <c r="AG286" s="28" t="str">
        <f>MID(VLOOKUP($A286,Seqs!$A:$B,2,FALSE),VLOOKUP($A286,'SegEnds_NonXtal_Prot#'!$A:$AL,28,FALSE)-4,1)</f>
        <v>A</v>
      </c>
      <c r="AH286" s="49" t="str">
        <f>MID(VLOOKUP($A286,Seqs!$A:$B,2,FALSE),VLOOKUP($A286,'SegEnds_NonXtal_Prot#'!$A:$AL,28,FALSE),1)</f>
        <v>V</v>
      </c>
    </row>
    <row r="287" spans="1:34" s="2" customFormat="1" x14ac:dyDescent="0.2">
      <c r="A287" s="2" t="s">
        <v>295</v>
      </c>
      <c r="B287" s="2" t="str">
        <f>LOWER(VLOOKUP(A287,Xtal_Templ!A:B,2,FALSE))</f>
        <v>lpar1_human</v>
      </c>
      <c r="C287" s="2" t="str">
        <f>VLOOKUP(A287,Classification!A:D,2,FALSE)</f>
        <v>A</v>
      </c>
      <c r="D287" s="2" t="str">
        <f>IF(ISERROR(MATCH(A287,'SegEnds_Xtal_Prot#'!B:B, 0)), "NoXtal", "Xtal")</f>
        <v>NoXtal</v>
      </c>
      <c r="H287" s="4"/>
      <c r="T287" s="4" t="s">
        <v>12</v>
      </c>
      <c r="V287" s="28" t="str">
        <f>MID(VLOOKUP($A287,Seqs!$A:$B,2,FALSE),VLOOKUP($A287,'SegEnds_NonXtal_Prot#'!A:AL,10,FALSE),1)</f>
        <v>D</v>
      </c>
      <c r="W287" s="49" t="str">
        <f>MID(VLOOKUP($A287,Seqs!$A:$B,2,FALSE),VLOOKUP($A287,'SegEnds_NonXtal_Prot#'!A:AL,10,FALSE)+6,1)</f>
        <v>S</v>
      </c>
      <c r="X287" s="49" t="str">
        <f>MID(VLOOKUP($A287,Seqs!$A:$B,2,FALSE),VLOOKUP($A287,'SegEnds_NonXtal_Prot#'!A:AL,10,FALSE)+7,1)</f>
        <v>N</v>
      </c>
      <c r="Y287" s="49" t="str">
        <f>MID(VLOOKUP($A287,Seqs!$A:$B,2,FALSE),VLOOKUP($A287,'SegEnds_NonXtal_Prot#'!A:AL,10,FALSE)+8,1)</f>
        <v>A</v>
      </c>
      <c r="Z287" s="49" t="str">
        <f>MID(VLOOKUP($A287,Seqs!$A:$B,2,FALSE),VLOOKUP($A287,'SegEnds_NonXtal_Prot#'!A:AL,10,FALSE)+9,1)</f>
        <v>L</v>
      </c>
      <c r="AA287" s="49" t="str">
        <f>MID(VLOOKUP($A287,Seqs!$A:$B,2,FALSE),VLOOKUP($A287,'SegEnds_NonXtal_Prot#'!A:AL,10,FALSE)+10,1)</f>
        <v>E</v>
      </c>
      <c r="AB287" s="28" t="str">
        <f>MID(VLOOKUP($A287,Seqs!$A:$B,2,FALSE),VLOOKUP($A287,'SegEnds_NonXtal_Prot#'!$A:$AL,22,FALSE)+6,1)</f>
        <v>C</v>
      </c>
      <c r="AC287" s="49" t="str">
        <f>MID(VLOOKUP($A287,Seqs!$A:$B,2,FALSE),VLOOKUP($A287,'SegEnds_NonXtal_Prot#'!$A:$AL,22,FALSE)+7,1)</f>
        <v>G</v>
      </c>
      <c r="AD287" s="49" t="str">
        <f>MID(VLOOKUP($A287,Seqs!$A:$B,2,FALSE),VLOOKUP($A287,'SegEnds_NonXtal_Prot#'!$A:$AL,22,FALSE)+8,1)</f>
        <v>V</v>
      </c>
      <c r="AE287" s="49" t="str">
        <f>MID(VLOOKUP($A287,Seqs!$A:$B,2,FALSE),VLOOKUP($A287,'SegEnds_NonXtal_Prot#'!$A:$AL,22,FALSE)+9,1)</f>
        <v>V</v>
      </c>
      <c r="AF287" s="49" t="str">
        <f>MID(VLOOKUP($A287,Seqs!$A:$B,2,FALSE),VLOOKUP($A287,'SegEnds_NonXtal_Prot#'!$A:$AL,22,FALSE)+10,1)</f>
        <v>F</v>
      </c>
      <c r="AG287" s="28" t="str">
        <f>MID(VLOOKUP($A287,Seqs!$A:$B,2,FALSE),VLOOKUP($A287,'SegEnds_NonXtal_Prot#'!$A:$AL,28,FALSE)-4,1)</f>
        <v>T</v>
      </c>
      <c r="AH287" s="49" t="str">
        <f>MID(VLOOKUP($A287,Seqs!$A:$B,2,FALSE),VLOOKUP($A287,'SegEnds_NonXtal_Prot#'!$A:$AL,28,FALSE),1)</f>
        <v>H</v>
      </c>
    </row>
    <row r="288" spans="1:34" s="2" customFormat="1" x14ac:dyDescent="0.2">
      <c r="A288" s="2" t="s">
        <v>296</v>
      </c>
      <c r="B288" s="2" t="str">
        <f>LOWER(VLOOKUP(A288,Xtal_Templ!A:B,2,FALSE))</f>
        <v>s1pr1_human</v>
      </c>
      <c r="C288" s="2" t="str">
        <f>VLOOKUP(A288,Classification!A:D,2,FALSE)</f>
        <v>A</v>
      </c>
      <c r="D288" s="2" t="str">
        <f>IF(ISERROR(MATCH(A288,'SegEnds_Xtal_Prot#'!B:B, 0)), "NoXtal", "Xtal")</f>
        <v>NoXtal</v>
      </c>
      <c r="H288" s="4"/>
      <c r="T288" s="4" t="s">
        <v>12</v>
      </c>
      <c r="V288" s="28" t="str">
        <f>MID(VLOOKUP($A288,Seqs!$A:$B,2,FALSE),VLOOKUP($A288,'SegEnds_NonXtal_Prot#'!A:AL,10,FALSE),1)</f>
        <v>D</v>
      </c>
      <c r="W288" s="49" t="str">
        <f>MID(VLOOKUP($A288,Seqs!$A:$B,2,FALSE),VLOOKUP($A288,'SegEnds_NonXtal_Prot#'!A:AL,10,FALSE)+6,1)</f>
        <v>S</v>
      </c>
      <c r="X288" s="49" t="str">
        <f>MID(VLOOKUP($A288,Seqs!$A:$B,2,FALSE),VLOOKUP($A288,'SegEnds_NonXtal_Prot#'!A:AL,10,FALSE)+7,1)</f>
        <v>N</v>
      </c>
      <c r="Y288" s="49" t="str">
        <f>MID(VLOOKUP($A288,Seqs!$A:$B,2,FALSE),VLOOKUP($A288,'SegEnds_NonXtal_Prot#'!A:AL,10,FALSE)+8,1)</f>
        <v>G</v>
      </c>
      <c r="Z288" s="49" t="str">
        <f>MID(VLOOKUP($A288,Seqs!$A:$B,2,FALSE),VLOOKUP($A288,'SegEnds_NonXtal_Prot#'!A:AL,10,FALSE)+9,1)</f>
        <v>S</v>
      </c>
      <c r="AA288" s="49" t="str">
        <f>MID(VLOOKUP($A288,Seqs!$A:$B,2,FALSE),VLOOKUP($A288,'SegEnds_NonXtal_Prot#'!A:AL,10,FALSE)+10,1)</f>
        <v>E</v>
      </c>
      <c r="AB288" s="28" t="str">
        <f>MID(VLOOKUP($A288,Seqs!$A:$B,2,FALSE),VLOOKUP($A288,'SegEnds_NonXtal_Prot#'!$A:$AL,22,FALSE)+6,1)</f>
        <v>S</v>
      </c>
      <c r="AC288" s="49" t="str">
        <f>MID(VLOOKUP($A288,Seqs!$A:$B,2,FALSE),VLOOKUP($A288,'SegEnds_NonXtal_Prot#'!$A:$AL,22,FALSE)+7,1)</f>
        <v>G</v>
      </c>
      <c r="AD288" s="49" t="str">
        <f>MID(VLOOKUP($A288,Seqs!$A:$B,2,FALSE),VLOOKUP($A288,'SegEnds_NonXtal_Prot#'!$A:$AL,22,FALSE)+8,1)</f>
        <v>I</v>
      </c>
      <c r="AE288" s="49" t="str">
        <f>MID(VLOOKUP($A288,Seqs!$A:$B,2,FALSE),VLOOKUP($A288,'SegEnds_NonXtal_Prot#'!$A:$AL,22,FALSE)+9,1)</f>
        <v>L</v>
      </c>
      <c r="AF288" s="49" t="str">
        <f>MID(VLOOKUP($A288,Seqs!$A:$B,2,FALSE),VLOOKUP($A288,'SegEnds_NonXtal_Prot#'!$A:$AL,22,FALSE)+10,1)</f>
        <v>F</v>
      </c>
      <c r="AG288" s="28" t="str">
        <f>MID(VLOOKUP($A288,Seqs!$A:$B,2,FALSE),VLOOKUP($A288,'SegEnds_NonXtal_Prot#'!$A:$AL,28,FALSE)-4,1)</f>
        <v>S</v>
      </c>
      <c r="AH288" s="49" t="str">
        <f>MID(VLOOKUP($A288,Seqs!$A:$B,2,FALSE),VLOOKUP($A288,'SegEnds_NonXtal_Prot#'!$A:$AL,28,FALSE),1)</f>
        <v>H</v>
      </c>
    </row>
    <row r="289" spans="1:34" s="2" customFormat="1" x14ac:dyDescent="0.2">
      <c r="A289" s="2" t="s">
        <v>308</v>
      </c>
      <c r="B289" s="2" t="str">
        <f>LOWER(VLOOKUP(A289,Xtal_Templ!A:B,2,FALSE))</f>
        <v>s1pr1_human</v>
      </c>
      <c r="C289" s="2" t="str">
        <f>VLOOKUP(A289,Classification!A:D,2,FALSE)</f>
        <v>A</v>
      </c>
      <c r="D289" s="2" t="str">
        <f>IF(ISERROR(MATCH(A289,'SegEnds_Xtal_Prot#'!B:B, 0)), "NoXtal", "Xtal")</f>
        <v>NoXtal</v>
      </c>
      <c r="H289" s="4"/>
      <c r="T289" s="4" t="s">
        <v>12</v>
      </c>
      <c r="V289" s="28" t="str">
        <f>MID(VLOOKUP($A289,Seqs!$A:$B,2,FALSE),VLOOKUP($A289,'SegEnds_NonXtal_Prot#'!A:AL,10,FALSE),1)</f>
        <v>D</v>
      </c>
      <c r="W289" s="49" t="str">
        <f>MID(VLOOKUP($A289,Seqs!$A:$B,2,FALSE),VLOOKUP($A289,'SegEnds_NonXtal_Prot#'!A:AL,10,FALSE)+6,1)</f>
        <v>S</v>
      </c>
      <c r="X289" s="49" t="str">
        <f>MID(VLOOKUP($A289,Seqs!$A:$B,2,FALSE),VLOOKUP($A289,'SegEnds_NonXtal_Prot#'!A:AL,10,FALSE)+7,1)</f>
        <v>N</v>
      </c>
      <c r="Y289" s="49" t="str">
        <f>MID(VLOOKUP($A289,Seqs!$A:$B,2,FALSE),VLOOKUP($A289,'SegEnds_NonXtal_Prot#'!A:AL,10,FALSE)+8,1)</f>
        <v>V</v>
      </c>
      <c r="Z289" s="49" t="str">
        <f>MID(VLOOKUP($A289,Seqs!$A:$B,2,FALSE),VLOOKUP($A289,'SegEnds_NonXtal_Prot#'!A:AL,10,FALSE)+9,1)</f>
        <v>L</v>
      </c>
      <c r="AA289" s="49" t="str">
        <f>MID(VLOOKUP($A289,Seqs!$A:$B,2,FALSE),VLOOKUP($A289,'SegEnds_NonXtal_Prot#'!A:AL,10,FALSE)+10,1)</f>
        <v>E</v>
      </c>
      <c r="AB289" s="28" t="str">
        <f>MID(VLOOKUP($A289,Seqs!$A:$B,2,FALSE),VLOOKUP($A289,'SegEnds_NonXtal_Prot#'!$A:$AL,22,FALSE)+6,1)</f>
        <v>F</v>
      </c>
      <c r="AC289" s="49" t="str">
        <f>MID(VLOOKUP($A289,Seqs!$A:$B,2,FALSE),VLOOKUP($A289,'SegEnds_NonXtal_Prot#'!$A:$AL,22,FALSE)+7,1)</f>
        <v>S</v>
      </c>
      <c r="AD289" s="49" t="str">
        <f>MID(VLOOKUP($A289,Seqs!$A:$B,2,FALSE),VLOOKUP($A289,'SegEnds_NonXtal_Prot#'!$A:$AL,22,FALSE)+8,1)</f>
        <v>T</v>
      </c>
      <c r="AE289" s="49" t="str">
        <f>MID(VLOOKUP($A289,Seqs!$A:$B,2,FALSE),VLOOKUP($A289,'SegEnds_NonXtal_Prot#'!$A:$AL,22,FALSE)+9,1)</f>
        <v>L</v>
      </c>
      <c r="AF289" s="49" t="str">
        <f>MID(VLOOKUP($A289,Seqs!$A:$B,2,FALSE),VLOOKUP($A289,'SegEnds_NonXtal_Prot#'!$A:$AL,22,FALSE)+10,1)</f>
        <v>F</v>
      </c>
      <c r="AG289" s="28" t="str">
        <f>MID(VLOOKUP($A289,Seqs!$A:$B,2,FALSE),VLOOKUP($A289,'SegEnds_NonXtal_Prot#'!$A:$AL,28,FALSE)-4,1)</f>
        <v>V</v>
      </c>
      <c r="AH289" s="49" t="str">
        <f>MID(VLOOKUP($A289,Seqs!$A:$B,2,FALSE),VLOOKUP($A289,'SegEnds_NonXtal_Prot#'!$A:$AL,28,FALSE),1)</f>
        <v>H</v>
      </c>
    </row>
    <row r="290" spans="1:34" s="2" customFormat="1" x14ac:dyDescent="0.2">
      <c r="A290" s="2" t="s">
        <v>362</v>
      </c>
      <c r="B290" s="2" t="str">
        <f>LOWER(VLOOKUP(A290,Xtal_Templ!A:B,2,FALSE))</f>
        <v>pe2r3_human</v>
      </c>
      <c r="C290" s="2" t="str">
        <f>VLOOKUP(A290,Classification!A:D,2,FALSE)</f>
        <v>A</v>
      </c>
      <c r="D290" s="2" t="str">
        <f>IF(ISERROR(MATCH(A290,'SegEnds_Xtal_Prot#'!B:B, 0)), "NoXtal", "Xtal")</f>
        <v>Xtal</v>
      </c>
      <c r="G290" s="2" t="s">
        <v>5</v>
      </c>
      <c r="H290" s="4"/>
      <c r="T290" s="4" t="s">
        <v>12</v>
      </c>
      <c r="V290" s="28" t="str">
        <f>MID(VLOOKUP($A290,Seqs!$A:$B,2,FALSE),VLOOKUP($A290,'SegEnds_NonXtal_Prot#'!A:AL,10,FALSE),1)</f>
        <v>D</v>
      </c>
      <c r="W290" s="49" t="str">
        <f>MID(VLOOKUP($A290,Seqs!$A:$B,2,FALSE),VLOOKUP($A290,'SegEnds_NonXtal_Prot#'!A:AL,10,FALSE)+6,1)</f>
        <v>L</v>
      </c>
      <c r="X290" s="49" t="str">
        <f>MID(VLOOKUP($A290,Seqs!$A:$B,2,FALSE),VLOOKUP($A290,'SegEnds_NonXtal_Prot#'!A:AL,10,FALSE)+7,1)</f>
        <v>T</v>
      </c>
      <c r="Y290" s="49" t="str">
        <f>MID(VLOOKUP($A290,Seqs!$A:$B,2,FALSE),VLOOKUP($A290,'SegEnds_NonXtal_Prot#'!A:AL,10,FALSE)+8,1)</f>
        <v>T</v>
      </c>
      <c r="Z290" s="49" t="str">
        <f>MID(VLOOKUP($A290,Seqs!$A:$B,2,FALSE),VLOOKUP($A290,'SegEnds_NonXtal_Prot#'!A:AL,10,FALSE)+9,1)</f>
        <v>P</v>
      </c>
      <c r="AA290" s="49" t="str">
        <f>MID(VLOOKUP($A290,Seqs!$A:$B,2,FALSE),VLOOKUP($A290,'SegEnds_NonXtal_Prot#'!A:AL,10,FALSE)+10,1)</f>
        <v>V</v>
      </c>
      <c r="AB290" s="28" t="str">
        <f>MID(VLOOKUP($A290,Seqs!$A:$B,2,FALSE),VLOOKUP($A290,'SegEnds_NonXtal_Prot#'!$A:$AL,22,FALSE)+6,1)</f>
        <v>F</v>
      </c>
      <c r="AC290" s="49" t="str">
        <f>MID(VLOOKUP($A290,Seqs!$A:$B,2,FALSE),VLOOKUP($A290,'SegEnds_NonXtal_Prot#'!$A:$AL,22,FALSE)+7,1)</f>
        <v>A</v>
      </c>
      <c r="AD290" s="49" t="str">
        <f>MID(VLOOKUP($A290,Seqs!$A:$B,2,FALSE),VLOOKUP($A290,'SegEnds_NonXtal_Prot#'!$A:$AL,22,FALSE)+8,1)</f>
        <v>L</v>
      </c>
      <c r="AE290" s="49" t="str">
        <f>MID(VLOOKUP($A290,Seqs!$A:$B,2,FALSE),VLOOKUP($A290,'SegEnds_NonXtal_Prot#'!$A:$AL,22,FALSE)+9,1)</f>
        <v>L</v>
      </c>
      <c r="AF290" s="49" t="str">
        <f>MID(VLOOKUP($A290,Seqs!$A:$B,2,FALSE),VLOOKUP($A290,'SegEnds_NonXtal_Prot#'!$A:$AL,22,FALSE)+10,1)</f>
        <v>P</v>
      </c>
      <c r="AG290" s="28" t="str">
        <f>MID(VLOOKUP($A290,Seqs!$A:$B,2,FALSE),VLOOKUP($A290,'SegEnds_NonXtal_Prot#'!$A:$AL,28,FALSE)-4,1)</f>
        <v>L</v>
      </c>
      <c r="AH290" s="49" t="str">
        <f>MID(VLOOKUP($A290,Seqs!$A:$B,2,FALSE),VLOOKUP($A290,'SegEnds_NonXtal_Prot#'!$A:$AL,28,FALSE),1)</f>
        <v>A</v>
      </c>
    </row>
    <row r="291" spans="1:34" s="2" customFormat="1" x14ac:dyDescent="0.2">
      <c r="A291" s="2" t="s">
        <v>104</v>
      </c>
      <c r="B291" s="2" t="str">
        <f>LOWER(VLOOKUP(A291,Xtal_Templ!A:B,2,FALSE))</f>
        <v>s1pr1_human</v>
      </c>
      <c r="C291" s="2" t="str">
        <f>VLOOKUP(A291,Classification!A:D,2,FALSE)</f>
        <v>A</v>
      </c>
      <c r="D291" s="2" t="str">
        <f>IF(ISERROR(MATCH(A291,'SegEnds_Xtal_Prot#'!B:B, 0)), "NoXtal", "Xtal")</f>
        <v>Xtal</v>
      </c>
      <c r="H291" s="4"/>
      <c r="I291" s="2" t="s">
        <v>21</v>
      </c>
      <c r="T291" s="4" t="s">
        <v>12</v>
      </c>
      <c r="V291" s="28" t="str">
        <f>MID(VLOOKUP($A291,Seqs!$A:$B,2,FALSE),VLOOKUP($A291,'SegEnds_NonXtal_Prot#'!A:AL,10,FALSE),1)</f>
        <v>D</v>
      </c>
      <c r="W291" s="49" t="str">
        <f>MID(VLOOKUP($A291,Seqs!$A:$B,2,FALSE),VLOOKUP($A291,'SegEnds_NonXtal_Prot#'!A:AL,10,FALSE)+6,1)</f>
        <v>A</v>
      </c>
      <c r="X291" s="49" t="str">
        <f>MID(VLOOKUP($A291,Seqs!$A:$B,2,FALSE),VLOOKUP($A291,'SegEnds_NonXtal_Prot#'!A:AL,10,FALSE)+7,1)</f>
        <v>Y</v>
      </c>
      <c r="Y291" s="49" t="str">
        <f>MID(VLOOKUP($A291,Seqs!$A:$B,2,FALSE),VLOOKUP($A291,'SegEnds_NonXtal_Prot#'!A:AL,10,FALSE)+8,1)</f>
        <v>T</v>
      </c>
      <c r="Z291" s="49" t="str">
        <f>MID(VLOOKUP($A291,Seqs!$A:$B,2,FALSE),VLOOKUP($A291,'SegEnds_NonXtal_Prot#'!A:AL,10,FALSE)+9,1)</f>
        <v>A</v>
      </c>
      <c r="AA291" s="49" t="str">
        <f>MID(VLOOKUP($A291,Seqs!$A:$B,2,FALSE),VLOOKUP($A291,'SegEnds_NonXtal_Prot#'!A:AL,10,FALSE)+10,1)</f>
        <v>N</v>
      </c>
      <c r="AB291" s="28" t="str">
        <f>MID(VLOOKUP($A291,Seqs!$A:$B,2,FALSE),VLOOKUP($A291,'SegEnds_NonXtal_Prot#'!$A:$AL,22,FALSE)+6,1)</f>
        <v>L</v>
      </c>
      <c r="AC291" s="49" t="str">
        <f>MID(VLOOKUP($A291,Seqs!$A:$B,2,FALSE),VLOOKUP($A291,'SegEnds_NonXtal_Prot#'!$A:$AL,22,FALSE)+7,1)</f>
        <v>G</v>
      </c>
      <c r="AD291" s="49" t="str">
        <f>MID(VLOOKUP($A291,Seqs!$A:$B,2,FALSE),VLOOKUP($A291,'SegEnds_NonXtal_Prot#'!$A:$AL,22,FALSE)+8,1)</f>
        <v>G</v>
      </c>
      <c r="AE291" s="49" t="str">
        <f>MID(VLOOKUP($A291,Seqs!$A:$B,2,FALSE),VLOOKUP($A291,'SegEnds_NonXtal_Prot#'!$A:$AL,22,FALSE)+9,1)</f>
        <v>L</v>
      </c>
      <c r="AF291" s="49" t="str">
        <f>MID(VLOOKUP($A291,Seqs!$A:$B,2,FALSE),VLOOKUP($A291,'SegEnds_NonXtal_Prot#'!$A:$AL,22,FALSE)+10,1)</f>
        <v>P</v>
      </c>
      <c r="AG291" s="28" t="str">
        <f>MID(VLOOKUP($A291,Seqs!$A:$B,2,FALSE),VLOOKUP($A291,'SegEnds_NonXtal_Prot#'!$A:$AL,28,FALSE)-4,1)</f>
        <v>V</v>
      </c>
      <c r="AH291" s="49" t="str">
        <f>MID(VLOOKUP($A291,Seqs!$A:$B,2,FALSE),VLOOKUP($A291,'SegEnds_NonXtal_Prot#'!$A:$AL,28,FALSE),1)</f>
        <v>L</v>
      </c>
    </row>
    <row r="292" spans="1:34" s="2" customFormat="1" x14ac:dyDescent="0.2">
      <c r="A292" s="2" t="s">
        <v>376</v>
      </c>
      <c r="B292" s="2" t="str">
        <f>LOWER(VLOOKUP(A292,Xtal_Templ!A:B,2,FALSE))</f>
        <v>s1pr1_human</v>
      </c>
      <c r="C292" s="2" t="str">
        <f>VLOOKUP(A292,Classification!A:D,2,FALSE)</f>
        <v>A</v>
      </c>
      <c r="D292" s="2" t="str">
        <f>IF(ISERROR(MATCH(A292,'SegEnds_Xtal_Prot#'!B:B, 0)), "NoXtal", "Xtal")</f>
        <v>NoXtal</v>
      </c>
      <c r="H292" s="4"/>
      <c r="I292" s="2" t="s">
        <v>21</v>
      </c>
      <c r="T292" s="4" t="s">
        <v>12</v>
      </c>
      <c r="V292" s="28" t="str">
        <f>MID(VLOOKUP($A292,Seqs!$A:$B,2,FALSE),VLOOKUP($A292,'SegEnds_NonXtal_Prot#'!A:AL,10,FALSE),1)</f>
        <v>D</v>
      </c>
      <c r="W292" s="49" t="str">
        <f>MID(VLOOKUP($A292,Seqs!$A:$B,2,FALSE),VLOOKUP($A292,'SegEnds_NonXtal_Prot#'!A:AL,10,FALSE)+6,1)</f>
        <v>A</v>
      </c>
      <c r="X292" s="49" t="str">
        <f>MID(VLOOKUP($A292,Seqs!$A:$B,2,FALSE),VLOOKUP($A292,'SegEnds_NonXtal_Prot#'!A:AL,10,FALSE)+7,1)</f>
        <v>F</v>
      </c>
      <c r="Y292" s="49" t="str">
        <f>MID(VLOOKUP($A292,Seqs!$A:$B,2,FALSE),VLOOKUP($A292,'SegEnds_NonXtal_Prot#'!A:AL,10,FALSE)+8,1)</f>
        <v>V</v>
      </c>
      <c r="Z292" s="49" t="str">
        <f>MID(VLOOKUP($A292,Seqs!$A:$B,2,FALSE),VLOOKUP($A292,'SegEnds_NonXtal_Prot#'!A:AL,10,FALSE)+9,1)</f>
        <v>A</v>
      </c>
      <c r="AA292" s="49" t="str">
        <f>MID(VLOOKUP($A292,Seqs!$A:$B,2,FALSE),VLOOKUP($A292,'SegEnds_NonXtal_Prot#'!A:AL,10,FALSE)+10,1)</f>
        <v>N</v>
      </c>
      <c r="AB292" s="28" t="str">
        <f>MID(VLOOKUP($A292,Seqs!$A:$B,2,FALSE),VLOOKUP($A292,'SegEnds_NonXtal_Prot#'!$A:$AL,22,FALSE)+6,1)</f>
        <v>L</v>
      </c>
      <c r="AC292" s="49" t="str">
        <f>MID(VLOOKUP($A292,Seqs!$A:$B,2,FALSE),VLOOKUP($A292,'SegEnds_NonXtal_Prot#'!$A:$AL,22,FALSE)+7,1)</f>
        <v>G</v>
      </c>
      <c r="AD292" s="49" t="str">
        <f>MID(VLOOKUP($A292,Seqs!$A:$B,2,FALSE),VLOOKUP($A292,'SegEnds_NonXtal_Prot#'!$A:$AL,22,FALSE)+8,1)</f>
        <v>G</v>
      </c>
      <c r="AE292" s="49" t="str">
        <f>MID(VLOOKUP($A292,Seqs!$A:$B,2,FALSE),VLOOKUP($A292,'SegEnds_NonXtal_Prot#'!$A:$AL,22,FALSE)+9,1)</f>
        <v>L</v>
      </c>
      <c r="AF292" s="49" t="str">
        <f>MID(VLOOKUP($A292,Seqs!$A:$B,2,FALSE),VLOOKUP($A292,'SegEnds_NonXtal_Prot#'!$A:$AL,22,FALSE)+10,1)</f>
        <v>P</v>
      </c>
      <c r="AG292" s="28" t="str">
        <f>MID(VLOOKUP($A292,Seqs!$A:$B,2,FALSE),VLOOKUP($A292,'SegEnds_NonXtal_Prot#'!$A:$AL,28,FALSE)-4,1)</f>
        <v>I</v>
      </c>
      <c r="AH292" s="49" t="str">
        <f>MID(VLOOKUP($A292,Seqs!$A:$B,2,FALSE),VLOOKUP($A292,'SegEnds_NonXtal_Prot#'!$A:$AL,28,FALSE),1)</f>
        <v>I</v>
      </c>
    </row>
    <row r="293" spans="1:34" s="2" customFormat="1" x14ac:dyDescent="0.2">
      <c r="A293" s="2" t="s">
        <v>377</v>
      </c>
      <c r="B293" s="2" t="str">
        <f>LOWER(VLOOKUP(A293,Xtal_Templ!A:B,2,FALSE))</f>
        <v>s1pr1_human</v>
      </c>
      <c r="C293" s="2" t="str">
        <f>VLOOKUP(A293,Classification!A:D,2,FALSE)</f>
        <v>A</v>
      </c>
      <c r="D293" s="2" t="str">
        <f>IF(ISERROR(MATCH(A293,'SegEnds_Xtal_Prot#'!B:B, 0)), "NoXtal", "Xtal")</f>
        <v>NoXtal</v>
      </c>
      <c r="H293" s="4"/>
      <c r="I293" s="2" t="s">
        <v>21</v>
      </c>
      <c r="T293" s="4" t="s">
        <v>12</v>
      </c>
      <c r="V293" s="28" t="str">
        <f>MID(VLOOKUP($A293,Seqs!$A:$B,2,FALSE),VLOOKUP($A293,'SegEnds_NonXtal_Prot#'!A:AL,10,FALSE),1)</f>
        <v>D</v>
      </c>
      <c r="W293" s="49" t="str">
        <f>MID(VLOOKUP($A293,Seqs!$A:$B,2,FALSE),VLOOKUP($A293,'SegEnds_NonXtal_Prot#'!A:AL,10,FALSE)+6,1)</f>
        <v>A</v>
      </c>
      <c r="X293" s="49" t="str">
        <f>MID(VLOOKUP($A293,Seqs!$A:$B,2,FALSE),VLOOKUP($A293,'SegEnds_NonXtal_Prot#'!A:AL,10,FALSE)+7,1)</f>
        <v>Y</v>
      </c>
      <c r="Y293" s="49" t="str">
        <f>MID(VLOOKUP($A293,Seqs!$A:$B,2,FALSE),VLOOKUP($A293,'SegEnds_NonXtal_Prot#'!A:AL,10,FALSE)+8,1)</f>
        <v>K</v>
      </c>
      <c r="Z293" s="49" t="str">
        <f>MID(VLOOKUP($A293,Seqs!$A:$B,2,FALSE),VLOOKUP($A293,'SegEnds_NonXtal_Prot#'!A:AL,10,FALSE)+9,1)</f>
        <v>V</v>
      </c>
      <c r="AA293" s="49" t="str">
        <f>MID(VLOOKUP($A293,Seqs!$A:$B,2,FALSE),VLOOKUP($A293,'SegEnds_NonXtal_Prot#'!A:AL,10,FALSE)+10,1)</f>
        <v>N</v>
      </c>
      <c r="AB293" s="28" t="str">
        <f>MID(VLOOKUP($A293,Seqs!$A:$B,2,FALSE),VLOOKUP($A293,'SegEnds_NonXtal_Prot#'!$A:$AL,22,FALSE)+6,1)</f>
        <v>L</v>
      </c>
      <c r="AC293" s="49" t="str">
        <f>MID(VLOOKUP($A293,Seqs!$A:$B,2,FALSE),VLOOKUP($A293,'SegEnds_NonXtal_Prot#'!$A:$AL,22,FALSE)+7,1)</f>
        <v>G</v>
      </c>
      <c r="AD293" s="49" t="str">
        <f>MID(VLOOKUP($A293,Seqs!$A:$B,2,FALSE),VLOOKUP($A293,'SegEnds_NonXtal_Prot#'!$A:$AL,22,FALSE)+8,1)</f>
        <v>A</v>
      </c>
      <c r="AE293" s="49" t="str">
        <f>MID(VLOOKUP($A293,Seqs!$A:$B,2,FALSE),VLOOKUP($A293,'SegEnds_NonXtal_Prot#'!$A:$AL,22,FALSE)+9,1)</f>
        <v>L</v>
      </c>
      <c r="AF293" s="49" t="str">
        <f>MID(VLOOKUP($A293,Seqs!$A:$B,2,FALSE),VLOOKUP($A293,'SegEnds_NonXtal_Prot#'!$A:$AL,22,FALSE)+10,1)</f>
        <v>P</v>
      </c>
      <c r="AG293" s="28" t="str">
        <f>MID(VLOOKUP($A293,Seqs!$A:$B,2,FALSE),VLOOKUP($A293,'SegEnds_NonXtal_Prot#'!$A:$AL,28,FALSE)-4,1)</f>
        <v>I</v>
      </c>
      <c r="AH293" s="49" t="str">
        <f>MID(VLOOKUP($A293,Seqs!$A:$B,2,FALSE),VLOOKUP($A293,'SegEnds_NonXtal_Prot#'!$A:$AL,28,FALSE),1)</f>
        <v>I</v>
      </c>
    </row>
    <row r="294" spans="1:34" s="2" customFormat="1" x14ac:dyDescent="0.2">
      <c r="A294" s="2" t="s">
        <v>378</v>
      </c>
      <c r="B294" s="2" t="str">
        <f>LOWER(VLOOKUP(A294,Xtal_Templ!A:B,2,FALSE))</f>
        <v>s1pr1_human</v>
      </c>
      <c r="C294" s="2" t="str">
        <f>VLOOKUP(A294,Classification!A:D,2,FALSE)</f>
        <v>A</v>
      </c>
      <c r="D294" s="2" t="str">
        <f>IF(ISERROR(MATCH(A294,'SegEnds_Xtal_Prot#'!B:B, 0)), "NoXtal", "Xtal")</f>
        <v>NoXtal</v>
      </c>
      <c r="H294" s="4"/>
      <c r="I294" s="2" t="s">
        <v>21</v>
      </c>
      <c r="T294" s="4" t="s">
        <v>12</v>
      </c>
      <c r="V294" s="28" t="str">
        <f>MID(VLOOKUP($A294,Seqs!$A:$B,2,FALSE),VLOOKUP($A294,'SegEnds_NonXtal_Prot#'!A:AL,10,FALSE),1)</f>
        <v>D</v>
      </c>
      <c r="W294" s="49" t="str">
        <f>MID(VLOOKUP($A294,Seqs!$A:$B,2,FALSE),VLOOKUP($A294,'SegEnds_NonXtal_Prot#'!A:AL,10,FALSE)+6,1)</f>
        <v>A</v>
      </c>
      <c r="X294" s="49" t="str">
        <f>MID(VLOOKUP($A294,Seqs!$A:$B,2,FALSE),VLOOKUP($A294,'SegEnds_NonXtal_Prot#'!A:AL,10,FALSE)+7,1)</f>
        <v>Y</v>
      </c>
      <c r="Y294" s="49" t="str">
        <f>MID(VLOOKUP($A294,Seqs!$A:$B,2,FALSE),VLOOKUP($A294,'SegEnds_NonXtal_Prot#'!A:AL,10,FALSE)+8,1)</f>
        <v>L</v>
      </c>
      <c r="Z294" s="49" t="str">
        <f>MID(VLOOKUP($A294,Seqs!$A:$B,2,FALSE),VLOOKUP($A294,'SegEnds_NonXtal_Prot#'!A:AL,10,FALSE)+9,1)</f>
        <v>A</v>
      </c>
      <c r="AA294" s="49" t="str">
        <f>MID(VLOOKUP($A294,Seqs!$A:$B,2,FALSE),VLOOKUP($A294,'SegEnds_NonXtal_Prot#'!A:AL,10,FALSE)+10,1)</f>
        <v>N</v>
      </c>
      <c r="AB294" s="28" t="str">
        <f>MID(VLOOKUP($A294,Seqs!$A:$B,2,FALSE),VLOOKUP($A294,'SegEnds_NonXtal_Prot#'!$A:$AL,22,FALSE)+6,1)</f>
        <v>L</v>
      </c>
      <c r="AC294" s="49" t="str">
        <f>MID(VLOOKUP($A294,Seqs!$A:$B,2,FALSE),VLOOKUP($A294,'SegEnds_NonXtal_Prot#'!$A:$AL,22,FALSE)+7,1)</f>
        <v>G</v>
      </c>
      <c r="AD294" s="49" t="str">
        <f>MID(VLOOKUP($A294,Seqs!$A:$B,2,FALSE),VLOOKUP($A294,'SegEnds_NonXtal_Prot#'!$A:$AL,22,FALSE)+8,1)</f>
        <v>M</v>
      </c>
      <c r="AE294" s="49" t="str">
        <f>MID(VLOOKUP($A294,Seqs!$A:$B,2,FALSE),VLOOKUP($A294,'SegEnds_NonXtal_Prot#'!$A:$AL,22,FALSE)+9,1)</f>
        <v>L</v>
      </c>
      <c r="AF294" s="49" t="str">
        <f>MID(VLOOKUP($A294,Seqs!$A:$B,2,FALSE),VLOOKUP($A294,'SegEnds_NonXtal_Prot#'!$A:$AL,22,FALSE)+10,1)</f>
        <v>P</v>
      </c>
      <c r="AG294" s="28" t="str">
        <f>MID(VLOOKUP($A294,Seqs!$A:$B,2,FALSE),VLOOKUP($A294,'SegEnds_NonXtal_Prot#'!$A:$AL,28,FALSE)-4,1)</f>
        <v>I</v>
      </c>
      <c r="AH294" s="49" t="str">
        <f>MID(VLOOKUP($A294,Seqs!$A:$B,2,FALSE),VLOOKUP($A294,'SegEnds_NonXtal_Prot#'!$A:$AL,28,FALSE),1)</f>
        <v>V</v>
      </c>
    </row>
    <row r="295" spans="1:34" s="2" customFormat="1" x14ac:dyDescent="0.2">
      <c r="A295" s="2" t="s">
        <v>379</v>
      </c>
      <c r="B295" s="2" t="str">
        <f>LOWER(VLOOKUP(A295,Xtal_Templ!A:B,2,FALSE))</f>
        <v>s1pr1_human</v>
      </c>
      <c r="C295" s="2" t="str">
        <f>VLOOKUP(A295,Classification!A:D,2,FALSE)</f>
        <v>A</v>
      </c>
      <c r="D295" s="2" t="str">
        <f>IF(ISERROR(MATCH(A295,'SegEnds_Xtal_Prot#'!B:B, 0)), "NoXtal", "Xtal")</f>
        <v>NoXtal</v>
      </c>
      <c r="H295" s="4"/>
      <c r="I295" s="2" t="s">
        <v>21</v>
      </c>
      <c r="T295" s="4" t="s">
        <v>12</v>
      </c>
      <c r="V295" s="28" t="str">
        <f>MID(VLOOKUP($A295,Seqs!$A:$B,2,FALSE),VLOOKUP($A295,'SegEnds_NonXtal_Prot#'!A:AL,10,FALSE),1)</f>
        <v>D</v>
      </c>
      <c r="W295" s="49" t="str">
        <f>MID(VLOOKUP($A295,Seqs!$A:$B,2,FALSE),VLOOKUP($A295,'SegEnds_NonXtal_Prot#'!A:AL,10,FALSE)+6,1)</f>
        <v>A</v>
      </c>
      <c r="X295" s="49" t="str">
        <f>MID(VLOOKUP($A295,Seqs!$A:$B,2,FALSE),VLOOKUP($A295,'SegEnds_NonXtal_Prot#'!A:AL,10,FALSE)+7,1)</f>
        <v>Y</v>
      </c>
      <c r="Y295" s="49" t="str">
        <f>MID(VLOOKUP($A295,Seqs!$A:$B,2,FALSE),VLOOKUP($A295,'SegEnds_NonXtal_Prot#'!A:AL,10,FALSE)+8,1)</f>
        <v>A</v>
      </c>
      <c r="Z295" s="49" t="str">
        <f>MID(VLOOKUP($A295,Seqs!$A:$B,2,FALSE),VLOOKUP($A295,'SegEnds_NonXtal_Prot#'!A:AL,10,FALSE)+9,1)</f>
        <v>A</v>
      </c>
      <c r="AA295" s="49" t="str">
        <f>MID(VLOOKUP($A295,Seqs!$A:$B,2,FALSE),VLOOKUP($A295,'SegEnds_NonXtal_Prot#'!A:AL,10,FALSE)+10,1)</f>
        <v>N</v>
      </c>
      <c r="AB295" s="28" t="str">
        <f>MID(VLOOKUP($A295,Seqs!$A:$B,2,FALSE),VLOOKUP($A295,'SegEnds_NonXtal_Prot#'!$A:$AL,22,FALSE)+6,1)</f>
        <v>L</v>
      </c>
      <c r="AC295" s="49" t="str">
        <f>MID(VLOOKUP($A295,Seqs!$A:$B,2,FALSE),VLOOKUP($A295,'SegEnds_NonXtal_Prot#'!$A:$AL,22,FALSE)+7,1)</f>
        <v>G</v>
      </c>
      <c r="AD295" s="49" t="str">
        <f>MID(VLOOKUP($A295,Seqs!$A:$B,2,FALSE),VLOOKUP($A295,'SegEnds_NonXtal_Prot#'!$A:$AL,22,FALSE)+8,1)</f>
        <v>L</v>
      </c>
      <c r="AE295" s="49" t="str">
        <f>MID(VLOOKUP($A295,Seqs!$A:$B,2,FALSE),VLOOKUP($A295,'SegEnds_NonXtal_Prot#'!$A:$AL,22,FALSE)+9,1)</f>
        <v>L</v>
      </c>
      <c r="AF295" s="49" t="str">
        <f>MID(VLOOKUP($A295,Seqs!$A:$B,2,FALSE),VLOOKUP($A295,'SegEnds_NonXtal_Prot#'!$A:$AL,22,FALSE)+10,1)</f>
        <v>P</v>
      </c>
      <c r="AG295" s="28" t="str">
        <f>MID(VLOOKUP($A295,Seqs!$A:$B,2,FALSE),VLOOKUP($A295,'SegEnds_NonXtal_Prot#'!$A:$AL,28,FALSE)-4,1)</f>
        <v>A</v>
      </c>
      <c r="AH295" s="49" t="str">
        <f>MID(VLOOKUP($A295,Seqs!$A:$B,2,FALSE),VLOOKUP($A295,'SegEnds_NonXtal_Prot#'!$A:$AL,28,FALSE),1)</f>
        <v>I</v>
      </c>
    </row>
    <row r="296" spans="1:34" s="2" customFormat="1" x14ac:dyDescent="0.2">
      <c r="A296" s="2" t="s">
        <v>467</v>
      </c>
      <c r="B296" s="2" t="str">
        <f>LOWER(VLOOKUP(A296,Xtal_Templ!A:B,2,FALSE))</f>
        <v>ta2r_human</v>
      </c>
      <c r="C296" s="2" t="str">
        <f>VLOOKUP(A296,Classification!A:D,2,FALSE)</f>
        <v>A</v>
      </c>
      <c r="D296" s="2" t="str">
        <f>IF(ISERROR(MATCH(A296,'SegEnds_Xtal_Prot#'!B:B, 0)), "NoXtal", "Xtal")</f>
        <v>Xtal</v>
      </c>
      <c r="G296" s="2" t="s">
        <v>5</v>
      </c>
      <c r="H296" s="4"/>
      <c r="I296" s="2" t="s">
        <v>21</v>
      </c>
      <c r="S296" s="2" t="s">
        <v>1316</v>
      </c>
      <c r="T296" s="4" t="s">
        <v>12</v>
      </c>
      <c r="V296" s="28" t="str">
        <f>MID(VLOOKUP($A296,Seqs!$A:$B,2,FALSE),VLOOKUP($A296,'SegEnds_NonXtal_Prot#'!A:AL,10,FALSE),1)</f>
        <v>D</v>
      </c>
      <c r="W296" s="49" t="str">
        <f>MID(VLOOKUP($A296,Seqs!$A:$B,2,FALSE),VLOOKUP($A296,'SegEnds_NonXtal_Prot#'!A:AL,10,FALSE)+6,1)</f>
        <v>V</v>
      </c>
      <c r="X296" s="49" t="str">
        <f>MID(VLOOKUP($A296,Seqs!$A:$B,2,FALSE),VLOOKUP($A296,'SegEnds_NonXtal_Prot#'!A:AL,10,FALSE)+7,1)</f>
        <v>T</v>
      </c>
      <c r="Y296" s="49" t="str">
        <f>MID(VLOOKUP($A296,Seqs!$A:$B,2,FALSE),VLOOKUP($A296,'SegEnds_NonXtal_Prot#'!A:AL,10,FALSE)+8,1)</f>
        <v>G</v>
      </c>
      <c r="Z296" s="49" t="str">
        <f>MID(VLOOKUP($A296,Seqs!$A:$B,2,FALSE),VLOOKUP($A296,'SegEnds_NonXtal_Prot#'!A:AL,10,FALSE)+9,1)</f>
        <v>T</v>
      </c>
      <c r="AA296" s="49" t="str">
        <f>MID(VLOOKUP($A296,Seqs!$A:$B,2,FALSE),VLOOKUP($A296,'SegEnds_NonXtal_Prot#'!A:AL,10,FALSE)+10,1)</f>
        <v>I</v>
      </c>
      <c r="AB296" s="28" t="str">
        <f>MID(VLOOKUP($A296,Seqs!$A:$B,2,FALSE),VLOOKUP($A296,'SegEnds_NonXtal_Prot#'!$A:$AL,22,FALSE)+6,1)</f>
        <v>L</v>
      </c>
      <c r="AC296" s="49" t="str">
        <f>MID(VLOOKUP($A296,Seqs!$A:$B,2,FALSE),VLOOKUP($A296,'SegEnds_NonXtal_Prot#'!$A:$AL,22,FALSE)+7,1)</f>
        <v>G</v>
      </c>
      <c r="AD296" s="49" t="str">
        <f>MID(VLOOKUP($A296,Seqs!$A:$B,2,FALSE),VLOOKUP($A296,'SegEnds_NonXtal_Prot#'!$A:$AL,22,FALSE)+8,1)</f>
        <v>L</v>
      </c>
      <c r="AE296" s="49" t="str">
        <f>MID(VLOOKUP($A296,Seqs!$A:$B,2,FALSE),VLOOKUP($A296,'SegEnds_NonXtal_Prot#'!$A:$AL,22,FALSE)+9,1)</f>
        <v>L</v>
      </c>
      <c r="AF296" s="49" t="str">
        <f>MID(VLOOKUP($A296,Seqs!$A:$B,2,FALSE),VLOOKUP($A296,'SegEnds_NonXtal_Prot#'!$A:$AL,22,FALSE)+10,1)</f>
        <v>P</v>
      </c>
      <c r="AG296" s="28" t="str">
        <f>MID(VLOOKUP($A296,Seqs!$A:$B,2,FALSE),VLOOKUP($A296,'SegEnds_NonXtal_Prot#'!$A:$AL,28,FALSE)-4,1)</f>
        <v>L</v>
      </c>
      <c r="AH296" s="49" t="str">
        <f>MID(VLOOKUP($A296,Seqs!$A:$B,2,FALSE),VLOOKUP($A296,'SegEnds_NonXtal_Prot#'!$A:$AL,28,FALSE),1)</f>
        <v>S</v>
      </c>
    </row>
    <row r="297" spans="1:34" s="2" customFormat="1" x14ac:dyDescent="0.2">
      <c r="A297" s="2" t="s">
        <v>220</v>
      </c>
      <c r="B297" s="2" t="str">
        <f>LOWER(VLOOKUP(A297,Xtal_Templ!A:B,2,FALSE))</f>
        <v>s1pr1_human</v>
      </c>
      <c r="C297" s="2" t="str">
        <f>VLOOKUP(A297,Classification!A:D,2,FALSE)</f>
        <v>A</v>
      </c>
      <c r="D297" s="2" t="str">
        <f>IF(ISERROR(MATCH(A297,'SegEnds_Xtal_Prot#'!B:B, 0)), "NoXtal", "Xtal")</f>
        <v>NoXtal</v>
      </c>
      <c r="H297" s="4"/>
      <c r="R297" s="2" t="s">
        <v>9</v>
      </c>
      <c r="T297" s="4" t="s">
        <v>12</v>
      </c>
      <c r="V297" s="28" t="str">
        <f>MID(VLOOKUP($A297,Seqs!$A:$B,2,FALSE),VLOOKUP($A297,'SegEnds_NonXtal_Prot#'!A:AL,10,FALSE),1)</f>
        <v>Q</v>
      </c>
      <c r="W297" s="49" t="str">
        <f>MID(VLOOKUP($A297,Seqs!$A:$B,2,FALSE),VLOOKUP($A297,'SegEnds_NonXtal_Prot#'!A:AL,10,FALSE)+6,1)</f>
        <v>S</v>
      </c>
      <c r="X297" s="49" t="str">
        <f>MID(VLOOKUP($A297,Seqs!$A:$B,2,FALSE),VLOOKUP($A297,'SegEnds_NonXtal_Prot#'!A:AL,10,FALSE)+7,1)</f>
        <v>M</v>
      </c>
      <c r="Y297" s="49" t="str">
        <f>MID(VLOOKUP($A297,Seqs!$A:$B,2,FALSE),VLOOKUP($A297,'SegEnds_NonXtal_Prot#'!A:AL,10,FALSE)+8,1)</f>
        <v>L</v>
      </c>
      <c r="Z297" s="49" t="str">
        <f>MID(VLOOKUP($A297,Seqs!$A:$B,2,FALSE),VLOOKUP($A297,'SegEnds_NonXtal_Prot#'!A:AL,10,FALSE)+9,1)</f>
        <v>V</v>
      </c>
      <c r="AA297" s="49" t="str">
        <f>MID(VLOOKUP($A297,Seqs!$A:$B,2,FALSE),VLOOKUP($A297,'SegEnds_NonXtal_Prot#'!A:AL,10,FALSE)+10,1)</f>
        <v>A</v>
      </c>
      <c r="AB297" s="28" t="str">
        <f>MID(VLOOKUP($A297,Seqs!$A:$B,2,FALSE),VLOOKUP($A297,'SegEnds_NonXtal_Prot#'!$A:$AL,22,FALSE)+6,1)</f>
        <v>L</v>
      </c>
      <c r="AC297" s="49" t="str">
        <f>MID(VLOOKUP($A297,Seqs!$A:$B,2,FALSE),VLOOKUP($A297,'SegEnds_NonXtal_Prot#'!$A:$AL,22,FALSE)+7,1)</f>
        <v>S</v>
      </c>
      <c r="AD297" s="49" t="str">
        <f>MID(VLOOKUP($A297,Seqs!$A:$B,2,FALSE),VLOOKUP($A297,'SegEnds_NonXtal_Prot#'!$A:$AL,22,FALSE)+8,1)</f>
        <v>A</v>
      </c>
      <c r="AE297" s="49" t="str">
        <f>MID(VLOOKUP($A297,Seqs!$A:$B,2,FALSE),VLOOKUP($A297,'SegEnds_NonXtal_Prot#'!$A:$AL,22,FALSE)+9,1)</f>
        <v>L</v>
      </c>
      <c r="AF297" s="49" t="str">
        <f>MID(VLOOKUP($A297,Seqs!$A:$B,2,FALSE),VLOOKUP($A297,'SegEnds_NonXtal_Prot#'!$A:$AL,22,FALSE)+10,1)</f>
        <v>P</v>
      </c>
      <c r="AG297" s="28" t="str">
        <f>MID(VLOOKUP($A297,Seqs!$A:$B,2,FALSE),VLOOKUP($A297,'SegEnds_NonXtal_Prot#'!$A:$AL,28,FALSE)-4,1)</f>
        <v>G</v>
      </c>
      <c r="AH297" s="49" t="str">
        <f>MID(VLOOKUP($A297,Seqs!$A:$B,2,FALSE),VLOOKUP($A297,'SegEnds_NonXtal_Prot#'!$A:$AL,28,FALSE),1)</f>
        <v>P</v>
      </c>
    </row>
    <row r="298" spans="1:34" s="2" customFormat="1" x14ac:dyDescent="0.2">
      <c r="A298" s="2" t="s">
        <v>917</v>
      </c>
      <c r="B298" s="2" t="str">
        <f>LOWER(VLOOKUP(A298,Xtal_Templ!A:B,2,FALSE))</f>
        <v>us28_hcmva</v>
      </c>
      <c r="C298" s="2" t="str">
        <f>VLOOKUP(A298,Classification!A:D,2,FALSE)</f>
        <v>A</v>
      </c>
      <c r="D298" s="2" t="str">
        <f>IF(ISERROR(MATCH(A298,'SegEnds_Xtal_Prot#'!B:B, 0)), "NoXtal", "Xtal")</f>
        <v>Xtal</v>
      </c>
      <c r="H298" s="4"/>
      <c r="N298" s="2" t="s">
        <v>14</v>
      </c>
      <c r="R298" s="2" t="s">
        <v>9</v>
      </c>
      <c r="T298" s="4" t="s">
        <v>12</v>
      </c>
      <c r="V298" s="28" t="str">
        <f>MID(VLOOKUP($A298,Seqs!$A:$B,2,FALSE),VLOOKUP($A298,'SegEnds_NonXtal_Prot#'!A:AL,10,FALSE),1)</f>
        <v>D</v>
      </c>
      <c r="W298" s="49" t="str">
        <f>MID(VLOOKUP($A298,Seqs!$A:$B,2,FALSE),VLOOKUP($A298,'SegEnds_NonXtal_Prot#'!A:AL,10,FALSE)+6,1)</f>
        <v>T</v>
      </c>
      <c r="X298" s="49" t="str">
        <f>MID(VLOOKUP($A298,Seqs!$A:$B,2,FALSE),VLOOKUP($A298,'SegEnds_NonXtal_Prot#'!A:AL,10,FALSE)+7,1)</f>
        <v>L</v>
      </c>
      <c r="Y298" s="49" t="str">
        <f>MID(VLOOKUP($A298,Seqs!$A:$B,2,FALSE),VLOOKUP($A298,'SegEnds_NonXtal_Prot#'!A:AL,10,FALSE)+8,1)</f>
        <v>P</v>
      </c>
      <c r="Z298" s="49" t="str">
        <f>MID(VLOOKUP($A298,Seqs!$A:$B,2,FALSE),VLOOKUP($A298,'SegEnds_NonXtal_Prot#'!A:AL,10,FALSE)+9,1)</f>
        <v>L</v>
      </c>
      <c r="AA298" s="49" t="str">
        <f>MID(VLOOKUP($A298,Seqs!$A:$B,2,FALSE),VLOOKUP($A298,'SegEnds_NonXtal_Prot#'!A:AL,10,FALSE)+10,1)</f>
        <v>W</v>
      </c>
      <c r="AB298" s="28" t="str">
        <f>MID(VLOOKUP($A298,Seqs!$A:$B,2,FALSE),VLOOKUP($A298,'SegEnds_NonXtal_Prot#'!$A:$AL,22,FALSE)+6,1)</f>
        <v>I</v>
      </c>
      <c r="AC298" s="49" t="str">
        <f>MID(VLOOKUP($A298,Seqs!$A:$B,2,FALSE),VLOOKUP($A298,'SegEnds_NonXtal_Prot#'!$A:$AL,22,FALSE)+7,1)</f>
        <v>A</v>
      </c>
      <c r="AD298" s="49" t="str">
        <f>MID(VLOOKUP($A298,Seqs!$A:$B,2,FALSE),VLOOKUP($A298,'SegEnds_NonXtal_Prot#'!$A:$AL,22,FALSE)+8,1)</f>
        <v>I</v>
      </c>
      <c r="AE298" s="49" t="str">
        <f>MID(VLOOKUP($A298,Seqs!$A:$B,2,FALSE),VLOOKUP($A298,'SegEnds_NonXtal_Prot#'!$A:$AL,22,FALSE)+9,1)</f>
        <v>P</v>
      </c>
      <c r="AF298" s="49" t="str">
        <f>MID(VLOOKUP($A298,Seqs!$A:$B,2,FALSE),VLOOKUP($A298,'SegEnds_NonXtal_Prot#'!$A:$AL,22,FALSE)+10,1)</f>
        <v>H</v>
      </c>
      <c r="AG298" s="28" t="str">
        <f>MID(VLOOKUP($A298,Seqs!$A:$B,2,FALSE),VLOOKUP($A298,'SegEnds_NonXtal_Prot#'!$A:$AL,28,FALSE)-4,1)</f>
        <v>A</v>
      </c>
      <c r="AH298" s="49" t="str">
        <f>MID(VLOOKUP($A298,Seqs!$A:$B,2,FALSE),VLOOKUP($A298,'SegEnds_NonXtal_Prot#'!$A:$AL,28,FALSE),1)</f>
        <v>P</v>
      </c>
    </row>
    <row r="299" spans="1:34" s="2" customFormat="1" x14ac:dyDescent="0.2">
      <c r="A299" s="2" t="s">
        <v>1501</v>
      </c>
      <c r="B299" s="2" t="str">
        <f>LOWER(VLOOKUP(A299,Xtal_Templ!A:B,2,FALSE))</f>
        <v>q80km9_hcmv</v>
      </c>
      <c r="C299" s="2" t="str">
        <f>VLOOKUP(A299,Classification!A:D,2,FALSE)</f>
        <v>A</v>
      </c>
      <c r="D299" s="2" t="str">
        <f>IF(ISERROR(MATCH(A299,'SegEnds_Xtal_Prot#'!B:B, 0)), "NoXtal", "Xtal")</f>
        <v>Xtal</v>
      </c>
      <c r="H299" s="4"/>
      <c r="N299" s="2" t="s">
        <v>14</v>
      </c>
      <c r="R299" s="2" t="s">
        <v>9</v>
      </c>
      <c r="T299" s="4" t="s">
        <v>12</v>
      </c>
      <c r="V299" s="28" t="str">
        <f>MID(VLOOKUP($A299,Seqs!$A:$B,2,FALSE),VLOOKUP($A299,'SegEnds_NonXtal_Prot#'!A:AL,10,FALSE),1)</f>
        <v>D</v>
      </c>
      <c r="W299" s="49" t="str">
        <f>MID(VLOOKUP($A299,Seqs!$A:$B,2,FALSE),VLOOKUP($A299,'SegEnds_NonXtal_Prot#'!A:AL,10,FALSE)+6,1)</f>
        <v>T</v>
      </c>
      <c r="X299" s="49" t="str">
        <f>MID(VLOOKUP($A299,Seqs!$A:$B,2,FALSE),VLOOKUP($A299,'SegEnds_NonXtal_Prot#'!A:AL,10,FALSE)+7,1)</f>
        <v>L</v>
      </c>
      <c r="Y299" s="49" t="str">
        <f>MID(VLOOKUP($A299,Seqs!$A:$B,2,FALSE),VLOOKUP($A299,'SegEnds_NonXtal_Prot#'!A:AL,10,FALSE)+8,1)</f>
        <v>P</v>
      </c>
      <c r="Z299" s="49" t="str">
        <f>MID(VLOOKUP($A299,Seqs!$A:$B,2,FALSE),VLOOKUP($A299,'SegEnds_NonXtal_Prot#'!A:AL,10,FALSE)+9,1)</f>
        <v>L</v>
      </c>
      <c r="AA299" s="49" t="str">
        <f>MID(VLOOKUP($A299,Seqs!$A:$B,2,FALSE),VLOOKUP($A299,'SegEnds_NonXtal_Prot#'!A:AL,10,FALSE)+10,1)</f>
        <v>W</v>
      </c>
      <c r="AB299" s="28" t="str">
        <f>MID(VLOOKUP($A299,Seqs!$A:$B,2,FALSE),VLOOKUP($A299,'SegEnds_NonXtal_Prot#'!$A:$AL,22,FALSE)+6,1)</f>
        <v>I</v>
      </c>
      <c r="AC299" s="49" t="str">
        <f>MID(VLOOKUP($A299,Seqs!$A:$B,2,FALSE),VLOOKUP($A299,'SegEnds_NonXtal_Prot#'!$A:$AL,22,FALSE)+7,1)</f>
        <v>A</v>
      </c>
      <c r="AD299" s="49" t="str">
        <f>MID(VLOOKUP($A299,Seqs!$A:$B,2,FALSE),VLOOKUP($A299,'SegEnds_NonXtal_Prot#'!$A:$AL,22,FALSE)+8,1)</f>
        <v>I</v>
      </c>
      <c r="AE299" s="49" t="str">
        <f>MID(VLOOKUP($A299,Seqs!$A:$B,2,FALSE),VLOOKUP($A299,'SegEnds_NonXtal_Prot#'!$A:$AL,22,FALSE)+9,1)</f>
        <v>P</v>
      </c>
      <c r="AF299" s="49" t="str">
        <f>MID(VLOOKUP($A299,Seqs!$A:$B,2,FALSE),VLOOKUP($A299,'SegEnds_NonXtal_Prot#'!$A:$AL,22,FALSE)+10,1)</f>
        <v>H</v>
      </c>
      <c r="AG299" s="28" t="str">
        <f>MID(VLOOKUP($A299,Seqs!$A:$B,2,FALSE),VLOOKUP($A299,'SegEnds_NonXtal_Prot#'!$A:$AL,28,FALSE)-4,1)</f>
        <v>A</v>
      </c>
      <c r="AH299" s="49" t="str">
        <f>MID(VLOOKUP($A299,Seqs!$A:$B,2,FALSE),VLOOKUP($A299,'SegEnds_NonXtal_Prot#'!$A:$AL,28,FALSE),1)</f>
        <v>P</v>
      </c>
    </row>
    <row r="300" spans="1:34" s="2" customFormat="1" x14ac:dyDescent="0.2">
      <c r="A300" s="2" t="s">
        <v>1631</v>
      </c>
      <c r="B300" s="2" t="str">
        <f>LOWER(VLOOKUP(A300,Xtal_Templ!A:B,2,FALSE))</f>
        <v>aa2ar_human</v>
      </c>
      <c r="C300" s="2" t="str">
        <f>VLOOKUP(A300,Classification!A:D,2,FALSE)</f>
        <v>A</v>
      </c>
      <c r="D300" s="2" t="str">
        <f>IF(ISERROR(MATCH(A300,'SegEnds_Xtal_Prot#'!B:B, 0)), "NoXtal", "Xtal")</f>
        <v>NoXtal</v>
      </c>
      <c r="G300" s="2" t="s">
        <v>5</v>
      </c>
      <c r="H300" s="4"/>
      <c r="R300" s="2" t="s">
        <v>9</v>
      </c>
      <c r="T300" s="4" t="s">
        <v>12</v>
      </c>
      <c r="V300" s="28" t="str">
        <f>MID(VLOOKUP($A300,Seqs!$A:$B,2,FALSE),VLOOKUP($A300,'SegEnds_NonXtal_Prot#'!A:AL,10,FALSE),1)</f>
        <v>D</v>
      </c>
      <c r="W300" s="49" t="str">
        <f>MID(VLOOKUP($A300,Seqs!$A:$B,2,FALSE),VLOOKUP($A300,'SegEnds_NonXtal_Prot#'!A:AL,10,FALSE)+6,1)</f>
        <v>V</v>
      </c>
      <c r="X300" s="49" t="str">
        <f>MID(VLOOKUP($A300,Seqs!$A:$B,2,FALSE),VLOOKUP($A300,'SegEnds_NonXtal_Prot#'!A:AL,10,FALSE)+7,1)</f>
        <v>T</v>
      </c>
      <c r="Y300" s="49" t="str">
        <f>MID(VLOOKUP($A300,Seqs!$A:$B,2,FALSE),VLOOKUP($A300,'SegEnds_NonXtal_Prot#'!A:AL,10,FALSE)+8,1)</f>
        <v>I</v>
      </c>
      <c r="Z300" s="49" t="str">
        <f>MID(VLOOKUP($A300,Seqs!$A:$B,2,FALSE),VLOOKUP($A300,'SegEnds_NonXtal_Prot#'!A:AL,10,FALSE)+9,1)</f>
        <v>P</v>
      </c>
      <c r="AA300" s="49" t="str">
        <f>MID(VLOOKUP($A300,Seqs!$A:$B,2,FALSE),VLOOKUP($A300,'SegEnds_NonXtal_Prot#'!A:AL,10,FALSE)+10,1)</f>
        <v>K</v>
      </c>
      <c r="AB300" s="28" t="str">
        <f>MID(VLOOKUP($A300,Seqs!$A:$B,2,FALSE),VLOOKUP($A300,'SegEnds_NonXtal_Prot#'!$A:$AL,22,FALSE)+6,1)</f>
        <v>N</v>
      </c>
      <c r="AC300" s="49" t="str">
        <f>MID(VLOOKUP($A300,Seqs!$A:$B,2,FALSE),VLOOKUP($A300,'SegEnds_NonXtal_Prot#'!$A:$AL,22,FALSE)+7,1)</f>
        <v>A</v>
      </c>
      <c r="AD300" s="49" t="str">
        <f>MID(VLOOKUP($A300,Seqs!$A:$B,2,FALSE),VLOOKUP($A300,'SegEnds_NonXtal_Prot#'!$A:$AL,22,FALSE)+8,1)</f>
        <v>L</v>
      </c>
      <c r="AE300" s="49" t="str">
        <f>MID(VLOOKUP($A300,Seqs!$A:$B,2,FALSE),VLOOKUP($A300,'SegEnds_NonXtal_Prot#'!$A:$AL,22,FALSE)+9,1)</f>
        <v>P</v>
      </c>
      <c r="AF300" s="49" t="str">
        <f>MID(VLOOKUP($A300,Seqs!$A:$B,2,FALSE),VLOOKUP($A300,'SegEnds_NonXtal_Prot#'!$A:$AL,22,FALSE)+10,1)</f>
        <v>H</v>
      </c>
      <c r="AG300" s="28" t="str">
        <f>MID(VLOOKUP($A300,Seqs!$A:$B,2,FALSE),VLOOKUP($A300,'SegEnds_NonXtal_Prot#'!$A:$AL,28,FALSE)-4,1)</f>
        <v>I</v>
      </c>
      <c r="AH300" s="49" t="str">
        <f>MID(VLOOKUP($A300,Seqs!$A:$B,2,FALSE),VLOOKUP($A300,'SegEnds_NonXtal_Prot#'!$A:$AL,28,FALSE),1)</f>
        <v>P</v>
      </c>
    </row>
    <row r="301" spans="1:34" s="2" customFormat="1" x14ac:dyDescent="0.2">
      <c r="A301" s="2" t="s">
        <v>1634</v>
      </c>
      <c r="B301" s="2" t="str">
        <f>LOWER(VLOOKUP(A301,Xtal_Templ!A:B,2,FALSE))</f>
        <v>ccr2_human</v>
      </c>
      <c r="C301" s="2" t="str">
        <f>VLOOKUP(A301,Classification!A:D,2,FALSE)</f>
        <v>A</v>
      </c>
      <c r="D301" s="2" t="str">
        <f>IF(ISERROR(MATCH(A301,'SegEnds_Xtal_Prot#'!B:B, 0)), "NoXtal", "Xtal")</f>
        <v>NoXtal</v>
      </c>
      <c r="G301" s="2" t="s">
        <v>5</v>
      </c>
      <c r="H301" s="4"/>
      <c r="S301" s="2" t="s">
        <v>1316</v>
      </c>
      <c r="T301" s="4" t="s">
        <v>12</v>
      </c>
      <c r="V301" s="28" t="str">
        <f>MID(VLOOKUP($A301,Seqs!$A:$B,2,FALSE),VLOOKUP($A301,'SegEnds_NonXtal_Prot#'!A:AL,10,FALSE),1)</f>
        <v>D</v>
      </c>
      <c r="W301" s="49" t="str">
        <f>MID(VLOOKUP($A301,Seqs!$A:$B,2,FALSE),VLOOKUP($A301,'SegEnds_NonXtal_Prot#'!A:AL,10,FALSE)+6,1)</f>
        <v>T</v>
      </c>
      <c r="X301" s="49" t="str">
        <f>MID(VLOOKUP($A301,Seqs!$A:$B,2,FALSE),VLOOKUP($A301,'SegEnds_NonXtal_Prot#'!A:AL,10,FALSE)+7,1)</f>
        <v>T</v>
      </c>
      <c r="Y301" s="49" t="str">
        <f>MID(VLOOKUP($A301,Seqs!$A:$B,2,FALSE),VLOOKUP($A301,'SegEnds_NonXtal_Prot#'!A:AL,10,FALSE)+8,1)</f>
        <v>V</v>
      </c>
      <c r="Z301" s="49" t="str">
        <f>MID(VLOOKUP($A301,Seqs!$A:$B,2,FALSE),VLOOKUP($A301,'SegEnds_NonXtal_Prot#'!A:AL,10,FALSE)+9,1)</f>
        <v>P</v>
      </c>
      <c r="AA301" s="49" t="str">
        <f>MID(VLOOKUP($A301,Seqs!$A:$B,2,FALSE),VLOOKUP($A301,'SegEnds_NonXtal_Prot#'!A:AL,10,FALSE)+10,1)</f>
        <v>K</v>
      </c>
      <c r="AB301" s="28" t="str">
        <f>MID(VLOOKUP($A301,Seqs!$A:$B,2,FALSE),VLOOKUP($A301,'SegEnds_NonXtal_Prot#'!$A:$AL,22,FALSE)+6,1)</f>
        <v>H</v>
      </c>
      <c r="AC301" s="49" t="str">
        <f>MID(VLOOKUP($A301,Seqs!$A:$B,2,FALSE),VLOOKUP($A301,'SegEnds_NonXtal_Prot#'!$A:$AL,22,FALSE)+7,1)</f>
        <v>S</v>
      </c>
      <c r="AD301" s="49" t="str">
        <f>MID(VLOOKUP($A301,Seqs!$A:$B,2,FALSE),VLOOKUP($A301,'SegEnds_NonXtal_Prot#'!$A:$AL,22,FALSE)+8,1)</f>
        <v>L</v>
      </c>
      <c r="AE301" s="49" t="str">
        <f>MID(VLOOKUP($A301,Seqs!$A:$B,2,FALSE),VLOOKUP($A301,'SegEnds_NonXtal_Prot#'!$A:$AL,22,FALSE)+9,1)</f>
        <v>L</v>
      </c>
      <c r="AF301" s="49" t="str">
        <f>MID(VLOOKUP($A301,Seqs!$A:$B,2,FALSE),VLOOKUP($A301,'SegEnds_NonXtal_Prot#'!$A:$AL,22,FALSE)+10,1)</f>
        <v>H</v>
      </c>
      <c r="AG301" s="28" t="str">
        <f>MID(VLOOKUP($A301,Seqs!$A:$B,2,FALSE),VLOOKUP($A301,'SegEnds_NonXtal_Prot#'!$A:$AL,28,FALSE)-4,1)</f>
        <v>T</v>
      </c>
      <c r="AH301" s="49" t="str">
        <f>MID(VLOOKUP($A301,Seqs!$A:$B,2,FALSE),VLOOKUP($A301,'SegEnds_NonXtal_Prot#'!$A:$AL,28,FALSE),1)</f>
        <v>C</v>
      </c>
    </row>
    <row r="302" spans="1:34" s="2" customFormat="1" x14ac:dyDescent="0.2">
      <c r="A302" s="2" t="s">
        <v>1636</v>
      </c>
      <c r="B302" s="2" t="str">
        <f>LOWER(VLOOKUP(A302,Xtal_Templ!A:B,2,FALSE))</f>
        <v>c5ar1_human</v>
      </c>
      <c r="C302" s="2" t="str">
        <f>VLOOKUP(A302,Classification!A:D,2,FALSE)</f>
        <v>A</v>
      </c>
      <c r="D302" s="2" t="str">
        <f>IF(ISERROR(MATCH(A302,'SegEnds_Xtal_Prot#'!B:B, 0)), "NoXtal", "Xtal")</f>
        <v>NoXtal</v>
      </c>
      <c r="G302" s="2" t="s">
        <v>5</v>
      </c>
      <c r="H302" s="4"/>
      <c r="R302" s="2" t="s">
        <v>9</v>
      </c>
      <c r="T302" s="4" t="s">
        <v>12</v>
      </c>
      <c r="V302" s="28" t="str">
        <f>MID(VLOOKUP($A302,Seqs!$A:$B,2,FALSE),VLOOKUP($A302,'SegEnds_NonXtal_Prot#'!A:AL,10,FALSE),1)</f>
        <v>D</v>
      </c>
      <c r="W302" s="49" t="str">
        <f>MID(VLOOKUP($A302,Seqs!$A:$B,2,FALSE),VLOOKUP($A302,'SegEnds_NonXtal_Prot#'!A:AL,10,FALSE)+6,1)</f>
        <v>T</v>
      </c>
      <c r="X302" s="49" t="str">
        <f>MID(VLOOKUP($A302,Seqs!$A:$B,2,FALSE),VLOOKUP($A302,'SegEnds_NonXtal_Prot#'!A:AL,10,FALSE)+7,1)</f>
        <v>T</v>
      </c>
      <c r="Y302" s="49" t="str">
        <f>MID(VLOOKUP($A302,Seqs!$A:$B,2,FALSE),VLOOKUP($A302,'SegEnds_NonXtal_Prot#'!A:AL,10,FALSE)+8,1)</f>
        <v>V</v>
      </c>
      <c r="Z302" s="49" t="str">
        <f>MID(VLOOKUP($A302,Seqs!$A:$B,2,FALSE),VLOOKUP($A302,'SegEnds_NonXtal_Prot#'!A:AL,10,FALSE)+9,1)</f>
        <v>P</v>
      </c>
      <c r="AA302" s="49" t="str">
        <f>MID(VLOOKUP($A302,Seqs!$A:$B,2,FALSE),VLOOKUP($A302,'SegEnds_NonXtal_Prot#'!A:AL,10,FALSE)+10,1)</f>
        <v>K</v>
      </c>
      <c r="AB302" s="28" t="str">
        <f>MID(VLOOKUP($A302,Seqs!$A:$B,2,FALSE),VLOOKUP($A302,'SegEnds_NonXtal_Prot#'!$A:$AL,22,FALSE)+6,1)</f>
        <v>D</v>
      </c>
      <c r="AC302" s="49" t="str">
        <f>MID(VLOOKUP($A302,Seqs!$A:$B,2,FALSE),VLOOKUP($A302,'SegEnds_NonXtal_Prot#'!$A:$AL,22,FALSE)+7,1)</f>
        <v>G</v>
      </c>
      <c r="AD302" s="49" t="str">
        <f>MID(VLOOKUP($A302,Seqs!$A:$B,2,FALSE),VLOOKUP($A302,'SegEnds_NonXtal_Prot#'!$A:$AL,22,FALSE)+8,1)</f>
        <v>F</v>
      </c>
      <c r="AE302" s="49" t="str">
        <f>MID(VLOOKUP($A302,Seqs!$A:$B,2,FALSE),VLOOKUP($A302,'SegEnds_NonXtal_Prot#'!$A:$AL,22,FALSE)+9,1)</f>
        <v>L</v>
      </c>
      <c r="AF302" s="49" t="str">
        <f>MID(VLOOKUP($A302,Seqs!$A:$B,2,FALSE),VLOOKUP($A302,'SegEnds_NonXtal_Prot#'!$A:$AL,22,FALSE)+10,1)</f>
        <v>L</v>
      </c>
      <c r="AG302" s="28" t="str">
        <f>MID(VLOOKUP($A302,Seqs!$A:$B,2,FALSE),VLOOKUP($A302,'SegEnds_NonXtal_Prot#'!$A:$AL,28,FALSE)-4,1)</f>
        <v>M</v>
      </c>
      <c r="AH302" s="49" t="str">
        <f>MID(VLOOKUP($A302,Seqs!$A:$B,2,FALSE),VLOOKUP($A302,'SegEnds_NonXtal_Prot#'!$A:$AL,28,FALSE),1)</f>
        <v>P</v>
      </c>
    </row>
    <row r="303" spans="1:34" s="2" customFormat="1" x14ac:dyDescent="0.2">
      <c r="A303" s="2" t="s">
        <v>400</v>
      </c>
      <c r="B303" s="2" t="str">
        <f>LOWER(VLOOKUP(A303,Xtal_Templ!A:B,2,FALSE))</f>
        <v>calcr_human</v>
      </c>
      <c r="C303" s="2" t="str">
        <f>VLOOKUP(A303,Classification!A:D,2,FALSE)</f>
        <v>B1</v>
      </c>
      <c r="D303" s="2" t="str">
        <f>IF(ISERROR(MATCH(A303,'SegEnds_Xtal_Prot#'!B:B, 0)), "NoXtal", "Xtal")</f>
        <v>Xtal</v>
      </c>
      <c r="H303" s="4"/>
      <c r="J303" s="106" t="s">
        <v>25</v>
      </c>
      <c r="P303" s="2" t="s">
        <v>1317</v>
      </c>
      <c r="T303" s="4" t="s">
        <v>12</v>
      </c>
      <c r="V303" s="28" t="str">
        <f>MID(VLOOKUP($A303,Seqs!$A:$B,2,FALSE),VLOOKUP($A303,'SegEnds_NonXtal_Prot#'!A:AL,10,FALSE),1)</f>
        <v>Y</v>
      </c>
      <c r="W303" s="49" t="str">
        <f>MID(VLOOKUP($A303,Seqs!$A:$B,2,FALSE),VLOOKUP($A303,'SegEnds_NonXtal_Prot#'!A:AL,10,FALSE)+6,1)</f>
        <v>I</v>
      </c>
      <c r="X303" s="49" t="str">
        <f>MID(VLOOKUP($A303,Seqs!$A:$B,2,FALSE),VLOOKUP($A303,'SegEnds_NonXtal_Prot#'!A:AL,10,FALSE)+7,1)</f>
        <v>I</v>
      </c>
      <c r="Y303" s="49" t="str">
        <f>MID(VLOOKUP($A303,Seqs!$A:$B,2,FALSE),VLOOKUP($A303,'SegEnds_NonXtal_Prot#'!A:AL,10,FALSE)+8,1)</f>
        <v>I</v>
      </c>
      <c r="Z303" s="49" t="str">
        <f>MID(VLOOKUP($A303,Seqs!$A:$B,2,FALSE),VLOOKUP($A303,'SegEnds_NonXtal_Prot#'!A:AL,10,FALSE)+9,1)</f>
        <v>I</v>
      </c>
      <c r="AA303" s="49" t="str">
        <f>MID(VLOOKUP($A303,Seqs!$A:$B,2,FALSE),VLOOKUP($A303,'SegEnds_NonXtal_Prot#'!A:AL,10,FALSE)+10,1)</f>
        <v>H</v>
      </c>
      <c r="AB303" s="28" t="str">
        <f>MID(VLOOKUP($A303,Seqs!$A:$B,2,FALSE),VLOOKUP($A303,'SegEnds_NonXtal_Prot#'!$A:$AL,22,FALSE)+6,1)</f>
        <v>P</v>
      </c>
      <c r="AC303" s="49" t="str">
        <f>MID(VLOOKUP($A303,Seqs!$A:$B,2,FALSE),VLOOKUP($A303,'SegEnds_NonXtal_Prot#'!$A:$AL,22,FALSE)+7,1)</f>
        <v>T</v>
      </c>
      <c r="AD303" s="49" t="str">
        <f>MID(VLOOKUP($A303,Seqs!$A:$B,2,FALSE),VLOOKUP($A303,'SegEnds_NonXtal_Prot#'!$A:$AL,22,FALSE)+8,1)</f>
        <v>T</v>
      </c>
      <c r="AE303" s="49" t="str">
        <f>MID(VLOOKUP($A303,Seqs!$A:$B,2,FALSE),VLOOKUP($A303,'SegEnds_NonXtal_Prot#'!$A:$AL,22,FALSE)+9,1)</f>
        <v>I</v>
      </c>
      <c r="AF303" s="49" t="str">
        <f>MID(VLOOKUP($A303,Seqs!$A:$B,2,FALSE),VLOOKUP($A303,'SegEnds_NonXtal_Prot#'!$A:$AL,22,FALSE)+10,1)</f>
        <v>H</v>
      </c>
      <c r="AG303" s="28" t="str">
        <f>MID(VLOOKUP($A303,Seqs!$A:$B,2,FALSE),VLOOKUP($A303,'SegEnds_NonXtal_Prot#'!$A:$AL,28,FALSE)-4,1)</f>
        <v>P</v>
      </c>
      <c r="AH303" s="49" t="str">
        <f>MID(VLOOKUP($A303,Seqs!$A:$B,2,FALSE),VLOOKUP($A303,'SegEnds_NonXtal_Prot#'!$A:$AL,28,FALSE),1)</f>
        <v>A</v>
      </c>
    </row>
    <row r="304" spans="1:34" s="2" customFormat="1" x14ac:dyDescent="0.2">
      <c r="A304" s="2" t="s">
        <v>401</v>
      </c>
      <c r="B304" s="2" t="str">
        <f>LOWER(VLOOKUP(A304,Xtal_Templ!A:B,2,FALSE))</f>
        <v>calrl_human</v>
      </c>
      <c r="C304" s="2" t="str">
        <f>VLOOKUP(A304,Classification!A:D,2,FALSE)</f>
        <v>B1</v>
      </c>
      <c r="D304" s="2" t="str">
        <f>IF(ISERROR(MATCH(A304,'SegEnds_Xtal_Prot#'!B:B, 0)), "NoXtal", "Xtal")</f>
        <v>Xtal</v>
      </c>
      <c r="H304" s="4"/>
      <c r="J304" s="106" t="s">
        <v>25</v>
      </c>
      <c r="P304" s="2" t="s">
        <v>1317</v>
      </c>
      <c r="T304" s="4" t="s">
        <v>12</v>
      </c>
      <c r="V304" s="28" t="str">
        <f>MID(VLOOKUP($A304,Seqs!$A:$B,2,FALSE),VLOOKUP($A304,'SegEnds_NonXtal_Prot#'!A:AL,10,FALSE),1)</f>
        <v>F</v>
      </c>
      <c r="W304" s="49" t="str">
        <f>MID(VLOOKUP($A304,Seqs!$A:$B,2,FALSE),VLOOKUP($A304,'SegEnds_NonXtal_Prot#'!A:AL,10,FALSE)+6,1)</f>
        <v>V</v>
      </c>
      <c r="X304" s="49" t="str">
        <f>MID(VLOOKUP($A304,Seqs!$A:$B,2,FALSE),VLOOKUP($A304,'SegEnds_NonXtal_Prot#'!A:AL,10,FALSE)+7,1)</f>
        <v>T</v>
      </c>
      <c r="Y304" s="49" t="str">
        <f>MID(VLOOKUP($A304,Seqs!$A:$B,2,FALSE),VLOOKUP($A304,'SegEnds_NonXtal_Prot#'!A:AL,10,FALSE)+8,1)</f>
        <v>I</v>
      </c>
      <c r="Z304" s="49" t="str">
        <f>MID(VLOOKUP($A304,Seqs!$A:$B,2,FALSE),VLOOKUP($A304,'SegEnds_NonXtal_Prot#'!A:AL,10,FALSE)+9,1)</f>
        <v>I</v>
      </c>
      <c r="AA304" s="49" t="str">
        <f>MID(VLOOKUP($A304,Seqs!$A:$B,2,FALSE),VLOOKUP($A304,'SegEnds_NonXtal_Prot#'!A:AL,10,FALSE)+10,1)</f>
        <v>H</v>
      </c>
      <c r="AB304" s="28" t="str">
        <f>MID(VLOOKUP($A304,Seqs!$A:$B,2,FALSE),VLOOKUP($A304,'SegEnds_NonXtal_Prot#'!$A:$AL,22,FALSE)+6,1)</f>
        <v>P</v>
      </c>
      <c r="AC304" s="49" t="str">
        <f>MID(VLOOKUP($A304,Seqs!$A:$B,2,FALSE),VLOOKUP($A304,'SegEnds_NonXtal_Prot#'!$A:$AL,22,FALSE)+7,1)</f>
        <v>A</v>
      </c>
      <c r="AD304" s="49" t="str">
        <f>MID(VLOOKUP($A304,Seqs!$A:$B,2,FALSE),VLOOKUP($A304,'SegEnds_NonXtal_Prot#'!$A:$AL,22,FALSE)+8,1)</f>
        <v>C</v>
      </c>
      <c r="AE304" s="49" t="str">
        <f>MID(VLOOKUP($A304,Seqs!$A:$B,2,FALSE),VLOOKUP($A304,'SegEnds_NonXtal_Prot#'!$A:$AL,22,FALSE)+9,1)</f>
        <v>I</v>
      </c>
      <c r="AF304" s="49" t="str">
        <f>MID(VLOOKUP($A304,Seqs!$A:$B,2,FALSE),VLOOKUP($A304,'SegEnds_NonXtal_Prot#'!$A:$AL,22,FALSE)+10,1)</f>
        <v>H</v>
      </c>
      <c r="AG304" s="28" t="str">
        <f>MID(VLOOKUP($A304,Seqs!$A:$B,2,FALSE),VLOOKUP($A304,'SegEnds_NonXtal_Prot#'!$A:$AL,28,FALSE)-4,1)</f>
        <v>P</v>
      </c>
      <c r="AH304" s="49" t="str">
        <f>MID(VLOOKUP($A304,Seqs!$A:$B,2,FALSE),VLOOKUP($A304,'SegEnds_NonXtal_Prot#'!$A:$AL,28,FALSE),1)</f>
        <v>A</v>
      </c>
    </row>
    <row r="305" spans="1:34" s="2" customFormat="1" x14ac:dyDescent="0.2">
      <c r="A305" s="2" t="s">
        <v>38</v>
      </c>
      <c r="B305" s="2" t="str">
        <f>LOWER(VLOOKUP(A305,Xtal_Templ!A:B,2,FALSE))</f>
        <v>crfr1_human</v>
      </c>
      <c r="C305" s="2" t="str">
        <f>VLOOKUP(A305,Classification!A:D,2,FALSE)</f>
        <v>B1</v>
      </c>
      <c r="D305" s="2" t="str">
        <f>IF(ISERROR(MATCH(A305,'SegEnds_Xtal_Prot#'!B:B, 0)), "NoXtal", "Xtal")</f>
        <v>Xtal</v>
      </c>
      <c r="F305" s="49"/>
      <c r="H305" s="4"/>
      <c r="J305" s="52" t="s">
        <v>25</v>
      </c>
      <c r="K305" s="107"/>
      <c r="P305" s="2" t="s">
        <v>1317</v>
      </c>
      <c r="T305" s="4" t="s">
        <v>12</v>
      </c>
      <c r="V305" s="28" t="str">
        <f>MID(VLOOKUP($A305,Seqs!$A:$B,2,FALSE),VLOOKUP($A305,'SegEnds_NonXtal_Prot#'!A:AL,10,FALSE),1)</f>
        <v>F</v>
      </c>
      <c r="W305" s="49" t="str">
        <f>MID(VLOOKUP($A305,Seqs!$A:$B,2,FALSE),VLOOKUP($A305,'SegEnds_NonXtal_Prot#'!A:AL,10,FALSE)+6,1)</f>
        <v>T</v>
      </c>
      <c r="X305" s="49" t="str">
        <f>MID(VLOOKUP($A305,Seqs!$A:$B,2,FALSE),VLOOKUP($A305,'SegEnds_NonXtal_Prot#'!A:AL,10,FALSE)+7,1)</f>
        <v>W</v>
      </c>
      <c r="Y305" s="49" t="str">
        <f>MID(VLOOKUP($A305,Seqs!$A:$B,2,FALSE),VLOOKUP($A305,'SegEnds_NonXtal_Prot#'!A:AL,10,FALSE)+8,1)</f>
        <v>F</v>
      </c>
      <c r="Z305" s="49" t="str">
        <f>MID(VLOOKUP($A305,Seqs!$A:$B,2,FALSE),VLOOKUP($A305,'SegEnds_NonXtal_Prot#'!A:AL,10,FALSE)+9,1)</f>
        <v>V</v>
      </c>
      <c r="AA305" s="49" t="str">
        <f>MID(VLOOKUP($A305,Seqs!$A:$B,2,FALSE),VLOOKUP($A305,'SegEnds_NonXtal_Prot#'!A:AL,10,FALSE)+10,1)</f>
        <v>V</v>
      </c>
      <c r="AB305" s="28" t="str">
        <f>MID(VLOOKUP($A305,Seqs!$A:$B,2,FALSE),VLOOKUP($A305,'SegEnds_NonXtal_Prot#'!$A:$AL,22,FALSE)+6,1)</f>
        <v>I</v>
      </c>
      <c r="AC305" s="49" t="str">
        <f>MID(VLOOKUP($A305,Seqs!$A:$B,2,FALSE),VLOOKUP($A305,'SegEnds_NonXtal_Prot#'!$A:$AL,22,FALSE)+7,1)</f>
        <v>I</v>
      </c>
      <c r="AD305" s="49" t="str">
        <f>MID(VLOOKUP($A305,Seqs!$A:$B,2,FALSE),VLOOKUP($A305,'SegEnds_NonXtal_Prot#'!$A:$AL,22,FALSE)+8,1)</f>
        <v>V</v>
      </c>
      <c r="AE305" s="49" t="str">
        <f>MID(VLOOKUP($A305,Seqs!$A:$B,2,FALSE),VLOOKUP($A305,'SegEnds_NonXtal_Prot#'!$A:$AL,22,FALSE)+9,1)</f>
        <v>A</v>
      </c>
      <c r="AF305" s="49" t="str">
        <f>MID(VLOOKUP($A305,Seqs!$A:$B,2,FALSE),VLOOKUP($A305,'SegEnds_NonXtal_Prot#'!$A:$AL,22,FALSE)+10,1)</f>
        <v>W</v>
      </c>
      <c r="AG305" s="28" t="str">
        <f>MID(VLOOKUP($A305,Seqs!$A:$B,2,FALSE),VLOOKUP($A305,'SegEnds_NonXtal_Prot#'!$A:$AL,28,FALSE)-4,1)</f>
        <v>P</v>
      </c>
      <c r="AH305" s="49" t="str">
        <f>MID(VLOOKUP($A305,Seqs!$A:$B,2,FALSE),VLOOKUP($A305,'SegEnds_NonXtal_Prot#'!$A:$AL,28,FALSE),1)</f>
        <v>V</v>
      </c>
    </row>
    <row r="306" spans="1:34" s="2" customFormat="1" x14ac:dyDescent="0.2">
      <c r="A306" s="2" t="s">
        <v>402</v>
      </c>
      <c r="B306" s="2" t="str">
        <f>LOWER(VLOOKUP(A306,Xtal_Templ!A:B,2,FALSE))</f>
        <v>crfr2_human</v>
      </c>
      <c r="C306" s="2" t="str">
        <f>VLOOKUP(A306,Classification!A:D,2,FALSE)</f>
        <v>B1</v>
      </c>
      <c r="D306" s="2" t="str">
        <f>IF(ISERROR(MATCH(A306,'SegEnds_Xtal_Prot#'!B:B, 0)), "NoXtal", "Xtal")</f>
        <v>Xtal</v>
      </c>
      <c r="F306" s="49"/>
      <c r="H306" s="4"/>
      <c r="J306" s="106" t="s">
        <v>25</v>
      </c>
      <c r="P306" s="2" t="s">
        <v>1317</v>
      </c>
      <c r="T306" s="4" t="s">
        <v>12</v>
      </c>
      <c r="V306" s="28" t="str">
        <f>MID(VLOOKUP($A306,Seqs!$A:$B,2,FALSE),VLOOKUP($A306,'SegEnds_NonXtal_Prot#'!A:AL,10,FALSE),1)</f>
        <v>F</v>
      </c>
      <c r="W306" s="49" t="str">
        <f>MID(VLOOKUP($A306,Seqs!$A:$B,2,FALSE),VLOOKUP($A306,'SegEnds_NonXtal_Prot#'!A:AL,10,FALSE)+6,1)</f>
        <v>M</v>
      </c>
      <c r="X306" s="49" t="str">
        <f>MID(VLOOKUP($A306,Seqs!$A:$B,2,FALSE),VLOOKUP($A306,'SegEnds_NonXtal_Prot#'!A:AL,10,FALSE)+7,1)</f>
        <v>W</v>
      </c>
      <c r="Y306" s="49" t="str">
        <f>MID(VLOOKUP($A306,Seqs!$A:$B,2,FALSE),VLOOKUP($A306,'SegEnds_NonXtal_Prot#'!A:AL,10,FALSE)+8,1)</f>
        <v>F</v>
      </c>
      <c r="Z306" s="49" t="str">
        <f>MID(VLOOKUP($A306,Seqs!$A:$B,2,FALSE),VLOOKUP($A306,'SegEnds_NonXtal_Prot#'!A:AL,10,FALSE)+9,1)</f>
        <v>L</v>
      </c>
      <c r="AA306" s="49" t="str">
        <f>MID(VLOOKUP($A306,Seqs!$A:$B,2,FALSE),VLOOKUP($A306,'SegEnds_NonXtal_Prot#'!A:AL,10,FALSE)+10,1)</f>
        <v>L</v>
      </c>
      <c r="AB306" s="28" t="str">
        <f>MID(VLOOKUP($A306,Seqs!$A:$B,2,FALSE),VLOOKUP($A306,'SegEnds_NonXtal_Prot#'!$A:$AL,22,FALSE)+6,1)</f>
        <v>I</v>
      </c>
      <c r="AC306" s="49" t="str">
        <f>MID(VLOOKUP($A306,Seqs!$A:$B,2,FALSE),VLOOKUP($A306,'SegEnds_NonXtal_Prot#'!$A:$AL,22,FALSE)+7,1)</f>
        <v>I</v>
      </c>
      <c r="AD306" s="49" t="str">
        <f>MID(VLOOKUP($A306,Seqs!$A:$B,2,FALSE),VLOOKUP($A306,'SegEnds_NonXtal_Prot#'!$A:$AL,22,FALSE)+8,1)</f>
        <v>V</v>
      </c>
      <c r="AE306" s="49" t="str">
        <f>MID(VLOOKUP($A306,Seqs!$A:$B,2,FALSE),VLOOKUP($A306,'SegEnds_NonXtal_Prot#'!$A:$AL,22,FALSE)+9,1)</f>
        <v>A</v>
      </c>
      <c r="AF306" s="49" t="str">
        <f>MID(VLOOKUP($A306,Seqs!$A:$B,2,FALSE),VLOOKUP($A306,'SegEnds_NonXtal_Prot#'!$A:$AL,22,FALSE)+10,1)</f>
        <v>W</v>
      </c>
      <c r="AG306" s="28" t="str">
        <f>MID(VLOOKUP($A306,Seqs!$A:$B,2,FALSE),VLOOKUP($A306,'SegEnds_NonXtal_Prot#'!$A:$AL,28,FALSE)-4,1)</f>
        <v>P</v>
      </c>
      <c r="AH306" s="49" t="str">
        <f>MID(VLOOKUP($A306,Seqs!$A:$B,2,FALSE),VLOOKUP($A306,'SegEnds_NonXtal_Prot#'!$A:$AL,28,FALSE),1)</f>
        <v>V</v>
      </c>
    </row>
    <row r="307" spans="1:34" s="2" customFormat="1" x14ac:dyDescent="0.2">
      <c r="A307" s="2" t="s">
        <v>403</v>
      </c>
      <c r="B307" s="2" t="str">
        <f>LOWER(VLOOKUP(A307,Xtal_Templ!A:B,2,FALSE))</f>
        <v>pacr_human</v>
      </c>
      <c r="C307" s="2" t="str">
        <f>VLOOKUP(A307,Classification!A:D,2,FALSE)</f>
        <v>B1</v>
      </c>
      <c r="D307" s="2" t="str">
        <f>IF(ISERROR(MATCH(A307,'SegEnds_Xtal_Prot#'!B:B, 0)), "NoXtal", "Xtal")</f>
        <v>NoXtal</v>
      </c>
      <c r="H307" s="4"/>
      <c r="J307" s="106" t="s">
        <v>25</v>
      </c>
      <c r="P307" s="2" t="s">
        <v>1317</v>
      </c>
      <c r="T307" s="4" t="s">
        <v>12</v>
      </c>
      <c r="V307" s="28" t="str">
        <f>MID(VLOOKUP($A307,Seqs!$A:$B,2,FALSE),VLOOKUP($A307,'SegEnds_NonXtal_Prot#'!A:AL,10,FALSE),1)</f>
        <v>F</v>
      </c>
      <c r="W307" s="49" t="str">
        <f>MID(VLOOKUP($A307,Seqs!$A:$B,2,FALSE),VLOOKUP($A307,'SegEnds_NonXtal_Prot#'!A:AL,10,FALSE)+6,1)</f>
        <v>A</v>
      </c>
      <c r="X307" s="49" t="str">
        <f>MID(VLOOKUP($A307,Seqs!$A:$B,2,FALSE),VLOOKUP($A307,'SegEnds_NonXtal_Prot#'!A:AL,10,FALSE)+7,1)</f>
        <v>V</v>
      </c>
      <c r="Y307" s="49" t="str">
        <f>MID(VLOOKUP($A307,Seqs!$A:$B,2,FALSE),VLOOKUP($A307,'SegEnds_NonXtal_Prot#'!A:AL,10,FALSE)+8,1)</f>
        <v>F</v>
      </c>
      <c r="Z307" s="49" t="str">
        <f>MID(VLOOKUP($A307,Seqs!$A:$B,2,FALSE),VLOOKUP($A307,'SegEnds_NonXtal_Prot#'!A:AL,10,FALSE)+9,1)</f>
        <v>L</v>
      </c>
      <c r="AA307" s="49" t="str">
        <f>MID(VLOOKUP($A307,Seqs!$A:$B,2,FALSE),VLOOKUP($A307,'SegEnds_NonXtal_Prot#'!A:AL,10,FALSE)+10,1)</f>
        <v>K</v>
      </c>
      <c r="AB307" s="28" t="str">
        <f>MID(VLOOKUP($A307,Seqs!$A:$B,2,FALSE),VLOOKUP($A307,'SegEnds_NonXtal_Prot#'!$A:$AL,22,FALSE)+6,1)</f>
        <v>F</v>
      </c>
      <c r="AC307" s="49" t="str">
        <f>MID(VLOOKUP($A307,Seqs!$A:$B,2,FALSE),VLOOKUP($A307,'SegEnds_NonXtal_Prot#'!$A:$AL,22,FALSE)+7,1)</f>
        <v>T</v>
      </c>
      <c r="AD307" s="49" t="str">
        <f>MID(VLOOKUP($A307,Seqs!$A:$B,2,FALSE),VLOOKUP($A307,'SegEnds_NonXtal_Prot#'!$A:$AL,22,FALSE)+8,1)</f>
        <v>G</v>
      </c>
      <c r="AE307" s="49" t="str">
        <f>MID(VLOOKUP($A307,Seqs!$A:$B,2,FALSE),VLOOKUP($A307,'SegEnds_NonXtal_Prot#'!$A:$AL,22,FALSE)+9,1)</f>
        <v>T</v>
      </c>
      <c r="AF307" s="49" t="str">
        <f>MID(VLOOKUP($A307,Seqs!$A:$B,2,FALSE),VLOOKUP($A307,'SegEnds_NonXtal_Prot#'!$A:$AL,22,FALSE)+10,1)</f>
        <v>W</v>
      </c>
      <c r="AG307" s="28" t="str">
        <f>MID(VLOOKUP($A307,Seqs!$A:$B,2,FALSE),VLOOKUP($A307,'SegEnds_NonXtal_Prot#'!$A:$AL,28,FALSE)-4,1)</f>
        <v>P</v>
      </c>
      <c r="AH307" s="49" t="str">
        <f>MID(VLOOKUP($A307,Seqs!$A:$B,2,FALSE),VLOOKUP($A307,'SegEnds_NonXtal_Prot#'!$A:$AL,28,FALSE),1)</f>
        <v>S</v>
      </c>
    </row>
    <row r="308" spans="1:34" s="2" customFormat="1" x14ac:dyDescent="0.2">
      <c r="A308" s="2" t="s">
        <v>404</v>
      </c>
      <c r="B308" s="2" t="str">
        <f>LOWER(VLOOKUP(A308,Xtal_Templ!A:B,2,FALSE))</f>
        <v>glr_human</v>
      </c>
      <c r="C308" s="2" t="str">
        <f>VLOOKUP(A308,Classification!A:D,2,FALSE)</f>
        <v>B1</v>
      </c>
      <c r="D308" s="2" t="str">
        <f>IF(ISERROR(MATCH(A308,'SegEnds_Xtal_Prot#'!B:B, 0)), "NoXtal", "Xtal")</f>
        <v>NoXtal</v>
      </c>
      <c r="H308" s="4"/>
      <c r="J308" s="106" t="s">
        <v>25</v>
      </c>
      <c r="P308" s="2" t="s">
        <v>1317</v>
      </c>
      <c r="T308" s="4" t="s">
        <v>12</v>
      </c>
      <c r="V308" s="28" t="str">
        <f>MID(VLOOKUP($A308,Seqs!$A:$B,2,FALSE),VLOOKUP($A308,'SegEnds_NonXtal_Prot#'!A:AL,10,FALSE),1)</f>
        <v>F</v>
      </c>
      <c r="W308" s="49" t="str">
        <f>MID(VLOOKUP($A308,Seqs!$A:$B,2,FALSE),VLOOKUP($A308,'SegEnds_NonXtal_Prot#'!A:AL,10,FALSE)+6,1)</f>
        <v>A</v>
      </c>
      <c r="X308" s="49" t="str">
        <f>MID(VLOOKUP($A308,Seqs!$A:$B,2,FALSE),VLOOKUP($A308,'SegEnds_NonXtal_Prot#'!A:AL,10,FALSE)+7,1)</f>
        <v>I</v>
      </c>
      <c r="Y308" s="49" t="str">
        <f>MID(VLOOKUP($A308,Seqs!$A:$B,2,FALSE),VLOOKUP($A308,'SegEnds_NonXtal_Prot#'!A:AL,10,FALSE)+8,1)</f>
        <v>L</v>
      </c>
      <c r="Z308" s="49" t="str">
        <f>MID(VLOOKUP($A308,Seqs!$A:$B,2,FALSE),VLOOKUP($A308,'SegEnds_NonXtal_Prot#'!A:AL,10,FALSE)+9,1)</f>
        <v>S</v>
      </c>
      <c r="AA308" s="49" t="str">
        <f>MID(VLOOKUP($A308,Seqs!$A:$B,2,FALSE),VLOOKUP($A308,'SegEnds_NonXtal_Prot#'!A:AL,10,FALSE)+10,1)</f>
        <v>R</v>
      </c>
      <c r="AB308" s="28" t="str">
        <f>MID(VLOOKUP($A308,Seqs!$A:$B,2,FALSE),VLOOKUP($A308,'SegEnds_NonXtal_Prot#'!$A:$AL,22,FALSE)+6,1)</f>
        <v>F</v>
      </c>
      <c r="AC308" s="49" t="str">
        <f>MID(VLOOKUP($A308,Seqs!$A:$B,2,FALSE),VLOOKUP($A308,'SegEnds_NonXtal_Prot#'!$A:$AL,22,FALSE)+7,1)</f>
        <v>V</v>
      </c>
      <c r="AD308" s="49" t="str">
        <f>MID(VLOOKUP($A308,Seqs!$A:$B,2,FALSE),VLOOKUP($A308,'SegEnds_NonXtal_Prot#'!$A:$AL,22,FALSE)+8,1)</f>
        <v>I</v>
      </c>
      <c r="AE308" s="49" t="str">
        <f>MID(VLOOKUP($A308,Seqs!$A:$B,2,FALSE),VLOOKUP($A308,'SegEnds_NonXtal_Prot#'!$A:$AL,22,FALSE)+9,1)</f>
        <v>P</v>
      </c>
      <c r="AF308" s="49" t="str">
        <f>MID(VLOOKUP($A308,Seqs!$A:$B,2,FALSE),VLOOKUP($A308,'SegEnds_NonXtal_Prot#'!$A:$AL,22,FALSE)+10,1)</f>
        <v>W</v>
      </c>
      <c r="AG308" s="28" t="str">
        <f>MID(VLOOKUP($A308,Seqs!$A:$B,2,FALSE),VLOOKUP($A308,'SegEnds_NonXtal_Prot#'!$A:$AL,28,FALSE)-4,1)</f>
        <v>P</v>
      </c>
      <c r="AH308" s="49" t="str">
        <f>MID(VLOOKUP($A308,Seqs!$A:$B,2,FALSE),VLOOKUP($A308,'SegEnds_NonXtal_Prot#'!$A:$AL,28,FALSE),1)</f>
        <v>T</v>
      </c>
    </row>
    <row r="309" spans="1:34" s="2" customFormat="1" x14ac:dyDescent="0.2">
      <c r="A309" s="2" t="s">
        <v>405</v>
      </c>
      <c r="B309" s="2" t="str">
        <f>LOWER(VLOOKUP(A309,Xtal_Templ!A:B,2,FALSE))</f>
        <v>glp1r_human</v>
      </c>
      <c r="C309" s="2" t="str">
        <f>VLOOKUP(A309,Classification!A:D,2,FALSE)</f>
        <v>B1</v>
      </c>
      <c r="D309" s="2" t="str">
        <f>IF(ISERROR(MATCH(A309,'SegEnds_Xtal_Prot#'!B:B, 0)), "NoXtal", "Xtal")</f>
        <v>Xtal</v>
      </c>
      <c r="H309" s="4"/>
      <c r="J309" s="106" t="s">
        <v>25</v>
      </c>
      <c r="P309" s="2" t="s">
        <v>1317</v>
      </c>
      <c r="T309" s="4" t="s">
        <v>12</v>
      </c>
      <c r="V309" s="28" t="str">
        <f>MID(VLOOKUP($A309,Seqs!$A:$B,2,FALSE),VLOOKUP($A309,'SegEnds_NonXtal_Prot#'!A:AL,10,FALSE),1)</f>
        <v>F</v>
      </c>
      <c r="W309" s="49" t="str">
        <f>MID(VLOOKUP($A309,Seqs!$A:$B,2,FALSE),VLOOKUP($A309,'SegEnds_NonXtal_Prot#'!A:AL,10,FALSE)+6,1)</f>
        <v>S</v>
      </c>
      <c r="X309" s="49" t="str">
        <f>MID(VLOOKUP($A309,Seqs!$A:$B,2,FALSE),VLOOKUP($A309,'SegEnds_NonXtal_Prot#'!A:AL,10,FALSE)+7,1)</f>
        <v>V</v>
      </c>
      <c r="Y309" s="49" t="str">
        <f>MID(VLOOKUP($A309,Seqs!$A:$B,2,FALSE),VLOOKUP($A309,'SegEnds_NonXtal_Prot#'!A:AL,10,FALSE)+8,1)</f>
        <v>F</v>
      </c>
      <c r="Z309" s="49" t="str">
        <f>MID(VLOOKUP($A309,Seqs!$A:$B,2,FALSE),VLOOKUP($A309,'SegEnds_NonXtal_Prot#'!A:AL,10,FALSE)+9,1)</f>
        <v>I</v>
      </c>
      <c r="AA309" s="49" t="str">
        <f>MID(VLOOKUP($A309,Seqs!$A:$B,2,FALSE),VLOOKUP($A309,'SegEnds_NonXtal_Prot#'!A:AL,10,FALSE)+10,1)</f>
        <v>K</v>
      </c>
      <c r="AB309" s="28" t="str">
        <f>MID(VLOOKUP($A309,Seqs!$A:$B,2,FALSE),VLOOKUP($A309,'SegEnds_NonXtal_Prot#'!$A:$AL,22,FALSE)+6,1)</f>
        <v>F</v>
      </c>
      <c r="AC309" s="49" t="str">
        <f>MID(VLOOKUP($A309,Seqs!$A:$B,2,FALSE),VLOOKUP($A309,'SegEnds_NonXtal_Prot#'!$A:$AL,22,FALSE)+7,1)</f>
        <v>V</v>
      </c>
      <c r="AD309" s="49" t="str">
        <f>MID(VLOOKUP($A309,Seqs!$A:$B,2,FALSE),VLOOKUP($A309,'SegEnds_NonXtal_Prot#'!$A:$AL,22,FALSE)+8,1)</f>
        <v>V</v>
      </c>
      <c r="AE309" s="49" t="str">
        <f>MID(VLOOKUP($A309,Seqs!$A:$B,2,FALSE),VLOOKUP($A309,'SegEnds_NonXtal_Prot#'!$A:$AL,22,FALSE)+9,1)</f>
        <v>P</v>
      </c>
      <c r="AF309" s="49" t="str">
        <f>MID(VLOOKUP($A309,Seqs!$A:$B,2,FALSE),VLOOKUP($A309,'SegEnds_NonXtal_Prot#'!$A:$AL,22,FALSE)+10,1)</f>
        <v>W</v>
      </c>
      <c r="AG309" s="28" t="str">
        <f>MID(VLOOKUP($A309,Seqs!$A:$B,2,FALSE),VLOOKUP($A309,'SegEnds_NonXtal_Prot#'!$A:$AL,28,FALSE)-4,1)</f>
        <v>P</v>
      </c>
      <c r="AH309" s="49" t="str">
        <f>MID(VLOOKUP($A309,Seqs!$A:$B,2,FALSE),VLOOKUP($A309,'SegEnds_NonXtal_Prot#'!$A:$AL,28,FALSE),1)</f>
        <v>A</v>
      </c>
    </row>
    <row r="310" spans="1:34" s="2" customFormat="1" x14ac:dyDescent="0.2">
      <c r="A310" s="2" t="s">
        <v>406</v>
      </c>
      <c r="B310" s="2" t="str">
        <f>LOWER(VLOOKUP(A310,Xtal_Templ!A:B,2,FALSE))</f>
        <v>glr_human</v>
      </c>
      <c r="C310" s="2" t="str">
        <f>VLOOKUP(A310,Classification!A:D,2,FALSE)</f>
        <v>B1</v>
      </c>
      <c r="D310" s="2" t="str">
        <f>IF(ISERROR(MATCH(A310,'SegEnds_Xtal_Prot#'!B:B, 0)), "NoXtal", "Xtal")</f>
        <v>NoXtal</v>
      </c>
      <c r="H310" s="4"/>
      <c r="J310" s="106" t="s">
        <v>25</v>
      </c>
      <c r="P310" s="2" t="s">
        <v>1317</v>
      </c>
      <c r="T310" s="4" t="s">
        <v>12</v>
      </c>
      <c r="V310" s="28" t="str">
        <f>MID(VLOOKUP($A310,Seqs!$A:$B,2,FALSE),VLOOKUP($A310,'SegEnds_NonXtal_Prot#'!A:AL,10,FALSE),1)</f>
        <v>F</v>
      </c>
      <c r="W310" s="49" t="str">
        <f>MID(VLOOKUP($A310,Seqs!$A:$B,2,FALSE),VLOOKUP($A310,'SegEnds_NonXtal_Prot#'!A:AL,10,FALSE)+6,1)</f>
        <v>A</v>
      </c>
      <c r="X310" s="49" t="str">
        <f>MID(VLOOKUP($A310,Seqs!$A:$B,2,FALSE),VLOOKUP($A310,'SegEnds_NonXtal_Prot#'!A:AL,10,FALSE)+7,1)</f>
        <v>V</v>
      </c>
      <c r="Y310" s="49" t="str">
        <f>MID(VLOOKUP($A310,Seqs!$A:$B,2,FALSE),VLOOKUP($A310,'SegEnds_NonXtal_Prot#'!A:AL,10,FALSE)+8,1)</f>
        <v>L</v>
      </c>
      <c r="Z310" s="49" t="str">
        <f>MID(VLOOKUP($A310,Seqs!$A:$B,2,FALSE),VLOOKUP($A310,'SegEnds_NonXtal_Prot#'!A:AL,10,FALSE)+9,1)</f>
        <v>V</v>
      </c>
      <c r="AA310" s="49" t="str">
        <f>MID(VLOOKUP($A310,Seqs!$A:$B,2,FALSE),VLOOKUP($A310,'SegEnds_NonXtal_Prot#'!A:AL,10,FALSE)+10,1)</f>
        <v>K</v>
      </c>
      <c r="AB310" s="28" t="str">
        <f>MID(VLOOKUP($A310,Seqs!$A:$B,2,FALSE),VLOOKUP($A310,'SegEnds_NonXtal_Prot#'!$A:$AL,22,FALSE)+6,1)</f>
        <v>F</v>
      </c>
      <c r="AC310" s="49" t="str">
        <f>MID(VLOOKUP($A310,Seqs!$A:$B,2,FALSE),VLOOKUP($A310,'SegEnds_NonXtal_Prot#'!$A:$AL,22,FALSE)+7,1)</f>
        <v>V</v>
      </c>
      <c r="AD310" s="49" t="str">
        <f>MID(VLOOKUP($A310,Seqs!$A:$B,2,FALSE),VLOOKUP($A310,'SegEnds_NonXtal_Prot#'!$A:$AL,22,FALSE)+8,1)</f>
        <v>V</v>
      </c>
      <c r="AE310" s="49" t="str">
        <f>MID(VLOOKUP($A310,Seqs!$A:$B,2,FALSE),VLOOKUP($A310,'SegEnds_NonXtal_Prot#'!$A:$AL,22,FALSE)+9,1)</f>
        <v>P</v>
      </c>
      <c r="AF310" s="49" t="str">
        <f>MID(VLOOKUP($A310,Seqs!$A:$B,2,FALSE),VLOOKUP($A310,'SegEnds_NonXtal_Prot#'!$A:$AL,22,FALSE)+10,1)</f>
        <v>W</v>
      </c>
      <c r="AG310" s="28" t="str">
        <f>MID(VLOOKUP($A310,Seqs!$A:$B,2,FALSE),VLOOKUP($A310,'SegEnds_NonXtal_Prot#'!$A:$AL,28,FALSE)-4,1)</f>
        <v>P</v>
      </c>
      <c r="AH310" s="49" t="str">
        <f>MID(VLOOKUP($A310,Seqs!$A:$B,2,FALSE),VLOOKUP($A310,'SegEnds_NonXtal_Prot#'!$A:$AL,28,FALSE),1)</f>
        <v>C</v>
      </c>
    </row>
    <row r="311" spans="1:34" s="2" customFormat="1" x14ac:dyDescent="0.2">
      <c r="A311" s="2" t="s">
        <v>32</v>
      </c>
      <c r="B311" s="2" t="str">
        <f>LOWER(VLOOKUP(A311,Xtal_Templ!A:B,2,FALSE))</f>
        <v>glr_human</v>
      </c>
      <c r="C311" s="2" t="str">
        <f>VLOOKUP(A311,Classification!A:D,2,FALSE)</f>
        <v>B1</v>
      </c>
      <c r="D311" s="2" t="str">
        <f>IF(ISERROR(MATCH(A311,'SegEnds_Xtal_Prot#'!B:B, 0)), "NoXtal", "Xtal")</f>
        <v>Xtal</v>
      </c>
      <c r="H311" s="4"/>
      <c r="J311" s="106" t="s">
        <v>25</v>
      </c>
      <c r="P311" s="2" t="s">
        <v>1317</v>
      </c>
      <c r="T311" s="4" t="s">
        <v>12</v>
      </c>
      <c r="V311" s="28" t="str">
        <f>MID(VLOOKUP($A311,Seqs!$A:$B,2,FALSE),VLOOKUP($A311,'SegEnds_NonXtal_Prot#'!A:AL,10,FALSE),1)</f>
        <v>F</v>
      </c>
      <c r="W311" s="49" t="str">
        <f>MID(VLOOKUP($A311,Seqs!$A:$B,2,FALSE),VLOOKUP($A311,'SegEnds_NonXtal_Prot#'!A:AL,10,FALSE)+6,1)</f>
        <v>S</v>
      </c>
      <c r="X311" s="49" t="str">
        <f>MID(VLOOKUP($A311,Seqs!$A:$B,2,FALSE),VLOOKUP($A311,'SegEnds_NonXtal_Prot#'!A:AL,10,FALSE)+7,1)</f>
        <v>V</v>
      </c>
      <c r="Y311" s="49" t="str">
        <f>MID(VLOOKUP($A311,Seqs!$A:$B,2,FALSE),VLOOKUP($A311,'SegEnds_NonXtal_Prot#'!A:AL,10,FALSE)+8,1)</f>
        <v>L</v>
      </c>
      <c r="Z311" s="49" t="str">
        <f>MID(VLOOKUP($A311,Seqs!$A:$B,2,FALSE),VLOOKUP($A311,'SegEnds_NonXtal_Prot#'!A:AL,10,FALSE)+9,1)</f>
        <v>V</v>
      </c>
      <c r="AA311" s="49" t="str">
        <f>MID(VLOOKUP($A311,Seqs!$A:$B,2,FALSE),VLOOKUP($A311,'SegEnds_NonXtal_Prot#'!A:AL,10,FALSE)+10,1)</f>
        <v>I</v>
      </c>
      <c r="AB311" s="28" t="str">
        <f>MID(VLOOKUP($A311,Seqs!$A:$B,2,FALSE),VLOOKUP($A311,'SegEnds_NonXtal_Prot#'!$A:$AL,22,FALSE)+6,1)</f>
        <v>F</v>
      </c>
      <c r="AC311" s="49" t="str">
        <f>MID(VLOOKUP($A311,Seqs!$A:$B,2,FALSE),VLOOKUP($A311,'SegEnds_NonXtal_Prot#'!$A:$AL,22,FALSE)+7,1)</f>
        <v>V</v>
      </c>
      <c r="AD311" s="49" t="str">
        <f>MID(VLOOKUP($A311,Seqs!$A:$B,2,FALSE),VLOOKUP($A311,'SegEnds_NonXtal_Prot#'!$A:$AL,22,FALSE)+8,1)</f>
        <v>V</v>
      </c>
      <c r="AE311" s="49" t="str">
        <f>MID(VLOOKUP($A311,Seqs!$A:$B,2,FALSE),VLOOKUP($A311,'SegEnds_NonXtal_Prot#'!$A:$AL,22,FALSE)+9,1)</f>
        <v>P</v>
      </c>
      <c r="AF311" s="49" t="str">
        <f>MID(VLOOKUP($A311,Seqs!$A:$B,2,FALSE),VLOOKUP($A311,'SegEnds_NonXtal_Prot#'!$A:$AL,22,FALSE)+10,1)</f>
        <v>W</v>
      </c>
      <c r="AG311" s="28" t="str">
        <f>MID(VLOOKUP($A311,Seqs!$A:$B,2,FALSE),VLOOKUP($A311,'SegEnds_NonXtal_Prot#'!$A:$AL,28,FALSE)-4,1)</f>
        <v>P</v>
      </c>
      <c r="AH311" s="49" t="str">
        <f>MID(VLOOKUP($A311,Seqs!$A:$B,2,FALSE),VLOOKUP($A311,'SegEnds_NonXtal_Prot#'!$A:$AL,28,FALSE),1)</f>
        <v>A</v>
      </c>
    </row>
    <row r="312" spans="1:34" s="2" customFormat="1" x14ac:dyDescent="0.2">
      <c r="A312" s="2" t="s">
        <v>407</v>
      </c>
      <c r="B312" s="2" t="str">
        <f>LOWER(VLOOKUP(A312,Xtal_Templ!A:B,2,FALSE))</f>
        <v>pacr_human</v>
      </c>
      <c r="C312" s="2" t="str">
        <f>VLOOKUP(A312,Classification!A:D,2,FALSE)</f>
        <v>B1</v>
      </c>
      <c r="D312" s="2" t="str">
        <f>IF(ISERROR(MATCH(A312,'SegEnds_Xtal_Prot#'!B:B, 0)), "NoXtal", "Xtal")</f>
        <v>Xtal</v>
      </c>
      <c r="H312" s="4"/>
      <c r="J312" s="106" t="s">
        <v>25</v>
      </c>
      <c r="P312" s="2" t="s">
        <v>1317</v>
      </c>
      <c r="T312" s="4" t="s">
        <v>12</v>
      </c>
      <c r="V312" s="28" t="str">
        <f>MID(VLOOKUP($A312,Seqs!$A:$B,2,FALSE),VLOOKUP($A312,'SegEnds_NonXtal_Prot#'!A:AL,10,FALSE),1)</f>
        <v>F</v>
      </c>
      <c r="W312" s="49" t="str">
        <f>MID(VLOOKUP($A312,Seqs!$A:$B,2,FALSE),VLOOKUP($A312,'SegEnds_NonXtal_Prot#'!A:AL,10,FALSE)+6,1)</f>
        <v>S</v>
      </c>
      <c r="X312" s="49" t="str">
        <f>MID(VLOOKUP($A312,Seqs!$A:$B,2,FALSE),VLOOKUP($A312,'SegEnds_NonXtal_Prot#'!A:AL,10,FALSE)+7,1)</f>
        <v>V</v>
      </c>
      <c r="Y312" s="49" t="str">
        <f>MID(VLOOKUP($A312,Seqs!$A:$B,2,FALSE),VLOOKUP($A312,'SegEnds_NonXtal_Prot#'!A:AL,10,FALSE)+8,1)</f>
        <v>F</v>
      </c>
      <c r="Z312" s="49" t="str">
        <f>MID(VLOOKUP($A312,Seqs!$A:$B,2,FALSE),VLOOKUP($A312,'SegEnds_NonXtal_Prot#'!A:AL,10,FALSE)+9,1)</f>
        <v>I</v>
      </c>
      <c r="AA312" s="49" t="str">
        <f>MID(VLOOKUP($A312,Seqs!$A:$B,2,FALSE),VLOOKUP($A312,'SegEnds_NonXtal_Prot#'!A:AL,10,FALSE)+10,1)</f>
        <v>K</v>
      </c>
      <c r="AB312" s="28" t="str">
        <f>MID(VLOOKUP($A312,Seqs!$A:$B,2,FALSE),VLOOKUP($A312,'SegEnds_NonXtal_Prot#'!$A:$AL,22,FALSE)+6,1)</f>
        <v>C</v>
      </c>
      <c r="AC312" s="49" t="str">
        <f>MID(VLOOKUP($A312,Seqs!$A:$B,2,FALSE),VLOOKUP($A312,'SegEnds_NonXtal_Prot#'!$A:$AL,22,FALSE)+7,1)</f>
        <v>V</v>
      </c>
      <c r="AD312" s="49" t="str">
        <f>MID(VLOOKUP($A312,Seqs!$A:$B,2,FALSE),VLOOKUP($A312,'SegEnds_NonXtal_Prot#'!$A:$AL,22,FALSE)+8,1)</f>
        <v>T</v>
      </c>
      <c r="AE312" s="49" t="str">
        <f>MID(VLOOKUP($A312,Seqs!$A:$B,2,FALSE),VLOOKUP($A312,'SegEnds_NonXtal_Prot#'!$A:$AL,22,FALSE)+9,1)</f>
        <v>V</v>
      </c>
      <c r="AF312" s="49" t="str">
        <f>MID(VLOOKUP($A312,Seqs!$A:$B,2,FALSE),VLOOKUP($A312,'SegEnds_NonXtal_Prot#'!$A:$AL,22,FALSE)+10,1)</f>
        <v>W</v>
      </c>
      <c r="AG312" s="28" t="str">
        <f>MID(VLOOKUP($A312,Seqs!$A:$B,2,FALSE),VLOOKUP($A312,'SegEnds_NonXtal_Prot#'!$A:$AL,28,FALSE)-4,1)</f>
        <v>P</v>
      </c>
      <c r="AH312" s="49" t="str">
        <f>MID(VLOOKUP($A312,Seqs!$A:$B,2,FALSE),VLOOKUP($A312,'SegEnds_NonXtal_Prot#'!$A:$AL,28,FALSE),1)</f>
        <v>S</v>
      </c>
    </row>
    <row r="313" spans="1:34" s="2" customFormat="1" x14ac:dyDescent="0.2">
      <c r="A313" s="2" t="s">
        <v>408</v>
      </c>
      <c r="B313" s="2" t="str">
        <f>LOWER(VLOOKUP(A313,Xtal_Templ!A:B,2,FALSE))</f>
        <v>pth1r_human</v>
      </c>
      <c r="C313" s="2" t="str">
        <f>VLOOKUP(A313,Classification!A:D,2,FALSE)</f>
        <v>B1</v>
      </c>
      <c r="D313" s="2" t="str">
        <f>IF(ISERROR(MATCH(A313,'SegEnds_Xtal_Prot#'!B:B, 0)), "NoXtal", "Xtal")</f>
        <v>Xtal</v>
      </c>
      <c r="H313" s="4"/>
      <c r="J313" s="106" t="s">
        <v>25</v>
      </c>
      <c r="P313" s="2" t="s">
        <v>1317</v>
      </c>
      <c r="T313" s="4" t="s">
        <v>12</v>
      </c>
      <c r="V313" s="28" t="str">
        <f>MID(VLOOKUP($A313,Seqs!$A:$B,2,FALSE),VLOOKUP($A313,'SegEnds_NonXtal_Prot#'!A:AL,10,FALSE),1)</f>
        <v>F</v>
      </c>
      <c r="W313" s="49" t="str">
        <f>MID(VLOOKUP($A313,Seqs!$A:$B,2,FALSE),VLOOKUP($A313,'SegEnds_NonXtal_Prot#'!A:AL,10,FALSE)+6,1)</f>
        <v>S</v>
      </c>
      <c r="X313" s="49" t="str">
        <f>MID(VLOOKUP($A313,Seqs!$A:$B,2,FALSE),VLOOKUP($A313,'SegEnds_NonXtal_Prot#'!A:AL,10,FALSE)+7,1)</f>
        <v>I</v>
      </c>
      <c r="Y313" s="49" t="str">
        <f>MID(VLOOKUP($A313,Seqs!$A:$B,2,FALSE),VLOOKUP($A313,'SegEnds_NonXtal_Prot#'!A:AL,10,FALSE)+8,1)</f>
        <v>F</v>
      </c>
      <c r="Z313" s="49" t="str">
        <f>MID(VLOOKUP($A313,Seqs!$A:$B,2,FALSE),VLOOKUP($A313,'SegEnds_NonXtal_Prot#'!A:AL,10,FALSE)+9,1)</f>
        <v>V</v>
      </c>
      <c r="AA313" s="49" t="str">
        <f>MID(VLOOKUP($A313,Seqs!$A:$B,2,FALSE),VLOOKUP($A313,'SegEnds_NonXtal_Prot#'!A:AL,10,FALSE)+10,1)</f>
        <v>K</v>
      </c>
      <c r="AB313" s="28" t="str">
        <f>MID(VLOOKUP($A313,Seqs!$A:$B,2,FALSE),VLOOKUP($A313,'SegEnds_NonXtal_Prot#'!$A:$AL,22,FALSE)+6,1)</f>
        <v>F</v>
      </c>
      <c r="AC313" s="49" t="str">
        <f>MID(VLOOKUP($A313,Seqs!$A:$B,2,FALSE),VLOOKUP($A313,'SegEnds_NonXtal_Prot#'!$A:$AL,22,FALSE)+7,1)</f>
        <v>V</v>
      </c>
      <c r="AD313" s="49" t="str">
        <f>MID(VLOOKUP($A313,Seqs!$A:$B,2,FALSE),VLOOKUP($A313,'SegEnds_NonXtal_Prot#'!$A:$AL,22,FALSE)+8,1)</f>
        <v>A</v>
      </c>
      <c r="AE313" s="49" t="str">
        <f>MID(VLOOKUP($A313,Seqs!$A:$B,2,FALSE),VLOOKUP($A313,'SegEnds_NonXtal_Prot#'!$A:$AL,22,FALSE)+9,1)</f>
        <v>V</v>
      </c>
      <c r="AF313" s="49" t="str">
        <f>MID(VLOOKUP($A313,Seqs!$A:$B,2,FALSE),VLOOKUP($A313,'SegEnds_NonXtal_Prot#'!$A:$AL,22,FALSE)+10,1)</f>
        <v>W</v>
      </c>
      <c r="AG313" s="28" t="str">
        <f>MID(VLOOKUP($A313,Seqs!$A:$B,2,FALSE),VLOOKUP($A313,'SegEnds_NonXtal_Prot#'!$A:$AL,28,FALSE)-4,1)</f>
        <v>P</v>
      </c>
      <c r="AH313" s="49" t="str">
        <f>MID(VLOOKUP($A313,Seqs!$A:$B,2,FALSE),VLOOKUP($A313,'SegEnds_NonXtal_Prot#'!$A:$AL,28,FALSE),1)</f>
        <v>S</v>
      </c>
    </row>
    <row r="314" spans="1:34" s="2" customFormat="1" x14ac:dyDescent="0.2">
      <c r="A314" s="2" t="s">
        <v>409</v>
      </c>
      <c r="B314" s="2" t="str">
        <f>LOWER(VLOOKUP(A314,Xtal_Templ!A:B,2,FALSE))</f>
        <v>pth1r_human</v>
      </c>
      <c r="C314" s="2" t="str">
        <f>VLOOKUP(A314,Classification!A:D,2,FALSE)</f>
        <v>B1</v>
      </c>
      <c r="D314" s="2" t="str">
        <f>IF(ISERROR(MATCH(A314,'SegEnds_Xtal_Prot#'!B:B, 0)), "NoXtal", "Xtal")</f>
        <v>NoXtal</v>
      </c>
      <c r="H314" s="4"/>
      <c r="J314" s="106" t="s">
        <v>25</v>
      </c>
      <c r="P314" s="2" t="s">
        <v>1317</v>
      </c>
      <c r="T314" s="4" t="s">
        <v>12</v>
      </c>
      <c r="V314" s="28" t="str">
        <f>MID(VLOOKUP($A314,Seqs!$A:$B,2,FALSE),VLOOKUP($A314,'SegEnds_NonXtal_Prot#'!A:AL,10,FALSE),1)</f>
        <v>F</v>
      </c>
      <c r="W314" s="49" t="str">
        <f>MID(VLOOKUP($A314,Seqs!$A:$B,2,FALSE),VLOOKUP($A314,'SegEnds_NonXtal_Prot#'!A:AL,10,FALSE)+6,1)</f>
        <v>S</v>
      </c>
      <c r="X314" s="49" t="str">
        <f>MID(VLOOKUP($A314,Seqs!$A:$B,2,FALSE),VLOOKUP($A314,'SegEnds_NonXtal_Prot#'!A:AL,10,FALSE)+7,1)</f>
        <v>I</v>
      </c>
      <c r="Y314" s="49" t="str">
        <f>MID(VLOOKUP($A314,Seqs!$A:$B,2,FALSE),VLOOKUP($A314,'SegEnds_NonXtal_Prot#'!A:AL,10,FALSE)+8,1)</f>
        <v>F</v>
      </c>
      <c r="Z314" s="49" t="str">
        <f>MID(VLOOKUP($A314,Seqs!$A:$B,2,FALSE),VLOOKUP($A314,'SegEnds_NonXtal_Prot#'!A:AL,10,FALSE)+9,1)</f>
        <v>V</v>
      </c>
      <c r="AA314" s="49" t="str">
        <f>MID(VLOOKUP($A314,Seqs!$A:$B,2,FALSE),VLOOKUP($A314,'SegEnds_NonXtal_Prot#'!A:AL,10,FALSE)+10,1)</f>
        <v>K</v>
      </c>
      <c r="AB314" s="28" t="str">
        <f>MID(VLOOKUP($A314,Seqs!$A:$B,2,FALSE),VLOOKUP($A314,'SegEnds_NonXtal_Prot#'!$A:$AL,22,FALSE)+6,1)</f>
        <v>F</v>
      </c>
      <c r="AC314" s="49" t="str">
        <f>MID(VLOOKUP($A314,Seqs!$A:$B,2,FALSE),VLOOKUP($A314,'SegEnds_NonXtal_Prot#'!$A:$AL,22,FALSE)+7,1)</f>
        <v>V</v>
      </c>
      <c r="AD314" s="49" t="str">
        <f>MID(VLOOKUP($A314,Seqs!$A:$B,2,FALSE),VLOOKUP($A314,'SegEnds_NonXtal_Prot#'!$A:$AL,22,FALSE)+8,1)</f>
        <v>A</v>
      </c>
      <c r="AE314" s="49" t="str">
        <f>MID(VLOOKUP($A314,Seqs!$A:$B,2,FALSE),VLOOKUP($A314,'SegEnds_NonXtal_Prot#'!$A:$AL,22,FALSE)+9,1)</f>
        <v>A</v>
      </c>
      <c r="AF314" s="49" t="str">
        <f>MID(VLOOKUP($A314,Seqs!$A:$B,2,FALSE),VLOOKUP($A314,'SegEnds_NonXtal_Prot#'!$A:$AL,22,FALSE)+10,1)</f>
        <v>W</v>
      </c>
      <c r="AG314" s="28" t="str">
        <f>MID(VLOOKUP($A314,Seqs!$A:$B,2,FALSE),VLOOKUP($A314,'SegEnds_NonXtal_Prot#'!$A:$AL,28,FALSE)-4,1)</f>
        <v>P</v>
      </c>
      <c r="AH314" s="49" t="str">
        <f>MID(VLOOKUP($A314,Seqs!$A:$B,2,FALSE),VLOOKUP($A314,'SegEnds_NonXtal_Prot#'!$A:$AL,28,FALSE),1)</f>
        <v>A</v>
      </c>
    </row>
    <row r="315" spans="1:34" s="2" customFormat="1" x14ac:dyDescent="0.2">
      <c r="A315" s="2" t="s">
        <v>410</v>
      </c>
      <c r="B315" s="2" t="str">
        <f>LOWER(VLOOKUP(A315,Xtal_Templ!A:B,2,FALSE))</f>
        <v>pacr_human</v>
      </c>
      <c r="C315" s="2" t="str">
        <f>VLOOKUP(A315,Classification!A:D,2,FALSE)</f>
        <v>B1</v>
      </c>
      <c r="D315" s="2" t="str">
        <f>IF(ISERROR(MATCH(A315,'SegEnds_Xtal_Prot#'!B:B, 0)), "NoXtal", "Xtal")</f>
        <v>NoXtal</v>
      </c>
      <c r="H315" s="4"/>
      <c r="J315" s="106" t="s">
        <v>25</v>
      </c>
      <c r="P315" s="2" t="s">
        <v>1317</v>
      </c>
      <c r="T315" s="4" t="s">
        <v>12</v>
      </c>
      <c r="V315" s="28" t="str">
        <f>MID(VLOOKUP($A315,Seqs!$A:$B,2,FALSE),VLOOKUP($A315,'SegEnds_NonXtal_Prot#'!A:AL,10,FALSE),1)</f>
        <v>F</v>
      </c>
      <c r="W315" s="49" t="str">
        <f>MID(VLOOKUP($A315,Seqs!$A:$B,2,FALSE),VLOOKUP($A315,'SegEnds_NonXtal_Prot#'!A:AL,10,FALSE)+6,1)</f>
        <v>S</v>
      </c>
      <c r="X315" s="49" t="str">
        <f>MID(VLOOKUP($A315,Seqs!$A:$B,2,FALSE),VLOOKUP($A315,'SegEnds_NonXtal_Prot#'!A:AL,10,FALSE)+7,1)</f>
        <v>N</v>
      </c>
      <c r="Y315" s="49" t="str">
        <f>MID(VLOOKUP($A315,Seqs!$A:$B,2,FALSE),VLOOKUP($A315,'SegEnds_NonXtal_Prot#'!A:AL,10,FALSE)+8,1)</f>
        <v>F</v>
      </c>
      <c r="Z315" s="49" t="str">
        <f>MID(VLOOKUP($A315,Seqs!$A:$B,2,FALSE),VLOOKUP($A315,'SegEnds_NonXtal_Prot#'!A:AL,10,FALSE)+9,1)</f>
        <v>I</v>
      </c>
      <c r="AA315" s="49" t="str">
        <f>MID(VLOOKUP($A315,Seqs!$A:$B,2,FALSE),VLOOKUP($A315,'SegEnds_NonXtal_Prot#'!A:AL,10,FALSE)+10,1)</f>
        <v>K</v>
      </c>
      <c r="AB315" s="28" t="str">
        <f>MID(VLOOKUP($A315,Seqs!$A:$B,2,FALSE),VLOOKUP($A315,'SegEnds_NonXtal_Prot#'!$A:$AL,22,FALSE)+6,1)</f>
        <v>F</v>
      </c>
      <c r="AC315" s="49" t="str">
        <f>MID(VLOOKUP($A315,Seqs!$A:$B,2,FALSE),VLOOKUP($A315,'SegEnds_NonXtal_Prot#'!$A:$AL,22,FALSE)+7,1)</f>
        <v>V</v>
      </c>
      <c r="AD315" s="49" t="str">
        <f>MID(VLOOKUP($A315,Seqs!$A:$B,2,FALSE),VLOOKUP($A315,'SegEnds_NonXtal_Prot#'!$A:$AL,22,FALSE)+8,1)</f>
        <v>A</v>
      </c>
      <c r="AE315" s="49" t="str">
        <f>MID(VLOOKUP($A315,Seqs!$A:$B,2,FALSE),VLOOKUP($A315,'SegEnds_NonXtal_Prot#'!$A:$AL,22,FALSE)+9,1)</f>
        <v>L</v>
      </c>
      <c r="AF315" s="49" t="str">
        <f>MID(VLOOKUP($A315,Seqs!$A:$B,2,FALSE),VLOOKUP($A315,'SegEnds_NonXtal_Prot#'!$A:$AL,22,FALSE)+10,1)</f>
        <v>W</v>
      </c>
      <c r="AG315" s="28" t="str">
        <f>MID(VLOOKUP($A315,Seqs!$A:$B,2,FALSE),VLOOKUP($A315,'SegEnds_NonXtal_Prot#'!$A:$AL,28,FALSE)-4,1)</f>
        <v>P</v>
      </c>
      <c r="AH315" s="49" t="str">
        <f>MID(VLOOKUP($A315,Seqs!$A:$B,2,FALSE),VLOOKUP($A315,'SegEnds_NonXtal_Prot#'!$A:$AL,28,FALSE),1)</f>
        <v>S</v>
      </c>
    </row>
    <row r="316" spans="1:34" s="2" customFormat="1" x14ac:dyDescent="0.2">
      <c r="A316" s="2" t="s">
        <v>411</v>
      </c>
      <c r="B316" s="2" t="str">
        <f>LOWER(VLOOKUP(A316,Xtal_Templ!A:B,2,FALSE))</f>
        <v>pacr_human</v>
      </c>
      <c r="C316" s="2" t="str">
        <f>VLOOKUP(A316,Classification!A:D,2,FALSE)</f>
        <v>B1</v>
      </c>
      <c r="D316" s="2" t="str">
        <f>IF(ISERROR(MATCH(A316,'SegEnds_Xtal_Prot#'!B:B, 0)), "NoXtal", "Xtal")</f>
        <v>NoXtal</v>
      </c>
      <c r="H316" s="4"/>
      <c r="J316" s="106" t="s">
        <v>25</v>
      </c>
      <c r="P316" s="2" t="s">
        <v>1317</v>
      </c>
      <c r="T316" s="4" t="s">
        <v>12</v>
      </c>
      <c r="V316" s="28" t="str">
        <f>MID(VLOOKUP($A316,Seqs!$A:$B,2,FALSE),VLOOKUP($A316,'SegEnds_NonXtal_Prot#'!A:AL,10,FALSE),1)</f>
        <v>F</v>
      </c>
      <c r="W316" s="49" t="str">
        <f>MID(VLOOKUP($A316,Seqs!$A:$B,2,FALSE),VLOOKUP($A316,'SegEnds_NonXtal_Prot#'!A:AL,10,FALSE)+6,1)</f>
        <v>A</v>
      </c>
      <c r="X316" s="49" t="str">
        <f>MID(VLOOKUP($A316,Seqs!$A:$B,2,FALSE),VLOOKUP($A316,'SegEnds_NonXtal_Prot#'!A:AL,10,FALSE)+7,1)</f>
        <v>V</v>
      </c>
      <c r="Y316" s="49" t="str">
        <f>MID(VLOOKUP($A316,Seqs!$A:$B,2,FALSE),VLOOKUP($A316,'SegEnds_NonXtal_Prot#'!A:AL,10,FALSE)+8,1)</f>
        <v>F</v>
      </c>
      <c r="Z316" s="49" t="str">
        <f>MID(VLOOKUP($A316,Seqs!$A:$B,2,FALSE),VLOOKUP($A316,'SegEnds_NonXtal_Prot#'!A:AL,10,FALSE)+9,1)</f>
        <v>I</v>
      </c>
      <c r="AA316" s="49" t="str">
        <f>MID(VLOOKUP($A316,Seqs!$A:$B,2,FALSE),VLOOKUP($A316,'SegEnds_NonXtal_Prot#'!A:AL,10,FALSE)+10,1)</f>
        <v>K</v>
      </c>
      <c r="AB316" s="28" t="str">
        <f>MID(VLOOKUP($A316,Seqs!$A:$B,2,FALSE),VLOOKUP($A316,'SegEnds_NonXtal_Prot#'!$A:$AL,22,FALSE)+6,1)</f>
        <v>F</v>
      </c>
      <c r="AC316" s="49" t="str">
        <f>MID(VLOOKUP($A316,Seqs!$A:$B,2,FALSE),VLOOKUP($A316,'SegEnds_NonXtal_Prot#'!$A:$AL,22,FALSE)+7,1)</f>
        <v>T</v>
      </c>
      <c r="AD316" s="49" t="str">
        <f>MID(VLOOKUP($A316,Seqs!$A:$B,2,FALSE),VLOOKUP($A316,'SegEnds_NonXtal_Prot#'!$A:$AL,22,FALSE)+8,1)</f>
        <v>M</v>
      </c>
      <c r="AE316" s="49" t="str">
        <f>MID(VLOOKUP($A316,Seqs!$A:$B,2,FALSE),VLOOKUP($A316,'SegEnds_NonXtal_Prot#'!$A:$AL,22,FALSE)+9,1)</f>
        <v>V</v>
      </c>
      <c r="AF316" s="49" t="str">
        <f>MID(VLOOKUP($A316,Seqs!$A:$B,2,FALSE),VLOOKUP($A316,'SegEnds_NonXtal_Prot#'!$A:$AL,22,FALSE)+10,1)</f>
        <v>W</v>
      </c>
      <c r="AG316" s="28" t="str">
        <f>MID(VLOOKUP($A316,Seqs!$A:$B,2,FALSE),VLOOKUP($A316,'SegEnds_NonXtal_Prot#'!$A:$AL,28,FALSE)-4,1)</f>
        <v>P</v>
      </c>
      <c r="AH316" s="49" t="str">
        <f>MID(VLOOKUP($A316,Seqs!$A:$B,2,FALSE),VLOOKUP($A316,'SegEnds_NonXtal_Prot#'!$A:$AL,28,FALSE),1)</f>
        <v>S</v>
      </c>
    </row>
    <row r="317" spans="1:34" s="2" customFormat="1" x14ac:dyDescent="0.2">
      <c r="A317" s="2" t="s">
        <v>412</v>
      </c>
      <c r="B317" s="2" t="str">
        <f>LOWER(VLOOKUP(A317,Xtal_Templ!A:B,2,FALSE))</f>
        <v>pacr_human</v>
      </c>
      <c r="C317" s="2" t="str">
        <f>VLOOKUP(A317,Classification!A:D,2,FALSE)</f>
        <v>B1</v>
      </c>
      <c r="D317" s="2" t="str">
        <f>IF(ISERROR(MATCH(A317,'SegEnds_Xtal_Prot#'!B:B, 0)), "NoXtal", "Xtal")</f>
        <v>NoXtal</v>
      </c>
      <c r="H317" s="4"/>
      <c r="J317" s="106" t="s">
        <v>25</v>
      </c>
      <c r="P317" s="2" t="s">
        <v>1317</v>
      </c>
      <c r="T317" s="4" t="s">
        <v>12</v>
      </c>
      <c r="V317" s="28" t="str">
        <f>MID(VLOOKUP($A317,Seqs!$A:$B,2,FALSE),VLOOKUP($A317,'SegEnds_NonXtal_Prot#'!A:AL,10,FALSE),1)</f>
        <v>F</v>
      </c>
      <c r="W317" s="49" t="str">
        <f>MID(VLOOKUP($A317,Seqs!$A:$B,2,FALSE),VLOOKUP($A317,'SegEnds_NonXtal_Prot#'!A:AL,10,FALSE)+6,1)</f>
        <v>S</v>
      </c>
      <c r="X317" s="49" t="str">
        <f>MID(VLOOKUP($A317,Seqs!$A:$B,2,FALSE),VLOOKUP($A317,'SegEnds_NonXtal_Prot#'!A:AL,10,FALSE)+7,1)</f>
        <v>V</v>
      </c>
      <c r="Y317" s="49" t="str">
        <f>MID(VLOOKUP($A317,Seqs!$A:$B,2,FALSE),VLOOKUP($A317,'SegEnds_NonXtal_Prot#'!A:AL,10,FALSE)+8,1)</f>
        <v>L</v>
      </c>
      <c r="Z317" s="49" t="str">
        <f>MID(VLOOKUP($A317,Seqs!$A:$B,2,FALSE),VLOOKUP($A317,'SegEnds_NonXtal_Prot#'!A:AL,10,FALSE)+9,1)</f>
        <v>V</v>
      </c>
      <c r="AA317" s="49" t="str">
        <f>MID(VLOOKUP($A317,Seqs!$A:$B,2,FALSE),VLOOKUP($A317,'SegEnds_NonXtal_Prot#'!A:AL,10,FALSE)+10,1)</f>
        <v>K</v>
      </c>
      <c r="AB317" s="28" t="str">
        <f>MID(VLOOKUP($A317,Seqs!$A:$B,2,FALSE),VLOOKUP($A317,'SegEnds_NonXtal_Prot#'!$A:$AL,22,FALSE)+6,1)</f>
        <v>C</v>
      </c>
      <c r="AC317" s="49" t="str">
        <f>MID(VLOOKUP($A317,Seqs!$A:$B,2,FALSE),VLOOKUP($A317,'SegEnds_NonXtal_Prot#'!$A:$AL,22,FALSE)+7,1)</f>
        <v>I</v>
      </c>
      <c r="AD317" s="49" t="str">
        <f>MID(VLOOKUP($A317,Seqs!$A:$B,2,FALSE),VLOOKUP($A317,'SegEnds_NonXtal_Prot#'!$A:$AL,22,FALSE)+8,1)</f>
        <v>G</v>
      </c>
      <c r="AE317" s="49" t="str">
        <f>MID(VLOOKUP($A317,Seqs!$A:$B,2,FALSE),VLOOKUP($A317,'SegEnds_NonXtal_Prot#'!$A:$AL,22,FALSE)+9,1)</f>
        <v>A</v>
      </c>
      <c r="AF317" s="49" t="str">
        <f>MID(VLOOKUP($A317,Seqs!$A:$B,2,FALSE),VLOOKUP($A317,'SegEnds_NonXtal_Prot#'!$A:$AL,22,FALSE)+10,1)</f>
        <v>W</v>
      </c>
      <c r="AG317" s="28" t="str">
        <f>MID(VLOOKUP($A317,Seqs!$A:$B,2,FALSE),VLOOKUP($A317,'SegEnds_NonXtal_Prot#'!$A:$AL,28,FALSE)-4,1)</f>
        <v>P</v>
      </c>
      <c r="AH317" s="49" t="str">
        <f>MID(VLOOKUP($A317,Seqs!$A:$B,2,FALSE),VLOOKUP($A317,'SegEnds_NonXtal_Prot#'!$A:$AL,28,FALSE),1)</f>
        <v>S</v>
      </c>
    </row>
    <row r="318" spans="1:34" s="2" customFormat="1" x14ac:dyDescent="0.2">
      <c r="A318" s="2" t="s">
        <v>1414</v>
      </c>
      <c r="B318" s="2" t="str">
        <f>LOWER(VLOOKUP(A318,Xtal_Templ!A:B,2,FALSE))</f>
        <v>g1sgd4_rabit</v>
      </c>
      <c r="C318" s="2" t="str">
        <f>VLOOKUP(A318,Classification!A:D,2,FALSE)</f>
        <v>B1</v>
      </c>
      <c r="D318" s="2" t="str">
        <f>IF(ISERROR(MATCH(A318,'SegEnds_Xtal_Prot#'!B:B, 0)), "NoXtal", "Xtal")</f>
        <v>Xtal</v>
      </c>
      <c r="H318" s="4"/>
      <c r="J318" s="106" t="s">
        <v>25</v>
      </c>
      <c r="P318" s="2" t="s">
        <v>1317</v>
      </c>
      <c r="T318" s="4" t="s">
        <v>12</v>
      </c>
      <c r="V318" s="28" t="str">
        <f>MID(VLOOKUP($A318,Seqs!$A:$B,2,FALSE),VLOOKUP($A318,'SegEnds_NonXtal_Prot#'!A:AL,10,FALSE),1)</f>
        <v>F</v>
      </c>
      <c r="W318" s="49" t="str">
        <f>MID(VLOOKUP($A318,Seqs!$A:$B,2,FALSE),VLOOKUP($A318,'SegEnds_NonXtal_Prot#'!A:AL,10,FALSE)+6,1)</f>
        <v>S</v>
      </c>
      <c r="X318" s="49" t="str">
        <f>MID(VLOOKUP($A318,Seqs!$A:$B,2,FALSE),VLOOKUP($A318,'SegEnds_NonXtal_Prot#'!A:AL,10,FALSE)+7,1)</f>
        <v>V</v>
      </c>
      <c r="Y318" s="49" t="str">
        <f>MID(VLOOKUP($A318,Seqs!$A:$B,2,FALSE),VLOOKUP($A318,'SegEnds_NonXtal_Prot#'!A:AL,10,FALSE)+8,1)</f>
        <v>F</v>
      </c>
      <c r="Z318" s="49" t="str">
        <f>MID(VLOOKUP($A318,Seqs!$A:$B,2,FALSE),VLOOKUP($A318,'SegEnds_NonXtal_Prot#'!A:AL,10,FALSE)+9,1)</f>
        <v>I</v>
      </c>
      <c r="AA318" s="49" t="str">
        <f>MID(VLOOKUP($A318,Seqs!$A:$B,2,FALSE),VLOOKUP($A318,'SegEnds_NonXtal_Prot#'!A:AL,10,FALSE)+10,1)</f>
        <v>K</v>
      </c>
      <c r="AB318" s="28" t="str">
        <f>MID(VLOOKUP($A318,Seqs!$A:$B,2,FALSE),VLOOKUP($A318,'SegEnds_NonXtal_Prot#'!$A:$AL,22,FALSE)+6,1)</f>
        <v>F</v>
      </c>
      <c r="AC318" s="49" t="str">
        <f>MID(VLOOKUP($A318,Seqs!$A:$B,2,FALSE),VLOOKUP($A318,'SegEnds_NonXtal_Prot#'!$A:$AL,22,FALSE)+7,1)</f>
        <v>V</v>
      </c>
      <c r="AD318" s="49" t="str">
        <f>MID(VLOOKUP($A318,Seqs!$A:$B,2,FALSE),VLOOKUP($A318,'SegEnds_NonXtal_Prot#'!$A:$AL,22,FALSE)+8,1)</f>
        <v>I</v>
      </c>
      <c r="AE318" s="49" t="str">
        <f>MID(VLOOKUP($A318,Seqs!$A:$B,2,FALSE),VLOOKUP($A318,'SegEnds_NonXtal_Prot#'!$A:$AL,22,FALSE)+9,1)</f>
        <v>P</v>
      </c>
      <c r="AF318" s="49" t="str">
        <f>MID(VLOOKUP($A318,Seqs!$A:$B,2,FALSE),VLOOKUP($A318,'SegEnds_NonXtal_Prot#'!$A:$AL,22,FALSE)+10,1)</f>
        <v>W</v>
      </c>
      <c r="AG318" s="28" t="str">
        <f>MID(VLOOKUP($A318,Seqs!$A:$B,2,FALSE),VLOOKUP($A318,'SegEnds_NonXtal_Prot#'!$A:$AL,28,FALSE)-4,1)</f>
        <v>P</v>
      </c>
      <c r="AH318" s="49" t="str">
        <f>MID(VLOOKUP($A318,Seqs!$A:$B,2,FALSE),VLOOKUP($A318,'SegEnds_NonXtal_Prot#'!$A:$AL,28,FALSE),1)</f>
        <v>A</v>
      </c>
    </row>
    <row r="319" spans="1:34" s="2" customFormat="1" x14ac:dyDescent="0.2">
      <c r="A319" s="2" t="s">
        <v>1170</v>
      </c>
      <c r="B319" s="2" t="str">
        <f>LOWER(VLOOKUP(A319,Xtal_Templ!A:B,2,FALSE))</f>
        <v>pacr_human</v>
      </c>
      <c r="C319" s="2" t="str">
        <f>VLOOKUP(A319,Classification!A:D,2,FALSE)</f>
        <v>B2</v>
      </c>
      <c r="D319" s="2" t="str">
        <f>IF(ISERROR(MATCH(A319,'SegEnds_Xtal_Prot#'!B:B, 0)), "NoXtal", "Xtal")</f>
        <v>NoXtal</v>
      </c>
      <c r="H319" s="4"/>
      <c r="J319" s="106" t="s">
        <v>25</v>
      </c>
      <c r="T319" s="4" t="s">
        <v>12</v>
      </c>
      <c r="V319" s="28" t="str">
        <f>MID(VLOOKUP($A319,Seqs!$A:$B,2,FALSE),VLOOKUP($A319,'SegEnds_NonXtal_Prot#'!A:AL,10,FALSE),1)</f>
        <v>F</v>
      </c>
      <c r="W319" s="49" t="str">
        <f>MID(VLOOKUP($A319,Seqs!$A:$B,2,FALSE),VLOOKUP($A319,'SegEnds_NonXtal_Prot#'!A:AL,10,FALSE)+6,1)</f>
        <v>F</v>
      </c>
      <c r="X319" s="49" t="str">
        <f>MID(VLOOKUP($A319,Seqs!$A:$B,2,FALSE),VLOOKUP($A319,'SegEnds_NonXtal_Prot#'!A:AL,10,FALSE)+7,1)</f>
        <v>T</v>
      </c>
      <c r="Y319" s="49" t="str">
        <f>MID(VLOOKUP($A319,Seqs!$A:$B,2,FALSE),VLOOKUP($A319,'SegEnds_NonXtal_Prot#'!A:AL,10,FALSE)+8,1)</f>
        <v>V</v>
      </c>
      <c r="Z319" s="49" t="str">
        <f>MID(VLOOKUP($A319,Seqs!$A:$B,2,FALSE),VLOOKUP($A319,'SegEnds_NonXtal_Prot#'!A:AL,10,FALSE)+9,1)</f>
        <v>F</v>
      </c>
      <c r="AA319" s="49" t="str">
        <f>MID(VLOOKUP($A319,Seqs!$A:$B,2,FALSE),VLOOKUP($A319,'SegEnds_NonXtal_Prot#'!A:AL,10,FALSE)+10,1)</f>
        <v>A</v>
      </c>
      <c r="AB319" s="28" t="str">
        <f>MID(VLOOKUP($A319,Seqs!$A:$B,2,FALSE),VLOOKUP($A319,'SegEnds_NonXtal_Prot#'!$A:$AL,22,FALSE)+6,1)</f>
        <v>I</v>
      </c>
      <c r="AC319" s="49" t="str">
        <f>MID(VLOOKUP($A319,Seqs!$A:$B,2,FALSE),VLOOKUP($A319,'SegEnds_NonXtal_Prot#'!$A:$AL,22,FALSE)+7,1)</f>
        <v>C</v>
      </c>
      <c r="AD319" s="49" t="str">
        <f>MID(VLOOKUP($A319,Seqs!$A:$B,2,FALSE),VLOOKUP($A319,'SegEnds_NonXtal_Prot#'!$A:$AL,22,FALSE)+8,1)</f>
        <v>G</v>
      </c>
      <c r="AE319" s="49" t="str">
        <f>MID(VLOOKUP($A319,Seqs!$A:$B,2,FALSE),VLOOKUP($A319,'SegEnds_NonXtal_Prot#'!$A:$AL,22,FALSE)+9,1)</f>
        <v>V</v>
      </c>
      <c r="AF319" s="49" t="str">
        <f>MID(VLOOKUP($A319,Seqs!$A:$B,2,FALSE),VLOOKUP($A319,'SegEnds_NonXtal_Prot#'!$A:$AL,22,FALSE)+10,1)</f>
        <v>T</v>
      </c>
      <c r="AG319" s="28" t="str">
        <f>MID(VLOOKUP($A319,Seqs!$A:$B,2,FALSE),VLOOKUP($A319,'SegEnds_NonXtal_Prot#'!$A:$AL,28,FALSE)-4,1)</f>
        <v>P</v>
      </c>
      <c r="AH319" s="49" t="str">
        <f>MID(VLOOKUP($A319,Seqs!$A:$B,2,FALSE),VLOOKUP($A319,'SegEnds_NonXtal_Prot#'!$A:$AL,28,FALSE),1)</f>
        <v>I</v>
      </c>
    </row>
    <row r="320" spans="1:34" s="2" customFormat="1" x14ac:dyDescent="0.2">
      <c r="A320" s="2" t="s">
        <v>1171</v>
      </c>
      <c r="B320" s="2" t="str">
        <f>LOWER(VLOOKUP(A320,Xtal_Templ!A:B,2,FALSE))</f>
        <v>crfr1_human</v>
      </c>
      <c r="C320" s="2" t="str">
        <f>VLOOKUP(A320,Classification!A:D,2,FALSE)</f>
        <v>B2</v>
      </c>
      <c r="D320" s="2" t="str">
        <f>IF(ISERROR(MATCH(A320,'SegEnds_Xtal_Prot#'!B:B, 0)), "NoXtal", "Xtal")</f>
        <v>NoXtal</v>
      </c>
      <c r="H320" s="4"/>
      <c r="J320" s="106" t="s">
        <v>25</v>
      </c>
      <c r="T320" s="4" t="s">
        <v>12</v>
      </c>
      <c r="V320" s="28" t="str">
        <f>MID(VLOOKUP($A320,Seqs!$A:$B,2,FALSE),VLOOKUP($A320,'SegEnds_NonXtal_Prot#'!A:AL,10,FALSE),1)</f>
        <v>F</v>
      </c>
      <c r="W320" s="49" t="str">
        <f>MID(VLOOKUP($A320,Seqs!$A:$B,2,FALSE),VLOOKUP($A320,'SegEnds_NonXtal_Prot#'!A:AL,10,FALSE)+6,1)</f>
        <v>S</v>
      </c>
      <c r="X320" s="49" t="str">
        <f>MID(VLOOKUP($A320,Seqs!$A:$B,2,FALSE),VLOOKUP($A320,'SegEnds_NonXtal_Prot#'!A:AL,10,FALSE)+7,1)</f>
        <v>A</v>
      </c>
      <c r="Y320" s="49" t="str">
        <f>MID(VLOOKUP($A320,Seqs!$A:$B,2,FALSE),VLOOKUP($A320,'SegEnds_NonXtal_Prot#'!A:AL,10,FALSE)+8,1)</f>
        <v>V</v>
      </c>
      <c r="Z320" s="49" t="str">
        <f>MID(VLOOKUP($A320,Seqs!$A:$B,2,FALSE),VLOOKUP($A320,'SegEnds_NonXtal_Prot#'!A:AL,10,FALSE)+9,1)</f>
        <v>F</v>
      </c>
      <c r="AA320" s="49" t="str">
        <f>MID(VLOOKUP($A320,Seqs!$A:$B,2,FALSE),VLOOKUP($A320,'SegEnds_NonXtal_Prot#'!A:AL,10,FALSE)+10,1)</f>
        <v>A</v>
      </c>
      <c r="AB320" s="28" t="str">
        <f>MID(VLOOKUP($A320,Seqs!$A:$B,2,FALSE),VLOOKUP($A320,'SegEnds_NonXtal_Prot#'!$A:$AL,22,FALSE)+6,1)</f>
        <v>I</v>
      </c>
      <c r="AC320" s="49" t="str">
        <f>MID(VLOOKUP($A320,Seqs!$A:$B,2,FALSE),VLOOKUP($A320,'SegEnds_NonXtal_Prot#'!$A:$AL,22,FALSE)+7,1)</f>
        <v>C</v>
      </c>
      <c r="AD320" s="49" t="str">
        <f>MID(VLOOKUP($A320,Seqs!$A:$B,2,FALSE),VLOOKUP($A320,'SegEnds_NonXtal_Prot#'!$A:$AL,22,FALSE)+8,1)</f>
        <v>G</v>
      </c>
      <c r="AE320" s="49" t="str">
        <f>MID(VLOOKUP($A320,Seqs!$A:$B,2,FALSE),VLOOKUP($A320,'SegEnds_NonXtal_Prot#'!$A:$AL,22,FALSE)+9,1)</f>
        <v>I</v>
      </c>
      <c r="AF320" s="49" t="str">
        <f>MID(VLOOKUP($A320,Seqs!$A:$B,2,FALSE),VLOOKUP($A320,'SegEnds_NonXtal_Prot#'!$A:$AL,22,FALSE)+10,1)</f>
        <v>T</v>
      </c>
      <c r="AG320" s="28" t="str">
        <f>MID(VLOOKUP($A320,Seqs!$A:$B,2,FALSE),VLOOKUP($A320,'SegEnds_NonXtal_Prot#'!$A:$AL,28,FALSE)-4,1)</f>
        <v>P</v>
      </c>
      <c r="AH320" s="49" t="str">
        <f>MID(VLOOKUP($A320,Seqs!$A:$B,2,FALSE),VLOOKUP($A320,'SegEnds_NonXtal_Prot#'!$A:$AL,28,FALSE),1)</f>
        <v>I</v>
      </c>
    </row>
    <row r="321" spans="1:34" s="2" customFormat="1" x14ac:dyDescent="0.2">
      <c r="A321" s="2" t="s">
        <v>1172</v>
      </c>
      <c r="B321" s="2" t="str">
        <f>LOWER(VLOOKUP(A321,Xtal_Templ!A:B,2,FALSE))</f>
        <v>crfr2_human</v>
      </c>
      <c r="C321" s="2" t="str">
        <f>VLOOKUP(A321,Classification!A:D,2,FALSE)</f>
        <v>B2</v>
      </c>
      <c r="D321" s="2" t="str">
        <f>IF(ISERROR(MATCH(A321,'SegEnds_Xtal_Prot#'!B:B, 0)), "NoXtal", "Xtal")</f>
        <v>NoXtal</v>
      </c>
      <c r="H321" s="4"/>
      <c r="J321" s="106" t="s">
        <v>25</v>
      </c>
      <c r="T321" s="4" t="s">
        <v>12</v>
      </c>
      <c r="V321" s="28" t="str">
        <f>MID(VLOOKUP($A321,Seqs!$A:$B,2,FALSE),VLOOKUP($A321,'SegEnds_NonXtal_Prot#'!A:AL,10,FALSE),1)</f>
        <v>F</v>
      </c>
      <c r="W321" s="49" t="str">
        <f>MID(VLOOKUP($A321,Seqs!$A:$B,2,FALSE),VLOOKUP($A321,'SegEnds_NonXtal_Prot#'!A:AL,10,FALSE)+6,1)</f>
        <v>C</v>
      </c>
      <c r="X321" s="49" t="str">
        <f>MID(VLOOKUP($A321,Seqs!$A:$B,2,FALSE),VLOOKUP($A321,'SegEnds_NonXtal_Prot#'!A:AL,10,FALSE)+7,1)</f>
        <v>V</v>
      </c>
      <c r="Y321" s="49" t="str">
        <f>MID(VLOOKUP($A321,Seqs!$A:$B,2,FALSE),VLOOKUP($A321,'SegEnds_NonXtal_Prot#'!A:AL,10,FALSE)+8,1)</f>
        <v>V</v>
      </c>
      <c r="Z321" s="49" t="str">
        <f>MID(VLOOKUP($A321,Seqs!$A:$B,2,FALSE),VLOOKUP($A321,'SegEnds_NonXtal_Prot#'!A:AL,10,FALSE)+9,1)</f>
        <v>F</v>
      </c>
      <c r="AA321" s="49" t="str">
        <f>MID(VLOOKUP($A321,Seqs!$A:$B,2,FALSE),VLOOKUP($A321,'SegEnds_NonXtal_Prot#'!A:AL,10,FALSE)+10,1)</f>
        <v>V</v>
      </c>
      <c r="AB321" s="28" t="str">
        <f>MID(VLOOKUP($A321,Seqs!$A:$B,2,FALSE),VLOOKUP($A321,'SegEnds_NonXtal_Prot#'!$A:$AL,22,FALSE)+6,1)</f>
        <v>V</v>
      </c>
      <c r="AC321" s="49" t="str">
        <f>MID(VLOOKUP($A321,Seqs!$A:$B,2,FALSE),VLOOKUP($A321,'SegEnds_NonXtal_Prot#'!$A:$AL,22,FALSE)+7,1)</f>
        <v>C</v>
      </c>
      <c r="AD321" s="49" t="str">
        <f>MID(VLOOKUP($A321,Seqs!$A:$B,2,FALSE),VLOOKUP($A321,'SegEnds_NonXtal_Prot#'!$A:$AL,22,FALSE)+8,1)</f>
        <v>G</v>
      </c>
      <c r="AE321" s="49" t="str">
        <f>MID(VLOOKUP($A321,Seqs!$A:$B,2,FALSE),VLOOKUP($A321,'SegEnds_NonXtal_Prot#'!$A:$AL,22,FALSE)+9,1)</f>
        <v>I</v>
      </c>
      <c r="AF321" s="49" t="str">
        <f>MID(VLOOKUP($A321,Seqs!$A:$B,2,FALSE),VLOOKUP($A321,'SegEnds_NonXtal_Prot#'!$A:$AL,22,FALSE)+10,1)</f>
        <v>T</v>
      </c>
      <c r="AG321" s="28" t="str">
        <f>MID(VLOOKUP($A321,Seqs!$A:$B,2,FALSE),VLOOKUP($A321,'SegEnds_NonXtal_Prot#'!$A:$AL,28,FALSE)-4,1)</f>
        <v>P</v>
      </c>
      <c r="AH321" s="49" t="str">
        <f>MID(VLOOKUP($A321,Seqs!$A:$B,2,FALSE),VLOOKUP($A321,'SegEnds_NonXtal_Prot#'!$A:$AL,28,FALSE),1)</f>
        <v>I</v>
      </c>
    </row>
    <row r="322" spans="1:34" s="2" customFormat="1" x14ac:dyDescent="0.2">
      <c r="A322" s="2" t="s">
        <v>1173</v>
      </c>
      <c r="B322" s="2" t="str">
        <f>LOWER(VLOOKUP(A322,Xtal_Templ!A:B,2,FALSE))</f>
        <v>crfr1_human</v>
      </c>
      <c r="C322" s="2" t="str">
        <f>VLOOKUP(A322,Classification!A:D,2,FALSE)</f>
        <v>B2</v>
      </c>
      <c r="D322" s="2" t="str">
        <f>IF(ISERROR(MATCH(A322,'SegEnds_Xtal_Prot#'!B:B, 0)), "NoXtal", "Xtal")</f>
        <v>NoXtal</v>
      </c>
      <c r="H322" s="4"/>
      <c r="J322" s="106" t="s">
        <v>25</v>
      </c>
      <c r="T322" s="4" t="s">
        <v>12</v>
      </c>
      <c r="V322" s="28" t="str">
        <f>MID(VLOOKUP($A322,Seqs!$A:$B,2,FALSE),VLOOKUP($A322,'SegEnds_NonXtal_Prot#'!A:AL,10,FALSE),1)</f>
        <v>I</v>
      </c>
      <c r="W322" s="49" t="str">
        <f>MID(VLOOKUP($A322,Seqs!$A:$B,2,FALSE),VLOOKUP($A322,'SegEnds_NonXtal_Prot#'!A:AL,10,FALSE)+6,1)</f>
        <v>L</v>
      </c>
      <c r="X322" s="49" t="str">
        <f>MID(VLOOKUP($A322,Seqs!$A:$B,2,FALSE),VLOOKUP($A322,'SegEnds_NonXtal_Prot#'!A:AL,10,FALSE)+7,1)</f>
        <v>I</v>
      </c>
      <c r="Y322" s="49" t="str">
        <f>MID(VLOOKUP($A322,Seqs!$A:$B,2,FALSE),VLOOKUP($A322,'SegEnds_NonXtal_Prot#'!A:AL,10,FALSE)+8,1)</f>
        <v>L</v>
      </c>
      <c r="Z322" s="49" t="str">
        <f>MID(VLOOKUP($A322,Seqs!$A:$B,2,FALSE),VLOOKUP($A322,'SegEnds_NonXtal_Prot#'!A:AL,10,FALSE)+9,1)</f>
        <v>V</v>
      </c>
      <c r="AA322" s="49" t="str">
        <f>MID(VLOOKUP($A322,Seqs!$A:$B,2,FALSE),VLOOKUP($A322,'SegEnds_NonXtal_Prot#'!A:AL,10,FALSE)+10,1)</f>
        <v>G</v>
      </c>
      <c r="AB322" s="28" t="str">
        <f>MID(VLOOKUP($A322,Seqs!$A:$B,2,FALSE),VLOOKUP($A322,'SegEnds_NonXtal_Prot#'!$A:$AL,22,FALSE)+6,1)</f>
        <v>V</v>
      </c>
      <c r="AC322" s="49" t="str">
        <f>MID(VLOOKUP($A322,Seqs!$A:$B,2,FALSE),VLOOKUP($A322,'SegEnds_NonXtal_Prot#'!$A:$AL,22,FALSE)+7,1)</f>
        <v>V</v>
      </c>
      <c r="AD322" s="49" t="str">
        <f>MID(VLOOKUP($A322,Seqs!$A:$B,2,FALSE),VLOOKUP($A322,'SegEnds_NonXtal_Prot#'!$A:$AL,22,FALSE)+8,1)</f>
        <v>A</v>
      </c>
      <c r="AE322" s="49" t="str">
        <f>MID(VLOOKUP($A322,Seqs!$A:$B,2,FALSE),VLOOKUP($A322,'SegEnds_NonXtal_Prot#'!$A:$AL,22,FALSE)+9,1)</f>
        <v>V</v>
      </c>
      <c r="AF322" s="49" t="str">
        <f>MID(VLOOKUP($A322,Seqs!$A:$B,2,FALSE),VLOOKUP($A322,'SegEnds_NonXtal_Prot#'!$A:$AL,22,FALSE)+10,1)</f>
        <v>S</v>
      </c>
      <c r="AG322" s="28" t="str">
        <f>MID(VLOOKUP($A322,Seqs!$A:$B,2,FALSE),VLOOKUP($A322,'SegEnds_NonXtal_Prot#'!$A:$AL,28,FALSE)-4,1)</f>
        <v>P</v>
      </c>
      <c r="AH322" s="49" t="str">
        <f>MID(VLOOKUP($A322,Seqs!$A:$B,2,FALSE),VLOOKUP($A322,'SegEnds_NonXtal_Prot#'!$A:$AL,28,FALSE),1)</f>
        <v>I</v>
      </c>
    </row>
    <row r="323" spans="1:34" s="2" customFormat="1" x14ac:dyDescent="0.2">
      <c r="A323" s="2" t="s">
        <v>1174</v>
      </c>
      <c r="B323" s="2" t="str">
        <f>LOWER(VLOOKUP(A323,Xtal_Templ!A:B,2,FALSE))</f>
        <v>crfr1_human</v>
      </c>
      <c r="C323" s="2" t="str">
        <f>VLOOKUP(A323,Classification!A:D,2,FALSE)</f>
        <v>B2</v>
      </c>
      <c r="D323" s="2" t="str">
        <f>IF(ISERROR(MATCH(A323,'SegEnds_Xtal_Prot#'!B:B, 0)), "NoXtal", "Xtal")</f>
        <v>NoXtal</v>
      </c>
      <c r="H323" s="4"/>
      <c r="J323" s="106" t="s">
        <v>25</v>
      </c>
      <c r="T323" s="4" t="s">
        <v>12</v>
      </c>
      <c r="V323" s="28" t="str">
        <f>MID(VLOOKUP($A323,Seqs!$A:$B,2,FALSE),VLOOKUP($A323,'SegEnds_NonXtal_Prot#'!A:AL,10,FALSE),1)</f>
        <v>I</v>
      </c>
      <c r="W323" s="49" t="str">
        <f>MID(VLOOKUP($A323,Seqs!$A:$B,2,FALSE),VLOOKUP($A323,'SegEnds_NonXtal_Prot#'!A:AL,10,FALSE)+6,1)</f>
        <v>L</v>
      </c>
      <c r="X323" s="49" t="str">
        <f>MID(VLOOKUP($A323,Seqs!$A:$B,2,FALSE),VLOOKUP($A323,'SegEnds_NonXtal_Prot#'!A:AL,10,FALSE)+7,1)</f>
        <v>I</v>
      </c>
      <c r="Y323" s="49" t="str">
        <f>MID(VLOOKUP($A323,Seqs!$A:$B,2,FALSE),VLOOKUP($A323,'SegEnds_NonXtal_Prot#'!A:AL,10,FALSE)+8,1)</f>
        <v>L</v>
      </c>
      <c r="Z323" s="49" t="str">
        <f>MID(VLOOKUP($A323,Seqs!$A:$B,2,FALSE),VLOOKUP($A323,'SegEnds_NonXtal_Prot#'!A:AL,10,FALSE)+9,1)</f>
        <v>V</v>
      </c>
      <c r="AA323" s="49" t="str">
        <f>MID(VLOOKUP($A323,Seqs!$A:$B,2,FALSE),VLOOKUP($A323,'SegEnds_NonXtal_Prot#'!A:AL,10,FALSE)+10,1)</f>
        <v>G</v>
      </c>
      <c r="AB323" s="28" t="str">
        <f>MID(VLOOKUP($A323,Seqs!$A:$B,2,FALSE),VLOOKUP($A323,'SegEnds_NonXtal_Prot#'!$A:$AL,22,FALSE)+6,1)</f>
        <v>V</v>
      </c>
      <c r="AC323" s="49" t="str">
        <f>MID(VLOOKUP($A323,Seqs!$A:$B,2,FALSE),VLOOKUP($A323,'SegEnds_NonXtal_Prot#'!$A:$AL,22,FALSE)+7,1)</f>
        <v>V</v>
      </c>
      <c r="AD323" s="49" t="str">
        <f>MID(VLOOKUP($A323,Seqs!$A:$B,2,FALSE),VLOOKUP($A323,'SegEnds_NonXtal_Prot#'!$A:$AL,22,FALSE)+8,1)</f>
        <v>A</v>
      </c>
      <c r="AE323" s="49" t="str">
        <f>MID(VLOOKUP($A323,Seqs!$A:$B,2,FALSE),VLOOKUP($A323,'SegEnds_NonXtal_Prot#'!$A:$AL,22,FALSE)+9,1)</f>
        <v>T</v>
      </c>
      <c r="AF323" s="49" t="str">
        <f>MID(VLOOKUP($A323,Seqs!$A:$B,2,FALSE),VLOOKUP($A323,'SegEnds_NonXtal_Prot#'!$A:$AL,22,FALSE)+10,1)</f>
        <v>S</v>
      </c>
      <c r="AG323" s="28" t="str">
        <f>MID(VLOOKUP($A323,Seqs!$A:$B,2,FALSE),VLOOKUP($A323,'SegEnds_NonXtal_Prot#'!$A:$AL,28,FALSE)-4,1)</f>
        <v>P</v>
      </c>
      <c r="AH323" s="49" t="str">
        <f>MID(VLOOKUP($A323,Seqs!$A:$B,2,FALSE),VLOOKUP($A323,'SegEnds_NonXtal_Prot#'!$A:$AL,28,FALSE),1)</f>
        <v>V</v>
      </c>
    </row>
    <row r="324" spans="1:34" s="2" customFormat="1" x14ac:dyDescent="0.2">
      <c r="A324" s="2" t="s">
        <v>1175</v>
      </c>
      <c r="B324" s="2" t="str">
        <f>LOWER(VLOOKUP(A324,Xtal_Templ!A:B,2,FALSE))</f>
        <v>crfr1_human</v>
      </c>
      <c r="C324" s="2" t="str">
        <f>VLOOKUP(A324,Classification!A:D,2,FALSE)</f>
        <v>B2</v>
      </c>
      <c r="D324" s="2" t="str">
        <f>IF(ISERROR(MATCH(A324,'SegEnds_Xtal_Prot#'!B:B, 0)), "NoXtal", "Xtal")</f>
        <v>NoXtal</v>
      </c>
      <c r="H324" s="4"/>
      <c r="J324" s="106" t="s">
        <v>25</v>
      </c>
      <c r="T324" s="4" t="s">
        <v>12</v>
      </c>
      <c r="V324" s="28" t="str">
        <f>MID(VLOOKUP($A324,Seqs!$A:$B,2,FALSE),VLOOKUP($A324,'SegEnds_NonXtal_Prot#'!A:AL,10,FALSE),1)</f>
        <v>V</v>
      </c>
      <c r="W324" s="49" t="str">
        <f>MID(VLOOKUP($A324,Seqs!$A:$B,2,FALSE),VLOOKUP($A324,'SegEnds_NonXtal_Prot#'!A:AL,10,FALSE)+6,1)</f>
        <v>L</v>
      </c>
      <c r="X324" s="49" t="str">
        <f>MID(VLOOKUP($A324,Seqs!$A:$B,2,FALSE),VLOOKUP($A324,'SegEnds_NonXtal_Prot#'!A:AL,10,FALSE)+7,1)</f>
        <v>L</v>
      </c>
      <c r="Y324" s="49" t="str">
        <f>MID(VLOOKUP($A324,Seqs!$A:$B,2,FALSE),VLOOKUP($A324,'SegEnds_NonXtal_Prot#'!A:AL,10,FALSE)+8,1)</f>
        <v>L</v>
      </c>
      <c r="Z324" s="49" t="str">
        <f>MID(VLOOKUP($A324,Seqs!$A:$B,2,FALSE),VLOOKUP($A324,'SegEnds_NonXtal_Prot#'!A:AL,10,FALSE)+9,1)</f>
        <v>I</v>
      </c>
      <c r="AA324" s="49" t="str">
        <f>MID(VLOOKUP($A324,Seqs!$A:$B,2,FALSE),VLOOKUP($A324,'SegEnds_NonXtal_Prot#'!A:AL,10,FALSE)+10,1)</f>
        <v>S</v>
      </c>
      <c r="AB324" s="28" t="str">
        <f>MID(VLOOKUP($A324,Seqs!$A:$B,2,FALSE),VLOOKUP($A324,'SegEnds_NonXtal_Prot#'!$A:$AL,22,FALSE)+6,1)</f>
        <v>I</v>
      </c>
      <c r="AC324" s="49" t="str">
        <f>MID(VLOOKUP($A324,Seqs!$A:$B,2,FALSE),VLOOKUP($A324,'SegEnds_NonXtal_Prot#'!$A:$AL,22,FALSE)+7,1)</f>
        <v>C</v>
      </c>
      <c r="AD324" s="49" t="str">
        <f>MID(VLOOKUP($A324,Seqs!$A:$B,2,FALSE),VLOOKUP($A324,'SegEnds_NonXtal_Prot#'!$A:$AL,22,FALSE)+8,1)</f>
        <v>I</v>
      </c>
      <c r="AE324" s="49" t="str">
        <f>MID(VLOOKUP($A324,Seqs!$A:$B,2,FALSE),VLOOKUP($A324,'SegEnds_NonXtal_Prot#'!$A:$AL,22,FALSE)+9,1)</f>
        <v>I</v>
      </c>
      <c r="AF324" s="49" t="str">
        <f>MID(VLOOKUP($A324,Seqs!$A:$B,2,FALSE),VLOOKUP($A324,'SegEnds_NonXtal_Prot#'!$A:$AL,22,FALSE)+10,1)</f>
        <v>S</v>
      </c>
      <c r="AG324" s="28" t="str">
        <f>MID(VLOOKUP($A324,Seqs!$A:$B,2,FALSE),VLOOKUP($A324,'SegEnds_NonXtal_Prot#'!$A:$AL,28,FALSE)-4,1)</f>
        <v>P</v>
      </c>
      <c r="AH324" s="49" t="str">
        <f>MID(VLOOKUP($A324,Seqs!$A:$B,2,FALSE),VLOOKUP($A324,'SegEnds_NonXtal_Prot#'!$A:$AL,28,FALSE),1)</f>
        <v>V</v>
      </c>
    </row>
    <row r="325" spans="1:34" s="2" customFormat="1" x14ac:dyDescent="0.2">
      <c r="A325" s="2" t="s">
        <v>1176</v>
      </c>
      <c r="B325" s="2" t="str">
        <f>LOWER(VLOOKUP(A325,Xtal_Templ!A:B,2,FALSE))</f>
        <v>crfr1_human</v>
      </c>
      <c r="C325" s="2" t="str">
        <f>VLOOKUP(A325,Classification!A:D,2,FALSE)</f>
        <v>B2</v>
      </c>
      <c r="D325" s="2" t="str">
        <f>IF(ISERROR(MATCH(A325,'SegEnds_Xtal_Prot#'!B:B, 0)), "NoXtal", "Xtal")</f>
        <v>NoXtal</v>
      </c>
      <c r="H325" s="4"/>
      <c r="J325" s="106" t="s">
        <v>25</v>
      </c>
      <c r="T325" s="4" t="s">
        <v>12</v>
      </c>
      <c r="V325" s="28" t="str">
        <f>MID(VLOOKUP($A325,Seqs!$A:$B,2,FALSE),VLOOKUP($A325,'SegEnds_NonXtal_Prot#'!A:AL,10,FALSE),1)</f>
        <v>L</v>
      </c>
      <c r="W325" s="49" t="str">
        <f>MID(VLOOKUP($A325,Seqs!$A:$B,2,FALSE),VLOOKUP($A325,'SegEnds_NonXtal_Prot#'!A:AL,10,FALSE)+6,1)</f>
        <v>F</v>
      </c>
      <c r="X325" s="49" t="str">
        <f>MID(VLOOKUP($A325,Seqs!$A:$B,2,FALSE),VLOOKUP($A325,'SegEnds_NonXtal_Prot#'!A:AL,10,FALSE)+7,1)</f>
        <v>L</v>
      </c>
      <c r="Y325" s="49" t="str">
        <f>MID(VLOOKUP($A325,Seqs!$A:$B,2,FALSE),VLOOKUP($A325,'SegEnds_NonXtal_Prot#'!A:AL,10,FALSE)+8,1)</f>
        <v>M</v>
      </c>
      <c r="Z325" s="49" t="str">
        <f>MID(VLOOKUP($A325,Seqs!$A:$B,2,FALSE),VLOOKUP($A325,'SegEnds_NonXtal_Prot#'!A:AL,10,FALSE)+9,1)</f>
        <v>T</v>
      </c>
      <c r="AA325" s="49" t="str">
        <f>MID(VLOOKUP($A325,Seqs!$A:$B,2,FALSE),VLOOKUP($A325,'SegEnds_NonXtal_Prot#'!A:AL,10,FALSE)+10,1)</f>
        <v>S</v>
      </c>
      <c r="AB325" s="28" t="str">
        <f>MID(VLOOKUP($A325,Seqs!$A:$B,2,FALSE),VLOOKUP($A325,'SegEnds_NonXtal_Prot#'!$A:$AL,22,FALSE)+6,1)</f>
        <v>I</v>
      </c>
      <c r="AC325" s="49" t="str">
        <f>MID(VLOOKUP($A325,Seqs!$A:$B,2,FALSE),VLOOKUP($A325,'SegEnds_NonXtal_Prot#'!$A:$AL,22,FALSE)+7,1)</f>
        <v>V</v>
      </c>
      <c r="AD325" s="49" t="str">
        <f>MID(VLOOKUP($A325,Seqs!$A:$B,2,FALSE),VLOOKUP($A325,'SegEnds_NonXtal_Prot#'!$A:$AL,22,FALSE)+8,1)</f>
        <v>A</v>
      </c>
      <c r="AE325" s="49" t="str">
        <f>MID(VLOOKUP($A325,Seqs!$A:$B,2,FALSE),VLOOKUP($A325,'SegEnds_NonXtal_Prot#'!$A:$AL,22,FALSE)+9,1)</f>
        <v>V</v>
      </c>
      <c r="AF325" s="49" t="str">
        <f>MID(VLOOKUP($A325,Seqs!$A:$B,2,FALSE),VLOOKUP($A325,'SegEnds_NonXtal_Prot#'!$A:$AL,22,FALSE)+10,1)</f>
        <v>T</v>
      </c>
      <c r="AG325" s="28" t="str">
        <f>MID(VLOOKUP($A325,Seqs!$A:$B,2,FALSE),VLOOKUP($A325,'SegEnds_NonXtal_Prot#'!$A:$AL,28,FALSE)-4,1)</f>
        <v>P</v>
      </c>
      <c r="AH325" s="49" t="str">
        <f>MID(VLOOKUP($A325,Seqs!$A:$B,2,FALSE),VLOOKUP($A325,'SegEnds_NonXtal_Prot#'!$A:$AL,28,FALSE),1)</f>
        <v>V</v>
      </c>
    </row>
    <row r="326" spans="1:34" s="2" customFormat="1" x14ac:dyDescent="0.2">
      <c r="A326" s="2" t="s">
        <v>1177</v>
      </c>
      <c r="B326" s="2" t="str">
        <f>LOWER(VLOOKUP(A326,Xtal_Templ!A:B,2,FALSE))</f>
        <v>pth1r_human</v>
      </c>
      <c r="C326" s="2" t="str">
        <f>VLOOKUP(A326,Classification!A:D,2,FALSE)</f>
        <v>B2</v>
      </c>
      <c r="D326" s="2" t="str">
        <f>IF(ISERROR(MATCH(A326,'SegEnds_Xtal_Prot#'!B:B, 0)), "NoXtal", "Xtal")</f>
        <v>NoXtal</v>
      </c>
      <c r="H326" s="4"/>
      <c r="J326" s="106" t="s">
        <v>25</v>
      </c>
      <c r="T326" s="4" t="s">
        <v>12</v>
      </c>
      <c r="V326" s="28" t="str">
        <f>MID(VLOOKUP($A326,Seqs!$A:$B,2,FALSE),VLOOKUP($A326,'SegEnds_NonXtal_Prot#'!A:AL,10,FALSE),1)</f>
        <v>L</v>
      </c>
      <c r="W326" s="49" t="str">
        <f>MID(VLOOKUP($A326,Seqs!$A:$B,2,FALSE),VLOOKUP($A326,'SegEnds_NonXtal_Prot#'!A:AL,10,FALSE)+6,1)</f>
        <v>L</v>
      </c>
      <c r="X326" s="49" t="str">
        <f>MID(VLOOKUP($A326,Seqs!$A:$B,2,FALSE),VLOOKUP($A326,'SegEnds_NonXtal_Prot#'!A:AL,10,FALSE)+7,1)</f>
        <v>F</v>
      </c>
      <c r="Y326" s="49" t="str">
        <f>MID(VLOOKUP($A326,Seqs!$A:$B,2,FALSE),VLOOKUP($A326,'SegEnds_NonXtal_Prot#'!A:AL,10,FALSE)+8,1)</f>
        <v>L</v>
      </c>
      <c r="Z326" s="49" t="str">
        <f>MID(VLOOKUP($A326,Seqs!$A:$B,2,FALSE),VLOOKUP($A326,'SegEnds_NonXtal_Prot#'!A:AL,10,FALSE)+9,1)</f>
        <v>A</v>
      </c>
      <c r="AA326" s="49" t="str">
        <f>MID(VLOOKUP($A326,Seqs!$A:$B,2,FALSE),VLOOKUP($A326,'SegEnds_NonXtal_Prot#'!A:AL,10,FALSE)+10,1)</f>
        <v>G</v>
      </c>
      <c r="AB326" s="28" t="str">
        <f>MID(VLOOKUP($A326,Seqs!$A:$B,2,FALSE),VLOOKUP($A326,'SegEnds_NonXtal_Prot#'!$A:$AL,22,FALSE)+6,1)</f>
        <v>V</v>
      </c>
      <c r="AC326" s="49" t="str">
        <f>MID(VLOOKUP($A326,Seqs!$A:$B,2,FALSE),VLOOKUP($A326,'SegEnds_NonXtal_Prot#'!$A:$AL,22,FALSE)+7,1)</f>
        <v>V</v>
      </c>
      <c r="AD326" s="49" t="str">
        <f>MID(VLOOKUP($A326,Seqs!$A:$B,2,FALSE),VLOOKUP($A326,'SegEnds_NonXtal_Prot#'!$A:$AL,22,FALSE)+8,1)</f>
        <v>V</v>
      </c>
      <c r="AE326" s="49" t="str">
        <f>MID(VLOOKUP($A326,Seqs!$A:$B,2,FALSE),VLOOKUP($A326,'SegEnds_NonXtal_Prot#'!$A:$AL,22,FALSE)+9,1)</f>
        <v>I</v>
      </c>
      <c r="AF326" s="49" t="str">
        <f>MID(VLOOKUP($A326,Seqs!$A:$B,2,FALSE),VLOOKUP($A326,'SegEnds_NonXtal_Prot#'!$A:$AL,22,FALSE)+10,1)</f>
        <v>S</v>
      </c>
      <c r="AG326" s="28" t="str">
        <f>MID(VLOOKUP($A326,Seqs!$A:$B,2,FALSE),VLOOKUP($A326,'SegEnds_NonXtal_Prot#'!$A:$AL,28,FALSE)-4,1)</f>
        <v>P</v>
      </c>
      <c r="AH326" s="49" t="str">
        <f>MID(VLOOKUP($A326,Seqs!$A:$B,2,FALSE),VLOOKUP($A326,'SegEnds_NonXtal_Prot#'!$A:$AL,28,FALSE),1)</f>
        <v>V</v>
      </c>
    </row>
    <row r="327" spans="1:34" s="2" customFormat="1" x14ac:dyDescent="0.2">
      <c r="A327" s="2" t="s">
        <v>1178</v>
      </c>
      <c r="B327" s="2" t="str">
        <f>LOWER(VLOOKUP(A327,Xtal_Templ!A:B,2,FALSE))</f>
        <v>glp1r_human</v>
      </c>
      <c r="C327" s="2" t="str">
        <f>VLOOKUP(A327,Classification!A:D,2,FALSE)</f>
        <v>B2</v>
      </c>
      <c r="D327" s="2" t="str">
        <f>IF(ISERROR(MATCH(A327,'SegEnds_Xtal_Prot#'!B:B, 0)), "NoXtal", "Xtal")</f>
        <v>NoXtal</v>
      </c>
      <c r="H327" s="4"/>
      <c r="J327" s="106" t="s">
        <v>25</v>
      </c>
      <c r="T327" s="4" t="s">
        <v>12</v>
      </c>
      <c r="V327" s="28" t="str">
        <f>MID(VLOOKUP($A327,Seqs!$A:$B,2,FALSE),VLOOKUP($A327,'SegEnds_NonXtal_Prot#'!A:AL,10,FALSE),1)</f>
        <v>L</v>
      </c>
      <c r="W327" s="49" t="str">
        <f>MID(VLOOKUP($A327,Seqs!$A:$B,2,FALSE),VLOOKUP($A327,'SegEnds_NonXtal_Prot#'!A:AL,10,FALSE)+6,1)</f>
        <v>L</v>
      </c>
      <c r="X327" s="49" t="str">
        <f>MID(VLOOKUP($A327,Seqs!$A:$B,2,FALSE),VLOOKUP($A327,'SegEnds_NonXtal_Prot#'!A:AL,10,FALSE)+7,1)</f>
        <v>F</v>
      </c>
      <c r="Y327" s="49" t="str">
        <f>MID(VLOOKUP($A327,Seqs!$A:$B,2,FALSE),VLOOKUP($A327,'SegEnds_NonXtal_Prot#'!A:AL,10,FALSE)+8,1)</f>
        <v>L</v>
      </c>
      <c r="Z327" s="49" t="str">
        <f>MID(VLOOKUP($A327,Seqs!$A:$B,2,FALSE),VLOOKUP($A327,'SegEnds_NonXtal_Prot#'!A:AL,10,FALSE)+9,1)</f>
        <v>V</v>
      </c>
      <c r="AA327" s="49" t="str">
        <f>MID(VLOOKUP($A327,Seqs!$A:$B,2,FALSE),VLOOKUP($A327,'SegEnds_NonXtal_Prot#'!A:AL,10,FALSE)+10,1)</f>
        <v>A</v>
      </c>
      <c r="AB327" s="28" t="str">
        <f>MID(VLOOKUP($A327,Seqs!$A:$B,2,FALSE),VLOOKUP($A327,'SegEnds_NonXtal_Prot#'!$A:$AL,22,FALSE)+6,1)</f>
        <v>T</v>
      </c>
      <c r="AC327" s="49" t="str">
        <f>MID(VLOOKUP($A327,Seqs!$A:$B,2,FALSE),VLOOKUP($A327,'SegEnds_NonXtal_Prot#'!$A:$AL,22,FALSE)+7,1)</f>
        <v>V</v>
      </c>
      <c r="AD327" s="49" t="str">
        <f>MID(VLOOKUP($A327,Seqs!$A:$B,2,FALSE),VLOOKUP($A327,'SegEnds_NonXtal_Prot#'!$A:$AL,22,FALSE)+8,1)</f>
        <v>A</v>
      </c>
      <c r="AE327" s="49" t="str">
        <f>MID(VLOOKUP($A327,Seqs!$A:$B,2,FALSE),VLOOKUP($A327,'SegEnds_NonXtal_Prot#'!$A:$AL,22,FALSE)+9,1)</f>
        <v>I</v>
      </c>
      <c r="AF327" s="49" t="str">
        <f>MID(VLOOKUP($A327,Seqs!$A:$B,2,FALSE),VLOOKUP($A327,'SegEnds_NonXtal_Prot#'!$A:$AL,22,FALSE)+10,1)</f>
        <v>S</v>
      </c>
      <c r="AG327" s="28" t="str">
        <f>MID(VLOOKUP($A327,Seqs!$A:$B,2,FALSE),VLOOKUP($A327,'SegEnds_NonXtal_Prot#'!$A:$AL,28,FALSE)-4,1)</f>
        <v>P</v>
      </c>
      <c r="AH327" s="49" t="str">
        <f>MID(VLOOKUP($A327,Seqs!$A:$B,2,FALSE),VLOOKUP($A327,'SegEnds_NonXtal_Prot#'!$A:$AL,28,FALSE),1)</f>
        <v>I</v>
      </c>
    </row>
    <row r="328" spans="1:34" s="2" customFormat="1" x14ac:dyDescent="0.2">
      <c r="A328" s="2" t="s">
        <v>1179</v>
      </c>
      <c r="B328" s="2" t="str">
        <f>LOWER(VLOOKUP(A328,Xtal_Templ!A:B,2,FALSE))</f>
        <v>crfr1_human</v>
      </c>
      <c r="C328" s="2" t="str">
        <f>VLOOKUP(A328,Classification!A:D,2,FALSE)</f>
        <v>B2</v>
      </c>
      <c r="D328" s="2" t="str">
        <f>IF(ISERROR(MATCH(A328,'SegEnds_Xtal_Prot#'!B:B, 0)), "NoXtal", "Xtal")</f>
        <v>NoXtal</v>
      </c>
      <c r="H328" s="4"/>
      <c r="J328" s="106" t="s">
        <v>25</v>
      </c>
      <c r="T328" s="4" t="s">
        <v>12</v>
      </c>
      <c r="V328" s="28" t="str">
        <f>MID(VLOOKUP($A328,Seqs!$A:$B,2,FALSE),VLOOKUP($A328,'SegEnds_NonXtal_Prot#'!A:AL,10,FALSE),1)</f>
        <v>L</v>
      </c>
      <c r="W328" s="49" t="str">
        <f>MID(VLOOKUP($A328,Seqs!$A:$B,2,FALSE),VLOOKUP($A328,'SegEnds_NonXtal_Prot#'!A:AL,10,FALSE)+6,1)</f>
        <v>L</v>
      </c>
      <c r="X328" s="49" t="str">
        <f>MID(VLOOKUP($A328,Seqs!$A:$B,2,FALSE),VLOOKUP($A328,'SegEnds_NonXtal_Prot#'!A:AL,10,FALSE)+7,1)</f>
        <v>F</v>
      </c>
      <c r="Y328" s="49" t="str">
        <f>MID(VLOOKUP($A328,Seqs!$A:$B,2,FALSE),VLOOKUP($A328,'SegEnds_NonXtal_Prot#'!A:AL,10,FALSE)+8,1)</f>
        <v>L</v>
      </c>
      <c r="Z328" s="49" t="str">
        <f>MID(VLOOKUP($A328,Seqs!$A:$B,2,FALSE),VLOOKUP($A328,'SegEnds_NonXtal_Prot#'!A:AL,10,FALSE)+9,1)</f>
        <v>V</v>
      </c>
      <c r="AA328" s="49" t="str">
        <f>MID(VLOOKUP($A328,Seqs!$A:$B,2,FALSE),VLOOKUP($A328,'SegEnds_NonXtal_Prot#'!A:AL,10,FALSE)+10,1)</f>
        <v>G</v>
      </c>
      <c r="AB328" s="28" t="str">
        <f>MID(VLOOKUP($A328,Seqs!$A:$B,2,FALSE),VLOOKUP($A328,'SegEnds_NonXtal_Prot#'!$A:$AL,22,FALSE)+6,1)</f>
        <v>T</v>
      </c>
      <c r="AC328" s="49" t="str">
        <f>MID(VLOOKUP($A328,Seqs!$A:$B,2,FALSE),VLOOKUP($A328,'SegEnds_NonXtal_Prot#'!$A:$AL,22,FALSE)+7,1)</f>
        <v>V</v>
      </c>
      <c r="AD328" s="49" t="str">
        <f>MID(VLOOKUP($A328,Seqs!$A:$B,2,FALSE),VLOOKUP($A328,'SegEnds_NonXtal_Prot#'!$A:$AL,22,FALSE)+8,1)</f>
        <v>A</v>
      </c>
      <c r="AE328" s="49" t="str">
        <f>MID(VLOOKUP($A328,Seqs!$A:$B,2,FALSE),VLOOKUP($A328,'SegEnds_NonXtal_Prot#'!$A:$AL,22,FALSE)+9,1)</f>
        <v>I</v>
      </c>
      <c r="AF328" s="49" t="str">
        <f>MID(VLOOKUP($A328,Seqs!$A:$B,2,FALSE),VLOOKUP($A328,'SegEnds_NonXtal_Prot#'!$A:$AL,22,FALSE)+10,1)</f>
        <v>S</v>
      </c>
      <c r="AG328" s="28" t="str">
        <f>MID(VLOOKUP($A328,Seqs!$A:$B,2,FALSE),VLOOKUP($A328,'SegEnds_NonXtal_Prot#'!$A:$AL,28,FALSE)-4,1)</f>
        <v>P</v>
      </c>
      <c r="AH328" s="49" t="str">
        <f>MID(VLOOKUP($A328,Seqs!$A:$B,2,FALSE),VLOOKUP($A328,'SegEnds_NonXtal_Prot#'!$A:$AL,28,FALSE),1)</f>
        <v>I</v>
      </c>
    </row>
    <row r="329" spans="1:34" s="2" customFormat="1" x14ac:dyDescent="0.2">
      <c r="A329" s="2" t="s">
        <v>1180</v>
      </c>
      <c r="B329" s="2" t="str">
        <f>LOWER(VLOOKUP(A329,Xtal_Templ!A:B,2,FALSE))</f>
        <v>crfr1_human</v>
      </c>
      <c r="C329" s="2" t="str">
        <f>VLOOKUP(A329,Classification!A:D,2,FALSE)</f>
        <v>B2</v>
      </c>
      <c r="D329" s="2" t="str">
        <f>IF(ISERROR(MATCH(A329,'SegEnds_Xtal_Prot#'!B:B, 0)), "NoXtal", "Xtal")</f>
        <v>NoXtal</v>
      </c>
      <c r="H329" s="4"/>
      <c r="J329" s="106" t="s">
        <v>25</v>
      </c>
      <c r="T329" s="4" t="s">
        <v>12</v>
      </c>
      <c r="V329" s="28" t="str">
        <f>MID(VLOOKUP($A329,Seqs!$A:$B,2,FALSE),VLOOKUP($A329,'SegEnds_NonXtal_Prot#'!A:AL,10,FALSE),1)</f>
        <v>L</v>
      </c>
      <c r="W329" s="49" t="str">
        <f>MID(VLOOKUP($A329,Seqs!$A:$B,2,FALSE),VLOOKUP($A329,'SegEnds_NonXtal_Prot#'!A:AL,10,FALSE)+6,1)</f>
        <v>L</v>
      </c>
      <c r="X329" s="49" t="str">
        <f>MID(VLOOKUP($A329,Seqs!$A:$B,2,FALSE),VLOOKUP($A329,'SegEnds_NonXtal_Prot#'!A:AL,10,FALSE)+7,1)</f>
        <v>F</v>
      </c>
      <c r="Y329" s="49" t="str">
        <f>MID(VLOOKUP($A329,Seqs!$A:$B,2,FALSE),VLOOKUP($A329,'SegEnds_NonXtal_Prot#'!A:AL,10,FALSE)+8,1)</f>
        <v>L</v>
      </c>
      <c r="Z329" s="49" t="str">
        <f>MID(VLOOKUP($A329,Seqs!$A:$B,2,FALSE),VLOOKUP($A329,'SegEnds_NonXtal_Prot#'!A:AL,10,FALSE)+9,1)</f>
        <v>T</v>
      </c>
      <c r="AA329" s="49" t="str">
        <f>MID(VLOOKUP($A329,Seqs!$A:$B,2,FALSE),VLOOKUP($A329,'SegEnds_NonXtal_Prot#'!A:AL,10,FALSE)+10,1)</f>
        <v>G</v>
      </c>
      <c r="AB329" s="28" t="str">
        <f>MID(VLOOKUP($A329,Seqs!$A:$B,2,FALSE),VLOOKUP($A329,'SegEnds_NonXtal_Prot#'!$A:$AL,22,FALSE)+6,1)</f>
        <v>I</v>
      </c>
      <c r="AC329" s="49" t="str">
        <f>MID(VLOOKUP($A329,Seqs!$A:$B,2,FALSE),VLOOKUP($A329,'SegEnds_NonXtal_Prot#'!$A:$AL,22,FALSE)+7,1)</f>
        <v>I</v>
      </c>
      <c r="AD329" s="49" t="str">
        <f>MID(VLOOKUP($A329,Seqs!$A:$B,2,FALSE),VLOOKUP($A329,'SegEnds_NonXtal_Prot#'!$A:$AL,22,FALSE)+8,1)</f>
        <v>A</v>
      </c>
      <c r="AE329" s="49" t="str">
        <f>MID(VLOOKUP($A329,Seqs!$A:$B,2,FALSE),VLOOKUP($A329,'SegEnds_NonXtal_Prot#'!$A:$AL,22,FALSE)+9,1)</f>
        <v>V</v>
      </c>
      <c r="AF329" s="49" t="str">
        <f>MID(VLOOKUP($A329,Seqs!$A:$B,2,FALSE),VLOOKUP($A329,'SegEnds_NonXtal_Prot#'!$A:$AL,22,FALSE)+10,1)</f>
        <v>S</v>
      </c>
      <c r="AG329" s="28" t="str">
        <f>MID(VLOOKUP($A329,Seqs!$A:$B,2,FALSE),VLOOKUP($A329,'SegEnds_NonXtal_Prot#'!$A:$AL,28,FALSE)-4,1)</f>
        <v>P</v>
      </c>
      <c r="AH329" s="49" t="str">
        <f>MID(VLOOKUP($A329,Seqs!$A:$B,2,FALSE),VLOOKUP($A329,'SegEnds_NonXtal_Prot#'!$A:$AL,28,FALSE),1)</f>
        <v>I</v>
      </c>
    </row>
    <row r="330" spans="1:34" s="2" customFormat="1" x14ac:dyDescent="0.2">
      <c r="A330" s="2" t="s">
        <v>1181</v>
      </c>
      <c r="B330" s="2" t="str">
        <f>LOWER(VLOOKUP(A330,Xtal_Templ!A:B,2,FALSE))</f>
        <v>pth1r_human</v>
      </c>
      <c r="C330" s="2" t="str">
        <f>VLOOKUP(A330,Classification!A:D,2,FALSE)</f>
        <v>B2</v>
      </c>
      <c r="D330" s="2" t="str">
        <f>IF(ISERROR(MATCH(A330,'SegEnds_Xtal_Prot#'!B:B, 0)), "NoXtal", "Xtal")</f>
        <v>NoXtal</v>
      </c>
      <c r="H330" s="4"/>
      <c r="J330" s="106" t="s">
        <v>25</v>
      </c>
      <c r="T330" s="4" t="s">
        <v>12</v>
      </c>
      <c r="V330" s="28" t="str">
        <f>MID(VLOOKUP($A330,Seqs!$A:$B,2,FALSE),VLOOKUP($A330,'SegEnds_NonXtal_Prot#'!A:AL,10,FALSE),1)</f>
        <v>A</v>
      </c>
      <c r="W330" s="49" t="str">
        <f>MID(VLOOKUP($A330,Seqs!$A:$B,2,FALSE),VLOOKUP($A330,'SegEnds_NonXtal_Prot#'!A:AL,10,FALSE)+6,1)</f>
        <v>A</v>
      </c>
      <c r="X330" s="49" t="str">
        <f>MID(VLOOKUP($A330,Seqs!$A:$B,2,FALSE),VLOOKUP($A330,'SegEnds_NonXtal_Prot#'!A:AL,10,FALSE)+7,1)</f>
        <v>D</v>
      </c>
      <c r="Y330" s="49" t="str">
        <f>MID(VLOOKUP($A330,Seqs!$A:$B,2,FALSE),VLOOKUP($A330,'SegEnds_NonXtal_Prot#'!A:AL,10,FALSE)+8,1)</f>
        <v>V</v>
      </c>
      <c r="Z330" s="49" t="str">
        <f>MID(VLOOKUP($A330,Seqs!$A:$B,2,FALSE),VLOOKUP($A330,'SegEnds_NonXtal_Prot#'!A:AL,10,FALSE)+9,1)</f>
        <v>W</v>
      </c>
      <c r="AA330" s="49" t="str">
        <f>MID(VLOOKUP($A330,Seqs!$A:$B,2,FALSE),VLOOKUP($A330,'SegEnds_NonXtal_Prot#'!A:AL,10,FALSE)+10,1)</f>
        <v>F</v>
      </c>
      <c r="AB330" s="28" t="str">
        <f>MID(VLOOKUP($A330,Seqs!$A:$B,2,FALSE),VLOOKUP($A330,'SegEnds_NonXtal_Prot#'!$A:$AL,22,FALSE)+6,1)</f>
        <v>I</v>
      </c>
      <c r="AC330" s="49" t="str">
        <f>MID(VLOOKUP($A330,Seqs!$A:$B,2,FALSE),VLOOKUP($A330,'SegEnds_NonXtal_Prot#'!$A:$AL,22,FALSE)+7,1)</f>
        <v>S</v>
      </c>
      <c r="AD330" s="49" t="str">
        <f>MID(VLOOKUP($A330,Seqs!$A:$B,2,FALSE),VLOOKUP($A330,'SegEnds_NonXtal_Prot#'!$A:$AL,22,FALSE)+8,1)</f>
        <v>V</v>
      </c>
      <c r="AE330" s="49" t="str">
        <f>MID(VLOOKUP($A330,Seqs!$A:$B,2,FALSE),VLOOKUP($A330,'SegEnds_NonXtal_Prot#'!$A:$AL,22,FALSE)+9,1)</f>
        <v>I</v>
      </c>
      <c r="AF330" s="49" t="str">
        <f>MID(VLOOKUP($A330,Seqs!$A:$B,2,FALSE),VLOOKUP($A330,'SegEnds_NonXtal_Prot#'!$A:$AL,22,FALSE)+10,1)</f>
        <v>T</v>
      </c>
      <c r="AG330" s="28" t="str">
        <f>MID(VLOOKUP($A330,Seqs!$A:$B,2,FALSE),VLOOKUP($A330,'SegEnds_NonXtal_Prot#'!$A:$AL,28,FALSE)-4,1)</f>
        <v>P</v>
      </c>
      <c r="AH330" s="49" t="str">
        <f>MID(VLOOKUP($A330,Seqs!$A:$B,2,FALSE),VLOOKUP($A330,'SegEnds_NonXtal_Prot#'!$A:$AL,28,FALSE),1)</f>
        <v>I</v>
      </c>
    </row>
    <row r="331" spans="1:34" s="2" customFormat="1" x14ac:dyDescent="0.2">
      <c r="A331" s="2" t="s">
        <v>1182</v>
      </c>
      <c r="B331" s="2" t="str">
        <f>LOWER(VLOOKUP(A331,Xtal_Templ!A:B,2,FALSE))</f>
        <v>calrl_human</v>
      </c>
      <c r="C331" s="2" t="str">
        <f>VLOOKUP(A331,Classification!A:D,2,FALSE)</f>
        <v>B2</v>
      </c>
      <c r="D331" s="2" t="str">
        <f>IF(ISERROR(MATCH(A331,'SegEnds_Xtal_Prot#'!B:B, 0)), "NoXtal", "Xtal")</f>
        <v>NoXtal</v>
      </c>
      <c r="H331" s="4"/>
      <c r="J331" s="106" t="s">
        <v>25</v>
      </c>
      <c r="T331" s="4" t="s">
        <v>12</v>
      </c>
      <c r="V331" s="28" t="str">
        <f>MID(VLOOKUP($A331,Seqs!$A:$B,2,FALSE),VLOOKUP($A331,'SegEnds_NonXtal_Prot#'!A:AL,10,FALSE),1)</f>
        <v>A</v>
      </c>
      <c r="W331" s="49" t="str">
        <f>MID(VLOOKUP($A331,Seqs!$A:$B,2,FALSE),VLOOKUP($A331,'SegEnds_NonXtal_Prot#'!A:AL,10,FALSE)+6,1)</f>
        <v>A</v>
      </c>
      <c r="X331" s="49" t="str">
        <f>MID(VLOOKUP($A331,Seqs!$A:$B,2,FALSE),VLOOKUP($A331,'SegEnds_NonXtal_Prot#'!A:AL,10,FALSE)+7,1)</f>
        <v>D</v>
      </c>
      <c r="Y331" s="49" t="str">
        <f>MID(VLOOKUP($A331,Seqs!$A:$B,2,FALSE),VLOOKUP($A331,'SegEnds_NonXtal_Prot#'!A:AL,10,FALSE)+8,1)</f>
        <v>V</v>
      </c>
      <c r="Z331" s="49" t="str">
        <f>MID(VLOOKUP($A331,Seqs!$A:$B,2,FALSE),VLOOKUP($A331,'SegEnds_NonXtal_Prot#'!A:AL,10,FALSE)+9,1)</f>
        <v>W</v>
      </c>
      <c r="AA331" s="49" t="str">
        <f>MID(VLOOKUP($A331,Seqs!$A:$B,2,FALSE),VLOOKUP($A331,'SegEnds_NonXtal_Prot#'!A:AL,10,FALSE)+10,1)</f>
        <v>F</v>
      </c>
      <c r="AB331" s="28" t="str">
        <f>MID(VLOOKUP($A331,Seqs!$A:$B,2,FALSE),VLOOKUP($A331,'SegEnds_NonXtal_Prot#'!$A:$AL,22,FALSE)+6,1)</f>
        <v>I</v>
      </c>
      <c r="AC331" s="49" t="str">
        <f>MID(VLOOKUP($A331,Seqs!$A:$B,2,FALSE),VLOOKUP($A331,'SegEnds_NonXtal_Prot#'!$A:$AL,22,FALSE)+7,1)</f>
        <v>A</v>
      </c>
      <c r="AD331" s="49" t="str">
        <f>MID(VLOOKUP($A331,Seqs!$A:$B,2,FALSE),VLOOKUP($A331,'SegEnds_NonXtal_Prot#'!$A:$AL,22,FALSE)+8,1)</f>
        <v>A</v>
      </c>
      <c r="AE331" s="49" t="str">
        <f>MID(VLOOKUP($A331,Seqs!$A:$B,2,FALSE),VLOOKUP($A331,'SegEnds_NonXtal_Prot#'!$A:$AL,22,FALSE)+9,1)</f>
        <v>I</v>
      </c>
      <c r="AF331" s="49" t="str">
        <f>MID(VLOOKUP($A331,Seqs!$A:$B,2,FALSE),VLOOKUP($A331,'SegEnds_NonXtal_Prot#'!$A:$AL,22,FALSE)+10,1)</f>
        <v>T</v>
      </c>
      <c r="AG331" s="28" t="str">
        <f>MID(VLOOKUP($A331,Seqs!$A:$B,2,FALSE),VLOOKUP($A331,'SegEnds_NonXtal_Prot#'!$A:$AL,28,FALSE)-4,1)</f>
        <v>P</v>
      </c>
      <c r="AH331" s="49" t="str">
        <f>MID(VLOOKUP($A331,Seqs!$A:$B,2,FALSE),VLOOKUP($A331,'SegEnds_NonXtal_Prot#'!$A:$AL,28,FALSE),1)</f>
        <v>I</v>
      </c>
    </row>
    <row r="332" spans="1:34" s="2" customFormat="1" x14ac:dyDescent="0.2">
      <c r="A332" s="2" t="s">
        <v>1183</v>
      </c>
      <c r="B332" s="2" t="str">
        <f>LOWER(VLOOKUP(A332,Xtal_Templ!A:B,2,FALSE))</f>
        <v>calrl_human</v>
      </c>
      <c r="C332" s="2" t="str">
        <f>VLOOKUP(A332,Classification!A:D,2,FALSE)</f>
        <v>B2</v>
      </c>
      <c r="D332" s="2" t="str">
        <f>IF(ISERROR(MATCH(A332,'SegEnds_Xtal_Prot#'!B:B, 0)), "NoXtal", "Xtal")</f>
        <v>NoXtal</v>
      </c>
      <c r="H332" s="4"/>
      <c r="J332" s="106" t="s">
        <v>25</v>
      </c>
      <c r="T332" s="4" t="s">
        <v>12</v>
      </c>
      <c r="V332" s="28" t="str">
        <f>MID(VLOOKUP($A332,Seqs!$A:$B,2,FALSE),VLOOKUP($A332,'SegEnds_NonXtal_Prot#'!A:AL,10,FALSE),1)</f>
        <v>V</v>
      </c>
      <c r="W332" s="49" t="str">
        <f>MID(VLOOKUP($A332,Seqs!$A:$B,2,FALSE),VLOOKUP($A332,'SegEnds_NonXtal_Prot#'!A:AL,10,FALSE)+6,1)</f>
        <v>A</v>
      </c>
      <c r="X332" s="49" t="str">
        <f>MID(VLOOKUP($A332,Seqs!$A:$B,2,FALSE),VLOOKUP($A332,'SegEnds_NonXtal_Prot#'!A:AL,10,FALSE)+7,1)</f>
        <v>D</v>
      </c>
      <c r="Y332" s="49" t="str">
        <f>MID(VLOOKUP($A332,Seqs!$A:$B,2,FALSE),VLOOKUP($A332,'SegEnds_NonXtal_Prot#'!A:AL,10,FALSE)+8,1)</f>
        <v>T</v>
      </c>
      <c r="Z332" s="49" t="str">
        <f>MID(VLOOKUP($A332,Seqs!$A:$B,2,FALSE),VLOOKUP($A332,'SegEnds_NonXtal_Prot#'!A:AL,10,FALSE)+9,1)</f>
        <v>C</v>
      </c>
      <c r="AA332" s="49" t="str">
        <f>MID(VLOOKUP($A332,Seqs!$A:$B,2,FALSE),VLOOKUP($A332,'SegEnds_NonXtal_Prot#'!A:AL,10,FALSE)+10,1)</f>
        <v>F</v>
      </c>
      <c r="AB332" s="28" t="str">
        <f>MID(VLOOKUP($A332,Seqs!$A:$B,2,FALSE),VLOOKUP($A332,'SegEnds_NonXtal_Prot#'!$A:$AL,22,FALSE)+6,1)</f>
        <v>L</v>
      </c>
      <c r="AC332" s="49" t="str">
        <f>MID(VLOOKUP($A332,Seqs!$A:$B,2,FALSE),VLOOKUP($A332,'SegEnds_NonXtal_Prot#'!$A:$AL,22,FALSE)+7,1)</f>
        <v>A</v>
      </c>
      <c r="AD332" s="49" t="str">
        <f>MID(VLOOKUP($A332,Seqs!$A:$B,2,FALSE),VLOOKUP($A332,'SegEnds_NonXtal_Prot#'!$A:$AL,22,FALSE)+8,1)</f>
        <v>G</v>
      </c>
      <c r="AE332" s="49" t="str">
        <f>MID(VLOOKUP($A332,Seqs!$A:$B,2,FALSE),VLOOKUP($A332,'SegEnds_NonXtal_Prot#'!$A:$AL,22,FALSE)+9,1)</f>
        <v>V</v>
      </c>
      <c r="AF332" s="49" t="str">
        <f>MID(VLOOKUP($A332,Seqs!$A:$B,2,FALSE),VLOOKUP($A332,'SegEnds_NonXtal_Prot#'!$A:$AL,22,FALSE)+10,1)</f>
        <v>T</v>
      </c>
      <c r="AG332" s="28" t="str">
        <f>MID(VLOOKUP($A332,Seqs!$A:$B,2,FALSE),VLOOKUP($A332,'SegEnds_NonXtal_Prot#'!$A:$AL,28,FALSE)-4,1)</f>
        <v>P</v>
      </c>
      <c r="AH332" s="49" t="str">
        <f>MID(VLOOKUP($A332,Seqs!$A:$B,2,FALSE),VLOOKUP($A332,'SegEnds_NonXtal_Prot#'!$A:$AL,28,FALSE),1)</f>
        <v>I</v>
      </c>
    </row>
    <row r="333" spans="1:34" s="2" customFormat="1" x14ac:dyDescent="0.2">
      <c r="A333" s="2" t="s">
        <v>1184</v>
      </c>
      <c r="B333" s="2" t="str">
        <f>LOWER(VLOOKUP(A333,Xtal_Templ!A:B,2,FALSE))</f>
        <v>crfr1_human</v>
      </c>
      <c r="C333" s="2" t="str">
        <f>VLOOKUP(A333,Classification!A:D,2,FALSE)</f>
        <v>B2</v>
      </c>
      <c r="D333" s="2" t="str">
        <f>IF(ISERROR(MATCH(A333,'SegEnds_Xtal_Prot#'!B:B, 0)), "NoXtal", "Xtal")</f>
        <v>NoXtal</v>
      </c>
      <c r="H333" s="4"/>
      <c r="J333" s="106" t="s">
        <v>25</v>
      </c>
      <c r="T333" s="4" t="s">
        <v>12</v>
      </c>
      <c r="V333" s="28" t="str">
        <f>MID(VLOOKUP($A333,Seqs!$A:$B,2,FALSE),VLOOKUP($A333,'SegEnds_NonXtal_Prot#'!A:AL,10,FALSE),1)</f>
        <v>A</v>
      </c>
      <c r="W333" s="49" t="str">
        <f>MID(VLOOKUP($A333,Seqs!$A:$B,2,FALSE),VLOOKUP($A333,'SegEnds_NonXtal_Prot#'!A:AL,10,FALSE)+6,1)</f>
        <v>A</v>
      </c>
      <c r="X333" s="49" t="str">
        <f>MID(VLOOKUP($A333,Seqs!$A:$B,2,FALSE),VLOOKUP($A333,'SegEnds_NonXtal_Prot#'!A:AL,10,FALSE)+7,1)</f>
        <v>N</v>
      </c>
      <c r="Y333" s="49" t="str">
        <f>MID(VLOOKUP($A333,Seqs!$A:$B,2,FALSE),VLOOKUP($A333,'SegEnds_NonXtal_Prot#'!A:AL,10,FALSE)+8,1)</f>
        <v>V</v>
      </c>
      <c r="Z333" s="49" t="str">
        <f>MID(VLOOKUP($A333,Seqs!$A:$B,2,FALSE),VLOOKUP($A333,'SegEnds_NonXtal_Prot#'!A:AL,10,FALSE)+9,1)</f>
        <v>W</v>
      </c>
      <c r="AA333" s="49" t="str">
        <f>MID(VLOOKUP($A333,Seqs!$A:$B,2,FALSE),VLOOKUP($A333,'SegEnds_NonXtal_Prot#'!A:AL,10,FALSE)+10,1)</f>
        <v>F</v>
      </c>
      <c r="AB333" s="28" t="str">
        <f>MID(VLOOKUP($A333,Seqs!$A:$B,2,FALSE),VLOOKUP($A333,'SegEnds_NonXtal_Prot#'!$A:$AL,22,FALSE)+6,1)</f>
        <v>I</v>
      </c>
      <c r="AC333" s="49" t="str">
        <f>MID(VLOOKUP($A333,Seqs!$A:$B,2,FALSE),VLOOKUP($A333,'SegEnds_NonXtal_Prot#'!$A:$AL,22,FALSE)+7,1)</f>
        <v>A</v>
      </c>
      <c r="AD333" s="49" t="str">
        <f>MID(VLOOKUP($A333,Seqs!$A:$B,2,FALSE),VLOOKUP($A333,'SegEnds_NonXtal_Prot#'!$A:$AL,22,FALSE)+8,1)</f>
        <v>V</v>
      </c>
      <c r="AE333" s="49" t="str">
        <f>MID(VLOOKUP($A333,Seqs!$A:$B,2,FALSE),VLOOKUP($A333,'SegEnds_NonXtal_Prot#'!$A:$AL,22,FALSE)+9,1)</f>
        <v>T</v>
      </c>
      <c r="AF333" s="49" t="str">
        <f>MID(VLOOKUP($A333,Seqs!$A:$B,2,FALSE),VLOOKUP($A333,'SegEnds_NonXtal_Prot#'!$A:$AL,22,FALSE)+10,1)</f>
        <v>T</v>
      </c>
      <c r="AG333" s="28" t="str">
        <f>MID(VLOOKUP($A333,Seqs!$A:$B,2,FALSE),VLOOKUP($A333,'SegEnds_NonXtal_Prot#'!$A:$AL,28,FALSE)-4,1)</f>
        <v>P</v>
      </c>
      <c r="AH333" s="49" t="str">
        <f>MID(VLOOKUP($A333,Seqs!$A:$B,2,FALSE),VLOOKUP($A333,'SegEnds_NonXtal_Prot#'!$A:$AL,28,FALSE),1)</f>
        <v>I</v>
      </c>
    </row>
    <row r="334" spans="1:34" s="2" customFormat="1" x14ac:dyDescent="0.2">
      <c r="A334" s="2" t="s">
        <v>1185</v>
      </c>
      <c r="B334" s="2" t="str">
        <f>LOWER(VLOOKUP(A334,Xtal_Templ!A:B,2,FALSE))</f>
        <v>crfr1_human</v>
      </c>
      <c r="C334" s="2" t="str">
        <f>VLOOKUP(A334,Classification!A:D,2,FALSE)</f>
        <v>B2</v>
      </c>
      <c r="D334" s="2" t="str">
        <f>IF(ISERROR(MATCH(A334,'SegEnds_Xtal_Prot#'!B:B, 0)), "NoXtal", "Xtal")</f>
        <v>NoXtal</v>
      </c>
      <c r="H334" s="4"/>
      <c r="J334" s="106" t="s">
        <v>25</v>
      </c>
      <c r="T334" s="4" t="s">
        <v>12</v>
      </c>
      <c r="V334" s="28" t="str">
        <f>MID(VLOOKUP($A334,Seqs!$A:$B,2,FALSE),VLOOKUP($A334,'SegEnds_NonXtal_Prot#'!A:AL,10,FALSE),1)</f>
        <v>A</v>
      </c>
      <c r="W334" s="49" t="str">
        <f>MID(VLOOKUP($A334,Seqs!$A:$B,2,FALSE),VLOOKUP($A334,'SegEnds_NonXtal_Prot#'!A:AL,10,FALSE)+6,1)</f>
        <v>A</v>
      </c>
      <c r="X334" s="49" t="str">
        <f>MID(VLOOKUP($A334,Seqs!$A:$B,2,FALSE),VLOOKUP($A334,'SegEnds_NonXtal_Prot#'!A:AL,10,FALSE)+7,1)</f>
        <v>N</v>
      </c>
      <c r="Y334" s="49" t="str">
        <f>MID(VLOOKUP($A334,Seqs!$A:$B,2,FALSE),VLOOKUP($A334,'SegEnds_NonXtal_Prot#'!A:AL,10,FALSE)+8,1)</f>
        <v>T</v>
      </c>
      <c r="Z334" s="49" t="str">
        <f>MID(VLOOKUP($A334,Seqs!$A:$B,2,FALSE),VLOOKUP($A334,'SegEnds_NonXtal_Prot#'!A:AL,10,FALSE)+9,1)</f>
        <v>W</v>
      </c>
      <c r="AA334" s="49" t="str">
        <f>MID(VLOOKUP($A334,Seqs!$A:$B,2,FALSE),VLOOKUP($A334,'SegEnds_NonXtal_Prot#'!A:AL,10,FALSE)+10,1)</f>
        <v>F</v>
      </c>
      <c r="AB334" s="28" t="str">
        <f>MID(VLOOKUP($A334,Seqs!$A:$B,2,FALSE),VLOOKUP($A334,'SegEnds_NonXtal_Prot#'!$A:$AL,22,FALSE)+6,1)</f>
        <v>I</v>
      </c>
      <c r="AC334" s="49" t="str">
        <f>MID(VLOOKUP($A334,Seqs!$A:$B,2,FALSE),VLOOKUP($A334,'SegEnds_NonXtal_Prot#'!$A:$AL,22,FALSE)+7,1)</f>
        <v>S</v>
      </c>
      <c r="AD334" s="49" t="str">
        <f>MID(VLOOKUP($A334,Seqs!$A:$B,2,FALSE),VLOOKUP($A334,'SegEnds_NonXtal_Prot#'!$A:$AL,22,FALSE)+8,1)</f>
        <v>V</v>
      </c>
      <c r="AE334" s="49" t="str">
        <f>MID(VLOOKUP($A334,Seqs!$A:$B,2,FALSE),VLOOKUP($A334,'SegEnds_NonXtal_Prot#'!$A:$AL,22,FALSE)+9,1)</f>
        <v>I</v>
      </c>
      <c r="AF334" s="49" t="str">
        <f>MID(VLOOKUP($A334,Seqs!$A:$B,2,FALSE),VLOOKUP($A334,'SegEnds_NonXtal_Prot#'!$A:$AL,22,FALSE)+10,1)</f>
        <v>T</v>
      </c>
      <c r="AG334" s="28" t="str">
        <f>MID(VLOOKUP($A334,Seqs!$A:$B,2,FALSE),VLOOKUP($A334,'SegEnds_NonXtal_Prot#'!$A:$AL,28,FALSE)-4,1)</f>
        <v>P</v>
      </c>
      <c r="AH334" s="49" t="str">
        <f>MID(VLOOKUP($A334,Seqs!$A:$B,2,FALSE),VLOOKUP($A334,'SegEnds_NonXtal_Prot#'!$A:$AL,28,FALSE),1)</f>
        <v>I</v>
      </c>
    </row>
    <row r="335" spans="1:34" s="2" customFormat="1" x14ac:dyDescent="0.2">
      <c r="A335" s="2" t="s">
        <v>1186</v>
      </c>
      <c r="B335" s="2" t="str">
        <f>LOWER(VLOOKUP(A335,Xtal_Templ!A:B,2,FALSE))</f>
        <v>glr_human</v>
      </c>
      <c r="C335" s="2" t="str">
        <f>VLOOKUP(A335,Classification!A:D,2,FALSE)</f>
        <v>B2</v>
      </c>
      <c r="D335" s="2" t="str">
        <f>IF(ISERROR(MATCH(A335,'SegEnds_Xtal_Prot#'!B:B, 0)), "NoXtal", "Xtal")</f>
        <v>NoXtal</v>
      </c>
      <c r="H335" s="4"/>
      <c r="J335" s="106" t="s">
        <v>25</v>
      </c>
      <c r="T335" s="4" t="s">
        <v>12</v>
      </c>
      <c r="V335" s="28" t="str">
        <f>MID(VLOOKUP($A335,Seqs!$A:$B,2,FALSE),VLOOKUP($A335,'SegEnds_NonXtal_Prot#'!A:AL,10,FALSE),1)</f>
        <v>V</v>
      </c>
      <c r="W335" s="49" t="str">
        <f>MID(VLOOKUP($A335,Seqs!$A:$B,2,FALSE),VLOOKUP($A335,'SegEnds_NonXtal_Prot#'!A:AL,10,FALSE)+6,1)</f>
        <v>S</v>
      </c>
      <c r="X335" s="49" t="str">
        <f>MID(VLOOKUP($A335,Seqs!$A:$B,2,FALSE),VLOOKUP($A335,'SegEnds_NonXtal_Prot#'!A:AL,10,FALSE)+7,1)</f>
        <v>F</v>
      </c>
      <c r="Y335" s="49" t="str">
        <f>MID(VLOOKUP($A335,Seqs!$A:$B,2,FALSE),VLOOKUP($A335,'SegEnds_NonXtal_Prot#'!A:AL,10,FALSE)+8,1)</f>
        <v>L</v>
      </c>
      <c r="Z335" s="49" t="str">
        <f>MID(VLOOKUP($A335,Seqs!$A:$B,2,FALSE),VLOOKUP($A335,'SegEnds_NonXtal_Prot#'!A:AL,10,FALSE)+9,1)</f>
        <v>L</v>
      </c>
      <c r="AA335" s="49" t="str">
        <f>MID(VLOOKUP($A335,Seqs!$A:$B,2,FALSE),VLOOKUP($A335,'SegEnds_NonXtal_Prot#'!A:AL,10,FALSE)+10,1)</f>
        <v>S</v>
      </c>
      <c r="AB335" s="28" t="str">
        <f>MID(VLOOKUP($A335,Seqs!$A:$B,2,FALSE),VLOOKUP($A335,'SegEnds_NonXtal_Prot#'!$A:$AL,22,FALSE)+6,1)</f>
        <v>L</v>
      </c>
      <c r="AC335" s="49" t="str">
        <f>MID(VLOOKUP($A335,Seqs!$A:$B,2,FALSE),VLOOKUP($A335,'SegEnds_NonXtal_Prot#'!$A:$AL,22,FALSE)+7,1)</f>
        <v>V</v>
      </c>
      <c r="AD335" s="49" t="str">
        <f>MID(VLOOKUP($A335,Seqs!$A:$B,2,FALSE),VLOOKUP($A335,'SegEnds_NonXtal_Prot#'!$A:$AL,22,FALSE)+8,1)</f>
        <v>T</v>
      </c>
      <c r="AE335" s="49" t="str">
        <f>MID(VLOOKUP($A335,Seqs!$A:$B,2,FALSE),VLOOKUP($A335,'SegEnds_NonXtal_Prot#'!$A:$AL,22,FALSE)+9,1)</f>
        <v>L</v>
      </c>
      <c r="AF335" s="49" t="str">
        <f>MID(VLOOKUP($A335,Seqs!$A:$B,2,FALSE),VLOOKUP($A335,'SegEnds_NonXtal_Prot#'!$A:$AL,22,FALSE)+10,1)</f>
        <v>V</v>
      </c>
      <c r="AG335" s="28" t="str">
        <f>MID(VLOOKUP($A335,Seqs!$A:$B,2,FALSE),VLOOKUP($A335,'SegEnds_NonXtal_Prot#'!$A:$AL,28,FALSE)-4,1)</f>
        <v>L</v>
      </c>
      <c r="AH335" s="49" t="str">
        <f>MID(VLOOKUP($A335,Seqs!$A:$B,2,FALSE),VLOOKUP($A335,'SegEnds_NonXtal_Prot#'!$A:$AL,28,FALSE),1)</f>
        <v>V</v>
      </c>
    </row>
    <row r="336" spans="1:34" s="2" customFormat="1" x14ac:dyDescent="0.2">
      <c r="A336" s="2" t="s">
        <v>1187</v>
      </c>
      <c r="B336" s="2" t="str">
        <f>LOWER(VLOOKUP(A336,Xtal_Templ!A:B,2,FALSE))</f>
        <v>pacr_human</v>
      </c>
      <c r="C336" s="2" t="str">
        <f>VLOOKUP(A336,Classification!A:D,2,FALSE)</f>
        <v>B2</v>
      </c>
      <c r="D336" s="2" t="str">
        <f>IF(ISERROR(MATCH(A336,'SegEnds_Xtal_Prot#'!B:B, 0)), "NoXtal", "Xtal")</f>
        <v>NoXtal</v>
      </c>
      <c r="H336" s="4"/>
      <c r="J336" s="106" t="s">
        <v>25</v>
      </c>
      <c r="T336" s="4" t="s">
        <v>12</v>
      </c>
      <c r="V336" s="28" t="str">
        <f>MID(VLOOKUP($A336,Seqs!$A:$B,2,FALSE),VLOOKUP($A336,'SegEnds_NonXtal_Prot#'!A:AL,10,FALSE),1)</f>
        <v>L</v>
      </c>
      <c r="W336" s="49" t="str">
        <f>MID(VLOOKUP($A336,Seqs!$A:$B,2,FALSE),VLOOKUP($A336,'SegEnds_NonXtal_Prot#'!A:AL,10,FALSE)+6,1)</f>
        <v>V</v>
      </c>
      <c r="X336" s="49" t="str">
        <f>MID(VLOOKUP($A336,Seqs!$A:$B,2,FALSE),VLOOKUP($A336,'SegEnds_NonXtal_Prot#'!A:AL,10,FALSE)+7,1)</f>
        <v>F</v>
      </c>
      <c r="Y336" s="49" t="str">
        <f>MID(VLOOKUP($A336,Seqs!$A:$B,2,FALSE),VLOOKUP($A336,'SegEnds_NonXtal_Prot#'!A:AL,10,FALSE)+8,1)</f>
        <v>L</v>
      </c>
      <c r="Z336" s="49" t="str">
        <f>MID(VLOOKUP($A336,Seqs!$A:$B,2,FALSE),VLOOKUP($A336,'SegEnds_NonXtal_Prot#'!A:AL,10,FALSE)+9,1)</f>
        <v>L</v>
      </c>
      <c r="AA336" s="49" t="str">
        <f>MID(VLOOKUP($A336,Seqs!$A:$B,2,FALSE),VLOOKUP($A336,'SegEnds_NonXtal_Prot#'!A:AL,10,FALSE)+10,1)</f>
        <v>D</v>
      </c>
      <c r="AB336" s="28" t="str">
        <f>MID(VLOOKUP($A336,Seqs!$A:$B,2,FALSE),VLOOKUP($A336,'SegEnds_NonXtal_Prot#'!$A:$AL,22,FALSE)+6,1)</f>
        <v>V</v>
      </c>
      <c r="AC336" s="49" t="str">
        <f>MID(VLOOKUP($A336,Seqs!$A:$B,2,FALSE),VLOOKUP($A336,'SegEnds_NonXtal_Prot#'!$A:$AL,22,FALSE)+7,1)</f>
        <v>V</v>
      </c>
      <c r="AD336" s="49" t="str">
        <f>MID(VLOOKUP($A336,Seqs!$A:$B,2,FALSE),VLOOKUP($A336,'SegEnds_NonXtal_Prot#'!$A:$AL,22,FALSE)+8,1)</f>
        <v>T</v>
      </c>
      <c r="AE336" s="49" t="str">
        <f>MID(VLOOKUP($A336,Seqs!$A:$B,2,FALSE),VLOOKUP($A336,'SegEnds_NonXtal_Prot#'!$A:$AL,22,FALSE)+9,1)</f>
        <v>I</v>
      </c>
      <c r="AF336" s="49" t="str">
        <f>MID(VLOOKUP($A336,Seqs!$A:$B,2,FALSE),VLOOKUP($A336,'SegEnds_NonXtal_Prot#'!$A:$AL,22,FALSE)+10,1)</f>
        <v>I</v>
      </c>
      <c r="AG336" s="28" t="str">
        <f>MID(VLOOKUP($A336,Seqs!$A:$B,2,FALSE),VLOOKUP($A336,'SegEnds_NonXtal_Prot#'!$A:$AL,28,FALSE)-4,1)</f>
        <v>Y</v>
      </c>
      <c r="AH336" s="49" t="str">
        <f>MID(VLOOKUP($A336,Seqs!$A:$B,2,FALSE),VLOOKUP($A336,'SegEnds_NonXtal_Prot#'!$A:$AL,28,FALSE),1)</f>
        <v>I</v>
      </c>
    </row>
    <row r="337" spans="1:34" s="2" customFormat="1" x14ac:dyDescent="0.2">
      <c r="A337" s="2" t="s">
        <v>1188</v>
      </c>
      <c r="B337" s="2" t="str">
        <f>LOWER(VLOOKUP(A337,Xtal_Templ!A:B,2,FALSE))</f>
        <v>pth1r_human</v>
      </c>
      <c r="C337" s="2" t="str">
        <f>VLOOKUP(A337,Classification!A:D,2,FALSE)</f>
        <v>B2</v>
      </c>
      <c r="D337" s="2" t="str">
        <f>IF(ISERROR(MATCH(A337,'SegEnds_Xtal_Prot#'!B:B, 0)), "NoXtal", "Xtal")</f>
        <v>NoXtal</v>
      </c>
      <c r="H337" s="4"/>
      <c r="J337" s="106" t="s">
        <v>25</v>
      </c>
      <c r="T337" s="4" t="s">
        <v>12</v>
      </c>
      <c r="V337" s="28" t="str">
        <f>MID(VLOOKUP($A337,Seqs!$A:$B,2,FALSE),VLOOKUP($A337,'SegEnds_NonXtal_Prot#'!A:AL,10,FALSE),1)</f>
        <v>L</v>
      </c>
      <c r="W337" s="49" t="str">
        <f>MID(VLOOKUP($A337,Seqs!$A:$B,2,FALSE),VLOOKUP($A337,'SegEnds_NonXtal_Prot#'!A:AL,10,FALSE)+6,1)</f>
        <v>A</v>
      </c>
      <c r="X337" s="49" t="str">
        <f>MID(VLOOKUP($A337,Seqs!$A:$B,2,FALSE),VLOOKUP($A337,'SegEnds_NonXtal_Prot#'!A:AL,10,FALSE)+7,1)</f>
        <v>F</v>
      </c>
      <c r="Y337" s="49" t="str">
        <f>MID(VLOOKUP($A337,Seqs!$A:$B,2,FALSE),VLOOKUP($A337,'SegEnds_NonXtal_Prot#'!A:AL,10,FALSE)+8,1)</f>
        <v>L</v>
      </c>
      <c r="Z337" s="49" t="str">
        <f>MID(VLOOKUP($A337,Seqs!$A:$B,2,FALSE),VLOOKUP($A337,'SegEnds_NonXtal_Prot#'!A:AL,10,FALSE)+9,1)</f>
        <v>V</v>
      </c>
      <c r="AA337" s="49" t="str">
        <f>MID(VLOOKUP($A337,Seqs!$A:$B,2,FALSE),VLOOKUP($A337,'SegEnds_NonXtal_Prot#'!A:AL,10,FALSE)+10,1)</f>
        <v>N</v>
      </c>
      <c r="AB337" s="28" t="str">
        <f>MID(VLOOKUP($A337,Seqs!$A:$B,2,FALSE),VLOOKUP($A337,'SegEnds_NonXtal_Prot#'!$A:$AL,22,FALSE)+6,1)</f>
        <v>M</v>
      </c>
      <c r="AC337" s="49" t="str">
        <f>MID(VLOOKUP($A337,Seqs!$A:$B,2,FALSE),VLOOKUP($A337,'SegEnds_NonXtal_Prot#'!$A:$AL,22,FALSE)+7,1)</f>
        <v>V</v>
      </c>
      <c r="AD337" s="49" t="str">
        <f>MID(VLOOKUP($A337,Seqs!$A:$B,2,FALSE),VLOOKUP($A337,'SegEnds_NonXtal_Prot#'!$A:$AL,22,FALSE)+8,1)</f>
        <v>I</v>
      </c>
      <c r="AE337" s="49" t="str">
        <f>MID(VLOOKUP($A337,Seqs!$A:$B,2,FALSE),VLOOKUP($A337,'SegEnds_NonXtal_Prot#'!$A:$AL,22,FALSE)+9,1)</f>
        <v>G</v>
      </c>
      <c r="AF337" s="49" t="str">
        <f>MID(VLOOKUP($A337,Seqs!$A:$B,2,FALSE),VLOOKUP($A337,'SegEnds_NonXtal_Prot#'!$A:$AL,22,FALSE)+10,1)</f>
        <v>T</v>
      </c>
      <c r="AG337" s="28" t="str">
        <f>MID(VLOOKUP($A337,Seqs!$A:$B,2,FALSE),VLOOKUP($A337,'SegEnds_NonXtal_Prot#'!$A:$AL,28,FALSE)-4,1)</f>
        <v>T</v>
      </c>
      <c r="AH337" s="49" t="str">
        <f>MID(VLOOKUP($A337,Seqs!$A:$B,2,FALSE),VLOOKUP($A337,'SegEnds_NonXtal_Prot#'!$A:$AL,28,FALSE),1)</f>
        <v>Y</v>
      </c>
    </row>
    <row r="338" spans="1:34" s="2" customFormat="1" x14ac:dyDescent="0.2">
      <c r="A338" s="2" t="s">
        <v>1189</v>
      </c>
      <c r="B338" s="2" t="str">
        <f>LOWER(VLOOKUP(A338,Xtal_Templ!A:B,2,FALSE))</f>
        <v>pth1r_human</v>
      </c>
      <c r="C338" s="2" t="str">
        <f>VLOOKUP(A338,Classification!A:D,2,FALSE)</f>
        <v>B2</v>
      </c>
      <c r="D338" s="2" t="str">
        <f>IF(ISERROR(MATCH(A338,'SegEnds_Xtal_Prot#'!B:B, 0)), "NoXtal", "Xtal")</f>
        <v>NoXtal</v>
      </c>
      <c r="H338" s="4"/>
      <c r="J338" s="106" t="s">
        <v>25</v>
      </c>
      <c r="T338" s="4" t="s">
        <v>12</v>
      </c>
      <c r="V338" s="28" t="str">
        <f>MID(VLOOKUP($A338,Seqs!$A:$B,2,FALSE),VLOOKUP($A338,'SegEnds_NonXtal_Prot#'!A:AL,10,FALSE),1)</f>
        <v>L</v>
      </c>
      <c r="W338" s="49" t="str">
        <f>MID(VLOOKUP($A338,Seqs!$A:$B,2,FALSE),VLOOKUP($A338,'SegEnds_NonXtal_Prot#'!A:AL,10,FALSE)+6,1)</f>
        <v>V</v>
      </c>
      <c r="X338" s="49" t="str">
        <f>MID(VLOOKUP($A338,Seqs!$A:$B,2,FALSE),VLOOKUP($A338,'SegEnds_NonXtal_Prot#'!A:AL,10,FALSE)+7,1)</f>
        <v>F</v>
      </c>
      <c r="Y338" s="49" t="str">
        <f>MID(VLOOKUP($A338,Seqs!$A:$B,2,FALSE),VLOOKUP($A338,'SegEnds_NonXtal_Prot#'!A:AL,10,FALSE)+8,1)</f>
        <v>L</v>
      </c>
      <c r="Z338" s="49" t="str">
        <f>MID(VLOOKUP($A338,Seqs!$A:$B,2,FALSE),VLOOKUP($A338,'SegEnds_NonXtal_Prot#'!A:AL,10,FALSE)+9,1)</f>
        <v>I</v>
      </c>
      <c r="AA338" s="49" t="str">
        <f>MID(VLOOKUP($A338,Seqs!$A:$B,2,FALSE),VLOOKUP($A338,'SegEnds_NonXtal_Prot#'!A:AL,10,FALSE)+10,1)</f>
        <v>N</v>
      </c>
      <c r="AB338" s="28" t="str">
        <f>MID(VLOOKUP($A338,Seqs!$A:$B,2,FALSE),VLOOKUP($A338,'SegEnds_NonXtal_Prot#'!$A:$AL,22,FALSE)+6,1)</f>
        <v>M</v>
      </c>
      <c r="AC338" s="49" t="str">
        <f>MID(VLOOKUP($A338,Seqs!$A:$B,2,FALSE),VLOOKUP($A338,'SegEnds_NonXtal_Prot#'!$A:$AL,22,FALSE)+7,1)</f>
        <v>V</v>
      </c>
      <c r="AD338" s="49" t="str">
        <f>MID(VLOOKUP($A338,Seqs!$A:$B,2,FALSE),VLOOKUP($A338,'SegEnds_NonXtal_Prot#'!$A:$AL,22,FALSE)+8,1)</f>
        <v>A</v>
      </c>
      <c r="AE338" s="49" t="str">
        <f>MID(VLOOKUP($A338,Seqs!$A:$B,2,FALSE),VLOOKUP($A338,'SegEnds_NonXtal_Prot#'!$A:$AL,22,FALSE)+9,1)</f>
        <v>I</v>
      </c>
      <c r="AF338" s="49" t="str">
        <f>MID(VLOOKUP($A338,Seqs!$A:$B,2,FALSE),VLOOKUP($A338,'SegEnds_NonXtal_Prot#'!$A:$AL,22,FALSE)+10,1)</f>
        <v>T</v>
      </c>
      <c r="AG338" s="28" t="str">
        <f>MID(VLOOKUP($A338,Seqs!$A:$B,2,FALSE),VLOOKUP($A338,'SegEnds_NonXtal_Prot#'!$A:$AL,28,FALSE)-4,1)</f>
        <v>Y</v>
      </c>
      <c r="AH338" s="49" t="str">
        <f>MID(VLOOKUP($A338,Seqs!$A:$B,2,FALSE),VLOOKUP($A338,'SegEnds_NonXtal_Prot#'!$A:$AL,28,FALSE),1)</f>
        <v>I</v>
      </c>
    </row>
    <row r="339" spans="1:34" s="2" customFormat="1" x14ac:dyDescent="0.2">
      <c r="A339" s="2" t="s">
        <v>1190</v>
      </c>
      <c r="B339" s="2" t="str">
        <f>LOWER(VLOOKUP(A339,Xtal_Templ!A:B,2,FALSE))</f>
        <v>pth1r_human</v>
      </c>
      <c r="C339" s="2" t="str">
        <f>VLOOKUP(A339,Classification!A:D,2,FALSE)</f>
        <v>B2</v>
      </c>
      <c r="D339" s="2" t="str">
        <f>IF(ISERROR(MATCH(A339,'SegEnds_Xtal_Prot#'!B:B, 0)), "NoXtal", "Xtal")</f>
        <v>NoXtal</v>
      </c>
      <c r="H339" s="4"/>
      <c r="J339" s="106" t="s">
        <v>25</v>
      </c>
      <c r="T339" s="4" t="s">
        <v>12</v>
      </c>
      <c r="V339" s="28" t="str">
        <f>MID(VLOOKUP($A339,Seqs!$A:$B,2,FALSE),VLOOKUP($A339,'SegEnds_NonXtal_Prot#'!A:AL,10,FALSE),1)</f>
        <v>V</v>
      </c>
      <c r="W339" s="49" t="str">
        <f>MID(VLOOKUP($A339,Seqs!$A:$B,2,FALSE),VLOOKUP($A339,'SegEnds_NonXtal_Prot#'!A:AL,10,FALSE)+6,1)</f>
        <v>A</v>
      </c>
      <c r="X339" s="49" t="str">
        <f>MID(VLOOKUP($A339,Seqs!$A:$B,2,FALSE),VLOOKUP($A339,'SegEnds_NonXtal_Prot#'!A:AL,10,FALSE)+7,1)</f>
        <v>F</v>
      </c>
      <c r="Y339" s="49" t="str">
        <f>MID(VLOOKUP($A339,Seqs!$A:$B,2,FALSE),VLOOKUP($A339,'SegEnds_NonXtal_Prot#'!A:AL,10,FALSE)+8,1)</f>
        <v>L</v>
      </c>
      <c r="Z339" s="49" t="str">
        <f>MID(VLOOKUP($A339,Seqs!$A:$B,2,FALSE),VLOOKUP($A339,'SegEnds_NonXtal_Prot#'!A:AL,10,FALSE)+9,1)</f>
        <v>L</v>
      </c>
      <c r="AA339" s="49" t="str">
        <f>MID(VLOOKUP($A339,Seqs!$A:$B,2,FALSE),VLOOKUP($A339,'SegEnds_NonXtal_Prot#'!A:AL,10,FALSE)+10,1)</f>
        <v>S</v>
      </c>
      <c r="AB339" s="28" t="str">
        <f>MID(VLOOKUP($A339,Seqs!$A:$B,2,FALSE),VLOOKUP($A339,'SegEnds_NonXtal_Prot#'!$A:$AL,22,FALSE)+6,1)</f>
        <v>L</v>
      </c>
      <c r="AC339" s="49" t="str">
        <f>MID(VLOOKUP($A339,Seqs!$A:$B,2,FALSE),VLOOKUP($A339,'SegEnds_NonXtal_Prot#'!$A:$AL,22,FALSE)+7,1)</f>
        <v>V</v>
      </c>
      <c r="AD339" s="49" t="str">
        <f>MID(VLOOKUP($A339,Seqs!$A:$B,2,FALSE),VLOOKUP($A339,'SegEnds_NonXtal_Prot#'!$A:$AL,22,FALSE)+8,1)</f>
        <v>L</v>
      </c>
      <c r="AE339" s="49" t="str">
        <f>MID(VLOOKUP($A339,Seqs!$A:$B,2,FALSE),VLOOKUP($A339,'SegEnds_NonXtal_Prot#'!$A:$AL,22,FALSE)+9,1)</f>
        <v>L</v>
      </c>
      <c r="AF339" s="49" t="str">
        <f>MID(VLOOKUP($A339,Seqs!$A:$B,2,FALSE),VLOOKUP($A339,'SegEnds_NonXtal_Prot#'!$A:$AL,22,FALSE)+10,1)</f>
        <v>S</v>
      </c>
      <c r="AG339" s="28" t="str">
        <f>MID(VLOOKUP($A339,Seqs!$A:$B,2,FALSE),VLOOKUP($A339,'SegEnds_NonXtal_Prot#'!$A:$AL,28,FALSE)-4,1)</f>
        <v>Y</v>
      </c>
      <c r="AH339" s="49" t="str">
        <f>MID(VLOOKUP($A339,Seqs!$A:$B,2,FALSE),VLOOKUP($A339,'SegEnds_NonXtal_Prot#'!$A:$AL,28,FALSE),1)</f>
        <v>T</v>
      </c>
    </row>
    <row r="340" spans="1:34" s="2" customFormat="1" x14ac:dyDescent="0.2">
      <c r="A340" s="2" t="s">
        <v>1191</v>
      </c>
      <c r="B340" s="2" t="str">
        <f>LOWER(VLOOKUP(A340,Xtal_Templ!A:B,2,FALSE))</f>
        <v>pth1r_human</v>
      </c>
      <c r="C340" s="2" t="str">
        <f>VLOOKUP(A340,Classification!A:D,2,FALSE)</f>
        <v>B2</v>
      </c>
      <c r="D340" s="2" t="str">
        <f>IF(ISERROR(MATCH(A340,'SegEnds_Xtal_Prot#'!B:B, 0)), "NoXtal", "Xtal")</f>
        <v>NoXtal</v>
      </c>
      <c r="H340" s="4"/>
      <c r="J340" s="106" t="s">
        <v>25</v>
      </c>
      <c r="T340" s="4" t="s">
        <v>12</v>
      </c>
      <c r="V340" s="28" t="str">
        <f>MID(VLOOKUP($A340,Seqs!$A:$B,2,FALSE),VLOOKUP($A340,'SegEnds_NonXtal_Prot#'!A:AL,10,FALSE),1)</f>
        <v>M</v>
      </c>
      <c r="W340" s="49" t="str">
        <f>MID(VLOOKUP($A340,Seqs!$A:$B,2,FALSE),VLOOKUP($A340,'SegEnds_NonXtal_Prot#'!A:AL,10,FALSE)+6,1)</f>
        <v>L</v>
      </c>
      <c r="X340" s="49" t="str">
        <f>MID(VLOOKUP($A340,Seqs!$A:$B,2,FALSE),VLOOKUP($A340,'SegEnds_NonXtal_Prot#'!A:AL,10,FALSE)+7,1)</f>
        <v>F</v>
      </c>
      <c r="Y340" s="49" t="str">
        <f>MID(VLOOKUP($A340,Seqs!$A:$B,2,FALSE),VLOOKUP($A340,'SegEnds_NonXtal_Prot#'!A:AL,10,FALSE)+8,1)</f>
        <v>V</v>
      </c>
      <c r="Z340" s="49" t="str">
        <f>MID(VLOOKUP($A340,Seqs!$A:$B,2,FALSE),VLOOKUP($A340,'SegEnds_NonXtal_Prot#'!A:AL,10,FALSE)+9,1)</f>
        <v>F</v>
      </c>
      <c r="AA340" s="49" t="str">
        <f>MID(VLOOKUP($A340,Seqs!$A:$B,2,FALSE),VLOOKUP($A340,'SegEnds_NonXtal_Prot#'!A:AL,10,FALSE)+10,1)</f>
        <v>G</v>
      </c>
      <c r="AB340" s="28" t="str">
        <f>MID(VLOOKUP($A340,Seqs!$A:$B,2,FALSE),VLOOKUP($A340,'SegEnds_NonXtal_Prot#'!$A:$AL,22,FALSE)+6,1)</f>
        <v>V</v>
      </c>
      <c r="AC340" s="49" t="str">
        <f>MID(VLOOKUP($A340,Seqs!$A:$B,2,FALSE),VLOOKUP($A340,'SegEnds_NonXtal_Prot#'!$A:$AL,22,FALSE)+7,1)</f>
        <v>V</v>
      </c>
      <c r="AD340" s="49" t="str">
        <f>MID(VLOOKUP($A340,Seqs!$A:$B,2,FALSE),VLOOKUP($A340,'SegEnds_NonXtal_Prot#'!$A:$AL,22,FALSE)+8,1)</f>
        <v>A</v>
      </c>
      <c r="AE340" s="49" t="str">
        <f>MID(VLOOKUP($A340,Seqs!$A:$B,2,FALSE),VLOOKUP($A340,'SegEnds_NonXtal_Prot#'!$A:$AL,22,FALSE)+9,1)</f>
        <v>I</v>
      </c>
      <c r="AF340" s="49" t="str">
        <f>MID(VLOOKUP($A340,Seqs!$A:$B,2,FALSE),VLOOKUP($A340,'SegEnds_NonXtal_Prot#'!$A:$AL,22,FALSE)+10,1)</f>
        <v>T</v>
      </c>
      <c r="AG340" s="28" t="str">
        <f>MID(VLOOKUP($A340,Seqs!$A:$B,2,FALSE),VLOOKUP($A340,'SegEnds_NonXtal_Prot#'!$A:$AL,28,FALSE)-4,1)</f>
        <v>P</v>
      </c>
      <c r="AH340" s="49" t="str">
        <f>MID(VLOOKUP($A340,Seqs!$A:$B,2,FALSE),VLOOKUP($A340,'SegEnds_NonXtal_Prot#'!$A:$AL,28,FALSE),1)</f>
        <v>I</v>
      </c>
    </row>
    <row r="341" spans="1:34" s="2" customFormat="1" x14ac:dyDescent="0.2">
      <c r="A341" s="2" t="s">
        <v>1192</v>
      </c>
      <c r="B341" s="2" t="str">
        <f>LOWER(VLOOKUP(A341,Xtal_Templ!A:B,2,FALSE))</f>
        <v>crfr2_human</v>
      </c>
      <c r="C341" s="2" t="str">
        <f>VLOOKUP(A341,Classification!A:D,2,FALSE)</f>
        <v>B2</v>
      </c>
      <c r="D341" s="2" t="str">
        <f>IF(ISERROR(MATCH(A341,'SegEnds_Xtal_Prot#'!B:B, 0)), "NoXtal", "Xtal")</f>
        <v>NoXtal</v>
      </c>
      <c r="H341" s="4"/>
      <c r="J341" s="106" t="s">
        <v>25</v>
      </c>
      <c r="T341" s="4" t="s">
        <v>12</v>
      </c>
      <c r="V341" s="28" t="str">
        <f>MID(VLOOKUP($A341,Seqs!$A:$B,2,FALSE),VLOOKUP($A341,'SegEnds_NonXtal_Prot#'!A:AL,10,FALSE),1)</f>
        <v>L</v>
      </c>
      <c r="W341" s="49" t="str">
        <f>MID(VLOOKUP($A341,Seqs!$A:$B,2,FALSE),VLOOKUP($A341,'SegEnds_NonXtal_Prot#'!A:AL,10,FALSE)+6,1)</f>
        <v>L</v>
      </c>
      <c r="X341" s="49" t="str">
        <f>MID(VLOOKUP($A341,Seqs!$A:$B,2,FALSE),VLOOKUP($A341,'SegEnds_NonXtal_Prot#'!A:AL,10,FALSE)+7,1)</f>
        <v>F</v>
      </c>
      <c r="Y341" s="49" t="str">
        <f>MID(VLOOKUP($A341,Seqs!$A:$B,2,FALSE),VLOOKUP($A341,'SegEnds_NonXtal_Prot#'!A:AL,10,FALSE)+8,1)</f>
        <v>L</v>
      </c>
      <c r="Z341" s="49" t="str">
        <f>MID(VLOOKUP($A341,Seqs!$A:$B,2,FALSE),VLOOKUP($A341,'SegEnds_NonXtal_Prot#'!A:AL,10,FALSE)+9,1)</f>
        <v>V</v>
      </c>
      <c r="AA341" s="49" t="str">
        <f>MID(VLOOKUP($A341,Seqs!$A:$B,2,FALSE),VLOOKUP($A341,'SegEnds_NonXtal_Prot#'!A:AL,10,FALSE)+10,1)</f>
        <v>G</v>
      </c>
      <c r="AB341" s="28" t="str">
        <f>MID(VLOOKUP($A341,Seqs!$A:$B,2,FALSE),VLOOKUP($A341,'SegEnds_NonXtal_Prot#'!$A:$AL,22,FALSE)+6,1)</f>
        <v>V</v>
      </c>
      <c r="AC341" s="49" t="str">
        <f>MID(VLOOKUP($A341,Seqs!$A:$B,2,FALSE),VLOOKUP($A341,'SegEnds_NonXtal_Prot#'!$A:$AL,22,FALSE)+7,1)</f>
        <v>V</v>
      </c>
      <c r="AD341" s="49" t="str">
        <f>MID(VLOOKUP($A341,Seqs!$A:$B,2,FALSE),VLOOKUP($A341,'SegEnds_NonXtal_Prot#'!$A:$AL,22,FALSE)+8,1)</f>
        <v>G</v>
      </c>
      <c r="AE341" s="49" t="str">
        <f>MID(VLOOKUP($A341,Seqs!$A:$B,2,FALSE),VLOOKUP($A341,'SegEnds_NonXtal_Prot#'!$A:$AL,22,FALSE)+9,1)</f>
        <v>I</v>
      </c>
      <c r="AF341" s="49" t="str">
        <f>MID(VLOOKUP($A341,Seqs!$A:$B,2,FALSE),VLOOKUP($A341,'SegEnds_NonXtal_Prot#'!$A:$AL,22,FALSE)+10,1)</f>
        <v>A</v>
      </c>
      <c r="AG341" s="28" t="str">
        <f>MID(VLOOKUP($A341,Seqs!$A:$B,2,FALSE),VLOOKUP($A341,'SegEnds_NonXtal_Prot#'!$A:$AL,28,FALSE)-4,1)</f>
        <v>P</v>
      </c>
      <c r="AH341" s="49" t="str">
        <f>MID(VLOOKUP($A341,Seqs!$A:$B,2,FALSE),VLOOKUP($A341,'SegEnds_NonXtal_Prot#'!$A:$AL,28,FALSE),1)</f>
        <v>V</v>
      </c>
    </row>
    <row r="342" spans="1:34" s="2" customFormat="1" x14ac:dyDescent="0.2">
      <c r="A342" s="2" t="s">
        <v>1193</v>
      </c>
      <c r="B342" s="2" t="str">
        <f>LOWER(VLOOKUP(A342,Xtal_Templ!A:B,2,FALSE))</f>
        <v>crfr2_human</v>
      </c>
      <c r="C342" s="2" t="str">
        <f>VLOOKUP(A342,Classification!A:D,2,FALSE)</f>
        <v>B2</v>
      </c>
      <c r="D342" s="2" t="str">
        <f>IF(ISERROR(MATCH(A342,'SegEnds_Xtal_Prot#'!B:B, 0)), "NoXtal", "Xtal")</f>
        <v>NoXtal</v>
      </c>
      <c r="H342" s="4"/>
      <c r="J342" s="106" t="s">
        <v>25</v>
      </c>
      <c r="T342" s="4" t="s">
        <v>12</v>
      </c>
      <c r="V342" s="28" t="str">
        <f>MID(VLOOKUP($A342,Seqs!$A:$B,2,FALSE),VLOOKUP($A342,'SegEnds_NonXtal_Prot#'!A:AL,10,FALSE),1)</f>
        <v>L</v>
      </c>
      <c r="W342" s="49" t="str">
        <f>MID(VLOOKUP($A342,Seqs!$A:$B,2,FALSE),VLOOKUP($A342,'SegEnds_NonXtal_Prot#'!A:AL,10,FALSE)+6,1)</f>
        <v>I</v>
      </c>
      <c r="X342" s="49" t="str">
        <f>MID(VLOOKUP($A342,Seqs!$A:$B,2,FALSE),VLOOKUP($A342,'SegEnds_NonXtal_Prot#'!A:AL,10,FALSE)+7,1)</f>
        <v>F</v>
      </c>
      <c r="Y342" s="49" t="str">
        <f>MID(VLOOKUP($A342,Seqs!$A:$B,2,FALSE),VLOOKUP($A342,'SegEnds_NonXtal_Prot#'!A:AL,10,FALSE)+8,1)</f>
        <v>L</v>
      </c>
      <c r="Z342" s="49" t="str">
        <f>MID(VLOOKUP($A342,Seqs!$A:$B,2,FALSE),VLOOKUP($A342,'SegEnds_NonXtal_Prot#'!A:AL,10,FALSE)+9,1)</f>
        <v>I</v>
      </c>
      <c r="AA342" s="49" t="str">
        <f>MID(VLOOKUP($A342,Seqs!$A:$B,2,FALSE),VLOOKUP($A342,'SegEnds_NonXtal_Prot#'!A:AL,10,FALSE)+10,1)</f>
        <v>G</v>
      </c>
      <c r="AB342" s="28" t="str">
        <f>MID(VLOOKUP($A342,Seqs!$A:$B,2,FALSE),VLOOKUP($A342,'SegEnds_NonXtal_Prot#'!$A:$AL,22,FALSE)+6,1)</f>
        <v>V</v>
      </c>
      <c r="AC342" s="49" t="str">
        <f>MID(VLOOKUP($A342,Seqs!$A:$B,2,FALSE),VLOOKUP($A342,'SegEnds_NonXtal_Prot#'!$A:$AL,22,FALSE)+7,1)</f>
        <v>V</v>
      </c>
      <c r="AD342" s="49" t="str">
        <f>MID(VLOOKUP($A342,Seqs!$A:$B,2,FALSE),VLOOKUP($A342,'SegEnds_NonXtal_Prot#'!$A:$AL,22,FALSE)+8,1)</f>
        <v>G</v>
      </c>
      <c r="AE342" s="49" t="str">
        <f>MID(VLOOKUP($A342,Seqs!$A:$B,2,FALSE),VLOOKUP($A342,'SegEnds_NonXtal_Prot#'!$A:$AL,22,FALSE)+9,1)</f>
        <v>V</v>
      </c>
      <c r="AF342" s="49" t="str">
        <f>MID(VLOOKUP($A342,Seqs!$A:$B,2,FALSE),VLOOKUP($A342,'SegEnds_NonXtal_Prot#'!$A:$AL,22,FALSE)+10,1)</f>
        <v>S</v>
      </c>
      <c r="AG342" s="28" t="str">
        <f>MID(VLOOKUP($A342,Seqs!$A:$B,2,FALSE),VLOOKUP($A342,'SegEnds_NonXtal_Prot#'!$A:$AL,28,FALSE)-4,1)</f>
        <v>P</v>
      </c>
      <c r="AH342" s="49" t="str">
        <f>MID(VLOOKUP($A342,Seqs!$A:$B,2,FALSE),VLOOKUP($A342,'SegEnds_NonXtal_Prot#'!$A:$AL,28,FALSE),1)</f>
        <v>I</v>
      </c>
    </row>
    <row r="343" spans="1:34" s="2" customFormat="1" x14ac:dyDescent="0.2">
      <c r="A343" s="2" t="s">
        <v>1194</v>
      </c>
      <c r="B343" s="2" t="str">
        <f>LOWER(VLOOKUP(A343,Xtal_Templ!A:B,2,FALSE))</f>
        <v>crfr2_human</v>
      </c>
      <c r="C343" s="2" t="str">
        <f>VLOOKUP(A343,Classification!A:D,2,FALSE)</f>
        <v>B2</v>
      </c>
      <c r="D343" s="2" t="str">
        <f>IF(ISERROR(MATCH(A343,'SegEnds_Xtal_Prot#'!B:B, 0)), "NoXtal", "Xtal")</f>
        <v>NoXtal</v>
      </c>
      <c r="H343" s="4"/>
      <c r="J343" s="106" t="s">
        <v>25</v>
      </c>
      <c r="T343" s="4" t="s">
        <v>12</v>
      </c>
      <c r="V343" s="28" t="str">
        <f>MID(VLOOKUP($A343,Seqs!$A:$B,2,FALSE),VLOOKUP($A343,'SegEnds_NonXtal_Prot#'!A:AL,10,FALSE),1)</f>
        <v>L</v>
      </c>
      <c r="W343" s="49" t="str">
        <f>MID(VLOOKUP($A343,Seqs!$A:$B,2,FALSE),VLOOKUP($A343,'SegEnds_NonXtal_Prot#'!A:AL,10,FALSE)+6,1)</f>
        <v>L</v>
      </c>
      <c r="X343" s="49" t="str">
        <f>MID(VLOOKUP($A343,Seqs!$A:$B,2,FALSE),VLOOKUP($A343,'SegEnds_NonXtal_Prot#'!A:AL,10,FALSE)+7,1)</f>
        <v>F</v>
      </c>
      <c r="Y343" s="49" t="str">
        <f>MID(VLOOKUP($A343,Seqs!$A:$B,2,FALSE),VLOOKUP($A343,'SegEnds_NonXtal_Prot#'!A:AL,10,FALSE)+8,1)</f>
        <v>L</v>
      </c>
      <c r="Z343" s="49" t="str">
        <f>MID(VLOOKUP($A343,Seqs!$A:$B,2,FALSE),VLOOKUP($A343,'SegEnds_NonXtal_Prot#'!A:AL,10,FALSE)+9,1)</f>
        <v>I</v>
      </c>
      <c r="AA343" s="49" t="str">
        <f>MID(VLOOKUP($A343,Seqs!$A:$B,2,FALSE),VLOOKUP($A343,'SegEnds_NonXtal_Prot#'!A:AL,10,FALSE)+10,1)</f>
        <v>G</v>
      </c>
      <c r="AB343" s="28" t="str">
        <f>MID(VLOOKUP($A343,Seqs!$A:$B,2,FALSE),VLOOKUP($A343,'SegEnds_NonXtal_Prot#'!$A:$AL,22,FALSE)+6,1)</f>
        <v>I</v>
      </c>
      <c r="AC343" s="49" t="str">
        <f>MID(VLOOKUP($A343,Seqs!$A:$B,2,FALSE),VLOOKUP($A343,'SegEnds_NonXtal_Prot#'!$A:$AL,22,FALSE)+7,1)</f>
        <v>V</v>
      </c>
      <c r="AD343" s="49" t="str">
        <f>MID(VLOOKUP($A343,Seqs!$A:$B,2,FALSE),VLOOKUP($A343,'SegEnds_NonXtal_Prot#'!$A:$AL,22,FALSE)+8,1)</f>
        <v>A</v>
      </c>
      <c r="AE343" s="49" t="str">
        <f>MID(VLOOKUP($A343,Seqs!$A:$B,2,FALSE),VLOOKUP($A343,'SegEnds_NonXtal_Prot#'!$A:$AL,22,FALSE)+9,1)</f>
        <v>V</v>
      </c>
      <c r="AF343" s="49" t="str">
        <f>MID(VLOOKUP($A343,Seqs!$A:$B,2,FALSE),VLOOKUP($A343,'SegEnds_NonXtal_Prot#'!$A:$AL,22,FALSE)+10,1)</f>
        <v>S</v>
      </c>
      <c r="AG343" s="28" t="str">
        <f>MID(VLOOKUP($A343,Seqs!$A:$B,2,FALSE),VLOOKUP($A343,'SegEnds_NonXtal_Prot#'!$A:$AL,28,FALSE)-4,1)</f>
        <v>P</v>
      </c>
      <c r="AH343" s="49" t="str">
        <f>MID(VLOOKUP($A343,Seqs!$A:$B,2,FALSE),VLOOKUP($A343,'SegEnds_NonXtal_Prot#'!$A:$AL,28,FALSE),1)</f>
        <v>I</v>
      </c>
    </row>
    <row r="344" spans="1:34" s="2" customFormat="1" x14ac:dyDescent="0.2">
      <c r="A344" s="2" t="s">
        <v>1195</v>
      </c>
      <c r="B344" s="2" t="str">
        <f>LOWER(VLOOKUP(A344,Xtal_Templ!A:B,2,FALSE))</f>
        <v>crfr1_human</v>
      </c>
      <c r="C344" s="2" t="str">
        <f>VLOOKUP(A344,Classification!A:D,2,FALSE)</f>
        <v>B2</v>
      </c>
      <c r="D344" s="2" t="str">
        <f>IF(ISERROR(MATCH(A344,'SegEnds_Xtal_Prot#'!B:B, 0)), "NoXtal", "Xtal")</f>
        <v>NoXtal</v>
      </c>
      <c r="H344" s="4"/>
      <c r="J344" s="106" t="s">
        <v>25</v>
      </c>
      <c r="T344" s="4" t="s">
        <v>12</v>
      </c>
      <c r="V344" s="28" t="str">
        <f>MID(VLOOKUP($A344,Seqs!$A:$B,2,FALSE),VLOOKUP($A344,'SegEnds_NonXtal_Prot#'!A:AL,10,FALSE),1)</f>
        <v>L</v>
      </c>
      <c r="W344" s="49" t="str">
        <f>MID(VLOOKUP($A344,Seqs!$A:$B,2,FALSE),VLOOKUP($A344,'SegEnds_NonXtal_Prot#'!A:AL,10,FALSE)+6,1)</f>
        <v>V</v>
      </c>
      <c r="X344" s="49" t="str">
        <f>MID(VLOOKUP($A344,Seqs!$A:$B,2,FALSE),VLOOKUP($A344,'SegEnds_NonXtal_Prot#'!A:AL,10,FALSE)+7,1)</f>
        <v>F</v>
      </c>
      <c r="Y344" s="49" t="str">
        <f>MID(VLOOKUP($A344,Seqs!$A:$B,2,FALSE),VLOOKUP($A344,'SegEnds_NonXtal_Prot#'!A:AL,10,FALSE)+8,1)</f>
        <v>L</v>
      </c>
      <c r="Z344" s="49" t="str">
        <f>MID(VLOOKUP($A344,Seqs!$A:$B,2,FALSE),VLOOKUP($A344,'SegEnds_NonXtal_Prot#'!A:AL,10,FALSE)+9,1)</f>
        <v>V</v>
      </c>
      <c r="AA344" s="49" t="str">
        <f>MID(VLOOKUP($A344,Seqs!$A:$B,2,FALSE),VLOOKUP($A344,'SegEnds_NonXtal_Prot#'!A:AL,10,FALSE)+10,1)</f>
        <v>G</v>
      </c>
      <c r="AB344" s="28" t="str">
        <f>MID(VLOOKUP($A344,Seqs!$A:$B,2,FALSE),VLOOKUP($A344,'SegEnds_NonXtal_Prot#'!$A:$AL,22,FALSE)+6,1)</f>
        <v>V</v>
      </c>
      <c r="AC344" s="49" t="str">
        <f>MID(VLOOKUP($A344,Seqs!$A:$B,2,FALSE),VLOOKUP($A344,'SegEnds_NonXtal_Prot#'!$A:$AL,22,FALSE)+7,1)</f>
        <v>V</v>
      </c>
      <c r="AD344" s="49" t="str">
        <f>MID(VLOOKUP($A344,Seqs!$A:$B,2,FALSE),VLOOKUP($A344,'SegEnds_NonXtal_Prot#'!$A:$AL,22,FALSE)+8,1)</f>
        <v>G</v>
      </c>
      <c r="AE344" s="49" t="str">
        <f>MID(VLOOKUP($A344,Seqs!$A:$B,2,FALSE),VLOOKUP($A344,'SegEnds_NonXtal_Prot#'!$A:$AL,22,FALSE)+9,1)</f>
        <v>F</v>
      </c>
      <c r="AF344" s="49" t="str">
        <f>MID(VLOOKUP($A344,Seqs!$A:$B,2,FALSE),VLOOKUP($A344,'SegEnds_NonXtal_Prot#'!$A:$AL,22,FALSE)+10,1)</f>
        <v>S</v>
      </c>
      <c r="AG344" s="28" t="str">
        <f>MID(VLOOKUP($A344,Seqs!$A:$B,2,FALSE),VLOOKUP($A344,'SegEnds_NonXtal_Prot#'!$A:$AL,28,FALSE)-4,1)</f>
        <v>P</v>
      </c>
      <c r="AH344" s="49" t="str">
        <f>MID(VLOOKUP($A344,Seqs!$A:$B,2,FALSE),VLOOKUP($A344,'SegEnds_NonXtal_Prot#'!$A:$AL,28,FALSE),1)</f>
        <v>I</v>
      </c>
    </row>
    <row r="345" spans="1:34" s="2" customFormat="1" x14ac:dyDescent="0.2">
      <c r="A345" s="2" t="s">
        <v>1673</v>
      </c>
      <c r="B345" s="2" t="str">
        <f>LOWER(VLOOKUP(A345,Xtal_Templ!A:B,2,FALSE))</f>
        <v>crfr1_human</v>
      </c>
      <c r="C345" s="2" t="str">
        <f>VLOOKUP(A345,Classification!A:D,2,FALSE)</f>
        <v>B2</v>
      </c>
      <c r="D345" s="2" t="str">
        <f>IF(ISERROR(MATCH(A345,'SegEnds_Xtal_Prot#'!B:B, 0)), "NoXtal", "Xtal")</f>
        <v>NoXtal</v>
      </c>
      <c r="H345" s="4"/>
      <c r="J345" s="106" t="s">
        <v>25</v>
      </c>
      <c r="T345" s="4" t="s">
        <v>12</v>
      </c>
      <c r="V345" s="28" t="str">
        <f>MID(VLOOKUP($A345,Seqs!$A:$B,2,FALSE),VLOOKUP($A345,'SegEnds_NonXtal_Prot#'!A:AL,10,FALSE),1)</f>
        <v>I</v>
      </c>
      <c r="W345" s="49" t="str">
        <f>MID(VLOOKUP($A345,Seqs!$A:$B,2,FALSE),VLOOKUP($A345,'SegEnds_NonXtal_Prot#'!A:AL,10,FALSE)+6,1)</f>
        <v>L</v>
      </c>
      <c r="X345" s="49" t="str">
        <f>MID(VLOOKUP($A345,Seqs!$A:$B,2,FALSE),VLOOKUP($A345,'SegEnds_NonXtal_Prot#'!A:AL,10,FALSE)+7,1)</f>
        <v>I</v>
      </c>
      <c r="Y345" s="49" t="str">
        <f>MID(VLOOKUP($A345,Seqs!$A:$B,2,FALSE),VLOOKUP($A345,'SegEnds_NonXtal_Prot#'!A:AL,10,FALSE)+8,1)</f>
        <v>L</v>
      </c>
      <c r="Z345" s="49" t="str">
        <f>MID(VLOOKUP($A345,Seqs!$A:$B,2,FALSE),VLOOKUP($A345,'SegEnds_NonXtal_Prot#'!A:AL,10,FALSE)+9,1)</f>
        <v>I</v>
      </c>
      <c r="AA345" s="49" t="str">
        <f>MID(VLOOKUP($A345,Seqs!$A:$B,2,FALSE),VLOOKUP($A345,'SegEnds_NonXtal_Prot#'!A:AL,10,FALSE)+10,1)</f>
        <v>G</v>
      </c>
      <c r="AB345" s="28" t="str">
        <f>MID(VLOOKUP($A345,Seqs!$A:$B,2,FALSE),VLOOKUP($A345,'SegEnds_NonXtal_Prot#'!$A:$AL,22,FALSE)+6,1)</f>
        <v>V</v>
      </c>
      <c r="AC345" s="49" t="str">
        <f>MID(VLOOKUP($A345,Seqs!$A:$B,2,FALSE),VLOOKUP($A345,'SegEnds_NonXtal_Prot#'!$A:$AL,22,FALSE)+7,1)</f>
        <v>V</v>
      </c>
      <c r="AD345" s="49" t="str">
        <f>MID(VLOOKUP($A345,Seqs!$A:$B,2,FALSE),VLOOKUP($A345,'SegEnds_NonXtal_Prot#'!$A:$AL,22,FALSE)+8,1)</f>
        <v>A</v>
      </c>
      <c r="AE345" s="49" t="str">
        <f>MID(VLOOKUP($A345,Seqs!$A:$B,2,FALSE),VLOOKUP($A345,'SegEnds_NonXtal_Prot#'!$A:$AL,22,FALSE)+9,1)</f>
        <v>I</v>
      </c>
      <c r="AF345" s="49" t="str">
        <f>MID(VLOOKUP($A345,Seqs!$A:$B,2,FALSE),VLOOKUP($A345,'SegEnds_NonXtal_Prot#'!$A:$AL,22,FALSE)+10,1)</f>
        <v>S</v>
      </c>
      <c r="AG345" s="28" t="str">
        <f>MID(VLOOKUP($A345,Seqs!$A:$B,2,FALSE),VLOOKUP($A345,'SegEnds_NonXtal_Prot#'!$A:$AL,28,FALSE)-4,1)</f>
        <v>P</v>
      </c>
      <c r="AH345" s="49" t="str">
        <f>MID(VLOOKUP($A345,Seqs!$A:$B,2,FALSE),VLOOKUP($A345,'SegEnds_NonXtal_Prot#'!$A:$AL,28,FALSE),1)</f>
        <v>V</v>
      </c>
    </row>
    <row r="346" spans="1:34" s="2" customFormat="1" x14ac:dyDescent="0.2">
      <c r="A346" s="2" t="s">
        <v>413</v>
      </c>
      <c r="B346" s="2" t="str">
        <f>LOWER(VLOOKUP(A346,Xtal_Templ!A:B,2,FALSE))</f>
        <v>calcr_human</v>
      </c>
      <c r="C346" s="2" t="str">
        <f>VLOOKUP(A346,Classification!A:D,2,FALSE)</f>
        <v>B2</v>
      </c>
      <c r="D346" s="2" t="str">
        <f>IF(ISERROR(MATCH(A346,'SegEnds_Xtal_Prot#'!B:B, 0)), "NoXtal", "Xtal")</f>
        <v>NoXtal</v>
      </c>
      <c r="H346" s="4"/>
      <c r="J346" s="106" t="s">
        <v>25</v>
      </c>
      <c r="T346" s="4" t="s">
        <v>12</v>
      </c>
      <c r="V346" s="28" t="str">
        <f>MID(VLOOKUP($A346,Seqs!$A:$B,2,FALSE),VLOOKUP($A346,'SegEnds_NonXtal_Prot#'!A:AL,10,FALSE),1)</f>
        <v>L</v>
      </c>
      <c r="W346" s="49" t="str">
        <f>MID(VLOOKUP($A346,Seqs!$A:$B,2,FALSE),VLOOKUP($A346,'SegEnds_NonXtal_Prot#'!A:AL,10,FALSE)+6,1)</f>
        <v>V</v>
      </c>
      <c r="X346" s="49" t="str">
        <f>MID(VLOOKUP($A346,Seqs!$A:$B,2,FALSE),VLOOKUP($A346,'SegEnds_NonXtal_Prot#'!A:AL,10,FALSE)+7,1)</f>
        <v>F</v>
      </c>
      <c r="Y346" s="49" t="str">
        <f>MID(VLOOKUP($A346,Seqs!$A:$B,2,FALSE),VLOOKUP($A346,'SegEnds_NonXtal_Prot#'!A:AL,10,FALSE)+8,1)</f>
        <v>V</v>
      </c>
      <c r="Z346" s="49" t="str">
        <f>MID(VLOOKUP($A346,Seqs!$A:$B,2,FALSE),VLOOKUP($A346,'SegEnds_NonXtal_Prot#'!A:AL,10,FALSE)+9,1)</f>
        <v>I</v>
      </c>
      <c r="AA346" s="49" t="str">
        <f>MID(VLOOKUP($A346,Seqs!$A:$B,2,FALSE),VLOOKUP($A346,'SegEnds_NonXtal_Prot#'!A:AL,10,FALSE)+10,1)</f>
        <v>G</v>
      </c>
      <c r="AB346" s="28" t="str">
        <f>MID(VLOOKUP($A346,Seqs!$A:$B,2,FALSE),VLOOKUP($A346,'SegEnds_NonXtal_Prot#'!$A:$AL,22,FALSE)+6,1)</f>
        <v>V</v>
      </c>
      <c r="AC346" s="49" t="str">
        <f>MID(VLOOKUP($A346,Seqs!$A:$B,2,FALSE),VLOOKUP($A346,'SegEnds_NonXtal_Prot#'!$A:$AL,22,FALSE)+7,1)</f>
        <v>T</v>
      </c>
      <c r="AD346" s="49" t="str">
        <f>MID(VLOOKUP($A346,Seqs!$A:$B,2,FALSE),VLOOKUP($A346,'SegEnds_NonXtal_Prot#'!$A:$AL,22,FALSE)+8,1)</f>
        <v>G</v>
      </c>
      <c r="AE346" s="49" t="str">
        <f>MID(VLOOKUP($A346,Seqs!$A:$B,2,FALSE),VLOOKUP($A346,'SegEnds_NonXtal_Prot#'!$A:$AL,22,FALSE)+9,1)</f>
        <v>L</v>
      </c>
      <c r="AF346" s="49" t="str">
        <f>MID(VLOOKUP($A346,Seqs!$A:$B,2,FALSE),VLOOKUP($A346,'SegEnds_NonXtal_Prot#'!$A:$AL,22,FALSE)+10,1)</f>
        <v>A</v>
      </c>
      <c r="AG346" s="28" t="str">
        <f>MID(VLOOKUP($A346,Seqs!$A:$B,2,FALSE),VLOOKUP($A346,'SegEnds_NonXtal_Prot#'!$A:$AL,28,FALSE)-4,1)</f>
        <v>P</v>
      </c>
      <c r="AH346" s="49" t="str">
        <f>MID(VLOOKUP($A346,Seqs!$A:$B,2,FALSE),VLOOKUP($A346,'SegEnds_NonXtal_Prot#'!$A:$AL,28,FALSE),1)</f>
        <v>V</v>
      </c>
    </row>
    <row r="347" spans="1:34" s="2" customFormat="1" x14ac:dyDescent="0.2">
      <c r="A347" s="2" t="s">
        <v>414</v>
      </c>
      <c r="B347" s="2" t="str">
        <f>LOWER(VLOOKUP(A347,Xtal_Templ!A:B,2,FALSE))</f>
        <v>calrl_human</v>
      </c>
      <c r="C347" s="2" t="str">
        <f>VLOOKUP(A347,Classification!A:D,2,FALSE)</f>
        <v>B2</v>
      </c>
      <c r="D347" s="2" t="str">
        <f>IF(ISERROR(MATCH(A347,'SegEnds_Xtal_Prot#'!B:B, 0)), "NoXtal", "Xtal")</f>
        <v>NoXtal</v>
      </c>
      <c r="H347" s="4"/>
      <c r="J347" s="106" t="s">
        <v>25</v>
      </c>
      <c r="T347" s="4" t="s">
        <v>12</v>
      </c>
      <c r="V347" s="28" t="str">
        <f>MID(VLOOKUP($A347,Seqs!$A:$B,2,FALSE),VLOOKUP($A347,'SegEnds_NonXtal_Prot#'!A:AL,10,FALSE),1)</f>
        <v>L</v>
      </c>
      <c r="W347" s="49" t="str">
        <f>MID(VLOOKUP($A347,Seqs!$A:$B,2,FALSE),VLOOKUP($A347,'SegEnds_NonXtal_Prot#'!A:AL,10,FALSE)+6,1)</f>
        <v>V</v>
      </c>
      <c r="X347" s="49" t="str">
        <f>MID(VLOOKUP($A347,Seqs!$A:$B,2,FALSE),VLOOKUP($A347,'SegEnds_NonXtal_Prot#'!A:AL,10,FALSE)+7,1)</f>
        <v>F</v>
      </c>
      <c r="Y347" s="49" t="str">
        <f>MID(VLOOKUP($A347,Seqs!$A:$B,2,FALSE),VLOOKUP($A347,'SegEnds_NonXtal_Prot#'!A:AL,10,FALSE)+8,1)</f>
        <v>L</v>
      </c>
      <c r="Z347" s="49" t="str">
        <f>MID(VLOOKUP($A347,Seqs!$A:$B,2,FALSE),VLOOKUP($A347,'SegEnds_NonXtal_Prot#'!A:AL,10,FALSE)+9,1)</f>
        <v>L</v>
      </c>
      <c r="AA347" s="49" t="str">
        <f>MID(VLOOKUP($A347,Seqs!$A:$B,2,FALSE),VLOOKUP($A347,'SegEnds_NonXtal_Prot#'!A:AL,10,FALSE)+10,1)</f>
        <v>G</v>
      </c>
      <c r="AB347" s="28" t="str">
        <f>MID(VLOOKUP($A347,Seqs!$A:$B,2,FALSE),VLOOKUP($A347,'SegEnds_NonXtal_Prot#'!$A:$AL,22,FALSE)+6,1)</f>
        <v>I</v>
      </c>
      <c r="AC347" s="49" t="str">
        <f>MID(VLOOKUP($A347,Seqs!$A:$B,2,FALSE),VLOOKUP($A347,'SegEnds_NonXtal_Prot#'!$A:$AL,22,FALSE)+7,1)</f>
        <v>T</v>
      </c>
      <c r="AD347" s="49" t="str">
        <f>MID(VLOOKUP($A347,Seqs!$A:$B,2,FALSE),VLOOKUP($A347,'SegEnds_NonXtal_Prot#'!$A:$AL,22,FALSE)+8,1)</f>
        <v>G</v>
      </c>
      <c r="AE347" s="49" t="str">
        <f>MID(VLOOKUP($A347,Seqs!$A:$B,2,FALSE),VLOOKUP($A347,'SegEnds_NonXtal_Prot#'!$A:$AL,22,FALSE)+9,1)</f>
        <v>L</v>
      </c>
      <c r="AF347" s="49" t="str">
        <f>MID(VLOOKUP($A347,Seqs!$A:$B,2,FALSE),VLOOKUP($A347,'SegEnds_NonXtal_Prot#'!$A:$AL,22,FALSE)+10,1)</f>
        <v>A</v>
      </c>
      <c r="AG347" s="28" t="str">
        <f>MID(VLOOKUP($A347,Seqs!$A:$B,2,FALSE),VLOOKUP($A347,'SegEnds_NonXtal_Prot#'!$A:$AL,28,FALSE)-4,1)</f>
        <v>P</v>
      </c>
      <c r="AH347" s="49" t="str">
        <f>MID(VLOOKUP($A347,Seqs!$A:$B,2,FALSE),VLOOKUP($A347,'SegEnds_NonXtal_Prot#'!$A:$AL,28,FALSE),1)</f>
        <v>A</v>
      </c>
    </row>
    <row r="348" spans="1:34" s="2" customFormat="1" x14ac:dyDescent="0.2">
      <c r="A348" s="2" t="s">
        <v>1407</v>
      </c>
      <c r="B348" s="2" t="str">
        <f>LOWER(VLOOKUP(A348,Xtal_Templ!A:B,2,FALSE))</f>
        <v>crfr2_human</v>
      </c>
      <c r="C348" s="2" t="str">
        <f>VLOOKUP(A348,Classification!A:D,2,FALSE)</f>
        <v>B2</v>
      </c>
      <c r="D348" s="2" t="str">
        <f>IF(ISERROR(MATCH(A348,'SegEnds_Xtal_Prot#'!B:B, 0)), "NoXtal", "Xtal")</f>
        <v>NoXtal</v>
      </c>
      <c r="H348" s="4"/>
      <c r="J348" s="106" t="s">
        <v>25</v>
      </c>
      <c r="T348" s="4" t="s">
        <v>12</v>
      </c>
      <c r="V348" s="28" t="str">
        <f>MID(VLOOKUP($A348,Seqs!$A:$B,2,FALSE),VLOOKUP($A348,'SegEnds_NonXtal_Prot#'!A:AL,10,FALSE),1)</f>
        <v>L</v>
      </c>
      <c r="W348" s="49" t="str">
        <f>MID(VLOOKUP($A348,Seqs!$A:$B,2,FALSE),VLOOKUP($A348,'SegEnds_NonXtal_Prot#'!A:AL,10,FALSE)+6,1)</f>
        <v>L</v>
      </c>
      <c r="X348" s="49" t="str">
        <f>MID(VLOOKUP($A348,Seqs!$A:$B,2,FALSE),VLOOKUP($A348,'SegEnds_NonXtal_Prot#'!A:AL,10,FALSE)+7,1)</f>
        <v>F</v>
      </c>
      <c r="Y348" s="49" t="str">
        <f>MID(VLOOKUP($A348,Seqs!$A:$B,2,FALSE),VLOOKUP($A348,'SegEnds_NonXtal_Prot#'!A:AL,10,FALSE)+8,1)</f>
        <v>L</v>
      </c>
      <c r="Z348" s="49" t="str">
        <f>MID(VLOOKUP($A348,Seqs!$A:$B,2,FALSE),VLOOKUP($A348,'SegEnds_NonXtal_Prot#'!A:AL,10,FALSE)+9,1)</f>
        <v>L</v>
      </c>
      <c r="AA348" s="49" t="str">
        <f>MID(VLOOKUP($A348,Seqs!$A:$B,2,FALSE),VLOOKUP($A348,'SegEnds_NonXtal_Prot#'!A:AL,10,FALSE)+10,1)</f>
        <v>D</v>
      </c>
      <c r="AB348" s="28" t="str">
        <f>MID(VLOOKUP($A348,Seqs!$A:$B,2,FALSE),VLOOKUP($A348,'SegEnds_NonXtal_Prot#'!$A:$AL,22,FALSE)+6,1)</f>
        <v>V</v>
      </c>
      <c r="AC348" s="49" t="str">
        <f>MID(VLOOKUP($A348,Seqs!$A:$B,2,FALSE),VLOOKUP($A348,'SegEnds_NonXtal_Prot#'!$A:$AL,22,FALSE)+7,1)</f>
        <v>V</v>
      </c>
      <c r="AD348" s="49" t="str">
        <f>MID(VLOOKUP($A348,Seqs!$A:$B,2,FALSE),VLOOKUP($A348,'SegEnds_NonXtal_Prot#'!$A:$AL,22,FALSE)+8,1)</f>
        <v>S</v>
      </c>
      <c r="AE348" s="49" t="str">
        <f>MID(VLOOKUP($A348,Seqs!$A:$B,2,FALSE),VLOOKUP($A348,'SegEnds_NonXtal_Prot#'!$A:$AL,22,FALSE)+9,1)</f>
        <v>V</v>
      </c>
      <c r="AF348" s="49" t="str">
        <f>MID(VLOOKUP($A348,Seqs!$A:$B,2,FALSE),VLOOKUP($A348,'SegEnds_NonXtal_Prot#'!$A:$AL,22,FALSE)+10,1)</f>
        <v>V</v>
      </c>
      <c r="AG348" s="28" t="str">
        <f>MID(VLOOKUP($A348,Seqs!$A:$B,2,FALSE),VLOOKUP($A348,'SegEnds_NonXtal_Prot#'!$A:$AL,28,FALSE)-4,1)</f>
        <v>Y</v>
      </c>
      <c r="AH348" s="49" t="str">
        <f>MID(VLOOKUP($A348,Seqs!$A:$B,2,FALSE),VLOOKUP($A348,'SegEnds_NonXtal_Prot#'!$A:$AL,28,FALSE),1)</f>
        <v>M</v>
      </c>
    </row>
    <row r="349" spans="1:34" s="2" customFormat="1" x14ac:dyDescent="0.2">
      <c r="A349" s="2" t="s">
        <v>1674</v>
      </c>
      <c r="B349" s="2" t="str">
        <f>LOWER(VLOOKUP(A349,Xtal_Templ!A:B,2,FALSE))</f>
        <v>crfr1_human</v>
      </c>
      <c r="C349" s="2" t="str">
        <f>VLOOKUP(A349,Classification!A:D,2,FALSE)</f>
        <v>B2</v>
      </c>
      <c r="D349" s="2" t="str">
        <f>IF(ISERROR(MATCH(A349,'SegEnds_Xtal_Prot#'!B:B, 0)), "NoXtal", "Xtal")</f>
        <v>NoXtal</v>
      </c>
      <c r="H349" s="4"/>
      <c r="J349" s="106" t="s">
        <v>25</v>
      </c>
      <c r="T349" s="4" t="s">
        <v>12</v>
      </c>
      <c r="V349" s="28" t="str">
        <f>MID(VLOOKUP($A349,Seqs!$A:$B,2,FALSE),VLOOKUP($A349,'SegEnds_NonXtal_Prot#'!A:AL,10,FALSE),1)</f>
        <v>S</v>
      </c>
      <c r="W349" s="49" t="str">
        <f>MID(VLOOKUP($A349,Seqs!$A:$B,2,FALSE),VLOOKUP($A349,'SegEnds_NonXtal_Prot#'!A:AL,10,FALSE)+6,1)</f>
        <v>L</v>
      </c>
      <c r="X349" s="49" t="str">
        <f>MID(VLOOKUP($A349,Seqs!$A:$B,2,FALSE),VLOOKUP($A349,'SegEnds_NonXtal_Prot#'!A:AL,10,FALSE)+7,1)</f>
        <v>F</v>
      </c>
      <c r="Y349" s="49" t="str">
        <f>MID(VLOOKUP($A349,Seqs!$A:$B,2,FALSE),VLOOKUP($A349,'SegEnds_NonXtal_Prot#'!A:AL,10,FALSE)+8,1)</f>
        <v>L</v>
      </c>
      <c r="Z349" s="49" t="str">
        <f>MID(VLOOKUP($A349,Seqs!$A:$B,2,FALSE),VLOOKUP($A349,'SegEnds_NonXtal_Prot#'!A:AL,10,FALSE)+9,1)</f>
        <v>A</v>
      </c>
      <c r="AA349" s="49" t="str">
        <f>MID(VLOOKUP($A349,Seqs!$A:$B,2,FALSE),VLOOKUP($A349,'SegEnds_NonXtal_Prot#'!A:AL,10,FALSE)+10,1)</f>
        <v>S</v>
      </c>
      <c r="AB349" s="28" t="str">
        <f>MID(VLOOKUP($A349,Seqs!$A:$B,2,FALSE),VLOOKUP($A349,'SegEnds_NonXtal_Prot#'!$A:$AL,22,FALSE)+6,1)</f>
        <v>V</v>
      </c>
      <c r="AC349" s="49" t="str">
        <f>MID(VLOOKUP($A349,Seqs!$A:$B,2,FALSE),VLOOKUP($A349,'SegEnds_NonXtal_Prot#'!$A:$AL,22,FALSE)+7,1)</f>
        <v>V</v>
      </c>
      <c r="AD349" s="49" t="str">
        <f>MID(VLOOKUP($A349,Seqs!$A:$B,2,FALSE),VLOOKUP($A349,'SegEnds_NonXtal_Prot#'!$A:$AL,22,FALSE)+8,1)</f>
        <v>I</v>
      </c>
      <c r="AE349" s="49" t="str">
        <f>MID(VLOOKUP($A349,Seqs!$A:$B,2,FALSE),VLOOKUP($A349,'SegEnds_NonXtal_Prot#'!$A:$AL,22,FALSE)+9,1)</f>
        <v>L</v>
      </c>
      <c r="AF349" s="49" t="str">
        <f>MID(VLOOKUP($A349,Seqs!$A:$B,2,FALSE),VLOOKUP($A349,'SegEnds_NonXtal_Prot#'!$A:$AL,22,FALSE)+10,1)</f>
        <v>L</v>
      </c>
      <c r="AG349" s="28" t="str">
        <f>MID(VLOOKUP($A349,Seqs!$A:$B,2,FALSE),VLOOKUP($A349,'SegEnds_NonXtal_Prot#'!$A:$AL,28,FALSE)-4,1)</f>
        <v>P</v>
      </c>
      <c r="AH349" s="49" t="str">
        <f>MID(VLOOKUP($A349,Seqs!$A:$B,2,FALSE),VLOOKUP($A349,'SegEnds_NonXtal_Prot#'!$A:$AL,28,FALSE),1)</f>
        <v>L</v>
      </c>
    </row>
    <row r="350" spans="1:34" s="2" customFormat="1" x14ac:dyDescent="0.2">
      <c r="A350" s="2" t="s">
        <v>1675</v>
      </c>
      <c r="B350" s="2" t="str">
        <f>LOWER(VLOOKUP(A350,Xtal_Templ!A:B,2,FALSE))</f>
        <v>glp1r_human</v>
      </c>
      <c r="C350" s="2" t="str">
        <f>VLOOKUP(A350,Classification!A:D,2,FALSE)</f>
        <v>B2</v>
      </c>
      <c r="D350" s="2" t="str">
        <f>IF(ISERROR(MATCH(A350,'SegEnds_Xtal_Prot#'!B:B, 0)), "NoXtal", "Xtal")</f>
        <v>NoXtal</v>
      </c>
      <c r="H350" s="4"/>
      <c r="J350" s="106" t="s">
        <v>25</v>
      </c>
      <c r="T350" s="4" t="s">
        <v>12</v>
      </c>
      <c r="V350" s="28" t="str">
        <f>MID(VLOOKUP($A350,Seqs!$A:$B,2,FALSE),VLOOKUP($A350,'SegEnds_NonXtal_Prot#'!A:AL,10,FALSE),1)</f>
        <v>L</v>
      </c>
      <c r="W350" s="49" t="str">
        <f>MID(VLOOKUP($A350,Seqs!$A:$B,2,FALSE),VLOOKUP($A350,'SegEnds_NonXtal_Prot#'!A:AL,10,FALSE)+6,1)</f>
        <v>I</v>
      </c>
      <c r="X350" s="49" t="str">
        <f>MID(VLOOKUP($A350,Seqs!$A:$B,2,FALSE),VLOOKUP($A350,'SegEnds_NonXtal_Prot#'!A:AL,10,FALSE)+7,1)</f>
        <v>F</v>
      </c>
      <c r="Y350" s="49" t="str">
        <f>MID(VLOOKUP($A350,Seqs!$A:$B,2,FALSE),VLOOKUP($A350,'SegEnds_NonXtal_Prot#'!A:AL,10,FALSE)+8,1)</f>
        <v>L</v>
      </c>
      <c r="Z350" s="49" t="str">
        <f>MID(VLOOKUP($A350,Seqs!$A:$B,2,FALSE),VLOOKUP($A350,'SegEnds_NonXtal_Prot#'!A:AL,10,FALSE)+9,1)</f>
        <v>A</v>
      </c>
      <c r="AA350" s="49" t="str">
        <f>MID(VLOOKUP($A350,Seqs!$A:$B,2,FALSE),VLOOKUP($A350,'SegEnds_NonXtal_Prot#'!A:AL,10,FALSE)+10,1)</f>
        <v>G</v>
      </c>
      <c r="AB350" s="28" t="str">
        <f>MID(VLOOKUP($A350,Seqs!$A:$B,2,FALSE),VLOOKUP($A350,'SegEnds_NonXtal_Prot#'!$A:$AL,22,FALSE)+6,1)</f>
        <v>I</v>
      </c>
      <c r="AC350" s="49" t="str">
        <f>MID(VLOOKUP($A350,Seqs!$A:$B,2,FALSE),VLOOKUP($A350,'SegEnds_NonXtal_Prot#'!$A:$AL,22,FALSE)+7,1)</f>
        <v>V</v>
      </c>
      <c r="AD350" s="49" t="str">
        <f>MID(VLOOKUP($A350,Seqs!$A:$B,2,FALSE),VLOOKUP($A350,'SegEnds_NonXtal_Prot#'!$A:$AL,22,FALSE)+8,1)</f>
        <v>G</v>
      </c>
      <c r="AE350" s="49" t="str">
        <f>MID(VLOOKUP($A350,Seqs!$A:$B,2,FALSE),VLOOKUP($A350,'SegEnds_NonXtal_Prot#'!$A:$AL,22,FALSE)+9,1)</f>
        <v>V</v>
      </c>
      <c r="AF350" s="49" t="str">
        <f>MID(VLOOKUP($A350,Seqs!$A:$B,2,FALSE),VLOOKUP($A350,'SegEnds_NonXtal_Prot#'!$A:$AL,22,FALSE)+10,1)</f>
        <v>S</v>
      </c>
      <c r="AG350" s="28" t="str">
        <f>MID(VLOOKUP($A350,Seqs!$A:$B,2,FALSE),VLOOKUP($A350,'SegEnds_NonXtal_Prot#'!$A:$AL,28,FALSE)-4,1)</f>
        <v>P</v>
      </c>
      <c r="AH350" s="49" t="str">
        <f>MID(VLOOKUP($A350,Seqs!$A:$B,2,FALSE),VLOOKUP($A350,'SegEnds_NonXtal_Prot#'!$A:$AL,28,FALSE),1)</f>
        <v>I</v>
      </c>
    </row>
    <row r="351" spans="1:34" s="2" customFormat="1" x14ac:dyDescent="0.2">
      <c r="A351" s="2" t="s">
        <v>415</v>
      </c>
      <c r="B351" s="2" t="str">
        <f>LOWER(VLOOKUP(A351,Xtal_Templ!A:B,2,FALSE))</f>
        <v>crfr2_human</v>
      </c>
      <c r="C351" s="2" t="str">
        <f>VLOOKUP(A351,Classification!A:D,2,FALSE)</f>
        <v>B2</v>
      </c>
      <c r="D351" s="2" t="str">
        <f>IF(ISERROR(MATCH(A351,'SegEnds_Xtal_Prot#'!B:B, 0)), "NoXtal", "Xtal")</f>
        <v>NoXtal</v>
      </c>
      <c r="H351" s="4"/>
      <c r="J351" s="106" t="s">
        <v>25</v>
      </c>
      <c r="T351" s="4" t="s">
        <v>12</v>
      </c>
      <c r="V351" s="28" t="str">
        <f>MID(VLOOKUP($A351,Seqs!$A:$B,2,FALSE),VLOOKUP($A351,'SegEnds_NonXtal_Prot#'!A:AL,10,FALSE),1)</f>
        <v>L</v>
      </c>
      <c r="W351" s="49" t="str">
        <f>MID(VLOOKUP($A351,Seqs!$A:$B,2,FALSE),VLOOKUP($A351,'SegEnds_NonXtal_Prot#'!A:AL,10,FALSE)+6,1)</f>
        <v>L</v>
      </c>
      <c r="X351" s="49" t="str">
        <f>MID(VLOOKUP($A351,Seqs!$A:$B,2,FALSE),VLOOKUP($A351,'SegEnds_NonXtal_Prot#'!A:AL,10,FALSE)+7,1)</f>
        <v>F</v>
      </c>
      <c r="Y351" s="49" t="str">
        <f>MID(VLOOKUP($A351,Seqs!$A:$B,2,FALSE),VLOOKUP($A351,'SegEnds_NonXtal_Prot#'!A:AL,10,FALSE)+8,1)</f>
        <v>L</v>
      </c>
      <c r="Z351" s="49" t="str">
        <f>MID(VLOOKUP($A351,Seqs!$A:$B,2,FALSE),VLOOKUP($A351,'SegEnds_NonXtal_Prot#'!A:AL,10,FALSE)+9,1)</f>
        <v>L</v>
      </c>
      <c r="AA351" s="49" t="str">
        <f>MID(VLOOKUP($A351,Seqs!$A:$B,2,FALSE),VLOOKUP($A351,'SegEnds_NonXtal_Prot#'!A:AL,10,FALSE)+10,1)</f>
        <v>G</v>
      </c>
      <c r="AB351" s="28" t="str">
        <f>MID(VLOOKUP($A351,Seqs!$A:$B,2,FALSE),VLOOKUP($A351,'SegEnds_NonXtal_Prot#'!$A:$AL,22,FALSE)+6,1)</f>
        <v>L</v>
      </c>
      <c r="AC351" s="49" t="str">
        <f>MID(VLOOKUP($A351,Seqs!$A:$B,2,FALSE),VLOOKUP($A351,'SegEnds_NonXtal_Prot#'!$A:$AL,22,FALSE)+7,1)</f>
        <v>L</v>
      </c>
      <c r="AD351" s="49" t="str">
        <f>MID(VLOOKUP($A351,Seqs!$A:$B,2,FALSE),VLOOKUP($A351,'SegEnds_NonXtal_Prot#'!$A:$AL,22,FALSE)+8,1)</f>
        <v>G</v>
      </c>
      <c r="AE351" s="49" t="str">
        <f>MID(VLOOKUP($A351,Seqs!$A:$B,2,FALSE),VLOOKUP($A351,'SegEnds_NonXtal_Prot#'!$A:$AL,22,FALSE)+9,1)</f>
        <v>L</v>
      </c>
      <c r="AF351" s="49" t="str">
        <f>MID(VLOOKUP($A351,Seqs!$A:$B,2,FALSE),VLOOKUP($A351,'SegEnds_NonXtal_Prot#'!$A:$AL,22,FALSE)+10,1)</f>
        <v>A</v>
      </c>
      <c r="AG351" s="28" t="str">
        <f>MID(VLOOKUP($A351,Seqs!$A:$B,2,FALSE),VLOOKUP($A351,'SegEnds_NonXtal_Prot#'!$A:$AL,28,FALSE)-4,1)</f>
        <v>P</v>
      </c>
      <c r="AH351" s="49" t="str">
        <f>MID(VLOOKUP($A351,Seqs!$A:$B,2,FALSE),VLOOKUP($A351,'SegEnds_NonXtal_Prot#'!$A:$AL,28,FALSE),1)</f>
        <v>V</v>
      </c>
    </row>
    <row r="352" spans="1:34" s="2" customFormat="1" x14ac:dyDescent="0.2">
      <c r="A352" s="2" t="s">
        <v>106</v>
      </c>
      <c r="B352" s="2" t="str">
        <f>LOWER(VLOOKUP(A352,Xtal_Templ!A:B,2,FALSE))</f>
        <v>grm5_human</v>
      </c>
      <c r="C352" s="2" t="str">
        <f>VLOOKUP(A352,Classification!A:D,2,FALSE)</f>
        <v>C</v>
      </c>
      <c r="D352" s="2" t="str">
        <f>IF(ISERROR(MATCH(A352,'SegEnds_Xtal_Prot#'!B:B, 0)), "NoXtal", "Xtal")</f>
        <v>NoXtal</v>
      </c>
      <c r="H352" s="4"/>
      <c r="U352" s="2" t="s">
        <v>1318</v>
      </c>
      <c r="V352" s="28" t="str">
        <f>MID(VLOOKUP($A352,Seqs!$A:$B,2,FALSE),VLOOKUP($A352,'SegEnds_NonXtal_Prot#'!A:AL,10,FALSE),1)</f>
        <v>C</v>
      </c>
      <c r="W352" s="49" t="str">
        <f>MID(VLOOKUP($A352,Seqs!$A:$B,2,FALSE),VLOOKUP($A352,'SegEnds_NonXtal_Prot#'!A:AL,10,FALSE)+6,1)</f>
        <v>A</v>
      </c>
      <c r="X352" s="49" t="str">
        <f>MID(VLOOKUP($A352,Seqs!$A:$B,2,FALSE),VLOOKUP($A352,'SegEnds_NonXtal_Prot#'!A:AL,10,FALSE)+7,1)</f>
        <v>V</v>
      </c>
      <c r="Y352" s="49" t="str">
        <f>MID(VLOOKUP($A352,Seqs!$A:$B,2,FALSE),VLOOKUP($A352,'SegEnds_NonXtal_Prot#'!A:AL,10,FALSE)+8,1)</f>
        <v>F</v>
      </c>
      <c r="Z352" s="49" t="str">
        <f>MID(VLOOKUP($A352,Seqs!$A:$B,2,FALSE),VLOOKUP($A352,'SegEnds_NonXtal_Prot#'!A:AL,10,FALSE)+9,1)</f>
        <v>P</v>
      </c>
      <c r="AA352" s="49" t="str">
        <f>MID(VLOOKUP($A352,Seqs!$A:$B,2,FALSE),VLOOKUP($A352,'SegEnds_NonXtal_Prot#'!A:AL,10,FALSE)+10,1)</f>
        <v>L</v>
      </c>
      <c r="AB352" s="28" t="str">
        <f>MID(VLOOKUP($A352,Seqs!$A:$B,2,FALSE),VLOOKUP($A352,'SegEnds_NonXtal_Prot#'!$A:$AL,22,FALSE)+6,1)</f>
        <v>T</v>
      </c>
      <c r="AC352" s="49" t="str">
        <f>MID(VLOOKUP($A352,Seqs!$A:$B,2,FALSE),VLOOKUP($A352,'SegEnds_NonXtal_Prot#'!$A:$AL,22,FALSE)+7,1)</f>
        <v>L</v>
      </c>
      <c r="AD352" s="49" t="str">
        <f>MID(VLOOKUP($A352,Seqs!$A:$B,2,FALSE),VLOOKUP($A352,'SegEnds_NonXtal_Prot#'!$A:$AL,22,FALSE)+8,1)</f>
        <v>A</v>
      </c>
      <c r="AE352" s="49" t="str">
        <f>MID(VLOOKUP($A352,Seqs!$A:$B,2,FALSE),VLOOKUP($A352,'SegEnds_NonXtal_Prot#'!$A:$AL,22,FALSE)+9,1)</f>
        <v>I</v>
      </c>
      <c r="AF352" s="49" t="str">
        <f>MID(VLOOKUP($A352,Seqs!$A:$B,2,FALSE),VLOOKUP($A352,'SegEnds_NonXtal_Prot#'!$A:$AL,22,FALSE)+10,1)</f>
        <v>W</v>
      </c>
      <c r="AG352" s="28" t="str">
        <f>MID(VLOOKUP($A352,Seqs!$A:$B,2,FALSE),VLOOKUP($A352,'SegEnds_NonXtal_Prot#'!$A:$AL,28,FALSE)-4,1)</f>
        <v>Y</v>
      </c>
      <c r="AH352" s="49" t="str">
        <f>MID(VLOOKUP($A352,Seqs!$A:$B,2,FALSE),VLOOKUP($A352,'SegEnds_NonXtal_Prot#'!$A:$AL,28,FALSE),1)</f>
        <v>L</v>
      </c>
    </row>
    <row r="353" spans="1:34" s="2" customFormat="1" x14ac:dyDescent="0.2">
      <c r="A353" s="2" t="s">
        <v>108</v>
      </c>
      <c r="B353" s="2" t="str">
        <f>LOWER(VLOOKUP(A353,Xtal_Templ!A:B,2,FALSE))</f>
        <v>grm1_human</v>
      </c>
      <c r="C353" s="2" t="str">
        <f>VLOOKUP(A353,Classification!A:D,2,FALSE)</f>
        <v>C</v>
      </c>
      <c r="D353" s="2" t="str">
        <f>IF(ISERROR(MATCH(A353,'SegEnds_Xtal_Prot#'!B:B, 0)), "NoXtal", "Xtal")</f>
        <v>NoXtal</v>
      </c>
      <c r="H353" s="4"/>
      <c r="U353" s="2" t="s">
        <v>1318</v>
      </c>
      <c r="V353" s="28" t="str">
        <f>MID(VLOOKUP($A353,Seqs!$A:$B,2,FALSE),VLOOKUP($A353,'SegEnds_NonXtal_Prot#'!A:AL,10,FALSE),1)</f>
        <v>S</v>
      </c>
      <c r="W353" s="49" t="str">
        <f>MID(VLOOKUP($A353,Seqs!$A:$B,2,FALSE),VLOOKUP($A353,'SegEnds_NonXtal_Prot#'!A:AL,10,FALSE)+6,1)</f>
        <v>S</v>
      </c>
      <c r="X353" s="49" t="str">
        <f>MID(VLOOKUP($A353,Seqs!$A:$B,2,FALSE),VLOOKUP($A353,'SegEnds_NonXtal_Prot#'!A:AL,10,FALSE)+7,1)</f>
        <v>A</v>
      </c>
      <c r="Y353" s="49" t="str">
        <f>MID(VLOOKUP($A353,Seqs!$A:$B,2,FALSE),VLOOKUP($A353,'SegEnds_NonXtal_Prot#'!A:AL,10,FALSE)+8,1)</f>
        <v>Y</v>
      </c>
      <c r="Z353" s="49" t="str">
        <f>MID(VLOOKUP($A353,Seqs!$A:$B,2,FALSE),VLOOKUP($A353,'SegEnds_NonXtal_Prot#'!A:AL,10,FALSE)+9,1)</f>
        <v>L</v>
      </c>
      <c r="AA353" s="49" t="str">
        <f>MID(VLOOKUP($A353,Seqs!$A:$B,2,FALSE),VLOOKUP($A353,'SegEnds_NonXtal_Prot#'!A:AL,10,FALSE)+10,1)</f>
        <v>F</v>
      </c>
      <c r="AB353" s="28" t="str">
        <f>MID(VLOOKUP($A353,Seqs!$A:$B,2,FALSE),VLOOKUP($A353,'SegEnds_NonXtal_Prot#'!$A:$AL,22,FALSE)+6,1)</f>
        <v>L</v>
      </c>
      <c r="AC353" s="49" t="str">
        <f>MID(VLOOKUP($A353,Seqs!$A:$B,2,FALSE),VLOOKUP($A353,'SegEnds_NonXtal_Prot#'!$A:$AL,22,FALSE)+7,1)</f>
        <v>L</v>
      </c>
      <c r="AD353" s="49" t="str">
        <f>MID(VLOOKUP($A353,Seqs!$A:$B,2,FALSE),VLOOKUP($A353,'SegEnds_NonXtal_Prot#'!$A:$AL,22,FALSE)+8,1)</f>
        <v>M</v>
      </c>
      <c r="AE353" s="49" t="str">
        <f>MID(VLOOKUP($A353,Seqs!$A:$B,2,FALSE),VLOOKUP($A353,'SegEnds_NonXtal_Prot#'!$A:$AL,22,FALSE)+9,1)</f>
        <v>T</v>
      </c>
      <c r="AF353" s="49" t="str">
        <f>MID(VLOOKUP($A353,Seqs!$A:$B,2,FALSE),VLOOKUP($A353,'SegEnds_NonXtal_Prot#'!$A:$AL,22,FALSE)+10,1)</f>
        <v>W</v>
      </c>
      <c r="AG353" s="28" t="str">
        <f>MID(VLOOKUP($A353,Seqs!$A:$B,2,FALSE),VLOOKUP($A353,'SegEnds_NonXtal_Prot#'!$A:$AL,28,FALSE)-4,1)</f>
        <v>C</v>
      </c>
      <c r="AH353" s="49" t="str">
        <f>MID(VLOOKUP($A353,Seqs!$A:$B,2,FALSE),VLOOKUP($A353,'SegEnds_NonXtal_Prot#'!$A:$AL,28,FALSE),1)</f>
        <v>L</v>
      </c>
    </row>
    <row r="354" spans="1:34" s="2" customFormat="1" x14ac:dyDescent="0.2">
      <c r="A354" s="2" t="s">
        <v>109</v>
      </c>
      <c r="B354" s="2" t="str">
        <f>LOWER(VLOOKUP(A354,Xtal_Templ!A:B,2,FALSE))</f>
        <v>grm1_human</v>
      </c>
      <c r="C354" s="2" t="str">
        <f>VLOOKUP(A354,Classification!A:D,2,FALSE)</f>
        <v>C</v>
      </c>
      <c r="D354" s="2" t="str">
        <f>IF(ISERROR(MATCH(A354,'SegEnds_Xtal_Prot#'!B:B, 0)), "NoXtal", "Xtal")</f>
        <v>NoXtal</v>
      </c>
      <c r="H354" s="4"/>
      <c r="U354" s="2" t="s">
        <v>1318</v>
      </c>
      <c r="V354" s="28" t="str">
        <f>MID(VLOOKUP($A354,Seqs!$A:$B,2,FALSE),VLOOKUP($A354,'SegEnds_NonXtal_Prot#'!A:AL,10,FALSE),1)</f>
        <v>S</v>
      </c>
      <c r="W354" s="49" t="str">
        <f>MID(VLOOKUP($A354,Seqs!$A:$B,2,FALSE),VLOOKUP($A354,'SegEnds_NonXtal_Prot#'!A:AL,10,FALSE)+6,1)</f>
        <v>P</v>
      </c>
      <c r="X354" s="49" t="str">
        <f>MID(VLOOKUP($A354,Seqs!$A:$B,2,FALSE),VLOOKUP($A354,'SegEnds_NonXtal_Prot#'!A:AL,10,FALSE)+7,1)</f>
        <v>V</v>
      </c>
      <c r="Y354" s="49" t="str">
        <f>MID(VLOOKUP($A354,Seqs!$A:$B,2,FALSE),VLOOKUP($A354,'SegEnds_NonXtal_Prot#'!A:AL,10,FALSE)+8,1)</f>
        <v>V</v>
      </c>
      <c r="Z354" s="49" t="str">
        <f>MID(VLOOKUP($A354,Seqs!$A:$B,2,FALSE),VLOOKUP($A354,'SegEnds_NonXtal_Prot#'!A:AL,10,FALSE)+9,1)</f>
        <v>I</v>
      </c>
      <c r="AA354" s="49" t="str">
        <f>MID(VLOOKUP($A354,Seqs!$A:$B,2,FALSE),VLOOKUP($A354,'SegEnds_NonXtal_Prot#'!A:AL,10,FALSE)+10,1)</f>
        <v>L</v>
      </c>
      <c r="AB354" s="28" t="str">
        <f>MID(VLOOKUP($A354,Seqs!$A:$B,2,FALSE),VLOOKUP($A354,'SegEnds_NonXtal_Prot#'!$A:$AL,22,FALSE)+6,1)</f>
        <v>L</v>
      </c>
      <c r="AC354" s="49" t="str">
        <f>MID(VLOOKUP($A354,Seqs!$A:$B,2,FALSE),VLOOKUP($A354,'SegEnds_NonXtal_Prot#'!$A:$AL,22,FALSE)+7,1)</f>
        <v>A</v>
      </c>
      <c r="AD354" s="49" t="str">
        <f>MID(VLOOKUP($A354,Seqs!$A:$B,2,FALSE),VLOOKUP($A354,'SegEnds_NonXtal_Prot#'!$A:$AL,22,FALSE)+8,1)</f>
        <v>V</v>
      </c>
      <c r="AE354" s="49" t="str">
        <f>MID(VLOOKUP($A354,Seqs!$A:$B,2,FALSE),VLOOKUP($A354,'SegEnds_NonXtal_Prot#'!$A:$AL,22,FALSE)+9,1)</f>
        <v>I</v>
      </c>
      <c r="AF354" s="49" t="str">
        <f>MID(VLOOKUP($A354,Seqs!$A:$B,2,FALSE),VLOOKUP($A354,'SegEnds_NonXtal_Prot#'!$A:$AL,22,FALSE)+10,1)</f>
        <v>L</v>
      </c>
      <c r="AG354" s="28" t="str">
        <f>MID(VLOOKUP($A354,Seqs!$A:$B,2,FALSE),VLOOKUP($A354,'SegEnds_NonXtal_Prot#'!$A:$AL,28,FALSE)-4,1)</f>
        <v>A</v>
      </c>
      <c r="AH354" s="49" t="str">
        <f>MID(VLOOKUP($A354,Seqs!$A:$B,2,FALSE),VLOOKUP($A354,'SegEnds_NonXtal_Prot#'!$A:$AL,28,FALSE),1)</f>
        <v>F</v>
      </c>
    </row>
    <row r="355" spans="1:34" s="2" customFormat="1" x14ac:dyDescent="0.2">
      <c r="A355" s="2" t="s">
        <v>110</v>
      </c>
      <c r="B355" s="2" t="str">
        <f>LOWER(VLOOKUP(A355,Xtal_Templ!A:B,2,FALSE))</f>
        <v>grm1_human</v>
      </c>
      <c r="C355" s="2" t="str">
        <f>VLOOKUP(A355,Classification!A:D,2,FALSE)</f>
        <v>C</v>
      </c>
      <c r="D355" s="2" t="str">
        <f>IF(ISERROR(MATCH(A355,'SegEnds_Xtal_Prot#'!B:B, 0)), "NoXtal", "Xtal")</f>
        <v>NoXtal</v>
      </c>
      <c r="H355" s="4"/>
      <c r="U355" s="2" t="s">
        <v>1318</v>
      </c>
      <c r="V355" s="28" t="str">
        <f>MID(VLOOKUP($A355,Seqs!$A:$B,2,FALSE),VLOOKUP($A355,'SegEnds_NonXtal_Prot#'!A:AL,10,FALSE),1)</f>
        <v>F</v>
      </c>
      <c r="W355" s="49" t="str">
        <f>MID(VLOOKUP($A355,Seqs!$A:$B,2,FALSE),VLOOKUP($A355,'SegEnds_NonXtal_Prot#'!A:AL,10,FALSE)+6,1)</f>
        <v>P</v>
      </c>
      <c r="X355" s="49" t="str">
        <f>MID(VLOOKUP($A355,Seqs!$A:$B,2,FALSE),VLOOKUP($A355,'SegEnds_NonXtal_Prot#'!A:AL,10,FALSE)+7,1)</f>
        <v>V</v>
      </c>
      <c r="Y355" s="49" t="str">
        <f>MID(VLOOKUP($A355,Seqs!$A:$B,2,FALSE),VLOOKUP($A355,'SegEnds_NonXtal_Prot#'!A:AL,10,FALSE)+8,1)</f>
        <v>F</v>
      </c>
      <c r="Z355" s="49" t="str">
        <f>MID(VLOOKUP($A355,Seqs!$A:$B,2,FALSE),VLOOKUP($A355,'SegEnds_NonXtal_Prot#'!A:AL,10,FALSE)+9,1)</f>
        <v>I</v>
      </c>
      <c r="AA355" s="49" t="str">
        <f>MID(VLOOKUP($A355,Seqs!$A:$B,2,FALSE),VLOOKUP($A355,'SegEnds_NonXtal_Prot#'!A:AL,10,FALSE)+10,1)</f>
        <v>L</v>
      </c>
      <c r="AB355" s="28" t="str">
        <f>MID(VLOOKUP($A355,Seqs!$A:$B,2,FALSE),VLOOKUP($A355,'SegEnds_NonXtal_Prot#'!$A:$AL,22,FALSE)+6,1)</f>
        <v>L</v>
      </c>
      <c r="AC355" s="49" t="str">
        <f>MID(VLOOKUP($A355,Seqs!$A:$B,2,FALSE),VLOOKUP($A355,'SegEnds_NonXtal_Prot#'!$A:$AL,22,FALSE)+7,1)</f>
        <v>G</v>
      </c>
      <c r="AD355" s="49" t="str">
        <f>MID(VLOOKUP($A355,Seqs!$A:$B,2,FALSE),VLOOKUP($A355,'SegEnds_NonXtal_Prot#'!$A:$AL,22,FALSE)+8,1)</f>
        <v>L</v>
      </c>
      <c r="AE355" s="49" t="str">
        <f>MID(VLOOKUP($A355,Seqs!$A:$B,2,FALSE),VLOOKUP($A355,'SegEnds_NonXtal_Prot#'!$A:$AL,22,FALSE)+9,1)</f>
        <v>L</v>
      </c>
      <c r="AF355" s="49" t="str">
        <f>MID(VLOOKUP($A355,Seqs!$A:$B,2,FALSE),VLOOKUP($A355,'SegEnds_NonXtal_Prot#'!$A:$AL,22,FALSE)+10,1)</f>
        <v>L</v>
      </c>
      <c r="AG355" s="28" t="str">
        <f>MID(VLOOKUP($A355,Seqs!$A:$B,2,FALSE),VLOOKUP($A355,'SegEnds_NonXtal_Prot#'!$A:$AL,28,FALSE)-4,1)</f>
        <v>A</v>
      </c>
      <c r="AH355" s="49" t="str">
        <f>MID(VLOOKUP($A355,Seqs!$A:$B,2,FALSE),VLOOKUP($A355,'SegEnds_NonXtal_Prot#'!$A:$AL,28,FALSE),1)</f>
        <v>L</v>
      </c>
    </row>
    <row r="356" spans="1:34" s="2" customFormat="1" x14ac:dyDescent="0.2">
      <c r="A356" s="2" t="s">
        <v>111</v>
      </c>
      <c r="B356" s="2" t="str">
        <f>LOWER(VLOOKUP(A356,Xtal_Templ!A:B,2,FALSE))</f>
        <v>grm1_human</v>
      </c>
      <c r="C356" s="2" t="str">
        <f>VLOOKUP(A356,Classification!A:D,2,FALSE)</f>
        <v>C</v>
      </c>
      <c r="D356" s="2" t="str">
        <f>IF(ISERROR(MATCH(A356,'SegEnds_Xtal_Prot#'!B:B, 0)), "NoXtal", "Xtal")</f>
        <v>NoXtal</v>
      </c>
      <c r="H356" s="4"/>
      <c r="U356" s="2" t="s">
        <v>1318</v>
      </c>
      <c r="V356" s="28" t="str">
        <f>MID(VLOOKUP($A356,Seqs!$A:$B,2,FALSE),VLOOKUP($A356,'SegEnds_NonXtal_Prot#'!A:AL,10,FALSE),1)</f>
        <v>T</v>
      </c>
      <c r="W356" s="49" t="str">
        <f>MID(VLOOKUP($A356,Seqs!$A:$B,2,FALSE),VLOOKUP($A356,'SegEnds_NonXtal_Prot#'!A:AL,10,FALSE)+6,1)</f>
        <v>L</v>
      </c>
      <c r="X356" s="49" t="str">
        <f>MID(VLOOKUP($A356,Seqs!$A:$B,2,FALSE),VLOOKUP($A356,'SegEnds_NonXtal_Prot#'!A:AL,10,FALSE)+7,1)</f>
        <v>T</v>
      </c>
      <c r="Y356" s="49" t="str">
        <f>MID(VLOOKUP($A356,Seqs!$A:$B,2,FALSE),VLOOKUP($A356,'SegEnds_NonXtal_Prot#'!A:AL,10,FALSE)+8,1)</f>
        <v>F</v>
      </c>
      <c r="Z356" s="49" t="str">
        <f>MID(VLOOKUP($A356,Seqs!$A:$B,2,FALSE),VLOOKUP($A356,'SegEnds_NonXtal_Prot#'!A:AL,10,FALSE)+9,1)</f>
        <v>A</v>
      </c>
      <c r="AA356" s="49" t="str">
        <f>MID(VLOOKUP($A356,Seqs!$A:$B,2,FALSE),VLOOKUP($A356,'SegEnds_NonXtal_Prot#'!A:AL,10,FALSE)+10,1)</f>
        <v>F</v>
      </c>
      <c r="AB356" s="28" t="str">
        <f>MID(VLOOKUP($A356,Seqs!$A:$B,2,FALSE),VLOOKUP($A356,'SegEnds_NonXtal_Prot#'!$A:$AL,22,FALSE)+6,1)</f>
        <v>I</v>
      </c>
      <c r="AC356" s="49" t="str">
        <f>MID(VLOOKUP($A356,Seqs!$A:$B,2,FALSE),VLOOKUP($A356,'SegEnds_NonXtal_Prot#'!$A:$AL,22,FALSE)+7,1)</f>
        <v>A</v>
      </c>
      <c r="AD356" s="49" t="str">
        <f>MID(VLOOKUP($A356,Seqs!$A:$B,2,FALSE),VLOOKUP($A356,'SegEnds_NonXtal_Prot#'!$A:$AL,22,FALSE)+8,1)</f>
        <v>V</v>
      </c>
      <c r="AE356" s="49" t="str">
        <f>MID(VLOOKUP($A356,Seqs!$A:$B,2,FALSE),VLOOKUP($A356,'SegEnds_NonXtal_Prot#'!$A:$AL,22,FALSE)+9,1)</f>
        <v>E</v>
      </c>
      <c r="AF356" s="49" t="str">
        <f>MID(VLOOKUP($A356,Seqs!$A:$B,2,FALSE),VLOOKUP($A356,'SegEnds_NonXtal_Prot#'!$A:$AL,22,FALSE)+10,1)</f>
        <v>W</v>
      </c>
      <c r="AG356" s="28" t="str">
        <f>MID(VLOOKUP($A356,Seqs!$A:$B,2,FALSE),VLOOKUP($A356,'SegEnds_NonXtal_Prot#'!$A:$AL,28,FALSE)-4,1)</f>
        <v>Y</v>
      </c>
      <c r="AH356" s="49" t="str">
        <f>MID(VLOOKUP($A356,Seqs!$A:$B,2,FALSE),VLOOKUP($A356,'SegEnds_NonXtal_Prot#'!$A:$AL,28,FALSE),1)</f>
        <v>L</v>
      </c>
    </row>
    <row r="357" spans="1:34" s="2" customFormat="1" x14ac:dyDescent="0.2">
      <c r="A357" s="2" t="s">
        <v>112</v>
      </c>
      <c r="B357" s="2" t="str">
        <f>LOWER(VLOOKUP(A357,Xtal_Templ!A:B,2,FALSE))</f>
        <v>grm1_human</v>
      </c>
      <c r="C357" s="2" t="str">
        <f>VLOOKUP(A357,Classification!A:D,2,FALSE)</f>
        <v>C</v>
      </c>
      <c r="D357" s="2" t="str">
        <f>IF(ISERROR(MATCH(A357,'SegEnds_Xtal_Prot#'!B:B, 0)), "NoXtal", "Xtal")</f>
        <v>NoXtal</v>
      </c>
      <c r="H357" s="4"/>
      <c r="U357" s="2" t="s">
        <v>1318</v>
      </c>
      <c r="V357" s="28" t="str">
        <f>MID(VLOOKUP($A357,Seqs!$A:$B,2,FALSE),VLOOKUP($A357,'SegEnds_NonXtal_Prot#'!A:AL,10,FALSE),1)</f>
        <v>T</v>
      </c>
      <c r="W357" s="49" t="str">
        <f>MID(VLOOKUP($A357,Seqs!$A:$B,2,FALSE),VLOOKUP($A357,'SegEnds_NonXtal_Prot#'!A:AL,10,FALSE)+6,1)</f>
        <v>L</v>
      </c>
      <c r="X357" s="49" t="str">
        <f>MID(VLOOKUP($A357,Seqs!$A:$B,2,FALSE),VLOOKUP($A357,'SegEnds_NonXtal_Prot#'!A:AL,10,FALSE)+7,1)</f>
        <v>V</v>
      </c>
      <c r="Y357" s="49" t="str">
        <f>MID(VLOOKUP($A357,Seqs!$A:$B,2,FALSE),VLOOKUP($A357,'SegEnds_NonXtal_Prot#'!A:AL,10,FALSE)+8,1)</f>
        <v>F</v>
      </c>
      <c r="Z357" s="49" t="str">
        <f>MID(VLOOKUP($A357,Seqs!$A:$B,2,FALSE),VLOOKUP($A357,'SegEnds_NonXtal_Prot#'!A:AL,10,FALSE)+9,1)</f>
        <v>A</v>
      </c>
      <c r="AA357" s="49" t="str">
        <f>MID(VLOOKUP($A357,Seqs!$A:$B,2,FALSE),VLOOKUP($A357,'SegEnds_NonXtal_Prot#'!A:AL,10,FALSE)+10,1)</f>
        <v>C</v>
      </c>
      <c r="AB357" s="28" t="str">
        <f>MID(VLOOKUP($A357,Seqs!$A:$B,2,FALSE),VLOOKUP($A357,'SegEnds_NonXtal_Prot#'!$A:$AL,22,FALSE)+6,1)</f>
        <v>I</v>
      </c>
      <c r="AC357" s="49" t="str">
        <f>MID(VLOOKUP($A357,Seqs!$A:$B,2,FALSE),VLOOKUP($A357,'SegEnds_NonXtal_Prot#'!$A:$AL,22,FALSE)+7,1)</f>
        <v>N</v>
      </c>
      <c r="AD357" s="49" t="str">
        <f>MID(VLOOKUP($A357,Seqs!$A:$B,2,FALSE),VLOOKUP($A357,'SegEnds_NonXtal_Prot#'!$A:$AL,22,FALSE)+8,1)</f>
        <v>T</v>
      </c>
      <c r="AE357" s="49" t="str">
        <f>MID(VLOOKUP($A357,Seqs!$A:$B,2,FALSE),VLOOKUP($A357,'SegEnds_NonXtal_Prot#'!$A:$AL,22,FALSE)+9,1)</f>
        <v>E</v>
      </c>
      <c r="AF357" s="49" t="str">
        <f>MID(VLOOKUP($A357,Seqs!$A:$B,2,FALSE),VLOOKUP($A357,'SegEnds_NonXtal_Prot#'!$A:$AL,22,FALSE)+10,1)</f>
        <v>W</v>
      </c>
      <c r="AG357" s="28" t="str">
        <f>MID(VLOOKUP($A357,Seqs!$A:$B,2,FALSE),VLOOKUP($A357,'SegEnds_NonXtal_Prot#'!$A:$AL,28,FALSE)-4,1)</f>
        <v>Y</v>
      </c>
      <c r="AH357" s="49" t="str">
        <f>MID(VLOOKUP($A357,Seqs!$A:$B,2,FALSE),VLOOKUP($A357,'SegEnds_NonXtal_Prot#'!$A:$AL,28,FALSE),1)</f>
        <v>L</v>
      </c>
    </row>
    <row r="358" spans="1:34" s="2" customFormat="1" x14ac:dyDescent="0.2">
      <c r="A358" s="2" t="s">
        <v>113</v>
      </c>
      <c r="B358" s="2" t="str">
        <f>LOWER(VLOOKUP(A358,Xtal_Templ!A:B,2,FALSE))</f>
        <v>grm1_human</v>
      </c>
      <c r="C358" s="2" t="str">
        <f>VLOOKUP(A358,Classification!A:D,2,FALSE)</f>
        <v>C</v>
      </c>
      <c r="D358" s="2" t="str">
        <f>IF(ISERROR(MATCH(A358,'SegEnds_Xtal_Prot#'!B:B, 0)), "NoXtal", "Xtal")</f>
        <v>NoXtal</v>
      </c>
      <c r="H358" s="4"/>
      <c r="U358" s="2" t="s">
        <v>1318</v>
      </c>
      <c r="V358" s="28" t="str">
        <f>MID(VLOOKUP($A358,Seqs!$A:$B,2,FALSE),VLOOKUP($A358,'SegEnds_NonXtal_Prot#'!A:AL,10,FALSE),1)</f>
        <v>V</v>
      </c>
      <c r="W358" s="49" t="str">
        <f>MID(VLOOKUP($A358,Seqs!$A:$B,2,FALSE),VLOOKUP($A358,'SegEnds_NonXtal_Prot#'!A:AL,10,FALSE)+6,1)</f>
        <v>L</v>
      </c>
      <c r="X358" s="49" t="str">
        <f>MID(VLOOKUP($A358,Seqs!$A:$B,2,FALSE),VLOOKUP($A358,'SegEnds_NonXtal_Prot#'!A:AL,10,FALSE)+7,1)</f>
        <v>A</v>
      </c>
      <c r="Y358" s="49" t="str">
        <f>MID(VLOOKUP($A358,Seqs!$A:$B,2,FALSE),VLOOKUP($A358,'SegEnds_NonXtal_Prot#'!A:AL,10,FALSE)+8,1)</f>
        <v>F</v>
      </c>
      <c r="Z358" s="49" t="str">
        <f>MID(VLOOKUP($A358,Seqs!$A:$B,2,FALSE),VLOOKUP($A358,'SegEnds_NonXtal_Prot#'!A:AL,10,FALSE)+9,1)</f>
        <v>A</v>
      </c>
      <c r="AA358" s="49" t="str">
        <f>MID(VLOOKUP($A358,Seqs!$A:$B,2,FALSE),VLOOKUP($A358,'SegEnds_NonXtal_Prot#'!A:AL,10,FALSE)+10,1)</f>
        <v>F</v>
      </c>
      <c r="AB358" s="28" t="str">
        <f>MID(VLOOKUP($A358,Seqs!$A:$B,2,FALSE),VLOOKUP($A358,'SegEnds_NonXtal_Prot#'!$A:$AL,22,FALSE)+6,1)</f>
        <v>I</v>
      </c>
      <c r="AC358" s="49" t="str">
        <f>MID(VLOOKUP($A358,Seqs!$A:$B,2,FALSE),VLOOKUP($A358,'SegEnds_NonXtal_Prot#'!$A:$AL,22,FALSE)+7,1)</f>
        <v>A</v>
      </c>
      <c r="AD358" s="49" t="str">
        <f>MID(VLOOKUP($A358,Seqs!$A:$B,2,FALSE),VLOOKUP($A358,'SegEnds_NonXtal_Prot#'!$A:$AL,22,FALSE)+8,1)</f>
        <v>T</v>
      </c>
      <c r="AE358" s="49" t="str">
        <f>MID(VLOOKUP($A358,Seqs!$A:$B,2,FALSE),VLOOKUP($A358,'SegEnds_NonXtal_Prot#'!$A:$AL,22,FALSE)+9,1)</f>
        <v>E</v>
      </c>
      <c r="AF358" s="49" t="str">
        <f>MID(VLOOKUP($A358,Seqs!$A:$B,2,FALSE),VLOOKUP($A358,'SegEnds_NonXtal_Prot#'!$A:$AL,22,FALSE)+10,1)</f>
        <v>Y</v>
      </c>
      <c r="AG358" s="28" t="str">
        <f>MID(VLOOKUP($A358,Seqs!$A:$B,2,FALSE),VLOOKUP($A358,'SegEnds_NonXtal_Prot#'!$A:$AL,28,FALSE)-4,1)</f>
        <v>Y</v>
      </c>
      <c r="AH358" s="49" t="str">
        <f>MID(VLOOKUP($A358,Seqs!$A:$B,2,FALSE),VLOOKUP($A358,'SegEnds_NonXtal_Prot#'!$A:$AL,28,FALSE),1)</f>
        <v>L</v>
      </c>
    </row>
    <row r="359" spans="1:34" s="2" customFormat="1" x14ac:dyDescent="0.2">
      <c r="A359" s="2" t="s">
        <v>114</v>
      </c>
      <c r="B359" s="2" t="str">
        <f>LOWER(VLOOKUP(A359,Xtal_Templ!A:B,2,FALSE))</f>
        <v>grm1_human</v>
      </c>
      <c r="C359" s="2" t="str">
        <f>VLOOKUP(A359,Classification!A:D,2,FALSE)</f>
        <v>C</v>
      </c>
      <c r="D359" s="2" t="str">
        <f>IF(ISERROR(MATCH(A359,'SegEnds_Xtal_Prot#'!B:B, 0)), "NoXtal", "Xtal")</f>
        <v>NoXtal</v>
      </c>
      <c r="H359" s="4"/>
      <c r="U359" s="2" t="s">
        <v>1318</v>
      </c>
      <c r="V359" s="28" t="str">
        <f>MID(VLOOKUP($A359,Seqs!$A:$B,2,FALSE),VLOOKUP($A359,'SegEnds_NonXtal_Prot#'!A:AL,10,FALSE),1)</f>
        <v>H</v>
      </c>
      <c r="W359" s="49" t="str">
        <f>MID(VLOOKUP($A359,Seqs!$A:$B,2,FALSE),VLOOKUP($A359,'SegEnds_NonXtal_Prot#'!A:AL,10,FALSE)+6,1)</f>
        <v>S</v>
      </c>
      <c r="X359" s="49" t="str">
        <f>MID(VLOOKUP($A359,Seqs!$A:$B,2,FALSE),VLOOKUP($A359,'SegEnds_NonXtal_Prot#'!A:AL,10,FALSE)+7,1)</f>
        <v>T</v>
      </c>
      <c r="Y359" s="49" t="str">
        <f>MID(VLOOKUP($A359,Seqs!$A:$B,2,FALSE),VLOOKUP($A359,'SegEnds_NonXtal_Prot#'!A:AL,10,FALSE)+8,1)</f>
        <v>S</v>
      </c>
      <c r="Z359" s="49" t="str">
        <f>MID(VLOOKUP($A359,Seqs!$A:$B,2,FALSE),VLOOKUP($A359,'SegEnds_NonXtal_Prot#'!A:AL,10,FALSE)+9,1)</f>
        <v>F</v>
      </c>
      <c r="AA359" s="49" t="str">
        <f>MID(VLOOKUP($A359,Seqs!$A:$B,2,FALSE),VLOOKUP($A359,'SegEnds_NonXtal_Prot#'!A:AL,10,FALSE)+10,1)</f>
        <v>F</v>
      </c>
      <c r="AB359" s="28" t="str">
        <f>MID(VLOOKUP($A359,Seqs!$A:$B,2,FALSE),VLOOKUP($A359,'SegEnds_NonXtal_Prot#'!$A:$AL,22,FALSE)+6,1)</f>
        <v>I</v>
      </c>
      <c r="AC359" s="49" t="str">
        <f>MID(VLOOKUP($A359,Seqs!$A:$B,2,FALSE),VLOOKUP($A359,'SegEnds_NonXtal_Prot#'!$A:$AL,22,FALSE)+7,1)</f>
        <v>C</v>
      </c>
      <c r="AD359" s="49" t="str">
        <f>MID(VLOOKUP($A359,Seqs!$A:$B,2,FALSE),VLOOKUP($A359,'SegEnds_NonXtal_Prot#'!$A:$AL,22,FALSE)+8,1)</f>
        <v>T</v>
      </c>
      <c r="AE359" s="49" t="str">
        <f>MID(VLOOKUP($A359,Seqs!$A:$B,2,FALSE),VLOOKUP($A359,'SegEnds_NonXtal_Prot#'!$A:$AL,22,FALSE)+9,1)</f>
        <v>L</v>
      </c>
      <c r="AF359" s="49" t="str">
        <f>MID(VLOOKUP($A359,Seqs!$A:$B,2,FALSE),VLOOKUP($A359,'SegEnds_NonXtal_Prot#'!$A:$AL,22,FALSE)+10,1)</f>
        <v>W</v>
      </c>
      <c r="AG359" s="28" t="str">
        <f>MID(VLOOKUP($A359,Seqs!$A:$B,2,FALSE),VLOOKUP($A359,'SegEnds_NonXtal_Prot#'!$A:$AL,28,FALSE)-4,1)</f>
        <v>Y</v>
      </c>
      <c r="AH359" s="49" t="str">
        <f>MID(VLOOKUP($A359,Seqs!$A:$B,2,FALSE),VLOOKUP($A359,'SegEnds_NonXtal_Prot#'!$A:$AL,28,FALSE),1)</f>
        <v>L</v>
      </c>
    </row>
    <row r="360" spans="1:34" s="2" customFormat="1" x14ac:dyDescent="0.2">
      <c r="A360" s="2" t="s">
        <v>40</v>
      </c>
      <c r="B360" s="2" t="str">
        <f>LOWER(VLOOKUP(A360,Xtal_Templ!A:B,2,FALSE))</f>
        <v>grm1_human</v>
      </c>
      <c r="C360" s="2" t="str">
        <f>VLOOKUP(A360,Classification!A:D,2,FALSE)</f>
        <v>C</v>
      </c>
      <c r="D360" s="2" t="str">
        <f>IF(ISERROR(MATCH(A360,'SegEnds_Xtal_Prot#'!B:B, 0)), "NoXtal", "Xtal")</f>
        <v>Xtal</v>
      </c>
      <c r="H360" s="4"/>
      <c r="U360" s="2" t="s">
        <v>1318</v>
      </c>
      <c r="V360" s="28" t="str">
        <f>MID(VLOOKUP($A360,Seqs!$A:$B,2,FALSE),VLOOKUP($A360,'SegEnds_NonXtal_Prot#'!A:AL,10,FALSE),1)</f>
        <v>I</v>
      </c>
      <c r="W360" s="49" t="str">
        <f>MID(VLOOKUP($A360,Seqs!$A:$B,2,FALSE),VLOOKUP($A360,'SegEnds_NonXtal_Prot#'!A:AL,10,FALSE)+6,1)</f>
        <v>C</v>
      </c>
      <c r="X360" s="49" t="str">
        <f>MID(VLOOKUP($A360,Seqs!$A:$B,2,FALSE),VLOOKUP($A360,'SegEnds_NonXtal_Prot#'!A:AL,10,FALSE)+7,1)</f>
        <v>P</v>
      </c>
      <c r="Y360" s="49" t="str">
        <f>MID(VLOOKUP($A360,Seqs!$A:$B,2,FALSE),VLOOKUP($A360,'SegEnds_NonXtal_Prot#'!A:AL,10,FALSE)+8,1)</f>
        <v>F</v>
      </c>
      <c r="Z360" s="49" t="str">
        <f>MID(VLOOKUP($A360,Seqs!$A:$B,2,FALSE),VLOOKUP($A360,'SegEnds_NonXtal_Prot#'!A:AL,10,FALSE)+9,1)</f>
        <v>T</v>
      </c>
      <c r="AA360" s="49" t="str">
        <f>MID(VLOOKUP($A360,Seqs!$A:$B,2,FALSE),VLOOKUP($A360,'SegEnds_NonXtal_Prot#'!A:AL,10,FALSE)+10,1)</f>
        <v>L</v>
      </c>
      <c r="AB360" s="28" t="str">
        <f>MID(VLOOKUP($A360,Seqs!$A:$B,2,FALSE),VLOOKUP($A360,'SegEnds_NonXtal_Prot#'!$A:$AL,22,FALSE)+6,1)</f>
        <v>L</v>
      </c>
      <c r="AC360" s="49" t="str">
        <f>MID(VLOOKUP($A360,Seqs!$A:$B,2,FALSE),VLOOKUP($A360,'SegEnds_NonXtal_Prot#'!$A:$AL,22,FALSE)+7,1)</f>
        <v>V</v>
      </c>
      <c r="AD360" s="49" t="str">
        <f>MID(VLOOKUP($A360,Seqs!$A:$B,2,FALSE),VLOOKUP($A360,'SegEnds_NonXtal_Prot#'!$A:$AL,22,FALSE)+8,1)</f>
        <v>V</v>
      </c>
      <c r="AE360" s="49" t="str">
        <f>MID(VLOOKUP($A360,Seqs!$A:$B,2,FALSE),VLOOKUP($A360,'SegEnds_NonXtal_Prot#'!$A:$AL,22,FALSE)+9,1)</f>
        <v>T</v>
      </c>
      <c r="AF360" s="49" t="str">
        <f>MID(VLOOKUP($A360,Seqs!$A:$B,2,FALSE),VLOOKUP($A360,'SegEnds_NonXtal_Prot#'!$A:$AL,22,FALSE)+10,1)</f>
        <v>L</v>
      </c>
      <c r="AG360" s="28" t="str">
        <f>MID(VLOOKUP($A360,Seqs!$A:$B,2,FALSE),VLOOKUP($A360,'SegEnds_NonXtal_Prot#'!$A:$AL,28,FALSE)-4,1)</f>
        <v>Y</v>
      </c>
      <c r="AH360" s="49" t="str">
        <f>MID(VLOOKUP($A360,Seqs!$A:$B,2,FALSE),VLOOKUP($A360,'SegEnds_NonXtal_Prot#'!$A:$AL,28,FALSE),1)</f>
        <v>L</v>
      </c>
    </row>
    <row r="361" spans="1:34" s="2" customFormat="1" x14ac:dyDescent="0.2">
      <c r="A361" s="2" t="s">
        <v>121</v>
      </c>
      <c r="B361" s="2" t="str">
        <f>LOWER(VLOOKUP(A361,Xtal_Templ!A:B,2,FALSE))</f>
        <v>grm1_human</v>
      </c>
      <c r="C361" s="2" t="str">
        <f>VLOOKUP(A361,Classification!A:D,2,FALSE)</f>
        <v>C</v>
      </c>
      <c r="D361" s="2" t="str">
        <f>IF(ISERROR(MATCH(A361,'SegEnds_Xtal_Prot#'!B:B, 0)), "NoXtal", "Xtal")</f>
        <v>NoXtal</v>
      </c>
      <c r="H361" s="4"/>
      <c r="U361" s="2" t="s">
        <v>1318</v>
      </c>
      <c r="V361" s="28" t="str">
        <f>MID(VLOOKUP($A361,Seqs!$A:$B,2,FALSE),VLOOKUP($A361,'SegEnds_NonXtal_Prot#'!A:AL,10,FALSE),1)</f>
        <v>V</v>
      </c>
      <c r="W361" s="49" t="str">
        <f>MID(VLOOKUP($A361,Seqs!$A:$B,2,FALSE),VLOOKUP($A361,'SegEnds_NonXtal_Prot#'!A:AL,10,FALSE)+6,1)</f>
        <v>L</v>
      </c>
      <c r="X361" s="49" t="str">
        <f>MID(VLOOKUP($A361,Seqs!$A:$B,2,FALSE),VLOOKUP($A361,'SegEnds_NonXtal_Prot#'!A:AL,10,FALSE)+7,1)</f>
        <v>T</v>
      </c>
      <c r="Y361" s="49" t="str">
        <f>MID(VLOOKUP($A361,Seqs!$A:$B,2,FALSE),VLOOKUP($A361,'SegEnds_NonXtal_Prot#'!A:AL,10,FALSE)+8,1)</f>
        <v>F</v>
      </c>
      <c r="Z361" s="49" t="str">
        <f>MID(VLOOKUP($A361,Seqs!$A:$B,2,FALSE),VLOOKUP($A361,'SegEnds_NonXtal_Prot#'!A:AL,10,FALSE)+9,1)</f>
        <v>A</v>
      </c>
      <c r="AA361" s="49" t="str">
        <f>MID(VLOOKUP($A361,Seqs!$A:$B,2,FALSE),VLOOKUP($A361,'SegEnds_NonXtal_Prot#'!A:AL,10,FALSE)+10,1)</f>
        <v>F</v>
      </c>
      <c r="AB361" s="28" t="str">
        <f>MID(VLOOKUP($A361,Seqs!$A:$B,2,FALSE),VLOOKUP($A361,'SegEnds_NonXtal_Prot#'!$A:$AL,22,FALSE)+6,1)</f>
        <v>I</v>
      </c>
      <c r="AC361" s="49" t="str">
        <f>MID(VLOOKUP($A361,Seqs!$A:$B,2,FALSE),VLOOKUP($A361,'SegEnds_NonXtal_Prot#'!$A:$AL,22,FALSE)+7,1)</f>
        <v>A</v>
      </c>
      <c r="AD361" s="49" t="str">
        <f>MID(VLOOKUP($A361,Seqs!$A:$B,2,FALSE),VLOOKUP($A361,'SegEnds_NonXtal_Prot#'!$A:$AL,22,FALSE)+8,1)</f>
        <v>I</v>
      </c>
      <c r="AE361" s="49" t="str">
        <f>MID(VLOOKUP($A361,Seqs!$A:$B,2,FALSE),VLOOKUP($A361,'SegEnds_NonXtal_Prot#'!$A:$AL,22,FALSE)+9,1)</f>
        <v>E</v>
      </c>
      <c r="AF361" s="49" t="str">
        <f>MID(VLOOKUP($A361,Seqs!$A:$B,2,FALSE),VLOOKUP($A361,'SegEnds_NonXtal_Prot#'!$A:$AL,22,FALSE)+10,1)</f>
        <v>Y</v>
      </c>
      <c r="AG361" s="28" t="str">
        <f>MID(VLOOKUP($A361,Seqs!$A:$B,2,FALSE),VLOOKUP($A361,'SegEnds_NonXtal_Prot#'!$A:$AL,28,FALSE)-4,1)</f>
        <v>Y</v>
      </c>
      <c r="AH361" s="49" t="str">
        <f>MID(VLOOKUP($A361,Seqs!$A:$B,2,FALSE),VLOOKUP($A361,'SegEnds_NonXtal_Prot#'!$A:$AL,28,FALSE),1)</f>
        <v>L</v>
      </c>
    </row>
    <row r="362" spans="1:34" s="2" customFormat="1" x14ac:dyDescent="0.2">
      <c r="A362" s="2" t="s">
        <v>122</v>
      </c>
      <c r="B362" s="2" t="str">
        <f>LOWER(VLOOKUP(A362,Xtal_Templ!A:B,2,FALSE))</f>
        <v>grm1_human</v>
      </c>
      <c r="C362" s="2" t="str">
        <f>VLOOKUP(A362,Classification!A:D,2,FALSE)</f>
        <v>C</v>
      </c>
      <c r="D362" s="2" t="str">
        <f>IF(ISERROR(MATCH(A362,'SegEnds_Xtal_Prot#'!B:B, 0)), "NoXtal", "Xtal")</f>
        <v>NoXtal</v>
      </c>
      <c r="H362" s="4"/>
      <c r="U362" s="2" t="s">
        <v>1318</v>
      </c>
      <c r="V362" s="28" t="str">
        <f>MID(VLOOKUP($A362,Seqs!$A:$B,2,FALSE),VLOOKUP($A362,'SegEnds_NonXtal_Prot#'!A:AL,10,FALSE),1)</f>
        <v>L</v>
      </c>
      <c r="W362" s="49" t="str">
        <f>MID(VLOOKUP($A362,Seqs!$A:$B,2,FALSE),VLOOKUP($A362,'SegEnds_NonXtal_Prot#'!A:AL,10,FALSE)+6,1)</f>
        <v>S</v>
      </c>
      <c r="X362" s="49" t="str">
        <f>MID(VLOOKUP($A362,Seqs!$A:$B,2,FALSE),VLOOKUP($A362,'SegEnds_NonXtal_Prot#'!A:AL,10,FALSE)+7,1)</f>
        <v>L</v>
      </c>
      <c r="Y362" s="49" t="str">
        <f>MID(VLOOKUP($A362,Seqs!$A:$B,2,FALSE),VLOOKUP($A362,'SegEnds_NonXtal_Prot#'!A:AL,10,FALSE)+8,1)</f>
        <v>Y</v>
      </c>
      <c r="Z362" s="49" t="str">
        <f>MID(VLOOKUP($A362,Seqs!$A:$B,2,FALSE),VLOOKUP($A362,'SegEnds_NonXtal_Prot#'!A:AL,10,FALSE)+9,1)</f>
        <v>G</v>
      </c>
      <c r="AA362" s="49" t="str">
        <f>MID(VLOOKUP($A362,Seqs!$A:$B,2,FALSE),VLOOKUP($A362,'SegEnds_NonXtal_Prot#'!A:AL,10,FALSE)+10,1)</f>
        <v>F</v>
      </c>
      <c r="AB362" s="28" t="str">
        <f>MID(VLOOKUP($A362,Seqs!$A:$B,2,FALSE),VLOOKUP($A362,'SegEnds_NonXtal_Prot#'!$A:$AL,22,FALSE)+6,1)</f>
        <v>I</v>
      </c>
      <c r="AC362" s="49" t="str">
        <f>MID(VLOOKUP($A362,Seqs!$A:$B,2,FALSE),VLOOKUP($A362,'SegEnds_NonXtal_Prot#'!$A:$AL,22,FALSE)+7,1)</f>
        <v>C</v>
      </c>
      <c r="AD362" s="49" t="str">
        <f>MID(VLOOKUP($A362,Seqs!$A:$B,2,FALSE),VLOOKUP($A362,'SegEnds_NonXtal_Prot#'!$A:$AL,22,FALSE)+8,1)</f>
        <v>L</v>
      </c>
      <c r="AE362" s="49" t="str">
        <f>MID(VLOOKUP($A362,Seqs!$A:$B,2,FALSE),VLOOKUP($A362,'SegEnds_NonXtal_Prot#'!$A:$AL,22,FALSE)+9,1)</f>
        <v>T</v>
      </c>
      <c r="AF362" s="49" t="str">
        <f>MID(VLOOKUP($A362,Seqs!$A:$B,2,FALSE),VLOOKUP($A362,'SegEnds_NonXtal_Prot#'!$A:$AL,22,FALSE)+10,1)</f>
        <v>W</v>
      </c>
      <c r="AG362" s="28" t="str">
        <f>MID(VLOOKUP($A362,Seqs!$A:$B,2,FALSE),VLOOKUP($A362,'SegEnds_NonXtal_Prot#'!$A:$AL,28,FALSE)-4,1)</f>
        <v>Y</v>
      </c>
      <c r="AH362" s="49" t="str">
        <f>MID(VLOOKUP($A362,Seqs!$A:$B,2,FALSE),VLOOKUP($A362,'SegEnds_NonXtal_Prot#'!$A:$AL,28,FALSE),1)</f>
        <v>L</v>
      </c>
    </row>
    <row r="363" spans="1:34" s="2" customFormat="1" x14ac:dyDescent="0.2">
      <c r="A363" s="2" t="s">
        <v>123</v>
      </c>
      <c r="B363" s="2" t="str">
        <f>LOWER(VLOOKUP(A363,Xtal_Templ!A:B,2,FALSE))</f>
        <v>grm1_human</v>
      </c>
      <c r="C363" s="2" t="str">
        <f>VLOOKUP(A363,Classification!A:D,2,FALSE)</f>
        <v>C</v>
      </c>
      <c r="D363" s="2" t="str">
        <f>IF(ISERROR(MATCH(A363,'SegEnds_Xtal_Prot#'!B:B, 0)), "NoXtal", "Xtal")</f>
        <v>NoXtal</v>
      </c>
      <c r="H363" s="4"/>
      <c r="U363" s="2" t="s">
        <v>1318</v>
      </c>
      <c r="V363" s="28" t="str">
        <f>MID(VLOOKUP($A363,Seqs!$A:$B,2,FALSE),VLOOKUP($A363,'SegEnds_NonXtal_Prot#'!A:AL,10,FALSE),1)</f>
        <v>L</v>
      </c>
      <c r="W363" s="49" t="str">
        <f>MID(VLOOKUP($A363,Seqs!$A:$B,2,FALSE),VLOOKUP($A363,'SegEnds_NonXtal_Prot#'!A:AL,10,FALSE)+6,1)</f>
        <v>V</v>
      </c>
      <c r="X363" s="49" t="str">
        <f>MID(VLOOKUP($A363,Seqs!$A:$B,2,FALSE),VLOOKUP($A363,'SegEnds_NonXtal_Prot#'!A:AL,10,FALSE)+7,1)</f>
        <v>V</v>
      </c>
      <c r="Y363" s="49" t="str">
        <f>MID(VLOOKUP($A363,Seqs!$A:$B,2,FALSE),VLOOKUP($A363,'SegEnds_NonXtal_Prot#'!A:AL,10,FALSE)+8,1)</f>
        <v>P</v>
      </c>
      <c r="Z363" s="49" t="str">
        <f>MID(VLOOKUP($A363,Seqs!$A:$B,2,FALSE),VLOOKUP($A363,'SegEnds_NonXtal_Prot#'!A:AL,10,FALSE)+9,1)</f>
        <v>V</v>
      </c>
      <c r="AA363" s="49" t="str">
        <f>MID(VLOOKUP($A363,Seqs!$A:$B,2,FALSE),VLOOKUP($A363,'SegEnds_NonXtal_Prot#'!A:AL,10,FALSE)+10,1)</f>
        <v>Y</v>
      </c>
      <c r="AB363" s="28" t="str">
        <f>MID(VLOOKUP($A363,Seqs!$A:$B,2,FALSE),VLOOKUP($A363,'SegEnds_NonXtal_Prot#'!$A:$AL,22,FALSE)+6,1)</f>
        <v>I</v>
      </c>
      <c r="AC363" s="49" t="str">
        <f>MID(VLOOKUP($A363,Seqs!$A:$B,2,FALSE),VLOOKUP($A363,'SegEnds_NonXtal_Prot#'!$A:$AL,22,FALSE)+7,1)</f>
        <v>V</v>
      </c>
      <c r="AD363" s="49" t="str">
        <f>MID(VLOOKUP($A363,Seqs!$A:$B,2,FALSE),VLOOKUP($A363,'SegEnds_NonXtal_Prot#'!$A:$AL,22,FALSE)+8,1)</f>
        <v>V</v>
      </c>
      <c r="AE363" s="49" t="str">
        <f>MID(VLOOKUP($A363,Seqs!$A:$B,2,FALSE),VLOOKUP($A363,'SegEnds_NonXtal_Prot#'!$A:$AL,22,FALSE)+9,1)</f>
        <v>I</v>
      </c>
      <c r="AF363" s="49" t="str">
        <f>MID(VLOOKUP($A363,Seqs!$A:$B,2,FALSE),VLOOKUP($A363,'SegEnds_NonXtal_Prot#'!$A:$AL,22,FALSE)+10,1)</f>
        <v>G</v>
      </c>
      <c r="AG363" s="28" t="str">
        <f>MID(VLOOKUP($A363,Seqs!$A:$B,2,FALSE),VLOOKUP($A363,'SegEnds_NonXtal_Prot#'!$A:$AL,28,FALSE)-4,1)</f>
        <v>L</v>
      </c>
      <c r="AH363" s="49" t="str">
        <f>MID(VLOOKUP($A363,Seqs!$A:$B,2,FALSE),VLOOKUP($A363,'SegEnds_NonXtal_Prot#'!$A:$AL,28,FALSE),1)</f>
        <v>L</v>
      </c>
    </row>
    <row r="364" spans="1:34" s="2" customFormat="1" x14ac:dyDescent="0.2">
      <c r="A364" s="2" t="s">
        <v>124</v>
      </c>
      <c r="B364" s="2" t="str">
        <f>LOWER(VLOOKUP(A364,Xtal_Templ!A:B,2,FALSE))</f>
        <v>grm1_human</v>
      </c>
      <c r="C364" s="2" t="str">
        <f>VLOOKUP(A364,Classification!A:D,2,FALSE)</f>
        <v>C</v>
      </c>
      <c r="D364" s="2" t="str">
        <f>IF(ISERROR(MATCH(A364,'SegEnds_Xtal_Prot#'!B:B, 0)), "NoXtal", "Xtal")</f>
        <v>NoXtal</v>
      </c>
      <c r="H364" s="4"/>
      <c r="U364" s="2" t="s">
        <v>1318</v>
      </c>
      <c r="V364" s="28" t="str">
        <f>MID(VLOOKUP($A364,Seqs!$A:$B,2,FALSE),VLOOKUP($A364,'SegEnds_NonXtal_Prot#'!A:AL,10,FALSE),1)</f>
        <v>L</v>
      </c>
      <c r="W364" s="49" t="str">
        <f>MID(VLOOKUP($A364,Seqs!$A:$B,2,FALSE),VLOOKUP($A364,'SegEnds_NonXtal_Prot#'!A:AL,10,FALSE)+6,1)</f>
        <v>S</v>
      </c>
      <c r="X364" s="49" t="str">
        <f>MID(VLOOKUP($A364,Seqs!$A:$B,2,FALSE),VLOOKUP($A364,'SegEnds_NonXtal_Prot#'!A:AL,10,FALSE)+7,1)</f>
        <v>V</v>
      </c>
      <c r="Y364" s="49" t="str">
        <f>MID(VLOOKUP($A364,Seqs!$A:$B,2,FALSE),VLOOKUP($A364,'SegEnds_NonXtal_Prot#'!A:AL,10,FALSE)+8,1)</f>
        <v>L</v>
      </c>
      <c r="Z364" s="49" t="str">
        <f>MID(VLOOKUP($A364,Seqs!$A:$B,2,FALSE),VLOOKUP($A364,'SegEnds_NonXtal_Prot#'!A:AL,10,FALSE)+9,1)</f>
        <v>L</v>
      </c>
      <c r="AA364" s="49" t="str">
        <f>MID(VLOOKUP($A364,Seqs!$A:$B,2,FALSE),VLOOKUP($A364,'SegEnds_NonXtal_Prot#'!A:AL,10,FALSE)+10,1)</f>
        <v>F</v>
      </c>
      <c r="AB364" s="28" t="str">
        <f>MID(VLOOKUP($A364,Seqs!$A:$B,2,FALSE),VLOOKUP($A364,'SegEnds_NonXtal_Prot#'!$A:$AL,22,FALSE)+6,1)</f>
        <v>L</v>
      </c>
      <c r="AC364" s="49" t="str">
        <f>MID(VLOOKUP($A364,Seqs!$A:$B,2,FALSE),VLOOKUP($A364,'SegEnds_NonXtal_Prot#'!$A:$AL,22,FALSE)+7,1)</f>
        <v>C</v>
      </c>
      <c r="AD364" s="49" t="str">
        <f>MID(VLOOKUP($A364,Seqs!$A:$B,2,FALSE),VLOOKUP($A364,'SegEnds_NonXtal_Prot#'!$A:$AL,22,FALSE)+8,1)</f>
        <v>T</v>
      </c>
      <c r="AE364" s="49" t="str">
        <f>MID(VLOOKUP($A364,Seqs!$A:$B,2,FALSE),VLOOKUP($A364,'SegEnds_NonXtal_Prot#'!$A:$AL,22,FALSE)+9,1)</f>
        <v>W</v>
      </c>
      <c r="AF364" s="49" t="str">
        <f>MID(VLOOKUP($A364,Seqs!$A:$B,2,FALSE),VLOOKUP($A364,'SegEnds_NonXtal_Prot#'!$A:$AL,22,FALSE)+10,1)</f>
        <v>Y</v>
      </c>
      <c r="AG364" s="28" t="str">
        <f>MID(VLOOKUP($A364,Seqs!$A:$B,2,FALSE),VLOOKUP($A364,'SegEnds_NonXtal_Prot#'!$A:$AL,28,FALSE)-4,1)</f>
        <v>T</v>
      </c>
      <c r="AH364" s="49" t="str">
        <f>MID(VLOOKUP($A364,Seqs!$A:$B,2,FALSE),VLOOKUP($A364,'SegEnds_NonXtal_Prot#'!$A:$AL,28,FALSE),1)</f>
        <v>L</v>
      </c>
    </row>
    <row r="365" spans="1:34" s="2" customFormat="1" x14ac:dyDescent="0.2">
      <c r="A365" s="2" t="s">
        <v>105</v>
      </c>
      <c r="B365" s="2" t="str">
        <f>LOWER(VLOOKUP(A365,Xtal_Templ!A:B,2,FALSE))</f>
        <v>grm5_human</v>
      </c>
      <c r="C365" s="2" t="str">
        <f>VLOOKUP(A365,Classification!A:D,2,FALSE)</f>
        <v>C</v>
      </c>
      <c r="D365" s="2" t="str">
        <f>IF(ISERROR(MATCH(A365,'SegEnds_Xtal_Prot#'!B:B, 0)), "NoXtal", "Xtal")</f>
        <v>NoXtal</v>
      </c>
      <c r="H365" s="4"/>
      <c r="U365" s="2" t="s">
        <v>1318</v>
      </c>
      <c r="V365" s="28" t="str">
        <f>MID(VLOOKUP($A365,Seqs!$A:$B,2,FALSE),VLOOKUP($A365,'SegEnds_NonXtal_Prot#'!A:AL,10,FALSE),1)</f>
        <v>L</v>
      </c>
      <c r="W365" s="49" t="str">
        <f>MID(VLOOKUP($A365,Seqs!$A:$B,2,FALSE),VLOOKUP($A365,'SegEnds_NonXtal_Prot#'!A:AL,10,FALSE)+6,1)</f>
        <v>S</v>
      </c>
      <c r="X365" s="49" t="str">
        <f>MID(VLOOKUP($A365,Seqs!$A:$B,2,FALSE),VLOOKUP($A365,'SegEnds_NonXtal_Prot#'!A:AL,10,FALSE)+7,1)</f>
        <v>S</v>
      </c>
      <c r="Y365" s="49" t="str">
        <f>MID(VLOOKUP($A365,Seqs!$A:$B,2,FALSE),VLOOKUP($A365,'SegEnds_NonXtal_Prot#'!A:AL,10,FALSE)+8,1)</f>
        <v>L</v>
      </c>
      <c r="Z365" s="49" t="str">
        <f>MID(VLOOKUP($A365,Seqs!$A:$B,2,FALSE),VLOOKUP($A365,'SegEnds_NonXtal_Prot#'!A:AL,10,FALSE)+9,1)</f>
        <v>F</v>
      </c>
      <c r="AA365" s="49" t="str">
        <f>MID(VLOOKUP($A365,Seqs!$A:$B,2,FALSE),VLOOKUP($A365,'SegEnds_NonXtal_Prot#'!A:AL,10,FALSE)+10,1)</f>
        <v>F</v>
      </c>
      <c r="AB365" s="28" t="str">
        <f>MID(VLOOKUP($A365,Seqs!$A:$B,2,FALSE),VLOOKUP($A365,'SegEnds_NonXtal_Prot#'!$A:$AL,22,FALSE)+6,1)</f>
        <v>I</v>
      </c>
      <c r="AC365" s="49" t="str">
        <f>MID(VLOOKUP($A365,Seqs!$A:$B,2,FALSE),VLOOKUP($A365,'SegEnds_NonXtal_Prot#'!$A:$AL,22,FALSE)+7,1)</f>
        <v>C</v>
      </c>
      <c r="AD365" s="49" t="str">
        <f>MID(VLOOKUP($A365,Seqs!$A:$B,2,FALSE),VLOOKUP($A365,'SegEnds_NonXtal_Prot#'!$A:$AL,22,FALSE)+8,1)</f>
        <v>V</v>
      </c>
      <c r="AE365" s="49" t="str">
        <f>MID(VLOOKUP($A365,Seqs!$A:$B,2,FALSE),VLOOKUP($A365,'SegEnds_NonXtal_Prot#'!$A:$AL,22,FALSE)+9,1)</f>
        <v>I</v>
      </c>
      <c r="AF365" s="49" t="str">
        <f>MID(VLOOKUP($A365,Seqs!$A:$B,2,FALSE),VLOOKUP($A365,'SegEnds_NonXtal_Prot#'!$A:$AL,22,FALSE)+10,1)</f>
        <v>W</v>
      </c>
      <c r="AG365" s="28" t="str">
        <f>MID(VLOOKUP($A365,Seqs!$A:$B,2,FALSE),VLOOKUP($A365,'SegEnds_NonXtal_Prot#'!$A:$AL,28,FALSE)-4,1)</f>
        <v>Y</v>
      </c>
      <c r="AH365" s="49" t="str">
        <f>MID(VLOOKUP($A365,Seqs!$A:$B,2,FALSE),VLOOKUP($A365,'SegEnds_NonXtal_Prot#'!$A:$AL,28,FALSE),1)</f>
        <v>L</v>
      </c>
    </row>
    <row r="366" spans="1:34" s="2" customFormat="1" x14ac:dyDescent="0.2">
      <c r="A366" s="2" t="s">
        <v>107</v>
      </c>
      <c r="B366" s="2" t="str">
        <f>LOWER(VLOOKUP(A366,Xtal_Templ!A:B,2,FALSE))</f>
        <v>grm5_human</v>
      </c>
      <c r="C366" s="2" t="str">
        <f>VLOOKUP(A366,Classification!A:D,2,FALSE)</f>
        <v>C</v>
      </c>
      <c r="D366" s="2" t="str">
        <f>IF(ISERROR(MATCH(A366,'SegEnds_Xtal_Prot#'!B:B, 0)), "NoXtal", "Xtal")</f>
        <v>NoXtal</v>
      </c>
      <c r="H366" s="4"/>
      <c r="U366" s="2" t="s">
        <v>1318</v>
      </c>
      <c r="V366" s="28" t="str">
        <f>MID(VLOOKUP($A366,Seqs!$A:$B,2,FALSE),VLOOKUP($A366,'SegEnds_NonXtal_Prot#'!A:AL,10,FALSE),1)</f>
        <v>G</v>
      </c>
      <c r="W366" s="49" t="str">
        <f>MID(VLOOKUP($A366,Seqs!$A:$B,2,FALSE),VLOOKUP($A366,'SegEnds_NonXtal_Prot#'!A:AL,10,FALSE)+6,1)</f>
        <v>S</v>
      </c>
      <c r="X366" s="49" t="str">
        <f>MID(VLOOKUP($A366,Seqs!$A:$B,2,FALSE),VLOOKUP($A366,'SegEnds_NonXtal_Prot#'!A:AL,10,FALSE)+7,1)</f>
        <v>I</v>
      </c>
      <c r="Y366" s="49" t="str">
        <f>MID(VLOOKUP($A366,Seqs!$A:$B,2,FALSE),VLOOKUP($A366,'SegEnds_NonXtal_Prot#'!A:AL,10,FALSE)+8,1)</f>
        <v>F</v>
      </c>
      <c r="Z366" s="49" t="str">
        <f>MID(VLOOKUP($A366,Seqs!$A:$B,2,FALSE),VLOOKUP($A366,'SegEnds_NonXtal_Prot#'!A:AL,10,FALSE)+9,1)</f>
        <v>L</v>
      </c>
      <c r="AA366" s="49" t="str">
        <f>MID(VLOOKUP($A366,Seqs!$A:$B,2,FALSE),VLOOKUP($A366,'SegEnds_NonXtal_Prot#'!A:AL,10,FALSE)+10,1)</f>
        <v>F</v>
      </c>
      <c r="AB366" s="28" t="str">
        <f>MID(VLOOKUP($A366,Seqs!$A:$B,2,FALSE),VLOOKUP($A366,'SegEnds_NonXtal_Prot#'!$A:$AL,22,FALSE)+6,1)</f>
        <v>I</v>
      </c>
      <c r="AC366" s="49" t="str">
        <f>MID(VLOOKUP($A366,Seqs!$A:$B,2,FALSE),VLOOKUP($A366,'SegEnds_NonXtal_Prot#'!$A:$AL,22,FALSE)+7,1)</f>
        <v>L</v>
      </c>
      <c r="AD366" s="49" t="str">
        <f>MID(VLOOKUP($A366,Seqs!$A:$B,2,FALSE),VLOOKUP($A366,'SegEnds_NonXtal_Prot#'!$A:$AL,22,FALSE)+8,1)</f>
        <v>I</v>
      </c>
      <c r="AE366" s="49" t="str">
        <f>MID(VLOOKUP($A366,Seqs!$A:$B,2,FALSE),VLOOKUP($A366,'SegEnds_NonXtal_Prot#'!$A:$AL,22,FALSE)+9,1)</f>
        <v>C</v>
      </c>
      <c r="AF366" s="49" t="str">
        <f>MID(VLOOKUP($A366,Seqs!$A:$B,2,FALSE),VLOOKUP($A366,'SegEnds_NonXtal_Prot#'!$A:$AL,22,FALSE)+10,1)</f>
        <v>W</v>
      </c>
      <c r="AG366" s="28" t="str">
        <f>MID(VLOOKUP($A366,Seqs!$A:$B,2,FALSE),VLOOKUP($A366,'SegEnds_NonXtal_Prot#'!$A:$AL,28,FALSE)-4,1)</f>
        <v>Y</v>
      </c>
      <c r="AH366" s="49" t="str">
        <f>MID(VLOOKUP($A366,Seqs!$A:$B,2,FALSE),VLOOKUP($A366,'SegEnds_NonXtal_Prot#'!$A:$AL,28,FALSE),1)</f>
        <v>L</v>
      </c>
    </row>
    <row r="367" spans="1:34" s="2" customFormat="1" x14ac:dyDescent="0.2">
      <c r="A367" s="2" t="s">
        <v>115</v>
      </c>
      <c r="B367" s="2" t="str">
        <f>LOWER(VLOOKUP(A367,Xtal_Templ!A:B,2,FALSE))</f>
        <v>grm1_human</v>
      </c>
      <c r="C367" s="2" t="str">
        <f>VLOOKUP(A367,Classification!A:D,2,FALSE)</f>
        <v>C</v>
      </c>
      <c r="D367" s="2" t="str">
        <f>IF(ISERROR(MATCH(A367,'SegEnds_Xtal_Prot#'!B:B, 0)), "NoXtal", "Xtal")</f>
        <v>NoXtal</v>
      </c>
      <c r="H367" s="4"/>
      <c r="U367" s="2" t="s">
        <v>1318</v>
      </c>
      <c r="V367" s="28" t="str">
        <f>MID(VLOOKUP($A367,Seqs!$A:$B,2,FALSE),VLOOKUP($A367,'SegEnds_NonXtal_Prot#'!A:AL,10,FALSE),1)</f>
        <v>V</v>
      </c>
      <c r="W367" s="49" t="str">
        <f>MID(VLOOKUP($A367,Seqs!$A:$B,2,FALSE),VLOOKUP($A367,'SegEnds_NonXtal_Prot#'!A:AL,10,FALSE)+6,1)</f>
        <v>M</v>
      </c>
      <c r="X367" s="49" t="str">
        <f>MID(VLOOKUP($A367,Seqs!$A:$B,2,FALSE),VLOOKUP($A367,'SegEnds_NonXtal_Prot#'!A:AL,10,FALSE)+7,1)</f>
        <v>T</v>
      </c>
      <c r="Y367" s="49" t="str">
        <f>MID(VLOOKUP($A367,Seqs!$A:$B,2,FALSE),VLOOKUP($A367,'SegEnds_NonXtal_Prot#'!A:AL,10,FALSE)+8,1)</f>
        <v>F</v>
      </c>
      <c r="Z367" s="49" t="str">
        <f>MID(VLOOKUP($A367,Seqs!$A:$B,2,FALSE),VLOOKUP($A367,'SegEnds_NonXtal_Prot#'!A:AL,10,FALSE)+9,1)</f>
        <v>I</v>
      </c>
      <c r="AA367" s="49" t="str">
        <f>MID(VLOOKUP($A367,Seqs!$A:$B,2,FALSE),VLOOKUP($A367,'SegEnds_NonXtal_Prot#'!A:AL,10,FALSE)+10,1)</f>
        <v>F</v>
      </c>
      <c r="AB367" s="28" t="str">
        <f>MID(VLOOKUP($A367,Seqs!$A:$B,2,FALSE),VLOOKUP($A367,'SegEnds_NonXtal_Prot#'!$A:$AL,22,FALSE)+6,1)</f>
        <v>I</v>
      </c>
      <c r="AC367" s="49" t="str">
        <f>MID(VLOOKUP($A367,Seqs!$A:$B,2,FALSE),VLOOKUP($A367,'SegEnds_NonXtal_Prot#'!$A:$AL,22,FALSE)+7,1)</f>
        <v>V</v>
      </c>
      <c r="AD367" s="49" t="str">
        <f>MID(VLOOKUP($A367,Seqs!$A:$B,2,FALSE),VLOOKUP($A367,'SegEnds_NonXtal_Prot#'!$A:$AL,22,FALSE)+8,1)</f>
        <v>V</v>
      </c>
      <c r="AE367" s="49" t="str">
        <f>MID(VLOOKUP($A367,Seqs!$A:$B,2,FALSE),VLOOKUP($A367,'SegEnds_NonXtal_Prot#'!$A:$AL,22,FALSE)+9,1)</f>
        <v>A</v>
      </c>
      <c r="AF367" s="49" t="str">
        <f>MID(VLOOKUP($A367,Seqs!$A:$B,2,FALSE),VLOOKUP($A367,'SegEnds_NonXtal_Prot#'!$A:$AL,22,FALSE)+10,1)</f>
        <v>W</v>
      </c>
      <c r="AG367" s="28" t="str">
        <f>MID(VLOOKUP($A367,Seqs!$A:$B,2,FALSE),VLOOKUP($A367,'SegEnds_NonXtal_Prot#'!$A:$AL,28,FALSE)-4,1)</f>
        <v>Y</v>
      </c>
      <c r="AH367" s="49" t="str">
        <f>MID(VLOOKUP($A367,Seqs!$A:$B,2,FALSE),VLOOKUP($A367,'SegEnds_NonXtal_Prot#'!$A:$AL,28,FALSE),1)</f>
        <v>L</v>
      </c>
    </row>
    <row r="368" spans="1:34" s="2" customFormat="1" x14ac:dyDescent="0.2">
      <c r="A368" s="2" t="s">
        <v>116</v>
      </c>
      <c r="B368" s="2" t="str">
        <f>LOWER(VLOOKUP(A368,Xtal_Templ!A:B,2,FALSE))</f>
        <v>grm5_human</v>
      </c>
      <c r="C368" s="2" t="str">
        <f>VLOOKUP(A368,Classification!A:D,2,FALSE)</f>
        <v>C</v>
      </c>
      <c r="D368" s="2" t="str">
        <f>IF(ISERROR(MATCH(A368,'SegEnds_Xtal_Prot#'!B:B, 0)), "NoXtal", "Xtal")</f>
        <v>NoXtal</v>
      </c>
      <c r="H368" s="4"/>
      <c r="U368" s="2" t="s">
        <v>1318</v>
      </c>
      <c r="V368" s="28" t="str">
        <f>MID(VLOOKUP($A368,Seqs!$A:$B,2,FALSE),VLOOKUP($A368,'SegEnds_NonXtal_Prot#'!A:AL,10,FALSE),1)</f>
        <v>V</v>
      </c>
      <c r="W368" s="49" t="str">
        <f>MID(VLOOKUP($A368,Seqs!$A:$B,2,FALSE),VLOOKUP($A368,'SegEnds_NonXtal_Prot#'!A:AL,10,FALSE)+6,1)</f>
        <v>M</v>
      </c>
      <c r="X368" s="49" t="str">
        <f>MID(VLOOKUP($A368,Seqs!$A:$B,2,FALSE),VLOOKUP($A368,'SegEnds_NonXtal_Prot#'!A:AL,10,FALSE)+7,1)</f>
        <v>T</v>
      </c>
      <c r="Y368" s="49" t="str">
        <f>MID(VLOOKUP($A368,Seqs!$A:$B,2,FALSE),VLOOKUP($A368,'SegEnds_NonXtal_Prot#'!A:AL,10,FALSE)+8,1)</f>
        <v>F</v>
      </c>
      <c r="Z368" s="49" t="str">
        <f>MID(VLOOKUP($A368,Seqs!$A:$B,2,FALSE),VLOOKUP($A368,'SegEnds_NonXtal_Prot#'!A:AL,10,FALSE)+9,1)</f>
        <v>F</v>
      </c>
      <c r="AA368" s="49" t="str">
        <f>MID(VLOOKUP($A368,Seqs!$A:$B,2,FALSE),VLOOKUP($A368,'SegEnds_NonXtal_Prot#'!A:AL,10,FALSE)+10,1)</f>
        <v>F</v>
      </c>
      <c r="AB368" s="28" t="str">
        <f>MID(VLOOKUP($A368,Seqs!$A:$B,2,FALSE),VLOOKUP($A368,'SegEnds_NonXtal_Prot#'!$A:$AL,22,FALSE)+6,1)</f>
        <v>M</v>
      </c>
      <c r="AC368" s="49" t="str">
        <f>MID(VLOOKUP($A368,Seqs!$A:$B,2,FALSE),VLOOKUP($A368,'SegEnds_NonXtal_Prot#'!$A:$AL,22,FALSE)+7,1)</f>
        <v>V</v>
      </c>
      <c r="AD368" s="49" t="str">
        <f>MID(VLOOKUP($A368,Seqs!$A:$B,2,FALSE),VLOOKUP($A368,'SegEnds_NonXtal_Prot#'!$A:$AL,22,FALSE)+8,1)</f>
        <v>S</v>
      </c>
      <c r="AE368" s="49" t="str">
        <f>MID(VLOOKUP($A368,Seqs!$A:$B,2,FALSE),VLOOKUP($A368,'SegEnds_NonXtal_Prot#'!$A:$AL,22,FALSE)+9,1)</f>
        <v>V</v>
      </c>
      <c r="AF368" s="49" t="str">
        <f>MID(VLOOKUP($A368,Seqs!$A:$B,2,FALSE),VLOOKUP($A368,'SegEnds_NonXtal_Prot#'!$A:$AL,22,FALSE)+10,1)</f>
        <v>W</v>
      </c>
      <c r="AG368" s="28" t="str">
        <f>MID(VLOOKUP($A368,Seqs!$A:$B,2,FALSE),VLOOKUP($A368,'SegEnds_NonXtal_Prot#'!$A:$AL,28,FALSE)-4,1)</f>
        <v>Y</v>
      </c>
      <c r="AH368" s="49" t="str">
        <f>MID(VLOOKUP($A368,Seqs!$A:$B,2,FALSE),VLOOKUP($A368,'SegEnds_NonXtal_Prot#'!$A:$AL,28,FALSE),1)</f>
        <v>L</v>
      </c>
    </row>
    <row r="369" spans="1:34" s="2" customFormat="1" x14ac:dyDescent="0.2">
      <c r="A369" s="2" t="s">
        <v>117</v>
      </c>
      <c r="B369" s="2" t="str">
        <f>LOWER(VLOOKUP(A369,Xtal_Templ!A:B,2,FALSE))</f>
        <v>grm5_human</v>
      </c>
      <c r="C369" s="2" t="str">
        <f>VLOOKUP(A369,Classification!A:D,2,FALSE)</f>
        <v>C</v>
      </c>
      <c r="D369" s="2" t="str">
        <f>IF(ISERROR(MATCH(A369,'SegEnds_Xtal_Prot#'!B:B, 0)), "NoXtal", "Xtal")</f>
        <v>NoXtal</v>
      </c>
      <c r="H369" s="4"/>
      <c r="U369" s="2" t="s">
        <v>1318</v>
      </c>
      <c r="V369" s="28" t="str">
        <f>MID(VLOOKUP($A369,Seqs!$A:$B,2,FALSE),VLOOKUP($A369,'SegEnds_NonXtal_Prot#'!A:AL,10,FALSE),1)</f>
        <v>I</v>
      </c>
      <c r="W369" s="49" t="str">
        <f>MID(VLOOKUP($A369,Seqs!$A:$B,2,FALSE),VLOOKUP($A369,'SegEnds_NonXtal_Prot#'!A:AL,10,FALSE)+6,1)</f>
        <v>T</v>
      </c>
      <c r="X369" s="49" t="str">
        <f>MID(VLOOKUP($A369,Seqs!$A:$B,2,FALSE),VLOOKUP($A369,'SegEnds_NonXtal_Prot#'!A:AL,10,FALSE)+7,1)</f>
        <v>T</v>
      </c>
      <c r="Y369" s="49" t="str">
        <f>MID(VLOOKUP($A369,Seqs!$A:$B,2,FALSE),VLOOKUP($A369,'SegEnds_NonXtal_Prot#'!A:AL,10,FALSE)+8,1)</f>
        <v>F</v>
      </c>
      <c r="Z369" s="49" t="str">
        <f>MID(VLOOKUP($A369,Seqs!$A:$B,2,FALSE),VLOOKUP($A369,'SegEnds_NonXtal_Prot#'!A:AL,10,FALSE)+9,1)</f>
        <v>L</v>
      </c>
      <c r="AA369" s="49" t="str">
        <f>MID(VLOOKUP($A369,Seqs!$A:$B,2,FALSE),VLOOKUP($A369,'SegEnds_NonXtal_Prot#'!A:AL,10,FALSE)+10,1)</f>
        <v>M</v>
      </c>
      <c r="AB369" s="28" t="str">
        <f>MID(VLOOKUP($A369,Seqs!$A:$B,2,FALSE),VLOOKUP($A369,'SegEnds_NonXtal_Prot#'!$A:$AL,22,FALSE)+6,1)</f>
        <v>G</v>
      </c>
      <c r="AC369" s="49" t="str">
        <f>MID(VLOOKUP($A369,Seqs!$A:$B,2,FALSE),VLOOKUP($A369,'SegEnds_NonXtal_Prot#'!$A:$AL,22,FALSE)+7,1)</f>
        <v>I</v>
      </c>
      <c r="AD369" s="49" t="str">
        <f>MID(VLOOKUP($A369,Seqs!$A:$B,2,FALSE),VLOOKUP($A369,'SegEnds_NonXtal_Prot#'!$A:$AL,22,FALSE)+8,1)</f>
        <v>C</v>
      </c>
      <c r="AE369" s="49" t="str">
        <f>MID(VLOOKUP($A369,Seqs!$A:$B,2,FALSE),VLOOKUP($A369,'SegEnds_NonXtal_Prot#'!$A:$AL,22,FALSE)+9,1)</f>
        <v>V</v>
      </c>
      <c r="AF369" s="49" t="str">
        <f>MID(VLOOKUP($A369,Seqs!$A:$B,2,FALSE),VLOOKUP($A369,'SegEnds_NonXtal_Prot#'!$A:$AL,22,FALSE)+10,1)</f>
        <v>W</v>
      </c>
      <c r="AG369" s="28" t="str">
        <f>MID(VLOOKUP($A369,Seqs!$A:$B,2,FALSE),VLOOKUP($A369,'SegEnds_NonXtal_Prot#'!$A:$AL,28,FALSE)-4,1)</f>
        <v>Y</v>
      </c>
      <c r="AH369" s="49" t="str">
        <f>MID(VLOOKUP($A369,Seqs!$A:$B,2,FALSE),VLOOKUP($A369,'SegEnds_NonXtal_Prot#'!$A:$AL,28,FALSE),1)</f>
        <v>L</v>
      </c>
    </row>
    <row r="370" spans="1:34" s="2" customFormat="1" x14ac:dyDescent="0.2">
      <c r="A370" s="2" t="s">
        <v>41</v>
      </c>
      <c r="B370" s="2" t="str">
        <f>LOWER(VLOOKUP(A370,Xtal_Templ!A:B,2,FALSE))</f>
        <v>grm5_human</v>
      </c>
      <c r="C370" s="2" t="str">
        <f>VLOOKUP(A370,Classification!A:D,2,FALSE)</f>
        <v>C</v>
      </c>
      <c r="D370" s="2" t="str">
        <f>IF(ISERROR(MATCH(A370,'SegEnds_Xtal_Prot#'!B:B, 0)), "NoXtal", "Xtal")</f>
        <v>Xtal</v>
      </c>
      <c r="H370" s="4"/>
      <c r="U370" s="2" t="s">
        <v>1318</v>
      </c>
      <c r="V370" s="28" t="str">
        <f>MID(VLOOKUP($A370,Seqs!$A:$B,2,FALSE),VLOOKUP($A370,'SegEnds_NonXtal_Prot#'!A:AL,10,FALSE),1)</f>
        <v>I</v>
      </c>
      <c r="W370" s="49" t="str">
        <f>MID(VLOOKUP($A370,Seqs!$A:$B,2,FALSE),VLOOKUP($A370,'SegEnds_NonXtal_Prot#'!A:AL,10,FALSE)+6,1)</f>
        <v>C</v>
      </c>
      <c r="X370" s="49" t="str">
        <f>MID(VLOOKUP($A370,Seqs!$A:$B,2,FALSE),VLOOKUP($A370,'SegEnds_NonXtal_Prot#'!A:AL,10,FALSE)+7,1)</f>
        <v>T</v>
      </c>
      <c r="Y370" s="49" t="str">
        <f>MID(VLOOKUP($A370,Seqs!$A:$B,2,FALSE),VLOOKUP($A370,'SegEnds_NonXtal_Prot#'!A:AL,10,FALSE)+8,1)</f>
        <v>F</v>
      </c>
      <c r="Z370" s="49" t="str">
        <f>MID(VLOOKUP($A370,Seqs!$A:$B,2,FALSE),VLOOKUP($A370,'SegEnds_NonXtal_Prot#'!A:AL,10,FALSE)+9,1)</f>
        <v>C</v>
      </c>
      <c r="AA370" s="49" t="str">
        <f>MID(VLOOKUP($A370,Seqs!$A:$B,2,FALSE),VLOOKUP($A370,'SegEnds_NonXtal_Prot#'!A:AL,10,FALSE)+10,1)</f>
        <v>L</v>
      </c>
      <c r="AB370" s="28" t="str">
        <f>MID(VLOOKUP($A370,Seqs!$A:$B,2,FALSE),VLOOKUP($A370,'SegEnds_NonXtal_Prot#'!$A:$AL,22,FALSE)+6,1)</f>
        <v>I</v>
      </c>
      <c r="AC370" s="49" t="str">
        <f>MID(VLOOKUP($A370,Seqs!$A:$B,2,FALSE),VLOOKUP($A370,'SegEnds_NonXtal_Prot#'!$A:$AL,22,FALSE)+7,1)</f>
        <v>I</v>
      </c>
      <c r="AD370" s="49" t="str">
        <f>MID(VLOOKUP($A370,Seqs!$A:$B,2,FALSE),VLOOKUP($A370,'SegEnds_NonXtal_Prot#'!$A:$AL,22,FALSE)+8,1)</f>
        <v>V</v>
      </c>
      <c r="AE370" s="49" t="str">
        <f>MID(VLOOKUP($A370,Seqs!$A:$B,2,FALSE),VLOOKUP($A370,'SegEnds_NonXtal_Prot#'!$A:$AL,22,FALSE)+9,1)</f>
        <v>A</v>
      </c>
      <c r="AF370" s="49" t="str">
        <f>MID(VLOOKUP($A370,Seqs!$A:$B,2,FALSE),VLOOKUP($A370,'SegEnds_NonXtal_Prot#'!$A:$AL,22,FALSE)+10,1)</f>
        <v>L</v>
      </c>
      <c r="AG370" s="28" t="str">
        <f>MID(VLOOKUP($A370,Seqs!$A:$B,2,FALSE),VLOOKUP($A370,'SegEnds_NonXtal_Prot#'!$A:$AL,28,FALSE)-4,1)</f>
        <v>Y</v>
      </c>
      <c r="AH370" s="49" t="str">
        <f>MID(VLOOKUP($A370,Seqs!$A:$B,2,FALSE),VLOOKUP($A370,'SegEnds_NonXtal_Prot#'!$A:$AL,28,FALSE),1)</f>
        <v>L</v>
      </c>
    </row>
    <row r="371" spans="1:34" s="2" customFormat="1" x14ac:dyDescent="0.2">
      <c r="A371" s="2" t="s">
        <v>118</v>
      </c>
      <c r="B371" s="2" t="str">
        <f>LOWER(VLOOKUP(A371,Xtal_Templ!A:B,2,FALSE))</f>
        <v>grm5_human</v>
      </c>
      <c r="C371" s="2" t="str">
        <f>VLOOKUP(A371,Classification!A:D,2,FALSE)</f>
        <v>C</v>
      </c>
      <c r="D371" s="2" t="str">
        <f>IF(ISERROR(MATCH(A371,'SegEnds_Xtal_Prot#'!B:B, 0)), "NoXtal", "Xtal")</f>
        <v>NoXtal</v>
      </c>
      <c r="H371" s="4"/>
      <c r="U371" s="2" t="s">
        <v>1318</v>
      </c>
      <c r="V371" s="28" t="str">
        <f>MID(VLOOKUP($A371,Seqs!$A:$B,2,FALSE),VLOOKUP($A371,'SegEnds_NonXtal_Prot#'!A:AL,10,FALSE),1)</f>
        <v>I</v>
      </c>
      <c r="W371" s="49" t="str">
        <f>MID(VLOOKUP($A371,Seqs!$A:$B,2,FALSE),VLOOKUP($A371,'SegEnds_NonXtal_Prot#'!A:AL,10,FALSE)+6,1)</f>
        <v>I</v>
      </c>
      <c r="X371" s="49" t="str">
        <f>MID(VLOOKUP($A371,Seqs!$A:$B,2,FALSE),VLOOKUP($A371,'SegEnds_NonXtal_Prot#'!A:AL,10,FALSE)+7,1)</f>
        <v>T</v>
      </c>
      <c r="Y371" s="49" t="str">
        <f>MID(VLOOKUP($A371,Seqs!$A:$B,2,FALSE),VLOOKUP($A371,'SegEnds_NonXtal_Prot#'!A:AL,10,FALSE)+8,1)</f>
        <v>F</v>
      </c>
      <c r="Z371" s="49" t="str">
        <f>MID(VLOOKUP($A371,Seqs!$A:$B,2,FALSE),VLOOKUP($A371,'SegEnds_NonXtal_Prot#'!A:AL,10,FALSE)+9,1)</f>
        <v>L</v>
      </c>
      <c r="AA371" s="49" t="str">
        <f>MID(VLOOKUP($A371,Seqs!$A:$B,2,FALSE),VLOOKUP($A371,'SegEnds_NonXtal_Prot#'!A:AL,10,FALSE)+10,1)</f>
        <v>M</v>
      </c>
      <c r="AB371" s="28" t="str">
        <f>MID(VLOOKUP($A371,Seqs!$A:$B,2,FALSE),VLOOKUP($A371,'SegEnds_NonXtal_Prot#'!$A:$AL,22,FALSE)+6,1)</f>
        <v>G</v>
      </c>
      <c r="AC371" s="49" t="str">
        <f>MID(VLOOKUP($A371,Seqs!$A:$B,2,FALSE),VLOOKUP($A371,'SegEnds_NonXtal_Prot#'!$A:$AL,22,FALSE)+7,1)</f>
        <v>M</v>
      </c>
      <c r="AD371" s="49" t="str">
        <f>MID(VLOOKUP($A371,Seqs!$A:$B,2,FALSE),VLOOKUP($A371,'SegEnds_NonXtal_Prot#'!$A:$AL,22,FALSE)+8,1)</f>
        <v>I</v>
      </c>
      <c r="AE371" s="49" t="str">
        <f>MID(VLOOKUP($A371,Seqs!$A:$B,2,FALSE),VLOOKUP($A371,'SegEnds_NonXtal_Prot#'!$A:$AL,22,FALSE)+9,1)</f>
        <v>A</v>
      </c>
      <c r="AF371" s="49" t="str">
        <f>MID(VLOOKUP($A371,Seqs!$A:$B,2,FALSE),VLOOKUP($A371,'SegEnds_NonXtal_Prot#'!$A:$AL,22,FALSE)+10,1)</f>
        <v>W</v>
      </c>
      <c r="AG371" s="28" t="str">
        <f>MID(VLOOKUP($A371,Seqs!$A:$B,2,FALSE),VLOOKUP($A371,'SegEnds_NonXtal_Prot#'!$A:$AL,28,FALSE)-4,1)</f>
        <v>Y</v>
      </c>
      <c r="AH371" s="49" t="str">
        <f>MID(VLOOKUP($A371,Seqs!$A:$B,2,FALSE),VLOOKUP($A371,'SegEnds_NonXtal_Prot#'!$A:$AL,28,FALSE),1)</f>
        <v>L</v>
      </c>
    </row>
    <row r="372" spans="1:34" s="2" customFormat="1" ht="17" customHeight="1" x14ac:dyDescent="0.2">
      <c r="A372" s="2" t="s">
        <v>119</v>
      </c>
      <c r="B372" s="2" t="str">
        <f>LOWER(VLOOKUP(A372,Xtal_Templ!A:B,2,FALSE))</f>
        <v>grm5_human</v>
      </c>
      <c r="C372" s="2" t="str">
        <f>VLOOKUP(A372,Classification!A:D,2,FALSE)</f>
        <v>C</v>
      </c>
      <c r="D372" s="2" t="str">
        <f>IF(ISERROR(MATCH(A372,'SegEnds_Xtal_Prot#'!B:B, 0)), "NoXtal", "Xtal")</f>
        <v>NoXtal</v>
      </c>
      <c r="H372" s="4"/>
      <c r="U372" s="2" t="s">
        <v>1318</v>
      </c>
      <c r="V372" s="28" t="str">
        <f>MID(VLOOKUP($A372,Seqs!$A:$B,2,FALSE),VLOOKUP($A372,'SegEnds_NonXtal_Prot#'!A:AL,10,FALSE),1)</f>
        <v>I</v>
      </c>
      <c r="W372" s="49" t="str">
        <f>MID(VLOOKUP($A372,Seqs!$A:$B,2,FALSE),VLOOKUP($A372,'SegEnds_NonXtal_Prot#'!A:AL,10,FALSE)+6,1)</f>
        <v>I</v>
      </c>
      <c r="X372" s="49" t="str">
        <f>MID(VLOOKUP($A372,Seqs!$A:$B,2,FALSE),VLOOKUP($A372,'SegEnds_NonXtal_Prot#'!A:AL,10,FALSE)+7,1)</f>
        <v>T</v>
      </c>
      <c r="Y372" s="49" t="str">
        <f>MID(VLOOKUP($A372,Seqs!$A:$B,2,FALSE),VLOOKUP($A372,'SegEnds_NonXtal_Prot#'!A:AL,10,FALSE)+8,1)</f>
        <v>F</v>
      </c>
      <c r="Z372" s="49" t="str">
        <f>MID(VLOOKUP($A372,Seqs!$A:$B,2,FALSE),VLOOKUP($A372,'SegEnds_NonXtal_Prot#'!A:AL,10,FALSE)+9,1)</f>
        <v>L</v>
      </c>
      <c r="AA372" s="49" t="str">
        <f>MID(VLOOKUP($A372,Seqs!$A:$B,2,FALSE),VLOOKUP($A372,'SegEnds_NonXtal_Prot#'!A:AL,10,FALSE)+10,1)</f>
        <v>M</v>
      </c>
      <c r="AB372" s="28" t="str">
        <f>MID(VLOOKUP($A372,Seqs!$A:$B,2,FALSE),VLOOKUP($A372,'SegEnds_NonXtal_Prot#'!$A:$AL,22,FALSE)+6,1)</f>
        <v>G</v>
      </c>
      <c r="AC372" s="49" t="str">
        <f>MID(VLOOKUP($A372,Seqs!$A:$B,2,FALSE),VLOOKUP($A372,'SegEnds_NonXtal_Prot#'!$A:$AL,22,FALSE)+7,1)</f>
        <v>V</v>
      </c>
      <c r="AD372" s="49" t="str">
        <f>MID(VLOOKUP($A372,Seqs!$A:$B,2,FALSE),VLOOKUP($A372,'SegEnds_NonXtal_Prot#'!$A:$AL,22,FALSE)+8,1)</f>
        <v>F</v>
      </c>
      <c r="AE372" s="49" t="str">
        <f>MID(VLOOKUP($A372,Seqs!$A:$B,2,FALSE),VLOOKUP($A372,'SegEnds_NonXtal_Prot#'!$A:$AL,22,FALSE)+9,1)</f>
        <v>I</v>
      </c>
      <c r="AF372" s="49" t="str">
        <f>MID(VLOOKUP($A372,Seqs!$A:$B,2,FALSE),VLOOKUP($A372,'SegEnds_NonXtal_Prot#'!$A:$AL,22,FALSE)+10,1)</f>
        <v>W</v>
      </c>
      <c r="AG372" s="28" t="str">
        <f>MID(VLOOKUP($A372,Seqs!$A:$B,2,FALSE),VLOOKUP($A372,'SegEnds_NonXtal_Prot#'!$A:$AL,28,FALSE)-4,1)</f>
        <v>Y</v>
      </c>
      <c r="AH372" s="49" t="str">
        <f>MID(VLOOKUP($A372,Seqs!$A:$B,2,FALSE),VLOOKUP($A372,'SegEnds_NonXtal_Prot#'!$A:$AL,28,FALSE),1)</f>
        <v>L</v>
      </c>
    </row>
    <row r="373" spans="1:34" s="2" customFormat="1" x14ac:dyDescent="0.2">
      <c r="A373" s="2" t="s">
        <v>120</v>
      </c>
      <c r="B373" s="2" t="str">
        <f>LOWER(VLOOKUP(A373,Xtal_Templ!A:B,2,FALSE))</f>
        <v>grm5_human</v>
      </c>
      <c r="C373" s="2" t="str">
        <f>VLOOKUP(A373,Classification!A:D,2,FALSE)</f>
        <v>C</v>
      </c>
      <c r="D373" s="2" t="str">
        <f>IF(ISERROR(MATCH(A373,'SegEnds_Xtal_Prot#'!B:B, 0)), "NoXtal", "Xtal")</f>
        <v>NoXtal</v>
      </c>
      <c r="H373" s="4"/>
      <c r="U373" s="2" t="s">
        <v>1318</v>
      </c>
      <c r="V373" s="28" t="str">
        <f>MID(VLOOKUP($A373,Seqs!$A:$B,2,FALSE),VLOOKUP($A373,'SegEnds_NonXtal_Prot#'!A:AL,10,FALSE),1)</f>
        <v>I</v>
      </c>
      <c r="W373" s="49" t="str">
        <f>MID(VLOOKUP($A373,Seqs!$A:$B,2,FALSE),VLOOKUP($A373,'SegEnds_NonXtal_Prot#'!A:AL,10,FALSE)+6,1)</f>
        <v>I</v>
      </c>
      <c r="X373" s="49" t="str">
        <f>MID(VLOOKUP($A373,Seqs!$A:$B,2,FALSE),VLOOKUP($A373,'SegEnds_NonXtal_Prot#'!A:AL,10,FALSE)+7,1)</f>
        <v>T</v>
      </c>
      <c r="Y373" s="49" t="str">
        <f>MID(VLOOKUP($A373,Seqs!$A:$B,2,FALSE),VLOOKUP($A373,'SegEnds_NonXtal_Prot#'!A:AL,10,FALSE)+8,1)</f>
        <v>F</v>
      </c>
      <c r="Z373" s="49" t="str">
        <f>MID(VLOOKUP($A373,Seqs!$A:$B,2,FALSE),VLOOKUP($A373,'SegEnds_NonXtal_Prot#'!A:AL,10,FALSE)+9,1)</f>
        <v>L</v>
      </c>
      <c r="AA373" s="49" t="str">
        <f>MID(VLOOKUP($A373,Seqs!$A:$B,2,FALSE),VLOOKUP($A373,'SegEnds_NonXtal_Prot#'!A:AL,10,FALSE)+10,1)</f>
        <v>M</v>
      </c>
      <c r="AB373" s="28" t="str">
        <f>MID(VLOOKUP($A373,Seqs!$A:$B,2,FALSE),VLOOKUP($A373,'SegEnds_NonXtal_Prot#'!$A:$AL,22,FALSE)+6,1)</f>
        <v>G</v>
      </c>
      <c r="AC373" s="49" t="str">
        <f>MID(VLOOKUP($A373,Seqs!$A:$B,2,FALSE),VLOOKUP($A373,'SegEnds_NonXtal_Prot#'!$A:$AL,22,FALSE)+7,1)</f>
        <v>V</v>
      </c>
      <c r="AD373" s="49" t="str">
        <f>MID(VLOOKUP($A373,Seqs!$A:$B,2,FALSE),VLOOKUP($A373,'SegEnds_NonXtal_Prot#'!$A:$AL,22,FALSE)+8,1)</f>
        <v>F</v>
      </c>
      <c r="AE373" s="49" t="str">
        <f>MID(VLOOKUP($A373,Seqs!$A:$B,2,FALSE),VLOOKUP($A373,'SegEnds_NonXtal_Prot#'!$A:$AL,22,FALSE)+9,1)</f>
        <v>V</v>
      </c>
      <c r="AF373" s="49" t="str">
        <f>MID(VLOOKUP($A373,Seqs!$A:$B,2,FALSE),VLOOKUP($A373,'SegEnds_NonXtal_Prot#'!$A:$AL,22,FALSE)+10,1)</f>
        <v>W</v>
      </c>
      <c r="AG373" s="28" t="str">
        <f>MID(VLOOKUP($A373,Seqs!$A:$B,2,FALSE),VLOOKUP($A373,'SegEnds_NonXtal_Prot#'!$A:$AL,28,FALSE)-4,1)</f>
        <v>Y</v>
      </c>
      <c r="AH373" s="49" t="str">
        <f>MID(VLOOKUP($A373,Seqs!$A:$B,2,FALSE),VLOOKUP($A373,'SegEnds_NonXtal_Prot#'!$A:$AL,28,FALSE),1)</f>
        <v>L</v>
      </c>
    </row>
    <row r="374" spans="1:34" s="2" customFormat="1" x14ac:dyDescent="0.2">
      <c r="A374" s="2" t="s">
        <v>440</v>
      </c>
      <c r="B374" s="2" t="str">
        <f>LOWER(VLOOKUP(A374,Xtal_Templ!A:B,2,FALSE))</f>
        <v>fzd4_human</v>
      </c>
      <c r="C374" s="2" t="str">
        <f>VLOOKUP(A374,Classification!A:D,2,FALSE)</f>
        <v>F</v>
      </c>
      <c r="D374" s="2" t="str">
        <f>IF(ISERROR(MATCH(A374,'SegEnds_Xtal_Prot#'!B:B, 0)), "NoXtal", "Xtal")</f>
        <v>NoXtal</v>
      </c>
      <c r="H374" s="4"/>
      <c r="P374" s="2" t="s">
        <v>1317</v>
      </c>
      <c r="V374" s="28" t="str">
        <f>MID(VLOOKUP($A374,Seqs!$A:$B,2,FALSE),VLOOKUP($A374,'SegEnds_NonXtal_Prot#'!A:AL,10,FALSE),1)</f>
        <v>G</v>
      </c>
      <c r="W374" s="49" t="str">
        <f>MID(VLOOKUP($A374,Seqs!$A:$B,2,FALSE),VLOOKUP($A374,'SegEnds_NonXtal_Prot#'!A:AL,10,FALSE)+6,1)</f>
        <v>A</v>
      </c>
      <c r="X374" s="49" t="str">
        <f>MID(VLOOKUP($A374,Seqs!$A:$B,2,FALSE),VLOOKUP($A374,'SegEnds_NonXtal_Prot#'!A:AL,10,FALSE)+7,1)</f>
        <v>V</v>
      </c>
      <c r="Y374" s="49" t="str">
        <f>MID(VLOOKUP($A374,Seqs!$A:$B,2,FALSE),VLOOKUP($A374,'SegEnds_NonXtal_Prot#'!A:AL,10,FALSE)+8,1)</f>
        <v>A</v>
      </c>
      <c r="Z374" s="49" t="str">
        <f>MID(VLOOKUP($A374,Seqs!$A:$B,2,FALSE),VLOOKUP($A374,'SegEnds_NonXtal_Prot#'!A:AL,10,FALSE)+9,1)</f>
        <v>Y</v>
      </c>
      <c r="AA374" s="49" t="str">
        <f>MID(VLOOKUP($A374,Seqs!$A:$B,2,FALSE),VLOOKUP($A374,'SegEnds_NonXtal_Prot#'!A:AL,10,FALSE)+10,1)</f>
        <v>I</v>
      </c>
      <c r="AB374" s="28" t="str">
        <f>MID(VLOOKUP($A374,Seqs!$A:$B,2,FALSE),VLOOKUP($A374,'SegEnds_NonXtal_Prot#'!$A:$AL,22,FALSE)+6,1)</f>
        <v>K</v>
      </c>
      <c r="AC374" s="49" t="str">
        <f>MID(VLOOKUP($A374,Seqs!$A:$B,2,FALSE),VLOOKUP($A374,'SegEnds_NonXtal_Prot#'!$A:$AL,22,FALSE)+7,1)</f>
        <v>T</v>
      </c>
      <c r="AD374" s="49" t="str">
        <f>MID(VLOOKUP($A374,Seqs!$A:$B,2,FALSE),VLOOKUP($A374,'SegEnds_NonXtal_Prot#'!$A:$AL,22,FALSE)+8,1)</f>
        <v>I</v>
      </c>
      <c r="AE374" s="49" t="str">
        <f>MID(VLOOKUP($A374,Seqs!$A:$B,2,FALSE),VLOOKUP($A374,'SegEnds_NonXtal_Prot#'!$A:$AL,22,FALSE)+9,1)</f>
        <v>T</v>
      </c>
      <c r="AF374" s="49" t="str">
        <f>MID(VLOOKUP($A374,Seqs!$A:$B,2,FALSE),VLOOKUP($A374,'SegEnds_NonXtal_Prot#'!$A:$AL,22,FALSE)+10,1)</f>
        <v>I</v>
      </c>
      <c r="AG374" s="28" t="str">
        <f>MID(VLOOKUP($A374,Seqs!$A:$B,2,FALSE),VLOOKUP($A374,'SegEnds_NonXtal_Prot#'!$A:$AL,28,FALSE)-4,1)</f>
        <v>P</v>
      </c>
      <c r="AH374" s="49" t="str">
        <f>MID(VLOOKUP($A374,Seqs!$A:$B,2,FALSE),VLOOKUP($A374,'SegEnds_NonXtal_Prot#'!$A:$AL,28,FALSE),1)</f>
        <v>Y</v>
      </c>
    </row>
    <row r="375" spans="1:34" s="2" customFormat="1" x14ac:dyDescent="0.2">
      <c r="A375" s="2" t="s">
        <v>441</v>
      </c>
      <c r="B375" s="2" t="str">
        <f>LOWER(VLOOKUP(A375,Xtal_Templ!A:B,2,FALSE))</f>
        <v>fzd4_human</v>
      </c>
      <c r="C375" s="2" t="str">
        <f>VLOOKUP(A375,Classification!A:D,2,FALSE)</f>
        <v>F</v>
      </c>
      <c r="D375" s="2" t="str">
        <f>IF(ISERROR(MATCH(A375,'SegEnds_Xtal_Prot#'!B:B, 0)), "NoXtal", "Xtal")</f>
        <v>NoXtal</v>
      </c>
      <c r="H375" s="4"/>
      <c r="P375" s="2" t="s">
        <v>1317</v>
      </c>
      <c r="V375" s="28" t="str">
        <f>MID(VLOOKUP($A375,Seqs!$A:$B,2,FALSE),VLOOKUP($A375,'SegEnds_NonXtal_Prot#'!A:AL,10,FALSE),1)</f>
        <v>M</v>
      </c>
      <c r="W375" s="49" t="str">
        <f>MID(VLOOKUP($A375,Seqs!$A:$B,2,FALSE),VLOOKUP($A375,'SegEnds_NonXtal_Prot#'!A:AL,10,FALSE)+6,1)</f>
        <v>S</v>
      </c>
      <c r="X375" s="49" t="str">
        <f>MID(VLOOKUP($A375,Seqs!$A:$B,2,FALSE),VLOOKUP($A375,'SegEnds_NonXtal_Prot#'!A:AL,10,FALSE)+7,1)</f>
        <v>V</v>
      </c>
      <c r="Y375" s="49" t="str">
        <f>MID(VLOOKUP($A375,Seqs!$A:$B,2,FALSE),VLOOKUP($A375,'SegEnds_NonXtal_Prot#'!A:AL,10,FALSE)+8,1)</f>
        <v>G</v>
      </c>
      <c r="Z375" s="49" t="str">
        <f>MID(VLOOKUP($A375,Seqs!$A:$B,2,FALSE),VLOOKUP($A375,'SegEnds_NonXtal_Prot#'!A:AL,10,FALSE)+9,1)</f>
        <v>Y</v>
      </c>
      <c r="AA375" s="49" t="str">
        <f>MID(VLOOKUP($A375,Seqs!$A:$B,2,FALSE),VLOOKUP($A375,'SegEnds_NonXtal_Prot#'!A:AL,10,FALSE)+10,1)</f>
        <v>L</v>
      </c>
      <c r="AB375" s="28" t="str">
        <f>MID(VLOOKUP($A375,Seqs!$A:$B,2,FALSE),VLOOKUP($A375,'SegEnds_NonXtal_Prot#'!$A:$AL,22,FALSE)+6,1)</f>
        <v>K</v>
      </c>
      <c r="AC375" s="49" t="str">
        <f>MID(VLOOKUP($A375,Seqs!$A:$B,2,FALSE),VLOOKUP($A375,'SegEnds_NonXtal_Prot#'!$A:$AL,22,FALSE)+7,1)</f>
        <v>T</v>
      </c>
      <c r="AD375" s="49" t="str">
        <f>MID(VLOOKUP($A375,Seqs!$A:$B,2,FALSE),VLOOKUP($A375,'SegEnds_NonXtal_Prot#'!$A:$AL,22,FALSE)+8,1)</f>
        <v>I</v>
      </c>
      <c r="AE375" s="49" t="str">
        <f>MID(VLOOKUP($A375,Seqs!$A:$B,2,FALSE),VLOOKUP($A375,'SegEnds_NonXtal_Prot#'!$A:$AL,22,FALSE)+9,1)</f>
        <v>L</v>
      </c>
      <c r="AF375" s="49" t="str">
        <f>MID(VLOOKUP($A375,Seqs!$A:$B,2,FALSE),VLOOKUP($A375,'SegEnds_NonXtal_Prot#'!$A:$AL,22,FALSE)+10,1)</f>
        <v>I</v>
      </c>
      <c r="AG375" s="28" t="str">
        <f>MID(VLOOKUP($A375,Seqs!$A:$B,2,FALSE),VLOOKUP($A375,'SegEnds_NonXtal_Prot#'!$A:$AL,28,FALSE)-4,1)</f>
        <v>P</v>
      </c>
      <c r="AH375" s="49" t="str">
        <f>MID(VLOOKUP($A375,Seqs!$A:$B,2,FALSE),VLOOKUP($A375,'SegEnds_NonXtal_Prot#'!$A:$AL,28,FALSE),1)</f>
        <v>Y</v>
      </c>
    </row>
    <row r="376" spans="1:34" s="2" customFormat="1" x14ac:dyDescent="0.2">
      <c r="A376" s="2" t="s">
        <v>442</v>
      </c>
      <c r="B376" s="2" t="str">
        <f>LOWER(VLOOKUP(A376,Xtal_Templ!A:B,2,FALSE))</f>
        <v>fzd4_human</v>
      </c>
      <c r="C376" s="2" t="str">
        <f>VLOOKUP(A376,Classification!A:D,2,FALSE)</f>
        <v>F</v>
      </c>
      <c r="D376" s="2" t="str">
        <f>IF(ISERROR(MATCH(A376,'SegEnds_Xtal_Prot#'!B:B, 0)), "NoXtal", "Xtal")</f>
        <v>NoXtal</v>
      </c>
      <c r="H376" s="4"/>
      <c r="P376" s="2" t="s">
        <v>1317</v>
      </c>
      <c r="V376" s="28" t="str">
        <f>MID(VLOOKUP($A376,Seqs!$A:$B,2,FALSE),VLOOKUP($A376,'SegEnds_NonXtal_Prot#'!A:AL,10,FALSE),1)</f>
        <v>G</v>
      </c>
      <c r="W376" s="49" t="str">
        <f>MID(VLOOKUP($A376,Seqs!$A:$B,2,FALSE),VLOOKUP($A376,'SegEnds_NonXtal_Prot#'!A:AL,10,FALSE)+6,1)</f>
        <v>S</v>
      </c>
      <c r="X376" s="49" t="str">
        <f>MID(VLOOKUP($A376,Seqs!$A:$B,2,FALSE),VLOOKUP($A376,'SegEnds_NonXtal_Prot#'!A:AL,10,FALSE)+7,1)</f>
        <v>V</v>
      </c>
      <c r="Y376" s="49" t="str">
        <f>MID(VLOOKUP($A376,Seqs!$A:$B,2,FALSE),VLOOKUP($A376,'SegEnds_NonXtal_Prot#'!A:AL,10,FALSE)+8,1)</f>
        <v>A</v>
      </c>
      <c r="Z376" s="49" t="str">
        <f>MID(VLOOKUP($A376,Seqs!$A:$B,2,FALSE),VLOOKUP($A376,'SegEnds_NonXtal_Prot#'!A:AL,10,FALSE)+9,1)</f>
        <v>Y</v>
      </c>
      <c r="AA376" s="49" t="str">
        <f>MID(VLOOKUP($A376,Seqs!$A:$B,2,FALSE),VLOOKUP($A376,'SegEnds_NonXtal_Prot#'!A:AL,10,FALSE)+10,1)</f>
        <v>I</v>
      </c>
      <c r="AB376" s="28" t="str">
        <f>MID(VLOOKUP($A376,Seqs!$A:$B,2,FALSE),VLOOKUP($A376,'SegEnds_NonXtal_Prot#'!$A:$AL,22,FALSE)+6,1)</f>
        <v>K</v>
      </c>
      <c r="AC376" s="49" t="str">
        <f>MID(VLOOKUP($A376,Seqs!$A:$B,2,FALSE),VLOOKUP($A376,'SegEnds_NonXtal_Prot#'!$A:$AL,22,FALSE)+7,1)</f>
        <v>T</v>
      </c>
      <c r="AD376" s="49" t="str">
        <f>MID(VLOOKUP($A376,Seqs!$A:$B,2,FALSE),VLOOKUP($A376,'SegEnds_NonXtal_Prot#'!$A:$AL,22,FALSE)+8,1)</f>
        <v>I</v>
      </c>
      <c r="AE376" s="49" t="str">
        <f>MID(VLOOKUP($A376,Seqs!$A:$B,2,FALSE),VLOOKUP($A376,'SegEnds_NonXtal_Prot#'!$A:$AL,22,FALSE)+9,1)</f>
        <v>T</v>
      </c>
      <c r="AF376" s="49" t="str">
        <f>MID(VLOOKUP($A376,Seqs!$A:$B,2,FALSE),VLOOKUP($A376,'SegEnds_NonXtal_Prot#'!$A:$AL,22,FALSE)+10,1)</f>
        <v>I</v>
      </c>
      <c r="AG376" s="28" t="str">
        <f>MID(VLOOKUP($A376,Seqs!$A:$B,2,FALSE),VLOOKUP($A376,'SegEnds_NonXtal_Prot#'!$A:$AL,28,FALSE)-4,1)</f>
        <v>P</v>
      </c>
      <c r="AH376" s="49" t="str">
        <f>MID(VLOOKUP($A376,Seqs!$A:$B,2,FALSE),VLOOKUP($A376,'SegEnds_NonXtal_Prot#'!$A:$AL,28,FALSE),1)</f>
        <v>Y</v>
      </c>
    </row>
    <row r="377" spans="1:34" s="2" customFormat="1" x14ac:dyDescent="0.2">
      <c r="A377" s="2" t="s">
        <v>443</v>
      </c>
      <c r="B377" s="2" t="str">
        <f>LOWER(VLOOKUP(A377,Xtal_Templ!A:B,2,FALSE))</f>
        <v>fzd4_human</v>
      </c>
      <c r="C377" s="2" t="str">
        <f>VLOOKUP(A377,Classification!A:D,2,FALSE)</f>
        <v>F</v>
      </c>
      <c r="D377" s="2" t="str">
        <f>IF(ISERROR(MATCH(A377,'SegEnds_Xtal_Prot#'!B:B, 0)), "NoXtal", "Xtal")</f>
        <v>NoXtal</v>
      </c>
      <c r="H377" s="4"/>
      <c r="P377" s="2" t="s">
        <v>1317</v>
      </c>
      <c r="V377" s="28" t="str">
        <f>MID(VLOOKUP($A377,Seqs!$A:$B,2,FALSE),VLOOKUP($A377,'SegEnds_NonXtal_Prot#'!A:AL,10,FALSE),1)</f>
        <v>V</v>
      </c>
      <c r="W377" s="49" t="str">
        <f>MID(VLOOKUP($A377,Seqs!$A:$B,2,FALSE),VLOOKUP($A377,'SegEnds_NonXtal_Prot#'!A:AL,10,FALSE)+6,1)</f>
        <v>S</v>
      </c>
      <c r="X377" s="49" t="str">
        <f>MID(VLOOKUP($A377,Seqs!$A:$B,2,FALSE),VLOOKUP($A377,'SegEnds_NonXtal_Prot#'!A:AL,10,FALSE)+7,1)</f>
        <v>L</v>
      </c>
      <c r="Y377" s="49" t="str">
        <f>MID(VLOOKUP($A377,Seqs!$A:$B,2,FALSE),VLOOKUP($A377,'SegEnds_NonXtal_Prot#'!A:AL,10,FALSE)+8,1)</f>
        <v>I</v>
      </c>
      <c r="Z377" s="49" t="str">
        <f>MID(VLOOKUP($A377,Seqs!$A:$B,2,FALSE),VLOOKUP($A377,'SegEnds_NonXtal_Prot#'!A:AL,10,FALSE)+9,1)</f>
        <v>F</v>
      </c>
      <c r="AA377" s="49" t="str">
        <f>MID(VLOOKUP($A377,Seqs!$A:$B,2,FALSE),VLOOKUP($A377,'SegEnds_NonXtal_Prot#'!A:AL,10,FALSE)+10,1)</f>
        <v>F</v>
      </c>
      <c r="AB377" s="28" t="str">
        <f>MID(VLOOKUP($A377,Seqs!$A:$B,2,FALSE),VLOOKUP($A377,'SegEnds_NonXtal_Prot#'!$A:$AL,22,FALSE)+6,1)</f>
        <v>L</v>
      </c>
      <c r="AC377" s="49" t="str">
        <f>MID(VLOOKUP($A377,Seqs!$A:$B,2,FALSE),VLOOKUP($A377,'SegEnds_NonXtal_Prot#'!$A:$AL,22,FALSE)+7,1)</f>
        <v>T</v>
      </c>
      <c r="AD377" s="49" t="str">
        <f>MID(VLOOKUP($A377,Seqs!$A:$B,2,FALSE),VLOOKUP($A377,'SegEnds_NonXtal_Prot#'!$A:$AL,22,FALSE)+8,1)</f>
        <v>I</v>
      </c>
      <c r="AE377" s="49" t="str">
        <f>MID(VLOOKUP($A377,Seqs!$A:$B,2,FALSE),VLOOKUP($A377,'SegEnds_NonXtal_Prot#'!$A:$AL,22,FALSE)+9,1)</f>
        <v>I</v>
      </c>
      <c r="AF377" s="49" t="str">
        <f>MID(VLOOKUP($A377,Seqs!$A:$B,2,FALSE),VLOOKUP($A377,'SegEnds_NonXtal_Prot#'!$A:$AL,22,FALSE)+10,1)</f>
        <v>L</v>
      </c>
      <c r="AG377" s="28" t="str">
        <f>MID(VLOOKUP($A377,Seqs!$A:$B,2,FALSE),VLOOKUP($A377,'SegEnds_NonXtal_Prot#'!$A:$AL,28,FALSE)-4,1)</f>
        <v>P</v>
      </c>
      <c r="AH377" s="49" t="str">
        <f>MID(VLOOKUP($A377,Seqs!$A:$B,2,FALSE),VLOOKUP($A377,'SegEnds_NonXtal_Prot#'!$A:$AL,28,FALSE),1)</f>
        <v>Y</v>
      </c>
    </row>
    <row r="378" spans="1:34" s="2" customFormat="1" x14ac:dyDescent="0.2">
      <c r="A378" s="2" t="s">
        <v>444</v>
      </c>
      <c r="B378" s="2" t="str">
        <f>LOWER(VLOOKUP(A378,Xtal_Templ!A:B,2,FALSE))</f>
        <v>fzd4_human</v>
      </c>
      <c r="C378" s="2" t="str">
        <f>VLOOKUP(A378,Classification!A:D,2,FALSE)</f>
        <v>F</v>
      </c>
      <c r="D378" s="2" t="str">
        <f>IF(ISERROR(MATCH(A378,'SegEnds_Xtal_Prot#'!B:B, 0)), "NoXtal", "Xtal")</f>
        <v>Xtal</v>
      </c>
      <c r="H378" s="4"/>
      <c r="P378" s="2" t="s">
        <v>1317</v>
      </c>
      <c r="V378" s="28" t="str">
        <f>MID(VLOOKUP($A378,Seqs!$A:$B,2,FALSE),VLOOKUP($A378,'SegEnds_NonXtal_Prot#'!A:AL,10,FALSE),1)</f>
        <v>M</v>
      </c>
      <c r="W378" s="49" t="str">
        <f>MID(VLOOKUP($A378,Seqs!$A:$B,2,FALSE),VLOOKUP($A378,'SegEnds_NonXtal_Prot#'!A:AL,10,FALSE)+6,1)</f>
        <v>S</v>
      </c>
      <c r="X378" s="49" t="str">
        <f>MID(VLOOKUP($A378,Seqs!$A:$B,2,FALSE),VLOOKUP($A378,'SegEnds_NonXtal_Prot#'!A:AL,10,FALSE)+7,1)</f>
        <v>I</v>
      </c>
      <c r="Y378" s="49" t="str">
        <f>MID(VLOOKUP($A378,Seqs!$A:$B,2,FALSE),VLOOKUP($A378,'SegEnds_NonXtal_Prot#'!A:AL,10,FALSE)+8,1)</f>
        <v>A</v>
      </c>
      <c r="Z378" s="49" t="str">
        <f>MID(VLOOKUP($A378,Seqs!$A:$B,2,FALSE),VLOOKUP($A378,'SegEnds_NonXtal_Prot#'!A:AL,10,FALSE)+9,1)</f>
        <v>Y</v>
      </c>
      <c r="AA378" s="49" t="str">
        <f>MID(VLOOKUP($A378,Seqs!$A:$B,2,FALSE),VLOOKUP($A378,'SegEnds_NonXtal_Prot#'!A:AL,10,FALSE)+10,1)</f>
        <v>I</v>
      </c>
      <c r="AB378" s="28" t="str">
        <f>MID(VLOOKUP($A378,Seqs!$A:$B,2,FALSE),VLOOKUP($A378,'SegEnds_NonXtal_Prot#'!$A:$AL,22,FALSE)+6,1)</f>
        <v>K</v>
      </c>
      <c r="AC378" s="49" t="str">
        <f>MID(VLOOKUP($A378,Seqs!$A:$B,2,FALSE),VLOOKUP($A378,'SegEnds_NonXtal_Prot#'!$A:$AL,22,FALSE)+7,1)</f>
        <v>T</v>
      </c>
      <c r="AD378" s="49" t="str">
        <f>MID(VLOOKUP($A378,Seqs!$A:$B,2,FALSE),VLOOKUP($A378,'SegEnds_NonXtal_Prot#'!$A:$AL,22,FALSE)+8,1)</f>
        <v>I</v>
      </c>
      <c r="AE378" s="49" t="str">
        <f>MID(VLOOKUP($A378,Seqs!$A:$B,2,FALSE),VLOOKUP($A378,'SegEnds_NonXtal_Prot#'!$A:$AL,22,FALSE)+9,1)</f>
        <v>V</v>
      </c>
      <c r="AF378" s="49" t="str">
        <f>MID(VLOOKUP($A378,Seqs!$A:$B,2,FALSE),VLOOKUP($A378,'SegEnds_NonXtal_Prot#'!$A:$AL,22,FALSE)+10,1)</f>
        <v>I</v>
      </c>
      <c r="AG378" s="28" t="str">
        <f>MID(VLOOKUP($A378,Seqs!$A:$B,2,FALSE),VLOOKUP($A378,'SegEnds_NonXtal_Prot#'!$A:$AL,28,FALSE)-4,1)</f>
        <v>P</v>
      </c>
      <c r="AH378" s="49" t="str">
        <f>MID(VLOOKUP($A378,Seqs!$A:$B,2,FALSE),VLOOKUP($A378,'SegEnds_NonXtal_Prot#'!$A:$AL,28,FALSE),1)</f>
        <v>Y</v>
      </c>
    </row>
    <row r="379" spans="1:34" s="2" customFormat="1" x14ac:dyDescent="0.2">
      <c r="A379" s="2" t="s">
        <v>445</v>
      </c>
      <c r="B379" s="2" t="str">
        <f>LOWER(VLOOKUP(A379,Xtal_Templ!A:B,2,FALSE))</f>
        <v>fzd4_human</v>
      </c>
      <c r="C379" s="2" t="str">
        <f>VLOOKUP(A379,Classification!A:D,2,FALSE)</f>
        <v>F</v>
      </c>
      <c r="D379" s="2" t="str">
        <f>IF(ISERROR(MATCH(A379,'SegEnds_Xtal_Prot#'!B:B, 0)), "NoXtal", "Xtal")</f>
        <v>NoXtal</v>
      </c>
      <c r="H379" s="4"/>
      <c r="P379" s="2" t="s">
        <v>1317</v>
      </c>
      <c r="V379" s="28" t="str">
        <f>MID(VLOOKUP($A379,Seqs!$A:$B,2,FALSE),VLOOKUP($A379,'SegEnds_NonXtal_Prot#'!A:AL,10,FALSE),1)</f>
        <v>A</v>
      </c>
      <c r="W379" s="49" t="str">
        <f>MID(VLOOKUP($A379,Seqs!$A:$B,2,FALSE),VLOOKUP($A379,'SegEnds_NonXtal_Prot#'!A:AL,10,FALSE)+6,1)</f>
        <v>S</v>
      </c>
      <c r="X379" s="49" t="str">
        <f>MID(VLOOKUP($A379,Seqs!$A:$B,2,FALSE),VLOOKUP($A379,'SegEnds_NonXtal_Prot#'!A:AL,10,FALSE)+7,1)</f>
        <v>L</v>
      </c>
      <c r="Y379" s="49" t="str">
        <f>MID(VLOOKUP($A379,Seqs!$A:$B,2,FALSE),VLOOKUP($A379,'SegEnds_NonXtal_Prot#'!A:AL,10,FALSE)+8,1)</f>
        <v>G</v>
      </c>
      <c r="Z379" s="49" t="str">
        <f>MID(VLOOKUP($A379,Seqs!$A:$B,2,FALSE),VLOOKUP($A379,'SegEnds_NonXtal_Prot#'!A:AL,10,FALSE)+9,1)</f>
        <v>F</v>
      </c>
      <c r="AA379" s="49" t="str">
        <f>MID(VLOOKUP($A379,Seqs!$A:$B,2,FALSE),VLOOKUP($A379,'SegEnds_NonXtal_Prot#'!A:AL,10,FALSE)+10,1)</f>
        <v>L</v>
      </c>
      <c r="AB379" s="28" t="str">
        <f>MID(VLOOKUP($A379,Seqs!$A:$B,2,FALSE),VLOOKUP($A379,'SegEnds_NonXtal_Prot#'!$A:$AL,22,FALSE)+6,1)</f>
        <v>K</v>
      </c>
      <c r="AC379" s="49" t="str">
        <f>MID(VLOOKUP($A379,Seqs!$A:$B,2,FALSE),VLOOKUP($A379,'SegEnds_NonXtal_Prot#'!$A:$AL,22,FALSE)+7,1)</f>
        <v>S</v>
      </c>
      <c r="AD379" s="49" t="str">
        <f>MID(VLOOKUP($A379,Seqs!$A:$B,2,FALSE),VLOOKUP($A379,'SegEnds_NonXtal_Prot#'!$A:$AL,22,FALSE)+8,1)</f>
        <v>I</v>
      </c>
      <c r="AE379" s="49" t="str">
        <f>MID(VLOOKUP($A379,Seqs!$A:$B,2,FALSE),VLOOKUP($A379,'SegEnds_NonXtal_Prot#'!$A:$AL,22,FALSE)+9,1)</f>
        <v>T</v>
      </c>
      <c r="AF379" s="49" t="str">
        <f>MID(VLOOKUP($A379,Seqs!$A:$B,2,FALSE),VLOOKUP($A379,'SegEnds_NonXtal_Prot#'!$A:$AL,22,FALSE)+10,1)</f>
        <v>A</v>
      </c>
      <c r="AG379" s="28" t="str">
        <f>MID(VLOOKUP($A379,Seqs!$A:$B,2,FALSE),VLOOKUP($A379,'SegEnds_NonXtal_Prot#'!$A:$AL,28,FALSE)-4,1)</f>
        <v>P</v>
      </c>
      <c r="AH379" s="49" t="str">
        <f>MID(VLOOKUP($A379,Seqs!$A:$B,2,FALSE),VLOOKUP($A379,'SegEnds_NonXtal_Prot#'!$A:$AL,28,FALSE),1)</f>
        <v>Y</v>
      </c>
    </row>
    <row r="380" spans="1:34" s="2" customFormat="1" x14ac:dyDescent="0.2">
      <c r="A380" s="2" t="s">
        <v>446</v>
      </c>
      <c r="B380" s="2" t="str">
        <f>LOWER(VLOOKUP(A380,Xtal_Templ!A:B,2,FALSE))</f>
        <v>fzd4_human</v>
      </c>
      <c r="C380" s="2" t="str">
        <f>VLOOKUP(A380,Classification!A:D,2,FALSE)</f>
        <v>F</v>
      </c>
      <c r="D380" s="2" t="str">
        <f>IF(ISERROR(MATCH(A380,'SegEnds_Xtal_Prot#'!B:B, 0)), "NoXtal", "Xtal")</f>
        <v>NoXtal</v>
      </c>
      <c r="H380" s="4"/>
      <c r="P380" s="2" t="s">
        <v>1317</v>
      </c>
      <c r="V380" s="28" t="str">
        <f>MID(VLOOKUP($A380,Seqs!$A:$B,2,FALSE),VLOOKUP($A380,'SegEnds_NonXtal_Prot#'!A:AL,10,FALSE),1)</f>
        <v>V</v>
      </c>
      <c r="W380" s="49" t="str">
        <f>MID(VLOOKUP($A380,Seqs!$A:$B,2,FALSE),VLOOKUP($A380,'SegEnds_NonXtal_Prot#'!A:AL,10,FALSE)+6,1)</f>
        <v>S</v>
      </c>
      <c r="X380" s="49" t="str">
        <f>MID(VLOOKUP($A380,Seqs!$A:$B,2,FALSE),VLOOKUP($A380,'SegEnds_NonXtal_Prot#'!A:AL,10,FALSE)+7,1)</f>
        <v>L</v>
      </c>
      <c r="Y380" s="49" t="str">
        <f>MID(VLOOKUP($A380,Seqs!$A:$B,2,FALSE),VLOOKUP($A380,'SegEnds_NonXtal_Prot#'!A:AL,10,FALSE)+8,1)</f>
        <v>M</v>
      </c>
      <c r="Z380" s="49" t="str">
        <f>MID(VLOOKUP($A380,Seqs!$A:$B,2,FALSE),VLOOKUP($A380,'SegEnds_NonXtal_Prot#'!A:AL,10,FALSE)+9,1)</f>
        <v>Y</v>
      </c>
      <c r="AA380" s="49" t="str">
        <f>MID(VLOOKUP($A380,Seqs!$A:$B,2,FALSE),VLOOKUP($A380,'SegEnds_NonXtal_Prot#'!A:AL,10,FALSE)+10,1)</f>
        <v>F</v>
      </c>
      <c r="AB380" s="28" t="str">
        <f>MID(VLOOKUP($A380,Seqs!$A:$B,2,FALSE),VLOOKUP($A380,'SegEnds_NonXtal_Prot#'!$A:$AL,22,FALSE)+6,1)</f>
        <v>L</v>
      </c>
      <c r="AC380" s="49" t="str">
        <f>MID(VLOOKUP($A380,Seqs!$A:$B,2,FALSE),VLOOKUP($A380,'SegEnds_NonXtal_Prot#'!$A:$AL,22,FALSE)+7,1)</f>
        <v>T</v>
      </c>
      <c r="AD380" s="49" t="str">
        <f>MID(VLOOKUP($A380,Seqs!$A:$B,2,FALSE),VLOOKUP($A380,'SegEnds_NonXtal_Prot#'!$A:$AL,22,FALSE)+8,1)</f>
        <v>V</v>
      </c>
      <c r="AE380" s="49" t="str">
        <f>MID(VLOOKUP($A380,Seqs!$A:$B,2,FALSE),VLOOKUP($A380,'SegEnds_NonXtal_Prot#'!$A:$AL,22,FALSE)+9,1)</f>
        <v>M</v>
      </c>
      <c r="AF380" s="49" t="str">
        <f>MID(VLOOKUP($A380,Seqs!$A:$B,2,FALSE),VLOOKUP($A380,'SegEnds_NonXtal_Prot#'!$A:$AL,22,FALSE)+10,1)</f>
        <v>L</v>
      </c>
      <c r="AG380" s="28" t="str">
        <f>MID(VLOOKUP($A380,Seqs!$A:$B,2,FALSE),VLOOKUP($A380,'SegEnds_NonXtal_Prot#'!$A:$AL,28,FALSE)-4,1)</f>
        <v>P</v>
      </c>
      <c r="AH380" s="49" t="str">
        <f>MID(VLOOKUP($A380,Seqs!$A:$B,2,FALSE),VLOOKUP($A380,'SegEnds_NonXtal_Prot#'!$A:$AL,28,FALSE),1)</f>
        <v>C</v>
      </c>
    </row>
    <row r="381" spans="1:34" s="2" customFormat="1" x14ac:dyDescent="0.2">
      <c r="A381" s="2" t="s">
        <v>447</v>
      </c>
      <c r="B381" s="2" t="str">
        <f>LOWER(VLOOKUP(A381,Xtal_Templ!A:B,2,FALSE))</f>
        <v>fzd4_human</v>
      </c>
      <c r="C381" s="2" t="str">
        <f>VLOOKUP(A381,Classification!A:D,2,FALSE)</f>
        <v>F</v>
      </c>
      <c r="D381" s="2" t="str">
        <f>IF(ISERROR(MATCH(A381,'SegEnds_Xtal_Prot#'!B:B, 0)), "NoXtal", "Xtal")</f>
        <v>NoXtal</v>
      </c>
      <c r="H381" s="4"/>
      <c r="P381" s="2" t="s">
        <v>1317</v>
      </c>
      <c r="V381" s="28" t="str">
        <f>MID(VLOOKUP($A381,Seqs!$A:$B,2,FALSE),VLOOKUP($A381,'SegEnds_NonXtal_Prot#'!A:AL,10,FALSE),1)</f>
        <v>G</v>
      </c>
      <c r="W381" s="49" t="str">
        <f>MID(VLOOKUP($A381,Seqs!$A:$B,2,FALSE),VLOOKUP($A381,'SegEnds_NonXtal_Prot#'!A:AL,10,FALSE)+6,1)</f>
        <v>A</v>
      </c>
      <c r="X381" s="49" t="str">
        <f>MID(VLOOKUP($A381,Seqs!$A:$B,2,FALSE),VLOOKUP($A381,'SegEnds_NonXtal_Prot#'!A:AL,10,FALSE)+7,1)</f>
        <v>V</v>
      </c>
      <c r="Y381" s="49" t="str">
        <f>MID(VLOOKUP($A381,Seqs!$A:$B,2,FALSE),VLOOKUP($A381,'SegEnds_NonXtal_Prot#'!A:AL,10,FALSE)+8,1)</f>
        <v>A</v>
      </c>
      <c r="Z381" s="49" t="str">
        <f>MID(VLOOKUP($A381,Seqs!$A:$B,2,FALSE),VLOOKUP($A381,'SegEnds_NonXtal_Prot#'!A:AL,10,FALSE)+9,1)</f>
        <v>H</v>
      </c>
      <c r="AA381" s="49" t="str">
        <f>MID(VLOOKUP($A381,Seqs!$A:$B,2,FALSE),VLOOKUP($A381,'SegEnds_NonXtal_Prot#'!A:AL,10,FALSE)+10,1)</f>
        <v>V</v>
      </c>
      <c r="AB381" s="28" t="str">
        <f>MID(VLOOKUP($A381,Seqs!$A:$B,2,FALSE),VLOOKUP($A381,'SegEnds_NonXtal_Prot#'!$A:$AL,22,FALSE)+6,1)</f>
        <v>K</v>
      </c>
      <c r="AC381" s="49" t="str">
        <f>MID(VLOOKUP($A381,Seqs!$A:$B,2,FALSE),VLOOKUP($A381,'SegEnds_NonXtal_Prot#'!$A:$AL,22,FALSE)+7,1)</f>
        <v>T</v>
      </c>
      <c r="AD381" s="49" t="str">
        <f>MID(VLOOKUP($A381,Seqs!$A:$B,2,FALSE),VLOOKUP($A381,'SegEnds_NonXtal_Prot#'!$A:$AL,22,FALSE)+8,1)</f>
        <v>I</v>
      </c>
      <c r="AE381" s="49" t="str">
        <f>MID(VLOOKUP($A381,Seqs!$A:$B,2,FALSE),VLOOKUP($A381,'SegEnds_NonXtal_Prot#'!$A:$AL,22,FALSE)+9,1)</f>
        <v>T</v>
      </c>
      <c r="AF381" s="49" t="str">
        <f>MID(VLOOKUP($A381,Seqs!$A:$B,2,FALSE),VLOOKUP($A381,'SegEnds_NonXtal_Prot#'!$A:$AL,22,FALSE)+10,1)</f>
        <v>I</v>
      </c>
      <c r="AG381" s="28" t="str">
        <f>MID(VLOOKUP($A381,Seqs!$A:$B,2,FALSE),VLOOKUP($A381,'SegEnds_NonXtal_Prot#'!$A:$AL,28,FALSE)-4,1)</f>
        <v>P</v>
      </c>
      <c r="AH381" s="49" t="str">
        <f>MID(VLOOKUP($A381,Seqs!$A:$B,2,FALSE),VLOOKUP($A381,'SegEnds_NonXtal_Prot#'!$A:$AL,28,FALSE),1)</f>
        <v>Y</v>
      </c>
    </row>
    <row r="382" spans="1:34" s="2" customFormat="1" x14ac:dyDescent="0.2">
      <c r="A382" s="2" t="s">
        <v>448</v>
      </c>
      <c r="B382" s="2" t="str">
        <f>LOWER(VLOOKUP(A382,Xtal_Templ!A:B,2,FALSE))</f>
        <v>fzd4_human</v>
      </c>
      <c r="C382" s="2" t="str">
        <f>VLOOKUP(A382,Classification!A:D,2,FALSE)</f>
        <v>F</v>
      </c>
      <c r="D382" s="2" t="str">
        <f>IF(ISERROR(MATCH(A382,'SegEnds_Xtal_Prot#'!B:B, 0)), "NoXtal", "Xtal")</f>
        <v>NoXtal</v>
      </c>
      <c r="H382" s="4"/>
      <c r="P382" s="2" t="s">
        <v>1317</v>
      </c>
      <c r="V382" s="28" t="str">
        <f>MID(VLOOKUP($A382,Seqs!$A:$B,2,FALSE),VLOOKUP($A382,'SegEnds_NonXtal_Prot#'!A:AL,10,FALSE),1)</f>
        <v>A</v>
      </c>
      <c r="W382" s="49" t="str">
        <f>MID(VLOOKUP($A382,Seqs!$A:$B,2,FALSE),VLOOKUP($A382,'SegEnds_NonXtal_Prot#'!A:AL,10,FALSE)+6,1)</f>
        <v>S</v>
      </c>
      <c r="X382" s="49" t="str">
        <f>MID(VLOOKUP($A382,Seqs!$A:$B,2,FALSE),VLOOKUP($A382,'SegEnds_NonXtal_Prot#'!A:AL,10,FALSE)+7,1)</f>
        <v>V</v>
      </c>
      <c r="Y382" s="49" t="str">
        <f>MID(VLOOKUP($A382,Seqs!$A:$B,2,FALSE),VLOOKUP($A382,'SegEnds_NonXtal_Prot#'!A:AL,10,FALSE)+8,1)</f>
        <v>G</v>
      </c>
      <c r="Z382" s="49" t="str">
        <f>MID(VLOOKUP($A382,Seqs!$A:$B,2,FALSE),VLOOKUP($A382,'SegEnds_NonXtal_Prot#'!A:AL,10,FALSE)+9,1)</f>
        <v>Y</v>
      </c>
      <c r="AA382" s="49" t="str">
        <f>MID(VLOOKUP($A382,Seqs!$A:$B,2,FALSE),VLOOKUP($A382,'SegEnds_NonXtal_Prot#'!A:AL,10,FALSE)+10,1)</f>
        <v>L</v>
      </c>
      <c r="AB382" s="28" t="str">
        <f>MID(VLOOKUP($A382,Seqs!$A:$B,2,FALSE),VLOOKUP($A382,'SegEnds_NonXtal_Prot#'!$A:$AL,22,FALSE)+6,1)</f>
        <v>K</v>
      </c>
      <c r="AC382" s="49" t="str">
        <f>MID(VLOOKUP($A382,Seqs!$A:$B,2,FALSE),VLOOKUP($A382,'SegEnds_NonXtal_Prot#'!$A:$AL,22,FALSE)+7,1)</f>
        <v>S</v>
      </c>
      <c r="AD382" s="49" t="str">
        <f>MID(VLOOKUP($A382,Seqs!$A:$B,2,FALSE),VLOOKUP($A382,'SegEnds_NonXtal_Prot#'!$A:$AL,22,FALSE)+8,1)</f>
        <v>I</v>
      </c>
      <c r="AE382" s="49" t="str">
        <f>MID(VLOOKUP($A382,Seqs!$A:$B,2,FALSE),VLOOKUP($A382,'SegEnds_NonXtal_Prot#'!$A:$AL,22,FALSE)+9,1)</f>
        <v>A</v>
      </c>
      <c r="AF382" s="49" t="str">
        <f>MID(VLOOKUP($A382,Seqs!$A:$B,2,FALSE),VLOOKUP($A382,'SegEnds_NonXtal_Prot#'!$A:$AL,22,FALSE)+10,1)</f>
        <v>V</v>
      </c>
      <c r="AG382" s="28" t="str">
        <f>MID(VLOOKUP($A382,Seqs!$A:$B,2,FALSE),VLOOKUP($A382,'SegEnds_NonXtal_Prot#'!$A:$AL,28,FALSE)-4,1)</f>
        <v>P</v>
      </c>
      <c r="AH382" s="49" t="str">
        <f>MID(VLOOKUP($A382,Seqs!$A:$B,2,FALSE),VLOOKUP($A382,'SegEnds_NonXtal_Prot#'!$A:$AL,28,FALSE),1)</f>
        <v>Y</v>
      </c>
    </row>
    <row r="383" spans="1:34" s="2" customFormat="1" x14ac:dyDescent="0.2">
      <c r="A383" s="2" t="s">
        <v>449</v>
      </c>
      <c r="B383" s="2" t="str">
        <f>LOWER(VLOOKUP(A383,Xtal_Templ!A:B,2,FALSE))</f>
        <v>fzd4_human</v>
      </c>
      <c r="C383" s="2" t="str">
        <f>VLOOKUP(A383,Classification!A:D,2,FALSE)</f>
        <v>F</v>
      </c>
      <c r="D383" s="2" t="str">
        <f>IF(ISERROR(MATCH(A383,'SegEnds_Xtal_Prot#'!B:B, 0)), "NoXtal", "Xtal")</f>
        <v>NoXtal</v>
      </c>
      <c r="H383" s="4"/>
      <c r="P383" s="2" t="s">
        <v>1317</v>
      </c>
      <c r="V383" s="28" t="str">
        <f>MID(VLOOKUP($A383,Seqs!$A:$B,2,FALSE),VLOOKUP($A383,'SegEnds_NonXtal_Prot#'!A:AL,10,FALSE),1)</f>
        <v>M</v>
      </c>
      <c r="W383" s="49" t="str">
        <f>MID(VLOOKUP($A383,Seqs!$A:$B,2,FALSE),VLOOKUP($A383,'SegEnds_NonXtal_Prot#'!A:AL,10,FALSE)+6,1)</f>
        <v>S</v>
      </c>
      <c r="X383" s="49" t="str">
        <f>MID(VLOOKUP($A383,Seqs!$A:$B,2,FALSE),VLOOKUP($A383,'SegEnds_NonXtal_Prot#'!A:AL,10,FALSE)+7,1)</f>
        <v>L</v>
      </c>
      <c r="Y383" s="49" t="str">
        <f>MID(VLOOKUP($A383,Seqs!$A:$B,2,FALSE),VLOOKUP($A383,'SegEnds_NonXtal_Prot#'!A:AL,10,FALSE)+8,1)</f>
        <v>A</v>
      </c>
      <c r="Z383" s="49" t="str">
        <f>MID(VLOOKUP($A383,Seqs!$A:$B,2,FALSE),VLOOKUP($A383,'SegEnds_NonXtal_Prot#'!A:AL,10,FALSE)+9,1)</f>
        <v>F</v>
      </c>
      <c r="AA383" s="49" t="str">
        <f>MID(VLOOKUP($A383,Seqs!$A:$B,2,FALSE),VLOOKUP($A383,'SegEnds_NonXtal_Prot#'!A:AL,10,FALSE)+10,1)</f>
        <v>L</v>
      </c>
      <c r="AB383" s="28" t="str">
        <f>MID(VLOOKUP($A383,Seqs!$A:$B,2,FALSE),VLOOKUP($A383,'SegEnds_NonXtal_Prot#'!$A:$AL,22,FALSE)+6,1)</f>
        <v>K</v>
      </c>
      <c r="AC383" s="49" t="str">
        <f>MID(VLOOKUP($A383,Seqs!$A:$B,2,FALSE),VLOOKUP($A383,'SegEnds_NonXtal_Prot#'!$A:$AL,22,FALSE)+7,1)</f>
        <v>T</v>
      </c>
      <c r="AD383" s="49" t="str">
        <f>MID(VLOOKUP($A383,Seqs!$A:$B,2,FALSE),VLOOKUP($A383,'SegEnds_NonXtal_Prot#'!$A:$AL,22,FALSE)+8,1)</f>
        <v>I</v>
      </c>
      <c r="AE383" s="49" t="str">
        <f>MID(VLOOKUP($A383,Seqs!$A:$B,2,FALSE),VLOOKUP($A383,'SegEnds_NonXtal_Prot#'!$A:$AL,22,FALSE)+9,1)</f>
        <v>V</v>
      </c>
      <c r="AF383" s="49" t="str">
        <f>MID(VLOOKUP($A383,Seqs!$A:$B,2,FALSE),VLOOKUP($A383,'SegEnds_NonXtal_Prot#'!$A:$AL,22,FALSE)+10,1)</f>
        <v>I</v>
      </c>
      <c r="AG383" s="28" t="str">
        <f>MID(VLOOKUP($A383,Seqs!$A:$B,2,FALSE),VLOOKUP($A383,'SegEnds_NonXtal_Prot#'!$A:$AL,28,FALSE)-4,1)</f>
        <v>P</v>
      </c>
      <c r="AH383" s="49" t="str">
        <f>MID(VLOOKUP($A383,Seqs!$A:$B,2,FALSE),VLOOKUP($A383,'SegEnds_NonXtal_Prot#'!$A:$AL,28,FALSE),1)</f>
        <v>Y</v>
      </c>
    </row>
    <row r="384" spans="1:34" s="2" customFormat="1" x14ac:dyDescent="0.2">
      <c r="A384" s="2" t="s">
        <v>33</v>
      </c>
      <c r="B384" s="2" t="str">
        <f>LOWER(VLOOKUP(A384,Xtal_Templ!A:B,2,FALSE))</f>
        <v>smo_human</v>
      </c>
      <c r="C384" s="2" t="str">
        <f>VLOOKUP(A384,Classification!A:D,2,FALSE)</f>
        <v>F</v>
      </c>
      <c r="D384" s="2" t="str">
        <f>IF(ISERROR(MATCH(A384,'SegEnds_Xtal_Prot#'!B:B, 0)), "NoXtal", "Xtal")</f>
        <v>Xtal</v>
      </c>
      <c r="H384" s="4"/>
      <c r="P384" s="2" t="s">
        <v>1317</v>
      </c>
      <c r="V384" s="28" t="str">
        <f>MID(VLOOKUP($A384,Seqs!$A:$B,2,FALSE),VLOOKUP($A384,'SegEnds_NonXtal_Prot#'!A:AL,10,FALSE),1)</f>
        <v>A</v>
      </c>
      <c r="W384" s="49" t="str">
        <f>MID(VLOOKUP($A384,Seqs!$A:$B,2,FALSE),VLOOKUP($A384,'SegEnds_NonXtal_Prot#'!A:AL,10,FALSE)+6,1)</f>
        <v>S</v>
      </c>
      <c r="X384" s="49" t="str">
        <f>MID(VLOOKUP($A384,Seqs!$A:$B,2,FALSE),VLOOKUP($A384,'SegEnds_NonXtal_Prot#'!A:AL,10,FALSE)+7,1)</f>
        <v>I</v>
      </c>
      <c r="Y384" s="49" t="str">
        <f>MID(VLOOKUP($A384,Seqs!$A:$B,2,FALSE),VLOOKUP($A384,'SegEnds_NonXtal_Prot#'!A:AL,10,FALSE)+8,1)</f>
        <v>G</v>
      </c>
      <c r="Z384" s="49" t="str">
        <f>MID(VLOOKUP($A384,Seqs!$A:$B,2,FALSE),VLOOKUP($A384,'SegEnds_NonXtal_Prot#'!A:AL,10,FALSE)+9,1)</f>
        <v>W</v>
      </c>
      <c r="AA384" s="49" t="str">
        <f>MID(VLOOKUP($A384,Seqs!$A:$B,2,FALSE),VLOOKUP($A384,'SegEnds_NonXtal_Prot#'!A:AL,10,FALSE)+10,1)</f>
        <v>L</v>
      </c>
      <c r="AB384" s="28" t="str">
        <f>MID(VLOOKUP($A384,Seqs!$A:$B,2,FALSE),VLOOKUP($A384,'SegEnds_NonXtal_Prot#'!$A:$AL,22,FALSE)+6,1)</f>
        <v>L</v>
      </c>
      <c r="AC384" s="49" t="str">
        <f>MID(VLOOKUP($A384,Seqs!$A:$B,2,FALSE),VLOOKUP($A384,'SegEnds_NonXtal_Prot#'!$A:$AL,22,FALSE)+7,1)</f>
        <v>T</v>
      </c>
      <c r="AD384" s="49" t="str">
        <f>MID(VLOOKUP($A384,Seqs!$A:$B,2,FALSE),VLOOKUP($A384,'SegEnds_NonXtal_Prot#'!$A:$AL,22,FALSE)+8,1)</f>
        <v>V</v>
      </c>
      <c r="AE384" s="49" t="str">
        <f>MID(VLOOKUP($A384,Seqs!$A:$B,2,FALSE),VLOOKUP($A384,'SegEnds_NonXtal_Prot#'!$A:$AL,22,FALSE)+9,1)</f>
        <v>A</v>
      </c>
      <c r="AF384" s="49" t="str">
        <f>MID(VLOOKUP($A384,Seqs!$A:$B,2,FALSE),VLOOKUP($A384,'SegEnds_NonXtal_Prot#'!$A:$AL,22,FALSE)+10,1)</f>
        <v>I</v>
      </c>
      <c r="AG384" s="28" t="str">
        <f>MID(VLOOKUP($A384,Seqs!$A:$B,2,FALSE),VLOOKUP($A384,'SegEnds_NonXtal_Prot#'!$A:$AL,28,FALSE)-4,1)</f>
        <v>P</v>
      </c>
      <c r="AH384" s="49" t="str">
        <f>MID(VLOOKUP($A384,Seqs!$A:$B,2,FALSE),VLOOKUP($A384,'SegEnds_NonXtal_Prot#'!$A:$AL,28,FALSE),1)</f>
        <v>V</v>
      </c>
    </row>
    <row r="385" spans="1:34" s="2" customFormat="1" x14ac:dyDescent="0.2">
      <c r="A385" s="2" t="s">
        <v>1588</v>
      </c>
      <c r="B385" s="2" t="str">
        <f>LOWER(VLOOKUP(A385,Xtal_Templ!A:B,2,FALSE))</f>
        <v>smo_mouse</v>
      </c>
      <c r="C385" s="2" t="str">
        <f>VLOOKUP(A385,Classification!A:D,2,FALSE)</f>
        <v>F</v>
      </c>
      <c r="D385" s="2" t="str">
        <f>IF(ISERROR(MATCH(A385,'SegEnds_Xtal_Prot#'!B:B, 0)), "NoXtal", "Xtal")</f>
        <v>Xtal</v>
      </c>
      <c r="H385" s="4"/>
      <c r="P385" s="2" t="s">
        <v>1317</v>
      </c>
      <c r="V385" s="28" t="str">
        <f>MID(VLOOKUP($A385,Seqs!$A:$B,2,FALSE),VLOOKUP($A385,'SegEnds_NonXtal_Prot#'!A:AL,10,FALSE),1)</f>
        <v>A</v>
      </c>
      <c r="W385" s="49" t="str">
        <f>MID(VLOOKUP($A385,Seqs!$A:$B,2,FALSE),VLOOKUP($A385,'SegEnds_NonXtal_Prot#'!A:AL,10,FALSE)+6,1)</f>
        <v>S</v>
      </c>
      <c r="X385" s="49" t="str">
        <f>MID(VLOOKUP($A385,Seqs!$A:$B,2,FALSE),VLOOKUP($A385,'SegEnds_NonXtal_Prot#'!A:AL,10,FALSE)+7,1)</f>
        <v>I</v>
      </c>
      <c r="Y385" s="49" t="str">
        <f>MID(VLOOKUP($A385,Seqs!$A:$B,2,FALSE),VLOOKUP($A385,'SegEnds_NonXtal_Prot#'!A:AL,10,FALSE)+8,1)</f>
        <v>G</v>
      </c>
      <c r="Z385" s="49" t="str">
        <f>MID(VLOOKUP($A385,Seqs!$A:$B,2,FALSE),VLOOKUP($A385,'SegEnds_NonXtal_Prot#'!A:AL,10,FALSE)+9,1)</f>
        <v>W</v>
      </c>
      <c r="AA385" s="49" t="str">
        <f>MID(VLOOKUP($A385,Seqs!$A:$B,2,FALSE),VLOOKUP($A385,'SegEnds_NonXtal_Prot#'!A:AL,10,FALSE)+10,1)</f>
        <v>L</v>
      </c>
      <c r="AB385" s="28" t="str">
        <f>MID(VLOOKUP($A385,Seqs!$A:$B,2,FALSE),VLOOKUP($A385,'SegEnds_NonXtal_Prot#'!$A:$AL,22,FALSE)+6,1)</f>
        <v>L</v>
      </c>
      <c r="AC385" s="49" t="str">
        <f>MID(VLOOKUP($A385,Seqs!$A:$B,2,FALSE),VLOOKUP($A385,'SegEnds_NonXtal_Prot#'!$A:$AL,22,FALSE)+7,1)</f>
        <v>T</v>
      </c>
      <c r="AD385" s="49" t="str">
        <f>MID(VLOOKUP($A385,Seqs!$A:$B,2,FALSE),VLOOKUP($A385,'SegEnds_NonXtal_Prot#'!$A:$AL,22,FALSE)+8,1)</f>
        <v>V</v>
      </c>
      <c r="AE385" s="49" t="str">
        <f>MID(VLOOKUP($A385,Seqs!$A:$B,2,FALSE),VLOOKUP($A385,'SegEnds_NonXtal_Prot#'!$A:$AL,22,FALSE)+9,1)</f>
        <v>A</v>
      </c>
      <c r="AF385" s="49" t="str">
        <f>MID(VLOOKUP($A385,Seqs!$A:$B,2,FALSE),VLOOKUP($A385,'SegEnds_NonXtal_Prot#'!$A:$AL,22,FALSE)+10,1)</f>
        <v>I</v>
      </c>
      <c r="AG385" s="28" t="str">
        <f>MID(VLOOKUP($A385,Seqs!$A:$B,2,FALSE),VLOOKUP($A385,'SegEnds_NonXtal_Prot#'!$A:$AL,28,FALSE)-4,1)</f>
        <v>P</v>
      </c>
      <c r="AH385" s="49" t="str">
        <f>MID(VLOOKUP($A385,Seqs!$A:$B,2,FALSE),VLOOKUP($A385,'SegEnds_NonXtal_Prot#'!$A:$AL,28,FALSE),1)</f>
        <v>V</v>
      </c>
    </row>
    <row r="386" spans="1:34" s="2" customFormat="1" x14ac:dyDescent="0.2">
      <c r="A386" s="2" t="s">
        <v>1489</v>
      </c>
      <c r="B386" s="2" t="str">
        <f>LOWER(VLOOKUP(A386,Xtal_Templ!A:B,2,FALSE))</f>
        <v>q98sw5_xenla</v>
      </c>
      <c r="C386" s="2" t="str">
        <f>VLOOKUP(A386,Classification!A:D,2,FALSE)</f>
        <v>F</v>
      </c>
      <c r="D386" s="2" t="str">
        <f>IF(ISERROR(MATCH(A386,'SegEnds_Xtal_Prot#'!B:B, 0)), "NoXtal", "Xtal")</f>
        <v>Xtal</v>
      </c>
      <c r="H386" s="4"/>
      <c r="P386" s="2" t="s">
        <v>1317</v>
      </c>
      <c r="V386" s="28" t="str">
        <f>MID(VLOOKUP($A386,Seqs!$A:$B,2,FALSE),VLOOKUP($A386,'SegEnds_NonXtal_Prot#'!A:AL,10,FALSE),1)</f>
        <v>A</v>
      </c>
      <c r="W386" s="49" t="str">
        <f>MID(VLOOKUP($A386,Seqs!$A:$B,2,FALSE),VLOOKUP($A386,'SegEnds_NonXtal_Prot#'!A:AL,10,FALSE)+6,1)</f>
        <v>S</v>
      </c>
      <c r="X386" s="49" t="str">
        <f>MID(VLOOKUP($A386,Seqs!$A:$B,2,FALSE),VLOOKUP($A386,'SegEnds_NonXtal_Prot#'!A:AL,10,FALSE)+7,1)</f>
        <v>I</v>
      </c>
      <c r="Y386" s="49" t="str">
        <f>MID(VLOOKUP($A386,Seqs!$A:$B,2,FALSE),VLOOKUP($A386,'SegEnds_NonXtal_Prot#'!A:AL,10,FALSE)+8,1)</f>
        <v>G</v>
      </c>
      <c r="Z386" s="49" t="str">
        <f>MID(VLOOKUP($A386,Seqs!$A:$B,2,FALSE),VLOOKUP($A386,'SegEnds_NonXtal_Prot#'!A:AL,10,FALSE)+9,1)</f>
        <v>W</v>
      </c>
      <c r="AA386" s="49" t="str">
        <f>MID(VLOOKUP($A386,Seqs!$A:$B,2,FALSE),VLOOKUP($A386,'SegEnds_NonXtal_Prot#'!A:AL,10,FALSE)+10,1)</f>
        <v>L</v>
      </c>
      <c r="AB386" s="28" t="str">
        <f>MID(VLOOKUP($A386,Seqs!$A:$B,2,FALSE),VLOOKUP($A386,'SegEnds_NonXtal_Prot#'!$A:$AL,22,FALSE)+6,1)</f>
        <v>L</v>
      </c>
      <c r="AC386" s="49" t="str">
        <f>MID(VLOOKUP($A386,Seqs!$A:$B,2,FALSE),VLOOKUP($A386,'SegEnds_NonXtal_Prot#'!$A:$AL,22,FALSE)+7,1)</f>
        <v>T</v>
      </c>
      <c r="AD386" s="49" t="str">
        <f>MID(VLOOKUP($A386,Seqs!$A:$B,2,FALSE),VLOOKUP($A386,'SegEnds_NonXtal_Prot#'!$A:$AL,22,FALSE)+8,1)</f>
        <v>V</v>
      </c>
      <c r="AE386" s="49" t="str">
        <f>MID(VLOOKUP($A386,Seqs!$A:$B,2,FALSE),VLOOKUP($A386,'SegEnds_NonXtal_Prot#'!$A:$AL,22,FALSE)+9,1)</f>
        <v>A</v>
      </c>
      <c r="AF386" s="49" t="str">
        <f>MID(VLOOKUP($A386,Seqs!$A:$B,2,FALSE),VLOOKUP($A386,'SegEnds_NonXtal_Prot#'!$A:$AL,22,FALSE)+10,1)</f>
        <v>I</v>
      </c>
      <c r="AG386" s="28" t="str">
        <f>MID(VLOOKUP($A386,Seqs!$A:$B,2,FALSE),VLOOKUP($A386,'SegEnds_NonXtal_Prot#'!$A:$AL,28,FALSE)-4,1)</f>
        <v>P</v>
      </c>
      <c r="AH386" s="49" t="str">
        <f>MID(VLOOKUP($A386,Seqs!$A:$B,2,FALSE),VLOOKUP($A386,'SegEnds_NonXtal_Prot#'!$A:$AL,28,FALSE),1)</f>
        <v>V</v>
      </c>
    </row>
    <row r="387" spans="1:34" s="2" customFormat="1" x14ac:dyDescent="0.2">
      <c r="A387" s="2" t="s">
        <v>479</v>
      </c>
      <c r="B387" s="2" t="str">
        <f>LOWER(VLOOKUP(A387,Xtal_Templ!A:B,2,FALSE))</f>
        <v>aa2ar_human</v>
      </c>
      <c r="C387" s="2" t="str">
        <f>VLOOKUP(A387,Classification!A:D,2,FALSE)</f>
        <v>O</v>
      </c>
      <c r="D387" s="2" t="str">
        <f>IF(ISERROR(MATCH(A387,'SegEnds_Xtal_Prot#'!B:B, 0)), "NoXtal", "Xtal")</f>
        <v>NoXtal</v>
      </c>
      <c r="H387" s="4"/>
      <c r="V387" s="28" t="str">
        <f>MID(VLOOKUP($A387,Seqs!$A:$B,2,FALSE),VLOOKUP($A387,'SegEnds_NonXtal_Prot#'!A:AL,10,FALSE),1)</f>
        <v>D</v>
      </c>
      <c r="W387" s="49" t="str">
        <f>MID(VLOOKUP($A387,Seqs!$A:$B,2,FALSE),VLOOKUP($A387,'SegEnds_NonXtal_Prot#'!A:AL,10,FALSE)+6,1)</f>
        <v>G</v>
      </c>
      <c r="X387" s="49" t="str">
        <f>MID(VLOOKUP($A387,Seqs!$A:$B,2,FALSE),VLOOKUP($A387,'SegEnds_NonXtal_Prot#'!A:AL,10,FALSE)+7,1)</f>
        <v>M</v>
      </c>
      <c r="Y387" s="49" t="str">
        <f>MID(VLOOKUP($A387,Seqs!$A:$B,2,FALSE),VLOOKUP($A387,'SegEnds_NonXtal_Prot#'!A:AL,10,FALSE)+8,1)</f>
        <v>V</v>
      </c>
      <c r="Z387" s="49" t="str">
        <f>MID(VLOOKUP($A387,Seqs!$A:$B,2,FALSE),VLOOKUP($A387,'SegEnds_NonXtal_Prot#'!A:AL,10,FALSE)+9,1)</f>
        <v>I</v>
      </c>
      <c r="AA387" s="49" t="str">
        <f>MID(VLOOKUP($A387,Seqs!$A:$B,2,FALSE),VLOOKUP($A387,'SegEnds_NonXtal_Prot#'!A:AL,10,FALSE)+10,1)</f>
        <v>R</v>
      </c>
      <c r="AB387" s="28" t="str">
        <f>MID(VLOOKUP($A387,Seqs!$A:$B,2,FALSE),VLOOKUP($A387,'SegEnds_NonXtal_Prot#'!$A:$AL,22,FALSE)+6,1)</f>
        <v>L</v>
      </c>
      <c r="AC387" s="49" t="str">
        <f>MID(VLOOKUP($A387,Seqs!$A:$B,2,FALSE),VLOOKUP($A387,'SegEnds_NonXtal_Prot#'!$A:$AL,22,FALSE)+7,1)</f>
        <v>C</v>
      </c>
      <c r="AD387" s="49" t="str">
        <f>MID(VLOOKUP($A387,Seqs!$A:$B,2,FALSE),VLOOKUP($A387,'SegEnds_NonXtal_Prot#'!$A:$AL,22,FALSE)+8,1)</f>
        <v>V</v>
      </c>
      <c r="AE387" s="49" t="str">
        <f>MID(VLOOKUP($A387,Seqs!$A:$B,2,FALSE),VLOOKUP($A387,'SegEnds_NonXtal_Prot#'!$A:$AL,22,FALSE)+9,1)</f>
        <v>E</v>
      </c>
      <c r="AF387" s="49" t="str">
        <f>MID(VLOOKUP($A387,Seqs!$A:$B,2,FALSE),VLOOKUP($A387,'SegEnds_NonXtal_Prot#'!$A:$AL,22,FALSE)+10,1)</f>
        <v>G</v>
      </c>
      <c r="AG387" s="28" t="str">
        <f>MID(VLOOKUP($A387,Seqs!$A:$B,2,FALSE),VLOOKUP($A387,'SegEnds_NonXtal_Prot#'!$A:$AL,28,FALSE)-4,1)</f>
        <v>T</v>
      </c>
      <c r="AH387" s="49" t="str">
        <f>MID(VLOOKUP($A387,Seqs!$A:$B,2,FALSE),VLOOKUP($A387,'SegEnds_NonXtal_Prot#'!$A:$AL,28,FALSE),1)</f>
        <v>P</v>
      </c>
    </row>
    <row r="388" spans="1:34" s="2" customFormat="1" x14ac:dyDescent="0.2">
      <c r="A388" s="2" t="s">
        <v>475</v>
      </c>
      <c r="B388" s="2" t="str">
        <f>LOWER(VLOOKUP(A388,Xtal_Templ!A:B,2,FALSE))</f>
        <v>fpr2_human</v>
      </c>
      <c r="C388" s="2" t="str">
        <f>VLOOKUP(A388,Classification!A:D,2,FALSE)</f>
        <v>O</v>
      </c>
      <c r="D388" s="2" t="str">
        <f>IF(ISERROR(MATCH(A388,'SegEnds_Xtal_Prot#'!B:B, 0)), "NoXtal", "Xtal")</f>
        <v>NoXtal</v>
      </c>
      <c r="H388" s="4"/>
      <c r="V388" s="28" t="str">
        <f>MID(VLOOKUP($A388,Seqs!$A:$B,2,FALSE),VLOOKUP($A388,'SegEnds_NonXtal_Prot#'!A:AL,10,FALSE),1)</f>
        <v>A</v>
      </c>
      <c r="W388" s="49" t="str">
        <f>MID(VLOOKUP($A388,Seqs!$A:$B,2,FALSE),VLOOKUP($A388,'SegEnds_NonXtal_Prot#'!A:AL,10,FALSE)+6,1)</f>
        <v>F</v>
      </c>
      <c r="X388" s="49" t="str">
        <f>MID(VLOOKUP($A388,Seqs!$A:$B,2,FALSE),VLOOKUP($A388,'SegEnds_NonXtal_Prot#'!A:AL,10,FALSE)+7,1)</f>
        <v>S</v>
      </c>
      <c r="Y388" s="49" t="str">
        <f>MID(VLOOKUP($A388,Seqs!$A:$B,2,FALSE),VLOOKUP($A388,'SegEnds_NonXtal_Prot#'!A:AL,10,FALSE)+8,1)</f>
        <v>F</v>
      </c>
      <c r="Z388" s="49" t="str">
        <f>MID(VLOOKUP($A388,Seqs!$A:$B,2,FALSE),VLOOKUP($A388,'SegEnds_NonXtal_Prot#'!A:AL,10,FALSE)+9,1)</f>
        <v>Y</v>
      </c>
      <c r="AA388" s="49" t="str">
        <f>MID(VLOOKUP($A388,Seqs!$A:$B,2,FALSE),VLOOKUP($A388,'SegEnds_NonXtal_Prot#'!A:AL,10,FALSE)+10,1)</f>
        <v>F</v>
      </c>
      <c r="AB388" s="28" t="str">
        <f>MID(VLOOKUP($A388,Seqs!$A:$B,2,FALSE),VLOOKUP($A388,'SegEnds_NonXtal_Prot#'!$A:$AL,22,FALSE)+6,1)</f>
        <v>A</v>
      </c>
      <c r="AC388" s="49" t="str">
        <f>MID(VLOOKUP($A388,Seqs!$A:$B,2,FALSE),VLOOKUP($A388,'SegEnds_NonXtal_Prot#'!$A:$AL,22,FALSE)+7,1)</f>
        <v>A</v>
      </c>
      <c r="AD388" s="49" t="str">
        <f>MID(VLOOKUP($A388,Seqs!$A:$B,2,FALSE),VLOOKUP($A388,'SegEnds_NonXtal_Prot#'!$A:$AL,22,FALSE)+8,1)</f>
        <v>C</v>
      </c>
      <c r="AE388" s="49" t="str">
        <f>MID(VLOOKUP($A388,Seqs!$A:$B,2,FALSE),VLOOKUP($A388,'SegEnds_NonXtal_Prot#'!$A:$AL,22,FALSE)+9,1)</f>
        <v>L</v>
      </c>
      <c r="AF388" s="49" t="str">
        <f>MID(VLOOKUP($A388,Seqs!$A:$B,2,FALSE),VLOOKUP($A388,'SegEnds_NonXtal_Prot#'!$A:$AL,22,FALSE)+10,1)</f>
        <v>C</v>
      </c>
      <c r="AG388" s="28" t="str">
        <f>MID(VLOOKUP($A388,Seqs!$A:$B,2,FALSE),VLOOKUP($A388,'SegEnds_NonXtal_Prot#'!$A:$AL,28,FALSE)-4,1)</f>
        <v>L</v>
      </c>
      <c r="AH388" s="49" t="str">
        <f>MID(VLOOKUP($A388,Seqs!$A:$B,2,FALSE),VLOOKUP($A388,'SegEnds_NonXtal_Prot#'!$A:$AL,28,FALSE),1)</f>
        <v>L</v>
      </c>
    </row>
    <row r="389" spans="1:34" s="2" customFormat="1" x14ac:dyDescent="0.2">
      <c r="A389" s="2" t="s">
        <v>478</v>
      </c>
      <c r="B389" s="2" t="str">
        <f>LOWER(VLOOKUP(A389,Xtal_Templ!A:B,2,FALSE))</f>
        <v>pe2r4_human</v>
      </c>
      <c r="C389" s="2" t="str">
        <f>VLOOKUP(A389,Classification!A:D,2,FALSE)</f>
        <v>O</v>
      </c>
      <c r="D389" s="2" t="str">
        <f>IF(ISERROR(MATCH(A389,'SegEnds_Xtal_Prot#'!B:B, 0)), "NoXtal", "Xtal")</f>
        <v>NoXtal</v>
      </c>
      <c r="H389" s="4"/>
      <c r="V389" s="28" t="str">
        <f>MID(VLOOKUP($A389,Seqs!$A:$B,2,FALSE),VLOOKUP($A389,'SegEnds_NonXtal_Prot#'!A:AL,10,FALSE),1)</f>
        <v>A</v>
      </c>
      <c r="W389" s="49" t="str">
        <f>MID(VLOOKUP($A389,Seqs!$A:$B,2,FALSE),VLOOKUP($A389,'SegEnds_NonXtal_Prot#'!A:AL,10,FALSE)+6,1)</f>
        <v>M</v>
      </c>
      <c r="X389" s="49" t="str">
        <f>MID(VLOOKUP($A389,Seqs!$A:$B,2,FALSE),VLOOKUP($A389,'SegEnds_NonXtal_Prot#'!A:AL,10,FALSE)+7,1)</f>
        <v>T</v>
      </c>
      <c r="Y389" s="49" t="str">
        <f>MID(VLOOKUP($A389,Seqs!$A:$B,2,FALSE),VLOOKUP($A389,'SegEnds_NonXtal_Prot#'!A:AL,10,FALSE)+8,1)</f>
        <v>V</v>
      </c>
      <c r="Z389" s="49" t="str">
        <f>MID(VLOOKUP($A389,Seqs!$A:$B,2,FALSE),VLOOKUP($A389,'SegEnds_NonXtal_Prot#'!A:AL,10,FALSE)+9,1)</f>
        <v>S</v>
      </c>
      <c r="AA389" s="49" t="str">
        <f>MID(VLOOKUP($A389,Seqs!$A:$B,2,FALSE),VLOOKUP($A389,'SegEnds_NonXtal_Prot#'!A:AL,10,FALSE)+10,1)</f>
        <v>T</v>
      </c>
      <c r="AB389" s="28" t="str">
        <f>MID(VLOOKUP($A389,Seqs!$A:$B,2,FALSE),VLOOKUP($A389,'SegEnds_NonXtal_Prot#'!$A:$AL,22,FALSE)+6,1)</f>
        <v>L</v>
      </c>
      <c r="AC389" s="49" t="str">
        <f>MID(VLOOKUP($A389,Seqs!$A:$B,2,FALSE),VLOOKUP($A389,'SegEnds_NonXtal_Prot#'!$A:$AL,22,FALSE)+7,1)</f>
        <v>S</v>
      </c>
      <c r="AD389" s="49" t="str">
        <f>MID(VLOOKUP($A389,Seqs!$A:$B,2,FALSE),VLOOKUP($A389,'SegEnds_NonXtal_Prot#'!$A:$AL,22,FALSE)+8,1)</f>
        <v>A</v>
      </c>
      <c r="AE389" s="49" t="str">
        <f>MID(VLOOKUP($A389,Seqs!$A:$B,2,FALSE),VLOOKUP($A389,'SegEnds_NonXtal_Prot#'!$A:$AL,22,FALSE)+9,1)</f>
        <v>E</v>
      </c>
      <c r="AF389" s="49" t="str">
        <f>MID(VLOOKUP($A389,Seqs!$A:$B,2,FALSE),VLOOKUP($A389,'SegEnds_NonXtal_Prot#'!$A:$AL,22,FALSE)+10,1)</f>
        <v>D</v>
      </c>
      <c r="AG389" s="28" t="str">
        <f>MID(VLOOKUP($A389,Seqs!$A:$B,2,FALSE),VLOOKUP($A389,'SegEnds_NonXtal_Prot#'!$A:$AL,28,FALSE)-4,1)</f>
        <v>F</v>
      </c>
      <c r="AH389" s="49" t="str">
        <f>MID(VLOOKUP($A389,Seqs!$A:$B,2,FALSE),VLOOKUP($A389,'SegEnds_NonXtal_Prot#'!$A:$AL,28,FALSE),1)</f>
        <v>S</v>
      </c>
    </row>
    <row r="390" spans="1:34" s="2" customFormat="1" x14ac:dyDescent="0.2">
      <c r="A390" s="2" t="s">
        <v>480</v>
      </c>
      <c r="B390" s="2" t="str">
        <f>LOWER(VLOOKUP(A390,Xtal_Templ!A:B,2,FALSE))</f>
        <v>5ht2c_human</v>
      </c>
      <c r="C390" s="2" t="str">
        <f>VLOOKUP(A390,Classification!A:D,2,FALSE)</f>
        <v>O</v>
      </c>
      <c r="D390" s="2" t="str">
        <f>IF(ISERROR(MATCH(A390,'SegEnds_Xtal_Prot#'!B:B, 0)), "NoXtal", "Xtal")</f>
        <v>NoXtal</v>
      </c>
      <c r="H390" s="4"/>
      <c r="V390" s="28" t="str">
        <f>MID(VLOOKUP($A390,Seqs!$A:$B,2,FALSE),VLOOKUP($A390,'SegEnds_NonXtal_Prot#'!A:AL,10,FALSE),1)</f>
        <v>D</v>
      </c>
      <c r="W390" s="49" t="str">
        <f>MID(VLOOKUP($A390,Seqs!$A:$B,2,FALSE),VLOOKUP($A390,'SegEnds_NonXtal_Prot#'!A:AL,10,FALSE)+6,1)</f>
        <v>S</v>
      </c>
      <c r="X390" s="49" t="str">
        <f>MID(VLOOKUP($A390,Seqs!$A:$B,2,FALSE),VLOOKUP($A390,'SegEnds_NonXtal_Prot#'!A:AL,10,FALSE)+7,1)</f>
        <v>Y</v>
      </c>
      <c r="Y390" s="49" t="str">
        <f>MID(VLOOKUP($A390,Seqs!$A:$B,2,FALSE),VLOOKUP($A390,'SegEnds_NonXtal_Prot#'!A:AL,10,FALSE)+8,1)</f>
        <v>F</v>
      </c>
      <c r="Z390" s="49" t="str">
        <f>MID(VLOOKUP($A390,Seqs!$A:$B,2,FALSE),VLOOKUP($A390,'SegEnds_NonXtal_Prot#'!A:AL,10,FALSE)+9,1)</f>
        <v>Y</v>
      </c>
      <c r="AA390" s="49" t="str">
        <f>MID(VLOOKUP($A390,Seqs!$A:$B,2,FALSE),VLOOKUP($A390,'SegEnds_NonXtal_Prot#'!A:AL,10,FALSE)+10,1)</f>
        <v>G</v>
      </c>
      <c r="AB390" s="28" t="str">
        <f>MID(VLOOKUP($A390,Seqs!$A:$B,2,FALSE),VLOOKUP($A390,'SegEnds_NonXtal_Prot#'!$A:$AL,22,FALSE)+6,1)</f>
        <v>A</v>
      </c>
      <c r="AC390" s="49" t="str">
        <f>MID(VLOOKUP($A390,Seqs!$A:$B,2,FALSE),VLOOKUP($A390,'SegEnds_NonXtal_Prot#'!$A:$AL,22,FALSE)+7,1)</f>
        <v>L</v>
      </c>
      <c r="AD390" s="49" t="str">
        <f>MID(VLOOKUP($A390,Seqs!$A:$B,2,FALSE),VLOOKUP($A390,'SegEnds_NonXtal_Prot#'!$A:$AL,22,FALSE)+8,1)</f>
        <v>K</v>
      </c>
      <c r="AE390" s="49" t="str">
        <f>MID(VLOOKUP($A390,Seqs!$A:$B,2,FALSE),VLOOKUP($A390,'SegEnds_NonXtal_Prot#'!$A:$AL,22,FALSE)+9,1)</f>
        <v>K</v>
      </c>
      <c r="AF390" s="49" t="str">
        <f>MID(VLOOKUP($A390,Seqs!$A:$B,2,FALSE),VLOOKUP($A390,'SegEnds_NonXtal_Prot#'!$A:$AL,22,FALSE)+10,1)</f>
        <v>I</v>
      </c>
      <c r="AG390" s="28" t="str">
        <f>MID(VLOOKUP($A390,Seqs!$A:$B,2,FALSE),VLOOKUP($A390,'SegEnds_NonXtal_Prot#'!$A:$AL,28,FALSE)-4,1)</f>
        <v>D</v>
      </c>
      <c r="AH390" s="49" t="str">
        <f>MID(VLOOKUP($A390,Seqs!$A:$B,2,FALSE),VLOOKUP($A390,'SegEnds_NonXtal_Prot#'!$A:$AL,28,FALSE),1)</f>
        <v>K</v>
      </c>
    </row>
    <row r="391" spans="1:34" s="2" customFormat="1" x14ac:dyDescent="0.2">
      <c r="A391" s="2" t="s">
        <v>476</v>
      </c>
      <c r="B391" s="2" t="str">
        <f>LOWER(VLOOKUP(A391,Xtal_Templ!A:B,2,FALSE))</f>
        <v>ste2_yeast</v>
      </c>
      <c r="C391" s="2" t="str">
        <f>VLOOKUP(A391,Classification!A:D,2,FALSE)</f>
        <v>O</v>
      </c>
      <c r="D391" s="2" t="str">
        <f>IF(ISERROR(MATCH(A391,'SegEnds_Xtal_Prot#'!B:B, 0)), "NoXtal", "Xtal")</f>
        <v>NoXtal</v>
      </c>
      <c r="H391" s="4"/>
      <c r="V391" s="28" t="str">
        <f>MID(VLOOKUP($A391,Seqs!$A:$B,2,FALSE),VLOOKUP($A391,'SegEnds_NonXtal_Prot#'!A:AL,10,FALSE),1)</f>
        <v>W</v>
      </c>
      <c r="W391" s="49" t="str">
        <f>MID(VLOOKUP($A391,Seqs!$A:$B,2,FALSE),VLOOKUP($A391,'SegEnds_NonXtal_Prot#'!A:AL,10,FALSE)+6,1)</f>
        <v>K</v>
      </c>
      <c r="X391" s="49" t="str">
        <f>MID(VLOOKUP($A391,Seqs!$A:$B,2,FALSE),VLOOKUP($A391,'SegEnds_NonXtal_Prot#'!A:AL,10,FALSE)+7,1)</f>
        <v>R</v>
      </c>
      <c r="Y391" s="49" t="str">
        <f>MID(VLOOKUP($A391,Seqs!$A:$B,2,FALSE),VLOOKUP($A391,'SegEnds_NonXtal_Prot#'!A:AL,10,FALSE)+8,1)</f>
        <v>R</v>
      </c>
      <c r="Z391" s="49" t="str">
        <f>MID(VLOOKUP($A391,Seqs!$A:$B,2,FALSE),VLOOKUP($A391,'SegEnds_NonXtal_Prot#'!A:AL,10,FALSE)+9,1)</f>
        <v>N</v>
      </c>
      <c r="AA391" s="49" t="str">
        <f>MID(VLOOKUP($A391,Seqs!$A:$B,2,FALSE),VLOOKUP($A391,'SegEnds_NonXtal_Prot#'!A:AL,10,FALSE)+10,1)</f>
        <v>D</v>
      </c>
      <c r="AB391" s="28" t="str">
        <f>MID(VLOOKUP($A391,Seqs!$A:$B,2,FALSE),VLOOKUP($A391,'SegEnds_NonXtal_Prot#'!$A:$AL,22,FALSE)+6,1)</f>
        <v>Y</v>
      </c>
      <c r="AC391" s="49" t="str">
        <f>MID(VLOOKUP($A391,Seqs!$A:$B,2,FALSE),VLOOKUP($A391,'SegEnds_NonXtal_Prot#'!$A:$AL,22,FALSE)+7,1)</f>
        <v>G</v>
      </c>
      <c r="AD391" s="49" t="str">
        <f>MID(VLOOKUP($A391,Seqs!$A:$B,2,FALSE),VLOOKUP($A391,'SegEnds_NonXtal_Prot#'!$A:$AL,22,FALSE)+8,1)</f>
        <v>L</v>
      </c>
      <c r="AE391" s="49" t="str">
        <f>MID(VLOOKUP($A391,Seqs!$A:$B,2,FALSE),VLOOKUP($A391,'SegEnds_NonXtal_Prot#'!$A:$AL,22,FALSE)+9,1)</f>
        <v>W</v>
      </c>
      <c r="AF391" s="49" t="str">
        <f>MID(VLOOKUP($A391,Seqs!$A:$B,2,FALSE),VLOOKUP($A391,'SegEnds_NonXtal_Prot#'!$A:$AL,22,FALSE)+10,1)</f>
        <v>K</v>
      </c>
      <c r="AG391" s="28" t="str">
        <f>MID(VLOOKUP($A391,Seqs!$A:$B,2,FALSE),VLOOKUP($A391,'SegEnds_NonXtal_Prot#'!$A:$AL,28,FALSE)-4,1)</f>
        <v>A</v>
      </c>
      <c r="AH391" s="49" t="str">
        <f>MID(VLOOKUP($A391,Seqs!$A:$B,2,FALSE),VLOOKUP($A391,'SegEnds_NonXtal_Prot#'!$A:$AL,28,FALSE),1)</f>
        <v>P</v>
      </c>
    </row>
    <row r="392" spans="1:34" s="2" customFormat="1" x14ac:dyDescent="0.2">
      <c r="A392" s="2" t="s">
        <v>466</v>
      </c>
      <c r="B392" s="2" t="str">
        <f>LOWER(VLOOKUP(A392,Xtal_Templ!A:B,2,FALSE))</f>
        <v>oprk_human</v>
      </c>
      <c r="C392" s="2" t="str">
        <f>VLOOKUP(A392,Classification!A:D,2,FALSE)</f>
        <v>T</v>
      </c>
      <c r="D392" s="2" t="str">
        <f>IF(ISERROR(MATCH(A392,'SegEnds_Xtal_Prot#'!B:B, 0)), "NoXtal", "Xtal")</f>
        <v>NoXtal</v>
      </c>
      <c r="H392" s="4"/>
      <c r="V392" s="28" t="str">
        <f>MID(VLOOKUP($A392,Seqs!$A:$B,2,FALSE),VLOOKUP($A392,'SegEnds_NonXtal_Prot#'!A:AL,10,FALSE),1)</f>
        <v>R</v>
      </c>
      <c r="W392" s="49" t="str">
        <f>MID(VLOOKUP($A392,Seqs!$A:$B,2,FALSE),VLOOKUP($A392,'SegEnds_NonXtal_Prot#'!A:AL,10,FALSE)+6,1)</f>
        <v>V</v>
      </c>
      <c r="X392" s="49" t="str">
        <f>MID(VLOOKUP($A392,Seqs!$A:$B,2,FALSE),VLOOKUP($A392,'SegEnds_NonXtal_Prot#'!A:AL,10,FALSE)+7,1)</f>
        <v>V</v>
      </c>
      <c r="Y392" s="49" t="str">
        <f>MID(VLOOKUP($A392,Seqs!$A:$B,2,FALSE),VLOOKUP($A392,'SegEnds_NonXtal_Prot#'!A:AL,10,FALSE)+8,1)</f>
        <v>M</v>
      </c>
      <c r="Z392" s="49" t="str">
        <f>MID(VLOOKUP($A392,Seqs!$A:$B,2,FALSE),VLOOKUP($A392,'SegEnds_NonXtal_Prot#'!A:AL,10,FALSE)+9,1)</f>
        <v>G</v>
      </c>
      <c r="AA392" s="49" t="str">
        <f>MID(VLOOKUP($A392,Seqs!$A:$B,2,FALSE),VLOOKUP($A392,'SegEnds_NonXtal_Prot#'!A:AL,10,FALSE)+10,1)</f>
        <v>K</v>
      </c>
      <c r="AB392" s="28" t="str">
        <f>MID(VLOOKUP($A392,Seqs!$A:$B,2,FALSE),VLOOKUP($A392,'SegEnds_NonXtal_Prot#'!$A:$AL,22,FALSE)+6,1)</f>
        <v>S</v>
      </c>
      <c r="AC392" s="49" t="str">
        <f>MID(VLOOKUP($A392,Seqs!$A:$B,2,FALSE),VLOOKUP($A392,'SegEnds_NonXtal_Prot#'!$A:$AL,22,FALSE)+7,1)</f>
        <v>F</v>
      </c>
      <c r="AD392" s="49" t="str">
        <f>MID(VLOOKUP($A392,Seqs!$A:$B,2,FALSE),VLOOKUP($A392,'SegEnds_NonXtal_Prot#'!$A:$AL,22,FALSE)+8,1)</f>
        <v>T</v>
      </c>
      <c r="AE392" s="49" t="str">
        <f>MID(VLOOKUP($A392,Seqs!$A:$B,2,FALSE),VLOOKUP($A392,'SegEnds_NonXtal_Prot#'!$A:$AL,22,FALSE)+9,1)</f>
        <v>T</v>
      </c>
      <c r="AF392" s="49" t="str">
        <f>MID(VLOOKUP($A392,Seqs!$A:$B,2,FALSE),VLOOKUP($A392,'SegEnds_NonXtal_Prot#'!$A:$AL,22,FALSE)+10,1)</f>
        <v>I</v>
      </c>
      <c r="AG392" s="28" t="str">
        <f>MID(VLOOKUP($A392,Seqs!$A:$B,2,FALSE),VLOOKUP($A392,'SegEnds_NonXtal_Prot#'!$A:$AL,28,FALSE)-4,1)</f>
        <v>T</v>
      </c>
      <c r="AH392" s="49" t="str">
        <f>MID(VLOOKUP($A392,Seqs!$A:$B,2,FALSE),VLOOKUP($A392,'SegEnds_NonXtal_Prot#'!$A:$AL,28,FALSE),1)</f>
        <v>P</v>
      </c>
    </row>
    <row r="393" spans="1:34" s="2" customFormat="1" x14ac:dyDescent="0.2">
      <c r="A393" s="2" t="s">
        <v>451</v>
      </c>
      <c r="B393" s="2" t="str">
        <f>LOWER(VLOOKUP(A393,Xtal_Templ!A:B,2,FALSE))</f>
        <v>5ht2a_human</v>
      </c>
      <c r="C393" s="2" t="str">
        <f>VLOOKUP(A393,Classification!A:D,2,FALSE)</f>
        <v>T</v>
      </c>
      <c r="D393" s="2" t="str">
        <f>IF(ISERROR(MATCH(A393,'SegEnds_Xtal_Prot#'!B:B, 0)), "NoXtal", "Xtal")</f>
        <v>NoXtal</v>
      </c>
      <c r="H393" s="4"/>
      <c r="V393" s="28" t="str">
        <f>MID(VLOOKUP($A393,Seqs!$A:$B,2,FALSE),VLOOKUP($A393,'SegEnds_NonXtal_Prot#'!A:AL,10,FALSE),1)</f>
        <v>R</v>
      </c>
      <c r="W393" s="49" t="str">
        <f>MID(VLOOKUP($A393,Seqs!$A:$B,2,FALSE),VLOOKUP($A393,'SegEnds_NonXtal_Prot#'!A:AL,10,FALSE)+6,1)</f>
        <v>E</v>
      </c>
      <c r="X393" s="49" t="str">
        <f>MID(VLOOKUP($A393,Seqs!$A:$B,2,FALSE),VLOOKUP($A393,'SegEnds_NonXtal_Prot#'!A:AL,10,FALSE)+7,1)</f>
        <v>I</v>
      </c>
      <c r="Y393" s="49" t="str">
        <f>MID(VLOOKUP($A393,Seqs!$A:$B,2,FALSE),VLOOKUP($A393,'SegEnds_NonXtal_Prot#'!A:AL,10,FALSE)+8,1)</f>
        <v>L</v>
      </c>
      <c r="Z393" s="49" t="str">
        <f>MID(VLOOKUP($A393,Seqs!$A:$B,2,FALSE),VLOOKUP($A393,'SegEnds_NonXtal_Prot#'!A:AL,10,FALSE)+9,1)</f>
        <v>V</v>
      </c>
      <c r="AA393" s="49" t="str">
        <f>MID(VLOOKUP($A393,Seqs!$A:$B,2,FALSE),VLOOKUP($A393,'SegEnds_NonXtal_Prot#'!A:AL,10,FALSE)+10,1)</f>
        <v>S</v>
      </c>
      <c r="AB393" s="28" t="str">
        <f>MID(VLOOKUP($A393,Seqs!$A:$B,2,FALSE),VLOOKUP($A393,'SegEnds_NonXtal_Prot#'!$A:$AL,22,FALSE)+6,1)</f>
        <v>F</v>
      </c>
      <c r="AC393" s="49" t="str">
        <f>MID(VLOOKUP($A393,Seqs!$A:$B,2,FALSE),VLOOKUP($A393,'SegEnds_NonXtal_Prot#'!$A:$AL,22,FALSE)+7,1)</f>
        <v>L</v>
      </c>
      <c r="AD393" s="49" t="str">
        <f>MID(VLOOKUP($A393,Seqs!$A:$B,2,FALSE),VLOOKUP($A393,'SegEnds_NonXtal_Prot#'!$A:$AL,22,FALSE)+8,1)</f>
        <v>N</v>
      </c>
      <c r="AE393" s="49" t="str">
        <f>MID(VLOOKUP($A393,Seqs!$A:$B,2,FALSE),VLOOKUP($A393,'SegEnds_NonXtal_Prot#'!$A:$AL,22,FALSE)+9,1)</f>
        <v>L</v>
      </c>
      <c r="AF393" s="49" t="str">
        <f>MID(VLOOKUP($A393,Seqs!$A:$B,2,FALSE),VLOOKUP($A393,'SegEnds_NonXtal_Prot#'!$A:$AL,22,FALSE)+10,1)</f>
        <v>I</v>
      </c>
      <c r="AG393" s="28" t="str">
        <f>MID(VLOOKUP($A393,Seqs!$A:$B,2,FALSE),VLOOKUP($A393,'SegEnds_NonXtal_Prot#'!$A:$AL,28,FALSE)-4,1)</f>
        <v>F</v>
      </c>
      <c r="AH393" s="49" t="str">
        <f>MID(VLOOKUP($A393,Seqs!$A:$B,2,FALSE),VLOOKUP($A393,'SegEnds_NonXtal_Prot#'!$A:$AL,28,FALSE),1)</f>
        <v>P</v>
      </c>
    </row>
    <row r="394" spans="1:34" s="2" customFormat="1" x14ac:dyDescent="0.2">
      <c r="A394" s="2" t="s">
        <v>470</v>
      </c>
      <c r="B394" s="2" t="str">
        <f>LOWER(VLOOKUP(A394,Xtal_Templ!A:B,2,FALSE))</f>
        <v>5ht1b_human</v>
      </c>
      <c r="C394" s="2" t="str">
        <f>VLOOKUP(A394,Classification!A:D,2,FALSE)</f>
        <v>T</v>
      </c>
      <c r="D394" s="2" t="str">
        <f>IF(ISERROR(MATCH(A394,'SegEnds_Xtal_Prot#'!B:B, 0)), "NoXtal", "Xtal")</f>
        <v>NoXtal</v>
      </c>
      <c r="H394" s="4"/>
      <c r="V394" s="28" t="str">
        <f>MID(VLOOKUP($A394,Seqs!$A:$B,2,FALSE),VLOOKUP($A394,'SegEnds_NonXtal_Prot#'!A:AL,10,FALSE),1)</f>
        <v>R</v>
      </c>
      <c r="W394" s="49" t="str">
        <f>MID(VLOOKUP($A394,Seqs!$A:$B,2,FALSE),VLOOKUP($A394,'SegEnds_NonXtal_Prot#'!A:AL,10,FALSE)+6,1)</f>
        <v>L</v>
      </c>
      <c r="X394" s="49" t="str">
        <f>MID(VLOOKUP($A394,Seqs!$A:$B,2,FALSE),VLOOKUP($A394,'SegEnds_NonXtal_Prot#'!A:AL,10,FALSE)+7,1)</f>
        <v>F</v>
      </c>
      <c r="Y394" s="49" t="str">
        <f>MID(VLOOKUP($A394,Seqs!$A:$B,2,FALSE),VLOOKUP($A394,'SegEnds_NonXtal_Prot#'!A:AL,10,FALSE)+8,1)</f>
        <v>L</v>
      </c>
      <c r="Z394" s="49" t="str">
        <f>MID(VLOOKUP($A394,Seqs!$A:$B,2,FALSE),VLOOKUP($A394,'SegEnds_NonXtal_Prot#'!A:AL,10,FALSE)+9,1)</f>
        <v>V</v>
      </c>
      <c r="AA394" s="49" t="str">
        <f>MID(VLOOKUP($A394,Seqs!$A:$B,2,FALSE),VLOOKUP($A394,'SegEnds_NonXtal_Prot#'!A:AL,10,FALSE)+10,1)</f>
        <v>N</v>
      </c>
      <c r="AB394" s="28" t="str">
        <f>MID(VLOOKUP($A394,Seqs!$A:$B,2,FALSE),VLOOKUP($A394,'SegEnds_NonXtal_Prot#'!$A:$AL,22,FALSE)+6,1)</f>
        <v>A</v>
      </c>
      <c r="AC394" s="49" t="str">
        <f>MID(VLOOKUP($A394,Seqs!$A:$B,2,FALSE),VLOOKUP($A394,'SegEnds_NonXtal_Prot#'!$A:$AL,22,FALSE)+7,1)</f>
        <v>F</v>
      </c>
      <c r="AD394" s="49" t="str">
        <f>MID(VLOOKUP($A394,Seqs!$A:$B,2,FALSE),VLOOKUP($A394,'SegEnds_NonXtal_Prot#'!$A:$AL,22,FALSE)+8,1)</f>
        <v>T</v>
      </c>
      <c r="AE394" s="49" t="str">
        <f>MID(VLOOKUP($A394,Seqs!$A:$B,2,FALSE),VLOOKUP($A394,'SegEnds_NonXtal_Prot#'!$A:$AL,22,FALSE)+9,1)</f>
        <v>T</v>
      </c>
      <c r="AF394" s="49" t="str">
        <f>MID(VLOOKUP($A394,Seqs!$A:$B,2,FALSE),VLOOKUP($A394,'SegEnds_NonXtal_Prot#'!$A:$AL,22,FALSE)+10,1)</f>
        <v>C</v>
      </c>
      <c r="AG394" s="28" t="str">
        <f>MID(VLOOKUP($A394,Seqs!$A:$B,2,FALSE),VLOOKUP($A394,'SegEnds_NonXtal_Prot#'!$A:$AL,28,FALSE)-4,1)</f>
        <v>S</v>
      </c>
      <c r="AH394" s="49" t="str">
        <f>MID(VLOOKUP($A394,Seqs!$A:$B,2,FALSE),VLOOKUP($A394,'SegEnds_NonXtal_Prot#'!$A:$AL,28,FALSE),1)</f>
        <v>Q</v>
      </c>
    </row>
    <row r="395" spans="1:34" s="2" customFormat="1" x14ac:dyDescent="0.2">
      <c r="A395" s="2" t="s">
        <v>459</v>
      </c>
      <c r="B395" s="2" t="str">
        <f>LOWER(VLOOKUP(A395,Xtal_Templ!A:B,2,FALSE))</f>
        <v>agtr1_human</v>
      </c>
      <c r="C395" s="2" t="str">
        <f>VLOOKUP(A395,Classification!A:D,2,FALSE)</f>
        <v>T</v>
      </c>
      <c r="D395" s="2" t="str">
        <f>IF(ISERROR(MATCH(A395,'SegEnds_Xtal_Prot#'!B:B, 0)), "NoXtal", "Xtal")</f>
        <v>NoXtal</v>
      </c>
      <c r="H395" s="4"/>
      <c r="V395" s="28" t="str">
        <f>MID(VLOOKUP($A395,Seqs!$A:$B,2,FALSE),VLOOKUP($A395,'SegEnds_NonXtal_Prot#'!A:AL,10,FALSE),1)</f>
        <v>R</v>
      </c>
      <c r="W395" s="49" t="str">
        <f>MID(VLOOKUP($A395,Seqs!$A:$B,2,FALSE),VLOOKUP($A395,'SegEnds_NonXtal_Prot#'!A:AL,10,FALSE)+6,1)</f>
        <v>L</v>
      </c>
      <c r="X395" s="49" t="str">
        <f>MID(VLOOKUP($A395,Seqs!$A:$B,2,FALSE),VLOOKUP($A395,'SegEnds_NonXtal_Prot#'!A:AL,10,FALSE)+7,1)</f>
        <v>M</v>
      </c>
      <c r="Y395" s="49" t="str">
        <f>MID(VLOOKUP($A395,Seqs!$A:$B,2,FALSE),VLOOKUP($A395,'SegEnds_NonXtal_Prot#'!A:AL,10,FALSE)+8,1)</f>
        <v>M</v>
      </c>
      <c r="Z395" s="49" t="str">
        <f>MID(VLOOKUP($A395,Seqs!$A:$B,2,FALSE),VLOOKUP($A395,'SegEnds_NonXtal_Prot#'!A:AL,10,FALSE)+9,1)</f>
        <v>L</v>
      </c>
      <c r="AA395" s="49" t="str">
        <f>MID(VLOOKUP($A395,Seqs!$A:$B,2,FALSE),VLOOKUP($A395,'SegEnds_NonXtal_Prot#'!A:AL,10,FALSE)+10,1)</f>
        <v>E</v>
      </c>
      <c r="AB395" s="28" t="str">
        <f>MID(VLOOKUP($A395,Seqs!$A:$B,2,FALSE),VLOOKUP($A395,'SegEnds_NonXtal_Prot#'!$A:$AL,22,FALSE)+6,1)</f>
        <v>F</v>
      </c>
      <c r="AC395" s="49" t="str">
        <f>MID(VLOOKUP($A395,Seqs!$A:$B,2,FALSE),VLOOKUP($A395,'SegEnds_NonXtal_Prot#'!$A:$AL,22,FALSE)+7,1)</f>
        <v>S</v>
      </c>
      <c r="AD395" s="49" t="str">
        <f>MID(VLOOKUP($A395,Seqs!$A:$B,2,FALSE),VLOOKUP($A395,'SegEnds_NonXtal_Prot#'!$A:$AL,22,FALSE)+8,1)</f>
        <v>H</v>
      </c>
      <c r="AE395" s="49" t="str">
        <f>MID(VLOOKUP($A395,Seqs!$A:$B,2,FALSE),VLOOKUP($A395,'SegEnds_NonXtal_Prot#'!$A:$AL,22,FALSE)+9,1)</f>
        <v>S</v>
      </c>
      <c r="AF395" s="49" t="str">
        <f>MID(VLOOKUP($A395,Seqs!$A:$B,2,FALSE),VLOOKUP($A395,'SegEnds_NonXtal_Prot#'!$A:$AL,22,FALSE)+10,1)</f>
        <v>M</v>
      </c>
      <c r="AG395" s="28" t="str">
        <f>MID(VLOOKUP($A395,Seqs!$A:$B,2,FALSE),VLOOKUP($A395,'SegEnds_NonXtal_Prot#'!$A:$AL,28,FALSE)-4,1)</f>
        <v>G</v>
      </c>
      <c r="AH395" s="49" t="str">
        <f>MID(VLOOKUP($A395,Seqs!$A:$B,2,FALSE),VLOOKUP($A395,'SegEnds_NonXtal_Prot#'!$A:$AL,28,FALSE),1)</f>
        <v>P</v>
      </c>
    </row>
    <row r="396" spans="1:34" s="2" customFormat="1" x14ac:dyDescent="0.2">
      <c r="A396" s="2" t="s">
        <v>454</v>
      </c>
      <c r="B396" s="2" t="str">
        <f>LOWER(VLOOKUP(A396,Xtal_Templ!A:B,2,FALSE))</f>
        <v>5ht2c_human</v>
      </c>
      <c r="C396" s="2" t="str">
        <f>VLOOKUP(A396,Classification!A:D,2,FALSE)</f>
        <v>T</v>
      </c>
      <c r="D396" s="2" t="str">
        <f>IF(ISERROR(MATCH(A396,'SegEnds_Xtal_Prot#'!B:B, 0)), "NoXtal", "Xtal")</f>
        <v>NoXtal</v>
      </c>
      <c r="H396" s="4"/>
      <c r="V396" s="28" t="str">
        <f>MID(VLOOKUP($A396,Seqs!$A:$B,2,FALSE),VLOOKUP($A396,'SegEnds_NonXtal_Prot#'!A:AL,10,FALSE),1)</f>
        <v>R</v>
      </c>
      <c r="W396" s="49" t="str">
        <f>MID(VLOOKUP($A396,Seqs!$A:$B,2,FALSE),VLOOKUP($A396,'SegEnds_NonXtal_Prot#'!A:AL,10,FALSE)+6,1)</f>
        <v>V</v>
      </c>
      <c r="X396" s="49" t="str">
        <f>MID(VLOOKUP($A396,Seqs!$A:$B,2,FALSE),VLOOKUP($A396,'SegEnds_NonXtal_Prot#'!A:AL,10,FALSE)+7,1)</f>
        <v>M</v>
      </c>
      <c r="Y396" s="49" t="str">
        <f>MID(VLOOKUP($A396,Seqs!$A:$B,2,FALSE),VLOOKUP($A396,'SegEnds_NonXtal_Prot#'!A:AL,10,FALSE)+8,1)</f>
        <v>L</v>
      </c>
      <c r="Z396" s="49" t="str">
        <f>MID(VLOOKUP($A396,Seqs!$A:$B,2,FALSE),VLOOKUP($A396,'SegEnds_NonXtal_Prot#'!A:AL,10,FALSE)+9,1)</f>
        <v>F</v>
      </c>
      <c r="AA396" s="49" t="str">
        <f>MID(VLOOKUP($A396,Seqs!$A:$B,2,FALSE),VLOOKUP($A396,'SegEnds_NonXtal_Prot#'!A:AL,10,FALSE)+10,1)</f>
        <v>L</v>
      </c>
      <c r="AB396" s="28" t="str">
        <f>MID(VLOOKUP($A396,Seqs!$A:$B,2,FALSE),VLOOKUP($A396,'SegEnds_NonXtal_Prot#'!$A:$AL,22,FALSE)+6,1)</f>
        <v>I</v>
      </c>
      <c r="AC396" s="49" t="str">
        <f>MID(VLOOKUP($A396,Seqs!$A:$B,2,FALSE),VLOOKUP($A396,'SegEnds_NonXtal_Prot#'!$A:$AL,22,FALSE)+7,1)</f>
        <v>C</v>
      </c>
      <c r="AD396" s="49" t="str">
        <f>MID(VLOOKUP($A396,Seqs!$A:$B,2,FALSE),VLOOKUP($A396,'SegEnds_NonXtal_Prot#'!$A:$AL,22,FALSE)+8,1)</f>
        <v>N</v>
      </c>
      <c r="AE396" s="49" t="str">
        <f>MID(VLOOKUP($A396,Seqs!$A:$B,2,FALSE),VLOOKUP($A396,'SegEnds_NonXtal_Prot#'!$A:$AL,22,FALSE)+9,1)</f>
        <v>L</v>
      </c>
      <c r="AF396" s="49" t="str">
        <f>MID(VLOOKUP($A396,Seqs!$A:$B,2,FALSE),VLOOKUP($A396,'SegEnds_NonXtal_Prot#'!$A:$AL,22,FALSE)+10,1)</f>
        <v>A</v>
      </c>
      <c r="AG396" s="28" t="str">
        <f>MID(VLOOKUP($A396,Seqs!$A:$B,2,FALSE),VLOOKUP($A396,'SegEnds_NonXtal_Prot#'!$A:$AL,28,FALSE)-4,1)</f>
        <v>A</v>
      </c>
      <c r="AH396" s="49" t="str">
        <f>MID(VLOOKUP($A396,Seqs!$A:$B,2,FALSE),VLOOKUP($A396,'SegEnds_NonXtal_Prot#'!$A:$AL,28,FALSE),1)</f>
        <v>P</v>
      </c>
    </row>
    <row r="397" spans="1:34" s="2" customFormat="1" x14ac:dyDescent="0.2">
      <c r="A397" s="2" t="s">
        <v>455</v>
      </c>
      <c r="B397" s="2" t="str">
        <f>LOWER(VLOOKUP(A397,Xtal_Templ!A:B,2,FALSE))</f>
        <v>5ht2c_human</v>
      </c>
      <c r="C397" s="2" t="str">
        <f>VLOOKUP(A397,Classification!A:D,2,FALSE)</f>
        <v>T</v>
      </c>
      <c r="D397" s="2" t="str">
        <f>IF(ISERROR(MATCH(A397,'SegEnds_Xtal_Prot#'!B:B, 0)), "NoXtal", "Xtal")</f>
        <v>NoXtal</v>
      </c>
      <c r="H397" s="4"/>
      <c r="V397" s="28" t="str">
        <f>MID(VLOOKUP($A397,Seqs!$A:$B,2,FALSE),VLOOKUP($A397,'SegEnds_NonXtal_Prot#'!A:AL,10,FALSE),1)</f>
        <v>R</v>
      </c>
      <c r="W397" s="49" t="str">
        <f>MID(VLOOKUP($A397,Seqs!$A:$B,2,FALSE),VLOOKUP($A397,'SegEnds_NonXtal_Prot#'!A:AL,10,FALSE)+6,1)</f>
        <v>V</v>
      </c>
      <c r="X397" s="49" t="str">
        <f>MID(VLOOKUP($A397,Seqs!$A:$B,2,FALSE),VLOOKUP($A397,'SegEnds_NonXtal_Prot#'!A:AL,10,FALSE)+7,1)</f>
        <v>I</v>
      </c>
      <c r="Y397" s="49" t="str">
        <f>MID(VLOOKUP($A397,Seqs!$A:$B,2,FALSE),VLOOKUP($A397,'SegEnds_NonXtal_Prot#'!A:AL,10,FALSE)+8,1)</f>
        <v>L</v>
      </c>
      <c r="Z397" s="49" t="str">
        <f>MID(VLOOKUP($A397,Seqs!$A:$B,2,FALSE),VLOOKUP($A397,'SegEnds_NonXtal_Prot#'!A:AL,10,FALSE)+9,1)</f>
        <v>L</v>
      </c>
      <c r="AA397" s="49" t="str">
        <f>MID(VLOOKUP($A397,Seqs!$A:$B,2,FALSE),VLOOKUP($A397,'SegEnds_NonXtal_Prot#'!A:AL,10,FALSE)+10,1)</f>
        <v>H</v>
      </c>
      <c r="AB397" s="28" t="str">
        <f>MID(VLOOKUP($A397,Seqs!$A:$B,2,FALSE),VLOOKUP($A397,'SegEnds_NonXtal_Prot#'!$A:$AL,22,FALSE)+6,1)</f>
        <v>V</v>
      </c>
      <c r="AC397" s="49" t="str">
        <f>MID(VLOOKUP($A397,Seqs!$A:$B,2,FALSE),VLOOKUP($A397,'SegEnds_NonXtal_Prot#'!$A:$AL,22,FALSE)+7,1)</f>
        <v>C</v>
      </c>
      <c r="AD397" s="49" t="str">
        <f>MID(VLOOKUP($A397,Seqs!$A:$B,2,FALSE),VLOOKUP($A397,'SegEnds_NonXtal_Prot#'!$A:$AL,22,FALSE)+8,1)</f>
        <v>H</v>
      </c>
      <c r="AE397" s="49" t="str">
        <f>MID(VLOOKUP($A397,Seqs!$A:$B,2,FALSE),VLOOKUP($A397,'SegEnds_NonXtal_Prot#'!$A:$AL,22,FALSE)+9,1)</f>
        <v>L</v>
      </c>
      <c r="AF397" s="49" t="str">
        <f>MID(VLOOKUP($A397,Seqs!$A:$B,2,FALSE),VLOOKUP($A397,'SegEnds_NonXtal_Prot#'!$A:$AL,22,FALSE)+10,1)</f>
        <v>V</v>
      </c>
      <c r="AG397" s="28" t="str">
        <f>MID(VLOOKUP($A397,Seqs!$A:$B,2,FALSE),VLOOKUP($A397,'SegEnds_NonXtal_Prot#'!$A:$AL,28,FALSE)-4,1)</f>
        <v>A</v>
      </c>
      <c r="AH397" s="49" t="str">
        <f>MID(VLOOKUP($A397,Seqs!$A:$B,2,FALSE),VLOOKUP($A397,'SegEnds_NonXtal_Prot#'!$A:$AL,28,FALSE),1)</f>
        <v>P</v>
      </c>
    </row>
    <row r="398" spans="1:34" s="2" customFormat="1" x14ac:dyDescent="0.2">
      <c r="A398" s="2" t="s">
        <v>456</v>
      </c>
      <c r="B398" s="2" t="str">
        <f>LOWER(VLOOKUP(A398,Xtal_Templ!A:B,2,FALSE))</f>
        <v>5ht2c_human</v>
      </c>
      <c r="C398" s="2" t="str">
        <f>VLOOKUP(A398,Classification!A:D,2,FALSE)</f>
        <v>T</v>
      </c>
      <c r="D398" s="2" t="str">
        <f>IF(ISERROR(MATCH(A398,'SegEnds_Xtal_Prot#'!B:B, 0)), "NoXtal", "Xtal")</f>
        <v>NoXtal</v>
      </c>
      <c r="H398" s="4"/>
      <c r="V398" s="28" t="str">
        <f>MID(VLOOKUP($A398,Seqs!$A:$B,2,FALSE),VLOOKUP($A398,'SegEnds_NonXtal_Prot#'!A:AL,10,FALSE),1)</f>
        <v>R</v>
      </c>
      <c r="W398" s="49" t="str">
        <f>MID(VLOOKUP($A398,Seqs!$A:$B,2,FALSE),VLOOKUP($A398,'SegEnds_NonXtal_Prot#'!A:AL,10,FALSE)+6,1)</f>
        <v>V</v>
      </c>
      <c r="X398" s="49" t="str">
        <f>MID(VLOOKUP($A398,Seqs!$A:$B,2,FALSE),VLOOKUP($A398,'SegEnds_NonXtal_Prot#'!A:AL,10,FALSE)+7,1)</f>
        <v>L</v>
      </c>
      <c r="Y398" s="49" t="str">
        <f>MID(VLOOKUP($A398,Seqs!$A:$B,2,FALSE),VLOOKUP($A398,'SegEnds_NonXtal_Prot#'!A:AL,10,FALSE)+8,1)</f>
        <v>L</v>
      </c>
      <c r="Z398" s="49" t="str">
        <f>MID(VLOOKUP($A398,Seqs!$A:$B,2,FALSE),VLOOKUP($A398,'SegEnds_NonXtal_Prot#'!A:AL,10,FALSE)+9,1)</f>
        <v>L</v>
      </c>
      <c r="AA398" s="49" t="str">
        <f>MID(VLOOKUP($A398,Seqs!$A:$B,2,FALSE),VLOOKUP($A398,'SegEnds_NonXtal_Prot#'!A:AL,10,FALSE)+10,1)</f>
        <v>H</v>
      </c>
      <c r="AB398" s="28" t="str">
        <f>MID(VLOOKUP($A398,Seqs!$A:$B,2,FALSE),VLOOKUP($A398,'SegEnds_NonXtal_Prot#'!$A:$AL,22,FALSE)+6,1)</f>
        <v>V</v>
      </c>
      <c r="AC398" s="49" t="str">
        <f>MID(VLOOKUP($A398,Seqs!$A:$B,2,FALSE),VLOOKUP($A398,'SegEnds_NonXtal_Prot#'!$A:$AL,22,FALSE)+7,1)</f>
        <v>C</v>
      </c>
      <c r="AD398" s="49" t="str">
        <f>MID(VLOOKUP($A398,Seqs!$A:$B,2,FALSE),VLOOKUP($A398,'SegEnds_NonXtal_Prot#'!$A:$AL,22,FALSE)+8,1)</f>
        <v>H</v>
      </c>
      <c r="AE398" s="49" t="str">
        <f>MID(VLOOKUP($A398,Seqs!$A:$B,2,FALSE),VLOOKUP($A398,'SegEnds_NonXtal_Prot#'!$A:$AL,22,FALSE)+9,1)</f>
        <v>L</v>
      </c>
      <c r="AF398" s="49" t="str">
        <f>MID(VLOOKUP($A398,Seqs!$A:$B,2,FALSE),VLOOKUP($A398,'SegEnds_NonXtal_Prot#'!$A:$AL,22,FALSE)+10,1)</f>
        <v>F</v>
      </c>
      <c r="AG398" s="28" t="str">
        <f>MID(VLOOKUP($A398,Seqs!$A:$B,2,FALSE),VLOOKUP($A398,'SegEnds_NonXtal_Prot#'!$A:$AL,28,FALSE)-4,1)</f>
        <v>A</v>
      </c>
      <c r="AH398" s="49" t="str">
        <f>MID(VLOOKUP($A398,Seqs!$A:$B,2,FALSE),VLOOKUP($A398,'SegEnds_NonXtal_Prot#'!$A:$AL,28,FALSE),1)</f>
        <v>P</v>
      </c>
    </row>
    <row r="399" spans="1:34" s="2" customFormat="1" x14ac:dyDescent="0.2">
      <c r="A399" s="2" t="s">
        <v>457</v>
      </c>
      <c r="B399" s="2" t="str">
        <f>LOWER(VLOOKUP(A399,Xtal_Templ!A:B,2,FALSE))</f>
        <v>agtr1_human</v>
      </c>
      <c r="C399" s="2" t="str">
        <f>VLOOKUP(A399,Classification!A:D,2,FALSE)</f>
        <v>T</v>
      </c>
      <c r="D399" s="2" t="str">
        <f>IF(ISERROR(MATCH(A399,'SegEnds_Xtal_Prot#'!B:B, 0)), "NoXtal", "Xtal")</f>
        <v>NoXtal</v>
      </c>
      <c r="H399" s="4"/>
      <c r="V399" s="28" t="str">
        <f>MID(VLOOKUP($A399,Seqs!$A:$B,2,FALSE),VLOOKUP($A399,'SegEnds_NonXtal_Prot#'!A:AL,10,FALSE),1)</f>
        <v>R</v>
      </c>
      <c r="W399" s="49" t="str">
        <f>MID(VLOOKUP($A399,Seqs!$A:$B,2,FALSE),VLOOKUP($A399,'SegEnds_NonXtal_Prot#'!A:AL,10,FALSE)+6,1)</f>
        <v>V</v>
      </c>
      <c r="X399" s="49" t="str">
        <f>MID(VLOOKUP($A399,Seqs!$A:$B,2,FALSE),VLOOKUP($A399,'SegEnds_NonXtal_Prot#'!A:AL,10,FALSE)+7,1)</f>
        <v>L</v>
      </c>
      <c r="Y399" s="49" t="str">
        <f>MID(VLOOKUP($A399,Seqs!$A:$B,2,FALSE),VLOOKUP($A399,'SegEnds_NonXtal_Prot#'!A:AL,10,FALSE)+8,1)</f>
        <v>L</v>
      </c>
      <c r="Z399" s="49" t="str">
        <f>MID(VLOOKUP($A399,Seqs!$A:$B,2,FALSE),VLOOKUP($A399,'SegEnds_NonXtal_Prot#'!A:AL,10,FALSE)+9,1)</f>
        <v>L</v>
      </c>
      <c r="AA399" s="49" t="str">
        <f>MID(VLOOKUP($A399,Seqs!$A:$B,2,FALSE),VLOOKUP($A399,'SegEnds_NonXtal_Prot#'!A:AL,10,FALSE)+10,1)</f>
        <v>N</v>
      </c>
      <c r="AB399" s="28" t="str">
        <f>MID(VLOOKUP($A399,Seqs!$A:$B,2,FALSE),VLOOKUP($A399,'SegEnds_NonXtal_Prot#'!$A:$AL,22,FALSE)+6,1)</f>
        <v>A</v>
      </c>
      <c r="AC399" s="49" t="str">
        <f>MID(VLOOKUP($A399,Seqs!$A:$B,2,FALSE),VLOOKUP($A399,'SegEnds_NonXtal_Prot#'!$A:$AL,22,FALSE)+7,1)</f>
        <v>C</v>
      </c>
      <c r="AD399" s="49" t="str">
        <f>MID(VLOOKUP($A399,Seqs!$A:$B,2,FALSE),VLOOKUP($A399,'SegEnds_NonXtal_Prot#'!$A:$AL,22,FALSE)+8,1)</f>
        <v>Q</v>
      </c>
      <c r="AE399" s="49" t="str">
        <f>MID(VLOOKUP($A399,Seqs!$A:$B,2,FALSE),VLOOKUP($A399,'SegEnds_NonXtal_Prot#'!$A:$AL,22,FALSE)+9,1)</f>
        <v>L</v>
      </c>
      <c r="AF399" s="49" t="str">
        <f>MID(VLOOKUP($A399,Seqs!$A:$B,2,FALSE),VLOOKUP($A399,'SegEnds_NonXtal_Prot#'!$A:$AL,22,FALSE)+10,1)</f>
        <v>F</v>
      </c>
      <c r="AG399" s="28" t="str">
        <f>MID(VLOOKUP($A399,Seqs!$A:$B,2,FALSE),VLOOKUP($A399,'SegEnds_NonXtal_Prot#'!$A:$AL,28,FALSE)-4,1)</f>
        <v>G</v>
      </c>
      <c r="AH399" s="49" t="str">
        <f>MID(VLOOKUP($A399,Seqs!$A:$B,2,FALSE),VLOOKUP($A399,'SegEnds_NonXtal_Prot#'!$A:$AL,28,FALSE),1)</f>
        <v>P</v>
      </c>
    </row>
    <row r="400" spans="1:34" s="2" customFormat="1" x14ac:dyDescent="0.2">
      <c r="A400" s="2" t="s">
        <v>458</v>
      </c>
      <c r="B400" s="2" t="str">
        <f>LOWER(VLOOKUP(A400,Xtal_Templ!A:B,2,FALSE))</f>
        <v>agtr1_human</v>
      </c>
      <c r="C400" s="2" t="str">
        <f>VLOOKUP(A400,Classification!A:D,2,FALSE)</f>
        <v>T</v>
      </c>
      <c r="D400" s="2" t="str">
        <f>IF(ISERROR(MATCH(A400,'SegEnds_Xtal_Prot#'!B:B, 0)), "NoXtal", "Xtal")</f>
        <v>NoXtal</v>
      </c>
      <c r="H400" s="4"/>
      <c r="V400" s="28" t="str">
        <f>MID(VLOOKUP($A400,Seqs!$A:$B,2,FALSE),VLOOKUP($A400,'SegEnds_NonXtal_Prot#'!A:AL,10,FALSE),1)</f>
        <v>R</v>
      </c>
      <c r="W400" s="49" t="str">
        <f>MID(VLOOKUP($A400,Seqs!$A:$B,2,FALSE),VLOOKUP($A400,'SegEnds_NonXtal_Prot#'!A:AL,10,FALSE)+6,1)</f>
        <v>L</v>
      </c>
      <c r="X400" s="49" t="str">
        <f>MID(VLOOKUP($A400,Seqs!$A:$B,2,FALSE),VLOOKUP($A400,'SegEnds_NonXtal_Prot#'!A:AL,10,FALSE)+7,1)</f>
        <v>L</v>
      </c>
      <c r="Y400" s="49" t="str">
        <f>MID(VLOOKUP($A400,Seqs!$A:$B,2,FALSE),VLOOKUP($A400,'SegEnds_NonXtal_Prot#'!A:AL,10,FALSE)+8,1)</f>
        <v>F</v>
      </c>
      <c r="Z400" s="49" t="str">
        <f>MID(VLOOKUP($A400,Seqs!$A:$B,2,FALSE),VLOOKUP($A400,'SegEnds_NonXtal_Prot#'!A:AL,10,FALSE)+9,1)</f>
        <v>L</v>
      </c>
      <c r="AA400" s="49" t="str">
        <f>MID(VLOOKUP($A400,Seqs!$A:$B,2,FALSE),VLOOKUP($A400,'SegEnds_NonXtal_Prot#'!A:AL,10,FALSE)+10,1)</f>
        <v>S</v>
      </c>
      <c r="AB400" s="28" t="str">
        <f>MID(VLOOKUP($A400,Seqs!$A:$B,2,FALSE),VLOOKUP($A400,'SegEnds_NonXtal_Prot#'!$A:$AL,22,FALSE)+6,1)</f>
        <v>C</v>
      </c>
      <c r="AC400" s="49" t="str">
        <f>MID(VLOOKUP($A400,Seqs!$A:$B,2,FALSE),VLOOKUP($A400,'SegEnds_NonXtal_Prot#'!$A:$AL,22,FALSE)+7,1)</f>
        <v>I</v>
      </c>
      <c r="AD400" s="49" t="str">
        <f>MID(VLOOKUP($A400,Seqs!$A:$B,2,FALSE),VLOOKUP($A400,'SegEnds_NonXtal_Prot#'!$A:$AL,22,FALSE)+8,1)</f>
        <v>C</v>
      </c>
      <c r="AE400" s="49" t="str">
        <f>MID(VLOOKUP($A400,Seqs!$A:$B,2,FALSE),VLOOKUP($A400,'SegEnds_NonXtal_Prot#'!$A:$AL,22,FALSE)+9,1)</f>
        <v>T</v>
      </c>
      <c r="AF400" s="49" t="str">
        <f>MID(VLOOKUP($A400,Seqs!$A:$B,2,FALSE),VLOOKUP($A400,'SegEnds_NonXtal_Prot#'!$A:$AL,22,FALSE)+10,1)</f>
        <v>V</v>
      </c>
      <c r="AG400" s="28" t="str">
        <f>MID(VLOOKUP($A400,Seqs!$A:$B,2,FALSE),VLOOKUP($A400,'SegEnds_NonXtal_Prot#'!$A:$AL,28,FALSE)-4,1)</f>
        <v>W</v>
      </c>
      <c r="AH400" s="49" t="str">
        <f>MID(VLOOKUP($A400,Seqs!$A:$B,2,FALSE),VLOOKUP($A400,'SegEnds_NonXtal_Prot#'!$A:$AL,28,FALSE),1)</f>
        <v>P</v>
      </c>
    </row>
    <row r="401" spans="1:34" s="2" customFormat="1" x14ac:dyDescent="0.2">
      <c r="A401" s="2" t="s">
        <v>461</v>
      </c>
      <c r="B401" s="2" t="str">
        <f>LOWER(VLOOKUP(A401,Xtal_Templ!A:B,2,FALSE))</f>
        <v>drd2_human</v>
      </c>
      <c r="C401" s="2" t="str">
        <f>VLOOKUP(A401,Classification!A:D,2,FALSE)</f>
        <v>T</v>
      </c>
      <c r="D401" s="2" t="str">
        <f>IF(ISERROR(MATCH(A401,'SegEnds_Xtal_Prot#'!B:B, 0)), "NoXtal", "Xtal")</f>
        <v>NoXtal</v>
      </c>
      <c r="H401" s="4"/>
      <c r="V401" s="28" t="str">
        <f>MID(VLOOKUP($A401,Seqs!$A:$B,2,FALSE),VLOOKUP($A401,'SegEnds_NonXtal_Prot#'!A:AL,10,FALSE),1)</f>
        <v>R</v>
      </c>
      <c r="W401" s="49" t="str">
        <f>MID(VLOOKUP($A401,Seqs!$A:$B,2,FALSE),VLOOKUP($A401,'SegEnds_NonXtal_Prot#'!A:AL,10,FALSE)+6,1)</f>
        <v>V</v>
      </c>
      <c r="X401" s="49" t="str">
        <f>MID(VLOOKUP($A401,Seqs!$A:$B,2,FALSE),VLOOKUP($A401,'SegEnds_NonXtal_Prot#'!A:AL,10,FALSE)+7,1)</f>
        <v>G</v>
      </c>
      <c r="Y401" s="49" t="str">
        <f>MID(VLOOKUP($A401,Seqs!$A:$B,2,FALSE),VLOOKUP($A401,'SegEnds_NonXtal_Prot#'!A:AL,10,FALSE)+8,1)</f>
        <v>T</v>
      </c>
      <c r="Z401" s="49" t="str">
        <f>MID(VLOOKUP($A401,Seqs!$A:$B,2,FALSE),VLOOKUP($A401,'SegEnds_NonXtal_Prot#'!A:AL,10,FALSE)+9,1)</f>
        <v>V</v>
      </c>
      <c r="AA401" s="49" t="str">
        <f>MID(VLOOKUP($A401,Seqs!$A:$B,2,FALSE),VLOOKUP($A401,'SegEnds_NonXtal_Prot#'!A:AL,10,FALSE)+10,1)</f>
        <v>H</v>
      </c>
      <c r="AB401" s="28" t="str">
        <f>MID(VLOOKUP($A401,Seqs!$A:$B,2,FALSE),VLOOKUP($A401,'SegEnds_NonXtal_Prot#'!$A:$AL,22,FALSE)+6,1)</f>
        <v>F</v>
      </c>
      <c r="AC401" s="49" t="str">
        <f>MID(VLOOKUP($A401,Seqs!$A:$B,2,FALSE),VLOOKUP($A401,'SegEnds_NonXtal_Prot#'!$A:$AL,22,FALSE)+7,1)</f>
        <v>I</v>
      </c>
      <c r="AD401" s="49" t="str">
        <f>MID(VLOOKUP($A401,Seqs!$A:$B,2,FALSE),VLOOKUP($A401,'SegEnds_NonXtal_Prot#'!$A:$AL,22,FALSE)+8,1)</f>
        <v>I</v>
      </c>
      <c r="AE401" s="49" t="str">
        <f>MID(VLOOKUP($A401,Seqs!$A:$B,2,FALSE),VLOOKUP($A401,'SegEnds_NonXtal_Prot#'!$A:$AL,22,FALSE)+9,1)</f>
        <v>T</v>
      </c>
      <c r="AF401" s="49" t="str">
        <f>MID(VLOOKUP($A401,Seqs!$A:$B,2,FALSE),VLOOKUP($A401,'SegEnds_NonXtal_Prot#'!$A:$AL,22,FALSE)+10,1)</f>
        <v>L</v>
      </c>
      <c r="AG401" s="28" t="str">
        <f>MID(VLOOKUP($A401,Seqs!$A:$B,2,FALSE),VLOOKUP($A401,'SegEnds_NonXtal_Prot#'!$A:$AL,28,FALSE)-4,1)</f>
        <v>I</v>
      </c>
      <c r="AH401" s="49" t="str">
        <f>MID(VLOOKUP($A401,Seqs!$A:$B,2,FALSE),VLOOKUP($A401,'SegEnds_NonXtal_Prot#'!$A:$AL,28,FALSE),1)</f>
        <v>P</v>
      </c>
    </row>
    <row r="402" spans="1:34" s="2" customFormat="1" x14ac:dyDescent="0.2">
      <c r="A402" s="2" t="s">
        <v>462</v>
      </c>
      <c r="B402" s="2" t="str">
        <f>LOWER(VLOOKUP(A402,Xtal_Templ!A:B,2,FALSE))</f>
        <v>hrh1_human</v>
      </c>
      <c r="C402" s="2" t="str">
        <f>VLOOKUP(A402,Classification!A:D,2,FALSE)</f>
        <v>T</v>
      </c>
      <c r="D402" s="2" t="str">
        <f>IF(ISERROR(MATCH(A402,'SegEnds_Xtal_Prot#'!B:B, 0)), "NoXtal", "Xtal")</f>
        <v>NoXtal</v>
      </c>
      <c r="H402" s="4"/>
      <c r="V402" s="28" t="str">
        <f>MID(VLOOKUP($A402,Seqs!$A:$B,2,FALSE),VLOOKUP($A402,'SegEnds_NonXtal_Prot#'!A:AL,10,FALSE),1)</f>
        <v>T</v>
      </c>
      <c r="W402" s="49" t="str">
        <f>MID(VLOOKUP($A402,Seqs!$A:$B,2,FALSE),VLOOKUP($A402,'SegEnds_NonXtal_Prot#'!A:AL,10,FALSE)+6,1)</f>
        <v>V</v>
      </c>
      <c r="X402" s="49" t="str">
        <f>MID(VLOOKUP($A402,Seqs!$A:$B,2,FALSE),VLOOKUP($A402,'SegEnds_NonXtal_Prot#'!A:AL,10,FALSE)+7,1)</f>
        <v>I</v>
      </c>
      <c r="Y402" s="49" t="str">
        <f>MID(VLOOKUP($A402,Seqs!$A:$B,2,FALSE),VLOOKUP($A402,'SegEnds_NonXtal_Prot#'!A:AL,10,FALSE)+8,1)</f>
        <v>L</v>
      </c>
      <c r="Z402" s="49" t="str">
        <f>MID(VLOOKUP($A402,Seqs!$A:$B,2,FALSE),VLOOKUP($A402,'SegEnds_NonXtal_Prot#'!A:AL,10,FALSE)+9,1)</f>
        <v>F</v>
      </c>
      <c r="AA402" s="49" t="str">
        <f>MID(VLOOKUP($A402,Seqs!$A:$B,2,FALSE),VLOOKUP($A402,'SegEnds_NonXtal_Prot#'!A:AL,10,FALSE)+10,1)</f>
        <v>D</v>
      </c>
      <c r="AB402" s="28" t="str">
        <f>MID(VLOOKUP($A402,Seqs!$A:$B,2,FALSE),VLOOKUP($A402,'SegEnds_NonXtal_Prot#'!$A:$AL,22,FALSE)+6,1)</f>
        <v>I</v>
      </c>
      <c r="AC402" s="49" t="str">
        <f>MID(VLOOKUP($A402,Seqs!$A:$B,2,FALSE),VLOOKUP($A402,'SegEnds_NonXtal_Prot#'!$A:$AL,22,FALSE)+7,1)</f>
        <v>F</v>
      </c>
      <c r="AD402" s="49" t="str">
        <f>MID(VLOOKUP($A402,Seqs!$A:$B,2,FALSE),VLOOKUP($A402,'SegEnds_NonXtal_Prot#'!$A:$AL,22,FALSE)+8,1)</f>
        <v>D</v>
      </c>
      <c r="AE402" s="49" t="str">
        <f>MID(VLOOKUP($A402,Seqs!$A:$B,2,FALSE),VLOOKUP($A402,'SegEnds_NonXtal_Prot#'!$A:$AL,22,FALSE)+9,1)</f>
        <v>S</v>
      </c>
      <c r="AF402" s="49" t="str">
        <f>MID(VLOOKUP($A402,Seqs!$A:$B,2,FALSE),VLOOKUP($A402,'SegEnds_NonXtal_Prot#'!$A:$AL,22,FALSE)+10,1)</f>
        <v>L</v>
      </c>
      <c r="AG402" s="28" t="str">
        <f>MID(VLOOKUP($A402,Seqs!$A:$B,2,FALSE),VLOOKUP($A402,'SegEnds_NonXtal_Prot#'!$A:$AL,28,FALSE)-4,1)</f>
        <v>T</v>
      </c>
      <c r="AH402" s="49" t="str">
        <f>MID(VLOOKUP($A402,Seqs!$A:$B,2,FALSE),VLOOKUP($A402,'SegEnds_NonXtal_Prot#'!$A:$AL,28,FALSE),1)</f>
        <v>P</v>
      </c>
    </row>
    <row r="403" spans="1:34" s="2" customFormat="1" x14ac:dyDescent="0.2">
      <c r="A403" s="2" t="s">
        <v>463</v>
      </c>
      <c r="B403" s="2" t="str">
        <f>LOWER(VLOOKUP(A403,Xtal_Templ!A:B,2,FALSE))</f>
        <v>drd2_human</v>
      </c>
      <c r="C403" s="2" t="str">
        <f>VLOOKUP(A403,Classification!A:D,2,FALSE)</f>
        <v>T</v>
      </c>
      <c r="D403" s="2" t="str">
        <f>IF(ISERROR(MATCH(A403,'SegEnds_Xtal_Prot#'!B:B, 0)), "NoXtal", "Xtal")</f>
        <v>NoXtal</v>
      </c>
      <c r="H403" s="4"/>
      <c r="V403" s="28" t="str">
        <f>MID(VLOOKUP($A403,Seqs!$A:$B,2,FALSE),VLOOKUP($A403,'SegEnds_NonXtal_Prot#'!A:AL,10,FALSE),1)</f>
        <v>R</v>
      </c>
      <c r="W403" s="49" t="str">
        <f>MID(VLOOKUP($A403,Seqs!$A:$B,2,FALSE),VLOOKUP($A403,'SegEnds_NonXtal_Prot#'!A:AL,10,FALSE)+6,1)</f>
        <v>V</v>
      </c>
      <c r="X403" s="49" t="str">
        <f>MID(VLOOKUP($A403,Seqs!$A:$B,2,FALSE),VLOOKUP($A403,'SegEnds_NonXtal_Prot#'!A:AL,10,FALSE)+7,1)</f>
        <v>L</v>
      </c>
      <c r="Y403" s="49" t="str">
        <f>MID(VLOOKUP($A403,Seqs!$A:$B,2,FALSE),VLOOKUP($A403,'SegEnds_NonXtal_Prot#'!A:AL,10,FALSE)+8,1)</f>
        <v>L</v>
      </c>
      <c r="Z403" s="49" t="str">
        <f>MID(VLOOKUP($A403,Seqs!$A:$B,2,FALSE),VLOOKUP($A403,'SegEnds_NonXtal_Prot#'!A:AL,10,FALSE)+9,1)</f>
        <v>L</v>
      </c>
      <c r="AA403" s="49" t="str">
        <f>MID(VLOOKUP($A403,Seqs!$A:$B,2,FALSE),VLOOKUP($A403,'SegEnds_NonXtal_Prot#'!A:AL,10,FALSE)+10,1)</f>
        <v>N</v>
      </c>
      <c r="AB403" s="28" t="str">
        <f>MID(VLOOKUP($A403,Seqs!$A:$B,2,FALSE),VLOOKUP($A403,'SegEnds_NonXtal_Prot#'!$A:$AL,22,FALSE)+6,1)</f>
        <v>A</v>
      </c>
      <c r="AC403" s="49" t="str">
        <f>MID(VLOOKUP($A403,Seqs!$A:$B,2,FALSE),VLOOKUP($A403,'SegEnds_NonXtal_Prot#'!$A:$AL,22,FALSE)+7,1)</f>
        <v>C</v>
      </c>
      <c r="AD403" s="49" t="str">
        <f>MID(VLOOKUP($A403,Seqs!$A:$B,2,FALSE),VLOOKUP($A403,'SegEnds_NonXtal_Prot#'!$A:$AL,22,FALSE)+8,1)</f>
        <v>H</v>
      </c>
      <c r="AE403" s="49" t="str">
        <f>MID(VLOOKUP($A403,Seqs!$A:$B,2,FALSE),VLOOKUP($A403,'SegEnds_NonXtal_Prot#'!$A:$AL,22,FALSE)+9,1)</f>
        <v>L</v>
      </c>
      <c r="AF403" s="49" t="str">
        <f>MID(VLOOKUP($A403,Seqs!$A:$B,2,FALSE),VLOOKUP($A403,'SegEnds_NonXtal_Prot#'!$A:$AL,22,FALSE)+10,1)</f>
        <v>F</v>
      </c>
      <c r="AG403" s="28" t="str">
        <f>MID(VLOOKUP($A403,Seqs!$A:$B,2,FALSE),VLOOKUP($A403,'SegEnds_NonXtal_Prot#'!$A:$AL,28,FALSE)-4,1)</f>
        <v>A</v>
      </c>
      <c r="AH403" s="49" t="str">
        <f>MID(VLOOKUP($A403,Seqs!$A:$B,2,FALSE),VLOOKUP($A403,'SegEnds_NonXtal_Prot#'!$A:$AL,28,FALSE),1)</f>
        <v>P</v>
      </c>
    </row>
    <row r="404" spans="1:34" s="2" customFormat="1" x14ac:dyDescent="0.2">
      <c r="A404" s="2" t="s">
        <v>923</v>
      </c>
      <c r="B404" s="2" t="str">
        <f>LOWER(VLOOKUP(A404,Xtal_Templ!A:B,2,FALSE))</f>
        <v>5ht2c_human</v>
      </c>
      <c r="C404" s="2" t="str">
        <f>VLOOKUP(A404,Classification!A:D,2,FALSE)</f>
        <v>T</v>
      </c>
      <c r="D404" s="2" t="str">
        <f>IF(ISERROR(MATCH(A404,'SegEnds_Xtal_Prot#'!B:B, 0)), "NoXtal", "Xtal")</f>
        <v>NoXtal</v>
      </c>
      <c r="H404" s="4"/>
      <c r="V404" s="28" t="str">
        <f>MID(VLOOKUP($A404,Seqs!$A:$B,2,FALSE),VLOOKUP($A404,'SegEnds_NonXtal_Prot#'!A:AL,10,FALSE),1)</f>
        <v>R</v>
      </c>
      <c r="W404" s="49" t="str">
        <f>MID(VLOOKUP($A404,Seqs!$A:$B,2,FALSE),VLOOKUP($A404,'SegEnds_NonXtal_Prot#'!A:AL,10,FALSE)+6,1)</f>
        <v>V</v>
      </c>
      <c r="X404" s="49" t="str">
        <f>MID(VLOOKUP($A404,Seqs!$A:$B,2,FALSE),VLOOKUP($A404,'SegEnds_NonXtal_Prot#'!A:AL,10,FALSE)+7,1)</f>
        <v>L</v>
      </c>
      <c r="Y404" s="49" t="str">
        <f>MID(VLOOKUP($A404,Seqs!$A:$B,2,FALSE),VLOOKUP($A404,'SegEnds_NonXtal_Prot#'!A:AL,10,FALSE)+8,1)</f>
        <v>L</v>
      </c>
      <c r="Z404" s="49" t="str">
        <f>MID(VLOOKUP($A404,Seqs!$A:$B,2,FALSE),VLOOKUP($A404,'SegEnds_NonXtal_Prot#'!A:AL,10,FALSE)+9,1)</f>
        <v>L</v>
      </c>
      <c r="AA404" s="49" t="str">
        <f>MID(VLOOKUP($A404,Seqs!$A:$B,2,FALSE),VLOOKUP($A404,'SegEnds_NonXtal_Prot#'!A:AL,10,FALSE)+10,1)</f>
        <v>N</v>
      </c>
      <c r="AB404" s="28" t="str">
        <f>MID(VLOOKUP($A404,Seqs!$A:$B,2,FALSE),VLOOKUP($A404,'SegEnds_NonXtal_Prot#'!$A:$AL,22,FALSE)+6,1)</f>
        <v>A</v>
      </c>
      <c r="AC404" s="49" t="str">
        <f>MID(VLOOKUP($A404,Seqs!$A:$B,2,FALSE),VLOOKUP($A404,'SegEnds_NonXtal_Prot#'!$A:$AL,22,FALSE)+7,1)</f>
        <v>C</v>
      </c>
      <c r="AD404" s="49" t="str">
        <f>MID(VLOOKUP($A404,Seqs!$A:$B,2,FALSE),VLOOKUP($A404,'SegEnds_NonXtal_Prot#'!$A:$AL,22,FALSE)+8,1)</f>
        <v>H</v>
      </c>
      <c r="AE404" s="49" t="str">
        <f>MID(VLOOKUP($A404,Seqs!$A:$B,2,FALSE),VLOOKUP($A404,'SegEnds_NonXtal_Prot#'!$A:$AL,22,FALSE)+9,1)</f>
        <v>L</v>
      </c>
      <c r="AF404" s="49" t="str">
        <f>MID(VLOOKUP($A404,Seqs!$A:$B,2,FALSE),VLOOKUP($A404,'SegEnds_NonXtal_Prot#'!$A:$AL,22,FALSE)+10,1)</f>
        <v>F</v>
      </c>
      <c r="AG404" s="28" t="str">
        <f>MID(VLOOKUP($A404,Seqs!$A:$B,2,FALSE),VLOOKUP($A404,'SegEnds_NonXtal_Prot#'!$A:$AL,28,FALSE)-4,1)</f>
        <v>A</v>
      </c>
      <c r="AH404" s="49" t="str">
        <f>MID(VLOOKUP($A404,Seqs!$A:$B,2,FALSE),VLOOKUP($A404,'SegEnds_NonXtal_Prot#'!$A:$AL,28,FALSE),1)</f>
        <v>P</v>
      </c>
    </row>
    <row r="405" spans="1:34" s="2" customFormat="1" x14ac:dyDescent="0.2">
      <c r="A405" s="2" t="s">
        <v>464</v>
      </c>
      <c r="B405" s="2" t="str">
        <f>LOWER(VLOOKUP(A405,Xtal_Templ!A:B,2,FALSE))</f>
        <v>5ht2c_human</v>
      </c>
      <c r="C405" s="2" t="str">
        <f>VLOOKUP(A405,Classification!A:D,2,FALSE)</f>
        <v>T</v>
      </c>
      <c r="D405" s="2" t="str">
        <f>IF(ISERROR(MATCH(A405,'SegEnds_Xtal_Prot#'!B:B, 0)), "NoXtal", "Xtal")</f>
        <v>NoXtal</v>
      </c>
      <c r="H405" s="4"/>
      <c r="V405" s="28" t="str">
        <f>MID(VLOOKUP($A405,Seqs!$A:$B,2,FALSE),VLOOKUP($A405,'SegEnds_NonXtal_Prot#'!A:AL,10,FALSE),1)</f>
        <v>R</v>
      </c>
      <c r="W405" s="49" t="str">
        <f>MID(VLOOKUP($A405,Seqs!$A:$B,2,FALSE),VLOOKUP($A405,'SegEnds_NonXtal_Prot#'!A:AL,10,FALSE)+6,1)</f>
        <v>V</v>
      </c>
      <c r="X405" s="49" t="str">
        <f>MID(VLOOKUP($A405,Seqs!$A:$B,2,FALSE),VLOOKUP($A405,'SegEnds_NonXtal_Prot#'!A:AL,10,FALSE)+7,1)</f>
        <v>L</v>
      </c>
      <c r="Y405" s="49" t="str">
        <f>MID(VLOOKUP($A405,Seqs!$A:$B,2,FALSE),VLOOKUP($A405,'SegEnds_NonXtal_Prot#'!A:AL,10,FALSE)+8,1)</f>
        <v>V</v>
      </c>
      <c r="Z405" s="49" t="str">
        <f>MID(VLOOKUP($A405,Seqs!$A:$B,2,FALSE),VLOOKUP($A405,'SegEnds_NonXtal_Prot#'!A:AL,10,FALSE)+9,1)</f>
        <v>L</v>
      </c>
      <c r="AA405" s="49" t="str">
        <f>MID(VLOOKUP($A405,Seqs!$A:$B,2,FALSE),VLOOKUP($A405,'SegEnds_NonXtal_Prot#'!A:AL,10,FALSE)+10,1)</f>
        <v>N</v>
      </c>
      <c r="AB405" s="28" t="str">
        <f>MID(VLOOKUP($A405,Seqs!$A:$B,2,FALSE),VLOOKUP($A405,'SegEnds_NonXtal_Prot#'!$A:$AL,22,FALSE)+6,1)</f>
        <v>V</v>
      </c>
      <c r="AC405" s="49" t="str">
        <f>MID(VLOOKUP($A405,Seqs!$A:$B,2,FALSE),VLOOKUP($A405,'SegEnds_NonXtal_Prot#'!$A:$AL,22,FALSE)+7,1)</f>
        <v>C</v>
      </c>
      <c r="AD405" s="49" t="str">
        <f>MID(VLOOKUP($A405,Seqs!$A:$B,2,FALSE),VLOOKUP($A405,'SegEnds_NonXtal_Prot#'!$A:$AL,22,FALSE)+8,1)</f>
        <v>H</v>
      </c>
      <c r="AE405" s="49" t="str">
        <f>MID(VLOOKUP($A405,Seqs!$A:$B,2,FALSE),VLOOKUP($A405,'SegEnds_NonXtal_Prot#'!$A:$AL,22,FALSE)+9,1)</f>
        <v>L</v>
      </c>
      <c r="AF405" s="49" t="str">
        <f>MID(VLOOKUP($A405,Seqs!$A:$B,2,FALSE),VLOOKUP($A405,'SegEnds_NonXtal_Prot#'!$A:$AL,22,FALSE)+10,1)</f>
        <v>F</v>
      </c>
      <c r="AG405" s="28" t="str">
        <f>MID(VLOOKUP($A405,Seqs!$A:$B,2,FALSE),VLOOKUP($A405,'SegEnds_NonXtal_Prot#'!$A:$AL,28,FALSE)-4,1)</f>
        <v>A</v>
      </c>
      <c r="AH405" s="49" t="str">
        <f>MID(VLOOKUP($A405,Seqs!$A:$B,2,FALSE),VLOOKUP($A405,'SegEnds_NonXtal_Prot#'!$A:$AL,28,FALSE),1)</f>
        <v>P</v>
      </c>
    </row>
    <row r="406" spans="1:34" s="2" customFormat="1" x14ac:dyDescent="0.2">
      <c r="A406" s="2" t="s">
        <v>465</v>
      </c>
      <c r="B406" s="2" t="str">
        <f>LOWER(VLOOKUP(A406,Xtal_Templ!A:B,2,FALSE))</f>
        <v>drd2_human</v>
      </c>
      <c r="C406" s="2" t="str">
        <f>VLOOKUP(A406,Classification!A:D,2,FALSE)</f>
        <v>T</v>
      </c>
      <c r="D406" s="2" t="str">
        <f>IF(ISERROR(MATCH(A406,'SegEnds_Xtal_Prot#'!B:B, 0)), "NoXtal", "Xtal")</f>
        <v>NoXtal</v>
      </c>
      <c r="H406" s="4"/>
      <c r="V406" s="28" t="str">
        <f>MID(VLOOKUP($A406,Seqs!$A:$B,2,FALSE),VLOOKUP($A406,'SegEnds_NonXtal_Prot#'!A:AL,10,FALSE),1)</f>
        <v>R</v>
      </c>
      <c r="W406" s="49" t="str">
        <f>MID(VLOOKUP($A406,Seqs!$A:$B,2,FALSE),VLOOKUP($A406,'SegEnds_NonXtal_Prot#'!A:AL,10,FALSE)+6,1)</f>
        <v>A</v>
      </c>
      <c r="X406" s="49" t="str">
        <f>MID(VLOOKUP($A406,Seqs!$A:$B,2,FALSE),VLOOKUP($A406,'SegEnds_NonXtal_Prot#'!A:AL,10,FALSE)+7,1)</f>
        <v>L</v>
      </c>
      <c r="Y406" s="49" t="str">
        <f>MID(VLOOKUP($A406,Seqs!$A:$B,2,FALSE),VLOOKUP($A406,'SegEnds_NonXtal_Prot#'!A:AL,10,FALSE)+8,1)</f>
        <v>L</v>
      </c>
      <c r="Z406" s="49" t="str">
        <f>MID(VLOOKUP($A406,Seqs!$A:$B,2,FALSE),VLOOKUP($A406,'SegEnds_NonXtal_Prot#'!A:AL,10,FALSE)+9,1)</f>
        <v>L</v>
      </c>
      <c r="AA406" s="49" t="str">
        <f>MID(VLOOKUP($A406,Seqs!$A:$B,2,FALSE),VLOOKUP($A406,'SegEnds_NonXtal_Prot#'!A:AL,10,FALSE)+10,1)</f>
        <v>N</v>
      </c>
      <c r="AB406" s="28" t="str">
        <f>MID(VLOOKUP($A406,Seqs!$A:$B,2,FALSE),VLOOKUP($A406,'SegEnds_NonXtal_Prot#'!$A:$AL,22,FALSE)+6,1)</f>
        <v>V</v>
      </c>
      <c r="AC406" s="49" t="str">
        <f>MID(VLOOKUP($A406,Seqs!$A:$B,2,FALSE),VLOOKUP($A406,'SegEnds_NonXtal_Prot#'!$A:$AL,22,FALSE)+7,1)</f>
        <v>C</v>
      </c>
      <c r="AD406" s="49" t="str">
        <f>MID(VLOOKUP($A406,Seqs!$A:$B,2,FALSE),VLOOKUP($A406,'SegEnds_NonXtal_Prot#'!$A:$AL,22,FALSE)+8,1)</f>
        <v>H</v>
      </c>
      <c r="AE406" s="49" t="str">
        <f>MID(VLOOKUP($A406,Seqs!$A:$B,2,FALSE),VLOOKUP($A406,'SegEnds_NonXtal_Prot#'!$A:$AL,22,FALSE)+9,1)</f>
        <v>L</v>
      </c>
      <c r="AF406" s="49" t="str">
        <f>MID(VLOOKUP($A406,Seqs!$A:$B,2,FALSE),VLOOKUP($A406,'SegEnds_NonXtal_Prot#'!$A:$AL,22,FALSE)+10,1)</f>
        <v>L</v>
      </c>
      <c r="AG406" s="28" t="str">
        <f>MID(VLOOKUP($A406,Seqs!$A:$B,2,FALSE),VLOOKUP($A406,'SegEnds_NonXtal_Prot#'!$A:$AL,28,FALSE)-4,1)</f>
        <v>W</v>
      </c>
      <c r="AH406" s="49" t="str">
        <f>MID(VLOOKUP($A406,Seqs!$A:$B,2,FALSE),VLOOKUP($A406,'SegEnds_NonXtal_Prot#'!$A:$AL,28,FALSE),1)</f>
        <v>P</v>
      </c>
    </row>
    <row r="407" spans="1:34" s="2" customFormat="1" x14ac:dyDescent="0.2">
      <c r="A407" s="2" t="s">
        <v>469</v>
      </c>
      <c r="B407" s="2" t="str">
        <f>LOWER(VLOOKUP(A407,Xtal_Templ!A:B,2,FALSE))</f>
        <v>cxcr4_human</v>
      </c>
      <c r="C407" s="2" t="str">
        <f>VLOOKUP(A407,Classification!A:D,2,FALSE)</f>
        <v>T</v>
      </c>
      <c r="D407" s="2" t="str">
        <f>IF(ISERROR(MATCH(A407,'SegEnds_Xtal_Prot#'!B:B, 0)), "NoXtal", "Xtal")</f>
        <v>NoXtal</v>
      </c>
      <c r="H407" s="4"/>
      <c r="V407" s="28" t="str">
        <f>MID(VLOOKUP($A407,Seqs!$A:$B,2,FALSE),VLOOKUP($A407,'SegEnds_NonXtal_Prot#'!A:AL,10,FALSE),1)</f>
        <v>R</v>
      </c>
      <c r="W407" s="49" t="str">
        <f>MID(VLOOKUP($A407,Seqs!$A:$B,2,FALSE),VLOOKUP($A407,'SegEnds_NonXtal_Prot#'!A:AL,10,FALSE)+6,1)</f>
        <v>I</v>
      </c>
      <c r="X407" s="49" t="str">
        <f>MID(VLOOKUP($A407,Seqs!$A:$B,2,FALSE),VLOOKUP($A407,'SegEnds_NonXtal_Prot#'!A:AL,10,FALSE)+7,1)</f>
        <v>I</v>
      </c>
      <c r="Y407" s="49" t="str">
        <f>MID(VLOOKUP($A407,Seqs!$A:$B,2,FALSE),VLOOKUP($A407,'SegEnds_NonXtal_Prot#'!A:AL,10,FALSE)+8,1)</f>
        <v>L</v>
      </c>
      <c r="Z407" s="49" t="str">
        <f>MID(VLOOKUP($A407,Seqs!$A:$B,2,FALSE),VLOOKUP($A407,'SegEnds_NonXtal_Prot#'!A:AL,10,FALSE)+9,1)</f>
        <v>T</v>
      </c>
      <c r="AA407" s="49" t="str">
        <f>MID(VLOOKUP($A407,Seqs!$A:$B,2,FALSE),VLOOKUP($A407,'SegEnds_NonXtal_Prot#'!A:AL,10,FALSE)+10,1)</f>
        <v>D</v>
      </c>
      <c r="AB407" s="28" t="str">
        <f>MID(VLOOKUP($A407,Seqs!$A:$B,2,FALSE),VLOOKUP($A407,'SegEnds_NonXtal_Prot#'!$A:$AL,22,FALSE)+6,1)</f>
        <v>C</v>
      </c>
      <c r="AC407" s="49" t="str">
        <f>MID(VLOOKUP($A407,Seqs!$A:$B,2,FALSE),VLOOKUP($A407,'SegEnds_NonXtal_Prot#'!$A:$AL,22,FALSE)+7,1)</f>
        <v>G</v>
      </c>
      <c r="AD407" s="49" t="str">
        <f>MID(VLOOKUP($A407,Seqs!$A:$B,2,FALSE),VLOOKUP($A407,'SegEnds_NonXtal_Prot#'!$A:$AL,22,FALSE)+8,1)</f>
        <v>S</v>
      </c>
      <c r="AE407" s="49" t="str">
        <f>MID(VLOOKUP($A407,Seqs!$A:$B,2,FALSE),VLOOKUP($A407,'SegEnds_NonXtal_Prot#'!$A:$AL,22,FALSE)+9,1)</f>
        <v>T</v>
      </c>
      <c r="AF407" s="49" t="str">
        <f>MID(VLOOKUP($A407,Seqs!$A:$B,2,FALSE),VLOOKUP($A407,'SegEnds_NonXtal_Prot#'!$A:$AL,22,FALSE)+10,1)</f>
        <v>A</v>
      </c>
      <c r="AG407" s="28" t="str">
        <f>MID(VLOOKUP($A407,Seqs!$A:$B,2,FALSE),VLOOKUP($A407,'SegEnds_NonXtal_Prot#'!$A:$AL,28,FALSE)-4,1)</f>
        <v>W</v>
      </c>
      <c r="AH407" s="49" t="str">
        <f>MID(VLOOKUP($A407,Seqs!$A:$B,2,FALSE),VLOOKUP($A407,'SegEnds_NonXtal_Prot#'!$A:$AL,28,FALSE),1)</f>
        <v>P</v>
      </c>
    </row>
    <row r="408" spans="1:34" s="2" customFormat="1" x14ac:dyDescent="0.2">
      <c r="A408" s="2" t="s">
        <v>472</v>
      </c>
      <c r="B408" s="2" t="str">
        <f>LOWER(VLOOKUP(A408,Xtal_Templ!A:B,2,FALSE))</f>
        <v>drd2_human</v>
      </c>
      <c r="C408" s="2" t="str">
        <f>VLOOKUP(A408,Classification!A:D,2,FALSE)</f>
        <v>T</v>
      </c>
      <c r="D408" s="2" t="str">
        <f>IF(ISERROR(MATCH(A408,'SegEnds_Xtal_Prot#'!B:B, 0)), "NoXtal", "Xtal")</f>
        <v>NoXtal</v>
      </c>
      <c r="H408" s="4"/>
      <c r="V408" s="28" t="str">
        <f>MID(VLOOKUP($A408,Seqs!$A:$B,2,FALSE),VLOOKUP($A408,'SegEnds_NonXtal_Prot#'!A:AL,10,FALSE),1)</f>
        <v>R</v>
      </c>
      <c r="W408" s="49" t="str">
        <f>MID(VLOOKUP($A408,Seqs!$A:$B,2,FALSE),VLOOKUP($A408,'SegEnds_NonXtal_Prot#'!A:AL,10,FALSE)+6,1)</f>
        <v>V</v>
      </c>
      <c r="X408" s="49" t="str">
        <f>MID(VLOOKUP($A408,Seqs!$A:$B,2,FALSE),VLOOKUP($A408,'SegEnds_NonXtal_Prot#'!A:AL,10,FALSE)+7,1)</f>
        <v>I</v>
      </c>
      <c r="Y408" s="49" t="str">
        <f>MID(VLOOKUP($A408,Seqs!$A:$B,2,FALSE),VLOOKUP($A408,'SegEnds_NonXtal_Prot#'!A:AL,10,FALSE)+8,1)</f>
        <v>L</v>
      </c>
      <c r="Z408" s="49" t="str">
        <f>MID(VLOOKUP($A408,Seqs!$A:$B,2,FALSE),VLOOKUP($A408,'SegEnds_NonXtal_Prot#'!A:AL,10,FALSE)+9,1)</f>
        <v>L</v>
      </c>
      <c r="AA408" s="49" t="str">
        <f>MID(VLOOKUP($A408,Seqs!$A:$B,2,FALSE),VLOOKUP($A408,'SegEnds_NonXtal_Prot#'!A:AL,10,FALSE)+10,1)</f>
        <v>D</v>
      </c>
      <c r="AB408" s="28" t="str">
        <f>MID(VLOOKUP($A408,Seqs!$A:$B,2,FALSE),VLOOKUP($A408,'SegEnds_NonXtal_Prot#'!$A:$AL,22,FALSE)+6,1)</f>
        <v>V</v>
      </c>
      <c r="AC408" s="49" t="str">
        <f>MID(VLOOKUP($A408,Seqs!$A:$B,2,FALSE),VLOOKUP($A408,'SegEnds_NonXtal_Prot#'!$A:$AL,22,FALSE)+7,1)</f>
        <v>F</v>
      </c>
      <c r="AD408" s="49" t="str">
        <f>MID(VLOOKUP($A408,Seqs!$A:$B,2,FALSE),VLOOKUP($A408,'SegEnds_NonXtal_Prot#'!$A:$AL,22,FALSE)+8,1)</f>
        <v>I</v>
      </c>
      <c r="AE408" s="49" t="str">
        <f>MID(VLOOKUP($A408,Seqs!$A:$B,2,FALSE),VLOOKUP($A408,'SegEnds_NonXtal_Prot#'!$A:$AL,22,FALSE)+9,1)</f>
        <v>S</v>
      </c>
      <c r="AF408" s="49" t="str">
        <f>MID(VLOOKUP($A408,Seqs!$A:$B,2,FALSE),VLOOKUP($A408,'SegEnds_NonXtal_Prot#'!$A:$AL,22,FALSE)+10,1)</f>
        <v>L</v>
      </c>
      <c r="AG408" s="28" t="str">
        <f>MID(VLOOKUP($A408,Seqs!$A:$B,2,FALSE),VLOOKUP($A408,'SegEnds_NonXtal_Prot#'!$A:$AL,28,FALSE)-4,1)</f>
        <v>A</v>
      </c>
      <c r="AH408" s="49" t="str">
        <f>MID(VLOOKUP($A408,Seqs!$A:$B,2,FALSE),VLOOKUP($A408,'SegEnds_NonXtal_Prot#'!$A:$AL,28,FALSE),1)</f>
        <v>P</v>
      </c>
    </row>
    <row r="409" spans="1:34" s="2" customFormat="1" x14ac:dyDescent="0.2">
      <c r="A409" s="2" t="s">
        <v>473</v>
      </c>
      <c r="B409" s="2" t="str">
        <f>LOWER(VLOOKUP(A409,Xtal_Templ!A:B,2,FALSE))</f>
        <v>drd2_human</v>
      </c>
      <c r="C409" s="2" t="str">
        <f>VLOOKUP(A409,Classification!A:D,2,FALSE)</f>
        <v>T</v>
      </c>
      <c r="D409" s="2" t="str">
        <f>IF(ISERROR(MATCH(A409,'SegEnds_Xtal_Prot#'!B:B, 0)), "NoXtal", "Xtal")</f>
        <v>NoXtal</v>
      </c>
      <c r="H409" s="4"/>
      <c r="V409" s="28" t="str">
        <f>MID(VLOOKUP($A409,Seqs!$A:$B,2,FALSE),VLOOKUP($A409,'SegEnds_NonXtal_Prot#'!A:AL,10,FALSE),1)</f>
        <v>R</v>
      </c>
      <c r="W409" s="49" t="str">
        <f>MID(VLOOKUP($A409,Seqs!$A:$B,2,FALSE),VLOOKUP($A409,'SegEnds_NonXtal_Prot#'!A:AL,10,FALSE)+6,1)</f>
        <v>V</v>
      </c>
      <c r="X409" s="49" t="str">
        <f>MID(VLOOKUP($A409,Seqs!$A:$B,2,FALSE),VLOOKUP($A409,'SegEnds_NonXtal_Prot#'!A:AL,10,FALSE)+7,1)</f>
        <v>M</v>
      </c>
      <c r="Y409" s="49" t="str">
        <f>MID(VLOOKUP($A409,Seqs!$A:$B,2,FALSE),VLOOKUP($A409,'SegEnds_NonXtal_Prot#'!A:AL,10,FALSE)+8,1)</f>
        <v>V</v>
      </c>
      <c r="Z409" s="49" t="str">
        <f>MID(VLOOKUP($A409,Seqs!$A:$B,2,FALSE),VLOOKUP($A409,'SegEnds_NonXtal_Prot#'!A:AL,10,FALSE)+9,1)</f>
        <v>V</v>
      </c>
      <c r="AA409" s="49" t="str">
        <f>MID(VLOOKUP($A409,Seqs!$A:$B,2,FALSE),VLOOKUP($A409,'SegEnds_NonXtal_Prot#'!A:AL,10,FALSE)+10,1)</f>
        <v>N</v>
      </c>
      <c r="AB409" s="28" t="str">
        <f>MID(VLOOKUP($A409,Seqs!$A:$B,2,FALSE),VLOOKUP($A409,'SegEnds_NonXtal_Prot#'!$A:$AL,22,FALSE)+6,1)</f>
        <v>L</v>
      </c>
      <c r="AC409" s="49" t="str">
        <f>MID(VLOOKUP($A409,Seqs!$A:$B,2,FALSE),VLOOKUP($A409,'SegEnds_NonXtal_Prot#'!$A:$AL,22,FALSE)+7,1)</f>
        <v>L</v>
      </c>
      <c r="AD409" s="49" t="str">
        <f>MID(VLOOKUP($A409,Seqs!$A:$B,2,FALSE),VLOOKUP($A409,'SegEnds_NonXtal_Prot#'!$A:$AL,22,FALSE)+8,1)</f>
        <v>V</v>
      </c>
      <c r="AE409" s="49" t="str">
        <f>MID(VLOOKUP($A409,Seqs!$A:$B,2,FALSE),VLOOKUP($A409,'SegEnds_NonXtal_Prot#'!$A:$AL,22,FALSE)+9,1)</f>
        <v>S</v>
      </c>
      <c r="AF409" s="49" t="str">
        <f>MID(VLOOKUP($A409,Seqs!$A:$B,2,FALSE),VLOOKUP($A409,'SegEnds_NonXtal_Prot#'!$A:$AL,22,FALSE)+10,1)</f>
        <v>L</v>
      </c>
      <c r="AG409" s="28" t="str">
        <f>MID(VLOOKUP($A409,Seqs!$A:$B,2,FALSE),VLOOKUP($A409,'SegEnds_NonXtal_Prot#'!$A:$AL,28,FALSE)-4,1)</f>
        <v>F</v>
      </c>
      <c r="AH409" s="49" t="str">
        <f>MID(VLOOKUP($A409,Seqs!$A:$B,2,FALSE),VLOOKUP($A409,'SegEnds_NonXtal_Prot#'!$A:$AL,28,FALSE),1)</f>
        <v>P</v>
      </c>
    </row>
    <row r="410" spans="1:34" s="2" customFormat="1" x14ac:dyDescent="0.2">
      <c r="A410" s="2" t="s">
        <v>474</v>
      </c>
      <c r="B410" s="2" t="str">
        <f>LOWER(VLOOKUP(A410,Xtal_Templ!A:B,2,FALSE))</f>
        <v>agtr1_human</v>
      </c>
      <c r="C410" s="2" t="str">
        <f>VLOOKUP(A410,Classification!A:D,2,FALSE)</f>
        <v>T</v>
      </c>
      <c r="D410" s="2" t="str">
        <f>IF(ISERROR(MATCH(A410,'SegEnds_Xtal_Prot#'!B:B, 0)), "NoXtal", "Xtal")</f>
        <v>NoXtal</v>
      </c>
      <c r="H410" s="4"/>
      <c r="V410" s="28" t="str">
        <f>MID(VLOOKUP($A410,Seqs!$A:$B,2,FALSE),VLOOKUP($A410,'SegEnds_NonXtal_Prot#'!A:AL,10,FALSE),1)</f>
        <v>R</v>
      </c>
      <c r="W410" s="49" t="str">
        <f>MID(VLOOKUP($A410,Seqs!$A:$B,2,FALSE),VLOOKUP($A410,'SegEnds_NonXtal_Prot#'!A:AL,10,FALSE)+6,1)</f>
        <v>V</v>
      </c>
      <c r="X410" s="49" t="str">
        <f>MID(VLOOKUP($A410,Seqs!$A:$B,2,FALSE),VLOOKUP($A410,'SegEnds_NonXtal_Prot#'!A:AL,10,FALSE)+7,1)</f>
        <v>I</v>
      </c>
      <c r="Y410" s="49" t="str">
        <f>MID(VLOOKUP($A410,Seqs!$A:$B,2,FALSE),VLOOKUP($A410,'SegEnds_NonXtal_Prot#'!A:AL,10,FALSE)+8,1)</f>
        <v>S</v>
      </c>
      <c r="Z410" s="49" t="str">
        <f>MID(VLOOKUP($A410,Seqs!$A:$B,2,FALSE),VLOOKUP($A410,'SegEnds_NonXtal_Prot#'!A:AL,10,FALSE)+9,1)</f>
        <v>L</v>
      </c>
      <c r="AA410" s="49" t="str">
        <f>MID(VLOOKUP($A410,Seqs!$A:$B,2,FALSE),VLOOKUP($A410,'SegEnds_NonXtal_Prot#'!A:AL,10,FALSE)+10,1)</f>
        <v>D</v>
      </c>
      <c r="AB410" s="28" t="str">
        <f>MID(VLOOKUP($A410,Seqs!$A:$B,2,FALSE),VLOOKUP($A410,'SegEnds_NonXtal_Prot#'!$A:$AL,22,FALSE)+6,1)</f>
        <v>L</v>
      </c>
      <c r="AC410" s="49" t="str">
        <f>MID(VLOOKUP($A410,Seqs!$A:$B,2,FALSE),VLOOKUP($A410,'SegEnds_NonXtal_Prot#'!$A:$AL,22,FALSE)+7,1)</f>
        <v>I</v>
      </c>
      <c r="AD410" s="49" t="str">
        <f>MID(VLOOKUP($A410,Seqs!$A:$B,2,FALSE),VLOOKUP($A410,'SegEnds_NonXtal_Prot#'!$A:$AL,22,FALSE)+8,1)</f>
        <v>I</v>
      </c>
      <c r="AE410" s="49" t="str">
        <f>MID(VLOOKUP($A410,Seqs!$A:$B,2,FALSE),VLOOKUP($A410,'SegEnds_NonXtal_Prot#'!$A:$AL,22,FALSE)+9,1)</f>
        <v>S</v>
      </c>
      <c r="AF410" s="49" t="str">
        <f>MID(VLOOKUP($A410,Seqs!$A:$B,2,FALSE),VLOOKUP($A410,'SegEnds_NonXtal_Prot#'!$A:$AL,22,FALSE)+10,1)</f>
        <v>V</v>
      </c>
      <c r="AG410" s="28" t="str">
        <f>MID(VLOOKUP($A410,Seqs!$A:$B,2,FALSE),VLOOKUP($A410,'SegEnds_NonXtal_Prot#'!$A:$AL,28,FALSE)-4,1)</f>
        <v>G</v>
      </c>
      <c r="AH410" s="49" t="str">
        <f>MID(VLOOKUP($A410,Seqs!$A:$B,2,FALSE),VLOOKUP($A410,'SegEnds_NonXtal_Prot#'!$A:$AL,28,FALSE),1)</f>
        <v>P</v>
      </c>
    </row>
    <row r="411" spans="1:34" s="2" customFormat="1" x14ac:dyDescent="0.2">
      <c r="A411" s="2" t="s">
        <v>460</v>
      </c>
      <c r="B411" s="2" t="str">
        <f>LOWER(VLOOKUP(A411,Xtal_Templ!A:B,2,FALSE))</f>
        <v>5ht2a_human</v>
      </c>
      <c r="C411" s="2" t="str">
        <f>VLOOKUP(A411,Classification!A:D,2,FALSE)</f>
        <v>T</v>
      </c>
      <c r="D411" s="2" t="str">
        <f>IF(ISERROR(MATCH(A411,'SegEnds_Xtal_Prot#'!B:B, 0)), "NoXtal", "Xtal")</f>
        <v>NoXtal</v>
      </c>
      <c r="H411" s="4"/>
      <c r="V411" s="28" t="str">
        <f>MID(VLOOKUP($A411,Seqs!$A:$B,2,FALSE),VLOOKUP($A411,'SegEnds_NonXtal_Prot#'!A:AL,10,FALSE),1)</f>
        <v>R</v>
      </c>
      <c r="W411" s="49" t="str">
        <f>MID(VLOOKUP($A411,Seqs!$A:$B,2,FALSE),VLOOKUP($A411,'SegEnds_NonXtal_Prot#'!A:AL,10,FALSE)+6,1)</f>
        <v>W</v>
      </c>
      <c r="X411" s="49" t="str">
        <f>MID(VLOOKUP($A411,Seqs!$A:$B,2,FALSE),VLOOKUP($A411,'SegEnds_NonXtal_Prot#'!A:AL,10,FALSE)+7,1)</f>
        <v>M</v>
      </c>
      <c r="Y411" s="49" t="str">
        <f>MID(VLOOKUP($A411,Seqs!$A:$B,2,FALSE),VLOOKUP($A411,'SegEnds_NonXtal_Prot#'!A:AL,10,FALSE)+8,1)</f>
        <v>M</v>
      </c>
      <c r="Z411" s="49" t="str">
        <f>MID(VLOOKUP($A411,Seqs!$A:$B,2,FALSE),VLOOKUP($A411,'SegEnds_NonXtal_Prot#'!A:AL,10,FALSE)+9,1)</f>
        <v>L</v>
      </c>
      <c r="AA411" s="49" t="str">
        <f>MID(VLOOKUP($A411,Seqs!$A:$B,2,FALSE),VLOOKUP($A411,'SegEnds_NonXtal_Prot#'!A:AL,10,FALSE)+10,1)</f>
        <v>E</v>
      </c>
      <c r="AB411" s="28" t="str">
        <f>MID(VLOOKUP($A411,Seqs!$A:$B,2,FALSE),VLOOKUP($A411,'SegEnds_NonXtal_Prot#'!$A:$AL,22,FALSE)+6,1)</f>
        <v>L</v>
      </c>
      <c r="AC411" s="49" t="str">
        <f>MID(VLOOKUP($A411,Seqs!$A:$B,2,FALSE),VLOOKUP($A411,'SegEnds_NonXtal_Prot#'!$A:$AL,22,FALSE)+7,1)</f>
        <v>S</v>
      </c>
      <c r="AD411" s="49" t="str">
        <f>MID(VLOOKUP($A411,Seqs!$A:$B,2,FALSE),VLOOKUP($A411,'SegEnds_NonXtal_Prot#'!$A:$AL,22,FALSE)+8,1)</f>
        <v>F</v>
      </c>
      <c r="AE411" s="49" t="str">
        <f>MID(VLOOKUP($A411,Seqs!$A:$B,2,FALSE),VLOOKUP($A411,'SegEnds_NonXtal_Prot#'!$A:$AL,22,FALSE)+9,1)</f>
        <v>S</v>
      </c>
      <c r="AF411" s="49" t="str">
        <f>MID(VLOOKUP($A411,Seqs!$A:$B,2,FALSE),VLOOKUP($A411,'SegEnds_NonXtal_Prot#'!$A:$AL,22,FALSE)+10,1)</f>
        <v>F</v>
      </c>
      <c r="AG411" s="28" t="str">
        <f>MID(VLOOKUP($A411,Seqs!$A:$B,2,FALSE),VLOOKUP($A411,'SegEnds_NonXtal_Prot#'!$A:$AL,28,FALSE)-4,1)</f>
        <v>G</v>
      </c>
      <c r="AH411" s="49" t="str">
        <f>MID(VLOOKUP($A411,Seqs!$A:$B,2,FALSE),VLOOKUP($A411,'SegEnds_NonXtal_Prot#'!$A:$AL,28,FALSE),1)</f>
        <v>P</v>
      </c>
    </row>
    <row r="412" spans="1:34" s="2" customFormat="1" x14ac:dyDescent="0.2">
      <c r="A412" s="2" t="s">
        <v>468</v>
      </c>
      <c r="B412" s="2" t="str">
        <f>LOWER(VLOOKUP(A412,Xtal_Templ!A:B,2,FALSE))</f>
        <v>cxcr4_human</v>
      </c>
      <c r="C412" s="2" t="str">
        <f>VLOOKUP(A412,Classification!A:D,2,FALSE)</f>
        <v>T</v>
      </c>
      <c r="D412" s="2" t="str">
        <f>IF(ISERROR(MATCH(A412,'SegEnds_Xtal_Prot#'!B:B, 0)), "NoXtal", "Xtal")</f>
        <v>NoXtal</v>
      </c>
      <c r="H412" s="4"/>
      <c r="V412" s="28" t="str">
        <f>MID(VLOOKUP($A412,Seqs!$A:$B,2,FALSE),VLOOKUP($A412,'SegEnds_NonXtal_Prot#'!A:AL,10,FALSE),1)</f>
        <v>R</v>
      </c>
      <c r="W412" s="49" t="str">
        <f>MID(VLOOKUP($A412,Seqs!$A:$B,2,FALSE),VLOOKUP($A412,'SegEnds_NonXtal_Prot#'!A:AL,10,FALSE)+6,1)</f>
        <v>F</v>
      </c>
      <c r="X412" s="49" t="str">
        <f>MID(VLOOKUP($A412,Seqs!$A:$B,2,FALSE),VLOOKUP($A412,'SegEnds_NonXtal_Prot#'!A:AL,10,FALSE)+7,1)</f>
        <v>I</v>
      </c>
      <c r="Y412" s="49" t="str">
        <f>MID(VLOOKUP($A412,Seqs!$A:$B,2,FALSE),VLOOKUP($A412,'SegEnds_NonXtal_Prot#'!A:AL,10,FALSE)+8,1)</f>
        <v>F</v>
      </c>
      <c r="Z412" s="49" t="str">
        <f>MID(VLOOKUP($A412,Seqs!$A:$B,2,FALSE),VLOOKUP($A412,'SegEnds_NonXtal_Prot#'!A:AL,10,FALSE)+9,1)</f>
        <v>Y</v>
      </c>
      <c r="AA412" s="49" t="str">
        <f>MID(VLOOKUP($A412,Seqs!$A:$B,2,FALSE),VLOOKUP($A412,'SegEnds_NonXtal_Prot#'!A:AL,10,FALSE)+10,1)</f>
        <v>V</v>
      </c>
      <c r="AB412" s="28" t="str">
        <f>MID(VLOOKUP($A412,Seqs!$A:$B,2,FALSE),VLOOKUP($A412,'SegEnds_NonXtal_Prot#'!$A:$AL,22,FALSE)+6,1)</f>
        <v>S</v>
      </c>
      <c r="AC412" s="49" t="str">
        <f>MID(VLOOKUP($A412,Seqs!$A:$B,2,FALSE),VLOOKUP($A412,'SegEnds_NonXtal_Prot#'!$A:$AL,22,FALSE)+7,1)</f>
        <v>M</v>
      </c>
      <c r="AD412" s="49" t="str">
        <f>MID(VLOOKUP($A412,Seqs!$A:$B,2,FALSE),VLOOKUP($A412,'SegEnds_NonXtal_Prot#'!$A:$AL,22,FALSE)+8,1)</f>
        <v>I</v>
      </c>
      <c r="AE412" s="49" t="str">
        <f>MID(VLOOKUP($A412,Seqs!$A:$B,2,FALSE),VLOOKUP($A412,'SegEnds_NonXtal_Prot#'!$A:$AL,22,FALSE)+9,1)</f>
        <v>C</v>
      </c>
      <c r="AF412" s="49" t="str">
        <f>MID(VLOOKUP($A412,Seqs!$A:$B,2,FALSE),VLOOKUP($A412,'SegEnds_NonXtal_Prot#'!$A:$AL,22,FALSE)+10,1)</f>
        <v>V</v>
      </c>
      <c r="AG412" s="28" t="str">
        <f>MID(VLOOKUP($A412,Seqs!$A:$B,2,FALSE),VLOOKUP($A412,'SegEnds_NonXtal_Prot#'!$A:$AL,28,FALSE)-4,1)</f>
        <v>E</v>
      </c>
      <c r="AH412" s="49" t="str">
        <f>MID(VLOOKUP($A412,Seqs!$A:$B,2,FALSE),VLOOKUP($A412,'SegEnds_NonXtal_Prot#'!$A:$AL,28,FALSE),1)</f>
        <v>P</v>
      </c>
    </row>
    <row r="413" spans="1:34" s="2" customFormat="1" x14ac:dyDescent="0.2">
      <c r="A413" s="2" t="s">
        <v>453</v>
      </c>
      <c r="B413" s="2" t="str">
        <f>LOWER(VLOOKUP(A413,Xtal_Templ!A:B,2,FALSE))</f>
        <v>pd2r2_human</v>
      </c>
      <c r="C413" s="2" t="str">
        <f>VLOOKUP(A413,Classification!A:D,2,FALSE)</f>
        <v>T</v>
      </c>
      <c r="D413" s="2" t="str">
        <f>IF(ISERROR(MATCH(A413,'SegEnds_Xtal_Prot#'!B:B, 0)), "NoXtal", "Xtal")</f>
        <v>NoXtal</v>
      </c>
      <c r="H413" s="4"/>
      <c r="V413" s="28" t="str">
        <f>MID(VLOOKUP($A413,Seqs!$A:$B,2,FALSE),VLOOKUP($A413,'SegEnds_NonXtal_Prot#'!A:AL,10,FALSE),1)</f>
        <v>R</v>
      </c>
      <c r="W413" s="49" t="str">
        <f>MID(VLOOKUP($A413,Seqs!$A:$B,2,FALSE),VLOOKUP($A413,'SegEnds_NonXtal_Prot#'!A:AL,10,FALSE)+6,1)</f>
        <v>A</v>
      </c>
      <c r="X413" s="49" t="str">
        <f>MID(VLOOKUP($A413,Seqs!$A:$B,2,FALSE),VLOOKUP($A413,'SegEnds_NonXtal_Prot#'!A:AL,10,FALSE)+7,1)</f>
        <v>S</v>
      </c>
      <c r="Y413" s="49" t="str">
        <f>MID(VLOOKUP($A413,Seqs!$A:$B,2,FALSE),VLOOKUP($A413,'SegEnds_NonXtal_Prot#'!A:AL,10,FALSE)+8,1)</f>
        <v>M</v>
      </c>
      <c r="Z413" s="49" t="str">
        <f>MID(VLOOKUP($A413,Seqs!$A:$B,2,FALSE),VLOOKUP($A413,'SegEnds_NonXtal_Prot#'!A:AL,10,FALSE)+9,1)</f>
        <v>L</v>
      </c>
      <c r="AA413" s="49" t="str">
        <f>MID(VLOOKUP($A413,Seqs!$A:$B,2,FALSE),VLOOKUP($A413,'SegEnds_NonXtal_Prot#'!A:AL,10,FALSE)+10,1)</f>
        <v>N</v>
      </c>
      <c r="AB413" s="28" t="str">
        <f>MID(VLOOKUP($A413,Seqs!$A:$B,2,FALSE),VLOOKUP($A413,'SegEnds_NonXtal_Prot#'!$A:$AL,22,FALSE)+6,1)</f>
        <v>C</v>
      </c>
      <c r="AC413" s="49" t="str">
        <f>MID(VLOOKUP($A413,Seqs!$A:$B,2,FALSE),VLOOKUP($A413,'SegEnds_NonXtal_Prot#'!$A:$AL,22,FALSE)+7,1)</f>
        <v>V</v>
      </c>
      <c r="AD413" s="49" t="str">
        <f>MID(VLOOKUP($A413,Seqs!$A:$B,2,FALSE),VLOOKUP($A413,'SegEnds_NonXtal_Prot#'!$A:$AL,22,FALSE)+8,1)</f>
        <v>T</v>
      </c>
      <c r="AE413" s="49" t="str">
        <f>MID(VLOOKUP($A413,Seqs!$A:$B,2,FALSE),VLOOKUP($A413,'SegEnds_NonXtal_Prot#'!$A:$AL,22,FALSE)+9,1)</f>
        <v>I</v>
      </c>
      <c r="AF413" s="49" t="str">
        <f>MID(VLOOKUP($A413,Seqs!$A:$B,2,FALSE),VLOOKUP($A413,'SegEnds_NonXtal_Prot#'!$A:$AL,22,FALSE)+10,1)</f>
        <v>I</v>
      </c>
      <c r="AG413" s="28" t="str">
        <f>MID(VLOOKUP($A413,Seqs!$A:$B,2,FALSE),VLOOKUP($A413,'SegEnds_NonXtal_Prot#'!$A:$AL,28,FALSE)-4,1)</f>
        <v>A</v>
      </c>
      <c r="AH413" s="49" t="str">
        <f>MID(VLOOKUP($A413,Seqs!$A:$B,2,FALSE),VLOOKUP($A413,'SegEnds_NonXtal_Prot#'!$A:$AL,28,FALSE),1)</f>
        <v>P</v>
      </c>
    </row>
    <row r="414" spans="1:34" s="2" customFormat="1" x14ac:dyDescent="0.2">
      <c r="A414" s="2" t="s">
        <v>452</v>
      </c>
      <c r="B414" s="2" t="str">
        <f>LOWER(VLOOKUP(A414,Xtal_Templ!A:B,2,FALSE))</f>
        <v>5ht2c_human</v>
      </c>
      <c r="C414" s="2" t="str">
        <f>VLOOKUP(A414,Classification!A:D,2,FALSE)</f>
        <v>T</v>
      </c>
      <c r="D414" s="2" t="str">
        <f>IF(ISERROR(MATCH(A414,'SegEnds_Xtal_Prot#'!B:B, 0)), "NoXtal", "Xtal")</f>
        <v>NoXtal</v>
      </c>
      <c r="H414" s="4"/>
      <c r="V414" s="28" t="str">
        <f>MID(VLOOKUP($A414,Seqs!$A:$B,2,FALSE),VLOOKUP($A414,'SegEnds_NonXtal_Prot#'!A:AL,10,FALSE),1)</f>
        <v>R</v>
      </c>
      <c r="W414" s="49" t="str">
        <f>MID(VLOOKUP($A414,Seqs!$A:$B,2,FALSE),VLOOKUP($A414,'SegEnds_NonXtal_Prot#'!A:AL,10,FALSE)+6,1)</f>
        <v>L</v>
      </c>
      <c r="X414" s="49" t="str">
        <f>MID(VLOOKUP($A414,Seqs!$A:$B,2,FALSE),VLOOKUP($A414,'SegEnds_NonXtal_Prot#'!A:AL,10,FALSE)+7,1)</f>
        <v>I</v>
      </c>
      <c r="Y414" s="49" t="str">
        <f>MID(VLOOKUP($A414,Seqs!$A:$B,2,FALSE),VLOOKUP($A414,'SegEnds_NonXtal_Prot#'!A:AL,10,FALSE)+8,1)</f>
        <v>F</v>
      </c>
      <c r="Z414" s="49" t="str">
        <f>MID(VLOOKUP($A414,Seqs!$A:$B,2,FALSE),VLOOKUP($A414,'SegEnds_NonXtal_Prot#'!A:AL,10,FALSE)+9,1)</f>
        <v>G</v>
      </c>
      <c r="AA414" s="49" t="str">
        <f>MID(VLOOKUP($A414,Seqs!$A:$B,2,FALSE),VLOOKUP($A414,'SegEnds_NonXtal_Prot#'!A:AL,10,FALSE)+10,1)</f>
        <v>S</v>
      </c>
      <c r="AB414" s="28" t="str">
        <f>MID(VLOOKUP($A414,Seqs!$A:$B,2,FALSE),VLOOKUP($A414,'SegEnds_NonXtal_Prot#'!$A:$AL,22,FALSE)+6,1)</f>
        <v>F</v>
      </c>
      <c r="AC414" s="49" t="str">
        <f>MID(VLOOKUP($A414,Seqs!$A:$B,2,FALSE),VLOOKUP($A414,'SegEnds_NonXtal_Prot#'!$A:$AL,22,FALSE)+7,1)</f>
        <v>L</v>
      </c>
      <c r="AD414" s="49" t="str">
        <f>MID(VLOOKUP($A414,Seqs!$A:$B,2,FALSE),VLOOKUP($A414,'SegEnds_NonXtal_Prot#'!$A:$AL,22,FALSE)+8,1)</f>
        <v>N</v>
      </c>
      <c r="AE414" s="49" t="str">
        <f>MID(VLOOKUP($A414,Seqs!$A:$B,2,FALSE),VLOOKUP($A414,'SegEnds_NonXtal_Prot#'!$A:$AL,22,FALSE)+9,1)</f>
        <v>I</v>
      </c>
      <c r="AF414" s="49" t="str">
        <f>MID(VLOOKUP($A414,Seqs!$A:$B,2,FALSE),VLOOKUP($A414,'SegEnds_NonXtal_Prot#'!$A:$AL,22,FALSE)+10,1)</f>
        <v>A</v>
      </c>
      <c r="AG414" s="28" t="str">
        <f>MID(VLOOKUP($A414,Seqs!$A:$B,2,FALSE),VLOOKUP($A414,'SegEnds_NonXtal_Prot#'!$A:$AL,28,FALSE)-4,1)</f>
        <v>F</v>
      </c>
      <c r="AH414" s="49" t="str">
        <f>MID(VLOOKUP($A414,Seqs!$A:$B,2,FALSE),VLOOKUP($A414,'SegEnds_NonXtal_Prot#'!$A:$AL,28,FALSE),1)</f>
        <v>P</v>
      </c>
    </row>
    <row r="415" spans="1:34" s="2" customFormat="1" x14ac:dyDescent="0.2">
      <c r="A415" s="2" t="s">
        <v>450</v>
      </c>
      <c r="B415" s="2" t="str">
        <f>LOWER(VLOOKUP(A415,Xtal_Templ!A:B,2,FALSE))</f>
        <v>drd2_human</v>
      </c>
      <c r="C415" s="2" t="str">
        <f>VLOOKUP(A415,Classification!A:D,2,FALSE)</f>
        <v>T</v>
      </c>
      <c r="D415" s="2" t="str">
        <f>IF(ISERROR(MATCH(A415,'SegEnds_Xtal_Prot#'!B:B, 0)), "NoXtal", "Xtal")</f>
        <v>NoXtal</v>
      </c>
      <c r="H415" s="4"/>
      <c r="V415" s="28" t="str">
        <f>MID(VLOOKUP($A415,Seqs!$A:$B,2,FALSE),VLOOKUP($A415,'SegEnds_NonXtal_Prot#'!A:AL,10,FALSE),1)</f>
        <v>R</v>
      </c>
      <c r="W415" s="49" t="str">
        <f>MID(VLOOKUP($A415,Seqs!$A:$B,2,FALSE),VLOOKUP($A415,'SegEnds_NonXtal_Prot#'!A:AL,10,FALSE)+6,1)</f>
        <v>I</v>
      </c>
      <c r="X415" s="49" t="str">
        <f>MID(VLOOKUP($A415,Seqs!$A:$B,2,FALSE),VLOOKUP($A415,'SegEnds_NonXtal_Prot#'!A:AL,10,FALSE)+7,1)</f>
        <v>I</v>
      </c>
      <c r="Y415" s="49" t="str">
        <f>MID(VLOOKUP($A415,Seqs!$A:$B,2,FALSE),VLOOKUP($A415,'SegEnds_NonXtal_Prot#'!A:AL,10,FALSE)+8,1)</f>
        <v>I</v>
      </c>
      <c r="Z415" s="49" t="str">
        <f>MID(VLOOKUP($A415,Seqs!$A:$B,2,FALSE),VLOOKUP($A415,'SegEnds_NonXtal_Prot#'!A:AL,10,FALSE)+9,1)</f>
        <v>T</v>
      </c>
      <c r="AA415" s="49" t="str">
        <f>MID(VLOOKUP($A415,Seqs!$A:$B,2,FALSE),VLOOKUP($A415,'SegEnds_NonXtal_Prot#'!A:AL,10,FALSE)+10,1)</f>
        <v>D</v>
      </c>
      <c r="AB415" s="28" t="str">
        <f>MID(VLOOKUP($A415,Seqs!$A:$B,2,FALSE),VLOOKUP($A415,'SegEnds_NonXtal_Prot#'!$A:$AL,22,FALSE)+6,1)</f>
        <v>L</v>
      </c>
      <c r="AC415" s="49" t="str">
        <f>MID(VLOOKUP($A415,Seqs!$A:$B,2,FALSE),VLOOKUP($A415,'SegEnds_NonXtal_Prot#'!$A:$AL,22,FALSE)+7,1)</f>
        <v>L</v>
      </c>
      <c r="AD415" s="49" t="str">
        <f>MID(VLOOKUP($A415,Seqs!$A:$B,2,FALSE),VLOOKUP($A415,'SegEnds_NonXtal_Prot#'!$A:$AL,22,FALSE)+8,1)</f>
        <v>N</v>
      </c>
      <c r="AE415" s="49" t="str">
        <f>MID(VLOOKUP($A415,Seqs!$A:$B,2,FALSE),VLOOKUP($A415,'SegEnds_NonXtal_Prot#'!$A:$AL,22,FALSE)+9,1)</f>
        <v>F</v>
      </c>
      <c r="AF415" s="49" t="str">
        <f>MID(VLOOKUP($A415,Seqs!$A:$B,2,FALSE),VLOOKUP($A415,'SegEnds_NonXtal_Prot#'!$A:$AL,22,FALSE)+10,1)</f>
        <v>A</v>
      </c>
      <c r="AG415" s="28" t="str">
        <f>MID(VLOOKUP($A415,Seqs!$A:$B,2,FALSE),VLOOKUP($A415,'SegEnds_NonXtal_Prot#'!$A:$AL,28,FALSE)-4,1)</f>
        <v>G</v>
      </c>
      <c r="AH415" s="49" t="str">
        <f>MID(VLOOKUP($A415,Seqs!$A:$B,2,FALSE),VLOOKUP($A415,'SegEnds_NonXtal_Prot#'!$A:$AL,28,FALSE),1)</f>
        <v>F</v>
      </c>
    </row>
    <row r="416" spans="1:34" s="2" customFormat="1" x14ac:dyDescent="0.2">
      <c r="A416" s="2" t="s">
        <v>471</v>
      </c>
      <c r="B416" s="2" t="str">
        <f>LOWER(VLOOKUP(A416,Xtal_Templ!A:B,2,FALSE))</f>
        <v>hrh1_human</v>
      </c>
      <c r="C416" s="2" t="str">
        <f>VLOOKUP(A416,Classification!A:D,2,FALSE)</f>
        <v>T</v>
      </c>
      <c r="D416" s="2" t="str">
        <f>IF(ISERROR(MATCH(A416,'SegEnds_Xtal_Prot#'!B:B, 0)), "NoXtal", "Xtal")</f>
        <v>NoXtal</v>
      </c>
      <c r="H416" s="4"/>
      <c r="V416" s="28" t="str">
        <f>MID(VLOOKUP($A416,Seqs!$A:$B,2,FALSE),VLOOKUP($A416,'SegEnds_NonXtal_Prot#'!A:AL,10,FALSE),1)</f>
        <v>R</v>
      </c>
      <c r="W416" s="49" t="str">
        <f>MID(VLOOKUP($A416,Seqs!$A:$B,2,FALSE),VLOOKUP($A416,'SegEnds_NonXtal_Prot#'!A:AL,10,FALSE)+6,1)</f>
        <v>L</v>
      </c>
      <c r="X416" s="49" t="str">
        <f>MID(VLOOKUP($A416,Seqs!$A:$B,2,FALSE),VLOOKUP($A416,'SegEnds_NonXtal_Prot#'!A:AL,10,FALSE)+7,1)</f>
        <v>I</v>
      </c>
      <c r="Y416" s="49" t="str">
        <f>MID(VLOOKUP($A416,Seqs!$A:$B,2,FALSE),VLOOKUP($A416,'SegEnds_NonXtal_Prot#'!A:AL,10,FALSE)+8,1)</f>
        <v>I</v>
      </c>
      <c r="Z416" s="49" t="str">
        <f>MID(VLOOKUP($A416,Seqs!$A:$B,2,FALSE),VLOOKUP($A416,'SegEnds_NonXtal_Prot#'!A:AL,10,FALSE)+9,1)</f>
        <v>L</v>
      </c>
      <c r="AA416" s="49" t="str">
        <f>MID(VLOOKUP($A416,Seqs!$A:$B,2,FALSE),VLOOKUP($A416,'SegEnds_NonXtal_Prot#'!A:AL,10,FALSE)+10,1)</f>
        <v>D</v>
      </c>
      <c r="AB416" s="28" t="str">
        <f>MID(VLOOKUP($A416,Seqs!$A:$B,2,FALSE),VLOOKUP($A416,'SegEnds_NonXtal_Prot#'!$A:$AL,22,FALSE)+6,1)</f>
        <v>L</v>
      </c>
      <c r="AC416" s="49" t="str">
        <f>MID(VLOOKUP($A416,Seqs!$A:$B,2,FALSE),VLOOKUP($A416,'SegEnds_NonXtal_Prot#'!$A:$AL,22,FALSE)+7,1)</f>
        <v>L</v>
      </c>
      <c r="AD416" s="49" t="str">
        <f>MID(VLOOKUP($A416,Seqs!$A:$B,2,FALSE),VLOOKUP($A416,'SegEnds_NonXtal_Prot#'!$A:$AL,22,FALSE)+8,1)</f>
        <v>L</v>
      </c>
      <c r="AE416" s="49" t="str">
        <f>MID(VLOOKUP($A416,Seqs!$A:$B,2,FALSE),VLOOKUP($A416,'SegEnds_NonXtal_Prot#'!$A:$AL,22,FALSE)+9,1)</f>
        <v>T</v>
      </c>
      <c r="AF416" s="49" t="str">
        <f>MID(VLOOKUP($A416,Seqs!$A:$B,2,FALSE),VLOOKUP($A416,'SegEnds_NonXtal_Prot#'!$A:$AL,22,FALSE)+10,1)</f>
        <v>V</v>
      </c>
      <c r="AG416" s="28" t="str">
        <f>MID(VLOOKUP($A416,Seqs!$A:$B,2,FALSE),VLOOKUP($A416,'SegEnds_NonXtal_Prot#'!$A:$AL,28,FALSE)-4,1)</f>
        <v>G</v>
      </c>
      <c r="AH416" s="49" t="str">
        <f>MID(VLOOKUP($A416,Seqs!$A:$B,2,FALSE),VLOOKUP($A416,'SegEnds_NonXtal_Prot#'!$A:$AL,28,FALSE),1)</f>
        <v>P</v>
      </c>
    </row>
    <row r="417" spans="8:33" s="2" customFormat="1" x14ac:dyDescent="0.2">
      <c r="H417" s="4"/>
      <c r="V417" s="28"/>
      <c r="W417" s="49"/>
      <c r="X417" s="49"/>
      <c r="Y417" s="49"/>
      <c r="Z417" s="49"/>
      <c r="AA417" s="49"/>
      <c r="AB417" s="28"/>
      <c r="AC417" s="49"/>
      <c r="AD417" s="49"/>
      <c r="AE417" s="49"/>
      <c r="AG417" s="16"/>
    </row>
    <row r="418" spans="8:33" s="2" customFormat="1" x14ac:dyDescent="0.2">
      <c r="H418" s="4"/>
      <c r="V418" s="28"/>
      <c r="W418" s="49"/>
      <c r="X418" s="49"/>
      <c r="Y418" s="49"/>
      <c r="Z418" s="49"/>
      <c r="AA418" s="49"/>
      <c r="AB418" s="28"/>
      <c r="AC418" s="49"/>
      <c r="AD418" s="49"/>
      <c r="AE418" s="49"/>
      <c r="AG418" s="16"/>
    </row>
    <row r="419" spans="8:33" s="2" customFormat="1" x14ac:dyDescent="0.2">
      <c r="H419" s="4"/>
      <c r="V419" s="28"/>
      <c r="W419" s="49"/>
      <c r="X419" s="49"/>
      <c r="Y419" s="49"/>
      <c r="Z419" s="49"/>
      <c r="AA419" s="49"/>
      <c r="AB419" s="28"/>
      <c r="AC419" s="49"/>
      <c r="AD419" s="49"/>
      <c r="AE419" s="49"/>
      <c r="AG419" s="16"/>
    </row>
  </sheetData>
  <sortState xmlns:xlrd2="http://schemas.microsoft.com/office/spreadsheetml/2017/richdata2" ref="A2:AG406">
    <sortCondition ref="C2:C406"/>
    <sortCondition ref="B2:B406"/>
    <sortCondition ref="A2:A406"/>
  </sortState>
  <customSheetViews>
    <customSheetView guid="{3E3401AF-8459-8641-BD70-AD04F80E86ED}" scale="120">
      <pane ySplit="1" topLeftCell="A7" activePane="bottomLeft" state="frozenSplit"/>
      <selection pane="bottomLeft" activeCell="A28" sqref="A1:A1048576"/>
      <pageMargins left="0.7" right="0.7" top="0.75" bottom="0.75" header="0.3" footer="0.3"/>
      <pageSetup paperSize="9" orientation="portrait" horizontalDpi="0" verticalDpi="0"/>
    </customSheetView>
  </customSheetViews>
  <conditionalFormatting sqref="AE1:AF1048576">
    <cfRule type="cellIs" dxfId="7" priority="4" operator="equal">
      <formula>"P"</formula>
    </cfRule>
  </conditionalFormatting>
  <conditionalFormatting sqref="AC1:AC1048576">
    <cfRule type="cellIs" dxfId="6" priority="2" operator="equal">
      <formula>"W"</formula>
    </cfRule>
    <cfRule type="cellIs" dxfId="5" priority="3" operator="equal">
      <formula>"G"</formula>
    </cfRule>
  </conditionalFormatting>
  <conditionalFormatting sqref="AG2:AH416">
    <cfRule type="cellIs" dxfId="4" priority="1" operator="equal">
      <formula>"P"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</sheetPr>
  <dimension ref="A1:M418"/>
  <sheetViews>
    <sheetView workbookViewId="0">
      <pane ySplit="1" topLeftCell="A318" activePane="bottomLeft" state="frozenSplit"/>
      <selection pane="bottomLeft" activeCell="A353" sqref="A353"/>
    </sheetView>
  </sheetViews>
  <sheetFormatPr baseColWidth="10" defaultColWidth="11.1640625" defaultRowHeight="16" x14ac:dyDescent="0.2"/>
  <cols>
    <col min="1" max="1" width="11.83203125" customWidth="1"/>
    <col min="3" max="3" width="7.5" customWidth="1"/>
  </cols>
  <sheetData>
    <row r="1" spans="1:5" s="21" customFormat="1" x14ac:dyDescent="0.2">
      <c r="A1" s="21" t="s">
        <v>31</v>
      </c>
      <c r="B1" s="21" t="s">
        <v>1150</v>
      </c>
      <c r="C1" s="21" t="s">
        <v>1220</v>
      </c>
      <c r="D1" s="21" t="s">
        <v>1198</v>
      </c>
      <c r="E1" s="21" t="s">
        <v>925</v>
      </c>
    </row>
    <row r="2" spans="1:5" x14ac:dyDescent="0.2">
      <c r="A2" t="s">
        <v>462</v>
      </c>
      <c r="B2" t="s">
        <v>557</v>
      </c>
      <c r="C2" t="str">
        <f>IF(ISERROR(MATCH(A2,'SegEnds_Xtal_Prot#'!B:B, 0)), "NoXtal", "Xtal")</f>
        <v>NoXtal</v>
      </c>
      <c r="D2" t="str">
        <f t="shared" ref="D2:D66" si="0">MID(A2,FIND("_",A2)+1,LEN(A2)-FIND("_",A2))</f>
        <v>human</v>
      </c>
      <c r="E2" t="str">
        <f>VLOOKUP(A2,Classification!A:B,2,FALSE)</f>
        <v>T</v>
      </c>
    </row>
    <row r="3" spans="1:5" x14ac:dyDescent="0.2">
      <c r="A3" t="s">
        <v>463</v>
      </c>
      <c r="B3" t="s">
        <v>588</v>
      </c>
      <c r="C3" t="str">
        <f>IF(ISERROR(MATCH(A3,'SegEnds_Xtal_Prot#'!B:B, 0)), "NoXtal", "Xtal")</f>
        <v>NoXtal</v>
      </c>
      <c r="D3" t="str">
        <f t="shared" si="0"/>
        <v>human</v>
      </c>
      <c r="E3" t="str">
        <f>VLOOKUP(A3,Classification!A:B,2,FALSE)</f>
        <v>T</v>
      </c>
    </row>
    <row r="4" spans="1:5" x14ac:dyDescent="0.2">
      <c r="A4" t="s">
        <v>923</v>
      </c>
      <c r="B4" t="s">
        <v>605</v>
      </c>
      <c r="C4" t="str">
        <f>IF(ISERROR(MATCH(A4,'SegEnds_Xtal_Prot#'!B:B, 0)), "NoXtal", "Xtal")</f>
        <v>NoXtal</v>
      </c>
      <c r="D4" t="str">
        <f t="shared" si="0"/>
        <v>human</v>
      </c>
      <c r="E4" t="str">
        <f>VLOOKUP(A4,Classification!A:B,2,FALSE)</f>
        <v>T</v>
      </c>
    </row>
    <row r="5" spans="1:5" x14ac:dyDescent="0.2">
      <c r="A5" t="s">
        <v>461</v>
      </c>
      <c r="B5" t="s">
        <v>638</v>
      </c>
      <c r="C5" t="str">
        <f>IF(ISERROR(MATCH(A5,'SegEnds_Xtal_Prot#'!B:B, 0)), "NoXtal", "Xtal")</f>
        <v>NoXtal</v>
      </c>
      <c r="D5" t="str">
        <f t="shared" si="0"/>
        <v>human</v>
      </c>
      <c r="E5" t="str">
        <f>VLOOKUP(A5,Classification!A:B,2,FALSE)</f>
        <v>T</v>
      </c>
    </row>
    <row r="6" spans="1:5" x14ac:dyDescent="0.2">
      <c r="A6" t="s">
        <v>468</v>
      </c>
      <c r="B6" t="s">
        <v>691</v>
      </c>
      <c r="C6" t="str">
        <f>IF(ISERROR(MATCH(A6,'SegEnds_Xtal_Prot#'!B:B, 0)), "NoXtal", "Xtal")</f>
        <v>NoXtal</v>
      </c>
      <c r="D6" t="str">
        <f t="shared" si="0"/>
        <v>human</v>
      </c>
      <c r="E6" t="str">
        <f>VLOOKUP(A6,Classification!A:B,2,FALSE)</f>
        <v>T</v>
      </c>
    </row>
    <row r="7" spans="1:5" x14ac:dyDescent="0.2">
      <c r="A7" t="s">
        <v>469</v>
      </c>
      <c r="B7" t="s">
        <v>692</v>
      </c>
      <c r="C7" t="str">
        <f>IF(ISERROR(MATCH(A7,'SegEnds_Xtal_Prot#'!B:B, 0)), "NoXtal", "Xtal")</f>
        <v>NoXtal</v>
      </c>
      <c r="D7" t="str">
        <f t="shared" si="0"/>
        <v>human</v>
      </c>
      <c r="E7" t="str">
        <f>VLOOKUP(A7,Classification!A:B,2,FALSE)</f>
        <v>T</v>
      </c>
    </row>
    <row r="8" spans="1:5" x14ac:dyDescent="0.2">
      <c r="A8" t="s">
        <v>470</v>
      </c>
      <c r="B8" t="s">
        <v>693</v>
      </c>
      <c r="C8" t="str">
        <f>IF(ISERROR(MATCH(A8,'SegEnds_Xtal_Prot#'!B:B, 0)), "NoXtal", "Xtal")</f>
        <v>NoXtal</v>
      </c>
      <c r="D8" t="str">
        <f t="shared" si="0"/>
        <v>human</v>
      </c>
      <c r="E8" t="str">
        <f>VLOOKUP(A8,Classification!A:B,2,FALSE)</f>
        <v>T</v>
      </c>
    </row>
    <row r="9" spans="1:5" x14ac:dyDescent="0.2">
      <c r="A9" t="s">
        <v>471</v>
      </c>
      <c r="B9" t="s">
        <v>694</v>
      </c>
      <c r="C9" t="str">
        <f>IF(ISERROR(MATCH(A9,'SegEnds_Xtal_Prot#'!B:B, 0)), "NoXtal", "Xtal")</f>
        <v>NoXtal</v>
      </c>
      <c r="D9" t="str">
        <f t="shared" si="0"/>
        <v>human</v>
      </c>
      <c r="E9" t="str">
        <f>VLOOKUP(A9,Classification!A:B,2,FALSE)</f>
        <v>T</v>
      </c>
    </row>
    <row r="10" spans="1:5" x14ac:dyDescent="0.2">
      <c r="A10" t="s">
        <v>472</v>
      </c>
      <c r="B10" t="s">
        <v>695</v>
      </c>
      <c r="C10" t="str">
        <f>IF(ISERROR(MATCH(A10,'SegEnds_Xtal_Prot#'!B:B, 0)), "NoXtal", "Xtal")</f>
        <v>NoXtal</v>
      </c>
      <c r="D10" t="str">
        <f t="shared" si="0"/>
        <v>human</v>
      </c>
      <c r="E10" t="str">
        <f>VLOOKUP(A10,Classification!A:B,2,FALSE)</f>
        <v>T</v>
      </c>
    </row>
    <row r="11" spans="1:5" x14ac:dyDescent="0.2">
      <c r="A11" t="s">
        <v>473</v>
      </c>
      <c r="B11" t="s">
        <v>696</v>
      </c>
      <c r="C11" t="str">
        <f>IF(ISERROR(MATCH(A11,'SegEnds_Xtal_Prot#'!B:B, 0)), "NoXtal", "Xtal")</f>
        <v>NoXtal</v>
      </c>
      <c r="D11" t="str">
        <f t="shared" si="0"/>
        <v>human</v>
      </c>
      <c r="E11" t="str">
        <f>VLOOKUP(A11,Classification!A:B,2,FALSE)</f>
        <v>T</v>
      </c>
    </row>
    <row r="12" spans="1:5" x14ac:dyDescent="0.2">
      <c r="A12" t="s">
        <v>474</v>
      </c>
      <c r="B12" t="s">
        <v>697</v>
      </c>
      <c r="C12" t="str">
        <f>IF(ISERROR(MATCH(A12,'SegEnds_Xtal_Prot#'!B:B, 0)), "NoXtal", "Xtal")</f>
        <v>NoXtal</v>
      </c>
      <c r="D12" t="str">
        <f t="shared" si="0"/>
        <v>human</v>
      </c>
      <c r="E12" t="str">
        <f>VLOOKUP(A12,Classification!A:B,2,FALSE)</f>
        <v>T</v>
      </c>
    </row>
    <row r="13" spans="1:5" x14ac:dyDescent="0.2">
      <c r="A13" t="s">
        <v>450</v>
      </c>
      <c r="B13" t="s">
        <v>698</v>
      </c>
      <c r="C13" t="str">
        <f>IF(ISERROR(MATCH(A13,'SegEnds_Xtal_Prot#'!B:B, 0)), "NoXtal", "Xtal")</f>
        <v>NoXtal</v>
      </c>
      <c r="D13" t="str">
        <f t="shared" si="0"/>
        <v>human</v>
      </c>
      <c r="E13" t="str">
        <f>VLOOKUP(A13,Classification!A:B,2,FALSE)</f>
        <v>T</v>
      </c>
    </row>
    <row r="14" spans="1:5" x14ac:dyDescent="0.2">
      <c r="A14" t="s">
        <v>451</v>
      </c>
      <c r="B14" t="s">
        <v>699</v>
      </c>
      <c r="C14" t="str">
        <f>IF(ISERROR(MATCH(A14,'SegEnds_Xtal_Prot#'!B:B, 0)), "NoXtal", "Xtal")</f>
        <v>NoXtal</v>
      </c>
      <c r="D14" t="str">
        <f t="shared" si="0"/>
        <v>human</v>
      </c>
      <c r="E14" t="str">
        <f>VLOOKUP(A14,Classification!A:B,2,FALSE)</f>
        <v>T</v>
      </c>
    </row>
    <row r="15" spans="1:5" x14ac:dyDescent="0.2">
      <c r="A15" t="s">
        <v>452</v>
      </c>
      <c r="B15" t="s">
        <v>700</v>
      </c>
      <c r="C15" t="str">
        <f>IF(ISERROR(MATCH(A15,'SegEnds_Xtal_Prot#'!B:B, 0)), "NoXtal", "Xtal")</f>
        <v>NoXtal</v>
      </c>
      <c r="D15" t="str">
        <f t="shared" si="0"/>
        <v>human</v>
      </c>
      <c r="E15" t="str">
        <f>VLOOKUP(A15,Classification!A:B,2,FALSE)</f>
        <v>T</v>
      </c>
    </row>
    <row r="16" spans="1:5" x14ac:dyDescent="0.2">
      <c r="A16" t="s">
        <v>453</v>
      </c>
      <c r="B16" t="s">
        <v>701</v>
      </c>
      <c r="C16" t="str">
        <f>IF(ISERROR(MATCH(A16,'SegEnds_Xtal_Prot#'!B:B, 0)), "NoXtal", "Xtal")</f>
        <v>NoXtal</v>
      </c>
      <c r="D16" t="str">
        <f t="shared" si="0"/>
        <v>human</v>
      </c>
      <c r="E16" t="str">
        <f>VLOOKUP(A16,Classification!A:B,2,FALSE)</f>
        <v>T</v>
      </c>
    </row>
    <row r="17" spans="1:5" x14ac:dyDescent="0.2">
      <c r="A17" t="s">
        <v>454</v>
      </c>
      <c r="B17" t="s">
        <v>702</v>
      </c>
      <c r="C17" t="str">
        <f>IF(ISERROR(MATCH(A17,'SegEnds_Xtal_Prot#'!B:B, 0)), "NoXtal", "Xtal")</f>
        <v>NoXtal</v>
      </c>
      <c r="D17" t="str">
        <f t="shared" si="0"/>
        <v>human</v>
      </c>
      <c r="E17" t="str">
        <f>VLOOKUP(A17,Classification!A:B,2,FALSE)</f>
        <v>T</v>
      </c>
    </row>
    <row r="18" spans="1:5" x14ac:dyDescent="0.2">
      <c r="A18" t="s">
        <v>455</v>
      </c>
      <c r="B18" t="s">
        <v>703</v>
      </c>
      <c r="C18" t="str">
        <f>IF(ISERROR(MATCH(A18,'SegEnds_Xtal_Prot#'!B:B, 0)), "NoXtal", "Xtal")</f>
        <v>NoXtal</v>
      </c>
      <c r="D18" t="str">
        <f t="shared" si="0"/>
        <v>human</v>
      </c>
      <c r="E18" t="str">
        <f>VLOOKUP(A18,Classification!A:B,2,FALSE)</f>
        <v>T</v>
      </c>
    </row>
    <row r="19" spans="1:5" x14ac:dyDescent="0.2">
      <c r="A19" t="s">
        <v>456</v>
      </c>
      <c r="B19" t="s">
        <v>704</v>
      </c>
      <c r="C19" t="str">
        <f>IF(ISERROR(MATCH(A19,'SegEnds_Xtal_Prot#'!B:B, 0)), "NoXtal", "Xtal")</f>
        <v>NoXtal</v>
      </c>
      <c r="D19" t="str">
        <f t="shared" si="0"/>
        <v>human</v>
      </c>
      <c r="E19" t="str">
        <f>VLOOKUP(A19,Classification!A:B,2,FALSE)</f>
        <v>T</v>
      </c>
    </row>
    <row r="20" spans="1:5" x14ac:dyDescent="0.2">
      <c r="A20" t="s">
        <v>457</v>
      </c>
      <c r="B20" t="s">
        <v>705</v>
      </c>
      <c r="C20" t="str">
        <f>IF(ISERROR(MATCH(A20,'SegEnds_Xtal_Prot#'!B:B, 0)), "NoXtal", "Xtal")</f>
        <v>NoXtal</v>
      </c>
      <c r="D20" t="str">
        <f t="shared" si="0"/>
        <v>human</v>
      </c>
      <c r="E20" t="str">
        <f>VLOOKUP(A20,Classification!A:B,2,FALSE)</f>
        <v>T</v>
      </c>
    </row>
    <row r="21" spans="1:5" x14ac:dyDescent="0.2">
      <c r="A21" t="s">
        <v>458</v>
      </c>
      <c r="B21" t="s">
        <v>706</v>
      </c>
      <c r="C21" t="str">
        <f>IF(ISERROR(MATCH(A21,'SegEnds_Xtal_Prot#'!B:B, 0)), "NoXtal", "Xtal")</f>
        <v>NoXtal</v>
      </c>
      <c r="D21" t="str">
        <f t="shared" si="0"/>
        <v>human</v>
      </c>
      <c r="E21" t="str">
        <f>VLOOKUP(A21,Classification!A:B,2,FALSE)</f>
        <v>T</v>
      </c>
    </row>
    <row r="22" spans="1:5" x14ac:dyDescent="0.2">
      <c r="A22" t="s">
        <v>459</v>
      </c>
      <c r="B22" t="s">
        <v>707</v>
      </c>
      <c r="C22" t="str">
        <f>IF(ISERROR(MATCH(A22,'SegEnds_Xtal_Prot#'!B:B, 0)), "NoXtal", "Xtal")</f>
        <v>NoXtal</v>
      </c>
      <c r="D22" t="str">
        <f t="shared" si="0"/>
        <v>human</v>
      </c>
      <c r="E22" t="str">
        <f>VLOOKUP(A22,Classification!A:B,2,FALSE)</f>
        <v>T</v>
      </c>
    </row>
    <row r="23" spans="1:5" x14ac:dyDescent="0.2">
      <c r="A23" t="s">
        <v>460</v>
      </c>
      <c r="B23" t="s">
        <v>708</v>
      </c>
      <c r="C23" t="str">
        <f>IF(ISERROR(MATCH(A23,'SegEnds_Xtal_Prot#'!B:B, 0)), "NoXtal", "Xtal")</f>
        <v>NoXtal</v>
      </c>
      <c r="D23" t="str">
        <f t="shared" si="0"/>
        <v>human</v>
      </c>
      <c r="E23" t="str">
        <f>VLOOKUP(A23,Classification!A:B,2,FALSE)</f>
        <v>T</v>
      </c>
    </row>
    <row r="24" spans="1:5" x14ac:dyDescent="0.2">
      <c r="A24" t="s">
        <v>464</v>
      </c>
      <c r="B24" t="s">
        <v>709</v>
      </c>
      <c r="C24" t="str">
        <f>IF(ISERROR(MATCH(A24,'SegEnds_Xtal_Prot#'!B:B, 0)), "NoXtal", "Xtal")</f>
        <v>NoXtal</v>
      </c>
      <c r="D24" t="str">
        <f t="shared" si="0"/>
        <v>human</v>
      </c>
      <c r="E24" t="str">
        <f>VLOOKUP(A24,Classification!A:B,2,FALSE)</f>
        <v>T</v>
      </c>
    </row>
    <row r="25" spans="1:5" x14ac:dyDescent="0.2">
      <c r="A25" t="s">
        <v>465</v>
      </c>
      <c r="B25" t="s">
        <v>710</v>
      </c>
      <c r="C25" t="str">
        <f>IF(ISERROR(MATCH(A25,'SegEnds_Xtal_Prot#'!B:B, 0)), "NoXtal", "Xtal")</f>
        <v>NoXtal</v>
      </c>
      <c r="D25" t="str">
        <f t="shared" si="0"/>
        <v>human</v>
      </c>
      <c r="E25" t="str">
        <f>VLOOKUP(A25,Classification!A:B,2,FALSE)</f>
        <v>T</v>
      </c>
    </row>
    <row r="26" spans="1:5" x14ac:dyDescent="0.2">
      <c r="A26" t="s">
        <v>466</v>
      </c>
      <c r="B26" t="s">
        <v>711</v>
      </c>
      <c r="C26" t="str">
        <f>IF(ISERROR(MATCH(A26,'SegEnds_Xtal_Prot#'!B:B, 0)), "NoXtal", "Xtal")</f>
        <v>NoXtal</v>
      </c>
      <c r="D26" t="str">
        <f t="shared" si="0"/>
        <v>human</v>
      </c>
      <c r="E26" t="str">
        <f>VLOOKUP(A26,Classification!A:B,2,FALSE)</f>
        <v>T</v>
      </c>
    </row>
    <row r="27" spans="1:5" x14ac:dyDescent="0.2">
      <c r="A27" t="s">
        <v>476</v>
      </c>
      <c r="B27" t="s">
        <v>871</v>
      </c>
      <c r="C27" t="str">
        <f>IF(ISERROR(MATCH(A27,'SegEnds_Xtal_Prot#'!B:B, 0)), "NoXtal", "Xtal")</f>
        <v>NoXtal</v>
      </c>
      <c r="D27" t="str">
        <f t="shared" si="0"/>
        <v>human</v>
      </c>
      <c r="E27" t="str">
        <f>VLOOKUP(A27,Classification!A:B,2,FALSE)</f>
        <v>O</v>
      </c>
    </row>
    <row r="28" spans="1:5" x14ac:dyDescent="0.2">
      <c r="A28" t="s">
        <v>475</v>
      </c>
      <c r="B28" t="s">
        <v>872</v>
      </c>
      <c r="C28" t="str">
        <f>IF(ISERROR(MATCH(A28,'SegEnds_Xtal_Prot#'!B:B, 0)), "NoXtal", "Xtal")</f>
        <v>NoXtal</v>
      </c>
      <c r="D28" t="str">
        <f t="shared" si="0"/>
        <v>human</v>
      </c>
      <c r="E28" t="str">
        <f>VLOOKUP(A28,Classification!A:B,2,FALSE)</f>
        <v>O</v>
      </c>
    </row>
    <row r="29" spans="1:5" x14ac:dyDescent="0.2">
      <c r="A29" t="s">
        <v>477</v>
      </c>
      <c r="B29" t="s">
        <v>873</v>
      </c>
      <c r="C29" t="str">
        <f>IF(ISERROR(MATCH(A29,'SegEnds_Xtal_Prot#'!B:B, 0)), "NoXtal", "Xtal")</f>
        <v>NoXtal</v>
      </c>
      <c r="D29" t="str">
        <f t="shared" si="0"/>
        <v>human</v>
      </c>
      <c r="E29" t="str">
        <f>VLOOKUP(A29,Classification!A:B,2,FALSE)</f>
        <v>O</v>
      </c>
    </row>
    <row r="30" spans="1:5" x14ac:dyDescent="0.2">
      <c r="A30" t="s">
        <v>478</v>
      </c>
      <c r="B30" t="s">
        <v>874</v>
      </c>
      <c r="C30" t="str">
        <f>IF(ISERROR(MATCH(A30,'SegEnds_Xtal_Prot#'!B:B, 0)), "NoXtal", "Xtal")</f>
        <v>NoXtal</v>
      </c>
      <c r="D30" t="str">
        <f t="shared" si="0"/>
        <v>human</v>
      </c>
      <c r="E30" t="str">
        <f>VLOOKUP(A30,Classification!A:B,2,FALSE)</f>
        <v>O</v>
      </c>
    </row>
    <row r="31" spans="1:5" x14ac:dyDescent="0.2">
      <c r="A31" t="s">
        <v>479</v>
      </c>
      <c r="B31" t="s">
        <v>875</v>
      </c>
      <c r="C31" t="str">
        <f>IF(ISERROR(MATCH(A31,'SegEnds_Xtal_Prot#'!B:B, 0)), "NoXtal", "Xtal")</f>
        <v>NoXtal</v>
      </c>
      <c r="D31" t="str">
        <f t="shared" si="0"/>
        <v>human</v>
      </c>
      <c r="E31" t="str">
        <f>VLOOKUP(A31,Classification!A:B,2,FALSE)</f>
        <v>O</v>
      </c>
    </row>
    <row r="32" spans="1:5" x14ac:dyDescent="0.2">
      <c r="A32" t="s">
        <v>480</v>
      </c>
      <c r="B32" t="s">
        <v>876</v>
      </c>
      <c r="C32" t="str">
        <f>IF(ISERROR(MATCH(A32,'SegEnds_Xtal_Prot#'!B:B, 0)), "NoXtal", "Xtal")</f>
        <v>NoXtal</v>
      </c>
      <c r="D32" t="str">
        <f t="shared" si="0"/>
        <v>human</v>
      </c>
      <c r="E32" t="str">
        <f>VLOOKUP(A32,Classification!A:B,2,FALSE)</f>
        <v>O</v>
      </c>
    </row>
    <row r="33" spans="1:5" x14ac:dyDescent="0.2">
      <c r="A33" t="s">
        <v>33</v>
      </c>
      <c r="B33" t="s">
        <v>870</v>
      </c>
      <c r="C33" t="str">
        <f>IF(ISERROR(MATCH(A33,'SegEnds_Xtal_Prot#'!B:B, 0)), "NoXtal", "Xtal")</f>
        <v>Xtal</v>
      </c>
      <c r="D33" t="str">
        <f t="shared" si="0"/>
        <v>human</v>
      </c>
      <c r="E33" t="str">
        <f>VLOOKUP(A33,Classification!A:B,2,FALSE)</f>
        <v>F</v>
      </c>
    </row>
    <row r="34" spans="1:5" x14ac:dyDescent="0.2">
      <c r="A34" t="s">
        <v>440</v>
      </c>
      <c r="B34" t="s">
        <v>860</v>
      </c>
      <c r="C34" t="str">
        <f>IF(ISERROR(MATCH(A34,'SegEnds_Xtal_Prot#'!B:B, 0)), "NoXtal", "Xtal")</f>
        <v>NoXtal</v>
      </c>
      <c r="D34" t="str">
        <f t="shared" si="0"/>
        <v>human</v>
      </c>
      <c r="E34" t="str">
        <f>VLOOKUP(A34,Classification!A:B,2,FALSE)</f>
        <v>F</v>
      </c>
    </row>
    <row r="35" spans="1:5" x14ac:dyDescent="0.2">
      <c r="A35" t="s">
        <v>442</v>
      </c>
      <c r="B35" t="s">
        <v>861</v>
      </c>
      <c r="C35" t="str">
        <f>IF(ISERROR(MATCH(A35,'SegEnds_Xtal_Prot#'!B:B, 0)), "NoXtal", "Xtal")</f>
        <v>NoXtal</v>
      </c>
      <c r="D35" t="str">
        <f t="shared" si="0"/>
        <v>human</v>
      </c>
      <c r="E35" t="str">
        <f>VLOOKUP(A35,Classification!A:B,2,FALSE)</f>
        <v>F</v>
      </c>
    </row>
    <row r="36" spans="1:5" x14ac:dyDescent="0.2">
      <c r="A36" t="s">
        <v>443</v>
      </c>
      <c r="B36" t="s">
        <v>862</v>
      </c>
      <c r="C36" t="str">
        <f>IF(ISERROR(MATCH(A36,'SegEnds_Xtal_Prot#'!B:B, 0)), "NoXtal", "Xtal")</f>
        <v>NoXtal</v>
      </c>
      <c r="D36" t="str">
        <f t="shared" si="0"/>
        <v>human</v>
      </c>
      <c r="E36" t="str">
        <f>VLOOKUP(A36,Classification!A:B,2,FALSE)</f>
        <v>F</v>
      </c>
    </row>
    <row r="37" spans="1:5" x14ac:dyDescent="0.2">
      <c r="A37" t="s">
        <v>444</v>
      </c>
      <c r="B37" t="s">
        <v>863</v>
      </c>
      <c r="C37" t="str">
        <f>IF(ISERROR(MATCH(A37,'SegEnds_Xtal_Prot#'!B:B, 0)), "NoXtal", "Xtal")</f>
        <v>Xtal</v>
      </c>
      <c r="D37" t="str">
        <f t="shared" si="0"/>
        <v>human</v>
      </c>
      <c r="E37" t="str">
        <f>VLOOKUP(A37,Classification!A:B,2,FALSE)</f>
        <v>F</v>
      </c>
    </row>
    <row r="38" spans="1:5" x14ac:dyDescent="0.2">
      <c r="A38" t="s">
        <v>445</v>
      </c>
      <c r="B38" t="s">
        <v>864</v>
      </c>
      <c r="C38" t="str">
        <f>IF(ISERROR(MATCH(A38,'SegEnds_Xtal_Prot#'!B:B, 0)), "NoXtal", "Xtal")</f>
        <v>NoXtal</v>
      </c>
      <c r="D38" t="str">
        <f t="shared" si="0"/>
        <v>human</v>
      </c>
      <c r="E38" t="str">
        <f>VLOOKUP(A38,Classification!A:B,2,FALSE)</f>
        <v>F</v>
      </c>
    </row>
    <row r="39" spans="1:5" x14ac:dyDescent="0.2">
      <c r="A39" t="s">
        <v>446</v>
      </c>
      <c r="B39" t="s">
        <v>865</v>
      </c>
      <c r="C39" t="str">
        <f>IF(ISERROR(MATCH(A39,'SegEnds_Xtal_Prot#'!B:B, 0)), "NoXtal", "Xtal")</f>
        <v>NoXtal</v>
      </c>
      <c r="D39" t="str">
        <f t="shared" si="0"/>
        <v>human</v>
      </c>
      <c r="E39" t="str">
        <f>VLOOKUP(A39,Classification!A:B,2,FALSE)</f>
        <v>F</v>
      </c>
    </row>
    <row r="40" spans="1:5" x14ac:dyDescent="0.2">
      <c r="A40" t="s">
        <v>447</v>
      </c>
      <c r="B40" t="s">
        <v>866</v>
      </c>
      <c r="C40" t="str">
        <f>IF(ISERROR(MATCH(A40,'SegEnds_Xtal_Prot#'!B:B, 0)), "NoXtal", "Xtal")</f>
        <v>NoXtal</v>
      </c>
      <c r="D40" t="str">
        <f t="shared" si="0"/>
        <v>human</v>
      </c>
      <c r="E40" t="str">
        <f>VLOOKUP(A40,Classification!A:B,2,FALSE)</f>
        <v>F</v>
      </c>
    </row>
    <row r="41" spans="1:5" x14ac:dyDescent="0.2">
      <c r="A41" t="s">
        <v>448</v>
      </c>
      <c r="B41" t="s">
        <v>867</v>
      </c>
      <c r="C41" t="str">
        <f>IF(ISERROR(MATCH(A41,'SegEnds_Xtal_Prot#'!B:B, 0)), "NoXtal", "Xtal")</f>
        <v>NoXtal</v>
      </c>
      <c r="D41" t="str">
        <f t="shared" si="0"/>
        <v>human</v>
      </c>
      <c r="E41" t="str">
        <f>VLOOKUP(A41,Classification!A:B,2,FALSE)</f>
        <v>F</v>
      </c>
    </row>
    <row r="42" spans="1:5" x14ac:dyDescent="0.2">
      <c r="A42" t="s">
        <v>449</v>
      </c>
      <c r="B42" t="s">
        <v>868</v>
      </c>
      <c r="C42" t="str">
        <f>IF(ISERROR(MATCH(A42,'SegEnds_Xtal_Prot#'!B:B, 0)), "NoXtal", "Xtal")</f>
        <v>NoXtal</v>
      </c>
      <c r="D42" t="str">
        <f t="shared" si="0"/>
        <v>human</v>
      </c>
      <c r="E42" t="str">
        <f>VLOOKUP(A42,Classification!A:B,2,FALSE)</f>
        <v>F</v>
      </c>
    </row>
    <row r="43" spans="1:5" x14ac:dyDescent="0.2">
      <c r="A43" t="s">
        <v>441</v>
      </c>
      <c r="B43" t="s">
        <v>869</v>
      </c>
      <c r="C43" t="str">
        <f>IF(ISERROR(MATCH(A43,'SegEnds_Xtal_Prot#'!B:B, 0)), "NoXtal", "Xtal")</f>
        <v>NoXtal</v>
      </c>
      <c r="D43" t="str">
        <f t="shared" si="0"/>
        <v>human</v>
      </c>
      <c r="E43" t="str">
        <f>VLOOKUP(A43,Classification!A:B,2,FALSE)</f>
        <v>F</v>
      </c>
    </row>
    <row r="44" spans="1:5" ht="17" x14ac:dyDescent="0.25">
      <c r="A44" s="121" t="s">
        <v>1489</v>
      </c>
      <c r="B44" s="120" t="s">
        <v>1490</v>
      </c>
      <c r="C44" t="s">
        <v>1487</v>
      </c>
      <c r="D44" t="str">
        <f t="shared" si="0"/>
        <v>xenla</v>
      </c>
      <c r="E44" t="str">
        <f>VLOOKUP(A44,Classification!A:B,2,FALSE)</f>
        <v>F</v>
      </c>
    </row>
    <row r="45" spans="1:5" ht="17" x14ac:dyDescent="0.25">
      <c r="A45" t="s">
        <v>40</v>
      </c>
      <c r="B45" s="120" t="s">
        <v>843</v>
      </c>
      <c r="C45" t="str">
        <f>IF(ISERROR(MATCH(A45,'SegEnds_Xtal_Prot#'!B:B, 0)), "NoXtal", "Xtal")</f>
        <v>Xtal</v>
      </c>
      <c r="D45" t="str">
        <f t="shared" si="0"/>
        <v>human</v>
      </c>
      <c r="E45" t="str">
        <f>VLOOKUP(A45,Classification!A:B,2,FALSE)</f>
        <v>C</v>
      </c>
    </row>
    <row r="46" spans="1:5" ht="17" x14ac:dyDescent="0.25">
      <c r="A46" t="s">
        <v>41</v>
      </c>
      <c r="B46" s="120" t="s">
        <v>847</v>
      </c>
      <c r="C46" t="str">
        <f>IF(ISERROR(MATCH(A46,'SegEnds_Xtal_Prot#'!B:B, 0)), "NoXtal", "Xtal")</f>
        <v>Xtal</v>
      </c>
      <c r="D46" t="str">
        <f t="shared" si="0"/>
        <v>human</v>
      </c>
      <c r="E46" t="str">
        <f>VLOOKUP(A46,Classification!A:B,2,FALSE)</f>
        <v>C</v>
      </c>
    </row>
    <row r="47" spans="1:5" x14ac:dyDescent="0.2">
      <c r="A47" t="s">
        <v>111</v>
      </c>
      <c r="B47" t="s">
        <v>838</v>
      </c>
      <c r="C47" t="str">
        <f>IF(ISERROR(MATCH(A47,'SegEnds_Xtal_Prot#'!B:B, 0)), "NoXtal", "Xtal")</f>
        <v>NoXtal</v>
      </c>
      <c r="D47" t="str">
        <f t="shared" si="0"/>
        <v>human</v>
      </c>
      <c r="E47" t="str">
        <f>VLOOKUP(A47,Classification!A:B,2,FALSE)</f>
        <v>C</v>
      </c>
    </row>
    <row r="48" spans="1:5" x14ac:dyDescent="0.2">
      <c r="A48" t="s">
        <v>106</v>
      </c>
      <c r="B48" t="s">
        <v>839</v>
      </c>
      <c r="C48" t="str">
        <f>IF(ISERROR(MATCH(A48,'SegEnds_Xtal_Prot#'!B:B, 0)), "NoXtal", "Xtal")</f>
        <v>NoXtal</v>
      </c>
      <c r="D48" t="str">
        <f t="shared" si="0"/>
        <v>human</v>
      </c>
      <c r="E48" t="str">
        <f>VLOOKUP(A48,Classification!A:B,2,FALSE)</f>
        <v>C</v>
      </c>
    </row>
    <row r="49" spans="1:5" x14ac:dyDescent="0.2">
      <c r="A49" t="s">
        <v>105</v>
      </c>
      <c r="B49" t="s">
        <v>840</v>
      </c>
      <c r="C49" t="str">
        <f>IF(ISERROR(MATCH(A49,'SegEnds_Xtal_Prot#'!B:B, 0)), "NoXtal", "Xtal")</f>
        <v>NoXtal</v>
      </c>
      <c r="D49" t="str">
        <f t="shared" si="0"/>
        <v>human</v>
      </c>
      <c r="E49" t="str">
        <f>VLOOKUP(A49,Classification!A:B,2,FALSE)</f>
        <v>C</v>
      </c>
    </row>
    <row r="50" spans="1:5" x14ac:dyDescent="0.2">
      <c r="A50" t="s">
        <v>114</v>
      </c>
      <c r="B50" t="s">
        <v>841</v>
      </c>
      <c r="C50" t="str">
        <f>IF(ISERROR(MATCH(A50,'SegEnds_Xtal_Prot#'!B:B, 0)), "NoXtal", "Xtal")</f>
        <v>NoXtal</v>
      </c>
      <c r="D50" t="str">
        <f t="shared" si="0"/>
        <v>human</v>
      </c>
      <c r="E50" t="str">
        <f>VLOOKUP(A50,Classification!A:B,2,FALSE)</f>
        <v>C</v>
      </c>
    </row>
    <row r="51" spans="1:5" x14ac:dyDescent="0.2">
      <c r="A51" t="s">
        <v>107</v>
      </c>
      <c r="B51" t="s">
        <v>842</v>
      </c>
      <c r="C51" t="str">
        <f>IF(ISERROR(MATCH(A51,'SegEnds_Xtal_Prot#'!B:B, 0)), "NoXtal", "Xtal")</f>
        <v>NoXtal</v>
      </c>
      <c r="D51" t="str">
        <f t="shared" si="0"/>
        <v>human</v>
      </c>
      <c r="E51" t="str">
        <f>VLOOKUP(A51,Classification!A:B,2,FALSE)</f>
        <v>C</v>
      </c>
    </row>
    <row r="52" spans="1:5" x14ac:dyDescent="0.2">
      <c r="A52" t="s">
        <v>115</v>
      </c>
      <c r="B52" t="s">
        <v>844</v>
      </c>
      <c r="C52" t="str">
        <f>IF(ISERROR(MATCH(A52,'SegEnds_Xtal_Prot#'!B:B, 0)), "NoXtal", "Xtal")</f>
        <v>NoXtal</v>
      </c>
      <c r="D52" t="str">
        <f t="shared" si="0"/>
        <v>human</v>
      </c>
      <c r="E52" t="str">
        <f>VLOOKUP(A52,Classification!A:B,2,FALSE)</f>
        <v>C</v>
      </c>
    </row>
    <row r="53" spans="1:5" x14ac:dyDescent="0.2">
      <c r="A53" t="s">
        <v>116</v>
      </c>
      <c r="B53" t="s">
        <v>845</v>
      </c>
      <c r="C53" t="str">
        <f>IF(ISERROR(MATCH(A53,'SegEnds_Xtal_Prot#'!B:B, 0)), "NoXtal", "Xtal")</f>
        <v>NoXtal</v>
      </c>
      <c r="D53" t="str">
        <f t="shared" si="0"/>
        <v>human</v>
      </c>
      <c r="E53" t="str">
        <f>VLOOKUP(A53,Classification!A:B,2,FALSE)</f>
        <v>C</v>
      </c>
    </row>
    <row r="54" spans="1:5" x14ac:dyDescent="0.2">
      <c r="A54" t="s">
        <v>117</v>
      </c>
      <c r="B54" t="s">
        <v>846</v>
      </c>
      <c r="C54" t="str">
        <f>IF(ISERROR(MATCH(A54,'SegEnds_Xtal_Prot#'!B:B, 0)), "NoXtal", "Xtal")</f>
        <v>NoXtal</v>
      </c>
      <c r="D54" t="str">
        <f t="shared" si="0"/>
        <v>human</v>
      </c>
      <c r="E54" t="str">
        <f>VLOOKUP(A54,Classification!A:B,2,FALSE)</f>
        <v>C</v>
      </c>
    </row>
    <row r="55" spans="1:5" x14ac:dyDescent="0.2">
      <c r="A55" t="s">
        <v>118</v>
      </c>
      <c r="B55" t="s">
        <v>848</v>
      </c>
      <c r="C55" t="str">
        <f>IF(ISERROR(MATCH(A55,'SegEnds_Xtal_Prot#'!B:B, 0)), "NoXtal", "Xtal")</f>
        <v>NoXtal</v>
      </c>
      <c r="D55" t="str">
        <f t="shared" si="0"/>
        <v>human</v>
      </c>
      <c r="E55" t="str">
        <f>VLOOKUP(A55,Classification!A:B,2,FALSE)</f>
        <v>C</v>
      </c>
    </row>
    <row r="56" spans="1:5" x14ac:dyDescent="0.2">
      <c r="A56" t="s">
        <v>119</v>
      </c>
      <c r="B56" t="s">
        <v>849</v>
      </c>
      <c r="C56" t="str">
        <f>IF(ISERROR(MATCH(A56,'SegEnds_Xtal_Prot#'!B:B, 0)), "NoXtal", "Xtal")</f>
        <v>NoXtal</v>
      </c>
      <c r="D56" t="str">
        <f t="shared" si="0"/>
        <v>human</v>
      </c>
      <c r="E56" t="str">
        <f>VLOOKUP(A56,Classification!A:B,2,FALSE)</f>
        <v>C</v>
      </c>
    </row>
    <row r="57" spans="1:5" x14ac:dyDescent="0.2">
      <c r="A57" t="s">
        <v>120</v>
      </c>
      <c r="B57" t="s">
        <v>850</v>
      </c>
      <c r="C57" t="str">
        <f>IF(ISERROR(MATCH(A57,'SegEnds_Xtal_Prot#'!B:B, 0)), "NoXtal", "Xtal")</f>
        <v>NoXtal</v>
      </c>
      <c r="D57" t="str">
        <f t="shared" si="0"/>
        <v>human</v>
      </c>
      <c r="E57" t="str">
        <f>VLOOKUP(A57,Classification!A:B,2,FALSE)</f>
        <v>C</v>
      </c>
    </row>
    <row r="58" spans="1:5" x14ac:dyDescent="0.2">
      <c r="A58" t="s">
        <v>122</v>
      </c>
      <c r="B58" t="s">
        <v>851</v>
      </c>
      <c r="C58" t="str">
        <f>IF(ISERROR(MATCH(A58,'SegEnds_Xtal_Prot#'!B:B, 0)), "NoXtal", "Xtal")</f>
        <v>NoXtal</v>
      </c>
      <c r="D58" t="str">
        <f t="shared" si="0"/>
        <v>human</v>
      </c>
      <c r="E58" t="str">
        <f>VLOOKUP(A58,Classification!A:B,2,FALSE)</f>
        <v>C</v>
      </c>
    </row>
    <row r="59" spans="1:5" x14ac:dyDescent="0.2">
      <c r="A59" t="s">
        <v>123</v>
      </c>
      <c r="B59" t="s">
        <v>852</v>
      </c>
      <c r="C59" t="str">
        <f>IF(ISERROR(MATCH(A59,'SegEnds_Xtal_Prot#'!B:B, 0)), "NoXtal", "Xtal")</f>
        <v>NoXtal</v>
      </c>
      <c r="D59" t="str">
        <f t="shared" si="0"/>
        <v>human</v>
      </c>
      <c r="E59" t="str">
        <f>VLOOKUP(A59,Classification!A:B,2,FALSE)</f>
        <v>C</v>
      </c>
    </row>
    <row r="60" spans="1:5" x14ac:dyDescent="0.2">
      <c r="A60" t="s">
        <v>124</v>
      </c>
      <c r="B60" t="s">
        <v>853</v>
      </c>
      <c r="C60" t="str">
        <f>IF(ISERROR(MATCH(A60,'SegEnds_Xtal_Prot#'!B:B, 0)), "NoXtal", "Xtal")</f>
        <v>NoXtal</v>
      </c>
      <c r="D60" t="str">
        <f t="shared" si="0"/>
        <v>human</v>
      </c>
      <c r="E60" t="str">
        <f>VLOOKUP(A60,Classification!A:B,2,FALSE)</f>
        <v>C</v>
      </c>
    </row>
    <row r="61" spans="1:5" x14ac:dyDescent="0.2">
      <c r="A61" t="s">
        <v>108</v>
      </c>
      <c r="B61" t="s">
        <v>854</v>
      </c>
      <c r="C61" t="str">
        <f>IF(ISERROR(MATCH(A61,'SegEnds_Xtal_Prot#'!B:B, 0)), "NoXtal", "Xtal")</f>
        <v>NoXtal</v>
      </c>
      <c r="D61" t="str">
        <f t="shared" si="0"/>
        <v>human</v>
      </c>
      <c r="E61" t="str">
        <f>VLOOKUP(A61,Classification!A:B,2,FALSE)</f>
        <v>C</v>
      </c>
    </row>
    <row r="62" spans="1:5" x14ac:dyDescent="0.2">
      <c r="A62" t="s">
        <v>109</v>
      </c>
      <c r="B62" t="s">
        <v>855</v>
      </c>
      <c r="C62" t="str">
        <f>IF(ISERROR(MATCH(A62,'SegEnds_Xtal_Prot#'!B:B, 0)), "NoXtal", "Xtal")</f>
        <v>NoXtal</v>
      </c>
      <c r="D62" t="str">
        <f t="shared" si="0"/>
        <v>human</v>
      </c>
      <c r="E62" t="str">
        <f>VLOOKUP(A62,Classification!A:B,2,FALSE)</f>
        <v>C</v>
      </c>
    </row>
    <row r="63" spans="1:5" x14ac:dyDescent="0.2">
      <c r="A63" t="s">
        <v>110</v>
      </c>
      <c r="B63" t="s">
        <v>856</v>
      </c>
      <c r="C63" t="str">
        <f>IF(ISERROR(MATCH(A63,'SegEnds_Xtal_Prot#'!B:B, 0)), "NoXtal", "Xtal")</f>
        <v>NoXtal</v>
      </c>
      <c r="D63" t="str">
        <f t="shared" si="0"/>
        <v>human</v>
      </c>
      <c r="E63" t="str">
        <f>VLOOKUP(A63,Classification!A:B,2,FALSE)</f>
        <v>C</v>
      </c>
    </row>
    <row r="64" spans="1:5" x14ac:dyDescent="0.2">
      <c r="A64" t="s">
        <v>121</v>
      </c>
      <c r="B64" t="s">
        <v>857</v>
      </c>
      <c r="C64" t="str">
        <f>IF(ISERROR(MATCH(A64,'SegEnds_Xtal_Prot#'!B:B, 0)), "NoXtal", "Xtal")</f>
        <v>NoXtal</v>
      </c>
      <c r="D64" t="str">
        <f t="shared" si="0"/>
        <v>human</v>
      </c>
      <c r="E64" t="str">
        <f>VLOOKUP(A64,Classification!A:B,2,FALSE)</f>
        <v>C</v>
      </c>
    </row>
    <row r="65" spans="1:5" x14ac:dyDescent="0.2">
      <c r="A65" t="s">
        <v>112</v>
      </c>
      <c r="B65" t="s">
        <v>858</v>
      </c>
      <c r="C65" t="str">
        <f>IF(ISERROR(MATCH(A65,'SegEnds_Xtal_Prot#'!B:B, 0)), "NoXtal", "Xtal")</f>
        <v>NoXtal</v>
      </c>
      <c r="D65" t="str">
        <f t="shared" si="0"/>
        <v>human</v>
      </c>
      <c r="E65" t="str">
        <f>VLOOKUP(A65,Classification!A:B,2,FALSE)</f>
        <v>C</v>
      </c>
    </row>
    <row r="66" spans="1:5" x14ac:dyDescent="0.2">
      <c r="A66" t="s">
        <v>113</v>
      </c>
      <c r="B66" t="s">
        <v>859</v>
      </c>
      <c r="C66" t="str">
        <f>IF(ISERROR(MATCH(A66,'SegEnds_Xtal_Prot#'!B:B, 0)), "NoXtal", "Xtal")</f>
        <v>NoXtal</v>
      </c>
      <c r="D66" t="str">
        <f t="shared" si="0"/>
        <v>human</v>
      </c>
      <c r="E66" t="str">
        <f>VLOOKUP(A66,Classification!A:B,2,FALSE)</f>
        <v>C</v>
      </c>
    </row>
    <row r="67" spans="1:5" x14ac:dyDescent="0.2">
      <c r="A67" t="s">
        <v>1170</v>
      </c>
      <c r="B67" t="s">
        <v>805</v>
      </c>
      <c r="C67" t="str">
        <f>IF(ISERROR(MATCH(A67,'SegEnds_Xtal_Prot#'!B:B, 0)), "NoXtal", "Xtal")</f>
        <v>NoXtal</v>
      </c>
      <c r="D67" t="str">
        <f t="shared" ref="D67:D134" si="1">MID(A67,FIND("_",A67)+1,LEN(A67)-FIND("_",A67))</f>
        <v>human</v>
      </c>
      <c r="E67" t="str">
        <f>VLOOKUP(A67,Classification!A:B,2,FALSE)</f>
        <v>B2</v>
      </c>
    </row>
    <row r="68" spans="1:5" x14ac:dyDescent="0.2">
      <c r="A68" t="s">
        <v>1171</v>
      </c>
      <c r="B68" t="s">
        <v>806</v>
      </c>
      <c r="C68" t="str">
        <f>IF(ISERROR(MATCH(A68,'SegEnds_Xtal_Prot#'!B:B, 0)), "NoXtal", "Xtal")</f>
        <v>NoXtal</v>
      </c>
      <c r="D68" t="str">
        <f t="shared" si="1"/>
        <v>human</v>
      </c>
      <c r="E68" t="str">
        <f>VLOOKUP(A68,Classification!A:B,2,FALSE)</f>
        <v>B2</v>
      </c>
    </row>
    <row r="69" spans="1:5" x14ac:dyDescent="0.2">
      <c r="A69" t="s">
        <v>1172</v>
      </c>
      <c r="B69" t="s">
        <v>807</v>
      </c>
      <c r="C69" t="str">
        <f>IF(ISERROR(MATCH(A69,'SegEnds_Xtal_Prot#'!B:B, 0)), "NoXtal", "Xtal")</f>
        <v>NoXtal</v>
      </c>
      <c r="D69" t="str">
        <f t="shared" si="1"/>
        <v>human</v>
      </c>
      <c r="E69" t="str">
        <f>VLOOKUP(A69,Classification!A:B,2,FALSE)</f>
        <v>B2</v>
      </c>
    </row>
    <row r="70" spans="1:5" x14ac:dyDescent="0.2">
      <c r="A70" t="s">
        <v>1673</v>
      </c>
      <c r="B70" t="s">
        <v>808</v>
      </c>
      <c r="C70" t="str">
        <f>IF(ISERROR(MATCH(A70,'SegEnds_Xtal_Prot#'!B:B, 0)), "NoXtal", "Xtal")</f>
        <v>NoXtal</v>
      </c>
      <c r="D70" t="str">
        <f t="shared" si="1"/>
        <v>human</v>
      </c>
      <c r="E70" t="str">
        <f>VLOOKUP(A70,Classification!A:B,2,FALSE)</f>
        <v>B2</v>
      </c>
    </row>
    <row r="71" spans="1:5" x14ac:dyDescent="0.2">
      <c r="A71" t="s">
        <v>1173</v>
      </c>
      <c r="B71" t="s">
        <v>809</v>
      </c>
      <c r="C71" t="str">
        <f>IF(ISERROR(MATCH(A71,'SegEnds_Xtal_Prot#'!B:B, 0)), "NoXtal", "Xtal")</f>
        <v>NoXtal</v>
      </c>
      <c r="D71" t="str">
        <f t="shared" si="1"/>
        <v>human</v>
      </c>
      <c r="E71" t="str">
        <f>VLOOKUP(A71,Classification!A:B,2,FALSE)</f>
        <v>B2</v>
      </c>
    </row>
    <row r="72" spans="1:5" x14ac:dyDescent="0.2">
      <c r="A72" t="s">
        <v>1174</v>
      </c>
      <c r="B72" t="s">
        <v>810</v>
      </c>
      <c r="C72" t="str">
        <f>IF(ISERROR(MATCH(A72,'SegEnds_Xtal_Prot#'!B:B, 0)), "NoXtal", "Xtal")</f>
        <v>NoXtal</v>
      </c>
      <c r="D72" t="str">
        <f t="shared" si="1"/>
        <v>human</v>
      </c>
      <c r="E72" t="str">
        <f>VLOOKUP(A72,Classification!A:B,2,FALSE)</f>
        <v>B2</v>
      </c>
    </row>
    <row r="73" spans="1:5" x14ac:dyDescent="0.2">
      <c r="A73" t="s">
        <v>413</v>
      </c>
      <c r="B73" t="s">
        <v>811</v>
      </c>
      <c r="C73" t="str">
        <f>IF(ISERROR(MATCH(A73,'SegEnds_Xtal_Prot#'!B:B, 0)), "NoXtal", "Xtal")</f>
        <v>NoXtal</v>
      </c>
      <c r="D73" t="str">
        <f t="shared" si="1"/>
        <v>human</v>
      </c>
      <c r="E73" t="str">
        <f>VLOOKUP(A73,Classification!A:B,2,FALSE)</f>
        <v>B2</v>
      </c>
    </row>
    <row r="74" spans="1:5" x14ac:dyDescent="0.2">
      <c r="A74" t="s">
        <v>414</v>
      </c>
      <c r="B74" t="s">
        <v>812</v>
      </c>
      <c r="C74" t="str">
        <f>IF(ISERROR(MATCH(A74,'SegEnds_Xtal_Prot#'!B:B, 0)), "NoXtal", "Xtal")</f>
        <v>NoXtal</v>
      </c>
      <c r="D74" t="str">
        <f t="shared" si="1"/>
        <v>human</v>
      </c>
      <c r="E74" t="str">
        <f>VLOOKUP(A74,Classification!A:B,2,FALSE)</f>
        <v>B2</v>
      </c>
    </row>
    <row r="75" spans="1:5" x14ac:dyDescent="0.2">
      <c r="A75" t="s">
        <v>415</v>
      </c>
      <c r="B75" t="s">
        <v>813</v>
      </c>
      <c r="C75" t="str">
        <f>IF(ISERROR(MATCH(A75,'SegEnds_Xtal_Prot#'!B:B, 0)), "NoXtal", "Xtal")</f>
        <v>NoXtal</v>
      </c>
      <c r="D75" t="str">
        <f t="shared" si="1"/>
        <v>human</v>
      </c>
      <c r="E75" t="str">
        <f>VLOOKUP(A75,Classification!A:B,2,FALSE)</f>
        <v>B2</v>
      </c>
    </row>
    <row r="76" spans="1:5" x14ac:dyDescent="0.2">
      <c r="A76" t="s">
        <v>1175</v>
      </c>
      <c r="B76" t="s">
        <v>814</v>
      </c>
      <c r="C76" t="str">
        <f>IF(ISERROR(MATCH(A76,'SegEnds_Xtal_Prot#'!B:B, 0)), "NoXtal", "Xtal")</f>
        <v>NoXtal</v>
      </c>
      <c r="D76" t="str">
        <f t="shared" si="1"/>
        <v>human</v>
      </c>
      <c r="E76" t="str">
        <f>VLOOKUP(A76,Classification!A:B,2,FALSE)</f>
        <v>B2</v>
      </c>
    </row>
    <row r="77" spans="1:5" x14ac:dyDescent="0.2">
      <c r="A77" t="s">
        <v>1176</v>
      </c>
      <c r="B77" t="s">
        <v>815</v>
      </c>
      <c r="C77" t="str">
        <f>IF(ISERROR(MATCH(A77,'SegEnds_Xtal_Prot#'!B:B, 0)), "NoXtal", "Xtal")</f>
        <v>NoXtal</v>
      </c>
      <c r="D77" t="str">
        <f t="shared" si="1"/>
        <v>human</v>
      </c>
      <c r="E77" t="str">
        <f>VLOOKUP(A77,Classification!A:B,2,FALSE)</f>
        <v>B2</v>
      </c>
    </row>
    <row r="78" spans="1:5" x14ac:dyDescent="0.2">
      <c r="A78" t="s">
        <v>1177</v>
      </c>
      <c r="B78" t="s">
        <v>816</v>
      </c>
      <c r="C78" t="str">
        <f>IF(ISERROR(MATCH(A78,'SegEnds_Xtal_Prot#'!B:B, 0)), "NoXtal", "Xtal")</f>
        <v>NoXtal</v>
      </c>
      <c r="D78" t="str">
        <f t="shared" si="1"/>
        <v>human</v>
      </c>
      <c r="E78" t="str">
        <f>VLOOKUP(A78,Classification!A:B,2,FALSE)</f>
        <v>B2</v>
      </c>
    </row>
    <row r="79" spans="1:5" x14ac:dyDescent="0.2">
      <c r="A79" t="s">
        <v>1178</v>
      </c>
      <c r="B79" t="s">
        <v>817</v>
      </c>
      <c r="C79" t="str">
        <f>IF(ISERROR(MATCH(A79,'SegEnds_Xtal_Prot#'!B:B, 0)), "NoXtal", "Xtal")</f>
        <v>NoXtal</v>
      </c>
      <c r="D79" t="str">
        <f t="shared" si="1"/>
        <v>human</v>
      </c>
      <c r="E79" t="str">
        <f>VLOOKUP(A79,Classification!A:B,2,FALSE)</f>
        <v>B2</v>
      </c>
    </row>
    <row r="80" spans="1:5" x14ac:dyDescent="0.2">
      <c r="A80" t="s">
        <v>1179</v>
      </c>
      <c r="B80" t="s">
        <v>818</v>
      </c>
      <c r="C80" t="str">
        <f>IF(ISERROR(MATCH(A80,'SegEnds_Xtal_Prot#'!B:B, 0)), "NoXtal", "Xtal")</f>
        <v>NoXtal</v>
      </c>
      <c r="D80" t="str">
        <f t="shared" si="1"/>
        <v>human</v>
      </c>
      <c r="E80" t="str">
        <f>VLOOKUP(A80,Classification!A:B,2,FALSE)</f>
        <v>B2</v>
      </c>
    </row>
    <row r="81" spans="1:5" x14ac:dyDescent="0.2">
      <c r="A81" t="s">
        <v>1180</v>
      </c>
      <c r="B81" t="s">
        <v>819</v>
      </c>
      <c r="C81" t="str">
        <f>IF(ISERROR(MATCH(A81,'SegEnds_Xtal_Prot#'!B:B, 0)), "NoXtal", "Xtal")</f>
        <v>NoXtal</v>
      </c>
      <c r="D81" t="str">
        <f t="shared" si="1"/>
        <v>human</v>
      </c>
      <c r="E81" t="str">
        <f>VLOOKUP(A81,Classification!A:B,2,FALSE)</f>
        <v>B2</v>
      </c>
    </row>
    <row r="82" spans="1:5" x14ac:dyDescent="0.2">
      <c r="A82" t="s">
        <v>1675</v>
      </c>
      <c r="B82" t="s">
        <v>820</v>
      </c>
      <c r="C82" t="str">
        <f>IF(ISERROR(MATCH(A82,'SegEnds_Xtal_Prot#'!B:B, 0)), "NoXtal", "Xtal")</f>
        <v>NoXtal</v>
      </c>
      <c r="D82" t="str">
        <f t="shared" si="1"/>
        <v>human</v>
      </c>
      <c r="E82" t="str">
        <f>VLOOKUP(A82,Classification!A:B,2,FALSE)</f>
        <v>B2</v>
      </c>
    </row>
    <row r="83" spans="1:5" x14ac:dyDescent="0.2">
      <c r="A83" t="s">
        <v>1181</v>
      </c>
      <c r="B83" t="s">
        <v>821</v>
      </c>
      <c r="C83" t="str">
        <f>IF(ISERROR(MATCH(A83,'SegEnds_Xtal_Prot#'!B:B, 0)), "NoXtal", "Xtal")</f>
        <v>NoXtal</v>
      </c>
      <c r="D83" t="str">
        <f t="shared" si="1"/>
        <v>human</v>
      </c>
      <c r="E83" t="str">
        <f>VLOOKUP(A83,Classification!A:B,2,FALSE)</f>
        <v>B2</v>
      </c>
    </row>
    <row r="84" spans="1:5" x14ac:dyDescent="0.2">
      <c r="A84" t="s">
        <v>1182</v>
      </c>
      <c r="B84" t="s">
        <v>822</v>
      </c>
      <c r="C84" t="str">
        <f>IF(ISERROR(MATCH(A84,'SegEnds_Xtal_Prot#'!B:B, 0)), "NoXtal", "Xtal")</f>
        <v>NoXtal</v>
      </c>
      <c r="D84" t="str">
        <f t="shared" si="1"/>
        <v>human</v>
      </c>
      <c r="E84" t="str">
        <f>VLOOKUP(A84,Classification!A:B,2,FALSE)</f>
        <v>B2</v>
      </c>
    </row>
    <row r="85" spans="1:5" x14ac:dyDescent="0.2">
      <c r="A85" t="s">
        <v>1183</v>
      </c>
      <c r="B85" t="s">
        <v>823</v>
      </c>
      <c r="C85" t="str">
        <f>IF(ISERROR(MATCH(A85,'SegEnds_Xtal_Prot#'!B:B, 0)), "NoXtal", "Xtal")</f>
        <v>NoXtal</v>
      </c>
      <c r="D85" t="str">
        <f t="shared" si="1"/>
        <v>human</v>
      </c>
      <c r="E85" t="str">
        <f>VLOOKUP(A85,Classification!A:B,2,FALSE)</f>
        <v>B2</v>
      </c>
    </row>
    <row r="86" spans="1:5" x14ac:dyDescent="0.2">
      <c r="A86" t="s">
        <v>1184</v>
      </c>
      <c r="B86" t="s">
        <v>824</v>
      </c>
      <c r="C86" t="str">
        <f>IF(ISERROR(MATCH(A86,'SegEnds_Xtal_Prot#'!B:B, 0)), "NoXtal", "Xtal")</f>
        <v>NoXtal</v>
      </c>
      <c r="D86" t="str">
        <f t="shared" si="1"/>
        <v>human</v>
      </c>
      <c r="E86" t="str">
        <f>VLOOKUP(A86,Classification!A:B,2,FALSE)</f>
        <v>B2</v>
      </c>
    </row>
    <row r="87" spans="1:5" x14ac:dyDescent="0.2">
      <c r="A87" t="s">
        <v>1185</v>
      </c>
      <c r="B87" t="s">
        <v>825</v>
      </c>
      <c r="C87" t="str">
        <f>IF(ISERROR(MATCH(A87,'SegEnds_Xtal_Prot#'!B:B, 0)), "NoXtal", "Xtal")</f>
        <v>NoXtal</v>
      </c>
      <c r="D87" t="str">
        <f t="shared" si="1"/>
        <v>human</v>
      </c>
      <c r="E87" t="str">
        <f>VLOOKUP(A87,Classification!A:B,2,FALSE)</f>
        <v>B2</v>
      </c>
    </row>
    <row r="88" spans="1:5" x14ac:dyDescent="0.2">
      <c r="A88" t="s">
        <v>1186</v>
      </c>
      <c r="B88" t="s">
        <v>826</v>
      </c>
      <c r="C88" t="str">
        <f>IF(ISERROR(MATCH(A88,'SegEnds_Xtal_Prot#'!B:B, 0)), "NoXtal", "Xtal")</f>
        <v>NoXtal</v>
      </c>
      <c r="D88" t="str">
        <f t="shared" si="1"/>
        <v>human</v>
      </c>
      <c r="E88" t="str">
        <f>VLOOKUP(A88,Classification!A:B,2,FALSE)</f>
        <v>B2</v>
      </c>
    </row>
    <row r="89" spans="1:5" x14ac:dyDescent="0.2">
      <c r="A89" t="s">
        <v>1187</v>
      </c>
      <c r="B89" t="s">
        <v>827</v>
      </c>
      <c r="C89" t="str">
        <f>IF(ISERROR(MATCH(A89,'SegEnds_Xtal_Prot#'!B:B, 0)), "NoXtal", "Xtal")</f>
        <v>NoXtal</v>
      </c>
      <c r="D89" t="str">
        <f t="shared" si="1"/>
        <v>human</v>
      </c>
      <c r="E89" t="str">
        <f>VLOOKUP(A89,Classification!A:B,2,FALSE)</f>
        <v>B2</v>
      </c>
    </row>
    <row r="90" spans="1:5" x14ac:dyDescent="0.2">
      <c r="A90" t="s">
        <v>1188</v>
      </c>
      <c r="B90" t="s">
        <v>828</v>
      </c>
      <c r="C90" t="str">
        <f>IF(ISERROR(MATCH(A90,'SegEnds_Xtal_Prot#'!B:B, 0)), "NoXtal", "Xtal")</f>
        <v>NoXtal</v>
      </c>
      <c r="D90" t="str">
        <f t="shared" si="1"/>
        <v>human</v>
      </c>
      <c r="E90" t="str">
        <f>VLOOKUP(A90,Classification!A:B,2,FALSE)</f>
        <v>B2</v>
      </c>
    </row>
    <row r="91" spans="1:5" x14ac:dyDescent="0.2">
      <c r="A91" t="s">
        <v>1189</v>
      </c>
      <c r="B91" t="s">
        <v>829</v>
      </c>
      <c r="C91" t="str">
        <f>IF(ISERROR(MATCH(A91,'SegEnds_Xtal_Prot#'!B:B, 0)), "NoXtal", "Xtal")</f>
        <v>NoXtal</v>
      </c>
      <c r="D91" t="str">
        <f t="shared" si="1"/>
        <v>human</v>
      </c>
      <c r="E91" t="str">
        <f>VLOOKUP(A91,Classification!A:B,2,FALSE)</f>
        <v>B2</v>
      </c>
    </row>
    <row r="92" spans="1:5" x14ac:dyDescent="0.2">
      <c r="A92" t="s">
        <v>1190</v>
      </c>
      <c r="B92" t="s">
        <v>830</v>
      </c>
      <c r="C92" t="str">
        <f>IF(ISERROR(MATCH(A92,'SegEnds_Xtal_Prot#'!B:B, 0)), "NoXtal", "Xtal")</f>
        <v>NoXtal</v>
      </c>
      <c r="D92" t="str">
        <f t="shared" si="1"/>
        <v>human</v>
      </c>
      <c r="E92" t="str">
        <f>VLOOKUP(A92,Classification!A:B,2,FALSE)</f>
        <v>B2</v>
      </c>
    </row>
    <row r="93" spans="1:5" x14ac:dyDescent="0.2">
      <c r="A93" t="s">
        <v>1407</v>
      </c>
      <c r="B93" t="s">
        <v>831</v>
      </c>
      <c r="C93" t="str">
        <f>IF(ISERROR(MATCH(A93,'SegEnds_Xtal_Prot#'!B:B, 0)), "NoXtal", "Xtal")</f>
        <v>NoXtal</v>
      </c>
      <c r="D93" t="str">
        <f t="shared" si="1"/>
        <v>human</v>
      </c>
      <c r="E93" t="str">
        <f>VLOOKUP(A93,Classification!A:B,2,FALSE)</f>
        <v>B2</v>
      </c>
    </row>
    <row r="94" spans="1:5" x14ac:dyDescent="0.2">
      <c r="A94" t="s">
        <v>1191</v>
      </c>
      <c r="B94" t="s">
        <v>832</v>
      </c>
      <c r="C94" t="str">
        <f>IF(ISERROR(MATCH(A94,'SegEnds_Xtal_Prot#'!B:B, 0)), "NoXtal", "Xtal")</f>
        <v>NoXtal</v>
      </c>
      <c r="D94" t="str">
        <f t="shared" si="1"/>
        <v>human</v>
      </c>
      <c r="E94" t="str">
        <f>VLOOKUP(A94,Classification!A:B,2,FALSE)</f>
        <v>B2</v>
      </c>
    </row>
    <row r="95" spans="1:5" x14ac:dyDescent="0.2">
      <c r="A95" t="s">
        <v>1192</v>
      </c>
      <c r="B95" t="s">
        <v>833</v>
      </c>
      <c r="C95" t="str">
        <f>IF(ISERROR(MATCH(A95,'SegEnds_Xtal_Prot#'!B:B, 0)), "NoXtal", "Xtal")</f>
        <v>NoXtal</v>
      </c>
      <c r="D95" t="str">
        <f t="shared" si="1"/>
        <v>human</v>
      </c>
      <c r="E95" t="str">
        <f>VLOOKUP(A95,Classification!A:B,2,FALSE)</f>
        <v>B2</v>
      </c>
    </row>
    <row r="96" spans="1:5" x14ac:dyDescent="0.2">
      <c r="A96" t="s">
        <v>1193</v>
      </c>
      <c r="B96" t="s">
        <v>834</v>
      </c>
      <c r="C96" t="str">
        <f>IF(ISERROR(MATCH(A96,'SegEnds_Xtal_Prot#'!B:B, 0)), "NoXtal", "Xtal")</f>
        <v>NoXtal</v>
      </c>
      <c r="D96" t="str">
        <f t="shared" si="1"/>
        <v>human</v>
      </c>
      <c r="E96" t="str">
        <f>VLOOKUP(A96,Classification!A:B,2,FALSE)</f>
        <v>B2</v>
      </c>
    </row>
    <row r="97" spans="1:5" x14ac:dyDescent="0.2">
      <c r="A97" t="s">
        <v>1194</v>
      </c>
      <c r="B97" t="s">
        <v>835</v>
      </c>
      <c r="C97" t="str">
        <f>IF(ISERROR(MATCH(A97,'SegEnds_Xtal_Prot#'!B:B, 0)), "NoXtal", "Xtal")</f>
        <v>NoXtal</v>
      </c>
      <c r="D97" t="str">
        <f t="shared" si="1"/>
        <v>human</v>
      </c>
      <c r="E97" t="str">
        <f>VLOOKUP(A97,Classification!A:B,2,FALSE)</f>
        <v>B2</v>
      </c>
    </row>
    <row r="98" spans="1:5" x14ac:dyDescent="0.2">
      <c r="A98" t="s">
        <v>1195</v>
      </c>
      <c r="B98" t="s">
        <v>836</v>
      </c>
      <c r="C98" t="str">
        <f>IF(ISERROR(MATCH(A98,'SegEnds_Xtal_Prot#'!B:B, 0)), "NoXtal", "Xtal")</f>
        <v>NoXtal</v>
      </c>
      <c r="D98" t="str">
        <f t="shared" si="1"/>
        <v>human</v>
      </c>
      <c r="E98" t="str">
        <f>VLOOKUP(A98,Classification!A:B,2,FALSE)</f>
        <v>B2</v>
      </c>
    </row>
    <row r="99" spans="1:5" x14ac:dyDescent="0.2">
      <c r="A99" t="s">
        <v>1674</v>
      </c>
      <c r="B99" t="s">
        <v>837</v>
      </c>
      <c r="C99" t="str">
        <f>IF(ISERROR(MATCH(A99,'SegEnds_Xtal_Prot#'!B:B, 0)), "NoXtal", "Xtal")</f>
        <v>NoXtal</v>
      </c>
      <c r="D99" t="str">
        <f t="shared" si="1"/>
        <v>human</v>
      </c>
      <c r="E99" t="str">
        <f>VLOOKUP(A99,Classification!A:B,2,FALSE)</f>
        <v>B2</v>
      </c>
    </row>
    <row r="100" spans="1:5" x14ac:dyDescent="0.2">
      <c r="A100" t="s">
        <v>38</v>
      </c>
      <c r="B100" t="s">
        <v>1320</v>
      </c>
      <c r="C100" t="str">
        <f>IF(ISERROR(MATCH(A100,'SegEnds_Xtal_Prot#'!B:B, 0)), "NoXtal", "Xtal")</f>
        <v>Xtal</v>
      </c>
      <c r="D100" t="str">
        <f t="shared" si="1"/>
        <v>human</v>
      </c>
      <c r="E100" t="str">
        <f>VLOOKUP(A100,Classification!A:B,2,FALSE)</f>
        <v>B1</v>
      </c>
    </row>
    <row r="101" spans="1:5" x14ac:dyDescent="0.2">
      <c r="A101" t="s">
        <v>32</v>
      </c>
      <c r="B101" t="s">
        <v>799</v>
      </c>
      <c r="C101" t="str">
        <f>IF(ISERROR(MATCH(A101,'SegEnds_Xtal_Prot#'!B:B, 0)), "NoXtal", "Xtal")</f>
        <v>Xtal</v>
      </c>
      <c r="D101" t="str">
        <f t="shared" si="1"/>
        <v>human</v>
      </c>
      <c r="E101" t="str">
        <f>VLOOKUP(A101,Classification!A:B,2,FALSE)</f>
        <v>B1</v>
      </c>
    </row>
    <row r="102" spans="1:5" x14ac:dyDescent="0.2">
      <c r="A102" t="s">
        <v>400</v>
      </c>
      <c r="B102" t="s">
        <v>1396</v>
      </c>
      <c r="C102" t="str">
        <f>IF(ISERROR(MATCH(A102,'SegEnds_Xtal_Prot#'!B:B, 0)), "NoXtal", "Xtal")</f>
        <v>Xtal</v>
      </c>
      <c r="D102" t="str">
        <f t="shared" si="1"/>
        <v>human</v>
      </c>
      <c r="E102" t="str">
        <f>VLOOKUP(A102,Classification!A:B,2,FALSE)</f>
        <v>B1</v>
      </c>
    </row>
    <row r="103" spans="1:5" x14ac:dyDescent="0.2">
      <c r="A103" t="s">
        <v>401</v>
      </c>
      <c r="B103" t="s">
        <v>793</v>
      </c>
      <c r="C103" t="str">
        <f>IF(ISERROR(MATCH(A103,'SegEnds_Xtal_Prot#'!B:B, 0)), "NoXtal", "Xtal")</f>
        <v>Xtal</v>
      </c>
      <c r="D103" t="str">
        <f t="shared" si="1"/>
        <v>human</v>
      </c>
      <c r="E103" t="str">
        <f>VLOOKUP(A103,Classification!A:B,2,FALSE)</f>
        <v>B1</v>
      </c>
    </row>
    <row r="104" spans="1:5" x14ac:dyDescent="0.2">
      <c r="A104" t="s">
        <v>402</v>
      </c>
      <c r="B104" t="s">
        <v>794</v>
      </c>
      <c r="C104" t="str">
        <f>IF(ISERROR(MATCH(A104,'SegEnds_Xtal_Prot#'!B:B, 0)), "NoXtal", "Xtal")</f>
        <v>Xtal</v>
      </c>
      <c r="D104" t="str">
        <f t="shared" si="1"/>
        <v>human</v>
      </c>
      <c r="E104" t="str">
        <f>VLOOKUP(A104,Classification!A:B,2,FALSE)</f>
        <v>B1</v>
      </c>
    </row>
    <row r="105" spans="1:5" x14ac:dyDescent="0.2">
      <c r="A105" t="s">
        <v>403</v>
      </c>
      <c r="B105" t="s">
        <v>795</v>
      </c>
      <c r="C105" t="str">
        <f>IF(ISERROR(MATCH(A105,'SegEnds_Xtal_Prot#'!B:B, 0)), "NoXtal", "Xtal")</f>
        <v>NoXtal</v>
      </c>
      <c r="D105" t="str">
        <f t="shared" si="1"/>
        <v>human</v>
      </c>
      <c r="E105" t="str">
        <f>VLOOKUP(A105,Classification!A:B,2,FALSE)</f>
        <v>B1</v>
      </c>
    </row>
    <row r="106" spans="1:5" x14ac:dyDescent="0.2">
      <c r="A106" t="s">
        <v>404</v>
      </c>
      <c r="B106" t="s">
        <v>796</v>
      </c>
      <c r="C106" t="str">
        <f>IF(ISERROR(MATCH(A106,'SegEnds_Xtal_Prot#'!B:B, 0)), "NoXtal", "Xtal")</f>
        <v>NoXtal</v>
      </c>
      <c r="D106" t="str">
        <f t="shared" si="1"/>
        <v>human</v>
      </c>
      <c r="E106" t="str">
        <f>VLOOKUP(A106,Classification!A:B,2,FALSE)</f>
        <v>B1</v>
      </c>
    </row>
    <row r="107" spans="1:5" x14ac:dyDescent="0.2">
      <c r="A107" t="s">
        <v>405</v>
      </c>
      <c r="B107" t="s">
        <v>797</v>
      </c>
      <c r="C107" t="str">
        <f>IF(ISERROR(MATCH(A107,'SegEnds_Xtal_Prot#'!B:B, 0)), "NoXtal", "Xtal")</f>
        <v>Xtal</v>
      </c>
      <c r="D107" t="str">
        <f t="shared" si="1"/>
        <v>human</v>
      </c>
      <c r="E107" t="str">
        <f>VLOOKUP(A107,Classification!A:B,2,FALSE)</f>
        <v>B1</v>
      </c>
    </row>
    <row r="108" spans="1:5" x14ac:dyDescent="0.2">
      <c r="A108" t="s">
        <v>406</v>
      </c>
      <c r="B108" t="s">
        <v>798</v>
      </c>
      <c r="C108" t="str">
        <f>IF(ISERROR(MATCH(A108,'SegEnds_Xtal_Prot#'!B:B, 0)), "NoXtal", "Xtal")</f>
        <v>NoXtal</v>
      </c>
      <c r="D108" t="str">
        <f t="shared" si="1"/>
        <v>human</v>
      </c>
      <c r="E108" t="str">
        <f>VLOOKUP(A108,Classification!A:B,2,FALSE)</f>
        <v>B1</v>
      </c>
    </row>
    <row r="109" spans="1:5" x14ac:dyDescent="0.2">
      <c r="A109" t="s">
        <v>410</v>
      </c>
      <c r="B109" t="s">
        <v>800</v>
      </c>
      <c r="C109" t="str">
        <f>IF(ISERROR(MATCH(A109,'SegEnds_Xtal_Prot#'!B:B, 0)), "NoXtal", "Xtal")</f>
        <v>NoXtal</v>
      </c>
      <c r="D109" t="str">
        <f t="shared" si="1"/>
        <v>human</v>
      </c>
      <c r="E109" t="str">
        <f>VLOOKUP(A109,Classification!A:B,2,FALSE)</f>
        <v>B1</v>
      </c>
    </row>
    <row r="110" spans="1:5" x14ac:dyDescent="0.2">
      <c r="A110" t="s">
        <v>408</v>
      </c>
      <c r="B110" t="s">
        <v>801</v>
      </c>
      <c r="C110" t="str">
        <f>IF(ISERROR(MATCH(A110,'SegEnds_Xtal_Prot#'!B:B, 0)), "NoXtal", "Xtal")</f>
        <v>Xtal</v>
      </c>
      <c r="D110" t="str">
        <f t="shared" si="1"/>
        <v>human</v>
      </c>
      <c r="E110" t="str">
        <f>VLOOKUP(A110,Classification!A:B,2,FALSE)</f>
        <v>B1</v>
      </c>
    </row>
    <row r="111" spans="1:5" x14ac:dyDescent="0.2">
      <c r="A111" t="s">
        <v>409</v>
      </c>
      <c r="B111" t="s">
        <v>802</v>
      </c>
      <c r="C111" t="str">
        <f>IF(ISERROR(MATCH(A111,'SegEnds_Xtal_Prot#'!B:B, 0)), "NoXtal", "Xtal")</f>
        <v>NoXtal</v>
      </c>
      <c r="D111" t="str">
        <f t="shared" si="1"/>
        <v>human</v>
      </c>
      <c r="E111" t="str">
        <f>VLOOKUP(A111,Classification!A:B,2,FALSE)</f>
        <v>B1</v>
      </c>
    </row>
    <row r="112" spans="1:5" x14ac:dyDescent="0.2">
      <c r="A112" t="s">
        <v>407</v>
      </c>
      <c r="B112" t="s">
        <v>1584</v>
      </c>
      <c r="C112" t="str">
        <f>IF(ISERROR(MATCH(A112,'SegEnds_Xtal_Prot#'!B:B, 0)), "NoXtal", "Xtal")</f>
        <v>Xtal</v>
      </c>
      <c r="D112" t="str">
        <f t="shared" si="1"/>
        <v>human</v>
      </c>
      <c r="E112" t="str">
        <f>VLOOKUP(A112,Classification!A:B,2,FALSE)</f>
        <v>B1</v>
      </c>
    </row>
    <row r="113" spans="1:13" x14ac:dyDescent="0.2">
      <c r="A113" t="s">
        <v>411</v>
      </c>
      <c r="B113" t="s">
        <v>803</v>
      </c>
      <c r="C113" t="str">
        <f>IF(ISERROR(MATCH(A113,'SegEnds_Xtal_Prot#'!B:B, 0)), "NoXtal", "Xtal")</f>
        <v>NoXtal</v>
      </c>
      <c r="D113" t="str">
        <f t="shared" si="1"/>
        <v>human</v>
      </c>
      <c r="E113" t="str">
        <f>VLOOKUP(A113,Classification!A:B,2,FALSE)</f>
        <v>B1</v>
      </c>
    </row>
    <row r="114" spans="1:13" x14ac:dyDescent="0.2">
      <c r="A114" t="s">
        <v>412</v>
      </c>
      <c r="B114" t="s">
        <v>804</v>
      </c>
      <c r="C114" t="str">
        <f>IF(ISERROR(MATCH(A114,'SegEnds_Xtal_Prot#'!B:B, 0)), "NoXtal", "Xtal")</f>
        <v>NoXtal</v>
      </c>
      <c r="D114" t="str">
        <f t="shared" si="1"/>
        <v>human</v>
      </c>
      <c r="E114" t="str">
        <f>VLOOKUP(A114,Classification!A:B,2,FALSE)</f>
        <v>B1</v>
      </c>
    </row>
    <row r="115" spans="1:13" x14ac:dyDescent="0.2">
      <c r="A115" t="s">
        <v>1414</v>
      </c>
      <c r="B115" t="s">
        <v>1413</v>
      </c>
      <c r="C115" t="str">
        <f>IF(ISERROR(MATCH(A115,'SegEnds_Xtal_Prot#'!B:B, 0)), "NoXtal", "Xtal")</f>
        <v>Xtal</v>
      </c>
      <c r="D115" t="str">
        <f>MID(A115,FIND("_",A115)+1,LEN(A115)-FIND("_",A115))</f>
        <v>rabit</v>
      </c>
      <c r="E115" t="str">
        <f>VLOOKUP(A115,Classification!A:B,2,FALSE)</f>
        <v>B1</v>
      </c>
    </row>
    <row r="116" spans="1:13" x14ac:dyDescent="0.2">
      <c r="A116" t="s">
        <v>905</v>
      </c>
      <c r="B116" t="s">
        <v>906</v>
      </c>
      <c r="C116" t="str">
        <f>IF(ISERROR(MATCH(A116,'SegEnds_Xtal_Prot#'!B:B, 0)), "NoXtal", "Xtal")</f>
        <v>Xtal</v>
      </c>
      <c r="D116" t="str">
        <f t="shared" si="1"/>
        <v>melga</v>
      </c>
      <c r="E116" t="str">
        <f>VLOOKUP(A116,Classification!A:B,2,FALSE)</f>
        <v>A</v>
      </c>
    </row>
    <row r="117" spans="1:13" x14ac:dyDescent="0.2">
      <c r="A117" t="s">
        <v>909</v>
      </c>
      <c r="B117" t="s">
        <v>910</v>
      </c>
      <c r="C117" t="str">
        <f>IF(ISERROR(MATCH(A117,'SegEnds_Xtal_Prot#'!B:B, 0)), "NoXtal", "Xtal")</f>
        <v>Xtal</v>
      </c>
      <c r="D117" t="str">
        <f t="shared" si="1"/>
        <v>mouse</v>
      </c>
      <c r="E117" t="str">
        <f>VLOOKUP(A117,Classification!A:B,2,FALSE)</f>
        <v>A</v>
      </c>
    </row>
    <row r="118" spans="1:13" x14ac:dyDescent="0.2">
      <c r="A118" t="s">
        <v>911</v>
      </c>
      <c r="B118" t="s">
        <v>912</v>
      </c>
      <c r="C118" t="str">
        <f>IF(ISERROR(MATCH(A118,'SegEnds_Xtal_Prot#'!B:B, 0)), "NoXtal", "Xtal")</f>
        <v>Xtal</v>
      </c>
      <c r="D118" t="str">
        <f t="shared" si="1"/>
        <v>mouse</v>
      </c>
      <c r="E118" t="str">
        <f>VLOOKUP(A118,Classification!A:B,2,FALSE)</f>
        <v>A</v>
      </c>
    </row>
    <row r="119" spans="1:13" ht="17" x14ac:dyDescent="0.25">
      <c r="A119" t="s">
        <v>903</v>
      </c>
      <c r="B119" t="s">
        <v>904</v>
      </c>
      <c r="C119" t="str">
        <f>IF(ISERROR(MATCH(A119,'SegEnds_Xtal_Prot#'!B:B, 0)), "NoXtal", "Xtal")</f>
        <v>Xtal</v>
      </c>
      <c r="D119" t="str">
        <f t="shared" si="1"/>
        <v>rat</v>
      </c>
      <c r="E119" t="str">
        <f>VLOOKUP(A119,Classification!A:B,2,FALSE)</f>
        <v>A</v>
      </c>
      <c r="M119" s="120"/>
    </row>
    <row r="120" spans="1:13" ht="17" x14ac:dyDescent="0.25">
      <c r="A120" t="s">
        <v>907</v>
      </c>
      <c r="B120" t="s">
        <v>908</v>
      </c>
      <c r="C120" t="str">
        <f>IF(ISERROR(MATCH(A120,'SegEnds_Xtal_Prot#'!B:B, 0)), "NoXtal", "Xtal")</f>
        <v>Xtal</v>
      </c>
      <c r="D120" t="str">
        <f t="shared" si="1"/>
        <v>rat</v>
      </c>
      <c r="E120" t="str">
        <f>VLOOKUP(A120,Classification!A:B,2,FALSE)</f>
        <v>A</v>
      </c>
      <c r="M120" s="120"/>
    </row>
    <row r="121" spans="1:13" ht="17" x14ac:dyDescent="0.25">
      <c r="A121" t="s">
        <v>915</v>
      </c>
      <c r="B121" t="s">
        <v>916</v>
      </c>
      <c r="C121" t="str">
        <f>IF(ISERROR(MATCH(A121,'SegEnds_Xtal_Prot#'!B:B, 0)), "NoXtal", "Xtal")</f>
        <v>Xtal</v>
      </c>
      <c r="D121" t="str">
        <f t="shared" si="1"/>
        <v>todpa</v>
      </c>
      <c r="E121" t="str">
        <f>VLOOKUP(A121,Classification!A:B,2,FALSE)</f>
        <v>A</v>
      </c>
      <c r="M121" s="120"/>
    </row>
    <row r="122" spans="1:13" ht="17" x14ac:dyDescent="0.25">
      <c r="A122" t="s">
        <v>913</v>
      </c>
      <c r="B122" t="s">
        <v>914</v>
      </c>
      <c r="C122" t="str">
        <f>IF(ISERROR(MATCH(A122,'SegEnds_Xtal_Prot#'!B:B, 0)), "NoXtal", "Xtal")</f>
        <v>Xtal</v>
      </c>
      <c r="D122" t="str">
        <f t="shared" si="1"/>
        <v>bovin</v>
      </c>
      <c r="E122" t="str">
        <f>VLOOKUP(A122,Classification!A:B,2,FALSE)</f>
        <v>A</v>
      </c>
      <c r="M122" s="120"/>
    </row>
    <row r="123" spans="1:13" ht="17" x14ac:dyDescent="0.25">
      <c r="A123" t="s">
        <v>1434</v>
      </c>
      <c r="B123" t="s">
        <v>1435</v>
      </c>
      <c r="C123" t="str">
        <f>IF(ISERROR(MATCH(A123,'SegEnds_Xtal_Prot#'!B:B, 0)), "NoXtal", "Xtal")</f>
        <v>Xtal</v>
      </c>
      <c r="D123" t="str">
        <f t="shared" si="1"/>
        <v>danre</v>
      </c>
      <c r="E123" t="str">
        <f>VLOOKUP(A123,Classification!A:B,2,FALSE)</f>
        <v>A</v>
      </c>
      <c r="M123" s="120"/>
    </row>
    <row r="124" spans="1:13" ht="17" x14ac:dyDescent="0.25">
      <c r="A124" t="s">
        <v>1501</v>
      </c>
      <c r="B124" t="s">
        <v>1502</v>
      </c>
      <c r="C124" t="str">
        <f>IF(ISERROR(MATCH(A124,'SegEnds_Xtal_Prot#'!B:B, 0)), "NoXtal", "Xtal")</f>
        <v>Xtal</v>
      </c>
      <c r="D124" t="str">
        <f>MID(A124,FIND("_",A124)+1,LEN(A124)-FIND("_",A124))</f>
        <v>hcmv</v>
      </c>
      <c r="E124" t="str">
        <f>VLOOKUP(A124,Classification!A:B,2,FALSE)</f>
        <v>A</v>
      </c>
      <c r="M124" s="120"/>
    </row>
    <row r="125" spans="1:13" ht="17" x14ac:dyDescent="0.25">
      <c r="A125" t="s">
        <v>1445</v>
      </c>
      <c r="B125" t="s">
        <v>1447</v>
      </c>
      <c r="C125" t="str">
        <f>IF(ISERROR(MATCH(A125,'SegEnds_Xtal_Prot#'!B:B, 0)), "NoXtal", "Xtal")</f>
        <v>Xtal</v>
      </c>
      <c r="D125" t="str">
        <f>MID(A125,FIND("_",A125)+1,LEN(A125)-FIND("_",A125))</f>
        <v>cavpo</v>
      </c>
      <c r="E125" t="str">
        <f>VLOOKUP(A125,Classification!A:B,2,FALSE)</f>
        <v>A</v>
      </c>
      <c r="M125" s="120"/>
    </row>
    <row r="126" spans="1:13" x14ac:dyDescent="0.2">
      <c r="A126" t="s">
        <v>917</v>
      </c>
      <c r="B126" t="s">
        <v>918</v>
      </c>
      <c r="C126" t="str">
        <f>IF(ISERROR(MATCH(A126,'SegEnds_Xtal_Prot#'!B:B, 0)), "NoXtal", "Xtal")</f>
        <v>Xtal</v>
      </c>
      <c r="D126" t="str">
        <f t="shared" si="1"/>
        <v>hcmva</v>
      </c>
      <c r="E126" t="str">
        <f>VLOOKUP(A126,Classification!A:B,2,FALSE)</f>
        <v>A</v>
      </c>
    </row>
    <row r="127" spans="1:13" x14ac:dyDescent="0.2">
      <c r="A127" t="s">
        <v>34</v>
      </c>
      <c r="B127" t="s">
        <v>482</v>
      </c>
      <c r="C127" t="str">
        <f>IF(ISERROR(MATCH(A127,'SegEnds_Xtal_Prot#'!B:B, 0)), "NoXtal", "Xtal")</f>
        <v>Xtal</v>
      </c>
      <c r="D127" t="str">
        <f t="shared" si="1"/>
        <v>human</v>
      </c>
      <c r="E127" t="str">
        <f>VLOOKUP(A127,Classification!A:B,2,FALSE)</f>
        <v>A</v>
      </c>
    </row>
    <row r="128" spans="1:13" x14ac:dyDescent="0.2">
      <c r="A128" t="s">
        <v>35</v>
      </c>
      <c r="B128" t="s">
        <v>487</v>
      </c>
      <c r="C128" t="str">
        <f>IF(ISERROR(MATCH(A128,'SegEnds_Xtal_Prot#'!B:B, 0)), "NoXtal", "Xtal")</f>
        <v>Xtal</v>
      </c>
      <c r="D128" t="str">
        <f t="shared" si="1"/>
        <v>human</v>
      </c>
      <c r="E128" t="str">
        <f>VLOOKUP(A128,Classification!A:B,2,FALSE)</f>
        <v>A</v>
      </c>
    </row>
    <row r="129" spans="1:5" x14ac:dyDescent="0.2">
      <c r="A129" t="s">
        <v>146</v>
      </c>
      <c r="B129" t="s">
        <v>493</v>
      </c>
      <c r="C129" t="str">
        <f>IF(ISERROR(MATCH(A129,'SegEnds_Xtal_Prot#'!B:B, 0)), "NoXtal", "Xtal")</f>
        <v>Xtal</v>
      </c>
      <c r="D129" t="str">
        <f t="shared" si="1"/>
        <v>human</v>
      </c>
      <c r="E129" t="str">
        <f>VLOOKUP(A129,Classification!A:B,2,FALSE)</f>
        <v>A</v>
      </c>
    </row>
    <row r="130" spans="1:5" x14ac:dyDescent="0.2">
      <c r="A130" t="s">
        <v>147</v>
      </c>
      <c r="B130" t="s">
        <v>494</v>
      </c>
      <c r="C130" t="str">
        <f>IF(ISERROR(MATCH(A130,'SegEnds_Xtal_Prot#'!B:B, 0)), "NoXtal", "Xtal")</f>
        <v>Xtal</v>
      </c>
      <c r="D130" t="str">
        <f t="shared" si="1"/>
        <v>human</v>
      </c>
      <c r="E130" t="str">
        <f>VLOOKUP(A130,Classification!A:B,2,FALSE)</f>
        <v>A</v>
      </c>
    </row>
    <row r="131" spans="1:5" x14ac:dyDescent="0.2">
      <c r="A131" t="s">
        <v>149</v>
      </c>
      <c r="B131" t="s">
        <v>497</v>
      </c>
      <c r="C131" t="str">
        <f>IF(ISERROR(MATCH(A131,'SegEnds_Xtal_Prot#'!B:B, 0)), "NoXtal", "Xtal")</f>
        <v>Xtal</v>
      </c>
      <c r="D131" t="str">
        <f t="shared" si="1"/>
        <v>human</v>
      </c>
      <c r="E131" t="str">
        <f>VLOOKUP(A131,Classification!A:B,2,FALSE)</f>
        <v>A</v>
      </c>
    </row>
    <row r="132" spans="1:5" x14ac:dyDescent="0.2">
      <c r="A132" t="s">
        <v>126</v>
      </c>
      <c r="B132" t="s">
        <v>506</v>
      </c>
      <c r="C132" t="str">
        <f>IF(ISERROR(MATCH(A132,'SegEnds_Xtal_Prot#'!B:B, 0)), "NoXtal", "Xtal")</f>
        <v>Xtal</v>
      </c>
      <c r="D132" t="str">
        <f t="shared" si="1"/>
        <v>human</v>
      </c>
      <c r="E132" t="str">
        <f>VLOOKUP(A132,Classification!A:B,2,FALSE)</f>
        <v>A</v>
      </c>
    </row>
    <row r="133" spans="1:5" x14ac:dyDescent="0.2">
      <c r="A133" t="s">
        <v>192</v>
      </c>
      <c r="B133" t="s">
        <v>509</v>
      </c>
      <c r="C133" t="str">
        <f>IF(ISERROR(MATCH(A133,'SegEnds_Xtal_Prot#'!B:B, 0)), "NoXtal", "Xtal")</f>
        <v>Xtal</v>
      </c>
      <c r="D133" t="str">
        <f t="shared" si="1"/>
        <v>human</v>
      </c>
      <c r="E133" t="str">
        <f>VLOOKUP(A133,Classification!A:B,2,FALSE)</f>
        <v>A</v>
      </c>
    </row>
    <row r="134" spans="1:5" x14ac:dyDescent="0.2">
      <c r="A134" t="s">
        <v>277</v>
      </c>
      <c r="B134" t="s">
        <v>512</v>
      </c>
      <c r="C134" t="str">
        <f>IF(ISERROR(MATCH(A134,'SegEnds_Xtal_Prot#'!B:B, 0)), "NoXtal", "Xtal")</f>
        <v>Xtal</v>
      </c>
      <c r="D134" t="str">
        <f t="shared" si="1"/>
        <v>human</v>
      </c>
      <c r="E134" t="str">
        <f>VLOOKUP(A134,Classification!A:B,2,FALSE)</f>
        <v>A</v>
      </c>
    </row>
    <row r="135" spans="1:5" x14ac:dyDescent="0.2">
      <c r="A135" t="s">
        <v>158</v>
      </c>
      <c r="B135" t="s">
        <v>517</v>
      </c>
      <c r="C135" t="str">
        <f>IF(ISERROR(MATCH(A135,'SegEnds_Xtal_Prot#'!B:B, 0)), "NoXtal", "Xtal")</f>
        <v>Xtal</v>
      </c>
      <c r="D135" t="str">
        <f t="shared" ref="D135:D198" si="2">MID(A135,FIND("_",A135)+1,LEN(A135)-FIND("_",A135))</f>
        <v>human</v>
      </c>
      <c r="E135" t="str">
        <f>VLOOKUP(A135,Classification!A:B,2,FALSE)</f>
        <v>A</v>
      </c>
    </row>
    <row r="136" spans="1:5" x14ac:dyDescent="0.2">
      <c r="A136" t="s">
        <v>334</v>
      </c>
      <c r="B136" t="s">
        <v>565</v>
      </c>
      <c r="C136" t="str">
        <f>IF(ISERROR(MATCH(A136,'SegEnds_Xtal_Prot#'!B:B, 0)), "NoXtal", "Xtal")</f>
        <v>Xtal</v>
      </c>
      <c r="D136" t="str">
        <f t="shared" si="2"/>
        <v>human</v>
      </c>
      <c r="E136" t="str">
        <f>VLOOKUP(A136,Classification!A:B,2,FALSE)</f>
        <v>A</v>
      </c>
    </row>
    <row r="137" spans="1:5" x14ac:dyDescent="0.2">
      <c r="A137" t="s">
        <v>335</v>
      </c>
      <c r="B137" t="s">
        <v>566</v>
      </c>
      <c r="C137" t="str">
        <f>IF(ISERROR(MATCH(A137,'SegEnds_Xtal_Prot#'!B:B, 0)), "NoXtal", "Xtal")</f>
        <v>Xtal</v>
      </c>
      <c r="D137" t="str">
        <f t="shared" si="2"/>
        <v>human</v>
      </c>
      <c r="E137" t="str">
        <f>VLOOKUP(A137,Classification!A:B,2,FALSE)</f>
        <v>A</v>
      </c>
    </row>
    <row r="138" spans="1:5" x14ac:dyDescent="0.2">
      <c r="A138" t="s">
        <v>1167</v>
      </c>
      <c r="B138" t="s">
        <v>568</v>
      </c>
      <c r="C138" t="str">
        <f>IF(ISERROR(MATCH(A138,'SegEnds_Xtal_Prot#'!B:B, 0)), "NoXtal", "Xtal")</f>
        <v>Xtal</v>
      </c>
      <c r="D138" t="str">
        <f t="shared" si="2"/>
        <v>human</v>
      </c>
      <c r="E138" t="str">
        <f>VLOOKUP(A138,Classification!A:B,2,FALSE)</f>
        <v>A</v>
      </c>
    </row>
    <row r="139" spans="1:5" x14ac:dyDescent="0.2">
      <c r="A139" t="s">
        <v>1168</v>
      </c>
      <c r="B139" t="s">
        <v>569</v>
      </c>
      <c r="C139" t="str">
        <f>IF(ISERROR(MATCH(A139,'SegEnds_Xtal_Prot#'!B:B, 0)), "NoXtal", "Xtal")</f>
        <v>Xtal</v>
      </c>
      <c r="D139" t="str">
        <f t="shared" si="2"/>
        <v>human</v>
      </c>
      <c r="E139" t="str">
        <f>VLOOKUP(A139,Classification!A:B,2,FALSE)</f>
        <v>A</v>
      </c>
    </row>
    <row r="140" spans="1:5" x14ac:dyDescent="0.2">
      <c r="A140" t="s">
        <v>1169</v>
      </c>
      <c r="B140" t="s">
        <v>570</v>
      </c>
      <c r="C140" t="str">
        <f>IF(ISERROR(MATCH(A140,'SegEnds_Xtal_Prot#'!B:B, 0)), "NoXtal", "Xtal")</f>
        <v>Xtal</v>
      </c>
      <c r="D140" t="str">
        <f t="shared" si="2"/>
        <v>human</v>
      </c>
      <c r="E140" t="str">
        <f>VLOOKUP(A140,Classification!A:B,2,FALSE)</f>
        <v>A</v>
      </c>
    </row>
    <row r="141" spans="1:5" x14ac:dyDescent="0.2">
      <c r="A141" t="s">
        <v>354</v>
      </c>
      <c r="B141" t="s">
        <v>573</v>
      </c>
      <c r="C141" t="str">
        <f>IF(ISERROR(MATCH(A141,'SegEnds_Xtal_Prot#'!B:B, 0)), "NoXtal", "Xtal")</f>
        <v>Xtal</v>
      </c>
      <c r="D141" t="str">
        <f t="shared" si="2"/>
        <v>human</v>
      </c>
      <c r="E141" t="str">
        <f>VLOOKUP(A141,Classification!A:B,2,FALSE)</f>
        <v>A</v>
      </c>
    </row>
    <row r="142" spans="1:5" x14ac:dyDescent="0.2">
      <c r="A142" t="s">
        <v>173</v>
      </c>
      <c r="B142" t="s">
        <v>601</v>
      </c>
      <c r="C142" t="str">
        <f>IF(ISERROR(MATCH(A142,'SegEnds_Xtal_Prot#'!B:B, 0)), "NoXtal", "Xtal")</f>
        <v>Xtal</v>
      </c>
      <c r="D142" t="str">
        <f t="shared" si="2"/>
        <v>human</v>
      </c>
      <c r="E142" t="str">
        <f>VLOOKUP(A142,Classification!A:B,2,FALSE)</f>
        <v>A</v>
      </c>
    </row>
    <row r="143" spans="1:5" x14ac:dyDescent="0.2">
      <c r="A143" t="s">
        <v>1165</v>
      </c>
      <c r="B143" t="s">
        <v>611</v>
      </c>
      <c r="C143" t="str">
        <f>IF(ISERROR(MATCH(A143,'SegEnds_Xtal_Prot#'!B:B, 0)), "NoXtal", "Xtal")</f>
        <v>Xtal</v>
      </c>
      <c r="D143" t="str">
        <f t="shared" si="2"/>
        <v>human</v>
      </c>
      <c r="E143" t="str">
        <f>VLOOKUP(A143,Classification!A:B,2,FALSE)</f>
        <v>A</v>
      </c>
    </row>
    <row r="144" spans="1:5" x14ac:dyDescent="0.2">
      <c r="A144" t="s">
        <v>1166</v>
      </c>
      <c r="B144" t="s">
        <v>627</v>
      </c>
      <c r="C144" t="str">
        <f>IF(ISERROR(MATCH(A144,'SegEnds_Xtal_Prot#'!B:B, 0)), "NoXtal", "Xtal")</f>
        <v>Xtal</v>
      </c>
      <c r="D144" t="str">
        <f t="shared" si="2"/>
        <v>human</v>
      </c>
      <c r="E144" t="str">
        <f>VLOOKUP(A144,Classification!A:B,2,FALSE)</f>
        <v>A</v>
      </c>
    </row>
    <row r="145" spans="1:5" x14ac:dyDescent="0.2">
      <c r="A145" t="s">
        <v>103</v>
      </c>
      <c r="B145" t="s">
        <v>637</v>
      </c>
      <c r="C145" t="str">
        <f>IF(ISERROR(MATCH(A145,'SegEnds_Xtal_Prot#'!B:B, 0)), "NoXtal", "Xtal")</f>
        <v>Xtal</v>
      </c>
      <c r="D145" t="str">
        <f t="shared" si="2"/>
        <v>human</v>
      </c>
      <c r="E145" t="str">
        <f>VLOOKUP(A145,Classification!A:B,2,FALSE)</f>
        <v>A</v>
      </c>
    </row>
    <row r="146" spans="1:5" x14ac:dyDescent="0.2">
      <c r="A146" t="s">
        <v>104</v>
      </c>
      <c r="B146" t="s">
        <v>643</v>
      </c>
      <c r="C146" t="str">
        <f>IF(ISERROR(MATCH(A146,'SegEnds_Xtal_Prot#'!B:B, 0)), "NoXtal", "Xtal")</f>
        <v>Xtal</v>
      </c>
      <c r="D146" t="str">
        <f t="shared" si="2"/>
        <v>human</v>
      </c>
      <c r="E146" t="str">
        <f>VLOOKUP(A146,Classification!A:B,2,FALSE)</f>
        <v>A</v>
      </c>
    </row>
    <row r="147" spans="1:5" x14ac:dyDescent="0.2">
      <c r="A147" t="s">
        <v>139</v>
      </c>
      <c r="B147" t="s">
        <v>666</v>
      </c>
      <c r="C147" t="str">
        <f>IF(ISERROR(MATCH(A147,'SegEnds_Xtal_Prot#'!B:B, 0)), "NoXtal", "Xtal")</f>
        <v>Xtal</v>
      </c>
      <c r="D147" t="str">
        <f t="shared" si="2"/>
        <v>human</v>
      </c>
      <c r="E147" t="str">
        <f>VLOOKUP(A147,Classification!A:B,2,FALSE)</f>
        <v>A</v>
      </c>
    </row>
    <row r="148" spans="1:5" x14ac:dyDescent="0.2">
      <c r="A148" t="s">
        <v>344</v>
      </c>
      <c r="B148" t="s">
        <v>669</v>
      </c>
      <c r="C148" t="str">
        <f>IF(ISERROR(MATCH(A148,'SegEnds_Xtal_Prot#'!B:B, 0)), "NoXtal", "Xtal")</f>
        <v>Xtal</v>
      </c>
      <c r="D148" t="str">
        <f t="shared" si="2"/>
        <v>human</v>
      </c>
      <c r="E148" t="str">
        <f>VLOOKUP(A148,Classification!A:B,2,FALSE)</f>
        <v>A</v>
      </c>
    </row>
    <row r="149" spans="1:5" x14ac:dyDescent="0.2">
      <c r="A149" t="s">
        <v>351</v>
      </c>
      <c r="B149" t="s">
        <v>674</v>
      </c>
      <c r="C149" t="str">
        <f>IF(ISERROR(MATCH(A149,'SegEnds_Xtal_Prot#'!B:B, 0)), "NoXtal", "Xtal")</f>
        <v>Xtal</v>
      </c>
      <c r="D149" t="str">
        <f t="shared" si="2"/>
        <v>human</v>
      </c>
      <c r="E149" t="str">
        <f>VLOOKUP(A149,Classification!A:B,2,FALSE)</f>
        <v>A</v>
      </c>
    </row>
    <row r="150" spans="1:5" x14ac:dyDescent="0.2">
      <c r="A150" t="s">
        <v>338</v>
      </c>
      <c r="B150" t="s">
        <v>684</v>
      </c>
      <c r="C150" t="str">
        <f>IF(ISERROR(MATCH(A150,'SegEnds_Xtal_Prot#'!B:B, 0)), "NoXtal", "Xtal")</f>
        <v>Xtal</v>
      </c>
      <c r="D150" t="str">
        <f t="shared" si="2"/>
        <v>human</v>
      </c>
      <c r="E150" t="str">
        <f>VLOOKUP(A150,Classification!A:B,2,FALSE)</f>
        <v>A</v>
      </c>
    </row>
    <row r="151" spans="1:5" x14ac:dyDescent="0.2">
      <c r="A151" t="s">
        <v>128</v>
      </c>
      <c r="B151" t="s">
        <v>481</v>
      </c>
      <c r="C151" t="str">
        <f>IF(ISERROR(MATCH(A151,'SegEnds_Xtal_Prot#'!B:B, 0)), "NoXtal", "Xtal")</f>
        <v>NoXtal</v>
      </c>
      <c r="D151" t="str">
        <f t="shared" si="2"/>
        <v>human</v>
      </c>
      <c r="E151" t="str">
        <f>VLOOKUP(A151,Classification!A:B,2,FALSE)</f>
        <v>A</v>
      </c>
    </row>
    <row r="152" spans="1:5" x14ac:dyDescent="0.2">
      <c r="A152" t="s">
        <v>129</v>
      </c>
      <c r="B152" t="s">
        <v>483</v>
      </c>
      <c r="C152" t="str">
        <f>IF(ISERROR(MATCH(A152,'SegEnds_Xtal_Prot#'!B:B, 0)), "NoXtal", "Xtal")</f>
        <v>NoXtal</v>
      </c>
      <c r="D152" t="str">
        <f t="shared" si="2"/>
        <v>human</v>
      </c>
      <c r="E152" t="str">
        <f>VLOOKUP(A152,Classification!A:B,2,FALSE)</f>
        <v>A</v>
      </c>
    </row>
    <row r="153" spans="1:5" x14ac:dyDescent="0.2">
      <c r="A153" t="s">
        <v>130</v>
      </c>
      <c r="B153" t="s">
        <v>484</v>
      </c>
      <c r="C153" t="str">
        <f>IF(ISERROR(MATCH(A153,'SegEnds_Xtal_Prot#'!B:B, 0)), "NoXtal", "Xtal")</f>
        <v>NoXtal</v>
      </c>
      <c r="D153" t="str">
        <f t="shared" si="2"/>
        <v>human</v>
      </c>
      <c r="E153" t="str">
        <f>VLOOKUP(A153,Classification!A:B,2,FALSE)</f>
        <v>A</v>
      </c>
    </row>
    <row r="154" spans="1:5" x14ac:dyDescent="0.2">
      <c r="A154" t="s">
        <v>131</v>
      </c>
      <c r="B154" t="s">
        <v>485</v>
      </c>
      <c r="C154" t="str">
        <f>IF(ISERROR(MATCH(A154,'SegEnds_Xtal_Prot#'!B:B, 0)), "NoXtal", "Xtal")</f>
        <v>NoXtal</v>
      </c>
      <c r="D154" t="str">
        <f t="shared" si="2"/>
        <v>human</v>
      </c>
      <c r="E154" t="str">
        <f>VLOOKUP(A154,Classification!A:B,2,FALSE)</f>
        <v>A</v>
      </c>
    </row>
    <row r="155" spans="1:5" x14ac:dyDescent="0.2">
      <c r="A155" t="s">
        <v>132</v>
      </c>
      <c r="B155" t="s">
        <v>486</v>
      </c>
      <c r="C155" t="str">
        <f>IF(ISERROR(MATCH(A155,'SegEnds_Xtal_Prot#'!B:B, 0)), "NoXtal", "Xtal")</f>
        <v>Xtal</v>
      </c>
      <c r="D155" t="str">
        <f t="shared" si="2"/>
        <v>human</v>
      </c>
      <c r="E155" t="str">
        <f>VLOOKUP(A155,Classification!A:B,2,FALSE)</f>
        <v>A</v>
      </c>
    </row>
    <row r="156" spans="1:5" x14ac:dyDescent="0.2">
      <c r="A156" t="s">
        <v>133</v>
      </c>
      <c r="B156" t="s">
        <v>488</v>
      </c>
      <c r="C156" t="str">
        <f>IF(ISERROR(MATCH(A156,'SegEnds_Xtal_Prot#'!B:B, 0)), "NoXtal", "Xtal")</f>
        <v>Xtal</v>
      </c>
      <c r="D156" t="str">
        <f t="shared" si="2"/>
        <v>human</v>
      </c>
      <c r="E156" t="str">
        <f>VLOOKUP(A156,Classification!A:B,2,FALSE)</f>
        <v>A</v>
      </c>
    </row>
    <row r="157" spans="1:5" x14ac:dyDescent="0.2">
      <c r="A157" t="s">
        <v>134</v>
      </c>
      <c r="B157" t="s">
        <v>489</v>
      </c>
      <c r="C157" t="str">
        <f>IF(ISERROR(MATCH(A157,'SegEnds_Xtal_Prot#'!B:B, 0)), "NoXtal", "Xtal")</f>
        <v>NoXtal</v>
      </c>
      <c r="D157" t="str">
        <f t="shared" si="2"/>
        <v>human</v>
      </c>
      <c r="E157" t="str">
        <f>VLOOKUP(A157,Classification!A:B,2,FALSE)</f>
        <v>A</v>
      </c>
    </row>
    <row r="158" spans="1:5" x14ac:dyDescent="0.2">
      <c r="A158" t="s">
        <v>135</v>
      </c>
      <c r="B158" t="s">
        <v>490</v>
      </c>
      <c r="C158" t="str">
        <f>IF(ISERROR(MATCH(A158,'SegEnds_Xtal_Prot#'!B:B, 0)), "NoXtal", "Xtal")</f>
        <v>NoXtal</v>
      </c>
      <c r="D158" t="str">
        <f t="shared" si="2"/>
        <v>human</v>
      </c>
      <c r="E158" t="str">
        <f>VLOOKUP(A158,Classification!A:B,2,FALSE)</f>
        <v>A</v>
      </c>
    </row>
    <row r="159" spans="1:5" x14ac:dyDescent="0.2">
      <c r="A159" t="s">
        <v>136</v>
      </c>
      <c r="B159" t="s">
        <v>491</v>
      </c>
      <c r="C159" t="str">
        <f>IF(ISERROR(MATCH(A159,'SegEnds_Xtal_Prot#'!B:B, 0)), "NoXtal", "Xtal")</f>
        <v>NoXtal</v>
      </c>
      <c r="D159" t="str">
        <f t="shared" si="2"/>
        <v>human</v>
      </c>
      <c r="E159" t="str">
        <f>VLOOKUP(A159,Classification!A:B,2,FALSE)</f>
        <v>A</v>
      </c>
    </row>
    <row r="160" spans="1:5" x14ac:dyDescent="0.2">
      <c r="A160" t="s">
        <v>137</v>
      </c>
      <c r="B160" t="s">
        <v>492</v>
      </c>
      <c r="C160" t="str">
        <f>IF(ISERROR(MATCH(A160,'SegEnds_Xtal_Prot#'!B:B, 0)), "NoXtal", "Xtal")</f>
        <v>NoXtal</v>
      </c>
      <c r="D160" t="str">
        <f t="shared" si="2"/>
        <v>human</v>
      </c>
      <c r="E160" t="str">
        <f>VLOOKUP(A160,Classification!A:B,2,FALSE)</f>
        <v>A</v>
      </c>
    </row>
    <row r="161" spans="1:5" x14ac:dyDescent="0.2">
      <c r="A161" t="s">
        <v>191</v>
      </c>
      <c r="B161" t="s">
        <v>495</v>
      </c>
      <c r="C161" t="str">
        <f>IF(ISERROR(MATCH(A161,'SegEnds_Xtal_Prot#'!B:B, 0)), "NoXtal", "Xtal")</f>
        <v>Xtal</v>
      </c>
      <c r="D161" t="str">
        <f t="shared" si="2"/>
        <v>human</v>
      </c>
      <c r="E161" t="str">
        <f>VLOOKUP(A161,Classification!A:B,2,FALSE)</f>
        <v>A</v>
      </c>
    </row>
    <row r="162" spans="1:5" x14ac:dyDescent="0.2">
      <c r="A162" t="s">
        <v>148</v>
      </c>
      <c r="B162" t="s">
        <v>496</v>
      </c>
      <c r="C162" t="str">
        <f>IF(ISERROR(MATCH(A162,'SegEnds_Xtal_Prot#'!B:B, 0)), "NoXtal", "Xtal")</f>
        <v>NoXtal</v>
      </c>
      <c r="D162" t="str">
        <f t="shared" si="2"/>
        <v>human</v>
      </c>
      <c r="E162" t="str">
        <f>VLOOKUP(A162,Classification!A:B,2,FALSE)</f>
        <v>A</v>
      </c>
    </row>
    <row r="163" spans="1:5" x14ac:dyDescent="0.2">
      <c r="A163" t="s">
        <v>150</v>
      </c>
      <c r="B163" t="s">
        <v>498</v>
      </c>
      <c r="C163" t="str">
        <f>IF(ISERROR(MATCH(A163,'SegEnds_Xtal_Prot#'!B:B, 0)), "NoXtal", "Xtal")</f>
        <v>Xtal</v>
      </c>
      <c r="D163" t="str">
        <f t="shared" si="2"/>
        <v>human</v>
      </c>
      <c r="E163" t="str">
        <f>VLOOKUP(A163,Classification!A:B,2,FALSE)</f>
        <v>A</v>
      </c>
    </row>
    <row r="164" spans="1:5" x14ac:dyDescent="0.2">
      <c r="A164" t="s">
        <v>152</v>
      </c>
      <c r="B164" t="s">
        <v>499</v>
      </c>
      <c r="C164" t="str">
        <f>IF(ISERROR(MATCH(A164,'SegEnds_Xtal_Prot#'!B:B, 0)), "NoXtal", "Xtal")</f>
        <v>NoXtal</v>
      </c>
      <c r="D164" t="str">
        <f t="shared" si="2"/>
        <v>human</v>
      </c>
      <c r="E164" t="str">
        <f>VLOOKUP(A164,Classification!A:B,2,FALSE)</f>
        <v>A</v>
      </c>
    </row>
    <row r="165" spans="1:5" x14ac:dyDescent="0.2">
      <c r="A165" t="s">
        <v>153</v>
      </c>
      <c r="B165" t="s">
        <v>500</v>
      </c>
      <c r="C165" t="str">
        <f>IF(ISERROR(MATCH(A165,'SegEnds_Xtal_Prot#'!B:B, 0)), "NoXtal", "Xtal")</f>
        <v>NoXtal</v>
      </c>
      <c r="D165" t="str">
        <f t="shared" si="2"/>
        <v>human</v>
      </c>
      <c r="E165" t="str">
        <f>VLOOKUP(A165,Classification!A:B,2,FALSE)</f>
        <v>A</v>
      </c>
    </row>
    <row r="166" spans="1:5" x14ac:dyDescent="0.2">
      <c r="A166" t="s">
        <v>154</v>
      </c>
      <c r="B166" t="s">
        <v>501</v>
      </c>
      <c r="C166" t="str">
        <f>IF(ISERROR(MATCH(A166,'SegEnds_Xtal_Prot#'!B:B, 0)), "NoXtal", "Xtal")</f>
        <v>NoXtal</v>
      </c>
      <c r="D166" t="str">
        <f t="shared" si="2"/>
        <v>human</v>
      </c>
      <c r="E166" t="str">
        <f>VLOOKUP(A166,Classification!A:B,2,FALSE)</f>
        <v>A</v>
      </c>
    </row>
    <row r="167" spans="1:5" x14ac:dyDescent="0.2">
      <c r="A167" t="s">
        <v>155</v>
      </c>
      <c r="B167" t="s">
        <v>502</v>
      </c>
      <c r="C167" t="str">
        <f>IF(ISERROR(MATCH(A167,'SegEnds_Xtal_Prot#'!B:B, 0)), "NoXtal", "Xtal")</f>
        <v>NoXtal</v>
      </c>
      <c r="D167" t="str">
        <f t="shared" si="2"/>
        <v>human</v>
      </c>
      <c r="E167" t="str">
        <f>VLOOKUP(A167,Classification!A:B,2,FALSE)</f>
        <v>A</v>
      </c>
    </row>
    <row r="168" spans="1:5" x14ac:dyDescent="0.2">
      <c r="A168" t="s">
        <v>156</v>
      </c>
      <c r="B168" t="s">
        <v>503</v>
      </c>
      <c r="C168" t="str">
        <f>IF(ISERROR(MATCH(A168,'SegEnds_Xtal_Prot#'!B:B, 0)), "NoXtal", "Xtal")</f>
        <v>NoXtal</v>
      </c>
      <c r="D168" t="str">
        <f t="shared" si="2"/>
        <v>human</v>
      </c>
      <c r="E168" t="str">
        <f>VLOOKUP(A168,Classification!A:B,2,FALSE)</f>
        <v>A</v>
      </c>
    </row>
    <row r="169" spans="1:5" x14ac:dyDescent="0.2">
      <c r="A169" t="s">
        <v>157</v>
      </c>
      <c r="B169" t="s">
        <v>504</v>
      </c>
      <c r="C169" t="str">
        <f>IF(ISERROR(MATCH(A169,'SegEnds_Xtal_Prot#'!B:B, 0)), "NoXtal", "Xtal")</f>
        <v>NoXtal</v>
      </c>
      <c r="D169" t="str">
        <f t="shared" si="2"/>
        <v>human</v>
      </c>
      <c r="E169" t="str">
        <f>VLOOKUP(A169,Classification!A:B,2,FALSE)</f>
        <v>A</v>
      </c>
    </row>
    <row r="170" spans="1:5" x14ac:dyDescent="0.2">
      <c r="A170" t="s">
        <v>125</v>
      </c>
      <c r="B170" t="s">
        <v>505</v>
      </c>
      <c r="C170" t="str">
        <f>IF(ISERROR(MATCH(A170,'SegEnds_Xtal_Prot#'!B:B, 0)), "NoXtal", "Xtal")</f>
        <v>NoXtal</v>
      </c>
      <c r="D170" t="str">
        <f t="shared" si="2"/>
        <v>human</v>
      </c>
      <c r="E170" t="str">
        <f>VLOOKUP(A170,Classification!A:B,2,FALSE)</f>
        <v>A</v>
      </c>
    </row>
    <row r="171" spans="1:5" x14ac:dyDescent="0.2">
      <c r="A171" t="s">
        <v>102</v>
      </c>
      <c r="B171" t="s">
        <v>507</v>
      </c>
      <c r="C171" t="str">
        <f>IF(ISERROR(MATCH(A171,'SegEnds_Xtal_Prot#'!B:B, 0)), "NoXtal", "Xtal")</f>
        <v>NoXtal</v>
      </c>
      <c r="D171" t="str">
        <f t="shared" si="2"/>
        <v>human</v>
      </c>
      <c r="E171" t="str">
        <f>VLOOKUP(A171,Classification!A:B,2,FALSE)</f>
        <v>A</v>
      </c>
    </row>
    <row r="172" spans="1:5" x14ac:dyDescent="0.2">
      <c r="A172" t="s">
        <v>190</v>
      </c>
      <c r="B172" t="s">
        <v>508</v>
      </c>
      <c r="C172" t="str">
        <f>IF(ISERROR(MATCH(A172,'SegEnds_Xtal_Prot#'!B:B, 0)), "NoXtal", "Xtal")</f>
        <v>NoXtal</v>
      </c>
      <c r="D172" t="str">
        <f t="shared" si="2"/>
        <v>human</v>
      </c>
      <c r="E172" t="str">
        <f>VLOOKUP(A172,Classification!A:B,2,FALSE)</f>
        <v>A</v>
      </c>
    </row>
    <row r="173" spans="1:5" x14ac:dyDescent="0.2">
      <c r="A173" t="s">
        <v>193</v>
      </c>
      <c r="B173" t="s">
        <v>510</v>
      </c>
      <c r="C173" t="str">
        <f>IF(ISERROR(MATCH(A173,'SegEnds_Xtal_Prot#'!B:B, 0)), "NoXtal", "Xtal")</f>
        <v>Xtal</v>
      </c>
      <c r="D173" t="str">
        <f t="shared" si="2"/>
        <v>human</v>
      </c>
      <c r="E173" t="str">
        <f>VLOOKUP(A173,Classification!A:B,2,FALSE)</f>
        <v>A</v>
      </c>
    </row>
    <row r="174" spans="1:5" x14ac:dyDescent="0.2">
      <c r="A174" t="s">
        <v>194</v>
      </c>
      <c r="B174" t="s">
        <v>511</v>
      </c>
      <c r="C174" t="str">
        <f>IF(ISERROR(MATCH(A174,'SegEnds_Xtal_Prot#'!B:B, 0)), "NoXtal", "Xtal")</f>
        <v>NoXtal</v>
      </c>
      <c r="D174" t="str">
        <f t="shared" si="2"/>
        <v>human</v>
      </c>
      <c r="E174" t="str">
        <f>VLOOKUP(A174,Classification!A:B,2,FALSE)</f>
        <v>A</v>
      </c>
    </row>
    <row r="175" spans="1:5" x14ac:dyDescent="0.2">
      <c r="A175" t="s">
        <v>278</v>
      </c>
      <c r="B175" t="s">
        <v>513</v>
      </c>
      <c r="C175" t="str">
        <f>IF(ISERROR(MATCH(A175,'SegEnds_Xtal_Prot#'!B:B, 0)), "NoXtal", "Xtal")</f>
        <v>NoXtal</v>
      </c>
      <c r="D175" t="str">
        <f t="shared" si="2"/>
        <v>human</v>
      </c>
      <c r="E175" t="str">
        <f>VLOOKUP(A175,Classification!A:B,2,FALSE)</f>
        <v>A</v>
      </c>
    </row>
    <row r="176" spans="1:5" x14ac:dyDescent="0.2">
      <c r="A176" t="s">
        <v>279</v>
      </c>
      <c r="B176" t="s">
        <v>514</v>
      </c>
      <c r="C176" t="str">
        <f>IF(ISERROR(MATCH(A176,'SegEnds_Xtal_Prot#'!B:B, 0)), "NoXtal", "Xtal")</f>
        <v>NoXtal</v>
      </c>
      <c r="D176" t="str">
        <f t="shared" si="2"/>
        <v>human</v>
      </c>
      <c r="E176" t="str">
        <f>VLOOKUP(A176,Classification!A:B,2,FALSE)</f>
        <v>A</v>
      </c>
    </row>
    <row r="177" spans="1:5" x14ac:dyDescent="0.2">
      <c r="A177" t="s">
        <v>280</v>
      </c>
      <c r="B177" t="s">
        <v>515</v>
      </c>
      <c r="C177" t="str">
        <f>IF(ISERROR(MATCH(A177,'SegEnds_Xtal_Prot#'!B:B, 0)), "NoXtal", "Xtal")</f>
        <v>NoXtal</v>
      </c>
      <c r="D177" t="str">
        <f t="shared" si="2"/>
        <v>human</v>
      </c>
      <c r="E177" t="str">
        <f>VLOOKUP(A177,Classification!A:B,2,FALSE)</f>
        <v>A</v>
      </c>
    </row>
    <row r="178" spans="1:5" x14ac:dyDescent="0.2">
      <c r="A178" t="s">
        <v>386</v>
      </c>
      <c r="B178" t="s">
        <v>516</v>
      </c>
      <c r="C178" t="str">
        <f>IF(ISERROR(MATCH(A178,'SegEnds_Xtal_Prot#'!B:B, 0)), "NoXtal", "Xtal")</f>
        <v>NoXtal</v>
      </c>
      <c r="D178" t="str">
        <f t="shared" si="2"/>
        <v>human</v>
      </c>
      <c r="E178" t="str">
        <f>VLOOKUP(A178,Classification!A:B,2,FALSE)</f>
        <v>A</v>
      </c>
    </row>
    <row r="179" spans="1:5" x14ac:dyDescent="0.2">
      <c r="A179" t="s">
        <v>159</v>
      </c>
      <c r="B179" t="s">
        <v>518</v>
      </c>
      <c r="C179" t="str">
        <f>IF(ISERROR(MATCH(A179,'SegEnds_Xtal_Prot#'!B:B, 0)), "NoXtal", "Xtal")</f>
        <v>Xtal</v>
      </c>
      <c r="D179" t="str">
        <f t="shared" si="2"/>
        <v>human</v>
      </c>
      <c r="E179" t="str">
        <f>VLOOKUP(A179,Classification!A:B,2,FALSE)</f>
        <v>A</v>
      </c>
    </row>
    <row r="180" spans="1:5" x14ac:dyDescent="0.2">
      <c r="A180" t="s">
        <v>160</v>
      </c>
      <c r="B180" t="s">
        <v>519</v>
      </c>
      <c r="C180" t="str">
        <f>IF(ISERROR(MATCH(A180,'SegEnds_Xtal_Prot#'!B:B, 0)), "NoXtal", "Xtal")</f>
        <v>Xtal</v>
      </c>
      <c r="D180" t="str">
        <f t="shared" si="2"/>
        <v>human</v>
      </c>
      <c r="E180" t="str">
        <f>VLOOKUP(A180,Classification!A:B,2,FALSE)</f>
        <v>A</v>
      </c>
    </row>
    <row r="181" spans="1:5" x14ac:dyDescent="0.2">
      <c r="A181" t="s">
        <v>316</v>
      </c>
      <c r="B181" t="s">
        <v>520</v>
      </c>
      <c r="C181" t="str">
        <f>IF(ISERROR(MATCH(A181,'SegEnds_Xtal_Prot#'!B:B, 0)), "NoXtal", "Xtal")</f>
        <v>NoXtal</v>
      </c>
      <c r="D181" t="str">
        <f t="shared" si="2"/>
        <v>human</v>
      </c>
      <c r="E181" t="str">
        <f>VLOOKUP(A181,Classification!A:B,2,FALSE)</f>
        <v>A</v>
      </c>
    </row>
    <row r="182" spans="1:5" x14ac:dyDescent="0.2">
      <c r="A182" t="s">
        <v>273</v>
      </c>
      <c r="B182" t="s">
        <v>521</v>
      </c>
      <c r="C182" t="str">
        <f>IF(ISERROR(MATCH(A182,'SegEnds_Xtal_Prot#'!B:B, 0)), "NoXtal", "Xtal")</f>
        <v>NoXtal</v>
      </c>
      <c r="D182" t="str">
        <f t="shared" si="2"/>
        <v>human</v>
      </c>
      <c r="E182" t="str">
        <f>VLOOKUP(A182,Classification!A:B,2,FALSE)</f>
        <v>A</v>
      </c>
    </row>
    <row r="183" spans="1:5" x14ac:dyDescent="0.2">
      <c r="A183" t="s">
        <v>163</v>
      </c>
      <c r="B183" t="s">
        <v>522</v>
      </c>
      <c r="C183" t="str">
        <f>IF(ISERROR(MATCH(A183,'SegEnds_Xtal_Prot#'!B:B, 0)), "NoXtal", "Xtal")</f>
        <v>NoXtal</v>
      </c>
      <c r="D183" t="str">
        <f t="shared" si="2"/>
        <v>human</v>
      </c>
      <c r="E183" t="str">
        <f>VLOOKUP(A183,Classification!A:B,2,FALSE)</f>
        <v>A</v>
      </c>
    </row>
    <row r="184" spans="1:5" x14ac:dyDescent="0.2">
      <c r="A184" t="s">
        <v>161</v>
      </c>
      <c r="B184" t="s">
        <v>523</v>
      </c>
      <c r="C184" t="str">
        <f>IF(ISERROR(MATCH(A184,'SegEnds_Xtal_Prot#'!B:B, 0)), "NoXtal", "Xtal")</f>
        <v>NoXtal</v>
      </c>
      <c r="D184" t="str">
        <f t="shared" si="2"/>
        <v>human</v>
      </c>
      <c r="E184" t="str">
        <f>VLOOKUP(A184,Classification!A:B,2,FALSE)</f>
        <v>A</v>
      </c>
    </row>
    <row r="185" spans="1:5" x14ac:dyDescent="0.2">
      <c r="A185" t="s">
        <v>162</v>
      </c>
      <c r="B185" t="s">
        <v>524</v>
      </c>
      <c r="C185" t="str">
        <f>IF(ISERROR(MATCH(A185,'SegEnds_Xtal_Prot#'!B:B, 0)), "NoXtal", "Xtal")</f>
        <v>NoXtal</v>
      </c>
      <c r="D185" t="str">
        <f t="shared" si="2"/>
        <v>human</v>
      </c>
      <c r="E185" t="str">
        <f>VLOOKUP(A185,Classification!A:B,2,FALSE)</f>
        <v>A</v>
      </c>
    </row>
    <row r="186" spans="1:5" x14ac:dyDescent="0.2">
      <c r="A186" t="s">
        <v>167</v>
      </c>
      <c r="B186" t="s">
        <v>525</v>
      </c>
      <c r="C186" t="str">
        <f>IF(ISERROR(MATCH(A186,'SegEnds_Xtal_Prot#'!B:B, 0)), "NoXtal", "Xtal")</f>
        <v>NoXtal</v>
      </c>
      <c r="D186" t="str">
        <f t="shared" si="2"/>
        <v>human</v>
      </c>
      <c r="E186" t="str">
        <f>VLOOKUP(A186,Classification!A:B,2,FALSE)</f>
        <v>A</v>
      </c>
    </row>
    <row r="187" spans="1:5" x14ac:dyDescent="0.2">
      <c r="A187" t="s">
        <v>207</v>
      </c>
      <c r="B187" t="s">
        <v>526</v>
      </c>
      <c r="C187" t="str">
        <f>IF(ISERROR(MATCH(A187,'SegEnds_Xtal_Prot#'!B:B, 0)), "NoXtal", "Xtal")</f>
        <v>NoXtal</v>
      </c>
      <c r="D187" t="str">
        <f t="shared" si="2"/>
        <v>human</v>
      </c>
      <c r="E187" t="str">
        <f>VLOOKUP(A187,Classification!A:B,2,FALSE)</f>
        <v>A</v>
      </c>
    </row>
    <row r="188" spans="1:5" x14ac:dyDescent="0.2">
      <c r="A188" t="s">
        <v>164</v>
      </c>
      <c r="B188" t="s">
        <v>527</v>
      </c>
      <c r="C188" t="str">
        <f>IF(ISERROR(MATCH(A188,'SegEnds_Xtal_Prot#'!B:B, 0)), "NoXtal", "Xtal")</f>
        <v>NoXtal</v>
      </c>
      <c r="D188" t="str">
        <f t="shared" si="2"/>
        <v>human</v>
      </c>
      <c r="E188" t="str">
        <f>VLOOKUP(A188,Classification!A:B,2,FALSE)</f>
        <v>A</v>
      </c>
    </row>
    <row r="189" spans="1:5" x14ac:dyDescent="0.2">
      <c r="A189" t="s">
        <v>165</v>
      </c>
      <c r="B189" t="s">
        <v>528</v>
      </c>
      <c r="C189" t="str">
        <f>IF(ISERROR(MATCH(A189,'SegEnds_Xtal_Prot#'!B:B, 0)), "NoXtal", "Xtal")</f>
        <v>Xtal</v>
      </c>
      <c r="D189" t="str">
        <f t="shared" si="2"/>
        <v>human</v>
      </c>
      <c r="E189" t="str">
        <f>VLOOKUP(A189,Classification!A:B,2,FALSE)</f>
        <v>A</v>
      </c>
    </row>
    <row r="190" spans="1:5" x14ac:dyDescent="0.2">
      <c r="A190" t="s">
        <v>166</v>
      </c>
      <c r="B190" t="s">
        <v>529</v>
      </c>
      <c r="C190" t="str">
        <f>IF(ISERROR(MATCH(A190,'SegEnds_Xtal_Prot#'!B:B, 0)), "NoXtal", "Xtal")</f>
        <v>NoXtal</v>
      </c>
      <c r="D190" t="str">
        <f t="shared" si="2"/>
        <v>human</v>
      </c>
      <c r="E190" t="str">
        <f>VLOOKUP(A190,Classification!A:B,2,FALSE)</f>
        <v>A</v>
      </c>
    </row>
    <row r="191" spans="1:5" x14ac:dyDescent="0.2">
      <c r="A191" t="s">
        <v>195</v>
      </c>
      <c r="B191" t="s">
        <v>530</v>
      </c>
      <c r="C191" t="str">
        <f>IF(ISERROR(MATCH(A191,'SegEnds_Xtal_Prot#'!B:B, 0)), "NoXtal", "Xtal")</f>
        <v>NoXtal</v>
      </c>
      <c r="D191" t="str">
        <f t="shared" si="2"/>
        <v>human</v>
      </c>
      <c r="E191" t="str">
        <f>VLOOKUP(A191,Classification!A:B,2,FALSE)</f>
        <v>A</v>
      </c>
    </row>
    <row r="192" spans="1:5" x14ac:dyDescent="0.2">
      <c r="A192" t="s">
        <v>196</v>
      </c>
      <c r="B192" t="s">
        <v>531</v>
      </c>
      <c r="C192" t="str">
        <f>IF(ISERROR(MATCH(A192,'SegEnds_Xtal_Prot#'!B:B, 0)), "NoXtal", "Xtal")</f>
        <v>Xtal</v>
      </c>
      <c r="D192" t="str">
        <f t="shared" si="2"/>
        <v>human</v>
      </c>
      <c r="E192" t="str">
        <f>VLOOKUP(A192,Classification!A:B,2,FALSE)</f>
        <v>A</v>
      </c>
    </row>
    <row r="193" spans="1:5" x14ac:dyDescent="0.2">
      <c r="A193" t="s">
        <v>200</v>
      </c>
      <c r="B193" t="s">
        <v>532</v>
      </c>
      <c r="C193" t="str">
        <f>IF(ISERROR(MATCH(A193,'SegEnds_Xtal_Prot#'!B:B, 0)), "NoXtal", "Xtal")</f>
        <v>NoXtal</v>
      </c>
      <c r="D193" t="str">
        <f t="shared" si="2"/>
        <v>human</v>
      </c>
      <c r="E193" t="str">
        <f>VLOOKUP(A193,Classification!A:B,2,FALSE)</f>
        <v>A</v>
      </c>
    </row>
    <row r="194" spans="1:5" x14ac:dyDescent="0.2">
      <c r="A194" t="s">
        <v>201</v>
      </c>
      <c r="B194" t="s">
        <v>533</v>
      </c>
      <c r="C194" t="str">
        <f>IF(ISERROR(MATCH(A194,'SegEnds_Xtal_Prot#'!B:B, 0)), "NoXtal", "Xtal")</f>
        <v>Xtal</v>
      </c>
      <c r="D194" t="str">
        <f t="shared" si="2"/>
        <v>human</v>
      </c>
      <c r="E194" t="str">
        <f>VLOOKUP(A194,Classification!A:B,2,FALSE)</f>
        <v>A</v>
      </c>
    </row>
    <row r="195" spans="1:5" x14ac:dyDescent="0.2">
      <c r="A195" t="s">
        <v>202</v>
      </c>
      <c r="B195" t="s">
        <v>534</v>
      </c>
      <c r="C195" t="str">
        <f>IF(ISERROR(MATCH(A195,'SegEnds_Xtal_Prot#'!B:B, 0)), "NoXtal", "Xtal")</f>
        <v>NoXtal</v>
      </c>
      <c r="D195" t="str">
        <f t="shared" si="2"/>
        <v>human</v>
      </c>
      <c r="E195" t="str">
        <f>VLOOKUP(A195,Classification!A:B,2,FALSE)</f>
        <v>A</v>
      </c>
    </row>
    <row r="196" spans="1:5" x14ac:dyDescent="0.2">
      <c r="A196" t="s">
        <v>204</v>
      </c>
      <c r="B196" t="s">
        <v>535</v>
      </c>
      <c r="C196" t="str">
        <f>IF(ISERROR(MATCH(A196,'SegEnds_Xtal_Prot#'!B:B, 0)), "NoXtal", "Xtal")</f>
        <v>NoXtal</v>
      </c>
      <c r="D196" t="str">
        <f t="shared" si="2"/>
        <v>human</v>
      </c>
      <c r="E196" t="str">
        <f>VLOOKUP(A196,Classification!A:B,2,FALSE)</f>
        <v>A</v>
      </c>
    </row>
    <row r="197" spans="1:5" x14ac:dyDescent="0.2">
      <c r="A197" t="s">
        <v>205</v>
      </c>
      <c r="B197" t="s">
        <v>536</v>
      </c>
      <c r="C197" t="str">
        <f>IF(ISERROR(MATCH(A197,'SegEnds_Xtal_Prot#'!B:B, 0)), "NoXtal", "Xtal")</f>
        <v>NoXtal</v>
      </c>
      <c r="D197" t="str">
        <f t="shared" si="2"/>
        <v>human</v>
      </c>
      <c r="E197" t="str">
        <f>VLOOKUP(A197,Classification!A:B,2,FALSE)</f>
        <v>A</v>
      </c>
    </row>
    <row r="198" spans="1:5" x14ac:dyDescent="0.2">
      <c r="A198" t="s">
        <v>206</v>
      </c>
      <c r="B198" t="s">
        <v>537</v>
      </c>
      <c r="C198" t="str">
        <f>IF(ISERROR(MATCH(A198,'SegEnds_Xtal_Prot#'!B:B, 0)), "NoXtal", "Xtal")</f>
        <v>NoXtal</v>
      </c>
      <c r="D198" t="str">
        <f t="shared" si="2"/>
        <v>human</v>
      </c>
      <c r="E198" t="str">
        <f>VLOOKUP(A198,Classification!A:B,2,FALSE)</f>
        <v>A</v>
      </c>
    </row>
    <row r="199" spans="1:5" x14ac:dyDescent="0.2">
      <c r="A199" t="s">
        <v>208</v>
      </c>
      <c r="B199" t="s">
        <v>538</v>
      </c>
      <c r="C199" t="str">
        <f>IF(ISERROR(MATCH(A199,'SegEnds_Xtal_Prot#'!B:B, 0)), "NoXtal", "Xtal")</f>
        <v>NoXtal</v>
      </c>
      <c r="D199" t="str">
        <f t="shared" ref="D199:D262" si="3">MID(A199,FIND("_",A199)+1,LEN(A199)-FIND("_",A199))</f>
        <v>human</v>
      </c>
      <c r="E199" t="str">
        <f>VLOOKUP(A199,Classification!A:B,2,FALSE)</f>
        <v>A</v>
      </c>
    </row>
    <row r="200" spans="1:5" x14ac:dyDescent="0.2">
      <c r="A200" t="s">
        <v>209</v>
      </c>
      <c r="B200" t="s">
        <v>539</v>
      </c>
      <c r="C200" t="str">
        <f>IF(ISERROR(MATCH(A200,'SegEnds_Xtal_Prot#'!B:B, 0)), "NoXtal", "Xtal")</f>
        <v>NoXtal</v>
      </c>
      <c r="D200" t="str">
        <f t="shared" si="3"/>
        <v>human</v>
      </c>
      <c r="E200" t="str">
        <f>VLOOKUP(A200,Classification!A:B,2,FALSE)</f>
        <v>A</v>
      </c>
    </row>
    <row r="201" spans="1:5" x14ac:dyDescent="0.2">
      <c r="A201" t="s">
        <v>210</v>
      </c>
      <c r="B201" t="s">
        <v>540</v>
      </c>
      <c r="C201" t="str">
        <f>IF(ISERROR(MATCH(A201,'SegEnds_Xtal_Prot#'!B:B, 0)), "NoXtal", "Xtal")</f>
        <v>NoXtal</v>
      </c>
      <c r="D201" t="str">
        <f t="shared" si="3"/>
        <v>human</v>
      </c>
      <c r="E201" t="str">
        <f>VLOOKUP(A201,Classification!A:B,2,FALSE)</f>
        <v>A</v>
      </c>
    </row>
    <row r="202" spans="1:5" x14ac:dyDescent="0.2">
      <c r="A202" t="s">
        <v>281</v>
      </c>
      <c r="B202" t="s">
        <v>541</v>
      </c>
      <c r="C202" t="str">
        <f>IF(ISERROR(MATCH(A202,'SegEnds_Xtal_Prot#'!B:B, 0)), "NoXtal", "Xtal")</f>
        <v>NoXtal</v>
      </c>
      <c r="D202" t="str">
        <f t="shared" si="3"/>
        <v>human</v>
      </c>
      <c r="E202" t="str">
        <f>VLOOKUP(A202,Classification!A:B,2,FALSE)</f>
        <v>A</v>
      </c>
    </row>
    <row r="203" spans="1:5" x14ac:dyDescent="0.2">
      <c r="A203" t="s">
        <v>298</v>
      </c>
      <c r="B203" t="s">
        <v>542</v>
      </c>
      <c r="C203" t="str">
        <f>IF(ISERROR(MATCH(A203,'SegEnds_Xtal_Prot#'!B:B, 0)), "NoXtal", "Xtal")</f>
        <v>NoXtal</v>
      </c>
      <c r="D203" t="str">
        <f t="shared" si="3"/>
        <v>human</v>
      </c>
      <c r="E203" t="str">
        <f>VLOOKUP(A203,Classification!A:B,2,FALSE)</f>
        <v>A</v>
      </c>
    </row>
    <row r="204" spans="1:5" x14ac:dyDescent="0.2">
      <c r="A204" t="s">
        <v>299</v>
      </c>
      <c r="B204" t="s">
        <v>543</v>
      </c>
      <c r="C204" t="str">
        <f>IF(ISERROR(MATCH(A204,'SegEnds_Xtal_Prot#'!B:B, 0)), "NoXtal", "Xtal")</f>
        <v>NoXtal</v>
      </c>
      <c r="D204" t="str">
        <f t="shared" si="3"/>
        <v>human</v>
      </c>
      <c r="E204" t="str">
        <f>VLOOKUP(A204,Classification!A:B,2,FALSE)</f>
        <v>A</v>
      </c>
    </row>
    <row r="205" spans="1:5" x14ac:dyDescent="0.2">
      <c r="A205" t="s">
        <v>308</v>
      </c>
      <c r="B205" t="s">
        <v>544</v>
      </c>
      <c r="C205" t="str">
        <f>IF(ISERROR(MATCH(A205,'SegEnds_Xtal_Prot#'!B:B, 0)), "NoXtal", "Xtal")</f>
        <v>NoXtal</v>
      </c>
      <c r="D205" t="str">
        <f t="shared" si="3"/>
        <v>human</v>
      </c>
      <c r="E205" t="str">
        <f>VLOOKUP(A205,Classification!A:B,2,FALSE)</f>
        <v>A</v>
      </c>
    </row>
    <row r="206" spans="1:5" x14ac:dyDescent="0.2">
      <c r="A206" t="s">
        <v>151</v>
      </c>
      <c r="B206" t="s">
        <v>545</v>
      </c>
      <c r="C206" t="str">
        <f>IF(ISERROR(MATCH(A206,'SegEnds_Xtal_Prot#'!B:B, 0)), "NoXtal", "Xtal")</f>
        <v>NoXtal</v>
      </c>
      <c r="D206" t="str">
        <f t="shared" si="3"/>
        <v>human</v>
      </c>
      <c r="E206" t="str">
        <f>VLOOKUP(A206,Classification!A:B,2,FALSE)</f>
        <v>A</v>
      </c>
    </row>
    <row r="207" spans="1:5" x14ac:dyDescent="0.2">
      <c r="A207" t="s">
        <v>295</v>
      </c>
      <c r="B207" t="s">
        <v>546</v>
      </c>
      <c r="C207" t="str">
        <f>IF(ISERROR(MATCH(A207,'SegEnds_Xtal_Prot#'!B:B, 0)), "NoXtal", "Xtal")</f>
        <v>NoXtal</v>
      </c>
      <c r="D207" t="str">
        <f t="shared" si="3"/>
        <v>human</v>
      </c>
      <c r="E207" t="str">
        <f>VLOOKUP(A207,Classification!A:B,2,FALSE)</f>
        <v>A</v>
      </c>
    </row>
    <row r="208" spans="1:5" x14ac:dyDescent="0.2">
      <c r="A208" t="s">
        <v>296</v>
      </c>
      <c r="B208" t="s">
        <v>547</v>
      </c>
      <c r="C208" t="str">
        <f>IF(ISERROR(MATCH(A208,'SegEnds_Xtal_Prot#'!B:B, 0)), "NoXtal", "Xtal")</f>
        <v>NoXtal</v>
      </c>
      <c r="D208" t="str">
        <f t="shared" si="3"/>
        <v>human</v>
      </c>
      <c r="E208" t="str">
        <f>VLOOKUP(A208,Classification!A:B,2,FALSE)</f>
        <v>A</v>
      </c>
    </row>
    <row r="209" spans="1:5" x14ac:dyDescent="0.2">
      <c r="A209" t="s">
        <v>297</v>
      </c>
      <c r="B209" t="s">
        <v>548</v>
      </c>
      <c r="C209" t="str">
        <f>IF(ISERROR(MATCH(A209,'SegEnds_Xtal_Prot#'!B:B, 0)), "NoXtal", "Xtal")</f>
        <v>NoXtal</v>
      </c>
      <c r="D209" t="str">
        <f t="shared" si="3"/>
        <v>human</v>
      </c>
      <c r="E209" t="str">
        <f>VLOOKUP(A209,Classification!A:B,2,FALSE)</f>
        <v>A</v>
      </c>
    </row>
    <row r="210" spans="1:5" x14ac:dyDescent="0.2">
      <c r="A210" t="s">
        <v>309</v>
      </c>
      <c r="B210" t="s">
        <v>549</v>
      </c>
      <c r="C210" t="str">
        <f>IF(ISERROR(MATCH(A210,'SegEnds_Xtal_Prot#'!B:B, 0)), "NoXtal", "Xtal")</f>
        <v>NoXtal</v>
      </c>
      <c r="D210" t="str">
        <f t="shared" si="3"/>
        <v>human</v>
      </c>
      <c r="E210" t="str">
        <f>VLOOKUP(A210,Classification!A:B,2,FALSE)</f>
        <v>A</v>
      </c>
    </row>
    <row r="211" spans="1:5" x14ac:dyDescent="0.2">
      <c r="A211" t="s">
        <v>317</v>
      </c>
      <c r="B211" t="s">
        <v>550</v>
      </c>
      <c r="C211" t="str">
        <f>IF(ISERROR(MATCH(A211,'SegEnds_Xtal_Prot#'!B:B, 0)), "NoXtal", "Xtal")</f>
        <v>NoXtal</v>
      </c>
      <c r="D211" t="str">
        <f t="shared" si="3"/>
        <v>human</v>
      </c>
      <c r="E211" t="str">
        <f>VLOOKUP(A211,Classification!A:B,2,FALSE)</f>
        <v>A</v>
      </c>
    </row>
    <row r="212" spans="1:5" x14ac:dyDescent="0.2">
      <c r="A212" t="s">
        <v>318</v>
      </c>
      <c r="B212" t="s">
        <v>551</v>
      </c>
      <c r="C212" t="str">
        <f>IF(ISERROR(MATCH(A212,'SegEnds_Xtal_Prot#'!B:B, 0)), "NoXtal", "Xtal")</f>
        <v>NoXtal</v>
      </c>
      <c r="D212" t="str">
        <f t="shared" si="3"/>
        <v>human</v>
      </c>
      <c r="E212" t="str">
        <f>VLOOKUP(A212,Classification!A:B,2,FALSE)</f>
        <v>A</v>
      </c>
    </row>
    <row r="213" spans="1:5" x14ac:dyDescent="0.2">
      <c r="A213" t="s">
        <v>321</v>
      </c>
      <c r="B213" t="s">
        <v>552</v>
      </c>
      <c r="C213" t="str">
        <f>IF(ISERROR(MATCH(A213,'SegEnds_Xtal_Prot#'!B:B, 0)), "NoXtal", "Xtal")</f>
        <v>NoXtal</v>
      </c>
      <c r="D213" t="str">
        <f t="shared" si="3"/>
        <v>human</v>
      </c>
      <c r="E213" t="str">
        <f>VLOOKUP(A213,Classification!A:B,2,FALSE)</f>
        <v>A</v>
      </c>
    </row>
    <row r="214" spans="1:5" x14ac:dyDescent="0.2">
      <c r="A214" t="s">
        <v>322</v>
      </c>
      <c r="B214" t="s">
        <v>553</v>
      </c>
      <c r="C214" t="str">
        <f>IF(ISERROR(MATCH(A214,'SegEnds_Xtal_Prot#'!B:B, 0)), "NoXtal", "Xtal")</f>
        <v>NoXtal</v>
      </c>
      <c r="D214" t="str">
        <f t="shared" si="3"/>
        <v>human</v>
      </c>
      <c r="E214" t="str">
        <f>VLOOKUP(A214,Classification!A:B,2,FALSE)</f>
        <v>A</v>
      </c>
    </row>
    <row r="215" spans="1:5" x14ac:dyDescent="0.2">
      <c r="A215" t="s">
        <v>323</v>
      </c>
      <c r="B215" t="s">
        <v>554</v>
      </c>
      <c r="C215" t="str">
        <f>IF(ISERROR(MATCH(A215,'SegEnds_Xtal_Prot#'!B:B, 0)), "NoXtal", "Xtal")</f>
        <v>NoXtal</v>
      </c>
      <c r="D215" t="str">
        <f t="shared" si="3"/>
        <v>human</v>
      </c>
      <c r="E215" t="str">
        <f>VLOOKUP(A215,Classification!A:B,2,FALSE)</f>
        <v>A</v>
      </c>
    </row>
    <row r="216" spans="1:5" x14ac:dyDescent="0.2">
      <c r="A216" t="s">
        <v>319</v>
      </c>
      <c r="B216" t="s">
        <v>555</v>
      </c>
      <c r="C216" t="str">
        <f>IF(ISERROR(MATCH(A216,'SegEnds_Xtal_Prot#'!B:B, 0)), "NoXtal", "Xtal")</f>
        <v>NoXtal</v>
      </c>
      <c r="D216" t="str">
        <f t="shared" si="3"/>
        <v>human</v>
      </c>
      <c r="E216" t="str">
        <f>VLOOKUP(A216,Classification!A:B,2,FALSE)</f>
        <v>A</v>
      </c>
    </row>
    <row r="217" spans="1:5" x14ac:dyDescent="0.2">
      <c r="A217" t="s">
        <v>320</v>
      </c>
      <c r="B217" t="s">
        <v>556</v>
      </c>
      <c r="C217" t="str">
        <f>IF(ISERROR(MATCH(A217,'SegEnds_Xtal_Prot#'!B:B, 0)), "NoXtal", "Xtal")</f>
        <v>NoXtal</v>
      </c>
      <c r="D217" t="str">
        <f t="shared" si="3"/>
        <v>human</v>
      </c>
      <c r="E217" t="str">
        <f>VLOOKUP(A217,Classification!A:B,2,FALSE)</f>
        <v>A</v>
      </c>
    </row>
    <row r="218" spans="1:5" x14ac:dyDescent="0.2">
      <c r="A218" t="s">
        <v>324</v>
      </c>
      <c r="B218" t="s">
        <v>558</v>
      </c>
      <c r="C218" t="str">
        <f>IF(ISERROR(MATCH(A218,'SegEnds_Xtal_Prot#'!B:B, 0)), "NoXtal", "Xtal")</f>
        <v>Xtal</v>
      </c>
      <c r="D218" t="str">
        <f t="shared" si="3"/>
        <v>human</v>
      </c>
      <c r="E218" t="str">
        <f>VLOOKUP(A218,Classification!A:B,2,FALSE)</f>
        <v>A</v>
      </c>
    </row>
    <row r="219" spans="1:5" x14ac:dyDescent="0.2">
      <c r="A219" t="s">
        <v>325</v>
      </c>
      <c r="B219" t="s">
        <v>559</v>
      </c>
      <c r="C219" t="str">
        <f>IF(ISERROR(MATCH(A219,'SegEnds_Xtal_Prot#'!B:B, 0)), "NoXtal", "Xtal")</f>
        <v>NoXtal</v>
      </c>
      <c r="D219" t="str">
        <f t="shared" si="3"/>
        <v>human</v>
      </c>
      <c r="E219" t="str">
        <f>VLOOKUP(A219,Classification!A:B,2,FALSE)</f>
        <v>A</v>
      </c>
    </row>
    <row r="220" spans="1:5" x14ac:dyDescent="0.2">
      <c r="A220" t="s">
        <v>326</v>
      </c>
      <c r="B220" t="s">
        <v>560</v>
      </c>
      <c r="C220" t="str">
        <f>IF(ISERROR(MATCH(A220,'SegEnds_Xtal_Prot#'!B:B, 0)), "NoXtal", "Xtal")</f>
        <v>NoXtal</v>
      </c>
      <c r="D220" t="str">
        <f t="shared" si="3"/>
        <v>human</v>
      </c>
      <c r="E220" t="str">
        <f>VLOOKUP(A220,Classification!A:B,2,FALSE)</f>
        <v>A</v>
      </c>
    </row>
    <row r="221" spans="1:5" x14ac:dyDescent="0.2">
      <c r="A221" t="s">
        <v>327</v>
      </c>
      <c r="B221" t="s">
        <v>561</v>
      </c>
      <c r="C221" t="str">
        <f>IF(ISERROR(MATCH(A221,'SegEnds_Xtal_Prot#'!B:B, 0)), "NoXtal", "Xtal")</f>
        <v>NoXtal</v>
      </c>
      <c r="D221" t="str">
        <f t="shared" si="3"/>
        <v>human</v>
      </c>
      <c r="E221" t="str">
        <f>VLOOKUP(A221,Classification!A:B,2,FALSE)</f>
        <v>A</v>
      </c>
    </row>
    <row r="222" spans="1:5" x14ac:dyDescent="0.2">
      <c r="A222" t="s">
        <v>328</v>
      </c>
      <c r="B222" t="s">
        <v>562</v>
      </c>
      <c r="C222" t="str">
        <f>IF(ISERROR(MATCH(A222,'SegEnds_Xtal_Prot#'!B:B, 0)), "NoXtal", "Xtal")</f>
        <v>NoXtal</v>
      </c>
      <c r="D222" t="str">
        <f t="shared" si="3"/>
        <v>human</v>
      </c>
      <c r="E222" t="str">
        <f>VLOOKUP(A222,Classification!A:B,2,FALSE)</f>
        <v>A</v>
      </c>
    </row>
    <row r="223" spans="1:5" x14ac:dyDescent="0.2">
      <c r="A223" t="s">
        <v>127</v>
      </c>
      <c r="B223" t="s">
        <v>563</v>
      </c>
      <c r="C223" t="str">
        <f>IF(ISERROR(MATCH(A223,'SegEnds_Xtal_Prot#'!B:B, 0)), "NoXtal", "Xtal")</f>
        <v>Xtal</v>
      </c>
      <c r="D223" t="str">
        <f t="shared" si="3"/>
        <v>human</v>
      </c>
      <c r="E223" t="str">
        <f>VLOOKUP(A223,Classification!A:B,2,FALSE)</f>
        <v>A</v>
      </c>
    </row>
    <row r="224" spans="1:5" x14ac:dyDescent="0.2">
      <c r="A224" t="s">
        <v>329</v>
      </c>
      <c r="B224" t="s">
        <v>564</v>
      </c>
      <c r="C224" t="str">
        <f>IF(ISERROR(MATCH(A224,'SegEnds_Xtal_Prot#'!B:B, 0)), "NoXtal", "Xtal")</f>
        <v>NoXtal</v>
      </c>
      <c r="D224" t="str">
        <f t="shared" si="3"/>
        <v>human</v>
      </c>
      <c r="E224" t="str">
        <f>VLOOKUP(A224,Classification!A:B,2,FALSE)</f>
        <v>A</v>
      </c>
    </row>
    <row r="225" spans="1:5" x14ac:dyDescent="0.2">
      <c r="A225" t="s">
        <v>336</v>
      </c>
      <c r="B225" t="s">
        <v>567</v>
      </c>
      <c r="C225" t="str">
        <f>IF(ISERROR(MATCH(A225,'SegEnds_Xtal_Prot#'!B:B, 0)), "NoXtal", "Xtal")</f>
        <v>NoXtal</v>
      </c>
      <c r="D225" t="str">
        <f t="shared" si="3"/>
        <v>human</v>
      </c>
      <c r="E225" t="str">
        <f>VLOOKUP(A225,Classification!A:B,2,FALSE)</f>
        <v>A</v>
      </c>
    </row>
    <row r="226" spans="1:5" x14ac:dyDescent="0.2">
      <c r="A226" t="s">
        <v>371</v>
      </c>
      <c r="B226" t="s">
        <v>571</v>
      </c>
      <c r="C226" t="str">
        <f>IF(ISERROR(MATCH(A226,'SegEnds_Xtal_Prot#'!B:B, 0)), "NoXtal", "Xtal")</f>
        <v>NoXtal</v>
      </c>
      <c r="D226" t="str">
        <f t="shared" si="3"/>
        <v>human</v>
      </c>
      <c r="E226" t="str">
        <f>VLOOKUP(A226,Classification!A:B,2,FALSE)</f>
        <v>A</v>
      </c>
    </row>
    <row r="227" spans="1:5" x14ac:dyDescent="0.2">
      <c r="A227" t="s">
        <v>368</v>
      </c>
      <c r="B227" t="s">
        <v>572</v>
      </c>
      <c r="C227" t="str">
        <f>IF(ISERROR(MATCH(A227,'SegEnds_Xtal_Prot#'!B:B, 0)), "NoXtal", "Xtal")</f>
        <v>NoXtal</v>
      </c>
      <c r="D227" t="str">
        <f t="shared" si="3"/>
        <v>human</v>
      </c>
      <c r="E227" t="str">
        <f>VLOOKUP(A227,Classification!A:B,2,FALSE)</f>
        <v>A</v>
      </c>
    </row>
    <row r="228" spans="1:5" x14ac:dyDescent="0.2">
      <c r="A228" t="s">
        <v>355</v>
      </c>
      <c r="B228" t="s">
        <v>574</v>
      </c>
      <c r="C228" t="str">
        <f>IF(ISERROR(MATCH(A228,'SegEnds_Xtal_Prot#'!B:B, 0)), "NoXtal", "Xtal")</f>
        <v>Xtal</v>
      </c>
      <c r="D228" t="str">
        <f t="shared" si="3"/>
        <v>human</v>
      </c>
      <c r="E228" t="str">
        <f>VLOOKUP(A228,Classification!A:B,2,FALSE)</f>
        <v>A</v>
      </c>
    </row>
    <row r="229" spans="1:5" x14ac:dyDescent="0.2">
      <c r="A229" t="s">
        <v>356</v>
      </c>
      <c r="B229" t="s">
        <v>575</v>
      </c>
      <c r="C229" t="str">
        <f>IF(ISERROR(MATCH(A229,'SegEnds_Xtal_Prot#'!B:B, 0)), "NoXtal", "Xtal")</f>
        <v>NoXtal</v>
      </c>
      <c r="D229" t="str">
        <f t="shared" si="3"/>
        <v>human</v>
      </c>
      <c r="E229" t="str">
        <f>VLOOKUP(A229,Classification!A:B,2,FALSE)</f>
        <v>A</v>
      </c>
    </row>
    <row r="230" spans="1:5" x14ac:dyDescent="0.2">
      <c r="A230" t="s">
        <v>357</v>
      </c>
      <c r="B230" t="s">
        <v>576</v>
      </c>
      <c r="C230" t="str">
        <f>IF(ISERROR(MATCH(A230,'SegEnds_Xtal_Prot#'!B:B, 0)), "NoXtal", "Xtal")</f>
        <v>NoXtal</v>
      </c>
      <c r="D230" t="str">
        <f t="shared" si="3"/>
        <v>human</v>
      </c>
      <c r="E230" t="str">
        <f>VLOOKUP(A230,Classification!A:B,2,FALSE)</f>
        <v>A</v>
      </c>
    </row>
    <row r="231" spans="1:5" x14ac:dyDescent="0.2">
      <c r="A231" t="s">
        <v>374</v>
      </c>
      <c r="B231" t="s">
        <v>577</v>
      </c>
      <c r="C231" t="str">
        <f>IF(ISERROR(MATCH(A231,'SegEnds_Xtal_Prot#'!B:B, 0)), "NoXtal", "Xtal")</f>
        <v>NoXtal</v>
      </c>
      <c r="D231" t="str">
        <f t="shared" si="3"/>
        <v>human</v>
      </c>
      <c r="E231" t="str">
        <f>VLOOKUP(A231,Classification!A:B,2,FALSE)</f>
        <v>A</v>
      </c>
    </row>
    <row r="232" spans="1:5" x14ac:dyDescent="0.2">
      <c r="A232" t="s">
        <v>375</v>
      </c>
      <c r="B232" t="s">
        <v>578</v>
      </c>
      <c r="C232" t="str">
        <f>IF(ISERROR(MATCH(A232,'SegEnds_Xtal_Prot#'!B:B, 0)), "NoXtal", "Xtal")</f>
        <v>NoXtal</v>
      </c>
      <c r="D232" t="str">
        <f t="shared" si="3"/>
        <v>human</v>
      </c>
      <c r="E232" t="str">
        <f>VLOOKUP(A232,Classification!A:B,2,FALSE)</f>
        <v>A</v>
      </c>
    </row>
    <row r="233" spans="1:5" x14ac:dyDescent="0.2">
      <c r="A233" t="s">
        <v>372</v>
      </c>
      <c r="B233" t="s">
        <v>579</v>
      </c>
      <c r="C233" t="str">
        <f>IF(ISERROR(MATCH(A233,'SegEnds_Xtal_Prot#'!B:B, 0)), "NoXtal", "Xtal")</f>
        <v>NoXtal</v>
      </c>
      <c r="D233" t="str">
        <f t="shared" si="3"/>
        <v>human</v>
      </c>
      <c r="E233" t="str">
        <f>VLOOKUP(A233,Classification!A:B,2,FALSE)</f>
        <v>A</v>
      </c>
    </row>
    <row r="234" spans="1:5" x14ac:dyDescent="0.2">
      <c r="A234" t="s">
        <v>373</v>
      </c>
      <c r="B234" t="s">
        <v>580</v>
      </c>
      <c r="C234" t="str">
        <f>IF(ISERROR(MATCH(A234,'SegEnds_Xtal_Prot#'!B:B, 0)), "NoXtal", "Xtal")</f>
        <v>NoXtal</v>
      </c>
      <c r="D234" t="str">
        <f t="shared" si="3"/>
        <v>human</v>
      </c>
      <c r="E234" t="str">
        <f>VLOOKUP(A234,Classification!A:B,2,FALSE)</f>
        <v>A</v>
      </c>
    </row>
    <row r="235" spans="1:5" x14ac:dyDescent="0.2">
      <c r="A235" t="s">
        <v>380</v>
      </c>
      <c r="B235" t="s">
        <v>581</v>
      </c>
      <c r="C235" t="str">
        <f>IF(ISERROR(MATCH(A235,'SegEnds_Xtal_Prot#'!B:B, 0)), "NoXtal", "Xtal")</f>
        <v>NoXtal</v>
      </c>
      <c r="D235" t="str">
        <f t="shared" si="3"/>
        <v>human</v>
      </c>
      <c r="E235" t="str">
        <f>VLOOKUP(A235,Classification!A:B,2,FALSE)</f>
        <v>A</v>
      </c>
    </row>
    <row r="236" spans="1:5" x14ac:dyDescent="0.2">
      <c r="A236" t="s">
        <v>381</v>
      </c>
      <c r="B236" t="s">
        <v>582</v>
      </c>
      <c r="C236" t="str">
        <f>IF(ISERROR(MATCH(A236,'SegEnds_Xtal_Prot#'!B:B, 0)), "NoXtal", "Xtal")</f>
        <v>NoXtal</v>
      </c>
      <c r="D236" t="str">
        <f t="shared" si="3"/>
        <v>human</v>
      </c>
      <c r="E236" t="str">
        <f>VLOOKUP(A236,Classification!A:B,2,FALSE)</f>
        <v>A</v>
      </c>
    </row>
    <row r="237" spans="1:5" x14ac:dyDescent="0.2">
      <c r="A237" t="s">
        <v>382</v>
      </c>
      <c r="B237" t="s">
        <v>583</v>
      </c>
      <c r="C237" t="str">
        <f>IF(ISERROR(MATCH(A237,'SegEnds_Xtal_Prot#'!B:B, 0)), "NoXtal", "Xtal")</f>
        <v>NoXtal</v>
      </c>
      <c r="D237" t="str">
        <f t="shared" si="3"/>
        <v>human</v>
      </c>
      <c r="E237" t="str">
        <f>VLOOKUP(A237,Classification!A:B,2,FALSE)</f>
        <v>A</v>
      </c>
    </row>
    <row r="238" spans="1:5" x14ac:dyDescent="0.2">
      <c r="A238" t="s">
        <v>383</v>
      </c>
      <c r="B238" t="s">
        <v>584</v>
      </c>
      <c r="C238" t="str">
        <f>IF(ISERROR(MATCH(A238,'SegEnds_Xtal_Prot#'!B:B, 0)), "NoXtal", "Xtal")</f>
        <v>NoXtal</v>
      </c>
      <c r="D238" t="str">
        <f t="shared" si="3"/>
        <v>human</v>
      </c>
      <c r="E238" t="str">
        <f>VLOOKUP(A238,Classification!A:B,2,FALSE)</f>
        <v>A</v>
      </c>
    </row>
    <row r="239" spans="1:5" x14ac:dyDescent="0.2">
      <c r="A239" t="s">
        <v>384</v>
      </c>
      <c r="B239" t="s">
        <v>585</v>
      </c>
      <c r="C239" t="str">
        <f>IF(ISERROR(MATCH(A239,'SegEnds_Xtal_Prot#'!B:B, 0)), "NoXtal", "Xtal")</f>
        <v>NoXtal</v>
      </c>
      <c r="D239" t="str">
        <f t="shared" si="3"/>
        <v>human</v>
      </c>
      <c r="E239" t="str">
        <f>VLOOKUP(A239,Classification!A:B,2,FALSE)</f>
        <v>A</v>
      </c>
    </row>
    <row r="240" spans="1:5" x14ac:dyDescent="0.2">
      <c r="A240" t="s">
        <v>313</v>
      </c>
      <c r="B240" t="s">
        <v>586</v>
      </c>
      <c r="C240" t="str">
        <f>IF(ISERROR(MATCH(A240,'SegEnds_Xtal_Prot#'!B:B, 0)), "NoXtal", "Xtal")</f>
        <v>Xtal</v>
      </c>
      <c r="D240" t="str">
        <f t="shared" si="3"/>
        <v>human</v>
      </c>
      <c r="E240" t="str">
        <f>VLOOKUP(A240,Classification!A:B,2,FALSE)</f>
        <v>A</v>
      </c>
    </row>
    <row r="241" spans="1:5" x14ac:dyDescent="0.2">
      <c r="A241" t="s">
        <v>314</v>
      </c>
      <c r="B241" t="s">
        <v>587</v>
      </c>
      <c r="C241" t="str">
        <f>IF(ISERROR(MATCH(A241,'SegEnds_Xtal_Prot#'!B:B, 0)), "NoXtal", "Xtal")</f>
        <v>NoXtal</v>
      </c>
      <c r="D241" t="str">
        <f t="shared" si="3"/>
        <v>human</v>
      </c>
      <c r="E241" t="str">
        <f>VLOOKUP(A241,Classification!A:B,2,FALSE)</f>
        <v>A</v>
      </c>
    </row>
    <row r="242" spans="1:5" x14ac:dyDescent="0.2">
      <c r="A242" t="s">
        <v>315</v>
      </c>
      <c r="B242" t="s">
        <v>589</v>
      </c>
      <c r="C242" t="str">
        <f>IF(ISERROR(MATCH(A242,'SegEnds_Xtal_Prot#'!B:B, 0)), "NoXtal", "Xtal")</f>
        <v>NoXtal</v>
      </c>
      <c r="D242" t="str">
        <f t="shared" si="3"/>
        <v>human</v>
      </c>
      <c r="E242" t="str">
        <f>VLOOKUP(A242,Classification!A:B,2,FALSE)</f>
        <v>A</v>
      </c>
    </row>
    <row r="243" spans="1:5" x14ac:dyDescent="0.2">
      <c r="A243" t="s">
        <v>393</v>
      </c>
      <c r="B243" t="s">
        <v>590</v>
      </c>
      <c r="C243" t="str">
        <f>IF(ISERROR(MATCH(A243,'SegEnds_Xtal_Prot#'!B:B, 0)), "NoXtal", "Xtal")</f>
        <v>NoXtal</v>
      </c>
      <c r="D243" t="str">
        <f t="shared" si="3"/>
        <v>human</v>
      </c>
      <c r="E243" t="str">
        <f>VLOOKUP(A243,Classification!A:B,2,FALSE)</f>
        <v>A</v>
      </c>
    </row>
    <row r="244" spans="1:5" x14ac:dyDescent="0.2">
      <c r="A244" t="s">
        <v>395</v>
      </c>
      <c r="B244" t="s">
        <v>591</v>
      </c>
      <c r="C244" t="str">
        <f>IF(ISERROR(MATCH(A244,'SegEnds_Xtal_Prot#'!B:B, 0)), "NoXtal", "Xtal")</f>
        <v>NoXtal</v>
      </c>
      <c r="D244" t="str">
        <f t="shared" si="3"/>
        <v>human</v>
      </c>
      <c r="E244" t="str">
        <f>VLOOKUP(A244,Classification!A:B,2,FALSE)</f>
        <v>A</v>
      </c>
    </row>
    <row r="245" spans="1:5" x14ac:dyDescent="0.2">
      <c r="A245" t="s">
        <v>396</v>
      </c>
      <c r="B245" t="s">
        <v>592</v>
      </c>
      <c r="C245" t="str">
        <f>IF(ISERROR(MATCH(A245,'SegEnds_Xtal_Prot#'!B:B, 0)), "NoXtal", "Xtal")</f>
        <v>NoXtal</v>
      </c>
      <c r="D245" t="str">
        <f t="shared" si="3"/>
        <v>human</v>
      </c>
      <c r="E245" t="str">
        <f>VLOOKUP(A245,Classification!A:B,2,FALSE)</f>
        <v>A</v>
      </c>
    </row>
    <row r="246" spans="1:5" x14ac:dyDescent="0.2">
      <c r="A246" t="s">
        <v>397</v>
      </c>
      <c r="B246" t="s">
        <v>593</v>
      </c>
      <c r="C246" t="str">
        <f>IF(ISERROR(MATCH(A246,'SegEnds_Xtal_Prot#'!B:B, 0)), "NoXtal", "Xtal")</f>
        <v>NoXtal</v>
      </c>
      <c r="D246" t="str">
        <f t="shared" si="3"/>
        <v>human</v>
      </c>
      <c r="E246" t="str">
        <f>VLOOKUP(A246,Classification!A:B,2,FALSE)</f>
        <v>A</v>
      </c>
    </row>
    <row r="247" spans="1:5" x14ac:dyDescent="0.2">
      <c r="A247" t="s">
        <v>398</v>
      </c>
      <c r="B247" t="s">
        <v>594</v>
      </c>
      <c r="C247" t="str">
        <f>IF(ISERROR(MATCH(A247,'SegEnds_Xtal_Prot#'!B:B, 0)), "NoXtal", "Xtal")</f>
        <v>NoXtal</v>
      </c>
      <c r="D247" t="str">
        <f t="shared" si="3"/>
        <v>human</v>
      </c>
      <c r="E247" t="str">
        <f>VLOOKUP(A247,Classification!A:B,2,FALSE)</f>
        <v>A</v>
      </c>
    </row>
    <row r="248" spans="1:5" x14ac:dyDescent="0.2">
      <c r="A248" t="s">
        <v>343</v>
      </c>
      <c r="B248" t="s">
        <v>595</v>
      </c>
      <c r="C248" t="str">
        <f>IF(ISERROR(MATCH(A248,'SegEnds_Xtal_Prot#'!B:B, 0)), "NoXtal", "Xtal")</f>
        <v>NoXtal</v>
      </c>
      <c r="D248" t="str">
        <f t="shared" si="3"/>
        <v>human</v>
      </c>
      <c r="E248" t="str">
        <f>VLOOKUP(A248,Classification!A:B,2,FALSE)</f>
        <v>A</v>
      </c>
    </row>
    <row r="249" spans="1:5" x14ac:dyDescent="0.2">
      <c r="A249" t="s">
        <v>181</v>
      </c>
      <c r="B249" t="s">
        <v>596</v>
      </c>
      <c r="C249" t="str">
        <f>IF(ISERROR(MATCH(A249,'SegEnds_Xtal_Prot#'!B:B, 0)), "NoXtal", "Xtal")</f>
        <v>NoXtal</v>
      </c>
      <c r="D249" t="str">
        <f t="shared" si="3"/>
        <v>human</v>
      </c>
      <c r="E249" t="str">
        <f>VLOOKUP(A249,Classification!A:B,2,FALSE)</f>
        <v>A</v>
      </c>
    </row>
    <row r="250" spans="1:5" x14ac:dyDescent="0.2">
      <c r="A250" t="s">
        <v>168</v>
      </c>
      <c r="B250" t="s">
        <v>597</v>
      </c>
      <c r="C250" t="str">
        <f>IF(ISERROR(MATCH(A250,'SegEnds_Xtal_Prot#'!B:B, 0)), "NoXtal", "Xtal")</f>
        <v>NoXtal</v>
      </c>
      <c r="D250" t="str">
        <f t="shared" si="3"/>
        <v>human</v>
      </c>
      <c r="E250" t="str">
        <f>VLOOKUP(A250,Classification!A:B,2,FALSE)</f>
        <v>A</v>
      </c>
    </row>
    <row r="251" spans="1:5" x14ac:dyDescent="0.2">
      <c r="A251" t="s">
        <v>170</v>
      </c>
      <c r="B251" t="s">
        <v>598</v>
      </c>
      <c r="C251" t="str">
        <f>IF(ISERROR(MATCH(A251,'SegEnds_Xtal_Prot#'!B:B, 0)), "NoXtal", "Xtal")</f>
        <v>Xtal</v>
      </c>
      <c r="D251" t="str">
        <f t="shared" si="3"/>
        <v>human</v>
      </c>
      <c r="E251" t="str">
        <f>VLOOKUP(A251,Classification!A:B,2,FALSE)</f>
        <v>A</v>
      </c>
    </row>
    <row r="252" spans="1:5" x14ac:dyDescent="0.2">
      <c r="A252" t="s">
        <v>171</v>
      </c>
      <c r="B252" t="s">
        <v>599</v>
      </c>
      <c r="C252" t="str">
        <f>IF(ISERROR(MATCH(A252,'SegEnds_Xtal_Prot#'!B:B, 0)), "NoXtal", "Xtal")</f>
        <v>NoXtal</v>
      </c>
      <c r="D252" t="str">
        <f t="shared" si="3"/>
        <v>human</v>
      </c>
      <c r="E252" t="str">
        <f>VLOOKUP(A252,Classification!A:B,2,FALSE)</f>
        <v>A</v>
      </c>
    </row>
    <row r="253" spans="1:5" x14ac:dyDescent="0.2">
      <c r="A253" t="s">
        <v>172</v>
      </c>
      <c r="B253" t="s">
        <v>600</v>
      </c>
      <c r="C253" t="str">
        <f>IF(ISERROR(MATCH(A253,'SegEnds_Xtal_Prot#'!B:B, 0)), "NoXtal", "Xtal")</f>
        <v>NoXtal</v>
      </c>
      <c r="D253" t="str">
        <f t="shared" si="3"/>
        <v>human</v>
      </c>
      <c r="E253" t="str">
        <f>VLOOKUP(A253,Classification!A:B,2,FALSE)</f>
        <v>A</v>
      </c>
    </row>
    <row r="254" spans="1:5" x14ac:dyDescent="0.2">
      <c r="A254" t="s">
        <v>174</v>
      </c>
      <c r="B254" t="s">
        <v>602</v>
      </c>
      <c r="C254" t="str">
        <f>IF(ISERROR(MATCH(A254,'SegEnds_Xtal_Prot#'!B:B, 0)), "NoXtal", "Xtal")</f>
        <v>NoXtal</v>
      </c>
      <c r="D254" t="str">
        <f t="shared" si="3"/>
        <v>human</v>
      </c>
      <c r="E254" t="str">
        <f>VLOOKUP(A254,Classification!A:B,2,FALSE)</f>
        <v>A</v>
      </c>
    </row>
    <row r="255" spans="1:5" x14ac:dyDescent="0.2">
      <c r="A255" t="s">
        <v>175</v>
      </c>
      <c r="B255" t="s">
        <v>603</v>
      </c>
      <c r="C255" t="str">
        <f>IF(ISERROR(MATCH(A255,'SegEnds_Xtal_Prot#'!B:B, 0)), "NoXtal", "Xtal")</f>
        <v>Xtal</v>
      </c>
      <c r="D255" t="str">
        <f t="shared" si="3"/>
        <v>human</v>
      </c>
      <c r="E255" t="str">
        <f>VLOOKUP(A255,Classification!A:B,2,FALSE)</f>
        <v>A</v>
      </c>
    </row>
    <row r="256" spans="1:5" x14ac:dyDescent="0.2">
      <c r="A256" t="s">
        <v>176</v>
      </c>
      <c r="B256" t="s">
        <v>604</v>
      </c>
      <c r="C256" t="str">
        <f>IF(ISERROR(MATCH(A256,'SegEnds_Xtal_Prot#'!B:B, 0)), "NoXtal", "Xtal")</f>
        <v>NoXtal</v>
      </c>
      <c r="D256" t="str">
        <f t="shared" si="3"/>
        <v>human</v>
      </c>
      <c r="E256" t="str">
        <f>VLOOKUP(A256,Classification!A:B,2,FALSE)</f>
        <v>A</v>
      </c>
    </row>
    <row r="257" spans="1:5" x14ac:dyDescent="0.2">
      <c r="A257" t="s">
        <v>177</v>
      </c>
      <c r="B257" t="s">
        <v>606</v>
      </c>
      <c r="C257" t="str">
        <f>IF(ISERROR(MATCH(A257,'SegEnds_Xtal_Prot#'!B:B, 0)), "NoXtal", "Xtal")</f>
        <v>Xtal</v>
      </c>
      <c r="D257" t="str">
        <f t="shared" si="3"/>
        <v>human</v>
      </c>
      <c r="E257" t="str">
        <f>VLOOKUP(A257,Classification!A:B,2,FALSE)</f>
        <v>A</v>
      </c>
    </row>
    <row r="258" spans="1:5" x14ac:dyDescent="0.2">
      <c r="A258" t="s">
        <v>169</v>
      </c>
      <c r="B258" t="s">
        <v>607</v>
      </c>
      <c r="C258" t="str">
        <f>IF(ISERROR(MATCH(A258,'SegEnds_Xtal_Prot#'!B:B, 0)), "NoXtal", "Xtal")</f>
        <v>NoXtal</v>
      </c>
      <c r="D258" t="str">
        <f t="shared" si="3"/>
        <v>human</v>
      </c>
      <c r="E258" t="str">
        <f>VLOOKUP(A258,Classification!A:B,2,FALSE)</f>
        <v>A</v>
      </c>
    </row>
    <row r="259" spans="1:5" x14ac:dyDescent="0.2">
      <c r="A259" t="s">
        <v>185</v>
      </c>
      <c r="B259" t="s">
        <v>608</v>
      </c>
      <c r="C259" t="str">
        <f>IF(ISERROR(MATCH(A259,'SegEnds_Xtal_Prot#'!B:B, 0)), "NoXtal", "Xtal")</f>
        <v>NoXtal</v>
      </c>
      <c r="D259" t="str">
        <f t="shared" si="3"/>
        <v>human</v>
      </c>
      <c r="E259" t="str">
        <f>VLOOKUP(A259,Classification!A:B,2,FALSE)</f>
        <v>A</v>
      </c>
    </row>
    <row r="260" spans="1:5" x14ac:dyDescent="0.2">
      <c r="A260" t="s">
        <v>186</v>
      </c>
      <c r="B260" t="s">
        <v>609</v>
      </c>
      <c r="C260" t="str">
        <f>IF(ISERROR(MATCH(A260,'SegEnds_Xtal_Prot#'!B:B, 0)), "NoXtal", "Xtal")</f>
        <v>NoXtal</v>
      </c>
      <c r="D260" t="str">
        <f t="shared" si="3"/>
        <v>human</v>
      </c>
      <c r="E260" t="str">
        <f>VLOOKUP(A260,Classification!A:B,2,FALSE)</f>
        <v>A</v>
      </c>
    </row>
    <row r="261" spans="1:5" x14ac:dyDescent="0.2">
      <c r="A261" t="s">
        <v>187</v>
      </c>
      <c r="B261" t="s">
        <v>610</v>
      </c>
      <c r="C261" t="str">
        <f>IF(ISERROR(MATCH(A261,'SegEnds_Xtal_Prot#'!B:B, 0)), "NoXtal", "Xtal")</f>
        <v>NoXtal</v>
      </c>
      <c r="D261" t="str">
        <f t="shared" si="3"/>
        <v>human</v>
      </c>
      <c r="E261" t="str">
        <f>VLOOKUP(A261,Classification!A:B,2,FALSE)</f>
        <v>A</v>
      </c>
    </row>
    <row r="262" spans="1:5" x14ac:dyDescent="0.2">
      <c r="A262" t="s">
        <v>188</v>
      </c>
      <c r="B262" t="s">
        <v>612</v>
      </c>
      <c r="C262" t="str">
        <f>IF(ISERROR(MATCH(A262,'SegEnds_Xtal_Prot#'!B:B, 0)), "NoXtal", "Xtal")</f>
        <v>NoXtal</v>
      </c>
      <c r="D262" t="str">
        <f t="shared" si="3"/>
        <v>human</v>
      </c>
      <c r="E262" t="str">
        <f>VLOOKUP(A262,Classification!A:B,2,FALSE)</f>
        <v>A</v>
      </c>
    </row>
    <row r="263" spans="1:5" x14ac:dyDescent="0.2">
      <c r="A263" t="s">
        <v>189</v>
      </c>
      <c r="B263" t="s">
        <v>613</v>
      </c>
      <c r="C263" t="str">
        <f>IF(ISERROR(MATCH(A263,'SegEnds_Xtal_Prot#'!B:B, 0)), "NoXtal", "Xtal")</f>
        <v>NoXtal</v>
      </c>
      <c r="D263" t="str">
        <f t="shared" ref="D263:D326" si="4">MID(A263,FIND("_",A263)+1,LEN(A263)-FIND("_",A263))</f>
        <v>human</v>
      </c>
      <c r="E263" t="str">
        <f>VLOOKUP(A263,Classification!A:B,2,FALSE)</f>
        <v>A</v>
      </c>
    </row>
    <row r="264" spans="1:5" x14ac:dyDescent="0.2">
      <c r="A264" t="s">
        <v>184</v>
      </c>
      <c r="B264" t="s">
        <v>614</v>
      </c>
      <c r="C264" t="str">
        <f>IF(ISERROR(MATCH(A264,'SegEnds_Xtal_Prot#'!B:B, 0)), "NoXtal", "Xtal")</f>
        <v>NoXtal</v>
      </c>
      <c r="D264" t="str">
        <f t="shared" si="4"/>
        <v>human</v>
      </c>
      <c r="E264" t="str">
        <f>VLOOKUP(A264,Classification!A:B,2,FALSE)</f>
        <v>A</v>
      </c>
    </row>
    <row r="265" spans="1:5" x14ac:dyDescent="0.2">
      <c r="A265" t="s">
        <v>399</v>
      </c>
      <c r="B265" t="s">
        <v>615</v>
      </c>
      <c r="C265" t="str">
        <f>IF(ISERROR(MATCH(A265,'SegEnds_Xtal_Prot#'!B:B, 0)), "NoXtal", "Xtal")</f>
        <v>NoXtal</v>
      </c>
      <c r="D265" t="str">
        <f t="shared" si="4"/>
        <v>human</v>
      </c>
      <c r="E265" t="str">
        <f>VLOOKUP(A265,Classification!A:B,2,FALSE)</f>
        <v>A</v>
      </c>
    </row>
    <row r="266" spans="1:5" x14ac:dyDescent="0.2">
      <c r="A266" t="s">
        <v>142</v>
      </c>
      <c r="B266" t="s">
        <v>616</v>
      </c>
      <c r="C266" t="str">
        <f>IF(ISERROR(MATCH(A266,'SegEnds_Xtal_Prot#'!B:B, 0)), "NoXtal", "Xtal")</f>
        <v>NoXtal</v>
      </c>
      <c r="D266" t="str">
        <f t="shared" si="4"/>
        <v>human</v>
      </c>
      <c r="E266" t="str">
        <f>VLOOKUP(A266,Classification!A:B,2,FALSE)</f>
        <v>A</v>
      </c>
    </row>
    <row r="267" spans="1:5" x14ac:dyDescent="0.2">
      <c r="A267" t="s">
        <v>143</v>
      </c>
      <c r="B267" t="s">
        <v>617</v>
      </c>
      <c r="C267" t="str">
        <f>IF(ISERROR(MATCH(A267,'SegEnds_Xtal_Prot#'!B:B, 0)), "NoXtal", "Xtal")</f>
        <v>NoXtal</v>
      </c>
      <c r="D267" t="str">
        <f t="shared" si="4"/>
        <v>human</v>
      </c>
      <c r="E267" t="str">
        <f>VLOOKUP(A267,Classification!A:B,2,FALSE)</f>
        <v>A</v>
      </c>
    </row>
    <row r="268" spans="1:5" x14ac:dyDescent="0.2">
      <c r="A268" t="s">
        <v>144</v>
      </c>
      <c r="B268" t="s">
        <v>618</v>
      </c>
      <c r="C268" t="str">
        <f>IF(ISERROR(MATCH(A268,'SegEnds_Xtal_Prot#'!B:B, 0)), "NoXtal", "Xtal")</f>
        <v>NoXtal</v>
      </c>
      <c r="D268" t="str">
        <f t="shared" si="4"/>
        <v>human</v>
      </c>
      <c r="E268" t="str">
        <f>VLOOKUP(A268,Classification!A:B,2,FALSE)</f>
        <v>A</v>
      </c>
    </row>
    <row r="269" spans="1:5" x14ac:dyDescent="0.2">
      <c r="A269" t="s">
        <v>145</v>
      </c>
      <c r="B269" t="s">
        <v>619</v>
      </c>
      <c r="C269" t="str">
        <f>IF(ISERROR(MATCH(A269,'SegEnds_Xtal_Prot#'!B:B, 0)), "NoXtal", "Xtal")</f>
        <v>NoXtal</v>
      </c>
      <c r="D269" t="str">
        <f t="shared" si="4"/>
        <v>human</v>
      </c>
      <c r="E269" t="str">
        <f>VLOOKUP(A269,Classification!A:B,2,FALSE)</f>
        <v>A</v>
      </c>
    </row>
    <row r="270" spans="1:5" x14ac:dyDescent="0.2">
      <c r="A270" t="s">
        <v>178</v>
      </c>
      <c r="B270" t="s">
        <v>620</v>
      </c>
      <c r="C270" t="str">
        <f>IF(ISERROR(MATCH(A270,'SegEnds_Xtal_Prot#'!B:B, 0)), "NoXtal", "Xtal")</f>
        <v>NoXtal</v>
      </c>
      <c r="D270" t="str">
        <f t="shared" si="4"/>
        <v>human</v>
      </c>
      <c r="E270" t="str">
        <f>VLOOKUP(A270,Classification!A:B,2,FALSE)</f>
        <v>A</v>
      </c>
    </row>
    <row r="271" spans="1:5" x14ac:dyDescent="0.2">
      <c r="A271" t="s">
        <v>203</v>
      </c>
      <c r="B271" t="s">
        <v>621</v>
      </c>
      <c r="C271" t="str">
        <f>IF(ISERROR(MATCH(A271,'SegEnds_Xtal_Prot#'!B:B, 0)), "NoXtal", "Xtal")</f>
        <v>NoXtal</v>
      </c>
      <c r="D271" t="str">
        <f t="shared" si="4"/>
        <v>human</v>
      </c>
      <c r="E271" t="str">
        <f>VLOOKUP(A271,Classification!A:B,2,FALSE)</f>
        <v>A</v>
      </c>
    </row>
    <row r="272" spans="1:5" x14ac:dyDescent="0.2">
      <c r="A272" t="s">
        <v>285</v>
      </c>
      <c r="B272" t="s">
        <v>622</v>
      </c>
      <c r="C272" t="str">
        <f>IF(ISERROR(MATCH(A272,'SegEnds_Xtal_Prot#'!B:B, 0)), "NoXtal", "Xtal")</f>
        <v>NoXtal</v>
      </c>
      <c r="D272" t="str">
        <f t="shared" si="4"/>
        <v>human</v>
      </c>
      <c r="E272" t="str">
        <f>VLOOKUP(A272,Classification!A:B,2,FALSE)</f>
        <v>A</v>
      </c>
    </row>
    <row r="273" spans="1:5" x14ac:dyDescent="0.2">
      <c r="A273" t="s">
        <v>290</v>
      </c>
      <c r="B273" t="s">
        <v>623</v>
      </c>
      <c r="C273" t="str">
        <f>IF(ISERROR(MATCH(A273,'SegEnds_Xtal_Prot#'!B:B, 0)), "NoXtal", "Xtal")</f>
        <v>NoXtal</v>
      </c>
      <c r="D273" t="str">
        <f t="shared" si="4"/>
        <v>human</v>
      </c>
      <c r="E273" t="str">
        <f>VLOOKUP(A273,Classification!A:B,2,FALSE)</f>
        <v>A</v>
      </c>
    </row>
    <row r="274" spans="1:5" x14ac:dyDescent="0.2">
      <c r="A274" t="s">
        <v>394</v>
      </c>
      <c r="B274" t="s">
        <v>624</v>
      </c>
      <c r="C274" t="str">
        <f>IF(ISERROR(MATCH(A274,'SegEnds_Xtal_Prot#'!B:B, 0)), "NoXtal", "Xtal")</f>
        <v>NoXtal</v>
      </c>
      <c r="D274" t="str">
        <f t="shared" si="4"/>
        <v>human</v>
      </c>
      <c r="E274" t="str">
        <f>VLOOKUP(A274,Classification!A:B,2,FALSE)</f>
        <v>A</v>
      </c>
    </row>
    <row r="275" spans="1:5" x14ac:dyDescent="0.2">
      <c r="A275" t="s">
        <v>366</v>
      </c>
      <c r="B275" t="s">
        <v>625</v>
      </c>
      <c r="C275" t="str">
        <f>IF(ISERROR(MATCH(A275,'SegEnds_Xtal_Prot#'!B:B, 0)), "NoXtal", "Xtal")</f>
        <v>NoXtal</v>
      </c>
      <c r="D275" t="str">
        <f t="shared" si="4"/>
        <v>human</v>
      </c>
      <c r="E275" t="str">
        <f>VLOOKUP(A275,Classification!A:B,2,FALSE)</f>
        <v>A</v>
      </c>
    </row>
    <row r="276" spans="1:5" x14ac:dyDescent="0.2">
      <c r="A276" t="s">
        <v>367</v>
      </c>
      <c r="B276" t="s">
        <v>626</v>
      </c>
      <c r="C276" t="str">
        <f>IF(ISERROR(MATCH(A276,'SegEnds_Xtal_Prot#'!B:B, 0)), "NoXtal", "Xtal")</f>
        <v>NoXtal</v>
      </c>
      <c r="D276" t="str">
        <f t="shared" si="4"/>
        <v>human</v>
      </c>
      <c r="E276" t="str">
        <f>VLOOKUP(A276,Classification!A:B,2,FALSE)</f>
        <v>A</v>
      </c>
    </row>
    <row r="277" spans="1:5" x14ac:dyDescent="0.2">
      <c r="A277" t="s">
        <v>197</v>
      </c>
      <c r="B277" t="s">
        <v>628</v>
      </c>
      <c r="C277" t="str">
        <f>IF(ISERROR(MATCH(A277,'SegEnds_Xtal_Prot#'!B:B, 0)), "NoXtal", "Xtal")</f>
        <v>NoXtal</v>
      </c>
      <c r="D277" t="str">
        <f t="shared" si="4"/>
        <v>human</v>
      </c>
      <c r="E277" t="str">
        <f>VLOOKUP(A277,Classification!A:B,2,FALSE)</f>
        <v>A</v>
      </c>
    </row>
    <row r="278" spans="1:5" x14ac:dyDescent="0.2">
      <c r="A278" t="s">
        <v>198</v>
      </c>
      <c r="B278" t="s">
        <v>629</v>
      </c>
      <c r="C278" t="str">
        <f>IF(ISERROR(MATCH(A278,'SegEnds_Xtal_Prot#'!B:B, 0)), "NoXtal", "Xtal")</f>
        <v>NoXtal</v>
      </c>
      <c r="D278" t="str">
        <f t="shared" si="4"/>
        <v>human</v>
      </c>
      <c r="E278" t="str">
        <f>VLOOKUP(A278,Classification!A:B,2,FALSE)</f>
        <v>A</v>
      </c>
    </row>
    <row r="279" spans="1:5" x14ac:dyDescent="0.2">
      <c r="A279" t="s">
        <v>199</v>
      </c>
      <c r="B279" t="s">
        <v>630</v>
      </c>
      <c r="C279" t="str">
        <f>IF(ISERROR(MATCH(A279,'SegEnds_Xtal_Prot#'!B:B, 0)), "NoXtal", "Xtal")</f>
        <v>NoXtal</v>
      </c>
      <c r="D279" t="str">
        <f t="shared" si="4"/>
        <v>human</v>
      </c>
      <c r="E279" t="str">
        <f>VLOOKUP(A279,Classification!A:B,2,FALSE)</f>
        <v>A</v>
      </c>
    </row>
    <row r="280" spans="1:5" x14ac:dyDescent="0.2">
      <c r="A280" t="s">
        <v>257</v>
      </c>
      <c r="B280" t="s">
        <v>631</v>
      </c>
      <c r="C280" t="str">
        <f>IF(ISERROR(MATCH(A280,'SegEnds_Xtal_Prot#'!B:B, 0)), "NoXtal", "Xtal")</f>
        <v>NoXtal</v>
      </c>
      <c r="D280" t="str">
        <f t="shared" si="4"/>
        <v>human</v>
      </c>
      <c r="E280" t="str">
        <f>VLOOKUP(A280,Classification!A:B,2,FALSE)</f>
        <v>A</v>
      </c>
    </row>
    <row r="281" spans="1:5" x14ac:dyDescent="0.2">
      <c r="A281" t="s">
        <v>291</v>
      </c>
      <c r="B281" t="s">
        <v>632</v>
      </c>
      <c r="C281" t="str">
        <f>IF(ISERROR(MATCH(A281,'SegEnds_Xtal_Prot#'!B:B, 0)), "NoXtal", "Xtal")</f>
        <v>NoXtal</v>
      </c>
      <c r="D281" t="str">
        <f t="shared" si="4"/>
        <v>human</v>
      </c>
      <c r="E281" t="str">
        <f>VLOOKUP(A281,Classification!A:B,2,FALSE)</f>
        <v>A</v>
      </c>
    </row>
    <row r="282" spans="1:5" x14ac:dyDescent="0.2">
      <c r="A282" t="s">
        <v>292</v>
      </c>
      <c r="B282" t="s">
        <v>633</v>
      </c>
      <c r="C282" t="str">
        <f>IF(ISERROR(MATCH(A282,'SegEnds_Xtal_Prot#'!B:B, 0)), "NoXtal", "Xtal")</f>
        <v>NoXtal</v>
      </c>
      <c r="D282" t="str">
        <f t="shared" si="4"/>
        <v>human</v>
      </c>
      <c r="E282" t="str">
        <f>VLOOKUP(A282,Classification!A:B,2,FALSE)</f>
        <v>A</v>
      </c>
    </row>
    <row r="283" spans="1:5" x14ac:dyDescent="0.2">
      <c r="A283" t="s">
        <v>179</v>
      </c>
      <c r="B283" t="s">
        <v>634</v>
      </c>
      <c r="C283" t="str">
        <f>IF(ISERROR(MATCH(A283,'SegEnds_Xtal_Prot#'!B:B, 0)), "NoXtal", "Xtal")</f>
        <v>Xtal</v>
      </c>
      <c r="D283" t="str">
        <f t="shared" si="4"/>
        <v>human</v>
      </c>
      <c r="E283" t="str">
        <f>VLOOKUP(A283,Classification!A:B,2,FALSE)</f>
        <v>A</v>
      </c>
    </row>
    <row r="284" spans="1:5" x14ac:dyDescent="0.2">
      <c r="A284" t="s">
        <v>180</v>
      </c>
      <c r="B284" t="s">
        <v>635</v>
      </c>
      <c r="C284" t="str">
        <f>IF(ISERROR(MATCH(A284,'SegEnds_Xtal_Prot#'!B:B, 0)), "NoXtal", "Xtal")</f>
        <v>Xtal</v>
      </c>
      <c r="D284" t="str">
        <f t="shared" si="4"/>
        <v>human</v>
      </c>
      <c r="E284" t="str">
        <f>VLOOKUP(A284,Classification!A:B,2,FALSE)</f>
        <v>A</v>
      </c>
    </row>
    <row r="285" spans="1:5" x14ac:dyDescent="0.2">
      <c r="A285" t="s">
        <v>341</v>
      </c>
      <c r="B285" t="s">
        <v>636</v>
      </c>
      <c r="C285" t="str">
        <f>IF(ISERROR(MATCH(A285,'SegEnds_Xtal_Prot#'!B:B, 0)), "NoXtal", "Xtal")</f>
        <v>NoXtal</v>
      </c>
      <c r="D285" t="str">
        <f t="shared" si="4"/>
        <v>human</v>
      </c>
      <c r="E285" t="str">
        <f>VLOOKUP(A285,Classification!A:B,2,FALSE)</f>
        <v>A</v>
      </c>
    </row>
    <row r="286" spans="1:5" x14ac:dyDescent="0.2">
      <c r="A286" t="s">
        <v>286</v>
      </c>
      <c r="B286" t="s">
        <v>639</v>
      </c>
      <c r="C286" t="str">
        <f>IF(ISERROR(MATCH(A286,'SegEnds_Xtal_Prot#'!B:B, 0)), "NoXtal", "Xtal")</f>
        <v>NoXtal</v>
      </c>
      <c r="D286" t="str">
        <f t="shared" si="4"/>
        <v>human</v>
      </c>
      <c r="E286" t="str">
        <f>VLOOKUP(A286,Classification!A:B,2,FALSE)</f>
        <v>A</v>
      </c>
    </row>
    <row r="287" spans="1:5" x14ac:dyDescent="0.2">
      <c r="A287" t="s">
        <v>287</v>
      </c>
      <c r="B287" t="s">
        <v>640</v>
      </c>
      <c r="C287" t="str">
        <f>IF(ISERROR(MATCH(A287,'SegEnds_Xtal_Prot#'!B:B, 0)), "NoXtal", "Xtal")</f>
        <v>NoXtal</v>
      </c>
      <c r="D287" t="str">
        <f t="shared" si="4"/>
        <v>human</v>
      </c>
      <c r="E287" t="str">
        <f>VLOOKUP(A287,Classification!A:B,2,FALSE)</f>
        <v>A</v>
      </c>
    </row>
    <row r="288" spans="1:5" x14ac:dyDescent="0.2">
      <c r="A288" t="s">
        <v>288</v>
      </c>
      <c r="B288" t="s">
        <v>641</v>
      </c>
      <c r="C288" t="str">
        <f>IF(ISERROR(MATCH(A288,'SegEnds_Xtal_Prot#'!B:B, 0)), "NoXtal", "Xtal")</f>
        <v>NoXtal</v>
      </c>
      <c r="D288" t="str">
        <f t="shared" si="4"/>
        <v>human</v>
      </c>
      <c r="E288" t="str">
        <f>VLOOKUP(A288,Classification!A:B,2,FALSE)</f>
        <v>A</v>
      </c>
    </row>
    <row r="289" spans="1:5" x14ac:dyDescent="0.2">
      <c r="A289" t="s">
        <v>289</v>
      </c>
      <c r="B289" t="s">
        <v>642</v>
      </c>
      <c r="C289" t="str">
        <f>IF(ISERROR(MATCH(A289,'SegEnds_Xtal_Prot#'!B:B, 0)), "NoXtal", "Xtal")</f>
        <v>NoXtal</v>
      </c>
      <c r="D289" t="str">
        <f t="shared" si="4"/>
        <v>human</v>
      </c>
      <c r="E289" t="str">
        <f>VLOOKUP(A289,Classification!A:B,2,FALSE)</f>
        <v>A</v>
      </c>
    </row>
    <row r="290" spans="1:5" x14ac:dyDescent="0.2">
      <c r="A290" t="s">
        <v>376</v>
      </c>
      <c r="B290" t="s">
        <v>644</v>
      </c>
      <c r="C290" t="str">
        <f>IF(ISERROR(MATCH(A290,'SegEnds_Xtal_Prot#'!B:B, 0)), "NoXtal", "Xtal")</f>
        <v>NoXtal</v>
      </c>
      <c r="D290" t="str">
        <f t="shared" si="4"/>
        <v>human</v>
      </c>
      <c r="E290" t="str">
        <f>VLOOKUP(A290,Classification!A:B,2,FALSE)</f>
        <v>A</v>
      </c>
    </row>
    <row r="291" spans="1:5" x14ac:dyDescent="0.2">
      <c r="A291" t="s">
        <v>377</v>
      </c>
      <c r="B291" t="s">
        <v>645</v>
      </c>
      <c r="C291" t="str">
        <f>IF(ISERROR(MATCH(A291,'SegEnds_Xtal_Prot#'!B:B, 0)), "NoXtal", "Xtal")</f>
        <v>NoXtal</v>
      </c>
      <c r="D291" t="str">
        <f t="shared" si="4"/>
        <v>human</v>
      </c>
      <c r="E291" t="str">
        <f>VLOOKUP(A291,Classification!A:B,2,FALSE)</f>
        <v>A</v>
      </c>
    </row>
    <row r="292" spans="1:5" x14ac:dyDescent="0.2">
      <c r="A292" t="s">
        <v>378</v>
      </c>
      <c r="B292" t="s">
        <v>646</v>
      </c>
      <c r="C292" t="str">
        <f>IF(ISERROR(MATCH(A292,'SegEnds_Xtal_Prot#'!B:B, 0)), "NoXtal", "Xtal")</f>
        <v>NoXtal</v>
      </c>
      <c r="D292" t="str">
        <f t="shared" si="4"/>
        <v>human</v>
      </c>
      <c r="E292" t="str">
        <f>VLOOKUP(A292,Classification!A:B,2,FALSE)</f>
        <v>A</v>
      </c>
    </row>
    <row r="293" spans="1:5" x14ac:dyDescent="0.2">
      <c r="A293" t="s">
        <v>379</v>
      </c>
      <c r="B293" t="s">
        <v>647</v>
      </c>
      <c r="C293" t="str">
        <f>IF(ISERROR(MATCH(A293,'SegEnds_Xtal_Prot#'!B:B, 0)), "NoXtal", "Xtal")</f>
        <v>NoXtal</v>
      </c>
      <c r="D293" t="str">
        <f t="shared" si="4"/>
        <v>human</v>
      </c>
      <c r="E293" t="str">
        <f>VLOOKUP(A293,Classification!A:B,2,FALSE)</f>
        <v>A</v>
      </c>
    </row>
    <row r="294" spans="1:5" x14ac:dyDescent="0.2">
      <c r="A294" t="s">
        <v>182</v>
      </c>
      <c r="B294" t="s">
        <v>648</v>
      </c>
      <c r="C294" t="str">
        <f>IF(ISERROR(MATCH(A294,'SegEnds_Xtal_Prot#'!B:B, 0)), "NoXtal", "Xtal")</f>
        <v>Xtal</v>
      </c>
      <c r="D294" t="str">
        <f t="shared" si="4"/>
        <v>human</v>
      </c>
      <c r="E294" t="str">
        <f>VLOOKUP(A294,Classification!A:B,2,FALSE)</f>
        <v>A</v>
      </c>
    </row>
    <row r="295" spans="1:5" x14ac:dyDescent="0.2">
      <c r="A295" t="s">
        <v>183</v>
      </c>
      <c r="B295" t="s">
        <v>649</v>
      </c>
      <c r="C295" t="str">
        <f>IF(ISERROR(MATCH(A295,'SegEnds_Xtal_Prot#'!B:B, 0)), "NoXtal", "Xtal")</f>
        <v>Xtal</v>
      </c>
      <c r="D295" t="str">
        <f t="shared" si="4"/>
        <v>human</v>
      </c>
      <c r="E295" t="str">
        <f>VLOOKUP(A295,Classification!A:B,2,FALSE)</f>
        <v>A</v>
      </c>
    </row>
    <row r="296" spans="1:5" x14ac:dyDescent="0.2">
      <c r="A296" t="s">
        <v>240</v>
      </c>
      <c r="B296" t="s">
        <v>650</v>
      </c>
      <c r="C296" t="str">
        <f>IF(ISERROR(MATCH(A296,'SegEnds_Xtal_Prot#'!B:B, 0)), "NoXtal", "Xtal")</f>
        <v>NoXtal</v>
      </c>
      <c r="D296" t="str">
        <f t="shared" si="4"/>
        <v>human</v>
      </c>
      <c r="E296" t="str">
        <f>VLOOKUP(A296,Classification!A:B,2,FALSE)</f>
        <v>A</v>
      </c>
    </row>
    <row r="297" spans="1:5" x14ac:dyDescent="0.2">
      <c r="A297" t="s">
        <v>260</v>
      </c>
      <c r="B297" t="s">
        <v>651</v>
      </c>
      <c r="C297" t="str">
        <f>IF(ISERROR(MATCH(A297,'SegEnds_Xtal_Prot#'!B:B, 0)), "NoXtal", "Xtal")</f>
        <v>NoXtal</v>
      </c>
      <c r="D297" t="str">
        <f t="shared" si="4"/>
        <v>human</v>
      </c>
      <c r="E297" t="str">
        <f>VLOOKUP(A297,Classification!A:B,2,FALSE)</f>
        <v>A</v>
      </c>
    </row>
    <row r="298" spans="1:5" x14ac:dyDescent="0.2">
      <c r="A298" t="s">
        <v>212</v>
      </c>
      <c r="B298" t="s">
        <v>652</v>
      </c>
      <c r="C298" t="str">
        <f>IF(ISERROR(MATCH(A298,'SegEnds_Xtal_Prot#'!B:B, 0)), "NoXtal", "Xtal")</f>
        <v>NoXtal</v>
      </c>
      <c r="D298" t="str">
        <f t="shared" si="4"/>
        <v>human</v>
      </c>
      <c r="E298" t="str">
        <f>VLOOKUP(A298,Classification!A:B,2,FALSE)</f>
        <v>A</v>
      </c>
    </row>
    <row r="299" spans="1:5" x14ac:dyDescent="0.2">
      <c r="A299" t="s">
        <v>370</v>
      </c>
      <c r="B299" t="s">
        <v>653</v>
      </c>
      <c r="C299" t="str">
        <f>IF(ISERROR(MATCH(A299,'SegEnds_Xtal_Prot#'!B:B, 0)), "NoXtal", "Xtal")</f>
        <v>Xtal</v>
      </c>
      <c r="D299" t="str">
        <f t="shared" si="4"/>
        <v>human</v>
      </c>
      <c r="E299" t="str">
        <f>VLOOKUP(A299,Classification!A:B,2,FALSE)</f>
        <v>A</v>
      </c>
    </row>
    <row r="300" spans="1:5" x14ac:dyDescent="0.2">
      <c r="A300" t="s">
        <v>358</v>
      </c>
      <c r="B300" t="s">
        <v>654</v>
      </c>
      <c r="C300" t="str">
        <f>IF(ISERROR(MATCH(A300,'SegEnds_Xtal_Prot#'!B:B, 0)), "NoXtal", "Xtal")</f>
        <v>NoXtal</v>
      </c>
      <c r="D300" t="str">
        <f t="shared" si="4"/>
        <v>human</v>
      </c>
      <c r="E300" t="str">
        <f>VLOOKUP(A300,Classification!A:B,2,FALSE)</f>
        <v>A</v>
      </c>
    </row>
    <row r="301" spans="1:5" x14ac:dyDescent="0.2">
      <c r="A301" t="s">
        <v>359</v>
      </c>
      <c r="B301" t="s">
        <v>655</v>
      </c>
      <c r="C301" t="str">
        <f>IF(ISERROR(MATCH(A301,'SegEnds_Xtal_Prot#'!B:B, 0)), "NoXtal", "Xtal")</f>
        <v>Xtal</v>
      </c>
      <c r="D301" t="str">
        <f t="shared" si="4"/>
        <v>human</v>
      </c>
      <c r="E301" t="str">
        <f>VLOOKUP(A301,Classification!A:B,2,FALSE)</f>
        <v>A</v>
      </c>
    </row>
    <row r="302" spans="1:5" x14ac:dyDescent="0.2">
      <c r="A302" t="s">
        <v>360</v>
      </c>
      <c r="B302" t="s">
        <v>656</v>
      </c>
      <c r="C302" t="str">
        <f>IF(ISERROR(MATCH(A302,'SegEnds_Xtal_Prot#'!B:B, 0)), "NoXtal", "Xtal")</f>
        <v>NoXtal</v>
      </c>
      <c r="D302" t="str">
        <f t="shared" si="4"/>
        <v>human</v>
      </c>
      <c r="E302" t="str">
        <f>VLOOKUP(A302,Classification!A:B,2,FALSE)</f>
        <v>A</v>
      </c>
    </row>
    <row r="303" spans="1:5" x14ac:dyDescent="0.2">
      <c r="A303" t="s">
        <v>361</v>
      </c>
      <c r="B303" t="s">
        <v>657</v>
      </c>
      <c r="C303" t="str">
        <f>IF(ISERROR(MATCH(A303,'SegEnds_Xtal_Prot#'!B:B, 0)), "NoXtal", "Xtal")</f>
        <v>NoXtal</v>
      </c>
      <c r="D303" t="str">
        <f t="shared" si="4"/>
        <v>human</v>
      </c>
      <c r="E303" t="str">
        <f>VLOOKUP(A303,Classification!A:B,2,FALSE)</f>
        <v>A</v>
      </c>
    </row>
    <row r="304" spans="1:5" x14ac:dyDescent="0.2">
      <c r="A304" t="s">
        <v>362</v>
      </c>
      <c r="B304" t="s">
        <v>658</v>
      </c>
      <c r="C304" t="str">
        <f>IF(ISERROR(MATCH(A304,'SegEnds_Xtal_Prot#'!B:B, 0)), "NoXtal", "Xtal")</f>
        <v>Xtal</v>
      </c>
      <c r="D304" t="str">
        <f t="shared" si="4"/>
        <v>human</v>
      </c>
      <c r="E304" t="str">
        <f>VLOOKUP(A304,Classification!A:B,2,FALSE)</f>
        <v>A</v>
      </c>
    </row>
    <row r="305" spans="1:5" x14ac:dyDescent="0.2">
      <c r="A305" t="s">
        <v>363</v>
      </c>
      <c r="B305" t="s">
        <v>659</v>
      </c>
      <c r="C305" t="str">
        <f>IF(ISERROR(MATCH(A305,'SegEnds_Xtal_Prot#'!B:B, 0)), "NoXtal", "Xtal")</f>
        <v>Xtal</v>
      </c>
      <c r="D305" t="str">
        <f t="shared" si="4"/>
        <v>human</v>
      </c>
      <c r="E305" t="str">
        <f>VLOOKUP(A305,Classification!A:B,2,FALSE)</f>
        <v>A</v>
      </c>
    </row>
    <row r="306" spans="1:5" x14ac:dyDescent="0.2">
      <c r="A306" t="s">
        <v>364</v>
      </c>
      <c r="B306" t="s">
        <v>660</v>
      </c>
      <c r="C306" t="str">
        <f>IF(ISERROR(MATCH(A306,'SegEnds_Xtal_Prot#'!B:B, 0)), "NoXtal", "Xtal")</f>
        <v>NoXtal</v>
      </c>
      <c r="D306" t="str">
        <f t="shared" si="4"/>
        <v>human</v>
      </c>
      <c r="E306" t="str">
        <f>VLOOKUP(A306,Classification!A:B,2,FALSE)</f>
        <v>A</v>
      </c>
    </row>
    <row r="307" spans="1:5" x14ac:dyDescent="0.2">
      <c r="A307" t="s">
        <v>365</v>
      </c>
      <c r="B307" t="s">
        <v>661</v>
      </c>
      <c r="C307" t="str">
        <f>IF(ISERROR(MATCH(A307,'SegEnds_Xtal_Prot#'!B:B, 0)), "NoXtal", "Xtal")</f>
        <v>NoXtal</v>
      </c>
      <c r="D307" t="str">
        <f t="shared" si="4"/>
        <v>human</v>
      </c>
      <c r="E307" t="str">
        <f>VLOOKUP(A307,Classification!A:B,2,FALSE)</f>
        <v>A</v>
      </c>
    </row>
    <row r="308" spans="1:5" x14ac:dyDescent="0.2">
      <c r="A308" t="s">
        <v>467</v>
      </c>
      <c r="B308" t="s">
        <v>662</v>
      </c>
      <c r="C308" t="str">
        <f>IF(ISERROR(MATCH(A308,'SegEnds_Xtal_Prot#'!B:B, 0)), "NoXtal", "Xtal")</f>
        <v>Xtal</v>
      </c>
      <c r="D308" t="str">
        <f t="shared" si="4"/>
        <v>human</v>
      </c>
      <c r="E308" t="str">
        <f>VLOOKUP(A308,Classification!A:B,2,FALSE)</f>
        <v>A</v>
      </c>
    </row>
    <row r="309" spans="1:5" x14ac:dyDescent="0.2">
      <c r="A309" t="s">
        <v>310</v>
      </c>
      <c r="B309" t="s">
        <v>663</v>
      </c>
      <c r="C309" t="str">
        <f>IF(ISERROR(MATCH(A309,'SegEnds_Xtal_Prot#'!B:B, 0)), "NoXtal", "Xtal")</f>
        <v>Xtal</v>
      </c>
      <c r="D309" t="str">
        <f t="shared" si="4"/>
        <v>human</v>
      </c>
      <c r="E309" t="str">
        <f>VLOOKUP(A309,Classification!A:B,2,FALSE)</f>
        <v>A</v>
      </c>
    </row>
    <row r="310" spans="1:5" x14ac:dyDescent="0.2">
      <c r="A310" t="s">
        <v>311</v>
      </c>
      <c r="B310" t="s">
        <v>664</v>
      </c>
      <c r="C310" t="str">
        <f>IF(ISERROR(MATCH(A310,'SegEnds_Xtal_Prot#'!B:B, 0)), "NoXtal", "Xtal")</f>
        <v>Xtal</v>
      </c>
      <c r="D310" t="str">
        <f t="shared" si="4"/>
        <v>human</v>
      </c>
      <c r="E310" t="str">
        <f>VLOOKUP(A310,Classification!A:B,2,FALSE)</f>
        <v>A</v>
      </c>
    </row>
    <row r="311" spans="1:5" x14ac:dyDescent="0.2">
      <c r="A311" t="s">
        <v>138</v>
      </c>
      <c r="B311" t="s">
        <v>665</v>
      </c>
      <c r="C311" t="str">
        <f>IF(ISERROR(MATCH(A311,'SegEnds_Xtal_Prot#'!B:B, 0)), "NoXtal", "Xtal")</f>
        <v>Xtal</v>
      </c>
      <c r="D311" t="str">
        <f t="shared" si="4"/>
        <v>human</v>
      </c>
      <c r="E311" t="str">
        <f>VLOOKUP(A311,Classification!A:B,2,FALSE)</f>
        <v>A</v>
      </c>
    </row>
    <row r="312" spans="1:5" x14ac:dyDescent="0.2">
      <c r="A312" t="s">
        <v>140</v>
      </c>
      <c r="B312" t="s">
        <v>667</v>
      </c>
      <c r="C312" t="str">
        <f>IF(ISERROR(MATCH(A312,'SegEnds_Xtal_Prot#'!B:B, 0)), "NoXtal", "Xtal")</f>
        <v>NoXtal</v>
      </c>
      <c r="D312" t="str">
        <f t="shared" si="4"/>
        <v>human</v>
      </c>
      <c r="E312" t="str">
        <f>VLOOKUP(A312,Classification!A:B,2,FALSE)</f>
        <v>A</v>
      </c>
    </row>
    <row r="313" spans="1:5" x14ac:dyDescent="0.2">
      <c r="A313" t="s">
        <v>141</v>
      </c>
      <c r="B313" t="s">
        <v>668</v>
      </c>
      <c r="C313" t="str">
        <f>IF(ISERROR(MATCH(A313,'SegEnds_Xtal_Prot#'!B:B, 0)), "NoXtal", "Xtal")</f>
        <v>NoXtal</v>
      </c>
      <c r="D313" t="str">
        <f t="shared" si="4"/>
        <v>human</v>
      </c>
      <c r="E313" t="str">
        <f>VLOOKUP(A313,Classification!A:B,2,FALSE)</f>
        <v>A</v>
      </c>
    </row>
    <row r="314" spans="1:5" x14ac:dyDescent="0.2">
      <c r="A314" t="s">
        <v>345</v>
      </c>
      <c r="B314" t="s">
        <v>670</v>
      </c>
      <c r="C314" t="str">
        <f>IF(ISERROR(MATCH(A314,'SegEnds_Xtal_Prot#'!B:B, 0)), "NoXtal", "Xtal")</f>
        <v>NoXtal</v>
      </c>
      <c r="D314" t="str">
        <f t="shared" si="4"/>
        <v>human</v>
      </c>
      <c r="E314" t="str">
        <f>VLOOKUP(A314,Classification!A:B,2,FALSE)</f>
        <v>A</v>
      </c>
    </row>
    <row r="315" spans="1:5" x14ac:dyDescent="0.2">
      <c r="A315" t="s">
        <v>346</v>
      </c>
      <c r="B315" t="s">
        <v>671</v>
      </c>
      <c r="C315" t="str">
        <f>IF(ISERROR(MATCH(A315,'SegEnds_Xtal_Prot#'!B:B, 0)), "NoXtal", "Xtal")</f>
        <v>NoXtal</v>
      </c>
      <c r="D315" t="str">
        <f t="shared" si="4"/>
        <v>human</v>
      </c>
      <c r="E315" t="str">
        <f>VLOOKUP(A315,Classification!A:B,2,FALSE)</f>
        <v>A</v>
      </c>
    </row>
    <row r="316" spans="1:5" x14ac:dyDescent="0.2">
      <c r="A316" t="s">
        <v>347</v>
      </c>
      <c r="B316" t="s">
        <v>672</v>
      </c>
      <c r="C316" t="str">
        <f>IF(ISERROR(MATCH(A316,'SegEnds_Xtal_Prot#'!B:B, 0)), "NoXtal", "Xtal")</f>
        <v>NoXtal</v>
      </c>
      <c r="D316" t="str">
        <f t="shared" si="4"/>
        <v>human</v>
      </c>
      <c r="E316" t="str">
        <f>VLOOKUP(A316,Classification!A:B,2,FALSE)</f>
        <v>A</v>
      </c>
    </row>
    <row r="317" spans="1:5" x14ac:dyDescent="0.2">
      <c r="A317" t="s">
        <v>350</v>
      </c>
      <c r="B317" t="s">
        <v>673</v>
      </c>
      <c r="C317" t="str">
        <f>IF(ISERROR(MATCH(A317,'SegEnds_Xtal_Prot#'!B:B, 0)), "NoXtal", "Xtal")</f>
        <v>NoXtal</v>
      </c>
      <c r="D317" t="str">
        <f t="shared" si="4"/>
        <v>human</v>
      </c>
      <c r="E317" t="str">
        <f>VLOOKUP(A317,Classification!A:B,2,FALSE)</f>
        <v>A</v>
      </c>
    </row>
    <row r="318" spans="1:5" x14ac:dyDescent="0.2">
      <c r="A318" t="s">
        <v>352</v>
      </c>
      <c r="B318" t="s">
        <v>675</v>
      </c>
      <c r="C318" t="str">
        <f>IF(ISERROR(MATCH(A318,'SegEnds_Xtal_Prot#'!B:B, 0)), "NoXtal", "Xtal")</f>
        <v>NoXtal</v>
      </c>
      <c r="D318" t="str">
        <f t="shared" si="4"/>
        <v>human</v>
      </c>
      <c r="E318" t="str">
        <f>VLOOKUP(A318,Classification!A:B,2,FALSE)</f>
        <v>A</v>
      </c>
    </row>
    <row r="319" spans="1:5" x14ac:dyDescent="0.2">
      <c r="A319" t="s">
        <v>353</v>
      </c>
      <c r="B319" t="s">
        <v>676</v>
      </c>
      <c r="C319" t="str">
        <f>IF(ISERROR(MATCH(A319,'SegEnds_Xtal_Prot#'!B:B, 0)), "NoXtal", "Xtal")</f>
        <v>NoXtal</v>
      </c>
      <c r="D319" t="str">
        <f t="shared" si="4"/>
        <v>human</v>
      </c>
      <c r="E319" t="str">
        <f>VLOOKUP(A319,Classification!A:B,2,FALSE)</f>
        <v>A</v>
      </c>
    </row>
    <row r="320" spans="1:5" x14ac:dyDescent="0.2">
      <c r="A320" t="s">
        <v>234</v>
      </c>
      <c r="B320" t="s">
        <v>677</v>
      </c>
      <c r="C320" t="str">
        <f>IF(ISERROR(MATCH(A320,'SegEnds_Xtal_Prot#'!B:B, 0)), "NoXtal", "Xtal")</f>
        <v>NoXtal</v>
      </c>
      <c r="D320" t="str">
        <f t="shared" si="4"/>
        <v>human</v>
      </c>
      <c r="E320" t="str">
        <f>VLOOKUP(A320,Classification!A:B,2,FALSE)</f>
        <v>A</v>
      </c>
    </row>
    <row r="321" spans="1:5" x14ac:dyDescent="0.2">
      <c r="A321" t="s">
        <v>235</v>
      </c>
      <c r="B321" t="s">
        <v>678</v>
      </c>
      <c r="C321" t="str">
        <f>IF(ISERROR(MATCH(A321,'SegEnds_Xtal_Prot#'!B:B, 0)), "NoXtal", "Xtal")</f>
        <v>NoXtal</v>
      </c>
      <c r="D321" t="str">
        <f t="shared" si="4"/>
        <v>human</v>
      </c>
      <c r="E321" t="str">
        <f>VLOOKUP(A321,Classification!A:B,2,FALSE)</f>
        <v>A</v>
      </c>
    </row>
    <row r="322" spans="1:5" x14ac:dyDescent="0.2">
      <c r="A322" t="s">
        <v>274</v>
      </c>
      <c r="B322" t="s">
        <v>679</v>
      </c>
      <c r="C322" t="str">
        <f>IF(ISERROR(MATCH(A322,'SegEnds_Xtal_Prot#'!B:B, 0)), "NoXtal", "Xtal")</f>
        <v>NoXtal</v>
      </c>
      <c r="D322" t="str">
        <f t="shared" si="4"/>
        <v>human</v>
      </c>
      <c r="E322" t="str">
        <f>VLOOKUP(A322,Classification!A:B,2,FALSE)</f>
        <v>A</v>
      </c>
    </row>
    <row r="323" spans="1:5" x14ac:dyDescent="0.2">
      <c r="A323" t="s">
        <v>275</v>
      </c>
      <c r="B323" t="s">
        <v>680</v>
      </c>
      <c r="C323" t="str">
        <f>IF(ISERROR(MATCH(A323,'SegEnds_Xtal_Prot#'!B:B, 0)), "NoXtal", "Xtal")</f>
        <v>NoXtal</v>
      </c>
      <c r="D323" t="str">
        <f t="shared" si="4"/>
        <v>human</v>
      </c>
      <c r="E323" t="str">
        <f>VLOOKUP(A323,Classification!A:B,2,FALSE)</f>
        <v>A</v>
      </c>
    </row>
    <row r="324" spans="1:5" x14ac:dyDescent="0.2">
      <c r="A324" t="s">
        <v>276</v>
      </c>
      <c r="B324" t="s">
        <v>681</v>
      </c>
      <c r="C324" t="str">
        <f>IF(ISERROR(MATCH(A324,'SegEnds_Xtal_Prot#'!B:B, 0)), "NoXtal", "Xtal")</f>
        <v>NoXtal</v>
      </c>
      <c r="D324" t="str">
        <f t="shared" si="4"/>
        <v>human</v>
      </c>
      <c r="E324" t="str">
        <f>VLOOKUP(A324,Classification!A:B,2,FALSE)</f>
        <v>A</v>
      </c>
    </row>
    <row r="325" spans="1:5" x14ac:dyDescent="0.2">
      <c r="A325" t="s">
        <v>342</v>
      </c>
      <c r="B325" t="s">
        <v>682</v>
      </c>
      <c r="C325" t="str">
        <f>IF(ISERROR(MATCH(A325,'SegEnds_Xtal_Prot#'!B:B, 0)), "NoXtal", "Xtal")</f>
        <v>NoXtal</v>
      </c>
      <c r="D325" t="str">
        <f t="shared" si="4"/>
        <v>human</v>
      </c>
      <c r="E325" t="str">
        <f>VLOOKUP(A325,Classification!A:B,2,FALSE)</f>
        <v>A</v>
      </c>
    </row>
    <row r="326" spans="1:5" x14ac:dyDescent="0.2">
      <c r="A326" t="s">
        <v>385</v>
      </c>
      <c r="B326" t="s">
        <v>683</v>
      </c>
      <c r="C326" t="str">
        <f>IF(ISERROR(MATCH(A326,'SegEnds_Xtal_Prot#'!B:B, 0)), "NoXtal", "Xtal")</f>
        <v>NoXtal</v>
      </c>
      <c r="D326" t="str">
        <f t="shared" si="4"/>
        <v>human</v>
      </c>
      <c r="E326" t="str">
        <f>VLOOKUP(A326,Classification!A:B,2,FALSE)</f>
        <v>A</v>
      </c>
    </row>
    <row r="327" spans="1:5" x14ac:dyDescent="0.2">
      <c r="A327" t="s">
        <v>332</v>
      </c>
      <c r="B327" t="s">
        <v>685</v>
      </c>
      <c r="C327" t="str">
        <f>IF(ISERROR(MATCH(A327,'SegEnds_Xtal_Prot#'!B:B, 0)), "NoXtal", "Xtal")</f>
        <v>NoXtal</v>
      </c>
      <c r="D327" t="str">
        <f t="shared" ref="D327:D390" si="5">MID(A327,FIND("_",A327)+1,LEN(A327)-FIND("_",A327))</f>
        <v>human</v>
      </c>
      <c r="E327" t="str">
        <f>VLOOKUP(A327,Classification!A:B,2,FALSE)</f>
        <v>A</v>
      </c>
    </row>
    <row r="328" spans="1:5" x14ac:dyDescent="0.2">
      <c r="A328" t="s">
        <v>331</v>
      </c>
      <c r="B328" t="s">
        <v>686</v>
      </c>
      <c r="C328" t="str">
        <f>IF(ISERROR(MATCH(A328,'SegEnds_Xtal_Prot#'!B:B, 0)), "NoXtal", "Xtal")</f>
        <v>NoXtal</v>
      </c>
      <c r="D328" t="str">
        <f t="shared" si="5"/>
        <v>human</v>
      </c>
      <c r="E328" t="str">
        <f>VLOOKUP(A328,Classification!A:B,2,FALSE)</f>
        <v>A</v>
      </c>
    </row>
    <row r="329" spans="1:5" x14ac:dyDescent="0.2">
      <c r="A329" t="s">
        <v>333</v>
      </c>
      <c r="B329" t="s">
        <v>687</v>
      </c>
      <c r="C329" t="str">
        <f>IF(ISERROR(MATCH(A329,'SegEnds_Xtal_Prot#'!B:B, 0)), "NoXtal", "Xtal")</f>
        <v>NoXtal</v>
      </c>
      <c r="D329" t="str">
        <f t="shared" si="5"/>
        <v>human</v>
      </c>
      <c r="E329" t="str">
        <f>VLOOKUP(A329,Classification!A:B,2,FALSE)</f>
        <v>A</v>
      </c>
    </row>
    <row r="330" spans="1:5" x14ac:dyDescent="0.2">
      <c r="A330" t="s">
        <v>337</v>
      </c>
      <c r="B330" t="s">
        <v>688</v>
      </c>
      <c r="C330" t="str">
        <f>IF(ISERROR(MATCH(A330,'SegEnds_Xtal_Prot#'!B:B, 0)), "NoXtal", "Xtal")</f>
        <v>NoXtal</v>
      </c>
      <c r="D330" t="str">
        <f t="shared" si="5"/>
        <v>human</v>
      </c>
      <c r="E330" t="str">
        <f>VLOOKUP(A330,Classification!A:B,2,FALSE)</f>
        <v>A</v>
      </c>
    </row>
    <row r="331" spans="1:5" x14ac:dyDescent="0.2">
      <c r="A331" t="s">
        <v>339</v>
      </c>
      <c r="B331" t="s">
        <v>689</v>
      </c>
      <c r="C331" t="str">
        <f>IF(ISERROR(MATCH(A331,'SegEnds_Xtal_Prot#'!B:B, 0)), "NoXtal", "Xtal")</f>
        <v>NoXtal</v>
      </c>
      <c r="D331" t="str">
        <f t="shared" si="5"/>
        <v>human</v>
      </c>
      <c r="E331" t="str">
        <f>VLOOKUP(A331,Classification!A:B,2,FALSE)</f>
        <v>A</v>
      </c>
    </row>
    <row r="332" spans="1:5" x14ac:dyDescent="0.2">
      <c r="A332" t="s">
        <v>340</v>
      </c>
      <c r="B332" t="s">
        <v>690</v>
      </c>
      <c r="C332" t="str">
        <f>IF(ISERROR(MATCH(A332,'SegEnds_Xtal_Prot#'!B:B, 0)), "NoXtal", "Xtal")</f>
        <v>NoXtal</v>
      </c>
      <c r="D332" t="str">
        <f t="shared" si="5"/>
        <v>human</v>
      </c>
      <c r="E332" t="str">
        <f>VLOOKUP(A332,Classification!A:B,2,FALSE)</f>
        <v>A</v>
      </c>
    </row>
    <row r="333" spans="1:5" x14ac:dyDescent="0.2">
      <c r="A333" t="s">
        <v>236</v>
      </c>
      <c r="B333" t="s">
        <v>712</v>
      </c>
      <c r="C333" t="str">
        <f>IF(ISERROR(MATCH(A333,'SegEnds_Xtal_Prot#'!B:B, 0)), "NoXtal", "Xtal")</f>
        <v>NoXtal</v>
      </c>
      <c r="D333" t="str">
        <f t="shared" si="5"/>
        <v>human</v>
      </c>
      <c r="E333" t="str">
        <f>VLOOKUP(A333,Classification!A:B,2,FALSE)</f>
        <v>A</v>
      </c>
    </row>
    <row r="334" spans="1:5" x14ac:dyDescent="0.2">
      <c r="A334" t="s">
        <v>248</v>
      </c>
      <c r="B334" t="s">
        <v>713</v>
      </c>
      <c r="C334" t="str">
        <f>IF(ISERROR(MATCH(A334,'SegEnds_Xtal_Prot#'!B:B, 0)), "NoXtal", "Xtal")</f>
        <v>NoXtal</v>
      </c>
      <c r="D334" t="str">
        <f t="shared" si="5"/>
        <v>human</v>
      </c>
      <c r="E334" t="str">
        <f>VLOOKUP(A334,Classification!A:B,2,FALSE)</f>
        <v>A</v>
      </c>
    </row>
    <row r="335" spans="1:5" x14ac:dyDescent="0.2">
      <c r="A335" t="s">
        <v>256</v>
      </c>
      <c r="B335" t="s">
        <v>714</v>
      </c>
      <c r="C335" t="str">
        <f>IF(ISERROR(MATCH(A335,'SegEnds_Xtal_Prot#'!B:B, 0)), "NoXtal", "Xtal")</f>
        <v>NoXtal</v>
      </c>
      <c r="D335" t="str">
        <f t="shared" si="5"/>
        <v>human</v>
      </c>
      <c r="E335" t="str">
        <f>VLOOKUP(A335,Classification!A:B,2,FALSE)</f>
        <v>A</v>
      </c>
    </row>
    <row r="336" spans="1:5" x14ac:dyDescent="0.2">
      <c r="A336" t="s">
        <v>261</v>
      </c>
      <c r="B336" t="s">
        <v>715</v>
      </c>
      <c r="C336" t="str">
        <f>IF(ISERROR(MATCH(A336,'SegEnds_Xtal_Prot#'!B:B, 0)), "NoXtal", "Xtal")</f>
        <v>NoXtal</v>
      </c>
      <c r="D336" t="str">
        <f t="shared" si="5"/>
        <v>human</v>
      </c>
      <c r="E336" t="str">
        <f>VLOOKUP(A336,Classification!A:B,2,FALSE)</f>
        <v>A</v>
      </c>
    </row>
    <row r="337" spans="1:5" x14ac:dyDescent="0.2">
      <c r="A337" t="s">
        <v>237</v>
      </c>
      <c r="B337" t="s">
        <v>716</v>
      </c>
      <c r="C337" t="str">
        <f>IF(ISERROR(MATCH(A337,'SegEnds_Xtal_Prot#'!B:B, 0)), "NoXtal", "Xtal")</f>
        <v>NoXtal</v>
      </c>
      <c r="D337" t="str">
        <f t="shared" si="5"/>
        <v>human</v>
      </c>
      <c r="E337" t="str">
        <f>VLOOKUP(A337,Classification!A:B,2,FALSE)</f>
        <v>A</v>
      </c>
    </row>
    <row r="338" spans="1:5" x14ac:dyDescent="0.2">
      <c r="A338" t="s">
        <v>238</v>
      </c>
      <c r="B338" t="s">
        <v>717</v>
      </c>
      <c r="C338" t="str">
        <f>IF(ISERROR(MATCH(A338,'SegEnds_Xtal_Prot#'!B:B, 0)), "NoXtal", "Xtal")</f>
        <v>NoXtal</v>
      </c>
      <c r="D338" t="str">
        <f t="shared" si="5"/>
        <v>human</v>
      </c>
      <c r="E338" t="str">
        <f>VLOOKUP(A338,Classification!A:B,2,FALSE)</f>
        <v>A</v>
      </c>
    </row>
    <row r="339" spans="1:5" x14ac:dyDescent="0.2">
      <c r="A339" t="s">
        <v>239</v>
      </c>
      <c r="B339" t="s">
        <v>718</v>
      </c>
      <c r="C339" t="str">
        <f>IF(ISERROR(MATCH(A339,'SegEnds_Xtal_Prot#'!B:B, 0)), "NoXtal", "Xtal")</f>
        <v>NoXtal</v>
      </c>
      <c r="D339" t="str">
        <f t="shared" si="5"/>
        <v>human</v>
      </c>
      <c r="E339" t="str">
        <f>VLOOKUP(A339,Classification!A:B,2,FALSE)</f>
        <v>A</v>
      </c>
    </row>
    <row r="340" spans="1:5" x14ac:dyDescent="0.2">
      <c r="A340" t="s">
        <v>241</v>
      </c>
      <c r="B340" t="s">
        <v>719</v>
      </c>
      <c r="C340" t="str">
        <f>IF(ISERROR(MATCH(A340,'SegEnds_Xtal_Prot#'!B:B, 0)), "NoXtal", "Xtal")</f>
        <v>NoXtal</v>
      </c>
      <c r="D340" t="str">
        <f t="shared" si="5"/>
        <v>human</v>
      </c>
      <c r="E340" t="str">
        <f>VLOOKUP(A340,Classification!A:B,2,FALSE)</f>
        <v>A</v>
      </c>
    </row>
    <row r="341" spans="1:5" x14ac:dyDescent="0.2">
      <c r="A341" t="s">
        <v>242</v>
      </c>
      <c r="B341" t="s">
        <v>720</v>
      </c>
      <c r="C341" t="str">
        <f>IF(ISERROR(MATCH(A341,'SegEnds_Xtal_Prot#'!B:B, 0)), "NoXtal", "Xtal")</f>
        <v>NoXtal</v>
      </c>
      <c r="D341" t="str">
        <f t="shared" si="5"/>
        <v>human</v>
      </c>
      <c r="E341" t="str">
        <f>VLOOKUP(A341,Classification!A:B,2,FALSE)</f>
        <v>A</v>
      </c>
    </row>
    <row r="342" spans="1:5" x14ac:dyDescent="0.2">
      <c r="A342" t="s">
        <v>243</v>
      </c>
      <c r="B342" t="s">
        <v>721</v>
      </c>
      <c r="C342" t="str">
        <f>IF(ISERROR(MATCH(A342,'SegEnds_Xtal_Prot#'!B:B, 0)), "NoXtal", "Xtal")</f>
        <v>NoXtal</v>
      </c>
      <c r="D342" t="str">
        <f t="shared" si="5"/>
        <v>human</v>
      </c>
      <c r="E342" t="str">
        <f>VLOOKUP(A342,Classification!A:B,2,FALSE)</f>
        <v>A</v>
      </c>
    </row>
    <row r="343" spans="1:5" x14ac:dyDescent="0.2">
      <c r="A343" t="s">
        <v>244</v>
      </c>
      <c r="B343" t="s">
        <v>722</v>
      </c>
      <c r="C343" t="str">
        <f>IF(ISERROR(MATCH(A343,'SegEnds_Xtal_Prot#'!B:B, 0)), "NoXtal", "Xtal")</f>
        <v>NoXtal</v>
      </c>
      <c r="D343" t="str">
        <f t="shared" si="5"/>
        <v>human</v>
      </c>
      <c r="E343" t="str">
        <f>VLOOKUP(A343,Classification!A:B,2,FALSE)</f>
        <v>A</v>
      </c>
    </row>
    <row r="344" spans="1:5" x14ac:dyDescent="0.2">
      <c r="A344" t="s">
        <v>245</v>
      </c>
      <c r="B344" t="s">
        <v>723</v>
      </c>
      <c r="C344" t="str">
        <f>IF(ISERROR(MATCH(A344,'SegEnds_Xtal_Prot#'!B:B, 0)), "NoXtal", "Xtal")</f>
        <v>NoXtal</v>
      </c>
      <c r="D344" t="str">
        <f t="shared" si="5"/>
        <v>human</v>
      </c>
      <c r="E344" t="str">
        <f>VLOOKUP(A344,Classification!A:B,2,FALSE)</f>
        <v>A</v>
      </c>
    </row>
    <row r="345" spans="1:5" x14ac:dyDescent="0.2">
      <c r="A345" t="s">
        <v>246</v>
      </c>
      <c r="B345" t="s">
        <v>724</v>
      </c>
      <c r="C345" t="str">
        <f>IF(ISERROR(MATCH(A345,'SegEnds_Xtal_Prot#'!B:B, 0)), "NoXtal", "Xtal")</f>
        <v>NoXtal</v>
      </c>
      <c r="D345" t="str">
        <f t="shared" si="5"/>
        <v>human</v>
      </c>
      <c r="E345" t="str">
        <f>VLOOKUP(A345,Classification!A:B,2,FALSE)</f>
        <v>A</v>
      </c>
    </row>
    <row r="346" spans="1:5" x14ac:dyDescent="0.2">
      <c r="A346" t="s">
        <v>247</v>
      </c>
      <c r="B346" t="s">
        <v>725</v>
      </c>
      <c r="C346" t="str">
        <f>IF(ISERROR(MATCH(A346,'SegEnds_Xtal_Prot#'!B:B, 0)), "NoXtal", "Xtal")</f>
        <v>NoXtal</v>
      </c>
      <c r="D346" t="str">
        <f t="shared" si="5"/>
        <v>human</v>
      </c>
      <c r="E346" t="str">
        <f>VLOOKUP(A346,Classification!A:B,2,FALSE)</f>
        <v>A</v>
      </c>
    </row>
    <row r="347" spans="1:5" x14ac:dyDescent="0.2">
      <c r="A347" t="s">
        <v>249</v>
      </c>
      <c r="B347" t="s">
        <v>726</v>
      </c>
      <c r="C347" t="str">
        <f>IF(ISERROR(MATCH(A347,'SegEnds_Xtal_Prot#'!B:B, 0)), "NoXtal", "Xtal")</f>
        <v>NoXtal</v>
      </c>
      <c r="D347" t="str">
        <f t="shared" si="5"/>
        <v>human</v>
      </c>
      <c r="E347" t="str">
        <f>VLOOKUP(A347,Classification!A:B,2,FALSE)</f>
        <v>A</v>
      </c>
    </row>
    <row r="348" spans="1:5" x14ac:dyDescent="0.2">
      <c r="A348" t="s">
        <v>250</v>
      </c>
      <c r="B348" t="s">
        <v>727</v>
      </c>
      <c r="C348" t="str">
        <f>IF(ISERROR(MATCH(A348,'SegEnds_Xtal_Prot#'!B:B, 0)), "NoXtal", "Xtal")</f>
        <v>NoXtal</v>
      </c>
      <c r="D348" t="str">
        <f t="shared" si="5"/>
        <v>human</v>
      </c>
      <c r="E348" t="str">
        <f>VLOOKUP(A348,Classification!A:B,2,FALSE)</f>
        <v>A</v>
      </c>
    </row>
    <row r="349" spans="1:5" x14ac:dyDescent="0.2">
      <c r="A349" t="s">
        <v>251</v>
      </c>
      <c r="B349" t="s">
        <v>728</v>
      </c>
      <c r="C349" t="str">
        <f>IF(ISERROR(MATCH(A349,'SegEnds_Xtal_Prot#'!B:B, 0)), "NoXtal", "Xtal")</f>
        <v>NoXtal</v>
      </c>
      <c r="D349" t="str">
        <f t="shared" si="5"/>
        <v>human</v>
      </c>
      <c r="E349" t="str">
        <f>VLOOKUP(A349,Classification!A:B,2,FALSE)</f>
        <v>A</v>
      </c>
    </row>
    <row r="350" spans="1:5" x14ac:dyDescent="0.2">
      <c r="A350" t="s">
        <v>252</v>
      </c>
      <c r="B350" t="s">
        <v>729</v>
      </c>
      <c r="C350" t="str">
        <f>IF(ISERROR(MATCH(A350,'SegEnds_Xtal_Prot#'!B:B, 0)), "NoXtal", "Xtal")</f>
        <v>NoXtal</v>
      </c>
      <c r="D350" t="str">
        <f t="shared" si="5"/>
        <v>human</v>
      </c>
      <c r="E350" t="str">
        <f>VLOOKUP(A350,Classification!A:B,2,FALSE)</f>
        <v>A</v>
      </c>
    </row>
    <row r="351" spans="1:5" x14ac:dyDescent="0.2">
      <c r="A351" t="s">
        <v>253</v>
      </c>
      <c r="B351" t="s">
        <v>730</v>
      </c>
      <c r="C351" t="str">
        <f>IF(ISERROR(MATCH(A351,'SegEnds_Xtal_Prot#'!B:B, 0)), "NoXtal", "Xtal")</f>
        <v>NoXtal</v>
      </c>
      <c r="D351" t="str">
        <f t="shared" si="5"/>
        <v>human</v>
      </c>
      <c r="E351" t="str">
        <f>VLOOKUP(A351,Classification!A:B,2,FALSE)</f>
        <v>A</v>
      </c>
    </row>
    <row r="352" spans="1:5" x14ac:dyDescent="0.2">
      <c r="A352" t="s">
        <v>254</v>
      </c>
      <c r="B352" t="s">
        <v>731</v>
      </c>
      <c r="C352" t="str">
        <f>IF(ISERROR(MATCH(A352,'SegEnds_Xtal_Prot#'!B:B, 0)), "NoXtal", "Xtal")</f>
        <v>NoXtal</v>
      </c>
      <c r="D352" t="str">
        <f t="shared" si="5"/>
        <v>human</v>
      </c>
      <c r="E352" t="str">
        <f>VLOOKUP(A352,Classification!A:B,2,FALSE)</f>
        <v>A</v>
      </c>
    </row>
    <row r="353" spans="1:5" x14ac:dyDescent="0.2">
      <c r="A353" t="s">
        <v>1676</v>
      </c>
      <c r="B353" t="s">
        <v>732</v>
      </c>
      <c r="C353" t="str">
        <f>IF(ISERROR(MATCH(A353,'SegEnds_Xtal_Prot#'!B:B, 0)), "NoXtal", "Xtal")</f>
        <v>NoXtal</v>
      </c>
      <c r="D353" t="str">
        <f t="shared" si="5"/>
        <v>human</v>
      </c>
      <c r="E353" t="str">
        <f>VLOOKUP(A353,Classification!A:B,2,FALSE)</f>
        <v>A</v>
      </c>
    </row>
    <row r="354" spans="1:5" x14ac:dyDescent="0.2">
      <c r="A354" t="s">
        <v>255</v>
      </c>
      <c r="B354" t="s">
        <v>733</v>
      </c>
      <c r="C354" t="str">
        <f>IF(ISERROR(MATCH(A354,'SegEnds_Xtal_Prot#'!B:B, 0)), "NoXtal", "Xtal")</f>
        <v>NoXtal</v>
      </c>
      <c r="D354" t="str">
        <f t="shared" si="5"/>
        <v>human</v>
      </c>
      <c r="E354" t="str">
        <f>VLOOKUP(A354,Classification!A:B,2,FALSE)</f>
        <v>A</v>
      </c>
    </row>
    <row r="355" spans="1:5" x14ac:dyDescent="0.2">
      <c r="A355" t="s">
        <v>258</v>
      </c>
      <c r="B355" t="s">
        <v>734</v>
      </c>
      <c r="C355" t="str">
        <f>IF(ISERROR(MATCH(A355,'SegEnds_Xtal_Prot#'!B:B, 0)), "NoXtal", "Xtal")</f>
        <v>NoXtal</v>
      </c>
      <c r="D355" t="str">
        <f t="shared" si="5"/>
        <v>human</v>
      </c>
      <c r="E355" t="str">
        <f>VLOOKUP(A355,Classification!A:B,2,FALSE)</f>
        <v>A</v>
      </c>
    </row>
    <row r="356" spans="1:5" x14ac:dyDescent="0.2">
      <c r="A356" t="s">
        <v>312</v>
      </c>
      <c r="B356" t="s">
        <v>735</v>
      </c>
      <c r="C356" t="str">
        <f>IF(ISERROR(MATCH(A356,'SegEnds_Xtal_Prot#'!B:B, 0)), "NoXtal", "Xtal")</f>
        <v>NoXtal</v>
      </c>
      <c r="D356" t="str">
        <f t="shared" si="5"/>
        <v>human</v>
      </c>
      <c r="E356" t="str">
        <f>VLOOKUP(A356,Classification!A:B,2,FALSE)</f>
        <v>A</v>
      </c>
    </row>
    <row r="357" spans="1:5" x14ac:dyDescent="0.2">
      <c r="A357" t="s">
        <v>259</v>
      </c>
      <c r="B357" t="s">
        <v>736</v>
      </c>
      <c r="C357" t="str">
        <f>IF(ISERROR(MATCH(A357,'SegEnds_Xtal_Prot#'!B:B, 0)), "NoXtal", "Xtal")</f>
        <v>Xtal</v>
      </c>
      <c r="D357" t="str">
        <f t="shared" si="5"/>
        <v>human</v>
      </c>
      <c r="E357" t="str">
        <f>VLOOKUP(A357,Classification!A:B,2,FALSE)</f>
        <v>A</v>
      </c>
    </row>
    <row r="358" spans="1:5" x14ac:dyDescent="0.2">
      <c r="A358" t="s">
        <v>262</v>
      </c>
      <c r="B358" t="s">
        <v>737</v>
      </c>
      <c r="C358" t="str">
        <f>IF(ISERROR(MATCH(A358,'SegEnds_Xtal_Prot#'!B:B, 0)), "NoXtal", "Xtal")</f>
        <v>NoXtal</v>
      </c>
      <c r="D358" t="str">
        <f t="shared" si="5"/>
        <v>human</v>
      </c>
      <c r="E358" t="str">
        <f>VLOOKUP(A358,Classification!A:B,2,FALSE)</f>
        <v>A</v>
      </c>
    </row>
    <row r="359" spans="1:5" x14ac:dyDescent="0.2">
      <c r="A359" t="s">
        <v>263</v>
      </c>
      <c r="B359" t="s">
        <v>738</v>
      </c>
      <c r="C359" t="str">
        <f>IF(ISERROR(MATCH(A359,'SegEnds_Xtal_Prot#'!B:B, 0)), "NoXtal", "Xtal")</f>
        <v>NoXtal</v>
      </c>
      <c r="D359" t="str">
        <f t="shared" si="5"/>
        <v>human</v>
      </c>
      <c r="E359" t="str">
        <f>VLOOKUP(A359,Classification!A:B,2,FALSE)</f>
        <v>A</v>
      </c>
    </row>
    <row r="360" spans="1:5" x14ac:dyDescent="0.2">
      <c r="A360" t="s">
        <v>264</v>
      </c>
      <c r="B360" t="s">
        <v>739</v>
      </c>
      <c r="C360" t="str">
        <f>IF(ISERROR(MATCH(A360,'SegEnds_Xtal_Prot#'!B:B, 0)), "NoXtal", "Xtal")</f>
        <v>NoXtal</v>
      </c>
      <c r="D360" t="str">
        <f t="shared" si="5"/>
        <v>human</v>
      </c>
      <c r="E360" t="str">
        <f>VLOOKUP(A360,Classification!A:B,2,FALSE)</f>
        <v>A</v>
      </c>
    </row>
    <row r="361" spans="1:5" x14ac:dyDescent="0.2">
      <c r="A361" t="s">
        <v>369</v>
      </c>
      <c r="B361" t="s">
        <v>740</v>
      </c>
      <c r="C361" t="str">
        <f>IF(ISERROR(MATCH(A361,'SegEnds_Xtal_Prot#'!B:B, 0)), "NoXtal", "Xtal")</f>
        <v>NoXtal</v>
      </c>
      <c r="D361" t="str">
        <f t="shared" si="5"/>
        <v>human</v>
      </c>
      <c r="E361" t="str">
        <f>VLOOKUP(A361,Classification!A:B,2,FALSE)</f>
        <v>A</v>
      </c>
    </row>
    <row r="362" spans="1:5" x14ac:dyDescent="0.2">
      <c r="A362" t="s">
        <v>330</v>
      </c>
      <c r="B362" t="s">
        <v>741</v>
      </c>
      <c r="C362" t="str">
        <f>IF(ISERROR(MATCH(A362,'SegEnds_Xtal_Prot#'!B:B, 0)), "NoXtal", "Xtal")</f>
        <v>NoXtal</v>
      </c>
      <c r="D362" t="str">
        <f t="shared" si="5"/>
        <v>human</v>
      </c>
      <c r="E362" t="str">
        <f>VLOOKUP(A362,Classification!A:B,2,FALSE)</f>
        <v>A</v>
      </c>
    </row>
    <row r="363" spans="1:5" x14ac:dyDescent="0.2">
      <c r="A363" t="s">
        <v>265</v>
      </c>
      <c r="B363" t="s">
        <v>742</v>
      </c>
      <c r="C363" t="str">
        <f>IF(ISERROR(MATCH(A363,'SegEnds_Xtal_Prot#'!B:B, 0)), "NoXtal", "Xtal")</f>
        <v>NoXtal</v>
      </c>
      <c r="D363" t="str">
        <f t="shared" si="5"/>
        <v>human</v>
      </c>
      <c r="E363" t="str">
        <f>VLOOKUP(A363,Classification!A:B,2,FALSE)</f>
        <v>A</v>
      </c>
    </row>
    <row r="364" spans="1:5" x14ac:dyDescent="0.2">
      <c r="A364" t="s">
        <v>266</v>
      </c>
      <c r="B364" t="s">
        <v>743</v>
      </c>
      <c r="C364" t="str">
        <f>IF(ISERROR(MATCH(A364,'SegEnds_Xtal_Prot#'!B:B, 0)), "NoXtal", "Xtal")</f>
        <v>NoXtal</v>
      </c>
      <c r="D364" t="str">
        <f t="shared" si="5"/>
        <v>human</v>
      </c>
      <c r="E364" t="str">
        <f>VLOOKUP(A364,Classification!A:B,2,FALSE)</f>
        <v>A</v>
      </c>
    </row>
    <row r="365" spans="1:5" x14ac:dyDescent="0.2">
      <c r="A365" t="s">
        <v>267</v>
      </c>
      <c r="B365" t="s">
        <v>744</v>
      </c>
      <c r="C365" t="str">
        <f>IF(ISERROR(MATCH(A365,'SegEnds_Xtal_Prot#'!B:B, 0)), "NoXtal", "Xtal")</f>
        <v>NoXtal</v>
      </c>
      <c r="D365" t="str">
        <f t="shared" si="5"/>
        <v>human</v>
      </c>
      <c r="E365" t="str">
        <f>VLOOKUP(A365,Classification!A:B,2,FALSE)</f>
        <v>A</v>
      </c>
    </row>
    <row r="366" spans="1:5" x14ac:dyDescent="0.2">
      <c r="A366" t="s">
        <v>268</v>
      </c>
      <c r="B366" t="s">
        <v>745</v>
      </c>
      <c r="C366" t="str">
        <f>IF(ISERROR(MATCH(A366,'SegEnds_Xtal_Prot#'!B:B, 0)), "NoXtal", "Xtal")</f>
        <v>NoXtal</v>
      </c>
      <c r="D366" t="str">
        <f t="shared" si="5"/>
        <v>human</v>
      </c>
      <c r="E366" t="str">
        <f>VLOOKUP(A366,Classification!A:B,2,FALSE)</f>
        <v>A</v>
      </c>
    </row>
    <row r="367" spans="1:5" x14ac:dyDescent="0.2">
      <c r="A367" t="s">
        <v>269</v>
      </c>
      <c r="B367" t="s">
        <v>746</v>
      </c>
      <c r="C367" t="str">
        <f>IF(ISERROR(MATCH(A367,'SegEnds_Xtal_Prot#'!B:B, 0)), "NoXtal", "Xtal")</f>
        <v>NoXtal</v>
      </c>
      <c r="D367" t="str">
        <f t="shared" si="5"/>
        <v>human</v>
      </c>
      <c r="E367" t="str">
        <f>VLOOKUP(A367,Classification!A:B,2,FALSE)</f>
        <v>A</v>
      </c>
    </row>
    <row r="368" spans="1:5" x14ac:dyDescent="0.2">
      <c r="A368" t="s">
        <v>270</v>
      </c>
      <c r="B368" t="s">
        <v>747</v>
      </c>
      <c r="C368" t="str">
        <f>IF(ISERROR(MATCH(A368,'SegEnds_Xtal_Prot#'!B:B, 0)), "NoXtal", "Xtal")</f>
        <v>NoXtal</v>
      </c>
      <c r="D368" t="str">
        <f t="shared" si="5"/>
        <v>human</v>
      </c>
      <c r="E368" t="str">
        <f>VLOOKUP(A368,Classification!A:B,2,FALSE)</f>
        <v>A</v>
      </c>
    </row>
    <row r="369" spans="1:5" x14ac:dyDescent="0.2">
      <c r="A369" t="s">
        <v>271</v>
      </c>
      <c r="B369" t="s">
        <v>748</v>
      </c>
      <c r="C369" t="str">
        <f>IF(ISERROR(MATCH(A369,'SegEnds_Xtal_Prot#'!B:B, 0)), "NoXtal", "Xtal")</f>
        <v>NoXtal</v>
      </c>
      <c r="D369" t="str">
        <f t="shared" si="5"/>
        <v>human</v>
      </c>
      <c r="E369" t="str">
        <f>VLOOKUP(A369,Classification!A:B,2,FALSE)</f>
        <v>A</v>
      </c>
    </row>
    <row r="370" spans="1:5" x14ac:dyDescent="0.2">
      <c r="A370" t="s">
        <v>272</v>
      </c>
      <c r="B370" t="s">
        <v>749</v>
      </c>
      <c r="C370" t="str">
        <f>IF(ISERROR(MATCH(A370,'SegEnds_Xtal_Prot#'!B:B, 0)), "NoXtal", "Xtal")</f>
        <v>NoXtal</v>
      </c>
      <c r="D370" t="str">
        <f t="shared" si="5"/>
        <v>human</v>
      </c>
      <c r="E370" t="str">
        <f>VLOOKUP(A370,Classification!A:B,2,FALSE)</f>
        <v>A</v>
      </c>
    </row>
    <row r="371" spans="1:5" x14ac:dyDescent="0.2">
      <c r="A371" t="s">
        <v>211</v>
      </c>
      <c r="B371" t="s">
        <v>750</v>
      </c>
      <c r="C371" t="str">
        <f>IF(ISERROR(MATCH(A371,'SegEnds_Xtal_Prot#'!B:B, 0)), "NoXtal", "Xtal")</f>
        <v>NoXtal</v>
      </c>
      <c r="D371" t="str">
        <f t="shared" si="5"/>
        <v>human</v>
      </c>
      <c r="E371" t="str">
        <f>VLOOKUP(A371,Classification!A:B,2,FALSE)</f>
        <v>A</v>
      </c>
    </row>
    <row r="372" spans="1:5" x14ac:dyDescent="0.2">
      <c r="A372" t="s">
        <v>213</v>
      </c>
      <c r="B372" t="s">
        <v>751</v>
      </c>
      <c r="C372" t="str">
        <f>IF(ISERROR(MATCH(A372,'SegEnds_Xtal_Prot#'!B:B, 0)), "NoXtal", "Xtal")</f>
        <v>NoXtal</v>
      </c>
      <c r="D372" t="str">
        <f t="shared" si="5"/>
        <v>human</v>
      </c>
      <c r="E372" t="str">
        <f>VLOOKUP(A372,Classification!A:B,2,FALSE)</f>
        <v>A</v>
      </c>
    </row>
    <row r="373" spans="1:5" x14ac:dyDescent="0.2">
      <c r="A373" t="s">
        <v>214</v>
      </c>
      <c r="B373" t="s">
        <v>752</v>
      </c>
      <c r="C373" t="str">
        <f>IF(ISERROR(MATCH(A373,'SegEnds_Xtal_Prot#'!B:B, 0)), "NoXtal", "Xtal")</f>
        <v>NoXtal</v>
      </c>
      <c r="D373" t="str">
        <f t="shared" si="5"/>
        <v>human</v>
      </c>
      <c r="E373" t="str">
        <f>VLOOKUP(A373,Classification!A:B,2,FALSE)</f>
        <v>A</v>
      </c>
    </row>
    <row r="374" spans="1:5" x14ac:dyDescent="0.2">
      <c r="A374" t="s">
        <v>215</v>
      </c>
      <c r="B374" t="s">
        <v>753</v>
      </c>
      <c r="C374" t="str">
        <f>IF(ISERROR(MATCH(A374,'SegEnds_Xtal_Prot#'!B:B, 0)), "NoXtal", "Xtal")</f>
        <v>NoXtal</v>
      </c>
      <c r="D374" t="str">
        <f t="shared" si="5"/>
        <v>human</v>
      </c>
      <c r="E374" t="str">
        <f>VLOOKUP(A374,Classification!A:B,2,FALSE)</f>
        <v>A</v>
      </c>
    </row>
    <row r="375" spans="1:5" x14ac:dyDescent="0.2">
      <c r="A375" t="s">
        <v>216</v>
      </c>
      <c r="B375" t="s">
        <v>754</v>
      </c>
      <c r="C375" t="str">
        <f>IF(ISERROR(MATCH(A375,'SegEnds_Xtal_Prot#'!B:B, 0)), "NoXtal", "Xtal")</f>
        <v>NoXtal</v>
      </c>
      <c r="D375" t="str">
        <f t="shared" si="5"/>
        <v>human</v>
      </c>
      <c r="E375" t="str">
        <f>VLOOKUP(A375,Classification!A:B,2,FALSE)</f>
        <v>A</v>
      </c>
    </row>
    <row r="376" spans="1:5" x14ac:dyDescent="0.2">
      <c r="A376" t="s">
        <v>217</v>
      </c>
      <c r="B376" t="s">
        <v>755</v>
      </c>
      <c r="C376" t="str">
        <f>IF(ISERROR(MATCH(A376,'SegEnds_Xtal_Prot#'!B:B, 0)), "NoXtal", "Xtal")</f>
        <v>NoXtal</v>
      </c>
      <c r="D376" t="str">
        <f t="shared" si="5"/>
        <v>human</v>
      </c>
      <c r="E376" t="str">
        <f>VLOOKUP(A376,Classification!A:B,2,FALSE)</f>
        <v>A</v>
      </c>
    </row>
    <row r="377" spans="1:5" x14ac:dyDescent="0.2">
      <c r="A377" t="s">
        <v>218</v>
      </c>
      <c r="B377" t="s">
        <v>756</v>
      </c>
      <c r="C377" t="str">
        <f>IF(ISERROR(MATCH(A377,'SegEnds_Xtal_Prot#'!B:B, 0)), "NoXtal", "Xtal")</f>
        <v>NoXtal</v>
      </c>
      <c r="D377" t="str">
        <f t="shared" si="5"/>
        <v>human</v>
      </c>
      <c r="E377" t="str">
        <f>VLOOKUP(A377,Classification!A:B,2,FALSE)</f>
        <v>A</v>
      </c>
    </row>
    <row r="378" spans="1:5" x14ac:dyDescent="0.2">
      <c r="A378" t="s">
        <v>219</v>
      </c>
      <c r="B378" t="s">
        <v>757</v>
      </c>
      <c r="C378" t="str">
        <f>IF(ISERROR(MATCH(A378,'SegEnds_Xtal_Prot#'!B:B, 0)), "NoXtal", "Xtal")</f>
        <v>NoXtal</v>
      </c>
      <c r="D378" t="str">
        <f t="shared" si="5"/>
        <v>human</v>
      </c>
      <c r="E378" t="str">
        <f>VLOOKUP(A378,Classification!A:B,2,FALSE)</f>
        <v>A</v>
      </c>
    </row>
    <row r="379" spans="1:5" x14ac:dyDescent="0.2">
      <c r="A379" t="s">
        <v>220</v>
      </c>
      <c r="B379" t="s">
        <v>758</v>
      </c>
      <c r="C379" t="str">
        <f>IF(ISERROR(MATCH(A379,'SegEnds_Xtal_Prot#'!B:B, 0)), "NoXtal", "Xtal")</f>
        <v>NoXtal</v>
      </c>
      <c r="D379" t="str">
        <f t="shared" si="5"/>
        <v>human</v>
      </c>
      <c r="E379" t="str">
        <f>VLOOKUP(A379,Classification!A:B,2,FALSE)</f>
        <v>A</v>
      </c>
    </row>
    <row r="380" spans="1:5" x14ac:dyDescent="0.2">
      <c r="A380" t="s">
        <v>221</v>
      </c>
      <c r="B380" t="s">
        <v>759</v>
      </c>
      <c r="C380" t="str">
        <f>IF(ISERROR(MATCH(A380,'SegEnds_Xtal_Prot#'!B:B, 0)), "NoXtal", "Xtal")</f>
        <v>NoXtal</v>
      </c>
      <c r="D380" t="str">
        <f t="shared" si="5"/>
        <v>human</v>
      </c>
      <c r="E380" t="str">
        <f>VLOOKUP(A380,Classification!A:B,2,FALSE)</f>
        <v>A</v>
      </c>
    </row>
    <row r="381" spans="1:5" x14ac:dyDescent="0.2">
      <c r="A381" t="s">
        <v>222</v>
      </c>
      <c r="B381" t="s">
        <v>760</v>
      </c>
      <c r="C381" t="str">
        <f>IF(ISERROR(MATCH(A381,'SegEnds_Xtal_Prot#'!B:B, 0)), "NoXtal", "Xtal")</f>
        <v>NoXtal</v>
      </c>
      <c r="D381" t="str">
        <f t="shared" si="5"/>
        <v>human</v>
      </c>
      <c r="E381" t="str">
        <f>VLOOKUP(A381,Classification!A:B,2,FALSE)</f>
        <v>A</v>
      </c>
    </row>
    <row r="382" spans="1:5" x14ac:dyDescent="0.2">
      <c r="A382" t="s">
        <v>223</v>
      </c>
      <c r="B382" t="s">
        <v>761</v>
      </c>
      <c r="C382" t="str">
        <f>IF(ISERROR(MATCH(A382,'SegEnds_Xtal_Prot#'!B:B, 0)), "NoXtal", "Xtal")</f>
        <v>NoXtal</v>
      </c>
      <c r="D382" t="str">
        <f t="shared" si="5"/>
        <v>human</v>
      </c>
      <c r="E382" t="str">
        <f>VLOOKUP(A382,Classification!A:B,2,FALSE)</f>
        <v>A</v>
      </c>
    </row>
    <row r="383" spans="1:5" x14ac:dyDescent="0.2">
      <c r="A383" t="s">
        <v>224</v>
      </c>
      <c r="B383" t="s">
        <v>762</v>
      </c>
      <c r="C383" t="str">
        <f>IF(ISERROR(MATCH(A383,'SegEnds_Xtal_Prot#'!B:B, 0)), "NoXtal", "Xtal")</f>
        <v>NoXtal</v>
      </c>
      <c r="D383" t="str">
        <f t="shared" si="5"/>
        <v>human</v>
      </c>
      <c r="E383" t="str">
        <f>VLOOKUP(A383,Classification!A:B,2,FALSE)</f>
        <v>A</v>
      </c>
    </row>
    <row r="384" spans="1:5" x14ac:dyDescent="0.2">
      <c r="A384" t="s">
        <v>225</v>
      </c>
      <c r="B384" t="s">
        <v>763</v>
      </c>
      <c r="C384" t="str">
        <f>IF(ISERROR(MATCH(A384,'SegEnds_Xtal_Prot#'!B:B, 0)), "NoXtal", "Xtal")</f>
        <v>NoXtal</v>
      </c>
      <c r="D384" t="str">
        <f t="shared" si="5"/>
        <v>human</v>
      </c>
      <c r="E384" t="str">
        <f>VLOOKUP(A384,Classification!A:B,2,FALSE)</f>
        <v>A</v>
      </c>
    </row>
    <row r="385" spans="1:5" x14ac:dyDescent="0.2">
      <c r="A385" t="s">
        <v>226</v>
      </c>
      <c r="B385" t="s">
        <v>764</v>
      </c>
      <c r="C385" t="str">
        <f>IF(ISERROR(MATCH(A385,'SegEnds_Xtal_Prot#'!B:B, 0)), "NoXtal", "Xtal")</f>
        <v>NoXtal</v>
      </c>
      <c r="D385" t="str">
        <f t="shared" si="5"/>
        <v>human</v>
      </c>
      <c r="E385" t="str">
        <f>VLOOKUP(A385,Classification!A:B,2,FALSE)</f>
        <v>A</v>
      </c>
    </row>
    <row r="386" spans="1:5" x14ac:dyDescent="0.2">
      <c r="A386" t="s">
        <v>227</v>
      </c>
      <c r="B386" t="s">
        <v>765</v>
      </c>
      <c r="C386" t="str">
        <f>IF(ISERROR(MATCH(A386,'SegEnds_Xtal_Prot#'!B:B, 0)), "NoXtal", "Xtal")</f>
        <v>NoXtal</v>
      </c>
      <c r="D386" t="str">
        <f t="shared" si="5"/>
        <v>human</v>
      </c>
      <c r="E386" t="str">
        <f>VLOOKUP(A386,Classification!A:B,2,FALSE)</f>
        <v>A</v>
      </c>
    </row>
    <row r="387" spans="1:5" x14ac:dyDescent="0.2">
      <c r="A387" t="s">
        <v>228</v>
      </c>
      <c r="B387" t="s">
        <v>766</v>
      </c>
      <c r="C387" t="str">
        <f>IF(ISERROR(MATCH(A387,'SegEnds_Xtal_Prot#'!B:B, 0)), "NoXtal", "Xtal")</f>
        <v>NoXtal</v>
      </c>
      <c r="D387" t="str">
        <f t="shared" si="5"/>
        <v>human</v>
      </c>
      <c r="E387" t="str">
        <f>VLOOKUP(A387,Classification!A:B,2,FALSE)</f>
        <v>A</v>
      </c>
    </row>
    <row r="388" spans="1:5" x14ac:dyDescent="0.2">
      <c r="A388" t="s">
        <v>229</v>
      </c>
      <c r="B388" t="s">
        <v>767</v>
      </c>
      <c r="C388" t="str">
        <f>IF(ISERROR(MATCH(A388,'SegEnds_Xtal_Prot#'!B:B, 0)), "NoXtal", "Xtal")</f>
        <v>NoXtal</v>
      </c>
      <c r="D388" t="str">
        <f t="shared" si="5"/>
        <v>human</v>
      </c>
      <c r="E388" t="str">
        <f>VLOOKUP(A388,Classification!A:B,2,FALSE)</f>
        <v>A</v>
      </c>
    </row>
    <row r="389" spans="1:5" x14ac:dyDescent="0.2">
      <c r="A389" t="s">
        <v>230</v>
      </c>
      <c r="B389" t="s">
        <v>768</v>
      </c>
      <c r="C389" t="str">
        <f>IF(ISERROR(MATCH(A389,'SegEnds_Xtal_Prot#'!B:B, 0)), "NoXtal", "Xtal")</f>
        <v>NoXtal</v>
      </c>
      <c r="D389" t="str">
        <f t="shared" si="5"/>
        <v>human</v>
      </c>
      <c r="E389" t="str">
        <f>VLOOKUP(A389,Classification!A:B,2,FALSE)</f>
        <v>A</v>
      </c>
    </row>
    <row r="390" spans="1:5" x14ac:dyDescent="0.2">
      <c r="A390" t="s">
        <v>231</v>
      </c>
      <c r="B390" t="s">
        <v>769</v>
      </c>
      <c r="C390" t="str">
        <f>IF(ISERROR(MATCH(A390,'SegEnds_Xtal_Prot#'!B:B, 0)), "NoXtal", "Xtal")</f>
        <v>NoXtal</v>
      </c>
      <c r="D390" t="str">
        <f t="shared" si="5"/>
        <v>human</v>
      </c>
      <c r="E390" t="str">
        <f>VLOOKUP(A390,Classification!A:B,2,FALSE)</f>
        <v>A</v>
      </c>
    </row>
    <row r="391" spans="1:5" x14ac:dyDescent="0.2">
      <c r="A391" t="s">
        <v>232</v>
      </c>
      <c r="B391" t="s">
        <v>770</v>
      </c>
      <c r="C391" t="str">
        <f>IF(ISERROR(MATCH(A391,'SegEnds_Xtal_Prot#'!B:B, 0)), "NoXtal", "Xtal")</f>
        <v>NoXtal</v>
      </c>
      <c r="D391" t="str">
        <f t="shared" ref="D391:D413" si="6">MID(A391,FIND("_",A391)+1,LEN(A391)-FIND("_",A391))</f>
        <v>human</v>
      </c>
      <c r="E391" t="str">
        <f>VLOOKUP(A391,Classification!A:B,2,FALSE)</f>
        <v>A</v>
      </c>
    </row>
    <row r="392" spans="1:5" x14ac:dyDescent="0.2">
      <c r="A392" t="s">
        <v>233</v>
      </c>
      <c r="B392" t="s">
        <v>771</v>
      </c>
      <c r="C392" t="str">
        <f>IF(ISERROR(MATCH(A392,'SegEnds_Xtal_Prot#'!B:B, 0)), "NoXtal", "Xtal")</f>
        <v>NoXtal</v>
      </c>
      <c r="D392" t="str">
        <f t="shared" si="6"/>
        <v>human</v>
      </c>
      <c r="E392" t="str">
        <f>VLOOKUP(A392,Classification!A:B,2,FALSE)</f>
        <v>A</v>
      </c>
    </row>
    <row r="393" spans="1:5" x14ac:dyDescent="0.2">
      <c r="A393" t="s">
        <v>282</v>
      </c>
      <c r="B393" t="s">
        <v>772</v>
      </c>
      <c r="C393" t="str">
        <f>IF(ISERROR(MATCH(A393,'SegEnds_Xtal_Prot#'!B:B, 0)), "NoXtal", "Xtal")</f>
        <v>NoXtal</v>
      </c>
      <c r="D393" t="str">
        <f t="shared" si="6"/>
        <v>human</v>
      </c>
      <c r="E393" t="str">
        <f>VLOOKUP(A393,Classification!A:B,2,FALSE)</f>
        <v>A</v>
      </c>
    </row>
    <row r="394" spans="1:5" x14ac:dyDescent="0.2">
      <c r="A394" t="s">
        <v>283</v>
      </c>
      <c r="B394" t="s">
        <v>773</v>
      </c>
      <c r="C394" t="str">
        <f>IF(ISERROR(MATCH(A394,'SegEnds_Xtal_Prot#'!B:B, 0)), "NoXtal", "Xtal")</f>
        <v>NoXtal</v>
      </c>
      <c r="D394" t="str">
        <f t="shared" si="6"/>
        <v>human</v>
      </c>
      <c r="E394" t="str">
        <f>VLOOKUP(A394,Classification!A:B,2,FALSE)</f>
        <v>A</v>
      </c>
    </row>
    <row r="395" spans="1:5" x14ac:dyDescent="0.2">
      <c r="A395" t="s">
        <v>284</v>
      </c>
      <c r="B395" t="s">
        <v>774</v>
      </c>
      <c r="C395" t="str">
        <f>IF(ISERROR(MATCH(A395,'SegEnds_Xtal_Prot#'!B:B, 0)), "NoXtal", "Xtal")</f>
        <v>NoXtal</v>
      </c>
      <c r="D395" t="str">
        <f t="shared" si="6"/>
        <v>human</v>
      </c>
      <c r="E395" t="str">
        <f>VLOOKUP(A395,Classification!A:B,2,FALSE)</f>
        <v>A</v>
      </c>
    </row>
    <row r="396" spans="1:5" x14ac:dyDescent="0.2">
      <c r="A396" t="s">
        <v>293</v>
      </c>
      <c r="B396" t="s">
        <v>775</v>
      </c>
      <c r="C396" t="str">
        <f>IF(ISERROR(MATCH(A396,'SegEnds_Xtal_Prot#'!B:B, 0)), "NoXtal", "Xtal")</f>
        <v>NoXtal</v>
      </c>
      <c r="D396" t="str">
        <f t="shared" si="6"/>
        <v>human</v>
      </c>
      <c r="E396" t="str">
        <f>VLOOKUP(A396,Classification!A:B,2,FALSE)</f>
        <v>A</v>
      </c>
    </row>
    <row r="397" spans="1:5" x14ac:dyDescent="0.2">
      <c r="A397" t="s">
        <v>294</v>
      </c>
      <c r="B397" t="s">
        <v>776</v>
      </c>
      <c r="C397" t="str">
        <f>IF(ISERROR(MATCH(A397,'SegEnds_Xtal_Prot#'!B:B, 0)), "NoXtal", "Xtal")</f>
        <v>NoXtal</v>
      </c>
      <c r="D397" t="str">
        <f t="shared" si="6"/>
        <v>human</v>
      </c>
      <c r="E397" t="str">
        <f>VLOOKUP(A397,Classification!A:B,2,FALSE)</f>
        <v>A</v>
      </c>
    </row>
    <row r="398" spans="1:5" x14ac:dyDescent="0.2">
      <c r="A398" t="s">
        <v>300</v>
      </c>
      <c r="B398" t="s">
        <v>777</v>
      </c>
      <c r="C398" t="str">
        <f>IF(ISERROR(MATCH(A398,'SegEnds_Xtal_Prot#'!B:B, 0)), "NoXtal", "Xtal")</f>
        <v>NoXtal</v>
      </c>
      <c r="D398" t="str">
        <f t="shared" si="6"/>
        <v>human</v>
      </c>
      <c r="E398" t="str">
        <f>VLOOKUP(A398,Classification!A:B,2,FALSE)</f>
        <v>A</v>
      </c>
    </row>
    <row r="399" spans="1:5" x14ac:dyDescent="0.2">
      <c r="A399" t="s">
        <v>301</v>
      </c>
      <c r="B399" t="s">
        <v>778</v>
      </c>
      <c r="C399" t="str">
        <f>IF(ISERROR(MATCH(A399,'SegEnds_Xtal_Prot#'!B:B, 0)), "NoXtal", "Xtal")</f>
        <v>NoXtal</v>
      </c>
      <c r="D399" t="str">
        <f t="shared" si="6"/>
        <v>human</v>
      </c>
      <c r="E399" t="str">
        <f>VLOOKUP(A399,Classification!A:B,2,FALSE)</f>
        <v>A</v>
      </c>
    </row>
    <row r="400" spans="1:5" x14ac:dyDescent="0.2">
      <c r="A400" t="s">
        <v>302</v>
      </c>
      <c r="B400" t="s">
        <v>779</v>
      </c>
      <c r="C400" t="str">
        <f>IF(ISERROR(MATCH(A400,'SegEnds_Xtal_Prot#'!B:B, 0)), "NoXtal", "Xtal")</f>
        <v>NoXtal</v>
      </c>
      <c r="D400" t="str">
        <f t="shared" si="6"/>
        <v>human</v>
      </c>
      <c r="E400" t="str">
        <f>VLOOKUP(A400,Classification!A:B,2,FALSE)</f>
        <v>A</v>
      </c>
    </row>
    <row r="401" spans="1:5" x14ac:dyDescent="0.2">
      <c r="A401" t="s">
        <v>303</v>
      </c>
      <c r="B401" t="s">
        <v>780</v>
      </c>
      <c r="C401" t="str">
        <f>IF(ISERROR(MATCH(A401,'SegEnds_Xtal_Prot#'!B:B, 0)), "NoXtal", "Xtal")</f>
        <v>NoXtal</v>
      </c>
      <c r="D401" t="str">
        <f t="shared" si="6"/>
        <v>human</v>
      </c>
      <c r="E401" t="str">
        <f>VLOOKUP(A401,Classification!A:B,2,FALSE)</f>
        <v>A</v>
      </c>
    </row>
    <row r="402" spans="1:5" x14ac:dyDescent="0.2">
      <c r="A402" t="s">
        <v>304</v>
      </c>
      <c r="B402" t="s">
        <v>781</v>
      </c>
      <c r="C402" t="str">
        <f>IF(ISERROR(MATCH(A402,'SegEnds_Xtal_Prot#'!B:B, 0)), "NoXtal", "Xtal")</f>
        <v>NoXtal</v>
      </c>
      <c r="D402" t="str">
        <f t="shared" si="6"/>
        <v>human</v>
      </c>
      <c r="E402" t="str">
        <f>VLOOKUP(A402,Classification!A:B,2,FALSE)</f>
        <v>A</v>
      </c>
    </row>
    <row r="403" spans="1:5" x14ac:dyDescent="0.2">
      <c r="A403" t="s">
        <v>305</v>
      </c>
      <c r="B403" t="s">
        <v>782</v>
      </c>
      <c r="C403" t="str">
        <f>IF(ISERROR(MATCH(A403,'SegEnds_Xtal_Prot#'!B:B, 0)), "NoXtal", "Xtal")</f>
        <v>NoXtal</v>
      </c>
      <c r="D403" t="str">
        <f t="shared" si="6"/>
        <v>human</v>
      </c>
      <c r="E403" t="str">
        <f>VLOOKUP(A403,Classification!A:B,2,FALSE)</f>
        <v>A</v>
      </c>
    </row>
    <row r="404" spans="1:5" x14ac:dyDescent="0.2">
      <c r="A404" t="s">
        <v>306</v>
      </c>
      <c r="B404" t="s">
        <v>783</v>
      </c>
      <c r="C404" t="str">
        <f>IF(ISERROR(MATCH(A404,'SegEnds_Xtal_Prot#'!B:B, 0)), "NoXtal", "Xtal")</f>
        <v>NoXtal</v>
      </c>
      <c r="D404" t="str">
        <f t="shared" si="6"/>
        <v>human</v>
      </c>
      <c r="E404" t="str">
        <f>VLOOKUP(A404,Classification!A:B,2,FALSE)</f>
        <v>A</v>
      </c>
    </row>
    <row r="405" spans="1:5" x14ac:dyDescent="0.2">
      <c r="A405" t="s">
        <v>307</v>
      </c>
      <c r="B405" t="s">
        <v>784</v>
      </c>
      <c r="C405" t="str">
        <f>IF(ISERROR(MATCH(A405,'SegEnds_Xtal_Prot#'!B:B, 0)), "NoXtal", "Xtal")</f>
        <v>NoXtal</v>
      </c>
      <c r="D405" t="str">
        <f t="shared" si="6"/>
        <v>human</v>
      </c>
      <c r="E405" t="str">
        <f>VLOOKUP(A405,Classification!A:B,2,FALSE)</f>
        <v>A</v>
      </c>
    </row>
    <row r="406" spans="1:5" x14ac:dyDescent="0.2">
      <c r="A406" t="s">
        <v>348</v>
      </c>
      <c r="B406" t="s">
        <v>785</v>
      </c>
      <c r="C406" t="str">
        <f>IF(ISERROR(MATCH(A406,'SegEnds_Xtal_Prot#'!B:B, 0)), "NoXtal", "Xtal")</f>
        <v>NoXtal</v>
      </c>
      <c r="D406" t="str">
        <f t="shared" si="6"/>
        <v>human</v>
      </c>
      <c r="E406" t="str">
        <f>VLOOKUP(A406,Classification!A:B,2,FALSE)</f>
        <v>A</v>
      </c>
    </row>
    <row r="407" spans="1:5" x14ac:dyDescent="0.2">
      <c r="A407" t="s">
        <v>349</v>
      </c>
      <c r="B407" t="s">
        <v>786</v>
      </c>
      <c r="C407" t="str">
        <f>IF(ISERROR(MATCH(A407,'SegEnds_Xtal_Prot#'!B:B, 0)), "NoXtal", "Xtal")</f>
        <v>NoXtal</v>
      </c>
      <c r="D407" t="str">
        <f t="shared" si="6"/>
        <v>human</v>
      </c>
      <c r="E407" t="str">
        <f>VLOOKUP(A407,Classification!A:B,2,FALSE)</f>
        <v>A</v>
      </c>
    </row>
    <row r="408" spans="1:5" x14ac:dyDescent="0.2">
      <c r="A408" t="s">
        <v>387</v>
      </c>
      <c r="B408" t="s">
        <v>787</v>
      </c>
      <c r="C408" t="str">
        <f>IF(ISERROR(MATCH(A408,'SegEnds_Xtal_Prot#'!B:B, 0)), "NoXtal", "Xtal")</f>
        <v>NoXtal</v>
      </c>
      <c r="D408" t="str">
        <f t="shared" si="6"/>
        <v>human</v>
      </c>
      <c r="E408" t="str">
        <f>VLOOKUP(A408,Classification!A:B,2,FALSE)</f>
        <v>A</v>
      </c>
    </row>
    <row r="409" spans="1:5" x14ac:dyDescent="0.2">
      <c r="A409" t="s">
        <v>388</v>
      </c>
      <c r="B409" t="s">
        <v>788</v>
      </c>
      <c r="C409" t="str">
        <f>IF(ISERROR(MATCH(A409,'SegEnds_Xtal_Prot#'!B:B, 0)), "NoXtal", "Xtal")</f>
        <v>NoXtal</v>
      </c>
      <c r="D409" t="str">
        <f t="shared" si="6"/>
        <v>human</v>
      </c>
      <c r="E409" t="str">
        <f>VLOOKUP(A409,Classification!A:B,2,FALSE)</f>
        <v>A</v>
      </c>
    </row>
    <row r="410" spans="1:5" x14ac:dyDescent="0.2">
      <c r="A410" t="s">
        <v>389</v>
      </c>
      <c r="B410" t="s">
        <v>789</v>
      </c>
      <c r="C410" t="str">
        <f>IF(ISERROR(MATCH(A410,'SegEnds_Xtal_Prot#'!B:B, 0)), "NoXtal", "Xtal")</f>
        <v>NoXtal</v>
      </c>
      <c r="D410" t="str">
        <f t="shared" si="6"/>
        <v>human</v>
      </c>
      <c r="E410" t="str">
        <f>VLOOKUP(A410,Classification!A:B,2,FALSE)</f>
        <v>A</v>
      </c>
    </row>
    <row r="411" spans="1:5" x14ac:dyDescent="0.2">
      <c r="A411" t="s">
        <v>390</v>
      </c>
      <c r="B411" t="s">
        <v>790</v>
      </c>
      <c r="C411" t="str">
        <f>IF(ISERROR(MATCH(A411,'SegEnds_Xtal_Prot#'!B:B, 0)), "NoXtal", "Xtal")</f>
        <v>NoXtal</v>
      </c>
      <c r="D411" t="str">
        <f t="shared" si="6"/>
        <v>human</v>
      </c>
      <c r="E411" t="str">
        <f>VLOOKUP(A411,Classification!A:B,2,FALSE)</f>
        <v>A</v>
      </c>
    </row>
    <row r="412" spans="1:5" x14ac:dyDescent="0.2">
      <c r="A412" t="s">
        <v>391</v>
      </c>
      <c r="B412" t="s">
        <v>791</v>
      </c>
      <c r="C412" t="str">
        <f>IF(ISERROR(MATCH(A412,'SegEnds_Xtal_Prot#'!B:B, 0)), "NoXtal", "Xtal")</f>
        <v>NoXtal</v>
      </c>
      <c r="D412" t="str">
        <f t="shared" si="6"/>
        <v>human</v>
      </c>
      <c r="E412" t="str">
        <f>VLOOKUP(A412,Classification!A:B,2,FALSE)</f>
        <v>A</v>
      </c>
    </row>
    <row r="413" spans="1:5" x14ac:dyDescent="0.2">
      <c r="A413" t="s">
        <v>392</v>
      </c>
      <c r="B413" t="s">
        <v>792</v>
      </c>
      <c r="C413" t="str">
        <f>IF(ISERROR(MATCH(A413,'SegEnds_Xtal_Prot#'!B:B, 0)), "NoXtal", "Xtal")</f>
        <v>NoXtal</v>
      </c>
      <c r="D413" t="str">
        <f t="shared" si="6"/>
        <v>human</v>
      </c>
      <c r="E413" t="str">
        <f>VLOOKUP(A413,Classification!A:B,2,FALSE)</f>
        <v>A</v>
      </c>
    </row>
    <row r="414" spans="1:5" x14ac:dyDescent="0.2">
      <c r="A414" t="s">
        <v>1588</v>
      </c>
      <c r="B414" t="s">
        <v>1590</v>
      </c>
      <c r="C414" t="str">
        <f>IF(ISERROR(MATCH(A414,'SegEnds_Xtal_Prot#'!B:B, 0)), "NoXtal", "Xtal")</f>
        <v>Xtal</v>
      </c>
      <c r="D414" t="str">
        <f t="shared" ref="D414" si="7">MID(A414,FIND("_",A414)+1,LEN(A414)-FIND("_",A414))</f>
        <v>mouse</v>
      </c>
      <c r="E414" t="str">
        <f>VLOOKUP(A414,Classification!A:B,2,FALSE)</f>
        <v>F</v>
      </c>
    </row>
    <row r="415" spans="1:5" x14ac:dyDescent="0.2">
      <c r="A415" t="s">
        <v>1591</v>
      </c>
      <c r="B415" t="s">
        <v>1593</v>
      </c>
      <c r="C415" t="str">
        <f>IF(ISERROR(MATCH(A415,'SegEnds_Xtal_Prot#'!B:B, 0)), "NoXtal", "Xtal")</f>
        <v>Xtal</v>
      </c>
      <c r="D415" t="str">
        <f t="shared" ref="D415:D416" si="8">MID(A415,FIND("_",A415)+1,LEN(A415)-FIND("_",A415))</f>
        <v>rat</v>
      </c>
      <c r="E415" t="str">
        <f>VLOOKUP(A415,Classification!A:B,2,FALSE)</f>
        <v>A</v>
      </c>
    </row>
    <row r="416" spans="1:5" x14ac:dyDescent="0.2">
      <c r="A416" t="s">
        <v>1631</v>
      </c>
      <c r="B416" t="s">
        <v>1632</v>
      </c>
      <c r="C416" t="str">
        <f>IF(ISERROR(MATCH(A416,'SegEnds_Xtal_Prot#'!B:B, 0)), "NoXtal", "Xtal")</f>
        <v>NoXtal</v>
      </c>
      <c r="D416" t="str">
        <f t="shared" si="8"/>
        <v>human</v>
      </c>
      <c r="E416" t="str">
        <f>VLOOKUP(A416,Classification!A:B,2,FALSE)</f>
        <v>A</v>
      </c>
    </row>
    <row r="417" spans="1:5" x14ac:dyDescent="0.2">
      <c r="A417" t="s">
        <v>1634</v>
      </c>
      <c r="B417" t="s">
        <v>1635</v>
      </c>
      <c r="C417" t="str">
        <f>IF(ISERROR(MATCH(A417,'SegEnds_Xtal_Prot#'!B:B, 0)), "NoXtal", "Xtal")</f>
        <v>NoXtal</v>
      </c>
      <c r="D417" t="str">
        <f t="shared" ref="D417" si="9">MID(A417,FIND("_",A417)+1,LEN(A417)-FIND("_",A417))</f>
        <v>human</v>
      </c>
      <c r="E417" t="str">
        <f>VLOOKUP(A417,Classification!A:B,2,FALSE)</f>
        <v>A</v>
      </c>
    </row>
    <row r="418" spans="1:5" x14ac:dyDescent="0.2">
      <c r="A418" t="s">
        <v>1636</v>
      </c>
      <c r="B418" t="s">
        <v>1637</v>
      </c>
      <c r="C418" t="str">
        <f>IF(ISERROR(MATCH(A418,'SegEnds_Xtal_Prot#'!B:B, 0)), "NoXtal", "Xtal")</f>
        <v>NoXtal</v>
      </c>
      <c r="D418" t="str">
        <f t="shared" ref="D418" si="10">MID(A418,FIND("_",A418)+1,LEN(A418)-FIND("_",A418))</f>
        <v>human</v>
      </c>
      <c r="E418" t="str">
        <f>VLOOKUP(A418,Classification!A:B,2,FALSE)</f>
        <v>A</v>
      </c>
    </row>
  </sheetData>
  <sortState xmlns:xlrd2="http://schemas.microsoft.com/office/spreadsheetml/2017/richdata2" ref="A2:E408">
    <sortCondition descending="1" ref="E2:E408"/>
  </sortState>
  <customSheetViews>
    <customSheetView guid="{3E3401AF-8459-8641-BD70-AD04F80E86ED}">
      <pane ySplit="1" topLeftCell="A4" activePane="bottomLeft" state="frozenSplit"/>
      <selection pane="bottomLeft" activeCell="K33" sqref="K33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A406"/>
  <sheetViews>
    <sheetView zoomScale="135" zoomScaleNormal="135" zoomScalePageLayoutView="135" workbookViewId="0">
      <pane ySplit="1" topLeftCell="A105" activePane="bottomLeft" state="frozenSplit"/>
      <selection pane="bottomLeft" activeCell="A130" sqref="A130"/>
    </sheetView>
  </sheetViews>
  <sheetFormatPr baseColWidth="10" defaultColWidth="10.83203125" defaultRowHeight="16" x14ac:dyDescent="0.2"/>
  <cols>
    <col min="1" max="1" width="11.6640625" style="1" customWidth="1"/>
    <col min="2" max="2" width="14.5" style="1" customWidth="1"/>
    <col min="3" max="3" width="5.6640625" style="5" customWidth="1"/>
    <col min="4" max="4" width="2.6640625" style="4" customWidth="1"/>
    <col min="5" max="5" width="5.83203125" style="5" bestFit="1" customWidth="1"/>
    <col min="6" max="6" width="4.83203125" style="5" customWidth="1"/>
    <col min="7" max="7" width="3.83203125" style="4" customWidth="1"/>
    <col min="8" max="8" width="4.83203125" style="4" customWidth="1"/>
    <col min="9" max="9" width="4.5" style="4" customWidth="1"/>
    <col min="10" max="10" width="4.83203125" style="4" customWidth="1"/>
    <col min="11" max="11" width="3.83203125" style="4" customWidth="1"/>
    <col min="12" max="12" width="4.83203125" style="4" customWidth="1"/>
    <col min="13" max="13" width="4.5" style="4" customWidth="1"/>
    <col min="14" max="17" width="4.83203125" style="4" customWidth="1"/>
    <col min="18" max="18" width="5.1640625" style="5" bestFit="1" customWidth="1"/>
    <col min="19" max="19" width="5.1640625" style="1" customWidth="1"/>
    <col min="20" max="20" width="5.1640625" style="1" bestFit="1" customWidth="1"/>
    <col min="21" max="21" width="4.1640625" style="1" bestFit="1" customWidth="1"/>
    <col min="22" max="22" width="5.1640625" style="1" bestFit="1" customWidth="1"/>
    <col min="23" max="23" width="4.1640625" style="1" bestFit="1" customWidth="1"/>
    <col min="24" max="24" width="5.1640625" style="1" bestFit="1" customWidth="1"/>
    <col min="25" max="25" width="5.1640625" style="1" customWidth="1"/>
    <col min="26" max="29" width="5.1640625" style="1" bestFit="1" customWidth="1"/>
    <col min="30" max="30" width="5.1640625" style="5" bestFit="1" customWidth="1"/>
    <col min="31" max="31" width="5.1640625" style="1" customWidth="1"/>
    <col min="32" max="32" width="5.1640625" style="1" bestFit="1" customWidth="1"/>
    <col min="33" max="33" width="4.1640625" style="1" bestFit="1" customWidth="1"/>
    <col min="34" max="34" width="5.1640625" style="1" bestFit="1" customWidth="1"/>
    <col min="35" max="35" width="4.1640625" style="1" bestFit="1" customWidth="1"/>
    <col min="36" max="36" width="5.1640625" style="1" bestFit="1" customWidth="1"/>
    <col min="37" max="37" width="5.1640625" style="1" customWidth="1"/>
    <col min="38" max="38" width="5.6640625" style="1" bestFit="1" customWidth="1"/>
    <col min="39" max="41" width="5.1640625" style="1" bestFit="1" customWidth="1"/>
    <col min="42" max="42" width="4.6640625" style="5" bestFit="1" customWidth="1"/>
    <col min="43" max="43" width="5.1640625" style="4" bestFit="1" customWidth="1"/>
    <col min="44" max="44" width="4.6640625" style="4" bestFit="1" customWidth="1"/>
    <col min="45" max="45" width="5.6640625" style="4" bestFit="1" customWidth="1"/>
    <col min="46" max="46" width="4.6640625" style="4" bestFit="1" customWidth="1"/>
    <col min="47" max="47" width="5.1640625" style="4" bestFit="1" customWidth="1"/>
    <col min="48" max="48" width="4.6640625" style="4" bestFit="1" customWidth="1"/>
    <col min="49" max="49" width="5.6640625" style="4" bestFit="1" customWidth="1"/>
    <col min="50" max="53" width="4.6640625" style="4" bestFit="1" customWidth="1"/>
    <col min="54" max="16384" width="10.83203125" style="1"/>
  </cols>
  <sheetData>
    <row r="1" spans="1:53" s="7" customFormat="1" x14ac:dyDescent="0.2">
      <c r="A1" s="8" t="s">
        <v>31</v>
      </c>
      <c r="B1" s="8" t="s">
        <v>1219</v>
      </c>
      <c r="C1" s="31" t="s">
        <v>1220</v>
      </c>
      <c r="D1" s="30" t="s">
        <v>99</v>
      </c>
      <c r="E1" s="26" t="s">
        <v>1218</v>
      </c>
      <c r="F1" s="26" t="s">
        <v>3</v>
      </c>
      <c r="G1" s="30" t="s">
        <v>1202</v>
      </c>
      <c r="H1" s="30" t="s">
        <v>4</v>
      </c>
      <c r="I1" s="30" t="s">
        <v>1204</v>
      </c>
      <c r="J1" s="30" t="s">
        <v>6</v>
      </c>
      <c r="K1" s="30" t="s">
        <v>1203</v>
      </c>
      <c r="L1" s="30" t="s">
        <v>7</v>
      </c>
      <c r="M1" s="30" t="s">
        <v>1205</v>
      </c>
      <c r="N1" s="30" t="s">
        <v>8</v>
      </c>
      <c r="O1" s="30" t="s">
        <v>10</v>
      </c>
      <c r="P1" s="30" t="s">
        <v>11</v>
      </c>
      <c r="Q1" s="30" t="s">
        <v>1201</v>
      </c>
      <c r="R1" s="26" t="s">
        <v>1054</v>
      </c>
      <c r="S1" s="8" t="s">
        <v>1071</v>
      </c>
      <c r="T1" s="8" t="s">
        <v>1056</v>
      </c>
      <c r="U1" s="8" t="s">
        <v>1073</v>
      </c>
      <c r="V1" s="8" t="s">
        <v>1058</v>
      </c>
      <c r="W1" s="8" t="s">
        <v>1086</v>
      </c>
      <c r="X1" s="8" t="s">
        <v>1060</v>
      </c>
      <c r="Y1" s="8" t="s">
        <v>1089</v>
      </c>
      <c r="Z1" s="8" t="s">
        <v>1062</v>
      </c>
      <c r="AA1" s="8" t="s">
        <v>1064</v>
      </c>
      <c r="AB1" s="8" t="s">
        <v>1066</v>
      </c>
      <c r="AC1" s="8" t="s">
        <v>1068</v>
      </c>
      <c r="AD1" s="26" t="s">
        <v>1055</v>
      </c>
      <c r="AE1" s="8" t="s">
        <v>1072</v>
      </c>
      <c r="AF1" s="8" t="s">
        <v>1057</v>
      </c>
      <c r="AG1" s="8" t="s">
        <v>1074</v>
      </c>
      <c r="AH1" s="8" t="s">
        <v>1059</v>
      </c>
      <c r="AI1" s="8" t="s">
        <v>1087</v>
      </c>
      <c r="AJ1" s="8" t="s">
        <v>1061</v>
      </c>
      <c r="AK1" s="8" t="s">
        <v>1090</v>
      </c>
      <c r="AL1" s="8" t="s">
        <v>1063</v>
      </c>
      <c r="AM1" s="8" t="s">
        <v>1065</v>
      </c>
      <c r="AN1" s="8" t="s">
        <v>1067</v>
      </c>
      <c r="AO1" s="8" t="s">
        <v>1069</v>
      </c>
      <c r="AP1" s="26" t="s">
        <v>1206</v>
      </c>
      <c r="AQ1" s="30" t="s">
        <v>1207</v>
      </c>
      <c r="AR1" s="30" t="s">
        <v>1208</v>
      </c>
      <c r="AS1" s="30" t="s">
        <v>1209</v>
      </c>
      <c r="AT1" s="30" t="s">
        <v>1210</v>
      </c>
      <c r="AU1" s="30" t="s">
        <v>1211</v>
      </c>
      <c r="AV1" s="30" t="s">
        <v>1212</v>
      </c>
      <c r="AW1" s="30" t="s">
        <v>1213</v>
      </c>
      <c r="AX1" s="30" t="s">
        <v>1214</v>
      </c>
      <c r="AY1" s="30" t="s">
        <v>1215</v>
      </c>
      <c r="AZ1" s="30" t="s">
        <v>1216</v>
      </c>
      <c r="BA1" s="30" t="s">
        <v>1217</v>
      </c>
    </row>
    <row r="2" spans="1:53" x14ac:dyDescent="0.2">
      <c r="A2" s="1" t="str">
        <f>'SegEnds_NonXtal_Prot#'!A5</f>
        <v>npsr1_human</v>
      </c>
      <c r="B2" s="1" t="str">
        <f t="shared" ref="B2:B65" si="0">F2&amp;H2&amp;J2&amp;L2&amp;N2&amp;O2&amp;P2&amp;Q2</f>
        <v>TEQLITLWVLFVFTIVGNSVVLFSTWRRSRMTFFVTQLAITDSFTGLVNILTDINWRFTGPDLVCRVVRYLQVVLLYASTYVLVSLSIDRYHAIVYGEKQARVLIVIAWSLSFLFSIPTLIIFGKRWTPYMTIVAFLVYFIPLTIISIMYGIVIRTIWIKSKTYETVIGLISKAKIKAIKYSIIIILAFICCWSPYFLFDILDNFNDTQERFYASVIIQNLPALNSAINPLIYCVFSSSISFPCREQRSQ</v>
      </c>
      <c r="C2" s="29" t="str">
        <f>IF(ISERROR(MATCH(A2,'SegEnds_Xtal_Prot#'!B:B, 0)), "NoXtal", "Xtal")</f>
        <v>NoXtal</v>
      </c>
      <c r="D2" s="4" t="str">
        <f>VLOOKUP(A2,Classification!A:D,2,FALSE)</f>
        <v>A</v>
      </c>
      <c r="E2" s="5" t="str">
        <f>VLOOKUP(A2,Seqs!A:B,2,FALSE)</f>
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</c>
      <c r="F2" s="5" t="str">
        <f t="shared" ref="F2:F65" si="1">IFERROR(MID($E2,R2,(AP2+1)),"")</f>
        <v>TEQLITLWVLFVFTIVGNSVVLFSTWRR</v>
      </c>
      <c r="G2" s="4" t="str">
        <f t="shared" ref="G2:G65" si="2">IFERROR(MID($E2,S2,(AQ2+1)),"")</f>
        <v/>
      </c>
      <c r="H2" s="4" t="str">
        <f t="shared" ref="H2:H65" si="3">IFERROR(MID($E2,T2,(AR2+1)),"")</f>
        <v>SRMTFFVTQLAITDSFTGLVNILTDINWRFTG</v>
      </c>
      <c r="I2" s="4" t="str">
        <f t="shared" ref="I2:I65" si="4">IFERROR(MID($E2,U2,(AS2+1)),"")</f>
        <v>DFTA</v>
      </c>
      <c r="J2" s="4" t="str">
        <f t="shared" ref="J2:J65" si="5">IFERROR(MID($E2,V2,(AT2+1)),"")</f>
        <v>PDLVCRVVRYLQVVLLYASTYVLVSLSIDRYHAIVY</v>
      </c>
      <c r="K2" s="4" t="str">
        <f t="shared" ref="K2:K65" si="6">IFERROR(MID($E2,W2,(AU2+1)),"")</f>
        <v>PMKF</v>
      </c>
      <c r="L2" s="4" t="str">
        <f t="shared" ref="L2:L65" si="7">IFERROR(MID($E2,X2,(AV2+1)),"")</f>
        <v>GEKQARVLIVIAWSLSFLFSIPTLIIFGKR</v>
      </c>
      <c r="M2" s="4" t="str">
        <f t="shared" ref="M2:M65" si="8">IFERROR(MID($E2,Y2,(AW2+1)),"")</f>
        <v>CWA</v>
      </c>
      <c r="N2" s="4" t="str">
        <f t="shared" ref="N2:N65" si="9">IFERROR(MID($E2,Z2,(AX2+1)),"")</f>
        <v>WTPYMTIVAFLVYFIPLTIISIMYGIVIRTIWIKSKTYETVI</v>
      </c>
      <c r="O2" s="4" t="str">
        <f t="shared" ref="O2:O65" si="10">IFERROR(MID($E2,AA2,(AY2+1)),"")</f>
        <v>GLISKAKIKAIKYSIIIILAFICCWSPYFLFDILDNFN</v>
      </c>
      <c r="P2" s="4" t="str">
        <f t="shared" ref="P2:P65" si="11">IFERROR(MID($E2,AB2,(AZ2+1)),"")</f>
        <v>DTQERFYASVIIQNLPALNSAINPLIYCVF</v>
      </c>
      <c r="Q2" s="4" t="str">
        <f t="shared" ref="Q2:Q65" si="12">IFERROR(MID($E2,AC2,(BA2+1)),"")</f>
        <v>SSSISFPCREQRSQ</v>
      </c>
      <c r="R2" s="5">
        <f>VLOOKUP($A2,'SegEnds_NonXtal_Prot#'!$A:$AL,3,FALSE)</f>
        <v>50</v>
      </c>
      <c r="S2" s="5" t="str">
        <f>VLOOKUP($A2,'SegEnds_NonXtal_Prot#'!$A:$AL,6,FALSE)</f>
        <v>-</v>
      </c>
      <c r="T2" s="5">
        <f>VLOOKUP($A2,'SegEnds_NonXtal_Prot#'!$A:$AL,9,FALSE)</f>
        <v>81</v>
      </c>
      <c r="U2" s="5">
        <f>VLOOKUP($A2,'SegEnds_NonXtal_Prot#'!$A:$AL,12,FALSE)</f>
        <v>113</v>
      </c>
      <c r="V2" s="5">
        <f>VLOOKUP($A2,'SegEnds_NonXtal_Prot#'!$A:$AL,15,FALSE)</f>
        <v>117</v>
      </c>
      <c r="W2" s="5">
        <f>VLOOKUP($A2,'SegEnds_NonXtal_Prot#'!$A:$AL,18,FALSE)</f>
        <v>153</v>
      </c>
      <c r="X2" s="5">
        <f>VLOOKUP($A2,'SegEnds_NonXtal_Prot#'!$A:$AL,21,FALSE)</f>
        <v>159</v>
      </c>
      <c r="Y2" s="5">
        <f>VLOOKUP($A2,'SegEnds_NonXtal_Prot#'!$A:$AL,24,FALSE)</f>
        <v>197</v>
      </c>
      <c r="Z2" s="5">
        <f>VLOOKUP($A2,'SegEnds_NonXtal_Prot#'!$A:$AL,27,FALSE)</f>
        <v>207</v>
      </c>
      <c r="AA2" s="5">
        <f>VLOOKUP($A2,'SegEnds_NonXtal_Prot#'!$A:$AL,30,FALSE)</f>
        <v>263</v>
      </c>
      <c r="AB2" s="5">
        <f>VLOOKUP($A2,'SegEnds_NonXtal_Prot#'!$A:$AL,33,FALSE)</f>
        <v>304</v>
      </c>
      <c r="AC2" s="5">
        <f>VLOOKUP($A2,'SegEnds_NonXtal_Prot#'!$A:$AL,36,FALSE)</f>
        <v>334</v>
      </c>
      <c r="AD2" s="5">
        <f>VLOOKUP($A2,'SegEnds_NonXtal_Prot#'!$A:$AL,5,FALSE)</f>
        <v>77</v>
      </c>
      <c r="AE2" s="5" t="str">
        <f>VLOOKUP($A2,'SegEnds_NonXtal_Prot#'!$A:$AL,8,FALSE)</f>
        <v>-</v>
      </c>
      <c r="AF2" s="5">
        <f>VLOOKUP($A2,'SegEnds_NonXtal_Prot#'!$A:$AL,11,FALSE)</f>
        <v>112</v>
      </c>
      <c r="AG2" s="5">
        <f>VLOOKUP($A2,'SegEnds_NonXtal_Prot#'!$A:$AL,14,FALSE)</f>
        <v>116</v>
      </c>
      <c r="AH2" s="5">
        <f>VLOOKUP($A2,'SegEnds_NonXtal_Prot#'!$A:$AL,17,FALSE)</f>
        <v>152</v>
      </c>
      <c r="AI2" s="5">
        <f>VLOOKUP($A2,'SegEnds_NonXtal_Prot#'!$A:$AL,20,FALSE)</f>
        <v>156</v>
      </c>
      <c r="AJ2" s="5">
        <f>VLOOKUP($A2,'SegEnds_NonXtal_Prot#'!$A:$AL,23,FALSE)</f>
        <v>188</v>
      </c>
      <c r="AK2" s="5">
        <f>VLOOKUP($A2,'SegEnds_NonXtal_Prot#'!$A:$AL,26,FALSE)</f>
        <v>199</v>
      </c>
      <c r="AL2" s="5">
        <f>VLOOKUP($A2,'SegEnds_NonXtal_Prot#'!$A:$AL,29,FALSE)</f>
        <v>248</v>
      </c>
      <c r="AM2" s="5">
        <f>VLOOKUP($A2,'SegEnds_NonXtal_Prot#'!$A:$AL,32,FALSE)</f>
        <v>300</v>
      </c>
      <c r="AN2" s="5">
        <f>VLOOKUP($A2,'SegEnds_NonXtal_Prot#'!$A:$AL,35,FALSE)</f>
        <v>333</v>
      </c>
      <c r="AO2" s="5">
        <f>VLOOKUP($A2,'SegEnds_NonXtal_Prot#'!$A:$AL,38,FALSE)</f>
        <v>347</v>
      </c>
      <c r="AP2" s="5">
        <f t="shared" ref="AP2:AP65" si="13">IFERROR(AD2-R2,"-")</f>
        <v>27</v>
      </c>
      <c r="AQ2" s="4" t="str">
        <f t="shared" ref="AQ2:AQ65" si="14">IFERROR(AE2-S2,"-")</f>
        <v>-</v>
      </c>
      <c r="AR2" s="4">
        <f t="shared" ref="AR2:AR65" si="15">IFERROR(AF2-T2,"-")</f>
        <v>31</v>
      </c>
      <c r="AS2" s="4">
        <f t="shared" ref="AS2:AS65" si="16">IFERROR(AG2-U2,"-")</f>
        <v>3</v>
      </c>
      <c r="AT2" s="4">
        <f t="shared" ref="AT2:AT65" si="17">IFERROR(AH2-V2,"-")</f>
        <v>35</v>
      </c>
      <c r="AU2" s="4">
        <f t="shared" ref="AU2:AU65" si="18">IFERROR(AI2-W2,"-")</f>
        <v>3</v>
      </c>
      <c r="AV2" s="4">
        <f t="shared" ref="AV2:AV65" si="19">IFERROR(AJ2-X2,"-")</f>
        <v>29</v>
      </c>
      <c r="AW2" s="4">
        <f t="shared" ref="AW2:AW65" si="20">IFERROR(AK2-Y2,"-")</f>
        <v>2</v>
      </c>
      <c r="AX2" s="4">
        <f t="shared" ref="AX2:AX65" si="21">IFERROR(AL2-Z2,"-")</f>
        <v>41</v>
      </c>
      <c r="AY2" s="4">
        <f t="shared" ref="AY2:AY65" si="22">IFERROR(AM2-AA2,"-")</f>
        <v>37</v>
      </c>
      <c r="AZ2" s="4">
        <f t="shared" ref="AZ2:AZ65" si="23">IFERROR(AN2-AB2,"-")</f>
        <v>29</v>
      </c>
      <c r="BA2" s="4">
        <f t="shared" ref="BA2:BA65" si="24">IFERROR(AO2-AC2,"-")</f>
        <v>13</v>
      </c>
    </row>
    <row r="3" spans="1:53" x14ac:dyDescent="0.2">
      <c r="A3" s="1" t="str">
        <f>'SegEnds_NonXtal_Prot#'!A12</f>
        <v>gp139_human</v>
      </c>
      <c r="B3" s="1" t="str">
        <f t="shared" si="0"/>
        <v>FVPVVYYSLLLCLGLPANILTVIILSQLKSSYNYLLALAAADILVLFFIVFVDFLLEDFMQMPQVPDKIIEVLEFSSIHTSIWITVPLTIDRYIAVCHSYPARTRKVIVSVYITCFLTSIPYYWWPNIHHVLIWIHCFTVYLVPCSIFFILNSIIVYKLRRKRLRGYSTGKTTAILFTITSIFATLWAPRIIMILYHLYGNRWLVHIMSDIANMLALLNTAINFFLYCFISKRFRTMAAATLKA</v>
      </c>
      <c r="C3" s="29" t="str">
        <f>IF(ISERROR(MATCH(A3,'SegEnds_Xtal_Prot#'!B:B, 0)), "NoXtal", "Xtal")</f>
        <v>NoXtal</v>
      </c>
      <c r="D3" s="4" t="str">
        <f>VLOOKUP(A3,Classification!A:D,2,FALSE)</f>
        <v>A</v>
      </c>
      <c r="E3" s="5" t="str">
        <f>VLOOKUP(A3,Seqs!A:B,2,FALSE)</f>
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</c>
      <c r="F3" s="5" t="str">
        <f t="shared" si="1"/>
        <v>FVPVVYYSLLLCLGLPANILTVIILSQL</v>
      </c>
      <c r="G3" s="4" t="str">
        <f t="shared" si="2"/>
        <v/>
      </c>
      <c r="H3" s="4" t="str">
        <f t="shared" si="3"/>
        <v>KSSYNYLLALAAADILVLFFIVFVDFLLEDF</v>
      </c>
      <c r="I3" s="4" t="str">
        <f t="shared" si="4"/>
        <v/>
      </c>
      <c r="J3" s="4" t="str">
        <f t="shared" si="5"/>
        <v>MQMPQVPDKIIEVLEFSSIHTSIWITVPLTIDRYIAVCH</v>
      </c>
      <c r="K3" s="4" t="str">
        <f t="shared" si="6"/>
        <v>PLKYHTV</v>
      </c>
      <c r="L3" s="4" t="str">
        <f t="shared" si="7"/>
        <v>SYPARTRKVIVSVYITCFLTSIPYYWWPNI</v>
      </c>
      <c r="M3" s="4" t="str">
        <f t="shared" si="8"/>
        <v/>
      </c>
      <c r="N3" s="4" t="str">
        <f t="shared" si="9"/>
        <v>HHVLIWIHCFTVYLVPCSIFFILNSIIVYKLRRK</v>
      </c>
      <c r="O3" s="4" t="str">
        <f t="shared" si="10"/>
        <v>RLRGYSTGKTTAILFTITSIFATLWAPRIIMILYHLYG</v>
      </c>
      <c r="P3" s="4" t="str">
        <f t="shared" si="11"/>
        <v>NRWLVHIMSDIANMLALLNTAINFFLYCFI</v>
      </c>
      <c r="Q3" s="4" t="str">
        <f t="shared" si="12"/>
        <v>SKRFRTMAAATLKA</v>
      </c>
      <c r="R3" s="5">
        <f>VLOOKUP($A3,'SegEnds_NonXtal_Prot#'!$A:$AL,3,FALSE)</f>
        <v>27</v>
      </c>
      <c r="S3" s="5" t="str">
        <f>VLOOKUP($A3,'SegEnds_NonXtal_Prot#'!$A:$AL,6,FALSE)</f>
        <v>-</v>
      </c>
      <c r="T3" s="5">
        <f>VLOOKUP($A3,'SegEnds_NonXtal_Prot#'!$A:$AL,9,FALSE)</f>
        <v>60</v>
      </c>
      <c r="U3" s="5" t="str">
        <f>VLOOKUP($A3,'SegEnds_NonXtal_Prot#'!$A:$AL,12,FALSE)</f>
        <v>-</v>
      </c>
      <c r="V3" s="5">
        <f>VLOOKUP($A3,'SegEnds_NonXtal_Prot#'!$A:$AL,15,FALSE)</f>
        <v>94</v>
      </c>
      <c r="W3" s="5">
        <f>VLOOKUP($A3,'SegEnds_NonXtal_Prot#'!$A:$AL,18,FALSE)</f>
        <v>133</v>
      </c>
      <c r="X3" s="5">
        <f>VLOOKUP($A3,'SegEnds_NonXtal_Prot#'!$A:$AL,21,FALSE)</f>
        <v>140</v>
      </c>
      <c r="Y3" s="5" t="str">
        <f>VLOOKUP($A3,'SegEnds_NonXtal_Prot#'!$A:$AL,24,FALSE)</f>
        <v>-</v>
      </c>
      <c r="Z3" s="5">
        <f>VLOOKUP($A3,'SegEnds_NonXtal_Prot#'!$A:$AL,27,FALSE)</f>
        <v>180</v>
      </c>
      <c r="AA3" s="5">
        <f>VLOOKUP($A3,'SegEnds_NonXtal_Prot#'!$A:$AL,30,FALSE)</f>
        <v>217</v>
      </c>
      <c r="AB3" s="5">
        <f>VLOOKUP($A3,'SegEnds_NonXtal_Prot#'!$A:$AL,33,FALSE)</f>
        <v>259</v>
      </c>
      <c r="AC3" s="5">
        <f>VLOOKUP($A3,'SegEnds_NonXtal_Prot#'!$A:$AL,36,FALSE)</f>
        <v>289</v>
      </c>
      <c r="AD3" s="5">
        <f>VLOOKUP($A3,'SegEnds_NonXtal_Prot#'!$A:$AL,5,FALSE)</f>
        <v>54</v>
      </c>
      <c r="AE3" s="5" t="str">
        <f>VLOOKUP($A3,'SegEnds_NonXtal_Prot#'!$A:$AL,8,FALSE)</f>
        <v>-</v>
      </c>
      <c r="AF3" s="5">
        <f>VLOOKUP($A3,'SegEnds_NonXtal_Prot#'!$A:$AL,11,FALSE)</f>
        <v>90</v>
      </c>
      <c r="AG3" s="5" t="str">
        <f>VLOOKUP($A3,'SegEnds_NonXtal_Prot#'!$A:$AL,14,FALSE)</f>
        <v>-</v>
      </c>
      <c r="AH3" s="5">
        <f>VLOOKUP($A3,'SegEnds_NonXtal_Prot#'!$A:$AL,17,FALSE)</f>
        <v>132</v>
      </c>
      <c r="AI3" s="5">
        <f>VLOOKUP($A3,'SegEnds_NonXtal_Prot#'!$A:$AL,20,FALSE)</f>
        <v>139</v>
      </c>
      <c r="AJ3" s="5">
        <f>VLOOKUP($A3,'SegEnds_NonXtal_Prot#'!$A:$AL,23,FALSE)</f>
        <v>169</v>
      </c>
      <c r="AK3" s="5" t="str">
        <f>VLOOKUP($A3,'SegEnds_NonXtal_Prot#'!$A:$AL,26,FALSE)</f>
        <v>-</v>
      </c>
      <c r="AL3" s="5">
        <f>VLOOKUP($A3,'SegEnds_NonXtal_Prot#'!$A:$AL,29,FALSE)</f>
        <v>213</v>
      </c>
      <c r="AM3" s="5">
        <f>VLOOKUP($A3,'SegEnds_NonXtal_Prot#'!$A:$AL,32,FALSE)</f>
        <v>254</v>
      </c>
      <c r="AN3" s="5">
        <f>VLOOKUP($A3,'SegEnds_NonXtal_Prot#'!$A:$AL,35,FALSE)</f>
        <v>288</v>
      </c>
      <c r="AO3" s="5">
        <f>VLOOKUP($A3,'SegEnds_NonXtal_Prot#'!$A:$AL,38,FALSE)</f>
        <v>302</v>
      </c>
      <c r="AP3" s="5">
        <f t="shared" si="13"/>
        <v>27</v>
      </c>
      <c r="AQ3" s="4" t="str">
        <f t="shared" si="14"/>
        <v>-</v>
      </c>
      <c r="AR3" s="4">
        <f t="shared" si="15"/>
        <v>30</v>
      </c>
      <c r="AS3" s="4" t="str">
        <f t="shared" si="16"/>
        <v>-</v>
      </c>
      <c r="AT3" s="4">
        <f t="shared" si="17"/>
        <v>38</v>
      </c>
      <c r="AU3" s="4">
        <f t="shared" si="18"/>
        <v>6</v>
      </c>
      <c r="AV3" s="4">
        <f t="shared" si="19"/>
        <v>29</v>
      </c>
      <c r="AW3" s="4" t="str">
        <f t="shared" si="20"/>
        <v>-</v>
      </c>
      <c r="AX3" s="4">
        <f t="shared" si="21"/>
        <v>33</v>
      </c>
      <c r="AY3" s="4">
        <f t="shared" si="22"/>
        <v>37</v>
      </c>
      <c r="AZ3" s="4">
        <f t="shared" si="23"/>
        <v>29</v>
      </c>
      <c r="BA3" s="4">
        <f t="shared" si="24"/>
        <v>13</v>
      </c>
    </row>
    <row r="4" spans="1:53" x14ac:dyDescent="0.2">
      <c r="A4" s="1" t="str">
        <f>'SegEnds_NonXtal_Prot#'!A28</f>
        <v>par2_human</v>
      </c>
      <c r="B4" s="1" t="str">
        <f t="shared" si="0"/>
        <v>GKLTTVFLPIVYTIVFVVGLPSNGMALWVFLFRHPAVIYMANLALADLLSVIWFPLKIAYHIHGEALCNVLIGFFYGNMYCSILFMTCLSVQRYWVIVNKANIAIGISLAIWLLILLVTIPLYVLVGDMFNYFLSLAIGVFLFPAFLTASAYVLMIRMLRSSENSEKKRKRAIKLIVTVLAMYLICFTPSNLLLVVHYFLIVYALYIVALCLSTLNSCIDPFVYYFVSHDFRDHAKNALLCR</v>
      </c>
      <c r="C4" s="29" t="str">
        <f>IF(ISERROR(MATCH(A4,'SegEnds_Xtal_Prot#'!B:B, 0)), "NoXtal", "Xtal")</f>
        <v>Xtal</v>
      </c>
      <c r="D4" s="4" t="str">
        <f>VLOOKUP(A4,Classification!A:D,2,FALSE)</f>
        <v>A</v>
      </c>
      <c r="E4" s="5" t="str">
        <f>VLOOKUP(A4,Seqs!A:B,2,FALSE)</f>
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</c>
      <c r="F4" s="5" t="str">
        <f t="shared" si="1"/>
        <v>GKLTTVFLPIVYTIVFVVGLPSNGMALWVFLFR</v>
      </c>
      <c r="G4" s="4" t="str">
        <f t="shared" si="2"/>
        <v/>
      </c>
      <c r="H4" s="4" t="str">
        <f t="shared" si="3"/>
        <v>HPAVIYMANLALADLLSVIWFPLKIAYHIH</v>
      </c>
      <c r="I4" s="4" t="str">
        <f t="shared" si="4"/>
        <v>NWIY</v>
      </c>
      <c r="J4" s="4" t="str">
        <f t="shared" si="5"/>
        <v>GEALCNVLIGFFYGNMYCSILFMTCLSVQRYWVIVN</v>
      </c>
      <c r="K4" s="4" t="str">
        <f t="shared" si="6"/>
        <v>PMGHSRK</v>
      </c>
      <c r="L4" s="4" t="str">
        <f t="shared" si="7"/>
        <v>KANIAIGISLAIWLLILLVTIPLYV</v>
      </c>
      <c r="M4" s="4" t="str">
        <f t="shared" si="8"/>
        <v>CHD</v>
      </c>
      <c r="N4" s="4" t="str">
        <f t="shared" si="9"/>
        <v>LVGDMFNYFLSLAIGVFLFPAFLTASAYVLMIRMLRSS</v>
      </c>
      <c r="O4" s="4" t="str">
        <f t="shared" si="10"/>
        <v>ENSEKKRKRAIKLIVTVLAMYLICFTPSNLLLVVHYFLI</v>
      </c>
      <c r="P4" s="4" t="str">
        <f t="shared" si="11"/>
        <v>VYALYIVALCLSTLNSCIDPFVYYFV</v>
      </c>
      <c r="Q4" s="4" t="str">
        <f t="shared" si="12"/>
        <v>SHDFRDHAKNALLCR</v>
      </c>
      <c r="R4" s="5">
        <f>VLOOKUP($A4,'SegEnds_NonXtal_Prot#'!$A:$AL,3,FALSE)</f>
        <v>71</v>
      </c>
      <c r="S4" s="5" t="str">
        <f>VLOOKUP($A4,'SegEnds_NonXtal_Prot#'!$A:$AL,6,FALSE)</f>
        <v>-</v>
      </c>
      <c r="T4" s="5">
        <f>VLOOKUP($A4,'SegEnds_NonXtal_Prot#'!$A:$AL,9,FALSE)</f>
        <v>108</v>
      </c>
      <c r="U4" s="5">
        <f>VLOOKUP($A4,'SegEnds_NonXtal_Prot#'!$A:$AL,12,FALSE)</f>
        <v>140</v>
      </c>
      <c r="V4" s="5">
        <f>VLOOKUP($A4,'SegEnds_NonXtal_Prot#'!$A:$AL,15,FALSE)</f>
        <v>144</v>
      </c>
      <c r="W4" s="5">
        <f>VLOOKUP($A4,'SegEnds_NonXtal_Prot#'!$A:$AL,18,FALSE)</f>
        <v>180</v>
      </c>
      <c r="X4" s="5">
        <f>VLOOKUP($A4,'SegEnds_NonXtal_Prot#'!$A:$AL,21,FALSE)</f>
        <v>187</v>
      </c>
      <c r="Y4" s="5">
        <f>VLOOKUP($A4,'SegEnds_NonXtal_Prot#'!$A:$AL,24,FALSE)</f>
        <v>226</v>
      </c>
      <c r="Z4" s="5">
        <f>VLOOKUP($A4,'SegEnds_NonXtal_Prot#'!$A:$AL,27,FALSE)</f>
        <v>235</v>
      </c>
      <c r="AA4" s="5">
        <f>VLOOKUP($A4,'SegEnds_NonXtal_Prot#'!$A:$AL,30,FALSE)</f>
        <v>276</v>
      </c>
      <c r="AB4" s="5">
        <f>VLOOKUP($A4,'SegEnds_NonXtal_Prot#'!$A:$AL,33,FALSE)</f>
        <v>322</v>
      </c>
      <c r="AC4" s="5">
        <f>VLOOKUP($A4,'SegEnds_NonXtal_Prot#'!$A:$AL,36,FALSE)</f>
        <v>348</v>
      </c>
      <c r="AD4" s="5">
        <f>VLOOKUP($A4,'SegEnds_NonXtal_Prot#'!$A:$AL,5,FALSE)</f>
        <v>103</v>
      </c>
      <c r="AE4" s="5" t="str">
        <f>VLOOKUP($A4,'SegEnds_NonXtal_Prot#'!$A:$AL,8,FALSE)</f>
        <v>-</v>
      </c>
      <c r="AF4" s="5">
        <f>VLOOKUP($A4,'SegEnds_NonXtal_Prot#'!$A:$AL,11,FALSE)</f>
        <v>137</v>
      </c>
      <c r="AG4" s="5">
        <f>VLOOKUP($A4,'SegEnds_NonXtal_Prot#'!$A:$AL,14,FALSE)</f>
        <v>143</v>
      </c>
      <c r="AH4" s="5">
        <f>VLOOKUP($A4,'SegEnds_NonXtal_Prot#'!$A:$AL,17,FALSE)</f>
        <v>179</v>
      </c>
      <c r="AI4" s="5">
        <f>VLOOKUP($A4,'SegEnds_NonXtal_Prot#'!$A:$AL,20,FALSE)</f>
        <v>186</v>
      </c>
      <c r="AJ4" s="5">
        <f>VLOOKUP($A4,'SegEnds_NonXtal_Prot#'!$A:$AL,23,FALSE)</f>
        <v>211</v>
      </c>
      <c r="AK4" s="5">
        <f>VLOOKUP($A4,'SegEnds_NonXtal_Prot#'!$A:$AL,26,FALSE)</f>
        <v>228</v>
      </c>
      <c r="AL4" s="5">
        <f>VLOOKUP($A4,'SegEnds_NonXtal_Prot#'!$A:$AL,29,FALSE)</f>
        <v>272</v>
      </c>
      <c r="AM4" s="5">
        <f>VLOOKUP($A4,'SegEnds_NonXtal_Prot#'!$A:$AL,32,FALSE)</f>
        <v>314</v>
      </c>
      <c r="AN4" s="5">
        <f>VLOOKUP($A4,'SegEnds_NonXtal_Prot#'!$A:$AL,35,FALSE)</f>
        <v>347</v>
      </c>
      <c r="AO4" s="5">
        <f>VLOOKUP($A4,'SegEnds_NonXtal_Prot#'!$A:$AL,38,FALSE)</f>
        <v>362</v>
      </c>
      <c r="AP4" s="5">
        <f t="shared" si="13"/>
        <v>32</v>
      </c>
      <c r="AQ4" s="4" t="str">
        <f t="shared" si="14"/>
        <v>-</v>
      </c>
      <c r="AR4" s="4">
        <f t="shared" si="15"/>
        <v>29</v>
      </c>
      <c r="AS4" s="4">
        <f t="shared" si="16"/>
        <v>3</v>
      </c>
      <c r="AT4" s="4">
        <f t="shared" si="17"/>
        <v>35</v>
      </c>
      <c r="AU4" s="4">
        <f t="shared" si="18"/>
        <v>6</v>
      </c>
      <c r="AV4" s="4">
        <f t="shared" si="19"/>
        <v>24</v>
      </c>
      <c r="AW4" s="4">
        <f t="shared" si="20"/>
        <v>2</v>
      </c>
      <c r="AX4" s="4">
        <f t="shared" si="21"/>
        <v>37</v>
      </c>
      <c r="AY4" s="4">
        <f t="shared" si="22"/>
        <v>38</v>
      </c>
      <c r="AZ4" s="4">
        <f t="shared" si="23"/>
        <v>25</v>
      </c>
      <c r="BA4" s="4">
        <f t="shared" si="24"/>
        <v>14</v>
      </c>
    </row>
    <row r="5" spans="1:53" x14ac:dyDescent="0.2">
      <c r="A5" s="1" t="str">
        <f>'SegEnds_NonXtal_Prot#'!A31</f>
        <v>s1pr1_human</v>
      </c>
      <c r="B5" s="1" t="str">
        <f t="shared" si="0"/>
        <v>ENSIKLTSVVFILICCFIILENIFVLLTIWKTRPMYYFIGNLALSDLLAGVAYTANLLLTPAQWFLREGSMFVALSASVFSLLAIAIERYITMLKNNFRLFLLISACWVISLILGGLPIMGHKHYILFCTTVFTLLLLSIVILYCRIYSLVRTRSRRLTSRSSEKSLALLKTVIIVLSVFIACWAPLFILLLLDVGCDILFRAEYFLVLAVLNSGTNPIIYTLTNKEMRRAFIRIMS</v>
      </c>
      <c r="C5" s="29" t="str">
        <f>IF(ISERROR(MATCH(A5,'SegEnds_Xtal_Prot#'!B:B, 0)), "NoXtal", "Xtal")</f>
        <v>Xtal</v>
      </c>
      <c r="D5" s="4" t="str">
        <f>VLOOKUP(A5,Classification!A:D,2,FALSE)</f>
        <v>A</v>
      </c>
      <c r="E5" s="5" t="str">
        <f>VLOOKUP(A5,Seqs!A:B,2,FALSE)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F5" s="5" t="str">
        <f t="shared" si="1"/>
        <v>ENSIKLTSVVFILICCFIILENIFVLLTIWKT</v>
      </c>
      <c r="G5" s="4" t="str">
        <f t="shared" si="2"/>
        <v>KKFH</v>
      </c>
      <c r="H5" s="4" t="str">
        <f t="shared" si="3"/>
        <v>RPMYYFIGNLALSDLLAGVAYTANLLL</v>
      </c>
      <c r="I5" s="4" t="str">
        <f t="shared" si="4"/>
        <v>GATTYKL</v>
      </c>
      <c r="J5" s="4" t="str">
        <f t="shared" si="5"/>
        <v>TPAQWFLREGSMFVALSASVFSLLAIAIERYITMLK</v>
      </c>
      <c r="K5" s="4" t="str">
        <f t="shared" si="6"/>
        <v>MKLHNGS</v>
      </c>
      <c r="L5" s="4" t="str">
        <f t="shared" si="7"/>
        <v>NNFRLFLLISACWVISLILGGLPIMG</v>
      </c>
      <c r="M5" s="4" t="str">
        <f t="shared" si="8"/>
        <v/>
      </c>
      <c r="N5" s="4" t="str">
        <f t="shared" si="9"/>
        <v>HKHYILFCTTVFTLLLLSIVILYCRIYSLVRTRSRRLT</v>
      </c>
      <c r="O5" s="4" t="str">
        <f t="shared" si="10"/>
        <v>SRSSEKSLALLKTVIIVLSVFIACWAPLFILLLLDVGC</v>
      </c>
      <c r="P5" s="4" t="str">
        <f t="shared" si="11"/>
        <v>DILFRAEYFLVLAVLNSGTNPIIYTLT</v>
      </c>
      <c r="Q5" s="4" t="str">
        <f t="shared" si="12"/>
        <v>NKEMRRAFIRIMS</v>
      </c>
      <c r="R5" s="5">
        <f>VLOOKUP($A5,'SegEnds_NonXtal_Prot#'!$A:$AL,3,FALSE)</f>
        <v>42</v>
      </c>
      <c r="S5" s="5">
        <f>VLOOKUP($A5,'SegEnds_NonXtal_Prot#'!$A:$AL,6,FALSE)</f>
        <v>74</v>
      </c>
      <c r="T5" s="5">
        <f>VLOOKUP($A5,'SegEnds_NonXtal_Prot#'!$A:$AL,9,FALSE)</f>
        <v>78</v>
      </c>
      <c r="U5" s="5">
        <f>VLOOKUP($A5,'SegEnds_NonXtal_Prot#'!$A:$AL,12,FALSE)</f>
        <v>106</v>
      </c>
      <c r="V5" s="5">
        <f>VLOOKUP($A5,'SegEnds_NonXtal_Prot#'!$A:$AL,15,FALSE)</f>
        <v>113</v>
      </c>
      <c r="W5" s="5">
        <f>VLOOKUP($A5,'SegEnds_NonXtal_Prot#'!$A:$AL,18,FALSE)</f>
        <v>149</v>
      </c>
      <c r="X5" s="5">
        <f>VLOOKUP($A5,'SegEnds_NonXtal_Prot#'!$A:$AL,21,FALSE)</f>
        <v>156</v>
      </c>
      <c r="Y5" s="5" t="str">
        <f>VLOOKUP($A5,'SegEnds_NonXtal_Prot#'!$A:$AL,24,FALSE)</f>
        <v>-</v>
      </c>
      <c r="Z5" s="5">
        <f>VLOOKUP($A5,'SegEnds_NonXtal_Prot#'!$A:$AL,27,FALSE)</f>
        <v>199</v>
      </c>
      <c r="AA5" s="5">
        <f>VLOOKUP($A5,'SegEnds_NonXtal_Prot#'!$A:$AL,30,FALSE)</f>
        <v>245</v>
      </c>
      <c r="AB5" s="5">
        <f>VLOOKUP($A5,'SegEnds_NonXtal_Prot#'!$A:$AL,33,FALSE)</f>
        <v>288</v>
      </c>
      <c r="AC5" s="5">
        <f>VLOOKUP($A5,'SegEnds_NonXtal_Prot#'!$A:$AL,36,FALSE)</f>
        <v>315</v>
      </c>
      <c r="AD5" s="5">
        <f>VLOOKUP($A5,'SegEnds_NonXtal_Prot#'!$A:$AL,5,FALSE)</f>
        <v>73</v>
      </c>
      <c r="AE5" s="5">
        <f>VLOOKUP($A5,'SegEnds_NonXtal_Prot#'!$A:$AL,8,FALSE)</f>
        <v>77</v>
      </c>
      <c r="AF5" s="5">
        <f>VLOOKUP($A5,'SegEnds_NonXtal_Prot#'!$A:$AL,11,FALSE)</f>
        <v>104</v>
      </c>
      <c r="AG5" s="5">
        <f>VLOOKUP($A5,'SegEnds_NonXtal_Prot#'!$A:$AL,14,FALSE)</f>
        <v>112</v>
      </c>
      <c r="AH5" s="5">
        <f>VLOOKUP($A5,'SegEnds_NonXtal_Prot#'!$A:$AL,17,FALSE)</f>
        <v>148</v>
      </c>
      <c r="AI5" s="5">
        <f>VLOOKUP($A5,'SegEnds_NonXtal_Prot#'!$A:$AL,20,FALSE)</f>
        <v>155</v>
      </c>
      <c r="AJ5" s="5">
        <f>VLOOKUP($A5,'SegEnds_NonXtal_Prot#'!$A:$AL,23,FALSE)</f>
        <v>181</v>
      </c>
      <c r="AK5" s="5" t="str">
        <f>VLOOKUP($A5,'SegEnds_NonXtal_Prot#'!$A:$AL,26,FALSE)</f>
        <v>-</v>
      </c>
      <c r="AL5" s="5">
        <f>VLOOKUP($A5,'SegEnds_NonXtal_Prot#'!$A:$AL,29,FALSE)</f>
        <v>236</v>
      </c>
      <c r="AM5" s="5">
        <f>VLOOKUP($A5,'SegEnds_NonXtal_Prot#'!$A:$AL,32,FALSE)</f>
        <v>282</v>
      </c>
      <c r="AN5" s="5">
        <f>VLOOKUP($A5,'SegEnds_NonXtal_Prot#'!$A:$AL,35,FALSE)</f>
        <v>314</v>
      </c>
      <c r="AO5" s="5">
        <f>VLOOKUP($A5,'SegEnds_NonXtal_Prot#'!$A:$AL,38,FALSE)</f>
        <v>327</v>
      </c>
      <c r="AP5" s="5">
        <f t="shared" si="13"/>
        <v>31</v>
      </c>
      <c r="AQ5" s="4">
        <f t="shared" si="14"/>
        <v>3</v>
      </c>
      <c r="AR5" s="4">
        <f t="shared" si="15"/>
        <v>26</v>
      </c>
      <c r="AS5" s="4">
        <f t="shared" si="16"/>
        <v>6</v>
      </c>
      <c r="AT5" s="4">
        <f t="shared" si="17"/>
        <v>35</v>
      </c>
      <c r="AU5" s="4">
        <f t="shared" si="18"/>
        <v>6</v>
      </c>
      <c r="AV5" s="4">
        <f t="shared" si="19"/>
        <v>25</v>
      </c>
      <c r="AW5" s="4" t="str">
        <f t="shared" si="20"/>
        <v>-</v>
      </c>
      <c r="AX5" s="4">
        <f t="shared" si="21"/>
        <v>37</v>
      </c>
      <c r="AY5" s="4">
        <f t="shared" si="22"/>
        <v>37</v>
      </c>
      <c r="AZ5" s="4">
        <f t="shared" si="23"/>
        <v>26</v>
      </c>
      <c r="BA5" s="4">
        <f t="shared" si="24"/>
        <v>12</v>
      </c>
    </row>
    <row r="6" spans="1:53" x14ac:dyDescent="0.2">
      <c r="A6" s="1" t="str">
        <f>'SegEnds_NonXtal_Prot#'!A48</f>
        <v>5ht6r_human</v>
      </c>
      <c r="B6" s="1" t="str">
        <f t="shared" si="0"/>
        <v>GWVAAALCVVIALTAAANSLLIALICTQNTSNFFLVSLFTSDLMVGLVVMPPAMLNALYGARGLCLLWTAFDVMCCSASILNLCLISLDRYLLILSTPLRALALVLGAWSLAALASFLPLLLGWHESLPFVLVASGLTFFLPSGAICFTYCRILLAARKQAVQVASLTTKHSRKALKASLTLGILLGMFFVTWLPFFVANIVQAVCPGLFDVLTWLGYCNSTMNPIIYPLFMRDFKRALGRFLPC</v>
      </c>
      <c r="C6" s="29" t="str">
        <f>IF(ISERROR(MATCH(A6,'SegEnds_Xtal_Prot#'!B:B, 0)), "NoXtal", "Xtal")</f>
        <v>NoXtal</v>
      </c>
      <c r="D6" s="4" t="str">
        <f>VLOOKUP(A6,Classification!A:D,2,FALSE)</f>
        <v>A</v>
      </c>
      <c r="E6" s="5" t="str">
        <f>VLOOKUP(A6,Seqs!A:B,2,FALSE)</f>
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</c>
      <c r="F6" s="5" t="str">
        <f t="shared" si="1"/>
        <v>GWVAAALCVVIALTAAANSLLIALICTQ</v>
      </c>
      <c r="G6" s="4" t="str">
        <f t="shared" si="2"/>
        <v>PALR</v>
      </c>
      <c r="H6" s="4" t="str">
        <f t="shared" si="3"/>
        <v>NTSNFFLVSLFTSDLMVGLVVMPPAMLNALYG</v>
      </c>
      <c r="I6" s="4" t="str">
        <f t="shared" si="4"/>
        <v>RWVL</v>
      </c>
      <c r="J6" s="4" t="str">
        <f t="shared" si="5"/>
        <v>ARGLCLLWTAFDVMCCSASILNLCLISLDRYLLILS</v>
      </c>
      <c r="K6" s="4" t="str">
        <f t="shared" si="6"/>
        <v>PLRYKLRM</v>
      </c>
      <c r="L6" s="4" t="str">
        <f t="shared" si="7"/>
        <v>TPLRALALVLGAWSLAALASFLPLLLGWHE</v>
      </c>
      <c r="M6" s="4" t="str">
        <f t="shared" si="8"/>
        <v>CRL</v>
      </c>
      <c r="N6" s="4" t="str">
        <f t="shared" si="9"/>
        <v>SLPFVLVASGLTFFLPSGAICFTYCRILLAARKQAVQVASLT</v>
      </c>
      <c r="O6" s="4" t="str">
        <f t="shared" si="10"/>
        <v>TKHSRKALKASLTLGILLGMFFVTWLPFFVANIVQAVC</v>
      </c>
      <c r="P6" s="4" t="str">
        <f t="shared" si="11"/>
        <v>PGLFDVLTWLGYCNSTMNPIIYPLF</v>
      </c>
      <c r="Q6" s="4" t="str">
        <f t="shared" si="12"/>
        <v>MRDFKRALGRFLPC</v>
      </c>
      <c r="R6" s="5">
        <f>VLOOKUP($A6,'SegEnds_NonXtal_Prot#'!$A:$AL,3,FALSE)</f>
        <v>27</v>
      </c>
      <c r="S6" s="5">
        <f>VLOOKUP($A6,'SegEnds_NonXtal_Prot#'!$A:$AL,6,FALSE)</f>
        <v>55</v>
      </c>
      <c r="T6" s="5">
        <f>VLOOKUP($A6,'SegEnds_NonXtal_Prot#'!$A:$AL,9,FALSE)</f>
        <v>59</v>
      </c>
      <c r="U6" s="5">
        <f>VLOOKUP($A6,'SegEnds_NonXtal_Prot#'!$A:$AL,12,FALSE)</f>
        <v>91</v>
      </c>
      <c r="V6" s="5">
        <f>VLOOKUP($A6,'SegEnds_NonXtal_Prot#'!$A:$AL,15,FALSE)</f>
        <v>95</v>
      </c>
      <c r="W6" s="5">
        <f>VLOOKUP($A6,'SegEnds_NonXtal_Prot#'!$A:$AL,18,FALSE)</f>
        <v>131</v>
      </c>
      <c r="X6" s="5">
        <f>VLOOKUP($A6,'SegEnds_NonXtal_Prot#'!$A:$AL,21,FALSE)</f>
        <v>139</v>
      </c>
      <c r="Y6" s="5">
        <f>VLOOKUP($A6,'SegEnds_NonXtal_Prot#'!$A:$AL,24,FALSE)</f>
        <v>180</v>
      </c>
      <c r="Z6" s="5">
        <f>VLOOKUP($A6,'SegEnds_NonXtal_Prot#'!$A:$AL,27,FALSE)</f>
        <v>185</v>
      </c>
      <c r="AA6" s="5">
        <f>VLOOKUP($A6,'SegEnds_NonXtal_Prot#'!$A:$AL,30,FALSE)</f>
        <v>257</v>
      </c>
      <c r="AB6" s="5">
        <f>VLOOKUP($A6,'SegEnds_NonXtal_Prot#'!$A:$AL,33,FALSE)</f>
        <v>299</v>
      </c>
      <c r="AC6" s="5">
        <f>VLOOKUP($A6,'SegEnds_NonXtal_Prot#'!$A:$AL,36,FALSE)</f>
        <v>324</v>
      </c>
      <c r="AD6" s="5">
        <f>VLOOKUP($A6,'SegEnds_NonXtal_Prot#'!$A:$AL,5,FALSE)</f>
        <v>54</v>
      </c>
      <c r="AE6" s="5">
        <f>VLOOKUP($A6,'SegEnds_NonXtal_Prot#'!$A:$AL,8,FALSE)</f>
        <v>58</v>
      </c>
      <c r="AF6" s="5">
        <f>VLOOKUP($A6,'SegEnds_NonXtal_Prot#'!$A:$AL,11,FALSE)</f>
        <v>90</v>
      </c>
      <c r="AG6" s="5">
        <f>VLOOKUP($A6,'SegEnds_NonXtal_Prot#'!$A:$AL,14,FALSE)</f>
        <v>94</v>
      </c>
      <c r="AH6" s="5">
        <f>VLOOKUP($A6,'SegEnds_NonXtal_Prot#'!$A:$AL,17,FALSE)</f>
        <v>130</v>
      </c>
      <c r="AI6" s="5">
        <f>VLOOKUP($A6,'SegEnds_NonXtal_Prot#'!$A:$AL,20,FALSE)</f>
        <v>138</v>
      </c>
      <c r="AJ6" s="5">
        <f>VLOOKUP($A6,'SegEnds_NonXtal_Prot#'!$A:$AL,23,FALSE)</f>
        <v>168</v>
      </c>
      <c r="AK6" s="5">
        <f>VLOOKUP($A6,'SegEnds_NonXtal_Prot#'!$A:$AL,26,FALSE)</f>
        <v>182</v>
      </c>
      <c r="AL6" s="5">
        <f>VLOOKUP($A6,'SegEnds_NonXtal_Prot#'!$A:$AL,29,FALSE)</f>
        <v>226</v>
      </c>
      <c r="AM6" s="5">
        <f>VLOOKUP($A6,'SegEnds_NonXtal_Prot#'!$A:$AL,32,FALSE)</f>
        <v>294</v>
      </c>
      <c r="AN6" s="5">
        <f>VLOOKUP($A6,'SegEnds_NonXtal_Prot#'!$A:$AL,35,FALSE)</f>
        <v>323</v>
      </c>
      <c r="AO6" s="5">
        <f>VLOOKUP($A6,'SegEnds_NonXtal_Prot#'!$A:$AL,38,FALSE)</f>
        <v>337</v>
      </c>
      <c r="AP6" s="5">
        <f t="shared" si="13"/>
        <v>27</v>
      </c>
      <c r="AQ6" s="4">
        <f t="shared" si="14"/>
        <v>3</v>
      </c>
      <c r="AR6" s="4">
        <f t="shared" si="15"/>
        <v>31</v>
      </c>
      <c r="AS6" s="4">
        <f t="shared" si="16"/>
        <v>3</v>
      </c>
      <c r="AT6" s="4">
        <f t="shared" si="17"/>
        <v>35</v>
      </c>
      <c r="AU6" s="4">
        <f t="shared" si="18"/>
        <v>7</v>
      </c>
      <c r="AV6" s="4">
        <f t="shared" si="19"/>
        <v>29</v>
      </c>
      <c r="AW6" s="4">
        <f t="shared" si="20"/>
        <v>2</v>
      </c>
      <c r="AX6" s="4">
        <f t="shared" si="21"/>
        <v>41</v>
      </c>
      <c r="AY6" s="4">
        <f t="shared" si="22"/>
        <v>37</v>
      </c>
      <c r="AZ6" s="4">
        <f t="shared" si="23"/>
        <v>24</v>
      </c>
      <c r="BA6" s="4">
        <f t="shared" si="24"/>
        <v>13</v>
      </c>
    </row>
    <row r="7" spans="1:53" x14ac:dyDescent="0.2">
      <c r="A7" s="1" t="str">
        <f>'SegEnds_NonXtal_Prot#'!A49</f>
        <v>5ht7r_human</v>
      </c>
      <c r="B7" s="1" t="str">
        <f t="shared" si="0"/>
        <v>GRVEKVVIGSILTLITLLTIAGNCLVVISVCFVQPSNYLIVSLALADLSVAVAVMPFVSVTDLIGGHFFCNVFIAMDVMCCTASIMTLCVISIDRYLGITRNGKCMAKMILSVWLLSASITLPPLFGDFGYTIYSTAVAFYIPMSVMLFMYYQIYKAARKSAAKHKFPGISIFKREQKAATTLGIIVGAFTVCWLPFFLLSTARPFICSCIPLWVERTFLWLGYANSLINPFIYAFFNRDLRTTYRSLL</v>
      </c>
      <c r="C7" s="29" t="str">
        <f>IF(ISERROR(MATCH(A7,'SegEnds_Xtal_Prot#'!B:B, 0)), "NoXtal", "Xtal")</f>
        <v>NoXtal</v>
      </c>
      <c r="D7" s="4" t="str">
        <f>VLOOKUP(A7,Classification!A:D,2,FALSE)</f>
        <v>A</v>
      </c>
      <c r="E7" s="5" t="str">
        <f>VLOOKUP(A7,Seqs!A:B,2,FALSE)</f>
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</c>
      <c r="F7" s="5" t="str">
        <f t="shared" si="1"/>
        <v>GRVEKVVIGSILTLITLLTIAGNCLVVISVCFV</v>
      </c>
      <c r="G7" s="4" t="str">
        <f t="shared" si="2"/>
        <v>KKLR</v>
      </c>
      <c r="H7" s="4" t="str">
        <f t="shared" si="3"/>
        <v>QPSNYLIVSLALADLSVAVAVMPFVSVTDLIG</v>
      </c>
      <c r="I7" s="4" t="str">
        <f t="shared" si="4"/>
        <v>KWIF</v>
      </c>
      <c r="J7" s="4" t="str">
        <f t="shared" si="5"/>
        <v>GHFFCNVFIAMDVMCCTASIMTLCVISIDRYLGITR</v>
      </c>
      <c r="K7" s="4" t="str">
        <f t="shared" si="6"/>
        <v>PLTYPVRQ</v>
      </c>
      <c r="L7" s="4" t="str">
        <f t="shared" si="7"/>
        <v>NGKCMAKMILSVWLLSASITLPPLFG</v>
      </c>
      <c r="M7" s="4" t="str">
        <f t="shared" si="8"/>
        <v>CLI</v>
      </c>
      <c r="N7" s="4" t="str">
        <f t="shared" si="9"/>
        <v>DFGYTIYSTAVAFYIPMSVMLFMYYQIYKAARKSAAKHKFPG</v>
      </c>
      <c r="O7" s="4" t="str">
        <f t="shared" si="10"/>
        <v>ISIFKREQKAATTLGIIVGAFTVCWLPFFLLSTARPFI</v>
      </c>
      <c r="P7" s="4" t="str">
        <f t="shared" si="11"/>
        <v>CSCIPLWVERTFLWLGYANSLINPFIYAFF</v>
      </c>
      <c r="Q7" s="4" t="str">
        <f t="shared" si="12"/>
        <v>NRDLRTTYRSLL</v>
      </c>
      <c r="R7" s="5">
        <f>VLOOKUP($A7,'SegEnds_NonXtal_Prot#'!$A:$AL,3,FALSE)</f>
        <v>77</v>
      </c>
      <c r="S7" s="5">
        <f>VLOOKUP($A7,'SegEnds_NonXtal_Prot#'!$A:$AL,6,FALSE)</f>
        <v>110</v>
      </c>
      <c r="T7" s="5">
        <f>VLOOKUP($A7,'SegEnds_NonXtal_Prot#'!$A:$AL,9,FALSE)</f>
        <v>114</v>
      </c>
      <c r="U7" s="5">
        <f>VLOOKUP($A7,'SegEnds_NonXtal_Prot#'!$A:$AL,12,FALSE)</f>
        <v>147</v>
      </c>
      <c r="V7" s="5">
        <f>VLOOKUP($A7,'SegEnds_NonXtal_Prot#'!$A:$AL,15,FALSE)</f>
        <v>151</v>
      </c>
      <c r="W7" s="5">
        <f>VLOOKUP($A7,'SegEnds_NonXtal_Prot#'!$A:$AL,18,FALSE)</f>
        <v>187</v>
      </c>
      <c r="X7" s="5">
        <f>VLOOKUP($A7,'SegEnds_NonXtal_Prot#'!$A:$AL,21,FALSE)</f>
        <v>195</v>
      </c>
      <c r="Y7" s="5">
        <f>VLOOKUP($A7,'SegEnds_NonXtal_Prot#'!$A:$AL,24,FALSE)</f>
        <v>231</v>
      </c>
      <c r="Z7" s="5">
        <f>VLOOKUP($A7,'SegEnds_NonXtal_Prot#'!$A:$AL,27,FALSE)</f>
        <v>236</v>
      </c>
      <c r="AA7" s="5">
        <f>VLOOKUP($A7,'SegEnds_NonXtal_Prot#'!$A:$AL,30,FALSE)</f>
        <v>316</v>
      </c>
      <c r="AB7" s="5">
        <f>VLOOKUP($A7,'SegEnds_NonXtal_Prot#'!$A:$AL,33,FALSE)</f>
        <v>358</v>
      </c>
      <c r="AC7" s="5">
        <f>VLOOKUP($A7,'SegEnds_NonXtal_Prot#'!$A:$AL,36,FALSE)</f>
        <v>388</v>
      </c>
      <c r="AD7" s="5">
        <f>VLOOKUP($A7,'SegEnds_NonXtal_Prot#'!$A:$AL,5,FALSE)</f>
        <v>109</v>
      </c>
      <c r="AE7" s="5">
        <f>VLOOKUP($A7,'SegEnds_NonXtal_Prot#'!$A:$AL,8,FALSE)</f>
        <v>113</v>
      </c>
      <c r="AF7" s="5">
        <f>VLOOKUP($A7,'SegEnds_NonXtal_Prot#'!$A:$AL,11,FALSE)</f>
        <v>145</v>
      </c>
      <c r="AG7" s="5">
        <f>VLOOKUP($A7,'SegEnds_NonXtal_Prot#'!$A:$AL,14,FALSE)</f>
        <v>150</v>
      </c>
      <c r="AH7" s="5">
        <f>VLOOKUP($A7,'SegEnds_NonXtal_Prot#'!$A:$AL,17,FALSE)</f>
        <v>186</v>
      </c>
      <c r="AI7" s="5">
        <f>VLOOKUP($A7,'SegEnds_NonXtal_Prot#'!$A:$AL,20,FALSE)</f>
        <v>194</v>
      </c>
      <c r="AJ7" s="5">
        <f>VLOOKUP($A7,'SegEnds_NonXtal_Prot#'!$A:$AL,23,FALSE)</f>
        <v>220</v>
      </c>
      <c r="AK7" s="5">
        <f>VLOOKUP($A7,'SegEnds_NonXtal_Prot#'!$A:$AL,26,FALSE)</f>
        <v>233</v>
      </c>
      <c r="AL7" s="5">
        <f>VLOOKUP($A7,'SegEnds_NonXtal_Prot#'!$A:$AL,29,FALSE)</f>
        <v>277</v>
      </c>
      <c r="AM7" s="5">
        <f>VLOOKUP($A7,'SegEnds_NonXtal_Prot#'!$A:$AL,32,FALSE)</f>
        <v>353</v>
      </c>
      <c r="AN7" s="5">
        <f>VLOOKUP($A7,'SegEnds_NonXtal_Prot#'!$A:$AL,35,FALSE)</f>
        <v>387</v>
      </c>
      <c r="AO7" s="5">
        <f>VLOOKUP($A7,'SegEnds_NonXtal_Prot#'!$A:$AL,38,FALSE)</f>
        <v>399</v>
      </c>
      <c r="AP7" s="5">
        <f t="shared" si="13"/>
        <v>32</v>
      </c>
      <c r="AQ7" s="4">
        <f t="shared" si="14"/>
        <v>3</v>
      </c>
      <c r="AR7" s="4">
        <f t="shared" si="15"/>
        <v>31</v>
      </c>
      <c r="AS7" s="4">
        <f t="shared" si="16"/>
        <v>3</v>
      </c>
      <c r="AT7" s="4">
        <f t="shared" si="17"/>
        <v>35</v>
      </c>
      <c r="AU7" s="4">
        <f t="shared" si="18"/>
        <v>7</v>
      </c>
      <c r="AV7" s="4">
        <f t="shared" si="19"/>
        <v>25</v>
      </c>
      <c r="AW7" s="4">
        <f t="shared" si="20"/>
        <v>2</v>
      </c>
      <c r="AX7" s="4">
        <f t="shared" si="21"/>
        <v>41</v>
      </c>
      <c r="AY7" s="4">
        <f t="shared" si="22"/>
        <v>37</v>
      </c>
      <c r="AZ7" s="4">
        <f t="shared" si="23"/>
        <v>29</v>
      </c>
      <c r="BA7" s="4">
        <f t="shared" si="24"/>
        <v>11</v>
      </c>
    </row>
    <row r="8" spans="1:53" x14ac:dyDescent="0.2">
      <c r="A8" s="1" t="str">
        <f>'SegEnds_NonXtal_Prot#'!A113</f>
        <v>gasr_human</v>
      </c>
      <c r="B8" s="1" t="str">
        <f t="shared" si="0"/>
        <v>ELAIRITLYAVIFLMSVGGNMLIIVVLGLSTVTNAFLLSLAVSDLLLAVACMPFTLLPNLMGGTVICKAVSYLMGVSVSVSTLSLVAIALERYSAICRTRSHAARVIVATWLLSGLLMVPYPVYTRVRQTWSVLLLLLLFFIPGVVMAVAYGLISRELYLGLRFDGDSDQAKLLAKKRVVRMLLVIVVLFFLCWLPVYSANTWRAFDHRALSGAPISFIHLLSYASACVNPLVYCFMHRRFRQACLETCARCCP</v>
      </c>
      <c r="C8" s="29" t="str">
        <f>IF(ISERROR(MATCH(A8,'SegEnds_Xtal_Prot#'!B:B, 0)), "NoXtal", "Xtal")</f>
        <v>NoXtal</v>
      </c>
      <c r="D8" s="4" t="str">
        <f>VLOOKUP(A8,Classification!A:D,2,FALSE)</f>
        <v>A</v>
      </c>
      <c r="E8" s="5" t="str">
        <f>VLOOKUP(A8,Seqs!A:B,2,FALSE)</f>
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</c>
      <c r="F8" s="5" t="str">
        <f t="shared" si="1"/>
        <v>ELAIRITLYAVIFLMSVGGNMLIIVVLGLS</v>
      </c>
      <c r="G8" s="4" t="str">
        <f t="shared" si="2"/>
        <v>RRLR</v>
      </c>
      <c r="H8" s="4" t="str">
        <f t="shared" si="3"/>
        <v>TVTNAFLLSLAVSDLLLAVACMPFTLLPNLMG</v>
      </c>
      <c r="I8" s="4" t="str">
        <f t="shared" si="4"/>
        <v>TFIF</v>
      </c>
      <c r="J8" s="4" t="str">
        <f t="shared" si="5"/>
        <v>GTVICKAVSYLMGVSVSVSTLSLVAIALERYSAICR</v>
      </c>
      <c r="K8" s="4" t="str">
        <f t="shared" si="6"/>
        <v>PLQARVWQ</v>
      </c>
      <c r="L8" s="4" t="str">
        <f t="shared" si="7"/>
        <v>TRSHAARVIVATWLLSGLLMVPYPVYT</v>
      </c>
      <c r="M8" s="4" t="str">
        <f t="shared" si="8"/>
        <v>CVH</v>
      </c>
      <c r="N8" s="4" t="str">
        <f t="shared" si="9"/>
        <v>RVRQTWSVLLLLLLFFIPGVVMAVAYGLISRELYLGLRFDGDSD</v>
      </c>
      <c r="O8" s="4" t="str">
        <f t="shared" si="10"/>
        <v>QAKLLAKKRVVRMLLVIVVLFFLCWLPVYSANTWRAFD</v>
      </c>
      <c r="P8" s="4" t="str">
        <f t="shared" si="11"/>
        <v>HRALSGAPISFIHLLSYASACVNPLVYCFM</v>
      </c>
      <c r="Q8" s="4" t="str">
        <f t="shared" si="12"/>
        <v>HRRFRQACLETCARCCP</v>
      </c>
      <c r="R8" s="5">
        <f>VLOOKUP($A8,'SegEnds_NonXtal_Prot#'!$A:$AL,3,FALSE)</f>
        <v>53</v>
      </c>
      <c r="S8" s="5">
        <f>VLOOKUP($A8,'SegEnds_NonXtal_Prot#'!$A:$AL,6,FALSE)</f>
        <v>83</v>
      </c>
      <c r="T8" s="5">
        <f>VLOOKUP($A8,'SegEnds_NonXtal_Prot#'!$A:$AL,9,FALSE)</f>
        <v>87</v>
      </c>
      <c r="U8" s="5">
        <f>VLOOKUP($A8,'SegEnds_NonXtal_Prot#'!$A:$AL,12,FALSE)</f>
        <v>119</v>
      </c>
      <c r="V8" s="5">
        <f>VLOOKUP($A8,'SegEnds_NonXtal_Prot#'!$A:$AL,15,FALSE)</f>
        <v>123</v>
      </c>
      <c r="W8" s="5">
        <f>VLOOKUP($A8,'SegEnds_NonXtal_Prot#'!$A:$AL,18,FALSE)</f>
        <v>159</v>
      </c>
      <c r="X8" s="5">
        <f>VLOOKUP($A8,'SegEnds_NonXtal_Prot#'!$A:$AL,21,FALSE)</f>
        <v>167</v>
      </c>
      <c r="Y8" s="5">
        <f>VLOOKUP($A8,'SegEnds_NonXtal_Prot#'!$A:$AL,24,FALSE)</f>
        <v>205</v>
      </c>
      <c r="Z8" s="5">
        <f>VLOOKUP($A8,'SegEnds_NonXtal_Prot#'!$A:$AL,27,FALSE)</f>
        <v>213</v>
      </c>
      <c r="AA8" s="5">
        <f>VLOOKUP($A8,'SegEnds_NonXtal_Prot#'!$A:$AL,30,FALSE)</f>
        <v>322</v>
      </c>
      <c r="AB8" s="5">
        <f>VLOOKUP($A8,'SegEnds_NonXtal_Prot#'!$A:$AL,33,FALSE)</f>
        <v>364</v>
      </c>
      <c r="AC8" s="5">
        <f>VLOOKUP($A8,'SegEnds_NonXtal_Prot#'!$A:$AL,36,FALSE)</f>
        <v>394</v>
      </c>
      <c r="AD8" s="5">
        <f>VLOOKUP($A8,'SegEnds_NonXtal_Prot#'!$A:$AL,5,FALSE)</f>
        <v>82</v>
      </c>
      <c r="AE8" s="5">
        <f>VLOOKUP($A8,'SegEnds_NonXtal_Prot#'!$A:$AL,8,FALSE)</f>
        <v>86</v>
      </c>
      <c r="AF8" s="5">
        <f>VLOOKUP($A8,'SegEnds_NonXtal_Prot#'!$A:$AL,11,FALSE)</f>
        <v>118</v>
      </c>
      <c r="AG8" s="5">
        <f>VLOOKUP($A8,'SegEnds_NonXtal_Prot#'!$A:$AL,14,FALSE)</f>
        <v>122</v>
      </c>
      <c r="AH8" s="5">
        <f>VLOOKUP($A8,'SegEnds_NonXtal_Prot#'!$A:$AL,17,FALSE)</f>
        <v>158</v>
      </c>
      <c r="AI8" s="5">
        <f>VLOOKUP($A8,'SegEnds_NonXtal_Prot#'!$A:$AL,20,FALSE)</f>
        <v>166</v>
      </c>
      <c r="AJ8" s="5">
        <f>VLOOKUP($A8,'SegEnds_NonXtal_Prot#'!$A:$AL,23,FALSE)</f>
        <v>193</v>
      </c>
      <c r="AK8" s="5">
        <f>VLOOKUP($A8,'SegEnds_NonXtal_Prot#'!$A:$AL,26,FALSE)</f>
        <v>207</v>
      </c>
      <c r="AL8" s="5">
        <f>VLOOKUP($A8,'SegEnds_NonXtal_Prot#'!$A:$AL,29,FALSE)</f>
        <v>256</v>
      </c>
      <c r="AM8" s="5">
        <f>VLOOKUP($A8,'SegEnds_NonXtal_Prot#'!$A:$AL,32,FALSE)</f>
        <v>359</v>
      </c>
      <c r="AN8" s="5">
        <f>VLOOKUP($A8,'SegEnds_NonXtal_Prot#'!$A:$AL,35,FALSE)</f>
        <v>393</v>
      </c>
      <c r="AO8" s="5">
        <f>VLOOKUP($A8,'SegEnds_NonXtal_Prot#'!$A:$AL,38,FALSE)</f>
        <v>410</v>
      </c>
      <c r="AP8" s="5">
        <f t="shared" si="13"/>
        <v>29</v>
      </c>
      <c r="AQ8" s="4">
        <f t="shared" si="14"/>
        <v>3</v>
      </c>
      <c r="AR8" s="4">
        <f t="shared" si="15"/>
        <v>31</v>
      </c>
      <c r="AS8" s="4">
        <f t="shared" si="16"/>
        <v>3</v>
      </c>
      <c r="AT8" s="4">
        <f t="shared" si="17"/>
        <v>35</v>
      </c>
      <c r="AU8" s="4">
        <f t="shared" si="18"/>
        <v>7</v>
      </c>
      <c r="AV8" s="4">
        <f t="shared" si="19"/>
        <v>26</v>
      </c>
      <c r="AW8" s="4">
        <f t="shared" si="20"/>
        <v>2</v>
      </c>
      <c r="AX8" s="4">
        <f t="shared" si="21"/>
        <v>43</v>
      </c>
      <c r="AY8" s="4">
        <f t="shared" si="22"/>
        <v>37</v>
      </c>
      <c r="AZ8" s="4">
        <f t="shared" si="23"/>
        <v>29</v>
      </c>
      <c r="BA8" s="4">
        <f t="shared" si="24"/>
        <v>16</v>
      </c>
    </row>
    <row r="9" spans="1:53" x14ac:dyDescent="0.2">
      <c r="A9" s="1" t="str">
        <f>'SegEnds_NonXtal_Prot#'!A123</f>
        <v>gp171_human</v>
      </c>
      <c r="B9" s="1" t="str">
        <f t="shared" si="0"/>
        <v>VYKDLEPFTYFFYLVFLVGIIGSCFATWAFIQKRCVSIYLINLLTADFLLTLALPVKIVVDLGWKLKIFHCQVTACLIYINMYLSIIFLAFVSIDRCLQLTHEPGFAKMISTVVWLMVLLIMVPNMMIPEFGRNWHLLTNFICVAIFLNFSAIILISNCLVIRQLYRNYPNVKKALINILLVTTGYIICFVPYHIVRIPYTLSQTEDCSTRISLFKAKEATLLLAVSNLCFDPILYYHLSKAFRSKVTET</v>
      </c>
      <c r="C9" s="29" t="str">
        <f>IF(ISERROR(MATCH(A9,'SegEnds_Xtal_Prot#'!B:B, 0)), "NoXtal", "Xtal")</f>
        <v>NoXtal</v>
      </c>
      <c r="D9" s="4" t="str">
        <f>VLOOKUP(A9,Classification!A:D,2,FALSE)</f>
        <v>A</v>
      </c>
      <c r="E9" s="5" t="str">
        <f>VLOOKUP(A9,Seqs!A:B,2,FALSE)</f>
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</c>
      <c r="F9" s="5" t="str">
        <f t="shared" si="1"/>
        <v>VYKDLEPFTYFFYLVFLVGIIGSCFATWAFIQK</v>
      </c>
      <c r="G9" s="4" t="str">
        <f t="shared" si="2"/>
        <v/>
      </c>
      <c r="H9" s="4" t="str">
        <f t="shared" si="3"/>
        <v>RCVSIYLINLLTADFLLTLALPVKIVVDLG</v>
      </c>
      <c r="I9" s="4" t="str">
        <f t="shared" si="4"/>
        <v/>
      </c>
      <c r="J9" s="4" t="str">
        <f t="shared" si="5"/>
        <v>WKLKIFHCQVTACLIYINMYLSIIFLAFVSIDRCLQLTH</v>
      </c>
      <c r="K9" s="4" t="str">
        <f t="shared" si="6"/>
        <v>SCKIYRIQ</v>
      </c>
      <c r="L9" s="4" t="str">
        <f t="shared" si="7"/>
        <v>EPGFAKMISTVVWLMVLLIMVPNMMIP</v>
      </c>
      <c r="M9" s="4" t="str">
        <f t="shared" si="8"/>
        <v>CME</v>
      </c>
      <c r="N9" s="4" t="str">
        <f t="shared" si="9"/>
        <v>EFGRNWHLLTNFICVAIFLNFSAIILISNCLVIRQLYR</v>
      </c>
      <c r="O9" s="4" t="str">
        <f t="shared" si="10"/>
        <v>NYPNVKKALINILLVTTGYIICFVPYHIVRIPYTLSQTE</v>
      </c>
      <c r="P9" s="4" t="str">
        <f t="shared" si="11"/>
        <v>DCSTRISLFKAKEATLLLAVSNLCFDPILYYHL</v>
      </c>
      <c r="Q9" s="4" t="str">
        <f t="shared" si="12"/>
        <v>SKAFRSKVTET</v>
      </c>
      <c r="R9" s="5">
        <f>VLOOKUP($A9,'SegEnds_NonXtal_Prot#'!$A:$AL,3,FALSE)</f>
        <v>10</v>
      </c>
      <c r="S9" s="5" t="str">
        <f>VLOOKUP($A9,'SegEnds_NonXtal_Prot#'!$A:$AL,6,FALSE)</f>
        <v>-</v>
      </c>
      <c r="T9" s="5">
        <f>VLOOKUP($A9,'SegEnds_NonXtal_Prot#'!$A:$AL,9,FALSE)</f>
        <v>47</v>
      </c>
      <c r="U9" s="5" t="str">
        <f>VLOOKUP($A9,'SegEnds_NonXtal_Prot#'!$A:$AL,12,FALSE)</f>
        <v>-</v>
      </c>
      <c r="V9" s="5">
        <f>VLOOKUP($A9,'SegEnds_NonXtal_Prot#'!$A:$AL,15,FALSE)</f>
        <v>80</v>
      </c>
      <c r="W9" s="5">
        <f>VLOOKUP($A9,'SegEnds_NonXtal_Prot#'!$A:$AL,18,FALSE)</f>
        <v>119</v>
      </c>
      <c r="X9" s="5">
        <f>VLOOKUP($A9,'SegEnds_NonXtal_Prot#'!$A:$AL,21,FALSE)</f>
        <v>127</v>
      </c>
      <c r="Y9" s="5">
        <f>VLOOKUP($A9,'SegEnds_NonXtal_Prot#'!$A:$AL,24,FALSE)</f>
        <v>165</v>
      </c>
      <c r="Z9" s="5">
        <f>VLOOKUP($A9,'SegEnds_NonXtal_Prot#'!$A:$AL,27,FALSE)</f>
        <v>171</v>
      </c>
      <c r="AA9" s="5">
        <f>VLOOKUP($A9,'SegEnds_NonXtal_Prot#'!$A:$AL,30,FALSE)</f>
        <v>214</v>
      </c>
      <c r="AB9" s="5">
        <f>VLOOKUP($A9,'SegEnds_NonXtal_Prot#'!$A:$AL,33,FALSE)</f>
        <v>256</v>
      </c>
      <c r="AC9" s="5">
        <f>VLOOKUP($A9,'SegEnds_NonXtal_Prot#'!$A:$AL,36,FALSE)</f>
        <v>289</v>
      </c>
      <c r="AD9" s="5">
        <f>VLOOKUP($A9,'SegEnds_NonXtal_Prot#'!$A:$AL,5,FALSE)</f>
        <v>42</v>
      </c>
      <c r="AE9" s="5" t="str">
        <f>VLOOKUP($A9,'SegEnds_NonXtal_Prot#'!$A:$AL,8,FALSE)</f>
        <v>-</v>
      </c>
      <c r="AF9" s="5">
        <f>VLOOKUP($A9,'SegEnds_NonXtal_Prot#'!$A:$AL,11,FALSE)</f>
        <v>76</v>
      </c>
      <c r="AG9" s="5" t="str">
        <f>VLOOKUP($A9,'SegEnds_NonXtal_Prot#'!$A:$AL,14,FALSE)</f>
        <v>-</v>
      </c>
      <c r="AH9" s="5">
        <f>VLOOKUP($A9,'SegEnds_NonXtal_Prot#'!$A:$AL,17,FALSE)</f>
        <v>118</v>
      </c>
      <c r="AI9" s="5">
        <f>VLOOKUP($A9,'SegEnds_NonXtal_Prot#'!$A:$AL,20,FALSE)</f>
        <v>126</v>
      </c>
      <c r="AJ9" s="5">
        <f>VLOOKUP($A9,'SegEnds_NonXtal_Prot#'!$A:$AL,23,FALSE)</f>
        <v>153</v>
      </c>
      <c r="AK9" s="5">
        <f>VLOOKUP($A9,'SegEnds_NonXtal_Prot#'!$A:$AL,26,FALSE)</f>
        <v>167</v>
      </c>
      <c r="AL9" s="5">
        <f>VLOOKUP($A9,'SegEnds_NonXtal_Prot#'!$A:$AL,29,FALSE)</f>
        <v>208</v>
      </c>
      <c r="AM9" s="5">
        <f>VLOOKUP($A9,'SegEnds_NonXtal_Prot#'!$A:$AL,32,FALSE)</f>
        <v>252</v>
      </c>
      <c r="AN9" s="5">
        <f>VLOOKUP($A9,'SegEnds_NonXtal_Prot#'!$A:$AL,35,FALSE)</f>
        <v>288</v>
      </c>
      <c r="AO9" s="5">
        <f>VLOOKUP($A9,'SegEnds_NonXtal_Prot#'!$A:$AL,38,FALSE)</f>
        <v>299</v>
      </c>
      <c r="AP9" s="5">
        <f t="shared" si="13"/>
        <v>32</v>
      </c>
      <c r="AQ9" s="4" t="str">
        <f t="shared" si="14"/>
        <v>-</v>
      </c>
      <c r="AR9" s="4">
        <f t="shared" si="15"/>
        <v>29</v>
      </c>
      <c r="AS9" s="4" t="str">
        <f t="shared" si="16"/>
        <v>-</v>
      </c>
      <c r="AT9" s="4">
        <f t="shared" si="17"/>
        <v>38</v>
      </c>
      <c r="AU9" s="4">
        <f t="shared" si="18"/>
        <v>7</v>
      </c>
      <c r="AV9" s="4">
        <f t="shared" si="19"/>
        <v>26</v>
      </c>
      <c r="AW9" s="4">
        <f t="shared" si="20"/>
        <v>2</v>
      </c>
      <c r="AX9" s="4">
        <f t="shared" si="21"/>
        <v>37</v>
      </c>
      <c r="AY9" s="4">
        <f t="shared" si="22"/>
        <v>38</v>
      </c>
      <c r="AZ9" s="4">
        <f t="shared" si="23"/>
        <v>32</v>
      </c>
      <c r="BA9" s="4">
        <f t="shared" si="24"/>
        <v>10</v>
      </c>
    </row>
    <row r="10" spans="1:53" x14ac:dyDescent="0.2">
      <c r="A10" s="1" t="str">
        <f>'SegEnds_NonXtal_Prot#'!A124</f>
        <v>gp173_human</v>
      </c>
      <c r="B10" s="1" t="str">
        <f t="shared" si="0"/>
        <v>PPSASAYVKLVLLGLIMCVSLAGNAILSLLVLKEKAPYYFLLDLCLADGIRSAVCFPFVLASVRHGSALSCKIVAFMAVLFCFHAAFMLFCISVTRYMAIAHTLWTCAAVICMAWTLSVAMAFPPVFDVGTYVQMVPAISQNWTFHGPGATGQAAANWIAGFGRGPMPPTLLLLGMDEVKGEKQLGRMFYAITLLFLLLWSPYIVACYWRVFVPHRYLATAVWMSFAQAAVNPIVCFLLNKDLKKCLRTHAPC</v>
      </c>
      <c r="C10" s="29" t="str">
        <f>IF(ISERROR(MATCH(A10,'SegEnds_Xtal_Prot#'!B:B, 0)), "NoXtal", "Xtal")</f>
        <v>NoXtal</v>
      </c>
      <c r="D10" s="4" t="str">
        <f>VLOOKUP(A10,Classification!A:D,2,FALSE)</f>
        <v>A</v>
      </c>
      <c r="E10" s="5" t="str">
        <f>VLOOKUP(A10,Seqs!A:B,2,FALSE)</f>
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</c>
      <c r="F10" s="5" t="str">
        <f t="shared" si="1"/>
        <v>PPSASAYVKLVLLGLIMCVSLAGNAILSLLVLKE</v>
      </c>
      <c r="G10" s="4" t="str">
        <f t="shared" si="2"/>
        <v>RALH</v>
      </c>
      <c r="H10" s="4" t="str">
        <f t="shared" si="3"/>
        <v>KAPYYFLLDLCLADGIRSAVCFPFVLASVRHG</v>
      </c>
      <c r="I10" s="4" t="str">
        <f t="shared" si="4"/>
        <v>SWTF</v>
      </c>
      <c r="J10" s="4" t="str">
        <f t="shared" si="5"/>
        <v>SALSCKIVAFMAVLFCFHAAFMLFCISVTRYMAIAH</v>
      </c>
      <c r="K10" s="4" t="str">
        <f t="shared" si="6"/>
        <v>HRFYAKRM</v>
      </c>
      <c r="L10" s="4" t="str">
        <f t="shared" si="7"/>
        <v>TLWTCAAVICMAWTLSVAMAFPPVFDVGTY</v>
      </c>
      <c r="M10" s="4" t="str">
        <f t="shared" si="8"/>
        <v>CIF</v>
      </c>
      <c r="N10" s="4" t="str">
        <f t="shared" si="9"/>
        <v>VQMVPAISQNWTFHGPGATGQAAANWIAGFGRGPMPPTLL</v>
      </c>
      <c r="O10" s="4" t="str">
        <f t="shared" si="10"/>
        <v>LLGMDEVKGEKQLGRMFYAITLLFLLLWSPYIVACYWRVFV</v>
      </c>
      <c r="P10" s="4" t="str">
        <f t="shared" si="11"/>
        <v>PHRYLATAVWMSFAQAAVNPIVCFLL</v>
      </c>
      <c r="Q10" s="4" t="str">
        <f t="shared" si="12"/>
        <v>NKDLKKCLRTHAPC</v>
      </c>
      <c r="R10" s="5">
        <f>VLOOKUP($A10,'SegEnds_NonXtal_Prot#'!$A:$AL,3,FALSE)</f>
        <v>17</v>
      </c>
      <c r="S10" s="5">
        <f>VLOOKUP($A10,'SegEnds_NonXtal_Prot#'!$A:$AL,6,FALSE)</f>
        <v>51</v>
      </c>
      <c r="T10" s="5">
        <f>VLOOKUP($A10,'SegEnds_NonXtal_Prot#'!$A:$AL,9,FALSE)</f>
        <v>55</v>
      </c>
      <c r="U10" s="5">
        <f>VLOOKUP($A10,'SegEnds_NonXtal_Prot#'!$A:$AL,12,FALSE)</f>
        <v>88</v>
      </c>
      <c r="V10" s="5">
        <f>VLOOKUP($A10,'SegEnds_NonXtal_Prot#'!$A:$AL,15,FALSE)</f>
        <v>92</v>
      </c>
      <c r="W10" s="5">
        <f>VLOOKUP($A10,'SegEnds_NonXtal_Prot#'!$A:$AL,18,FALSE)</f>
        <v>128</v>
      </c>
      <c r="X10" s="5">
        <f>VLOOKUP($A10,'SegEnds_NonXtal_Prot#'!$A:$AL,21,FALSE)</f>
        <v>136</v>
      </c>
      <c r="Y10" s="5">
        <f>VLOOKUP($A10,'SegEnds_NonXtal_Prot#'!$A:$AL,24,FALSE)</f>
        <v>174</v>
      </c>
      <c r="Z10" s="5">
        <f>VLOOKUP($A10,'SegEnds_NonXtal_Prot#'!$A:$AL,27,FALSE)</f>
        <v>220</v>
      </c>
      <c r="AA10" s="5">
        <f>VLOOKUP($A10,'SegEnds_NonXtal_Prot#'!$A:$AL,30,FALSE)</f>
        <v>272</v>
      </c>
      <c r="AB10" s="5">
        <f>VLOOKUP($A10,'SegEnds_NonXtal_Prot#'!$A:$AL,33,FALSE)</f>
        <v>318</v>
      </c>
      <c r="AC10" s="5">
        <f>VLOOKUP($A10,'SegEnds_NonXtal_Prot#'!$A:$AL,36,FALSE)</f>
        <v>344</v>
      </c>
      <c r="AD10" s="5">
        <f>VLOOKUP($A10,'SegEnds_NonXtal_Prot#'!$A:$AL,5,FALSE)</f>
        <v>50</v>
      </c>
      <c r="AE10" s="5">
        <f>VLOOKUP($A10,'SegEnds_NonXtal_Prot#'!$A:$AL,8,FALSE)</f>
        <v>54</v>
      </c>
      <c r="AF10" s="5">
        <f>VLOOKUP($A10,'SegEnds_NonXtal_Prot#'!$A:$AL,11,FALSE)</f>
        <v>86</v>
      </c>
      <c r="AG10" s="5">
        <f>VLOOKUP($A10,'SegEnds_NonXtal_Prot#'!$A:$AL,14,FALSE)</f>
        <v>91</v>
      </c>
      <c r="AH10" s="5">
        <f>VLOOKUP($A10,'SegEnds_NonXtal_Prot#'!$A:$AL,17,FALSE)</f>
        <v>127</v>
      </c>
      <c r="AI10" s="5">
        <f>VLOOKUP($A10,'SegEnds_NonXtal_Prot#'!$A:$AL,20,FALSE)</f>
        <v>135</v>
      </c>
      <c r="AJ10" s="5">
        <f>VLOOKUP($A10,'SegEnds_NonXtal_Prot#'!$A:$AL,23,FALSE)</f>
        <v>165</v>
      </c>
      <c r="AK10" s="5">
        <f>VLOOKUP($A10,'SegEnds_NonXtal_Prot#'!$A:$AL,26,FALSE)</f>
        <v>176</v>
      </c>
      <c r="AL10" s="5">
        <f>VLOOKUP($A10,'SegEnds_NonXtal_Prot#'!$A:$AL,29,FALSE)</f>
        <v>259</v>
      </c>
      <c r="AM10" s="5">
        <f>VLOOKUP($A10,'SegEnds_NonXtal_Prot#'!$A:$AL,32,FALSE)</f>
        <v>312</v>
      </c>
      <c r="AN10" s="5">
        <f>VLOOKUP($A10,'SegEnds_NonXtal_Prot#'!$A:$AL,35,FALSE)</f>
        <v>343</v>
      </c>
      <c r="AO10" s="5">
        <f>VLOOKUP($A10,'SegEnds_NonXtal_Prot#'!$A:$AL,38,FALSE)</f>
        <v>357</v>
      </c>
      <c r="AP10" s="5">
        <f t="shared" si="13"/>
        <v>33</v>
      </c>
      <c r="AQ10" s="4">
        <f t="shared" si="14"/>
        <v>3</v>
      </c>
      <c r="AR10" s="4">
        <f t="shared" si="15"/>
        <v>31</v>
      </c>
      <c r="AS10" s="4">
        <f t="shared" si="16"/>
        <v>3</v>
      </c>
      <c r="AT10" s="4">
        <f t="shared" si="17"/>
        <v>35</v>
      </c>
      <c r="AU10" s="4">
        <f t="shared" si="18"/>
        <v>7</v>
      </c>
      <c r="AV10" s="4">
        <f t="shared" si="19"/>
        <v>29</v>
      </c>
      <c r="AW10" s="4">
        <f t="shared" si="20"/>
        <v>2</v>
      </c>
      <c r="AX10" s="4">
        <f t="shared" si="21"/>
        <v>39</v>
      </c>
      <c r="AY10" s="4">
        <f t="shared" si="22"/>
        <v>40</v>
      </c>
      <c r="AZ10" s="4">
        <f t="shared" si="23"/>
        <v>25</v>
      </c>
      <c r="BA10" s="4">
        <f t="shared" si="24"/>
        <v>13</v>
      </c>
    </row>
    <row r="11" spans="1:53" x14ac:dyDescent="0.2">
      <c r="A11" s="1" t="str">
        <f>'SegEnds_NonXtal_Prot#'!A125</f>
        <v>gp182_human</v>
      </c>
      <c r="B11" s="1" t="str">
        <f t="shared" si="0"/>
        <v>VVLFALYLAMFVVGLVENLLVICVNWRGGLMNLYILNMAIADLGIVLSLPVWMLEVTLDGSFSCRFTHYFYFVNMYSSIFFLVCLSVDRYVTLTSQHRVRRAMCAGIWVLSAIIPLPEVVHITYSTWALAVALSTTILGFLLPFPLITVFNVLTACRLRQPSRRHCLLLCAYVAVFVMCWLPYHVTLLLLTLHGTHHCHLVHLLYFFYDVIDCFSMLHCVINPILYNFLSPHFRGRLLNAVVHY</v>
      </c>
      <c r="C11" s="29" t="str">
        <f>IF(ISERROR(MATCH(A11,'SegEnds_Xtal_Prot#'!B:B, 0)), "NoXtal", "Xtal")</f>
        <v>NoXtal</v>
      </c>
      <c r="D11" s="4" t="str">
        <f>VLOOKUP(A11,Classification!A:D,2,FALSE)</f>
        <v>A</v>
      </c>
      <c r="E11" s="5" t="str">
        <f>VLOOKUP(A11,Seqs!A:B,2,FALSE)</f>
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</c>
      <c r="F11" s="5" t="str">
        <f t="shared" si="1"/>
        <v>VVLFALYLAMFVVGLVENLLVICVNWRG</v>
      </c>
      <c r="G11" s="4" t="str">
        <f t="shared" si="2"/>
        <v>SGRA</v>
      </c>
      <c r="H11" s="4" t="str">
        <f t="shared" si="3"/>
        <v>GLMNLYILNMAIADLGIVLSLPVWMLEVTLD</v>
      </c>
      <c r="I11" s="4" t="str">
        <f t="shared" si="4"/>
        <v>TWLW</v>
      </c>
      <c r="J11" s="4" t="str">
        <f t="shared" si="5"/>
        <v>GSFSCRFTHYFYFVNMYSSIFFLVCLSVDRYVTLTS</v>
      </c>
      <c r="K11" s="4" t="str">
        <f t="shared" si="6"/>
        <v>ASPSWQRY</v>
      </c>
      <c r="L11" s="4" t="str">
        <f t="shared" si="7"/>
        <v>QHRVRRAMCAGIWVLSAIIPLPEVVHI</v>
      </c>
      <c r="M11" s="4" t="str">
        <f t="shared" si="8"/>
        <v>CLF</v>
      </c>
      <c r="N11" s="4" t="str">
        <f t="shared" si="9"/>
        <v>TYSTWALAVALSTTILGFLLPFPLITVFNVLTACRLRQP</v>
      </c>
      <c r="O11" s="4" t="str">
        <f t="shared" si="10"/>
        <v>SRRHCLLLCAYVAVFVMCWLPYHVTLLLLTLHGTH</v>
      </c>
      <c r="P11" s="4" t="str">
        <f t="shared" si="11"/>
        <v>HCHLVHLLYFFYDVIDCFSMLHCVINPILYNFL</v>
      </c>
      <c r="Q11" s="4" t="str">
        <f t="shared" si="12"/>
        <v>SPHFRGRLLNAVVHY</v>
      </c>
      <c r="R11" s="5">
        <f>VLOOKUP($A11,'SegEnds_NonXtal_Prot#'!$A:$AL,3,FALSE)</f>
        <v>54</v>
      </c>
      <c r="S11" s="5">
        <f>VLOOKUP($A11,'SegEnds_NonXtal_Prot#'!$A:$AL,6,FALSE)</f>
        <v>82</v>
      </c>
      <c r="T11" s="5">
        <f>VLOOKUP($A11,'SegEnds_NonXtal_Prot#'!$A:$AL,9,FALSE)</f>
        <v>86</v>
      </c>
      <c r="U11" s="5">
        <f>VLOOKUP($A11,'SegEnds_NonXtal_Prot#'!$A:$AL,12,FALSE)</f>
        <v>118</v>
      </c>
      <c r="V11" s="5">
        <f>VLOOKUP($A11,'SegEnds_NonXtal_Prot#'!$A:$AL,15,FALSE)</f>
        <v>122</v>
      </c>
      <c r="W11" s="5">
        <f>VLOOKUP($A11,'SegEnds_NonXtal_Prot#'!$A:$AL,18,FALSE)</f>
        <v>158</v>
      </c>
      <c r="X11" s="5">
        <f>VLOOKUP($A11,'SegEnds_NonXtal_Prot#'!$A:$AL,21,FALSE)</f>
        <v>166</v>
      </c>
      <c r="Y11" s="5">
        <f>VLOOKUP($A11,'SegEnds_NonXtal_Prot#'!$A:$AL,24,FALSE)</f>
        <v>202</v>
      </c>
      <c r="Z11" s="5">
        <f>VLOOKUP($A11,'SegEnds_NonXtal_Prot#'!$A:$AL,27,FALSE)</f>
        <v>210</v>
      </c>
      <c r="AA11" s="5">
        <f>VLOOKUP($A11,'SegEnds_NonXtal_Prot#'!$A:$AL,30,FALSE)</f>
        <v>253</v>
      </c>
      <c r="AB11" s="5">
        <f>VLOOKUP($A11,'SegEnds_NonXtal_Prot#'!$A:$AL,33,FALSE)</f>
        <v>291</v>
      </c>
      <c r="AC11" s="5">
        <f>VLOOKUP($A11,'SegEnds_NonXtal_Prot#'!$A:$AL,36,FALSE)</f>
        <v>324</v>
      </c>
      <c r="AD11" s="5">
        <f>VLOOKUP($A11,'SegEnds_NonXtal_Prot#'!$A:$AL,5,FALSE)</f>
        <v>81</v>
      </c>
      <c r="AE11" s="5">
        <f>VLOOKUP($A11,'SegEnds_NonXtal_Prot#'!$A:$AL,8,FALSE)</f>
        <v>85</v>
      </c>
      <c r="AF11" s="5">
        <f>VLOOKUP($A11,'SegEnds_NonXtal_Prot#'!$A:$AL,11,FALSE)</f>
        <v>116</v>
      </c>
      <c r="AG11" s="5">
        <f>VLOOKUP($A11,'SegEnds_NonXtal_Prot#'!$A:$AL,14,FALSE)</f>
        <v>121</v>
      </c>
      <c r="AH11" s="5">
        <f>VLOOKUP($A11,'SegEnds_NonXtal_Prot#'!$A:$AL,17,FALSE)</f>
        <v>157</v>
      </c>
      <c r="AI11" s="5">
        <f>VLOOKUP($A11,'SegEnds_NonXtal_Prot#'!$A:$AL,20,FALSE)</f>
        <v>165</v>
      </c>
      <c r="AJ11" s="5">
        <f>VLOOKUP($A11,'SegEnds_NonXtal_Prot#'!$A:$AL,23,FALSE)</f>
        <v>192</v>
      </c>
      <c r="AK11" s="5">
        <f>VLOOKUP($A11,'SegEnds_NonXtal_Prot#'!$A:$AL,26,FALSE)</f>
        <v>204</v>
      </c>
      <c r="AL11" s="5">
        <f>VLOOKUP($A11,'SegEnds_NonXtal_Prot#'!$A:$AL,29,FALSE)</f>
        <v>248</v>
      </c>
      <c r="AM11" s="5">
        <f>VLOOKUP($A11,'SegEnds_NonXtal_Prot#'!$A:$AL,32,FALSE)</f>
        <v>287</v>
      </c>
      <c r="AN11" s="5">
        <f>VLOOKUP($A11,'SegEnds_NonXtal_Prot#'!$A:$AL,35,FALSE)</f>
        <v>323</v>
      </c>
      <c r="AO11" s="5">
        <f>VLOOKUP($A11,'SegEnds_NonXtal_Prot#'!$A:$AL,38,FALSE)</f>
        <v>338</v>
      </c>
      <c r="AP11" s="5">
        <f t="shared" si="13"/>
        <v>27</v>
      </c>
      <c r="AQ11" s="4">
        <f t="shared" si="14"/>
        <v>3</v>
      </c>
      <c r="AR11" s="4">
        <f t="shared" si="15"/>
        <v>30</v>
      </c>
      <c r="AS11" s="4">
        <f t="shared" si="16"/>
        <v>3</v>
      </c>
      <c r="AT11" s="4">
        <f t="shared" si="17"/>
        <v>35</v>
      </c>
      <c r="AU11" s="4">
        <f t="shared" si="18"/>
        <v>7</v>
      </c>
      <c r="AV11" s="4">
        <f t="shared" si="19"/>
        <v>26</v>
      </c>
      <c r="AW11" s="4">
        <f t="shared" si="20"/>
        <v>2</v>
      </c>
      <c r="AX11" s="4">
        <f t="shared" si="21"/>
        <v>38</v>
      </c>
      <c r="AY11" s="4">
        <f t="shared" si="22"/>
        <v>34</v>
      </c>
      <c r="AZ11" s="4">
        <f t="shared" si="23"/>
        <v>32</v>
      </c>
      <c r="BA11" s="4">
        <f t="shared" si="24"/>
        <v>14</v>
      </c>
    </row>
    <row r="12" spans="1:53" x14ac:dyDescent="0.2">
      <c r="A12" s="1" t="str">
        <f>'SegEnds_NonXtal_Prot#'!A148</f>
        <v>gpr55_human</v>
      </c>
      <c r="B12" s="1" t="str">
        <f t="shared" si="0"/>
        <v>LMKTLQFAVHIPTFVLGLLLNLLAIHGFSTFAATSIYMINLAVFDLLLVLSLPFKMVLSQVLCTLVECLYFVSMYGSVFTICFISMDRFLAIRYSPRKIFGICCTIWVLVWTGSIPIYSFHSDDTWSAKVFFPLEVFGFLLPMGIMGFCCSRSIHILLGRTQDWVQQKACIYSIAASLAVFVVSFLPVHLGFFLQFLVRNSECRAKQSISFFLQLSMCFSNVNCCLDVFCYYFVIKEFRMNIRAHRP</v>
      </c>
      <c r="C12" s="29" t="str">
        <f>IF(ISERROR(MATCH(A12,'SegEnds_Xtal_Prot#'!B:B, 0)), "NoXtal", "Xtal")</f>
        <v>NoXtal</v>
      </c>
      <c r="D12" s="4" t="str">
        <f>VLOOKUP(A12,Classification!A:D,2,FALSE)</f>
        <v>A</v>
      </c>
      <c r="E12" s="5" t="str">
        <f>VLOOKUP(A12,Seqs!A:B,2,FALSE)</f>
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</c>
      <c r="F12" s="5" t="str">
        <f t="shared" si="1"/>
        <v>LMKTLQFAVHIPTFVLGLLLNLLAIHGFSTF</v>
      </c>
      <c r="G12" s="4" t="str">
        <f t="shared" si="2"/>
        <v/>
      </c>
      <c r="H12" s="4" t="str">
        <f t="shared" si="3"/>
        <v>AATSIYMINLAVFDLLLVLSLPFKMVLSQV</v>
      </c>
      <c r="I12" s="4" t="str">
        <f t="shared" si="4"/>
        <v/>
      </c>
      <c r="J12" s="4" t="str">
        <f t="shared" si="5"/>
        <v>LCTLVECLYFVSMYGSVFTICFISMDRFLAIRY</v>
      </c>
      <c r="K12" s="4" t="str">
        <f t="shared" si="6"/>
        <v>PLLVSHLR</v>
      </c>
      <c r="L12" s="4" t="str">
        <f t="shared" si="7"/>
        <v>SPRKIFGICCTIWVLVWTGSIPIYSFH</v>
      </c>
      <c r="M12" s="4" t="str">
        <f t="shared" si="8"/>
        <v>CFH</v>
      </c>
      <c r="N12" s="4" t="str">
        <f t="shared" si="9"/>
        <v>SDDTWSAKVFFPLEVFGFLLPMGIMGFCCSRSIHILLGR</v>
      </c>
      <c r="O12" s="4" t="str">
        <f t="shared" si="10"/>
        <v>TQDWVQQKACIYSIAASLAVFVVSFLPVHLGFFLQFLVRNS</v>
      </c>
      <c r="P12" s="4" t="str">
        <f t="shared" si="11"/>
        <v>ECRAKQSISFFLQLSMCFSNVNCCLDVFCYYFV</v>
      </c>
      <c r="Q12" s="4" t="str">
        <f t="shared" si="12"/>
        <v>IKEFRMNIRAHRP</v>
      </c>
      <c r="R12" s="5">
        <f>VLOOKUP($A12,'SegEnds_NonXtal_Prot#'!$A:$AL,3,FALSE)</f>
        <v>18</v>
      </c>
      <c r="S12" s="5" t="str">
        <f>VLOOKUP($A12,'SegEnds_NonXtal_Prot#'!$A:$AL,6,FALSE)</f>
        <v>-</v>
      </c>
      <c r="T12" s="5">
        <f>VLOOKUP($A12,'SegEnds_NonXtal_Prot#'!$A:$AL,9,FALSE)</f>
        <v>57</v>
      </c>
      <c r="U12" s="5" t="str">
        <f>VLOOKUP($A12,'SegEnds_NonXtal_Prot#'!$A:$AL,12,FALSE)</f>
        <v>-</v>
      </c>
      <c r="V12" s="5">
        <f>VLOOKUP($A12,'SegEnds_NonXtal_Prot#'!$A:$AL,15,FALSE)</f>
        <v>93</v>
      </c>
      <c r="W12" s="5">
        <f>VLOOKUP($A12,'SegEnds_NonXtal_Prot#'!$A:$AL,18,FALSE)</f>
        <v>126</v>
      </c>
      <c r="X12" s="5">
        <f>VLOOKUP($A12,'SegEnds_NonXtal_Prot#'!$A:$AL,21,FALSE)</f>
        <v>134</v>
      </c>
      <c r="Y12" s="5">
        <f>VLOOKUP($A12,'SegEnds_NonXtal_Prot#'!$A:$AL,24,FALSE)</f>
        <v>168</v>
      </c>
      <c r="Z12" s="5">
        <f>VLOOKUP($A12,'SegEnds_NonXtal_Prot#'!$A:$AL,27,FALSE)</f>
        <v>173</v>
      </c>
      <c r="AA12" s="5">
        <f>VLOOKUP($A12,'SegEnds_NonXtal_Prot#'!$A:$AL,30,FALSE)</f>
        <v>215</v>
      </c>
      <c r="AB12" s="5">
        <f>VLOOKUP($A12,'SegEnds_NonXtal_Prot#'!$A:$AL,33,FALSE)</f>
        <v>259</v>
      </c>
      <c r="AC12" s="5">
        <f>VLOOKUP($A12,'SegEnds_NonXtal_Prot#'!$A:$AL,36,FALSE)</f>
        <v>292</v>
      </c>
      <c r="AD12" s="5">
        <f>VLOOKUP($A12,'SegEnds_NonXtal_Prot#'!$A:$AL,5,FALSE)</f>
        <v>48</v>
      </c>
      <c r="AE12" s="5" t="str">
        <f>VLOOKUP($A12,'SegEnds_NonXtal_Prot#'!$A:$AL,8,FALSE)</f>
        <v>-</v>
      </c>
      <c r="AF12" s="5">
        <f>VLOOKUP($A12,'SegEnds_NonXtal_Prot#'!$A:$AL,11,FALSE)</f>
        <v>86</v>
      </c>
      <c r="AG12" s="5" t="str">
        <f>VLOOKUP($A12,'SegEnds_NonXtal_Prot#'!$A:$AL,14,FALSE)</f>
        <v>-</v>
      </c>
      <c r="AH12" s="5">
        <f>VLOOKUP($A12,'SegEnds_NonXtal_Prot#'!$A:$AL,17,FALSE)</f>
        <v>125</v>
      </c>
      <c r="AI12" s="5">
        <f>VLOOKUP($A12,'SegEnds_NonXtal_Prot#'!$A:$AL,20,FALSE)</f>
        <v>133</v>
      </c>
      <c r="AJ12" s="5">
        <f>VLOOKUP($A12,'SegEnds_NonXtal_Prot#'!$A:$AL,23,FALSE)</f>
        <v>160</v>
      </c>
      <c r="AK12" s="5">
        <f>VLOOKUP($A12,'SegEnds_NonXtal_Prot#'!$A:$AL,26,FALSE)</f>
        <v>170</v>
      </c>
      <c r="AL12" s="5">
        <f>VLOOKUP($A12,'SegEnds_NonXtal_Prot#'!$A:$AL,29,FALSE)</f>
        <v>211</v>
      </c>
      <c r="AM12" s="5">
        <f>VLOOKUP($A12,'SegEnds_NonXtal_Prot#'!$A:$AL,32,FALSE)</f>
        <v>255</v>
      </c>
      <c r="AN12" s="5">
        <f>VLOOKUP($A12,'SegEnds_NonXtal_Prot#'!$A:$AL,35,FALSE)</f>
        <v>291</v>
      </c>
      <c r="AO12" s="5">
        <f>VLOOKUP($A12,'SegEnds_NonXtal_Prot#'!$A:$AL,38,FALSE)</f>
        <v>304</v>
      </c>
      <c r="AP12" s="5">
        <f t="shared" si="13"/>
        <v>30</v>
      </c>
      <c r="AQ12" s="4" t="str">
        <f t="shared" si="14"/>
        <v>-</v>
      </c>
      <c r="AR12" s="4">
        <f t="shared" si="15"/>
        <v>29</v>
      </c>
      <c r="AS12" s="4" t="str">
        <f t="shared" si="16"/>
        <v>-</v>
      </c>
      <c r="AT12" s="4">
        <f t="shared" si="17"/>
        <v>32</v>
      </c>
      <c r="AU12" s="4">
        <f t="shared" si="18"/>
        <v>7</v>
      </c>
      <c r="AV12" s="4">
        <f t="shared" si="19"/>
        <v>26</v>
      </c>
      <c r="AW12" s="4">
        <f t="shared" si="20"/>
        <v>2</v>
      </c>
      <c r="AX12" s="4">
        <f t="shared" si="21"/>
        <v>38</v>
      </c>
      <c r="AY12" s="4">
        <f t="shared" si="22"/>
        <v>40</v>
      </c>
      <c r="AZ12" s="4">
        <f t="shared" si="23"/>
        <v>32</v>
      </c>
      <c r="BA12" s="4">
        <f t="shared" si="24"/>
        <v>12</v>
      </c>
    </row>
    <row r="13" spans="1:53" x14ac:dyDescent="0.2">
      <c r="A13" s="1" t="str">
        <f>'SegEnds_NonXtal_Prot#'!A159</f>
        <v>hcar2_human</v>
      </c>
      <c r="B13" s="1" t="str">
        <f t="shared" si="0"/>
        <v>FIVKVLPPVLGLEFIFGLLGNGLALWIFCFHKSSRIFLFNLAVADFLLIICLPFLMDNYVRGDIPCRLMLFMLAMNRQGSIIFLTVVAVDRYFRVVHSNRTAAIISCLLWGITIGLTVHLLKKKICHTFQWHEAMFLLEFFLPLGIILFCSARIIWSLRQRHAKIKRAITFIMVVAIVFVICFLPSVVVRIRIFWLLHTNCEVYRSVDLAFFITLSFTYMNSMLDPVVYYFSSPSFPNFFSTLIN</v>
      </c>
      <c r="C13" s="29" t="str">
        <f>IF(ISERROR(MATCH(A13,'SegEnds_Xtal_Prot#'!B:B, 0)), "NoXtal", "Xtal")</f>
        <v>NoXtal</v>
      </c>
      <c r="D13" s="4" t="str">
        <f>VLOOKUP(A13,Classification!A:D,2,FALSE)</f>
        <v>A</v>
      </c>
      <c r="E13" s="5" t="str">
        <f>VLOOKUP(A13,Seqs!A:B,2,FALSE)</f>
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</c>
      <c r="F13" s="5" t="str">
        <f t="shared" si="1"/>
        <v>FIVKVLPPVLGLEFIFGLLGNGLALWIFCFH</v>
      </c>
      <c r="G13" s="4" t="str">
        <f t="shared" si="2"/>
        <v/>
      </c>
      <c r="H13" s="4" t="str">
        <f t="shared" si="3"/>
        <v>KSSRIFLFNLAVADFLLIICLPFLMDNYVR</v>
      </c>
      <c r="I13" s="4" t="str">
        <f t="shared" si="4"/>
        <v>DWKF</v>
      </c>
      <c r="J13" s="4" t="str">
        <f t="shared" si="5"/>
        <v>GDIPCRLMLFMLAMNRQGSIIFLTVVAVDRYFRVVH</v>
      </c>
      <c r="K13" s="4" t="str">
        <f t="shared" si="6"/>
        <v>PHHALNKI</v>
      </c>
      <c r="L13" s="4" t="str">
        <f t="shared" si="7"/>
        <v>SNRTAAIISCLLWGITIGLTVHLLKKK</v>
      </c>
      <c r="M13" s="4" t="str">
        <f t="shared" si="8"/>
        <v>CSS</v>
      </c>
      <c r="N13" s="4" t="str">
        <f t="shared" si="9"/>
        <v>ICHTFQWHEAMFLLEFFLPLGIILFCSARIIWSLRQ</v>
      </c>
      <c r="O13" s="4" t="str">
        <f t="shared" si="10"/>
        <v>RHAKIKRAITFIMVVAIVFVICFLPSVVVRIRIFWLLHT</v>
      </c>
      <c r="P13" s="4" t="str">
        <f t="shared" si="11"/>
        <v>NCEVYRSVDLAFFITLSFTYMNSMLDPVVYYFS</v>
      </c>
      <c r="Q13" s="4" t="str">
        <f t="shared" si="12"/>
        <v>SPSFPNFFSTLIN</v>
      </c>
      <c r="R13" s="5">
        <f>VLOOKUP($A13,'SegEnds_NonXtal_Prot#'!$A:$AL,3,FALSE)</f>
        <v>25</v>
      </c>
      <c r="S13" s="5" t="str">
        <f>VLOOKUP($A13,'SegEnds_NonXtal_Prot#'!$A:$AL,6,FALSE)</f>
        <v>-</v>
      </c>
      <c r="T13" s="5">
        <f>VLOOKUP($A13,'SegEnds_NonXtal_Prot#'!$A:$AL,9,FALSE)</f>
        <v>60</v>
      </c>
      <c r="U13" s="5">
        <f>VLOOKUP($A13,'SegEnds_NonXtal_Prot#'!$A:$AL,12,FALSE)</f>
        <v>92</v>
      </c>
      <c r="V13" s="5">
        <f>VLOOKUP($A13,'SegEnds_NonXtal_Prot#'!$A:$AL,15,FALSE)</f>
        <v>96</v>
      </c>
      <c r="W13" s="5">
        <f>VLOOKUP($A13,'SegEnds_NonXtal_Prot#'!$A:$AL,18,FALSE)</f>
        <v>132</v>
      </c>
      <c r="X13" s="5">
        <f>VLOOKUP($A13,'SegEnds_NonXtal_Prot#'!$A:$AL,21,FALSE)</f>
        <v>140</v>
      </c>
      <c r="Y13" s="5">
        <f>VLOOKUP($A13,'SegEnds_NonXtal_Prot#'!$A:$AL,24,FALSE)</f>
        <v>177</v>
      </c>
      <c r="Z13" s="5">
        <f>VLOOKUP($A13,'SegEnds_NonXtal_Prot#'!$A:$AL,27,FALSE)</f>
        <v>182</v>
      </c>
      <c r="AA13" s="5">
        <f>VLOOKUP($A13,'SegEnds_NonXtal_Prot#'!$A:$AL,30,FALSE)</f>
        <v>222</v>
      </c>
      <c r="AB13" s="5">
        <f>VLOOKUP($A13,'SegEnds_NonXtal_Prot#'!$A:$AL,33,FALSE)</f>
        <v>265</v>
      </c>
      <c r="AC13" s="5">
        <f>VLOOKUP($A13,'SegEnds_NonXtal_Prot#'!$A:$AL,36,FALSE)</f>
        <v>298</v>
      </c>
      <c r="AD13" s="5">
        <f>VLOOKUP($A13,'SegEnds_NonXtal_Prot#'!$A:$AL,5,FALSE)</f>
        <v>55</v>
      </c>
      <c r="AE13" s="5" t="str">
        <f>VLOOKUP($A13,'SegEnds_NonXtal_Prot#'!$A:$AL,8,FALSE)</f>
        <v>-</v>
      </c>
      <c r="AF13" s="5">
        <f>VLOOKUP($A13,'SegEnds_NonXtal_Prot#'!$A:$AL,11,FALSE)</f>
        <v>89</v>
      </c>
      <c r="AG13" s="5">
        <f>VLOOKUP($A13,'SegEnds_NonXtal_Prot#'!$A:$AL,14,FALSE)</f>
        <v>95</v>
      </c>
      <c r="AH13" s="5">
        <f>VLOOKUP($A13,'SegEnds_NonXtal_Prot#'!$A:$AL,17,FALSE)</f>
        <v>131</v>
      </c>
      <c r="AI13" s="5">
        <f>VLOOKUP($A13,'SegEnds_NonXtal_Prot#'!$A:$AL,20,FALSE)</f>
        <v>139</v>
      </c>
      <c r="AJ13" s="5">
        <f>VLOOKUP($A13,'SegEnds_NonXtal_Prot#'!$A:$AL,23,FALSE)</f>
        <v>166</v>
      </c>
      <c r="AK13" s="5">
        <f>VLOOKUP($A13,'SegEnds_NonXtal_Prot#'!$A:$AL,26,FALSE)</f>
        <v>179</v>
      </c>
      <c r="AL13" s="5">
        <f>VLOOKUP($A13,'SegEnds_NonXtal_Prot#'!$A:$AL,29,FALSE)</f>
        <v>217</v>
      </c>
      <c r="AM13" s="5">
        <f>VLOOKUP($A13,'SegEnds_NonXtal_Prot#'!$A:$AL,32,FALSE)</f>
        <v>260</v>
      </c>
      <c r="AN13" s="5">
        <f>VLOOKUP($A13,'SegEnds_NonXtal_Prot#'!$A:$AL,35,FALSE)</f>
        <v>297</v>
      </c>
      <c r="AO13" s="5">
        <f>VLOOKUP($A13,'SegEnds_NonXtal_Prot#'!$A:$AL,38,FALSE)</f>
        <v>310</v>
      </c>
      <c r="AP13" s="5">
        <f t="shared" si="13"/>
        <v>30</v>
      </c>
      <c r="AQ13" s="4" t="str">
        <f t="shared" si="14"/>
        <v>-</v>
      </c>
      <c r="AR13" s="4">
        <f t="shared" si="15"/>
        <v>29</v>
      </c>
      <c r="AS13" s="4">
        <f t="shared" si="16"/>
        <v>3</v>
      </c>
      <c r="AT13" s="4">
        <f t="shared" si="17"/>
        <v>35</v>
      </c>
      <c r="AU13" s="4">
        <f t="shared" si="18"/>
        <v>7</v>
      </c>
      <c r="AV13" s="4">
        <f t="shared" si="19"/>
        <v>26</v>
      </c>
      <c r="AW13" s="4">
        <f t="shared" si="20"/>
        <v>2</v>
      </c>
      <c r="AX13" s="4">
        <f t="shared" si="21"/>
        <v>35</v>
      </c>
      <c r="AY13" s="4">
        <f t="shared" si="22"/>
        <v>38</v>
      </c>
      <c r="AZ13" s="4">
        <f t="shared" si="23"/>
        <v>32</v>
      </c>
      <c r="BA13" s="4">
        <f t="shared" si="24"/>
        <v>12</v>
      </c>
    </row>
    <row r="14" spans="1:53" x14ac:dyDescent="0.2">
      <c r="A14" s="1" t="str">
        <f>'SegEnds_NonXtal_Prot#'!A172</f>
        <v>lt4r2_human</v>
      </c>
      <c r="B14" s="1" t="str">
        <f t="shared" si="0"/>
        <v>RATGTAFLLLAALLGLPGNGFVVWSLAGWGRPLAATLVLHLALADGAVLLLTPLFVAFLTRGQAGCKAVYYVCALSMYASVLLTGLLSLQRCLAVTRSPALARRLLLAVWLAALLLAVPAAVYRAAAHLSLETLTAFVLPFGLMLGCYSVTLARLRGSGRHGARVGRLVSAIVLAFGLLWAPYHAVNLLQAVAALALAKLGGAGQAARAGTTALAFFSSSVNPVLYVFTAGDLLPRAGPRFLTRLFE</v>
      </c>
      <c r="C14" s="29" t="str">
        <f>IF(ISERROR(MATCH(A14,'SegEnds_Xtal_Prot#'!B:B, 0)), "NoXtal", "Xtal")</f>
        <v>NoXtal</v>
      </c>
      <c r="D14" s="4" t="str">
        <f>VLOOKUP(A14,Classification!A:D,2,FALSE)</f>
        <v>A</v>
      </c>
      <c r="E14" s="5" t="str">
        <f>VLOOKUP(A14,Seqs!A:B,2,FALSE)</f>
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</c>
      <c r="F14" s="5" t="str">
        <f t="shared" si="1"/>
        <v>RATGTAFLLLAALLGLPGNGFVVWSLAGW</v>
      </c>
      <c r="G14" s="4" t="str">
        <f t="shared" si="2"/>
        <v>RPAR</v>
      </c>
      <c r="H14" s="4" t="str">
        <f t="shared" si="3"/>
        <v>GRPLAATLVLHLALADGAVLLLTPLFVAFLTR</v>
      </c>
      <c r="I14" s="4" t="str">
        <f t="shared" si="4"/>
        <v>AWPL</v>
      </c>
      <c r="J14" s="4" t="str">
        <f t="shared" si="5"/>
        <v>GQAGCKAVYYVCALSMYASVLLTGLLSLQRCLAVTR</v>
      </c>
      <c r="K14" s="4" t="str">
        <f t="shared" si="6"/>
        <v>PFLAPRLR</v>
      </c>
      <c r="L14" s="4" t="str">
        <f t="shared" si="7"/>
        <v>SPALARRLLLAVWLAALLLAVPAAVYR</v>
      </c>
      <c r="M14" s="4" t="str">
        <f t="shared" si="8"/>
        <v>CHP</v>
      </c>
      <c r="N14" s="4" t="str">
        <f t="shared" si="9"/>
        <v>AAAHLSLETLTAFVLPFGLMLGCYSVTLARLRG</v>
      </c>
      <c r="O14" s="4" t="str">
        <f t="shared" si="10"/>
        <v>SGRHGARVGRLVSAIVLAFGLLWAPYHAVNLLQAVAALA</v>
      </c>
      <c r="P14" s="4" t="str">
        <f t="shared" si="11"/>
        <v>LAKLGGAGQAARAGTTALAFFSSSVNPVLYVFT</v>
      </c>
      <c r="Q14" s="4" t="str">
        <f t="shared" si="12"/>
        <v>AGDLLPRAGPRFLTRLFE</v>
      </c>
      <c r="R14" s="5">
        <f>VLOOKUP($A14,'SegEnds_NonXtal_Prot#'!$A:$AL,3,FALSE)</f>
        <v>51</v>
      </c>
      <c r="S14" s="5">
        <f>VLOOKUP($A14,'SegEnds_NonXtal_Prot#'!$A:$AL,6,FALSE)</f>
        <v>80</v>
      </c>
      <c r="T14" s="5">
        <f>VLOOKUP($A14,'SegEnds_NonXtal_Prot#'!$A:$AL,9,FALSE)</f>
        <v>84</v>
      </c>
      <c r="U14" s="5">
        <f>VLOOKUP($A14,'SegEnds_NonXtal_Prot#'!$A:$AL,12,FALSE)</f>
        <v>117</v>
      </c>
      <c r="V14" s="5">
        <f>VLOOKUP($A14,'SegEnds_NonXtal_Prot#'!$A:$AL,15,FALSE)</f>
        <v>121</v>
      </c>
      <c r="W14" s="5">
        <f>VLOOKUP($A14,'SegEnds_NonXtal_Prot#'!$A:$AL,18,FALSE)</f>
        <v>157</v>
      </c>
      <c r="X14" s="5">
        <f>VLOOKUP($A14,'SegEnds_NonXtal_Prot#'!$A:$AL,21,FALSE)</f>
        <v>165</v>
      </c>
      <c r="Y14" s="5">
        <f>VLOOKUP($A14,'SegEnds_NonXtal_Prot#'!$A:$AL,24,FALSE)</f>
        <v>202</v>
      </c>
      <c r="Z14" s="5">
        <f>VLOOKUP($A14,'SegEnds_NonXtal_Prot#'!$A:$AL,27,FALSE)</f>
        <v>209</v>
      </c>
      <c r="AA14" s="5">
        <f>VLOOKUP($A14,'SegEnds_NonXtal_Prot#'!$A:$AL,30,FALSE)</f>
        <v>246</v>
      </c>
      <c r="AB14" s="5">
        <f>VLOOKUP($A14,'SegEnds_NonXtal_Prot#'!$A:$AL,33,FALSE)</f>
        <v>290</v>
      </c>
      <c r="AC14" s="5">
        <f>VLOOKUP($A14,'SegEnds_NonXtal_Prot#'!$A:$AL,36,FALSE)</f>
        <v>323</v>
      </c>
      <c r="AD14" s="5">
        <f>VLOOKUP($A14,'SegEnds_NonXtal_Prot#'!$A:$AL,5,FALSE)</f>
        <v>79</v>
      </c>
      <c r="AE14" s="5">
        <f>VLOOKUP($A14,'SegEnds_NonXtal_Prot#'!$A:$AL,8,FALSE)</f>
        <v>83</v>
      </c>
      <c r="AF14" s="5">
        <f>VLOOKUP($A14,'SegEnds_NonXtal_Prot#'!$A:$AL,11,FALSE)</f>
        <v>115</v>
      </c>
      <c r="AG14" s="5">
        <f>VLOOKUP($A14,'SegEnds_NonXtal_Prot#'!$A:$AL,14,FALSE)</f>
        <v>120</v>
      </c>
      <c r="AH14" s="5">
        <f>VLOOKUP($A14,'SegEnds_NonXtal_Prot#'!$A:$AL,17,FALSE)</f>
        <v>156</v>
      </c>
      <c r="AI14" s="5">
        <f>VLOOKUP($A14,'SegEnds_NonXtal_Prot#'!$A:$AL,20,FALSE)</f>
        <v>164</v>
      </c>
      <c r="AJ14" s="5">
        <f>VLOOKUP($A14,'SegEnds_NonXtal_Prot#'!$A:$AL,23,FALSE)</f>
        <v>191</v>
      </c>
      <c r="AK14" s="5">
        <f>VLOOKUP($A14,'SegEnds_NonXtal_Prot#'!$A:$AL,26,FALSE)</f>
        <v>204</v>
      </c>
      <c r="AL14" s="5">
        <f>VLOOKUP($A14,'SegEnds_NonXtal_Prot#'!$A:$AL,29,FALSE)</f>
        <v>241</v>
      </c>
      <c r="AM14" s="5">
        <f>VLOOKUP($A14,'SegEnds_NonXtal_Prot#'!$A:$AL,32,FALSE)</f>
        <v>284</v>
      </c>
      <c r="AN14" s="5">
        <f>VLOOKUP($A14,'SegEnds_NonXtal_Prot#'!$A:$AL,35,FALSE)</f>
        <v>322</v>
      </c>
      <c r="AO14" s="5">
        <f>VLOOKUP($A14,'SegEnds_NonXtal_Prot#'!$A:$AL,38,FALSE)</f>
        <v>340</v>
      </c>
      <c r="AP14" s="5">
        <f t="shared" si="13"/>
        <v>28</v>
      </c>
      <c r="AQ14" s="4">
        <f t="shared" si="14"/>
        <v>3</v>
      </c>
      <c r="AR14" s="4">
        <f t="shared" si="15"/>
        <v>31</v>
      </c>
      <c r="AS14" s="4">
        <f t="shared" si="16"/>
        <v>3</v>
      </c>
      <c r="AT14" s="4">
        <f t="shared" si="17"/>
        <v>35</v>
      </c>
      <c r="AU14" s="4">
        <f t="shared" si="18"/>
        <v>7</v>
      </c>
      <c r="AV14" s="4">
        <f t="shared" si="19"/>
        <v>26</v>
      </c>
      <c r="AW14" s="4">
        <f t="shared" si="20"/>
        <v>2</v>
      </c>
      <c r="AX14" s="4">
        <f t="shared" si="21"/>
        <v>32</v>
      </c>
      <c r="AY14" s="4">
        <f t="shared" si="22"/>
        <v>38</v>
      </c>
      <c r="AZ14" s="4">
        <f t="shared" si="23"/>
        <v>32</v>
      </c>
      <c r="BA14" s="4">
        <f t="shared" si="24"/>
        <v>17</v>
      </c>
    </row>
    <row r="15" spans="1:53" x14ac:dyDescent="0.2">
      <c r="A15" s="1" t="str">
        <f>'SegEnds_NonXtal_Prot#'!A180</f>
        <v>mrgrd_human</v>
      </c>
      <c r="B15" s="1" t="str">
        <f t="shared" si="0"/>
        <v>HTAYLVLSSLAMFTCLCGMAGNSMVIWLLGFRNPFCIYILNLAAADLLFLFSMASTLSLETQTDKVHELMKRLMYFAYTVGLSLLTAISTQRCLSVLFPRHLSAWVCGLLWTLCLLMNGLTSSFCDRCFRVDMVQAALIMGVLTPVMTLSSLTLFVWVRRSSQRQPTRLFVVVLASVLVFLICSLPLSIYWFVLYWLQVLCFSLSRLSSSVSSSANPVIYFLVGSRRSHRLPT</v>
      </c>
      <c r="C15" s="29" t="str">
        <f>IF(ISERROR(MATCH(A15,'SegEnds_Xtal_Prot#'!B:B, 0)), "NoXtal", "Xtal")</f>
        <v>NoXtal</v>
      </c>
      <c r="D15" s="4" t="str">
        <f>VLOOKUP(A15,Classification!A:D,2,FALSE)</f>
        <v>A</v>
      </c>
      <c r="E15" s="5" t="str">
        <f>VLOOKUP(A15,Seqs!A:B,2,FALSE)</f>
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</c>
      <c r="F15" s="5" t="str">
        <f t="shared" si="1"/>
        <v>HTAYLVLSSLAMFTCLCGMAGNSMVIWLLGFR</v>
      </c>
      <c r="G15" s="4" t="str">
        <f t="shared" si="2"/>
        <v/>
      </c>
      <c r="H15" s="4" t="str">
        <f t="shared" si="3"/>
        <v>NPFCIYILNLAAADLLFLFSMASTLSLETQ</v>
      </c>
      <c r="I15" s="4" t="str">
        <f t="shared" si="4"/>
        <v/>
      </c>
      <c r="J15" s="4" t="str">
        <f t="shared" si="5"/>
        <v>TDKVHELMKRLMYFAYTVGLSLLTAISTQRCLSVLF</v>
      </c>
      <c r="K15" s="4" t="str">
        <f t="shared" si="6"/>
        <v>PIWFKCHR</v>
      </c>
      <c r="L15" s="4" t="str">
        <f t="shared" si="7"/>
        <v>PRHLSAWVCGLLWTLCLLMNGLTSSFC</v>
      </c>
      <c r="M15" s="4" t="str">
        <f t="shared" si="8"/>
        <v/>
      </c>
      <c r="N15" s="4" t="str">
        <f t="shared" si="9"/>
        <v>DRCFRVDMVQAALIMGVLTPVMTLSSLTLFVWVRRSSQ</v>
      </c>
      <c r="O15" s="4" t="str">
        <f t="shared" si="10"/>
        <v>RQPTRLFVVVLASVLVFLICSLPLSIYWFVLYWL</v>
      </c>
      <c r="P15" s="4" t="str">
        <f t="shared" si="11"/>
        <v>QVLCFSLSRLSSSVSSSANPVIYFLV</v>
      </c>
      <c r="Q15" s="4" t="str">
        <f t="shared" si="12"/>
        <v>GSRRSHRLPT</v>
      </c>
      <c r="R15" s="5">
        <f>VLOOKUP($A15,'SegEnds_NonXtal_Prot#'!$A:$AL,3,FALSE)</f>
        <v>24</v>
      </c>
      <c r="S15" s="5" t="str">
        <f>VLOOKUP($A15,'SegEnds_NonXtal_Prot#'!$A:$AL,6,FALSE)</f>
        <v>-</v>
      </c>
      <c r="T15" s="5">
        <f>VLOOKUP($A15,'SegEnds_NonXtal_Prot#'!$A:$AL,9,FALSE)</f>
        <v>59</v>
      </c>
      <c r="U15" s="5" t="str">
        <f>VLOOKUP($A15,'SegEnds_NonXtal_Prot#'!$A:$AL,12,FALSE)</f>
        <v>-</v>
      </c>
      <c r="V15" s="5">
        <f>VLOOKUP($A15,'SegEnds_NonXtal_Prot#'!$A:$AL,15,FALSE)</f>
        <v>94</v>
      </c>
      <c r="W15" s="5">
        <f>VLOOKUP($A15,'SegEnds_NonXtal_Prot#'!$A:$AL,18,FALSE)</f>
        <v>130</v>
      </c>
      <c r="X15" s="5">
        <f>VLOOKUP($A15,'SegEnds_NonXtal_Prot#'!$A:$AL,21,FALSE)</f>
        <v>138</v>
      </c>
      <c r="Y15" s="5" t="str">
        <f>VLOOKUP($A15,'SegEnds_NonXtal_Prot#'!$A:$AL,24,FALSE)</f>
        <v>-</v>
      </c>
      <c r="Z15" s="5">
        <f>VLOOKUP($A15,'SegEnds_NonXtal_Prot#'!$A:$AL,27,FALSE)</f>
        <v>173</v>
      </c>
      <c r="AA15" s="5">
        <f>VLOOKUP($A15,'SegEnds_NonXtal_Prot#'!$A:$AL,30,FALSE)</f>
        <v>214</v>
      </c>
      <c r="AB15" s="5">
        <f>VLOOKUP($A15,'SegEnds_NonXtal_Prot#'!$A:$AL,33,FALSE)</f>
        <v>254</v>
      </c>
      <c r="AC15" s="5">
        <f>VLOOKUP($A15,'SegEnds_NonXtal_Prot#'!$A:$AL,36,FALSE)</f>
        <v>280</v>
      </c>
      <c r="AD15" s="5">
        <f>VLOOKUP($A15,'SegEnds_NonXtal_Prot#'!$A:$AL,5,FALSE)</f>
        <v>55</v>
      </c>
      <c r="AE15" s="5" t="str">
        <f>VLOOKUP($A15,'SegEnds_NonXtal_Prot#'!$A:$AL,8,FALSE)</f>
        <v>-</v>
      </c>
      <c r="AF15" s="5">
        <f>VLOOKUP($A15,'SegEnds_NonXtal_Prot#'!$A:$AL,11,FALSE)</f>
        <v>88</v>
      </c>
      <c r="AG15" s="5" t="str">
        <f>VLOOKUP($A15,'SegEnds_NonXtal_Prot#'!$A:$AL,14,FALSE)</f>
        <v>-</v>
      </c>
      <c r="AH15" s="5">
        <f>VLOOKUP($A15,'SegEnds_NonXtal_Prot#'!$A:$AL,17,FALSE)</f>
        <v>129</v>
      </c>
      <c r="AI15" s="5">
        <f>VLOOKUP($A15,'SegEnds_NonXtal_Prot#'!$A:$AL,20,FALSE)</f>
        <v>137</v>
      </c>
      <c r="AJ15" s="5">
        <f>VLOOKUP($A15,'SegEnds_NonXtal_Prot#'!$A:$AL,23,FALSE)</f>
        <v>164</v>
      </c>
      <c r="AK15" s="5" t="str">
        <f>VLOOKUP($A15,'SegEnds_NonXtal_Prot#'!$A:$AL,26,FALSE)</f>
        <v>-</v>
      </c>
      <c r="AL15" s="5">
        <f>VLOOKUP($A15,'SegEnds_NonXtal_Prot#'!$A:$AL,29,FALSE)</f>
        <v>210</v>
      </c>
      <c r="AM15" s="5">
        <f>VLOOKUP($A15,'SegEnds_NonXtal_Prot#'!$A:$AL,32,FALSE)</f>
        <v>247</v>
      </c>
      <c r="AN15" s="5">
        <f>VLOOKUP($A15,'SegEnds_NonXtal_Prot#'!$A:$AL,35,FALSE)</f>
        <v>279</v>
      </c>
      <c r="AO15" s="5">
        <f>VLOOKUP($A15,'SegEnds_NonXtal_Prot#'!$A:$AL,38,FALSE)</f>
        <v>289</v>
      </c>
      <c r="AP15" s="5">
        <f t="shared" si="13"/>
        <v>31</v>
      </c>
      <c r="AQ15" s="4" t="str">
        <f t="shared" si="14"/>
        <v>-</v>
      </c>
      <c r="AR15" s="4">
        <f t="shared" si="15"/>
        <v>29</v>
      </c>
      <c r="AS15" s="4" t="str">
        <f t="shared" si="16"/>
        <v>-</v>
      </c>
      <c r="AT15" s="4">
        <f t="shared" si="17"/>
        <v>35</v>
      </c>
      <c r="AU15" s="4">
        <f t="shared" si="18"/>
        <v>7</v>
      </c>
      <c r="AV15" s="4">
        <f t="shared" si="19"/>
        <v>26</v>
      </c>
      <c r="AW15" s="4" t="str">
        <f t="shared" si="20"/>
        <v>-</v>
      </c>
      <c r="AX15" s="4">
        <f t="shared" si="21"/>
        <v>37</v>
      </c>
      <c r="AY15" s="4">
        <f t="shared" si="22"/>
        <v>33</v>
      </c>
      <c r="AZ15" s="4">
        <f t="shared" si="23"/>
        <v>25</v>
      </c>
      <c r="BA15" s="4">
        <f t="shared" si="24"/>
        <v>9</v>
      </c>
    </row>
    <row r="16" spans="1:53" x14ac:dyDescent="0.2">
      <c r="A16" s="1" t="str">
        <f>'SegEnds_NonXtal_Prot#'!A183</f>
        <v>mrgrg_human</v>
      </c>
      <c r="B16" s="1" t="str">
        <f t="shared" si="0"/>
        <v>WRTFDSVVFYLTLIVGLGGPVGNGLVLWNLGFRGPFSIYLLHLAAADFLFLSCRVGFSVAQDTLYFVLTFLWFAVGLWLLAAFSVERCLSDLFPRHASAVLCALVWTPTLPAVPLPANACCPRYHVASVTWFLVLARVAWTAGVVLFVWVTCCSRPRLYGIVLGALLLLFFCGLPSVFYWSLQPLLPVFSPLATLLACVNSSSKPLIYSGLGRQPGKREPLRSVLR</v>
      </c>
      <c r="C16" s="29" t="str">
        <f>IF(ISERROR(MATCH(A16,'SegEnds_Xtal_Prot#'!B:B, 0)), "NoXtal", "Xtal")</f>
        <v>NoXtal</v>
      </c>
      <c r="D16" s="4" t="str">
        <f>VLOOKUP(A16,Classification!A:D,2,FALSE)</f>
        <v>A</v>
      </c>
      <c r="E16" s="5" t="str">
        <f>VLOOKUP(A16,Seqs!A:B,2,FALSE)</f>
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</c>
      <c r="F16" s="5" t="str">
        <f t="shared" si="1"/>
        <v>WRTFDSVVFYLTLIVGLGGPVGNGLVLWNLGFR</v>
      </c>
      <c r="G16" s="4" t="str">
        <f t="shared" si="2"/>
        <v/>
      </c>
      <c r="H16" s="4" t="str">
        <f t="shared" si="3"/>
        <v>GPFSIYLLHLAAADFLFLSCRVGFSVA</v>
      </c>
      <c r="I16" s="4" t="str">
        <f t="shared" si="4"/>
        <v/>
      </c>
      <c r="J16" s="4" t="str">
        <f t="shared" si="5"/>
        <v>QDTLYFVLTFLWFAVGLWLLAAFSVERCLSDLF</v>
      </c>
      <c r="K16" s="4" t="str">
        <f t="shared" si="6"/>
        <v>PACYQGCR</v>
      </c>
      <c r="L16" s="4" t="str">
        <f t="shared" si="7"/>
        <v>PRHASAVLCALVWTPTLPAVPLPANAC</v>
      </c>
      <c r="M16" s="4" t="str">
        <f t="shared" si="8"/>
        <v/>
      </c>
      <c r="N16" s="4" t="str">
        <f t="shared" si="9"/>
        <v>CPRYHVASVTWFLVLARVAWTAGVVLFVWVTCCS</v>
      </c>
      <c r="O16" s="4" t="str">
        <f t="shared" si="10"/>
        <v>RPRLYGIVLGALLLLFFCGLPSVFYWSLQPLL</v>
      </c>
      <c r="P16" s="4" t="str">
        <f t="shared" si="11"/>
        <v>PVFSPLATLLACVNSSSKPLIYSGL</v>
      </c>
      <c r="Q16" s="4" t="str">
        <f t="shared" si="12"/>
        <v>GRQPGKREPLRSVLR</v>
      </c>
      <c r="R16" s="5">
        <f>VLOOKUP($A16,'SegEnds_NonXtal_Prot#'!$A:$AL,3,FALSE)</f>
        <v>8</v>
      </c>
      <c r="S16" s="5" t="str">
        <f>VLOOKUP($A16,'SegEnds_NonXtal_Prot#'!$A:$AL,6,FALSE)</f>
        <v>-</v>
      </c>
      <c r="T16" s="5">
        <f>VLOOKUP($A16,'SegEnds_NonXtal_Prot#'!$A:$AL,9,FALSE)</f>
        <v>44</v>
      </c>
      <c r="U16" s="5" t="str">
        <f>VLOOKUP($A16,'SegEnds_NonXtal_Prot#'!$A:$AL,12,FALSE)</f>
        <v>-</v>
      </c>
      <c r="V16" s="5">
        <f>VLOOKUP($A16,'SegEnds_NonXtal_Prot#'!$A:$AL,15,FALSE)</f>
        <v>77</v>
      </c>
      <c r="W16" s="5">
        <f>VLOOKUP($A16,'SegEnds_NonXtal_Prot#'!$A:$AL,18,FALSE)</f>
        <v>110</v>
      </c>
      <c r="X16" s="5">
        <f>VLOOKUP($A16,'SegEnds_NonXtal_Prot#'!$A:$AL,21,FALSE)</f>
        <v>118</v>
      </c>
      <c r="Y16" s="5" t="str">
        <f>VLOOKUP($A16,'SegEnds_NonXtal_Prot#'!$A:$AL,24,FALSE)</f>
        <v>-</v>
      </c>
      <c r="Z16" s="5">
        <f>VLOOKUP($A16,'SegEnds_NonXtal_Prot#'!$A:$AL,27,FALSE)</f>
        <v>156</v>
      </c>
      <c r="AA16" s="5">
        <f>VLOOKUP($A16,'SegEnds_NonXtal_Prot#'!$A:$AL,30,FALSE)</f>
        <v>193</v>
      </c>
      <c r="AB16" s="5">
        <f>VLOOKUP($A16,'SegEnds_NonXtal_Prot#'!$A:$AL,33,FALSE)</f>
        <v>229</v>
      </c>
      <c r="AC16" s="5">
        <f>VLOOKUP($A16,'SegEnds_NonXtal_Prot#'!$A:$AL,36,FALSE)</f>
        <v>254</v>
      </c>
      <c r="AD16" s="5">
        <f>VLOOKUP($A16,'SegEnds_NonXtal_Prot#'!$A:$AL,5,FALSE)</f>
        <v>40</v>
      </c>
      <c r="AE16" s="5" t="str">
        <f>VLOOKUP($A16,'SegEnds_NonXtal_Prot#'!$A:$AL,8,FALSE)</f>
        <v>-</v>
      </c>
      <c r="AF16" s="5">
        <f>VLOOKUP($A16,'SegEnds_NonXtal_Prot#'!$A:$AL,11,FALSE)</f>
        <v>70</v>
      </c>
      <c r="AG16" s="5" t="str">
        <f>VLOOKUP($A16,'SegEnds_NonXtal_Prot#'!$A:$AL,14,FALSE)</f>
        <v>-</v>
      </c>
      <c r="AH16" s="5">
        <f>VLOOKUP($A16,'SegEnds_NonXtal_Prot#'!$A:$AL,17,FALSE)</f>
        <v>109</v>
      </c>
      <c r="AI16" s="5">
        <f>VLOOKUP($A16,'SegEnds_NonXtal_Prot#'!$A:$AL,20,FALSE)</f>
        <v>117</v>
      </c>
      <c r="AJ16" s="5">
        <f>VLOOKUP($A16,'SegEnds_NonXtal_Prot#'!$A:$AL,23,FALSE)</f>
        <v>144</v>
      </c>
      <c r="AK16" s="5" t="str">
        <f>VLOOKUP($A16,'SegEnds_NonXtal_Prot#'!$A:$AL,26,FALSE)</f>
        <v>-</v>
      </c>
      <c r="AL16" s="5">
        <f>VLOOKUP($A16,'SegEnds_NonXtal_Prot#'!$A:$AL,29,FALSE)</f>
        <v>189</v>
      </c>
      <c r="AM16" s="5">
        <f>VLOOKUP($A16,'SegEnds_NonXtal_Prot#'!$A:$AL,32,FALSE)</f>
        <v>224</v>
      </c>
      <c r="AN16" s="5">
        <f>VLOOKUP($A16,'SegEnds_NonXtal_Prot#'!$A:$AL,35,FALSE)</f>
        <v>253</v>
      </c>
      <c r="AO16" s="5">
        <f>VLOOKUP($A16,'SegEnds_NonXtal_Prot#'!$A:$AL,38,FALSE)</f>
        <v>268</v>
      </c>
      <c r="AP16" s="5">
        <f t="shared" si="13"/>
        <v>32</v>
      </c>
      <c r="AQ16" s="4" t="str">
        <f t="shared" si="14"/>
        <v>-</v>
      </c>
      <c r="AR16" s="4">
        <f t="shared" si="15"/>
        <v>26</v>
      </c>
      <c r="AS16" s="4" t="str">
        <f t="shared" si="16"/>
        <v>-</v>
      </c>
      <c r="AT16" s="4">
        <f t="shared" si="17"/>
        <v>32</v>
      </c>
      <c r="AU16" s="4">
        <f t="shared" si="18"/>
        <v>7</v>
      </c>
      <c r="AV16" s="4">
        <f t="shared" si="19"/>
        <v>26</v>
      </c>
      <c r="AW16" s="4" t="str">
        <f t="shared" si="20"/>
        <v>-</v>
      </c>
      <c r="AX16" s="4">
        <f t="shared" si="21"/>
        <v>33</v>
      </c>
      <c r="AY16" s="4">
        <f t="shared" si="22"/>
        <v>31</v>
      </c>
      <c r="AZ16" s="4">
        <f t="shared" si="23"/>
        <v>24</v>
      </c>
      <c r="BA16" s="4">
        <f t="shared" si="24"/>
        <v>14</v>
      </c>
    </row>
    <row r="17" spans="1:53" x14ac:dyDescent="0.2">
      <c r="A17" s="1" t="str">
        <f>'SegEnds_NonXtal_Prot#'!A190</f>
        <v>mtr1a_human</v>
      </c>
      <c r="B17" s="1" t="str">
        <f t="shared" si="0"/>
        <v>PSWLASALACVLIFTIVVDILGNLLVILSVYRNNAGNIFVVSLAVADLVVAIYPYPLVLMSIFNNGYLHCQVSGFLMGLSVIGSIFNITGIAINRYCYICHSSKNSLCYVLLIWLLTLAAVLPNLRAGSSAYTIAVVVFHFLVPMIIVIFCYLRIWILVLQVRQRVPKLKPQDFRNFVTMFVVFVLFAICWAPLNFIGLAVASDPEWLFVASYYMAYFNSCLNAIIYGLLNQNFRKEYRRIIVSLCT</v>
      </c>
      <c r="C17" s="29" t="str">
        <f>IF(ISERROR(MATCH(A17,'SegEnds_Xtal_Prot#'!B:B, 0)), "NoXtal", "Xtal")</f>
        <v>Xtal</v>
      </c>
      <c r="D17" s="4" t="str">
        <f>VLOOKUP(A17,Classification!A:D,2,FALSE)</f>
        <v>A</v>
      </c>
      <c r="E17" s="5" t="str">
        <f>VLOOKUP(A17,Seqs!A:B,2,FALSE)</f>
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</c>
      <c r="F17" s="5" t="str">
        <f t="shared" si="1"/>
        <v>PSWLASALACVLIFTIVVDILGNLLVILSVYRN</v>
      </c>
      <c r="G17" s="4" t="str">
        <f t="shared" si="2"/>
        <v>KKLR</v>
      </c>
      <c r="H17" s="4" t="str">
        <f t="shared" si="3"/>
        <v>NAGNIFVVSLAVADLVVAIYPYPLVLMSIFNN</v>
      </c>
      <c r="I17" s="4" t="str">
        <f t="shared" si="4"/>
        <v>GWNL</v>
      </c>
      <c r="J17" s="4" t="str">
        <f t="shared" si="5"/>
        <v>GYLHCQVSGFLMGLSVIGSIFNITGIAINRYCYICH</v>
      </c>
      <c r="K17" s="4" t="str">
        <f t="shared" si="6"/>
        <v>SLKYDKLY</v>
      </c>
      <c r="L17" s="4" t="str">
        <f t="shared" si="7"/>
        <v>SSKNSLCYVLLIWLLTLAAVLPNLRAG</v>
      </c>
      <c r="M17" s="4" t="str">
        <f t="shared" si="8"/>
        <v>CTF</v>
      </c>
      <c r="N17" s="4" t="str">
        <f t="shared" si="9"/>
        <v>SSAYTIAVVVFHFLVPMIIVIFCYLRIWILVLQVRQRV</v>
      </c>
      <c r="O17" s="4" t="str">
        <f t="shared" si="10"/>
        <v>PKLKPQDFRNFVTMFVVFVLFAICWAPLNFIGLAVASD</v>
      </c>
      <c r="P17" s="4" t="str">
        <f t="shared" si="11"/>
        <v>PEWLFVASYYMAYFNSCLNAIIYGLL</v>
      </c>
      <c r="Q17" s="4" t="str">
        <f t="shared" si="12"/>
        <v>NQNFRKEYRRIIVSLCT</v>
      </c>
      <c r="R17" s="5">
        <f>VLOOKUP($A17,'SegEnds_NonXtal_Prot#'!$A:$AL,3,FALSE)</f>
        <v>23</v>
      </c>
      <c r="S17" s="5">
        <f>VLOOKUP($A17,'SegEnds_NonXtal_Prot#'!$A:$AL,6,FALSE)</f>
        <v>56</v>
      </c>
      <c r="T17" s="5">
        <f>VLOOKUP($A17,'SegEnds_NonXtal_Prot#'!$A:$AL,9,FALSE)</f>
        <v>60</v>
      </c>
      <c r="U17" s="5">
        <f>VLOOKUP($A17,'SegEnds_NonXtal_Prot#'!$A:$AL,12,FALSE)</f>
        <v>92</v>
      </c>
      <c r="V17" s="5">
        <f>VLOOKUP($A17,'SegEnds_NonXtal_Prot#'!$A:$AL,15,FALSE)</f>
        <v>96</v>
      </c>
      <c r="W17" s="5">
        <f>VLOOKUP($A17,'SegEnds_NonXtal_Prot#'!$A:$AL,18,FALSE)</f>
        <v>132</v>
      </c>
      <c r="X17" s="5">
        <f>VLOOKUP($A17,'SegEnds_NonXtal_Prot#'!$A:$AL,21,FALSE)</f>
        <v>140</v>
      </c>
      <c r="Y17" s="5">
        <f>VLOOKUP($A17,'SegEnds_NonXtal_Prot#'!$A:$AL,24,FALSE)</f>
        <v>177</v>
      </c>
      <c r="Z17" s="5">
        <f>VLOOKUP($A17,'SegEnds_NonXtal_Prot#'!$A:$AL,27,FALSE)</f>
        <v>184</v>
      </c>
      <c r="AA17" s="5">
        <f>VLOOKUP($A17,'SegEnds_NonXtal_Prot#'!$A:$AL,30,FALSE)</f>
        <v>227</v>
      </c>
      <c r="AB17" s="5">
        <f>VLOOKUP($A17,'SegEnds_NonXtal_Prot#'!$A:$AL,33,FALSE)</f>
        <v>273</v>
      </c>
      <c r="AC17" s="5">
        <f>VLOOKUP($A17,'SegEnds_NonXtal_Prot#'!$A:$AL,36,FALSE)</f>
        <v>299</v>
      </c>
      <c r="AD17" s="5">
        <f>VLOOKUP($A17,'SegEnds_NonXtal_Prot#'!$A:$AL,5,FALSE)</f>
        <v>55</v>
      </c>
      <c r="AE17" s="5">
        <f>VLOOKUP($A17,'SegEnds_NonXtal_Prot#'!$A:$AL,8,FALSE)</f>
        <v>59</v>
      </c>
      <c r="AF17" s="5">
        <f>VLOOKUP($A17,'SegEnds_NonXtal_Prot#'!$A:$AL,11,FALSE)</f>
        <v>91</v>
      </c>
      <c r="AG17" s="5">
        <f>VLOOKUP($A17,'SegEnds_NonXtal_Prot#'!$A:$AL,14,FALSE)</f>
        <v>95</v>
      </c>
      <c r="AH17" s="5">
        <f>VLOOKUP($A17,'SegEnds_NonXtal_Prot#'!$A:$AL,17,FALSE)</f>
        <v>131</v>
      </c>
      <c r="AI17" s="5">
        <f>VLOOKUP($A17,'SegEnds_NonXtal_Prot#'!$A:$AL,20,FALSE)</f>
        <v>139</v>
      </c>
      <c r="AJ17" s="5">
        <f>VLOOKUP($A17,'SegEnds_NonXtal_Prot#'!$A:$AL,23,FALSE)</f>
        <v>166</v>
      </c>
      <c r="AK17" s="5">
        <f>VLOOKUP($A17,'SegEnds_NonXtal_Prot#'!$A:$AL,26,FALSE)</f>
        <v>179</v>
      </c>
      <c r="AL17" s="5">
        <f>VLOOKUP($A17,'SegEnds_NonXtal_Prot#'!$A:$AL,29,FALSE)</f>
        <v>221</v>
      </c>
      <c r="AM17" s="5">
        <f>VLOOKUP($A17,'SegEnds_NonXtal_Prot#'!$A:$AL,32,FALSE)</f>
        <v>264</v>
      </c>
      <c r="AN17" s="5">
        <f>VLOOKUP($A17,'SegEnds_NonXtal_Prot#'!$A:$AL,35,FALSE)</f>
        <v>298</v>
      </c>
      <c r="AO17" s="5">
        <f>VLOOKUP($A17,'SegEnds_NonXtal_Prot#'!$A:$AL,38,FALSE)</f>
        <v>315</v>
      </c>
      <c r="AP17" s="5">
        <f t="shared" si="13"/>
        <v>32</v>
      </c>
      <c r="AQ17" s="4">
        <f t="shared" si="14"/>
        <v>3</v>
      </c>
      <c r="AR17" s="4">
        <f t="shared" si="15"/>
        <v>31</v>
      </c>
      <c r="AS17" s="4">
        <f t="shared" si="16"/>
        <v>3</v>
      </c>
      <c r="AT17" s="4">
        <f t="shared" si="17"/>
        <v>35</v>
      </c>
      <c r="AU17" s="4">
        <f t="shared" si="18"/>
        <v>7</v>
      </c>
      <c r="AV17" s="4">
        <f t="shared" si="19"/>
        <v>26</v>
      </c>
      <c r="AW17" s="4">
        <f t="shared" si="20"/>
        <v>2</v>
      </c>
      <c r="AX17" s="4">
        <f t="shared" si="21"/>
        <v>37</v>
      </c>
      <c r="AY17" s="4">
        <f t="shared" si="22"/>
        <v>37</v>
      </c>
      <c r="AZ17" s="4">
        <f t="shared" si="23"/>
        <v>25</v>
      </c>
      <c r="BA17" s="4">
        <f t="shared" si="24"/>
        <v>16</v>
      </c>
    </row>
    <row r="18" spans="1:53" x14ac:dyDescent="0.2">
      <c r="A18" s="1" t="str">
        <f>'SegEnds_NonXtal_Prot#'!A200</f>
        <v>opn4_human</v>
      </c>
      <c r="B18" s="1" t="str">
        <f t="shared" si="0"/>
        <v>PDHAHYTLGTVILLVGLTGMLGNLTVIYTFCRSTPANMFIINLAVSDFLMSFTQAPVFFTSSLYKGETGCEFYAFCGALFGISSMITLTAIALDRYLVITRSKRRAAFVLLGVWLYALAWSLPPFFAVRAYTMLLCCFVFFLPLLIIIYCYIFIFRAIRETGRALQTLWQRQRLQSECKMAKIMLLVILLFVLSWAPYSAVALVAFAGTPYMSSVPAVIAKASAIHNPIIYAITHPKYRVAIAQHLP</v>
      </c>
      <c r="C18" s="29" t="str">
        <f>IF(ISERROR(MATCH(A18,'SegEnds_Xtal_Prot#'!B:B, 0)), "NoXtal", "Xtal")</f>
        <v>NoXtal</v>
      </c>
      <c r="D18" s="4" t="str">
        <f>VLOOKUP(A18,Classification!A:D,2,FALSE)</f>
        <v>A</v>
      </c>
      <c r="E18" s="5" t="str">
        <f>VLOOKUP(A18,Seqs!A:B,2,FALSE)</f>
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</c>
      <c r="F18" s="5" t="str">
        <f t="shared" si="1"/>
        <v>PDHAHYTLGTVILLVGLTGMLGNLTVIYTFCRS</v>
      </c>
      <c r="G18" s="4" t="str">
        <f t="shared" si="2"/>
        <v>RSLR</v>
      </c>
      <c r="H18" s="4" t="str">
        <f t="shared" si="3"/>
        <v>TPANMFIINLAVSDFLMSFTQAPVFFTSSLYK</v>
      </c>
      <c r="I18" s="4" t="str">
        <f t="shared" si="4"/>
        <v>QWLF</v>
      </c>
      <c r="J18" s="4" t="str">
        <f t="shared" si="5"/>
        <v>GETGCEFYAFCGALFGISSMITLTAIALDRYLVITR</v>
      </c>
      <c r="K18" s="4" t="str">
        <f t="shared" si="6"/>
        <v>PLATFGVA</v>
      </c>
      <c r="L18" s="4" t="str">
        <f t="shared" si="7"/>
        <v>SKRRAAFVLLGVWLYALAWSLPPFF</v>
      </c>
      <c r="M18" s="4" t="str">
        <f t="shared" si="8"/>
        <v>CSW</v>
      </c>
      <c r="N18" s="4" t="str">
        <f t="shared" si="9"/>
        <v>AVRAYTMLLCCFVFFLPLLIIIYCYIFIFRAIRETGRALQT</v>
      </c>
      <c r="O18" s="4" t="str">
        <f t="shared" si="10"/>
        <v>LWQRQRLQSECKMAKIMLLVILLFVLSWAPYSAVALVAFAG</v>
      </c>
      <c r="P18" s="4" t="str">
        <f t="shared" si="11"/>
        <v>TPYMSSVPAVIAKASAIHNPIIYAIT</v>
      </c>
      <c r="Q18" s="4" t="str">
        <f t="shared" si="12"/>
        <v>HPKYRVAIAQHLP</v>
      </c>
      <c r="R18" s="5">
        <f>VLOOKUP($A18,'SegEnds_NonXtal_Prot#'!$A:$AL,3,FALSE)</f>
        <v>66</v>
      </c>
      <c r="S18" s="5">
        <f>VLOOKUP($A18,'SegEnds_NonXtal_Prot#'!$A:$AL,6,FALSE)</f>
        <v>99</v>
      </c>
      <c r="T18" s="5">
        <f>VLOOKUP($A18,'SegEnds_NonXtal_Prot#'!$A:$AL,9,FALSE)</f>
        <v>103</v>
      </c>
      <c r="U18" s="5">
        <f>VLOOKUP($A18,'SegEnds_NonXtal_Prot#'!$A:$AL,12,FALSE)</f>
        <v>135</v>
      </c>
      <c r="V18" s="5">
        <f>VLOOKUP($A18,'SegEnds_NonXtal_Prot#'!$A:$AL,15,FALSE)</f>
        <v>139</v>
      </c>
      <c r="W18" s="5">
        <f>VLOOKUP($A18,'SegEnds_NonXtal_Prot#'!$A:$AL,18,FALSE)</f>
        <v>175</v>
      </c>
      <c r="X18" s="5">
        <f>VLOOKUP($A18,'SegEnds_NonXtal_Prot#'!$A:$AL,21,FALSE)</f>
        <v>183</v>
      </c>
      <c r="Y18" s="5">
        <f>VLOOKUP($A18,'SegEnds_NonXtal_Prot#'!$A:$AL,24,FALSE)</f>
        <v>221</v>
      </c>
      <c r="Z18" s="5">
        <f>VLOOKUP($A18,'SegEnds_NonXtal_Prot#'!$A:$AL,27,FALSE)</f>
        <v>231</v>
      </c>
      <c r="AA18" s="5">
        <f>VLOOKUP($A18,'SegEnds_NonXtal_Prot#'!$A:$AL,30,FALSE)</f>
        <v>282</v>
      </c>
      <c r="AB18" s="5">
        <f>VLOOKUP($A18,'SegEnds_NonXtal_Prot#'!$A:$AL,33,FALSE)</f>
        <v>328</v>
      </c>
      <c r="AC18" s="5">
        <f>VLOOKUP($A18,'SegEnds_NonXtal_Prot#'!$A:$AL,36,FALSE)</f>
        <v>354</v>
      </c>
      <c r="AD18" s="5">
        <f>VLOOKUP($A18,'SegEnds_NonXtal_Prot#'!$A:$AL,5,FALSE)</f>
        <v>98</v>
      </c>
      <c r="AE18" s="5">
        <f>VLOOKUP($A18,'SegEnds_NonXtal_Prot#'!$A:$AL,8,FALSE)</f>
        <v>102</v>
      </c>
      <c r="AF18" s="5">
        <f>VLOOKUP($A18,'SegEnds_NonXtal_Prot#'!$A:$AL,11,FALSE)</f>
        <v>134</v>
      </c>
      <c r="AG18" s="5">
        <f>VLOOKUP($A18,'SegEnds_NonXtal_Prot#'!$A:$AL,14,FALSE)</f>
        <v>138</v>
      </c>
      <c r="AH18" s="5">
        <f>VLOOKUP($A18,'SegEnds_NonXtal_Prot#'!$A:$AL,17,FALSE)</f>
        <v>174</v>
      </c>
      <c r="AI18" s="5">
        <f>VLOOKUP($A18,'SegEnds_NonXtal_Prot#'!$A:$AL,20,FALSE)</f>
        <v>182</v>
      </c>
      <c r="AJ18" s="5">
        <f>VLOOKUP($A18,'SegEnds_NonXtal_Prot#'!$A:$AL,23,FALSE)</f>
        <v>207</v>
      </c>
      <c r="AK18" s="5">
        <f>VLOOKUP($A18,'SegEnds_NonXtal_Prot#'!$A:$AL,26,FALSE)</f>
        <v>223</v>
      </c>
      <c r="AL18" s="5">
        <f>VLOOKUP($A18,'SegEnds_NonXtal_Prot#'!$A:$AL,29,FALSE)</f>
        <v>271</v>
      </c>
      <c r="AM18" s="5">
        <f>VLOOKUP($A18,'SegEnds_NonXtal_Prot#'!$A:$AL,32,FALSE)</f>
        <v>322</v>
      </c>
      <c r="AN18" s="5">
        <f>VLOOKUP($A18,'SegEnds_NonXtal_Prot#'!$A:$AL,35,FALSE)</f>
        <v>353</v>
      </c>
      <c r="AO18" s="5">
        <f>VLOOKUP($A18,'SegEnds_NonXtal_Prot#'!$A:$AL,38,FALSE)</f>
        <v>366</v>
      </c>
      <c r="AP18" s="5">
        <f t="shared" si="13"/>
        <v>32</v>
      </c>
      <c r="AQ18" s="4">
        <f t="shared" si="14"/>
        <v>3</v>
      </c>
      <c r="AR18" s="4">
        <f t="shared" si="15"/>
        <v>31</v>
      </c>
      <c r="AS18" s="4">
        <f t="shared" si="16"/>
        <v>3</v>
      </c>
      <c r="AT18" s="4">
        <f t="shared" si="17"/>
        <v>35</v>
      </c>
      <c r="AU18" s="4">
        <f t="shared" si="18"/>
        <v>7</v>
      </c>
      <c r="AV18" s="4">
        <f t="shared" si="19"/>
        <v>24</v>
      </c>
      <c r="AW18" s="4">
        <f t="shared" si="20"/>
        <v>2</v>
      </c>
      <c r="AX18" s="4">
        <f t="shared" si="21"/>
        <v>40</v>
      </c>
      <c r="AY18" s="4">
        <f t="shared" si="22"/>
        <v>40</v>
      </c>
      <c r="AZ18" s="4">
        <f t="shared" si="23"/>
        <v>25</v>
      </c>
      <c r="BA18" s="4">
        <f t="shared" si="24"/>
        <v>12</v>
      </c>
    </row>
    <row r="19" spans="1:53" x14ac:dyDescent="0.2">
      <c r="A19" s="1" t="str">
        <f>'SegEnds_NonXtal_Prot#'!A203</f>
        <v>oprk_human</v>
      </c>
      <c r="B19" s="1" t="str">
        <f t="shared" si="0"/>
        <v>AIPVIITAVYSVVFVVGLVGNSLVMFVIIRYTATNIYIFNLALADALVTTTMPFQSTVYLMGDVLCKIVISIDYYNMFTSIFTLTMMSVDRYIAVCHTPLKAKIINICIWLLSSSVGISAIVLGDYSWWDLFMKICVFIFAFVIPVLIIIVCYTLMILRLKSVSREKDRNLRRITRLVLVVVAVFVVCWTPIHIFILVEALGSTAALSSYYFCIALGYTNSSLNPILYAFLDENFKRCFRDFCF</v>
      </c>
      <c r="C19" s="29" t="str">
        <f>IF(ISERROR(MATCH(A19,'SegEnds_Xtal_Prot#'!B:B, 0)), "NoXtal", "Xtal")</f>
        <v>Xtal</v>
      </c>
      <c r="D19" s="4" t="str">
        <f>VLOOKUP(A19,Classification!A:D,2,FALSE)</f>
        <v>A</v>
      </c>
      <c r="E19" s="5" t="str">
        <f>VLOOKUP(A19,Seqs!A:B,2,FALSE)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F19" s="5" t="str">
        <f t="shared" si="1"/>
        <v>AIPVIITAVYSVVFVVGLVGNSLVMFVIIRY</v>
      </c>
      <c r="G19" s="4" t="str">
        <f t="shared" si="2"/>
        <v>TKMK</v>
      </c>
      <c r="H19" s="4" t="str">
        <f t="shared" si="3"/>
        <v>TATNIYIFNLALADALVTTTMPFQSTVYLM</v>
      </c>
      <c r="I19" s="4" t="str">
        <f t="shared" si="4"/>
        <v>SWPF</v>
      </c>
      <c r="J19" s="4" t="str">
        <f t="shared" si="5"/>
        <v>GDVLCKIVISIDYYNMFTSIFTLTMMSVDRYIAVCH</v>
      </c>
      <c r="K19" s="4" t="str">
        <f t="shared" si="6"/>
        <v>PVKALDFR</v>
      </c>
      <c r="L19" s="4" t="str">
        <f t="shared" si="7"/>
        <v>TPLKAKIINICIWLLSSSVGISAIVLG</v>
      </c>
      <c r="M19" s="4" t="str">
        <f t="shared" si="8"/>
        <v>CSL</v>
      </c>
      <c r="N19" s="4" t="str">
        <f t="shared" si="9"/>
        <v>DYSWWDLFMKICVFIFAFVIPVLIIIVCYTLMILRLKSV</v>
      </c>
      <c r="O19" s="4" t="str">
        <f t="shared" si="10"/>
        <v>SREKDRNLRRITRLVLVVVAVFVVCWTPIHIFILVEALG</v>
      </c>
      <c r="P19" s="4" t="str">
        <f t="shared" si="11"/>
        <v>STAALSSYYFCIALGYTNSSLNPILYAFL</v>
      </c>
      <c r="Q19" s="4" t="str">
        <f t="shared" si="12"/>
        <v>DENFKRCFRDFCF</v>
      </c>
      <c r="R19" s="5">
        <f>VLOOKUP($A19,'SegEnds_NonXtal_Prot#'!$A:$AL,3,FALSE)</f>
        <v>57</v>
      </c>
      <c r="S19" s="5">
        <f>VLOOKUP($A19,'SegEnds_NonXtal_Prot#'!$A:$AL,6,FALSE)</f>
        <v>88</v>
      </c>
      <c r="T19" s="5">
        <f>VLOOKUP($A19,'SegEnds_NonXtal_Prot#'!$A:$AL,9,FALSE)</f>
        <v>92</v>
      </c>
      <c r="U19" s="5">
        <f>VLOOKUP($A19,'SegEnds_NonXtal_Prot#'!$A:$AL,12,FALSE)</f>
        <v>123</v>
      </c>
      <c r="V19" s="5">
        <f>VLOOKUP($A19,'SegEnds_NonXtal_Prot#'!$A:$AL,15,FALSE)</f>
        <v>127</v>
      </c>
      <c r="W19" s="5">
        <f>VLOOKUP($A19,'SegEnds_NonXtal_Prot#'!$A:$AL,18,FALSE)</f>
        <v>163</v>
      </c>
      <c r="X19" s="5">
        <f>VLOOKUP($A19,'SegEnds_NonXtal_Prot#'!$A:$AL,21,FALSE)</f>
        <v>171</v>
      </c>
      <c r="Y19" s="5">
        <f>VLOOKUP($A19,'SegEnds_NonXtal_Prot#'!$A:$AL,24,FALSE)</f>
        <v>210</v>
      </c>
      <c r="Z19" s="5">
        <f>VLOOKUP($A19,'SegEnds_NonXtal_Prot#'!$A:$AL,27,FALSE)</f>
        <v>218</v>
      </c>
      <c r="AA19" s="5">
        <f>VLOOKUP($A19,'SegEnds_NonXtal_Prot#'!$A:$AL,30,FALSE)</f>
        <v>262</v>
      </c>
      <c r="AB19" s="5">
        <f>VLOOKUP($A19,'SegEnds_NonXtal_Prot#'!$A:$AL,33,FALSE)</f>
        <v>305</v>
      </c>
      <c r="AC19" s="5">
        <f>VLOOKUP($A19,'SegEnds_NonXtal_Prot#'!$A:$AL,36,FALSE)</f>
        <v>334</v>
      </c>
      <c r="AD19" s="5">
        <f>VLOOKUP($A19,'SegEnds_NonXtal_Prot#'!$A:$AL,5,FALSE)</f>
        <v>87</v>
      </c>
      <c r="AE19" s="5">
        <f>VLOOKUP($A19,'SegEnds_NonXtal_Prot#'!$A:$AL,8,FALSE)</f>
        <v>91</v>
      </c>
      <c r="AF19" s="5">
        <f>VLOOKUP($A19,'SegEnds_NonXtal_Prot#'!$A:$AL,11,FALSE)</f>
        <v>121</v>
      </c>
      <c r="AG19" s="5">
        <f>VLOOKUP($A19,'SegEnds_NonXtal_Prot#'!$A:$AL,14,FALSE)</f>
        <v>126</v>
      </c>
      <c r="AH19" s="5">
        <f>VLOOKUP($A19,'SegEnds_NonXtal_Prot#'!$A:$AL,17,FALSE)</f>
        <v>162</v>
      </c>
      <c r="AI19" s="5">
        <f>VLOOKUP($A19,'SegEnds_NonXtal_Prot#'!$A:$AL,20,FALSE)</f>
        <v>170</v>
      </c>
      <c r="AJ19" s="5">
        <f>VLOOKUP($A19,'SegEnds_NonXtal_Prot#'!$A:$AL,23,FALSE)</f>
        <v>197</v>
      </c>
      <c r="AK19" s="5">
        <f>VLOOKUP($A19,'SegEnds_NonXtal_Prot#'!$A:$AL,26,FALSE)</f>
        <v>212</v>
      </c>
      <c r="AL19" s="5">
        <f>VLOOKUP($A19,'SegEnds_NonXtal_Prot#'!$A:$AL,29,FALSE)</f>
        <v>256</v>
      </c>
      <c r="AM19" s="5">
        <f>VLOOKUP($A19,'SegEnds_NonXtal_Prot#'!$A:$AL,32,FALSE)</f>
        <v>300</v>
      </c>
      <c r="AN19" s="5">
        <f>VLOOKUP($A19,'SegEnds_NonXtal_Prot#'!$A:$AL,35,FALSE)</f>
        <v>333</v>
      </c>
      <c r="AO19" s="5">
        <f>VLOOKUP($A19,'SegEnds_NonXtal_Prot#'!$A:$AL,38,FALSE)</f>
        <v>346</v>
      </c>
      <c r="AP19" s="5">
        <f t="shared" si="13"/>
        <v>30</v>
      </c>
      <c r="AQ19" s="4">
        <f t="shared" si="14"/>
        <v>3</v>
      </c>
      <c r="AR19" s="4">
        <f t="shared" si="15"/>
        <v>29</v>
      </c>
      <c r="AS19" s="4">
        <f t="shared" si="16"/>
        <v>3</v>
      </c>
      <c r="AT19" s="4">
        <f t="shared" si="17"/>
        <v>35</v>
      </c>
      <c r="AU19" s="4">
        <f t="shared" si="18"/>
        <v>7</v>
      </c>
      <c r="AV19" s="4">
        <f t="shared" si="19"/>
        <v>26</v>
      </c>
      <c r="AW19" s="4">
        <f t="shared" si="20"/>
        <v>2</v>
      </c>
      <c r="AX19" s="4">
        <f t="shared" si="21"/>
        <v>38</v>
      </c>
      <c r="AY19" s="4">
        <f t="shared" si="22"/>
        <v>38</v>
      </c>
      <c r="AZ19" s="4">
        <f t="shared" si="23"/>
        <v>28</v>
      </c>
      <c r="BA19" s="4">
        <f t="shared" si="24"/>
        <v>12</v>
      </c>
    </row>
    <row r="20" spans="1:53" x14ac:dyDescent="0.2">
      <c r="A20" s="1" t="str">
        <f>'SegEnds_NonXtal_Prot#'!A204</f>
        <v>oprm_human</v>
      </c>
      <c r="B20" s="1" t="str">
        <f t="shared" si="0"/>
        <v>MITAITIMALYSIVCVVGLFGNFLVMYVIVRYTATNIYIFNLALADALATSTLPFQSVNYLMGTILCKIVISIDYYNMFTSIFTLCTMSVDRYIAVCHTPRNAKIINVCNWILSSAIGLPVMFMATWYWENLLKICVFIFAFIMPVLIITVCYGLMILRLKSVSKEKDRNLRRITRMVLVVVAVFIVCWTPIHIYVIIKALVTTFQTVSWHFCIALGYTNSCLNPVLYAFLDENFKRCFREFCI</v>
      </c>
      <c r="C20" s="29" t="str">
        <f>IF(ISERROR(MATCH(A20,'SegEnds_Xtal_Prot#'!B:B, 0)), "NoXtal", "Xtal")</f>
        <v>NoXtal</v>
      </c>
      <c r="D20" s="4" t="str">
        <f>VLOOKUP(A20,Classification!A:D,2,FALSE)</f>
        <v>A</v>
      </c>
      <c r="E20" s="5" t="str">
        <f>VLOOKUP(A20,Seqs!A:B,2,FALSE)</f>
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</c>
      <c r="F20" s="5" t="str">
        <f t="shared" si="1"/>
        <v>MITAITIMALYSIVCVVGLFGNFLVMYVIVRY</v>
      </c>
      <c r="G20" s="4" t="str">
        <f t="shared" si="2"/>
        <v>TKMK</v>
      </c>
      <c r="H20" s="4" t="str">
        <f t="shared" si="3"/>
        <v>TATNIYIFNLALADALATSTLPFQSVNYLM</v>
      </c>
      <c r="I20" s="4" t="str">
        <f t="shared" si="4"/>
        <v>TWPF</v>
      </c>
      <c r="J20" s="4" t="str">
        <f t="shared" si="5"/>
        <v>GTILCKIVISIDYYNMFTSIFTLCTMSVDRYIAVCH</v>
      </c>
      <c r="K20" s="4" t="str">
        <f t="shared" si="6"/>
        <v>PVKALDFR</v>
      </c>
      <c r="L20" s="4" t="str">
        <f t="shared" si="7"/>
        <v>TPRNAKIINVCNWILSSAIGLPVMFMA</v>
      </c>
      <c r="M20" s="4" t="str">
        <f t="shared" si="8"/>
        <v>CTL</v>
      </c>
      <c r="N20" s="4" t="str">
        <f t="shared" si="9"/>
        <v>TWYWENLLKICVFIFAFIMPVLIITVCYGLMILRLKSV</v>
      </c>
      <c r="O20" s="4" t="str">
        <f t="shared" si="10"/>
        <v>SKEKDRNLRRITRMVLVVVAVFIVCWTPIHIYVIIKALV</v>
      </c>
      <c r="P20" s="4" t="str">
        <f t="shared" si="11"/>
        <v>TTFQTVSWHFCIALGYTNSCLNPVLYAFL</v>
      </c>
      <c r="Q20" s="4" t="str">
        <f t="shared" si="12"/>
        <v>DENFKRCFREFCI</v>
      </c>
      <c r="R20" s="5">
        <f>VLOOKUP($A20,'SegEnds_NonXtal_Prot#'!$A:$AL,3,FALSE)</f>
        <v>67</v>
      </c>
      <c r="S20" s="5">
        <f>VLOOKUP($A20,'SegEnds_NonXtal_Prot#'!$A:$AL,6,FALSE)</f>
        <v>99</v>
      </c>
      <c r="T20" s="5">
        <f>VLOOKUP($A20,'SegEnds_NonXtal_Prot#'!$A:$AL,9,FALSE)</f>
        <v>103</v>
      </c>
      <c r="U20" s="5">
        <f>VLOOKUP($A20,'SegEnds_NonXtal_Prot#'!$A:$AL,12,FALSE)</f>
        <v>134</v>
      </c>
      <c r="V20" s="5">
        <f>VLOOKUP($A20,'SegEnds_NonXtal_Prot#'!$A:$AL,15,FALSE)</f>
        <v>138</v>
      </c>
      <c r="W20" s="5">
        <f>VLOOKUP($A20,'SegEnds_NonXtal_Prot#'!$A:$AL,18,FALSE)</f>
        <v>174</v>
      </c>
      <c r="X20" s="5">
        <f>VLOOKUP($A20,'SegEnds_NonXtal_Prot#'!$A:$AL,21,FALSE)</f>
        <v>182</v>
      </c>
      <c r="Y20" s="5">
        <f>VLOOKUP($A20,'SegEnds_NonXtal_Prot#'!$A:$AL,24,FALSE)</f>
        <v>219</v>
      </c>
      <c r="Z20" s="5">
        <f>VLOOKUP($A20,'SegEnds_NonXtal_Prot#'!$A:$AL,27,FALSE)</f>
        <v>227</v>
      </c>
      <c r="AA20" s="5">
        <f>VLOOKUP($A20,'SegEnds_NonXtal_Prot#'!$A:$AL,30,FALSE)</f>
        <v>270</v>
      </c>
      <c r="AB20" s="5">
        <f>VLOOKUP($A20,'SegEnds_NonXtal_Prot#'!$A:$AL,33,FALSE)</f>
        <v>313</v>
      </c>
      <c r="AC20" s="5">
        <f>VLOOKUP($A20,'SegEnds_NonXtal_Prot#'!$A:$AL,36,FALSE)</f>
        <v>342</v>
      </c>
      <c r="AD20" s="5">
        <f>VLOOKUP($A20,'SegEnds_NonXtal_Prot#'!$A:$AL,5,FALSE)</f>
        <v>98</v>
      </c>
      <c r="AE20" s="5">
        <f>VLOOKUP($A20,'SegEnds_NonXtal_Prot#'!$A:$AL,8,FALSE)</f>
        <v>102</v>
      </c>
      <c r="AF20" s="5">
        <f>VLOOKUP($A20,'SegEnds_NonXtal_Prot#'!$A:$AL,11,FALSE)</f>
        <v>132</v>
      </c>
      <c r="AG20" s="5">
        <f>VLOOKUP($A20,'SegEnds_NonXtal_Prot#'!$A:$AL,14,FALSE)</f>
        <v>137</v>
      </c>
      <c r="AH20" s="5">
        <f>VLOOKUP($A20,'SegEnds_NonXtal_Prot#'!$A:$AL,17,FALSE)</f>
        <v>173</v>
      </c>
      <c r="AI20" s="5">
        <f>VLOOKUP($A20,'SegEnds_NonXtal_Prot#'!$A:$AL,20,FALSE)</f>
        <v>181</v>
      </c>
      <c r="AJ20" s="5">
        <f>VLOOKUP($A20,'SegEnds_NonXtal_Prot#'!$A:$AL,23,FALSE)</f>
        <v>208</v>
      </c>
      <c r="AK20" s="5">
        <f>VLOOKUP($A20,'SegEnds_NonXtal_Prot#'!$A:$AL,26,FALSE)</f>
        <v>221</v>
      </c>
      <c r="AL20" s="5">
        <f>VLOOKUP($A20,'SegEnds_NonXtal_Prot#'!$A:$AL,29,FALSE)</f>
        <v>264</v>
      </c>
      <c r="AM20" s="5">
        <f>VLOOKUP($A20,'SegEnds_NonXtal_Prot#'!$A:$AL,32,FALSE)</f>
        <v>308</v>
      </c>
      <c r="AN20" s="5">
        <f>VLOOKUP($A20,'SegEnds_NonXtal_Prot#'!$A:$AL,35,FALSE)</f>
        <v>341</v>
      </c>
      <c r="AO20" s="5">
        <f>VLOOKUP($A20,'SegEnds_NonXtal_Prot#'!$A:$AL,38,FALSE)</f>
        <v>354</v>
      </c>
      <c r="AP20" s="5">
        <f t="shared" si="13"/>
        <v>31</v>
      </c>
      <c r="AQ20" s="4">
        <f t="shared" si="14"/>
        <v>3</v>
      </c>
      <c r="AR20" s="4">
        <f t="shared" si="15"/>
        <v>29</v>
      </c>
      <c r="AS20" s="4">
        <f t="shared" si="16"/>
        <v>3</v>
      </c>
      <c r="AT20" s="4">
        <f t="shared" si="17"/>
        <v>35</v>
      </c>
      <c r="AU20" s="4">
        <f t="shared" si="18"/>
        <v>7</v>
      </c>
      <c r="AV20" s="4">
        <f t="shared" si="19"/>
        <v>26</v>
      </c>
      <c r="AW20" s="4">
        <f t="shared" si="20"/>
        <v>2</v>
      </c>
      <c r="AX20" s="4">
        <f t="shared" si="21"/>
        <v>37</v>
      </c>
      <c r="AY20" s="4">
        <f t="shared" si="22"/>
        <v>38</v>
      </c>
      <c r="AZ20" s="4">
        <f t="shared" si="23"/>
        <v>28</v>
      </c>
      <c r="BA20" s="4">
        <f t="shared" si="24"/>
        <v>12</v>
      </c>
    </row>
    <row r="21" spans="1:53" x14ac:dyDescent="0.2">
      <c r="A21" s="1" t="str">
        <f>'SegEnds_NonXtal_Prot#'!A205</f>
        <v>oprm_mouse</v>
      </c>
      <c r="B21" s="1" t="str">
        <f t="shared" si="0"/>
        <v>MVTAITIMALYSIVCVVGLFGNFLVMYVIVRYTATNIYIFNLALADALATSTLPFQSVNYLMGNILCKIVISIDYYNMFTSIFTLCTMSVDRYIAVCHTPRNAKIVNVCNWILSSAIGLPVMFMATWYWENLLKICVFIFAFIMPVLIITVCYGLMILRLKSVSKEKDRNLRRITRMVLVVVAVFIVCWTPIHIYVIIKALITTFQTVSWHFCIALGYTNSCLNPVLYAFLDENFKRCFREFCI</v>
      </c>
      <c r="C21" s="29" t="str">
        <f>IF(ISERROR(MATCH(A21,'SegEnds_Xtal_Prot#'!B:B, 0)), "NoXtal", "Xtal")</f>
        <v>Xtal</v>
      </c>
      <c r="D21" s="4" t="str">
        <f>VLOOKUP(A21,Classification!A:D,2,FALSE)</f>
        <v>A</v>
      </c>
      <c r="E21" s="5" t="str">
        <f>VLOOKUP(A21,Seqs!A:B,2,FALSE)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F21" s="5" t="str">
        <f t="shared" si="1"/>
        <v>MVTAITIMALYSIVCVVGLFGNFLVMYVIVRY</v>
      </c>
      <c r="G21" s="4" t="str">
        <f t="shared" si="2"/>
        <v>TKMK</v>
      </c>
      <c r="H21" s="4" t="str">
        <f t="shared" si="3"/>
        <v>TATNIYIFNLALADALATSTLPFQSVNYLM</v>
      </c>
      <c r="I21" s="4" t="str">
        <f t="shared" si="4"/>
        <v>TWPF</v>
      </c>
      <c r="J21" s="4" t="str">
        <f t="shared" si="5"/>
        <v>GNILCKIVISIDYYNMFTSIFTLCTMSVDRYIAVCH</v>
      </c>
      <c r="K21" s="4" t="str">
        <f t="shared" si="6"/>
        <v>PVKALDFR</v>
      </c>
      <c r="L21" s="4" t="str">
        <f t="shared" si="7"/>
        <v>TPRNAKIVNVCNWILSSAIGLPVMFMA</v>
      </c>
      <c r="M21" s="4" t="str">
        <f t="shared" si="8"/>
        <v>CTL</v>
      </c>
      <c r="N21" s="4" t="str">
        <f t="shared" si="9"/>
        <v>TWYWENLLKICVFIFAFIMPVLIITVCYGLMILRLKSV</v>
      </c>
      <c r="O21" s="4" t="str">
        <f t="shared" si="10"/>
        <v>SKEKDRNLRRITRMVLVVVAVFIVCWTPIHIYVIIKALI</v>
      </c>
      <c r="P21" s="4" t="str">
        <f t="shared" si="11"/>
        <v>TTFQTVSWHFCIALGYTNSCLNPVLYAFL</v>
      </c>
      <c r="Q21" s="4" t="str">
        <f t="shared" si="12"/>
        <v>DENFKRCFREFCI</v>
      </c>
      <c r="R21" s="5">
        <f>VLOOKUP($A21,'SegEnds_NonXtal_Prot#'!$A:$AL,3,FALSE)</f>
        <v>65</v>
      </c>
      <c r="S21" s="5">
        <f>VLOOKUP($A21,'SegEnds_NonXtal_Prot#'!$A:$AL,6,FALSE)</f>
        <v>97</v>
      </c>
      <c r="T21" s="5">
        <f>VLOOKUP($A21,'SegEnds_NonXtal_Prot#'!$A:$AL,9,FALSE)</f>
        <v>101</v>
      </c>
      <c r="U21" s="5">
        <f>VLOOKUP($A21,'SegEnds_NonXtal_Prot#'!$A:$AL,12,FALSE)</f>
        <v>132</v>
      </c>
      <c r="V21" s="5">
        <f>VLOOKUP($A21,'SegEnds_NonXtal_Prot#'!$A:$AL,15,FALSE)</f>
        <v>136</v>
      </c>
      <c r="W21" s="5">
        <f>VLOOKUP($A21,'SegEnds_NonXtal_Prot#'!$A:$AL,18,FALSE)</f>
        <v>172</v>
      </c>
      <c r="X21" s="5">
        <f>VLOOKUP($A21,'SegEnds_NonXtal_Prot#'!$A:$AL,21,FALSE)</f>
        <v>180</v>
      </c>
      <c r="Y21" s="5">
        <f>VLOOKUP($A21,'SegEnds_NonXtal_Prot#'!$A:$AL,24,FALSE)</f>
        <v>217</v>
      </c>
      <c r="Z21" s="5">
        <f>VLOOKUP($A21,'SegEnds_NonXtal_Prot#'!$A:$AL,27,FALSE)</f>
        <v>225</v>
      </c>
      <c r="AA21" s="5">
        <f>VLOOKUP($A21,'SegEnds_NonXtal_Prot#'!$A:$AL,30,FALSE)</f>
        <v>268</v>
      </c>
      <c r="AB21" s="5">
        <f>VLOOKUP($A21,'SegEnds_NonXtal_Prot#'!$A:$AL,33,FALSE)</f>
        <v>311</v>
      </c>
      <c r="AC21" s="5">
        <f>VLOOKUP($A21,'SegEnds_NonXtal_Prot#'!$A:$AL,36,FALSE)</f>
        <v>340</v>
      </c>
      <c r="AD21" s="5">
        <f>VLOOKUP($A21,'SegEnds_NonXtal_Prot#'!$A:$AL,5,FALSE)</f>
        <v>96</v>
      </c>
      <c r="AE21" s="5">
        <f>VLOOKUP($A21,'SegEnds_NonXtal_Prot#'!$A:$AL,8,FALSE)</f>
        <v>100</v>
      </c>
      <c r="AF21" s="5">
        <f>VLOOKUP($A21,'SegEnds_NonXtal_Prot#'!$A:$AL,11,FALSE)</f>
        <v>130</v>
      </c>
      <c r="AG21" s="5">
        <f>VLOOKUP($A21,'SegEnds_NonXtal_Prot#'!$A:$AL,14,FALSE)</f>
        <v>135</v>
      </c>
      <c r="AH21" s="5">
        <f>VLOOKUP($A21,'SegEnds_NonXtal_Prot#'!$A:$AL,17,FALSE)</f>
        <v>171</v>
      </c>
      <c r="AI21" s="5">
        <f>VLOOKUP($A21,'SegEnds_NonXtal_Prot#'!$A:$AL,20,FALSE)</f>
        <v>179</v>
      </c>
      <c r="AJ21" s="5">
        <f>VLOOKUP($A21,'SegEnds_NonXtal_Prot#'!$A:$AL,23,FALSE)</f>
        <v>206</v>
      </c>
      <c r="AK21" s="5">
        <f>VLOOKUP($A21,'SegEnds_NonXtal_Prot#'!$A:$AL,26,FALSE)</f>
        <v>219</v>
      </c>
      <c r="AL21" s="5">
        <f>VLOOKUP($A21,'SegEnds_NonXtal_Prot#'!$A:$AL,29,FALSE)</f>
        <v>262</v>
      </c>
      <c r="AM21" s="5">
        <f>VLOOKUP($A21,'SegEnds_NonXtal_Prot#'!$A:$AL,32,FALSE)</f>
        <v>306</v>
      </c>
      <c r="AN21" s="5">
        <f>VLOOKUP($A21,'SegEnds_NonXtal_Prot#'!$A:$AL,35,FALSE)</f>
        <v>339</v>
      </c>
      <c r="AO21" s="5">
        <f>VLOOKUP($A21,'SegEnds_NonXtal_Prot#'!$A:$AL,38,FALSE)</f>
        <v>352</v>
      </c>
      <c r="AP21" s="5">
        <f t="shared" si="13"/>
        <v>31</v>
      </c>
      <c r="AQ21" s="4">
        <f t="shared" si="14"/>
        <v>3</v>
      </c>
      <c r="AR21" s="4">
        <f t="shared" si="15"/>
        <v>29</v>
      </c>
      <c r="AS21" s="4">
        <f t="shared" si="16"/>
        <v>3</v>
      </c>
      <c r="AT21" s="4">
        <f t="shared" si="17"/>
        <v>35</v>
      </c>
      <c r="AU21" s="4">
        <f t="shared" si="18"/>
        <v>7</v>
      </c>
      <c r="AV21" s="4">
        <f t="shared" si="19"/>
        <v>26</v>
      </c>
      <c r="AW21" s="4">
        <f t="shared" si="20"/>
        <v>2</v>
      </c>
      <c r="AX21" s="4">
        <f t="shared" si="21"/>
        <v>37</v>
      </c>
      <c r="AY21" s="4">
        <f t="shared" si="22"/>
        <v>38</v>
      </c>
      <c r="AZ21" s="4">
        <f t="shared" si="23"/>
        <v>28</v>
      </c>
      <c r="BA21" s="4">
        <f t="shared" si="24"/>
        <v>12</v>
      </c>
    </row>
    <row r="22" spans="1:53" x14ac:dyDescent="0.2">
      <c r="A22" s="1" t="str">
        <f>'SegEnds_NonXtal_Prot#'!A214</f>
        <v>p2y11_human</v>
      </c>
      <c r="B22" s="1" t="str">
        <f t="shared" si="0"/>
        <v>FQGDFLWPILVVEFLVAVASNGLALYRFSIRHPAVVFSVQLAVSDLLCALTLPPLAAYLYPGEAACRLERFLFTCNLLGSVIFITCISLNRYLGIVHRPKHAWAVSAAGWVLAALLAMPTLSFSLAAYRAYSLVLAGLGCGLPLLLTLAAYGALGRAVLRTVAEKLRVAALVASGVALYASSYVPYHIMRVLNVDARRRTAALELGPYVGYQVMRGLMPLAFCVHPLLYMAAVPSLGCCCRHCPG</v>
      </c>
      <c r="C22" s="29" t="str">
        <f>IF(ISERROR(MATCH(A22,'SegEnds_Xtal_Prot#'!B:B, 0)), "NoXtal", "Xtal")</f>
        <v>NoXtal</v>
      </c>
      <c r="D22" s="4" t="str">
        <f>VLOOKUP(A22,Classification!A:D,2,FALSE)</f>
        <v>A</v>
      </c>
      <c r="E22" s="5" t="str">
        <f>VLOOKUP(A22,Seqs!A:B,2,FALSE)</f>
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</c>
      <c r="F22" s="5" t="str">
        <f t="shared" si="1"/>
        <v>FQGDFLWPILVVEFLVAVASNGLALYRFSIR</v>
      </c>
      <c r="G22" s="4" t="str">
        <f t="shared" si="2"/>
        <v/>
      </c>
      <c r="H22" s="4" t="str">
        <f t="shared" si="3"/>
        <v>HPAVVFSVQLAVSDLLCALTLPPLAAYLYP</v>
      </c>
      <c r="I22" s="4" t="str">
        <f t="shared" si="4"/>
        <v>HWRY</v>
      </c>
      <c r="J22" s="4" t="str">
        <f t="shared" si="5"/>
        <v>GEAACRLERFLFTCNLLGSVIFITCISLNRYLGIVH</v>
      </c>
      <c r="K22" s="4" t="str">
        <f t="shared" si="6"/>
        <v>PFFARSHL</v>
      </c>
      <c r="L22" s="4" t="str">
        <f t="shared" si="7"/>
        <v>RPKHAWAVSAAGWVLAALLAMPTLSFS</v>
      </c>
      <c r="M22" s="4" t="str">
        <f t="shared" si="8"/>
        <v>CLG</v>
      </c>
      <c r="N22" s="4" t="str">
        <f t="shared" si="9"/>
        <v>LAAYRAYSLVLAGLGCGLPLLLTLAAYGALGRAVLR</v>
      </c>
      <c r="O22" s="4" t="str">
        <f t="shared" si="10"/>
        <v>TVAEKLRVAALVASGVALYASSYVPYHIMRVLNVDARRR</v>
      </c>
      <c r="P22" s="4" t="str">
        <f t="shared" si="11"/>
        <v>TAALELGPYVGYQVMRGLMPLAFCVHPLLYMAA</v>
      </c>
      <c r="Q22" s="4" t="str">
        <f t="shared" si="12"/>
        <v>VPSLGCCCRHCPG</v>
      </c>
      <c r="R22" s="5">
        <f>VLOOKUP($A22,'SegEnds_NonXtal_Prot#'!$A:$AL,3,FALSE)</f>
        <v>26</v>
      </c>
      <c r="S22" s="5" t="str">
        <f>VLOOKUP($A22,'SegEnds_NonXtal_Prot#'!$A:$AL,6,FALSE)</f>
        <v>-</v>
      </c>
      <c r="T22" s="5">
        <f>VLOOKUP($A22,'SegEnds_NonXtal_Prot#'!$A:$AL,9,FALSE)</f>
        <v>62</v>
      </c>
      <c r="U22" s="5">
        <f>VLOOKUP($A22,'SegEnds_NonXtal_Prot#'!$A:$AL,12,FALSE)</f>
        <v>94</v>
      </c>
      <c r="V22" s="5">
        <f>VLOOKUP($A22,'SegEnds_NonXtal_Prot#'!$A:$AL,15,FALSE)</f>
        <v>98</v>
      </c>
      <c r="W22" s="5">
        <f>VLOOKUP($A22,'SegEnds_NonXtal_Prot#'!$A:$AL,18,FALSE)</f>
        <v>134</v>
      </c>
      <c r="X22" s="5">
        <f>VLOOKUP($A22,'SegEnds_NonXtal_Prot#'!$A:$AL,21,FALSE)</f>
        <v>142</v>
      </c>
      <c r="Y22" s="5">
        <f>VLOOKUP($A22,'SegEnds_NonXtal_Prot#'!$A:$AL,24,FALSE)</f>
        <v>191</v>
      </c>
      <c r="Z22" s="5">
        <f>VLOOKUP($A22,'SegEnds_NonXtal_Prot#'!$A:$AL,27,FALSE)</f>
        <v>199</v>
      </c>
      <c r="AA22" s="5">
        <f>VLOOKUP($A22,'SegEnds_NonXtal_Prot#'!$A:$AL,30,FALSE)</f>
        <v>239</v>
      </c>
      <c r="AB22" s="5">
        <f>VLOOKUP($A22,'SegEnds_NonXtal_Prot#'!$A:$AL,33,FALSE)</f>
        <v>292</v>
      </c>
      <c r="AC22" s="5">
        <f>VLOOKUP($A22,'SegEnds_NonXtal_Prot#'!$A:$AL,36,FALSE)</f>
        <v>325</v>
      </c>
      <c r="AD22" s="5">
        <f>VLOOKUP($A22,'SegEnds_NonXtal_Prot#'!$A:$AL,5,FALSE)</f>
        <v>56</v>
      </c>
      <c r="AE22" s="5" t="str">
        <f>VLOOKUP($A22,'SegEnds_NonXtal_Prot#'!$A:$AL,8,FALSE)</f>
        <v>-</v>
      </c>
      <c r="AF22" s="5">
        <f>VLOOKUP($A22,'SegEnds_NonXtal_Prot#'!$A:$AL,11,FALSE)</f>
        <v>91</v>
      </c>
      <c r="AG22" s="5">
        <f>VLOOKUP($A22,'SegEnds_NonXtal_Prot#'!$A:$AL,14,FALSE)</f>
        <v>97</v>
      </c>
      <c r="AH22" s="5">
        <f>VLOOKUP($A22,'SegEnds_NonXtal_Prot#'!$A:$AL,17,FALSE)</f>
        <v>133</v>
      </c>
      <c r="AI22" s="5">
        <f>VLOOKUP($A22,'SegEnds_NonXtal_Prot#'!$A:$AL,20,FALSE)</f>
        <v>141</v>
      </c>
      <c r="AJ22" s="5">
        <f>VLOOKUP($A22,'SegEnds_NonXtal_Prot#'!$A:$AL,23,FALSE)</f>
        <v>168</v>
      </c>
      <c r="AK22" s="5">
        <f>VLOOKUP($A22,'SegEnds_NonXtal_Prot#'!$A:$AL,26,FALSE)</f>
        <v>193</v>
      </c>
      <c r="AL22" s="5">
        <f>VLOOKUP($A22,'SegEnds_NonXtal_Prot#'!$A:$AL,29,FALSE)</f>
        <v>234</v>
      </c>
      <c r="AM22" s="5">
        <f>VLOOKUP($A22,'SegEnds_NonXtal_Prot#'!$A:$AL,32,FALSE)</f>
        <v>277</v>
      </c>
      <c r="AN22" s="5">
        <f>VLOOKUP($A22,'SegEnds_NonXtal_Prot#'!$A:$AL,35,FALSE)</f>
        <v>324</v>
      </c>
      <c r="AO22" s="5">
        <f>VLOOKUP($A22,'SegEnds_NonXtal_Prot#'!$A:$AL,38,FALSE)</f>
        <v>337</v>
      </c>
      <c r="AP22" s="5">
        <f t="shared" si="13"/>
        <v>30</v>
      </c>
      <c r="AQ22" s="4" t="str">
        <f t="shared" si="14"/>
        <v>-</v>
      </c>
      <c r="AR22" s="4">
        <f t="shared" si="15"/>
        <v>29</v>
      </c>
      <c r="AS22" s="4">
        <f t="shared" si="16"/>
        <v>3</v>
      </c>
      <c r="AT22" s="4">
        <f t="shared" si="17"/>
        <v>35</v>
      </c>
      <c r="AU22" s="4">
        <f t="shared" si="18"/>
        <v>7</v>
      </c>
      <c r="AV22" s="4">
        <f t="shared" si="19"/>
        <v>26</v>
      </c>
      <c r="AW22" s="4">
        <f t="shared" si="20"/>
        <v>2</v>
      </c>
      <c r="AX22" s="4">
        <f t="shared" si="21"/>
        <v>35</v>
      </c>
      <c r="AY22" s="4">
        <f t="shared" si="22"/>
        <v>38</v>
      </c>
      <c r="AZ22" s="4">
        <f t="shared" si="23"/>
        <v>32</v>
      </c>
      <c r="BA22" s="4">
        <f t="shared" si="24"/>
        <v>12</v>
      </c>
    </row>
    <row r="23" spans="1:53" x14ac:dyDescent="0.2">
      <c r="A23" s="1" t="str">
        <f>'SegEnds_NonXtal_Prot#'!A215</f>
        <v>p2y12_human</v>
      </c>
      <c r="B23" s="1" t="str">
        <f t="shared" si="0"/>
        <v>YKITQVLFPLLYTVLFFVGLITNGLAMRIFFQISNFIIFLKNTVISDLLMILTFPFKILSDAKGPLRTFVCQVTSVIFYFTMYISISFLGLITIDRYQKTTRNLLGAKILSVVIWAFMFLLSLPNMILTEFGLVWHEIVNYICQVIFWINFLIVIVCYTLITKELYRSYVRTPRKKVNVKVFIIIAVFFICFVPFHFARIPYTLSQTRDCTAENTLFYVKESTLWLTSLNACLDPFIYFFLCKSFRNSLISM</v>
      </c>
      <c r="C23" s="29" t="str">
        <f>IF(ISERROR(MATCH(A23,'SegEnds_Xtal_Prot#'!B:B, 0)), "NoXtal", "Xtal")</f>
        <v>Xtal</v>
      </c>
      <c r="D23" s="4" t="str">
        <f>VLOOKUP(A23,Classification!A:D,2,FALSE)</f>
        <v>A</v>
      </c>
      <c r="E23" s="5" t="str">
        <f>VLOOKUP(A23,Seqs!A:B,2,FALSE)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F23" s="5" t="str">
        <f t="shared" si="1"/>
        <v>YKITQVLFPLLYTVLFFVGLITNGLAMRIFFQI</v>
      </c>
      <c r="G23" s="4" t="str">
        <f t="shared" si="2"/>
        <v/>
      </c>
      <c r="H23" s="4" t="str">
        <f t="shared" si="3"/>
        <v>SNFIIFLKNTVISDLLMILTFPFKILSDAK</v>
      </c>
      <c r="I23" s="4" t="str">
        <f t="shared" si="4"/>
        <v/>
      </c>
      <c r="J23" s="4" t="str">
        <f t="shared" si="5"/>
        <v>GPLRTFVCQVTSVIFYFTMYISISFLGLITIDRYQKTTR</v>
      </c>
      <c r="K23" s="4" t="str">
        <f t="shared" si="6"/>
        <v>PFKTSNPK</v>
      </c>
      <c r="L23" s="4" t="str">
        <f t="shared" si="7"/>
        <v>NLLGAKILSVVIWAFMFLLSLPNMILT</v>
      </c>
      <c r="M23" s="4" t="str">
        <f t="shared" si="8"/>
        <v>CSF</v>
      </c>
      <c r="N23" s="4" t="str">
        <f t="shared" si="9"/>
        <v>EFGLVWHEIVNYICQVIFWINFLIVIVCYTLITKELYRSYVRT</v>
      </c>
      <c r="O23" s="4" t="str">
        <f t="shared" si="10"/>
        <v>PRKKVNVKVFIIIAVFFICFVPFHFARIPYTLSQTR</v>
      </c>
      <c r="P23" s="4" t="str">
        <f t="shared" si="11"/>
        <v>DCTAENTLFYVKESTLWLTSLNACLDPFIYFFL</v>
      </c>
      <c r="Q23" s="4" t="str">
        <f t="shared" si="12"/>
        <v>CKSFRNSLISM</v>
      </c>
      <c r="R23" s="5">
        <f>VLOOKUP($A23,'SegEnds_NonXtal_Prot#'!$A:$AL,3,FALSE)</f>
        <v>21</v>
      </c>
      <c r="S23" s="5" t="str">
        <f>VLOOKUP($A23,'SegEnds_NonXtal_Prot#'!$A:$AL,6,FALSE)</f>
        <v>-</v>
      </c>
      <c r="T23" s="5">
        <f>VLOOKUP($A23,'SegEnds_NonXtal_Prot#'!$A:$AL,9,FALSE)</f>
        <v>57</v>
      </c>
      <c r="U23" s="5" t="str">
        <f>VLOOKUP($A23,'SegEnds_NonXtal_Prot#'!$A:$AL,12,FALSE)</f>
        <v>-</v>
      </c>
      <c r="V23" s="5">
        <f>VLOOKUP($A23,'SegEnds_NonXtal_Prot#'!$A:$AL,15,FALSE)</f>
        <v>90</v>
      </c>
      <c r="W23" s="5">
        <f>VLOOKUP($A23,'SegEnds_NonXtal_Prot#'!$A:$AL,18,FALSE)</f>
        <v>129</v>
      </c>
      <c r="X23" s="5">
        <f>VLOOKUP($A23,'SegEnds_NonXtal_Prot#'!$A:$AL,21,FALSE)</f>
        <v>137</v>
      </c>
      <c r="Y23" s="5">
        <f>VLOOKUP($A23,'SegEnds_NonXtal_Prot#'!$A:$AL,24,FALSE)</f>
        <v>175</v>
      </c>
      <c r="Z23" s="5">
        <f>VLOOKUP($A23,'SegEnds_NonXtal_Prot#'!$A:$AL,27,FALSE)</f>
        <v>181</v>
      </c>
      <c r="AA23" s="5">
        <f>VLOOKUP($A23,'SegEnds_NonXtal_Prot#'!$A:$AL,30,FALSE)</f>
        <v>230</v>
      </c>
      <c r="AB23" s="5">
        <f>VLOOKUP($A23,'SegEnds_NonXtal_Prot#'!$A:$AL,33,FALSE)</f>
        <v>269</v>
      </c>
      <c r="AC23" s="5">
        <f>VLOOKUP($A23,'SegEnds_NonXtal_Prot#'!$A:$AL,36,FALSE)</f>
        <v>302</v>
      </c>
      <c r="AD23" s="5">
        <f>VLOOKUP($A23,'SegEnds_NonXtal_Prot#'!$A:$AL,5,FALSE)</f>
        <v>53</v>
      </c>
      <c r="AE23" s="5" t="str">
        <f>VLOOKUP($A23,'SegEnds_NonXtal_Prot#'!$A:$AL,8,FALSE)</f>
        <v>-</v>
      </c>
      <c r="AF23" s="5">
        <f>VLOOKUP($A23,'SegEnds_NonXtal_Prot#'!$A:$AL,11,FALSE)</f>
        <v>86</v>
      </c>
      <c r="AG23" s="5" t="str">
        <f>VLOOKUP($A23,'SegEnds_NonXtal_Prot#'!$A:$AL,14,FALSE)</f>
        <v>-</v>
      </c>
      <c r="AH23" s="5">
        <f>VLOOKUP($A23,'SegEnds_NonXtal_Prot#'!$A:$AL,17,FALSE)</f>
        <v>128</v>
      </c>
      <c r="AI23" s="5">
        <f>VLOOKUP($A23,'SegEnds_NonXtal_Prot#'!$A:$AL,20,FALSE)</f>
        <v>136</v>
      </c>
      <c r="AJ23" s="5">
        <f>VLOOKUP($A23,'SegEnds_NonXtal_Prot#'!$A:$AL,23,FALSE)</f>
        <v>163</v>
      </c>
      <c r="AK23" s="5">
        <f>VLOOKUP($A23,'SegEnds_NonXtal_Prot#'!$A:$AL,26,FALSE)</f>
        <v>177</v>
      </c>
      <c r="AL23" s="5">
        <f>VLOOKUP($A23,'SegEnds_NonXtal_Prot#'!$A:$AL,29,FALSE)</f>
        <v>223</v>
      </c>
      <c r="AM23" s="5">
        <f>VLOOKUP($A23,'SegEnds_NonXtal_Prot#'!$A:$AL,32,FALSE)</f>
        <v>265</v>
      </c>
      <c r="AN23" s="5">
        <f>VLOOKUP($A23,'SegEnds_NonXtal_Prot#'!$A:$AL,35,FALSE)</f>
        <v>301</v>
      </c>
      <c r="AO23" s="5">
        <f>VLOOKUP($A23,'SegEnds_NonXtal_Prot#'!$A:$AL,38,FALSE)</f>
        <v>312</v>
      </c>
      <c r="AP23" s="5">
        <f t="shared" si="13"/>
        <v>32</v>
      </c>
      <c r="AQ23" s="4" t="str">
        <f t="shared" si="14"/>
        <v>-</v>
      </c>
      <c r="AR23" s="4">
        <f t="shared" si="15"/>
        <v>29</v>
      </c>
      <c r="AS23" s="4" t="str">
        <f t="shared" si="16"/>
        <v>-</v>
      </c>
      <c r="AT23" s="4">
        <f t="shared" si="17"/>
        <v>38</v>
      </c>
      <c r="AU23" s="4">
        <f t="shared" si="18"/>
        <v>7</v>
      </c>
      <c r="AV23" s="4">
        <f t="shared" si="19"/>
        <v>26</v>
      </c>
      <c r="AW23" s="4">
        <f t="shared" si="20"/>
        <v>2</v>
      </c>
      <c r="AX23" s="4">
        <f t="shared" si="21"/>
        <v>42</v>
      </c>
      <c r="AY23" s="4">
        <f t="shared" si="22"/>
        <v>35</v>
      </c>
      <c r="AZ23" s="4">
        <f t="shared" si="23"/>
        <v>32</v>
      </c>
      <c r="BA23" s="4">
        <f t="shared" si="24"/>
        <v>10</v>
      </c>
    </row>
    <row r="24" spans="1:53" x14ac:dyDescent="0.2">
      <c r="A24" s="1" t="str">
        <f>'SegEnds_NonXtal_Prot#'!A228</f>
        <v>pi2r_human</v>
      </c>
      <c r="B24" s="1" t="str">
        <f t="shared" si="0"/>
        <v>SVGPATSTLMFVAGVVGNGLALGILSSAFAVLVTGLAATDLLGTSFLSPAVFVAYARARGGPALCDAFAFAMTFFGLASMLILFAMAVERCLALSHGPRCARLALPAIYAFCVLFCALPLLGGGAAFSLAYAGLVALLVAAIFLCNGSVTLSLCRMYRQQKRHPRPRTGEDEVDHLILLALMTVVMAVCSLPLTIRCFTQAVASEMGDLLAFRFYAFNPILDPWVFILFRKAVFQRLKLWVCC</v>
      </c>
      <c r="C24" s="29" t="str">
        <f>IF(ISERROR(MATCH(A24,'SegEnds_Xtal_Prot#'!B:B, 0)), "NoXtal", "Xtal")</f>
        <v>NoXtal</v>
      </c>
      <c r="D24" s="4" t="str">
        <f>VLOOKUP(A24,Classification!A:D,2,FALSE)</f>
        <v>A</v>
      </c>
      <c r="E24" s="5" t="str">
        <f>VLOOKUP(A24,Seqs!A:B,2,FALSE)</f>
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</c>
      <c r="F24" s="5" t="str">
        <f t="shared" si="1"/>
        <v>SVGPATSTLMFVAGVVGNGLALGILS</v>
      </c>
      <c r="G24" s="4" t="str">
        <f t="shared" si="2"/>
        <v/>
      </c>
      <c r="H24" s="4" t="str">
        <f t="shared" si="3"/>
        <v>SAFAVLVTGLAATDLLGTSFLSPAVFVAYAR</v>
      </c>
      <c r="I24" s="4" t="str">
        <f t="shared" si="4"/>
        <v/>
      </c>
      <c r="J24" s="4" t="str">
        <f t="shared" si="5"/>
        <v>ARGGPALCDAFAFAMTFFGLASMLILFAMAVERCLALSH</v>
      </c>
      <c r="K24" s="4" t="str">
        <f t="shared" si="6"/>
        <v>PYLYAQLD</v>
      </c>
      <c r="L24" s="4" t="str">
        <f t="shared" si="7"/>
        <v>GPRCARLALPAIYAFCVLFCALPLLG</v>
      </c>
      <c r="M24" s="4" t="str">
        <f t="shared" si="8"/>
        <v>CFL</v>
      </c>
      <c r="N24" s="4" t="str">
        <f t="shared" si="9"/>
        <v>GGAAFSLAYAGLVALLVAAIFLCNGSVTLSLCRMYRQQKRH</v>
      </c>
      <c r="O24" s="4" t="str">
        <f t="shared" si="10"/>
        <v>PRPRTGEDEVDHLILLALMTVVMAVCSLPLTIRCFTQAVA</v>
      </c>
      <c r="P24" s="4" t="str">
        <f t="shared" si="11"/>
        <v>SEMGDLLAFRFYAFNPILDPWVFILF</v>
      </c>
      <c r="Q24" s="4" t="str">
        <f t="shared" si="12"/>
        <v>RKAVFQRLKLWVCC</v>
      </c>
      <c r="R24" s="5">
        <f>VLOOKUP($A24,'SegEnds_NonXtal_Prot#'!$A:$AL,3,FALSE)</f>
        <v>14</v>
      </c>
      <c r="S24" s="5" t="str">
        <f>VLOOKUP($A24,'SegEnds_NonXtal_Prot#'!$A:$AL,6,FALSE)</f>
        <v>-</v>
      </c>
      <c r="T24" s="5">
        <f>VLOOKUP($A24,'SegEnds_NonXtal_Prot#'!$A:$AL,9,FALSE)</f>
        <v>47</v>
      </c>
      <c r="U24" s="5" t="str">
        <f>VLOOKUP($A24,'SegEnds_NonXtal_Prot#'!$A:$AL,12,FALSE)</f>
        <v>-</v>
      </c>
      <c r="V24" s="5">
        <f>VLOOKUP($A24,'SegEnds_NonXtal_Prot#'!$A:$AL,15,FALSE)</f>
        <v>85</v>
      </c>
      <c r="W24" s="5">
        <f>VLOOKUP($A24,'SegEnds_NonXtal_Prot#'!$A:$AL,18,FALSE)</f>
        <v>124</v>
      </c>
      <c r="X24" s="5">
        <f>VLOOKUP($A24,'SegEnds_NonXtal_Prot#'!$A:$AL,21,FALSE)</f>
        <v>132</v>
      </c>
      <c r="Y24" s="5">
        <f>VLOOKUP($A24,'SegEnds_NonXtal_Prot#'!$A:$AL,24,FALSE)</f>
        <v>170</v>
      </c>
      <c r="Z24" s="5">
        <f>VLOOKUP($A24,'SegEnds_NonXtal_Prot#'!$A:$AL,27,FALSE)</f>
        <v>180</v>
      </c>
      <c r="AA24" s="5">
        <f>VLOOKUP($A24,'SegEnds_NonXtal_Prot#'!$A:$AL,30,FALSE)</f>
        <v>226</v>
      </c>
      <c r="AB24" s="5">
        <f>VLOOKUP($A24,'SegEnds_NonXtal_Prot#'!$A:$AL,33,FALSE)</f>
        <v>270</v>
      </c>
      <c r="AC24" s="5">
        <f>VLOOKUP($A24,'SegEnds_NonXtal_Prot#'!$A:$AL,36,FALSE)</f>
        <v>296</v>
      </c>
      <c r="AD24" s="5">
        <f>VLOOKUP($A24,'SegEnds_NonXtal_Prot#'!$A:$AL,5,FALSE)</f>
        <v>39</v>
      </c>
      <c r="AE24" s="5" t="str">
        <f>VLOOKUP($A24,'SegEnds_NonXtal_Prot#'!$A:$AL,8,FALSE)</f>
        <v>-</v>
      </c>
      <c r="AF24" s="5">
        <f>VLOOKUP($A24,'SegEnds_NonXtal_Prot#'!$A:$AL,11,FALSE)</f>
        <v>77</v>
      </c>
      <c r="AG24" s="5" t="str">
        <f>VLOOKUP($A24,'SegEnds_NonXtal_Prot#'!$A:$AL,14,FALSE)</f>
        <v>-</v>
      </c>
      <c r="AH24" s="5">
        <f>VLOOKUP($A24,'SegEnds_NonXtal_Prot#'!$A:$AL,17,FALSE)</f>
        <v>123</v>
      </c>
      <c r="AI24" s="5">
        <f>VLOOKUP($A24,'SegEnds_NonXtal_Prot#'!$A:$AL,20,FALSE)</f>
        <v>131</v>
      </c>
      <c r="AJ24" s="5">
        <f>VLOOKUP($A24,'SegEnds_NonXtal_Prot#'!$A:$AL,23,FALSE)</f>
        <v>157</v>
      </c>
      <c r="AK24" s="5">
        <f>VLOOKUP($A24,'SegEnds_NonXtal_Prot#'!$A:$AL,26,FALSE)</f>
        <v>172</v>
      </c>
      <c r="AL24" s="5">
        <f>VLOOKUP($A24,'SegEnds_NonXtal_Prot#'!$A:$AL,29,FALSE)</f>
        <v>220</v>
      </c>
      <c r="AM24" s="5">
        <f>VLOOKUP($A24,'SegEnds_NonXtal_Prot#'!$A:$AL,32,FALSE)</f>
        <v>265</v>
      </c>
      <c r="AN24" s="5">
        <f>VLOOKUP($A24,'SegEnds_NonXtal_Prot#'!$A:$AL,35,FALSE)</f>
        <v>295</v>
      </c>
      <c r="AO24" s="5">
        <f>VLOOKUP($A24,'SegEnds_NonXtal_Prot#'!$A:$AL,38,FALSE)</f>
        <v>309</v>
      </c>
      <c r="AP24" s="5">
        <f t="shared" si="13"/>
        <v>25</v>
      </c>
      <c r="AQ24" s="4" t="str">
        <f t="shared" si="14"/>
        <v>-</v>
      </c>
      <c r="AR24" s="4">
        <f t="shared" si="15"/>
        <v>30</v>
      </c>
      <c r="AS24" s="4" t="str">
        <f t="shared" si="16"/>
        <v>-</v>
      </c>
      <c r="AT24" s="4">
        <f t="shared" si="17"/>
        <v>38</v>
      </c>
      <c r="AU24" s="4">
        <f t="shared" si="18"/>
        <v>7</v>
      </c>
      <c r="AV24" s="4">
        <f t="shared" si="19"/>
        <v>25</v>
      </c>
      <c r="AW24" s="4">
        <f t="shared" si="20"/>
        <v>2</v>
      </c>
      <c r="AX24" s="4">
        <f t="shared" si="21"/>
        <v>40</v>
      </c>
      <c r="AY24" s="4">
        <f t="shared" si="22"/>
        <v>39</v>
      </c>
      <c r="AZ24" s="4">
        <f t="shared" si="23"/>
        <v>25</v>
      </c>
      <c r="BA24" s="4">
        <f t="shared" si="24"/>
        <v>13</v>
      </c>
    </row>
    <row r="25" spans="1:53" x14ac:dyDescent="0.2">
      <c r="A25" s="1" t="str">
        <f>'SegEnds_NonXtal_Prot#'!A248</f>
        <v>taar9_human</v>
      </c>
      <c r="B25" s="1" t="str">
        <f t="shared" si="0"/>
        <v>SPGPRSILYAVLGFGAVLAAFGNLLVMIAILHFTPTNFLIASLACADFLVGVTVMPFSTVRSVESGDSYCKFHTCFDTSFCFASLFHLCCISVDRYIAVTDTVSVSGICIVLSWFFSVTYSFSIFYTLNQNWVLLCFLLFFIPNVAMVFIYSKIFLVAKHQARKIESSYKERVAKRERKAAKTLGIAMAAFLVSWLPYLVDAVIDAYMPPYVYEILVWCVYYNSAMNPLIYAFFYQWFGKAIKLIV</v>
      </c>
      <c r="C25" s="29" t="str">
        <f>IF(ISERROR(MATCH(A25,'SegEnds_Xtal_Prot#'!B:B, 0)), "NoXtal", "Xtal")</f>
        <v>NoXtal</v>
      </c>
      <c r="D25" s="4" t="str">
        <f>VLOOKUP(A25,Classification!A:D,2,FALSE)</f>
        <v>A</v>
      </c>
      <c r="E25" s="5" t="str">
        <f>VLOOKUP(A25,Seqs!A:B,2,FALSE)</f>
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</c>
      <c r="F25" s="5" t="str">
        <f t="shared" si="1"/>
        <v>SPGPRSILYAVLGFGAVLAAFGNLLVMIAILHF</v>
      </c>
      <c r="G25" s="4" t="str">
        <f t="shared" si="2"/>
        <v>KQLH</v>
      </c>
      <c r="H25" s="4" t="str">
        <f t="shared" si="3"/>
        <v>TPTNFLIASLACADFLVGVTVMPFSTVRSVES</v>
      </c>
      <c r="I25" s="4" t="str">
        <f t="shared" si="4"/>
        <v>CWYF</v>
      </c>
      <c r="J25" s="4" t="str">
        <f t="shared" si="5"/>
        <v>GDSYCKFHTCFDTSFCFASLFHLCCISVDRYIAVTD</v>
      </c>
      <c r="K25" s="4" t="str">
        <f t="shared" si="6"/>
        <v>PLTYPTKF</v>
      </c>
      <c r="L25" s="4" t="str">
        <f t="shared" si="7"/>
        <v>TVSVSGICIVLSWFFSVTYSFSIFYT</v>
      </c>
      <c r="M25" s="4" t="str">
        <f t="shared" si="8"/>
        <v>CQA</v>
      </c>
      <c r="N25" s="4" t="str">
        <f t="shared" si="9"/>
        <v>LNQNWVLLCFLLFFIPNVAMVFIYSKIFLVAKHQARKIES</v>
      </c>
      <c r="O25" s="4" t="str">
        <f t="shared" si="10"/>
        <v>SYKERVAKRERKAAKTLGIAMAAFLVSWLPYLVDAVIDAYM</v>
      </c>
      <c r="P25" s="4" t="str">
        <f t="shared" si="11"/>
        <v>PPYVYEILVWCVYYNSAMNPLIYAFF</v>
      </c>
      <c r="Q25" s="4" t="str">
        <f t="shared" si="12"/>
        <v>YQWFGKAIKLIV</v>
      </c>
      <c r="R25" s="5">
        <f>VLOOKUP($A25,'SegEnds_NonXtal_Prot#'!$A:$AL,3,FALSE)</f>
        <v>28</v>
      </c>
      <c r="S25" s="5">
        <f>VLOOKUP($A25,'SegEnds_NonXtal_Prot#'!$A:$AL,6,FALSE)</f>
        <v>61</v>
      </c>
      <c r="T25" s="5">
        <f>VLOOKUP($A25,'SegEnds_NonXtal_Prot#'!$A:$AL,9,FALSE)</f>
        <v>65</v>
      </c>
      <c r="U25" s="5">
        <f>VLOOKUP($A25,'SegEnds_NonXtal_Prot#'!$A:$AL,12,FALSE)</f>
        <v>97</v>
      </c>
      <c r="V25" s="5">
        <f>VLOOKUP($A25,'SegEnds_NonXtal_Prot#'!$A:$AL,15,FALSE)</f>
        <v>101</v>
      </c>
      <c r="W25" s="5">
        <f>VLOOKUP($A25,'SegEnds_NonXtal_Prot#'!$A:$AL,18,FALSE)</f>
        <v>137</v>
      </c>
      <c r="X25" s="5">
        <f>VLOOKUP($A25,'SegEnds_NonXtal_Prot#'!$A:$AL,21,FALSE)</f>
        <v>145</v>
      </c>
      <c r="Y25" s="5">
        <f>VLOOKUP($A25,'SegEnds_NonXtal_Prot#'!$A:$AL,24,FALSE)</f>
        <v>190</v>
      </c>
      <c r="Z25" s="5">
        <f>VLOOKUP($A25,'SegEnds_NonXtal_Prot#'!$A:$AL,27,FALSE)</f>
        <v>194</v>
      </c>
      <c r="AA25" s="5">
        <f>VLOOKUP($A25,'SegEnds_NonXtal_Prot#'!$A:$AL,30,FALSE)</f>
        <v>244</v>
      </c>
      <c r="AB25" s="5">
        <f>VLOOKUP($A25,'SegEnds_NonXtal_Prot#'!$A:$AL,33,FALSE)</f>
        <v>289</v>
      </c>
      <c r="AC25" s="5">
        <f>VLOOKUP($A25,'SegEnds_NonXtal_Prot#'!$A:$AL,36,FALSE)</f>
        <v>315</v>
      </c>
      <c r="AD25" s="5">
        <f>VLOOKUP($A25,'SegEnds_NonXtal_Prot#'!$A:$AL,5,FALSE)</f>
        <v>60</v>
      </c>
      <c r="AE25" s="5">
        <f>VLOOKUP($A25,'SegEnds_NonXtal_Prot#'!$A:$AL,8,FALSE)</f>
        <v>64</v>
      </c>
      <c r="AF25" s="5">
        <f>VLOOKUP($A25,'SegEnds_NonXtal_Prot#'!$A:$AL,11,FALSE)</f>
        <v>96</v>
      </c>
      <c r="AG25" s="5">
        <f>VLOOKUP($A25,'SegEnds_NonXtal_Prot#'!$A:$AL,14,FALSE)</f>
        <v>100</v>
      </c>
      <c r="AH25" s="5">
        <f>VLOOKUP($A25,'SegEnds_NonXtal_Prot#'!$A:$AL,17,FALSE)</f>
        <v>136</v>
      </c>
      <c r="AI25" s="5">
        <f>VLOOKUP($A25,'SegEnds_NonXtal_Prot#'!$A:$AL,20,FALSE)</f>
        <v>144</v>
      </c>
      <c r="AJ25" s="5">
        <f>VLOOKUP($A25,'SegEnds_NonXtal_Prot#'!$A:$AL,23,FALSE)</f>
        <v>170</v>
      </c>
      <c r="AK25" s="5">
        <f>VLOOKUP($A25,'SegEnds_NonXtal_Prot#'!$A:$AL,26,FALSE)</f>
        <v>192</v>
      </c>
      <c r="AL25" s="5">
        <f>VLOOKUP($A25,'SegEnds_NonXtal_Prot#'!$A:$AL,29,FALSE)</f>
        <v>233</v>
      </c>
      <c r="AM25" s="5">
        <f>VLOOKUP($A25,'SegEnds_NonXtal_Prot#'!$A:$AL,32,FALSE)</f>
        <v>284</v>
      </c>
      <c r="AN25" s="5">
        <f>VLOOKUP($A25,'SegEnds_NonXtal_Prot#'!$A:$AL,35,FALSE)</f>
        <v>314</v>
      </c>
      <c r="AO25" s="5">
        <f>VLOOKUP($A25,'SegEnds_NonXtal_Prot#'!$A:$AL,38,FALSE)</f>
        <v>326</v>
      </c>
      <c r="AP25" s="5">
        <f t="shared" si="13"/>
        <v>32</v>
      </c>
      <c r="AQ25" s="4">
        <f t="shared" si="14"/>
        <v>3</v>
      </c>
      <c r="AR25" s="4">
        <f t="shared" si="15"/>
        <v>31</v>
      </c>
      <c r="AS25" s="4">
        <f t="shared" si="16"/>
        <v>3</v>
      </c>
      <c r="AT25" s="4">
        <f t="shared" si="17"/>
        <v>35</v>
      </c>
      <c r="AU25" s="4">
        <f t="shared" si="18"/>
        <v>7</v>
      </c>
      <c r="AV25" s="4">
        <f t="shared" si="19"/>
        <v>25</v>
      </c>
      <c r="AW25" s="4">
        <f t="shared" si="20"/>
        <v>2</v>
      </c>
      <c r="AX25" s="4">
        <f t="shared" si="21"/>
        <v>39</v>
      </c>
      <c r="AY25" s="4">
        <f t="shared" si="22"/>
        <v>40</v>
      </c>
      <c r="AZ25" s="4">
        <f t="shared" si="23"/>
        <v>25</v>
      </c>
      <c r="BA25" s="4">
        <f t="shared" si="24"/>
        <v>11</v>
      </c>
    </row>
    <row r="26" spans="1:53" x14ac:dyDescent="0.2">
      <c r="A26" s="1" t="str">
        <f>'SegEnds_NonXtal_Prot#'!A254</f>
        <v>drd2_human</v>
      </c>
      <c r="B26" s="1" t="str">
        <f t="shared" si="0"/>
        <v>RPHYNYYATLLTLLIAVIVFGNVLVCMAVSRETTTNYLIVSLAVADLLVATLVMPWVVYLEVVGSRIHCDIFVTLDVMMCTASILNLCAISIDRYTAVAMSKRRVTVMISIVWVLSFTISCPLLFNPAFVVYSSIVSFYVPFIVTLLVYIKIYIVLRRRRKRVNTKKLSQQKEKKATQMLAIVLGVFIICWLPFFITHILNIHCPPVLYSAFTWLGYVNSAVNPIIYTTFNIEFRKAFLKILH</v>
      </c>
      <c r="C26" s="29" t="str">
        <f>IF(ISERROR(MATCH(A26,'SegEnds_Xtal_Prot#'!B:B, 0)), "NoXtal", "Xtal")</f>
        <v>Xtal</v>
      </c>
      <c r="D26" s="4" t="str">
        <f>VLOOKUP(A26,Classification!A:D,2,FALSE)</f>
        <v>A</v>
      </c>
      <c r="E26" s="5" t="str">
        <f>VLOOKUP(A26,Seqs!A:B,2,FALSE)</f>
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</c>
      <c r="F26" s="5" t="str">
        <f t="shared" si="1"/>
        <v>RPHYNYYATLLTLLIAVIVFGNVLVCMAVSRE</v>
      </c>
      <c r="G26" s="4" t="str">
        <f t="shared" si="2"/>
        <v>KALQ</v>
      </c>
      <c r="H26" s="4" t="str">
        <f t="shared" si="3"/>
        <v>TTTNYLIVSLAVADLLVATLVMPWVVYLEVVG</v>
      </c>
      <c r="I26" s="4" t="str">
        <f t="shared" si="4"/>
        <v>EWKF</v>
      </c>
      <c r="J26" s="4" t="str">
        <f t="shared" si="5"/>
        <v>SRIHCDIFVTLDVMMCTASILNLCAISIDRYTAVAM</v>
      </c>
      <c r="K26" s="4" t="str">
        <f t="shared" si="6"/>
        <v>PMLYNTRYS</v>
      </c>
      <c r="L26" s="4" t="str">
        <f t="shared" si="7"/>
        <v>SKRRVTVMISIVWVLSFTISCPLLF</v>
      </c>
      <c r="M26" s="4" t="str">
        <f t="shared" si="8"/>
        <v>CII</v>
      </c>
      <c r="N26" s="4" t="str">
        <f t="shared" si="9"/>
        <v>NPAFVVYSSIVSFYVPFIVTLLVYIKIYIVLRRRRKRVNTK</v>
      </c>
      <c r="O26" s="4" t="str">
        <f t="shared" si="10"/>
        <v>KLSQQKEKKATQMLAIVLGVFIICWLPFFITHILNIHC</v>
      </c>
      <c r="P26" s="4" t="str">
        <f t="shared" si="11"/>
        <v>PPVLYSAFTWLGYVNSAVNPIIYTTF</v>
      </c>
      <c r="Q26" s="4" t="str">
        <f t="shared" si="12"/>
        <v>NIEFRKAFLKILH</v>
      </c>
      <c r="R26" s="5">
        <f>VLOOKUP($A26,'SegEnds_NonXtal_Prot#'!$A:$AL,3,FALSE)</f>
        <v>31</v>
      </c>
      <c r="S26" s="5">
        <f>VLOOKUP($A26,'SegEnds_NonXtal_Prot#'!$A:$AL,6,FALSE)</f>
        <v>63</v>
      </c>
      <c r="T26" s="5">
        <f>VLOOKUP($A26,'SegEnds_NonXtal_Prot#'!$A:$AL,9,FALSE)</f>
        <v>67</v>
      </c>
      <c r="U26" s="5">
        <f>VLOOKUP($A26,'SegEnds_NonXtal_Prot#'!$A:$AL,12,FALSE)</f>
        <v>99</v>
      </c>
      <c r="V26" s="5">
        <f>VLOOKUP($A26,'SegEnds_NonXtal_Prot#'!$A:$AL,15,FALSE)</f>
        <v>103</v>
      </c>
      <c r="W26" s="5">
        <f>VLOOKUP($A26,'SegEnds_NonXtal_Prot#'!$A:$AL,18,FALSE)</f>
        <v>139</v>
      </c>
      <c r="X26" s="5">
        <f>VLOOKUP($A26,'SegEnds_NonXtal_Prot#'!$A:$AL,21,FALSE)</f>
        <v>148</v>
      </c>
      <c r="Y26" s="5">
        <f>VLOOKUP($A26,'SegEnds_NonXtal_Prot#'!$A:$AL,24,FALSE)</f>
        <v>182</v>
      </c>
      <c r="Z26" s="5">
        <f>VLOOKUP($A26,'SegEnds_NonXtal_Prot#'!$A:$AL,27,FALSE)</f>
        <v>186</v>
      </c>
      <c r="AA26" s="5">
        <f>VLOOKUP($A26,'SegEnds_NonXtal_Prot#'!$A:$AL,30,FALSE)</f>
        <v>362</v>
      </c>
      <c r="AB26" s="5">
        <f>VLOOKUP($A26,'SegEnds_NonXtal_Prot#'!$A:$AL,33,FALSE)</f>
        <v>404</v>
      </c>
      <c r="AC26" s="5">
        <f>VLOOKUP($A26,'SegEnds_NonXtal_Prot#'!$A:$AL,36,FALSE)</f>
        <v>430</v>
      </c>
      <c r="AD26" s="5">
        <f>VLOOKUP($A26,'SegEnds_NonXtal_Prot#'!$A:$AL,5,FALSE)</f>
        <v>62</v>
      </c>
      <c r="AE26" s="5">
        <f>VLOOKUP($A26,'SegEnds_NonXtal_Prot#'!$A:$AL,8,FALSE)</f>
        <v>66</v>
      </c>
      <c r="AF26" s="5">
        <f>VLOOKUP($A26,'SegEnds_NonXtal_Prot#'!$A:$AL,11,FALSE)</f>
        <v>98</v>
      </c>
      <c r="AG26" s="5">
        <f>VLOOKUP($A26,'SegEnds_NonXtal_Prot#'!$A:$AL,14,FALSE)</f>
        <v>102</v>
      </c>
      <c r="AH26" s="5">
        <f>VLOOKUP($A26,'SegEnds_NonXtal_Prot#'!$A:$AL,17,FALSE)</f>
        <v>138</v>
      </c>
      <c r="AI26" s="5">
        <f>VLOOKUP($A26,'SegEnds_NonXtal_Prot#'!$A:$AL,20,FALSE)</f>
        <v>147</v>
      </c>
      <c r="AJ26" s="5">
        <f>VLOOKUP($A26,'SegEnds_NonXtal_Prot#'!$A:$AL,23,FALSE)</f>
        <v>172</v>
      </c>
      <c r="AK26" s="5">
        <f>VLOOKUP($A26,'SegEnds_NonXtal_Prot#'!$A:$AL,26,FALSE)</f>
        <v>184</v>
      </c>
      <c r="AL26" s="5">
        <f>VLOOKUP($A26,'SegEnds_NonXtal_Prot#'!$A:$AL,29,FALSE)</f>
        <v>226</v>
      </c>
      <c r="AM26" s="5">
        <f>VLOOKUP($A26,'SegEnds_NonXtal_Prot#'!$A:$AL,32,FALSE)</f>
        <v>399</v>
      </c>
      <c r="AN26" s="5">
        <f>VLOOKUP($A26,'SegEnds_NonXtal_Prot#'!$A:$AL,35,FALSE)</f>
        <v>429</v>
      </c>
      <c r="AO26" s="5">
        <f>VLOOKUP($A26,'SegEnds_NonXtal_Prot#'!$A:$AL,38,FALSE)</f>
        <v>442</v>
      </c>
      <c r="AP26" s="5">
        <f t="shared" si="13"/>
        <v>31</v>
      </c>
      <c r="AQ26" s="4">
        <f t="shared" si="14"/>
        <v>3</v>
      </c>
      <c r="AR26" s="4">
        <f t="shared" si="15"/>
        <v>31</v>
      </c>
      <c r="AS26" s="4">
        <f t="shared" si="16"/>
        <v>3</v>
      </c>
      <c r="AT26" s="4">
        <f t="shared" si="17"/>
        <v>35</v>
      </c>
      <c r="AU26" s="4">
        <f t="shared" si="18"/>
        <v>8</v>
      </c>
      <c r="AV26" s="4">
        <f t="shared" si="19"/>
        <v>24</v>
      </c>
      <c r="AW26" s="4">
        <f t="shared" si="20"/>
        <v>2</v>
      </c>
      <c r="AX26" s="4">
        <f t="shared" si="21"/>
        <v>40</v>
      </c>
      <c r="AY26" s="4">
        <f t="shared" si="22"/>
        <v>37</v>
      </c>
      <c r="AZ26" s="4">
        <f t="shared" si="23"/>
        <v>25</v>
      </c>
      <c r="BA26" s="4">
        <f t="shared" si="24"/>
        <v>12</v>
      </c>
    </row>
    <row r="27" spans="1:53" x14ac:dyDescent="0.2">
      <c r="A27" s="1" t="str">
        <f>'SegEnds_NonXtal_Prot#'!A265</f>
        <v>ackr3_human</v>
      </c>
      <c r="B27" s="1" t="str">
        <f t="shared" si="0"/>
        <v>SVLLYTLSFIYIFIFVIGMIANSVVVWVNIQAYDTHCYILNLAIADLWVVLTIPVWVVSLVQGELTCKVTHLIFSINLFGSIFFLTCMSVDRYLSITYKKMVRRVVCILVWLLAFCVSLPDTYYLEWLIGMELVSVVLGFAVPFSIIAVFYFLLARAISASKHSSRKIIFSYVVVFLVCWLPYHVAVLLDIFSILHTCRLEHALFTALHVTQCLSLVHCCVNPVLYSFINRNYRYELMKAFI</v>
      </c>
      <c r="C27" s="29" t="str">
        <f>IF(ISERROR(MATCH(A27,'SegEnds_Xtal_Prot#'!B:B, 0)), "NoXtal", "Xtal")</f>
        <v>NoXtal</v>
      </c>
      <c r="D27" s="4" t="str">
        <f>VLOOKUP(A27,Classification!A:D,2,FALSE)</f>
        <v>A</v>
      </c>
      <c r="E27" s="5" t="str">
        <f>VLOOKUP(A27,Seqs!A:B,2,FALSE)</f>
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</c>
      <c r="F27" s="5" t="str">
        <f t="shared" si="1"/>
        <v>SVLLYTLSFIYIFIFVIGMIANSVVVWVNIQA</v>
      </c>
      <c r="G27" s="4" t="str">
        <f t="shared" si="2"/>
        <v>KTTG</v>
      </c>
      <c r="H27" s="4" t="str">
        <f t="shared" si="3"/>
        <v>YDTHCYILNLAIADLWVVLTIPVWVVSLVQ</v>
      </c>
      <c r="I27" s="4" t="str">
        <f t="shared" si="4"/>
        <v>QWPM</v>
      </c>
      <c r="J27" s="4" t="str">
        <f t="shared" si="5"/>
        <v>GELTCKVTHLIFSINLFGSIFFLTCMSVDRYLSITY</v>
      </c>
      <c r="K27" s="4" t="str">
        <f t="shared" si="6"/>
        <v/>
      </c>
      <c r="L27" s="4" t="str">
        <f t="shared" si="7"/>
        <v>KKMVRRVVCILVWLLAFCVSLPDTYYL</v>
      </c>
      <c r="M27" s="4" t="str">
        <f t="shared" si="8"/>
        <v>CRS</v>
      </c>
      <c r="N27" s="4" t="str">
        <f t="shared" si="9"/>
        <v>EWLIGMELVSVVLGFAVPFSIIAVFYFLLARAISAS</v>
      </c>
      <c r="O27" s="4" t="str">
        <f t="shared" si="10"/>
        <v>KHSSRKIIFSYVVVFLVCWLPYHVAVLLDIFSILH</v>
      </c>
      <c r="P27" s="4" t="str">
        <f t="shared" si="11"/>
        <v>TCRLEHALFTALHVTQCLSLVHCCVNPVLYSFI</v>
      </c>
      <c r="Q27" s="4" t="str">
        <f t="shared" si="12"/>
        <v>NRNYRYELMKAFI</v>
      </c>
      <c r="R27" s="5">
        <f>VLOOKUP($A27,'SegEnds_NonXtal_Prot#'!$A:$AL,3,FALSE)</f>
        <v>41</v>
      </c>
      <c r="S27" s="5">
        <f>VLOOKUP($A27,'SegEnds_NonXtal_Prot#'!$A:$AL,6,FALSE)</f>
        <v>73</v>
      </c>
      <c r="T27" s="5">
        <f>VLOOKUP($A27,'SegEnds_NonXtal_Prot#'!$A:$AL,9,FALSE)</f>
        <v>77</v>
      </c>
      <c r="U27" s="5">
        <f>VLOOKUP($A27,'SegEnds_NonXtal_Prot#'!$A:$AL,12,FALSE)</f>
        <v>109</v>
      </c>
      <c r="V27" s="5">
        <f>VLOOKUP($A27,'SegEnds_NonXtal_Prot#'!$A:$AL,15,FALSE)</f>
        <v>113</v>
      </c>
      <c r="W27" s="5" t="str">
        <f>VLOOKUP($A27,'SegEnds_NonXtal_Prot#'!$A:$AL,18,FALSE)</f>
        <v>-</v>
      </c>
      <c r="X27" s="5">
        <f>VLOOKUP($A27,'SegEnds_NonXtal_Prot#'!$A:$AL,21,FALSE)</f>
        <v>157</v>
      </c>
      <c r="Y27" s="5">
        <f>VLOOKUP($A27,'SegEnds_NonXtal_Prot#'!$A:$AL,24,FALSE)</f>
        <v>196</v>
      </c>
      <c r="Z27" s="5">
        <f>VLOOKUP($A27,'SegEnds_NonXtal_Prot#'!$A:$AL,27,FALSE)</f>
        <v>207</v>
      </c>
      <c r="AA27" s="5">
        <f>VLOOKUP($A27,'SegEnds_NonXtal_Prot#'!$A:$AL,30,FALSE)</f>
        <v>247</v>
      </c>
      <c r="AB27" s="5">
        <f>VLOOKUP($A27,'SegEnds_NonXtal_Prot#'!$A:$AL,33,FALSE)</f>
        <v>286</v>
      </c>
      <c r="AC27" s="5">
        <f>VLOOKUP($A27,'SegEnds_NonXtal_Prot#'!$A:$AL,36,FALSE)</f>
        <v>319</v>
      </c>
      <c r="AD27" s="5">
        <f>VLOOKUP($A27,'SegEnds_NonXtal_Prot#'!$A:$AL,5,FALSE)</f>
        <v>72</v>
      </c>
      <c r="AE27" s="5">
        <f>VLOOKUP($A27,'SegEnds_NonXtal_Prot#'!$A:$AL,8,FALSE)</f>
        <v>76</v>
      </c>
      <c r="AF27" s="5">
        <f>VLOOKUP($A27,'SegEnds_NonXtal_Prot#'!$A:$AL,11,FALSE)</f>
        <v>106</v>
      </c>
      <c r="AG27" s="5">
        <f>VLOOKUP($A27,'SegEnds_NonXtal_Prot#'!$A:$AL,14,FALSE)</f>
        <v>112</v>
      </c>
      <c r="AH27" s="5">
        <f>VLOOKUP($A27,'SegEnds_NonXtal_Prot#'!$A:$AL,17,FALSE)</f>
        <v>148</v>
      </c>
      <c r="AI27" s="5" t="str">
        <f>VLOOKUP($A27,'SegEnds_NonXtal_Prot#'!$A:$AL,20,FALSE)</f>
        <v>-</v>
      </c>
      <c r="AJ27" s="5">
        <f>VLOOKUP($A27,'SegEnds_NonXtal_Prot#'!$A:$AL,23,FALSE)</f>
        <v>183</v>
      </c>
      <c r="AK27" s="5">
        <f>VLOOKUP($A27,'SegEnds_NonXtal_Prot#'!$A:$AL,26,FALSE)</f>
        <v>198</v>
      </c>
      <c r="AL27" s="5">
        <f>VLOOKUP($A27,'SegEnds_NonXtal_Prot#'!$A:$AL,29,FALSE)</f>
        <v>242</v>
      </c>
      <c r="AM27" s="5">
        <f>VLOOKUP($A27,'SegEnds_NonXtal_Prot#'!$A:$AL,32,FALSE)</f>
        <v>281</v>
      </c>
      <c r="AN27" s="5">
        <f>VLOOKUP($A27,'SegEnds_NonXtal_Prot#'!$A:$AL,35,FALSE)</f>
        <v>318</v>
      </c>
      <c r="AO27" s="5">
        <f>VLOOKUP($A27,'SegEnds_NonXtal_Prot#'!$A:$AL,38,FALSE)</f>
        <v>331</v>
      </c>
      <c r="AP27" s="5">
        <f t="shared" si="13"/>
        <v>31</v>
      </c>
      <c r="AQ27" s="4">
        <f t="shared" si="14"/>
        <v>3</v>
      </c>
      <c r="AR27" s="4">
        <f t="shared" si="15"/>
        <v>29</v>
      </c>
      <c r="AS27" s="4">
        <f t="shared" si="16"/>
        <v>3</v>
      </c>
      <c r="AT27" s="4">
        <f t="shared" si="17"/>
        <v>35</v>
      </c>
      <c r="AU27" s="4" t="str">
        <f t="shared" si="18"/>
        <v>-</v>
      </c>
      <c r="AV27" s="4">
        <f t="shared" si="19"/>
        <v>26</v>
      </c>
      <c r="AW27" s="4">
        <f t="shared" si="20"/>
        <v>2</v>
      </c>
      <c r="AX27" s="4">
        <f t="shared" si="21"/>
        <v>35</v>
      </c>
      <c r="AY27" s="4">
        <f t="shared" si="22"/>
        <v>34</v>
      </c>
      <c r="AZ27" s="4">
        <f t="shared" si="23"/>
        <v>32</v>
      </c>
      <c r="BA27" s="4">
        <f t="shared" si="24"/>
        <v>12</v>
      </c>
    </row>
    <row r="28" spans="1:53" x14ac:dyDescent="0.2">
      <c r="A28" s="1" t="str">
        <f>'SegEnds_NonXtal_Prot#'!A279</f>
        <v>gpr75_human</v>
      </c>
      <c r="B28" s="1" t="str">
        <f t="shared" si="0"/>
        <v>DLIHTATLVTCTFLLAVIFCLGSYGNFIVFLSFFDPTNFDFMILNLSFCDLFICGVTAPMFTFVLFFSSIPDAFCFTFHLTSSGFIIMSLKTVAVIALHRLRMVLGSFPCTVLLTLLLWATSFTLATLATLKTKGKAILSLYVVDFTFCVAVVSVSYIMIAQTLRKNAQVRKCPPNLSTAKDSKAVVTCVIIVLSVLVCCLPLGISLVQVVLSLYQFELFGFTLIFFKSGLNPFIYSRSAGLRRKVLWCLQ</v>
      </c>
      <c r="C28" s="29" t="str">
        <f>IF(ISERROR(MATCH(A28,'SegEnds_Xtal_Prot#'!B:B, 0)), "NoXtal", "Xtal")</f>
        <v>NoXtal</v>
      </c>
      <c r="D28" s="4" t="str">
        <f>VLOOKUP(A28,Classification!A:D,2,FALSE)</f>
        <v>A</v>
      </c>
      <c r="E28" s="5" t="str">
        <f>VLOOKUP(A28,Seqs!A:B,2,FALSE)</f>
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</c>
      <c r="F28" s="5" t="str">
        <f t="shared" si="1"/>
        <v>DLIHTATLVTCTFLLAVIFCLGSYGNFIVFLSFFDP</v>
      </c>
      <c r="G28" s="4" t="str">
        <f t="shared" si="2"/>
        <v>RKFR</v>
      </c>
      <c r="H28" s="4" t="str">
        <f t="shared" si="3"/>
        <v>TNFDFMILNLSFCDLFICGVTAPMFTFVLFF</v>
      </c>
      <c r="I28" s="4" t="str">
        <f t="shared" si="4"/>
        <v/>
      </c>
      <c r="J28" s="4" t="str">
        <f t="shared" si="5"/>
        <v>SSIPDAFCFTFHLTSSGFIIMSLKTVAVIALHRLRMVLG</v>
      </c>
      <c r="K28" s="4" t="str">
        <f t="shared" si="6"/>
        <v/>
      </c>
      <c r="L28" s="4" t="str">
        <f t="shared" si="7"/>
        <v>SFPCTVLLTLLLWATSFTLATLATLKT</v>
      </c>
      <c r="M28" s="4" t="str">
        <f t="shared" si="8"/>
        <v>CLP</v>
      </c>
      <c r="N28" s="4" t="str">
        <f t="shared" si="9"/>
        <v>KGKAILSLYVVDFTFCVAVVSVSYIMIAQTLRKNAQVRKCPP</v>
      </c>
      <c r="O28" s="4" t="str">
        <f t="shared" si="10"/>
        <v>NLSTAKDSKAVVTCVIIVLSVLVCCLPLGISLVQVVLS</v>
      </c>
      <c r="P28" s="4" t="str">
        <f t="shared" si="11"/>
        <v>LYQFELFGFTLIFFKSGLNPFIYSR</v>
      </c>
      <c r="Q28" s="4" t="str">
        <f t="shared" si="12"/>
        <v>SAGLRRKVLWCLQ</v>
      </c>
      <c r="R28" s="5">
        <f>VLOOKUP($A28,'SegEnds_NonXtal_Prot#'!$A:$AL,3,FALSE)</f>
        <v>35</v>
      </c>
      <c r="S28" s="5">
        <f>VLOOKUP($A28,'SegEnds_NonXtal_Prot#'!$A:$AL,6,FALSE)</f>
        <v>73</v>
      </c>
      <c r="T28" s="5">
        <f>VLOOKUP($A28,'SegEnds_NonXtal_Prot#'!$A:$AL,9,FALSE)</f>
        <v>77</v>
      </c>
      <c r="U28" s="5" t="str">
        <f>VLOOKUP($A28,'SegEnds_NonXtal_Prot#'!$A:$AL,12,FALSE)</f>
        <v>-</v>
      </c>
      <c r="V28" s="5">
        <f>VLOOKUP($A28,'SegEnds_NonXtal_Prot#'!$A:$AL,15,FALSE)</f>
        <v>111</v>
      </c>
      <c r="W28" s="5" t="str">
        <f>VLOOKUP($A28,'SegEnds_NonXtal_Prot#'!$A:$AL,18,FALSE)</f>
        <v>-</v>
      </c>
      <c r="X28" s="5">
        <f>VLOOKUP($A28,'SegEnds_NonXtal_Prot#'!$A:$AL,21,FALSE)</f>
        <v>157</v>
      </c>
      <c r="Y28" s="5">
        <f>VLOOKUP($A28,'SegEnds_NonXtal_Prot#'!$A:$AL,24,FALSE)</f>
        <v>189</v>
      </c>
      <c r="Z28" s="5">
        <f>VLOOKUP($A28,'SegEnds_NonXtal_Prot#'!$A:$AL,27,FALSE)</f>
        <v>199</v>
      </c>
      <c r="AA28" s="5">
        <f>VLOOKUP($A28,'SegEnds_NonXtal_Prot#'!$A:$AL,30,FALSE)</f>
        <v>310</v>
      </c>
      <c r="AB28" s="5">
        <f>VLOOKUP($A28,'SegEnds_NonXtal_Prot#'!$A:$AL,33,FALSE)</f>
        <v>354</v>
      </c>
      <c r="AC28" s="5">
        <f>VLOOKUP($A28,'SegEnds_NonXtal_Prot#'!$A:$AL,36,FALSE)</f>
        <v>380</v>
      </c>
      <c r="AD28" s="5">
        <f>VLOOKUP($A28,'SegEnds_NonXtal_Prot#'!$A:$AL,5,FALSE)</f>
        <v>70</v>
      </c>
      <c r="AE28" s="5">
        <f>VLOOKUP($A28,'SegEnds_NonXtal_Prot#'!$A:$AL,8,FALSE)</f>
        <v>76</v>
      </c>
      <c r="AF28" s="5">
        <f>VLOOKUP($A28,'SegEnds_NonXtal_Prot#'!$A:$AL,11,FALSE)</f>
        <v>107</v>
      </c>
      <c r="AG28" s="5" t="str">
        <f>VLOOKUP($A28,'SegEnds_NonXtal_Prot#'!$A:$AL,14,FALSE)</f>
        <v>-</v>
      </c>
      <c r="AH28" s="5">
        <f>VLOOKUP($A28,'SegEnds_NonXtal_Prot#'!$A:$AL,17,FALSE)</f>
        <v>149</v>
      </c>
      <c r="AI28" s="5" t="str">
        <f>VLOOKUP($A28,'SegEnds_NonXtal_Prot#'!$A:$AL,20,FALSE)</f>
        <v>-</v>
      </c>
      <c r="AJ28" s="5">
        <f>VLOOKUP($A28,'SegEnds_NonXtal_Prot#'!$A:$AL,23,FALSE)</f>
        <v>183</v>
      </c>
      <c r="AK28" s="5">
        <f>VLOOKUP($A28,'SegEnds_NonXtal_Prot#'!$A:$AL,26,FALSE)</f>
        <v>191</v>
      </c>
      <c r="AL28" s="5">
        <f>VLOOKUP($A28,'SegEnds_NonXtal_Prot#'!$A:$AL,29,FALSE)</f>
        <v>240</v>
      </c>
      <c r="AM28" s="5">
        <f>VLOOKUP($A28,'SegEnds_NonXtal_Prot#'!$A:$AL,32,FALSE)</f>
        <v>347</v>
      </c>
      <c r="AN28" s="5">
        <f>VLOOKUP($A28,'SegEnds_NonXtal_Prot#'!$A:$AL,35,FALSE)</f>
        <v>378</v>
      </c>
      <c r="AO28" s="5">
        <f>VLOOKUP($A28,'SegEnds_NonXtal_Prot#'!$A:$AL,38,FALSE)</f>
        <v>392</v>
      </c>
      <c r="AP28" s="5">
        <f t="shared" si="13"/>
        <v>35</v>
      </c>
      <c r="AQ28" s="4">
        <f t="shared" si="14"/>
        <v>3</v>
      </c>
      <c r="AR28" s="4">
        <f t="shared" si="15"/>
        <v>30</v>
      </c>
      <c r="AS28" s="4" t="str">
        <f t="shared" si="16"/>
        <v>-</v>
      </c>
      <c r="AT28" s="4">
        <f t="shared" si="17"/>
        <v>38</v>
      </c>
      <c r="AU28" s="4" t="str">
        <f t="shared" si="18"/>
        <v>-</v>
      </c>
      <c r="AV28" s="4">
        <f t="shared" si="19"/>
        <v>26</v>
      </c>
      <c r="AW28" s="4">
        <f t="shared" si="20"/>
        <v>2</v>
      </c>
      <c r="AX28" s="4">
        <f t="shared" si="21"/>
        <v>41</v>
      </c>
      <c r="AY28" s="4">
        <f t="shared" si="22"/>
        <v>37</v>
      </c>
      <c r="AZ28" s="4">
        <f t="shared" si="23"/>
        <v>24</v>
      </c>
      <c r="BA28" s="4">
        <f t="shared" si="24"/>
        <v>12</v>
      </c>
    </row>
    <row r="29" spans="1:53" x14ac:dyDescent="0.2">
      <c r="A29" s="1" t="str">
        <f>'SegEnds_NonXtal_Prot#'!A296</f>
        <v>pkr2_human</v>
      </c>
      <c r="B29" s="1" t="str">
        <f t="shared" si="0"/>
        <v>FFAAKIVIGIALAGIMLVCGIGNFVFIAALTRYNLTNLLIANLAISDFLVAIICCPFEMDYYVVRGHVLCASVNYLRTVSLYVSTNALLAIAIDRYLAIVHNYQTASFLIALVWMVSILIAIPSAYFAQQLYYKSYFLFIFGVEFVGPVVTMTLCYARISRELWFKAVPGFQIRKRLRCRRKTVLVLMCILTAYVLCWAPFYGFTIVRDFFEKHYLTAFYVVECIAMSNSMINTVCFVTVNNTMKYFKKMML</v>
      </c>
      <c r="C29" s="29" t="str">
        <f>IF(ISERROR(MATCH(A29,'SegEnds_Xtal_Prot#'!B:B, 0)), "NoXtal", "Xtal")</f>
        <v>NoXtal</v>
      </c>
      <c r="D29" s="4" t="str">
        <f>VLOOKUP(A29,Classification!A:D,2,FALSE)</f>
        <v>A</v>
      </c>
      <c r="E29" s="5" t="str">
        <f>VLOOKUP(A29,Seqs!A:B,2,FALSE)</f>
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</c>
      <c r="F29" s="5" t="str">
        <f t="shared" si="1"/>
        <v>FFAAKIVIGIALAGIMLVCGIGNFVFIAALTRY</v>
      </c>
      <c r="G29" s="4" t="str">
        <f t="shared" si="2"/>
        <v>KKLR</v>
      </c>
      <c r="H29" s="4" t="str">
        <f t="shared" si="3"/>
        <v>NLTNLLIANLAISDFLVAIICCPFEMDYYVVR</v>
      </c>
      <c r="I29" s="4" t="str">
        <f t="shared" si="4"/>
        <v>SWEH</v>
      </c>
      <c r="J29" s="4" t="str">
        <f t="shared" si="5"/>
        <v>GHVLCASVNYLRTVSLYVSTNALLAIAIDRYLAIVH</v>
      </c>
      <c r="K29" s="4" t="str">
        <f t="shared" si="6"/>
        <v/>
      </c>
      <c r="L29" s="4" t="str">
        <f t="shared" si="7"/>
        <v>NYQTASFLIALVWMVSILIAIPSAYFA</v>
      </c>
      <c r="M29" s="4" t="str">
        <f t="shared" si="8"/>
        <v>CGQ</v>
      </c>
      <c r="N29" s="4" t="str">
        <f t="shared" si="9"/>
        <v>QQLYYKSYFLFIFGVEFVGPVVTMTLCYARISRELWFKAVPGF</v>
      </c>
      <c r="O29" s="4" t="str">
        <f t="shared" si="10"/>
        <v>QIRKRLRCRRKTVLVLMCILTAYVLCWAPFYGFTIVRDFF</v>
      </c>
      <c r="P29" s="4" t="str">
        <f t="shared" si="11"/>
        <v>EKHYLTAFYVVECIAMSNSMINTVCFVTV</v>
      </c>
      <c r="Q29" s="4" t="str">
        <f t="shared" si="12"/>
        <v>NNTMKYFKKMML</v>
      </c>
      <c r="R29" s="5">
        <f>VLOOKUP($A29,'SegEnds_NonXtal_Prot#'!$A:$AL,3,FALSE)</f>
        <v>49</v>
      </c>
      <c r="S29" s="5">
        <f>VLOOKUP($A29,'SegEnds_NonXtal_Prot#'!$A:$AL,6,FALSE)</f>
        <v>82</v>
      </c>
      <c r="T29" s="5">
        <f>VLOOKUP($A29,'SegEnds_NonXtal_Prot#'!$A:$AL,9,FALSE)</f>
        <v>86</v>
      </c>
      <c r="U29" s="5">
        <f>VLOOKUP($A29,'SegEnds_NonXtal_Prot#'!$A:$AL,12,FALSE)</f>
        <v>120</v>
      </c>
      <c r="V29" s="5">
        <f>VLOOKUP($A29,'SegEnds_NonXtal_Prot#'!$A:$AL,15,FALSE)</f>
        <v>124</v>
      </c>
      <c r="W29" s="5" t="str">
        <f>VLOOKUP($A29,'SegEnds_NonXtal_Prot#'!$A:$AL,18,FALSE)</f>
        <v>-</v>
      </c>
      <c r="X29" s="5">
        <f>VLOOKUP($A29,'SegEnds_NonXtal_Prot#'!$A:$AL,21,FALSE)</f>
        <v>166</v>
      </c>
      <c r="Y29" s="5">
        <f>VLOOKUP($A29,'SegEnds_NonXtal_Prot#'!$A:$AL,24,FALSE)</f>
        <v>208</v>
      </c>
      <c r="Z29" s="5">
        <f>VLOOKUP($A29,'SegEnds_NonXtal_Prot#'!$A:$AL,27,FALSE)</f>
        <v>216</v>
      </c>
      <c r="AA29" s="5">
        <f>VLOOKUP($A29,'SegEnds_NonXtal_Prot#'!$A:$AL,30,FALSE)</f>
        <v>262</v>
      </c>
      <c r="AB29" s="5">
        <f>VLOOKUP($A29,'SegEnds_NonXtal_Prot#'!$A:$AL,33,FALSE)</f>
        <v>308</v>
      </c>
      <c r="AC29" s="5">
        <f>VLOOKUP($A29,'SegEnds_NonXtal_Prot#'!$A:$AL,36,FALSE)</f>
        <v>338</v>
      </c>
      <c r="AD29" s="5">
        <f>VLOOKUP($A29,'SegEnds_NonXtal_Prot#'!$A:$AL,5,FALSE)</f>
        <v>81</v>
      </c>
      <c r="AE29" s="5">
        <f>VLOOKUP($A29,'SegEnds_NonXtal_Prot#'!$A:$AL,8,FALSE)</f>
        <v>85</v>
      </c>
      <c r="AF29" s="5">
        <f>VLOOKUP($A29,'SegEnds_NonXtal_Prot#'!$A:$AL,11,FALSE)</f>
        <v>117</v>
      </c>
      <c r="AG29" s="5">
        <f>VLOOKUP($A29,'SegEnds_NonXtal_Prot#'!$A:$AL,14,FALSE)</f>
        <v>123</v>
      </c>
      <c r="AH29" s="5">
        <f>VLOOKUP($A29,'SegEnds_NonXtal_Prot#'!$A:$AL,17,FALSE)</f>
        <v>159</v>
      </c>
      <c r="AI29" s="5" t="str">
        <f>VLOOKUP($A29,'SegEnds_NonXtal_Prot#'!$A:$AL,20,FALSE)</f>
        <v>-</v>
      </c>
      <c r="AJ29" s="5">
        <f>VLOOKUP($A29,'SegEnds_NonXtal_Prot#'!$A:$AL,23,FALSE)</f>
        <v>192</v>
      </c>
      <c r="AK29" s="5">
        <f>VLOOKUP($A29,'SegEnds_NonXtal_Prot#'!$A:$AL,26,FALSE)</f>
        <v>210</v>
      </c>
      <c r="AL29" s="5">
        <f>VLOOKUP($A29,'SegEnds_NonXtal_Prot#'!$A:$AL,29,FALSE)</f>
        <v>258</v>
      </c>
      <c r="AM29" s="5">
        <f>VLOOKUP($A29,'SegEnds_NonXtal_Prot#'!$A:$AL,32,FALSE)</f>
        <v>301</v>
      </c>
      <c r="AN29" s="5">
        <f>VLOOKUP($A29,'SegEnds_NonXtal_Prot#'!$A:$AL,35,FALSE)</f>
        <v>336</v>
      </c>
      <c r="AO29" s="5">
        <f>VLOOKUP($A29,'SegEnds_NonXtal_Prot#'!$A:$AL,38,FALSE)</f>
        <v>349</v>
      </c>
      <c r="AP29" s="5">
        <f t="shared" si="13"/>
        <v>32</v>
      </c>
      <c r="AQ29" s="4">
        <f t="shared" si="14"/>
        <v>3</v>
      </c>
      <c r="AR29" s="4">
        <f t="shared" si="15"/>
        <v>31</v>
      </c>
      <c r="AS29" s="4">
        <f t="shared" si="16"/>
        <v>3</v>
      </c>
      <c r="AT29" s="4">
        <f t="shared" si="17"/>
        <v>35</v>
      </c>
      <c r="AU29" s="4" t="str">
        <f t="shared" si="18"/>
        <v>-</v>
      </c>
      <c r="AV29" s="4">
        <f t="shared" si="19"/>
        <v>26</v>
      </c>
      <c r="AW29" s="4">
        <f t="shared" si="20"/>
        <v>2</v>
      </c>
      <c r="AX29" s="4">
        <f t="shared" si="21"/>
        <v>42</v>
      </c>
      <c r="AY29" s="4">
        <f t="shared" si="22"/>
        <v>39</v>
      </c>
      <c r="AZ29" s="4">
        <f t="shared" si="23"/>
        <v>28</v>
      </c>
      <c r="BA29" s="4">
        <f t="shared" si="24"/>
        <v>11</v>
      </c>
    </row>
    <row r="30" spans="1:53" x14ac:dyDescent="0.2">
      <c r="A30" s="1" t="str">
        <f>'SegEnds_NonXtal_Prot#'!A325</f>
        <v>agrd2_human</v>
      </c>
      <c r="B30" s="1" t="str">
        <f t="shared" si="0"/>
        <v>YEVQRGPEEESLLRTLSFVGCGVSFCALTTTFLLFLVASERTTVHKNLTFSLASAEGFLMTSEWAVACVAVTVAMHFLFLVAFSWMLVEGLLLWRKVVAPGMRLYHATGWGVPVGIVAVTLAMLPHDYHTNAIWAFVGPVLFVLTANTCILARVVMITVSSAKPVLVLLPVLGLTWLAGILVHLAWAYAAVGLNSIQGLYIFLVYAACNEEVRSALQRMAEKKVA</v>
      </c>
      <c r="C30" s="29" t="str">
        <f>IF(ISERROR(MATCH(A30,'SegEnds_Xtal_Prot#'!B:B, 0)), "NoXtal", "Xtal")</f>
        <v>NoXtal</v>
      </c>
      <c r="D30" s="4" t="str">
        <f>VLOOKUP(A30,Classification!A:D,2,FALSE)</f>
        <v>B2</v>
      </c>
      <c r="E30" s="5" t="str">
        <f>VLOOKUP(A30,Seqs!A:B,2,FALSE)</f>
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</c>
      <c r="F30" s="5" t="str">
        <f t="shared" si="1"/>
        <v>YEVQRGPEEESLLRTLSFVGCGVSFCALTTTFLLFLVA</v>
      </c>
      <c r="G30" s="4" t="str">
        <f t="shared" si="2"/>
        <v/>
      </c>
      <c r="H30" s="4" t="str">
        <f t="shared" si="3"/>
        <v>SERTTVHKNLTFSLASAEGFLMTSEWA</v>
      </c>
      <c r="I30" s="4" t="str">
        <f t="shared" si="4"/>
        <v/>
      </c>
      <c r="J30" s="4" t="str">
        <f t="shared" si="5"/>
        <v>VACVAVTVAMHFLFLVAFSWMLVEGLLLWRKVVA</v>
      </c>
      <c r="K30" s="4" t="str">
        <f t="shared" si="6"/>
        <v/>
      </c>
      <c r="L30" s="4" t="str">
        <f t="shared" si="7"/>
        <v>PGMRLYHATGWGVPVGIVAVTLAMLPHDY</v>
      </c>
      <c r="M30" s="4" t="str">
        <f t="shared" si="8"/>
        <v>CWL</v>
      </c>
      <c r="N30" s="4" t="str">
        <f t="shared" si="9"/>
        <v>HTNAIWAFVGPVLFVLTANTCILARVVMITVSSA</v>
      </c>
      <c r="O30" s="4" t="str">
        <f t="shared" si="10"/>
        <v>KPVLVLLPVLGLTWLAGILVHL</v>
      </c>
      <c r="P30" s="4" t="str">
        <f t="shared" si="11"/>
        <v>AWAYAAVGLNSIQGLYIFLVYAAC</v>
      </c>
      <c r="Q30" s="4" t="str">
        <f t="shared" si="12"/>
        <v>NEEVRSALQRMAEKKVA</v>
      </c>
      <c r="R30" s="5">
        <f>VLOOKUP($A30,'SegEnds_NonXtal_Prot#'!$A:$AL,3,FALSE)</f>
        <v>646</v>
      </c>
      <c r="S30" s="5" t="str">
        <f>VLOOKUP($A30,'SegEnds_NonXtal_Prot#'!$A:$AL,6,FALSE)</f>
        <v>-</v>
      </c>
      <c r="T30" s="5">
        <f>VLOOKUP($A30,'SegEnds_NonXtal_Prot#'!$A:$AL,9,FALSE)</f>
        <v>688</v>
      </c>
      <c r="U30" s="5" t="str">
        <f>VLOOKUP($A30,'SegEnds_NonXtal_Prot#'!$A:$AL,12,FALSE)</f>
        <v>-</v>
      </c>
      <c r="V30" s="5">
        <f>VLOOKUP($A30,'SegEnds_NonXtal_Prot#'!$A:$AL,15,FALSE)</f>
        <v>719</v>
      </c>
      <c r="W30" s="5" t="str">
        <f>VLOOKUP($A30,'SegEnds_NonXtal_Prot#'!$A:$AL,18,FALSE)</f>
        <v>-</v>
      </c>
      <c r="X30" s="5">
        <f>VLOOKUP($A30,'SegEnds_NonXtal_Prot#'!$A:$AL,21,FALSE)</f>
        <v>759</v>
      </c>
      <c r="Y30" s="5">
        <f>VLOOKUP($A30,'SegEnds_NonXtal_Prot#'!$A:$AL,24,FALSE)</f>
        <v>793</v>
      </c>
      <c r="Z30" s="5">
        <f>VLOOKUP($A30,'SegEnds_NonXtal_Prot#'!$A:$AL,27,FALSE)</f>
        <v>798</v>
      </c>
      <c r="AA30" s="5">
        <f>VLOOKUP($A30,'SegEnds_NonXtal_Prot#'!$A:$AL,30,FALSE)</f>
        <v>857</v>
      </c>
      <c r="AB30" s="5">
        <f>VLOOKUP($A30,'SegEnds_NonXtal_Prot#'!$A:$AL,33,FALSE)</f>
        <v>881</v>
      </c>
      <c r="AC30" s="5">
        <f>VLOOKUP($A30,'SegEnds_NonXtal_Prot#'!$A:$AL,36,FALSE)</f>
        <v>905</v>
      </c>
      <c r="AD30" s="5">
        <f>VLOOKUP($A30,'SegEnds_NonXtal_Prot#'!$A:$AL,5,FALSE)</f>
        <v>683</v>
      </c>
      <c r="AE30" s="5" t="str">
        <f>VLOOKUP($A30,'SegEnds_NonXtal_Prot#'!$A:$AL,8,FALSE)</f>
        <v>-</v>
      </c>
      <c r="AF30" s="5">
        <f>VLOOKUP($A30,'SegEnds_NonXtal_Prot#'!$A:$AL,11,FALSE)</f>
        <v>714</v>
      </c>
      <c r="AG30" s="5" t="str">
        <f>VLOOKUP($A30,'SegEnds_NonXtal_Prot#'!$A:$AL,14,FALSE)</f>
        <v>-</v>
      </c>
      <c r="AH30" s="5">
        <f>VLOOKUP($A30,'SegEnds_NonXtal_Prot#'!$A:$AL,17,FALSE)</f>
        <v>752</v>
      </c>
      <c r="AI30" s="5" t="str">
        <f>VLOOKUP($A30,'SegEnds_NonXtal_Prot#'!$A:$AL,20,FALSE)</f>
        <v>-</v>
      </c>
      <c r="AJ30" s="5">
        <f>VLOOKUP($A30,'SegEnds_NonXtal_Prot#'!$A:$AL,23,FALSE)</f>
        <v>787</v>
      </c>
      <c r="AK30" s="5">
        <f>VLOOKUP($A30,'SegEnds_NonXtal_Prot#'!$A:$AL,26,FALSE)</f>
        <v>795</v>
      </c>
      <c r="AL30" s="5">
        <f>VLOOKUP($A30,'SegEnds_NonXtal_Prot#'!$A:$AL,29,FALSE)</f>
        <v>831</v>
      </c>
      <c r="AM30" s="5">
        <f>VLOOKUP($A30,'SegEnds_NonXtal_Prot#'!$A:$AL,32,FALSE)</f>
        <v>878</v>
      </c>
      <c r="AN30" s="5">
        <f>VLOOKUP($A30,'SegEnds_NonXtal_Prot#'!$A:$AL,35,FALSE)</f>
        <v>904</v>
      </c>
      <c r="AO30" s="5">
        <f>VLOOKUP($A30,'SegEnds_NonXtal_Prot#'!$A:$AL,38,FALSE)</f>
        <v>921</v>
      </c>
      <c r="AP30" s="5">
        <f t="shared" si="13"/>
        <v>37</v>
      </c>
      <c r="AQ30" s="4" t="str">
        <f t="shared" si="14"/>
        <v>-</v>
      </c>
      <c r="AR30" s="4">
        <f t="shared" si="15"/>
        <v>26</v>
      </c>
      <c r="AS30" s="4" t="str">
        <f t="shared" si="16"/>
        <v>-</v>
      </c>
      <c r="AT30" s="4">
        <f t="shared" si="17"/>
        <v>33</v>
      </c>
      <c r="AU30" s="4" t="str">
        <f t="shared" si="18"/>
        <v>-</v>
      </c>
      <c r="AV30" s="4">
        <f t="shared" si="19"/>
        <v>28</v>
      </c>
      <c r="AW30" s="4">
        <f t="shared" si="20"/>
        <v>2</v>
      </c>
      <c r="AX30" s="4">
        <f t="shared" si="21"/>
        <v>33</v>
      </c>
      <c r="AY30" s="4">
        <f t="shared" si="22"/>
        <v>21</v>
      </c>
      <c r="AZ30" s="4">
        <f t="shared" si="23"/>
        <v>23</v>
      </c>
      <c r="BA30" s="4">
        <f t="shared" si="24"/>
        <v>16</v>
      </c>
    </row>
    <row r="31" spans="1:53" x14ac:dyDescent="0.2">
      <c r="A31" s="1" t="str">
        <f>'SegEnds_NonXtal_Prot#'!A331</f>
        <v>agrf2_human</v>
      </c>
      <c r="B31" s="1" t="str">
        <f t="shared" si="0"/>
        <v>ILMSPHILESLILTYITYVGLGISICSLILCLSIEVLVEITYLRHVCIVNIAATLLMADVWFIVAKGCVAATFFVHFFYLSVFFWMLAKALLILYGIMILVASLFSVGYGCPLAIAAITVAATEPGMTKALLAFVIPALAIVVVNLITVTLVIVKTQRAAKNIAILTPLLGLTWGFGVATVISLAFHIIFSLLNAFQVSPDASDQVQS</v>
      </c>
      <c r="C31" s="29" t="str">
        <f>IF(ISERROR(MATCH(A31,'SegEnds_Xtal_Prot#'!B:B, 0)), "NoXtal", "Xtal")</f>
        <v>NoXtal</v>
      </c>
      <c r="D31" s="4" t="str">
        <f>VLOOKUP(A31,Classification!A:D,2,FALSE)</f>
        <v>B2</v>
      </c>
      <c r="E31" s="5" t="str">
        <f>VLOOKUP(A31,Seqs!A:B,2,FALSE)</f>
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</c>
      <c r="F31" s="5" t="str">
        <f t="shared" si="1"/>
        <v>ILMSPHILESLILTYITYVGLGISICSLILCLSIEVLV</v>
      </c>
      <c r="G31" s="4" t="str">
        <f t="shared" si="2"/>
        <v/>
      </c>
      <c r="H31" s="4" t="str">
        <f t="shared" si="3"/>
        <v>EITYLRHVCIVNIAATLLMADVWFIVA</v>
      </c>
      <c r="I31" s="4" t="str">
        <f t="shared" si="4"/>
        <v/>
      </c>
      <c r="J31" s="4" t="str">
        <f t="shared" si="5"/>
        <v>KGCVAATFFVHFFYLSVFFWMLAKALLILYGIMI</v>
      </c>
      <c r="K31" s="4" t="str">
        <f t="shared" si="6"/>
        <v/>
      </c>
      <c r="L31" s="4" t="str">
        <f t="shared" si="7"/>
        <v>LVASLFSVGYGCPLAIAAITVAATEPG</v>
      </c>
      <c r="M31" s="4" t="str">
        <f t="shared" si="8"/>
        <v>CWL</v>
      </c>
      <c r="N31" s="4" t="str">
        <f t="shared" si="9"/>
        <v>MTKALLAFVIPALAIVVVNLITVTLVIVKTQRAA</v>
      </c>
      <c r="O31" s="4" t="str">
        <f t="shared" si="10"/>
        <v>KNIAILTPLLGLTWGFGVATVI</v>
      </c>
      <c r="P31" s="4" t="str">
        <f t="shared" si="11"/>
        <v>SLAFHIIFSLLNAFQVSPDASDQVQS</v>
      </c>
      <c r="Q31" s="4" t="str">
        <f t="shared" si="12"/>
        <v/>
      </c>
      <c r="R31" s="5">
        <f>VLOOKUP($A31,'SegEnds_NonXtal_Prot#'!$A:$AL,3,FALSE)</f>
        <v>434</v>
      </c>
      <c r="S31" s="5" t="str">
        <f>VLOOKUP($A31,'SegEnds_NonXtal_Prot#'!$A:$AL,6,FALSE)</f>
        <v>-</v>
      </c>
      <c r="T31" s="5">
        <f>VLOOKUP($A31,'SegEnds_NonXtal_Prot#'!$A:$AL,9,FALSE)</f>
        <v>479</v>
      </c>
      <c r="U31" s="5" t="str">
        <f>VLOOKUP($A31,'SegEnds_NonXtal_Prot#'!$A:$AL,12,FALSE)</f>
        <v>-</v>
      </c>
      <c r="V31" s="5">
        <f>VLOOKUP($A31,'SegEnds_NonXtal_Prot#'!$A:$AL,15,FALSE)</f>
        <v>516</v>
      </c>
      <c r="W31" s="5" t="str">
        <f>VLOOKUP($A31,'SegEnds_NonXtal_Prot#'!$A:$AL,18,FALSE)</f>
        <v>-</v>
      </c>
      <c r="X31" s="5">
        <f>VLOOKUP($A31,'SegEnds_NonXtal_Prot#'!$A:$AL,21,FALSE)</f>
        <v>559</v>
      </c>
      <c r="Y31" s="5">
        <f>VLOOKUP($A31,'SegEnds_NonXtal_Prot#'!$A:$AL,24,FALSE)</f>
        <v>594</v>
      </c>
      <c r="Z31" s="5">
        <f>VLOOKUP($A31,'SegEnds_NonXtal_Prot#'!$A:$AL,27,FALSE)</f>
        <v>600</v>
      </c>
      <c r="AA31" s="5">
        <f>VLOOKUP($A31,'SegEnds_NonXtal_Prot#'!$A:$AL,30,FALSE)</f>
        <v>650</v>
      </c>
      <c r="AB31" s="5">
        <f>VLOOKUP($A31,'SegEnds_NonXtal_Prot#'!$A:$AL,33,FALSE)</f>
        <v>675</v>
      </c>
      <c r="AC31" s="5" t="str">
        <f>VLOOKUP($A31,'SegEnds_NonXtal_Prot#'!$A:$AL,36,FALSE)</f>
        <v>-</v>
      </c>
      <c r="AD31" s="5">
        <f>VLOOKUP($A31,'SegEnds_NonXtal_Prot#'!$A:$AL,5,FALSE)</f>
        <v>471</v>
      </c>
      <c r="AE31" s="5" t="str">
        <f>VLOOKUP($A31,'SegEnds_NonXtal_Prot#'!$A:$AL,8,FALSE)</f>
        <v>-</v>
      </c>
      <c r="AF31" s="5">
        <f>VLOOKUP($A31,'SegEnds_NonXtal_Prot#'!$A:$AL,11,FALSE)</f>
        <v>505</v>
      </c>
      <c r="AG31" s="5" t="str">
        <f>VLOOKUP($A31,'SegEnds_NonXtal_Prot#'!$A:$AL,14,FALSE)</f>
        <v>-</v>
      </c>
      <c r="AH31" s="5">
        <f>VLOOKUP($A31,'SegEnds_NonXtal_Prot#'!$A:$AL,17,FALSE)</f>
        <v>549</v>
      </c>
      <c r="AI31" s="5" t="str">
        <f>VLOOKUP($A31,'SegEnds_NonXtal_Prot#'!$A:$AL,20,FALSE)</f>
        <v>-</v>
      </c>
      <c r="AJ31" s="5">
        <f>VLOOKUP($A31,'SegEnds_NonXtal_Prot#'!$A:$AL,23,FALSE)</f>
        <v>585</v>
      </c>
      <c r="AK31" s="5">
        <f>VLOOKUP($A31,'SegEnds_NonXtal_Prot#'!$A:$AL,26,FALSE)</f>
        <v>596</v>
      </c>
      <c r="AL31" s="5">
        <f>VLOOKUP($A31,'SegEnds_NonXtal_Prot#'!$A:$AL,29,FALSE)</f>
        <v>633</v>
      </c>
      <c r="AM31" s="5">
        <f>VLOOKUP($A31,'SegEnds_NonXtal_Prot#'!$A:$AL,32,FALSE)</f>
        <v>671</v>
      </c>
      <c r="AN31" s="5">
        <f>VLOOKUP($A31,'SegEnds_NonXtal_Prot#'!$A:$AL,35,FALSE)</f>
        <v>700</v>
      </c>
      <c r="AO31" s="5" t="str">
        <f>VLOOKUP($A31,'SegEnds_NonXtal_Prot#'!$A:$AL,38,FALSE)</f>
        <v>-</v>
      </c>
      <c r="AP31" s="5">
        <f t="shared" si="13"/>
        <v>37</v>
      </c>
      <c r="AQ31" s="4" t="str">
        <f t="shared" si="14"/>
        <v>-</v>
      </c>
      <c r="AR31" s="4">
        <f t="shared" si="15"/>
        <v>26</v>
      </c>
      <c r="AS31" s="4" t="str">
        <f t="shared" si="16"/>
        <v>-</v>
      </c>
      <c r="AT31" s="4">
        <f t="shared" si="17"/>
        <v>33</v>
      </c>
      <c r="AU31" s="4" t="str">
        <f t="shared" si="18"/>
        <v>-</v>
      </c>
      <c r="AV31" s="4">
        <f t="shared" si="19"/>
        <v>26</v>
      </c>
      <c r="AW31" s="4">
        <f t="shared" si="20"/>
        <v>2</v>
      </c>
      <c r="AX31" s="4">
        <f t="shared" si="21"/>
        <v>33</v>
      </c>
      <c r="AY31" s="4">
        <f t="shared" si="22"/>
        <v>21</v>
      </c>
      <c r="AZ31" s="4">
        <f t="shared" si="23"/>
        <v>25</v>
      </c>
      <c r="BA31" s="4" t="str">
        <f t="shared" si="24"/>
        <v>-</v>
      </c>
    </row>
    <row r="32" spans="1:53" x14ac:dyDescent="0.2">
      <c r="A32" s="1" t="str">
        <f>'SegEnds_NonXtal_Prot#'!A351</f>
        <v>agrv1_human</v>
      </c>
      <c r="B32" s="1" t="str">
        <f t="shared" si="0"/>
        <v>VYARTDNLSSYNEAFFTSGFICISGLCLAVLSHIFCARMFAAKLLTHMMAASLGTQILFLASAYAESCSAMAAVTHYLYLCQFSWMLIQSVNFWYVLVMRRYLLFFLLSWGLPAFVVILLIVILKGIYYAALFTAALVPLTCLVVVFVVFIHAYQVKPQWKATNAAEIPLILYLFALISVTWLWGGLHFWMLVLFVIFNSLQGLYVFMVYFILHNQMCCPMKASYTVEMN</v>
      </c>
      <c r="C32" s="29" t="str">
        <f>IF(ISERROR(MATCH(A32,'SegEnds_Xtal_Prot#'!B:B, 0)), "NoXtal", "Xtal")</f>
        <v>NoXtal</v>
      </c>
      <c r="D32" s="4" t="str">
        <f>VLOOKUP(A32,Classification!A:D,2,FALSE)</f>
        <v>B2</v>
      </c>
      <c r="E32" s="5" t="str">
        <f>VLOOKUP(A32,Seqs!A:B,2,FALSE)</f>
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</c>
      <c r="F32" s="5" t="str">
        <f t="shared" si="1"/>
        <v>VYARTDNLSSYNEAFFTSGFICISGLCLAVLSHIFCAR</v>
      </c>
      <c r="G32" s="4" t="str">
        <f t="shared" si="2"/>
        <v/>
      </c>
      <c r="H32" s="4" t="str">
        <f t="shared" si="3"/>
        <v>MFAAKLLTHMMAASLGTQILFLASAYA</v>
      </c>
      <c r="I32" s="4" t="str">
        <f t="shared" si="4"/>
        <v/>
      </c>
      <c r="J32" s="4" t="str">
        <f t="shared" si="5"/>
        <v>ESCSAMAAVTHYLYLCQFSWMLIQSVNFWYVLVM</v>
      </c>
      <c r="K32" s="4" t="str">
        <f t="shared" si="6"/>
        <v/>
      </c>
      <c r="L32" s="4" t="str">
        <f t="shared" si="7"/>
        <v>RRYLLFFLLSWGLPAFVVILLIVILKGIY</v>
      </c>
      <c r="M32" s="4" t="str">
        <f t="shared" si="8"/>
        <v>CFI</v>
      </c>
      <c r="N32" s="4" t="str">
        <f t="shared" si="9"/>
        <v>YAALFTAALVPLTCLVVVFVVFIHAYQVKPQWKA</v>
      </c>
      <c r="O32" s="4" t="str">
        <f t="shared" si="10"/>
        <v>TNAAEIPLILYLFALISVTWLWGGL</v>
      </c>
      <c r="P32" s="4" t="str">
        <f t="shared" si="11"/>
        <v>HFWMLVLFVIFNSLQGLYVFMVYFIL</v>
      </c>
      <c r="Q32" s="4" t="str">
        <f t="shared" si="12"/>
        <v>HNQMCCPMKASYTVEMN</v>
      </c>
      <c r="R32" s="5">
        <f>VLOOKUP($A32,'SegEnds_NonXtal_Prot#'!$A:$AL,3,FALSE)</f>
        <v>5895</v>
      </c>
      <c r="S32" s="5" t="str">
        <f>VLOOKUP($A32,'SegEnds_NonXtal_Prot#'!$A:$AL,6,FALSE)</f>
        <v>-</v>
      </c>
      <c r="T32" s="5">
        <f>VLOOKUP($A32,'SegEnds_NonXtal_Prot#'!$A:$AL,9,FALSE)</f>
        <v>5935</v>
      </c>
      <c r="U32" s="5" t="str">
        <f>VLOOKUP($A32,'SegEnds_NonXtal_Prot#'!$A:$AL,12,FALSE)</f>
        <v>-</v>
      </c>
      <c r="V32" s="5">
        <f>VLOOKUP($A32,'SegEnds_NonXtal_Prot#'!$A:$AL,15,FALSE)</f>
        <v>5968</v>
      </c>
      <c r="W32" s="5" t="str">
        <f>VLOOKUP($A32,'SegEnds_NonXtal_Prot#'!$A:$AL,18,FALSE)</f>
        <v>-</v>
      </c>
      <c r="X32" s="5">
        <f>VLOOKUP($A32,'SegEnds_NonXtal_Prot#'!$A:$AL,21,FALSE)</f>
        <v>6008</v>
      </c>
      <c r="Y32" s="5">
        <f>VLOOKUP($A32,'SegEnds_NonXtal_Prot#'!$A:$AL,24,FALSE)</f>
        <v>6052</v>
      </c>
      <c r="Z32" s="5">
        <f>VLOOKUP($A32,'SegEnds_NonXtal_Prot#'!$A:$AL,27,FALSE)</f>
        <v>6058</v>
      </c>
      <c r="AA32" s="5">
        <f>VLOOKUP($A32,'SegEnds_NonXtal_Prot#'!$A:$AL,30,FALSE)</f>
        <v>6100</v>
      </c>
      <c r="AB32" s="5">
        <f>VLOOKUP($A32,'SegEnds_NonXtal_Prot#'!$A:$AL,33,FALSE)</f>
        <v>6130</v>
      </c>
      <c r="AC32" s="5">
        <f>VLOOKUP($A32,'SegEnds_NonXtal_Prot#'!$A:$AL,36,FALSE)</f>
        <v>6156</v>
      </c>
      <c r="AD32" s="5">
        <f>VLOOKUP($A32,'SegEnds_NonXtal_Prot#'!$A:$AL,5,FALSE)</f>
        <v>5932</v>
      </c>
      <c r="AE32" s="5" t="str">
        <f>VLOOKUP($A32,'SegEnds_NonXtal_Prot#'!$A:$AL,8,FALSE)</f>
        <v>-</v>
      </c>
      <c r="AF32" s="5">
        <f>VLOOKUP($A32,'SegEnds_NonXtal_Prot#'!$A:$AL,11,FALSE)</f>
        <v>5961</v>
      </c>
      <c r="AG32" s="5" t="str">
        <f>VLOOKUP($A32,'SegEnds_NonXtal_Prot#'!$A:$AL,14,FALSE)</f>
        <v>-</v>
      </c>
      <c r="AH32" s="5">
        <f>VLOOKUP($A32,'SegEnds_NonXtal_Prot#'!$A:$AL,17,FALSE)</f>
        <v>6001</v>
      </c>
      <c r="AI32" s="5" t="str">
        <f>VLOOKUP($A32,'SegEnds_NonXtal_Prot#'!$A:$AL,20,FALSE)</f>
        <v>-</v>
      </c>
      <c r="AJ32" s="5">
        <f>VLOOKUP($A32,'SegEnds_NonXtal_Prot#'!$A:$AL,23,FALSE)</f>
        <v>6036</v>
      </c>
      <c r="AK32" s="5">
        <f>VLOOKUP($A32,'SegEnds_NonXtal_Prot#'!$A:$AL,26,FALSE)</f>
        <v>6054</v>
      </c>
      <c r="AL32" s="5">
        <f>VLOOKUP($A32,'SegEnds_NonXtal_Prot#'!$A:$AL,29,FALSE)</f>
        <v>6091</v>
      </c>
      <c r="AM32" s="5">
        <f>VLOOKUP($A32,'SegEnds_NonXtal_Prot#'!$A:$AL,32,FALSE)</f>
        <v>6124</v>
      </c>
      <c r="AN32" s="5">
        <f>VLOOKUP($A32,'SegEnds_NonXtal_Prot#'!$A:$AL,35,FALSE)</f>
        <v>6155</v>
      </c>
      <c r="AO32" s="5">
        <f>VLOOKUP($A32,'SegEnds_NonXtal_Prot#'!$A:$AL,38,FALSE)</f>
        <v>6172</v>
      </c>
      <c r="AP32" s="5">
        <f t="shared" si="13"/>
        <v>37</v>
      </c>
      <c r="AQ32" s="4" t="str">
        <f t="shared" si="14"/>
        <v>-</v>
      </c>
      <c r="AR32" s="4">
        <f t="shared" si="15"/>
        <v>26</v>
      </c>
      <c r="AS32" s="4" t="str">
        <f t="shared" si="16"/>
        <v>-</v>
      </c>
      <c r="AT32" s="4">
        <f t="shared" si="17"/>
        <v>33</v>
      </c>
      <c r="AU32" s="4" t="str">
        <f t="shared" si="18"/>
        <v>-</v>
      </c>
      <c r="AV32" s="4">
        <f t="shared" si="19"/>
        <v>28</v>
      </c>
      <c r="AW32" s="4">
        <f t="shared" si="20"/>
        <v>2</v>
      </c>
      <c r="AX32" s="4">
        <f t="shared" si="21"/>
        <v>33</v>
      </c>
      <c r="AY32" s="4">
        <f t="shared" si="22"/>
        <v>24</v>
      </c>
      <c r="AZ32" s="4">
        <f t="shared" si="23"/>
        <v>25</v>
      </c>
      <c r="BA32" s="4">
        <f t="shared" si="24"/>
        <v>16</v>
      </c>
    </row>
    <row r="33" spans="1:53" x14ac:dyDescent="0.2">
      <c r="A33" s="1" t="str">
        <f>'SegEnds_NonXtal_Prot#'!A362</f>
        <v>grm1_human</v>
      </c>
      <c r="B33" s="1" t="str">
        <f t="shared" si="0"/>
        <v>IESIIAIAFSCLGILVTLFVTLIFVLYSRELCYIILAGIFLGYVCPFTLITTSCYLQRLLVGLSSAMCYSALVTKTNRIARILSAWAQVIIASILISVQLTLVVTLIIMESNLGVVAPLGYNGLLIMSCTYYAFKTEAKYIAFTMYTTCIIWLAFVPIYFGYKIITTCFAVSLSVTVALGCMFTPKMYIIIAKPERNVRSAFTTS</v>
      </c>
      <c r="C33" s="29" t="str">
        <f>IF(ISERROR(MATCH(A33,'SegEnds_Xtal_Prot#'!B:B, 0)), "NoXtal", "Xtal")</f>
        <v>Xtal</v>
      </c>
      <c r="D33" s="4" t="str">
        <f>VLOOKUP(A33,Classification!A:D,2,FALSE)</f>
        <v>C</v>
      </c>
      <c r="E33" s="5" t="str">
        <f>VLOOKUP(A33,Seqs!A:B,2,FALSE)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F33" s="5" t="str">
        <f t="shared" si="1"/>
        <v>IESIIAIAFSCLGILVTLFVTLIFVLY</v>
      </c>
      <c r="G33" s="4" t="str">
        <f t="shared" si="2"/>
        <v>TPVVKSS</v>
      </c>
      <c r="H33" s="4" t="str">
        <f t="shared" si="3"/>
        <v>SRELCYIILAGIFLGYVCPFTLI</v>
      </c>
      <c r="I33" s="4" t="str">
        <f t="shared" si="4"/>
        <v/>
      </c>
      <c r="J33" s="4" t="str">
        <f t="shared" si="5"/>
        <v>TTSCYLQRLLVGLSSAMCYSALVTKTNRIARIL</v>
      </c>
      <c r="K33" s="4" t="str">
        <f t="shared" si="6"/>
        <v/>
      </c>
      <c r="L33" s="4" t="str">
        <f t="shared" si="7"/>
        <v>SAWAQVIIASILISVQLTLVVTLIIME</v>
      </c>
      <c r="M33" s="4" t="str">
        <f t="shared" si="8"/>
        <v>CNT</v>
      </c>
      <c r="N33" s="4" t="str">
        <f t="shared" si="9"/>
        <v>SNLGVVAPLGYNGLLIMSCTYYAFKT</v>
      </c>
      <c r="O33" s="4" t="str">
        <f t="shared" si="10"/>
        <v>EAKYIAFTMYTTCIIWLAFVPIYFG</v>
      </c>
      <c r="P33" s="4" t="str">
        <f t="shared" si="11"/>
        <v>YKIITTCFAVSLSVTVALGCMFTPKMYIIIAK</v>
      </c>
      <c r="Q33" s="4" t="str">
        <f t="shared" si="12"/>
        <v>PERNVRSAFTTS</v>
      </c>
      <c r="R33" s="5">
        <f>VLOOKUP($A33,'SegEnds_NonXtal_Prot#'!$A:$AL,3,FALSE)</f>
        <v>591</v>
      </c>
      <c r="S33" s="5">
        <f>VLOOKUP($A33,'SegEnds_NonXtal_Prot#'!$A:$AL,6,FALSE)</f>
        <v>620</v>
      </c>
      <c r="T33" s="5">
        <f>VLOOKUP($A33,'SegEnds_NonXtal_Prot#'!$A:$AL,9,FALSE)</f>
        <v>627</v>
      </c>
      <c r="U33" s="5" t="str">
        <f>VLOOKUP($A33,'SegEnds_NonXtal_Prot#'!$A:$AL,12,FALSE)</f>
        <v>-</v>
      </c>
      <c r="V33" s="5">
        <f>VLOOKUP($A33,'SegEnds_NonXtal_Prot#'!$A:$AL,15,FALSE)</f>
        <v>654</v>
      </c>
      <c r="W33" s="5" t="str">
        <f>VLOOKUP($A33,'SegEnds_NonXtal_Prot#'!$A:$AL,18,FALSE)</f>
        <v>-</v>
      </c>
      <c r="X33" s="5">
        <f>VLOOKUP($A33,'SegEnds_NonXtal_Prot#'!$A:$AL,21,FALSE)</f>
        <v>702</v>
      </c>
      <c r="Y33" s="5">
        <f>VLOOKUP($A33,'SegEnds_NonXtal_Prot#'!$A:$AL,24,FALSE)</f>
        <v>746</v>
      </c>
      <c r="Z33" s="5">
        <f>VLOOKUP($A33,'SegEnds_NonXtal_Prot#'!$A:$AL,27,FALSE)</f>
        <v>749</v>
      </c>
      <c r="AA33" s="5">
        <f>VLOOKUP($A33,'SegEnds_NonXtal_Prot#'!$A:$AL,30,FALSE)</f>
        <v>783</v>
      </c>
      <c r="AB33" s="5">
        <f>VLOOKUP($A33,'SegEnds_NonXtal_Prot#'!$A:$AL,33,FALSE)</f>
        <v>810</v>
      </c>
      <c r="AC33" s="5">
        <f>VLOOKUP($A33,'SegEnds_NonXtal_Prot#'!$A:$AL,36,FALSE)</f>
        <v>842</v>
      </c>
      <c r="AD33" s="5">
        <f>VLOOKUP($A33,'SegEnds_NonXtal_Prot#'!$A:$AL,5,FALSE)</f>
        <v>617</v>
      </c>
      <c r="AE33" s="5">
        <f>VLOOKUP($A33,'SegEnds_NonXtal_Prot#'!$A:$AL,8,FALSE)</f>
        <v>626</v>
      </c>
      <c r="AF33" s="5">
        <f>VLOOKUP($A33,'SegEnds_NonXtal_Prot#'!$A:$AL,11,FALSE)</f>
        <v>649</v>
      </c>
      <c r="AG33" s="5" t="str">
        <f>VLOOKUP($A33,'SegEnds_NonXtal_Prot#'!$A:$AL,14,FALSE)</f>
        <v>-</v>
      </c>
      <c r="AH33" s="5">
        <f>VLOOKUP($A33,'SegEnds_NonXtal_Prot#'!$A:$AL,17,FALSE)</f>
        <v>686</v>
      </c>
      <c r="AI33" s="5" t="str">
        <f>VLOOKUP($A33,'SegEnds_NonXtal_Prot#'!$A:$AL,20,FALSE)</f>
        <v>-</v>
      </c>
      <c r="AJ33" s="5">
        <f>VLOOKUP($A33,'SegEnds_NonXtal_Prot#'!$A:$AL,23,FALSE)</f>
        <v>728</v>
      </c>
      <c r="AK33" s="5">
        <f>VLOOKUP($A33,'SegEnds_NonXtal_Prot#'!$A:$AL,26,FALSE)</f>
        <v>748</v>
      </c>
      <c r="AL33" s="5">
        <f>VLOOKUP($A33,'SegEnds_NonXtal_Prot#'!$A:$AL,29,FALSE)</f>
        <v>774</v>
      </c>
      <c r="AM33" s="5">
        <f>VLOOKUP($A33,'SegEnds_NonXtal_Prot#'!$A:$AL,32,FALSE)</f>
        <v>807</v>
      </c>
      <c r="AN33" s="5">
        <f>VLOOKUP($A33,'SegEnds_NonXtal_Prot#'!$A:$AL,35,FALSE)</f>
        <v>841</v>
      </c>
      <c r="AO33" s="5">
        <f>VLOOKUP($A33,'SegEnds_NonXtal_Prot#'!$A:$AL,38,FALSE)</f>
        <v>853</v>
      </c>
      <c r="AP33" s="5">
        <f t="shared" si="13"/>
        <v>26</v>
      </c>
      <c r="AQ33" s="4">
        <f t="shared" si="14"/>
        <v>6</v>
      </c>
      <c r="AR33" s="4">
        <f t="shared" si="15"/>
        <v>22</v>
      </c>
      <c r="AS33" s="4" t="str">
        <f t="shared" si="16"/>
        <v>-</v>
      </c>
      <c r="AT33" s="4">
        <f t="shared" si="17"/>
        <v>32</v>
      </c>
      <c r="AU33" s="4" t="str">
        <f t="shared" si="18"/>
        <v>-</v>
      </c>
      <c r="AV33" s="4">
        <f t="shared" si="19"/>
        <v>26</v>
      </c>
      <c r="AW33" s="4">
        <f t="shared" si="20"/>
        <v>2</v>
      </c>
      <c r="AX33" s="4">
        <f t="shared" si="21"/>
        <v>25</v>
      </c>
      <c r="AY33" s="4">
        <f t="shared" si="22"/>
        <v>24</v>
      </c>
      <c r="AZ33" s="4">
        <f t="shared" si="23"/>
        <v>31</v>
      </c>
      <c r="BA33" s="4">
        <f t="shared" si="24"/>
        <v>11</v>
      </c>
    </row>
    <row r="34" spans="1:53" x14ac:dyDescent="0.2">
      <c r="A34" s="1" t="str">
        <f>'SegEnds_NonXtal_Prot#'!A370</f>
        <v>rai3_human</v>
      </c>
      <c r="B34" s="1" t="str">
        <f t="shared" si="0"/>
        <v>AWGIVLETVATAGVVTSVAFMLTLPILNRRKMLPTQFLFLLGVLGIFGLTFAFIGSTGPTRFFLFGILFSICFSCLLAHAVSLTKLVSLLVILGLAVGFSLVQDVIAIEYIVLTRNEDFVLLLTYVLFLMALTFLMSSFTHGAHIYLTMLLSIAIWVAWITLLMLWDDTILSSALAANGWVFLLAYVSPEFWLLTKQNPMDYPVEDAFCK</v>
      </c>
      <c r="C34" s="29" t="str">
        <f>IF(ISERROR(MATCH(A34,'SegEnds_Xtal_Prot#'!B:B, 0)), "NoXtal", "Xtal")</f>
        <v>NoXtal</v>
      </c>
      <c r="D34" s="4" t="str">
        <f>VLOOKUP(A34,Classification!A:D,2,FALSE)</f>
        <v>C</v>
      </c>
      <c r="E34" s="5" t="str">
        <f>VLOOKUP(A34,Seqs!A:B,2,FALSE)</f>
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</c>
      <c r="F34" s="5" t="str">
        <f t="shared" si="1"/>
        <v>AWGIVLETVATAGVVTSVAFMLTLPIL</v>
      </c>
      <c r="G34" s="4" t="str">
        <f t="shared" si="2"/>
        <v>VCKVQDS</v>
      </c>
      <c r="H34" s="4" t="str">
        <f t="shared" si="3"/>
        <v>NRRKMLPTQFLFLLGVLGIFGLTFAFI</v>
      </c>
      <c r="I34" s="4" t="str">
        <f t="shared" si="4"/>
        <v/>
      </c>
      <c r="J34" s="4" t="str">
        <f t="shared" si="5"/>
        <v>GSTGPTRFFLFGILFSICFSCLLAHAVSLTKLV</v>
      </c>
      <c r="K34" s="4" t="str">
        <f t="shared" si="6"/>
        <v/>
      </c>
      <c r="L34" s="4" t="str">
        <f t="shared" si="7"/>
        <v>SLLVILGLAVGFSLVQDVIAIEYIVLT</v>
      </c>
      <c r="M34" s="4" t="str">
        <f t="shared" si="8"/>
        <v/>
      </c>
      <c r="N34" s="4" t="str">
        <f t="shared" si="9"/>
        <v>RNEDFVLLLTYVLFLMALTFLMSSFT</v>
      </c>
      <c r="O34" s="4" t="str">
        <f t="shared" si="10"/>
        <v>HGAHIYLTMLLSIAIWVAWITLLML</v>
      </c>
      <c r="P34" s="4" t="str">
        <f t="shared" si="11"/>
        <v>WDDTILSSALAANGWVFLLAYVSPEFWLLTKQ</v>
      </c>
      <c r="Q34" s="4" t="str">
        <f t="shared" si="12"/>
        <v>NPMDYPVEDAFCK</v>
      </c>
      <c r="R34" s="5">
        <f>VLOOKUP($A34,'SegEnds_NonXtal_Prot#'!$A:$AL,3,FALSE)</f>
        <v>26</v>
      </c>
      <c r="S34" s="5">
        <f>VLOOKUP($A34,'SegEnds_NonXtal_Prot#'!$A:$AL,6,FALSE)</f>
        <v>53</v>
      </c>
      <c r="T34" s="5">
        <f>VLOOKUP($A34,'SegEnds_NonXtal_Prot#'!$A:$AL,9,FALSE)</f>
        <v>60</v>
      </c>
      <c r="U34" s="5" t="str">
        <f>VLOOKUP($A34,'SegEnds_NonXtal_Prot#'!$A:$AL,12,FALSE)</f>
        <v>-</v>
      </c>
      <c r="V34" s="5">
        <f>VLOOKUP($A34,'SegEnds_NonXtal_Prot#'!$A:$AL,15,FALSE)</f>
        <v>91</v>
      </c>
      <c r="W34" s="5" t="str">
        <f>VLOOKUP($A34,'SegEnds_NonXtal_Prot#'!$A:$AL,18,FALSE)</f>
        <v>-</v>
      </c>
      <c r="X34" s="5">
        <f>VLOOKUP($A34,'SegEnds_NonXtal_Prot#'!$A:$AL,21,FALSE)</f>
        <v>130</v>
      </c>
      <c r="Y34" s="5" t="str">
        <f>VLOOKUP($A34,'SegEnds_NonXtal_Prot#'!$A:$AL,24,FALSE)</f>
        <v>-</v>
      </c>
      <c r="Z34" s="5">
        <f>VLOOKUP($A34,'SegEnds_NonXtal_Prot#'!$A:$AL,27,FALSE)</f>
        <v>173</v>
      </c>
      <c r="AA34" s="5">
        <f>VLOOKUP($A34,'SegEnds_NonXtal_Prot#'!$A:$AL,30,FALSE)</f>
        <v>209</v>
      </c>
      <c r="AB34" s="5">
        <f>VLOOKUP($A34,'SegEnds_NonXtal_Prot#'!$A:$AL,33,FALSE)</f>
        <v>240</v>
      </c>
      <c r="AC34" s="5">
        <f>VLOOKUP($A34,'SegEnds_NonXtal_Prot#'!$A:$AL,36,FALSE)</f>
        <v>273</v>
      </c>
      <c r="AD34" s="5">
        <f>VLOOKUP($A34,'SegEnds_NonXtal_Prot#'!$A:$AL,5,FALSE)</f>
        <v>52</v>
      </c>
      <c r="AE34" s="5">
        <f>VLOOKUP($A34,'SegEnds_NonXtal_Prot#'!$A:$AL,8,FALSE)</f>
        <v>59</v>
      </c>
      <c r="AF34" s="5">
        <f>VLOOKUP($A34,'SegEnds_NonXtal_Prot#'!$A:$AL,11,FALSE)</f>
        <v>86</v>
      </c>
      <c r="AG34" s="5" t="str">
        <f>VLOOKUP($A34,'SegEnds_NonXtal_Prot#'!$A:$AL,14,FALSE)</f>
        <v>-</v>
      </c>
      <c r="AH34" s="5">
        <f>VLOOKUP($A34,'SegEnds_NonXtal_Prot#'!$A:$AL,17,FALSE)</f>
        <v>123</v>
      </c>
      <c r="AI34" s="5" t="str">
        <f>VLOOKUP($A34,'SegEnds_NonXtal_Prot#'!$A:$AL,20,FALSE)</f>
        <v>-</v>
      </c>
      <c r="AJ34" s="5">
        <f>VLOOKUP($A34,'SegEnds_NonXtal_Prot#'!$A:$AL,23,FALSE)</f>
        <v>156</v>
      </c>
      <c r="AK34" s="5" t="str">
        <f>VLOOKUP($A34,'SegEnds_NonXtal_Prot#'!$A:$AL,26,FALSE)</f>
        <v>-</v>
      </c>
      <c r="AL34" s="5">
        <f>VLOOKUP($A34,'SegEnds_NonXtal_Prot#'!$A:$AL,29,FALSE)</f>
        <v>198</v>
      </c>
      <c r="AM34" s="5">
        <f>VLOOKUP($A34,'SegEnds_NonXtal_Prot#'!$A:$AL,32,FALSE)</f>
        <v>233</v>
      </c>
      <c r="AN34" s="5">
        <f>VLOOKUP($A34,'SegEnds_NonXtal_Prot#'!$A:$AL,35,FALSE)</f>
        <v>271</v>
      </c>
      <c r="AO34" s="5">
        <f>VLOOKUP($A34,'SegEnds_NonXtal_Prot#'!$A:$AL,38,FALSE)</f>
        <v>285</v>
      </c>
      <c r="AP34" s="5">
        <f t="shared" si="13"/>
        <v>26</v>
      </c>
      <c r="AQ34" s="4">
        <f t="shared" si="14"/>
        <v>6</v>
      </c>
      <c r="AR34" s="4">
        <f t="shared" si="15"/>
        <v>26</v>
      </c>
      <c r="AS34" s="4" t="str">
        <f t="shared" si="16"/>
        <v>-</v>
      </c>
      <c r="AT34" s="4">
        <f t="shared" si="17"/>
        <v>32</v>
      </c>
      <c r="AU34" s="4" t="str">
        <f t="shared" si="18"/>
        <v>-</v>
      </c>
      <c r="AV34" s="4">
        <f t="shared" si="19"/>
        <v>26</v>
      </c>
      <c r="AW34" s="4" t="str">
        <f t="shared" si="20"/>
        <v>-</v>
      </c>
      <c r="AX34" s="4">
        <f t="shared" si="21"/>
        <v>25</v>
      </c>
      <c r="AY34" s="4">
        <f t="shared" si="22"/>
        <v>24</v>
      </c>
      <c r="AZ34" s="4">
        <f t="shared" si="23"/>
        <v>31</v>
      </c>
      <c r="BA34" s="4">
        <f t="shared" si="24"/>
        <v>12</v>
      </c>
    </row>
    <row r="35" spans="1:53" x14ac:dyDescent="0.2">
      <c r="A35" s="1" t="str">
        <f>'SegEnds_NonXtal_Prot#'!A374</f>
        <v>fzd1_human</v>
      </c>
      <c r="B35" s="1" t="str">
        <f t="shared" si="0"/>
        <v>GPEELRFSRTWIGIWSVLCCASTLFTVLTYLVDYPERPIIFLSGCYTAVAVAYIAGFLLEKEGCTILFMMLYFFSMASSIWWVILSLTWFLAAGNSQYFHLAAWAVPAIKTITILALGNVDALRGFVLAPLFVYLFIGTSFLLAGFVSLFRIRTIMEKLMVRIGVFSVLYTVPATIVIACYFYEQAFRDQWERSWVAQSCKSYAIPCDFTVFMIKYLMTLIVGITSGFWIWSGKTLNSWRKFYTRLT</v>
      </c>
      <c r="C35" s="29" t="str">
        <f>IF(ISERROR(MATCH(A35,'SegEnds_Xtal_Prot#'!B:B, 0)), "NoXtal", "Xtal")</f>
        <v>NoXtal</v>
      </c>
      <c r="D35" s="4" t="str">
        <f>VLOOKUP(A35,Classification!A:D,2,FALSE)</f>
        <v>F</v>
      </c>
      <c r="E35" s="5" t="str">
        <f>VLOOKUP(A35,Seqs!A:B,2,FALSE)</f>
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</c>
      <c r="F35" s="5" t="str">
        <f t="shared" si="1"/>
        <v>GPEELRFSRTWIGIWSVLCCASTLFTVLTYLVD</v>
      </c>
      <c r="G35" s="4" t="str">
        <f t="shared" si="2"/>
        <v>MRRFS</v>
      </c>
      <c r="H35" s="4" t="str">
        <f t="shared" si="3"/>
        <v>YPERPIIFLSGCYTAVAVAYIAGFLLE</v>
      </c>
      <c r="I35" s="4" t="str">
        <f t="shared" si="4"/>
        <v/>
      </c>
      <c r="J35" s="4" t="str">
        <f t="shared" si="5"/>
        <v>KEGCTILFMMLYFFSMASSIWWVILSLTWFLAAG</v>
      </c>
      <c r="K35" s="4" t="str">
        <f t="shared" si="6"/>
        <v/>
      </c>
      <c r="L35" s="4" t="str">
        <f t="shared" si="7"/>
        <v>NSQYFHLAAWAVPAIKTITILALG</v>
      </c>
      <c r="M35" s="4" t="str">
        <f t="shared" si="8"/>
        <v>CFV</v>
      </c>
      <c r="N35" s="4" t="str">
        <f t="shared" si="9"/>
        <v>NVDALRGFVLAPLFVYLFIGTSFLLAGFVSLFRIRTIM</v>
      </c>
      <c r="O35" s="4" t="str">
        <f t="shared" si="10"/>
        <v>EKLMVRIGVFSVLYTVPATIVIACYFYEQAFRDQWERSWVAQSCKSYAIPC</v>
      </c>
      <c r="P35" s="4" t="str">
        <f t="shared" si="11"/>
        <v>DFTVFMIKYLMTLIVGITSGFWIW</v>
      </c>
      <c r="Q35" s="4" t="str">
        <f t="shared" si="12"/>
        <v>SGKTLNSWRKFYTRLT</v>
      </c>
      <c r="R35" s="5">
        <f>VLOOKUP($A35,'SegEnds_NonXtal_Prot#'!$A:$AL,3,FALSE)</f>
        <v>312</v>
      </c>
      <c r="S35" s="5">
        <f>VLOOKUP($A35,'SegEnds_NonXtal_Prot#'!$A:$AL,6,FALSE)</f>
        <v>345</v>
      </c>
      <c r="T35" s="5">
        <f>VLOOKUP($A35,'SegEnds_NonXtal_Prot#'!$A:$AL,9,FALSE)</f>
        <v>350</v>
      </c>
      <c r="U35" s="5" t="str">
        <f>VLOOKUP($A35,'SegEnds_NonXtal_Prot#'!$A:$AL,12,FALSE)</f>
        <v>-</v>
      </c>
      <c r="V35" s="5">
        <f>VLOOKUP($A35,'SegEnds_NonXtal_Prot#'!$A:$AL,15,FALSE)</f>
        <v>399</v>
      </c>
      <c r="W35" s="5" t="str">
        <f>VLOOKUP($A35,'SegEnds_NonXtal_Prot#'!$A:$AL,18,FALSE)</f>
        <v>-</v>
      </c>
      <c r="X35" s="5">
        <f>VLOOKUP($A35,'SegEnds_NonXtal_Prot#'!$A:$AL,21,FALSE)</f>
        <v>443</v>
      </c>
      <c r="Y35" s="5">
        <f>VLOOKUP($A35,'SegEnds_NonXtal_Prot#'!$A:$AL,24,FALSE)</f>
        <v>477</v>
      </c>
      <c r="Z35" s="5">
        <f>VLOOKUP($A35,'SegEnds_NonXtal_Prot#'!$A:$AL,27,FALSE)</f>
        <v>483</v>
      </c>
      <c r="AA35" s="5">
        <f>VLOOKUP($A35,'SegEnds_NonXtal_Prot#'!$A:$AL,30,FALSE)</f>
        <v>531</v>
      </c>
      <c r="AB35" s="5">
        <f>VLOOKUP($A35,'SegEnds_NonXtal_Prot#'!$A:$AL,33,FALSE)</f>
        <v>599</v>
      </c>
      <c r="AC35" s="5">
        <f>VLOOKUP($A35,'SegEnds_NonXtal_Prot#'!$A:$AL,36,FALSE)</f>
        <v>623</v>
      </c>
      <c r="AD35" s="5">
        <f>VLOOKUP($A35,'SegEnds_NonXtal_Prot#'!$A:$AL,5,FALSE)</f>
        <v>344</v>
      </c>
      <c r="AE35" s="5">
        <f>VLOOKUP($A35,'SegEnds_NonXtal_Prot#'!$A:$AL,8,FALSE)</f>
        <v>349</v>
      </c>
      <c r="AF35" s="5">
        <f>VLOOKUP($A35,'SegEnds_NonXtal_Prot#'!$A:$AL,11,FALSE)</f>
        <v>376</v>
      </c>
      <c r="AG35" s="5" t="str">
        <f>VLOOKUP($A35,'SegEnds_NonXtal_Prot#'!$A:$AL,14,FALSE)</f>
        <v>-</v>
      </c>
      <c r="AH35" s="5">
        <f>VLOOKUP($A35,'SegEnds_NonXtal_Prot#'!$A:$AL,17,FALSE)</f>
        <v>432</v>
      </c>
      <c r="AI35" s="5" t="str">
        <f>VLOOKUP($A35,'SegEnds_NonXtal_Prot#'!$A:$AL,20,FALSE)</f>
        <v>-</v>
      </c>
      <c r="AJ35" s="5">
        <f>VLOOKUP($A35,'SegEnds_NonXtal_Prot#'!$A:$AL,23,FALSE)</f>
        <v>466</v>
      </c>
      <c r="AK35" s="5">
        <f>VLOOKUP($A35,'SegEnds_NonXtal_Prot#'!$A:$AL,26,FALSE)</f>
        <v>479</v>
      </c>
      <c r="AL35" s="5">
        <f>VLOOKUP($A35,'SegEnds_NonXtal_Prot#'!$A:$AL,29,FALSE)</f>
        <v>520</v>
      </c>
      <c r="AM35" s="5">
        <f>VLOOKUP($A35,'SegEnds_NonXtal_Prot#'!$A:$AL,32,FALSE)</f>
        <v>581</v>
      </c>
      <c r="AN35" s="5">
        <f>VLOOKUP($A35,'SegEnds_NonXtal_Prot#'!$A:$AL,35,FALSE)</f>
        <v>622</v>
      </c>
      <c r="AO35" s="5">
        <f>VLOOKUP($A35,'SegEnds_NonXtal_Prot#'!$A:$AL,38,FALSE)</f>
        <v>638</v>
      </c>
      <c r="AP35" s="5">
        <f t="shared" si="13"/>
        <v>32</v>
      </c>
      <c r="AQ35" s="4">
        <f t="shared" si="14"/>
        <v>4</v>
      </c>
      <c r="AR35" s="4">
        <f t="shared" si="15"/>
        <v>26</v>
      </c>
      <c r="AS35" s="4" t="str">
        <f t="shared" si="16"/>
        <v>-</v>
      </c>
      <c r="AT35" s="4">
        <f t="shared" si="17"/>
        <v>33</v>
      </c>
      <c r="AU35" s="4" t="str">
        <f t="shared" si="18"/>
        <v>-</v>
      </c>
      <c r="AV35" s="4">
        <f t="shared" si="19"/>
        <v>23</v>
      </c>
      <c r="AW35" s="4">
        <f t="shared" si="20"/>
        <v>2</v>
      </c>
      <c r="AX35" s="4">
        <f t="shared" si="21"/>
        <v>37</v>
      </c>
      <c r="AY35" s="4">
        <f t="shared" si="22"/>
        <v>50</v>
      </c>
      <c r="AZ35" s="4">
        <f t="shared" si="23"/>
        <v>23</v>
      </c>
      <c r="BA35" s="4">
        <f t="shared" si="24"/>
        <v>15</v>
      </c>
    </row>
    <row r="36" spans="1:53" x14ac:dyDescent="0.2">
      <c r="A36" s="1" t="str">
        <f>'SegEnds_NonXtal_Prot#'!A392</f>
        <v>t2r10_human</v>
      </c>
      <c r="B36" s="1" t="str">
        <f t="shared" si="0"/>
        <v>EGIFIFVVVSESVFGVLGNGFIGLVNCIDCASTIGFILTGLAISRIFLIWIIITDGFIQIFSSGNLIEYISYFWVIGNQSSMWFATSLSIFYFLKIANSRTNMVLPFMIVFLLISSLLNFAYIYKSEYFIKQILLNLGVIFFFTLSLITCIFLIISLWRHNRQMSNTEAHVKAMKVLISFIILFILYFIGMAIEISCNKLLLMFGMTTTAIYPWGHSFILILGNSKLKQASLRVLQQ</v>
      </c>
      <c r="C36" s="29" t="str">
        <f>IF(ISERROR(MATCH(A36,'SegEnds_Xtal_Prot#'!B:B, 0)), "NoXtal", "Xtal")</f>
        <v>NoXtal</v>
      </c>
      <c r="D36" s="4" t="str">
        <f>VLOOKUP(A36,Classification!A:D,2,FALSE)</f>
        <v>T</v>
      </c>
      <c r="E36" s="5" t="str">
        <f>VLOOKUP(A36,Seqs!A:B,2,FALSE)</f>
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</c>
      <c r="F36" s="5" t="str">
        <f t="shared" si="1"/>
        <v>EGIFIFVVVSESVFGVLGNGFIGLVNCIDCA</v>
      </c>
      <c r="G36" s="4" t="str">
        <f t="shared" si="2"/>
        <v>KNKL</v>
      </c>
      <c r="H36" s="4" t="str">
        <f t="shared" si="3"/>
        <v>STIGFILTGLAISRIFLIWIIITDGFIQIFS</v>
      </c>
      <c r="I36" s="4" t="str">
        <f t="shared" si="4"/>
        <v/>
      </c>
      <c r="J36" s="4" t="str">
        <f t="shared" si="5"/>
        <v>SGNLIEYISYFWVIGNQSSMWFATSLSIFYFLKIAN</v>
      </c>
      <c r="K36" s="4" t="str">
        <f t="shared" si="6"/>
        <v>NYIFLWLK</v>
      </c>
      <c r="L36" s="4" t="str">
        <f t="shared" si="7"/>
        <v>SRTNMVLPFMIVFLLISSLLNFAYI</v>
      </c>
      <c r="M36" s="4" t="str">
        <f t="shared" si="8"/>
        <v/>
      </c>
      <c r="N36" s="4" t="str">
        <f t="shared" si="9"/>
        <v>YKSEYFIKQILLNLGVIFFFTLSLITCIFLIISLWRHNRQM</v>
      </c>
      <c r="O36" s="4" t="str">
        <f t="shared" si="10"/>
        <v>SNTEAHVKAMKVLISFIILFILYFIGMAIEISC</v>
      </c>
      <c r="P36" s="4" t="str">
        <f t="shared" si="11"/>
        <v>NKLLLMFGMTTTAIYPWGHSFILILG</v>
      </c>
      <c r="Q36" s="4" t="str">
        <f t="shared" si="12"/>
        <v>NSKLKQASLRVLQQ</v>
      </c>
      <c r="R36" s="5">
        <f>VLOOKUP($A36,'SegEnds_NonXtal_Prot#'!$A:$AL,3,FALSE)</f>
        <v>6</v>
      </c>
      <c r="S36" s="5">
        <f>VLOOKUP($A36,'SegEnds_NonXtal_Prot#'!$A:$AL,6,FALSE)</f>
        <v>37</v>
      </c>
      <c r="T36" s="5">
        <f>VLOOKUP($A36,'SegEnds_NonXtal_Prot#'!$A:$AL,9,FALSE)</f>
        <v>41</v>
      </c>
      <c r="U36" s="5" t="str">
        <f>VLOOKUP($A36,'SegEnds_NonXtal_Prot#'!$A:$AL,12,FALSE)</f>
        <v>-</v>
      </c>
      <c r="V36" s="5">
        <f>VLOOKUP($A36,'SegEnds_NonXtal_Prot#'!$A:$AL,15,FALSE)</f>
        <v>77</v>
      </c>
      <c r="W36" s="5">
        <f>VLOOKUP($A36,'SegEnds_NonXtal_Prot#'!$A:$AL,18,FALSE)</f>
        <v>115</v>
      </c>
      <c r="X36" s="5">
        <f>VLOOKUP($A36,'SegEnds_NonXtal_Prot#'!$A:$AL,21,FALSE)</f>
        <v>123</v>
      </c>
      <c r="Y36" s="5" t="str">
        <f>VLOOKUP($A36,'SegEnds_NonXtal_Prot#'!$A:$AL,24,FALSE)</f>
        <v>-</v>
      </c>
      <c r="Z36" s="5">
        <f>VLOOKUP($A36,'SegEnds_NonXtal_Prot#'!$A:$AL,27,FALSE)</f>
        <v>167</v>
      </c>
      <c r="AA36" s="5">
        <f>VLOOKUP($A36,'SegEnds_NonXtal_Prot#'!$A:$AL,30,FALSE)</f>
        <v>217</v>
      </c>
      <c r="AB36" s="5">
        <f>VLOOKUP($A36,'SegEnds_NonXtal_Prot#'!$A:$AL,33,FALSE)</f>
        <v>255</v>
      </c>
      <c r="AC36" s="5">
        <f>VLOOKUP($A36,'SegEnds_NonXtal_Prot#'!$A:$AL,36,FALSE)</f>
        <v>281</v>
      </c>
      <c r="AD36" s="5">
        <f>VLOOKUP($A36,'SegEnds_NonXtal_Prot#'!$A:$AL,5,FALSE)</f>
        <v>36</v>
      </c>
      <c r="AE36" s="5">
        <f>VLOOKUP($A36,'SegEnds_NonXtal_Prot#'!$A:$AL,8,FALSE)</f>
        <v>40</v>
      </c>
      <c r="AF36" s="5">
        <f>VLOOKUP($A36,'SegEnds_NonXtal_Prot#'!$A:$AL,11,FALSE)</f>
        <v>71</v>
      </c>
      <c r="AG36" s="5" t="str">
        <f>VLOOKUP($A36,'SegEnds_NonXtal_Prot#'!$A:$AL,14,FALSE)</f>
        <v>-</v>
      </c>
      <c r="AH36" s="5">
        <f>VLOOKUP($A36,'SegEnds_NonXtal_Prot#'!$A:$AL,17,FALSE)</f>
        <v>112</v>
      </c>
      <c r="AI36" s="5">
        <f>VLOOKUP($A36,'SegEnds_NonXtal_Prot#'!$A:$AL,20,FALSE)</f>
        <v>122</v>
      </c>
      <c r="AJ36" s="5">
        <f>VLOOKUP($A36,'SegEnds_NonXtal_Prot#'!$A:$AL,23,FALSE)</f>
        <v>147</v>
      </c>
      <c r="AK36" s="5" t="str">
        <f>VLOOKUP($A36,'SegEnds_NonXtal_Prot#'!$A:$AL,26,FALSE)</f>
        <v>-</v>
      </c>
      <c r="AL36" s="5">
        <f>VLOOKUP($A36,'SegEnds_NonXtal_Prot#'!$A:$AL,29,FALSE)</f>
        <v>207</v>
      </c>
      <c r="AM36" s="5">
        <f>VLOOKUP($A36,'SegEnds_NonXtal_Prot#'!$A:$AL,32,FALSE)</f>
        <v>249</v>
      </c>
      <c r="AN36" s="5">
        <f>VLOOKUP($A36,'SegEnds_NonXtal_Prot#'!$A:$AL,35,FALSE)</f>
        <v>280</v>
      </c>
      <c r="AO36" s="5">
        <f>VLOOKUP($A36,'SegEnds_NonXtal_Prot#'!$A:$AL,38,FALSE)</f>
        <v>294</v>
      </c>
      <c r="AP36" s="5">
        <f t="shared" si="13"/>
        <v>30</v>
      </c>
      <c r="AQ36" s="4">
        <f t="shared" si="14"/>
        <v>3</v>
      </c>
      <c r="AR36" s="4">
        <f t="shared" si="15"/>
        <v>30</v>
      </c>
      <c r="AS36" s="4" t="str">
        <f t="shared" si="16"/>
        <v>-</v>
      </c>
      <c r="AT36" s="4">
        <f t="shared" si="17"/>
        <v>35</v>
      </c>
      <c r="AU36" s="4">
        <f t="shared" si="18"/>
        <v>7</v>
      </c>
      <c r="AV36" s="4">
        <f t="shared" si="19"/>
        <v>24</v>
      </c>
      <c r="AW36" s="4" t="str">
        <f t="shared" si="20"/>
        <v>-</v>
      </c>
      <c r="AX36" s="4">
        <f t="shared" si="21"/>
        <v>40</v>
      </c>
      <c r="AY36" s="4">
        <f t="shared" si="22"/>
        <v>32</v>
      </c>
      <c r="AZ36" s="4">
        <f t="shared" si="23"/>
        <v>25</v>
      </c>
      <c r="BA36" s="4">
        <f t="shared" si="24"/>
        <v>13</v>
      </c>
    </row>
    <row r="37" spans="1:53" x14ac:dyDescent="0.2">
      <c r="A37" s="1" t="str">
        <f>'SegEnds_NonXtal_Prot#'!A401</f>
        <v>t2r39_human</v>
      </c>
      <c r="B37" s="1" t="str">
        <f t="shared" si="0"/>
        <v>ITLILAVLLAEYLIGIIANGFIMAIHAAEWVVSTSGRILVFLSVSRIALQSLMMLEITISSTFYSEDAVYYAFKISFIFLNFCSLWFAAWLSFFYFVKIANWRITGLIPWLLWLSVFISFSHSMFCINSEINVVGLAFFFNLGIVTPLIMFILTATLLILSLKRHTLHMPSMEAHMGAIKAISYFLILYIFNAVALFIYLSNNSLWNNLCQIIMAAYPASHSILLIQDNPGLRRAWKRLQLR</v>
      </c>
      <c r="C37" s="29" t="str">
        <f>IF(ISERROR(MATCH(A37,'SegEnds_Xtal_Prot#'!B:B, 0)), "NoXtal", "Xtal")</f>
        <v>NoXtal</v>
      </c>
      <c r="D37" s="4" t="str">
        <f>VLOOKUP(A37,Classification!A:D,2,FALSE)</f>
        <v>T</v>
      </c>
      <c r="E37" s="5" t="str">
        <f>VLOOKUP(A37,Seqs!A:B,2,FALSE)</f>
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</c>
      <c r="F37" s="5" t="str">
        <f t="shared" si="1"/>
        <v>ITLILAVLLAEYLIGIIANGFIMAIHAAEWV</v>
      </c>
      <c r="G37" s="4" t="str">
        <f t="shared" si="2"/>
        <v>QNKA</v>
      </c>
      <c r="H37" s="4" t="str">
        <f t="shared" si="3"/>
        <v>VSTSGRILVFLSVSRIALQSLMMLEITISST</v>
      </c>
      <c r="I37" s="4" t="str">
        <f t="shared" si="4"/>
        <v/>
      </c>
      <c r="J37" s="4" t="str">
        <f t="shared" si="5"/>
        <v>FYSEDAVYYAFKISFIFLNFCSLWFAAWLSFFYFVKIAN</v>
      </c>
      <c r="K37" s="4" t="str">
        <f t="shared" si="6"/>
        <v>YPLFLKLR</v>
      </c>
      <c r="L37" s="4" t="str">
        <f t="shared" si="7"/>
        <v>WRITGLIPWLLWLSVFISFSHSMFCIN</v>
      </c>
      <c r="M37" s="4" t="str">
        <f t="shared" si="8"/>
        <v/>
      </c>
      <c r="N37" s="4" t="str">
        <f t="shared" si="9"/>
        <v>SEINVVGLAFFFNLGIVTPLIMFILTATLLILSLKRHTLHM</v>
      </c>
      <c r="O37" s="4" t="str">
        <f t="shared" si="10"/>
        <v>PSMEAHMGAIKAISYFLILYIFNAVALFIYLSN</v>
      </c>
      <c r="P37" s="4" t="str">
        <f t="shared" si="11"/>
        <v>NSLWNNLCQIIMAAYPASHSILLIQD</v>
      </c>
      <c r="Q37" s="4" t="str">
        <f t="shared" si="12"/>
        <v>NPGLRRAWKRLQLR</v>
      </c>
      <c r="R37" s="5">
        <f>VLOOKUP($A37,'SegEnds_NonXtal_Prot#'!$A:$AL,3,FALSE)</f>
        <v>34</v>
      </c>
      <c r="S37" s="5">
        <f>VLOOKUP($A37,'SegEnds_NonXtal_Prot#'!$A:$AL,6,FALSE)</f>
        <v>65</v>
      </c>
      <c r="T37" s="5">
        <f>VLOOKUP($A37,'SegEnds_NonXtal_Prot#'!$A:$AL,9,FALSE)</f>
        <v>69</v>
      </c>
      <c r="U37" s="5" t="str">
        <f>VLOOKUP($A37,'SegEnds_NonXtal_Prot#'!$A:$AL,12,FALSE)</f>
        <v>-</v>
      </c>
      <c r="V37" s="5">
        <f>VLOOKUP($A37,'SegEnds_NonXtal_Prot#'!$A:$AL,15,FALSE)</f>
        <v>103</v>
      </c>
      <c r="W37" s="5">
        <f>VLOOKUP($A37,'SegEnds_NonXtal_Prot#'!$A:$AL,18,FALSE)</f>
        <v>144</v>
      </c>
      <c r="X37" s="5">
        <f>VLOOKUP($A37,'SegEnds_NonXtal_Prot#'!$A:$AL,21,FALSE)</f>
        <v>152</v>
      </c>
      <c r="Y37" s="5" t="str">
        <f>VLOOKUP($A37,'SegEnds_NonXtal_Prot#'!$A:$AL,24,FALSE)</f>
        <v>-</v>
      </c>
      <c r="Z37" s="5">
        <f>VLOOKUP($A37,'SegEnds_NonXtal_Prot#'!$A:$AL,27,FALSE)</f>
        <v>202</v>
      </c>
      <c r="AA37" s="5">
        <f>VLOOKUP($A37,'SegEnds_NonXtal_Prot#'!$A:$AL,30,FALSE)</f>
        <v>252</v>
      </c>
      <c r="AB37" s="5">
        <f>VLOOKUP($A37,'SegEnds_NonXtal_Prot#'!$A:$AL,33,FALSE)</f>
        <v>289</v>
      </c>
      <c r="AC37" s="5">
        <f>VLOOKUP($A37,'SegEnds_NonXtal_Prot#'!$A:$AL,36,FALSE)</f>
        <v>315</v>
      </c>
      <c r="AD37" s="5">
        <f>VLOOKUP($A37,'SegEnds_NonXtal_Prot#'!$A:$AL,5,FALSE)</f>
        <v>64</v>
      </c>
      <c r="AE37" s="5">
        <f>VLOOKUP($A37,'SegEnds_NonXtal_Prot#'!$A:$AL,8,FALSE)</f>
        <v>68</v>
      </c>
      <c r="AF37" s="5">
        <f>VLOOKUP($A37,'SegEnds_NonXtal_Prot#'!$A:$AL,11,FALSE)</f>
        <v>99</v>
      </c>
      <c r="AG37" s="5" t="str">
        <f>VLOOKUP($A37,'SegEnds_NonXtal_Prot#'!$A:$AL,14,FALSE)</f>
        <v>-</v>
      </c>
      <c r="AH37" s="5">
        <f>VLOOKUP($A37,'SegEnds_NonXtal_Prot#'!$A:$AL,17,FALSE)</f>
        <v>141</v>
      </c>
      <c r="AI37" s="5">
        <f>VLOOKUP($A37,'SegEnds_NonXtal_Prot#'!$A:$AL,20,FALSE)</f>
        <v>151</v>
      </c>
      <c r="AJ37" s="5">
        <f>VLOOKUP($A37,'SegEnds_NonXtal_Prot#'!$A:$AL,23,FALSE)</f>
        <v>178</v>
      </c>
      <c r="AK37" s="5" t="str">
        <f>VLOOKUP($A37,'SegEnds_NonXtal_Prot#'!$A:$AL,26,FALSE)</f>
        <v>-</v>
      </c>
      <c r="AL37" s="5">
        <f>VLOOKUP($A37,'SegEnds_NonXtal_Prot#'!$A:$AL,29,FALSE)</f>
        <v>242</v>
      </c>
      <c r="AM37" s="5">
        <f>VLOOKUP($A37,'SegEnds_NonXtal_Prot#'!$A:$AL,32,FALSE)</f>
        <v>284</v>
      </c>
      <c r="AN37" s="5">
        <f>VLOOKUP($A37,'SegEnds_NonXtal_Prot#'!$A:$AL,35,FALSE)</f>
        <v>314</v>
      </c>
      <c r="AO37" s="5">
        <f>VLOOKUP($A37,'SegEnds_NonXtal_Prot#'!$A:$AL,38,FALSE)</f>
        <v>328</v>
      </c>
      <c r="AP37" s="5">
        <f t="shared" si="13"/>
        <v>30</v>
      </c>
      <c r="AQ37" s="4">
        <f t="shared" si="14"/>
        <v>3</v>
      </c>
      <c r="AR37" s="4">
        <f t="shared" si="15"/>
        <v>30</v>
      </c>
      <c r="AS37" s="4" t="str">
        <f t="shared" si="16"/>
        <v>-</v>
      </c>
      <c r="AT37" s="4">
        <f t="shared" si="17"/>
        <v>38</v>
      </c>
      <c r="AU37" s="4">
        <f t="shared" si="18"/>
        <v>7</v>
      </c>
      <c r="AV37" s="4">
        <f t="shared" si="19"/>
        <v>26</v>
      </c>
      <c r="AW37" s="4" t="str">
        <f t="shared" si="20"/>
        <v>-</v>
      </c>
      <c r="AX37" s="4">
        <f t="shared" si="21"/>
        <v>40</v>
      </c>
      <c r="AY37" s="4">
        <f t="shared" si="22"/>
        <v>32</v>
      </c>
      <c r="AZ37" s="4">
        <f t="shared" si="23"/>
        <v>25</v>
      </c>
      <c r="BA37" s="4">
        <f t="shared" si="24"/>
        <v>13</v>
      </c>
    </row>
    <row r="38" spans="1:53" x14ac:dyDescent="0.2">
      <c r="A38" s="1" t="str">
        <f>'SegEnds_NonXtal_Prot#'!A407</f>
        <v>t2r46_human</v>
      </c>
      <c r="B38" s="1" t="str">
        <f t="shared" si="0"/>
        <v>PIIFSILIVVTFVIGNFANGFIALVNSIEWFISFADQILTALAVSRVGLLWVLVLNWYATELSIEVRITAYNVWAVINHFSNWLATSLSIFYLLKIANRRVKSVVLVILLGPLLFLVCHLFVINMNQIRSAMYLSNTTVTILANLVPFTLTLISFLLLICSLCKHLKKMPSMKVHIKALQTVTSFLLLCAIYFLSIIMSVWSNKPVFMFCEAIAFSYPSTHPFILIWGNKKLKQTFLSVLWH</v>
      </c>
      <c r="C38" s="29" t="str">
        <f>IF(ISERROR(MATCH(A38,'SegEnds_Xtal_Prot#'!B:B, 0)), "NoXtal", "Xtal")</f>
        <v>NoXtal</v>
      </c>
      <c r="D38" s="4" t="str">
        <f>VLOOKUP(A38,Classification!A:D,2,FALSE)</f>
        <v>T</v>
      </c>
      <c r="E38" s="5" t="str">
        <f>VLOOKUP(A38,Seqs!A:B,2,FALSE)</f>
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</c>
      <c r="F38" s="5" t="str">
        <f t="shared" si="1"/>
        <v>PIIFSILIVVTFVIGNFANGFIALVNSIEWF</v>
      </c>
      <c r="G38" s="4" t="str">
        <f t="shared" si="2"/>
        <v>KRQK</v>
      </c>
      <c r="H38" s="4" t="str">
        <f t="shared" si="3"/>
        <v>ISFADQILTALAVSRVGLLWVLVLNWYATEL</v>
      </c>
      <c r="I38" s="4" t="str">
        <f t="shared" si="4"/>
        <v/>
      </c>
      <c r="J38" s="4" t="str">
        <f t="shared" si="5"/>
        <v>SIEVRITAYNVWAVINHFSNWLATSLSIFYLLKIAN</v>
      </c>
      <c r="K38" s="4" t="str">
        <f t="shared" si="6"/>
        <v>NLIFLHLK</v>
      </c>
      <c r="L38" s="4" t="str">
        <f t="shared" si="7"/>
        <v>RRVKSVVLVILLGPLLFLVCHLFVINMNQI</v>
      </c>
      <c r="M38" s="4" t="str">
        <f t="shared" si="8"/>
        <v/>
      </c>
      <c r="N38" s="4" t="str">
        <f t="shared" si="9"/>
        <v>RSAMYLSNTTVTILANLVPFTLTLISFLLLICSLCKHLKKM</v>
      </c>
      <c r="O38" s="4" t="str">
        <f t="shared" si="10"/>
        <v>PSMKVHIKALQTVTSFLLLCAIYFLSIIMSVWS</v>
      </c>
      <c r="P38" s="4" t="str">
        <f t="shared" si="11"/>
        <v>NKPVFMFCEAIAFSYPSTHPFILIWG</v>
      </c>
      <c r="Q38" s="4" t="str">
        <f t="shared" si="12"/>
        <v>NKKLKQTFLSVLWH</v>
      </c>
      <c r="R38" s="5">
        <f>VLOOKUP($A38,'SegEnds_NonXtal_Prot#'!$A:$AL,3,FALSE)</f>
        <v>6</v>
      </c>
      <c r="S38" s="5">
        <f>VLOOKUP($A38,'SegEnds_NonXtal_Prot#'!$A:$AL,6,FALSE)</f>
        <v>37</v>
      </c>
      <c r="T38" s="5">
        <f>VLOOKUP($A38,'SegEnds_NonXtal_Prot#'!$A:$AL,9,FALSE)</f>
        <v>41</v>
      </c>
      <c r="U38" s="5" t="str">
        <f>VLOOKUP($A38,'SegEnds_NonXtal_Prot#'!$A:$AL,12,FALSE)</f>
        <v>-</v>
      </c>
      <c r="V38" s="5">
        <f>VLOOKUP($A38,'SegEnds_NonXtal_Prot#'!$A:$AL,15,FALSE)</f>
        <v>77</v>
      </c>
      <c r="W38" s="5">
        <f>VLOOKUP($A38,'SegEnds_NonXtal_Prot#'!$A:$AL,18,FALSE)</f>
        <v>115</v>
      </c>
      <c r="X38" s="5">
        <f>VLOOKUP($A38,'SegEnds_NonXtal_Prot#'!$A:$AL,21,FALSE)</f>
        <v>123</v>
      </c>
      <c r="Y38" s="5" t="str">
        <f>VLOOKUP($A38,'SegEnds_NonXtal_Prot#'!$A:$AL,24,FALSE)</f>
        <v>-</v>
      </c>
      <c r="Z38" s="5">
        <f>VLOOKUP($A38,'SegEnds_NonXtal_Prot#'!$A:$AL,27,FALSE)</f>
        <v>169</v>
      </c>
      <c r="AA38" s="5">
        <f>VLOOKUP($A38,'SegEnds_NonXtal_Prot#'!$A:$AL,30,FALSE)</f>
        <v>219</v>
      </c>
      <c r="AB38" s="5">
        <f>VLOOKUP($A38,'SegEnds_NonXtal_Prot#'!$A:$AL,33,FALSE)</f>
        <v>257</v>
      </c>
      <c r="AC38" s="5">
        <f>VLOOKUP($A38,'SegEnds_NonXtal_Prot#'!$A:$AL,36,FALSE)</f>
        <v>283</v>
      </c>
      <c r="AD38" s="5">
        <f>VLOOKUP($A38,'SegEnds_NonXtal_Prot#'!$A:$AL,5,FALSE)</f>
        <v>36</v>
      </c>
      <c r="AE38" s="5">
        <f>VLOOKUP($A38,'SegEnds_NonXtal_Prot#'!$A:$AL,8,FALSE)</f>
        <v>40</v>
      </c>
      <c r="AF38" s="5">
        <f>VLOOKUP($A38,'SegEnds_NonXtal_Prot#'!$A:$AL,11,FALSE)</f>
        <v>71</v>
      </c>
      <c r="AG38" s="5" t="str">
        <f>VLOOKUP($A38,'SegEnds_NonXtal_Prot#'!$A:$AL,14,FALSE)</f>
        <v>-</v>
      </c>
      <c r="AH38" s="5">
        <f>VLOOKUP($A38,'SegEnds_NonXtal_Prot#'!$A:$AL,17,FALSE)</f>
        <v>112</v>
      </c>
      <c r="AI38" s="5">
        <f>VLOOKUP($A38,'SegEnds_NonXtal_Prot#'!$A:$AL,20,FALSE)</f>
        <v>122</v>
      </c>
      <c r="AJ38" s="5">
        <f>VLOOKUP($A38,'SegEnds_NonXtal_Prot#'!$A:$AL,23,FALSE)</f>
        <v>152</v>
      </c>
      <c r="AK38" s="5" t="str">
        <f>VLOOKUP($A38,'SegEnds_NonXtal_Prot#'!$A:$AL,26,FALSE)</f>
        <v>-</v>
      </c>
      <c r="AL38" s="5">
        <f>VLOOKUP($A38,'SegEnds_NonXtal_Prot#'!$A:$AL,29,FALSE)</f>
        <v>209</v>
      </c>
      <c r="AM38" s="5">
        <f>VLOOKUP($A38,'SegEnds_NonXtal_Prot#'!$A:$AL,32,FALSE)</f>
        <v>251</v>
      </c>
      <c r="AN38" s="5">
        <f>VLOOKUP($A38,'SegEnds_NonXtal_Prot#'!$A:$AL,35,FALSE)</f>
        <v>282</v>
      </c>
      <c r="AO38" s="5">
        <f>VLOOKUP($A38,'SegEnds_NonXtal_Prot#'!$A:$AL,38,FALSE)</f>
        <v>296</v>
      </c>
      <c r="AP38" s="5">
        <f t="shared" si="13"/>
        <v>30</v>
      </c>
      <c r="AQ38" s="4">
        <f t="shared" si="14"/>
        <v>3</v>
      </c>
      <c r="AR38" s="4">
        <f t="shared" si="15"/>
        <v>30</v>
      </c>
      <c r="AS38" s="4" t="str">
        <f t="shared" si="16"/>
        <v>-</v>
      </c>
      <c r="AT38" s="4">
        <f t="shared" si="17"/>
        <v>35</v>
      </c>
      <c r="AU38" s="4">
        <f t="shared" si="18"/>
        <v>7</v>
      </c>
      <c r="AV38" s="4">
        <f t="shared" si="19"/>
        <v>29</v>
      </c>
      <c r="AW38" s="4" t="str">
        <f t="shared" si="20"/>
        <v>-</v>
      </c>
      <c r="AX38" s="4">
        <f t="shared" si="21"/>
        <v>40</v>
      </c>
      <c r="AY38" s="4">
        <f t="shared" si="22"/>
        <v>32</v>
      </c>
      <c r="AZ38" s="4">
        <f t="shared" si="23"/>
        <v>25</v>
      </c>
      <c r="BA38" s="4">
        <f t="shared" si="24"/>
        <v>13</v>
      </c>
    </row>
    <row r="39" spans="1:53" x14ac:dyDescent="0.2">
      <c r="A39" s="1" t="str">
        <f>'SegEnds_NonXtal_Prot#'!A2</f>
        <v>gnrhr_human</v>
      </c>
      <c r="B39" s="1" t="str">
        <f t="shared" si="0"/>
        <v>KIRVTVTFFLFLLSATFNASFLLKLQKWRMKLLLKHLTLANLLETLIVMPLDGMWNIGELLCKVLSYLKLFSMYAPAFMMVVISLDRSLAITRNSKVGQSMVGLAWILSSVFAGPQLYIFSQWWHQAFYNFFTFSCLFIIPLFIMLICNAKIIFTLTRVLHQDPHQSKNNIPRARLKTLKMTVAFATSFTVCWTPYYVLGIWYWFDEMLNRLSDPVNHFFFLFAFLNPCFDPLIYGYF</v>
      </c>
      <c r="C39" s="29" t="str">
        <f>IF(ISERROR(MATCH(A39,'SegEnds_Xtal_Prot#'!B:B, 0)), "NoXtal", "Xtal")</f>
        <v>NoXtal</v>
      </c>
      <c r="D39" s="4" t="str">
        <f>VLOOKUP(A39,Classification!A:D,2,FALSE)</f>
        <v>A</v>
      </c>
      <c r="E39" s="5" t="str">
        <f>VLOOKUP(A39,Seqs!A:B,2,FALSE)</f>
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</c>
      <c r="F39" s="5" t="str">
        <f t="shared" si="1"/>
        <v>KIRVTVTFFLFLLSATFNASFLLKLQKW</v>
      </c>
      <c r="G39" s="4" t="str">
        <f t="shared" si="2"/>
        <v>KKLS</v>
      </c>
      <c r="H39" s="4" t="str">
        <f t="shared" si="3"/>
        <v>RMKLLLKHLTLANLLETLIVMPLDGMWNI</v>
      </c>
      <c r="I39" s="4" t="str">
        <f t="shared" si="4"/>
        <v>QWYA</v>
      </c>
      <c r="J39" s="4" t="str">
        <f t="shared" si="5"/>
        <v>GELLCKVLSYLKLFSMYAPAFMMVVISLDRSLAITR</v>
      </c>
      <c r="K39" s="4" t="str">
        <f t="shared" si="6"/>
        <v>PLAL</v>
      </c>
      <c r="L39" s="4" t="str">
        <f t="shared" si="7"/>
        <v>NSKVGQSMVGLAWILSSVFAGPQLYIF</v>
      </c>
      <c r="M39" s="4" t="str">
        <f t="shared" si="8"/>
        <v>CSF</v>
      </c>
      <c r="N39" s="4" t="str">
        <f t="shared" si="9"/>
        <v>SQWWHQAFYNFFTFSCLFIIPLFIMLICNAKIIFTLTRVLHQDPH</v>
      </c>
      <c r="O39" s="4" t="str">
        <f t="shared" si="10"/>
        <v>QSKNNIPRARLKTLKMTVAFATSFTVCWTPYYVLGIWYWFD</v>
      </c>
      <c r="P39" s="4" t="str">
        <f t="shared" si="11"/>
        <v>EMLNRLSDPVNHFFFLFAFLNPCFDPLIYGYF</v>
      </c>
      <c r="Q39" s="4" t="str">
        <f t="shared" si="12"/>
        <v/>
      </c>
      <c r="R39" s="5">
        <f>VLOOKUP($A39,'SegEnds_NonXtal_Prot#'!$A:$AL,3,FALSE)</f>
        <v>36</v>
      </c>
      <c r="S39" s="5">
        <f>VLOOKUP($A39,'SegEnds_NonXtal_Prot#'!$A:$AL,6,FALSE)</f>
        <v>71</v>
      </c>
      <c r="T39" s="5">
        <f>VLOOKUP($A39,'SegEnds_NonXtal_Prot#'!$A:$AL,9,FALSE)</f>
        <v>75</v>
      </c>
      <c r="U39" s="5">
        <f>VLOOKUP($A39,'SegEnds_NonXtal_Prot#'!$A:$AL,12,FALSE)</f>
        <v>106</v>
      </c>
      <c r="V39" s="5">
        <f>VLOOKUP($A39,'SegEnds_NonXtal_Prot#'!$A:$AL,15,FALSE)</f>
        <v>110</v>
      </c>
      <c r="W39" s="5">
        <f>VLOOKUP($A39,'SegEnds_NonXtal_Prot#'!$A:$AL,18,FALSE)</f>
        <v>146</v>
      </c>
      <c r="X39" s="5">
        <f>VLOOKUP($A39,'SegEnds_NonXtal_Prot#'!$A:$AL,21,FALSE)</f>
        <v>152</v>
      </c>
      <c r="Y39" s="5">
        <f>VLOOKUP($A39,'SegEnds_NonXtal_Prot#'!$A:$AL,24,FALSE)</f>
        <v>200</v>
      </c>
      <c r="Z39" s="5">
        <f>VLOOKUP($A39,'SegEnds_NonXtal_Prot#'!$A:$AL,27,FALSE)</f>
        <v>203</v>
      </c>
      <c r="AA39" s="5">
        <f>VLOOKUP($A39,'SegEnds_NonXtal_Prot#'!$A:$AL,30,FALSE)</f>
        <v>253</v>
      </c>
      <c r="AB39" s="5">
        <f>VLOOKUP($A39,'SegEnds_NonXtal_Prot#'!$A:$AL,33,FALSE)</f>
        <v>295</v>
      </c>
      <c r="AC39" s="5" t="str">
        <f>VLOOKUP($A39,'SegEnds_NonXtal_Prot#'!$A:$AL,36,FALSE)</f>
        <v>-</v>
      </c>
      <c r="AD39" s="5">
        <f>VLOOKUP($A39,'SegEnds_NonXtal_Prot#'!$A:$AL,5,FALSE)</f>
        <v>63</v>
      </c>
      <c r="AE39" s="5">
        <f>VLOOKUP($A39,'SegEnds_NonXtal_Prot#'!$A:$AL,8,FALSE)</f>
        <v>74</v>
      </c>
      <c r="AF39" s="5">
        <f>VLOOKUP($A39,'SegEnds_NonXtal_Prot#'!$A:$AL,11,FALSE)</f>
        <v>103</v>
      </c>
      <c r="AG39" s="5">
        <f>VLOOKUP($A39,'SegEnds_NonXtal_Prot#'!$A:$AL,14,FALSE)</f>
        <v>109</v>
      </c>
      <c r="AH39" s="5">
        <f>VLOOKUP($A39,'SegEnds_NonXtal_Prot#'!$A:$AL,17,FALSE)</f>
        <v>145</v>
      </c>
      <c r="AI39" s="5">
        <f>VLOOKUP($A39,'SegEnds_NonXtal_Prot#'!$A:$AL,20,FALSE)</f>
        <v>149</v>
      </c>
      <c r="AJ39" s="5">
        <f>VLOOKUP($A39,'SegEnds_NonXtal_Prot#'!$A:$AL,23,FALSE)</f>
        <v>178</v>
      </c>
      <c r="AK39" s="5">
        <f>VLOOKUP($A39,'SegEnds_NonXtal_Prot#'!$A:$AL,26,FALSE)</f>
        <v>202</v>
      </c>
      <c r="AL39" s="5">
        <f>VLOOKUP($A39,'SegEnds_NonXtal_Prot#'!$A:$AL,29,FALSE)</f>
        <v>247</v>
      </c>
      <c r="AM39" s="5">
        <f>VLOOKUP($A39,'SegEnds_NonXtal_Prot#'!$A:$AL,32,FALSE)</f>
        <v>293</v>
      </c>
      <c r="AN39" s="5">
        <f>VLOOKUP($A39,'SegEnds_NonXtal_Prot#'!$A:$AL,35,FALSE)</f>
        <v>326</v>
      </c>
      <c r="AO39" s="5" t="str">
        <f>VLOOKUP($A39,'SegEnds_NonXtal_Prot#'!$A:$AL,38,FALSE)</f>
        <v>-</v>
      </c>
      <c r="AP39" s="5">
        <f t="shared" si="13"/>
        <v>27</v>
      </c>
      <c r="AQ39" s="4">
        <f t="shared" si="14"/>
        <v>3</v>
      </c>
      <c r="AR39" s="4">
        <f t="shared" si="15"/>
        <v>28</v>
      </c>
      <c r="AS39" s="4">
        <f t="shared" si="16"/>
        <v>3</v>
      </c>
      <c r="AT39" s="4">
        <f t="shared" si="17"/>
        <v>35</v>
      </c>
      <c r="AU39" s="4">
        <f t="shared" si="18"/>
        <v>3</v>
      </c>
      <c r="AV39" s="4">
        <f t="shared" si="19"/>
        <v>26</v>
      </c>
      <c r="AW39" s="4">
        <f t="shared" si="20"/>
        <v>2</v>
      </c>
      <c r="AX39" s="4">
        <f t="shared" si="21"/>
        <v>44</v>
      </c>
      <c r="AY39" s="4">
        <f t="shared" si="22"/>
        <v>40</v>
      </c>
      <c r="AZ39" s="4">
        <f t="shared" si="23"/>
        <v>31</v>
      </c>
      <c r="BA39" s="4" t="str">
        <f t="shared" si="24"/>
        <v>-</v>
      </c>
    </row>
    <row r="40" spans="1:53" x14ac:dyDescent="0.2">
      <c r="A40" s="1" t="str">
        <f>'SegEnds_NonXtal_Prot#'!A3</f>
        <v>gpr19_human</v>
      </c>
      <c r="B40" s="1" t="str">
        <f t="shared" si="0"/>
        <v>EVATASIFFGILWLFSIFGNSLVCLVIHRSSTTNYFVVSMACADLLISVASTPFVLLQFTTGGSATCKVVRYFQYLTPGVQIYVLLSICIDRFYTIVYSREKAKKMIAASWVFDAGFVTPVLFFYWEGTAYTVIHFLVGFVIPSVLIILFYQKVIKYIWRIGTDGRTMNIVPRTKVKTIKMFLILNLLFLLSWLPFHVAQLWHPHESSLVFTAITWISFSSSASKPTLYSIYNANFRRGMKETFCMSSM</v>
      </c>
      <c r="C40" s="29" t="str">
        <f>IF(ISERROR(MATCH(A40,'SegEnds_Xtal_Prot#'!B:B, 0)), "NoXtal", "Xtal")</f>
        <v>NoXtal</v>
      </c>
      <c r="D40" s="4" t="str">
        <f>VLOOKUP(A40,Classification!A:D,2,FALSE)</f>
        <v>A</v>
      </c>
      <c r="E40" s="5" t="str">
        <f>VLOOKUP(A40,Seqs!A:B,2,FALSE)</f>
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</c>
      <c r="F40" s="5" t="str">
        <f t="shared" si="1"/>
        <v>EVATASIFFGILWLFSIFGNSLVCLVIHRS</v>
      </c>
      <c r="G40" s="4" t="str">
        <f t="shared" si="2"/>
        <v>RRTQ</v>
      </c>
      <c r="H40" s="4" t="str">
        <f t="shared" si="3"/>
        <v>STTNYFVVSMACADLLISVASTPFVLLQFTTG</v>
      </c>
      <c r="I40" s="4" t="str">
        <f t="shared" si="4"/>
        <v>RWTL</v>
      </c>
      <c r="J40" s="4" t="str">
        <f t="shared" si="5"/>
        <v>GSATCKVVRYFQYLTPGVQIYVLLSICIDRFYTIVY</v>
      </c>
      <c r="K40" s="4" t="str">
        <f t="shared" si="6"/>
        <v>PLSF</v>
      </c>
      <c r="L40" s="4" t="str">
        <f t="shared" si="7"/>
        <v>SREKAKKMIAASWVFDAGFVTPVLFFY</v>
      </c>
      <c r="M40" s="4" t="str">
        <f t="shared" si="8"/>
        <v>CNY</v>
      </c>
      <c r="N40" s="4" t="str">
        <f t="shared" si="9"/>
        <v>WEGTAYTVIHFLVGFVIPSVLIILFYQKVIKYIWRIGTDGR</v>
      </c>
      <c r="O40" s="4" t="str">
        <f t="shared" si="10"/>
        <v>TMNIVPRTKVKTIKMFLILNLLFLLSWLPFHVAQLWHPHE</v>
      </c>
      <c r="P40" s="4" t="str">
        <f t="shared" si="11"/>
        <v>SSLVFTAITWISFSSSASKPTLYSIY</v>
      </c>
      <c r="Q40" s="4" t="str">
        <f t="shared" si="12"/>
        <v>NANFRRGMKETFCMSSM</v>
      </c>
      <c r="R40" s="5">
        <f>VLOOKUP($A40,'SegEnds_NonXtal_Prot#'!$A:$AL,3,FALSE)</f>
        <v>64</v>
      </c>
      <c r="S40" s="5">
        <f>VLOOKUP($A40,'SegEnds_NonXtal_Prot#'!$A:$AL,6,FALSE)</f>
        <v>94</v>
      </c>
      <c r="T40" s="5">
        <f>VLOOKUP($A40,'SegEnds_NonXtal_Prot#'!$A:$AL,9,FALSE)</f>
        <v>98</v>
      </c>
      <c r="U40" s="5">
        <f>VLOOKUP($A40,'SegEnds_NonXtal_Prot#'!$A:$AL,12,FALSE)</f>
        <v>130</v>
      </c>
      <c r="V40" s="5">
        <f>VLOOKUP($A40,'SegEnds_NonXtal_Prot#'!$A:$AL,15,FALSE)</f>
        <v>134</v>
      </c>
      <c r="W40" s="5">
        <f>VLOOKUP($A40,'SegEnds_NonXtal_Prot#'!$A:$AL,18,FALSE)</f>
        <v>170</v>
      </c>
      <c r="X40" s="5">
        <f>VLOOKUP($A40,'SegEnds_NonXtal_Prot#'!$A:$AL,21,FALSE)</f>
        <v>176</v>
      </c>
      <c r="Y40" s="5">
        <f>VLOOKUP($A40,'SegEnds_NonXtal_Prot#'!$A:$AL,24,FALSE)</f>
        <v>210</v>
      </c>
      <c r="Z40" s="5">
        <f>VLOOKUP($A40,'SegEnds_NonXtal_Prot#'!$A:$AL,27,FALSE)</f>
        <v>218</v>
      </c>
      <c r="AA40" s="5">
        <f>VLOOKUP($A40,'SegEnds_NonXtal_Prot#'!$A:$AL,30,FALSE)</f>
        <v>263</v>
      </c>
      <c r="AB40" s="5">
        <f>VLOOKUP($A40,'SegEnds_NonXtal_Prot#'!$A:$AL,33,FALSE)</f>
        <v>308</v>
      </c>
      <c r="AC40" s="5">
        <f>VLOOKUP($A40,'SegEnds_NonXtal_Prot#'!$A:$AL,36,FALSE)</f>
        <v>334</v>
      </c>
      <c r="AD40" s="5">
        <f>VLOOKUP($A40,'SegEnds_NonXtal_Prot#'!$A:$AL,5,FALSE)</f>
        <v>93</v>
      </c>
      <c r="AE40" s="5">
        <f>VLOOKUP($A40,'SegEnds_NonXtal_Prot#'!$A:$AL,8,FALSE)</f>
        <v>97</v>
      </c>
      <c r="AF40" s="5">
        <f>VLOOKUP($A40,'SegEnds_NonXtal_Prot#'!$A:$AL,11,FALSE)</f>
        <v>129</v>
      </c>
      <c r="AG40" s="5">
        <f>VLOOKUP($A40,'SegEnds_NonXtal_Prot#'!$A:$AL,14,FALSE)</f>
        <v>133</v>
      </c>
      <c r="AH40" s="5">
        <f>VLOOKUP($A40,'SegEnds_NonXtal_Prot#'!$A:$AL,17,FALSE)</f>
        <v>169</v>
      </c>
      <c r="AI40" s="5">
        <f>VLOOKUP($A40,'SegEnds_NonXtal_Prot#'!$A:$AL,20,FALSE)</f>
        <v>173</v>
      </c>
      <c r="AJ40" s="5">
        <f>VLOOKUP($A40,'SegEnds_NonXtal_Prot#'!$A:$AL,23,FALSE)</f>
        <v>202</v>
      </c>
      <c r="AK40" s="5">
        <f>VLOOKUP($A40,'SegEnds_NonXtal_Prot#'!$A:$AL,26,FALSE)</f>
        <v>212</v>
      </c>
      <c r="AL40" s="5">
        <f>VLOOKUP($A40,'SegEnds_NonXtal_Prot#'!$A:$AL,29,FALSE)</f>
        <v>258</v>
      </c>
      <c r="AM40" s="5">
        <f>VLOOKUP($A40,'SegEnds_NonXtal_Prot#'!$A:$AL,32,FALSE)</f>
        <v>302</v>
      </c>
      <c r="AN40" s="5">
        <f>VLOOKUP($A40,'SegEnds_NonXtal_Prot#'!$A:$AL,35,FALSE)</f>
        <v>333</v>
      </c>
      <c r="AO40" s="5">
        <f>VLOOKUP($A40,'SegEnds_NonXtal_Prot#'!$A:$AL,38,FALSE)</f>
        <v>350</v>
      </c>
      <c r="AP40" s="5">
        <f t="shared" si="13"/>
        <v>29</v>
      </c>
      <c r="AQ40" s="4">
        <f t="shared" si="14"/>
        <v>3</v>
      </c>
      <c r="AR40" s="4">
        <f t="shared" si="15"/>
        <v>31</v>
      </c>
      <c r="AS40" s="4">
        <f t="shared" si="16"/>
        <v>3</v>
      </c>
      <c r="AT40" s="4">
        <f t="shared" si="17"/>
        <v>35</v>
      </c>
      <c r="AU40" s="4">
        <f t="shared" si="18"/>
        <v>3</v>
      </c>
      <c r="AV40" s="4">
        <f t="shared" si="19"/>
        <v>26</v>
      </c>
      <c r="AW40" s="4">
        <f t="shared" si="20"/>
        <v>2</v>
      </c>
      <c r="AX40" s="4">
        <f t="shared" si="21"/>
        <v>40</v>
      </c>
      <c r="AY40" s="4">
        <f t="shared" si="22"/>
        <v>39</v>
      </c>
      <c r="AZ40" s="4">
        <f t="shared" si="23"/>
        <v>25</v>
      </c>
      <c r="BA40" s="4">
        <f t="shared" si="24"/>
        <v>16</v>
      </c>
    </row>
    <row r="41" spans="1:53" x14ac:dyDescent="0.2">
      <c r="A41" s="1" t="str">
        <f>'SegEnds_NonXtal_Prot#'!A4</f>
        <v>gpr22_human</v>
      </c>
      <c r="B41" s="1" t="str">
        <f t="shared" si="0"/>
        <v>VSLTGFLMLEIVLGLGSNLTVLVLYCMKNSVSNIITMNLHVLDVIICVGCIPLTIVILLLSTALICCFHEACVSFASVSTAINVFAITLDRYDISVKTMGRAVMLMISIWIFSFFSFLIPFIEGMYYHLLVQIPIFFFTVVVMLITYTKILQALNIRIGTRFSRERRERQKRVFRMSLLIISTFLLCWTPISVLNTTILCLLVKLRLCFLVMAYGTTIFHPLLYAFTRQKFQKVLKSKMKK</v>
      </c>
      <c r="C41" s="29" t="str">
        <f>IF(ISERROR(MATCH(A41,'SegEnds_Xtal_Prot#'!B:B, 0)), "NoXtal", "Xtal")</f>
        <v>NoXtal</v>
      </c>
      <c r="D41" s="4" t="str">
        <f>VLOOKUP(A41,Classification!A:D,2,FALSE)</f>
        <v>A</v>
      </c>
      <c r="E41" s="5" t="str">
        <f>VLOOKUP(A41,Seqs!A:B,2,FALSE)</f>
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</c>
      <c r="F41" s="5" t="str">
        <f t="shared" si="1"/>
        <v>VSLTGFLMLEIVLGLGSNLTVLVLYCMK</v>
      </c>
      <c r="G41" s="4" t="str">
        <f t="shared" si="2"/>
        <v>SNLI</v>
      </c>
      <c r="H41" s="4" t="str">
        <f t="shared" si="3"/>
        <v>NSVSNIITMNLHVLDVIICVGCIPLTIVILLLS</v>
      </c>
      <c r="I41" s="4" t="str">
        <f t="shared" si="4"/>
        <v/>
      </c>
      <c r="J41" s="4" t="str">
        <f t="shared" si="5"/>
        <v>TALICCFHEACVSFASVSTAINVFAITLDRYDISVK</v>
      </c>
      <c r="K41" s="4" t="str">
        <f t="shared" si="6"/>
        <v>PANR</v>
      </c>
      <c r="L41" s="4" t="str">
        <f t="shared" si="7"/>
        <v>TMGRAVMLMISIWIFSFFSFLIPFIE</v>
      </c>
      <c r="M41" s="4" t="str">
        <f t="shared" si="8"/>
        <v>CVS</v>
      </c>
      <c r="N41" s="4" t="str">
        <f t="shared" si="9"/>
        <v>GMYYHLLVQIPIFFFTVVVMLITYTKILQALNIRIGTRFS</v>
      </c>
      <c r="O41" s="4" t="str">
        <f t="shared" si="10"/>
        <v>RERRERQKRVFRMSLLIISTFLLCWTPISVLNTTILCL</v>
      </c>
      <c r="P41" s="4" t="str">
        <f t="shared" si="11"/>
        <v>LVKLRLCFLVMAYGTTIFHPLLYAFT</v>
      </c>
      <c r="Q41" s="4" t="str">
        <f t="shared" si="12"/>
        <v>RQKFQKVLKSKMKK</v>
      </c>
      <c r="R41" s="5">
        <f>VLOOKUP($A41,'SegEnds_NonXtal_Prot#'!$A:$AL,3,FALSE)</f>
        <v>42</v>
      </c>
      <c r="S41" s="5">
        <f>VLOOKUP($A41,'SegEnds_NonXtal_Prot#'!$A:$AL,6,FALSE)</f>
        <v>70</v>
      </c>
      <c r="T41" s="5">
        <f>VLOOKUP($A41,'SegEnds_NonXtal_Prot#'!$A:$AL,9,FALSE)</f>
        <v>74</v>
      </c>
      <c r="U41" s="5" t="str">
        <f>VLOOKUP($A41,'SegEnds_NonXtal_Prot#'!$A:$AL,12,FALSE)</f>
        <v>-</v>
      </c>
      <c r="V41" s="5">
        <f>VLOOKUP($A41,'SegEnds_NonXtal_Prot#'!$A:$AL,15,FALSE)</f>
        <v>111</v>
      </c>
      <c r="W41" s="5">
        <f>VLOOKUP($A41,'SegEnds_NonXtal_Prot#'!$A:$AL,18,FALSE)</f>
        <v>147</v>
      </c>
      <c r="X41" s="5">
        <f>VLOOKUP($A41,'SegEnds_NonXtal_Prot#'!$A:$AL,21,FALSE)</f>
        <v>153</v>
      </c>
      <c r="Y41" s="5">
        <f>VLOOKUP($A41,'SegEnds_NonXtal_Prot#'!$A:$AL,24,FALSE)</f>
        <v>197</v>
      </c>
      <c r="Z41" s="5">
        <f>VLOOKUP($A41,'SegEnds_NonXtal_Prot#'!$A:$AL,27,FALSE)</f>
        <v>208</v>
      </c>
      <c r="AA41" s="5">
        <f>VLOOKUP($A41,'SegEnds_NonXtal_Prot#'!$A:$AL,30,FALSE)</f>
        <v>302</v>
      </c>
      <c r="AB41" s="5">
        <f>VLOOKUP($A41,'SegEnds_NonXtal_Prot#'!$A:$AL,33,FALSE)</f>
        <v>345</v>
      </c>
      <c r="AC41" s="5">
        <f>VLOOKUP($A41,'SegEnds_NonXtal_Prot#'!$A:$AL,36,FALSE)</f>
        <v>371</v>
      </c>
      <c r="AD41" s="5">
        <f>VLOOKUP($A41,'SegEnds_NonXtal_Prot#'!$A:$AL,5,FALSE)</f>
        <v>69</v>
      </c>
      <c r="AE41" s="5">
        <f>VLOOKUP($A41,'SegEnds_NonXtal_Prot#'!$A:$AL,8,FALSE)</f>
        <v>73</v>
      </c>
      <c r="AF41" s="5">
        <f>VLOOKUP($A41,'SegEnds_NonXtal_Prot#'!$A:$AL,11,FALSE)</f>
        <v>106</v>
      </c>
      <c r="AG41" s="5" t="str">
        <f>VLOOKUP($A41,'SegEnds_NonXtal_Prot#'!$A:$AL,14,FALSE)</f>
        <v>-</v>
      </c>
      <c r="AH41" s="5">
        <f>VLOOKUP($A41,'SegEnds_NonXtal_Prot#'!$A:$AL,17,FALSE)</f>
        <v>146</v>
      </c>
      <c r="AI41" s="5">
        <f>VLOOKUP($A41,'SegEnds_NonXtal_Prot#'!$A:$AL,20,FALSE)</f>
        <v>150</v>
      </c>
      <c r="AJ41" s="5">
        <f>VLOOKUP($A41,'SegEnds_NonXtal_Prot#'!$A:$AL,23,FALSE)</f>
        <v>178</v>
      </c>
      <c r="AK41" s="5">
        <f>VLOOKUP($A41,'SegEnds_NonXtal_Prot#'!$A:$AL,26,FALSE)</f>
        <v>199</v>
      </c>
      <c r="AL41" s="5">
        <f>VLOOKUP($A41,'SegEnds_NonXtal_Prot#'!$A:$AL,29,FALSE)</f>
        <v>247</v>
      </c>
      <c r="AM41" s="5">
        <f>VLOOKUP($A41,'SegEnds_NonXtal_Prot#'!$A:$AL,32,FALSE)</f>
        <v>339</v>
      </c>
      <c r="AN41" s="5">
        <f>VLOOKUP($A41,'SegEnds_NonXtal_Prot#'!$A:$AL,35,FALSE)</f>
        <v>370</v>
      </c>
      <c r="AO41" s="5">
        <f>VLOOKUP($A41,'SegEnds_NonXtal_Prot#'!$A:$AL,38,FALSE)</f>
        <v>384</v>
      </c>
      <c r="AP41" s="5">
        <f t="shared" si="13"/>
        <v>27</v>
      </c>
      <c r="AQ41" s="4">
        <f t="shared" si="14"/>
        <v>3</v>
      </c>
      <c r="AR41" s="4">
        <f t="shared" si="15"/>
        <v>32</v>
      </c>
      <c r="AS41" s="4" t="str">
        <f t="shared" si="16"/>
        <v>-</v>
      </c>
      <c r="AT41" s="4">
        <f t="shared" si="17"/>
        <v>35</v>
      </c>
      <c r="AU41" s="4">
        <f t="shared" si="18"/>
        <v>3</v>
      </c>
      <c r="AV41" s="4">
        <f t="shared" si="19"/>
        <v>25</v>
      </c>
      <c r="AW41" s="4">
        <f t="shared" si="20"/>
        <v>2</v>
      </c>
      <c r="AX41" s="4">
        <f t="shared" si="21"/>
        <v>39</v>
      </c>
      <c r="AY41" s="4">
        <f t="shared" si="22"/>
        <v>37</v>
      </c>
      <c r="AZ41" s="4">
        <f t="shared" si="23"/>
        <v>25</v>
      </c>
      <c r="BA41" s="4">
        <f t="shared" si="24"/>
        <v>13</v>
      </c>
    </row>
    <row r="42" spans="1:53" x14ac:dyDescent="0.2">
      <c r="A42" s="1" t="str">
        <f>'SegEnds_NonXtal_Prot#'!A6</f>
        <v>ox1r_human</v>
      </c>
      <c r="B42" s="1" t="str">
        <f t="shared" si="0"/>
        <v>EWVLIAAYVAVFVVALVGNTLVCLAVWRNTVTNYFIVNLSLADVLVTAICLPASLLVDITEGHALCKVIPYLQAVSVSVAVLTLSFIALDRWYAICHTARRARGSILGIWAVSLAIMVPQAAVMLYPKIYHSCFFIVTYLAPLGLMAMAYFQIFRKLWGRQIPFLAEVKQMRARRKTAKMLMVVLLVFALCYLPISVLNVLKRVFREAVYACFTFSHWLVYANSAANPIIYNFLSGKFREQFKAAFSCCLP</v>
      </c>
      <c r="C42" s="29" t="str">
        <f>IF(ISERROR(MATCH(A42,'SegEnds_Xtal_Prot#'!B:B, 0)), "NoXtal", "Xtal")</f>
        <v>Xtal</v>
      </c>
      <c r="D42" s="4" t="str">
        <f>VLOOKUP(A42,Classification!A:D,2,FALSE)</f>
        <v>A</v>
      </c>
      <c r="E42" s="5" t="str">
        <f>VLOOKUP(A42,Seqs!A:B,2,FALSE)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F42" s="5" t="str">
        <f t="shared" si="1"/>
        <v>EWVLIAAYVAVFVVALVGNTLVCLAVWRN</v>
      </c>
      <c r="G42" s="4" t="str">
        <f t="shared" si="2"/>
        <v>HHMR</v>
      </c>
      <c r="H42" s="4" t="str">
        <f t="shared" si="3"/>
        <v>TVTNYFIVNLSLADVLVTAICLPASLLVDITE</v>
      </c>
      <c r="I42" s="4" t="str">
        <f t="shared" si="4"/>
        <v>SWLF</v>
      </c>
      <c r="J42" s="4" t="str">
        <f t="shared" si="5"/>
        <v>GHALCKVIPYLQAVSVSVAVLTLSFIALDRWYAICH</v>
      </c>
      <c r="K42" s="4" t="str">
        <f t="shared" si="6"/>
        <v>PLLF</v>
      </c>
      <c r="L42" s="4" t="str">
        <f t="shared" si="7"/>
        <v>TARRARGSILGIWAVSLAIMVPQAAVM</v>
      </c>
      <c r="M42" s="4" t="str">
        <f t="shared" si="8"/>
        <v>CDE</v>
      </c>
      <c r="N42" s="4" t="str">
        <f t="shared" si="9"/>
        <v>LYPKIYHSCFFIVTYLAPLGLMAMAYFQIFRKLWGRQIP</v>
      </c>
      <c r="O42" s="4" t="str">
        <f t="shared" si="10"/>
        <v>FLAEVKQMRARRKTAKMLMVVLLVFALCYLPISVLNVLKRVF</v>
      </c>
      <c r="P42" s="4" t="str">
        <f t="shared" si="11"/>
        <v>REAVYACFTFSHWLVYANSAANPIIYNFL</v>
      </c>
      <c r="Q42" s="4" t="str">
        <f t="shared" si="12"/>
        <v>SGKFREQFKAAFSCCLP</v>
      </c>
      <c r="R42" s="5">
        <f>VLOOKUP($A42,'SegEnds_NonXtal_Prot#'!$A:$AL,3,FALSE)</f>
        <v>46</v>
      </c>
      <c r="S42" s="5">
        <f>VLOOKUP($A42,'SegEnds_NonXtal_Prot#'!$A:$AL,6,FALSE)</f>
        <v>75</v>
      </c>
      <c r="T42" s="5">
        <f>VLOOKUP($A42,'SegEnds_NonXtal_Prot#'!$A:$AL,9,FALSE)</f>
        <v>79</v>
      </c>
      <c r="U42" s="5">
        <f>VLOOKUP($A42,'SegEnds_NonXtal_Prot#'!$A:$AL,12,FALSE)</f>
        <v>111</v>
      </c>
      <c r="V42" s="5">
        <f>VLOOKUP($A42,'SegEnds_NonXtal_Prot#'!$A:$AL,15,FALSE)</f>
        <v>115</v>
      </c>
      <c r="W42" s="5">
        <f>VLOOKUP($A42,'SegEnds_NonXtal_Prot#'!$A:$AL,18,FALSE)</f>
        <v>151</v>
      </c>
      <c r="X42" s="5">
        <f>VLOOKUP($A42,'SegEnds_NonXtal_Prot#'!$A:$AL,21,FALSE)</f>
        <v>157</v>
      </c>
      <c r="Y42" s="5">
        <f>VLOOKUP($A42,'SegEnds_NonXtal_Prot#'!$A:$AL,24,FALSE)</f>
        <v>202</v>
      </c>
      <c r="Z42" s="5">
        <f>VLOOKUP($A42,'SegEnds_NonXtal_Prot#'!$A:$AL,27,FALSE)</f>
        <v>210</v>
      </c>
      <c r="AA42" s="5">
        <f>VLOOKUP($A42,'SegEnds_NonXtal_Prot#'!$A:$AL,30,FALSE)</f>
        <v>283</v>
      </c>
      <c r="AB42" s="5">
        <f>VLOOKUP($A42,'SegEnds_NonXtal_Prot#'!$A:$AL,33,FALSE)</f>
        <v>333</v>
      </c>
      <c r="AC42" s="5">
        <f>VLOOKUP($A42,'SegEnds_NonXtal_Prot#'!$A:$AL,36,FALSE)</f>
        <v>362</v>
      </c>
      <c r="AD42" s="5">
        <f>VLOOKUP($A42,'SegEnds_NonXtal_Prot#'!$A:$AL,5,FALSE)</f>
        <v>74</v>
      </c>
      <c r="AE42" s="5">
        <f>VLOOKUP($A42,'SegEnds_NonXtal_Prot#'!$A:$AL,8,FALSE)</f>
        <v>78</v>
      </c>
      <c r="AF42" s="5">
        <f>VLOOKUP($A42,'SegEnds_NonXtal_Prot#'!$A:$AL,11,FALSE)</f>
        <v>110</v>
      </c>
      <c r="AG42" s="5">
        <f>VLOOKUP($A42,'SegEnds_NonXtal_Prot#'!$A:$AL,14,FALSE)</f>
        <v>114</v>
      </c>
      <c r="AH42" s="5">
        <f>VLOOKUP($A42,'SegEnds_NonXtal_Prot#'!$A:$AL,17,FALSE)</f>
        <v>150</v>
      </c>
      <c r="AI42" s="5">
        <f>VLOOKUP($A42,'SegEnds_NonXtal_Prot#'!$A:$AL,20,FALSE)</f>
        <v>154</v>
      </c>
      <c r="AJ42" s="5">
        <f>VLOOKUP($A42,'SegEnds_NonXtal_Prot#'!$A:$AL,23,FALSE)</f>
        <v>183</v>
      </c>
      <c r="AK42" s="5">
        <f>VLOOKUP($A42,'SegEnds_NonXtal_Prot#'!$A:$AL,26,FALSE)</f>
        <v>204</v>
      </c>
      <c r="AL42" s="5">
        <f>VLOOKUP($A42,'SegEnds_NonXtal_Prot#'!$A:$AL,29,FALSE)</f>
        <v>248</v>
      </c>
      <c r="AM42" s="5">
        <f>VLOOKUP($A42,'SegEnds_NonXtal_Prot#'!$A:$AL,32,FALSE)</f>
        <v>324</v>
      </c>
      <c r="AN42" s="5">
        <f>VLOOKUP($A42,'SegEnds_NonXtal_Prot#'!$A:$AL,35,FALSE)</f>
        <v>361</v>
      </c>
      <c r="AO42" s="5">
        <f>VLOOKUP($A42,'SegEnds_NonXtal_Prot#'!$A:$AL,38,FALSE)</f>
        <v>378</v>
      </c>
      <c r="AP42" s="5">
        <f t="shared" si="13"/>
        <v>28</v>
      </c>
      <c r="AQ42" s="4">
        <f t="shared" si="14"/>
        <v>3</v>
      </c>
      <c r="AR42" s="4">
        <f t="shared" si="15"/>
        <v>31</v>
      </c>
      <c r="AS42" s="4">
        <f t="shared" si="16"/>
        <v>3</v>
      </c>
      <c r="AT42" s="4">
        <f t="shared" si="17"/>
        <v>35</v>
      </c>
      <c r="AU42" s="4">
        <f t="shared" si="18"/>
        <v>3</v>
      </c>
      <c r="AV42" s="4">
        <f t="shared" si="19"/>
        <v>26</v>
      </c>
      <c r="AW42" s="4">
        <f t="shared" si="20"/>
        <v>2</v>
      </c>
      <c r="AX42" s="4">
        <f t="shared" si="21"/>
        <v>38</v>
      </c>
      <c r="AY42" s="4">
        <f t="shared" si="22"/>
        <v>41</v>
      </c>
      <c r="AZ42" s="4">
        <f t="shared" si="23"/>
        <v>28</v>
      </c>
      <c r="BA42" s="4">
        <f t="shared" si="24"/>
        <v>16</v>
      </c>
    </row>
    <row r="43" spans="1:53" x14ac:dyDescent="0.2">
      <c r="A43" s="1" t="str">
        <f>'SegEnds_NonXtal_Prot#'!A7</f>
        <v>ox2r_human</v>
      </c>
      <c r="B43" s="1" t="str">
        <f t="shared" si="0"/>
        <v>YEWVLIAGYIIVFVVALIGNVLVCVAVWKNTVTNYFIVNLSLADVLVTITCLPATLVVDITEGQSLCKVIPYLQTVSVSVSVLTLSCIALDRWYAICHTAKRARNSIVIIWIVSCIIMIPQAIVMIYPKMYHICFFLVTYMAPLCLMVLAYLQIFRKLWCRQIPVAAEIKQIRARRKTARMLMIVLLVFAICYLPISILNVLKRVFDRETVYAWFTFSHWLVYANSAANPIIYNFLSGKFREEFKAAFSCCCL</v>
      </c>
      <c r="C43" s="29" t="str">
        <f>IF(ISERROR(MATCH(A43,'SegEnds_Xtal_Prot#'!B:B, 0)), "NoXtal", "Xtal")</f>
        <v>Xtal</v>
      </c>
      <c r="D43" s="4" t="str">
        <f>VLOOKUP(A43,Classification!A:D,2,FALSE)</f>
        <v>A</v>
      </c>
      <c r="E43" s="5" t="str">
        <f>VLOOKUP(A43,Seqs!A:B,2,FALSE)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F43" s="5" t="str">
        <f t="shared" si="1"/>
        <v>YEWVLIAGYIIVFVVALIGNVLVCVAVWKN</v>
      </c>
      <c r="G43" s="4" t="str">
        <f t="shared" si="2"/>
        <v>HHMR</v>
      </c>
      <c r="H43" s="4" t="str">
        <f t="shared" si="3"/>
        <v>TVTNYFIVNLSLADVLVTITCLPATLVVDITE</v>
      </c>
      <c r="I43" s="4" t="str">
        <f t="shared" si="4"/>
        <v>TWFF</v>
      </c>
      <c r="J43" s="4" t="str">
        <f t="shared" si="5"/>
        <v>GQSLCKVIPYLQTVSVSVSVLTLSCIALDRWYAICH</v>
      </c>
      <c r="K43" s="4" t="str">
        <f t="shared" si="6"/>
        <v>PLMF</v>
      </c>
      <c r="L43" s="4" t="str">
        <f t="shared" si="7"/>
        <v>TAKRARNSIVIIWIVSCIIMIPQAIVM</v>
      </c>
      <c r="M43" s="4" t="str">
        <f t="shared" si="8"/>
        <v>CDE</v>
      </c>
      <c r="N43" s="4" t="str">
        <f t="shared" si="9"/>
        <v>IYPKMYHICFFLVTYMAPLCLMVLAYLQIFRKLWCRQIP</v>
      </c>
      <c r="O43" s="4" t="str">
        <f t="shared" si="10"/>
        <v>VAAEIKQIRARRKTARMLMIVLLVFAICYLPISILNVLKRVF</v>
      </c>
      <c r="P43" s="4" t="str">
        <f t="shared" si="11"/>
        <v>DRETVYAWFTFSHWLVYANSAANPIIYNFL</v>
      </c>
      <c r="Q43" s="4" t="str">
        <f t="shared" si="12"/>
        <v>SGKFREEFKAAFSCCCL</v>
      </c>
      <c r="R43" s="5">
        <f>VLOOKUP($A43,'SegEnds_NonXtal_Prot#'!$A:$AL,3,FALSE)</f>
        <v>53</v>
      </c>
      <c r="S43" s="5">
        <f>VLOOKUP($A43,'SegEnds_NonXtal_Prot#'!$A:$AL,6,FALSE)</f>
        <v>83</v>
      </c>
      <c r="T43" s="5">
        <f>VLOOKUP($A43,'SegEnds_NonXtal_Prot#'!$A:$AL,9,FALSE)</f>
        <v>87</v>
      </c>
      <c r="U43" s="5">
        <f>VLOOKUP($A43,'SegEnds_NonXtal_Prot#'!$A:$AL,12,FALSE)</f>
        <v>119</v>
      </c>
      <c r="V43" s="5">
        <f>VLOOKUP($A43,'SegEnds_NonXtal_Prot#'!$A:$AL,15,FALSE)</f>
        <v>123</v>
      </c>
      <c r="W43" s="5">
        <f>VLOOKUP($A43,'SegEnds_NonXtal_Prot#'!$A:$AL,18,FALSE)</f>
        <v>159</v>
      </c>
      <c r="X43" s="5">
        <f>VLOOKUP($A43,'SegEnds_NonXtal_Prot#'!$A:$AL,21,FALSE)</f>
        <v>165</v>
      </c>
      <c r="Y43" s="5">
        <f>VLOOKUP($A43,'SegEnds_NonXtal_Prot#'!$A:$AL,24,FALSE)</f>
        <v>210</v>
      </c>
      <c r="Z43" s="5">
        <f>VLOOKUP($A43,'SegEnds_NonXtal_Prot#'!$A:$AL,27,FALSE)</f>
        <v>218</v>
      </c>
      <c r="AA43" s="5">
        <f>VLOOKUP($A43,'SegEnds_NonXtal_Prot#'!$A:$AL,30,FALSE)</f>
        <v>289</v>
      </c>
      <c r="AB43" s="5">
        <f>VLOOKUP($A43,'SegEnds_NonXtal_Prot#'!$A:$AL,33,FALSE)</f>
        <v>338</v>
      </c>
      <c r="AC43" s="5">
        <f>VLOOKUP($A43,'SegEnds_NonXtal_Prot#'!$A:$AL,36,FALSE)</f>
        <v>368</v>
      </c>
      <c r="AD43" s="5">
        <f>VLOOKUP($A43,'SegEnds_NonXtal_Prot#'!$A:$AL,5,FALSE)</f>
        <v>82</v>
      </c>
      <c r="AE43" s="5">
        <f>VLOOKUP($A43,'SegEnds_NonXtal_Prot#'!$A:$AL,8,FALSE)</f>
        <v>86</v>
      </c>
      <c r="AF43" s="5">
        <f>VLOOKUP($A43,'SegEnds_NonXtal_Prot#'!$A:$AL,11,FALSE)</f>
        <v>118</v>
      </c>
      <c r="AG43" s="5">
        <f>VLOOKUP($A43,'SegEnds_NonXtal_Prot#'!$A:$AL,14,FALSE)</f>
        <v>122</v>
      </c>
      <c r="AH43" s="5">
        <f>VLOOKUP($A43,'SegEnds_NonXtal_Prot#'!$A:$AL,17,FALSE)</f>
        <v>158</v>
      </c>
      <c r="AI43" s="5">
        <f>VLOOKUP($A43,'SegEnds_NonXtal_Prot#'!$A:$AL,20,FALSE)</f>
        <v>162</v>
      </c>
      <c r="AJ43" s="5">
        <f>VLOOKUP($A43,'SegEnds_NonXtal_Prot#'!$A:$AL,23,FALSE)</f>
        <v>191</v>
      </c>
      <c r="AK43" s="5">
        <f>VLOOKUP($A43,'SegEnds_NonXtal_Prot#'!$A:$AL,26,FALSE)</f>
        <v>212</v>
      </c>
      <c r="AL43" s="5">
        <f>VLOOKUP($A43,'SegEnds_NonXtal_Prot#'!$A:$AL,29,FALSE)</f>
        <v>256</v>
      </c>
      <c r="AM43" s="5">
        <f>VLOOKUP($A43,'SegEnds_NonXtal_Prot#'!$A:$AL,32,FALSE)</f>
        <v>330</v>
      </c>
      <c r="AN43" s="5">
        <f>VLOOKUP($A43,'SegEnds_NonXtal_Prot#'!$A:$AL,35,FALSE)</f>
        <v>367</v>
      </c>
      <c r="AO43" s="5">
        <f>VLOOKUP($A43,'SegEnds_NonXtal_Prot#'!$A:$AL,38,FALSE)</f>
        <v>384</v>
      </c>
      <c r="AP43" s="5">
        <f t="shared" si="13"/>
        <v>29</v>
      </c>
      <c r="AQ43" s="4">
        <f t="shared" si="14"/>
        <v>3</v>
      </c>
      <c r="AR43" s="4">
        <f t="shared" si="15"/>
        <v>31</v>
      </c>
      <c r="AS43" s="4">
        <f t="shared" si="16"/>
        <v>3</v>
      </c>
      <c r="AT43" s="4">
        <f t="shared" si="17"/>
        <v>35</v>
      </c>
      <c r="AU43" s="4">
        <f t="shared" si="18"/>
        <v>3</v>
      </c>
      <c r="AV43" s="4">
        <f t="shared" si="19"/>
        <v>26</v>
      </c>
      <c r="AW43" s="4">
        <f t="shared" si="20"/>
        <v>2</v>
      </c>
      <c r="AX43" s="4">
        <f t="shared" si="21"/>
        <v>38</v>
      </c>
      <c r="AY43" s="4">
        <f t="shared" si="22"/>
        <v>41</v>
      </c>
      <c r="AZ43" s="4">
        <f t="shared" si="23"/>
        <v>29</v>
      </c>
      <c r="BA43" s="4">
        <f t="shared" si="24"/>
        <v>16</v>
      </c>
    </row>
    <row r="44" spans="1:53" x14ac:dyDescent="0.2">
      <c r="A44" s="1" t="str">
        <f>'SegEnds_NonXtal_Prot#'!A8</f>
        <v>prlhr_human</v>
      </c>
      <c r="B44" s="1" t="str">
        <f t="shared" si="0"/>
        <v>LKGLIVLLYSVVVVVGLVGNCLLVLVIARVNVTNFLIGNLALSDVLMCTACVPLTLAYAFEPGGGLCHLVFFLQPVTVYVSVFTLTTIAVDRYVVLVHSLRLSAYAVLAIWALSAVLALPAAVHTRQRQLYAWGLLLVTYLLPLLVILLSYVRVSVKLRNRVVPGCQADWDRARRRRTFCLLVVIVVVFAVCWLPLHVFNLLRDLDDPYAFGLVQLLCHWLAMSSACYNPFIYAWLHDSFREELRKLLVAWPR</v>
      </c>
      <c r="C44" s="29" t="str">
        <f>IF(ISERROR(MATCH(A44,'SegEnds_Xtal_Prot#'!B:B, 0)), "NoXtal", "Xtal")</f>
        <v>NoXtal</v>
      </c>
      <c r="D44" s="4" t="str">
        <f>VLOOKUP(A44,Classification!A:D,2,FALSE)</f>
        <v>A</v>
      </c>
      <c r="E44" s="5" t="str">
        <f>VLOOKUP(A44,Seqs!A:B,2,FALSE)</f>
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</c>
      <c r="F44" s="5" t="str">
        <f t="shared" si="1"/>
        <v>LKGLIVLLYSVVVVVGLVGNCLLVLVIARV</v>
      </c>
      <c r="G44" s="4" t="str">
        <f t="shared" si="2"/>
        <v>RRLH</v>
      </c>
      <c r="H44" s="4" t="str">
        <f t="shared" si="3"/>
        <v>NVTNFLIGNLALSDVLMCTACVPLTLAYAFEP</v>
      </c>
      <c r="I44" s="4" t="str">
        <f t="shared" si="4"/>
        <v>GWVF</v>
      </c>
      <c r="J44" s="4" t="str">
        <f t="shared" si="5"/>
        <v>GGGLCHLVFFLQPVTVYVSVFTLTTIAVDRYVVLVH</v>
      </c>
      <c r="K44" s="4" t="str">
        <f t="shared" si="6"/>
        <v>PLRR</v>
      </c>
      <c r="L44" s="4" t="str">
        <f t="shared" si="7"/>
        <v>SLRLSAYAVLAIWALSAVLALPAAVHT</v>
      </c>
      <c r="M44" s="4" t="str">
        <f t="shared" si="8"/>
        <v>CEE</v>
      </c>
      <c r="N44" s="4" t="str">
        <f t="shared" si="9"/>
        <v>RQRQLYAWGLLLVTYLLPLLVILLSYVRVSVKLRNRVVPGC</v>
      </c>
      <c r="O44" s="4" t="str">
        <f t="shared" si="10"/>
        <v>QADWDRARRRRTFCLLVVIVVVFAVCWLPLHVFNLLRDLD</v>
      </c>
      <c r="P44" s="4" t="str">
        <f t="shared" si="11"/>
        <v>DPYAFGLVQLLCHWLAMSSACYNPFIYAWL</v>
      </c>
      <c r="Q44" s="4" t="str">
        <f t="shared" si="12"/>
        <v>HDSFREELRKLLVAWPR</v>
      </c>
      <c r="R44" s="5">
        <f>VLOOKUP($A44,'SegEnds_NonXtal_Prot#'!$A:$AL,3,FALSE)</f>
        <v>59</v>
      </c>
      <c r="S44" s="5">
        <f>VLOOKUP($A44,'SegEnds_NonXtal_Prot#'!$A:$AL,6,FALSE)</f>
        <v>89</v>
      </c>
      <c r="T44" s="5">
        <f>VLOOKUP($A44,'SegEnds_NonXtal_Prot#'!$A:$AL,9,FALSE)</f>
        <v>93</v>
      </c>
      <c r="U44" s="5">
        <f>VLOOKUP($A44,'SegEnds_NonXtal_Prot#'!$A:$AL,12,FALSE)</f>
        <v>126</v>
      </c>
      <c r="V44" s="5">
        <f>VLOOKUP($A44,'SegEnds_NonXtal_Prot#'!$A:$AL,15,FALSE)</f>
        <v>130</v>
      </c>
      <c r="W44" s="5">
        <f>VLOOKUP($A44,'SegEnds_NonXtal_Prot#'!$A:$AL,18,FALSE)</f>
        <v>166</v>
      </c>
      <c r="X44" s="5">
        <f>VLOOKUP($A44,'SegEnds_NonXtal_Prot#'!$A:$AL,21,FALSE)</f>
        <v>172</v>
      </c>
      <c r="Y44" s="5">
        <f>VLOOKUP($A44,'SegEnds_NonXtal_Prot#'!$A:$AL,24,FALSE)</f>
        <v>211</v>
      </c>
      <c r="Z44" s="5">
        <f>VLOOKUP($A44,'SegEnds_NonXtal_Prot#'!$A:$AL,27,FALSE)</f>
        <v>220</v>
      </c>
      <c r="AA44" s="5">
        <f>VLOOKUP($A44,'SegEnds_NonXtal_Prot#'!$A:$AL,30,FALSE)</f>
        <v>265</v>
      </c>
      <c r="AB44" s="5">
        <f>VLOOKUP($A44,'SegEnds_NonXtal_Prot#'!$A:$AL,33,FALSE)</f>
        <v>309</v>
      </c>
      <c r="AC44" s="5">
        <f>VLOOKUP($A44,'SegEnds_NonXtal_Prot#'!$A:$AL,36,FALSE)</f>
        <v>339</v>
      </c>
      <c r="AD44" s="5">
        <f>VLOOKUP($A44,'SegEnds_NonXtal_Prot#'!$A:$AL,5,FALSE)</f>
        <v>88</v>
      </c>
      <c r="AE44" s="5">
        <f>VLOOKUP($A44,'SegEnds_NonXtal_Prot#'!$A:$AL,8,FALSE)</f>
        <v>92</v>
      </c>
      <c r="AF44" s="5">
        <f>VLOOKUP($A44,'SegEnds_NonXtal_Prot#'!$A:$AL,11,FALSE)</f>
        <v>124</v>
      </c>
      <c r="AG44" s="5">
        <f>VLOOKUP($A44,'SegEnds_NonXtal_Prot#'!$A:$AL,14,FALSE)</f>
        <v>129</v>
      </c>
      <c r="AH44" s="5">
        <f>VLOOKUP($A44,'SegEnds_NonXtal_Prot#'!$A:$AL,17,FALSE)</f>
        <v>165</v>
      </c>
      <c r="AI44" s="5">
        <f>VLOOKUP($A44,'SegEnds_NonXtal_Prot#'!$A:$AL,20,FALSE)</f>
        <v>169</v>
      </c>
      <c r="AJ44" s="5">
        <f>VLOOKUP($A44,'SegEnds_NonXtal_Prot#'!$A:$AL,23,FALSE)</f>
        <v>198</v>
      </c>
      <c r="AK44" s="5">
        <f>VLOOKUP($A44,'SegEnds_NonXtal_Prot#'!$A:$AL,26,FALSE)</f>
        <v>213</v>
      </c>
      <c r="AL44" s="5">
        <f>VLOOKUP($A44,'SegEnds_NonXtal_Prot#'!$A:$AL,29,FALSE)</f>
        <v>260</v>
      </c>
      <c r="AM44" s="5">
        <f>VLOOKUP($A44,'SegEnds_NonXtal_Prot#'!$A:$AL,32,FALSE)</f>
        <v>304</v>
      </c>
      <c r="AN44" s="5">
        <f>VLOOKUP($A44,'SegEnds_NonXtal_Prot#'!$A:$AL,35,FALSE)</f>
        <v>338</v>
      </c>
      <c r="AO44" s="5">
        <f>VLOOKUP($A44,'SegEnds_NonXtal_Prot#'!$A:$AL,38,FALSE)</f>
        <v>355</v>
      </c>
      <c r="AP44" s="5">
        <f t="shared" si="13"/>
        <v>29</v>
      </c>
      <c r="AQ44" s="4">
        <f t="shared" si="14"/>
        <v>3</v>
      </c>
      <c r="AR44" s="4">
        <f t="shared" si="15"/>
        <v>31</v>
      </c>
      <c r="AS44" s="4">
        <f t="shared" si="16"/>
        <v>3</v>
      </c>
      <c r="AT44" s="4">
        <f t="shared" si="17"/>
        <v>35</v>
      </c>
      <c r="AU44" s="4">
        <f t="shared" si="18"/>
        <v>3</v>
      </c>
      <c r="AV44" s="4">
        <f t="shared" si="19"/>
        <v>26</v>
      </c>
      <c r="AW44" s="4">
        <f t="shared" si="20"/>
        <v>2</v>
      </c>
      <c r="AX44" s="4">
        <f t="shared" si="21"/>
        <v>40</v>
      </c>
      <c r="AY44" s="4">
        <f t="shared" si="22"/>
        <v>39</v>
      </c>
      <c r="AZ44" s="4">
        <f t="shared" si="23"/>
        <v>29</v>
      </c>
      <c r="BA44" s="4">
        <f t="shared" si="24"/>
        <v>16</v>
      </c>
    </row>
    <row r="45" spans="1:53" x14ac:dyDescent="0.2">
      <c r="A45" s="1" t="str">
        <f>'SegEnds_NonXtal_Prot#'!A9</f>
        <v>agtr2_human</v>
      </c>
      <c r="B45" s="1" t="str">
        <f t="shared" si="0"/>
        <v>DAIPILYYIIFVIGFLVNIVVVTLFCCQVSSIYIFNLAVADLLLLATLPLWATYYSYGPVMCKVFGSFLTLNMFASIFFITCMSVDRYQSVIYNPWQASYIVPLVWCMACLSSLPTFYFRKYAQWSAGIALMKNILGFIIPLIFIATCYFGIRKHLLKTGKNRITRDQVLKMAAAVVLAFIICWLPFHVLTFLDALAWMGSCEVIAVIDLALPFAILLGFTNSCVNPFLYCFVGNRFQQKLRSVFRVP</v>
      </c>
      <c r="C45" s="29" t="str">
        <f>IF(ISERROR(MATCH(A45,'SegEnds_Xtal_Prot#'!B:B, 0)), "NoXtal", "Xtal")</f>
        <v>Xtal</v>
      </c>
      <c r="D45" s="4" t="str">
        <f>VLOOKUP(A45,Classification!A:D,2,FALSE)</f>
        <v>A</v>
      </c>
      <c r="E45" s="5" t="str">
        <f>VLOOKUP(A45,Seqs!A:B,2,FALSE)</f>
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</c>
      <c r="F45" s="5" t="str">
        <f t="shared" si="1"/>
        <v>DAIPILYYIIFVIGFLVNIVVVTLFCCQ</v>
      </c>
      <c r="G45" s="4" t="str">
        <f t="shared" si="2"/>
        <v/>
      </c>
      <c r="H45" s="4" t="str">
        <f t="shared" si="3"/>
        <v>VSSIYIFNLAVADLLLLATLPLWATYYSY</v>
      </c>
      <c r="I45" s="4" t="str">
        <f t="shared" si="4"/>
        <v>DWLF</v>
      </c>
      <c r="J45" s="4" t="str">
        <f t="shared" si="5"/>
        <v>GPVMCKVFGSFLTLNMFASIFFITCMSVDRYQSVIY</v>
      </c>
      <c r="K45" s="4" t="str">
        <f t="shared" si="6"/>
        <v>PFLSQRR</v>
      </c>
      <c r="L45" s="4" t="str">
        <f t="shared" si="7"/>
        <v>NPWQASYIVPLVWCMACLSSLPTFYFR</v>
      </c>
      <c r="M45" s="4" t="str">
        <f t="shared" si="8"/>
        <v>CIM</v>
      </c>
      <c r="N45" s="4" t="str">
        <f t="shared" si="9"/>
        <v>KYAQWSAGIALMKNILGFIIPLIFIATCYFGIRKHLLKT</v>
      </c>
      <c r="O45" s="4" t="str">
        <f t="shared" si="10"/>
        <v>GKNRITRDQVLKMAAAVVLAFIICWLPFHVLTFLDALAWMG</v>
      </c>
      <c r="P45" s="4" t="str">
        <f t="shared" si="11"/>
        <v>SCEVIAVIDLALPFAILLGFTNSCVNPFLYCFV</v>
      </c>
      <c r="Q45" s="4" t="str">
        <f t="shared" si="12"/>
        <v>GNRFQQKLRSVFRVP</v>
      </c>
      <c r="R45" s="5">
        <f>VLOOKUP($A45,'SegEnds_NonXtal_Prot#'!$A:$AL,3,FALSE)</f>
        <v>45</v>
      </c>
      <c r="S45" s="5" t="str">
        <f>VLOOKUP($A45,'SegEnds_NonXtal_Prot#'!$A:$AL,6,FALSE)</f>
        <v>-</v>
      </c>
      <c r="T45" s="5">
        <f>VLOOKUP($A45,'SegEnds_NonXtal_Prot#'!$A:$AL,9,FALSE)</f>
        <v>78</v>
      </c>
      <c r="U45" s="5">
        <f>VLOOKUP($A45,'SegEnds_NonXtal_Prot#'!$A:$AL,12,FALSE)</f>
        <v>109</v>
      </c>
      <c r="V45" s="5">
        <f>VLOOKUP($A45,'SegEnds_NonXtal_Prot#'!$A:$AL,15,FALSE)</f>
        <v>113</v>
      </c>
      <c r="W45" s="5">
        <f>VLOOKUP($A45,'SegEnds_NonXtal_Prot#'!$A:$AL,18,FALSE)</f>
        <v>149</v>
      </c>
      <c r="X45" s="5">
        <f>VLOOKUP($A45,'SegEnds_NonXtal_Prot#'!$A:$AL,21,FALSE)</f>
        <v>156</v>
      </c>
      <c r="Y45" s="5">
        <f>VLOOKUP($A45,'SegEnds_NonXtal_Prot#'!$A:$AL,24,FALSE)</f>
        <v>195</v>
      </c>
      <c r="Z45" s="5">
        <f>VLOOKUP($A45,'SegEnds_NonXtal_Prot#'!$A:$AL,27,FALSE)</f>
        <v>203</v>
      </c>
      <c r="AA45" s="5">
        <f>VLOOKUP($A45,'SegEnds_NonXtal_Prot#'!$A:$AL,30,FALSE)</f>
        <v>245</v>
      </c>
      <c r="AB45" s="5">
        <f>VLOOKUP($A45,'SegEnds_NonXtal_Prot#'!$A:$AL,33,FALSE)</f>
        <v>289</v>
      </c>
      <c r="AC45" s="5">
        <f>VLOOKUP($A45,'SegEnds_NonXtal_Prot#'!$A:$AL,36,FALSE)</f>
        <v>322</v>
      </c>
      <c r="AD45" s="5">
        <f>VLOOKUP($A45,'SegEnds_NonXtal_Prot#'!$A:$AL,5,FALSE)</f>
        <v>72</v>
      </c>
      <c r="AE45" s="5" t="str">
        <f>VLOOKUP($A45,'SegEnds_NonXtal_Prot#'!$A:$AL,8,FALSE)</f>
        <v>-</v>
      </c>
      <c r="AF45" s="5">
        <f>VLOOKUP($A45,'SegEnds_NonXtal_Prot#'!$A:$AL,11,FALSE)</f>
        <v>106</v>
      </c>
      <c r="AG45" s="5">
        <f>VLOOKUP($A45,'SegEnds_NonXtal_Prot#'!$A:$AL,14,FALSE)</f>
        <v>112</v>
      </c>
      <c r="AH45" s="5">
        <f>VLOOKUP($A45,'SegEnds_NonXtal_Prot#'!$A:$AL,17,FALSE)</f>
        <v>148</v>
      </c>
      <c r="AI45" s="5">
        <f>VLOOKUP($A45,'SegEnds_NonXtal_Prot#'!$A:$AL,20,FALSE)</f>
        <v>155</v>
      </c>
      <c r="AJ45" s="5">
        <f>VLOOKUP($A45,'SegEnds_NonXtal_Prot#'!$A:$AL,23,FALSE)</f>
        <v>182</v>
      </c>
      <c r="AK45" s="5">
        <f>VLOOKUP($A45,'SegEnds_NonXtal_Prot#'!$A:$AL,26,FALSE)</f>
        <v>197</v>
      </c>
      <c r="AL45" s="5">
        <f>VLOOKUP($A45,'SegEnds_NonXtal_Prot#'!$A:$AL,29,FALSE)</f>
        <v>241</v>
      </c>
      <c r="AM45" s="5">
        <f>VLOOKUP($A45,'SegEnds_NonXtal_Prot#'!$A:$AL,32,FALSE)</f>
        <v>285</v>
      </c>
      <c r="AN45" s="5">
        <f>VLOOKUP($A45,'SegEnds_NonXtal_Prot#'!$A:$AL,35,FALSE)</f>
        <v>321</v>
      </c>
      <c r="AO45" s="5">
        <f>VLOOKUP($A45,'SegEnds_NonXtal_Prot#'!$A:$AL,38,FALSE)</f>
        <v>336</v>
      </c>
      <c r="AP45" s="5">
        <f t="shared" si="13"/>
        <v>27</v>
      </c>
      <c r="AQ45" s="4" t="str">
        <f t="shared" si="14"/>
        <v>-</v>
      </c>
      <c r="AR45" s="4">
        <f t="shared" si="15"/>
        <v>28</v>
      </c>
      <c r="AS45" s="4">
        <f t="shared" si="16"/>
        <v>3</v>
      </c>
      <c r="AT45" s="4">
        <f t="shared" si="17"/>
        <v>35</v>
      </c>
      <c r="AU45" s="4">
        <f t="shared" si="18"/>
        <v>6</v>
      </c>
      <c r="AV45" s="4">
        <f t="shared" si="19"/>
        <v>26</v>
      </c>
      <c r="AW45" s="4">
        <f t="shared" si="20"/>
        <v>2</v>
      </c>
      <c r="AX45" s="4">
        <f t="shared" si="21"/>
        <v>38</v>
      </c>
      <c r="AY45" s="4">
        <f t="shared" si="22"/>
        <v>40</v>
      </c>
      <c r="AZ45" s="4">
        <f t="shared" si="23"/>
        <v>32</v>
      </c>
      <c r="BA45" s="4">
        <f t="shared" si="24"/>
        <v>14</v>
      </c>
    </row>
    <row r="46" spans="1:53" x14ac:dyDescent="0.2">
      <c r="A46" s="1" t="str">
        <f>'SegEnds_NonXtal_Prot#'!A10</f>
        <v>cxcr1_human</v>
      </c>
      <c r="B46" s="1" t="str">
        <f t="shared" si="0"/>
        <v>TLNKYVVIIAYALVFLLSLLGNSLVMLVILYSSVTDVYLLNLALADLLFALTLPIWAASKVNGTFLCKVVSLLKEVNFYSGILLLACISVDRYLAIVHKRHLVKFVCLGCWGLSMNLSLPFFLFRKWRMVLRILPHTFGFIVPLFVMLFCYGFTLRTLFKAKHRAMRVIFAVVLIFLLCWLPYNLVLLADTLMRTQSCERRNNIGRALDATEILGFLHSCLNPIIYAFIGQNFRHGFLKILA</v>
      </c>
      <c r="C46" s="29" t="str">
        <f>IF(ISERROR(MATCH(A46,'SegEnds_Xtal_Prot#'!B:B, 0)), "NoXtal", "Xtal")</f>
        <v>NoXtal</v>
      </c>
      <c r="D46" s="4" t="str">
        <f>VLOOKUP(A46,Classification!A:D,2,FALSE)</f>
        <v>A</v>
      </c>
      <c r="E46" s="5" t="str">
        <f>VLOOKUP(A46,Seqs!A:B,2,FALSE)</f>
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</c>
      <c r="F46" s="5" t="str">
        <f t="shared" si="1"/>
        <v>TLNKYVVIIAYALVFLLSLLGNSLVMLVILYS</v>
      </c>
      <c r="G46" s="4" t="str">
        <f t="shared" si="2"/>
        <v>RVGR</v>
      </c>
      <c r="H46" s="4" t="str">
        <f t="shared" si="3"/>
        <v>SVTDVYLLNLALADLLFALTLPIWAASKVN</v>
      </c>
      <c r="I46" s="4" t="str">
        <f t="shared" si="4"/>
        <v>GWIF</v>
      </c>
      <c r="J46" s="4" t="str">
        <f t="shared" si="5"/>
        <v>GTFLCKVVSLLKEVNFYSGILLLACISVDRYLAIVH</v>
      </c>
      <c r="K46" s="4" t="str">
        <f t="shared" si="6"/>
        <v>ATRTLTQ</v>
      </c>
      <c r="L46" s="4" t="str">
        <f t="shared" si="7"/>
        <v>KRHLVKFVCLGCWGLSMNLSLPFFLFR</v>
      </c>
      <c r="M46" s="4" t="str">
        <f t="shared" si="8"/>
        <v>CYE</v>
      </c>
      <c r="N46" s="4" t="str">
        <f t="shared" si="9"/>
        <v>KWRMVLRILPHTFGFIVPLFVMLFCYGFTLRTLFKA</v>
      </c>
      <c r="O46" s="4" t="str">
        <f t="shared" si="10"/>
        <v>KHRAMRVIFAVVLIFLLCWLPYNLVLLADTLMRTQ</v>
      </c>
      <c r="P46" s="4" t="str">
        <f t="shared" si="11"/>
        <v>SCERRNNIGRALDATEILGFLHSCLNPIIYAFI</v>
      </c>
      <c r="Q46" s="4" t="str">
        <f t="shared" si="12"/>
        <v>GQNFRHGFLKILA</v>
      </c>
      <c r="R46" s="5">
        <f>VLOOKUP($A46,'SegEnds_NonXtal_Prot#'!$A:$AL,3,FALSE)</f>
        <v>36</v>
      </c>
      <c r="S46" s="5">
        <f>VLOOKUP($A46,'SegEnds_NonXtal_Prot#'!$A:$AL,6,FALSE)</f>
        <v>68</v>
      </c>
      <c r="T46" s="5">
        <f>VLOOKUP($A46,'SegEnds_NonXtal_Prot#'!$A:$AL,9,FALSE)</f>
        <v>72</v>
      </c>
      <c r="U46" s="5">
        <f>VLOOKUP($A46,'SegEnds_NonXtal_Prot#'!$A:$AL,12,FALSE)</f>
        <v>102</v>
      </c>
      <c r="V46" s="5">
        <f>VLOOKUP($A46,'SegEnds_NonXtal_Prot#'!$A:$AL,15,FALSE)</f>
        <v>106</v>
      </c>
      <c r="W46" s="5">
        <f>VLOOKUP($A46,'SegEnds_NonXtal_Prot#'!$A:$AL,18,FALSE)</f>
        <v>142</v>
      </c>
      <c r="X46" s="5">
        <f>VLOOKUP($A46,'SegEnds_NonXtal_Prot#'!$A:$AL,21,FALSE)</f>
        <v>149</v>
      </c>
      <c r="Y46" s="5">
        <f>VLOOKUP($A46,'SegEnds_NonXtal_Prot#'!$A:$AL,24,FALSE)</f>
        <v>187</v>
      </c>
      <c r="Z46" s="5">
        <f>VLOOKUP($A46,'SegEnds_NonXtal_Prot#'!$A:$AL,27,FALSE)</f>
        <v>197</v>
      </c>
      <c r="AA46" s="5">
        <f>VLOOKUP($A46,'SegEnds_NonXtal_Prot#'!$A:$AL,30,FALSE)</f>
        <v>237</v>
      </c>
      <c r="AB46" s="5">
        <f>VLOOKUP($A46,'SegEnds_NonXtal_Prot#'!$A:$AL,33,FALSE)</f>
        <v>276</v>
      </c>
      <c r="AC46" s="5">
        <f>VLOOKUP($A46,'SegEnds_NonXtal_Prot#'!$A:$AL,36,FALSE)</f>
        <v>309</v>
      </c>
      <c r="AD46" s="5">
        <f>VLOOKUP($A46,'SegEnds_NonXtal_Prot#'!$A:$AL,5,FALSE)</f>
        <v>67</v>
      </c>
      <c r="AE46" s="5">
        <f>VLOOKUP($A46,'SegEnds_NonXtal_Prot#'!$A:$AL,8,FALSE)</f>
        <v>71</v>
      </c>
      <c r="AF46" s="5">
        <f>VLOOKUP($A46,'SegEnds_NonXtal_Prot#'!$A:$AL,11,FALSE)</f>
        <v>101</v>
      </c>
      <c r="AG46" s="5">
        <f>VLOOKUP($A46,'SegEnds_NonXtal_Prot#'!$A:$AL,14,FALSE)</f>
        <v>105</v>
      </c>
      <c r="AH46" s="5">
        <f>VLOOKUP($A46,'SegEnds_NonXtal_Prot#'!$A:$AL,17,FALSE)</f>
        <v>141</v>
      </c>
      <c r="AI46" s="5">
        <f>VLOOKUP($A46,'SegEnds_NonXtal_Prot#'!$A:$AL,20,FALSE)</f>
        <v>148</v>
      </c>
      <c r="AJ46" s="5">
        <f>VLOOKUP($A46,'SegEnds_NonXtal_Prot#'!$A:$AL,23,FALSE)</f>
        <v>175</v>
      </c>
      <c r="AK46" s="5">
        <f>VLOOKUP($A46,'SegEnds_NonXtal_Prot#'!$A:$AL,26,FALSE)</f>
        <v>189</v>
      </c>
      <c r="AL46" s="5">
        <f>VLOOKUP($A46,'SegEnds_NonXtal_Prot#'!$A:$AL,29,FALSE)</f>
        <v>232</v>
      </c>
      <c r="AM46" s="5">
        <f>VLOOKUP($A46,'SegEnds_NonXtal_Prot#'!$A:$AL,32,FALSE)</f>
        <v>271</v>
      </c>
      <c r="AN46" s="5">
        <f>VLOOKUP($A46,'SegEnds_NonXtal_Prot#'!$A:$AL,35,FALSE)</f>
        <v>308</v>
      </c>
      <c r="AO46" s="5">
        <f>VLOOKUP($A46,'SegEnds_NonXtal_Prot#'!$A:$AL,38,FALSE)</f>
        <v>321</v>
      </c>
      <c r="AP46" s="5">
        <f t="shared" si="13"/>
        <v>31</v>
      </c>
      <c r="AQ46" s="4">
        <f t="shared" si="14"/>
        <v>3</v>
      </c>
      <c r="AR46" s="4">
        <f t="shared" si="15"/>
        <v>29</v>
      </c>
      <c r="AS46" s="4">
        <f t="shared" si="16"/>
        <v>3</v>
      </c>
      <c r="AT46" s="4">
        <f t="shared" si="17"/>
        <v>35</v>
      </c>
      <c r="AU46" s="4">
        <f t="shared" si="18"/>
        <v>6</v>
      </c>
      <c r="AV46" s="4">
        <f t="shared" si="19"/>
        <v>26</v>
      </c>
      <c r="AW46" s="4">
        <f t="shared" si="20"/>
        <v>2</v>
      </c>
      <c r="AX46" s="4">
        <f t="shared" si="21"/>
        <v>35</v>
      </c>
      <c r="AY46" s="4">
        <f t="shared" si="22"/>
        <v>34</v>
      </c>
      <c r="AZ46" s="4">
        <f t="shared" si="23"/>
        <v>32</v>
      </c>
      <c r="BA46" s="4">
        <f t="shared" si="24"/>
        <v>12</v>
      </c>
    </row>
    <row r="47" spans="1:53" x14ac:dyDescent="0.2">
      <c r="A47" s="1" t="str">
        <f>'SegEnds_NonXtal_Prot#'!A11</f>
        <v>cxcr2_human</v>
      </c>
      <c r="B47" s="1" t="str">
        <f t="shared" si="0"/>
        <v>EINKYFVVIIYALVFLLSLLGNSLVMLVILYSSVTDVYLLNLALADLLFALTLPIWAASKVNGTFLCKVVSLLKEVNFYSGILLLACISVDRYLAIVHKRYLVKFICLSIWGLSLLLALPVLLFRNWRMLLRILPQSFGFIVPLLIMLFCYGFTLRTLFKAKHRAMRVIFAVVLIFLLCWLPYNLVLLADTLMRTQTCERRNHIDRALDATEILGILHSCLNPLIYAFIGQKFRHGLLKILA</v>
      </c>
      <c r="C47" s="29" t="str">
        <f>IF(ISERROR(MATCH(A47,'SegEnds_Xtal_Prot#'!B:B, 0)), "NoXtal", "Xtal")</f>
        <v>NoXtal</v>
      </c>
      <c r="D47" s="4" t="str">
        <f>VLOOKUP(A47,Classification!A:D,2,FALSE)</f>
        <v>A</v>
      </c>
      <c r="E47" s="5" t="str">
        <f>VLOOKUP(A47,Seqs!A:B,2,FALSE)</f>
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</c>
      <c r="F47" s="5" t="str">
        <f t="shared" si="1"/>
        <v>EINKYFVVIIYALVFLLSLLGNSLVMLVILYS</v>
      </c>
      <c r="G47" s="4" t="str">
        <f t="shared" si="2"/>
        <v>RVGR</v>
      </c>
      <c r="H47" s="4" t="str">
        <f t="shared" si="3"/>
        <v>SVTDVYLLNLALADLLFALTLPIWAASKVN</v>
      </c>
      <c r="I47" s="4" t="str">
        <f t="shared" si="4"/>
        <v>GWIF</v>
      </c>
      <c r="J47" s="4" t="str">
        <f t="shared" si="5"/>
        <v>GTFLCKVVSLLKEVNFYSGILLLACISVDRYLAIVH</v>
      </c>
      <c r="K47" s="4" t="str">
        <f t="shared" si="6"/>
        <v>ATRTLTQ</v>
      </c>
      <c r="L47" s="4" t="str">
        <f t="shared" si="7"/>
        <v>KRYLVKFICLSIWGLSLLLALPVLLFR</v>
      </c>
      <c r="M47" s="4" t="str">
        <f t="shared" si="8"/>
        <v>CYE</v>
      </c>
      <c r="N47" s="4" t="str">
        <f t="shared" si="9"/>
        <v>NWRMLLRILPQSFGFIVPLLIMLFCYGFTLRTLFKA</v>
      </c>
      <c r="O47" s="4" t="str">
        <f t="shared" si="10"/>
        <v>KHRAMRVIFAVVLIFLLCWLPYNLVLLADTLMRTQ</v>
      </c>
      <c r="P47" s="4" t="str">
        <f t="shared" si="11"/>
        <v>TCERRNHIDRALDATEILGILHSCLNPLIYAFI</v>
      </c>
      <c r="Q47" s="4" t="str">
        <f t="shared" si="12"/>
        <v>GQKFRHGLLKILA</v>
      </c>
      <c r="R47" s="5">
        <f>VLOOKUP($A47,'SegEnds_NonXtal_Prot#'!$A:$AL,3,FALSE)</f>
        <v>45</v>
      </c>
      <c r="S47" s="5">
        <f>VLOOKUP($A47,'SegEnds_NonXtal_Prot#'!$A:$AL,6,FALSE)</f>
        <v>77</v>
      </c>
      <c r="T47" s="5">
        <f>VLOOKUP($A47,'SegEnds_NonXtal_Prot#'!$A:$AL,9,FALSE)</f>
        <v>81</v>
      </c>
      <c r="U47" s="5">
        <f>VLOOKUP($A47,'SegEnds_NonXtal_Prot#'!$A:$AL,12,FALSE)</f>
        <v>111</v>
      </c>
      <c r="V47" s="5">
        <f>VLOOKUP($A47,'SegEnds_NonXtal_Prot#'!$A:$AL,15,FALSE)</f>
        <v>115</v>
      </c>
      <c r="W47" s="5">
        <f>VLOOKUP($A47,'SegEnds_NonXtal_Prot#'!$A:$AL,18,FALSE)</f>
        <v>151</v>
      </c>
      <c r="X47" s="5">
        <f>VLOOKUP($A47,'SegEnds_NonXtal_Prot#'!$A:$AL,21,FALSE)</f>
        <v>158</v>
      </c>
      <c r="Y47" s="5">
        <f>VLOOKUP($A47,'SegEnds_NonXtal_Prot#'!$A:$AL,24,FALSE)</f>
        <v>196</v>
      </c>
      <c r="Z47" s="5">
        <f>VLOOKUP($A47,'SegEnds_NonXtal_Prot#'!$A:$AL,27,FALSE)</f>
        <v>206</v>
      </c>
      <c r="AA47" s="5">
        <f>VLOOKUP($A47,'SegEnds_NonXtal_Prot#'!$A:$AL,30,FALSE)</f>
        <v>246</v>
      </c>
      <c r="AB47" s="5">
        <f>VLOOKUP($A47,'SegEnds_NonXtal_Prot#'!$A:$AL,33,FALSE)</f>
        <v>285</v>
      </c>
      <c r="AC47" s="5">
        <f>VLOOKUP($A47,'SegEnds_NonXtal_Prot#'!$A:$AL,36,FALSE)</f>
        <v>318</v>
      </c>
      <c r="AD47" s="5">
        <f>VLOOKUP($A47,'SegEnds_NonXtal_Prot#'!$A:$AL,5,FALSE)</f>
        <v>76</v>
      </c>
      <c r="AE47" s="5">
        <f>VLOOKUP($A47,'SegEnds_NonXtal_Prot#'!$A:$AL,8,FALSE)</f>
        <v>80</v>
      </c>
      <c r="AF47" s="5">
        <f>VLOOKUP($A47,'SegEnds_NonXtal_Prot#'!$A:$AL,11,FALSE)</f>
        <v>110</v>
      </c>
      <c r="AG47" s="5">
        <f>VLOOKUP($A47,'SegEnds_NonXtal_Prot#'!$A:$AL,14,FALSE)</f>
        <v>114</v>
      </c>
      <c r="AH47" s="5">
        <f>VLOOKUP($A47,'SegEnds_NonXtal_Prot#'!$A:$AL,17,FALSE)</f>
        <v>150</v>
      </c>
      <c r="AI47" s="5">
        <f>VLOOKUP($A47,'SegEnds_NonXtal_Prot#'!$A:$AL,20,FALSE)</f>
        <v>157</v>
      </c>
      <c r="AJ47" s="5">
        <f>VLOOKUP($A47,'SegEnds_NonXtal_Prot#'!$A:$AL,23,FALSE)</f>
        <v>184</v>
      </c>
      <c r="AK47" s="5">
        <f>VLOOKUP($A47,'SegEnds_NonXtal_Prot#'!$A:$AL,26,FALSE)</f>
        <v>198</v>
      </c>
      <c r="AL47" s="5">
        <f>VLOOKUP($A47,'SegEnds_NonXtal_Prot#'!$A:$AL,29,FALSE)</f>
        <v>241</v>
      </c>
      <c r="AM47" s="5">
        <f>VLOOKUP($A47,'SegEnds_NonXtal_Prot#'!$A:$AL,32,FALSE)</f>
        <v>280</v>
      </c>
      <c r="AN47" s="5">
        <f>VLOOKUP($A47,'SegEnds_NonXtal_Prot#'!$A:$AL,35,FALSE)</f>
        <v>317</v>
      </c>
      <c r="AO47" s="5">
        <f>VLOOKUP($A47,'SegEnds_NonXtal_Prot#'!$A:$AL,38,FALSE)</f>
        <v>330</v>
      </c>
      <c r="AP47" s="5">
        <f t="shared" si="13"/>
        <v>31</v>
      </c>
      <c r="AQ47" s="4">
        <f t="shared" si="14"/>
        <v>3</v>
      </c>
      <c r="AR47" s="4">
        <f t="shared" si="15"/>
        <v>29</v>
      </c>
      <c r="AS47" s="4">
        <f t="shared" si="16"/>
        <v>3</v>
      </c>
      <c r="AT47" s="4">
        <f t="shared" si="17"/>
        <v>35</v>
      </c>
      <c r="AU47" s="4">
        <f t="shared" si="18"/>
        <v>6</v>
      </c>
      <c r="AV47" s="4">
        <f t="shared" si="19"/>
        <v>26</v>
      </c>
      <c r="AW47" s="4">
        <f t="shared" si="20"/>
        <v>2</v>
      </c>
      <c r="AX47" s="4">
        <f t="shared" si="21"/>
        <v>35</v>
      </c>
      <c r="AY47" s="4">
        <f t="shared" si="22"/>
        <v>34</v>
      </c>
      <c r="AZ47" s="4">
        <f t="shared" si="23"/>
        <v>32</v>
      </c>
      <c r="BA47" s="4">
        <f t="shared" si="24"/>
        <v>12</v>
      </c>
    </row>
    <row r="48" spans="1:53" x14ac:dyDescent="0.2">
      <c r="A48" s="1" t="str">
        <f>'SegEnds_NonXtal_Prot#'!A13</f>
        <v>gp142_human</v>
      </c>
      <c r="B48" s="1" t="str">
        <f t="shared" si="0"/>
        <v>SPCVAGVIPVIYYSVLLGLGLPVSLLTAVALARLRPSYYYLLALTASDIIIQVVIVFAGFLLQGARQVPQAVVRTANILEFAANHASVWIAILLTVDRYTALCHSSPGRTRRAIAAVLSAALLTGIPFYWWLDMDEVLKWAHCLTVYFIPCGVFLVTNSAIIHRLRRLQPRVGKSTAILLGITTLFTLLWAPRVFVMLYHMYVRDWRVHLALDVANMVAMLHTAANFGLYCFVSKTFRATVRQVIHD</v>
      </c>
      <c r="C48" s="29" t="str">
        <f>IF(ISERROR(MATCH(A48,'SegEnds_Xtal_Prot#'!B:B, 0)), "NoXtal", "Xtal")</f>
        <v>NoXtal</v>
      </c>
      <c r="D48" s="4" t="str">
        <f>VLOOKUP(A48,Classification!A:D,2,FALSE)</f>
        <v>A</v>
      </c>
      <c r="E48" s="5" t="str">
        <f>VLOOKUP(A48,Seqs!A:B,2,FALSE)</f>
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</c>
      <c r="F48" s="5" t="str">
        <f t="shared" si="1"/>
        <v>SPCVAGVIPVIYYSVLLGLGLPVSLLTAVALARL</v>
      </c>
      <c r="G48" s="4" t="str">
        <f t="shared" si="2"/>
        <v/>
      </c>
      <c r="H48" s="4" t="str">
        <f t="shared" si="3"/>
        <v>RPSYYYLLALTASDIIIQVVIVFAGFLLQGA</v>
      </c>
      <c r="I48" s="4" t="str">
        <f t="shared" si="4"/>
        <v/>
      </c>
      <c r="J48" s="4" t="str">
        <f t="shared" si="5"/>
        <v>RQVPQAVVRTANILEFAANHASVWIAILLTVDRYTALCH</v>
      </c>
      <c r="K48" s="4" t="str">
        <f t="shared" si="6"/>
        <v>PLHHRAA</v>
      </c>
      <c r="L48" s="4" t="str">
        <f t="shared" si="7"/>
        <v>SSPGRTRRAIAAVLSAALLTGIPFYWWLDM</v>
      </c>
      <c r="M48" s="4" t="str">
        <f t="shared" si="8"/>
        <v/>
      </c>
      <c r="N48" s="4" t="str">
        <f t="shared" si="9"/>
        <v>DEVLKWAHCLTVYFIPCGVFLVTNSAIIHRLRR</v>
      </c>
      <c r="O48" s="4" t="str">
        <f t="shared" si="10"/>
        <v>LQPRVGKSTAILLGITTLFTLLWAPRVFVMLYHMYV</v>
      </c>
      <c r="P48" s="4" t="str">
        <f t="shared" si="11"/>
        <v>RDWRVHLALDVANMVAMLHTAANFGLYCFV</v>
      </c>
      <c r="Q48" s="4" t="str">
        <f t="shared" si="12"/>
        <v>SKTFRATVRQVIHD</v>
      </c>
      <c r="R48" s="5">
        <f>VLOOKUP($A48,'SegEnds_NonXtal_Prot#'!$A:$AL,3,FALSE)</f>
        <v>151</v>
      </c>
      <c r="S48" s="5" t="str">
        <f>VLOOKUP($A48,'SegEnds_NonXtal_Prot#'!$A:$AL,6,FALSE)</f>
        <v>-</v>
      </c>
      <c r="T48" s="5">
        <f>VLOOKUP($A48,'SegEnds_NonXtal_Prot#'!$A:$AL,9,FALSE)</f>
        <v>190</v>
      </c>
      <c r="U48" s="5" t="str">
        <f>VLOOKUP($A48,'SegEnds_NonXtal_Prot#'!$A:$AL,12,FALSE)</f>
        <v>-</v>
      </c>
      <c r="V48" s="5">
        <f>VLOOKUP($A48,'SegEnds_NonXtal_Prot#'!$A:$AL,15,FALSE)</f>
        <v>224</v>
      </c>
      <c r="W48" s="5">
        <f>VLOOKUP($A48,'SegEnds_NonXtal_Prot#'!$A:$AL,18,FALSE)</f>
        <v>263</v>
      </c>
      <c r="X48" s="5">
        <f>VLOOKUP($A48,'SegEnds_NonXtal_Prot#'!$A:$AL,21,FALSE)</f>
        <v>270</v>
      </c>
      <c r="Y48" s="5" t="str">
        <f>VLOOKUP($A48,'SegEnds_NonXtal_Prot#'!$A:$AL,24,FALSE)</f>
        <v>-</v>
      </c>
      <c r="Z48" s="5">
        <f>VLOOKUP($A48,'SegEnds_NonXtal_Prot#'!$A:$AL,27,FALSE)</f>
        <v>310</v>
      </c>
      <c r="AA48" s="5">
        <f>VLOOKUP($A48,'SegEnds_NonXtal_Prot#'!$A:$AL,30,FALSE)</f>
        <v>348</v>
      </c>
      <c r="AB48" s="5">
        <f>VLOOKUP($A48,'SegEnds_NonXtal_Prot#'!$A:$AL,33,FALSE)</f>
        <v>388</v>
      </c>
      <c r="AC48" s="5">
        <f>VLOOKUP($A48,'SegEnds_NonXtal_Prot#'!$A:$AL,36,FALSE)</f>
        <v>418</v>
      </c>
      <c r="AD48" s="5">
        <f>VLOOKUP($A48,'SegEnds_NonXtal_Prot#'!$A:$AL,5,FALSE)</f>
        <v>184</v>
      </c>
      <c r="AE48" s="5" t="str">
        <f>VLOOKUP($A48,'SegEnds_NonXtal_Prot#'!$A:$AL,8,FALSE)</f>
        <v>-</v>
      </c>
      <c r="AF48" s="5">
        <f>VLOOKUP($A48,'SegEnds_NonXtal_Prot#'!$A:$AL,11,FALSE)</f>
        <v>220</v>
      </c>
      <c r="AG48" s="5" t="str">
        <f>VLOOKUP($A48,'SegEnds_NonXtal_Prot#'!$A:$AL,14,FALSE)</f>
        <v>-</v>
      </c>
      <c r="AH48" s="5">
        <f>VLOOKUP($A48,'SegEnds_NonXtal_Prot#'!$A:$AL,17,FALSE)</f>
        <v>262</v>
      </c>
      <c r="AI48" s="5">
        <f>VLOOKUP($A48,'SegEnds_NonXtal_Prot#'!$A:$AL,20,FALSE)</f>
        <v>269</v>
      </c>
      <c r="AJ48" s="5">
        <f>VLOOKUP($A48,'SegEnds_NonXtal_Prot#'!$A:$AL,23,FALSE)</f>
        <v>299</v>
      </c>
      <c r="AK48" s="5" t="str">
        <f>VLOOKUP($A48,'SegEnds_NonXtal_Prot#'!$A:$AL,26,FALSE)</f>
        <v>-</v>
      </c>
      <c r="AL48" s="5">
        <f>VLOOKUP($A48,'SegEnds_NonXtal_Prot#'!$A:$AL,29,FALSE)</f>
        <v>342</v>
      </c>
      <c r="AM48" s="5">
        <f>VLOOKUP($A48,'SegEnds_NonXtal_Prot#'!$A:$AL,32,FALSE)</f>
        <v>383</v>
      </c>
      <c r="AN48" s="5">
        <f>VLOOKUP($A48,'SegEnds_NonXtal_Prot#'!$A:$AL,35,FALSE)</f>
        <v>417</v>
      </c>
      <c r="AO48" s="5">
        <f>VLOOKUP($A48,'SegEnds_NonXtal_Prot#'!$A:$AL,38,FALSE)</f>
        <v>431</v>
      </c>
      <c r="AP48" s="5">
        <f t="shared" si="13"/>
        <v>33</v>
      </c>
      <c r="AQ48" s="4" t="str">
        <f t="shared" si="14"/>
        <v>-</v>
      </c>
      <c r="AR48" s="4">
        <f t="shared" si="15"/>
        <v>30</v>
      </c>
      <c r="AS48" s="4" t="str">
        <f t="shared" si="16"/>
        <v>-</v>
      </c>
      <c r="AT48" s="4">
        <f t="shared" si="17"/>
        <v>38</v>
      </c>
      <c r="AU48" s="4">
        <f t="shared" si="18"/>
        <v>6</v>
      </c>
      <c r="AV48" s="4">
        <f t="shared" si="19"/>
        <v>29</v>
      </c>
      <c r="AW48" s="4" t="str">
        <f t="shared" si="20"/>
        <v>-</v>
      </c>
      <c r="AX48" s="4">
        <f t="shared" si="21"/>
        <v>32</v>
      </c>
      <c r="AY48" s="4">
        <f t="shared" si="22"/>
        <v>35</v>
      </c>
      <c r="AZ48" s="4">
        <f t="shared" si="23"/>
        <v>29</v>
      </c>
      <c r="BA48" s="4">
        <f t="shared" si="24"/>
        <v>13</v>
      </c>
    </row>
    <row r="49" spans="1:53" x14ac:dyDescent="0.2">
      <c r="A49" s="1" t="str">
        <f>'SegEnds_NonXtal_Prot#'!A14</f>
        <v>gp151_human</v>
      </c>
      <c r="B49" s="1" t="str">
        <f t="shared" si="0"/>
        <v>TIIPALLVAVCLVGFVGNLCVIGILLHNSMIHSLILNLSLADLSLLLFSAPIRATAYSGWFVCKSSDWFIHTCMAAKSLTIVVVAKVCFMYASDHNYTIWSVLVAIWTVASLLPLPEWFFSVAEEFMSMFGKLYPLLAFGLPLFFASFYFWRAYDQCKKRNLRNQIRSKQVTVMLLSIAIISALLWLPEWVAWLWVWHLAAGPAPPQGFIALSQVLMFSISSANPLIFLVMSEEFREGLKGVWKWM</v>
      </c>
      <c r="C49" s="29" t="str">
        <f>IF(ISERROR(MATCH(A49,'SegEnds_Xtal_Prot#'!B:B, 0)), "NoXtal", "Xtal")</f>
        <v>NoXtal</v>
      </c>
      <c r="D49" s="4" t="str">
        <f>VLOOKUP(A49,Classification!A:D,2,FALSE)</f>
        <v>A</v>
      </c>
      <c r="E49" s="5" t="str">
        <f>VLOOKUP(A49,Seqs!A:B,2,FALSE)</f>
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</c>
      <c r="F49" s="5" t="str">
        <f t="shared" si="1"/>
        <v>TIIPALLVAVCLVGFVGNLCVIGILLHN</v>
      </c>
      <c r="G49" s="4" t="str">
        <f t="shared" si="2"/>
        <v/>
      </c>
      <c r="H49" s="4" t="str">
        <f t="shared" si="3"/>
        <v>SMIHSLILNLSLADLSLLLFSAPIRATAYS</v>
      </c>
      <c r="I49" s="4" t="str">
        <f t="shared" si="4"/>
        <v>VWDL</v>
      </c>
      <c r="J49" s="4" t="str">
        <f t="shared" si="5"/>
        <v>GWFVCKSSDWFIHTCMAAKSLTIVVVAKVCFMYASD</v>
      </c>
      <c r="K49" s="4" t="str">
        <f t="shared" si="6"/>
        <v>PAKQVSI</v>
      </c>
      <c r="L49" s="4" t="str">
        <f t="shared" si="7"/>
        <v>HNYTIWSVLVAIWTVASLLPLPEWFFS</v>
      </c>
      <c r="M49" s="4" t="str">
        <f t="shared" si="8"/>
        <v>CLV</v>
      </c>
      <c r="N49" s="4" t="str">
        <f t="shared" si="9"/>
        <v>VAEEFMSMFGKLYPLLAFGLPLFFASFYFWRAYDQCKKR</v>
      </c>
      <c r="O49" s="4" t="str">
        <f t="shared" si="10"/>
        <v>NLRNQIRSKQVTVMLLSIAIISALLWLPEWVAWLWVWHL</v>
      </c>
      <c r="P49" s="4" t="str">
        <f t="shared" si="11"/>
        <v>AAGPAPPQGFIALSQVLMFSISSANPLIFLVM</v>
      </c>
      <c r="Q49" s="4" t="str">
        <f t="shared" si="12"/>
        <v>SEEFREGLKGVWKWM</v>
      </c>
      <c r="R49" s="5">
        <f>VLOOKUP($A49,'SegEnds_NonXtal_Prot#'!$A:$AL,3,FALSE)</f>
        <v>37</v>
      </c>
      <c r="S49" s="5" t="str">
        <f>VLOOKUP($A49,'SegEnds_NonXtal_Prot#'!$A:$AL,6,FALSE)</f>
        <v>-</v>
      </c>
      <c r="T49" s="5">
        <f>VLOOKUP($A49,'SegEnds_NonXtal_Prot#'!$A:$AL,9,FALSE)</f>
        <v>71</v>
      </c>
      <c r="U49" s="5">
        <f>VLOOKUP($A49,'SegEnds_NonXtal_Prot#'!$A:$AL,12,FALSE)</f>
        <v>103</v>
      </c>
      <c r="V49" s="5">
        <f>VLOOKUP($A49,'SegEnds_NonXtal_Prot#'!$A:$AL,15,FALSE)</f>
        <v>107</v>
      </c>
      <c r="W49" s="5">
        <f>VLOOKUP($A49,'SegEnds_NonXtal_Prot#'!$A:$AL,18,FALSE)</f>
        <v>143</v>
      </c>
      <c r="X49" s="5">
        <f>VLOOKUP($A49,'SegEnds_NonXtal_Prot#'!$A:$AL,21,FALSE)</f>
        <v>150</v>
      </c>
      <c r="Y49" s="5">
        <f>VLOOKUP($A49,'SegEnds_NonXtal_Prot#'!$A:$AL,24,FALSE)</f>
        <v>187</v>
      </c>
      <c r="Z49" s="5">
        <f>VLOOKUP($A49,'SegEnds_NonXtal_Prot#'!$A:$AL,27,FALSE)</f>
        <v>194</v>
      </c>
      <c r="AA49" s="5">
        <f>VLOOKUP($A49,'SegEnds_NonXtal_Prot#'!$A:$AL,30,FALSE)</f>
        <v>238</v>
      </c>
      <c r="AB49" s="5">
        <f>VLOOKUP($A49,'SegEnds_NonXtal_Prot#'!$A:$AL,33,FALSE)</f>
        <v>278</v>
      </c>
      <c r="AC49" s="5">
        <f>VLOOKUP($A49,'SegEnds_NonXtal_Prot#'!$A:$AL,36,FALSE)</f>
        <v>310</v>
      </c>
      <c r="AD49" s="5">
        <f>VLOOKUP($A49,'SegEnds_NonXtal_Prot#'!$A:$AL,5,FALSE)</f>
        <v>64</v>
      </c>
      <c r="AE49" s="5" t="str">
        <f>VLOOKUP($A49,'SegEnds_NonXtal_Prot#'!$A:$AL,8,FALSE)</f>
        <v>-</v>
      </c>
      <c r="AF49" s="5">
        <f>VLOOKUP($A49,'SegEnds_NonXtal_Prot#'!$A:$AL,11,FALSE)</f>
        <v>100</v>
      </c>
      <c r="AG49" s="5">
        <f>VLOOKUP($A49,'SegEnds_NonXtal_Prot#'!$A:$AL,14,FALSE)</f>
        <v>106</v>
      </c>
      <c r="AH49" s="5">
        <f>VLOOKUP($A49,'SegEnds_NonXtal_Prot#'!$A:$AL,17,FALSE)</f>
        <v>142</v>
      </c>
      <c r="AI49" s="5">
        <f>VLOOKUP($A49,'SegEnds_NonXtal_Prot#'!$A:$AL,20,FALSE)</f>
        <v>149</v>
      </c>
      <c r="AJ49" s="5">
        <f>VLOOKUP($A49,'SegEnds_NonXtal_Prot#'!$A:$AL,23,FALSE)</f>
        <v>176</v>
      </c>
      <c r="AK49" s="5">
        <f>VLOOKUP($A49,'SegEnds_NonXtal_Prot#'!$A:$AL,26,FALSE)</f>
        <v>189</v>
      </c>
      <c r="AL49" s="5">
        <f>VLOOKUP($A49,'SegEnds_NonXtal_Prot#'!$A:$AL,29,FALSE)</f>
        <v>232</v>
      </c>
      <c r="AM49" s="5">
        <f>VLOOKUP($A49,'SegEnds_NonXtal_Prot#'!$A:$AL,32,FALSE)</f>
        <v>276</v>
      </c>
      <c r="AN49" s="5">
        <f>VLOOKUP($A49,'SegEnds_NonXtal_Prot#'!$A:$AL,35,FALSE)</f>
        <v>309</v>
      </c>
      <c r="AO49" s="5">
        <f>VLOOKUP($A49,'SegEnds_NonXtal_Prot#'!$A:$AL,38,FALSE)</f>
        <v>324</v>
      </c>
      <c r="AP49" s="5">
        <f t="shared" si="13"/>
        <v>27</v>
      </c>
      <c r="AQ49" s="4" t="str">
        <f t="shared" si="14"/>
        <v>-</v>
      </c>
      <c r="AR49" s="4">
        <f t="shared" si="15"/>
        <v>29</v>
      </c>
      <c r="AS49" s="4">
        <f t="shared" si="16"/>
        <v>3</v>
      </c>
      <c r="AT49" s="4">
        <f t="shared" si="17"/>
        <v>35</v>
      </c>
      <c r="AU49" s="4">
        <f t="shared" si="18"/>
        <v>6</v>
      </c>
      <c r="AV49" s="4">
        <f t="shared" si="19"/>
        <v>26</v>
      </c>
      <c r="AW49" s="4">
        <f t="shared" si="20"/>
        <v>2</v>
      </c>
      <c r="AX49" s="4">
        <f t="shared" si="21"/>
        <v>38</v>
      </c>
      <c r="AY49" s="4">
        <f t="shared" si="22"/>
        <v>38</v>
      </c>
      <c r="AZ49" s="4">
        <f t="shared" si="23"/>
        <v>31</v>
      </c>
      <c r="BA49" s="4">
        <f t="shared" si="24"/>
        <v>14</v>
      </c>
    </row>
    <row r="50" spans="1:53" x14ac:dyDescent="0.2">
      <c r="A50" s="1" t="str">
        <f>'SegEnds_NonXtal_Prot#'!A15</f>
        <v>gp174_human</v>
      </c>
      <c r="B50" s="1" t="str">
        <f t="shared" si="0"/>
        <v>FRYFIYAVTYTVILVPGLIGNILALWVFYGYKRAVIFMINLAIADLLQVLSLPLRIFYYLNGPGLCMFCFYLKYVNMYASIYFLVCISVRRFWFLMYKQKYDLYISIAGWLIICLACVLFPLLRLAQSVVMMTIGELIGFVTPLLIVLYCTWKTVLSLQDKAQDLGEKQKALKMILTCAGVFLICFAPYHFSFPLDFLVKSNSCLARRVILIFHSVALCLASLNSCLDPVIYYFSTNEFRRRLSRQDL</v>
      </c>
      <c r="C50" s="29" t="str">
        <f>IF(ISERROR(MATCH(A50,'SegEnds_Xtal_Prot#'!B:B, 0)), "NoXtal", "Xtal")</f>
        <v>NoXtal</v>
      </c>
      <c r="D50" s="4" t="str">
        <f>VLOOKUP(A50,Classification!A:D,2,FALSE)</f>
        <v>A</v>
      </c>
      <c r="E50" s="5" t="str">
        <f>VLOOKUP(A50,Seqs!A:B,2,FALSE)</f>
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</c>
      <c r="F50" s="5" t="str">
        <f t="shared" si="1"/>
        <v>FRYFIYAVTYTVILVPGLIGNILALWVFYGY</v>
      </c>
      <c r="G50" s="4" t="str">
        <f t="shared" si="2"/>
        <v/>
      </c>
      <c r="H50" s="4" t="str">
        <f t="shared" si="3"/>
        <v>KRAVIFMINLAIADLLQVLSLPLRIFYYLN</v>
      </c>
      <c r="I50" s="4" t="str">
        <f t="shared" si="4"/>
        <v>DWPF</v>
      </c>
      <c r="J50" s="4" t="str">
        <f t="shared" si="5"/>
        <v>GPGLCMFCFYLKYVNMYASIYFLVCISVRRFWFLMY</v>
      </c>
      <c r="K50" s="4" t="str">
        <f t="shared" si="6"/>
        <v>PFRFHDC</v>
      </c>
      <c r="L50" s="4" t="str">
        <f t="shared" si="7"/>
        <v>KQKYDLYISIAGWLIICLACVLFPLLR</v>
      </c>
      <c r="M50" s="4" t="str">
        <f t="shared" si="8"/>
        <v>CFV</v>
      </c>
      <c r="N50" s="4" t="str">
        <f t="shared" si="9"/>
        <v>LAQSVVMMTIGELIGFVTPLLIVLYCTWKTVLSLQDK</v>
      </c>
      <c r="O50" s="4" t="str">
        <f t="shared" si="10"/>
        <v>AQDLGEKQKALKMILTCAGVFLICFAPYHFSFPLDFLVKSN</v>
      </c>
      <c r="P50" s="4" t="str">
        <f t="shared" si="11"/>
        <v>SCLARRVILIFHSVALCLASLNSCLDPVIYYFS</v>
      </c>
      <c r="Q50" s="4" t="str">
        <f t="shared" si="12"/>
        <v>TNEFRRRLSRQDL</v>
      </c>
      <c r="R50" s="5">
        <f>VLOOKUP($A50,'SegEnds_NonXtal_Prot#'!$A:$AL,3,FALSE)</f>
        <v>17</v>
      </c>
      <c r="S50" s="5" t="str">
        <f>VLOOKUP($A50,'SegEnds_NonXtal_Prot#'!$A:$AL,6,FALSE)</f>
        <v>-</v>
      </c>
      <c r="T50" s="5">
        <f>VLOOKUP($A50,'SegEnds_NonXtal_Prot#'!$A:$AL,9,FALSE)</f>
        <v>52</v>
      </c>
      <c r="U50" s="5">
        <f>VLOOKUP($A50,'SegEnds_NonXtal_Prot#'!$A:$AL,12,FALSE)</f>
        <v>83</v>
      </c>
      <c r="V50" s="5">
        <f>VLOOKUP($A50,'SegEnds_NonXtal_Prot#'!$A:$AL,15,FALSE)</f>
        <v>87</v>
      </c>
      <c r="W50" s="5">
        <f>VLOOKUP($A50,'SegEnds_NonXtal_Prot#'!$A:$AL,18,FALSE)</f>
        <v>123</v>
      </c>
      <c r="X50" s="5">
        <f>VLOOKUP($A50,'SegEnds_NonXtal_Prot#'!$A:$AL,21,FALSE)</f>
        <v>130</v>
      </c>
      <c r="Y50" s="5">
        <f>VLOOKUP($A50,'SegEnds_NonXtal_Prot#'!$A:$AL,24,FALSE)</f>
        <v>168</v>
      </c>
      <c r="Z50" s="5">
        <f>VLOOKUP($A50,'SegEnds_NonXtal_Prot#'!$A:$AL,27,FALSE)</f>
        <v>179</v>
      </c>
      <c r="AA50" s="5">
        <f>VLOOKUP($A50,'SegEnds_NonXtal_Prot#'!$A:$AL,30,FALSE)</f>
        <v>219</v>
      </c>
      <c r="AB50" s="5">
        <f>VLOOKUP($A50,'SegEnds_NonXtal_Prot#'!$A:$AL,33,FALSE)</f>
        <v>263</v>
      </c>
      <c r="AC50" s="5">
        <f>VLOOKUP($A50,'SegEnds_NonXtal_Prot#'!$A:$AL,36,FALSE)</f>
        <v>296</v>
      </c>
      <c r="AD50" s="5">
        <f>VLOOKUP($A50,'SegEnds_NonXtal_Prot#'!$A:$AL,5,FALSE)</f>
        <v>47</v>
      </c>
      <c r="AE50" s="5" t="str">
        <f>VLOOKUP($A50,'SegEnds_NonXtal_Prot#'!$A:$AL,8,FALSE)</f>
        <v>-</v>
      </c>
      <c r="AF50" s="5">
        <f>VLOOKUP($A50,'SegEnds_NonXtal_Prot#'!$A:$AL,11,FALSE)</f>
        <v>81</v>
      </c>
      <c r="AG50" s="5">
        <f>VLOOKUP($A50,'SegEnds_NonXtal_Prot#'!$A:$AL,14,FALSE)</f>
        <v>86</v>
      </c>
      <c r="AH50" s="5">
        <f>VLOOKUP($A50,'SegEnds_NonXtal_Prot#'!$A:$AL,17,FALSE)</f>
        <v>122</v>
      </c>
      <c r="AI50" s="5">
        <f>VLOOKUP($A50,'SegEnds_NonXtal_Prot#'!$A:$AL,20,FALSE)</f>
        <v>129</v>
      </c>
      <c r="AJ50" s="5">
        <f>VLOOKUP($A50,'SegEnds_NonXtal_Prot#'!$A:$AL,23,FALSE)</f>
        <v>156</v>
      </c>
      <c r="AK50" s="5">
        <f>VLOOKUP($A50,'SegEnds_NonXtal_Prot#'!$A:$AL,26,FALSE)</f>
        <v>170</v>
      </c>
      <c r="AL50" s="5">
        <f>VLOOKUP($A50,'SegEnds_NonXtal_Prot#'!$A:$AL,29,FALSE)</f>
        <v>215</v>
      </c>
      <c r="AM50" s="5">
        <f>VLOOKUP($A50,'SegEnds_NonXtal_Prot#'!$A:$AL,32,FALSE)</f>
        <v>259</v>
      </c>
      <c r="AN50" s="5">
        <f>VLOOKUP($A50,'SegEnds_NonXtal_Prot#'!$A:$AL,35,FALSE)</f>
        <v>295</v>
      </c>
      <c r="AO50" s="5">
        <f>VLOOKUP($A50,'SegEnds_NonXtal_Prot#'!$A:$AL,38,FALSE)</f>
        <v>308</v>
      </c>
      <c r="AP50" s="5">
        <f t="shared" si="13"/>
        <v>30</v>
      </c>
      <c r="AQ50" s="4" t="str">
        <f t="shared" si="14"/>
        <v>-</v>
      </c>
      <c r="AR50" s="4">
        <f t="shared" si="15"/>
        <v>29</v>
      </c>
      <c r="AS50" s="4">
        <f t="shared" si="16"/>
        <v>3</v>
      </c>
      <c r="AT50" s="4">
        <f t="shared" si="17"/>
        <v>35</v>
      </c>
      <c r="AU50" s="4">
        <f t="shared" si="18"/>
        <v>6</v>
      </c>
      <c r="AV50" s="4">
        <f t="shared" si="19"/>
        <v>26</v>
      </c>
      <c r="AW50" s="4">
        <f t="shared" si="20"/>
        <v>2</v>
      </c>
      <c r="AX50" s="4">
        <f t="shared" si="21"/>
        <v>36</v>
      </c>
      <c r="AY50" s="4">
        <f t="shared" si="22"/>
        <v>40</v>
      </c>
      <c r="AZ50" s="4">
        <f t="shared" si="23"/>
        <v>32</v>
      </c>
      <c r="BA50" s="4">
        <f t="shared" si="24"/>
        <v>12</v>
      </c>
    </row>
    <row r="51" spans="1:53" x14ac:dyDescent="0.2">
      <c r="A51" s="1" t="str">
        <f>'SegEnds_NonXtal_Prot#'!A16</f>
        <v>lpar1_human</v>
      </c>
      <c r="B51" s="1" t="str">
        <f t="shared" si="0"/>
        <v>TVSKLVMGLGITVCIFIMLANLLVMVAIYVNFPIYYLMANLAAADFFAGLAYFYLMFNTVSTWLLRQGLIDTSLTASVANLLAIAIERHITVFRSNRRVVVVIVVIWTMAIVMGAIPSVGSDSYLVFWAIFNLVTFVVMVVLYAHIFGYVRQRTMRMSGPRRNRDTMMSLLKTVVIVLGAFIICWTPGLVLLLLDVCCDVLAYEKFFLLLAEFNSAMNPIIYSYRDKEMSATFRQILC</v>
      </c>
      <c r="C51" s="29" t="str">
        <f>IF(ISERROR(MATCH(A51,'SegEnds_Xtal_Prot#'!B:B, 0)), "NoXtal", "Xtal")</f>
        <v>Xtal</v>
      </c>
      <c r="D51" s="4" t="str">
        <f>VLOOKUP(A51,Classification!A:D,2,FALSE)</f>
        <v>A</v>
      </c>
      <c r="E51" s="5" t="str">
        <f>VLOOKUP(A51,Seqs!A:B,2,FALSE)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F51" s="5" t="str">
        <f t="shared" si="1"/>
        <v>TVSKLVMGLGITVCIFIMLANLLVMVAIYVN</v>
      </c>
      <c r="G51" s="4" t="str">
        <f t="shared" si="2"/>
        <v>RRFH</v>
      </c>
      <c r="H51" s="4" t="str">
        <f t="shared" si="3"/>
        <v>FPIYYLMANLAAADFFAGLAYFYLMFN</v>
      </c>
      <c r="I51" s="4" t="str">
        <f t="shared" si="4"/>
        <v>GPNTRRL</v>
      </c>
      <c r="J51" s="4" t="str">
        <f t="shared" si="5"/>
        <v>TVSTWLLRQGLIDTSLTASVANLLAIAIERHITVFR</v>
      </c>
      <c r="K51" s="4" t="str">
        <f t="shared" si="6"/>
        <v>MQLHTRM</v>
      </c>
      <c r="L51" s="4" t="str">
        <f t="shared" si="7"/>
        <v>SNRRVVVVIVVIWTMAIVMGAIPSVG</v>
      </c>
      <c r="M51" s="4" t="str">
        <f t="shared" si="8"/>
        <v/>
      </c>
      <c r="N51" s="4" t="str">
        <f t="shared" si="9"/>
        <v>SDSYLVFWAIFNLVTFVVMVVLYAHIFGYVRQRTMRMS</v>
      </c>
      <c r="O51" s="4" t="str">
        <f t="shared" si="10"/>
        <v>GPRRNRDTMMSLLKTVVIVLGAFIICWTPGLVLLLLDVCC</v>
      </c>
      <c r="P51" s="4" t="str">
        <f t="shared" si="11"/>
        <v>DVLAYEKFFLLLAEFNSAMNPIIYSYR</v>
      </c>
      <c r="Q51" s="4" t="str">
        <f t="shared" si="12"/>
        <v>DKEMSATFRQILC</v>
      </c>
      <c r="R51" s="5">
        <f>VLOOKUP($A51,'SegEnds_NonXtal_Prot#'!$A:$AL,3,FALSE)</f>
        <v>47</v>
      </c>
      <c r="S51" s="5">
        <f>VLOOKUP($A51,'SegEnds_NonXtal_Prot#'!$A:$AL,6,FALSE)</f>
        <v>78</v>
      </c>
      <c r="T51" s="5">
        <f>VLOOKUP($A51,'SegEnds_NonXtal_Prot#'!$A:$AL,9,FALSE)</f>
        <v>82</v>
      </c>
      <c r="U51" s="5">
        <f>VLOOKUP($A51,'SegEnds_NonXtal_Prot#'!$A:$AL,12,FALSE)</f>
        <v>110</v>
      </c>
      <c r="V51" s="5">
        <f>VLOOKUP($A51,'SegEnds_NonXtal_Prot#'!$A:$AL,15,FALSE)</f>
        <v>117</v>
      </c>
      <c r="W51" s="5">
        <f>VLOOKUP($A51,'SegEnds_NonXtal_Prot#'!$A:$AL,18,FALSE)</f>
        <v>153</v>
      </c>
      <c r="X51" s="5">
        <f>VLOOKUP($A51,'SegEnds_NonXtal_Prot#'!$A:$AL,21,FALSE)</f>
        <v>160</v>
      </c>
      <c r="Y51" s="5" t="str">
        <f>VLOOKUP($A51,'SegEnds_NonXtal_Prot#'!$A:$AL,24,FALSE)</f>
        <v>-</v>
      </c>
      <c r="Z51" s="5">
        <f>VLOOKUP($A51,'SegEnds_NonXtal_Prot#'!$A:$AL,27,FALSE)</f>
        <v>203</v>
      </c>
      <c r="AA51" s="5">
        <f>VLOOKUP($A51,'SegEnds_NonXtal_Prot#'!$A:$AL,30,FALSE)</f>
        <v>245</v>
      </c>
      <c r="AB51" s="5">
        <f>VLOOKUP($A51,'SegEnds_NonXtal_Prot#'!$A:$AL,33,FALSE)</f>
        <v>288</v>
      </c>
      <c r="AC51" s="5">
        <f>VLOOKUP($A51,'SegEnds_NonXtal_Prot#'!$A:$AL,36,FALSE)</f>
        <v>315</v>
      </c>
      <c r="AD51" s="5">
        <f>VLOOKUP($A51,'SegEnds_NonXtal_Prot#'!$A:$AL,5,FALSE)</f>
        <v>77</v>
      </c>
      <c r="AE51" s="5">
        <f>VLOOKUP($A51,'SegEnds_NonXtal_Prot#'!$A:$AL,8,FALSE)</f>
        <v>81</v>
      </c>
      <c r="AF51" s="5">
        <f>VLOOKUP($A51,'SegEnds_NonXtal_Prot#'!$A:$AL,11,FALSE)</f>
        <v>108</v>
      </c>
      <c r="AG51" s="5">
        <f>VLOOKUP($A51,'SegEnds_NonXtal_Prot#'!$A:$AL,14,FALSE)</f>
        <v>116</v>
      </c>
      <c r="AH51" s="5">
        <f>VLOOKUP($A51,'SegEnds_NonXtal_Prot#'!$A:$AL,17,FALSE)</f>
        <v>152</v>
      </c>
      <c r="AI51" s="5">
        <f>VLOOKUP($A51,'SegEnds_NonXtal_Prot#'!$A:$AL,20,FALSE)</f>
        <v>159</v>
      </c>
      <c r="AJ51" s="5">
        <f>VLOOKUP($A51,'SegEnds_NonXtal_Prot#'!$A:$AL,23,FALSE)</f>
        <v>185</v>
      </c>
      <c r="AK51" s="5" t="str">
        <f>VLOOKUP($A51,'SegEnds_NonXtal_Prot#'!$A:$AL,26,FALSE)</f>
        <v>-</v>
      </c>
      <c r="AL51" s="5">
        <f>VLOOKUP($A51,'SegEnds_NonXtal_Prot#'!$A:$AL,29,FALSE)</f>
        <v>240</v>
      </c>
      <c r="AM51" s="5">
        <f>VLOOKUP($A51,'SegEnds_NonXtal_Prot#'!$A:$AL,32,FALSE)</f>
        <v>284</v>
      </c>
      <c r="AN51" s="5">
        <f>VLOOKUP($A51,'SegEnds_NonXtal_Prot#'!$A:$AL,35,FALSE)</f>
        <v>314</v>
      </c>
      <c r="AO51" s="5">
        <f>VLOOKUP($A51,'SegEnds_NonXtal_Prot#'!$A:$AL,38,FALSE)</f>
        <v>327</v>
      </c>
      <c r="AP51" s="5">
        <f t="shared" si="13"/>
        <v>30</v>
      </c>
      <c r="AQ51" s="4">
        <f t="shared" si="14"/>
        <v>3</v>
      </c>
      <c r="AR51" s="4">
        <f t="shared" si="15"/>
        <v>26</v>
      </c>
      <c r="AS51" s="4">
        <f t="shared" si="16"/>
        <v>6</v>
      </c>
      <c r="AT51" s="4">
        <f t="shared" si="17"/>
        <v>35</v>
      </c>
      <c r="AU51" s="4">
        <f t="shared" si="18"/>
        <v>6</v>
      </c>
      <c r="AV51" s="4">
        <f t="shared" si="19"/>
        <v>25</v>
      </c>
      <c r="AW51" s="4" t="str">
        <f t="shared" si="20"/>
        <v>-</v>
      </c>
      <c r="AX51" s="4">
        <f t="shared" si="21"/>
        <v>37</v>
      </c>
      <c r="AY51" s="4">
        <f t="shared" si="22"/>
        <v>39</v>
      </c>
      <c r="AZ51" s="4">
        <f t="shared" si="23"/>
        <v>26</v>
      </c>
      <c r="BA51" s="4">
        <f t="shared" si="24"/>
        <v>12</v>
      </c>
    </row>
    <row r="52" spans="1:53" x14ac:dyDescent="0.2">
      <c r="A52" s="1" t="str">
        <f>'SegEnds_NonXtal_Prot#'!A17</f>
        <v>lpar2_human</v>
      </c>
      <c r="B52" s="1" t="str">
        <f t="shared" si="0"/>
        <v>PKDVVVVALGLTVSVLVLLTNLLVIAAIASNQPIYYLLGNLAAADLFAGVAYLFLMFHSLEGWFLRQGLLDTSLTASVATLLAIAVERHRSVMAPRGRVVMLIVGVWVAALGLGLLPAHSSRSYLAVWALSSLLVFLLMVAVYTRIFFYVRRRVQRMACHPRYRETTLSLVKTVVIILGAFVVCWTPGQVVLLLDGLGNVLAVEKYFLLLAEANSLVNAAVYSCRDAEMRRTFRRLLC</v>
      </c>
      <c r="C52" s="29" t="str">
        <f>IF(ISERROR(MATCH(A52,'SegEnds_Xtal_Prot#'!B:B, 0)), "NoXtal", "Xtal")</f>
        <v>NoXtal</v>
      </c>
      <c r="D52" s="4" t="str">
        <f>VLOOKUP(A52,Classification!A:D,2,FALSE)</f>
        <v>A</v>
      </c>
      <c r="E52" s="5" t="str">
        <f>VLOOKUP(A52,Seqs!A:B,2,FALSE)</f>
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</c>
      <c r="F52" s="5" t="str">
        <f t="shared" si="1"/>
        <v>PKDVVVVALGLTVSVLVLLTNLLVIAAIASN</v>
      </c>
      <c r="G52" s="4" t="str">
        <f t="shared" si="2"/>
        <v>RRFH</v>
      </c>
      <c r="H52" s="4" t="str">
        <f t="shared" si="3"/>
        <v>QPIYYLLGNLAAADLFAGVAYLFLMFH</v>
      </c>
      <c r="I52" s="4" t="str">
        <f t="shared" si="4"/>
        <v>GPRTARL</v>
      </c>
      <c r="J52" s="4" t="str">
        <f t="shared" si="5"/>
        <v>SLEGWFLRQGLLDTSLTASVATLLAIAVERHRSVMA</v>
      </c>
      <c r="K52" s="4" t="str">
        <f t="shared" si="6"/>
        <v>VQLHSRL</v>
      </c>
      <c r="L52" s="4" t="str">
        <f t="shared" si="7"/>
        <v>PRGRVVMLIVGVWVAALGLGLLPAHS</v>
      </c>
      <c r="M52" s="4" t="str">
        <f t="shared" si="8"/>
        <v/>
      </c>
      <c r="N52" s="4" t="str">
        <f t="shared" si="9"/>
        <v>SRSYLAVWALSSLLVFLLMVAVYTRIFFYVRRRVQRMA</v>
      </c>
      <c r="O52" s="4" t="str">
        <f t="shared" si="10"/>
        <v>CHPRYRETTLSLVKTVVIILGAFVVCWTPGQVVLLLDGLG</v>
      </c>
      <c r="P52" s="4" t="str">
        <f t="shared" si="11"/>
        <v>NVLAVEKYFLLLAEANSLVNAAVYSCR</v>
      </c>
      <c r="Q52" s="4" t="str">
        <f t="shared" si="12"/>
        <v>DAEMRRTFRRLLC</v>
      </c>
      <c r="R52" s="5">
        <f>VLOOKUP($A52,'SegEnds_NonXtal_Prot#'!$A:$AL,3,FALSE)</f>
        <v>30</v>
      </c>
      <c r="S52" s="5">
        <f>VLOOKUP($A52,'SegEnds_NonXtal_Prot#'!$A:$AL,6,FALSE)</f>
        <v>61</v>
      </c>
      <c r="T52" s="5">
        <f>VLOOKUP($A52,'SegEnds_NonXtal_Prot#'!$A:$AL,9,FALSE)</f>
        <v>65</v>
      </c>
      <c r="U52" s="5">
        <f>VLOOKUP($A52,'SegEnds_NonXtal_Prot#'!$A:$AL,12,FALSE)</f>
        <v>93</v>
      </c>
      <c r="V52" s="5">
        <f>VLOOKUP($A52,'SegEnds_NonXtal_Prot#'!$A:$AL,15,FALSE)</f>
        <v>100</v>
      </c>
      <c r="W52" s="5">
        <f>VLOOKUP($A52,'SegEnds_NonXtal_Prot#'!$A:$AL,18,FALSE)</f>
        <v>136</v>
      </c>
      <c r="X52" s="5">
        <f>VLOOKUP($A52,'SegEnds_NonXtal_Prot#'!$A:$AL,21,FALSE)</f>
        <v>143</v>
      </c>
      <c r="Y52" s="5" t="str">
        <f>VLOOKUP($A52,'SegEnds_NonXtal_Prot#'!$A:$AL,24,FALSE)</f>
        <v>-</v>
      </c>
      <c r="Z52" s="5">
        <f>VLOOKUP($A52,'SegEnds_NonXtal_Prot#'!$A:$AL,27,FALSE)</f>
        <v>186</v>
      </c>
      <c r="AA52" s="5">
        <f>VLOOKUP($A52,'SegEnds_NonXtal_Prot#'!$A:$AL,30,FALSE)</f>
        <v>228</v>
      </c>
      <c r="AB52" s="5">
        <f>VLOOKUP($A52,'SegEnds_NonXtal_Prot#'!$A:$AL,33,FALSE)</f>
        <v>272</v>
      </c>
      <c r="AC52" s="5">
        <f>VLOOKUP($A52,'SegEnds_NonXtal_Prot#'!$A:$AL,36,FALSE)</f>
        <v>299</v>
      </c>
      <c r="AD52" s="5">
        <f>VLOOKUP($A52,'SegEnds_NonXtal_Prot#'!$A:$AL,5,FALSE)</f>
        <v>60</v>
      </c>
      <c r="AE52" s="5">
        <f>VLOOKUP($A52,'SegEnds_NonXtal_Prot#'!$A:$AL,8,FALSE)</f>
        <v>64</v>
      </c>
      <c r="AF52" s="5">
        <f>VLOOKUP($A52,'SegEnds_NonXtal_Prot#'!$A:$AL,11,FALSE)</f>
        <v>91</v>
      </c>
      <c r="AG52" s="5">
        <f>VLOOKUP($A52,'SegEnds_NonXtal_Prot#'!$A:$AL,14,FALSE)</f>
        <v>99</v>
      </c>
      <c r="AH52" s="5">
        <f>VLOOKUP($A52,'SegEnds_NonXtal_Prot#'!$A:$AL,17,FALSE)</f>
        <v>135</v>
      </c>
      <c r="AI52" s="5">
        <f>VLOOKUP($A52,'SegEnds_NonXtal_Prot#'!$A:$AL,20,FALSE)</f>
        <v>142</v>
      </c>
      <c r="AJ52" s="5">
        <f>VLOOKUP($A52,'SegEnds_NonXtal_Prot#'!$A:$AL,23,FALSE)</f>
        <v>168</v>
      </c>
      <c r="AK52" s="5" t="str">
        <f>VLOOKUP($A52,'SegEnds_NonXtal_Prot#'!$A:$AL,26,FALSE)</f>
        <v>-</v>
      </c>
      <c r="AL52" s="5">
        <f>VLOOKUP($A52,'SegEnds_NonXtal_Prot#'!$A:$AL,29,FALSE)</f>
        <v>223</v>
      </c>
      <c r="AM52" s="5">
        <f>VLOOKUP($A52,'SegEnds_NonXtal_Prot#'!$A:$AL,32,FALSE)</f>
        <v>267</v>
      </c>
      <c r="AN52" s="5">
        <f>VLOOKUP($A52,'SegEnds_NonXtal_Prot#'!$A:$AL,35,FALSE)</f>
        <v>298</v>
      </c>
      <c r="AO52" s="5">
        <f>VLOOKUP($A52,'SegEnds_NonXtal_Prot#'!$A:$AL,38,FALSE)</f>
        <v>311</v>
      </c>
      <c r="AP52" s="5">
        <f t="shared" si="13"/>
        <v>30</v>
      </c>
      <c r="AQ52" s="4">
        <f t="shared" si="14"/>
        <v>3</v>
      </c>
      <c r="AR52" s="4">
        <f t="shared" si="15"/>
        <v>26</v>
      </c>
      <c r="AS52" s="4">
        <f t="shared" si="16"/>
        <v>6</v>
      </c>
      <c r="AT52" s="4">
        <f t="shared" si="17"/>
        <v>35</v>
      </c>
      <c r="AU52" s="4">
        <f t="shared" si="18"/>
        <v>6</v>
      </c>
      <c r="AV52" s="4">
        <f t="shared" si="19"/>
        <v>25</v>
      </c>
      <c r="AW52" s="4" t="str">
        <f t="shared" si="20"/>
        <v>-</v>
      </c>
      <c r="AX52" s="4">
        <f t="shared" si="21"/>
        <v>37</v>
      </c>
      <c r="AY52" s="4">
        <f t="shared" si="22"/>
        <v>39</v>
      </c>
      <c r="AZ52" s="4">
        <f t="shared" si="23"/>
        <v>26</v>
      </c>
      <c r="BA52" s="4">
        <f t="shared" si="24"/>
        <v>12</v>
      </c>
    </row>
    <row r="53" spans="1:53" x14ac:dyDescent="0.2">
      <c r="A53" s="1" t="str">
        <f>'SegEnds_NonXtal_Prot#'!A18</f>
        <v>lpar3_human</v>
      </c>
      <c r="B53" s="1" t="str">
        <f t="shared" si="0"/>
        <v>TKLVIVLCVGTFFCLFIFFSNSLVIAAVIKNFPFYYLLANLAAADFFAGIAYVFLMFNTVNRWFLRQGLLDSSLTASLTNLLVIAVERHMSIMRTKKRVTLLILLVWAIAIFMGAVPTLGSRSYLVFWTVSNLMAFLIMVVVYLRIYVYVKRKTNVLSGSISRRRTPMKLMKTVMTVLGAFVVCWTPGLVVLLLDGLNGVQHVKRWFLLLALLNSVVNPIIYSYKDEDMYGTMKKMIC</v>
      </c>
      <c r="C53" s="29" t="str">
        <f>IF(ISERROR(MATCH(A53,'SegEnds_Xtal_Prot#'!B:B, 0)), "NoXtal", "Xtal")</f>
        <v>NoXtal</v>
      </c>
      <c r="D53" s="4" t="str">
        <f>VLOOKUP(A53,Classification!A:D,2,FALSE)</f>
        <v>A</v>
      </c>
      <c r="E53" s="5" t="str">
        <f>VLOOKUP(A53,Seqs!A:B,2,FALSE)</f>
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</c>
      <c r="F53" s="5" t="str">
        <f t="shared" si="1"/>
        <v>TKLVIVLCVGTFFCLFIFFSNSLVIAAVIKN</v>
      </c>
      <c r="G53" s="4" t="str">
        <f t="shared" si="2"/>
        <v>RKFH</v>
      </c>
      <c r="H53" s="4" t="str">
        <f t="shared" si="3"/>
        <v>FPFYYLLANLAAADFFAGIAYVFLMFN</v>
      </c>
      <c r="I53" s="4" t="str">
        <f t="shared" si="4"/>
        <v>GPVSKTL</v>
      </c>
      <c r="J53" s="4" t="str">
        <f t="shared" si="5"/>
        <v>TVNRWFLRQGLLDSSLTASLTNLLVIAVERHMSIMR</v>
      </c>
      <c r="K53" s="4" t="str">
        <f t="shared" si="6"/>
        <v>MRVHSNL</v>
      </c>
      <c r="L53" s="4" t="str">
        <f t="shared" si="7"/>
        <v>TKKRVTLLILLVWAIAIFMGAVPTLG</v>
      </c>
      <c r="M53" s="4" t="str">
        <f t="shared" si="8"/>
        <v/>
      </c>
      <c r="N53" s="4" t="str">
        <f t="shared" si="9"/>
        <v>SRSYLVFWTVSNLMAFLIMVVVYLRIYVYVKRKTNVLS</v>
      </c>
      <c r="O53" s="4" t="str">
        <f t="shared" si="10"/>
        <v>GSISRRRTPMKLMKTVMTVLGAFVVCWTPGLVVLLLDGLN</v>
      </c>
      <c r="P53" s="4" t="str">
        <f t="shared" si="11"/>
        <v>GVQHVKRWFLLLALLNSVVNPIIYSYK</v>
      </c>
      <c r="Q53" s="4" t="str">
        <f t="shared" si="12"/>
        <v>DEDMYGTMKKMIC</v>
      </c>
      <c r="R53" s="5">
        <f>VLOOKUP($A53,'SegEnds_NonXtal_Prot#'!$A:$AL,3,FALSE)</f>
        <v>28</v>
      </c>
      <c r="S53" s="5">
        <f>VLOOKUP($A53,'SegEnds_NonXtal_Prot#'!$A:$AL,6,FALSE)</f>
        <v>59</v>
      </c>
      <c r="T53" s="5">
        <f>VLOOKUP($A53,'SegEnds_NonXtal_Prot#'!$A:$AL,9,FALSE)</f>
        <v>63</v>
      </c>
      <c r="U53" s="5">
        <f>VLOOKUP($A53,'SegEnds_NonXtal_Prot#'!$A:$AL,12,FALSE)</f>
        <v>91</v>
      </c>
      <c r="V53" s="5">
        <f>VLOOKUP($A53,'SegEnds_NonXtal_Prot#'!$A:$AL,15,FALSE)</f>
        <v>98</v>
      </c>
      <c r="W53" s="5">
        <f>VLOOKUP($A53,'SegEnds_NonXtal_Prot#'!$A:$AL,18,FALSE)</f>
        <v>134</v>
      </c>
      <c r="X53" s="5">
        <f>VLOOKUP($A53,'SegEnds_NonXtal_Prot#'!$A:$AL,21,FALSE)</f>
        <v>141</v>
      </c>
      <c r="Y53" s="5" t="str">
        <f>VLOOKUP($A53,'SegEnds_NonXtal_Prot#'!$A:$AL,24,FALSE)</f>
        <v>-</v>
      </c>
      <c r="Z53" s="5">
        <f>VLOOKUP($A53,'SegEnds_NonXtal_Prot#'!$A:$AL,27,FALSE)</f>
        <v>184</v>
      </c>
      <c r="AA53" s="5">
        <f>VLOOKUP($A53,'SegEnds_NonXtal_Prot#'!$A:$AL,30,FALSE)</f>
        <v>226</v>
      </c>
      <c r="AB53" s="5">
        <f>VLOOKUP($A53,'SegEnds_NonXtal_Prot#'!$A:$AL,33,FALSE)</f>
        <v>270</v>
      </c>
      <c r="AC53" s="5">
        <f>VLOOKUP($A53,'SegEnds_NonXtal_Prot#'!$A:$AL,36,FALSE)</f>
        <v>297</v>
      </c>
      <c r="AD53" s="5">
        <f>VLOOKUP($A53,'SegEnds_NonXtal_Prot#'!$A:$AL,5,FALSE)</f>
        <v>58</v>
      </c>
      <c r="AE53" s="5">
        <f>VLOOKUP($A53,'SegEnds_NonXtal_Prot#'!$A:$AL,8,FALSE)</f>
        <v>62</v>
      </c>
      <c r="AF53" s="5">
        <f>VLOOKUP($A53,'SegEnds_NonXtal_Prot#'!$A:$AL,11,FALSE)</f>
        <v>89</v>
      </c>
      <c r="AG53" s="5">
        <f>VLOOKUP($A53,'SegEnds_NonXtal_Prot#'!$A:$AL,14,FALSE)</f>
        <v>97</v>
      </c>
      <c r="AH53" s="5">
        <f>VLOOKUP($A53,'SegEnds_NonXtal_Prot#'!$A:$AL,17,FALSE)</f>
        <v>133</v>
      </c>
      <c r="AI53" s="5">
        <f>VLOOKUP($A53,'SegEnds_NonXtal_Prot#'!$A:$AL,20,FALSE)</f>
        <v>140</v>
      </c>
      <c r="AJ53" s="5">
        <f>VLOOKUP($A53,'SegEnds_NonXtal_Prot#'!$A:$AL,23,FALSE)</f>
        <v>166</v>
      </c>
      <c r="AK53" s="5" t="str">
        <f>VLOOKUP($A53,'SegEnds_NonXtal_Prot#'!$A:$AL,26,FALSE)</f>
        <v>-</v>
      </c>
      <c r="AL53" s="5">
        <f>VLOOKUP($A53,'SegEnds_NonXtal_Prot#'!$A:$AL,29,FALSE)</f>
        <v>221</v>
      </c>
      <c r="AM53" s="5">
        <f>VLOOKUP($A53,'SegEnds_NonXtal_Prot#'!$A:$AL,32,FALSE)</f>
        <v>265</v>
      </c>
      <c r="AN53" s="5">
        <f>VLOOKUP($A53,'SegEnds_NonXtal_Prot#'!$A:$AL,35,FALSE)</f>
        <v>296</v>
      </c>
      <c r="AO53" s="5">
        <f>VLOOKUP($A53,'SegEnds_NonXtal_Prot#'!$A:$AL,38,FALSE)</f>
        <v>309</v>
      </c>
      <c r="AP53" s="5">
        <f t="shared" si="13"/>
        <v>30</v>
      </c>
      <c r="AQ53" s="4">
        <f t="shared" si="14"/>
        <v>3</v>
      </c>
      <c r="AR53" s="4">
        <f t="shared" si="15"/>
        <v>26</v>
      </c>
      <c r="AS53" s="4">
        <f t="shared" si="16"/>
        <v>6</v>
      </c>
      <c r="AT53" s="4">
        <f t="shared" si="17"/>
        <v>35</v>
      </c>
      <c r="AU53" s="4">
        <f t="shared" si="18"/>
        <v>6</v>
      </c>
      <c r="AV53" s="4">
        <f t="shared" si="19"/>
        <v>25</v>
      </c>
      <c r="AW53" s="4" t="str">
        <f t="shared" si="20"/>
        <v>-</v>
      </c>
      <c r="AX53" s="4">
        <f t="shared" si="21"/>
        <v>37</v>
      </c>
      <c r="AY53" s="4">
        <f t="shared" si="22"/>
        <v>39</v>
      </c>
      <c r="AZ53" s="4">
        <f t="shared" si="23"/>
        <v>26</v>
      </c>
      <c r="BA53" s="4">
        <f t="shared" si="24"/>
        <v>12</v>
      </c>
    </row>
    <row r="54" spans="1:53" x14ac:dyDescent="0.2">
      <c r="A54" s="1" t="str">
        <f>'SegEnds_NonXtal_Prot#'!A21</f>
        <v>opn5_human</v>
      </c>
      <c r="B54" s="1" t="str">
        <f t="shared" si="0"/>
        <v>SWEADLVAGFYLTIIGILSTFGNGYVLYMSSRRPAEIMTINLAVCDLGISVVGKPFTIISCFCHGWIGCRWYGWAGFFFGCGSLITMTAVSLDRYLKICYKRKHAYICLAAIWAYASFWTTMPLVGGQVFILNILFFCLLLPTAVIVFSYVKIIAKVKSSSKEVARIHSSHVLEMKLTKVAMLICAGFLIAWIPYAVVSVWSAFGPIQLSVVPTLLAKSAAMYNPIIYQVIDYKFACCQTGGLK</v>
      </c>
      <c r="C54" s="29" t="str">
        <f>IF(ISERROR(MATCH(A54,'SegEnds_Xtal_Prot#'!B:B, 0)), "NoXtal", "Xtal")</f>
        <v>NoXtal</v>
      </c>
      <c r="D54" s="4" t="str">
        <f>VLOOKUP(A54,Classification!A:D,2,FALSE)</f>
        <v>A</v>
      </c>
      <c r="E54" s="5" t="str">
        <f>VLOOKUP(A54,Seqs!A:B,2,FALSE)</f>
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</c>
      <c r="F54" s="5" t="str">
        <f t="shared" si="1"/>
        <v>SWEADLVAGFYLTIIGILSTFGNGYVLYMSSRR</v>
      </c>
      <c r="G54" s="4" t="str">
        <f t="shared" si="2"/>
        <v>KKLR</v>
      </c>
      <c r="H54" s="4" t="str">
        <f t="shared" si="3"/>
        <v>PAEIMTINLAVCDLGISVVGKPFTIISCFCH</v>
      </c>
      <c r="I54" s="4" t="str">
        <f t="shared" si="4"/>
        <v>RWVF</v>
      </c>
      <c r="J54" s="4" t="str">
        <f t="shared" si="5"/>
        <v>GWIGCRWYGWAGFFFGCGSLITMTAVSLDRYLKICY</v>
      </c>
      <c r="K54" s="4" t="str">
        <f t="shared" si="6"/>
        <v>LSYGVWL</v>
      </c>
      <c r="L54" s="4" t="str">
        <f t="shared" si="7"/>
        <v>KRKHAYICLAAIWAYASFWTTMPLV</v>
      </c>
      <c r="M54" s="4" t="str">
        <f t="shared" si="8"/>
        <v>CTL</v>
      </c>
      <c r="N54" s="4" t="str">
        <f t="shared" si="9"/>
        <v>GGQVFILNILFFCLLLPTAVIVFSYVKIIAKVKSSSKEVA</v>
      </c>
      <c r="O54" s="4" t="str">
        <f t="shared" si="10"/>
        <v>RIHSSHVLEMKLTKVAMLICAGFLIAWIPYAVVSVWSAFG</v>
      </c>
      <c r="P54" s="4" t="str">
        <f t="shared" si="11"/>
        <v>PIQLSVVPTLLAKSAAMYNPIIYQVI</v>
      </c>
      <c r="Q54" s="4" t="str">
        <f t="shared" si="12"/>
        <v>DYKFACCQTGGLK</v>
      </c>
      <c r="R54" s="5">
        <f>VLOOKUP($A54,'SegEnds_NonXtal_Prot#'!$A:$AL,3,FALSE)</f>
        <v>29</v>
      </c>
      <c r="S54" s="5">
        <f>VLOOKUP($A54,'SegEnds_NonXtal_Prot#'!$A:$AL,6,FALSE)</f>
        <v>63</v>
      </c>
      <c r="T54" s="5">
        <f>VLOOKUP($A54,'SegEnds_NonXtal_Prot#'!$A:$AL,9,FALSE)</f>
        <v>67</v>
      </c>
      <c r="U54" s="5">
        <f>VLOOKUP($A54,'SegEnds_NonXtal_Prot#'!$A:$AL,12,FALSE)</f>
        <v>98</v>
      </c>
      <c r="V54" s="5">
        <f>VLOOKUP($A54,'SegEnds_NonXtal_Prot#'!$A:$AL,15,FALSE)</f>
        <v>102</v>
      </c>
      <c r="W54" s="5">
        <f>VLOOKUP($A54,'SegEnds_NonXtal_Prot#'!$A:$AL,18,FALSE)</f>
        <v>138</v>
      </c>
      <c r="X54" s="5">
        <f>VLOOKUP($A54,'SegEnds_NonXtal_Prot#'!$A:$AL,21,FALSE)</f>
        <v>145</v>
      </c>
      <c r="Y54" s="5">
        <f>VLOOKUP($A54,'SegEnds_NonXtal_Prot#'!$A:$AL,24,FALSE)</f>
        <v>183</v>
      </c>
      <c r="Z54" s="5">
        <f>VLOOKUP($A54,'SegEnds_NonXtal_Prot#'!$A:$AL,27,FALSE)</f>
        <v>195</v>
      </c>
      <c r="AA54" s="5">
        <f>VLOOKUP($A54,'SegEnds_NonXtal_Prot#'!$A:$AL,30,FALSE)</f>
        <v>239</v>
      </c>
      <c r="AB54" s="5">
        <f>VLOOKUP($A54,'SegEnds_NonXtal_Prot#'!$A:$AL,33,FALSE)</f>
        <v>284</v>
      </c>
      <c r="AC54" s="5">
        <f>VLOOKUP($A54,'SegEnds_NonXtal_Prot#'!$A:$AL,36,FALSE)</f>
        <v>310</v>
      </c>
      <c r="AD54" s="5">
        <f>VLOOKUP($A54,'SegEnds_NonXtal_Prot#'!$A:$AL,5,FALSE)</f>
        <v>61</v>
      </c>
      <c r="AE54" s="5">
        <f>VLOOKUP($A54,'SegEnds_NonXtal_Prot#'!$A:$AL,8,FALSE)</f>
        <v>66</v>
      </c>
      <c r="AF54" s="5">
        <f>VLOOKUP($A54,'SegEnds_NonXtal_Prot#'!$A:$AL,11,FALSE)</f>
        <v>97</v>
      </c>
      <c r="AG54" s="5">
        <f>VLOOKUP($A54,'SegEnds_NonXtal_Prot#'!$A:$AL,14,FALSE)</f>
        <v>101</v>
      </c>
      <c r="AH54" s="5">
        <f>VLOOKUP($A54,'SegEnds_NonXtal_Prot#'!$A:$AL,17,FALSE)</f>
        <v>137</v>
      </c>
      <c r="AI54" s="5">
        <f>VLOOKUP($A54,'SegEnds_NonXtal_Prot#'!$A:$AL,20,FALSE)</f>
        <v>144</v>
      </c>
      <c r="AJ54" s="5">
        <f>VLOOKUP($A54,'SegEnds_NonXtal_Prot#'!$A:$AL,23,FALSE)</f>
        <v>169</v>
      </c>
      <c r="AK54" s="5">
        <f>VLOOKUP($A54,'SegEnds_NonXtal_Prot#'!$A:$AL,26,FALSE)</f>
        <v>185</v>
      </c>
      <c r="AL54" s="5">
        <f>VLOOKUP($A54,'SegEnds_NonXtal_Prot#'!$A:$AL,29,FALSE)</f>
        <v>234</v>
      </c>
      <c r="AM54" s="5">
        <f>VLOOKUP($A54,'SegEnds_NonXtal_Prot#'!$A:$AL,32,FALSE)</f>
        <v>278</v>
      </c>
      <c r="AN54" s="5">
        <f>VLOOKUP($A54,'SegEnds_NonXtal_Prot#'!$A:$AL,35,FALSE)</f>
        <v>309</v>
      </c>
      <c r="AO54" s="5">
        <f>VLOOKUP($A54,'SegEnds_NonXtal_Prot#'!$A:$AL,38,FALSE)</f>
        <v>322</v>
      </c>
      <c r="AP54" s="5">
        <f t="shared" si="13"/>
        <v>32</v>
      </c>
      <c r="AQ54" s="4">
        <f t="shared" si="14"/>
        <v>3</v>
      </c>
      <c r="AR54" s="4">
        <f t="shared" si="15"/>
        <v>30</v>
      </c>
      <c r="AS54" s="4">
        <f t="shared" si="16"/>
        <v>3</v>
      </c>
      <c r="AT54" s="4">
        <f t="shared" si="17"/>
        <v>35</v>
      </c>
      <c r="AU54" s="4">
        <f t="shared" si="18"/>
        <v>6</v>
      </c>
      <c r="AV54" s="4">
        <f t="shared" si="19"/>
        <v>24</v>
      </c>
      <c r="AW54" s="4">
        <f t="shared" si="20"/>
        <v>2</v>
      </c>
      <c r="AX54" s="4">
        <f t="shared" si="21"/>
        <v>39</v>
      </c>
      <c r="AY54" s="4">
        <f t="shared" si="22"/>
        <v>39</v>
      </c>
      <c r="AZ54" s="4">
        <f t="shared" si="23"/>
        <v>25</v>
      </c>
      <c r="BA54" s="4">
        <f t="shared" si="24"/>
        <v>12</v>
      </c>
    </row>
    <row r="55" spans="1:53" x14ac:dyDescent="0.2">
      <c r="A55" s="1" t="str">
        <f>'SegEnds_NonXtal_Prot#'!A22</f>
        <v>opsb_human</v>
      </c>
      <c r="B55" s="1" t="str">
        <f t="shared" si="0"/>
        <v>VWAFYLQAAFMGTVFLIGFPLNAMVLVATLRYQPLNYILVNVSFGGFLLCIFSVFPVFVASCNGRHVCALEGFLGTVAGLVTGWSLAFLAFERYIVICKSSKHALTVVLATWTIGIGVSIPPFFRSESYTWFLFIFCFIVPLSLICFSYTQLLRALKAVAAQQSATTQKAEREVSRMVVVMVGSFCVCYVPYAAFAMYMVNNDLRLVTIPSFFSKSACIYNPIIYCFMNKQFQACIMKMVC</v>
      </c>
      <c r="C55" s="29" t="str">
        <f>IF(ISERROR(MATCH(A55,'SegEnds_Xtal_Prot#'!B:B, 0)), "NoXtal", "Xtal")</f>
        <v>NoXtal</v>
      </c>
      <c r="D55" s="4" t="str">
        <f>VLOOKUP(A55,Classification!A:D,2,FALSE)</f>
        <v>A</v>
      </c>
      <c r="E55" s="5" t="str">
        <f>VLOOKUP(A55,Seqs!A:B,2,FALSE)</f>
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</c>
      <c r="F55" s="5" t="str">
        <f t="shared" si="1"/>
        <v>VWAFYLQAAFMGTVFLIGFPLNAMVLVATLRY</v>
      </c>
      <c r="G55" s="4" t="str">
        <f t="shared" si="2"/>
        <v>KKLR</v>
      </c>
      <c r="H55" s="4" t="str">
        <f t="shared" si="3"/>
        <v>QPLNYILVNVSFGGFLLCIFSVFPVFVASCN</v>
      </c>
      <c r="I55" s="4" t="str">
        <f t="shared" si="4"/>
        <v>YFVF</v>
      </c>
      <c r="J55" s="4" t="str">
        <f t="shared" si="5"/>
        <v>GRHVCALEGFLGTVAGLVTGWSLAFLAFERYIVICK</v>
      </c>
      <c r="K55" s="4" t="str">
        <f t="shared" si="6"/>
        <v>PFGNFRF</v>
      </c>
      <c r="L55" s="4" t="str">
        <f t="shared" si="7"/>
        <v>SSKHALTVVLATWTIGIGVSIPPFF</v>
      </c>
      <c r="M55" s="4" t="str">
        <f t="shared" si="8"/>
        <v>CGP</v>
      </c>
      <c r="N55" s="4" t="str">
        <f t="shared" si="9"/>
        <v>RSESYTWFLFIFCFIVPLSLICFSYTQLLRALKAVAAQQ</v>
      </c>
      <c r="O55" s="4" t="str">
        <f t="shared" si="10"/>
        <v>SATTQKAEREVSRMVVVMVGSFCVCYVPYAAFAMYMVNN</v>
      </c>
      <c r="P55" s="4" t="str">
        <f t="shared" si="11"/>
        <v>DLRLVTIPSFFSKSACIYNPIIYCFM</v>
      </c>
      <c r="Q55" s="4" t="str">
        <f t="shared" si="12"/>
        <v>NKQFQACIMKMVC</v>
      </c>
      <c r="R55" s="5">
        <f>VLOOKUP($A55,'SegEnds_NonXtal_Prot#'!$A:$AL,3,FALSE)</f>
        <v>31</v>
      </c>
      <c r="S55" s="5">
        <f>VLOOKUP($A55,'SegEnds_NonXtal_Prot#'!$A:$AL,6,FALSE)</f>
        <v>63</v>
      </c>
      <c r="T55" s="5">
        <f>VLOOKUP($A55,'SegEnds_NonXtal_Prot#'!$A:$AL,9,FALSE)</f>
        <v>67</v>
      </c>
      <c r="U55" s="5">
        <f>VLOOKUP($A55,'SegEnds_NonXtal_Prot#'!$A:$AL,12,FALSE)</f>
        <v>99</v>
      </c>
      <c r="V55" s="5">
        <f>VLOOKUP($A55,'SegEnds_NonXtal_Prot#'!$A:$AL,15,FALSE)</f>
        <v>103</v>
      </c>
      <c r="W55" s="5">
        <f>VLOOKUP($A55,'SegEnds_NonXtal_Prot#'!$A:$AL,18,FALSE)</f>
        <v>139</v>
      </c>
      <c r="X55" s="5">
        <f>VLOOKUP($A55,'SegEnds_NonXtal_Prot#'!$A:$AL,21,FALSE)</f>
        <v>146</v>
      </c>
      <c r="Y55" s="5">
        <f>VLOOKUP($A55,'SegEnds_NonXtal_Prot#'!$A:$AL,24,FALSE)</f>
        <v>184</v>
      </c>
      <c r="Z55" s="5">
        <f>VLOOKUP($A55,'SegEnds_NonXtal_Prot#'!$A:$AL,27,FALSE)</f>
        <v>196</v>
      </c>
      <c r="AA55" s="5">
        <f>VLOOKUP($A55,'SegEnds_NonXtal_Prot#'!$A:$AL,30,FALSE)</f>
        <v>237</v>
      </c>
      <c r="AB55" s="5">
        <f>VLOOKUP($A55,'SegEnds_NonXtal_Prot#'!$A:$AL,33,FALSE)</f>
        <v>281</v>
      </c>
      <c r="AC55" s="5">
        <f>VLOOKUP($A55,'SegEnds_NonXtal_Prot#'!$A:$AL,36,FALSE)</f>
        <v>307</v>
      </c>
      <c r="AD55" s="5">
        <f>VLOOKUP($A55,'SegEnds_NonXtal_Prot#'!$A:$AL,5,FALSE)</f>
        <v>62</v>
      </c>
      <c r="AE55" s="5">
        <f>VLOOKUP($A55,'SegEnds_NonXtal_Prot#'!$A:$AL,8,FALSE)</f>
        <v>66</v>
      </c>
      <c r="AF55" s="5">
        <f>VLOOKUP($A55,'SegEnds_NonXtal_Prot#'!$A:$AL,11,FALSE)</f>
        <v>97</v>
      </c>
      <c r="AG55" s="5">
        <f>VLOOKUP($A55,'SegEnds_NonXtal_Prot#'!$A:$AL,14,FALSE)</f>
        <v>102</v>
      </c>
      <c r="AH55" s="5">
        <f>VLOOKUP($A55,'SegEnds_NonXtal_Prot#'!$A:$AL,17,FALSE)</f>
        <v>138</v>
      </c>
      <c r="AI55" s="5">
        <f>VLOOKUP($A55,'SegEnds_NonXtal_Prot#'!$A:$AL,20,FALSE)</f>
        <v>145</v>
      </c>
      <c r="AJ55" s="5">
        <f>VLOOKUP($A55,'SegEnds_NonXtal_Prot#'!$A:$AL,23,FALSE)</f>
        <v>170</v>
      </c>
      <c r="AK55" s="5">
        <f>VLOOKUP($A55,'SegEnds_NonXtal_Prot#'!$A:$AL,26,FALSE)</f>
        <v>186</v>
      </c>
      <c r="AL55" s="5">
        <f>VLOOKUP($A55,'SegEnds_NonXtal_Prot#'!$A:$AL,29,FALSE)</f>
        <v>234</v>
      </c>
      <c r="AM55" s="5">
        <f>VLOOKUP($A55,'SegEnds_NonXtal_Prot#'!$A:$AL,32,FALSE)</f>
        <v>275</v>
      </c>
      <c r="AN55" s="5">
        <f>VLOOKUP($A55,'SegEnds_NonXtal_Prot#'!$A:$AL,35,FALSE)</f>
        <v>306</v>
      </c>
      <c r="AO55" s="5">
        <f>VLOOKUP($A55,'SegEnds_NonXtal_Prot#'!$A:$AL,38,FALSE)</f>
        <v>319</v>
      </c>
      <c r="AP55" s="5">
        <f t="shared" si="13"/>
        <v>31</v>
      </c>
      <c r="AQ55" s="4">
        <f t="shared" si="14"/>
        <v>3</v>
      </c>
      <c r="AR55" s="4">
        <f t="shared" si="15"/>
        <v>30</v>
      </c>
      <c r="AS55" s="4">
        <f t="shared" si="16"/>
        <v>3</v>
      </c>
      <c r="AT55" s="4">
        <f t="shared" si="17"/>
        <v>35</v>
      </c>
      <c r="AU55" s="4">
        <f t="shared" si="18"/>
        <v>6</v>
      </c>
      <c r="AV55" s="4">
        <f t="shared" si="19"/>
        <v>24</v>
      </c>
      <c r="AW55" s="4">
        <f t="shared" si="20"/>
        <v>2</v>
      </c>
      <c r="AX55" s="4">
        <f t="shared" si="21"/>
        <v>38</v>
      </c>
      <c r="AY55" s="4">
        <f t="shared" si="22"/>
        <v>38</v>
      </c>
      <c r="AZ55" s="4">
        <f t="shared" si="23"/>
        <v>25</v>
      </c>
      <c r="BA55" s="4">
        <f t="shared" si="24"/>
        <v>12</v>
      </c>
    </row>
    <row r="56" spans="1:53" x14ac:dyDescent="0.2">
      <c r="A56" s="1" t="str">
        <f>'SegEnds_NonXtal_Prot#'!A23</f>
        <v>opsd_bovin</v>
      </c>
      <c r="B56" s="1" t="str">
        <f t="shared" si="0"/>
        <v>EPWQFSMLAAYMFLLIMLGFPINFLTLYVTVQHTPLNYILLNLAVADLFMVFGGFTTTLYTSLHGPTGCNLEGFFATLGGEIALWSLVVLAIERYVVVCKGENHAIMGVAFTWVMALACAAPPLVNNESFVIYMFVVHFIIPLIVIFFCYGQLVFTVKEAAAQQSATTQKAEKEVTRMVIIMVIAFLICWLPYAGVAFYIFTHGPIFMTIPAFFAKTSAVYNPVIYIMMNKQFRNCMVTTLC</v>
      </c>
      <c r="C56" s="29" t="str">
        <f>IF(ISERROR(MATCH(A56,'SegEnds_Xtal_Prot#'!B:B, 0)), "NoXtal", "Xtal")</f>
        <v>Xtal</v>
      </c>
      <c r="D56" s="4" t="str">
        <f>VLOOKUP(A56,Classification!A:D,2,FALSE)</f>
        <v>A</v>
      </c>
      <c r="E56" s="5" t="str">
        <f>VLOOKUP(A56,Seqs!A:B,2,FALSE)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F56" s="5" t="str">
        <f t="shared" si="1"/>
        <v>EPWQFSMLAAYMFLLIMLGFPINFLTLYVTVQH</v>
      </c>
      <c r="G56" s="4" t="str">
        <f t="shared" si="2"/>
        <v>KKLR</v>
      </c>
      <c r="H56" s="4" t="str">
        <f t="shared" si="3"/>
        <v>TPLNYILLNLAVADLFMVFGGFTTTLYTSLH</v>
      </c>
      <c r="I56" s="4" t="str">
        <f t="shared" si="4"/>
        <v>YFVF</v>
      </c>
      <c r="J56" s="4" t="str">
        <f t="shared" si="5"/>
        <v>GPTGCNLEGFFATLGGEIALWSLVVLAIERYVVVCK</v>
      </c>
      <c r="K56" s="4" t="str">
        <f t="shared" si="6"/>
        <v>PMSNFRF</v>
      </c>
      <c r="L56" s="4" t="str">
        <f t="shared" si="7"/>
        <v>GENHAIMGVAFTWVMALACAAPPLV</v>
      </c>
      <c r="M56" s="4" t="str">
        <f t="shared" si="8"/>
        <v>CGI</v>
      </c>
      <c r="N56" s="4" t="str">
        <f t="shared" si="9"/>
        <v>NNESFVIYMFVVHFIIPLIVIFFCYGQLVFTVKEAAAQQ</v>
      </c>
      <c r="O56" s="4" t="str">
        <f t="shared" si="10"/>
        <v>SATTQKAEKEVTRMVIIMVIAFLICWLPYAGVAFYIFTH</v>
      </c>
      <c r="P56" s="4" t="str">
        <f t="shared" si="11"/>
        <v>GPIFMTIPAFFAKTSAVYNPVIYIMM</v>
      </c>
      <c r="Q56" s="4" t="str">
        <f t="shared" si="12"/>
        <v>NKQFRNCMVTTLC</v>
      </c>
      <c r="R56" s="5">
        <f>VLOOKUP($A56,'SegEnds_NonXtal_Prot#'!$A:$AL,3,FALSE)</f>
        <v>33</v>
      </c>
      <c r="S56" s="5">
        <f>VLOOKUP($A56,'SegEnds_NonXtal_Prot#'!$A:$AL,6,FALSE)</f>
        <v>66</v>
      </c>
      <c r="T56" s="5">
        <f>VLOOKUP($A56,'SegEnds_NonXtal_Prot#'!$A:$AL,9,FALSE)</f>
        <v>70</v>
      </c>
      <c r="U56" s="5">
        <f>VLOOKUP($A56,'SegEnds_NonXtal_Prot#'!$A:$AL,12,FALSE)</f>
        <v>102</v>
      </c>
      <c r="V56" s="5">
        <f>VLOOKUP($A56,'SegEnds_NonXtal_Prot#'!$A:$AL,15,FALSE)</f>
        <v>106</v>
      </c>
      <c r="W56" s="5">
        <f>VLOOKUP($A56,'SegEnds_NonXtal_Prot#'!$A:$AL,18,FALSE)</f>
        <v>142</v>
      </c>
      <c r="X56" s="5">
        <f>VLOOKUP($A56,'SegEnds_NonXtal_Prot#'!$A:$AL,21,FALSE)</f>
        <v>149</v>
      </c>
      <c r="Y56" s="5">
        <f>VLOOKUP($A56,'SegEnds_NonXtal_Prot#'!$A:$AL,24,FALSE)</f>
        <v>187</v>
      </c>
      <c r="Z56" s="5">
        <f>VLOOKUP($A56,'SegEnds_NonXtal_Prot#'!$A:$AL,27,FALSE)</f>
        <v>199</v>
      </c>
      <c r="AA56" s="5">
        <f>VLOOKUP($A56,'SegEnds_NonXtal_Prot#'!$A:$AL,30,FALSE)</f>
        <v>240</v>
      </c>
      <c r="AB56" s="5">
        <f>VLOOKUP($A56,'SegEnds_NonXtal_Prot#'!$A:$AL,33,FALSE)</f>
        <v>284</v>
      </c>
      <c r="AC56" s="5">
        <f>VLOOKUP($A56,'SegEnds_NonXtal_Prot#'!$A:$AL,36,FALSE)</f>
        <v>310</v>
      </c>
      <c r="AD56" s="5">
        <f>VLOOKUP($A56,'SegEnds_NonXtal_Prot#'!$A:$AL,5,FALSE)</f>
        <v>65</v>
      </c>
      <c r="AE56" s="5">
        <f>VLOOKUP($A56,'SegEnds_NonXtal_Prot#'!$A:$AL,8,FALSE)</f>
        <v>69</v>
      </c>
      <c r="AF56" s="5">
        <f>VLOOKUP($A56,'SegEnds_NonXtal_Prot#'!$A:$AL,11,FALSE)</f>
        <v>100</v>
      </c>
      <c r="AG56" s="5">
        <f>VLOOKUP($A56,'SegEnds_NonXtal_Prot#'!$A:$AL,14,FALSE)</f>
        <v>105</v>
      </c>
      <c r="AH56" s="5">
        <f>VLOOKUP($A56,'SegEnds_NonXtal_Prot#'!$A:$AL,17,FALSE)</f>
        <v>141</v>
      </c>
      <c r="AI56" s="5">
        <f>VLOOKUP($A56,'SegEnds_NonXtal_Prot#'!$A:$AL,20,FALSE)</f>
        <v>148</v>
      </c>
      <c r="AJ56" s="5">
        <f>VLOOKUP($A56,'SegEnds_NonXtal_Prot#'!$A:$AL,23,FALSE)</f>
        <v>173</v>
      </c>
      <c r="AK56" s="5">
        <f>VLOOKUP($A56,'SegEnds_NonXtal_Prot#'!$A:$AL,26,FALSE)</f>
        <v>189</v>
      </c>
      <c r="AL56" s="5">
        <f>VLOOKUP($A56,'SegEnds_NonXtal_Prot#'!$A:$AL,29,FALSE)</f>
        <v>237</v>
      </c>
      <c r="AM56" s="5">
        <f>VLOOKUP($A56,'SegEnds_NonXtal_Prot#'!$A:$AL,32,FALSE)</f>
        <v>278</v>
      </c>
      <c r="AN56" s="5">
        <f>VLOOKUP($A56,'SegEnds_NonXtal_Prot#'!$A:$AL,35,FALSE)</f>
        <v>309</v>
      </c>
      <c r="AO56" s="5">
        <f>VLOOKUP($A56,'SegEnds_NonXtal_Prot#'!$A:$AL,38,FALSE)</f>
        <v>322</v>
      </c>
      <c r="AP56" s="5">
        <f t="shared" si="13"/>
        <v>32</v>
      </c>
      <c r="AQ56" s="4">
        <f t="shared" si="14"/>
        <v>3</v>
      </c>
      <c r="AR56" s="4">
        <f t="shared" si="15"/>
        <v>30</v>
      </c>
      <c r="AS56" s="4">
        <f t="shared" si="16"/>
        <v>3</v>
      </c>
      <c r="AT56" s="4">
        <f t="shared" si="17"/>
        <v>35</v>
      </c>
      <c r="AU56" s="4">
        <f t="shared" si="18"/>
        <v>6</v>
      </c>
      <c r="AV56" s="4">
        <f t="shared" si="19"/>
        <v>24</v>
      </c>
      <c r="AW56" s="4">
        <f t="shared" si="20"/>
        <v>2</v>
      </c>
      <c r="AX56" s="4">
        <f t="shared" si="21"/>
        <v>38</v>
      </c>
      <c r="AY56" s="4">
        <f t="shared" si="22"/>
        <v>38</v>
      </c>
      <c r="AZ56" s="4">
        <f t="shared" si="23"/>
        <v>25</v>
      </c>
      <c r="BA56" s="4">
        <f t="shared" si="24"/>
        <v>12</v>
      </c>
    </row>
    <row r="57" spans="1:53" x14ac:dyDescent="0.2">
      <c r="A57" s="1" t="str">
        <f>'SegEnds_NonXtal_Prot#'!A24</f>
        <v>opsd_human</v>
      </c>
      <c r="B57" s="1" t="str">
        <f t="shared" si="0"/>
        <v>PWQFSMLAAYMFLLIVLGFPINFLTLYVTVQHTPLNYILLNLAVADLFMVLGGFTSTLYTSLHGPTGCNLEGFFATLGGEIALWSLVVLAIERYVVVCKGENHAIMGVAFTWVMALACAAPPLANNESFVIYMFVVHFTIPMIIIFFCYGQLVFTVKEAAAQQSATTQKAEKEVTRMVIIMVIAFLICWVPYASVAFYIFTHGPIFMTIPAFFAKSAAIYNPVIYIMMNKQFRNCMLTTIC</v>
      </c>
      <c r="C57" s="29" t="str">
        <f>IF(ISERROR(MATCH(A57,'SegEnds_Xtal_Prot#'!B:B, 0)), "NoXtal", "Xtal")</f>
        <v>Xtal</v>
      </c>
      <c r="D57" s="4" t="str">
        <f>VLOOKUP(A57,Classification!A:D,2,FALSE)</f>
        <v>A</v>
      </c>
      <c r="E57" s="5" t="str">
        <f>VLOOKUP(A57,Seqs!A:B,2,FALSE)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F57" s="5" t="str">
        <f t="shared" si="1"/>
        <v>PWQFSMLAAYMFLLIVLGFPINFLTLYVTVQH</v>
      </c>
      <c r="G57" s="4" t="str">
        <f t="shared" si="2"/>
        <v>KKLR</v>
      </c>
      <c r="H57" s="4" t="str">
        <f t="shared" si="3"/>
        <v>TPLNYILLNLAVADLFMVLGGFTSTLYTSLH</v>
      </c>
      <c r="I57" s="4" t="str">
        <f t="shared" si="4"/>
        <v>YFVF</v>
      </c>
      <c r="J57" s="4" t="str">
        <f t="shared" si="5"/>
        <v>GPTGCNLEGFFATLGGEIALWSLVVLAIERYVVVCK</v>
      </c>
      <c r="K57" s="4" t="str">
        <f t="shared" si="6"/>
        <v>PMSNFRF</v>
      </c>
      <c r="L57" s="4" t="str">
        <f t="shared" si="7"/>
        <v>GENHAIMGVAFTWVMALACAAPPLA</v>
      </c>
      <c r="M57" s="4" t="str">
        <f t="shared" si="8"/>
        <v>CGI</v>
      </c>
      <c r="N57" s="4" t="str">
        <f t="shared" si="9"/>
        <v>NNESFVIYMFVVHFTIPMIIIFFCYGQLVFTVKEAAAQQ</v>
      </c>
      <c r="O57" s="4" t="str">
        <f t="shared" si="10"/>
        <v>SATTQKAEKEVTRMVIIMVIAFLICWVPYASVAFYIFTH</v>
      </c>
      <c r="P57" s="4" t="str">
        <f t="shared" si="11"/>
        <v>GPIFMTIPAFFAKSAAIYNPVIYIMM</v>
      </c>
      <c r="Q57" s="4" t="str">
        <f t="shared" si="12"/>
        <v>NKQFRNCMLTTIC</v>
      </c>
      <c r="R57" s="5">
        <f>VLOOKUP($A57,'SegEnds_NonXtal_Prot#'!$A:$AL,3,FALSE)</f>
        <v>34</v>
      </c>
      <c r="S57" s="5">
        <f>VLOOKUP($A57,'SegEnds_NonXtal_Prot#'!$A:$AL,6,FALSE)</f>
        <v>66</v>
      </c>
      <c r="T57" s="5">
        <f>VLOOKUP($A57,'SegEnds_NonXtal_Prot#'!$A:$AL,9,FALSE)</f>
        <v>70</v>
      </c>
      <c r="U57" s="5">
        <f>VLOOKUP($A57,'SegEnds_NonXtal_Prot#'!$A:$AL,12,FALSE)</f>
        <v>102</v>
      </c>
      <c r="V57" s="5">
        <f>VLOOKUP($A57,'SegEnds_NonXtal_Prot#'!$A:$AL,15,FALSE)</f>
        <v>106</v>
      </c>
      <c r="W57" s="5">
        <f>VLOOKUP($A57,'SegEnds_NonXtal_Prot#'!$A:$AL,18,FALSE)</f>
        <v>142</v>
      </c>
      <c r="X57" s="5">
        <f>VLOOKUP($A57,'SegEnds_NonXtal_Prot#'!$A:$AL,21,FALSE)</f>
        <v>149</v>
      </c>
      <c r="Y57" s="5">
        <f>VLOOKUP($A57,'SegEnds_NonXtal_Prot#'!$A:$AL,24,FALSE)</f>
        <v>187</v>
      </c>
      <c r="Z57" s="5">
        <f>VLOOKUP($A57,'SegEnds_NonXtal_Prot#'!$A:$AL,27,FALSE)</f>
        <v>199</v>
      </c>
      <c r="AA57" s="5">
        <f>VLOOKUP($A57,'SegEnds_NonXtal_Prot#'!$A:$AL,30,FALSE)</f>
        <v>240</v>
      </c>
      <c r="AB57" s="5">
        <f>VLOOKUP($A57,'SegEnds_NonXtal_Prot#'!$A:$AL,33,FALSE)</f>
        <v>284</v>
      </c>
      <c r="AC57" s="5">
        <f>VLOOKUP($A57,'SegEnds_NonXtal_Prot#'!$A:$AL,36,FALSE)</f>
        <v>310</v>
      </c>
      <c r="AD57" s="5">
        <f>VLOOKUP($A57,'SegEnds_NonXtal_Prot#'!$A:$AL,5,FALSE)</f>
        <v>65</v>
      </c>
      <c r="AE57" s="5">
        <f>VLOOKUP($A57,'SegEnds_NonXtal_Prot#'!$A:$AL,8,FALSE)</f>
        <v>69</v>
      </c>
      <c r="AF57" s="5">
        <f>VLOOKUP($A57,'SegEnds_NonXtal_Prot#'!$A:$AL,11,FALSE)</f>
        <v>100</v>
      </c>
      <c r="AG57" s="5">
        <f>VLOOKUP($A57,'SegEnds_NonXtal_Prot#'!$A:$AL,14,FALSE)</f>
        <v>105</v>
      </c>
      <c r="AH57" s="5">
        <f>VLOOKUP($A57,'SegEnds_NonXtal_Prot#'!$A:$AL,17,FALSE)</f>
        <v>141</v>
      </c>
      <c r="AI57" s="5">
        <f>VLOOKUP($A57,'SegEnds_NonXtal_Prot#'!$A:$AL,20,FALSE)</f>
        <v>148</v>
      </c>
      <c r="AJ57" s="5">
        <f>VLOOKUP($A57,'SegEnds_NonXtal_Prot#'!$A:$AL,23,FALSE)</f>
        <v>173</v>
      </c>
      <c r="AK57" s="5">
        <f>VLOOKUP($A57,'SegEnds_NonXtal_Prot#'!$A:$AL,26,FALSE)</f>
        <v>189</v>
      </c>
      <c r="AL57" s="5">
        <f>VLOOKUP($A57,'SegEnds_NonXtal_Prot#'!$A:$AL,29,FALSE)</f>
        <v>237</v>
      </c>
      <c r="AM57" s="5">
        <f>VLOOKUP($A57,'SegEnds_NonXtal_Prot#'!$A:$AL,32,FALSE)</f>
        <v>278</v>
      </c>
      <c r="AN57" s="5">
        <f>VLOOKUP($A57,'SegEnds_NonXtal_Prot#'!$A:$AL,35,FALSE)</f>
        <v>309</v>
      </c>
      <c r="AO57" s="5">
        <f>VLOOKUP($A57,'SegEnds_NonXtal_Prot#'!$A:$AL,38,FALSE)</f>
        <v>322</v>
      </c>
      <c r="AP57" s="5">
        <f t="shared" si="13"/>
        <v>31</v>
      </c>
      <c r="AQ57" s="4">
        <f t="shared" si="14"/>
        <v>3</v>
      </c>
      <c r="AR57" s="4">
        <f t="shared" si="15"/>
        <v>30</v>
      </c>
      <c r="AS57" s="4">
        <f t="shared" si="16"/>
        <v>3</v>
      </c>
      <c r="AT57" s="4">
        <f t="shared" si="17"/>
        <v>35</v>
      </c>
      <c r="AU57" s="4">
        <f t="shared" si="18"/>
        <v>6</v>
      </c>
      <c r="AV57" s="4">
        <f t="shared" si="19"/>
        <v>24</v>
      </c>
      <c r="AW57" s="4">
        <f t="shared" si="20"/>
        <v>2</v>
      </c>
      <c r="AX57" s="4">
        <f t="shared" si="21"/>
        <v>38</v>
      </c>
      <c r="AY57" s="4">
        <f t="shared" si="22"/>
        <v>38</v>
      </c>
      <c r="AZ57" s="4">
        <f t="shared" si="23"/>
        <v>25</v>
      </c>
      <c r="BA57" s="4">
        <f t="shared" si="24"/>
        <v>12</v>
      </c>
    </row>
    <row r="58" spans="1:53" x14ac:dyDescent="0.2">
      <c r="A58" s="1" t="str">
        <f>'SegEnds_NonXtal_Prot#'!A25</f>
        <v>opsg_human</v>
      </c>
      <c r="B58" s="1" t="str">
        <f t="shared" si="0"/>
        <v>RWVYHLTSVWMIFVVIASVFTNGLVLAATMKFHPLNWILVNLAVADLAETVIASTISVVNQVYGHPMCVLEGYTVSLCGITGLWSLAIISWERWMVVCKDAKLAIVGIAFSWIWAAVWTAPPIFGVQSYMIVLMVTCCITPLSIIVLCYLQVWLAIRAVAKQQSESTQKAEKEVTRMVVVMVLAFCFCWGPYAFFACFAAANHPLMAALPAFFAKSATIYNPVIYVFMNRQFRNCILQLFG</v>
      </c>
      <c r="C58" s="29" t="str">
        <f>IF(ISERROR(MATCH(A58,'SegEnds_Xtal_Prot#'!B:B, 0)), "NoXtal", "Xtal")</f>
        <v>NoXtal</v>
      </c>
      <c r="D58" s="4" t="str">
        <f>VLOOKUP(A58,Classification!A:D,2,FALSE)</f>
        <v>A</v>
      </c>
      <c r="E58" s="5" t="str">
        <f>VLOOKUP(A58,Seqs!A:B,2,FALSE)</f>
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</c>
      <c r="F58" s="5" t="str">
        <f t="shared" si="1"/>
        <v>RWVYHLTSVWMIFVVIASVFTNGLVLAATMKF</v>
      </c>
      <c r="G58" s="4" t="str">
        <f t="shared" si="2"/>
        <v>KKLR</v>
      </c>
      <c r="H58" s="4" t="str">
        <f t="shared" si="3"/>
        <v>HPLNWILVNLAVADLAETVIASTISVVNQVY</v>
      </c>
      <c r="I58" s="4" t="str">
        <f t="shared" si="4"/>
        <v>YFVL</v>
      </c>
      <c r="J58" s="4" t="str">
        <f t="shared" si="5"/>
        <v>GHPMCVLEGYTVSLCGITGLWSLAIISWERWMVVCK</v>
      </c>
      <c r="K58" s="4" t="str">
        <f t="shared" si="6"/>
        <v>PFGNVRF</v>
      </c>
      <c r="L58" s="4" t="str">
        <f t="shared" si="7"/>
        <v>DAKLAIVGIAFSWIWAAVWTAPPIF</v>
      </c>
      <c r="M58" s="4" t="str">
        <f t="shared" si="8"/>
        <v>CGP</v>
      </c>
      <c r="N58" s="4" t="str">
        <f t="shared" si="9"/>
        <v>GVQSYMIVLMVTCCITPLSIIVLCYLQVWLAIRAVAKQQ</v>
      </c>
      <c r="O58" s="4" t="str">
        <f t="shared" si="10"/>
        <v>SESTQKAEKEVTRMVVVMVLAFCFCWGPYAFFACFAAAN</v>
      </c>
      <c r="P58" s="4" t="str">
        <f t="shared" si="11"/>
        <v>HPLMAALPAFFAKSATIYNPVIYVFM</v>
      </c>
      <c r="Q58" s="4" t="str">
        <f t="shared" si="12"/>
        <v>NRQFRNCILQLFG</v>
      </c>
      <c r="R58" s="5">
        <f>VLOOKUP($A58,'SegEnds_NonXtal_Prot#'!$A:$AL,3,FALSE)</f>
        <v>50</v>
      </c>
      <c r="S58" s="5">
        <f>VLOOKUP($A58,'SegEnds_NonXtal_Prot#'!$A:$AL,6,FALSE)</f>
        <v>82</v>
      </c>
      <c r="T58" s="5">
        <f>VLOOKUP($A58,'SegEnds_NonXtal_Prot#'!$A:$AL,9,FALSE)</f>
        <v>86</v>
      </c>
      <c r="U58" s="5">
        <f>VLOOKUP($A58,'SegEnds_NonXtal_Prot#'!$A:$AL,12,FALSE)</f>
        <v>118</v>
      </c>
      <c r="V58" s="5">
        <f>VLOOKUP($A58,'SegEnds_NonXtal_Prot#'!$A:$AL,15,FALSE)</f>
        <v>122</v>
      </c>
      <c r="W58" s="5">
        <f>VLOOKUP($A58,'SegEnds_NonXtal_Prot#'!$A:$AL,18,FALSE)</f>
        <v>158</v>
      </c>
      <c r="X58" s="5">
        <f>VLOOKUP($A58,'SegEnds_NonXtal_Prot#'!$A:$AL,21,FALSE)</f>
        <v>165</v>
      </c>
      <c r="Y58" s="5">
        <f>VLOOKUP($A58,'SegEnds_NonXtal_Prot#'!$A:$AL,24,FALSE)</f>
        <v>203</v>
      </c>
      <c r="Z58" s="5">
        <f>VLOOKUP($A58,'SegEnds_NonXtal_Prot#'!$A:$AL,27,FALSE)</f>
        <v>215</v>
      </c>
      <c r="AA58" s="5">
        <f>VLOOKUP($A58,'SegEnds_NonXtal_Prot#'!$A:$AL,30,FALSE)</f>
        <v>256</v>
      </c>
      <c r="AB58" s="5">
        <f>VLOOKUP($A58,'SegEnds_NonXtal_Prot#'!$A:$AL,33,FALSE)</f>
        <v>300</v>
      </c>
      <c r="AC58" s="5">
        <f>VLOOKUP($A58,'SegEnds_NonXtal_Prot#'!$A:$AL,36,FALSE)</f>
        <v>326</v>
      </c>
      <c r="AD58" s="5">
        <f>VLOOKUP($A58,'SegEnds_NonXtal_Prot#'!$A:$AL,5,FALSE)</f>
        <v>81</v>
      </c>
      <c r="AE58" s="5">
        <f>VLOOKUP($A58,'SegEnds_NonXtal_Prot#'!$A:$AL,8,FALSE)</f>
        <v>85</v>
      </c>
      <c r="AF58" s="5">
        <f>VLOOKUP($A58,'SegEnds_NonXtal_Prot#'!$A:$AL,11,FALSE)</f>
        <v>116</v>
      </c>
      <c r="AG58" s="5">
        <f>VLOOKUP($A58,'SegEnds_NonXtal_Prot#'!$A:$AL,14,FALSE)</f>
        <v>121</v>
      </c>
      <c r="AH58" s="5">
        <f>VLOOKUP($A58,'SegEnds_NonXtal_Prot#'!$A:$AL,17,FALSE)</f>
        <v>157</v>
      </c>
      <c r="AI58" s="5">
        <f>VLOOKUP($A58,'SegEnds_NonXtal_Prot#'!$A:$AL,20,FALSE)</f>
        <v>164</v>
      </c>
      <c r="AJ58" s="5">
        <f>VLOOKUP($A58,'SegEnds_NonXtal_Prot#'!$A:$AL,23,FALSE)</f>
        <v>189</v>
      </c>
      <c r="AK58" s="5">
        <f>VLOOKUP($A58,'SegEnds_NonXtal_Prot#'!$A:$AL,26,FALSE)</f>
        <v>205</v>
      </c>
      <c r="AL58" s="5">
        <f>VLOOKUP($A58,'SegEnds_NonXtal_Prot#'!$A:$AL,29,FALSE)</f>
        <v>253</v>
      </c>
      <c r="AM58" s="5">
        <f>VLOOKUP($A58,'SegEnds_NonXtal_Prot#'!$A:$AL,32,FALSE)</f>
        <v>294</v>
      </c>
      <c r="AN58" s="5">
        <f>VLOOKUP($A58,'SegEnds_NonXtal_Prot#'!$A:$AL,35,FALSE)</f>
        <v>325</v>
      </c>
      <c r="AO58" s="5">
        <f>VLOOKUP($A58,'SegEnds_NonXtal_Prot#'!$A:$AL,38,FALSE)</f>
        <v>338</v>
      </c>
      <c r="AP58" s="5">
        <f t="shared" si="13"/>
        <v>31</v>
      </c>
      <c r="AQ58" s="4">
        <f t="shared" si="14"/>
        <v>3</v>
      </c>
      <c r="AR58" s="4">
        <f t="shared" si="15"/>
        <v>30</v>
      </c>
      <c r="AS58" s="4">
        <f t="shared" si="16"/>
        <v>3</v>
      </c>
      <c r="AT58" s="4">
        <f t="shared" si="17"/>
        <v>35</v>
      </c>
      <c r="AU58" s="4">
        <f t="shared" si="18"/>
        <v>6</v>
      </c>
      <c r="AV58" s="4">
        <f t="shared" si="19"/>
        <v>24</v>
      </c>
      <c r="AW58" s="4">
        <f t="shared" si="20"/>
        <v>2</v>
      </c>
      <c r="AX58" s="4">
        <f t="shared" si="21"/>
        <v>38</v>
      </c>
      <c r="AY58" s="4">
        <f t="shared" si="22"/>
        <v>38</v>
      </c>
      <c r="AZ58" s="4">
        <f t="shared" si="23"/>
        <v>25</v>
      </c>
      <c r="BA58" s="4">
        <f t="shared" si="24"/>
        <v>12</v>
      </c>
    </row>
    <row r="59" spans="1:53" x14ac:dyDescent="0.2">
      <c r="A59" s="1" t="str">
        <f>'SegEnds_NonXtal_Prot#'!A26</f>
        <v>opsr_human</v>
      </c>
      <c r="B59" s="1" t="str">
        <f t="shared" si="0"/>
        <v>RWVYHLTSVWMIFVVTASVFTNGLVLAATMKFHPLNWILVNLAVADLAETVIASTISIVNQVSLGHPMCVLEGYTVSLCGITGLWSLAIISWERWLVVCKDAKLAIVGIAFSWIWSAVWTAPPIFGVQSYMIVLMVTCCIIPLAIIMLCYLQVWLAIRAVAKQQSESTQKAEKEVTRMVVVMIFAYCVCWGPYTFFACFAAANHPLMAALPAYFAKSATIYNPVIYVFMNRQFRNCILQLFG</v>
      </c>
      <c r="C59" s="29" t="str">
        <f>IF(ISERROR(MATCH(A59,'SegEnds_Xtal_Prot#'!B:B, 0)), "NoXtal", "Xtal")</f>
        <v>NoXtal</v>
      </c>
      <c r="D59" s="4" t="str">
        <f>VLOOKUP(A59,Classification!A:D,2,FALSE)</f>
        <v>A</v>
      </c>
      <c r="E59" s="5" t="str">
        <f>VLOOKUP(A59,Seqs!A:B,2,FALSE)</f>
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</c>
      <c r="F59" s="5" t="str">
        <f t="shared" si="1"/>
        <v>RWVYHLTSVWMIFVVTASVFTNGLVLAATMKF</v>
      </c>
      <c r="G59" s="4" t="str">
        <f t="shared" si="2"/>
        <v>KKLR</v>
      </c>
      <c r="H59" s="4" t="str">
        <f t="shared" si="3"/>
        <v>HPLNWILVNLAVADLAETVIASTISIVNQVS</v>
      </c>
      <c r="I59" s="4" t="str">
        <f t="shared" si="4"/>
        <v>GYFV</v>
      </c>
      <c r="J59" s="4" t="str">
        <f t="shared" si="5"/>
        <v>LGHPMCVLEGYTVSLCGITGLWSLAIISWERWLVVCK</v>
      </c>
      <c r="K59" s="4" t="str">
        <f t="shared" si="6"/>
        <v>PFGNVRF</v>
      </c>
      <c r="L59" s="4" t="str">
        <f t="shared" si="7"/>
        <v>DAKLAIVGIAFSWIWSAVWTAPPIF</v>
      </c>
      <c r="M59" s="4" t="str">
        <f t="shared" si="8"/>
        <v>CGP</v>
      </c>
      <c r="N59" s="4" t="str">
        <f t="shared" si="9"/>
        <v>GVQSYMIVLMVTCCIIPLAIIMLCYLQVWLAIRAVAKQQ</v>
      </c>
      <c r="O59" s="4" t="str">
        <f t="shared" si="10"/>
        <v>SESTQKAEKEVTRMVVVMIFAYCVCWGPYTFFACFAAAN</v>
      </c>
      <c r="P59" s="4" t="str">
        <f t="shared" si="11"/>
        <v>HPLMAALPAYFAKSATIYNPVIYVFM</v>
      </c>
      <c r="Q59" s="4" t="str">
        <f t="shared" si="12"/>
        <v>NRQFRNCILQLFG</v>
      </c>
      <c r="R59" s="5">
        <f>VLOOKUP($A59,'SegEnds_NonXtal_Prot#'!$A:$AL,3,FALSE)</f>
        <v>50</v>
      </c>
      <c r="S59" s="5">
        <f>VLOOKUP($A59,'SegEnds_NonXtal_Prot#'!$A:$AL,6,FALSE)</f>
        <v>82</v>
      </c>
      <c r="T59" s="5">
        <f>VLOOKUP($A59,'SegEnds_NonXtal_Prot#'!$A:$AL,9,FALSE)</f>
        <v>86</v>
      </c>
      <c r="U59" s="5">
        <f>VLOOKUP($A59,'SegEnds_NonXtal_Prot#'!$A:$AL,12,FALSE)</f>
        <v>117</v>
      </c>
      <c r="V59" s="5">
        <f>VLOOKUP($A59,'SegEnds_NonXtal_Prot#'!$A:$AL,15,FALSE)</f>
        <v>121</v>
      </c>
      <c r="W59" s="5">
        <f>VLOOKUP($A59,'SegEnds_NonXtal_Prot#'!$A:$AL,18,FALSE)</f>
        <v>158</v>
      </c>
      <c r="X59" s="5">
        <f>VLOOKUP($A59,'SegEnds_NonXtal_Prot#'!$A:$AL,21,FALSE)</f>
        <v>165</v>
      </c>
      <c r="Y59" s="5">
        <f>VLOOKUP($A59,'SegEnds_NonXtal_Prot#'!$A:$AL,24,FALSE)</f>
        <v>203</v>
      </c>
      <c r="Z59" s="5">
        <f>VLOOKUP($A59,'SegEnds_NonXtal_Prot#'!$A:$AL,27,FALSE)</f>
        <v>215</v>
      </c>
      <c r="AA59" s="5">
        <f>VLOOKUP($A59,'SegEnds_NonXtal_Prot#'!$A:$AL,30,FALSE)</f>
        <v>256</v>
      </c>
      <c r="AB59" s="5">
        <f>VLOOKUP($A59,'SegEnds_NonXtal_Prot#'!$A:$AL,33,FALSE)</f>
        <v>300</v>
      </c>
      <c r="AC59" s="5">
        <f>VLOOKUP($A59,'SegEnds_NonXtal_Prot#'!$A:$AL,36,FALSE)</f>
        <v>326</v>
      </c>
      <c r="AD59" s="5">
        <f>VLOOKUP($A59,'SegEnds_NonXtal_Prot#'!$A:$AL,5,FALSE)</f>
        <v>81</v>
      </c>
      <c r="AE59" s="5">
        <f>VLOOKUP($A59,'SegEnds_NonXtal_Prot#'!$A:$AL,8,FALSE)</f>
        <v>85</v>
      </c>
      <c r="AF59" s="5">
        <f>VLOOKUP($A59,'SegEnds_NonXtal_Prot#'!$A:$AL,11,FALSE)</f>
        <v>116</v>
      </c>
      <c r="AG59" s="5">
        <f>VLOOKUP($A59,'SegEnds_NonXtal_Prot#'!$A:$AL,14,FALSE)</f>
        <v>120</v>
      </c>
      <c r="AH59" s="5">
        <f>VLOOKUP($A59,'SegEnds_NonXtal_Prot#'!$A:$AL,17,FALSE)</f>
        <v>157</v>
      </c>
      <c r="AI59" s="5">
        <f>VLOOKUP($A59,'SegEnds_NonXtal_Prot#'!$A:$AL,20,FALSE)</f>
        <v>164</v>
      </c>
      <c r="AJ59" s="5">
        <f>VLOOKUP($A59,'SegEnds_NonXtal_Prot#'!$A:$AL,23,FALSE)</f>
        <v>189</v>
      </c>
      <c r="AK59" s="5">
        <f>VLOOKUP($A59,'SegEnds_NonXtal_Prot#'!$A:$AL,26,FALSE)</f>
        <v>205</v>
      </c>
      <c r="AL59" s="5">
        <f>VLOOKUP($A59,'SegEnds_NonXtal_Prot#'!$A:$AL,29,FALSE)</f>
        <v>253</v>
      </c>
      <c r="AM59" s="5">
        <f>VLOOKUP($A59,'SegEnds_NonXtal_Prot#'!$A:$AL,32,FALSE)</f>
        <v>294</v>
      </c>
      <c r="AN59" s="5">
        <f>VLOOKUP($A59,'SegEnds_NonXtal_Prot#'!$A:$AL,35,FALSE)</f>
        <v>325</v>
      </c>
      <c r="AO59" s="5">
        <f>VLOOKUP($A59,'SegEnds_NonXtal_Prot#'!$A:$AL,38,FALSE)</f>
        <v>338</v>
      </c>
      <c r="AP59" s="5">
        <f t="shared" si="13"/>
        <v>31</v>
      </c>
      <c r="AQ59" s="4">
        <f t="shared" si="14"/>
        <v>3</v>
      </c>
      <c r="AR59" s="4">
        <f t="shared" si="15"/>
        <v>30</v>
      </c>
      <c r="AS59" s="4">
        <f t="shared" si="16"/>
        <v>3</v>
      </c>
      <c r="AT59" s="4">
        <f t="shared" si="17"/>
        <v>36</v>
      </c>
      <c r="AU59" s="4">
        <f t="shared" si="18"/>
        <v>6</v>
      </c>
      <c r="AV59" s="4">
        <f t="shared" si="19"/>
        <v>24</v>
      </c>
      <c r="AW59" s="4">
        <f t="shared" si="20"/>
        <v>2</v>
      </c>
      <c r="AX59" s="4">
        <f t="shared" si="21"/>
        <v>38</v>
      </c>
      <c r="AY59" s="4">
        <f t="shared" si="22"/>
        <v>38</v>
      </c>
      <c r="AZ59" s="4">
        <f t="shared" si="23"/>
        <v>25</v>
      </c>
      <c r="BA59" s="4">
        <f t="shared" si="24"/>
        <v>12</v>
      </c>
    </row>
    <row r="60" spans="1:53" x14ac:dyDescent="0.2">
      <c r="A60" s="1" t="str">
        <f>'SegEnds_NonXtal_Prot#'!A27</f>
        <v>p2y10_human</v>
      </c>
      <c r="B60" s="1" t="str">
        <f t="shared" si="0"/>
        <v>NVKFQYSLYATTYILIFIPGLLANSAALWVLCRFINKAIIFMINLSVADLAHVLSLPLRIYYYISQRALCLLCFYLKYLNMYASICFLTCISLQRCFFLLKKRRYDVGISAAIWIVVGTACLPFPILVALVGMITVAELAGFVIPVIIIAWCTWKTTISLRQPFQGISERQKALRMVFMCAAVFFICFTPYHINFIFYTMVKETSCPVVRIALYFHPFCLCLASLCCLLDPILYYFMASEFRDQLSRHGSSVTR</v>
      </c>
      <c r="C60" s="29" t="str">
        <f>IF(ISERROR(MATCH(A60,'SegEnds_Xtal_Prot#'!B:B, 0)), "NoXtal", "Xtal")</f>
        <v>NoXtal</v>
      </c>
      <c r="D60" s="4" t="str">
        <f>VLOOKUP(A60,Classification!A:D,2,FALSE)</f>
        <v>A</v>
      </c>
      <c r="E60" s="5" t="str">
        <f>VLOOKUP(A60,Seqs!A:B,2,FALSE)</f>
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</c>
      <c r="F60" s="5" t="str">
        <f t="shared" si="1"/>
        <v>NVKFQYSLYATTYILIFIPGLLANSAALWVLCRFI</v>
      </c>
      <c r="G60" s="4" t="str">
        <f t="shared" si="2"/>
        <v/>
      </c>
      <c r="H60" s="4" t="str">
        <f t="shared" si="3"/>
        <v>NKAIIFMINLSVADLAHVLSLPLRIYYYIS</v>
      </c>
      <c r="I60" s="4" t="str">
        <f t="shared" si="4"/>
        <v>HWPF</v>
      </c>
      <c r="J60" s="4" t="str">
        <f t="shared" si="5"/>
        <v>QRALCLLCFYLKYLNMYASICFLTCISLQRCFFLLK</v>
      </c>
      <c r="K60" s="4" t="str">
        <f t="shared" si="6"/>
        <v>PFRARDW</v>
      </c>
      <c r="L60" s="4" t="str">
        <f t="shared" si="7"/>
        <v>KRRYDVGISAAIWIVVGTACLPFPIL</v>
      </c>
      <c r="M60" s="4" t="str">
        <f t="shared" si="8"/>
        <v>CFA</v>
      </c>
      <c r="N60" s="4" t="str">
        <f t="shared" si="9"/>
        <v>VALVGMITVAELAGFVIPVIIIAWCTWKTTISLRQP</v>
      </c>
      <c r="O60" s="4" t="str">
        <f t="shared" si="10"/>
        <v>FQGISERQKALRMVFMCAAVFFICFTPYHINFIFYTMVKET</v>
      </c>
      <c r="P60" s="4" t="str">
        <f t="shared" si="11"/>
        <v>SCPVVRIALYFHPFCLCLASLCCLLDPILYYFMASE</v>
      </c>
      <c r="Q60" s="4" t="str">
        <f t="shared" si="12"/>
        <v>FRDQLSRHGSSVTR</v>
      </c>
      <c r="R60" s="5">
        <f>VLOOKUP($A60,'SegEnds_NonXtal_Prot#'!$A:$AL,3,FALSE)</f>
        <v>29</v>
      </c>
      <c r="S60" s="5" t="str">
        <f>VLOOKUP($A60,'SegEnds_NonXtal_Prot#'!$A:$AL,6,FALSE)</f>
        <v>-</v>
      </c>
      <c r="T60" s="5">
        <f>VLOOKUP($A60,'SegEnds_NonXtal_Prot#'!$A:$AL,9,FALSE)</f>
        <v>67</v>
      </c>
      <c r="U60" s="5">
        <f>VLOOKUP($A60,'SegEnds_NonXtal_Prot#'!$A:$AL,12,FALSE)</f>
        <v>98</v>
      </c>
      <c r="V60" s="5">
        <f>VLOOKUP($A60,'SegEnds_NonXtal_Prot#'!$A:$AL,15,FALSE)</f>
        <v>102</v>
      </c>
      <c r="W60" s="5">
        <f>VLOOKUP($A60,'SegEnds_NonXtal_Prot#'!$A:$AL,18,FALSE)</f>
        <v>138</v>
      </c>
      <c r="X60" s="5">
        <f>VLOOKUP($A60,'SegEnds_NonXtal_Prot#'!$A:$AL,21,FALSE)</f>
        <v>145</v>
      </c>
      <c r="Y60" s="5">
        <f>VLOOKUP($A60,'SegEnds_NonXtal_Prot#'!$A:$AL,24,FALSE)</f>
        <v>181</v>
      </c>
      <c r="Z60" s="5">
        <f>VLOOKUP($A60,'SegEnds_NonXtal_Prot#'!$A:$AL,27,FALSE)</f>
        <v>193</v>
      </c>
      <c r="AA60" s="5">
        <f>VLOOKUP($A60,'SegEnds_NonXtal_Prot#'!$A:$AL,30,FALSE)</f>
        <v>232</v>
      </c>
      <c r="AB60" s="5">
        <f>VLOOKUP($A60,'SegEnds_NonXtal_Prot#'!$A:$AL,33,FALSE)</f>
        <v>276</v>
      </c>
      <c r="AC60" s="5">
        <f>VLOOKUP($A60,'SegEnds_NonXtal_Prot#'!$A:$AL,36,FALSE)</f>
        <v>312</v>
      </c>
      <c r="AD60" s="5">
        <f>VLOOKUP($A60,'SegEnds_NonXtal_Prot#'!$A:$AL,5,FALSE)</f>
        <v>63</v>
      </c>
      <c r="AE60" s="5" t="str">
        <f>VLOOKUP($A60,'SegEnds_NonXtal_Prot#'!$A:$AL,8,FALSE)</f>
        <v>-</v>
      </c>
      <c r="AF60" s="5">
        <f>VLOOKUP($A60,'SegEnds_NonXtal_Prot#'!$A:$AL,11,FALSE)</f>
        <v>96</v>
      </c>
      <c r="AG60" s="5">
        <f>VLOOKUP($A60,'SegEnds_NonXtal_Prot#'!$A:$AL,14,FALSE)</f>
        <v>101</v>
      </c>
      <c r="AH60" s="5">
        <f>VLOOKUP($A60,'SegEnds_NonXtal_Prot#'!$A:$AL,17,FALSE)</f>
        <v>137</v>
      </c>
      <c r="AI60" s="5">
        <f>VLOOKUP($A60,'SegEnds_NonXtal_Prot#'!$A:$AL,20,FALSE)</f>
        <v>144</v>
      </c>
      <c r="AJ60" s="5">
        <f>VLOOKUP($A60,'SegEnds_NonXtal_Prot#'!$A:$AL,23,FALSE)</f>
        <v>170</v>
      </c>
      <c r="AK60" s="5">
        <f>VLOOKUP($A60,'SegEnds_NonXtal_Prot#'!$A:$AL,26,FALSE)</f>
        <v>183</v>
      </c>
      <c r="AL60" s="5">
        <f>VLOOKUP($A60,'SegEnds_NonXtal_Prot#'!$A:$AL,29,FALSE)</f>
        <v>228</v>
      </c>
      <c r="AM60" s="5">
        <f>VLOOKUP($A60,'SegEnds_NonXtal_Prot#'!$A:$AL,32,FALSE)</f>
        <v>272</v>
      </c>
      <c r="AN60" s="5">
        <f>VLOOKUP($A60,'SegEnds_NonXtal_Prot#'!$A:$AL,35,FALSE)</f>
        <v>311</v>
      </c>
      <c r="AO60" s="5">
        <f>VLOOKUP($A60,'SegEnds_NonXtal_Prot#'!$A:$AL,38,FALSE)</f>
        <v>325</v>
      </c>
      <c r="AP60" s="5">
        <f t="shared" si="13"/>
        <v>34</v>
      </c>
      <c r="AQ60" s="4" t="str">
        <f t="shared" si="14"/>
        <v>-</v>
      </c>
      <c r="AR60" s="4">
        <f t="shared" si="15"/>
        <v>29</v>
      </c>
      <c r="AS60" s="4">
        <f t="shared" si="16"/>
        <v>3</v>
      </c>
      <c r="AT60" s="4">
        <f t="shared" si="17"/>
        <v>35</v>
      </c>
      <c r="AU60" s="4">
        <f t="shared" si="18"/>
        <v>6</v>
      </c>
      <c r="AV60" s="4">
        <f t="shared" si="19"/>
        <v>25</v>
      </c>
      <c r="AW60" s="4">
        <f t="shared" si="20"/>
        <v>2</v>
      </c>
      <c r="AX60" s="4">
        <f t="shared" si="21"/>
        <v>35</v>
      </c>
      <c r="AY60" s="4">
        <f t="shared" si="22"/>
        <v>40</v>
      </c>
      <c r="AZ60" s="4">
        <f t="shared" si="23"/>
        <v>35</v>
      </c>
      <c r="BA60" s="4">
        <f t="shared" si="24"/>
        <v>13</v>
      </c>
    </row>
    <row r="61" spans="1:53" x14ac:dyDescent="0.2">
      <c r="A61" s="1" t="str">
        <f>'SegEnds_NonXtal_Prot#'!A29</f>
        <v>rxfp1_human</v>
      </c>
      <c r="B61" s="1" t="str">
        <f t="shared" si="0"/>
        <v>LLASIIQRVFVWVVSAVTCFGNIFVICMRPYIKLYAMSIISLCCADCLMGIYLFVIGGFDLKFLWMESTHCQLVGSLAILSTEVSVLLLTFLTLEKYICIVYGKCRTITVLILIWITGFIVAFIPLSNAQIYSVAIFLGINLAAFIIIVFSYGSMFYSVHQSAITAIRNQVKKEMILAKRFFFIVFTDALCWIPIFVVKFLSLLQGTITSWVVIFILPINSALNPILYTLTTRPFKEMIHRFWYNYRQRKSMDS</v>
      </c>
      <c r="C61" s="29" t="str">
        <f>IF(ISERROR(MATCH(A61,'SegEnds_Xtal_Prot#'!B:B, 0)), "NoXtal", "Xtal")</f>
        <v>NoXtal</v>
      </c>
      <c r="D61" s="4" t="str">
        <f>VLOOKUP(A61,Classification!A:D,2,FALSE)</f>
        <v>A</v>
      </c>
      <c r="E61" s="5" t="str">
        <f>VLOOKUP(A61,Seqs!A:B,2,FALSE)</f>
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</c>
      <c r="F61" s="5" t="str">
        <f t="shared" si="1"/>
        <v>LLASIIQRVFVWVVSAVTCFGNIFVICMRPYI</v>
      </c>
      <c r="G61" s="4" t="str">
        <f t="shared" si="2"/>
        <v>RSEN</v>
      </c>
      <c r="H61" s="4" t="str">
        <f t="shared" si="3"/>
        <v>KLYAMSIISLCCADCLMGIYLFVIGGFDLKF</v>
      </c>
      <c r="I61" s="4" t="str">
        <f t="shared" si="4"/>
        <v/>
      </c>
      <c r="J61" s="4" t="str">
        <f t="shared" si="5"/>
        <v>LWMESTHCQLVGSLAILSTEVSVLLLTFLTLEKYICIVY</v>
      </c>
      <c r="K61" s="4" t="str">
        <f t="shared" si="6"/>
        <v>PFRCVRP</v>
      </c>
      <c r="L61" s="4" t="str">
        <f t="shared" si="7"/>
        <v>GKCRTITVLILIWITGFIVAFIPLSN</v>
      </c>
      <c r="M61" s="4" t="str">
        <f t="shared" si="8"/>
        <v>CFP</v>
      </c>
      <c r="N61" s="4" t="str">
        <f t="shared" si="9"/>
        <v>AQIYSVAIFLGINLAAFIIIVFSYGSMFYSVHQSAITA</v>
      </c>
      <c r="O61" s="4" t="str">
        <f t="shared" si="10"/>
        <v>IRNQVKKEMILAKRFFFIVFTDALCWIPIFVVKFLSLLQ</v>
      </c>
      <c r="P61" s="4" t="str">
        <f t="shared" si="11"/>
        <v>GTITSWVVIFILPINSALNPILYTLT</v>
      </c>
      <c r="Q61" s="4" t="str">
        <f t="shared" si="12"/>
        <v>TRPFKEMIHRFWYNYRQRKSMDS</v>
      </c>
      <c r="R61" s="5">
        <f>VLOOKUP($A61,'SegEnds_NonXtal_Prot#'!$A:$AL,3,FALSE)</f>
        <v>402</v>
      </c>
      <c r="S61" s="5">
        <f>VLOOKUP($A61,'SegEnds_NonXtal_Prot#'!$A:$AL,6,FALSE)</f>
        <v>434</v>
      </c>
      <c r="T61" s="5">
        <f>VLOOKUP($A61,'SegEnds_NonXtal_Prot#'!$A:$AL,9,FALSE)</f>
        <v>438</v>
      </c>
      <c r="U61" s="5" t="str">
        <f>VLOOKUP($A61,'SegEnds_NonXtal_Prot#'!$A:$AL,12,FALSE)</f>
        <v>-</v>
      </c>
      <c r="V61" s="5">
        <f>VLOOKUP($A61,'SegEnds_NonXtal_Prot#'!$A:$AL,15,FALSE)</f>
        <v>478</v>
      </c>
      <c r="W61" s="5">
        <f>VLOOKUP($A61,'SegEnds_NonXtal_Prot#'!$A:$AL,18,FALSE)</f>
        <v>517</v>
      </c>
      <c r="X61" s="5">
        <f>VLOOKUP($A61,'SegEnds_NonXtal_Prot#'!$A:$AL,21,FALSE)</f>
        <v>524</v>
      </c>
      <c r="Y61" s="5">
        <f>VLOOKUP($A61,'SegEnds_NonXtal_Prot#'!$A:$AL,24,FALSE)</f>
        <v>563</v>
      </c>
      <c r="Z61" s="5">
        <f>VLOOKUP($A61,'SegEnds_NonXtal_Prot#'!$A:$AL,27,FALSE)</f>
        <v>576</v>
      </c>
      <c r="AA61" s="5">
        <f>VLOOKUP($A61,'SegEnds_NonXtal_Prot#'!$A:$AL,30,FALSE)</f>
        <v>616</v>
      </c>
      <c r="AB61" s="5">
        <f>VLOOKUP($A61,'SegEnds_NonXtal_Prot#'!$A:$AL,33,FALSE)</f>
        <v>659</v>
      </c>
      <c r="AC61" s="5">
        <f>VLOOKUP($A61,'SegEnds_NonXtal_Prot#'!$A:$AL,36,FALSE)</f>
        <v>685</v>
      </c>
      <c r="AD61" s="5">
        <f>VLOOKUP($A61,'SegEnds_NonXtal_Prot#'!$A:$AL,5,FALSE)</f>
        <v>433</v>
      </c>
      <c r="AE61" s="5">
        <f>VLOOKUP($A61,'SegEnds_NonXtal_Prot#'!$A:$AL,8,FALSE)</f>
        <v>437</v>
      </c>
      <c r="AF61" s="5">
        <f>VLOOKUP($A61,'SegEnds_NonXtal_Prot#'!$A:$AL,11,FALSE)</f>
        <v>468</v>
      </c>
      <c r="AG61" s="5" t="str">
        <f>VLOOKUP($A61,'SegEnds_NonXtal_Prot#'!$A:$AL,14,FALSE)</f>
        <v>-</v>
      </c>
      <c r="AH61" s="5">
        <f>VLOOKUP($A61,'SegEnds_NonXtal_Prot#'!$A:$AL,17,FALSE)</f>
        <v>516</v>
      </c>
      <c r="AI61" s="5">
        <f>VLOOKUP($A61,'SegEnds_NonXtal_Prot#'!$A:$AL,20,FALSE)</f>
        <v>523</v>
      </c>
      <c r="AJ61" s="5">
        <f>VLOOKUP($A61,'SegEnds_NonXtal_Prot#'!$A:$AL,23,FALSE)</f>
        <v>549</v>
      </c>
      <c r="AK61" s="5">
        <f>VLOOKUP($A61,'SegEnds_NonXtal_Prot#'!$A:$AL,26,FALSE)</f>
        <v>565</v>
      </c>
      <c r="AL61" s="5">
        <f>VLOOKUP($A61,'SegEnds_NonXtal_Prot#'!$A:$AL,29,FALSE)</f>
        <v>613</v>
      </c>
      <c r="AM61" s="5">
        <f>VLOOKUP($A61,'SegEnds_NonXtal_Prot#'!$A:$AL,32,FALSE)</f>
        <v>654</v>
      </c>
      <c r="AN61" s="5">
        <f>VLOOKUP($A61,'SegEnds_NonXtal_Prot#'!$A:$AL,35,FALSE)</f>
        <v>684</v>
      </c>
      <c r="AO61" s="5">
        <f>VLOOKUP($A61,'SegEnds_NonXtal_Prot#'!$A:$AL,38,FALSE)</f>
        <v>707</v>
      </c>
      <c r="AP61" s="5">
        <f t="shared" si="13"/>
        <v>31</v>
      </c>
      <c r="AQ61" s="4">
        <f t="shared" si="14"/>
        <v>3</v>
      </c>
      <c r="AR61" s="4">
        <f t="shared" si="15"/>
        <v>30</v>
      </c>
      <c r="AS61" s="4" t="str">
        <f t="shared" si="16"/>
        <v>-</v>
      </c>
      <c r="AT61" s="4">
        <f t="shared" si="17"/>
        <v>38</v>
      </c>
      <c r="AU61" s="4">
        <f t="shared" si="18"/>
        <v>6</v>
      </c>
      <c r="AV61" s="4">
        <f t="shared" si="19"/>
        <v>25</v>
      </c>
      <c r="AW61" s="4">
        <f t="shared" si="20"/>
        <v>2</v>
      </c>
      <c r="AX61" s="4">
        <f t="shared" si="21"/>
        <v>37</v>
      </c>
      <c r="AY61" s="4">
        <f t="shared" si="22"/>
        <v>38</v>
      </c>
      <c r="AZ61" s="4">
        <f t="shared" si="23"/>
        <v>25</v>
      </c>
      <c r="BA61" s="4">
        <f t="shared" si="24"/>
        <v>22</v>
      </c>
    </row>
    <row r="62" spans="1:53" x14ac:dyDescent="0.2">
      <c r="A62" s="1" t="str">
        <f>'SegEnds_NonXtal_Prot#'!A30</f>
        <v>rxfp2_human</v>
      </c>
      <c r="B62" s="1" t="str">
        <f t="shared" si="0"/>
        <v>LLANNILRIFVWVIAFITCFGNLFVIGMRSFITTHAMSIKILCCADCLMGVYLFFVGIFDIKYLWMESVQCRLMGFLAMLSTEVSVLLLTYLTLEKFLVIVFGKRQTSVILICIWMAGFLIAVIPFWNSKGYSLGIFLGVNLLAFLIIVFSYITMFCSIQKTALQTVRNCFGREVAVANRFFFIVFSDAICWIPVFVVKILSLFRDTMTSWIVIFFLPVNSALNPILYTLTTNFFKDKLKQLLHKHQRKSIFKI</v>
      </c>
      <c r="C62" s="29" t="str">
        <f>IF(ISERROR(MATCH(A62,'SegEnds_Xtal_Prot#'!B:B, 0)), "NoXtal", "Xtal")</f>
        <v>NoXtal</v>
      </c>
      <c r="D62" s="4" t="str">
        <f>VLOOKUP(A62,Classification!A:D,2,FALSE)</f>
        <v>A</v>
      </c>
      <c r="E62" s="5" t="str">
        <f>VLOOKUP(A62,Seqs!A:B,2,FALSE)</f>
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</c>
      <c r="F62" s="5" t="str">
        <f t="shared" si="1"/>
        <v>LLANNILRIFVWVIAFITCFGNLFVIGMRSFI</v>
      </c>
      <c r="G62" s="4" t="str">
        <f t="shared" si="2"/>
        <v>KAEN</v>
      </c>
      <c r="H62" s="4" t="str">
        <f t="shared" si="3"/>
        <v>TTHAMSIKILCCADCLMGVYLFFVGIFDIKY</v>
      </c>
      <c r="I62" s="4" t="str">
        <f t="shared" si="4"/>
        <v>KYAL</v>
      </c>
      <c r="J62" s="4" t="str">
        <f t="shared" si="5"/>
        <v>LWMESVQCRLMGFLAMLSTEVSVLLLTYLTLEKFLVIVF</v>
      </c>
      <c r="K62" s="4" t="str">
        <f t="shared" si="6"/>
        <v>PFSNIRP</v>
      </c>
      <c r="L62" s="4" t="str">
        <f t="shared" si="7"/>
        <v>GKRQTSVILICIWMAGFLIAVIPFWN</v>
      </c>
      <c r="M62" s="4" t="str">
        <f t="shared" si="8"/>
        <v>CFP</v>
      </c>
      <c r="N62" s="4" t="str">
        <f t="shared" si="9"/>
        <v>SKGYSLGIFLGVNLLAFLIIVFSYITMFCSIQKTALQT</v>
      </c>
      <c r="O62" s="4" t="str">
        <f t="shared" si="10"/>
        <v>VRNCFGREVAVANRFFFIVFSDAICWIPVFVVKILSLFR</v>
      </c>
      <c r="P62" s="4" t="str">
        <f t="shared" si="11"/>
        <v>DTMTSWIVIFFLPVNSALNPILYTLT</v>
      </c>
      <c r="Q62" s="4" t="str">
        <f t="shared" si="12"/>
        <v>TNFFKDKLKQLLHKHQRKSIFKI</v>
      </c>
      <c r="R62" s="5">
        <f>VLOOKUP($A62,'SegEnds_NonXtal_Prot#'!$A:$AL,3,FALSE)</f>
        <v>412</v>
      </c>
      <c r="S62" s="5">
        <f>VLOOKUP($A62,'SegEnds_NonXtal_Prot#'!$A:$AL,6,FALSE)</f>
        <v>444</v>
      </c>
      <c r="T62" s="5">
        <f>VLOOKUP($A62,'SegEnds_NonXtal_Prot#'!$A:$AL,9,FALSE)</f>
        <v>448</v>
      </c>
      <c r="U62" s="5">
        <f>VLOOKUP($A62,'SegEnds_NonXtal_Prot#'!$A:$AL,12,FALSE)</f>
        <v>484</v>
      </c>
      <c r="V62" s="5">
        <f>VLOOKUP($A62,'SegEnds_NonXtal_Prot#'!$A:$AL,15,FALSE)</f>
        <v>488</v>
      </c>
      <c r="W62" s="5">
        <f>VLOOKUP($A62,'SegEnds_NonXtal_Prot#'!$A:$AL,18,FALSE)</f>
        <v>527</v>
      </c>
      <c r="X62" s="5">
        <f>VLOOKUP($A62,'SegEnds_NonXtal_Prot#'!$A:$AL,21,FALSE)</f>
        <v>534</v>
      </c>
      <c r="Y62" s="5">
        <f>VLOOKUP($A62,'SegEnds_NonXtal_Prot#'!$A:$AL,24,FALSE)</f>
        <v>573</v>
      </c>
      <c r="Z62" s="5">
        <f>VLOOKUP($A62,'SegEnds_NonXtal_Prot#'!$A:$AL,27,FALSE)</f>
        <v>586</v>
      </c>
      <c r="AA62" s="5">
        <f>VLOOKUP($A62,'SegEnds_NonXtal_Prot#'!$A:$AL,30,FALSE)</f>
        <v>626</v>
      </c>
      <c r="AB62" s="5">
        <f>VLOOKUP($A62,'SegEnds_NonXtal_Prot#'!$A:$AL,33,FALSE)</f>
        <v>669</v>
      </c>
      <c r="AC62" s="5">
        <f>VLOOKUP($A62,'SegEnds_NonXtal_Prot#'!$A:$AL,36,FALSE)</f>
        <v>695</v>
      </c>
      <c r="AD62" s="5">
        <f>VLOOKUP($A62,'SegEnds_NonXtal_Prot#'!$A:$AL,5,FALSE)</f>
        <v>443</v>
      </c>
      <c r="AE62" s="5">
        <f>VLOOKUP($A62,'SegEnds_NonXtal_Prot#'!$A:$AL,8,FALSE)</f>
        <v>447</v>
      </c>
      <c r="AF62" s="5">
        <f>VLOOKUP($A62,'SegEnds_NonXtal_Prot#'!$A:$AL,11,FALSE)</f>
        <v>478</v>
      </c>
      <c r="AG62" s="5">
        <f>VLOOKUP($A62,'SegEnds_NonXtal_Prot#'!$A:$AL,14,FALSE)</f>
        <v>487</v>
      </c>
      <c r="AH62" s="5">
        <f>VLOOKUP($A62,'SegEnds_NonXtal_Prot#'!$A:$AL,17,FALSE)</f>
        <v>526</v>
      </c>
      <c r="AI62" s="5">
        <f>VLOOKUP($A62,'SegEnds_NonXtal_Prot#'!$A:$AL,20,FALSE)</f>
        <v>533</v>
      </c>
      <c r="AJ62" s="5">
        <f>VLOOKUP($A62,'SegEnds_NonXtal_Prot#'!$A:$AL,23,FALSE)</f>
        <v>559</v>
      </c>
      <c r="AK62" s="5">
        <f>VLOOKUP($A62,'SegEnds_NonXtal_Prot#'!$A:$AL,26,FALSE)</f>
        <v>575</v>
      </c>
      <c r="AL62" s="5">
        <f>VLOOKUP($A62,'SegEnds_NonXtal_Prot#'!$A:$AL,29,FALSE)</f>
        <v>623</v>
      </c>
      <c r="AM62" s="5">
        <f>VLOOKUP($A62,'SegEnds_NonXtal_Prot#'!$A:$AL,32,FALSE)</f>
        <v>664</v>
      </c>
      <c r="AN62" s="5">
        <f>VLOOKUP($A62,'SegEnds_NonXtal_Prot#'!$A:$AL,35,FALSE)</f>
        <v>694</v>
      </c>
      <c r="AO62" s="5">
        <f>VLOOKUP($A62,'SegEnds_NonXtal_Prot#'!$A:$AL,38,FALSE)</f>
        <v>717</v>
      </c>
      <c r="AP62" s="5">
        <f t="shared" si="13"/>
        <v>31</v>
      </c>
      <c r="AQ62" s="4">
        <f t="shared" si="14"/>
        <v>3</v>
      </c>
      <c r="AR62" s="4">
        <f t="shared" si="15"/>
        <v>30</v>
      </c>
      <c r="AS62" s="4">
        <f t="shared" si="16"/>
        <v>3</v>
      </c>
      <c r="AT62" s="4">
        <f t="shared" si="17"/>
        <v>38</v>
      </c>
      <c r="AU62" s="4">
        <f t="shared" si="18"/>
        <v>6</v>
      </c>
      <c r="AV62" s="4">
        <f t="shared" si="19"/>
        <v>25</v>
      </c>
      <c r="AW62" s="4">
        <f t="shared" si="20"/>
        <v>2</v>
      </c>
      <c r="AX62" s="4">
        <f t="shared" si="21"/>
        <v>37</v>
      </c>
      <c r="AY62" s="4">
        <f t="shared" si="22"/>
        <v>38</v>
      </c>
      <c r="AZ62" s="4">
        <f t="shared" si="23"/>
        <v>25</v>
      </c>
      <c r="BA62" s="4">
        <f t="shared" si="24"/>
        <v>22</v>
      </c>
    </row>
    <row r="63" spans="1:53" x14ac:dyDescent="0.2">
      <c r="A63" s="1" t="str">
        <f>'SegEnds_NonXtal_Prot#'!A32</f>
        <v>s1pr2_human</v>
      </c>
      <c r="B63" s="1" t="str">
        <f t="shared" si="0"/>
        <v>TTSRQVASAFIVILCCAIVVENLLVLIAVARNSAMYLFLGNLAASDLLAGVAFVANTLLTPVQWFAREGSAFITLSASVFSLLAIAIERHVAIAKKSCRMLLLIGASWLISLVLGGLPILGAKHYVLCVVTIFSIILLAIVALYVRIYCVVRSAAPQTLALLKTVTIVLGVFIVCWLPAFSILLLDYACPILYKAHYFFAVSTLNSLLNPVIYTWRSRDLRREVLRPLQ</v>
      </c>
      <c r="C63" s="29" t="str">
        <f>IF(ISERROR(MATCH(A63,'SegEnds_Xtal_Prot#'!B:B, 0)), "NoXtal", "Xtal")</f>
        <v>NoXtal</v>
      </c>
      <c r="D63" s="4" t="str">
        <f>VLOOKUP(A63,Classification!A:D,2,FALSE)</f>
        <v>A</v>
      </c>
      <c r="E63" s="5" t="str">
        <f>VLOOKUP(A63,Seqs!A:B,2,FALSE)</f>
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</c>
      <c r="F63" s="5" t="str">
        <f t="shared" si="1"/>
        <v>TTSRQVASAFIVILCCAIVVENLLVLIAVARN</v>
      </c>
      <c r="G63" s="4" t="str">
        <f t="shared" si="2"/>
        <v>SKFH</v>
      </c>
      <c r="H63" s="4" t="str">
        <f t="shared" si="3"/>
        <v>SAMYLFLGNLAASDLLAGVAFVANTLL</v>
      </c>
      <c r="I63" s="4" t="str">
        <f t="shared" si="4"/>
        <v>GSVTLRL</v>
      </c>
      <c r="J63" s="4" t="str">
        <f t="shared" si="5"/>
        <v>TPVQWFAREGSAFITLSASVFSLLAIAIERHVAIAK</v>
      </c>
      <c r="K63" s="4" t="str">
        <f t="shared" si="6"/>
        <v>VKLYGSD</v>
      </c>
      <c r="L63" s="4" t="str">
        <f t="shared" si="7"/>
        <v>KSCRMLLLIGASWLISLVLGGLPILG</v>
      </c>
      <c r="M63" s="4" t="str">
        <f t="shared" si="8"/>
        <v/>
      </c>
      <c r="N63" s="4" t="str">
        <f t="shared" si="9"/>
        <v>AKHYVLCVVTIFSIILLAIVALYVRIYCVVRS</v>
      </c>
      <c r="O63" s="4" t="str">
        <f t="shared" si="10"/>
        <v>AAPQTLALLKTVTIVLGVFIVCWLPAFSILLLDYAC</v>
      </c>
      <c r="P63" s="4" t="str">
        <f t="shared" si="11"/>
        <v>PILYKAHYFFAVSTLNSLLNPVIYTWR</v>
      </c>
      <c r="Q63" s="4" t="str">
        <f t="shared" si="12"/>
        <v>SRDLRREVLRPLQ</v>
      </c>
      <c r="R63" s="5">
        <f>VLOOKUP($A63,'SegEnds_NonXtal_Prot#'!$A:$AL,3,FALSE)</f>
        <v>30</v>
      </c>
      <c r="S63" s="5">
        <f>VLOOKUP($A63,'SegEnds_NonXtal_Prot#'!$A:$AL,6,FALSE)</f>
        <v>62</v>
      </c>
      <c r="T63" s="5">
        <f>VLOOKUP($A63,'SegEnds_NonXtal_Prot#'!$A:$AL,9,FALSE)</f>
        <v>66</v>
      </c>
      <c r="U63" s="5">
        <f>VLOOKUP($A63,'SegEnds_NonXtal_Prot#'!$A:$AL,12,FALSE)</f>
        <v>94</v>
      </c>
      <c r="V63" s="5">
        <f>VLOOKUP($A63,'SegEnds_NonXtal_Prot#'!$A:$AL,15,FALSE)</f>
        <v>101</v>
      </c>
      <c r="W63" s="5">
        <f>VLOOKUP($A63,'SegEnds_NonXtal_Prot#'!$A:$AL,18,FALSE)</f>
        <v>137</v>
      </c>
      <c r="X63" s="5">
        <f>VLOOKUP($A63,'SegEnds_NonXtal_Prot#'!$A:$AL,21,FALSE)</f>
        <v>144</v>
      </c>
      <c r="Y63" s="5" t="str">
        <f>VLOOKUP($A63,'SegEnds_NonXtal_Prot#'!$A:$AL,24,FALSE)</f>
        <v>-</v>
      </c>
      <c r="Z63" s="5">
        <f>VLOOKUP($A63,'SegEnds_NonXtal_Prot#'!$A:$AL,27,FALSE)</f>
        <v>187</v>
      </c>
      <c r="AA63" s="5">
        <f>VLOOKUP($A63,'SegEnds_NonXtal_Prot#'!$A:$AL,30,FALSE)</f>
        <v>224</v>
      </c>
      <c r="AB63" s="5">
        <f>VLOOKUP($A63,'SegEnds_NonXtal_Prot#'!$A:$AL,33,FALSE)</f>
        <v>265</v>
      </c>
      <c r="AC63" s="5">
        <f>VLOOKUP($A63,'SegEnds_NonXtal_Prot#'!$A:$AL,36,FALSE)</f>
        <v>292</v>
      </c>
      <c r="AD63" s="5">
        <f>VLOOKUP($A63,'SegEnds_NonXtal_Prot#'!$A:$AL,5,FALSE)</f>
        <v>61</v>
      </c>
      <c r="AE63" s="5">
        <f>VLOOKUP($A63,'SegEnds_NonXtal_Prot#'!$A:$AL,8,FALSE)</f>
        <v>65</v>
      </c>
      <c r="AF63" s="5">
        <f>VLOOKUP($A63,'SegEnds_NonXtal_Prot#'!$A:$AL,11,FALSE)</f>
        <v>92</v>
      </c>
      <c r="AG63" s="5">
        <f>VLOOKUP($A63,'SegEnds_NonXtal_Prot#'!$A:$AL,14,FALSE)</f>
        <v>100</v>
      </c>
      <c r="AH63" s="5">
        <f>VLOOKUP($A63,'SegEnds_NonXtal_Prot#'!$A:$AL,17,FALSE)</f>
        <v>136</v>
      </c>
      <c r="AI63" s="5">
        <f>VLOOKUP($A63,'SegEnds_NonXtal_Prot#'!$A:$AL,20,FALSE)</f>
        <v>143</v>
      </c>
      <c r="AJ63" s="5">
        <f>VLOOKUP($A63,'SegEnds_NonXtal_Prot#'!$A:$AL,23,FALSE)</f>
        <v>169</v>
      </c>
      <c r="AK63" s="5" t="str">
        <f>VLOOKUP($A63,'SegEnds_NonXtal_Prot#'!$A:$AL,26,FALSE)</f>
        <v>-</v>
      </c>
      <c r="AL63" s="5">
        <f>VLOOKUP($A63,'SegEnds_NonXtal_Prot#'!$A:$AL,29,FALSE)</f>
        <v>218</v>
      </c>
      <c r="AM63" s="5">
        <f>VLOOKUP($A63,'SegEnds_NonXtal_Prot#'!$A:$AL,32,FALSE)</f>
        <v>259</v>
      </c>
      <c r="AN63" s="5">
        <f>VLOOKUP($A63,'SegEnds_NonXtal_Prot#'!$A:$AL,35,FALSE)</f>
        <v>291</v>
      </c>
      <c r="AO63" s="5">
        <f>VLOOKUP($A63,'SegEnds_NonXtal_Prot#'!$A:$AL,38,FALSE)</f>
        <v>304</v>
      </c>
      <c r="AP63" s="5">
        <f t="shared" si="13"/>
        <v>31</v>
      </c>
      <c r="AQ63" s="4">
        <f t="shared" si="14"/>
        <v>3</v>
      </c>
      <c r="AR63" s="4">
        <f t="shared" si="15"/>
        <v>26</v>
      </c>
      <c r="AS63" s="4">
        <f t="shared" si="16"/>
        <v>6</v>
      </c>
      <c r="AT63" s="4">
        <f t="shared" si="17"/>
        <v>35</v>
      </c>
      <c r="AU63" s="4">
        <f t="shared" si="18"/>
        <v>6</v>
      </c>
      <c r="AV63" s="4">
        <f t="shared" si="19"/>
        <v>25</v>
      </c>
      <c r="AW63" s="4" t="str">
        <f t="shared" si="20"/>
        <v>-</v>
      </c>
      <c r="AX63" s="4">
        <f t="shared" si="21"/>
        <v>31</v>
      </c>
      <c r="AY63" s="4">
        <f t="shared" si="22"/>
        <v>35</v>
      </c>
      <c r="AZ63" s="4">
        <f t="shared" si="23"/>
        <v>26</v>
      </c>
      <c r="BA63" s="4">
        <f t="shared" si="24"/>
        <v>12</v>
      </c>
    </row>
    <row r="64" spans="1:53" x14ac:dyDescent="0.2">
      <c r="A64" s="1" t="str">
        <f>'SegEnds_NonXtal_Prot#'!A33</f>
        <v>s1pr3_human</v>
      </c>
      <c r="B64" s="1" t="str">
        <f t="shared" si="0"/>
        <v>SEGSTLTTVLFLVICSFIVLENLMVLIAIWKNNRMYFFIGNLALCDLLAGIAYKVNILMSPTVWFLREGSMFVALGASTCSLLAIAIERHLTMIKKRHRVFLLIGMCWLIAFTLGALPILGSKKYIAFCISIFTAILVTIVILYARIYFLVKSSNHNNSERSMALLRTVVIVVSVFIACWSPLFILFLIDVACPILFKAQWFIVLAVLNSAMNPVIYTLASKEMRRAFFRLVC</v>
      </c>
      <c r="C64" s="29" t="str">
        <f>IF(ISERROR(MATCH(A64,'SegEnds_Xtal_Prot#'!B:B, 0)), "NoXtal", "Xtal")</f>
        <v>NoXtal</v>
      </c>
      <c r="D64" s="4" t="str">
        <f>VLOOKUP(A64,Classification!A:D,2,FALSE)</f>
        <v>A</v>
      </c>
      <c r="E64" s="5" t="str">
        <f>VLOOKUP(A64,Seqs!A:B,2,FALSE)</f>
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</c>
      <c r="F64" s="5" t="str">
        <f t="shared" si="1"/>
        <v>SEGSTLTTVLFLVICSFIVLENLMVLIAIWKN</v>
      </c>
      <c r="G64" s="4" t="str">
        <f t="shared" si="2"/>
        <v>NKFH</v>
      </c>
      <c r="H64" s="4" t="str">
        <f t="shared" si="3"/>
        <v>NRMYFFIGNLALCDLLAGIAYKVNILM</v>
      </c>
      <c r="I64" s="4" t="str">
        <f t="shared" si="4"/>
        <v>GKKTFSL</v>
      </c>
      <c r="J64" s="4" t="str">
        <f t="shared" si="5"/>
        <v>SPTVWFLREGSMFVALGASTCSLLAIAIERHLTMIK</v>
      </c>
      <c r="K64" s="4" t="str">
        <f t="shared" si="6"/>
        <v>MRPYDAN</v>
      </c>
      <c r="L64" s="4" t="str">
        <f t="shared" si="7"/>
        <v>KRHRVFLLIGMCWLIAFTLGALPILG</v>
      </c>
      <c r="M64" s="4" t="str">
        <f t="shared" si="8"/>
        <v/>
      </c>
      <c r="N64" s="4" t="str">
        <f t="shared" si="9"/>
        <v>SKKYIAFCISIFTAILVTIVILYARIYFLVKSS</v>
      </c>
      <c r="O64" s="4" t="str">
        <f t="shared" si="10"/>
        <v>NHNNSERSMALLRTVVIVVSVFIACWSPLFILFLIDVAC</v>
      </c>
      <c r="P64" s="4" t="str">
        <f t="shared" si="11"/>
        <v>PILFKAQWFIVLAVLNSAMNPVIYTLA</v>
      </c>
      <c r="Q64" s="4" t="str">
        <f t="shared" si="12"/>
        <v>SKEMRRAFFRLVC</v>
      </c>
      <c r="R64" s="5">
        <f>VLOOKUP($A64,'SegEnds_NonXtal_Prot#'!$A:$AL,3,FALSE)</f>
        <v>36</v>
      </c>
      <c r="S64" s="5">
        <f>VLOOKUP($A64,'SegEnds_NonXtal_Prot#'!$A:$AL,6,FALSE)</f>
        <v>68</v>
      </c>
      <c r="T64" s="5">
        <f>VLOOKUP($A64,'SegEnds_NonXtal_Prot#'!$A:$AL,9,FALSE)</f>
        <v>72</v>
      </c>
      <c r="U64" s="5">
        <f>VLOOKUP($A64,'SegEnds_NonXtal_Prot#'!$A:$AL,12,FALSE)</f>
        <v>100</v>
      </c>
      <c r="V64" s="5">
        <f>VLOOKUP($A64,'SegEnds_NonXtal_Prot#'!$A:$AL,15,FALSE)</f>
        <v>107</v>
      </c>
      <c r="W64" s="5">
        <f>VLOOKUP($A64,'SegEnds_NonXtal_Prot#'!$A:$AL,18,FALSE)</f>
        <v>143</v>
      </c>
      <c r="X64" s="5">
        <f>VLOOKUP($A64,'SegEnds_NonXtal_Prot#'!$A:$AL,21,FALSE)</f>
        <v>150</v>
      </c>
      <c r="Y64" s="5" t="str">
        <f>VLOOKUP($A64,'SegEnds_NonXtal_Prot#'!$A:$AL,24,FALSE)</f>
        <v>-</v>
      </c>
      <c r="Z64" s="5">
        <f>VLOOKUP($A64,'SegEnds_NonXtal_Prot#'!$A:$AL,27,FALSE)</f>
        <v>193</v>
      </c>
      <c r="AA64" s="5">
        <f>VLOOKUP($A64,'SegEnds_NonXtal_Prot#'!$A:$AL,30,FALSE)</f>
        <v>231</v>
      </c>
      <c r="AB64" s="5">
        <f>VLOOKUP($A64,'SegEnds_NonXtal_Prot#'!$A:$AL,33,FALSE)</f>
        <v>275</v>
      </c>
      <c r="AC64" s="5">
        <f>VLOOKUP($A64,'SegEnds_NonXtal_Prot#'!$A:$AL,36,FALSE)</f>
        <v>302</v>
      </c>
      <c r="AD64" s="5">
        <f>VLOOKUP($A64,'SegEnds_NonXtal_Prot#'!$A:$AL,5,FALSE)</f>
        <v>67</v>
      </c>
      <c r="AE64" s="5">
        <f>VLOOKUP($A64,'SegEnds_NonXtal_Prot#'!$A:$AL,8,FALSE)</f>
        <v>71</v>
      </c>
      <c r="AF64" s="5">
        <f>VLOOKUP($A64,'SegEnds_NonXtal_Prot#'!$A:$AL,11,FALSE)</f>
        <v>98</v>
      </c>
      <c r="AG64" s="5">
        <f>VLOOKUP($A64,'SegEnds_NonXtal_Prot#'!$A:$AL,14,FALSE)</f>
        <v>106</v>
      </c>
      <c r="AH64" s="5">
        <f>VLOOKUP($A64,'SegEnds_NonXtal_Prot#'!$A:$AL,17,FALSE)</f>
        <v>142</v>
      </c>
      <c r="AI64" s="5">
        <f>VLOOKUP($A64,'SegEnds_NonXtal_Prot#'!$A:$AL,20,FALSE)</f>
        <v>149</v>
      </c>
      <c r="AJ64" s="5">
        <f>VLOOKUP($A64,'SegEnds_NonXtal_Prot#'!$A:$AL,23,FALSE)</f>
        <v>175</v>
      </c>
      <c r="AK64" s="5" t="str">
        <f>VLOOKUP($A64,'SegEnds_NonXtal_Prot#'!$A:$AL,26,FALSE)</f>
        <v>-</v>
      </c>
      <c r="AL64" s="5">
        <f>VLOOKUP($A64,'SegEnds_NonXtal_Prot#'!$A:$AL,29,FALSE)</f>
        <v>225</v>
      </c>
      <c r="AM64" s="5">
        <f>VLOOKUP($A64,'SegEnds_NonXtal_Prot#'!$A:$AL,32,FALSE)</f>
        <v>269</v>
      </c>
      <c r="AN64" s="5">
        <f>VLOOKUP($A64,'SegEnds_NonXtal_Prot#'!$A:$AL,35,FALSE)</f>
        <v>301</v>
      </c>
      <c r="AO64" s="5">
        <f>VLOOKUP($A64,'SegEnds_NonXtal_Prot#'!$A:$AL,38,FALSE)</f>
        <v>314</v>
      </c>
      <c r="AP64" s="5">
        <f t="shared" si="13"/>
        <v>31</v>
      </c>
      <c r="AQ64" s="4">
        <f t="shared" si="14"/>
        <v>3</v>
      </c>
      <c r="AR64" s="4">
        <f t="shared" si="15"/>
        <v>26</v>
      </c>
      <c r="AS64" s="4">
        <f t="shared" si="16"/>
        <v>6</v>
      </c>
      <c r="AT64" s="4">
        <f t="shared" si="17"/>
        <v>35</v>
      </c>
      <c r="AU64" s="4">
        <f t="shared" si="18"/>
        <v>6</v>
      </c>
      <c r="AV64" s="4">
        <f t="shared" si="19"/>
        <v>25</v>
      </c>
      <c r="AW64" s="4" t="str">
        <f t="shared" si="20"/>
        <v>-</v>
      </c>
      <c r="AX64" s="4">
        <f t="shared" si="21"/>
        <v>32</v>
      </c>
      <c r="AY64" s="4">
        <f t="shared" si="22"/>
        <v>38</v>
      </c>
      <c r="AZ64" s="4">
        <f t="shared" si="23"/>
        <v>26</v>
      </c>
      <c r="BA64" s="4">
        <f t="shared" si="24"/>
        <v>12</v>
      </c>
    </row>
    <row r="65" spans="1:53" x14ac:dyDescent="0.2">
      <c r="A65" s="1" t="str">
        <f>'SegEnds_NonXtal_Prot#'!A34</f>
        <v>s1pr5_human</v>
      </c>
      <c r="B65" s="1" t="str">
        <f t="shared" si="0"/>
        <v>GAGLRADAVVCLAVCAFIVLENLAVLLVLGRHAPMFLLLGSLTLSDLLAGAAYAANILLSPALWFAREGGVFVALTASVLSLLAIALERSLTMARSRGRTLAMAAAAWGVSLLLGLLPALGAKAYVLFCVLAFVGILAAICALYARIYCQVRANARRLPASTRARRKPRSLALLRTLSVVLLAFVACWGPLFLLLLLDVACPVLLQADPFLGLAMANSLLNPIIYTLTNRDLRHALLRLVC</v>
      </c>
      <c r="C65" s="29" t="str">
        <f>IF(ISERROR(MATCH(A65,'SegEnds_Xtal_Prot#'!B:B, 0)), "NoXtal", "Xtal")</f>
        <v>NoXtal</v>
      </c>
      <c r="D65" s="4" t="str">
        <f>VLOOKUP(A65,Classification!A:D,2,FALSE)</f>
        <v>A</v>
      </c>
      <c r="E65" s="5" t="str">
        <f>VLOOKUP(A65,Seqs!A:B,2,FALSE)</f>
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</c>
      <c r="F65" s="5" t="str">
        <f t="shared" si="1"/>
        <v>GAGLRADAVVCLAVCAFIVLENLAVLLVLGRH</v>
      </c>
      <c r="G65" s="4" t="str">
        <f t="shared" si="2"/>
        <v>PRFH</v>
      </c>
      <c r="H65" s="4" t="str">
        <f t="shared" si="3"/>
        <v>APMFLLLGSLTLSDLLAGAAYAANILL</v>
      </c>
      <c r="I65" s="4" t="str">
        <f t="shared" si="4"/>
        <v>GPLTLKL</v>
      </c>
      <c r="J65" s="4" t="str">
        <f t="shared" si="5"/>
        <v>SPALWFAREGGVFVALTASVLSLLAIALERSLTMAR</v>
      </c>
      <c r="K65" s="4" t="str">
        <f t="shared" si="6"/>
        <v>RGPAPVS</v>
      </c>
      <c r="L65" s="4" t="str">
        <f t="shared" si="7"/>
        <v>SRGRTLAMAAAAWGVSLLLGLLPALG</v>
      </c>
      <c r="M65" s="4" t="str">
        <f t="shared" si="8"/>
        <v/>
      </c>
      <c r="N65" s="4" t="str">
        <f t="shared" si="9"/>
        <v>AKAYVLFCVLAFVGILAAICALYARIYCQVRANARRLPA</v>
      </c>
      <c r="O65" s="4" t="str">
        <f t="shared" si="10"/>
        <v>STRARRKPRSLALLRTLSVVLLAFVACWGPLFLLLLLDVAC</v>
      </c>
      <c r="P65" s="4" t="str">
        <f t="shared" si="11"/>
        <v>PVLLQADPFLGLAMANSLLNPIIYTLT</v>
      </c>
      <c r="Q65" s="4" t="str">
        <f t="shared" si="12"/>
        <v>NRDLRHALLRLVC</v>
      </c>
      <c r="R65" s="5">
        <f>VLOOKUP($A65,'SegEnds_NonXtal_Prot#'!$A:$AL,3,FALSE)</f>
        <v>33</v>
      </c>
      <c r="S65" s="5">
        <f>VLOOKUP($A65,'SegEnds_NonXtal_Prot#'!$A:$AL,6,FALSE)</f>
        <v>65</v>
      </c>
      <c r="T65" s="5">
        <f>VLOOKUP($A65,'SegEnds_NonXtal_Prot#'!$A:$AL,9,FALSE)</f>
        <v>69</v>
      </c>
      <c r="U65" s="5">
        <f>VLOOKUP($A65,'SegEnds_NonXtal_Prot#'!$A:$AL,12,FALSE)</f>
        <v>97</v>
      </c>
      <c r="V65" s="5">
        <f>VLOOKUP($A65,'SegEnds_NonXtal_Prot#'!$A:$AL,15,FALSE)</f>
        <v>104</v>
      </c>
      <c r="W65" s="5">
        <f>VLOOKUP($A65,'SegEnds_NonXtal_Prot#'!$A:$AL,18,FALSE)</f>
        <v>140</v>
      </c>
      <c r="X65" s="5">
        <f>VLOOKUP($A65,'SegEnds_NonXtal_Prot#'!$A:$AL,21,FALSE)</f>
        <v>147</v>
      </c>
      <c r="Y65" s="5" t="str">
        <f>VLOOKUP($A65,'SegEnds_NonXtal_Prot#'!$A:$AL,24,FALSE)</f>
        <v>-</v>
      </c>
      <c r="Z65" s="5">
        <f>VLOOKUP($A65,'SegEnds_NonXtal_Prot#'!$A:$AL,27,FALSE)</f>
        <v>190</v>
      </c>
      <c r="AA65" s="5">
        <f>VLOOKUP($A65,'SegEnds_NonXtal_Prot#'!$A:$AL,30,FALSE)</f>
        <v>237</v>
      </c>
      <c r="AB65" s="5">
        <f>VLOOKUP($A65,'SegEnds_NonXtal_Prot#'!$A:$AL,33,FALSE)</f>
        <v>283</v>
      </c>
      <c r="AC65" s="5">
        <f>VLOOKUP($A65,'SegEnds_NonXtal_Prot#'!$A:$AL,36,FALSE)</f>
        <v>310</v>
      </c>
      <c r="AD65" s="5">
        <f>VLOOKUP($A65,'SegEnds_NonXtal_Prot#'!$A:$AL,5,FALSE)</f>
        <v>64</v>
      </c>
      <c r="AE65" s="5">
        <f>VLOOKUP($A65,'SegEnds_NonXtal_Prot#'!$A:$AL,8,FALSE)</f>
        <v>68</v>
      </c>
      <c r="AF65" s="5">
        <f>VLOOKUP($A65,'SegEnds_NonXtal_Prot#'!$A:$AL,11,FALSE)</f>
        <v>95</v>
      </c>
      <c r="AG65" s="5">
        <f>VLOOKUP($A65,'SegEnds_NonXtal_Prot#'!$A:$AL,14,FALSE)</f>
        <v>103</v>
      </c>
      <c r="AH65" s="5">
        <f>VLOOKUP($A65,'SegEnds_NonXtal_Prot#'!$A:$AL,17,FALSE)</f>
        <v>139</v>
      </c>
      <c r="AI65" s="5">
        <f>VLOOKUP($A65,'SegEnds_NonXtal_Prot#'!$A:$AL,20,FALSE)</f>
        <v>146</v>
      </c>
      <c r="AJ65" s="5">
        <f>VLOOKUP($A65,'SegEnds_NonXtal_Prot#'!$A:$AL,23,FALSE)</f>
        <v>172</v>
      </c>
      <c r="AK65" s="5" t="str">
        <f>VLOOKUP($A65,'SegEnds_NonXtal_Prot#'!$A:$AL,26,FALSE)</f>
        <v>-</v>
      </c>
      <c r="AL65" s="5">
        <f>VLOOKUP($A65,'SegEnds_NonXtal_Prot#'!$A:$AL,29,FALSE)</f>
        <v>228</v>
      </c>
      <c r="AM65" s="5">
        <f>VLOOKUP($A65,'SegEnds_NonXtal_Prot#'!$A:$AL,32,FALSE)</f>
        <v>277</v>
      </c>
      <c r="AN65" s="5">
        <f>VLOOKUP($A65,'SegEnds_NonXtal_Prot#'!$A:$AL,35,FALSE)</f>
        <v>309</v>
      </c>
      <c r="AO65" s="5">
        <f>VLOOKUP($A65,'SegEnds_NonXtal_Prot#'!$A:$AL,38,FALSE)</f>
        <v>322</v>
      </c>
      <c r="AP65" s="5">
        <f t="shared" si="13"/>
        <v>31</v>
      </c>
      <c r="AQ65" s="4">
        <f t="shared" si="14"/>
        <v>3</v>
      </c>
      <c r="AR65" s="4">
        <f t="shared" si="15"/>
        <v>26</v>
      </c>
      <c r="AS65" s="4">
        <f t="shared" si="16"/>
        <v>6</v>
      </c>
      <c r="AT65" s="4">
        <f t="shared" si="17"/>
        <v>35</v>
      </c>
      <c r="AU65" s="4">
        <f t="shared" si="18"/>
        <v>6</v>
      </c>
      <c r="AV65" s="4">
        <f t="shared" si="19"/>
        <v>25</v>
      </c>
      <c r="AW65" s="4" t="str">
        <f t="shared" si="20"/>
        <v>-</v>
      </c>
      <c r="AX65" s="4">
        <f t="shared" si="21"/>
        <v>38</v>
      </c>
      <c r="AY65" s="4">
        <f t="shared" si="22"/>
        <v>40</v>
      </c>
      <c r="AZ65" s="4">
        <f t="shared" si="23"/>
        <v>26</v>
      </c>
      <c r="BA65" s="4">
        <f t="shared" si="24"/>
        <v>12</v>
      </c>
    </row>
    <row r="66" spans="1:53" x14ac:dyDescent="0.2">
      <c r="A66" s="1" t="str">
        <f>'SegEnds_NonXtal_Prot#'!A35</f>
        <v>ur2r_human</v>
      </c>
      <c r="B66" s="1" t="str">
        <f t="shared" ref="B66:B129" si="25">F66&amp;H66&amp;J66&amp;L66&amp;N66&amp;O66&amp;P66&amp;Q66</f>
        <v>SSLEDLVATGTIGTLLSAMGVVGVVGNAYTLVVTCRSASMYVYVVNLALADLLYLLSIPFIVATYVTGDVGCRVLFGLDFLTMHASIFTLTVMSSERYAAVLRPKGYRKLLALGTWLLALLLTLPVMLAMWGPRAHRAYLTLLFATSIAGPGLLIGLLYARLARAYRRSQRASPGARALRLVLGIVLLFWACFLPFWLWQLLAQYHAPLAPRTARIVNYLTTCLTYGNSCANPFLYTLLTRNYRDHLRGRVR</v>
      </c>
      <c r="C66" s="29" t="str">
        <f>IF(ISERROR(MATCH(A66,'SegEnds_Xtal_Prot#'!B:B, 0)), "NoXtal", "Xtal")</f>
        <v>NoXtal</v>
      </c>
      <c r="D66" s="4" t="str">
        <f>VLOOKUP(A66,Classification!A:D,2,FALSE)</f>
        <v>A</v>
      </c>
      <c r="E66" s="5" t="str">
        <f>VLOOKUP(A66,Seqs!A:B,2,FALSE)</f>
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</c>
      <c r="F66" s="5" t="str">
        <f t="shared" ref="F66:F129" si="26">IFERROR(MID($E66,R66,(AP66+1)),"")</f>
        <v>SSLEDLVATGTIGTLLSAMGVVGVVGNAYTLVVTCRS</v>
      </c>
      <c r="G66" s="4" t="str">
        <f t="shared" ref="G66:G129" si="27">IFERROR(MID($E66,S66,(AQ66+1)),"")</f>
        <v>LRAV</v>
      </c>
      <c r="H66" s="4" t="str">
        <f t="shared" ref="H66:H129" si="28">IFERROR(MID($E66,T66,(AR66+1)),"")</f>
        <v>ASMYVYVVNLALADLLYLLSIPFIVATYVT</v>
      </c>
      <c r="I66" s="4" t="str">
        <f t="shared" ref="I66:I129" si="29">IFERROR(MID($E66,U66,(AS66+1)),"")</f>
        <v>EWHF</v>
      </c>
      <c r="J66" s="4" t="str">
        <f t="shared" ref="J66:J129" si="30">IFERROR(MID($E66,V66,(AT66+1)),"")</f>
        <v>GDVGCRVLFGLDFLTMHASIFTLTVMSSERYAAVLR</v>
      </c>
      <c r="K66" s="4" t="str">
        <f t="shared" ref="K66:K129" si="31">IFERROR(MID($E66,W66,(AU66+1)),"")</f>
        <v>PLDTVQR</v>
      </c>
      <c r="L66" s="4" t="str">
        <f t="shared" ref="L66:L129" si="32">IFERROR(MID($E66,X66,(AV66+1)),"")</f>
        <v>PKGYRKLLALGTWLLALLLTLPVMLAM</v>
      </c>
      <c r="M66" s="4" t="str">
        <f t="shared" ref="M66:M129" si="33">IFERROR(MID($E66,Y66,(AW66+1)),"")</f>
        <v>CLP</v>
      </c>
      <c r="N66" s="4" t="str">
        <f t="shared" ref="N66:N129" si="34">IFERROR(MID($E66,Z66,(AX66+1)),"")</f>
        <v>WGPRAHRAYLTLLFATSIAGPGLLIGLLYARLARAYRRSQRAS</v>
      </c>
      <c r="O66" s="4" t="str">
        <f t="shared" ref="O66:O129" si="35">IFERROR(MID($E66,AA66,(AY66+1)),"")</f>
        <v>PGARALRLVLGIVLLFWACFLPFWLWQLLAQYH</v>
      </c>
      <c r="P66" s="4" t="str">
        <f t="shared" ref="P66:P129" si="36">IFERROR(MID($E66,AB66,(AZ66+1)),"")</f>
        <v>APLAPRTARIVNYLTTCLTYGNSCANPFLYTLL</v>
      </c>
      <c r="Q66" s="4" t="str">
        <f t="shared" ref="Q66:Q129" si="37">IFERROR(MID($E66,AC66,(BA66+1)),"")</f>
        <v>TRNYRDHLRGRVR</v>
      </c>
      <c r="R66" s="5">
        <f>VLOOKUP($A66,'SegEnds_NonXtal_Prot#'!$A:$AL,3,FALSE)</f>
        <v>43</v>
      </c>
      <c r="S66" s="5">
        <f>VLOOKUP($A66,'SegEnds_NonXtal_Prot#'!$A:$AL,6,FALSE)</f>
        <v>80</v>
      </c>
      <c r="T66" s="5">
        <f>VLOOKUP($A66,'SegEnds_NonXtal_Prot#'!$A:$AL,9,FALSE)</f>
        <v>84</v>
      </c>
      <c r="U66" s="5">
        <f>VLOOKUP($A66,'SegEnds_NonXtal_Prot#'!$A:$AL,12,FALSE)</f>
        <v>115</v>
      </c>
      <c r="V66" s="5">
        <f>VLOOKUP($A66,'SegEnds_NonXtal_Prot#'!$A:$AL,15,FALSE)</f>
        <v>119</v>
      </c>
      <c r="W66" s="5">
        <f>VLOOKUP($A66,'SegEnds_NonXtal_Prot#'!$A:$AL,18,FALSE)</f>
        <v>155</v>
      </c>
      <c r="X66" s="5">
        <f>VLOOKUP($A66,'SegEnds_NonXtal_Prot#'!$A:$AL,21,FALSE)</f>
        <v>162</v>
      </c>
      <c r="Y66" s="5">
        <f>VLOOKUP($A66,'SegEnds_NonXtal_Prot#'!$A:$AL,24,FALSE)</f>
        <v>199</v>
      </c>
      <c r="Z66" s="5">
        <f>VLOOKUP($A66,'SegEnds_NonXtal_Prot#'!$A:$AL,27,FALSE)</f>
        <v>203</v>
      </c>
      <c r="AA66" s="5">
        <f>VLOOKUP($A66,'SegEnds_NonXtal_Prot#'!$A:$AL,30,FALSE)</f>
        <v>252</v>
      </c>
      <c r="AB66" s="5">
        <f>VLOOKUP($A66,'SegEnds_NonXtal_Prot#'!$A:$AL,33,FALSE)</f>
        <v>286</v>
      </c>
      <c r="AC66" s="5">
        <f>VLOOKUP($A66,'SegEnds_NonXtal_Prot#'!$A:$AL,36,FALSE)</f>
        <v>319</v>
      </c>
      <c r="AD66" s="5">
        <f>VLOOKUP($A66,'SegEnds_NonXtal_Prot#'!$A:$AL,5,FALSE)</f>
        <v>79</v>
      </c>
      <c r="AE66" s="5">
        <f>VLOOKUP($A66,'SegEnds_NonXtal_Prot#'!$A:$AL,8,FALSE)</f>
        <v>83</v>
      </c>
      <c r="AF66" s="5">
        <f>VLOOKUP($A66,'SegEnds_NonXtal_Prot#'!$A:$AL,11,FALSE)</f>
        <v>113</v>
      </c>
      <c r="AG66" s="5">
        <f>VLOOKUP($A66,'SegEnds_NonXtal_Prot#'!$A:$AL,14,FALSE)</f>
        <v>118</v>
      </c>
      <c r="AH66" s="5">
        <f>VLOOKUP($A66,'SegEnds_NonXtal_Prot#'!$A:$AL,17,FALSE)</f>
        <v>154</v>
      </c>
      <c r="AI66" s="5">
        <f>VLOOKUP($A66,'SegEnds_NonXtal_Prot#'!$A:$AL,20,FALSE)</f>
        <v>161</v>
      </c>
      <c r="AJ66" s="5">
        <f>VLOOKUP($A66,'SegEnds_NonXtal_Prot#'!$A:$AL,23,FALSE)</f>
        <v>188</v>
      </c>
      <c r="AK66" s="5">
        <f>VLOOKUP($A66,'SegEnds_NonXtal_Prot#'!$A:$AL,26,FALSE)</f>
        <v>201</v>
      </c>
      <c r="AL66" s="5">
        <f>VLOOKUP($A66,'SegEnds_NonXtal_Prot#'!$A:$AL,29,FALSE)</f>
        <v>245</v>
      </c>
      <c r="AM66" s="5">
        <f>VLOOKUP($A66,'SegEnds_NonXtal_Prot#'!$A:$AL,32,FALSE)</f>
        <v>284</v>
      </c>
      <c r="AN66" s="5">
        <f>VLOOKUP($A66,'SegEnds_NonXtal_Prot#'!$A:$AL,35,FALSE)</f>
        <v>318</v>
      </c>
      <c r="AO66" s="5">
        <f>VLOOKUP($A66,'SegEnds_NonXtal_Prot#'!$A:$AL,38,FALSE)</f>
        <v>331</v>
      </c>
      <c r="AP66" s="5">
        <f t="shared" ref="AP66:AP129" si="38">IFERROR(AD66-R66,"-")</f>
        <v>36</v>
      </c>
      <c r="AQ66" s="4">
        <f t="shared" ref="AQ66:AQ129" si="39">IFERROR(AE66-S66,"-")</f>
        <v>3</v>
      </c>
      <c r="AR66" s="4">
        <f t="shared" ref="AR66:AR129" si="40">IFERROR(AF66-T66,"-")</f>
        <v>29</v>
      </c>
      <c r="AS66" s="4">
        <f t="shared" ref="AS66:AS129" si="41">IFERROR(AG66-U66,"-")</f>
        <v>3</v>
      </c>
      <c r="AT66" s="4">
        <f t="shared" ref="AT66:AT129" si="42">IFERROR(AH66-V66,"-")</f>
        <v>35</v>
      </c>
      <c r="AU66" s="4">
        <f t="shared" ref="AU66:AU129" si="43">IFERROR(AI66-W66,"-")</f>
        <v>6</v>
      </c>
      <c r="AV66" s="4">
        <f t="shared" ref="AV66:AV129" si="44">IFERROR(AJ66-X66,"-")</f>
        <v>26</v>
      </c>
      <c r="AW66" s="4">
        <f t="shared" ref="AW66:AW129" si="45">IFERROR(AK66-Y66,"-")</f>
        <v>2</v>
      </c>
      <c r="AX66" s="4">
        <f t="shared" ref="AX66:AX129" si="46">IFERROR(AL66-Z66,"-")</f>
        <v>42</v>
      </c>
      <c r="AY66" s="4">
        <f t="shared" ref="AY66:AY129" si="47">IFERROR(AM66-AA66,"-")</f>
        <v>32</v>
      </c>
      <c r="AZ66" s="4">
        <f t="shared" ref="AZ66:AZ129" si="48">IFERROR(AN66-AB66,"-")</f>
        <v>32</v>
      </c>
      <c r="BA66" s="4">
        <f t="shared" ref="BA66:BA129" si="49">IFERROR(AO66-AC66,"-")</f>
        <v>12</v>
      </c>
    </row>
    <row r="67" spans="1:53" x14ac:dyDescent="0.2">
      <c r="A67" s="1" t="str">
        <f>'SegEnds_NonXtal_Prot#'!A36</f>
        <v>v1ar_human</v>
      </c>
      <c r="B67" s="1" t="str">
        <f t="shared" si="25"/>
        <v>LAKLEIAVLAVTFAVAVLGNSSVLLALHRTSRMHLFIRHLSLADLAVAFFQVLPQMCWDIRGPDWLCRVVKHLQVFGMFASAYMLVVMTADRYIAVCHPARRSRLMIAAAWVLSFVLSTPQYFVFWGSRAYVTWMTGGIFVAPVVILGTCYGFICYNIWCNVRGKTASRKSISRAKIRTVKMTFVIVTAYIVCWAPFFIIQMWSVWDWTESENPTITITALLGSLNSCCNPWIYMFFSGHLLQDCVQSFPCCQN</v>
      </c>
      <c r="C67" s="29" t="str">
        <f>IF(ISERROR(MATCH(A67,'SegEnds_Xtal_Prot#'!B:B, 0)), "NoXtal", "Xtal")</f>
        <v>NoXtal</v>
      </c>
      <c r="D67" s="4" t="str">
        <f>VLOOKUP(A67,Classification!A:D,2,FALSE)</f>
        <v>A</v>
      </c>
      <c r="E67" s="5" t="str">
        <f>VLOOKUP(A67,Seqs!A:B,2,FALSE)</f>
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</c>
      <c r="F67" s="5" t="str">
        <f t="shared" si="26"/>
        <v>LAKLEIAVLAVTFAVAVLGNSSVLLALHRT</v>
      </c>
      <c r="G67" s="4" t="str">
        <f t="shared" si="27"/>
        <v>PRKT</v>
      </c>
      <c r="H67" s="4" t="str">
        <f t="shared" si="28"/>
        <v>SRMHLFIRHLSLADLAVAFFQVLPQMCWDI</v>
      </c>
      <c r="I67" s="4" t="str">
        <f t="shared" si="29"/>
        <v>YRF</v>
      </c>
      <c r="J67" s="4" t="str">
        <f t="shared" si="30"/>
        <v>RGPDWLCRVVKHLQVFGMFASAYMLVVMTADRYIAVCH</v>
      </c>
      <c r="K67" s="4" t="str">
        <f t="shared" si="31"/>
        <v>PLKTLQQ</v>
      </c>
      <c r="L67" s="4" t="str">
        <f t="shared" si="32"/>
        <v>PARRSRLMIAAAWVLSFVLSTPQYFVF</v>
      </c>
      <c r="M67" s="4" t="str">
        <f t="shared" si="33"/>
        <v>CWA</v>
      </c>
      <c r="N67" s="4" t="str">
        <f t="shared" si="34"/>
        <v>WGSRAYVTWMTGGIFVAPVVILGTCYGFICYNIWCNVRGKTASR</v>
      </c>
      <c r="O67" s="4" t="str">
        <f t="shared" si="35"/>
        <v>KSISRAKIRTVKMTFVIVTAYIVCWAPFFIIQMWSVWD</v>
      </c>
      <c r="P67" s="4" t="str">
        <f t="shared" si="36"/>
        <v>WTESENPTITITALLGSLNSCCNPWIYMFF</v>
      </c>
      <c r="Q67" s="4" t="str">
        <f t="shared" si="37"/>
        <v>SGHLLQDCVQSFPCCQN</v>
      </c>
      <c r="R67" s="5">
        <f>VLOOKUP($A67,'SegEnds_NonXtal_Prot#'!$A:$AL,3,FALSE)</f>
        <v>50</v>
      </c>
      <c r="S67" s="5">
        <f>VLOOKUP($A67,'SegEnds_NonXtal_Prot#'!$A:$AL,6,FALSE)</f>
        <v>80</v>
      </c>
      <c r="T67" s="5">
        <f>VLOOKUP($A67,'SegEnds_NonXtal_Prot#'!$A:$AL,9,FALSE)</f>
        <v>84</v>
      </c>
      <c r="U67" s="5">
        <f>VLOOKUP($A67,'SegEnds_NonXtal_Prot#'!$A:$AL,12,FALSE)</f>
        <v>115</v>
      </c>
      <c r="V67" s="5">
        <f>VLOOKUP($A67,'SegEnds_NonXtal_Prot#'!$A:$AL,15,FALSE)</f>
        <v>118</v>
      </c>
      <c r="W67" s="5">
        <f>VLOOKUP($A67,'SegEnds_NonXtal_Prot#'!$A:$AL,18,FALSE)</f>
        <v>156</v>
      </c>
      <c r="X67" s="5">
        <f>VLOOKUP($A67,'SegEnds_NonXtal_Prot#'!$A:$AL,21,FALSE)</f>
        <v>163</v>
      </c>
      <c r="Y67" s="5">
        <f>VLOOKUP($A67,'SegEnds_NonXtal_Prot#'!$A:$AL,24,FALSE)</f>
        <v>203</v>
      </c>
      <c r="Z67" s="5">
        <f>VLOOKUP($A67,'SegEnds_NonXtal_Prot#'!$A:$AL,27,FALSE)</f>
        <v>211</v>
      </c>
      <c r="AA67" s="5">
        <f>VLOOKUP($A67,'SegEnds_NonXtal_Prot#'!$A:$AL,30,FALSE)</f>
        <v>280</v>
      </c>
      <c r="AB67" s="5">
        <f>VLOOKUP($A67,'SegEnds_NonXtal_Prot#'!$A:$AL,33,FALSE)</f>
        <v>322</v>
      </c>
      <c r="AC67" s="5">
        <f>VLOOKUP($A67,'SegEnds_NonXtal_Prot#'!$A:$AL,36,FALSE)</f>
        <v>352</v>
      </c>
      <c r="AD67" s="5">
        <f>VLOOKUP($A67,'SegEnds_NonXtal_Prot#'!$A:$AL,5,FALSE)</f>
        <v>79</v>
      </c>
      <c r="AE67" s="5">
        <f>VLOOKUP($A67,'SegEnds_NonXtal_Prot#'!$A:$AL,8,FALSE)</f>
        <v>83</v>
      </c>
      <c r="AF67" s="5">
        <f>VLOOKUP($A67,'SegEnds_NonXtal_Prot#'!$A:$AL,11,FALSE)</f>
        <v>113</v>
      </c>
      <c r="AG67" s="5">
        <f>VLOOKUP($A67,'SegEnds_NonXtal_Prot#'!$A:$AL,14,FALSE)</f>
        <v>117</v>
      </c>
      <c r="AH67" s="5">
        <f>VLOOKUP($A67,'SegEnds_NonXtal_Prot#'!$A:$AL,17,FALSE)</f>
        <v>155</v>
      </c>
      <c r="AI67" s="5">
        <f>VLOOKUP($A67,'SegEnds_NonXtal_Prot#'!$A:$AL,20,FALSE)</f>
        <v>162</v>
      </c>
      <c r="AJ67" s="5">
        <f>VLOOKUP($A67,'SegEnds_NonXtal_Prot#'!$A:$AL,23,FALSE)</f>
        <v>189</v>
      </c>
      <c r="AK67" s="5">
        <f>VLOOKUP($A67,'SegEnds_NonXtal_Prot#'!$A:$AL,26,FALSE)</f>
        <v>205</v>
      </c>
      <c r="AL67" s="5">
        <f>VLOOKUP($A67,'SegEnds_NonXtal_Prot#'!$A:$AL,29,FALSE)</f>
        <v>254</v>
      </c>
      <c r="AM67" s="5">
        <f>VLOOKUP($A67,'SegEnds_NonXtal_Prot#'!$A:$AL,32,FALSE)</f>
        <v>317</v>
      </c>
      <c r="AN67" s="5">
        <f>VLOOKUP($A67,'SegEnds_NonXtal_Prot#'!$A:$AL,35,FALSE)</f>
        <v>351</v>
      </c>
      <c r="AO67" s="5">
        <f>VLOOKUP($A67,'SegEnds_NonXtal_Prot#'!$A:$AL,38,FALSE)</f>
        <v>368</v>
      </c>
      <c r="AP67" s="5">
        <f t="shared" si="38"/>
        <v>29</v>
      </c>
      <c r="AQ67" s="4">
        <f t="shared" si="39"/>
        <v>3</v>
      </c>
      <c r="AR67" s="4">
        <f t="shared" si="40"/>
        <v>29</v>
      </c>
      <c r="AS67" s="4">
        <f t="shared" si="41"/>
        <v>2</v>
      </c>
      <c r="AT67" s="4">
        <f t="shared" si="42"/>
        <v>37</v>
      </c>
      <c r="AU67" s="4">
        <f t="shared" si="43"/>
        <v>6</v>
      </c>
      <c r="AV67" s="4">
        <f t="shared" si="44"/>
        <v>26</v>
      </c>
      <c r="AW67" s="4">
        <f t="shared" si="45"/>
        <v>2</v>
      </c>
      <c r="AX67" s="4">
        <f t="shared" si="46"/>
        <v>43</v>
      </c>
      <c r="AY67" s="4">
        <f t="shared" si="47"/>
        <v>37</v>
      </c>
      <c r="AZ67" s="4">
        <f t="shared" si="48"/>
        <v>29</v>
      </c>
      <c r="BA67" s="4">
        <f t="shared" si="49"/>
        <v>16</v>
      </c>
    </row>
    <row r="68" spans="1:53" x14ac:dyDescent="0.2">
      <c r="A68" s="1" t="str">
        <f>'SegEnds_NonXtal_Prot#'!A37</f>
        <v>v1br_human</v>
      </c>
      <c r="B68" s="1" t="str">
        <f t="shared" si="25"/>
        <v>DEELAKVEIGVLATVLVLATGGNLAVLLTLGQLSRMHLFVLHLALTDLAVALFQVLPQLLWDIQGPDLLCRAVKYLQVLSMFASTYMLLAMTLDRYLAVCHPGQSTYLLIAAPWLLAAIFSLPQVFIFFPWGPRAYLTWTTLAIFVLPVTMLTACYSLICHEICKNLKVKTQAWNTISRAKIRTVKMTFVIVLAYIACWAPFFSVQMWSVWDNAPDEDSTNVAFTISMLLGNLNSCCNPWIYMGFNSHLLPRPLRHLACCG</v>
      </c>
      <c r="C68" s="29" t="str">
        <f>IF(ISERROR(MATCH(A68,'SegEnds_Xtal_Prot#'!B:B, 0)), "NoXtal", "Xtal")</f>
        <v>NoXtal</v>
      </c>
      <c r="D68" s="4" t="str">
        <f>VLOOKUP(A68,Classification!A:D,2,FALSE)</f>
        <v>A</v>
      </c>
      <c r="E68" s="5" t="str">
        <f>VLOOKUP(A68,Seqs!A:B,2,FALSE)</f>
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</c>
      <c r="F68" s="5" t="str">
        <f t="shared" si="26"/>
        <v>DEELAKVEIGVLATVLVLATGGNLAVLLTLGQL</v>
      </c>
      <c r="G68" s="4" t="str">
        <f t="shared" si="27"/>
        <v>GRKR</v>
      </c>
      <c r="H68" s="4" t="str">
        <f t="shared" si="28"/>
        <v>SRMHLFVLHLALTDLAVALFQVLPQLLWDI</v>
      </c>
      <c r="I68" s="4" t="str">
        <f t="shared" si="29"/>
        <v>YRF</v>
      </c>
      <c r="J68" s="4" t="str">
        <f t="shared" si="30"/>
        <v>QGPDLLCRAVKYLQVLSMFASTYMLLAMTLDRYLAVCH</v>
      </c>
      <c r="K68" s="4" t="str">
        <f t="shared" si="31"/>
        <v>PLRSLQQ</v>
      </c>
      <c r="L68" s="4" t="str">
        <f t="shared" si="32"/>
        <v>PGQSTYLLIAAPWLLAAIFSLPQVFIF</v>
      </c>
      <c r="M68" s="4" t="str">
        <f t="shared" si="33"/>
        <v>CWA</v>
      </c>
      <c r="N68" s="4" t="str">
        <f t="shared" si="34"/>
        <v>FPWGPRAYLTWTTLAIFVLPVTMLTACYSLICHEICKNLKVKTQAW</v>
      </c>
      <c r="O68" s="4" t="str">
        <f t="shared" si="35"/>
        <v>NTISRAKIRTVKMTFVIVLAYIACWAPFFSVQMWSVWD</v>
      </c>
      <c r="P68" s="4" t="str">
        <f t="shared" si="36"/>
        <v>NAPDEDSTNVAFTISMLLGNLNSCCNPWIYMGF</v>
      </c>
      <c r="Q68" s="4" t="str">
        <f t="shared" si="37"/>
        <v>NSHLLPRPLRHLACCG</v>
      </c>
      <c r="R68" s="5">
        <f>VLOOKUP($A68,'SegEnds_NonXtal_Prot#'!$A:$AL,3,FALSE)</f>
        <v>30</v>
      </c>
      <c r="S68" s="5">
        <f>VLOOKUP($A68,'SegEnds_NonXtal_Prot#'!$A:$AL,6,FALSE)</f>
        <v>63</v>
      </c>
      <c r="T68" s="5">
        <f>VLOOKUP($A68,'SegEnds_NonXtal_Prot#'!$A:$AL,9,FALSE)</f>
        <v>67</v>
      </c>
      <c r="U68" s="5">
        <f>VLOOKUP($A68,'SegEnds_NonXtal_Prot#'!$A:$AL,12,FALSE)</f>
        <v>98</v>
      </c>
      <c r="V68" s="5">
        <f>VLOOKUP($A68,'SegEnds_NonXtal_Prot#'!$A:$AL,15,FALSE)</f>
        <v>101</v>
      </c>
      <c r="W68" s="5">
        <f>VLOOKUP($A68,'SegEnds_NonXtal_Prot#'!$A:$AL,18,FALSE)</f>
        <v>139</v>
      </c>
      <c r="X68" s="5">
        <f>VLOOKUP($A68,'SegEnds_NonXtal_Prot#'!$A:$AL,21,FALSE)</f>
        <v>146</v>
      </c>
      <c r="Y68" s="5">
        <f>VLOOKUP($A68,'SegEnds_NonXtal_Prot#'!$A:$AL,24,FALSE)</f>
        <v>186</v>
      </c>
      <c r="Z68" s="5">
        <f>VLOOKUP($A68,'SegEnds_NonXtal_Prot#'!$A:$AL,27,FALSE)</f>
        <v>192</v>
      </c>
      <c r="AA68" s="5">
        <f>VLOOKUP($A68,'SegEnds_NonXtal_Prot#'!$A:$AL,30,FALSE)</f>
        <v>270</v>
      </c>
      <c r="AB68" s="5">
        <f>VLOOKUP($A68,'SegEnds_NonXtal_Prot#'!$A:$AL,33,FALSE)</f>
        <v>309</v>
      </c>
      <c r="AC68" s="5">
        <f>VLOOKUP($A68,'SegEnds_NonXtal_Prot#'!$A:$AL,36,FALSE)</f>
        <v>342</v>
      </c>
      <c r="AD68" s="5">
        <f>VLOOKUP($A68,'SegEnds_NonXtal_Prot#'!$A:$AL,5,FALSE)</f>
        <v>62</v>
      </c>
      <c r="AE68" s="5">
        <f>VLOOKUP($A68,'SegEnds_NonXtal_Prot#'!$A:$AL,8,FALSE)</f>
        <v>66</v>
      </c>
      <c r="AF68" s="5">
        <f>VLOOKUP($A68,'SegEnds_NonXtal_Prot#'!$A:$AL,11,FALSE)</f>
        <v>96</v>
      </c>
      <c r="AG68" s="5">
        <f>VLOOKUP($A68,'SegEnds_NonXtal_Prot#'!$A:$AL,14,FALSE)</f>
        <v>100</v>
      </c>
      <c r="AH68" s="5">
        <f>VLOOKUP($A68,'SegEnds_NonXtal_Prot#'!$A:$AL,17,FALSE)</f>
        <v>138</v>
      </c>
      <c r="AI68" s="5">
        <f>VLOOKUP($A68,'SegEnds_NonXtal_Prot#'!$A:$AL,20,FALSE)</f>
        <v>145</v>
      </c>
      <c r="AJ68" s="5">
        <f>VLOOKUP($A68,'SegEnds_NonXtal_Prot#'!$A:$AL,23,FALSE)</f>
        <v>172</v>
      </c>
      <c r="AK68" s="5">
        <f>VLOOKUP($A68,'SegEnds_NonXtal_Prot#'!$A:$AL,26,FALSE)</f>
        <v>188</v>
      </c>
      <c r="AL68" s="5">
        <f>VLOOKUP($A68,'SegEnds_NonXtal_Prot#'!$A:$AL,29,FALSE)</f>
        <v>237</v>
      </c>
      <c r="AM68" s="5">
        <f>VLOOKUP($A68,'SegEnds_NonXtal_Prot#'!$A:$AL,32,FALSE)</f>
        <v>307</v>
      </c>
      <c r="AN68" s="5">
        <f>VLOOKUP($A68,'SegEnds_NonXtal_Prot#'!$A:$AL,35,FALSE)</f>
        <v>341</v>
      </c>
      <c r="AO68" s="5">
        <f>VLOOKUP($A68,'SegEnds_NonXtal_Prot#'!$A:$AL,38,FALSE)</f>
        <v>357</v>
      </c>
      <c r="AP68" s="5">
        <f t="shared" si="38"/>
        <v>32</v>
      </c>
      <c r="AQ68" s="4">
        <f t="shared" si="39"/>
        <v>3</v>
      </c>
      <c r="AR68" s="4">
        <f t="shared" si="40"/>
        <v>29</v>
      </c>
      <c r="AS68" s="4">
        <f t="shared" si="41"/>
        <v>2</v>
      </c>
      <c r="AT68" s="4">
        <f t="shared" si="42"/>
        <v>37</v>
      </c>
      <c r="AU68" s="4">
        <f t="shared" si="43"/>
        <v>6</v>
      </c>
      <c r="AV68" s="4">
        <f t="shared" si="44"/>
        <v>26</v>
      </c>
      <c r="AW68" s="4">
        <f t="shared" si="45"/>
        <v>2</v>
      </c>
      <c r="AX68" s="4">
        <f t="shared" si="46"/>
        <v>45</v>
      </c>
      <c r="AY68" s="4">
        <f t="shared" si="47"/>
        <v>37</v>
      </c>
      <c r="AZ68" s="4">
        <f t="shared" si="48"/>
        <v>32</v>
      </c>
      <c r="BA68" s="4">
        <f t="shared" si="49"/>
        <v>15</v>
      </c>
    </row>
    <row r="69" spans="1:53" x14ac:dyDescent="0.2">
      <c r="A69" s="1" t="str">
        <f>'SegEnds_NonXtal_Prot#'!A38</f>
        <v>5ht1a_human</v>
      </c>
      <c r="B69" s="1" t="str">
        <f t="shared" si="25"/>
        <v>TVSYQVITSLLLGTLIFCAVLGNACVVAAIALENVANYLIGSLAVTDLMVSVLVLPMAALYQVLNGQVTCDLFIALDVLCCTSSILHLCAIALDRYWAITDTPRRAAALISLTWLIGFLISIPPMLGDHGYTIYSTFGAFYIPLLLMLVLYGRIFRAARFRIRKTVKKVKMALARERKTVKTLGIIMGTFILCWLPFFIVALVLPFPTLLGAIINWLGYSNSLLNPVIYAYFNKDFQNAFKKII</v>
      </c>
      <c r="C69" s="29" t="str">
        <f>IF(ISERROR(MATCH(A69,'SegEnds_Xtal_Prot#'!B:B, 0)), "NoXtal", "Xtal")</f>
        <v>NoXtal</v>
      </c>
      <c r="D69" s="4" t="str">
        <f>VLOOKUP(A69,Classification!A:D,2,FALSE)</f>
        <v>A</v>
      </c>
      <c r="E69" s="5" t="str">
        <f>VLOOKUP(A69,Seqs!A:B,2,FALSE)</f>
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</c>
      <c r="F69" s="5" t="str">
        <f t="shared" si="26"/>
        <v>TVSYQVITSLLLGTLIFCAVLGNACVVAAIALE</v>
      </c>
      <c r="G69" s="4" t="str">
        <f t="shared" si="27"/>
        <v>RSLQ</v>
      </c>
      <c r="H69" s="4" t="str">
        <f t="shared" si="28"/>
        <v>NVANYLIGSLAVTDLMVSVLVLPMAALYQVLN</v>
      </c>
      <c r="I69" s="4" t="str">
        <f t="shared" si="29"/>
        <v>KWTL</v>
      </c>
      <c r="J69" s="4" t="str">
        <f t="shared" si="30"/>
        <v>GQVTCDLFIALDVLCCTSSILHLCAIALDRYWAITD</v>
      </c>
      <c r="K69" s="4" t="str">
        <f t="shared" si="31"/>
        <v>PIDYVNKR</v>
      </c>
      <c r="L69" s="4" t="str">
        <f t="shared" si="32"/>
        <v>TPRRAAALISLTWLIGFLISIPPMLG</v>
      </c>
      <c r="M69" s="4" t="str">
        <f t="shared" si="33"/>
        <v>CTI</v>
      </c>
      <c r="N69" s="4" t="str">
        <f t="shared" si="34"/>
        <v>DHGYTIYSTFGAFYIPLLLMLVLYGRIFRAARFRIRKTVKKV</v>
      </c>
      <c r="O69" s="4" t="str">
        <f t="shared" si="35"/>
        <v>KMALARERKTVKTLGIIMGTFILCWLPFFIVALVLPF</v>
      </c>
      <c r="P69" s="4" t="str">
        <f t="shared" si="36"/>
        <v>PTLLGAIINWLGYSNSLLNPVIYAYF</v>
      </c>
      <c r="Q69" s="4" t="str">
        <f t="shared" si="37"/>
        <v>NKDFQNAFKKII</v>
      </c>
      <c r="R69" s="5">
        <f>VLOOKUP($A69,'SegEnds_NonXtal_Prot#'!$A:$AL,3,FALSE)</f>
        <v>32</v>
      </c>
      <c r="S69" s="5">
        <f>VLOOKUP($A69,'SegEnds_NonXtal_Prot#'!$A:$AL,6,FALSE)</f>
        <v>65</v>
      </c>
      <c r="T69" s="5">
        <f>VLOOKUP($A69,'SegEnds_NonXtal_Prot#'!$A:$AL,9,FALSE)</f>
        <v>69</v>
      </c>
      <c r="U69" s="5">
        <f>VLOOKUP($A69,'SegEnds_NonXtal_Prot#'!$A:$AL,12,FALSE)</f>
        <v>101</v>
      </c>
      <c r="V69" s="5">
        <f>VLOOKUP($A69,'SegEnds_NonXtal_Prot#'!$A:$AL,15,FALSE)</f>
        <v>105</v>
      </c>
      <c r="W69" s="5">
        <f>VLOOKUP($A69,'SegEnds_NonXtal_Prot#'!$A:$AL,18,FALSE)</f>
        <v>141</v>
      </c>
      <c r="X69" s="5">
        <f>VLOOKUP($A69,'SegEnds_NonXtal_Prot#'!$A:$AL,21,FALSE)</f>
        <v>149</v>
      </c>
      <c r="Y69" s="5">
        <f>VLOOKUP($A69,'SegEnds_NonXtal_Prot#'!$A:$AL,24,FALSE)</f>
        <v>187</v>
      </c>
      <c r="Z69" s="5">
        <f>VLOOKUP($A69,'SegEnds_NonXtal_Prot#'!$A:$AL,27,FALSE)</f>
        <v>192</v>
      </c>
      <c r="AA69" s="5">
        <f>VLOOKUP($A69,'SegEnds_NonXtal_Prot#'!$A:$AL,30,FALSE)</f>
        <v>334</v>
      </c>
      <c r="AB69" s="5">
        <f>VLOOKUP($A69,'SegEnds_NonXtal_Prot#'!$A:$AL,33,FALSE)</f>
        <v>378</v>
      </c>
      <c r="AC69" s="5">
        <f>VLOOKUP($A69,'SegEnds_NonXtal_Prot#'!$A:$AL,36,FALSE)</f>
        <v>404</v>
      </c>
      <c r="AD69" s="5">
        <f>VLOOKUP($A69,'SegEnds_NonXtal_Prot#'!$A:$AL,5,FALSE)</f>
        <v>64</v>
      </c>
      <c r="AE69" s="5">
        <f>VLOOKUP($A69,'SegEnds_NonXtal_Prot#'!$A:$AL,8,FALSE)</f>
        <v>68</v>
      </c>
      <c r="AF69" s="5">
        <f>VLOOKUP($A69,'SegEnds_NonXtal_Prot#'!$A:$AL,11,FALSE)</f>
        <v>100</v>
      </c>
      <c r="AG69" s="5">
        <f>VLOOKUP($A69,'SegEnds_NonXtal_Prot#'!$A:$AL,14,FALSE)</f>
        <v>104</v>
      </c>
      <c r="AH69" s="5">
        <f>VLOOKUP($A69,'SegEnds_NonXtal_Prot#'!$A:$AL,17,FALSE)</f>
        <v>140</v>
      </c>
      <c r="AI69" s="5">
        <f>VLOOKUP($A69,'SegEnds_NonXtal_Prot#'!$A:$AL,20,FALSE)</f>
        <v>148</v>
      </c>
      <c r="AJ69" s="5">
        <f>VLOOKUP($A69,'SegEnds_NonXtal_Prot#'!$A:$AL,23,FALSE)</f>
        <v>174</v>
      </c>
      <c r="AK69" s="5">
        <f>VLOOKUP($A69,'SegEnds_NonXtal_Prot#'!$A:$AL,26,FALSE)</f>
        <v>189</v>
      </c>
      <c r="AL69" s="5">
        <f>VLOOKUP($A69,'SegEnds_NonXtal_Prot#'!$A:$AL,29,FALSE)</f>
        <v>233</v>
      </c>
      <c r="AM69" s="5">
        <f>VLOOKUP($A69,'SegEnds_NonXtal_Prot#'!$A:$AL,32,FALSE)</f>
        <v>370</v>
      </c>
      <c r="AN69" s="5">
        <f>VLOOKUP($A69,'SegEnds_NonXtal_Prot#'!$A:$AL,35,FALSE)</f>
        <v>403</v>
      </c>
      <c r="AO69" s="5">
        <f>VLOOKUP($A69,'SegEnds_NonXtal_Prot#'!$A:$AL,38,FALSE)</f>
        <v>415</v>
      </c>
      <c r="AP69" s="5">
        <f t="shared" si="38"/>
        <v>32</v>
      </c>
      <c r="AQ69" s="4">
        <f t="shared" si="39"/>
        <v>3</v>
      </c>
      <c r="AR69" s="4">
        <f t="shared" si="40"/>
        <v>31</v>
      </c>
      <c r="AS69" s="4">
        <f t="shared" si="41"/>
        <v>3</v>
      </c>
      <c r="AT69" s="4">
        <f t="shared" si="42"/>
        <v>35</v>
      </c>
      <c r="AU69" s="4">
        <f t="shared" si="43"/>
        <v>7</v>
      </c>
      <c r="AV69" s="4">
        <f t="shared" si="44"/>
        <v>25</v>
      </c>
      <c r="AW69" s="4">
        <f t="shared" si="45"/>
        <v>2</v>
      </c>
      <c r="AX69" s="4">
        <f t="shared" si="46"/>
        <v>41</v>
      </c>
      <c r="AY69" s="4">
        <f t="shared" si="47"/>
        <v>36</v>
      </c>
      <c r="AZ69" s="4">
        <f t="shared" si="48"/>
        <v>25</v>
      </c>
      <c r="BA69" s="4">
        <f t="shared" si="49"/>
        <v>11</v>
      </c>
    </row>
    <row r="70" spans="1:53" x14ac:dyDescent="0.2">
      <c r="A70" s="1" t="str">
        <f>'SegEnds_NonXtal_Prot#'!A39</f>
        <v>5ht1b_human</v>
      </c>
      <c r="B70" s="1" t="str">
        <f t="shared" si="25"/>
        <v>SLPWKVLLVMLLALITLATTLSNAFVIATVYRTTPANYLIASLAVTDLLVSILVMPISTMYTVTGGQVVCDFWLSSDITCCTASILHLCVIALDRYWAITDTPKRAAVMIALVWVFSISISLPPFFWHILYTVYSTVGAFYFPTLLLIALYGRIYVEARSRILKQTPKLMAARERKATKTLGIILGAFIVCWLPFFIISLVMPIHLAIFDFFTWLGYLNSLINPIIYTMSNEDFKQAFHKLI</v>
      </c>
      <c r="C70" s="29" t="str">
        <f>IF(ISERROR(MATCH(A70,'SegEnds_Xtal_Prot#'!B:B, 0)), "NoXtal", "Xtal")</f>
        <v>Xtal</v>
      </c>
      <c r="D70" s="4" t="str">
        <f>VLOOKUP(A70,Classification!A:D,2,FALSE)</f>
        <v>A</v>
      </c>
      <c r="E70" s="5" t="str">
        <f>VLOOKUP(A70,Seqs!A:B,2,FALSE)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F70" s="5" t="str">
        <f t="shared" si="26"/>
        <v>SLPWKVLLVMLLALITLATTLSNAFVIATVYRT</v>
      </c>
      <c r="G70" s="4" t="str">
        <f t="shared" si="27"/>
        <v>RKLH</v>
      </c>
      <c r="H70" s="4" t="str">
        <f t="shared" si="28"/>
        <v>TPANYLIASLAVTDLLVSILVMPISTMYTVTG</v>
      </c>
      <c r="I70" s="4" t="str">
        <f t="shared" si="29"/>
        <v>RWTL</v>
      </c>
      <c r="J70" s="4" t="str">
        <f t="shared" si="30"/>
        <v>GQVVCDFWLSSDITCCTASILHLCVIALDRYWAITD</v>
      </c>
      <c r="K70" s="4" t="str">
        <f t="shared" si="31"/>
        <v>AVEYSAKR</v>
      </c>
      <c r="L70" s="4" t="str">
        <f t="shared" si="32"/>
        <v>TPKRAAVMIALVWVFSISISLPPFFW</v>
      </c>
      <c r="M70" s="4" t="str">
        <f t="shared" si="33"/>
        <v>CVV</v>
      </c>
      <c r="N70" s="4" t="str">
        <f t="shared" si="34"/>
        <v>HILYTVYSTVGAFYFPTLLLIALYGRIYVEARSRILKQTP</v>
      </c>
      <c r="O70" s="4" t="str">
        <f t="shared" si="35"/>
        <v>KLMAARERKATKTLGIILGAFIVCWLPFFIISLVMPI</v>
      </c>
      <c r="P70" s="4" t="str">
        <f t="shared" si="36"/>
        <v>HLAIFDFFTWLGYLNSLINPIIYTMS</v>
      </c>
      <c r="Q70" s="4" t="str">
        <f t="shared" si="37"/>
        <v>NEDFKQAFHKLI</v>
      </c>
      <c r="R70" s="5">
        <f>VLOOKUP($A70,'SegEnds_NonXtal_Prot#'!$A:$AL,3,FALSE)</f>
        <v>45</v>
      </c>
      <c r="S70" s="5">
        <f>VLOOKUP($A70,'SegEnds_NonXtal_Prot#'!$A:$AL,6,FALSE)</f>
        <v>78</v>
      </c>
      <c r="T70" s="5">
        <f>VLOOKUP($A70,'SegEnds_NonXtal_Prot#'!$A:$AL,9,FALSE)</f>
        <v>82</v>
      </c>
      <c r="U70" s="5">
        <f>VLOOKUP($A70,'SegEnds_NonXtal_Prot#'!$A:$AL,12,FALSE)</f>
        <v>114</v>
      </c>
      <c r="V70" s="5">
        <f>VLOOKUP($A70,'SegEnds_NonXtal_Prot#'!$A:$AL,15,FALSE)</f>
        <v>118</v>
      </c>
      <c r="W70" s="5">
        <f>VLOOKUP($A70,'SegEnds_NonXtal_Prot#'!$A:$AL,18,FALSE)</f>
        <v>154</v>
      </c>
      <c r="X70" s="5">
        <f>VLOOKUP($A70,'SegEnds_NonXtal_Prot#'!$A:$AL,21,FALSE)</f>
        <v>162</v>
      </c>
      <c r="Y70" s="5">
        <f>VLOOKUP($A70,'SegEnds_NonXtal_Prot#'!$A:$AL,24,FALSE)</f>
        <v>199</v>
      </c>
      <c r="Z70" s="5">
        <f>VLOOKUP($A70,'SegEnds_NonXtal_Prot#'!$A:$AL,27,FALSE)</f>
        <v>205</v>
      </c>
      <c r="AA70" s="5">
        <f>VLOOKUP($A70,'SegEnds_NonXtal_Prot#'!$A:$AL,30,FALSE)</f>
        <v>303</v>
      </c>
      <c r="AB70" s="5">
        <f>VLOOKUP($A70,'SegEnds_NonXtal_Prot#'!$A:$AL,33,FALSE)</f>
        <v>347</v>
      </c>
      <c r="AC70" s="5">
        <f>VLOOKUP($A70,'SegEnds_NonXtal_Prot#'!$A:$AL,36,FALSE)</f>
        <v>373</v>
      </c>
      <c r="AD70" s="5">
        <f>VLOOKUP($A70,'SegEnds_NonXtal_Prot#'!$A:$AL,5,FALSE)</f>
        <v>77</v>
      </c>
      <c r="AE70" s="5">
        <f>VLOOKUP($A70,'SegEnds_NonXtal_Prot#'!$A:$AL,8,FALSE)</f>
        <v>81</v>
      </c>
      <c r="AF70" s="5">
        <f>VLOOKUP($A70,'SegEnds_NonXtal_Prot#'!$A:$AL,11,FALSE)</f>
        <v>113</v>
      </c>
      <c r="AG70" s="5">
        <f>VLOOKUP($A70,'SegEnds_NonXtal_Prot#'!$A:$AL,14,FALSE)</f>
        <v>117</v>
      </c>
      <c r="AH70" s="5">
        <f>VLOOKUP($A70,'SegEnds_NonXtal_Prot#'!$A:$AL,17,FALSE)</f>
        <v>153</v>
      </c>
      <c r="AI70" s="5">
        <f>VLOOKUP($A70,'SegEnds_NonXtal_Prot#'!$A:$AL,20,FALSE)</f>
        <v>161</v>
      </c>
      <c r="AJ70" s="5">
        <f>VLOOKUP($A70,'SegEnds_NonXtal_Prot#'!$A:$AL,23,FALSE)</f>
        <v>187</v>
      </c>
      <c r="AK70" s="5">
        <f>VLOOKUP($A70,'SegEnds_NonXtal_Prot#'!$A:$AL,26,FALSE)</f>
        <v>201</v>
      </c>
      <c r="AL70" s="5">
        <f>VLOOKUP($A70,'SegEnds_NonXtal_Prot#'!$A:$AL,29,FALSE)</f>
        <v>244</v>
      </c>
      <c r="AM70" s="5">
        <f>VLOOKUP($A70,'SegEnds_NonXtal_Prot#'!$A:$AL,32,FALSE)</f>
        <v>339</v>
      </c>
      <c r="AN70" s="5">
        <f>VLOOKUP($A70,'SegEnds_NonXtal_Prot#'!$A:$AL,35,FALSE)</f>
        <v>372</v>
      </c>
      <c r="AO70" s="5">
        <f>VLOOKUP($A70,'SegEnds_NonXtal_Prot#'!$A:$AL,38,FALSE)</f>
        <v>384</v>
      </c>
      <c r="AP70" s="5">
        <f t="shared" si="38"/>
        <v>32</v>
      </c>
      <c r="AQ70" s="4">
        <f t="shared" si="39"/>
        <v>3</v>
      </c>
      <c r="AR70" s="4">
        <f t="shared" si="40"/>
        <v>31</v>
      </c>
      <c r="AS70" s="4">
        <f t="shared" si="41"/>
        <v>3</v>
      </c>
      <c r="AT70" s="4">
        <f t="shared" si="42"/>
        <v>35</v>
      </c>
      <c r="AU70" s="4">
        <f t="shared" si="43"/>
        <v>7</v>
      </c>
      <c r="AV70" s="4">
        <f t="shared" si="44"/>
        <v>25</v>
      </c>
      <c r="AW70" s="4">
        <f t="shared" si="45"/>
        <v>2</v>
      </c>
      <c r="AX70" s="4">
        <f t="shared" si="46"/>
        <v>39</v>
      </c>
      <c r="AY70" s="4">
        <f t="shared" si="47"/>
        <v>36</v>
      </c>
      <c r="AZ70" s="4">
        <f t="shared" si="48"/>
        <v>25</v>
      </c>
      <c r="BA70" s="4">
        <f t="shared" si="49"/>
        <v>11</v>
      </c>
    </row>
    <row r="71" spans="1:53" x14ac:dyDescent="0.2">
      <c r="A71" s="1" t="str">
        <f>'SegEnds_NonXtal_Prot#'!A40</f>
        <v>5ht1d_human</v>
      </c>
      <c r="B71" s="1" t="str">
        <f t="shared" si="25"/>
        <v>LQALKISLAVVLSVITLATVLSNAFVLTTILLTTPANYLIGSLATTDLLVSILVMPISIAYTITHGQILCDIWLSSDITCCTASILHLCVIALDRYWAITDTAGHAATMIAIVWAISICISIPPLFWQISYTIYSTCGAFYIPSVLLIILYGRIYRAARNRILNPPSRISAARERKATKILGIILGAFIICWLPFFVVSLVLPIHPALFDFFTWLGYLNSLINPIIYTVFNEEFRQAFQKIV</v>
      </c>
      <c r="C71" s="29" t="str">
        <f>IF(ISERROR(MATCH(A71,'SegEnds_Xtal_Prot#'!B:B, 0)), "NoXtal", "Xtal")</f>
        <v>NoXtal</v>
      </c>
      <c r="D71" s="4" t="str">
        <f>VLOOKUP(A71,Classification!A:D,2,FALSE)</f>
        <v>A</v>
      </c>
      <c r="E71" s="5" t="str">
        <f>VLOOKUP(A71,Seqs!A:B,2,FALSE)</f>
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</c>
      <c r="F71" s="5" t="str">
        <f t="shared" si="26"/>
        <v>LQALKISLAVVLSVITLATVLSNAFVLTTILLT</v>
      </c>
      <c r="G71" s="4" t="str">
        <f t="shared" si="27"/>
        <v>RKLH</v>
      </c>
      <c r="H71" s="4" t="str">
        <f t="shared" si="28"/>
        <v>TPANYLIGSLATTDLLVSILVMPISIAYTITH</v>
      </c>
      <c r="I71" s="4" t="str">
        <f t="shared" si="29"/>
        <v>TWNF</v>
      </c>
      <c r="J71" s="4" t="str">
        <f t="shared" si="30"/>
        <v>GQILCDIWLSSDITCCTASILHLCVIALDRYWAITD</v>
      </c>
      <c r="K71" s="4" t="str">
        <f t="shared" si="31"/>
        <v>ALEYSKRR</v>
      </c>
      <c r="L71" s="4" t="str">
        <f t="shared" si="32"/>
        <v>TAGHAATMIAIVWAISICISIPPLFW</v>
      </c>
      <c r="M71" s="4" t="str">
        <f t="shared" si="33"/>
        <v>CLV</v>
      </c>
      <c r="N71" s="4" t="str">
        <f t="shared" si="34"/>
        <v>QISYTIYSTCGAFYIPSVLLIILYGRIYRAARNRILNPPS</v>
      </c>
      <c r="O71" s="4" t="str">
        <f t="shared" si="35"/>
        <v>RISAARERKATKILGIILGAFIICWLPFFVVSLVLPI</v>
      </c>
      <c r="P71" s="4" t="str">
        <f t="shared" si="36"/>
        <v>HPALFDFFTWLGYLNSLINPIIYTVF</v>
      </c>
      <c r="Q71" s="4" t="str">
        <f t="shared" si="37"/>
        <v>NEEFRQAFQKIV</v>
      </c>
      <c r="R71" s="5">
        <f>VLOOKUP($A71,'SegEnds_NonXtal_Prot#'!$A:$AL,3,FALSE)</f>
        <v>34</v>
      </c>
      <c r="S71" s="5">
        <f>VLOOKUP($A71,'SegEnds_NonXtal_Prot#'!$A:$AL,6,FALSE)</f>
        <v>67</v>
      </c>
      <c r="T71" s="5">
        <f>VLOOKUP($A71,'SegEnds_NonXtal_Prot#'!$A:$AL,9,FALSE)</f>
        <v>71</v>
      </c>
      <c r="U71" s="5">
        <f>VLOOKUP($A71,'SegEnds_NonXtal_Prot#'!$A:$AL,12,FALSE)</f>
        <v>103</v>
      </c>
      <c r="V71" s="5">
        <f>VLOOKUP($A71,'SegEnds_NonXtal_Prot#'!$A:$AL,15,FALSE)</f>
        <v>107</v>
      </c>
      <c r="W71" s="5">
        <f>VLOOKUP($A71,'SegEnds_NonXtal_Prot#'!$A:$AL,18,FALSE)</f>
        <v>143</v>
      </c>
      <c r="X71" s="5">
        <f>VLOOKUP($A71,'SegEnds_NonXtal_Prot#'!$A:$AL,21,FALSE)</f>
        <v>151</v>
      </c>
      <c r="Y71" s="5">
        <f>VLOOKUP($A71,'SegEnds_NonXtal_Prot#'!$A:$AL,24,FALSE)</f>
        <v>188</v>
      </c>
      <c r="Z71" s="5">
        <f>VLOOKUP($A71,'SegEnds_NonXtal_Prot#'!$A:$AL,27,FALSE)</f>
        <v>194</v>
      </c>
      <c r="AA71" s="5">
        <f>VLOOKUP($A71,'SegEnds_NonXtal_Prot#'!$A:$AL,30,FALSE)</f>
        <v>290</v>
      </c>
      <c r="AB71" s="5">
        <f>VLOOKUP($A71,'SegEnds_NonXtal_Prot#'!$A:$AL,33,FALSE)</f>
        <v>334</v>
      </c>
      <c r="AC71" s="5">
        <f>VLOOKUP($A71,'SegEnds_NonXtal_Prot#'!$A:$AL,36,FALSE)</f>
        <v>360</v>
      </c>
      <c r="AD71" s="5">
        <f>VLOOKUP($A71,'SegEnds_NonXtal_Prot#'!$A:$AL,5,FALSE)</f>
        <v>66</v>
      </c>
      <c r="AE71" s="5">
        <f>VLOOKUP($A71,'SegEnds_NonXtal_Prot#'!$A:$AL,8,FALSE)</f>
        <v>70</v>
      </c>
      <c r="AF71" s="5">
        <f>VLOOKUP($A71,'SegEnds_NonXtal_Prot#'!$A:$AL,11,FALSE)</f>
        <v>102</v>
      </c>
      <c r="AG71" s="5">
        <f>VLOOKUP($A71,'SegEnds_NonXtal_Prot#'!$A:$AL,14,FALSE)</f>
        <v>106</v>
      </c>
      <c r="AH71" s="5">
        <f>VLOOKUP($A71,'SegEnds_NonXtal_Prot#'!$A:$AL,17,FALSE)</f>
        <v>142</v>
      </c>
      <c r="AI71" s="5">
        <f>VLOOKUP($A71,'SegEnds_NonXtal_Prot#'!$A:$AL,20,FALSE)</f>
        <v>150</v>
      </c>
      <c r="AJ71" s="5">
        <f>VLOOKUP($A71,'SegEnds_NonXtal_Prot#'!$A:$AL,23,FALSE)</f>
        <v>176</v>
      </c>
      <c r="AK71" s="5">
        <f>VLOOKUP($A71,'SegEnds_NonXtal_Prot#'!$A:$AL,26,FALSE)</f>
        <v>190</v>
      </c>
      <c r="AL71" s="5">
        <f>VLOOKUP($A71,'SegEnds_NonXtal_Prot#'!$A:$AL,29,FALSE)</f>
        <v>233</v>
      </c>
      <c r="AM71" s="5">
        <f>VLOOKUP($A71,'SegEnds_NonXtal_Prot#'!$A:$AL,32,FALSE)</f>
        <v>326</v>
      </c>
      <c r="AN71" s="5">
        <f>VLOOKUP($A71,'SegEnds_NonXtal_Prot#'!$A:$AL,35,FALSE)</f>
        <v>359</v>
      </c>
      <c r="AO71" s="5">
        <f>VLOOKUP($A71,'SegEnds_NonXtal_Prot#'!$A:$AL,38,FALSE)</f>
        <v>371</v>
      </c>
      <c r="AP71" s="5">
        <f t="shared" si="38"/>
        <v>32</v>
      </c>
      <c r="AQ71" s="4">
        <f t="shared" si="39"/>
        <v>3</v>
      </c>
      <c r="AR71" s="4">
        <f t="shared" si="40"/>
        <v>31</v>
      </c>
      <c r="AS71" s="4">
        <f t="shared" si="41"/>
        <v>3</v>
      </c>
      <c r="AT71" s="4">
        <f t="shared" si="42"/>
        <v>35</v>
      </c>
      <c r="AU71" s="4">
        <f t="shared" si="43"/>
        <v>7</v>
      </c>
      <c r="AV71" s="4">
        <f t="shared" si="44"/>
        <v>25</v>
      </c>
      <c r="AW71" s="4">
        <f t="shared" si="45"/>
        <v>2</v>
      </c>
      <c r="AX71" s="4">
        <f t="shared" si="46"/>
        <v>39</v>
      </c>
      <c r="AY71" s="4">
        <f t="shared" si="47"/>
        <v>36</v>
      </c>
      <c r="AZ71" s="4">
        <f t="shared" si="48"/>
        <v>25</v>
      </c>
      <c r="BA71" s="4">
        <f t="shared" si="49"/>
        <v>11</v>
      </c>
    </row>
    <row r="72" spans="1:53" x14ac:dyDescent="0.2">
      <c r="A72" s="1" t="str">
        <f>'SegEnds_NonXtal_Prot#'!A41</f>
        <v>5ht1e_human</v>
      </c>
      <c r="B72" s="1" t="str">
        <f t="shared" si="25"/>
        <v>TITEKMLICMTLVVITTLTTLLNLAVIMAIGTTQPANYLICSLAVTDLLVAVLVMPLSIIYIVMDGYFLCEVWLSVDMTCCTCSILHLCVIALDRYWAITNTAKRAALMILTVWTISIFISMPPLFWHVIYTIYSTLGAFYIPLTLILILYYRIYHAAKSLYQKRGSSRQISSTRERKAARILGLILGAFILSWLPFFIKELIVGLSSSEVADFLTWLGYVNSLINPLLYTSFNEDFKLAFKKLI</v>
      </c>
      <c r="C72" s="29" t="str">
        <f>IF(ISERROR(MATCH(A72,'SegEnds_Xtal_Prot#'!B:B, 0)), "NoXtal", "Xtal")</f>
        <v>NoXtal</v>
      </c>
      <c r="D72" s="4" t="str">
        <f>VLOOKUP(A72,Classification!A:D,2,FALSE)</f>
        <v>A</v>
      </c>
      <c r="E72" s="5" t="str">
        <f>VLOOKUP(A72,Seqs!A:B,2,FALSE)</f>
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</c>
      <c r="F72" s="5" t="str">
        <f t="shared" si="26"/>
        <v>TITEKMLICMTLVVITTLTTLLNLAVIMAIGTT</v>
      </c>
      <c r="G72" s="4" t="str">
        <f t="shared" si="27"/>
        <v>KKLH</v>
      </c>
      <c r="H72" s="4" t="str">
        <f t="shared" si="28"/>
        <v>QPANYLICSLAVTDLLVAVLVMPLSIIYIVMD</v>
      </c>
      <c r="I72" s="4" t="str">
        <f t="shared" si="29"/>
        <v>RWKL</v>
      </c>
      <c r="J72" s="4" t="str">
        <f t="shared" si="30"/>
        <v>GYFLCEVWLSVDMTCCTCSILHLCVIALDRYWAITN</v>
      </c>
      <c r="K72" s="4" t="str">
        <f t="shared" si="31"/>
        <v>AIEYARKR</v>
      </c>
      <c r="L72" s="4" t="str">
        <f t="shared" si="32"/>
        <v>TAKRAALMILTVWTISIFISMPPLFW</v>
      </c>
      <c r="M72" s="4" t="str">
        <f t="shared" si="33"/>
        <v>CTI</v>
      </c>
      <c r="N72" s="4" t="str">
        <f t="shared" si="34"/>
        <v>HVIYTIYSTLGAFYIPLTLILILYYRIYHAAKSLYQKRGSSR</v>
      </c>
      <c r="O72" s="4" t="str">
        <f t="shared" si="35"/>
        <v>QISSTRERKAARILGLILGAFILSWLPFFIKELIVGLS</v>
      </c>
      <c r="P72" s="4" t="str">
        <f t="shared" si="36"/>
        <v>SSEVADFLTWLGYVNSLINPLLYTSF</v>
      </c>
      <c r="Q72" s="4" t="str">
        <f t="shared" si="37"/>
        <v>NEDFKLAFKKLI</v>
      </c>
      <c r="R72" s="5">
        <f>VLOOKUP($A72,'SegEnds_NonXtal_Prot#'!$A:$AL,3,FALSE)</f>
        <v>18</v>
      </c>
      <c r="S72" s="5">
        <f>VLOOKUP($A72,'SegEnds_NonXtal_Prot#'!$A:$AL,6,FALSE)</f>
        <v>51</v>
      </c>
      <c r="T72" s="5">
        <f>VLOOKUP($A72,'SegEnds_NonXtal_Prot#'!$A:$AL,9,FALSE)</f>
        <v>55</v>
      </c>
      <c r="U72" s="5">
        <f>VLOOKUP($A72,'SegEnds_NonXtal_Prot#'!$A:$AL,12,FALSE)</f>
        <v>87</v>
      </c>
      <c r="V72" s="5">
        <f>VLOOKUP($A72,'SegEnds_NonXtal_Prot#'!$A:$AL,15,FALSE)</f>
        <v>91</v>
      </c>
      <c r="W72" s="5">
        <f>VLOOKUP($A72,'SegEnds_NonXtal_Prot#'!$A:$AL,18,FALSE)</f>
        <v>127</v>
      </c>
      <c r="X72" s="5">
        <f>VLOOKUP($A72,'SegEnds_NonXtal_Prot#'!$A:$AL,21,FALSE)</f>
        <v>135</v>
      </c>
      <c r="Y72" s="5">
        <f>VLOOKUP($A72,'SegEnds_NonXtal_Prot#'!$A:$AL,24,FALSE)</f>
        <v>173</v>
      </c>
      <c r="Z72" s="5">
        <f>VLOOKUP($A72,'SegEnds_NonXtal_Prot#'!$A:$AL,27,FALSE)</f>
        <v>179</v>
      </c>
      <c r="AA72" s="5">
        <f>VLOOKUP($A72,'SegEnds_NonXtal_Prot#'!$A:$AL,30,FALSE)</f>
        <v>280</v>
      </c>
      <c r="AB72" s="5">
        <f>VLOOKUP($A72,'SegEnds_NonXtal_Prot#'!$A:$AL,33,FALSE)</f>
        <v>322</v>
      </c>
      <c r="AC72" s="5">
        <f>VLOOKUP($A72,'SegEnds_NonXtal_Prot#'!$A:$AL,36,FALSE)</f>
        <v>348</v>
      </c>
      <c r="AD72" s="5">
        <f>VLOOKUP($A72,'SegEnds_NonXtal_Prot#'!$A:$AL,5,FALSE)</f>
        <v>50</v>
      </c>
      <c r="AE72" s="5">
        <f>VLOOKUP($A72,'SegEnds_NonXtal_Prot#'!$A:$AL,8,FALSE)</f>
        <v>54</v>
      </c>
      <c r="AF72" s="5">
        <f>VLOOKUP($A72,'SegEnds_NonXtal_Prot#'!$A:$AL,11,FALSE)</f>
        <v>86</v>
      </c>
      <c r="AG72" s="5">
        <f>VLOOKUP($A72,'SegEnds_NonXtal_Prot#'!$A:$AL,14,FALSE)</f>
        <v>90</v>
      </c>
      <c r="AH72" s="5">
        <f>VLOOKUP($A72,'SegEnds_NonXtal_Prot#'!$A:$AL,17,FALSE)</f>
        <v>126</v>
      </c>
      <c r="AI72" s="5">
        <f>VLOOKUP($A72,'SegEnds_NonXtal_Prot#'!$A:$AL,20,FALSE)</f>
        <v>134</v>
      </c>
      <c r="AJ72" s="5">
        <f>VLOOKUP($A72,'SegEnds_NonXtal_Prot#'!$A:$AL,23,FALSE)</f>
        <v>160</v>
      </c>
      <c r="AK72" s="5">
        <f>VLOOKUP($A72,'SegEnds_NonXtal_Prot#'!$A:$AL,26,FALSE)</f>
        <v>175</v>
      </c>
      <c r="AL72" s="5">
        <f>VLOOKUP($A72,'SegEnds_NonXtal_Prot#'!$A:$AL,29,FALSE)</f>
        <v>220</v>
      </c>
      <c r="AM72" s="5">
        <f>VLOOKUP($A72,'SegEnds_NonXtal_Prot#'!$A:$AL,32,FALSE)</f>
        <v>317</v>
      </c>
      <c r="AN72" s="5">
        <f>VLOOKUP($A72,'SegEnds_NonXtal_Prot#'!$A:$AL,35,FALSE)</f>
        <v>347</v>
      </c>
      <c r="AO72" s="5">
        <f>VLOOKUP($A72,'SegEnds_NonXtal_Prot#'!$A:$AL,38,FALSE)</f>
        <v>359</v>
      </c>
      <c r="AP72" s="5">
        <f t="shared" si="38"/>
        <v>32</v>
      </c>
      <c r="AQ72" s="4">
        <f t="shared" si="39"/>
        <v>3</v>
      </c>
      <c r="AR72" s="4">
        <f t="shared" si="40"/>
        <v>31</v>
      </c>
      <c r="AS72" s="4">
        <f t="shared" si="41"/>
        <v>3</v>
      </c>
      <c r="AT72" s="4">
        <f t="shared" si="42"/>
        <v>35</v>
      </c>
      <c r="AU72" s="4">
        <f t="shared" si="43"/>
        <v>7</v>
      </c>
      <c r="AV72" s="4">
        <f t="shared" si="44"/>
        <v>25</v>
      </c>
      <c r="AW72" s="4">
        <f t="shared" si="45"/>
        <v>2</v>
      </c>
      <c r="AX72" s="4">
        <f t="shared" si="46"/>
        <v>41</v>
      </c>
      <c r="AY72" s="4">
        <f t="shared" si="47"/>
        <v>37</v>
      </c>
      <c r="AZ72" s="4">
        <f t="shared" si="48"/>
        <v>25</v>
      </c>
      <c r="BA72" s="4">
        <f t="shared" si="49"/>
        <v>11</v>
      </c>
    </row>
    <row r="73" spans="1:53" x14ac:dyDescent="0.2">
      <c r="A73" s="1" t="str">
        <f>'SegEnds_NonXtal_Prot#'!A42</f>
        <v>5ht1f_human</v>
      </c>
      <c r="B73" s="1" t="str">
        <f t="shared" si="25"/>
        <v>RMPSKILVSLTLSGLALMTTTINSLVIAAIIVTHPANYLICSLAVTDFLVAVLVMPFSIVYIVREGQVVCDIWLSVDITCCTCSILHLSAIALDRYRAITDTPKHAGIMITIVWIISVFISMPPLFWHIVSTIYSTFGAFYIPLALILILYYKIYRAAKTLYHKRQASRKISGTRERKAATTLGLILGAFVICWLPFFVKELVVNVCSEEMSNFLAWLGYLNSLINPLIYTIFNEDFKKAFQKLV</v>
      </c>
      <c r="C73" s="29" t="str">
        <f>IF(ISERROR(MATCH(A73,'SegEnds_Xtal_Prot#'!B:B, 0)), "NoXtal", "Xtal")</f>
        <v>NoXtal</v>
      </c>
      <c r="D73" s="4" t="str">
        <f>VLOOKUP(A73,Classification!A:D,2,FALSE)</f>
        <v>A</v>
      </c>
      <c r="E73" s="5" t="str">
        <f>VLOOKUP(A73,Seqs!A:B,2,FALSE)</f>
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</c>
      <c r="F73" s="5" t="str">
        <f t="shared" si="26"/>
        <v>RMPSKILVSLTLSGLALMTTTINSLVIAAIIVT</v>
      </c>
      <c r="G73" s="4" t="str">
        <f t="shared" si="27"/>
        <v>RKLH</v>
      </c>
      <c r="H73" s="4" t="str">
        <f t="shared" si="28"/>
        <v>HPANYLICSLAVTDFLVAVLVMPFSIVYIVRE</v>
      </c>
      <c r="I73" s="4" t="str">
        <f t="shared" si="29"/>
        <v>SWIM</v>
      </c>
      <c r="J73" s="4" t="str">
        <f t="shared" si="30"/>
        <v>GQVVCDIWLSVDITCCTCSILHLSAIALDRYRAITD</v>
      </c>
      <c r="K73" s="4" t="str">
        <f t="shared" si="31"/>
        <v>AVEYARKR</v>
      </c>
      <c r="L73" s="4" t="str">
        <f t="shared" si="32"/>
        <v>TPKHAGIMITIVWIISVFISMPPLFW</v>
      </c>
      <c r="M73" s="4" t="str">
        <f t="shared" si="33"/>
        <v>CII</v>
      </c>
      <c r="N73" s="4" t="str">
        <f t="shared" si="34"/>
        <v>HIVSTIYSTFGAFYIPLALILILYYKIYRAAKTLYHKRQASR</v>
      </c>
      <c r="O73" s="4" t="str">
        <f t="shared" si="35"/>
        <v>KISGTRERKAATTLGLILGAFVICWLPFFVKELVVNVC</v>
      </c>
      <c r="P73" s="4" t="str">
        <f t="shared" si="36"/>
        <v>SEEMSNFLAWLGYLNSLINPLIYTIF</v>
      </c>
      <c r="Q73" s="4" t="str">
        <f t="shared" si="37"/>
        <v>NEDFKKAFQKLV</v>
      </c>
      <c r="R73" s="5">
        <f>VLOOKUP($A73,'SegEnds_NonXtal_Prot#'!$A:$AL,3,FALSE)</f>
        <v>19</v>
      </c>
      <c r="S73" s="5">
        <f>VLOOKUP($A73,'SegEnds_NonXtal_Prot#'!$A:$AL,6,FALSE)</f>
        <v>52</v>
      </c>
      <c r="T73" s="5">
        <f>VLOOKUP($A73,'SegEnds_NonXtal_Prot#'!$A:$AL,9,FALSE)</f>
        <v>56</v>
      </c>
      <c r="U73" s="5">
        <f>VLOOKUP($A73,'SegEnds_NonXtal_Prot#'!$A:$AL,12,FALSE)</f>
        <v>88</v>
      </c>
      <c r="V73" s="5">
        <f>VLOOKUP($A73,'SegEnds_NonXtal_Prot#'!$A:$AL,15,FALSE)</f>
        <v>92</v>
      </c>
      <c r="W73" s="5">
        <f>VLOOKUP($A73,'SegEnds_NonXtal_Prot#'!$A:$AL,18,FALSE)</f>
        <v>128</v>
      </c>
      <c r="X73" s="5">
        <f>VLOOKUP($A73,'SegEnds_NonXtal_Prot#'!$A:$AL,21,FALSE)</f>
        <v>136</v>
      </c>
      <c r="Y73" s="5">
        <f>VLOOKUP($A73,'SegEnds_NonXtal_Prot#'!$A:$AL,24,FALSE)</f>
        <v>172</v>
      </c>
      <c r="Z73" s="5">
        <f>VLOOKUP($A73,'SegEnds_NonXtal_Prot#'!$A:$AL,27,FALSE)</f>
        <v>178</v>
      </c>
      <c r="AA73" s="5">
        <f>VLOOKUP($A73,'SegEnds_NonXtal_Prot#'!$A:$AL,30,FALSE)</f>
        <v>282</v>
      </c>
      <c r="AB73" s="5">
        <f>VLOOKUP($A73,'SegEnds_NonXtal_Prot#'!$A:$AL,33,FALSE)</f>
        <v>325</v>
      </c>
      <c r="AC73" s="5">
        <f>VLOOKUP($A73,'SegEnds_NonXtal_Prot#'!$A:$AL,36,FALSE)</f>
        <v>351</v>
      </c>
      <c r="AD73" s="5">
        <f>VLOOKUP($A73,'SegEnds_NonXtal_Prot#'!$A:$AL,5,FALSE)</f>
        <v>51</v>
      </c>
      <c r="AE73" s="5">
        <f>VLOOKUP($A73,'SegEnds_NonXtal_Prot#'!$A:$AL,8,FALSE)</f>
        <v>55</v>
      </c>
      <c r="AF73" s="5">
        <f>VLOOKUP($A73,'SegEnds_NonXtal_Prot#'!$A:$AL,11,FALSE)</f>
        <v>87</v>
      </c>
      <c r="AG73" s="5">
        <f>VLOOKUP($A73,'SegEnds_NonXtal_Prot#'!$A:$AL,14,FALSE)</f>
        <v>91</v>
      </c>
      <c r="AH73" s="5">
        <f>VLOOKUP($A73,'SegEnds_NonXtal_Prot#'!$A:$AL,17,FALSE)</f>
        <v>127</v>
      </c>
      <c r="AI73" s="5">
        <f>VLOOKUP($A73,'SegEnds_NonXtal_Prot#'!$A:$AL,20,FALSE)</f>
        <v>135</v>
      </c>
      <c r="AJ73" s="5">
        <f>VLOOKUP($A73,'SegEnds_NonXtal_Prot#'!$A:$AL,23,FALSE)</f>
        <v>161</v>
      </c>
      <c r="AK73" s="5">
        <f>VLOOKUP($A73,'SegEnds_NonXtal_Prot#'!$A:$AL,26,FALSE)</f>
        <v>174</v>
      </c>
      <c r="AL73" s="5">
        <f>VLOOKUP($A73,'SegEnds_NonXtal_Prot#'!$A:$AL,29,FALSE)</f>
        <v>219</v>
      </c>
      <c r="AM73" s="5">
        <f>VLOOKUP($A73,'SegEnds_NonXtal_Prot#'!$A:$AL,32,FALSE)</f>
        <v>319</v>
      </c>
      <c r="AN73" s="5">
        <f>VLOOKUP($A73,'SegEnds_NonXtal_Prot#'!$A:$AL,35,FALSE)</f>
        <v>350</v>
      </c>
      <c r="AO73" s="5">
        <f>VLOOKUP($A73,'SegEnds_NonXtal_Prot#'!$A:$AL,38,FALSE)</f>
        <v>362</v>
      </c>
      <c r="AP73" s="5">
        <f t="shared" si="38"/>
        <v>32</v>
      </c>
      <c r="AQ73" s="4">
        <f t="shared" si="39"/>
        <v>3</v>
      </c>
      <c r="AR73" s="4">
        <f t="shared" si="40"/>
        <v>31</v>
      </c>
      <c r="AS73" s="4">
        <f t="shared" si="41"/>
        <v>3</v>
      </c>
      <c r="AT73" s="4">
        <f t="shared" si="42"/>
        <v>35</v>
      </c>
      <c r="AU73" s="4">
        <f t="shared" si="43"/>
        <v>7</v>
      </c>
      <c r="AV73" s="4">
        <f t="shared" si="44"/>
        <v>25</v>
      </c>
      <c r="AW73" s="4">
        <f t="shared" si="45"/>
        <v>2</v>
      </c>
      <c r="AX73" s="4">
        <f t="shared" si="46"/>
        <v>41</v>
      </c>
      <c r="AY73" s="4">
        <f t="shared" si="47"/>
        <v>37</v>
      </c>
      <c r="AZ73" s="4">
        <f t="shared" si="48"/>
        <v>25</v>
      </c>
      <c r="BA73" s="4">
        <f t="shared" si="49"/>
        <v>11</v>
      </c>
    </row>
    <row r="74" spans="1:53" x14ac:dyDescent="0.2">
      <c r="A74" s="1" t="str">
        <f>'SegEnds_NonXtal_Prot#'!A43</f>
        <v>5ht2a_human</v>
      </c>
      <c r="B74" s="1" t="str">
        <f t="shared" si="25"/>
        <v>LHLQEKNWSALLTAVVIILTIAGNILVIMAVSLENATNYFLMSLAIADMLLGFLVMPVSMLTILYGPSKLCAVWIYLDVLFSTASIMHLCAISLDRYVAIQNSRTKAFLKIIAVWTISVGISMPIPVFGLQDDDNFVLIGSFVSFFIPLTIMVITYFLTIKSLQKEATLCVSDLMQSISNEQKACKVLGIVFFLFVVMWCPFFITNIMAVICNEDVIGALLNVFVWIGYLSSAVNPLVYTLFNKTYRSAFSRYIQC</v>
      </c>
      <c r="C74" s="29" t="str">
        <f>IF(ISERROR(MATCH(A74,'SegEnds_Xtal_Prot#'!B:B, 0)), "NoXtal", "Xtal")</f>
        <v>Xtal</v>
      </c>
      <c r="D74" s="4" t="str">
        <f>VLOOKUP(A74,Classification!A:D,2,FALSE)</f>
        <v>A</v>
      </c>
      <c r="E74" s="5" t="str">
        <f>VLOOKUP(A74,Seqs!A:B,2,FALSE)</f>
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</c>
      <c r="F74" s="5" t="str">
        <f t="shared" si="26"/>
        <v>LHLQEKNWSALLTAVVIILTIAGNILVIMAVSLE</v>
      </c>
      <c r="G74" s="4" t="str">
        <f t="shared" si="27"/>
        <v>KKLQ</v>
      </c>
      <c r="H74" s="4" t="str">
        <f t="shared" si="28"/>
        <v>NATNYFLMSLAIADMLLGFLVMPVSMLTILYG</v>
      </c>
      <c r="I74" s="4" t="str">
        <f t="shared" si="29"/>
        <v>RWPL</v>
      </c>
      <c r="J74" s="4" t="str">
        <f t="shared" si="30"/>
        <v>PSKLCAVWIYLDVLFSTASIMHLCAISLDRYVAIQN</v>
      </c>
      <c r="K74" s="4" t="str">
        <f t="shared" si="31"/>
        <v>PIHHSRFN</v>
      </c>
      <c r="L74" s="4" t="str">
        <f t="shared" si="32"/>
        <v>SRTKAFLKIIAVWTISVGISMPIPVFGLQD</v>
      </c>
      <c r="M74" s="4" t="str">
        <f t="shared" si="33"/>
        <v>CLL</v>
      </c>
      <c r="N74" s="4" t="str">
        <f t="shared" si="34"/>
        <v>DDNFVLIGSFVSFFIPLTIMVITYFLTIKSLQKEATLCVSDL</v>
      </c>
      <c r="O74" s="4" t="str">
        <f t="shared" si="35"/>
        <v>MQSISNEQKACKVLGIVFFLFVVMWCPFFITNIMAVIC</v>
      </c>
      <c r="P74" s="4" t="str">
        <f t="shared" si="36"/>
        <v>NEDVIGALLNVFVWIGYLSSAVNPLVYTLF</v>
      </c>
      <c r="Q74" s="4" t="str">
        <f t="shared" si="37"/>
        <v>NKTYRSAFSRYIQC</v>
      </c>
      <c r="R74" s="5">
        <f>VLOOKUP($A74,'SegEnds_NonXtal_Prot#'!$A:$AL,3,FALSE)</f>
        <v>69</v>
      </c>
      <c r="S74" s="5">
        <f>VLOOKUP($A74,'SegEnds_NonXtal_Prot#'!$A:$AL,6,FALSE)</f>
        <v>103</v>
      </c>
      <c r="T74" s="5">
        <f>VLOOKUP($A74,'SegEnds_NonXtal_Prot#'!$A:$AL,9,FALSE)</f>
        <v>107</v>
      </c>
      <c r="U74" s="5">
        <f>VLOOKUP($A74,'SegEnds_NonXtal_Prot#'!$A:$AL,12,FALSE)</f>
        <v>140</v>
      </c>
      <c r="V74" s="5">
        <f>VLOOKUP($A74,'SegEnds_NonXtal_Prot#'!$A:$AL,15,FALSE)</f>
        <v>144</v>
      </c>
      <c r="W74" s="5">
        <f>VLOOKUP($A74,'SegEnds_NonXtal_Prot#'!$A:$AL,18,FALSE)</f>
        <v>180</v>
      </c>
      <c r="X74" s="5">
        <f>VLOOKUP($A74,'SegEnds_NonXtal_Prot#'!$A:$AL,21,FALSE)</f>
        <v>188</v>
      </c>
      <c r="Y74" s="5">
        <f>VLOOKUP($A74,'SegEnds_NonXtal_Prot#'!$A:$AL,24,FALSE)</f>
        <v>227</v>
      </c>
      <c r="Z74" s="5">
        <f>VLOOKUP($A74,'SegEnds_NonXtal_Prot#'!$A:$AL,27,FALSE)</f>
        <v>231</v>
      </c>
      <c r="AA74" s="5">
        <f>VLOOKUP($A74,'SegEnds_NonXtal_Prot#'!$A:$AL,30,FALSE)</f>
        <v>312</v>
      </c>
      <c r="AB74" s="5">
        <f>VLOOKUP($A74,'SegEnds_NonXtal_Prot#'!$A:$AL,33,FALSE)</f>
        <v>354</v>
      </c>
      <c r="AC74" s="5">
        <f>VLOOKUP($A74,'SegEnds_NonXtal_Prot#'!$A:$AL,36,FALSE)</f>
        <v>384</v>
      </c>
      <c r="AD74" s="5">
        <f>VLOOKUP($A74,'SegEnds_NonXtal_Prot#'!$A:$AL,5,FALSE)</f>
        <v>102</v>
      </c>
      <c r="AE74" s="5">
        <f>VLOOKUP($A74,'SegEnds_NonXtal_Prot#'!$A:$AL,8,FALSE)</f>
        <v>106</v>
      </c>
      <c r="AF74" s="5">
        <f>VLOOKUP($A74,'SegEnds_NonXtal_Prot#'!$A:$AL,11,FALSE)</f>
        <v>138</v>
      </c>
      <c r="AG74" s="5">
        <f>VLOOKUP($A74,'SegEnds_NonXtal_Prot#'!$A:$AL,14,FALSE)</f>
        <v>143</v>
      </c>
      <c r="AH74" s="5">
        <f>VLOOKUP($A74,'SegEnds_NonXtal_Prot#'!$A:$AL,17,FALSE)</f>
        <v>179</v>
      </c>
      <c r="AI74" s="5">
        <f>VLOOKUP($A74,'SegEnds_NonXtal_Prot#'!$A:$AL,20,FALSE)</f>
        <v>187</v>
      </c>
      <c r="AJ74" s="5">
        <f>VLOOKUP($A74,'SegEnds_NonXtal_Prot#'!$A:$AL,23,FALSE)</f>
        <v>217</v>
      </c>
      <c r="AK74" s="5">
        <f>VLOOKUP($A74,'SegEnds_NonXtal_Prot#'!$A:$AL,26,FALSE)</f>
        <v>229</v>
      </c>
      <c r="AL74" s="5">
        <f>VLOOKUP($A74,'SegEnds_NonXtal_Prot#'!$A:$AL,29,FALSE)</f>
        <v>272</v>
      </c>
      <c r="AM74" s="5">
        <f>VLOOKUP($A74,'SegEnds_NonXtal_Prot#'!$A:$AL,32,FALSE)</f>
        <v>349</v>
      </c>
      <c r="AN74" s="5">
        <f>VLOOKUP($A74,'SegEnds_NonXtal_Prot#'!$A:$AL,35,FALSE)</f>
        <v>383</v>
      </c>
      <c r="AO74" s="5">
        <f>VLOOKUP($A74,'SegEnds_NonXtal_Prot#'!$A:$AL,38,FALSE)</f>
        <v>397</v>
      </c>
      <c r="AP74" s="5">
        <f t="shared" si="38"/>
        <v>33</v>
      </c>
      <c r="AQ74" s="4">
        <f t="shared" si="39"/>
        <v>3</v>
      </c>
      <c r="AR74" s="4">
        <f t="shared" si="40"/>
        <v>31</v>
      </c>
      <c r="AS74" s="4">
        <f t="shared" si="41"/>
        <v>3</v>
      </c>
      <c r="AT74" s="4">
        <f t="shared" si="42"/>
        <v>35</v>
      </c>
      <c r="AU74" s="4">
        <f t="shared" si="43"/>
        <v>7</v>
      </c>
      <c r="AV74" s="4">
        <f t="shared" si="44"/>
        <v>29</v>
      </c>
      <c r="AW74" s="4">
        <f t="shared" si="45"/>
        <v>2</v>
      </c>
      <c r="AX74" s="4">
        <f t="shared" si="46"/>
        <v>41</v>
      </c>
      <c r="AY74" s="4">
        <f t="shared" si="47"/>
        <v>37</v>
      </c>
      <c r="AZ74" s="4">
        <f t="shared" si="48"/>
        <v>29</v>
      </c>
      <c r="BA74" s="4">
        <f t="shared" si="49"/>
        <v>13</v>
      </c>
    </row>
    <row r="75" spans="1:53" x14ac:dyDescent="0.2">
      <c r="A75" s="1" t="str">
        <f>'SegEnds_NonXtal_Prot#'!A44</f>
        <v>5ht2b_human</v>
      </c>
      <c r="B75" s="1" t="str">
        <f t="shared" si="25"/>
        <v>KLHWAALLILMVIIPTIGGNTLVILAVSLEYATNYFLMSLAVADLLVGLFVMPIALLTIMFPLVLCPAWLFLDVLFSTASIMHLCAISVDRYIAIKKSRATAFIKITVVWLISIGIAIPVPIKGFGDFMLFGSLAAFFTPLAIMIVTYFLTIHALQKKAYLVKNKPVQTISNEQRASKVLGIVFFLFLLMWCPFFITNITLVLCNQTTLQMLLEIFVWIGYVSSGVNPLVYTLFNKTFRDAFGRYI</v>
      </c>
      <c r="C75" s="29" t="str">
        <f>IF(ISERROR(MATCH(A75,'SegEnds_Xtal_Prot#'!B:B, 0)), "NoXtal", "Xtal")</f>
        <v>Xtal</v>
      </c>
      <c r="D75" s="4" t="str">
        <f>VLOOKUP(A75,Classification!A:D,2,FALSE)</f>
        <v>A</v>
      </c>
      <c r="E75" s="5" t="str">
        <f>VLOOKUP(A75,Seqs!A:B,2,FALSE)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F75" s="5" t="str">
        <f t="shared" si="26"/>
        <v>KLHWAALLILMVIIPTIGGNTLVILAVSLE</v>
      </c>
      <c r="G75" s="4" t="str">
        <f t="shared" si="27"/>
        <v>KKLQ</v>
      </c>
      <c r="H75" s="4" t="str">
        <f t="shared" si="28"/>
        <v>YATNYFLMSLAVADLLVGLFVMPIALLTIMF</v>
      </c>
      <c r="I75" s="4" t="str">
        <f t="shared" si="29"/>
        <v>MWPL</v>
      </c>
      <c r="J75" s="4" t="str">
        <f t="shared" si="30"/>
        <v>PLVLCPAWLFLDVLFSTASIMHLCAISVDRYIAIKK</v>
      </c>
      <c r="K75" s="4" t="str">
        <f t="shared" si="31"/>
        <v>PIQANQYN</v>
      </c>
      <c r="L75" s="4" t="str">
        <f t="shared" si="32"/>
        <v>SRATAFIKITVVWLISIGIAIPVPIKG</v>
      </c>
      <c r="M75" s="4" t="str">
        <f t="shared" si="33"/>
        <v>CVL</v>
      </c>
      <c r="N75" s="4" t="str">
        <f t="shared" si="34"/>
        <v>FGDFMLFGSLAAFFTPLAIMIVTYFLTIHALQKKAYLVKNKP</v>
      </c>
      <c r="O75" s="4" t="str">
        <f t="shared" si="35"/>
        <v>VQTISNEQRASKVLGIVFFLFLLMWCPFFITNITLVLC</v>
      </c>
      <c r="P75" s="4" t="str">
        <f t="shared" si="36"/>
        <v>NQTTLQMLLEIFVWIGYVSSGVNPLVYTLF</v>
      </c>
      <c r="Q75" s="4" t="str">
        <f t="shared" si="37"/>
        <v>NKTFRDAFGRYI</v>
      </c>
      <c r="R75" s="5">
        <f>VLOOKUP($A75,'SegEnds_NonXtal_Prot#'!$A:$AL,3,FALSE)</f>
        <v>53</v>
      </c>
      <c r="S75" s="5">
        <f>VLOOKUP($A75,'SegEnds_NonXtal_Prot#'!$A:$AL,6,FALSE)</f>
        <v>83</v>
      </c>
      <c r="T75" s="5">
        <f>VLOOKUP($A75,'SegEnds_NonXtal_Prot#'!$A:$AL,9,FALSE)</f>
        <v>87</v>
      </c>
      <c r="U75" s="5">
        <f>VLOOKUP($A75,'SegEnds_NonXtal_Prot#'!$A:$AL,12,FALSE)</f>
        <v>120</v>
      </c>
      <c r="V75" s="5">
        <f>VLOOKUP($A75,'SegEnds_NonXtal_Prot#'!$A:$AL,15,FALSE)</f>
        <v>124</v>
      </c>
      <c r="W75" s="5">
        <f>VLOOKUP($A75,'SegEnds_NonXtal_Prot#'!$A:$AL,18,FALSE)</f>
        <v>160</v>
      </c>
      <c r="X75" s="5">
        <f>VLOOKUP($A75,'SegEnds_NonXtal_Prot#'!$A:$AL,21,FALSE)</f>
        <v>168</v>
      </c>
      <c r="Y75" s="5">
        <f>VLOOKUP($A75,'SegEnds_NonXtal_Prot#'!$A:$AL,24,FALSE)</f>
        <v>207</v>
      </c>
      <c r="Z75" s="5">
        <f>VLOOKUP($A75,'SegEnds_NonXtal_Prot#'!$A:$AL,27,FALSE)</f>
        <v>214</v>
      </c>
      <c r="AA75" s="5">
        <f>VLOOKUP($A75,'SegEnds_NonXtal_Prot#'!$A:$AL,30,FALSE)</f>
        <v>313</v>
      </c>
      <c r="AB75" s="5">
        <f>VLOOKUP($A75,'SegEnds_NonXtal_Prot#'!$A:$AL,33,FALSE)</f>
        <v>354</v>
      </c>
      <c r="AC75" s="5">
        <f>VLOOKUP($A75,'SegEnds_NonXtal_Prot#'!$A:$AL,36,FALSE)</f>
        <v>384</v>
      </c>
      <c r="AD75" s="5">
        <f>VLOOKUP($A75,'SegEnds_NonXtal_Prot#'!$A:$AL,5,FALSE)</f>
        <v>82</v>
      </c>
      <c r="AE75" s="5">
        <f>VLOOKUP($A75,'SegEnds_NonXtal_Prot#'!$A:$AL,8,FALSE)</f>
        <v>86</v>
      </c>
      <c r="AF75" s="5">
        <f>VLOOKUP($A75,'SegEnds_NonXtal_Prot#'!$A:$AL,11,FALSE)</f>
        <v>117</v>
      </c>
      <c r="AG75" s="5">
        <f>VLOOKUP($A75,'SegEnds_NonXtal_Prot#'!$A:$AL,14,FALSE)</f>
        <v>123</v>
      </c>
      <c r="AH75" s="5">
        <f>VLOOKUP($A75,'SegEnds_NonXtal_Prot#'!$A:$AL,17,FALSE)</f>
        <v>159</v>
      </c>
      <c r="AI75" s="5">
        <f>VLOOKUP($A75,'SegEnds_NonXtal_Prot#'!$A:$AL,20,FALSE)</f>
        <v>167</v>
      </c>
      <c r="AJ75" s="5">
        <f>VLOOKUP($A75,'SegEnds_NonXtal_Prot#'!$A:$AL,23,FALSE)</f>
        <v>194</v>
      </c>
      <c r="AK75" s="5">
        <f>VLOOKUP($A75,'SegEnds_NonXtal_Prot#'!$A:$AL,26,FALSE)</f>
        <v>209</v>
      </c>
      <c r="AL75" s="5">
        <f>VLOOKUP($A75,'SegEnds_NonXtal_Prot#'!$A:$AL,29,FALSE)</f>
        <v>255</v>
      </c>
      <c r="AM75" s="5">
        <f>VLOOKUP($A75,'SegEnds_NonXtal_Prot#'!$A:$AL,32,FALSE)</f>
        <v>350</v>
      </c>
      <c r="AN75" s="5">
        <f>VLOOKUP($A75,'SegEnds_NonXtal_Prot#'!$A:$AL,35,FALSE)</f>
        <v>383</v>
      </c>
      <c r="AO75" s="5">
        <f>VLOOKUP($A75,'SegEnds_NonXtal_Prot#'!$A:$AL,38,FALSE)</f>
        <v>395</v>
      </c>
      <c r="AP75" s="5">
        <f t="shared" si="38"/>
        <v>29</v>
      </c>
      <c r="AQ75" s="4">
        <f t="shared" si="39"/>
        <v>3</v>
      </c>
      <c r="AR75" s="4">
        <f t="shared" si="40"/>
        <v>30</v>
      </c>
      <c r="AS75" s="4">
        <f t="shared" si="41"/>
        <v>3</v>
      </c>
      <c r="AT75" s="4">
        <f t="shared" si="42"/>
        <v>35</v>
      </c>
      <c r="AU75" s="4">
        <f t="shared" si="43"/>
        <v>7</v>
      </c>
      <c r="AV75" s="4">
        <f t="shared" si="44"/>
        <v>26</v>
      </c>
      <c r="AW75" s="4">
        <f t="shared" si="45"/>
        <v>2</v>
      </c>
      <c r="AX75" s="4">
        <f t="shared" si="46"/>
        <v>41</v>
      </c>
      <c r="AY75" s="4">
        <f t="shared" si="47"/>
        <v>37</v>
      </c>
      <c r="AZ75" s="4">
        <f t="shared" si="48"/>
        <v>29</v>
      </c>
      <c r="BA75" s="4">
        <f t="shared" si="49"/>
        <v>11</v>
      </c>
    </row>
    <row r="76" spans="1:53" x14ac:dyDescent="0.2">
      <c r="A76" s="1" t="str">
        <f>'SegEnds_NonXtal_Prot#'!A45</f>
        <v>5ht2c_human</v>
      </c>
      <c r="B76" s="1" t="str">
        <f t="shared" si="25"/>
        <v>NWPALSIVIIIIMTIGGNILVIMAVSMENATNYFLMSLAIADMLVGLLVMPLSLLAILYDPRYLCPVWISLDVLFSTASIMHLCAISLDRYVAIRNSRTKAIMKIAIVWAISIGVSVPIPVIGLRDDPNFVLIGSFVAFFIPLTIMVITYCLTIYVLRRQALMLLHMQAINNERKASKVLGIVFFVFLIMWCPFFITNILSVLCNQKLMEKLLNVFVWIGYVCSGINPLVYTLFNKIYRRAFSNYLRC</v>
      </c>
      <c r="C76" s="29" t="str">
        <f>IF(ISERROR(MATCH(A76,'SegEnds_Xtal_Prot#'!B:B, 0)), "NoXtal", "Xtal")</f>
        <v>Xtal</v>
      </c>
      <c r="D76" s="4" t="str">
        <f>VLOOKUP(A76,Classification!A:D,2,FALSE)</f>
        <v>A</v>
      </c>
      <c r="E76" s="5" t="str">
        <f>VLOOKUP(A76,Seqs!A:B,2,FALSE)</f>
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</c>
      <c r="F76" s="5" t="str">
        <f t="shared" si="26"/>
        <v>NWPALSIVIIIIMTIGGNILVIMAVSME</v>
      </c>
      <c r="G76" s="4" t="str">
        <f t="shared" si="27"/>
        <v>KKLH</v>
      </c>
      <c r="H76" s="4" t="str">
        <f t="shared" si="28"/>
        <v>NATNYFLMSLAIADMLVGLLVMPLSLLAILYD</v>
      </c>
      <c r="I76" s="4" t="str">
        <f t="shared" si="29"/>
        <v>VWPL</v>
      </c>
      <c r="J76" s="4" t="str">
        <f t="shared" si="30"/>
        <v>PRYLCPVWISLDVLFSTASIMHLCAISLDRYVAIRN</v>
      </c>
      <c r="K76" s="4" t="str">
        <f t="shared" si="31"/>
        <v>PIEHSRFN</v>
      </c>
      <c r="L76" s="4" t="str">
        <f t="shared" si="32"/>
        <v>SRTKAIMKIAIVWAISIGVSVPIPVIGLRD</v>
      </c>
      <c r="M76" s="4" t="str">
        <f t="shared" si="33"/>
        <v>CVL</v>
      </c>
      <c r="N76" s="4" t="str">
        <f t="shared" si="34"/>
        <v>DPNFVLIGSFVAFFIPLTIMVITYCLTIYVLRRQALMLLH</v>
      </c>
      <c r="O76" s="4" t="str">
        <f t="shared" si="35"/>
        <v>MQAINNERKASKVLGIVFFVFLIMWCPFFITNILSVLC</v>
      </c>
      <c r="P76" s="4" t="str">
        <f t="shared" si="36"/>
        <v>NQKLMEKLLNVFVWIGYVCSGINPLVYTLF</v>
      </c>
      <c r="Q76" s="4" t="str">
        <f t="shared" si="37"/>
        <v>NKIYRRAFSNYLRC</v>
      </c>
      <c r="R76" s="5">
        <f>VLOOKUP($A76,'SegEnds_NonXtal_Prot#'!$A:$AL,3,FALSE)</f>
        <v>54</v>
      </c>
      <c r="S76" s="5">
        <f>VLOOKUP($A76,'SegEnds_NonXtal_Prot#'!$A:$AL,6,FALSE)</f>
        <v>82</v>
      </c>
      <c r="T76" s="5">
        <f>VLOOKUP($A76,'SegEnds_NonXtal_Prot#'!$A:$AL,9,FALSE)</f>
        <v>86</v>
      </c>
      <c r="U76" s="5">
        <f>VLOOKUP($A76,'SegEnds_NonXtal_Prot#'!$A:$AL,12,FALSE)</f>
        <v>119</v>
      </c>
      <c r="V76" s="5">
        <f>VLOOKUP($A76,'SegEnds_NonXtal_Prot#'!$A:$AL,15,FALSE)</f>
        <v>123</v>
      </c>
      <c r="W76" s="5">
        <f>VLOOKUP($A76,'SegEnds_NonXtal_Prot#'!$A:$AL,18,FALSE)</f>
        <v>159</v>
      </c>
      <c r="X76" s="5">
        <f>VLOOKUP($A76,'SegEnds_NonXtal_Prot#'!$A:$AL,21,FALSE)</f>
        <v>167</v>
      </c>
      <c r="Y76" s="5">
        <f>VLOOKUP($A76,'SegEnds_NonXtal_Prot#'!$A:$AL,24,FALSE)</f>
        <v>207</v>
      </c>
      <c r="Z76" s="5">
        <f>VLOOKUP($A76,'SegEnds_NonXtal_Prot#'!$A:$AL,27,FALSE)</f>
        <v>211</v>
      </c>
      <c r="AA76" s="5">
        <f>VLOOKUP($A76,'SegEnds_NonXtal_Prot#'!$A:$AL,30,FALSE)</f>
        <v>300</v>
      </c>
      <c r="AB76" s="5">
        <f>VLOOKUP($A76,'SegEnds_NonXtal_Prot#'!$A:$AL,33,FALSE)</f>
        <v>342</v>
      </c>
      <c r="AC76" s="5">
        <f>VLOOKUP($A76,'SegEnds_NonXtal_Prot#'!$A:$AL,36,FALSE)</f>
        <v>372</v>
      </c>
      <c r="AD76" s="5">
        <f>VLOOKUP($A76,'SegEnds_NonXtal_Prot#'!$A:$AL,5,FALSE)</f>
        <v>81</v>
      </c>
      <c r="AE76" s="5">
        <f>VLOOKUP($A76,'SegEnds_NonXtal_Prot#'!$A:$AL,8,FALSE)</f>
        <v>85</v>
      </c>
      <c r="AF76" s="5">
        <f>VLOOKUP($A76,'SegEnds_NonXtal_Prot#'!$A:$AL,11,FALSE)</f>
        <v>117</v>
      </c>
      <c r="AG76" s="5">
        <f>VLOOKUP($A76,'SegEnds_NonXtal_Prot#'!$A:$AL,14,FALSE)</f>
        <v>122</v>
      </c>
      <c r="AH76" s="5">
        <f>VLOOKUP($A76,'SegEnds_NonXtal_Prot#'!$A:$AL,17,FALSE)</f>
        <v>158</v>
      </c>
      <c r="AI76" s="5">
        <f>VLOOKUP($A76,'SegEnds_NonXtal_Prot#'!$A:$AL,20,FALSE)</f>
        <v>166</v>
      </c>
      <c r="AJ76" s="5">
        <f>VLOOKUP($A76,'SegEnds_NonXtal_Prot#'!$A:$AL,23,FALSE)</f>
        <v>196</v>
      </c>
      <c r="AK76" s="5">
        <f>VLOOKUP($A76,'SegEnds_NonXtal_Prot#'!$A:$AL,26,FALSE)</f>
        <v>209</v>
      </c>
      <c r="AL76" s="5">
        <f>VLOOKUP($A76,'SegEnds_NonXtal_Prot#'!$A:$AL,29,FALSE)</f>
        <v>250</v>
      </c>
      <c r="AM76" s="5">
        <f>VLOOKUP($A76,'SegEnds_NonXtal_Prot#'!$A:$AL,32,FALSE)</f>
        <v>337</v>
      </c>
      <c r="AN76" s="5">
        <f>VLOOKUP($A76,'SegEnds_NonXtal_Prot#'!$A:$AL,35,FALSE)</f>
        <v>371</v>
      </c>
      <c r="AO76" s="5">
        <f>VLOOKUP($A76,'SegEnds_NonXtal_Prot#'!$A:$AL,38,FALSE)</f>
        <v>385</v>
      </c>
      <c r="AP76" s="5">
        <f t="shared" si="38"/>
        <v>27</v>
      </c>
      <c r="AQ76" s="4">
        <f t="shared" si="39"/>
        <v>3</v>
      </c>
      <c r="AR76" s="4">
        <f t="shared" si="40"/>
        <v>31</v>
      </c>
      <c r="AS76" s="4">
        <f t="shared" si="41"/>
        <v>3</v>
      </c>
      <c r="AT76" s="4">
        <f t="shared" si="42"/>
        <v>35</v>
      </c>
      <c r="AU76" s="4">
        <f t="shared" si="43"/>
        <v>7</v>
      </c>
      <c r="AV76" s="4">
        <f t="shared" si="44"/>
        <v>29</v>
      </c>
      <c r="AW76" s="4">
        <f t="shared" si="45"/>
        <v>2</v>
      </c>
      <c r="AX76" s="4">
        <f t="shared" si="46"/>
        <v>39</v>
      </c>
      <c r="AY76" s="4">
        <f t="shared" si="47"/>
        <v>37</v>
      </c>
      <c r="AZ76" s="4">
        <f t="shared" si="48"/>
        <v>29</v>
      </c>
      <c r="BA76" s="4">
        <f t="shared" si="49"/>
        <v>13</v>
      </c>
    </row>
    <row r="77" spans="1:53" x14ac:dyDescent="0.2">
      <c r="A77" s="1" t="str">
        <f>'SegEnds_NonXtal_Prot#'!A46</f>
        <v>5ht4r_human</v>
      </c>
      <c r="B77" s="1" t="str">
        <f t="shared" si="25"/>
        <v>EGFGSVEKVVLLTFLSTVILMAILGNLLVMVAVCWDKIKTNYFIVSLAFADLLVSVLVMPFGAIELVQGEVFCLVRTSLDVLLTTASIFHLCCISLDRYYAICCTPLRIALMLGGCWVIPTFISFLPIMQGNKPYAITCSVVAFYIPFLLMVLAYYRIYVTAKEHAHQIQMLQTHRMRTETKAAKTLCIIMGCFCLCWAPFFVTNIVDPFIPGQVWTAFLWLGYINSGLNPFLYAFLNKSFRRAFLIILC</v>
      </c>
      <c r="C77" s="29" t="str">
        <f>IF(ISERROR(MATCH(A77,'SegEnds_Xtal_Prot#'!B:B, 0)), "NoXtal", "Xtal")</f>
        <v>NoXtal</v>
      </c>
      <c r="D77" s="4" t="str">
        <f>VLOOKUP(A77,Classification!A:D,2,FALSE)</f>
        <v>A</v>
      </c>
      <c r="E77" s="5" t="str">
        <f>VLOOKUP(A77,Seqs!A:B,2,FALSE)</f>
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</c>
      <c r="F77" s="5" t="str">
        <f t="shared" si="26"/>
        <v>EGFGSVEKVVLLTFLSTVILMAILGNLLVMVAVCWD</v>
      </c>
      <c r="G77" s="4" t="str">
        <f t="shared" si="27"/>
        <v>RQLR</v>
      </c>
      <c r="H77" s="4" t="str">
        <f t="shared" si="28"/>
        <v>KIKTNYFIVSLAFADLLVSVLVMPFGAIELVQ</v>
      </c>
      <c r="I77" s="4" t="str">
        <f t="shared" si="29"/>
        <v>IWIY</v>
      </c>
      <c r="J77" s="4" t="str">
        <f t="shared" si="30"/>
        <v>GEVFCLVRTSLDVLLTTASIFHLCCISLDRYYAICC</v>
      </c>
      <c r="K77" s="4" t="str">
        <f t="shared" si="31"/>
        <v>PLVYRNKM</v>
      </c>
      <c r="L77" s="4" t="str">
        <f t="shared" si="32"/>
        <v>TPLRIALMLGGCWVIPTFISFLPIMQG</v>
      </c>
      <c r="M77" s="4" t="str">
        <f t="shared" si="33"/>
        <v>CVF</v>
      </c>
      <c r="N77" s="4" t="str">
        <f t="shared" si="34"/>
        <v>NKPYAITCSVVAFYIPFLLMVLAYYRIYVTAKEHAHQIQMLQ</v>
      </c>
      <c r="O77" s="4" t="str">
        <f t="shared" si="35"/>
        <v>THRMRTETKAAKTLCIIMGCFCLCWAPFFVTNIVDPFI</v>
      </c>
      <c r="P77" s="4" t="str">
        <f t="shared" si="36"/>
        <v>PGQVWTAFLWLGYINSGLNPFLYAFL</v>
      </c>
      <c r="Q77" s="4" t="str">
        <f t="shared" si="37"/>
        <v>NKSFRRAFLIILC</v>
      </c>
      <c r="R77" s="5">
        <f>VLOOKUP($A77,'SegEnds_NonXtal_Prot#'!$A:$AL,3,FALSE)</f>
        <v>12</v>
      </c>
      <c r="S77" s="5">
        <f>VLOOKUP($A77,'SegEnds_NonXtal_Prot#'!$A:$AL,6,FALSE)</f>
        <v>48</v>
      </c>
      <c r="T77" s="5">
        <f>VLOOKUP($A77,'SegEnds_NonXtal_Prot#'!$A:$AL,9,FALSE)</f>
        <v>52</v>
      </c>
      <c r="U77" s="5">
        <f>VLOOKUP($A77,'SegEnds_NonXtal_Prot#'!$A:$AL,12,FALSE)</f>
        <v>85</v>
      </c>
      <c r="V77" s="5">
        <f>VLOOKUP($A77,'SegEnds_NonXtal_Prot#'!$A:$AL,15,FALSE)</f>
        <v>89</v>
      </c>
      <c r="W77" s="5">
        <f>VLOOKUP($A77,'SegEnds_NonXtal_Prot#'!$A:$AL,18,FALSE)</f>
        <v>126</v>
      </c>
      <c r="X77" s="5">
        <f>VLOOKUP($A77,'SegEnds_NonXtal_Prot#'!$A:$AL,21,FALSE)</f>
        <v>134</v>
      </c>
      <c r="Y77" s="5">
        <f>VLOOKUP($A77,'SegEnds_NonXtal_Prot#'!$A:$AL,24,FALSE)</f>
        <v>184</v>
      </c>
      <c r="Z77" s="5">
        <f>VLOOKUP($A77,'SegEnds_NonXtal_Prot#'!$A:$AL,27,FALSE)</f>
        <v>189</v>
      </c>
      <c r="AA77" s="5">
        <f>VLOOKUP($A77,'SegEnds_NonXtal_Prot#'!$A:$AL,30,FALSE)</f>
        <v>248</v>
      </c>
      <c r="AB77" s="5">
        <f>VLOOKUP($A77,'SegEnds_NonXtal_Prot#'!$A:$AL,33,FALSE)</f>
        <v>290</v>
      </c>
      <c r="AC77" s="5">
        <f>VLOOKUP($A77,'SegEnds_NonXtal_Prot#'!$A:$AL,36,FALSE)</f>
        <v>316</v>
      </c>
      <c r="AD77" s="5">
        <f>VLOOKUP($A77,'SegEnds_NonXtal_Prot#'!$A:$AL,5,FALSE)</f>
        <v>47</v>
      </c>
      <c r="AE77" s="5">
        <f>VLOOKUP($A77,'SegEnds_NonXtal_Prot#'!$A:$AL,8,FALSE)</f>
        <v>51</v>
      </c>
      <c r="AF77" s="5">
        <f>VLOOKUP($A77,'SegEnds_NonXtal_Prot#'!$A:$AL,11,FALSE)</f>
        <v>83</v>
      </c>
      <c r="AG77" s="5">
        <f>VLOOKUP($A77,'SegEnds_NonXtal_Prot#'!$A:$AL,14,FALSE)</f>
        <v>88</v>
      </c>
      <c r="AH77" s="5">
        <f>VLOOKUP($A77,'SegEnds_NonXtal_Prot#'!$A:$AL,17,FALSE)</f>
        <v>124</v>
      </c>
      <c r="AI77" s="5">
        <f>VLOOKUP($A77,'SegEnds_NonXtal_Prot#'!$A:$AL,20,FALSE)</f>
        <v>133</v>
      </c>
      <c r="AJ77" s="5">
        <f>VLOOKUP($A77,'SegEnds_NonXtal_Prot#'!$A:$AL,23,FALSE)</f>
        <v>160</v>
      </c>
      <c r="AK77" s="5">
        <f>VLOOKUP($A77,'SegEnds_NonXtal_Prot#'!$A:$AL,26,FALSE)</f>
        <v>186</v>
      </c>
      <c r="AL77" s="5">
        <f>VLOOKUP($A77,'SegEnds_NonXtal_Prot#'!$A:$AL,29,FALSE)</f>
        <v>230</v>
      </c>
      <c r="AM77" s="5">
        <f>VLOOKUP($A77,'SegEnds_NonXtal_Prot#'!$A:$AL,32,FALSE)</f>
        <v>285</v>
      </c>
      <c r="AN77" s="5">
        <f>VLOOKUP($A77,'SegEnds_NonXtal_Prot#'!$A:$AL,35,FALSE)</f>
        <v>315</v>
      </c>
      <c r="AO77" s="5">
        <f>VLOOKUP($A77,'SegEnds_NonXtal_Prot#'!$A:$AL,38,FALSE)</f>
        <v>328</v>
      </c>
      <c r="AP77" s="5">
        <f t="shared" si="38"/>
        <v>35</v>
      </c>
      <c r="AQ77" s="4">
        <f t="shared" si="39"/>
        <v>3</v>
      </c>
      <c r="AR77" s="4">
        <f t="shared" si="40"/>
        <v>31</v>
      </c>
      <c r="AS77" s="4">
        <f t="shared" si="41"/>
        <v>3</v>
      </c>
      <c r="AT77" s="4">
        <f t="shared" si="42"/>
        <v>35</v>
      </c>
      <c r="AU77" s="4">
        <f t="shared" si="43"/>
        <v>7</v>
      </c>
      <c r="AV77" s="4">
        <f t="shared" si="44"/>
        <v>26</v>
      </c>
      <c r="AW77" s="4">
        <f t="shared" si="45"/>
        <v>2</v>
      </c>
      <c r="AX77" s="4">
        <f t="shared" si="46"/>
        <v>41</v>
      </c>
      <c r="AY77" s="4">
        <f t="shared" si="47"/>
        <v>37</v>
      </c>
      <c r="AZ77" s="4">
        <f t="shared" si="48"/>
        <v>25</v>
      </c>
      <c r="BA77" s="4">
        <f t="shared" si="49"/>
        <v>12</v>
      </c>
    </row>
    <row r="78" spans="1:53" x14ac:dyDescent="0.2">
      <c r="A78" s="1" t="str">
        <f>'SegEnds_NonXtal_Prot#'!A47</f>
        <v>5ht5a_human</v>
      </c>
      <c r="B78" s="1" t="str">
        <f t="shared" si="25"/>
        <v>LSVFGVLILTLLGFLVAATFAWNLLVLATILRVRVPHNLVASMAVSDVLVAALVMPLSLVHELSGGRRLCQLWIACDVLCCTASIWNVTAIALDRYWSITRRKCVSNVMIALTWALSAVISLAPLLFEPSYAVFSTVGAFYLPLCVVLFVYWKIYKAAKFRVGSRKTNSTWREQKEQRAALMVGILIGVFVLCWIPFFLTELISPLCPAIWKSIFLWLGYSNSFFNPLIYTAFNKNYNSAFKNFF</v>
      </c>
      <c r="C78" s="29" t="str">
        <f>IF(ISERROR(MATCH(A78,'SegEnds_Xtal_Prot#'!B:B, 0)), "NoXtal", "Xtal")</f>
        <v>NoXtal</v>
      </c>
      <c r="D78" s="4" t="str">
        <f>VLOOKUP(A78,Classification!A:D,2,FALSE)</f>
        <v>A</v>
      </c>
      <c r="E78" s="5" t="str">
        <f>VLOOKUP(A78,Seqs!A:B,2,FALSE)</f>
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</c>
      <c r="F78" s="5" t="str">
        <f t="shared" si="26"/>
        <v>LSVFGVLILTLLGFLVAATFAWNLLVLATILRV</v>
      </c>
      <c r="G78" s="4" t="str">
        <f t="shared" si="27"/>
        <v>RTFH</v>
      </c>
      <c r="H78" s="4" t="str">
        <f t="shared" si="28"/>
        <v>RVPHNLVASMAVSDVLVAALVMPLSLVHELSG</v>
      </c>
      <c r="I78" s="4" t="str">
        <f t="shared" si="29"/>
        <v>RWQL</v>
      </c>
      <c r="J78" s="4" t="str">
        <f t="shared" si="30"/>
        <v>GRRLCQLWIACDVLCCTASIWNVTAIALDRYWSITR</v>
      </c>
      <c r="K78" s="4" t="str">
        <f t="shared" si="31"/>
        <v>HMEYTLRT</v>
      </c>
      <c r="L78" s="4" t="str">
        <f t="shared" si="32"/>
        <v>RKCVSNVMIALTWALSAVISLAPLLF</v>
      </c>
      <c r="M78" s="4" t="str">
        <f t="shared" si="33"/>
        <v>CQV</v>
      </c>
      <c r="N78" s="4" t="str">
        <f t="shared" si="34"/>
        <v>EPSYAVFSTVGAFYLPLCVVLFVYWKIYKAAKFRVGSRKTNS</v>
      </c>
      <c r="O78" s="4" t="str">
        <f t="shared" si="35"/>
        <v>TWREQKEQRAALMVGILIGVFVLCWIPFFLTELISPLC</v>
      </c>
      <c r="P78" s="4" t="str">
        <f t="shared" si="36"/>
        <v>PAIWKSIFLWLGYSNSFFNPLIYTAF</v>
      </c>
      <c r="Q78" s="4" t="str">
        <f t="shared" si="37"/>
        <v>NKNYNSAFKNFF</v>
      </c>
      <c r="R78" s="5">
        <f>VLOOKUP($A78,'SegEnds_NonXtal_Prot#'!$A:$AL,3,FALSE)</f>
        <v>36</v>
      </c>
      <c r="S78" s="5">
        <f>VLOOKUP($A78,'SegEnds_NonXtal_Prot#'!$A:$AL,6,FALSE)</f>
        <v>69</v>
      </c>
      <c r="T78" s="5">
        <f>VLOOKUP($A78,'SegEnds_NonXtal_Prot#'!$A:$AL,9,FALSE)</f>
        <v>73</v>
      </c>
      <c r="U78" s="5">
        <f>VLOOKUP($A78,'SegEnds_NonXtal_Prot#'!$A:$AL,12,FALSE)</f>
        <v>106</v>
      </c>
      <c r="V78" s="5">
        <f>VLOOKUP($A78,'SegEnds_NonXtal_Prot#'!$A:$AL,15,FALSE)</f>
        <v>110</v>
      </c>
      <c r="W78" s="5">
        <f>VLOOKUP($A78,'SegEnds_NonXtal_Prot#'!$A:$AL,18,FALSE)</f>
        <v>146</v>
      </c>
      <c r="X78" s="5">
        <f>VLOOKUP($A78,'SegEnds_NonXtal_Prot#'!$A:$AL,21,FALSE)</f>
        <v>154</v>
      </c>
      <c r="Y78" s="5">
        <f>VLOOKUP($A78,'SegEnds_NonXtal_Prot#'!$A:$AL,24,FALSE)</f>
        <v>192</v>
      </c>
      <c r="Z78" s="5">
        <f>VLOOKUP($A78,'SegEnds_NonXtal_Prot#'!$A:$AL,27,FALSE)</f>
        <v>197</v>
      </c>
      <c r="AA78" s="5">
        <f>VLOOKUP($A78,'SegEnds_NonXtal_Prot#'!$A:$AL,30,FALSE)</f>
        <v>274</v>
      </c>
      <c r="AB78" s="5">
        <f>VLOOKUP($A78,'SegEnds_NonXtal_Prot#'!$A:$AL,33,FALSE)</f>
        <v>316</v>
      </c>
      <c r="AC78" s="5">
        <f>VLOOKUP($A78,'SegEnds_NonXtal_Prot#'!$A:$AL,36,FALSE)</f>
        <v>342</v>
      </c>
      <c r="AD78" s="5">
        <f>VLOOKUP($A78,'SegEnds_NonXtal_Prot#'!$A:$AL,5,FALSE)</f>
        <v>68</v>
      </c>
      <c r="AE78" s="5">
        <f>VLOOKUP($A78,'SegEnds_NonXtal_Prot#'!$A:$AL,8,FALSE)</f>
        <v>72</v>
      </c>
      <c r="AF78" s="5">
        <f>VLOOKUP($A78,'SegEnds_NonXtal_Prot#'!$A:$AL,11,FALSE)</f>
        <v>104</v>
      </c>
      <c r="AG78" s="5">
        <f>VLOOKUP($A78,'SegEnds_NonXtal_Prot#'!$A:$AL,14,FALSE)</f>
        <v>109</v>
      </c>
      <c r="AH78" s="5">
        <f>VLOOKUP($A78,'SegEnds_NonXtal_Prot#'!$A:$AL,17,FALSE)</f>
        <v>145</v>
      </c>
      <c r="AI78" s="5">
        <f>VLOOKUP($A78,'SegEnds_NonXtal_Prot#'!$A:$AL,20,FALSE)</f>
        <v>153</v>
      </c>
      <c r="AJ78" s="5">
        <f>VLOOKUP($A78,'SegEnds_NonXtal_Prot#'!$A:$AL,23,FALSE)</f>
        <v>179</v>
      </c>
      <c r="AK78" s="5">
        <f>VLOOKUP($A78,'SegEnds_NonXtal_Prot#'!$A:$AL,26,FALSE)</f>
        <v>194</v>
      </c>
      <c r="AL78" s="5">
        <f>VLOOKUP($A78,'SegEnds_NonXtal_Prot#'!$A:$AL,29,FALSE)</f>
        <v>238</v>
      </c>
      <c r="AM78" s="5">
        <f>VLOOKUP($A78,'SegEnds_NonXtal_Prot#'!$A:$AL,32,FALSE)</f>
        <v>311</v>
      </c>
      <c r="AN78" s="5">
        <f>VLOOKUP($A78,'SegEnds_NonXtal_Prot#'!$A:$AL,35,FALSE)</f>
        <v>341</v>
      </c>
      <c r="AO78" s="5">
        <f>VLOOKUP($A78,'SegEnds_NonXtal_Prot#'!$A:$AL,38,FALSE)</f>
        <v>353</v>
      </c>
      <c r="AP78" s="5">
        <f t="shared" si="38"/>
        <v>32</v>
      </c>
      <c r="AQ78" s="4">
        <f t="shared" si="39"/>
        <v>3</v>
      </c>
      <c r="AR78" s="4">
        <f t="shared" si="40"/>
        <v>31</v>
      </c>
      <c r="AS78" s="4">
        <f t="shared" si="41"/>
        <v>3</v>
      </c>
      <c r="AT78" s="4">
        <f t="shared" si="42"/>
        <v>35</v>
      </c>
      <c r="AU78" s="4">
        <f t="shared" si="43"/>
        <v>7</v>
      </c>
      <c r="AV78" s="4">
        <f t="shared" si="44"/>
        <v>25</v>
      </c>
      <c r="AW78" s="4">
        <f t="shared" si="45"/>
        <v>2</v>
      </c>
      <c r="AX78" s="4">
        <f t="shared" si="46"/>
        <v>41</v>
      </c>
      <c r="AY78" s="4">
        <f t="shared" si="47"/>
        <v>37</v>
      </c>
      <c r="AZ78" s="4">
        <f t="shared" si="48"/>
        <v>25</v>
      </c>
      <c r="BA78" s="4">
        <f t="shared" si="49"/>
        <v>11</v>
      </c>
    </row>
    <row r="79" spans="1:53" x14ac:dyDescent="0.2">
      <c r="A79" s="1" t="str">
        <f>'SegEnds_NonXtal_Prot#'!A50</f>
        <v>aa1r_human</v>
      </c>
      <c r="B79" s="1" t="str">
        <f t="shared" si="25"/>
        <v>SAFQAAYIGIEVLIALVSVPGNVLVIWAVKVNDATFCFIVSLAVADVAVGALVIPLAILINIGYFHTCLMVACPVLILTQSSILALLAIAVDRYLRVKITPRRAAVAIAGCWILSFVVGLTPMFGSMEYMVYFNFFVWVLPPLLLMVLIYLEVFYLIRKQLNKKVDPQKYYGKELKIAKSLALILFLFALSWLPLHILNCITLFCPSILTYIAIFLTHGNSAMNPIVYAFRIQKFRVTFLKIWNDHFRCQPAPP</v>
      </c>
      <c r="C79" s="29" t="str">
        <f>IF(ISERROR(MATCH(A79,'SegEnds_Xtal_Prot#'!B:B, 0)), "NoXtal", "Xtal")</f>
        <v>Xtal</v>
      </c>
      <c r="D79" s="4" t="str">
        <f>VLOOKUP(A79,Classification!A:D,2,FALSE)</f>
        <v>A</v>
      </c>
      <c r="E79" s="5" t="str">
        <f>VLOOKUP(A79,Seqs!A:B,2,FALSE)</f>
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</c>
      <c r="F79" s="5" t="str">
        <f t="shared" si="26"/>
        <v>SAFQAAYIGIEVLIALVSVPGNVLVIWAVKVN</v>
      </c>
      <c r="G79" s="4" t="str">
        <f t="shared" si="27"/>
        <v>QALR</v>
      </c>
      <c r="H79" s="4" t="str">
        <f t="shared" si="28"/>
        <v>DATFCFIVSLAVADVAVGALVIPLAILINIG</v>
      </c>
      <c r="I79" s="4" t="str">
        <f t="shared" si="29"/>
        <v>PQT</v>
      </c>
      <c r="J79" s="4" t="str">
        <f t="shared" si="30"/>
        <v>YFHTCLMVACPVLILTQSSILALLAIAVDRYLRVKI</v>
      </c>
      <c r="K79" s="4" t="str">
        <f t="shared" si="31"/>
        <v>PLRYKMVV</v>
      </c>
      <c r="L79" s="4" t="str">
        <f t="shared" si="32"/>
        <v>TPRRAAVAIAGCWILSFVVGLTPMFG</v>
      </c>
      <c r="M79" s="4" t="str">
        <f t="shared" si="33"/>
        <v>CEF</v>
      </c>
      <c r="N79" s="4" t="str">
        <f t="shared" si="34"/>
        <v>SMEYMVYFNFFVWVLPPLLLMVLIYLEVFYLIRKQLNKKV</v>
      </c>
      <c r="O79" s="4" t="str">
        <f t="shared" si="35"/>
        <v>DPQKYYGKELKIAKSLALILFLFALSWLPLHILNCITLFC</v>
      </c>
      <c r="P79" s="4" t="str">
        <f t="shared" si="36"/>
        <v>PSILTYIAIFLTHGNSAMNPIVYAFR</v>
      </c>
      <c r="Q79" s="4" t="str">
        <f t="shared" si="37"/>
        <v>IQKFRVTFLKIWNDHFRCQPAPP</v>
      </c>
      <c r="R79" s="5">
        <f>VLOOKUP($A79,'SegEnds_NonXtal_Prot#'!$A:$AL,3,FALSE)</f>
        <v>6</v>
      </c>
      <c r="S79" s="5">
        <f>VLOOKUP($A79,'SegEnds_NonXtal_Prot#'!$A:$AL,6,FALSE)</f>
        <v>38</v>
      </c>
      <c r="T79" s="5">
        <f>VLOOKUP($A79,'SegEnds_NonXtal_Prot#'!$A:$AL,9,FALSE)</f>
        <v>42</v>
      </c>
      <c r="U79" s="5">
        <f>VLOOKUP($A79,'SegEnds_NonXtal_Prot#'!$A:$AL,12,FALSE)</f>
        <v>73</v>
      </c>
      <c r="V79" s="5">
        <f>VLOOKUP($A79,'SegEnds_NonXtal_Prot#'!$A:$AL,15,FALSE)</f>
        <v>76</v>
      </c>
      <c r="W79" s="5">
        <f>VLOOKUP($A79,'SegEnds_NonXtal_Prot#'!$A:$AL,18,FALSE)</f>
        <v>112</v>
      </c>
      <c r="X79" s="5">
        <f>VLOOKUP($A79,'SegEnds_NonXtal_Prot#'!$A:$AL,21,FALSE)</f>
        <v>120</v>
      </c>
      <c r="Y79" s="5">
        <f>VLOOKUP($A79,'SegEnds_NonXtal_Prot#'!$A:$AL,24,FALSE)</f>
        <v>169</v>
      </c>
      <c r="Z79" s="5">
        <f>VLOOKUP($A79,'SegEnds_NonXtal_Prot#'!$A:$AL,27,FALSE)</f>
        <v>176</v>
      </c>
      <c r="AA79" s="5">
        <f>VLOOKUP($A79,'SegEnds_NonXtal_Prot#'!$A:$AL,30,FALSE)</f>
        <v>221</v>
      </c>
      <c r="AB79" s="5">
        <f>VLOOKUP($A79,'SegEnds_NonXtal_Prot#'!$A:$AL,33,FALSE)</f>
        <v>266</v>
      </c>
      <c r="AC79" s="5">
        <f>VLOOKUP($A79,'SegEnds_NonXtal_Prot#'!$A:$AL,36,FALSE)</f>
        <v>292</v>
      </c>
      <c r="AD79" s="5">
        <f>VLOOKUP($A79,'SegEnds_NonXtal_Prot#'!$A:$AL,5,FALSE)</f>
        <v>37</v>
      </c>
      <c r="AE79" s="5">
        <f>VLOOKUP($A79,'SegEnds_NonXtal_Prot#'!$A:$AL,8,FALSE)</f>
        <v>41</v>
      </c>
      <c r="AF79" s="5">
        <f>VLOOKUP($A79,'SegEnds_NonXtal_Prot#'!$A:$AL,11,FALSE)</f>
        <v>72</v>
      </c>
      <c r="AG79" s="5">
        <f>VLOOKUP($A79,'SegEnds_NonXtal_Prot#'!$A:$AL,14,FALSE)</f>
        <v>75</v>
      </c>
      <c r="AH79" s="5">
        <f>VLOOKUP($A79,'SegEnds_NonXtal_Prot#'!$A:$AL,17,FALSE)</f>
        <v>111</v>
      </c>
      <c r="AI79" s="5">
        <f>VLOOKUP($A79,'SegEnds_NonXtal_Prot#'!$A:$AL,20,FALSE)</f>
        <v>119</v>
      </c>
      <c r="AJ79" s="5">
        <f>VLOOKUP($A79,'SegEnds_NonXtal_Prot#'!$A:$AL,23,FALSE)</f>
        <v>145</v>
      </c>
      <c r="AK79" s="5">
        <f>VLOOKUP($A79,'SegEnds_NonXtal_Prot#'!$A:$AL,26,FALSE)</f>
        <v>171</v>
      </c>
      <c r="AL79" s="5">
        <f>VLOOKUP($A79,'SegEnds_NonXtal_Prot#'!$A:$AL,29,FALSE)</f>
        <v>215</v>
      </c>
      <c r="AM79" s="5">
        <f>VLOOKUP($A79,'SegEnds_NonXtal_Prot#'!$A:$AL,32,FALSE)</f>
        <v>260</v>
      </c>
      <c r="AN79" s="5">
        <f>VLOOKUP($A79,'SegEnds_NonXtal_Prot#'!$A:$AL,35,FALSE)</f>
        <v>291</v>
      </c>
      <c r="AO79" s="5">
        <f>VLOOKUP($A79,'SegEnds_NonXtal_Prot#'!$A:$AL,38,FALSE)</f>
        <v>314</v>
      </c>
      <c r="AP79" s="5">
        <f t="shared" si="38"/>
        <v>31</v>
      </c>
      <c r="AQ79" s="4">
        <f t="shared" si="39"/>
        <v>3</v>
      </c>
      <c r="AR79" s="4">
        <f t="shared" si="40"/>
        <v>30</v>
      </c>
      <c r="AS79" s="4">
        <f t="shared" si="41"/>
        <v>2</v>
      </c>
      <c r="AT79" s="4">
        <f t="shared" si="42"/>
        <v>35</v>
      </c>
      <c r="AU79" s="4">
        <f t="shared" si="43"/>
        <v>7</v>
      </c>
      <c r="AV79" s="4">
        <f t="shared" si="44"/>
        <v>25</v>
      </c>
      <c r="AW79" s="4">
        <f t="shared" si="45"/>
        <v>2</v>
      </c>
      <c r="AX79" s="4">
        <f t="shared" si="46"/>
        <v>39</v>
      </c>
      <c r="AY79" s="4">
        <f t="shared" si="47"/>
        <v>39</v>
      </c>
      <c r="AZ79" s="4">
        <f t="shared" si="48"/>
        <v>25</v>
      </c>
      <c r="BA79" s="4">
        <f t="shared" si="49"/>
        <v>22</v>
      </c>
    </row>
    <row r="80" spans="1:53" x14ac:dyDescent="0.2">
      <c r="A80" s="1" t="str">
        <f>'SegEnds_NonXtal_Prot#'!A51</f>
        <v>aa2ar_human</v>
      </c>
      <c r="B80" s="1" t="str">
        <f t="shared" si="25"/>
        <v>MPIMGSSVYITVELAIAVLAILGNVLVCWAVWLNNVTNYFVVSLAAADIAVGVLAIPFAITISTGACHGCLFIACFVLVLTQSSIFSLLAIAIDRYIAIRITGTRAKGIIAICWVLSFAIGLTPMLGPMNYMVYFNFFACVLVPLLLMLGVYLRIFLAARRQLKQMESERARSTLQKEVHAAKSLAIIVGLFALCWLPLHIINCFTFFCPLWLMYLAIVLSHTNSVVNPFIYAYRIREFRQTFRKIIRSHVLRQQEPF</v>
      </c>
      <c r="C80" s="29" t="str">
        <f>IF(ISERROR(MATCH(A80,'SegEnds_Xtal_Prot#'!B:B, 0)), "NoXtal", "Xtal")</f>
        <v>Xtal</v>
      </c>
      <c r="D80" s="4" t="str">
        <f>VLOOKUP(A80,Classification!A:D,2,FALSE)</f>
        <v>A</v>
      </c>
      <c r="E80" s="5" t="str">
        <f>VLOOKUP(A80,Seqs!A:B,2,FALSE)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F80" s="5" t="str">
        <f t="shared" si="26"/>
        <v>MPIMGSSVYITVELAIAVLAILGNVLVCWAVWLN</v>
      </c>
      <c r="G80" s="4" t="str">
        <f t="shared" si="27"/>
        <v>SNLQ</v>
      </c>
      <c r="H80" s="4" t="str">
        <f t="shared" si="28"/>
        <v>NVTNYFVVSLAAADIAVGVLAIPFAITISTG</v>
      </c>
      <c r="I80" s="4" t="str">
        <f t="shared" si="29"/>
        <v>FCA</v>
      </c>
      <c r="J80" s="4" t="str">
        <f t="shared" si="30"/>
        <v>ACHGCLFIACFVLVLTQSSIFSLLAIAIDRYIAIRI</v>
      </c>
      <c r="K80" s="4" t="str">
        <f t="shared" si="31"/>
        <v>PLRYNGLV</v>
      </c>
      <c r="L80" s="4" t="str">
        <f t="shared" si="32"/>
        <v>TGTRAKGIIAICWVLSFAIGLTPMLG</v>
      </c>
      <c r="M80" s="4" t="str">
        <f t="shared" si="33"/>
        <v>CLF</v>
      </c>
      <c r="N80" s="4" t="str">
        <f t="shared" si="34"/>
        <v>PMNYMVYFNFFACVLVPLLLMLGVYLRIFLAARRQLKQMES</v>
      </c>
      <c r="O80" s="4" t="str">
        <f t="shared" si="35"/>
        <v>ERARSTLQKEVHAAKSLAIIVGLFALCWLPLHIINCFTFFC</v>
      </c>
      <c r="P80" s="4" t="str">
        <f t="shared" si="36"/>
        <v>PLWLMYLAIVLSHTNSVVNPFIYAYR</v>
      </c>
      <c r="Q80" s="4" t="str">
        <f t="shared" si="37"/>
        <v>IREFRQTFRKIIRSHVLRQQEPF</v>
      </c>
      <c r="R80" s="5">
        <f>VLOOKUP($A80,'SegEnds_NonXtal_Prot#'!$A:$AL,3,FALSE)</f>
        <v>1</v>
      </c>
      <c r="S80" s="5">
        <f>VLOOKUP($A80,'SegEnds_NonXtal_Prot#'!$A:$AL,6,FALSE)</f>
        <v>35</v>
      </c>
      <c r="T80" s="5">
        <f>VLOOKUP($A80,'SegEnds_NonXtal_Prot#'!$A:$AL,9,FALSE)</f>
        <v>39</v>
      </c>
      <c r="U80" s="5">
        <f>VLOOKUP($A80,'SegEnds_NonXtal_Prot#'!$A:$AL,12,FALSE)</f>
        <v>70</v>
      </c>
      <c r="V80" s="5">
        <f>VLOOKUP($A80,'SegEnds_NonXtal_Prot#'!$A:$AL,15,FALSE)</f>
        <v>73</v>
      </c>
      <c r="W80" s="5">
        <f>VLOOKUP($A80,'SegEnds_NonXtal_Prot#'!$A:$AL,18,FALSE)</f>
        <v>109</v>
      </c>
      <c r="X80" s="5">
        <f>VLOOKUP($A80,'SegEnds_NonXtal_Prot#'!$A:$AL,21,FALSE)</f>
        <v>117</v>
      </c>
      <c r="Y80" s="5">
        <f>VLOOKUP($A80,'SegEnds_NonXtal_Prot#'!$A:$AL,24,FALSE)</f>
        <v>166</v>
      </c>
      <c r="Z80" s="5">
        <f>VLOOKUP($A80,'SegEnds_NonXtal_Prot#'!$A:$AL,27,FALSE)</f>
        <v>173</v>
      </c>
      <c r="AA80" s="5">
        <f>VLOOKUP($A80,'SegEnds_NonXtal_Prot#'!$A:$AL,30,FALSE)</f>
        <v>219</v>
      </c>
      <c r="AB80" s="5">
        <f>VLOOKUP($A80,'SegEnds_NonXtal_Prot#'!$A:$AL,33,FALSE)</f>
        <v>266</v>
      </c>
      <c r="AC80" s="5">
        <f>VLOOKUP($A80,'SegEnds_NonXtal_Prot#'!$A:$AL,36,FALSE)</f>
        <v>292</v>
      </c>
      <c r="AD80" s="5">
        <f>VLOOKUP($A80,'SegEnds_NonXtal_Prot#'!$A:$AL,5,FALSE)</f>
        <v>34</v>
      </c>
      <c r="AE80" s="5">
        <f>VLOOKUP($A80,'SegEnds_NonXtal_Prot#'!$A:$AL,8,FALSE)</f>
        <v>38</v>
      </c>
      <c r="AF80" s="5">
        <f>VLOOKUP($A80,'SegEnds_NonXtal_Prot#'!$A:$AL,11,FALSE)</f>
        <v>69</v>
      </c>
      <c r="AG80" s="5">
        <f>VLOOKUP($A80,'SegEnds_NonXtal_Prot#'!$A:$AL,14,FALSE)</f>
        <v>72</v>
      </c>
      <c r="AH80" s="5">
        <f>VLOOKUP($A80,'SegEnds_NonXtal_Prot#'!$A:$AL,17,FALSE)</f>
        <v>108</v>
      </c>
      <c r="AI80" s="5">
        <f>VLOOKUP($A80,'SegEnds_NonXtal_Prot#'!$A:$AL,20,FALSE)</f>
        <v>116</v>
      </c>
      <c r="AJ80" s="5">
        <f>VLOOKUP($A80,'SegEnds_NonXtal_Prot#'!$A:$AL,23,FALSE)</f>
        <v>142</v>
      </c>
      <c r="AK80" s="5">
        <f>VLOOKUP($A80,'SegEnds_NonXtal_Prot#'!$A:$AL,26,FALSE)</f>
        <v>168</v>
      </c>
      <c r="AL80" s="5">
        <f>VLOOKUP($A80,'SegEnds_NonXtal_Prot#'!$A:$AL,29,FALSE)</f>
        <v>213</v>
      </c>
      <c r="AM80" s="5">
        <f>VLOOKUP($A80,'SegEnds_NonXtal_Prot#'!$A:$AL,32,FALSE)</f>
        <v>259</v>
      </c>
      <c r="AN80" s="5">
        <f>VLOOKUP($A80,'SegEnds_NonXtal_Prot#'!$A:$AL,35,FALSE)</f>
        <v>291</v>
      </c>
      <c r="AO80" s="5">
        <f>VLOOKUP($A80,'SegEnds_NonXtal_Prot#'!$A:$AL,38,FALSE)</f>
        <v>314</v>
      </c>
      <c r="AP80" s="5">
        <f t="shared" si="38"/>
        <v>33</v>
      </c>
      <c r="AQ80" s="4">
        <f t="shared" si="39"/>
        <v>3</v>
      </c>
      <c r="AR80" s="4">
        <f t="shared" si="40"/>
        <v>30</v>
      </c>
      <c r="AS80" s="4">
        <f t="shared" si="41"/>
        <v>2</v>
      </c>
      <c r="AT80" s="4">
        <f t="shared" si="42"/>
        <v>35</v>
      </c>
      <c r="AU80" s="4">
        <f t="shared" si="43"/>
        <v>7</v>
      </c>
      <c r="AV80" s="4">
        <f t="shared" si="44"/>
        <v>25</v>
      </c>
      <c r="AW80" s="4">
        <f t="shared" si="45"/>
        <v>2</v>
      </c>
      <c r="AX80" s="4">
        <f t="shared" si="46"/>
        <v>40</v>
      </c>
      <c r="AY80" s="4">
        <f t="shared" si="47"/>
        <v>40</v>
      </c>
      <c r="AZ80" s="4">
        <f t="shared" si="48"/>
        <v>25</v>
      </c>
      <c r="BA80" s="4">
        <f t="shared" si="49"/>
        <v>22</v>
      </c>
    </row>
    <row r="81" spans="1:53" x14ac:dyDescent="0.2">
      <c r="A81" s="1" t="str">
        <f>'SegEnds_NonXtal_Prot#'!A52</f>
        <v>aa2br_human</v>
      </c>
      <c r="B81" s="1" t="str">
        <f t="shared" si="25"/>
        <v>LLETQDALYVALELVIAALSVAGNVLVCAAVGTATPTNYFLVSLAAADVAVGLFAIPFAITISLGDFYGCLFLACFVLVLTQSSIFSLLAVAVDRYLAICVTGTRARGVIAVLWVLAFGIGLTPFLGPMSYMVYFNFFGCVLPPLLIMLVIYIKIFLVACRQLQRTEHSRTTLQREIHAAKSLAMIVGIFALCWLPVHAVNCVTLFQPKWAMNMAILLSHANSVVNPIVYAYRNRDFRYTFHKIISRYLLCQADVK</v>
      </c>
      <c r="C81" s="29" t="str">
        <f>IF(ISERROR(MATCH(A81,'SegEnds_Xtal_Prot#'!B:B, 0)), "NoXtal", "Xtal")</f>
        <v>NoXtal</v>
      </c>
      <c r="D81" s="4" t="str">
        <f>VLOOKUP(A81,Classification!A:D,2,FALSE)</f>
        <v>A</v>
      </c>
      <c r="E81" s="5" t="str">
        <f>VLOOKUP(A81,Seqs!A:B,2,FALSE)</f>
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</c>
      <c r="F81" s="5" t="str">
        <f t="shared" si="26"/>
        <v>LLETQDALYVALELVIAALSVAGNVLVCAAVGTA</v>
      </c>
      <c r="G81" s="4" t="str">
        <f t="shared" si="27"/>
        <v>NTLQ</v>
      </c>
      <c r="H81" s="4" t="str">
        <f t="shared" si="28"/>
        <v>TPTNYFLVSLAAADVAVGLFAIPFAITISLG</v>
      </c>
      <c r="I81" s="4" t="str">
        <f t="shared" si="29"/>
        <v>FCT</v>
      </c>
      <c r="J81" s="4" t="str">
        <f t="shared" si="30"/>
        <v>DFYGCLFLACFVLVLTQSSIFSLLAVAVDRYLAICV</v>
      </c>
      <c r="K81" s="4" t="str">
        <f t="shared" si="31"/>
        <v>PLRYKSLV</v>
      </c>
      <c r="L81" s="4" t="str">
        <f t="shared" si="32"/>
        <v>TGTRARGVIAVLWVLAFGIGLTPFLG</v>
      </c>
      <c r="M81" s="4" t="str">
        <f t="shared" si="33"/>
        <v>CLF</v>
      </c>
      <c r="N81" s="4" t="str">
        <f t="shared" si="34"/>
        <v>PMSYMVYFNFFGCVLPPLLIMLVIYIKIFLVACRQLQRTE</v>
      </c>
      <c r="O81" s="4" t="str">
        <f t="shared" si="35"/>
        <v>HSRTTLQREIHAAKSLAMIVGIFALCWLPVHAVNCVTLFQ</v>
      </c>
      <c r="P81" s="4" t="str">
        <f t="shared" si="36"/>
        <v>PKWAMNMAILLSHANSVVNPIVYAYR</v>
      </c>
      <c r="Q81" s="4" t="str">
        <f t="shared" si="37"/>
        <v>NRDFRYTFHKIISRYLLCQADVK</v>
      </c>
      <c r="R81" s="5">
        <f>VLOOKUP($A81,'SegEnds_NonXtal_Prot#'!$A:$AL,3,FALSE)</f>
        <v>2</v>
      </c>
      <c r="S81" s="5">
        <f>VLOOKUP($A81,'SegEnds_NonXtal_Prot#'!$A:$AL,6,FALSE)</f>
        <v>36</v>
      </c>
      <c r="T81" s="5">
        <f>VLOOKUP($A81,'SegEnds_NonXtal_Prot#'!$A:$AL,9,FALSE)</f>
        <v>40</v>
      </c>
      <c r="U81" s="5">
        <f>VLOOKUP($A81,'SegEnds_NonXtal_Prot#'!$A:$AL,12,FALSE)</f>
        <v>71</v>
      </c>
      <c r="V81" s="5">
        <f>VLOOKUP($A81,'SegEnds_NonXtal_Prot#'!$A:$AL,15,FALSE)</f>
        <v>74</v>
      </c>
      <c r="W81" s="5">
        <f>VLOOKUP($A81,'SegEnds_NonXtal_Prot#'!$A:$AL,18,FALSE)</f>
        <v>110</v>
      </c>
      <c r="X81" s="5">
        <f>VLOOKUP($A81,'SegEnds_NonXtal_Prot#'!$A:$AL,21,FALSE)</f>
        <v>118</v>
      </c>
      <c r="Y81" s="5">
        <f>VLOOKUP($A81,'SegEnds_NonXtal_Prot#'!$A:$AL,24,FALSE)</f>
        <v>171</v>
      </c>
      <c r="Z81" s="5">
        <f>VLOOKUP($A81,'SegEnds_NonXtal_Prot#'!$A:$AL,27,FALSE)</f>
        <v>178</v>
      </c>
      <c r="AA81" s="5">
        <f>VLOOKUP($A81,'SegEnds_NonXtal_Prot#'!$A:$AL,30,FALSE)</f>
        <v>221</v>
      </c>
      <c r="AB81" s="5">
        <f>VLOOKUP($A81,'SegEnds_NonXtal_Prot#'!$A:$AL,33,FALSE)</f>
        <v>268</v>
      </c>
      <c r="AC81" s="5">
        <f>VLOOKUP($A81,'SegEnds_NonXtal_Prot#'!$A:$AL,36,FALSE)</f>
        <v>294</v>
      </c>
      <c r="AD81" s="5">
        <f>VLOOKUP($A81,'SegEnds_NonXtal_Prot#'!$A:$AL,5,FALSE)</f>
        <v>35</v>
      </c>
      <c r="AE81" s="5">
        <f>VLOOKUP($A81,'SegEnds_NonXtal_Prot#'!$A:$AL,8,FALSE)</f>
        <v>39</v>
      </c>
      <c r="AF81" s="5">
        <f>VLOOKUP($A81,'SegEnds_NonXtal_Prot#'!$A:$AL,11,FALSE)</f>
        <v>70</v>
      </c>
      <c r="AG81" s="5">
        <f>VLOOKUP($A81,'SegEnds_NonXtal_Prot#'!$A:$AL,14,FALSE)</f>
        <v>73</v>
      </c>
      <c r="AH81" s="5">
        <f>VLOOKUP($A81,'SegEnds_NonXtal_Prot#'!$A:$AL,17,FALSE)</f>
        <v>109</v>
      </c>
      <c r="AI81" s="5">
        <f>VLOOKUP($A81,'SegEnds_NonXtal_Prot#'!$A:$AL,20,FALSE)</f>
        <v>117</v>
      </c>
      <c r="AJ81" s="5">
        <f>VLOOKUP($A81,'SegEnds_NonXtal_Prot#'!$A:$AL,23,FALSE)</f>
        <v>143</v>
      </c>
      <c r="AK81" s="5">
        <f>VLOOKUP($A81,'SegEnds_NonXtal_Prot#'!$A:$AL,26,FALSE)</f>
        <v>173</v>
      </c>
      <c r="AL81" s="5">
        <f>VLOOKUP($A81,'SegEnds_NonXtal_Prot#'!$A:$AL,29,FALSE)</f>
        <v>217</v>
      </c>
      <c r="AM81" s="5">
        <f>VLOOKUP($A81,'SegEnds_NonXtal_Prot#'!$A:$AL,32,FALSE)</f>
        <v>260</v>
      </c>
      <c r="AN81" s="5">
        <f>VLOOKUP($A81,'SegEnds_NonXtal_Prot#'!$A:$AL,35,FALSE)</f>
        <v>293</v>
      </c>
      <c r="AO81" s="5">
        <f>VLOOKUP($A81,'SegEnds_NonXtal_Prot#'!$A:$AL,38,FALSE)</f>
        <v>316</v>
      </c>
      <c r="AP81" s="5">
        <f t="shared" si="38"/>
        <v>33</v>
      </c>
      <c r="AQ81" s="4">
        <f t="shared" si="39"/>
        <v>3</v>
      </c>
      <c r="AR81" s="4">
        <f t="shared" si="40"/>
        <v>30</v>
      </c>
      <c r="AS81" s="4">
        <f t="shared" si="41"/>
        <v>2</v>
      </c>
      <c r="AT81" s="4">
        <f t="shared" si="42"/>
        <v>35</v>
      </c>
      <c r="AU81" s="4">
        <f t="shared" si="43"/>
        <v>7</v>
      </c>
      <c r="AV81" s="4">
        <f t="shared" si="44"/>
        <v>25</v>
      </c>
      <c r="AW81" s="4">
        <f t="shared" si="45"/>
        <v>2</v>
      </c>
      <c r="AX81" s="4">
        <f t="shared" si="46"/>
        <v>39</v>
      </c>
      <c r="AY81" s="4">
        <f t="shared" si="47"/>
        <v>39</v>
      </c>
      <c r="AZ81" s="4">
        <f t="shared" si="48"/>
        <v>25</v>
      </c>
      <c r="BA81" s="4">
        <f t="shared" si="49"/>
        <v>22</v>
      </c>
    </row>
    <row r="82" spans="1:53" x14ac:dyDescent="0.2">
      <c r="A82" s="1" t="str">
        <f>'SegEnds_NonXtal_Prot#'!A53</f>
        <v>aa3r_human</v>
      </c>
      <c r="B82" s="1" t="str">
        <f t="shared" si="25"/>
        <v>SLANVTYITMEIFIGLCAIVGNVLVICVVKLNTTTFYFIVSLALADIAVGVLVMPLAIVVSLGHFYSCLFMTCLLLIFTHASIMSLLAIAVDRYLRVKLTHRRIWLALGLCWLVSFLVGLTPMFGRMDYMVYFSFLTWIFIPLVVMCAIYLDIFYIIRNKLSLNLETGAFYGREFKTAKSLFLVLFLFALSWLPLSIINCIIYFNQLVLYMGILLSHANSMMNPIVYAYKIKKFKETYLLILKACVVCHPSDS</v>
      </c>
      <c r="C82" s="29" t="str">
        <f>IF(ISERROR(MATCH(A82,'SegEnds_Xtal_Prot#'!B:B, 0)), "NoXtal", "Xtal")</f>
        <v>NoXtal</v>
      </c>
      <c r="D82" s="4" t="str">
        <f>VLOOKUP(A82,Classification!A:D,2,FALSE)</f>
        <v>A</v>
      </c>
      <c r="E82" s="5" t="str">
        <f>VLOOKUP(A82,Seqs!A:B,2,FALSE)</f>
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</c>
      <c r="F82" s="5" t="str">
        <f t="shared" si="26"/>
        <v>SLANVTYITMEIFIGLCAIVGNVLVICVVKLN</v>
      </c>
      <c r="G82" s="4" t="str">
        <f t="shared" si="27"/>
        <v>PSLQ</v>
      </c>
      <c r="H82" s="4" t="str">
        <f t="shared" si="28"/>
        <v>TTTFYFIVSLALADIAVGVLVMPLAIVVSLG</v>
      </c>
      <c r="I82" s="4" t="str">
        <f t="shared" si="29"/>
        <v>ITI</v>
      </c>
      <c r="J82" s="4" t="str">
        <f t="shared" si="30"/>
        <v>HFYSCLFMTCLLLIFTHASIMSLLAIAVDRYLRVKL</v>
      </c>
      <c r="K82" s="4" t="str">
        <f t="shared" si="31"/>
        <v>TVRYKRVT</v>
      </c>
      <c r="L82" s="4" t="str">
        <f t="shared" si="32"/>
        <v>THRRIWLALGLCWLVSFLVGLTPMFG</v>
      </c>
      <c r="M82" s="4" t="str">
        <f t="shared" si="33"/>
        <v>CQF</v>
      </c>
      <c r="N82" s="4" t="str">
        <f t="shared" si="34"/>
        <v>RMDYMVYFSFLTWIFIPLVVMCAIYLDIFYIIRNKLSLNL</v>
      </c>
      <c r="O82" s="4" t="str">
        <f t="shared" si="35"/>
        <v>ETGAFYGREFKTAKSLFLVLFLFALSWLPLSIINCIIYFN</v>
      </c>
      <c r="P82" s="4" t="str">
        <f t="shared" si="36"/>
        <v>QLVLYMGILLSHANSMMNPIVYAYK</v>
      </c>
      <c r="Q82" s="4" t="str">
        <f t="shared" si="37"/>
        <v>IKKFKETYLLILKACVVCHPSDS</v>
      </c>
      <c r="R82" s="5">
        <f>VLOOKUP($A82,'SegEnds_NonXtal_Prot#'!$A:$AL,3,FALSE)</f>
        <v>9</v>
      </c>
      <c r="S82" s="5">
        <f>VLOOKUP($A82,'SegEnds_NonXtal_Prot#'!$A:$AL,6,FALSE)</f>
        <v>41</v>
      </c>
      <c r="T82" s="5">
        <f>VLOOKUP($A82,'SegEnds_NonXtal_Prot#'!$A:$AL,9,FALSE)</f>
        <v>45</v>
      </c>
      <c r="U82" s="5">
        <f>VLOOKUP($A82,'SegEnds_NonXtal_Prot#'!$A:$AL,12,FALSE)</f>
        <v>76</v>
      </c>
      <c r="V82" s="5">
        <f>VLOOKUP($A82,'SegEnds_NonXtal_Prot#'!$A:$AL,15,FALSE)</f>
        <v>79</v>
      </c>
      <c r="W82" s="5">
        <f>VLOOKUP($A82,'SegEnds_NonXtal_Prot#'!$A:$AL,18,FALSE)</f>
        <v>115</v>
      </c>
      <c r="X82" s="5">
        <f>VLOOKUP($A82,'SegEnds_NonXtal_Prot#'!$A:$AL,21,FALSE)</f>
        <v>123</v>
      </c>
      <c r="Y82" s="5">
        <f>VLOOKUP($A82,'SegEnds_NonXtal_Prot#'!$A:$AL,24,FALSE)</f>
        <v>166</v>
      </c>
      <c r="Z82" s="5">
        <f>VLOOKUP($A82,'SegEnds_NonXtal_Prot#'!$A:$AL,27,FALSE)</f>
        <v>173</v>
      </c>
      <c r="AA82" s="5">
        <f>VLOOKUP($A82,'SegEnds_NonXtal_Prot#'!$A:$AL,30,FALSE)</f>
        <v>217</v>
      </c>
      <c r="AB82" s="5">
        <f>VLOOKUP($A82,'SegEnds_NonXtal_Prot#'!$A:$AL,33,FALSE)</f>
        <v>261</v>
      </c>
      <c r="AC82" s="5">
        <f>VLOOKUP($A82,'SegEnds_NonXtal_Prot#'!$A:$AL,36,FALSE)</f>
        <v>286</v>
      </c>
      <c r="AD82" s="5">
        <f>VLOOKUP($A82,'SegEnds_NonXtal_Prot#'!$A:$AL,5,FALSE)</f>
        <v>40</v>
      </c>
      <c r="AE82" s="5">
        <f>VLOOKUP($A82,'SegEnds_NonXtal_Prot#'!$A:$AL,8,FALSE)</f>
        <v>44</v>
      </c>
      <c r="AF82" s="5">
        <f>VLOOKUP($A82,'SegEnds_NonXtal_Prot#'!$A:$AL,11,FALSE)</f>
        <v>75</v>
      </c>
      <c r="AG82" s="5">
        <f>VLOOKUP($A82,'SegEnds_NonXtal_Prot#'!$A:$AL,14,FALSE)</f>
        <v>78</v>
      </c>
      <c r="AH82" s="5">
        <f>VLOOKUP($A82,'SegEnds_NonXtal_Prot#'!$A:$AL,17,FALSE)</f>
        <v>114</v>
      </c>
      <c r="AI82" s="5">
        <f>VLOOKUP($A82,'SegEnds_NonXtal_Prot#'!$A:$AL,20,FALSE)</f>
        <v>122</v>
      </c>
      <c r="AJ82" s="5">
        <f>VLOOKUP($A82,'SegEnds_NonXtal_Prot#'!$A:$AL,23,FALSE)</f>
        <v>148</v>
      </c>
      <c r="AK82" s="5">
        <f>VLOOKUP($A82,'SegEnds_NonXtal_Prot#'!$A:$AL,26,FALSE)</f>
        <v>168</v>
      </c>
      <c r="AL82" s="5">
        <f>VLOOKUP($A82,'SegEnds_NonXtal_Prot#'!$A:$AL,29,FALSE)</f>
        <v>212</v>
      </c>
      <c r="AM82" s="5">
        <f>VLOOKUP($A82,'SegEnds_NonXtal_Prot#'!$A:$AL,32,FALSE)</f>
        <v>256</v>
      </c>
      <c r="AN82" s="5">
        <f>VLOOKUP($A82,'SegEnds_NonXtal_Prot#'!$A:$AL,35,FALSE)</f>
        <v>285</v>
      </c>
      <c r="AO82" s="5">
        <f>VLOOKUP($A82,'SegEnds_NonXtal_Prot#'!$A:$AL,38,FALSE)</f>
        <v>308</v>
      </c>
      <c r="AP82" s="5">
        <f t="shared" si="38"/>
        <v>31</v>
      </c>
      <c r="AQ82" s="4">
        <f t="shared" si="39"/>
        <v>3</v>
      </c>
      <c r="AR82" s="4">
        <f t="shared" si="40"/>
        <v>30</v>
      </c>
      <c r="AS82" s="4">
        <f t="shared" si="41"/>
        <v>2</v>
      </c>
      <c r="AT82" s="4">
        <f t="shared" si="42"/>
        <v>35</v>
      </c>
      <c r="AU82" s="4">
        <f t="shared" si="43"/>
        <v>7</v>
      </c>
      <c r="AV82" s="4">
        <f t="shared" si="44"/>
        <v>25</v>
      </c>
      <c r="AW82" s="4">
        <f t="shared" si="45"/>
        <v>2</v>
      </c>
      <c r="AX82" s="4">
        <f t="shared" si="46"/>
        <v>39</v>
      </c>
      <c r="AY82" s="4">
        <f t="shared" si="47"/>
        <v>39</v>
      </c>
      <c r="AZ82" s="4">
        <f t="shared" si="48"/>
        <v>24</v>
      </c>
      <c r="BA82" s="4">
        <f t="shared" si="49"/>
        <v>22</v>
      </c>
    </row>
    <row r="83" spans="1:53" x14ac:dyDescent="0.2">
      <c r="A83" s="1" t="str">
        <f>'SegEnds_NonXtal_Prot#'!A54</f>
        <v>ackr2_human</v>
      </c>
      <c r="B83" s="1" t="str">
        <f t="shared" si="25"/>
        <v>VVSFGKVFLPVFYSLIFVLGLSGNLLLLMVLLRYRMVEIYLLNLAISNLLFLVTLPFWGISVAWGSFLCKMVSTLYTINFYSGIFFISCMSLDKYLEIVHTRAKSLLLATIVWAVSLAVSIPDMVFVGTIWKLFLRFQQNLLGFLLPLLAMIFFYSRIGCVLVRLQGRALKIAAALVVAFFVLWFPYNLTLFLHTLLDLQNCEVSQHLDYALQVTESIAFLHCCFSPILYAFSSHRFRQYLKAFL</v>
      </c>
      <c r="C83" s="29" t="str">
        <f>IF(ISERROR(MATCH(A83,'SegEnds_Xtal_Prot#'!B:B, 0)), "NoXtal", "Xtal")</f>
        <v>NoXtal</v>
      </c>
      <c r="D83" s="4" t="str">
        <f>VLOOKUP(A83,Classification!A:D,2,FALSE)</f>
        <v>A</v>
      </c>
      <c r="E83" s="5" t="str">
        <f>VLOOKUP(A83,Seqs!A:B,2,FALSE)</f>
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</c>
      <c r="F83" s="5" t="str">
        <f t="shared" si="26"/>
        <v>VVSFGKVFLPVFYSLIFVLGLSGNLLLLMVLLRY</v>
      </c>
      <c r="G83" s="4" t="str">
        <f t="shared" si="27"/>
        <v>VPRR</v>
      </c>
      <c r="H83" s="4" t="str">
        <f t="shared" si="28"/>
        <v>RMVEIYLLNLAISNLLFLVTLPFWGISVAW</v>
      </c>
      <c r="I83" s="4" t="str">
        <f t="shared" si="29"/>
        <v>HWVF</v>
      </c>
      <c r="J83" s="4" t="str">
        <f t="shared" si="30"/>
        <v>GSFLCKMVSTLYTINFYSGIFFISCMSLDKYLEIVH</v>
      </c>
      <c r="K83" s="4" t="str">
        <f t="shared" si="31"/>
        <v>AQPYHRLR</v>
      </c>
      <c r="L83" s="4" t="str">
        <f t="shared" si="32"/>
        <v>TRAKSLLLATIVWAVSLAVSIPDMVFV</v>
      </c>
      <c r="M83" s="4" t="str">
        <f t="shared" si="33"/>
        <v>CHA</v>
      </c>
      <c r="N83" s="4" t="str">
        <f t="shared" si="34"/>
        <v>GTIWKLFLRFQQNLLGFLLPLLAMIFFYSRIGCVLVRL</v>
      </c>
      <c r="O83" s="4" t="str">
        <f t="shared" si="35"/>
        <v>QGRALKIAAALVVAFFVLWFPYNLTLFLHTLLDLQ</v>
      </c>
      <c r="P83" s="4" t="str">
        <f t="shared" si="36"/>
        <v>NCEVSQHLDYALQVTESIAFLHCCFSPILYAFS</v>
      </c>
      <c r="Q83" s="4" t="str">
        <f t="shared" si="37"/>
        <v>SHRFRQYLKAFL</v>
      </c>
      <c r="R83" s="5">
        <f>VLOOKUP($A83,'SegEnds_NonXtal_Prot#'!$A:$AL,3,FALSE)</f>
        <v>41</v>
      </c>
      <c r="S83" s="5">
        <f>VLOOKUP($A83,'SegEnds_NonXtal_Prot#'!$A:$AL,6,FALSE)</f>
        <v>75</v>
      </c>
      <c r="T83" s="5">
        <f>VLOOKUP($A83,'SegEnds_NonXtal_Prot#'!$A:$AL,9,FALSE)</f>
        <v>79</v>
      </c>
      <c r="U83" s="5">
        <f>VLOOKUP($A83,'SegEnds_NonXtal_Prot#'!$A:$AL,12,FALSE)</f>
        <v>109</v>
      </c>
      <c r="V83" s="5">
        <f>VLOOKUP($A83,'SegEnds_NonXtal_Prot#'!$A:$AL,15,FALSE)</f>
        <v>113</v>
      </c>
      <c r="W83" s="5">
        <f>VLOOKUP($A83,'SegEnds_NonXtal_Prot#'!$A:$AL,18,FALSE)</f>
        <v>149</v>
      </c>
      <c r="X83" s="5">
        <f>VLOOKUP($A83,'SegEnds_NonXtal_Prot#'!$A:$AL,21,FALSE)</f>
        <v>157</v>
      </c>
      <c r="Y83" s="5">
        <f>VLOOKUP($A83,'SegEnds_NonXtal_Prot#'!$A:$AL,24,FALSE)</f>
        <v>195</v>
      </c>
      <c r="Z83" s="5">
        <f>VLOOKUP($A83,'SegEnds_NonXtal_Prot#'!$A:$AL,27,FALSE)</f>
        <v>203</v>
      </c>
      <c r="AA83" s="5">
        <f>VLOOKUP($A83,'SegEnds_NonXtal_Prot#'!$A:$AL,30,FALSE)</f>
        <v>245</v>
      </c>
      <c r="AB83" s="5">
        <f>VLOOKUP($A83,'SegEnds_NonXtal_Prot#'!$A:$AL,33,FALSE)</f>
        <v>283</v>
      </c>
      <c r="AC83" s="5">
        <f>VLOOKUP($A83,'SegEnds_NonXtal_Prot#'!$A:$AL,36,FALSE)</f>
        <v>316</v>
      </c>
      <c r="AD83" s="5">
        <f>VLOOKUP($A83,'SegEnds_NonXtal_Prot#'!$A:$AL,5,FALSE)</f>
        <v>74</v>
      </c>
      <c r="AE83" s="5">
        <f>VLOOKUP($A83,'SegEnds_NonXtal_Prot#'!$A:$AL,8,FALSE)</f>
        <v>78</v>
      </c>
      <c r="AF83" s="5">
        <f>VLOOKUP($A83,'SegEnds_NonXtal_Prot#'!$A:$AL,11,FALSE)</f>
        <v>108</v>
      </c>
      <c r="AG83" s="5">
        <f>VLOOKUP($A83,'SegEnds_NonXtal_Prot#'!$A:$AL,14,FALSE)</f>
        <v>112</v>
      </c>
      <c r="AH83" s="5">
        <f>VLOOKUP($A83,'SegEnds_NonXtal_Prot#'!$A:$AL,17,FALSE)</f>
        <v>148</v>
      </c>
      <c r="AI83" s="5">
        <f>VLOOKUP($A83,'SegEnds_NonXtal_Prot#'!$A:$AL,20,FALSE)</f>
        <v>156</v>
      </c>
      <c r="AJ83" s="5">
        <f>VLOOKUP($A83,'SegEnds_NonXtal_Prot#'!$A:$AL,23,FALSE)</f>
        <v>183</v>
      </c>
      <c r="AK83" s="5">
        <f>VLOOKUP($A83,'SegEnds_NonXtal_Prot#'!$A:$AL,26,FALSE)</f>
        <v>197</v>
      </c>
      <c r="AL83" s="5">
        <f>VLOOKUP($A83,'SegEnds_NonXtal_Prot#'!$A:$AL,29,FALSE)</f>
        <v>240</v>
      </c>
      <c r="AM83" s="5">
        <f>VLOOKUP($A83,'SegEnds_NonXtal_Prot#'!$A:$AL,32,FALSE)</f>
        <v>279</v>
      </c>
      <c r="AN83" s="5">
        <f>VLOOKUP($A83,'SegEnds_NonXtal_Prot#'!$A:$AL,35,FALSE)</f>
        <v>315</v>
      </c>
      <c r="AO83" s="5">
        <f>VLOOKUP($A83,'SegEnds_NonXtal_Prot#'!$A:$AL,38,FALSE)</f>
        <v>327</v>
      </c>
      <c r="AP83" s="5">
        <f t="shared" si="38"/>
        <v>33</v>
      </c>
      <c r="AQ83" s="4">
        <f t="shared" si="39"/>
        <v>3</v>
      </c>
      <c r="AR83" s="4">
        <f t="shared" si="40"/>
        <v>29</v>
      </c>
      <c r="AS83" s="4">
        <f t="shared" si="41"/>
        <v>3</v>
      </c>
      <c r="AT83" s="4">
        <f t="shared" si="42"/>
        <v>35</v>
      </c>
      <c r="AU83" s="4">
        <f t="shared" si="43"/>
        <v>7</v>
      </c>
      <c r="AV83" s="4">
        <f t="shared" si="44"/>
        <v>26</v>
      </c>
      <c r="AW83" s="4">
        <f t="shared" si="45"/>
        <v>2</v>
      </c>
      <c r="AX83" s="4">
        <f t="shared" si="46"/>
        <v>37</v>
      </c>
      <c r="AY83" s="4">
        <f t="shared" si="47"/>
        <v>34</v>
      </c>
      <c r="AZ83" s="4">
        <f t="shared" si="48"/>
        <v>32</v>
      </c>
      <c r="BA83" s="4">
        <f t="shared" si="49"/>
        <v>11</v>
      </c>
    </row>
    <row r="84" spans="1:53" x14ac:dyDescent="0.2">
      <c r="A84" s="1" t="str">
        <f>'SegEnds_NonXtal_Prot#'!A55</f>
        <v>acm1_human</v>
      </c>
      <c r="B84" s="1" t="str">
        <f t="shared" si="25"/>
        <v>PWQVAFIGITTGLLSLATVTGNLLVLISFKVNTVNNYFLLSLACADLIIGTFSMNLYTTYLLMGGTLACDLWLALDYVASNASVMNLLLISFDRYFSVTRTPRRAALMIGLAWLVSFVLWAPAILFWQYLVGQPIITFGTAMAAFYLPVTVMCTLYWRIYRETENRARELAALTFSLVKEKKAARTLSAILLAFILTWTPYNIMVLVSTFCPETLWELGYWLCYVNSTINPMCYALCNKAFRDTFRLLLL</v>
      </c>
      <c r="C84" s="29" t="str">
        <f>IF(ISERROR(MATCH(A84,'SegEnds_Xtal_Prot#'!B:B, 0)), "NoXtal", "Xtal")</f>
        <v>Xtal</v>
      </c>
      <c r="D84" s="4" t="str">
        <f>VLOOKUP(A84,Classification!A:D,2,FALSE)</f>
        <v>A</v>
      </c>
      <c r="E84" s="5" t="str">
        <f>VLOOKUP(A84,Seqs!A:B,2,FALSE)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F84" s="5" t="str">
        <f t="shared" si="26"/>
        <v>PWQVAFIGITTGLLSLATVTGNLLVLISFKVN</v>
      </c>
      <c r="G84" s="4" t="str">
        <f t="shared" si="27"/>
        <v>TELK</v>
      </c>
      <c r="H84" s="4" t="str">
        <f t="shared" si="28"/>
        <v>TVNNYFLLSLACADLIIGTFSMNLYTTYLLMG</v>
      </c>
      <c r="I84" s="4" t="str">
        <f t="shared" si="29"/>
        <v>HWAL</v>
      </c>
      <c r="J84" s="4" t="str">
        <f t="shared" si="30"/>
        <v>GTLACDLWLALDYVASNASVMNLLLISFDRYFSVTR</v>
      </c>
      <c r="K84" s="4" t="str">
        <f t="shared" si="31"/>
        <v>PLSYRAKR</v>
      </c>
      <c r="L84" s="4" t="str">
        <f t="shared" si="32"/>
        <v>TPRRAALMIGLAWLVSFVLWAPAILFWQYLVG</v>
      </c>
      <c r="M84" s="4" t="str">
        <f t="shared" si="33"/>
        <v>CYI</v>
      </c>
      <c r="N84" s="4" t="str">
        <f t="shared" si="34"/>
        <v>QPIITFGTAMAAFYLPVTVMCTLYWRIYRETENRARELAAL</v>
      </c>
      <c r="O84" s="4" t="str">
        <f t="shared" si="35"/>
        <v>TFSLVKEKKAARTLSAILLAFILTWTPYNIMVLVSTFC</v>
      </c>
      <c r="P84" s="4" t="str">
        <f t="shared" si="36"/>
        <v>PETLWELGYWLCYVNSTINPMCYALC</v>
      </c>
      <c r="Q84" s="4" t="str">
        <f t="shared" si="37"/>
        <v>NKAFRDTFRLLLL</v>
      </c>
      <c r="R84" s="5">
        <f>VLOOKUP($A84,'SegEnds_NonXtal_Prot#'!$A:$AL,3,FALSE)</f>
        <v>22</v>
      </c>
      <c r="S84" s="5">
        <f>VLOOKUP($A84,'SegEnds_NonXtal_Prot#'!$A:$AL,6,FALSE)</f>
        <v>54</v>
      </c>
      <c r="T84" s="5">
        <f>VLOOKUP($A84,'SegEnds_NonXtal_Prot#'!$A:$AL,9,FALSE)</f>
        <v>58</v>
      </c>
      <c r="U84" s="5">
        <f>VLOOKUP($A84,'SegEnds_NonXtal_Prot#'!$A:$AL,12,FALSE)</f>
        <v>90</v>
      </c>
      <c r="V84" s="5">
        <f>VLOOKUP($A84,'SegEnds_NonXtal_Prot#'!$A:$AL,15,FALSE)</f>
        <v>94</v>
      </c>
      <c r="W84" s="5">
        <f>VLOOKUP($A84,'SegEnds_NonXtal_Prot#'!$A:$AL,18,FALSE)</f>
        <v>130</v>
      </c>
      <c r="X84" s="5">
        <f>VLOOKUP($A84,'SegEnds_NonXtal_Prot#'!$A:$AL,21,FALSE)</f>
        <v>138</v>
      </c>
      <c r="Y84" s="5">
        <f>VLOOKUP($A84,'SegEnds_NonXtal_Prot#'!$A:$AL,24,FALSE)</f>
        <v>178</v>
      </c>
      <c r="Z84" s="5">
        <f>VLOOKUP($A84,'SegEnds_NonXtal_Prot#'!$A:$AL,27,FALSE)</f>
        <v>185</v>
      </c>
      <c r="AA84" s="5">
        <f>VLOOKUP($A84,'SegEnds_NonXtal_Prot#'!$A:$AL,30,FALSE)</f>
        <v>354</v>
      </c>
      <c r="AB84" s="5">
        <f>VLOOKUP($A84,'SegEnds_NonXtal_Prot#'!$A:$AL,33,FALSE)</f>
        <v>396</v>
      </c>
      <c r="AC84" s="5">
        <f>VLOOKUP($A84,'SegEnds_NonXtal_Prot#'!$A:$AL,36,FALSE)</f>
        <v>422</v>
      </c>
      <c r="AD84" s="5">
        <f>VLOOKUP($A84,'SegEnds_NonXtal_Prot#'!$A:$AL,5,FALSE)</f>
        <v>53</v>
      </c>
      <c r="AE84" s="5">
        <f>VLOOKUP($A84,'SegEnds_NonXtal_Prot#'!$A:$AL,8,FALSE)</f>
        <v>57</v>
      </c>
      <c r="AF84" s="5">
        <f>VLOOKUP($A84,'SegEnds_NonXtal_Prot#'!$A:$AL,11,FALSE)</f>
        <v>89</v>
      </c>
      <c r="AG84" s="5">
        <f>VLOOKUP($A84,'SegEnds_NonXtal_Prot#'!$A:$AL,14,FALSE)</f>
        <v>93</v>
      </c>
      <c r="AH84" s="5">
        <f>VLOOKUP($A84,'SegEnds_NonXtal_Prot#'!$A:$AL,17,FALSE)</f>
        <v>129</v>
      </c>
      <c r="AI84" s="5">
        <f>VLOOKUP($A84,'SegEnds_NonXtal_Prot#'!$A:$AL,20,FALSE)</f>
        <v>137</v>
      </c>
      <c r="AJ84" s="5">
        <f>VLOOKUP($A84,'SegEnds_NonXtal_Prot#'!$A:$AL,23,FALSE)</f>
        <v>169</v>
      </c>
      <c r="AK84" s="5">
        <f>VLOOKUP($A84,'SegEnds_NonXtal_Prot#'!$A:$AL,26,FALSE)</f>
        <v>180</v>
      </c>
      <c r="AL84" s="5">
        <f>VLOOKUP($A84,'SegEnds_NonXtal_Prot#'!$A:$AL,29,FALSE)</f>
        <v>225</v>
      </c>
      <c r="AM84" s="5">
        <f>VLOOKUP($A84,'SegEnds_NonXtal_Prot#'!$A:$AL,32,FALSE)</f>
        <v>391</v>
      </c>
      <c r="AN84" s="5">
        <f>VLOOKUP($A84,'SegEnds_NonXtal_Prot#'!$A:$AL,35,FALSE)</f>
        <v>421</v>
      </c>
      <c r="AO84" s="5">
        <f>VLOOKUP($A84,'SegEnds_NonXtal_Prot#'!$A:$AL,38,FALSE)</f>
        <v>434</v>
      </c>
      <c r="AP84" s="5">
        <f t="shared" si="38"/>
        <v>31</v>
      </c>
      <c r="AQ84" s="4">
        <f t="shared" si="39"/>
        <v>3</v>
      </c>
      <c r="AR84" s="4">
        <f t="shared" si="40"/>
        <v>31</v>
      </c>
      <c r="AS84" s="4">
        <f t="shared" si="41"/>
        <v>3</v>
      </c>
      <c r="AT84" s="4">
        <f t="shared" si="42"/>
        <v>35</v>
      </c>
      <c r="AU84" s="4">
        <f t="shared" si="43"/>
        <v>7</v>
      </c>
      <c r="AV84" s="4">
        <f t="shared" si="44"/>
        <v>31</v>
      </c>
      <c r="AW84" s="4">
        <f t="shared" si="45"/>
        <v>2</v>
      </c>
      <c r="AX84" s="4">
        <f t="shared" si="46"/>
        <v>40</v>
      </c>
      <c r="AY84" s="4">
        <f t="shared" si="47"/>
        <v>37</v>
      </c>
      <c r="AZ84" s="4">
        <f t="shared" si="48"/>
        <v>25</v>
      </c>
      <c r="BA84" s="4">
        <f t="shared" si="49"/>
        <v>12</v>
      </c>
    </row>
    <row r="85" spans="1:53" x14ac:dyDescent="0.2">
      <c r="A85" s="1" t="str">
        <f>'SegEnds_NonXtal_Prot#'!A56</f>
        <v>acm2_human</v>
      </c>
      <c r="B85" s="1" t="str">
        <f t="shared" si="25"/>
        <v>KTFEVVFIVLVAGSLSLVTIIGNILVMVSIKVNTVNNYFLFSLACADLIIGVFSMNLYTLYTVIGGPVVCDLWLALDYVVSNASVMNLLIISFDRYFCVTKTTKMAGMMIAAAWVLSFILWAPAILFWQFIVGNAAVTFGTAIAAFYLPVIIMTVLYWHISRASKSRIKKDKKEKPPPSREKKVTRTILAILLAFIITWAPYNVMVLINTFCPNTVWTIGYWLCYINSTINPACYALCNATFKKTFKHLLM</v>
      </c>
      <c r="C85" s="29" t="str">
        <f>IF(ISERROR(MATCH(A85,'SegEnds_Xtal_Prot#'!B:B, 0)), "NoXtal", "Xtal")</f>
        <v>Xtal</v>
      </c>
      <c r="D85" s="4" t="str">
        <f>VLOOKUP(A85,Classification!A:D,2,FALSE)</f>
        <v>A</v>
      </c>
      <c r="E85" s="5" t="str">
        <f>VLOOKUP(A85,Seqs!A:B,2,FALSE)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F85" s="5" t="str">
        <f t="shared" si="26"/>
        <v>KTFEVVFIVLVAGSLSLVTIIGNILVMVSIKVN</v>
      </c>
      <c r="G85" s="4" t="str">
        <f t="shared" si="27"/>
        <v>RHLQ</v>
      </c>
      <c r="H85" s="4" t="str">
        <f t="shared" si="28"/>
        <v>TVNNYFLFSLACADLIIGVFSMNLYTLYTVIG</v>
      </c>
      <c r="I85" s="4" t="str">
        <f t="shared" si="29"/>
        <v>YWPL</v>
      </c>
      <c r="J85" s="4" t="str">
        <f t="shared" si="30"/>
        <v>GPVVCDLWLALDYVVSNASVMNLLIISFDRYFCVTK</v>
      </c>
      <c r="K85" s="4" t="str">
        <f t="shared" si="31"/>
        <v>PLTYPVKR</v>
      </c>
      <c r="L85" s="4" t="str">
        <f t="shared" si="32"/>
        <v>TTKMAGMMIAAAWVLSFILWAPAILFWQFIVG</v>
      </c>
      <c r="M85" s="4" t="str">
        <f t="shared" si="33"/>
        <v>CYI</v>
      </c>
      <c r="N85" s="4" t="str">
        <f t="shared" si="34"/>
        <v>NAAVTFGTAIAAFYLPVIIMTVLYWHISRASKSRIKKDKKE</v>
      </c>
      <c r="O85" s="4" t="str">
        <f t="shared" si="35"/>
        <v>KPPPSREKKVTRTILAILLAFIITWAPYNVMVLINTFC</v>
      </c>
      <c r="P85" s="4" t="str">
        <f t="shared" si="36"/>
        <v>PNTVWTIGYWLCYINSTINPACYALC</v>
      </c>
      <c r="Q85" s="4" t="str">
        <f t="shared" si="37"/>
        <v>NATFKKTFKHLLM</v>
      </c>
      <c r="R85" s="5">
        <f>VLOOKUP($A85,'SegEnds_NonXtal_Prot#'!$A:$AL,3,FALSE)</f>
        <v>19</v>
      </c>
      <c r="S85" s="5">
        <f>VLOOKUP($A85,'SegEnds_NonXtal_Prot#'!$A:$AL,6,FALSE)</f>
        <v>52</v>
      </c>
      <c r="T85" s="5">
        <f>VLOOKUP($A85,'SegEnds_NonXtal_Prot#'!$A:$AL,9,FALSE)</f>
        <v>56</v>
      </c>
      <c r="U85" s="5">
        <f>VLOOKUP($A85,'SegEnds_NonXtal_Prot#'!$A:$AL,12,FALSE)</f>
        <v>88</v>
      </c>
      <c r="V85" s="5">
        <f>VLOOKUP($A85,'SegEnds_NonXtal_Prot#'!$A:$AL,15,FALSE)</f>
        <v>92</v>
      </c>
      <c r="W85" s="5">
        <f>VLOOKUP($A85,'SegEnds_NonXtal_Prot#'!$A:$AL,18,FALSE)</f>
        <v>128</v>
      </c>
      <c r="X85" s="5">
        <f>VLOOKUP($A85,'SegEnds_NonXtal_Prot#'!$A:$AL,21,FALSE)</f>
        <v>136</v>
      </c>
      <c r="Y85" s="5">
        <f>VLOOKUP($A85,'SegEnds_NonXtal_Prot#'!$A:$AL,24,FALSE)</f>
        <v>176</v>
      </c>
      <c r="Z85" s="5">
        <f>VLOOKUP($A85,'SegEnds_NonXtal_Prot#'!$A:$AL,27,FALSE)</f>
        <v>183</v>
      </c>
      <c r="AA85" s="5">
        <f>VLOOKUP($A85,'SegEnds_NonXtal_Prot#'!$A:$AL,30,FALSE)</f>
        <v>376</v>
      </c>
      <c r="AB85" s="5">
        <f>VLOOKUP($A85,'SegEnds_NonXtal_Prot#'!$A:$AL,33,FALSE)</f>
        <v>418</v>
      </c>
      <c r="AC85" s="5">
        <f>VLOOKUP($A85,'SegEnds_NonXtal_Prot#'!$A:$AL,36,FALSE)</f>
        <v>444</v>
      </c>
      <c r="AD85" s="5">
        <f>VLOOKUP($A85,'SegEnds_NonXtal_Prot#'!$A:$AL,5,FALSE)</f>
        <v>51</v>
      </c>
      <c r="AE85" s="5">
        <f>VLOOKUP($A85,'SegEnds_NonXtal_Prot#'!$A:$AL,8,FALSE)</f>
        <v>55</v>
      </c>
      <c r="AF85" s="5">
        <f>VLOOKUP($A85,'SegEnds_NonXtal_Prot#'!$A:$AL,11,FALSE)</f>
        <v>87</v>
      </c>
      <c r="AG85" s="5">
        <f>VLOOKUP($A85,'SegEnds_NonXtal_Prot#'!$A:$AL,14,FALSE)</f>
        <v>91</v>
      </c>
      <c r="AH85" s="5">
        <f>VLOOKUP($A85,'SegEnds_NonXtal_Prot#'!$A:$AL,17,FALSE)</f>
        <v>127</v>
      </c>
      <c r="AI85" s="5">
        <f>VLOOKUP($A85,'SegEnds_NonXtal_Prot#'!$A:$AL,20,FALSE)</f>
        <v>135</v>
      </c>
      <c r="AJ85" s="5">
        <f>VLOOKUP($A85,'SegEnds_NonXtal_Prot#'!$A:$AL,23,FALSE)</f>
        <v>167</v>
      </c>
      <c r="AK85" s="5">
        <f>VLOOKUP($A85,'SegEnds_NonXtal_Prot#'!$A:$AL,26,FALSE)</f>
        <v>178</v>
      </c>
      <c r="AL85" s="5">
        <f>VLOOKUP($A85,'SegEnds_NonXtal_Prot#'!$A:$AL,29,FALSE)</f>
        <v>223</v>
      </c>
      <c r="AM85" s="5">
        <f>VLOOKUP($A85,'SegEnds_NonXtal_Prot#'!$A:$AL,32,FALSE)</f>
        <v>413</v>
      </c>
      <c r="AN85" s="5">
        <f>VLOOKUP($A85,'SegEnds_NonXtal_Prot#'!$A:$AL,35,FALSE)</f>
        <v>443</v>
      </c>
      <c r="AO85" s="5">
        <f>VLOOKUP($A85,'SegEnds_NonXtal_Prot#'!$A:$AL,38,FALSE)</f>
        <v>456</v>
      </c>
      <c r="AP85" s="5">
        <f t="shared" si="38"/>
        <v>32</v>
      </c>
      <c r="AQ85" s="4">
        <f t="shared" si="39"/>
        <v>3</v>
      </c>
      <c r="AR85" s="4">
        <f t="shared" si="40"/>
        <v>31</v>
      </c>
      <c r="AS85" s="4">
        <f t="shared" si="41"/>
        <v>3</v>
      </c>
      <c r="AT85" s="4">
        <f t="shared" si="42"/>
        <v>35</v>
      </c>
      <c r="AU85" s="4">
        <f t="shared" si="43"/>
        <v>7</v>
      </c>
      <c r="AV85" s="4">
        <f t="shared" si="44"/>
        <v>31</v>
      </c>
      <c r="AW85" s="4">
        <f t="shared" si="45"/>
        <v>2</v>
      </c>
      <c r="AX85" s="4">
        <f t="shared" si="46"/>
        <v>40</v>
      </c>
      <c r="AY85" s="4">
        <f t="shared" si="47"/>
        <v>37</v>
      </c>
      <c r="AZ85" s="4">
        <f t="shared" si="48"/>
        <v>25</v>
      </c>
      <c r="BA85" s="4">
        <f t="shared" si="49"/>
        <v>12</v>
      </c>
    </row>
    <row r="86" spans="1:53" x14ac:dyDescent="0.2">
      <c r="A86" s="1" t="str">
        <f>'SegEnds_NonXtal_Prot#'!A57</f>
        <v>acm3_human</v>
      </c>
      <c r="B86" s="1" t="str">
        <f t="shared" si="25"/>
        <v>TVWQVVFIAFLTGILALVTIIGNILVIVSFKVNTVNNYFLLSLACADLIIGVISMNLFTTYIIMGNLACDLWLAIDYVASNASVMNLLVISFDRYFSITRTTKRAGVMIGLAWVISFVLWAPAILFWQYFVGEPTITFGTAIAAFYMPVTIMTILYWRIYKETEKRTKELAGLRMSLVKEKKAAQTLSAILLAFIITWTPYNIMVLVNTFCPKTFWNLGYWLCYINSTVNPVCYALCNKTFRTTFKMLLLC</v>
      </c>
      <c r="C86" s="29" t="str">
        <f>IF(ISERROR(MATCH(A86,'SegEnds_Xtal_Prot#'!B:B, 0)), "NoXtal", "Xtal")</f>
        <v>NoXtal</v>
      </c>
      <c r="D86" s="4" t="str">
        <f>VLOOKUP(A86,Classification!A:D,2,FALSE)</f>
        <v>A</v>
      </c>
      <c r="E86" s="5" t="str">
        <f>VLOOKUP(A86,Seqs!A:B,2,FALSE)</f>
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</c>
      <c r="F86" s="5" t="str">
        <f t="shared" si="26"/>
        <v>TVWQVVFIAFLTGILALVTIIGNILVIVSFKVN</v>
      </c>
      <c r="G86" s="4" t="str">
        <f t="shared" si="27"/>
        <v>KQLK</v>
      </c>
      <c r="H86" s="4" t="str">
        <f t="shared" si="28"/>
        <v>TVNNYFLLSLACADLIIGVISMNLFTTYIIM</v>
      </c>
      <c r="I86" s="4" t="str">
        <f t="shared" si="29"/>
        <v>RWAL</v>
      </c>
      <c r="J86" s="4" t="str">
        <f t="shared" si="30"/>
        <v>GNLACDLWLAIDYVASNASVMNLLVISFDRYFSITR</v>
      </c>
      <c r="K86" s="4" t="str">
        <f t="shared" si="31"/>
        <v>PLTYRAKR</v>
      </c>
      <c r="L86" s="4" t="str">
        <f t="shared" si="32"/>
        <v>TTKRAGVMIGLAWVISFVLWAPAILFWQYFVG</v>
      </c>
      <c r="M86" s="4" t="str">
        <f t="shared" si="33"/>
        <v>CFI</v>
      </c>
      <c r="N86" s="4" t="str">
        <f t="shared" si="34"/>
        <v>EPTITFGTAIAAFYMPVTIMTILYWRIYKETEKRTKELAGL</v>
      </c>
      <c r="O86" s="4" t="str">
        <f t="shared" si="35"/>
        <v>RMSLVKEKKAAQTLSAILLAFIITWTPYNIMVLVNTFC</v>
      </c>
      <c r="P86" s="4" t="str">
        <f t="shared" si="36"/>
        <v>PKTFWNLGYWLCYINSTVNPVCYALC</v>
      </c>
      <c r="Q86" s="4" t="str">
        <f t="shared" si="37"/>
        <v>NKTFRTTFKMLLLC</v>
      </c>
      <c r="R86" s="5">
        <f>VLOOKUP($A86,'SegEnds_NonXtal_Prot#'!$A:$AL,3,FALSE)</f>
        <v>64</v>
      </c>
      <c r="S86" s="5">
        <f>VLOOKUP($A86,'SegEnds_NonXtal_Prot#'!$A:$AL,6,FALSE)</f>
        <v>97</v>
      </c>
      <c r="T86" s="5">
        <f>VLOOKUP($A86,'SegEnds_NonXtal_Prot#'!$A:$AL,9,FALSE)</f>
        <v>101</v>
      </c>
      <c r="U86" s="5">
        <f>VLOOKUP($A86,'SegEnds_NonXtal_Prot#'!$A:$AL,12,FALSE)</f>
        <v>133</v>
      </c>
      <c r="V86" s="5">
        <f>VLOOKUP($A86,'SegEnds_NonXtal_Prot#'!$A:$AL,15,FALSE)</f>
        <v>137</v>
      </c>
      <c r="W86" s="5">
        <f>VLOOKUP($A86,'SegEnds_NonXtal_Prot#'!$A:$AL,18,FALSE)</f>
        <v>173</v>
      </c>
      <c r="X86" s="5">
        <f>VLOOKUP($A86,'SegEnds_NonXtal_Prot#'!$A:$AL,21,FALSE)</f>
        <v>181</v>
      </c>
      <c r="Y86" s="5">
        <f>VLOOKUP($A86,'SegEnds_NonXtal_Prot#'!$A:$AL,24,FALSE)</f>
        <v>221</v>
      </c>
      <c r="Z86" s="5">
        <f>VLOOKUP($A86,'SegEnds_NonXtal_Prot#'!$A:$AL,27,FALSE)</f>
        <v>228</v>
      </c>
      <c r="AA86" s="5">
        <f>VLOOKUP($A86,'SegEnds_NonXtal_Prot#'!$A:$AL,30,FALSE)</f>
        <v>480</v>
      </c>
      <c r="AB86" s="5">
        <f>VLOOKUP($A86,'SegEnds_NonXtal_Prot#'!$A:$AL,33,FALSE)</f>
        <v>522</v>
      </c>
      <c r="AC86" s="5">
        <f>VLOOKUP($A86,'SegEnds_NonXtal_Prot#'!$A:$AL,36,FALSE)</f>
        <v>548</v>
      </c>
      <c r="AD86" s="5">
        <f>VLOOKUP($A86,'SegEnds_NonXtal_Prot#'!$A:$AL,5,FALSE)</f>
        <v>96</v>
      </c>
      <c r="AE86" s="5">
        <f>VLOOKUP($A86,'SegEnds_NonXtal_Prot#'!$A:$AL,8,FALSE)</f>
        <v>100</v>
      </c>
      <c r="AF86" s="5">
        <f>VLOOKUP($A86,'SegEnds_NonXtal_Prot#'!$A:$AL,11,FALSE)</f>
        <v>131</v>
      </c>
      <c r="AG86" s="5">
        <f>VLOOKUP($A86,'SegEnds_NonXtal_Prot#'!$A:$AL,14,FALSE)</f>
        <v>136</v>
      </c>
      <c r="AH86" s="5">
        <f>VLOOKUP($A86,'SegEnds_NonXtal_Prot#'!$A:$AL,17,FALSE)</f>
        <v>172</v>
      </c>
      <c r="AI86" s="5">
        <f>VLOOKUP($A86,'SegEnds_NonXtal_Prot#'!$A:$AL,20,FALSE)</f>
        <v>180</v>
      </c>
      <c r="AJ86" s="5">
        <f>VLOOKUP($A86,'SegEnds_NonXtal_Prot#'!$A:$AL,23,FALSE)</f>
        <v>212</v>
      </c>
      <c r="AK86" s="5">
        <f>VLOOKUP($A86,'SegEnds_NonXtal_Prot#'!$A:$AL,26,FALSE)</f>
        <v>223</v>
      </c>
      <c r="AL86" s="5">
        <f>VLOOKUP($A86,'SegEnds_NonXtal_Prot#'!$A:$AL,29,FALSE)</f>
        <v>268</v>
      </c>
      <c r="AM86" s="5">
        <f>VLOOKUP($A86,'SegEnds_NonXtal_Prot#'!$A:$AL,32,FALSE)</f>
        <v>517</v>
      </c>
      <c r="AN86" s="5">
        <f>VLOOKUP($A86,'SegEnds_NonXtal_Prot#'!$A:$AL,35,FALSE)</f>
        <v>547</v>
      </c>
      <c r="AO86" s="5">
        <f>VLOOKUP($A86,'SegEnds_NonXtal_Prot#'!$A:$AL,38,FALSE)</f>
        <v>561</v>
      </c>
      <c r="AP86" s="5">
        <f t="shared" si="38"/>
        <v>32</v>
      </c>
      <c r="AQ86" s="4">
        <f t="shared" si="39"/>
        <v>3</v>
      </c>
      <c r="AR86" s="4">
        <f t="shared" si="40"/>
        <v>30</v>
      </c>
      <c r="AS86" s="4">
        <f t="shared" si="41"/>
        <v>3</v>
      </c>
      <c r="AT86" s="4">
        <f t="shared" si="42"/>
        <v>35</v>
      </c>
      <c r="AU86" s="4">
        <f t="shared" si="43"/>
        <v>7</v>
      </c>
      <c r="AV86" s="4">
        <f t="shared" si="44"/>
        <v>31</v>
      </c>
      <c r="AW86" s="4">
        <f t="shared" si="45"/>
        <v>2</v>
      </c>
      <c r="AX86" s="4">
        <f t="shared" si="46"/>
        <v>40</v>
      </c>
      <c r="AY86" s="4">
        <f t="shared" si="47"/>
        <v>37</v>
      </c>
      <c r="AZ86" s="4">
        <f t="shared" si="48"/>
        <v>25</v>
      </c>
      <c r="BA86" s="4">
        <f t="shared" si="49"/>
        <v>13</v>
      </c>
    </row>
    <row r="87" spans="1:53" x14ac:dyDescent="0.2">
      <c r="A87" s="1" t="str">
        <f>'SegEnds_NonXtal_Prot#'!A58</f>
        <v>acm3_rat</v>
      </c>
      <c r="B87" s="1" t="str">
        <f t="shared" si="25"/>
        <v>TIWQVVFIAFLTGFLALVTIIGNILVIVAFKVNTVNNYFLLSLACADLIIGVISMNLFTTYIIMGNLACDLWLSIDYVASNASVMNLLVISFDRYFSITRTTKRAGVMIGLAWVISFVLWAPAILFWQYFVGEPTITFGTAIAAFYMPVTIMTILYWRIYKETEKRTKELAGLRMSLIKEKKAAQTLSAILLAFIITWTPYNIMVLVNTFCPKTYWNLGYWLCYINSTVNPVCYALCNKTFRTTFKTLLLC</v>
      </c>
      <c r="C87" s="29" t="str">
        <f>IF(ISERROR(MATCH(A87,'SegEnds_Xtal_Prot#'!B:B, 0)), "NoXtal", "Xtal")</f>
        <v>Xtal</v>
      </c>
      <c r="D87" s="4" t="str">
        <f>VLOOKUP(A87,Classification!A:D,2,FALSE)</f>
        <v>A</v>
      </c>
      <c r="E87" s="5" t="str">
        <f>VLOOKUP(A87,Seqs!A:B,2,FALSE)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F87" s="5" t="str">
        <f t="shared" si="26"/>
        <v>TIWQVVFIAFLTGFLALVTIIGNILVIVAFKVN</v>
      </c>
      <c r="G87" s="4" t="str">
        <f t="shared" si="27"/>
        <v>KQLK</v>
      </c>
      <c r="H87" s="4" t="str">
        <f t="shared" si="28"/>
        <v>TVNNYFLLSLACADLIIGVISMNLFTTYIIM</v>
      </c>
      <c r="I87" s="4" t="str">
        <f t="shared" si="29"/>
        <v>RWAL</v>
      </c>
      <c r="J87" s="4" t="str">
        <f t="shared" si="30"/>
        <v>GNLACDLWLSIDYVASNASVMNLLVISFDRYFSITR</v>
      </c>
      <c r="K87" s="4" t="str">
        <f t="shared" si="31"/>
        <v>PLTYRAKR</v>
      </c>
      <c r="L87" s="4" t="str">
        <f t="shared" si="32"/>
        <v>TTKRAGVMIGLAWVISFVLWAPAILFWQYFVG</v>
      </c>
      <c r="M87" s="4" t="str">
        <f t="shared" si="33"/>
        <v>CFI</v>
      </c>
      <c r="N87" s="4" t="str">
        <f t="shared" si="34"/>
        <v>EPTITFGTAIAAFYMPVTIMTILYWRIYKETEKRTKELAGL</v>
      </c>
      <c r="O87" s="4" t="str">
        <f t="shared" si="35"/>
        <v>RMSLIKEKKAAQTLSAILLAFIITWTPYNIMVLVNTFC</v>
      </c>
      <c r="P87" s="4" t="str">
        <f t="shared" si="36"/>
        <v>PKTYWNLGYWLCYINSTVNPVCYALC</v>
      </c>
      <c r="Q87" s="4" t="str">
        <f t="shared" si="37"/>
        <v>NKTFRTTFKTLLLC</v>
      </c>
      <c r="R87" s="5">
        <f>VLOOKUP($A87,'SegEnds_NonXtal_Prot#'!$A:$AL,3,FALSE)</f>
        <v>63</v>
      </c>
      <c r="S87" s="5">
        <f>VLOOKUP($A87,'SegEnds_NonXtal_Prot#'!$A:$AL,6,FALSE)</f>
        <v>96</v>
      </c>
      <c r="T87" s="5">
        <f>VLOOKUP($A87,'SegEnds_NonXtal_Prot#'!$A:$AL,9,FALSE)</f>
        <v>100</v>
      </c>
      <c r="U87" s="5">
        <f>VLOOKUP($A87,'SegEnds_NonXtal_Prot#'!$A:$AL,12,FALSE)</f>
        <v>132</v>
      </c>
      <c r="V87" s="5">
        <f>VLOOKUP($A87,'SegEnds_NonXtal_Prot#'!$A:$AL,15,FALSE)</f>
        <v>136</v>
      </c>
      <c r="W87" s="5">
        <f>VLOOKUP($A87,'SegEnds_NonXtal_Prot#'!$A:$AL,18,FALSE)</f>
        <v>172</v>
      </c>
      <c r="X87" s="5">
        <f>VLOOKUP($A87,'SegEnds_NonXtal_Prot#'!$A:$AL,21,FALSE)</f>
        <v>180</v>
      </c>
      <c r="Y87" s="5">
        <f>VLOOKUP($A87,'SegEnds_NonXtal_Prot#'!$A:$AL,24,FALSE)</f>
        <v>220</v>
      </c>
      <c r="Z87" s="5">
        <f>VLOOKUP($A87,'SegEnds_NonXtal_Prot#'!$A:$AL,27,FALSE)</f>
        <v>227</v>
      </c>
      <c r="AA87" s="5">
        <f>VLOOKUP($A87,'SegEnds_NonXtal_Prot#'!$A:$AL,30,FALSE)</f>
        <v>479</v>
      </c>
      <c r="AB87" s="5">
        <f>VLOOKUP($A87,'SegEnds_NonXtal_Prot#'!$A:$AL,33,FALSE)</f>
        <v>521</v>
      </c>
      <c r="AC87" s="5">
        <f>VLOOKUP($A87,'SegEnds_NonXtal_Prot#'!$A:$AL,36,FALSE)</f>
        <v>547</v>
      </c>
      <c r="AD87" s="5">
        <f>VLOOKUP($A87,'SegEnds_NonXtal_Prot#'!$A:$AL,5,FALSE)</f>
        <v>95</v>
      </c>
      <c r="AE87" s="5">
        <f>VLOOKUP($A87,'SegEnds_NonXtal_Prot#'!$A:$AL,8,FALSE)</f>
        <v>99</v>
      </c>
      <c r="AF87" s="5">
        <f>VLOOKUP($A87,'SegEnds_NonXtal_Prot#'!$A:$AL,11,FALSE)</f>
        <v>130</v>
      </c>
      <c r="AG87" s="5">
        <f>VLOOKUP($A87,'SegEnds_NonXtal_Prot#'!$A:$AL,14,FALSE)</f>
        <v>135</v>
      </c>
      <c r="AH87" s="5">
        <f>VLOOKUP($A87,'SegEnds_NonXtal_Prot#'!$A:$AL,17,FALSE)</f>
        <v>171</v>
      </c>
      <c r="AI87" s="5">
        <f>VLOOKUP($A87,'SegEnds_NonXtal_Prot#'!$A:$AL,20,FALSE)</f>
        <v>179</v>
      </c>
      <c r="AJ87" s="5">
        <f>VLOOKUP($A87,'SegEnds_NonXtal_Prot#'!$A:$AL,23,FALSE)</f>
        <v>211</v>
      </c>
      <c r="AK87" s="5">
        <f>VLOOKUP($A87,'SegEnds_NonXtal_Prot#'!$A:$AL,26,FALSE)</f>
        <v>222</v>
      </c>
      <c r="AL87" s="5">
        <f>VLOOKUP($A87,'SegEnds_NonXtal_Prot#'!$A:$AL,29,FALSE)</f>
        <v>267</v>
      </c>
      <c r="AM87" s="5">
        <f>VLOOKUP($A87,'SegEnds_NonXtal_Prot#'!$A:$AL,32,FALSE)</f>
        <v>516</v>
      </c>
      <c r="AN87" s="5">
        <f>VLOOKUP($A87,'SegEnds_NonXtal_Prot#'!$A:$AL,35,FALSE)</f>
        <v>546</v>
      </c>
      <c r="AO87" s="5">
        <f>VLOOKUP($A87,'SegEnds_NonXtal_Prot#'!$A:$AL,38,FALSE)</f>
        <v>560</v>
      </c>
      <c r="AP87" s="5">
        <f t="shared" si="38"/>
        <v>32</v>
      </c>
      <c r="AQ87" s="4">
        <f t="shared" si="39"/>
        <v>3</v>
      </c>
      <c r="AR87" s="4">
        <f t="shared" si="40"/>
        <v>30</v>
      </c>
      <c r="AS87" s="4">
        <f t="shared" si="41"/>
        <v>3</v>
      </c>
      <c r="AT87" s="4">
        <f t="shared" si="42"/>
        <v>35</v>
      </c>
      <c r="AU87" s="4">
        <f t="shared" si="43"/>
        <v>7</v>
      </c>
      <c r="AV87" s="4">
        <f t="shared" si="44"/>
        <v>31</v>
      </c>
      <c r="AW87" s="4">
        <f t="shared" si="45"/>
        <v>2</v>
      </c>
      <c r="AX87" s="4">
        <f t="shared" si="46"/>
        <v>40</v>
      </c>
      <c r="AY87" s="4">
        <f t="shared" si="47"/>
        <v>37</v>
      </c>
      <c r="AZ87" s="4">
        <f t="shared" si="48"/>
        <v>25</v>
      </c>
      <c r="BA87" s="4">
        <f t="shared" si="49"/>
        <v>13</v>
      </c>
    </row>
    <row r="88" spans="1:53" x14ac:dyDescent="0.2">
      <c r="A88" s="1" t="str">
        <f>'SegEnds_NonXtal_Prot#'!A59</f>
        <v>acm4_human</v>
      </c>
      <c r="B88" s="1" t="str">
        <f t="shared" si="25"/>
        <v>RYETVEMVFIATVTGSLSLVTVVGNILVMLSIKVNTVNNYFLFSLACADLIIGAFSMNLYTVYIIKGGAVVCDLWLALDYVVSNASVMNLLIISFDRYFCVTKTTKMAGLMIAAAWVLSFVLWAPAILFWQFVVGNPAVTFGTAIAAFYLPVVIMTVLYIHISLASRSRVHKHRPERQMAARERKVTRTIFAILLAFILTWTPYNVMVLVNTFCPDTVWSIGYWLCYVNSTINPACYALCNATFKKTFRHLLLCQ</v>
      </c>
      <c r="C88" s="29" t="str">
        <f>IF(ISERROR(MATCH(A88,'SegEnds_Xtal_Prot#'!B:B, 0)), "NoXtal", "Xtal")</f>
        <v>Xtal</v>
      </c>
      <c r="D88" s="4" t="str">
        <f>VLOOKUP(A88,Classification!A:D,2,FALSE)</f>
        <v>A</v>
      </c>
      <c r="E88" s="5" t="str">
        <f>VLOOKUP(A88,Seqs!A:B,2,FALSE)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F88" s="5" t="str">
        <f t="shared" si="26"/>
        <v>RYETVEMVFIATVTGSLSLVTVVGNILVMLSIKVN</v>
      </c>
      <c r="G88" s="4" t="str">
        <f t="shared" si="27"/>
        <v>RQLQ</v>
      </c>
      <c r="H88" s="4" t="str">
        <f t="shared" si="28"/>
        <v>TVNNYFLFSLACADLIIGAFSMNLYTVYIIKG</v>
      </c>
      <c r="I88" s="4" t="str">
        <f t="shared" si="29"/>
        <v>YWPL</v>
      </c>
      <c r="J88" s="4" t="str">
        <f t="shared" si="30"/>
        <v>GAVVCDLWLALDYVVSNASVMNLLIISFDRYFCVTK</v>
      </c>
      <c r="K88" s="4" t="str">
        <f t="shared" si="31"/>
        <v>PLTYPARR</v>
      </c>
      <c r="L88" s="4" t="str">
        <f t="shared" si="32"/>
        <v>TTKMAGLMIAAAWVLSFVLWAPAILFWQFVVG</v>
      </c>
      <c r="M88" s="4" t="str">
        <f t="shared" si="33"/>
        <v>CFI</v>
      </c>
      <c r="N88" s="4" t="str">
        <f t="shared" si="34"/>
        <v>NPAVTFGTAIAAFYLPVVIMTVLYIHISLASRSRVHKHRPE</v>
      </c>
      <c r="O88" s="4" t="str">
        <f t="shared" si="35"/>
        <v>RQMAARERKVTRTIFAILLAFILTWTPYNVMVLVNTFC</v>
      </c>
      <c r="P88" s="4" t="str">
        <f t="shared" si="36"/>
        <v>PDTVWSIGYWLCYVNSTINPACYALC</v>
      </c>
      <c r="Q88" s="4" t="str">
        <f t="shared" si="37"/>
        <v>NATFKKTFRHLLLCQ</v>
      </c>
      <c r="R88" s="5">
        <f>VLOOKUP($A88,'SegEnds_NonXtal_Prot#'!$A:$AL,3,FALSE)</f>
        <v>26</v>
      </c>
      <c r="S88" s="5">
        <f>VLOOKUP($A88,'SegEnds_NonXtal_Prot#'!$A:$AL,6,FALSE)</f>
        <v>61</v>
      </c>
      <c r="T88" s="5">
        <f>VLOOKUP($A88,'SegEnds_NonXtal_Prot#'!$A:$AL,9,FALSE)</f>
        <v>65</v>
      </c>
      <c r="U88" s="5">
        <f>VLOOKUP($A88,'SegEnds_NonXtal_Prot#'!$A:$AL,12,FALSE)</f>
        <v>97</v>
      </c>
      <c r="V88" s="5">
        <f>VLOOKUP($A88,'SegEnds_NonXtal_Prot#'!$A:$AL,15,FALSE)</f>
        <v>101</v>
      </c>
      <c r="W88" s="5">
        <f>VLOOKUP($A88,'SegEnds_NonXtal_Prot#'!$A:$AL,18,FALSE)</f>
        <v>137</v>
      </c>
      <c r="X88" s="5">
        <f>VLOOKUP($A88,'SegEnds_NonXtal_Prot#'!$A:$AL,21,FALSE)</f>
        <v>145</v>
      </c>
      <c r="Y88" s="5">
        <f>VLOOKUP($A88,'SegEnds_NonXtal_Prot#'!$A:$AL,24,FALSE)</f>
        <v>185</v>
      </c>
      <c r="Z88" s="5">
        <f>VLOOKUP($A88,'SegEnds_NonXtal_Prot#'!$A:$AL,27,FALSE)</f>
        <v>192</v>
      </c>
      <c r="AA88" s="5">
        <f>VLOOKUP($A88,'SegEnds_NonXtal_Prot#'!$A:$AL,30,FALSE)</f>
        <v>389</v>
      </c>
      <c r="AB88" s="5">
        <f>VLOOKUP($A88,'SegEnds_NonXtal_Prot#'!$A:$AL,33,FALSE)</f>
        <v>431</v>
      </c>
      <c r="AC88" s="5">
        <f>VLOOKUP($A88,'SegEnds_NonXtal_Prot#'!$A:$AL,36,FALSE)</f>
        <v>457</v>
      </c>
      <c r="AD88" s="5">
        <f>VLOOKUP($A88,'SegEnds_NonXtal_Prot#'!$A:$AL,5,FALSE)</f>
        <v>60</v>
      </c>
      <c r="AE88" s="5">
        <f>VLOOKUP($A88,'SegEnds_NonXtal_Prot#'!$A:$AL,8,FALSE)</f>
        <v>64</v>
      </c>
      <c r="AF88" s="5">
        <f>VLOOKUP($A88,'SegEnds_NonXtal_Prot#'!$A:$AL,11,FALSE)</f>
        <v>96</v>
      </c>
      <c r="AG88" s="5">
        <f>VLOOKUP($A88,'SegEnds_NonXtal_Prot#'!$A:$AL,14,FALSE)</f>
        <v>100</v>
      </c>
      <c r="AH88" s="5">
        <f>VLOOKUP($A88,'SegEnds_NonXtal_Prot#'!$A:$AL,17,FALSE)</f>
        <v>136</v>
      </c>
      <c r="AI88" s="5">
        <f>VLOOKUP($A88,'SegEnds_NonXtal_Prot#'!$A:$AL,20,FALSE)</f>
        <v>144</v>
      </c>
      <c r="AJ88" s="5">
        <f>VLOOKUP($A88,'SegEnds_NonXtal_Prot#'!$A:$AL,23,FALSE)</f>
        <v>176</v>
      </c>
      <c r="AK88" s="5">
        <f>VLOOKUP($A88,'SegEnds_NonXtal_Prot#'!$A:$AL,26,FALSE)</f>
        <v>187</v>
      </c>
      <c r="AL88" s="5">
        <f>VLOOKUP($A88,'SegEnds_NonXtal_Prot#'!$A:$AL,29,FALSE)</f>
        <v>232</v>
      </c>
      <c r="AM88" s="5">
        <f>VLOOKUP($A88,'SegEnds_NonXtal_Prot#'!$A:$AL,32,FALSE)</f>
        <v>426</v>
      </c>
      <c r="AN88" s="5">
        <f>VLOOKUP($A88,'SegEnds_NonXtal_Prot#'!$A:$AL,35,FALSE)</f>
        <v>456</v>
      </c>
      <c r="AO88" s="5">
        <f>VLOOKUP($A88,'SegEnds_NonXtal_Prot#'!$A:$AL,38,FALSE)</f>
        <v>471</v>
      </c>
      <c r="AP88" s="5">
        <f t="shared" si="38"/>
        <v>34</v>
      </c>
      <c r="AQ88" s="4">
        <f t="shared" si="39"/>
        <v>3</v>
      </c>
      <c r="AR88" s="4">
        <f t="shared" si="40"/>
        <v>31</v>
      </c>
      <c r="AS88" s="4">
        <f t="shared" si="41"/>
        <v>3</v>
      </c>
      <c r="AT88" s="4">
        <f t="shared" si="42"/>
        <v>35</v>
      </c>
      <c r="AU88" s="4">
        <f t="shared" si="43"/>
        <v>7</v>
      </c>
      <c r="AV88" s="4">
        <f t="shared" si="44"/>
        <v>31</v>
      </c>
      <c r="AW88" s="4">
        <f t="shared" si="45"/>
        <v>2</v>
      </c>
      <c r="AX88" s="4">
        <f t="shared" si="46"/>
        <v>40</v>
      </c>
      <c r="AY88" s="4">
        <f t="shared" si="47"/>
        <v>37</v>
      </c>
      <c r="AZ88" s="4">
        <f t="shared" si="48"/>
        <v>25</v>
      </c>
      <c r="BA88" s="4">
        <f t="shared" si="49"/>
        <v>14</v>
      </c>
    </row>
    <row r="89" spans="1:53" x14ac:dyDescent="0.2">
      <c r="A89" s="1" t="str">
        <f>'SegEnds_NonXtal_Prot#'!A60</f>
        <v>acm5_human</v>
      </c>
      <c r="B89" s="1" t="str">
        <f t="shared" si="25"/>
        <v>RLWEVITIAAVTAVVSLITIVGNVLVMISFKVNTVNNYYLLSLACADLIIGIFSMNLYTTYILMGGSLACDLWLALDYVASNASVMNLLVISFDRYFSITRTPKRAGIMIGLAWLISFILWAPAILCWQYLVGEPTITFGTAIAAFYIPVSVMTILYCRIYRETEKRTKDLADLRVVLVKERKAAQTLSAILLAFIITWTPYNIMVLVSTFCPVTLWHLGYWLCYVNSTVNPICYALCNRTFRKTFKMLLL</v>
      </c>
      <c r="C89" s="29" t="str">
        <f>IF(ISERROR(MATCH(A89,'SegEnds_Xtal_Prot#'!B:B, 0)), "NoXtal", "Xtal")</f>
        <v>Xtal</v>
      </c>
      <c r="D89" s="4" t="str">
        <f>VLOOKUP(A89,Classification!A:D,2,FALSE)</f>
        <v>A</v>
      </c>
      <c r="E89" s="5" t="str">
        <f>VLOOKUP(A89,Seqs!A:B,2,FALSE)</f>
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</c>
      <c r="F89" s="5" t="str">
        <f t="shared" si="26"/>
        <v>RLWEVITIAAVTAVVSLITIVGNVLVMISFKVN</v>
      </c>
      <c r="G89" s="4" t="str">
        <f t="shared" si="27"/>
        <v>SQLK</v>
      </c>
      <c r="H89" s="4" t="str">
        <f t="shared" si="28"/>
        <v>TVNNYYLLSLACADLIIGIFSMNLYTTYILMG</v>
      </c>
      <c r="I89" s="4" t="str">
        <f t="shared" si="29"/>
        <v>RWAL</v>
      </c>
      <c r="J89" s="4" t="str">
        <f t="shared" si="30"/>
        <v>GSLACDLWLALDYVASNASVMNLLVISFDRYFSITR</v>
      </c>
      <c r="K89" s="4" t="str">
        <f t="shared" si="31"/>
        <v>PLTYRAKR</v>
      </c>
      <c r="L89" s="4" t="str">
        <f t="shared" si="32"/>
        <v>TPKRAGIMIGLAWLISFILWAPAILCWQYLVG</v>
      </c>
      <c r="M89" s="4" t="str">
        <f t="shared" si="33"/>
        <v>CQI</v>
      </c>
      <c r="N89" s="4" t="str">
        <f t="shared" si="34"/>
        <v>EPTITFGTAIAAFYIPVSVMTILYCRIYRETEKRTKDLADL</v>
      </c>
      <c r="O89" s="4" t="str">
        <f t="shared" si="35"/>
        <v>RVVLVKERKAAQTLSAILLAFIITWTPYNIMVLVSTFC</v>
      </c>
      <c r="P89" s="4" t="str">
        <f t="shared" si="36"/>
        <v>PVTLWHLGYWLCYVNSTVNPICYALC</v>
      </c>
      <c r="Q89" s="4" t="str">
        <f t="shared" si="37"/>
        <v>NRTFRKTFKMLLL</v>
      </c>
      <c r="R89" s="5">
        <f>VLOOKUP($A89,'SegEnds_NonXtal_Prot#'!$A:$AL,3,FALSE)</f>
        <v>26</v>
      </c>
      <c r="S89" s="5">
        <f>VLOOKUP($A89,'SegEnds_NonXtal_Prot#'!$A:$AL,6,FALSE)</f>
        <v>59</v>
      </c>
      <c r="T89" s="5">
        <f>VLOOKUP($A89,'SegEnds_NonXtal_Prot#'!$A:$AL,9,FALSE)</f>
        <v>63</v>
      </c>
      <c r="U89" s="5">
        <f>VLOOKUP($A89,'SegEnds_NonXtal_Prot#'!$A:$AL,12,FALSE)</f>
        <v>95</v>
      </c>
      <c r="V89" s="5">
        <f>VLOOKUP($A89,'SegEnds_NonXtal_Prot#'!$A:$AL,15,FALSE)</f>
        <v>99</v>
      </c>
      <c r="W89" s="5">
        <f>VLOOKUP($A89,'SegEnds_NonXtal_Prot#'!$A:$AL,18,FALSE)</f>
        <v>135</v>
      </c>
      <c r="X89" s="5">
        <f>VLOOKUP($A89,'SegEnds_NonXtal_Prot#'!$A:$AL,21,FALSE)</f>
        <v>143</v>
      </c>
      <c r="Y89" s="5">
        <f>VLOOKUP($A89,'SegEnds_NonXtal_Prot#'!$A:$AL,24,FALSE)</f>
        <v>183</v>
      </c>
      <c r="Z89" s="5">
        <f>VLOOKUP($A89,'SegEnds_NonXtal_Prot#'!$A:$AL,27,FALSE)</f>
        <v>190</v>
      </c>
      <c r="AA89" s="5">
        <f>VLOOKUP($A89,'SegEnds_NonXtal_Prot#'!$A:$AL,30,FALSE)</f>
        <v>431</v>
      </c>
      <c r="AB89" s="5">
        <f>VLOOKUP($A89,'SegEnds_NonXtal_Prot#'!$A:$AL,33,FALSE)</f>
        <v>473</v>
      </c>
      <c r="AC89" s="5">
        <f>VLOOKUP($A89,'SegEnds_NonXtal_Prot#'!$A:$AL,36,FALSE)</f>
        <v>499</v>
      </c>
      <c r="AD89" s="5">
        <f>VLOOKUP($A89,'SegEnds_NonXtal_Prot#'!$A:$AL,5,FALSE)</f>
        <v>58</v>
      </c>
      <c r="AE89" s="5">
        <f>VLOOKUP($A89,'SegEnds_NonXtal_Prot#'!$A:$AL,8,FALSE)</f>
        <v>62</v>
      </c>
      <c r="AF89" s="5">
        <f>VLOOKUP($A89,'SegEnds_NonXtal_Prot#'!$A:$AL,11,FALSE)</f>
        <v>94</v>
      </c>
      <c r="AG89" s="5">
        <f>VLOOKUP($A89,'SegEnds_NonXtal_Prot#'!$A:$AL,14,FALSE)</f>
        <v>98</v>
      </c>
      <c r="AH89" s="5">
        <f>VLOOKUP($A89,'SegEnds_NonXtal_Prot#'!$A:$AL,17,FALSE)</f>
        <v>134</v>
      </c>
      <c r="AI89" s="5">
        <f>VLOOKUP($A89,'SegEnds_NonXtal_Prot#'!$A:$AL,20,FALSE)</f>
        <v>142</v>
      </c>
      <c r="AJ89" s="5">
        <f>VLOOKUP($A89,'SegEnds_NonXtal_Prot#'!$A:$AL,23,FALSE)</f>
        <v>174</v>
      </c>
      <c r="AK89" s="5">
        <f>VLOOKUP($A89,'SegEnds_NonXtal_Prot#'!$A:$AL,26,FALSE)</f>
        <v>185</v>
      </c>
      <c r="AL89" s="5">
        <f>VLOOKUP($A89,'SegEnds_NonXtal_Prot#'!$A:$AL,29,FALSE)</f>
        <v>230</v>
      </c>
      <c r="AM89" s="5">
        <f>VLOOKUP($A89,'SegEnds_NonXtal_Prot#'!$A:$AL,32,FALSE)</f>
        <v>468</v>
      </c>
      <c r="AN89" s="5">
        <f>VLOOKUP($A89,'SegEnds_NonXtal_Prot#'!$A:$AL,35,FALSE)</f>
        <v>498</v>
      </c>
      <c r="AO89" s="5">
        <f>VLOOKUP($A89,'SegEnds_NonXtal_Prot#'!$A:$AL,38,FALSE)</f>
        <v>511</v>
      </c>
      <c r="AP89" s="5">
        <f t="shared" si="38"/>
        <v>32</v>
      </c>
      <c r="AQ89" s="4">
        <f t="shared" si="39"/>
        <v>3</v>
      </c>
      <c r="AR89" s="4">
        <f t="shared" si="40"/>
        <v>31</v>
      </c>
      <c r="AS89" s="4">
        <f t="shared" si="41"/>
        <v>3</v>
      </c>
      <c r="AT89" s="4">
        <f t="shared" si="42"/>
        <v>35</v>
      </c>
      <c r="AU89" s="4">
        <f t="shared" si="43"/>
        <v>7</v>
      </c>
      <c r="AV89" s="4">
        <f t="shared" si="44"/>
        <v>31</v>
      </c>
      <c r="AW89" s="4">
        <f t="shared" si="45"/>
        <v>2</v>
      </c>
      <c r="AX89" s="4">
        <f t="shared" si="46"/>
        <v>40</v>
      </c>
      <c r="AY89" s="4">
        <f t="shared" si="47"/>
        <v>37</v>
      </c>
      <c r="AZ89" s="4">
        <f t="shared" si="48"/>
        <v>25</v>
      </c>
      <c r="BA89" s="4">
        <f t="shared" si="49"/>
        <v>12</v>
      </c>
    </row>
    <row r="90" spans="1:53" x14ac:dyDescent="0.2">
      <c r="A90" s="1" t="str">
        <f>'SegEnds_NonXtal_Prot#'!A61</f>
        <v>acthr_human</v>
      </c>
      <c r="B90" s="1" t="str">
        <f t="shared" si="25"/>
        <v>CPRVVLPEEIFFTISIVGVLENLIVLLAVFKNAPMYFFICSLAISDMLGSLYKILENILIILRGSFETTADDIIDSLFVLSLLGSIFSLSVIAADRYITIFHTMRRTVVVLTVIWTFCTGTGITMVIFFTSLFPLMLVFILCLYVHMFLLARSHTRKISTLPNMKGAITLTILLGVFIFCWAPFVLHVLLMTFCCYMSLFQVNGMLIMCNAVIDPFIYAFRSPELRDAFKKMIF</v>
      </c>
      <c r="C90" s="29" t="str">
        <f>IF(ISERROR(MATCH(A90,'SegEnds_Xtal_Prot#'!B:B, 0)), "NoXtal", "Xtal")</f>
        <v>NoXtal</v>
      </c>
      <c r="D90" s="4" t="str">
        <f>VLOOKUP(A90,Classification!A:D,2,FALSE)</f>
        <v>A</v>
      </c>
      <c r="E90" s="5" t="str">
        <f>VLOOKUP(A90,Seqs!A:B,2,FALSE)</f>
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</c>
      <c r="F90" s="5" t="str">
        <f t="shared" si="26"/>
        <v>CPRVVLPEEIFFTISIVGVLENLIVLLAVFKN</v>
      </c>
      <c r="G90" s="4" t="str">
        <f t="shared" si="27"/>
        <v>KNLQ</v>
      </c>
      <c r="H90" s="4" t="str">
        <f t="shared" si="28"/>
        <v>APMYFFICSLAISDMLGSLYKILENILIILR</v>
      </c>
      <c r="I90" s="4" t="str">
        <f t="shared" si="29"/>
        <v/>
      </c>
      <c r="J90" s="4" t="str">
        <f t="shared" si="30"/>
        <v>GSFETTADDIIDSLFVLSLLGSIFSLSVIAADRYITIFH</v>
      </c>
      <c r="K90" s="4" t="str">
        <f t="shared" si="31"/>
        <v>ALRYHSIV</v>
      </c>
      <c r="L90" s="4" t="str">
        <f t="shared" si="32"/>
        <v>TMRRTVVVLTVIWTFCTGTGITMVIF</v>
      </c>
      <c r="M90" s="4" t="str">
        <f t="shared" si="33"/>
        <v/>
      </c>
      <c r="N90" s="4" t="str">
        <f t="shared" si="34"/>
        <v>FTSLFPLMLVFILCLYVHMFLLARSHTRKISTLP</v>
      </c>
      <c r="O90" s="4" t="str">
        <f t="shared" si="35"/>
        <v>NMKGAITLTILLGVFIFCWAPFVLHVLLMTFC</v>
      </c>
      <c r="P90" s="4" t="str">
        <f t="shared" si="36"/>
        <v>CYMSLFQVNGMLIMCNAVIDPFIYAFR</v>
      </c>
      <c r="Q90" s="4" t="str">
        <f t="shared" si="37"/>
        <v>SPELRDAFKKMIF</v>
      </c>
      <c r="R90" s="5">
        <f>VLOOKUP($A90,'SegEnds_NonXtal_Prot#'!$A:$AL,3,FALSE)</f>
        <v>21</v>
      </c>
      <c r="S90" s="5">
        <f>VLOOKUP($A90,'SegEnds_NonXtal_Prot#'!$A:$AL,6,FALSE)</f>
        <v>53</v>
      </c>
      <c r="T90" s="5">
        <f>VLOOKUP($A90,'SegEnds_NonXtal_Prot#'!$A:$AL,9,FALSE)</f>
        <v>57</v>
      </c>
      <c r="U90" s="5" t="str">
        <f>VLOOKUP($A90,'SegEnds_NonXtal_Prot#'!$A:$AL,12,FALSE)</f>
        <v>-</v>
      </c>
      <c r="V90" s="5">
        <f>VLOOKUP($A90,'SegEnds_NonXtal_Prot#'!$A:$AL,15,FALSE)</f>
        <v>96</v>
      </c>
      <c r="W90" s="5">
        <f>VLOOKUP($A90,'SegEnds_NonXtal_Prot#'!$A:$AL,18,FALSE)</f>
        <v>135</v>
      </c>
      <c r="X90" s="5">
        <f>VLOOKUP($A90,'SegEnds_NonXtal_Prot#'!$A:$AL,21,FALSE)</f>
        <v>143</v>
      </c>
      <c r="Y90" s="5" t="str">
        <f>VLOOKUP($A90,'SegEnds_NonXtal_Prot#'!$A:$AL,24,FALSE)</f>
        <v>-</v>
      </c>
      <c r="Z90" s="5">
        <f>VLOOKUP($A90,'SegEnds_NonXtal_Prot#'!$A:$AL,27,FALSE)</f>
        <v>178</v>
      </c>
      <c r="AA90" s="5">
        <f>VLOOKUP($A90,'SegEnds_NonXtal_Prot#'!$A:$AL,30,FALSE)</f>
        <v>214</v>
      </c>
      <c r="AB90" s="5">
        <f>VLOOKUP($A90,'SegEnds_NonXtal_Prot#'!$A:$AL,33,FALSE)</f>
        <v>253</v>
      </c>
      <c r="AC90" s="5">
        <f>VLOOKUP($A90,'SegEnds_NonXtal_Prot#'!$A:$AL,36,FALSE)</f>
        <v>280</v>
      </c>
      <c r="AD90" s="5">
        <f>VLOOKUP($A90,'SegEnds_NonXtal_Prot#'!$A:$AL,5,FALSE)</f>
        <v>52</v>
      </c>
      <c r="AE90" s="5">
        <f>VLOOKUP($A90,'SegEnds_NonXtal_Prot#'!$A:$AL,8,FALSE)</f>
        <v>56</v>
      </c>
      <c r="AF90" s="5">
        <f>VLOOKUP($A90,'SegEnds_NonXtal_Prot#'!$A:$AL,11,FALSE)</f>
        <v>87</v>
      </c>
      <c r="AG90" s="5" t="str">
        <f>VLOOKUP($A90,'SegEnds_NonXtal_Prot#'!$A:$AL,14,FALSE)</f>
        <v>-</v>
      </c>
      <c r="AH90" s="5">
        <f>VLOOKUP($A90,'SegEnds_NonXtal_Prot#'!$A:$AL,17,FALSE)</f>
        <v>134</v>
      </c>
      <c r="AI90" s="5">
        <f>VLOOKUP($A90,'SegEnds_NonXtal_Prot#'!$A:$AL,20,FALSE)</f>
        <v>142</v>
      </c>
      <c r="AJ90" s="5">
        <f>VLOOKUP($A90,'SegEnds_NonXtal_Prot#'!$A:$AL,23,FALSE)</f>
        <v>168</v>
      </c>
      <c r="AK90" s="5" t="str">
        <f>VLOOKUP($A90,'SegEnds_NonXtal_Prot#'!$A:$AL,26,FALSE)</f>
        <v>-</v>
      </c>
      <c r="AL90" s="5">
        <f>VLOOKUP($A90,'SegEnds_NonXtal_Prot#'!$A:$AL,29,FALSE)</f>
        <v>211</v>
      </c>
      <c r="AM90" s="5">
        <f>VLOOKUP($A90,'SegEnds_NonXtal_Prot#'!$A:$AL,32,FALSE)</f>
        <v>245</v>
      </c>
      <c r="AN90" s="5">
        <f>VLOOKUP($A90,'SegEnds_NonXtal_Prot#'!$A:$AL,35,FALSE)</f>
        <v>279</v>
      </c>
      <c r="AO90" s="5">
        <f>VLOOKUP($A90,'SegEnds_NonXtal_Prot#'!$A:$AL,38,FALSE)</f>
        <v>292</v>
      </c>
      <c r="AP90" s="5">
        <f t="shared" si="38"/>
        <v>31</v>
      </c>
      <c r="AQ90" s="4">
        <f t="shared" si="39"/>
        <v>3</v>
      </c>
      <c r="AR90" s="4">
        <f t="shared" si="40"/>
        <v>30</v>
      </c>
      <c r="AS90" s="4" t="str">
        <f t="shared" si="41"/>
        <v>-</v>
      </c>
      <c r="AT90" s="4">
        <f t="shared" si="42"/>
        <v>38</v>
      </c>
      <c r="AU90" s="4">
        <f t="shared" si="43"/>
        <v>7</v>
      </c>
      <c r="AV90" s="4">
        <f t="shared" si="44"/>
        <v>25</v>
      </c>
      <c r="AW90" s="4" t="str">
        <f t="shared" si="45"/>
        <v>-</v>
      </c>
      <c r="AX90" s="4">
        <f t="shared" si="46"/>
        <v>33</v>
      </c>
      <c r="AY90" s="4">
        <f t="shared" si="47"/>
        <v>31</v>
      </c>
      <c r="AZ90" s="4">
        <f t="shared" si="48"/>
        <v>26</v>
      </c>
      <c r="BA90" s="4">
        <f t="shared" si="49"/>
        <v>12</v>
      </c>
    </row>
    <row r="91" spans="1:53" x14ac:dyDescent="0.2">
      <c r="A91" s="1" t="str">
        <f>'SegEnds_NonXtal_Prot#'!A62</f>
        <v>ada1a_human</v>
      </c>
      <c r="B91" s="1" t="str">
        <f t="shared" si="25"/>
        <v>APVNISKAILLGVILGGLILFGVLGNILVILSVACHSVTHYYIVNLAVADLLLTSTVLPFSAIFEVLGRVFCNIWAAVDVLCCTASIMGLCIISIDRYIGVSYTQRRGLMALLCVWALSLVISIGPLFGWEPGYVLFSALGSFYLPLAIILVMYCRVYVVAKRESRGLKSGLLLKFSREKKAAKTLGIVVGCFVLCWLPFFLVMPIGSFFSETVFKIVFWLGYLNSCINPIIYPCSSQEFKKAFQNVLR</v>
      </c>
      <c r="C91" s="29" t="str">
        <f>IF(ISERROR(MATCH(A91,'SegEnds_Xtal_Prot#'!B:B, 0)), "NoXtal", "Xtal")</f>
        <v>NoXtal</v>
      </c>
      <c r="D91" s="4" t="str">
        <f>VLOOKUP(A91,Classification!A:D,2,FALSE)</f>
        <v>A</v>
      </c>
      <c r="E91" s="5" t="str">
        <f>VLOOKUP(A91,Seqs!A:B,2,FALSE)</f>
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</c>
      <c r="F91" s="5" t="str">
        <f t="shared" si="26"/>
        <v>APVNISKAILLGVILGGLILFGVLGNILVILSVACH</v>
      </c>
      <c r="G91" s="4" t="str">
        <f t="shared" si="27"/>
        <v>RHLH</v>
      </c>
      <c r="H91" s="4" t="str">
        <f t="shared" si="28"/>
        <v>SVTHYYIVNLAVADLLLTSTVLPFSAIFEVL</v>
      </c>
      <c r="I91" s="4" t="str">
        <f t="shared" si="29"/>
        <v>YWAF</v>
      </c>
      <c r="J91" s="4" t="str">
        <f t="shared" si="30"/>
        <v>GRVFCNIWAAVDVLCCTASIMGLCIISIDRYIGVSY</v>
      </c>
      <c r="K91" s="4" t="str">
        <f t="shared" si="31"/>
        <v>PLRYPTIV</v>
      </c>
      <c r="L91" s="4" t="str">
        <f t="shared" si="32"/>
        <v>TQRRGLMALLCVWALSLVISIGPLFGW</v>
      </c>
      <c r="M91" s="4" t="str">
        <f t="shared" si="33"/>
        <v>CQI</v>
      </c>
      <c r="N91" s="4" t="str">
        <f t="shared" si="34"/>
        <v>EPGYVLFSALGSFYLPLAIILVMYCRVYVVAKRESRGLKSGL</v>
      </c>
      <c r="O91" s="4" t="str">
        <f t="shared" si="35"/>
        <v>LLKFSREKKAAKTLGIVVGCFVLCWLPFFLVMPIGSFF</v>
      </c>
      <c r="P91" s="4" t="str">
        <f t="shared" si="36"/>
        <v>SETVFKIVFWLGYLNSCINPIIYPCS</v>
      </c>
      <c r="Q91" s="4" t="str">
        <f t="shared" si="37"/>
        <v>SQEFKKAFQNVLR</v>
      </c>
      <c r="R91" s="5">
        <f>VLOOKUP($A91,'SegEnds_NonXtal_Prot#'!$A:$AL,3,FALSE)</f>
        <v>19</v>
      </c>
      <c r="S91" s="5">
        <f>VLOOKUP($A91,'SegEnds_NonXtal_Prot#'!$A:$AL,6,FALSE)</f>
        <v>55</v>
      </c>
      <c r="T91" s="5">
        <f>VLOOKUP($A91,'SegEnds_NonXtal_Prot#'!$A:$AL,9,FALSE)</f>
        <v>59</v>
      </c>
      <c r="U91" s="5">
        <f>VLOOKUP($A91,'SegEnds_NonXtal_Prot#'!$A:$AL,12,FALSE)</f>
        <v>91</v>
      </c>
      <c r="V91" s="5">
        <f>VLOOKUP($A91,'SegEnds_NonXtal_Prot#'!$A:$AL,15,FALSE)</f>
        <v>95</v>
      </c>
      <c r="W91" s="5">
        <f>VLOOKUP($A91,'SegEnds_NonXtal_Prot#'!$A:$AL,18,FALSE)</f>
        <v>131</v>
      </c>
      <c r="X91" s="5">
        <f>VLOOKUP($A91,'SegEnds_NonXtal_Prot#'!$A:$AL,21,FALSE)</f>
        <v>139</v>
      </c>
      <c r="Y91" s="5">
        <f>VLOOKUP($A91,'SegEnds_NonXtal_Prot#'!$A:$AL,24,FALSE)</f>
        <v>176</v>
      </c>
      <c r="Z91" s="5">
        <f>VLOOKUP($A91,'SegEnds_NonXtal_Prot#'!$A:$AL,27,FALSE)</f>
        <v>181</v>
      </c>
      <c r="AA91" s="5">
        <f>VLOOKUP($A91,'SegEnds_NonXtal_Prot#'!$A:$AL,30,FALSE)</f>
        <v>261</v>
      </c>
      <c r="AB91" s="5">
        <f>VLOOKUP($A91,'SegEnds_NonXtal_Prot#'!$A:$AL,33,FALSE)</f>
        <v>304</v>
      </c>
      <c r="AC91" s="5">
        <f>VLOOKUP($A91,'SegEnds_NonXtal_Prot#'!$A:$AL,36,FALSE)</f>
        <v>330</v>
      </c>
      <c r="AD91" s="5">
        <f>VLOOKUP($A91,'SegEnds_NonXtal_Prot#'!$A:$AL,5,FALSE)</f>
        <v>54</v>
      </c>
      <c r="AE91" s="5">
        <f>VLOOKUP($A91,'SegEnds_NonXtal_Prot#'!$A:$AL,8,FALSE)</f>
        <v>58</v>
      </c>
      <c r="AF91" s="5">
        <f>VLOOKUP($A91,'SegEnds_NonXtal_Prot#'!$A:$AL,11,FALSE)</f>
        <v>89</v>
      </c>
      <c r="AG91" s="5">
        <f>VLOOKUP($A91,'SegEnds_NonXtal_Prot#'!$A:$AL,14,FALSE)</f>
        <v>94</v>
      </c>
      <c r="AH91" s="5">
        <f>VLOOKUP($A91,'SegEnds_NonXtal_Prot#'!$A:$AL,17,FALSE)</f>
        <v>130</v>
      </c>
      <c r="AI91" s="5">
        <f>VLOOKUP($A91,'SegEnds_NonXtal_Prot#'!$A:$AL,20,FALSE)</f>
        <v>138</v>
      </c>
      <c r="AJ91" s="5">
        <f>VLOOKUP($A91,'SegEnds_NonXtal_Prot#'!$A:$AL,23,FALSE)</f>
        <v>165</v>
      </c>
      <c r="AK91" s="5">
        <f>VLOOKUP($A91,'SegEnds_NonXtal_Prot#'!$A:$AL,26,FALSE)</f>
        <v>178</v>
      </c>
      <c r="AL91" s="5">
        <f>VLOOKUP($A91,'SegEnds_NonXtal_Prot#'!$A:$AL,29,FALSE)</f>
        <v>222</v>
      </c>
      <c r="AM91" s="5">
        <f>VLOOKUP($A91,'SegEnds_NonXtal_Prot#'!$A:$AL,32,FALSE)</f>
        <v>298</v>
      </c>
      <c r="AN91" s="5">
        <f>VLOOKUP($A91,'SegEnds_NonXtal_Prot#'!$A:$AL,35,FALSE)</f>
        <v>329</v>
      </c>
      <c r="AO91" s="5">
        <f>VLOOKUP($A91,'SegEnds_NonXtal_Prot#'!$A:$AL,38,FALSE)</f>
        <v>342</v>
      </c>
      <c r="AP91" s="5">
        <f t="shared" si="38"/>
        <v>35</v>
      </c>
      <c r="AQ91" s="4">
        <f t="shared" si="39"/>
        <v>3</v>
      </c>
      <c r="AR91" s="4">
        <f t="shared" si="40"/>
        <v>30</v>
      </c>
      <c r="AS91" s="4">
        <f t="shared" si="41"/>
        <v>3</v>
      </c>
      <c r="AT91" s="4">
        <f t="shared" si="42"/>
        <v>35</v>
      </c>
      <c r="AU91" s="4">
        <f t="shared" si="43"/>
        <v>7</v>
      </c>
      <c r="AV91" s="4">
        <f t="shared" si="44"/>
        <v>26</v>
      </c>
      <c r="AW91" s="4">
        <f t="shared" si="45"/>
        <v>2</v>
      </c>
      <c r="AX91" s="4">
        <f t="shared" si="46"/>
        <v>41</v>
      </c>
      <c r="AY91" s="4">
        <f t="shared" si="47"/>
        <v>37</v>
      </c>
      <c r="AZ91" s="4">
        <f t="shared" si="48"/>
        <v>25</v>
      </c>
      <c r="BA91" s="4">
        <f t="shared" si="49"/>
        <v>12</v>
      </c>
    </row>
    <row r="92" spans="1:53" x14ac:dyDescent="0.2">
      <c r="A92" s="1" t="str">
        <f>'SegEnds_NonXtal_Prot#'!A63</f>
        <v>ada1b_human</v>
      </c>
      <c r="B92" s="1" t="str">
        <f t="shared" si="25"/>
        <v>ITRAISVGLVLGAFILFAIVGNILVILSVACNTPTNYFIVNLAMADLLLSFTVLPFSAALEVLGGRIFCDIWAAVDVLCCTASILSLCAISIDRYIGVRYTRRKAILALLSVWVLSTVISIGPLLEPFYALFSSLGSFYIPLAVILVMYCRVYIVAKRTTKNLEALFKFSREKKAAKTLGIVVGMFILCWLPFFIALPLGSLFPDAVFKVVFWLGYFNSCLNPIIYPCSSKEFKRAFVRILG</v>
      </c>
      <c r="C92" s="29" t="str">
        <f>IF(ISERROR(MATCH(A92,'SegEnds_Xtal_Prot#'!B:B, 0)), "NoXtal", "Xtal")</f>
        <v>NoXtal</v>
      </c>
      <c r="D92" s="4" t="str">
        <f>VLOOKUP(A92,Classification!A:D,2,FALSE)</f>
        <v>A</v>
      </c>
      <c r="E92" s="5" t="str">
        <f>VLOOKUP(A92,Seqs!A:B,2,FALSE)</f>
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</c>
      <c r="F92" s="5" t="str">
        <f t="shared" si="26"/>
        <v>ITRAISVGLVLGAFILFAIVGNILVILSVACN</v>
      </c>
      <c r="G92" s="4" t="str">
        <f t="shared" si="27"/>
        <v>RHLR</v>
      </c>
      <c r="H92" s="4" t="str">
        <f t="shared" si="28"/>
        <v>TPTNYFIVNLAMADLLLSFTVLPFSAALEVLG</v>
      </c>
      <c r="I92" s="4" t="str">
        <f t="shared" si="29"/>
        <v>YWVL</v>
      </c>
      <c r="J92" s="4" t="str">
        <f t="shared" si="30"/>
        <v>GRIFCDIWAAVDVLCCTASILSLCAISIDRYIGVRY</v>
      </c>
      <c r="K92" s="4" t="str">
        <f t="shared" si="31"/>
        <v>SLQYPTLV</v>
      </c>
      <c r="L92" s="4" t="str">
        <f t="shared" si="32"/>
        <v>TRRKAILALLSVWVLSTVISIGPLL</v>
      </c>
      <c r="M92" s="4" t="str">
        <f t="shared" si="33"/>
        <v>CGV</v>
      </c>
      <c r="N92" s="4" t="str">
        <f t="shared" si="34"/>
        <v>EPFYALFSSLGSFYIPLAVILVMYCRVYIVAKRTTKNLEA</v>
      </c>
      <c r="O92" s="4" t="str">
        <f t="shared" si="35"/>
        <v>LFKFSREKKAAKTLGIVVGMFILCWLPFFIALPLGSLF</v>
      </c>
      <c r="P92" s="4" t="str">
        <f t="shared" si="36"/>
        <v>PDAVFKVVFWLGYFNSCLNPIIYPCS</v>
      </c>
      <c r="Q92" s="4" t="str">
        <f t="shared" si="37"/>
        <v>SKEFKRAFVRILG</v>
      </c>
      <c r="R92" s="5">
        <f>VLOOKUP($A92,'SegEnds_NonXtal_Prot#'!$A:$AL,3,FALSE)</f>
        <v>42</v>
      </c>
      <c r="S92" s="5">
        <f>VLOOKUP($A92,'SegEnds_NonXtal_Prot#'!$A:$AL,6,FALSE)</f>
        <v>74</v>
      </c>
      <c r="T92" s="5">
        <f>VLOOKUP($A92,'SegEnds_NonXtal_Prot#'!$A:$AL,9,FALSE)</f>
        <v>78</v>
      </c>
      <c r="U92" s="5">
        <f>VLOOKUP($A92,'SegEnds_NonXtal_Prot#'!$A:$AL,12,FALSE)</f>
        <v>110</v>
      </c>
      <c r="V92" s="5">
        <f>VLOOKUP($A92,'SegEnds_NonXtal_Prot#'!$A:$AL,15,FALSE)</f>
        <v>114</v>
      </c>
      <c r="W92" s="5">
        <f>VLOOKUP($A92,'SegEnds_NonXtal_Prot#'!$A:$AL,18,FALSE)</f>
        <v>150</v>
      </c>
      <c r="X92" s="5">
        <f>VLOOKUP($A92,'SegEnds_NonXtal_Prot#'!$A:$AL,21,FALSE)</f>
        <v>158</v>
      </c>
      <c r="Y92" s="5">
        <f>VLOOKUP($A92,'SegEnds_NonXtal_Prot#'!$A:$AL,24,FALSE)</f>
        <v>195</v>
      </c>
      <c r="Z92" s="5">
        <f>VLOOKUP($A92,'SegEnds_NonXtal_Prot#'!$A:$AL,27,FALSE)</f>
        <v>200</v>
      </c>
      <c r="AA92" s="5">
        <f>VLOOKUP($A92,'SegEnds_NonXtal_Prot#'!$A:$AL,30,FALSE)</f>
        <v>283</v>
      </c>
      <c r="AB92" s="5">
        <f>VLOOKUP($A92,'SegEnds_NonXtal_Prot#'!$A:$AL,33,FALSE)</f>
        <v>326</v>
      </c>
      <c r="AC92" s="5">
        <f>VLOOKUP($A92,'SegEnds_NonXtal_Prot#'!$A:$AL,36,FALSE)</f>
        <v>352</v>
      </c>
      <c r="AD92" s="5">
        <f>VLOOKUP($A92,'SegEnds_NonXtal_Prot#'!$A:$AL,5,FALSE)</f>
        <v>73</v>
      </c>
      <c r="AE92" s="5">
        <f>VLOOKUP($A92,'SegEnds_NonXtal_Prot#'!$A:$AL,8,FALSE)</f>
        <v>77</v>
      </c>
      <c r="AF92" s="5">
        <f>VLOOKUP($A92,'SegEnds_NonXtal_Prot#'!$A:$AL,11,FALSE)</f>
        <v>109</v>
      </c>
      <c r="AG92" s="5">
        <f>VLOOKUP($A92,'SegEnds_NonXtal_Prot#'!$A:$AL,14,FALSE)</f>
        <v>113</v>
      </c>
      <c r="AH92" s="5">
        <f>VLOOKUP($A92,'SegEnds_NonXtal_Prot#'!$A:$AL,17,FALSE)</f>
        <v>149</v>
      </c>
      <c r="AI92" s="5">
        <f>VLOOKUP($A92,'SegEnds_NonXtal_Prot#'!$A:$AL,20,FALSE)</f>
        <v>157</v>
      </c>
      <c r="AJ92" s="5">
        <f>VLOOKUP($A92,'SegEnds_NonXtal_Prot#'!$A:$AL,23,FALSE)</f>
        <v>182</v>
      </c>
      <c r="AK92" s="5">
        <f>VLOOKUP($A92,'SegEnds_NonXtal_Prot#'!$A:$AL,26,FALSE)</f>
        <v>197</v>
      </c>
      <c r="AL92" s="5">
        <f>VLOOKUP($A92,'SegEnds_NonXtal_Prot#'!$A:$AL,29,FALSE)</f>
        <v>239</v>
      </c>
      <c r="AM92" s="5">
        <f>VLOOKUP($A92,'SegEnds_NonXtal_Prot#'!$A:$AL,32,FALSE)</f>
        <v>320</v>
      </c>
      <c r="AN92" s="5">
        <f>VLOOKUP($A92,'SegEnds_NonXtal_Prot#'!$A:$AL,35,FALSE)</f>
        <v>351</v>
      </c>
      <c r="AO92" s="5">
        <f>VLOOKUP($A92,'SegEnds_NonXtal_Prot#'!$A:$AL,38,FALSE)</f>
        <v>364</v>
      </c>
      <c r="AP92" s="5">
        <f t="shared" si="38"/>
        <v>31</v>
      </c>
      <c r="AQ92" s="4">
        <f t="shared" si="39"/>
        <v>3</v>
      </c>
      <c r="AR92" s="4">
        <f t="shared" si="40"/>
        <v>31</v>
      </c>
      <c r="AS92" s="4">
        <f t="shared" si="41"/>
        <v>3</v>
      </c>
      <c r="AT92" s="4">
        <f t="shared" si="42"/>
        <v>35</v>
      </c>
      <c r="AU92" s="4">
        <f t="shared" si="43"/>
        <v>7</v>
      </c>
      <c r="AV92" s="4">
        <f t="shared" si="44"/>
        <v>24</v>
      </c>
      <c r="AW92" s="4">
        <f t="shared" si="45"/>
        <v>2</v>
      </c>
      <c r="AX92" s="4">
        <f t="shared" si="46"/>
        <v>39</v>
      </c>
      <c r="AY92" s="4">
        <f t="shared" si="47"/>
        <v>37</v>
      </c>
      <c r="AZ92" s="4">
        <f t="shared" si="48"/>
        <v>25</v>
      </c>
      <c r="BA92" s="4">
        <f t="shared" si="49"/>
        <v>12</v>
      </c>
    </row>
    <row r="93" spans="1:53" x14ac:dyDescent="0.2">
      <c r="A93" s="1" t="str">
        <f>'SegEnds_NonXtal_Prot#'!A64</f>
        <v>ada1d_human</v>
      </c>
      <c r="B93" s="1" t="str">
        <f t="shared" si="25"/>
        <v>GLVVSAQGVGVGVFLAAFILMAVAGNLLVILSVACNTVTNYFIVNLAVADLLLSATVLPFSATMEVLGRAFCDVWAAVDVLCCTASILSLCTISVDRYVGVRHTERKAAAILALLWVVALVVSVGPLLGWEAGYAVFSSVCSFYLPMAVIVVMYCRVYVVARSTTRSLEALLKFSREKKAAKTLAIVVGVFVLCWFPFFFVLPLGSLFSEGVFKVIFWLGYFNSCVNPLIYPCSSREFKRAFLRLLR</v>
      </c>
      <c r="C93" s="29" t="str">
        <f>IF(ISERROR(MATCH(A93,'SegEnds_Xtal_Prot#'!B:B, 0)), "NoXtal", "Xtal")</f>
        <v>NoXtal</v>
      </c>
      <c r="D93" s="4" t="str">
        <f>VLOOKUP(A93,Classification!A:D,2,FALSE)</f>
        <v>A</v>
      </c>
      <c r="E93" s="5" t="str">
        <f>VLOOKUP(A93,Seqs!A:B,2,FALSE)</f>
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</c>
      <c r="F93" s="5" t="str">
        <f t="shared" si="26"/>
        <v>GLVVSAQGVGVGVFLAAFILMAVAGNLLVILSVACN</v>
      </c>
      <c r="G93" s="4" t="str">
        <f t="shared" si="27"/>
        <v>RHLQ</v>
      </c>
      <c r="H93" s="4" t="str">
        <f t="shared" si="28"/>
        <v>TVTNYFIVNLAVADLLLSATVLPFSATMEVL</v>
      </c>
      <c r="I93" s="4" t="str">
        <f t="shared" si="29"/>
        <v>FWAF</v>
      </c>
      <c r="J93" s="4" t="str">
        <f t="shared" si="30"/>
        <v>GRAFCDVWAAVDVLCCTASILSLCTISVDRYVGVRH</v>
      </c>
      <c r="K93" s="4" t="str">
        <f t="shared" si="31"/>
        <v>SLKYPAIM</v>
      </c>
      <c r="L93" s="4" t="str">
        <f t="shared" si="32"/>
        <v>TERKAAAILALLWVVALVVSVGPLLGW</v>
      </c>
      <c r="M93" s="4" t="str">
        <f t="shared" si="33"/>
        <v>CGI</v>
      </c>
      <c r="N93" s="4" t="str">
        <f t="shared" si="34"/>
        <v>EAGYAVFSSVCSFYLPMAVIVVMYCRVYVVARSTTRSLEA</v>
      </c>
      <c r="O93" s="4" t="str">
        <f t="shared" si="35"/>
        <v>LLKFSREKKAAKTLAIVVGVFVLCWFPFFFVLPLGSLF</v>
      </c>
      <c r="P93" s="4" t="str">
        <f t="shared" si="36"/>
        <v>SEGVFKVIFWLGYFNSCVNPLIYPCS</v>
      </c>
      <c r="Q93" s="4" t="str">
        <f t="shared" si="37"/>
        <v>SREFKRAFLRLLR</v>
      </c>
      <c r="R93" s="5">
        <f>VLOOKUP($A93,'SegEnds_NonXtal_Prot#'!$A:$AL,3,FALSE)</f>
        <v>89</v>
      </c>
      <c r="S93" s="5">
        <f>VLOOKUP($A93,'SegEnds_NonXtal_Prot#'!$A:$AL,6,FALSE)</f>
        <v>125</v>
      </c>
      <c r="T93" s="5">
        <f>VLOOKUP($A93,'SegEnds_NonXtal_Prot#'!$A:$AL,9,FALSE)</f>
        <v>129</v>
      </c>
      <c r="U93" s="5">
        <f>VLOOKUP($A93,'SegEnds_NonXtal_Prot#'!$A:$AL,12,FALSE)</f>
        <v>161</v>
      </c>
      <c r="V93" s="5">
        <f>VLOOKUP($A93,'SegEnds_NonXtal_Prot#'!$A:$AL,15,FALSE)</f>
        <v>165</v>
      </c>
      <c r="W93" s="5">
        <f>VLOOKUP($A93,'SegEnds_NonXtal_Prot#'!$A:$AL,18,FALSE)</f>
        <v>201</v>
      </c>
      <c r="X93" s="5">
        <f>VLOOKUP($A93,'SegEnds_NonXtal_Prot#'!$A:$AL,21,FALSE)</f>
        <v>209</v>
      </c>
      <c r="Y93" s="5">
        <f>VLOOKUP($A93,'SegEnds_NonXtal_Prot#'!$A:$AL,24,FALSE)</f>
        <v>246</v>
      </c>
      <c r="Z93" s="5">
        <f>VLOOKUP($A93,'SegEnds_NonXtal_Prot#'!$A:$AL,27,FALSE)</f>
        <v>251</v>
      </c>
      <c r="AA93" s="5">
        <f>VLOOKUP($A93,'SegEnds_NonXtal_Prot#'!$A:$AL,30,FALSE)</f>
        <v>337</v>
      </c>
      <c r="AB93" s="5">
        <f>VLOOKUP($A93,'SegEnds_NonXtal_Prot#'!$A:$AL,33,FALSE)</f>
        <v>380</v>
      </c>
      <c r="AC93" s="5">
        <f>VLOOKUP($A93,'SegEnds_NonXtal_Prot#'!$A:$AL,36,FALSE)</f>
        <v>406</v>
      </c>
      <c r="AD93" s="5">
        <f>VLOOKUP($A93,'SegEnds_NonXtal_Prot#'!$A:$AL,5,FALSE)</f>
        <v>124</v>
      </c>
      <c r="AE93" s="5">
        <f>VLOOKUP($A93,'SegEnds_NonXtal_Prot#'!$A:$AL,8,FALSE)</f>
        <v>128</v>
      </c>
      <c r="AF93" s="5">
        <f>VLOOKUP($A93,'SegEnds_NonXtal_Prot#'!$A:$AL,11,FALSE)</f>
        <v>159</v>
      </c>
      <c r="AG93" s="5">
        <f>VLOOKUP($A93,'SegEnds_NonXtal_Prot#'!$A:$AL,14,FALSE)</f>
        <v>164</v>
      </c>
      <c r="AH93" s="5">
        <f>VLOOKUP($A93,'SegEnds_NonXtal_Prot#'!$A:$AL,17,FALSE)</f>
        <v>200</v>
      </c>
      <c r="AI93" s="5">
        <f>VLOOKUP($A93,'SegEnds_NonXtal_Prot#'!$A:$AL,20,FALSE)</f>
        <v>208</v>
      </c>
      <c r="AJ93" s="5">
        <f>VLOOKUP($A93,'SegEnds_NonXtal_Prot#'!$A:$AL,23,FALSE)</f>
        <v>235</v>
      </c>
      <c r="AK93" s="5">
        <f>VLOOKUP($A93,'SegEnds_NonXtal_Prot#'!$A:$AL,26,FALSE)</f>
        <v>248</v>
      </c>
      <c r="AL93" s="5">
        <f>VLOOKUP($A93,'SegEnds_NonXtal_Prot#'!$A:$AL,29,FALSE)</f>
        <v>290</v>
      </c>
      <c r="AM93" s="5">
        <f>VLOOKUP($A93,'SegEnds_NonXtal_Prot#'!$A:$AL,32,FALSE)</f>
        <v>374</v>
      </c>
      <c r="AN93" s="5">
        <f>VLOOKUP($A93,'SegEnds_NonXtal_Prot#'!$A:$AL,35,FALSE)</f>
        <v>405</v>
      </c>
      <c r="AO93" s="5">
        <f>VLOOKUP($A93,'SegEnds_NonXtal_Prot#'!$A:$AL,38,FALSE)</f>
        <v>418</v>
      </c>
      <c r="AP93" s="5">
        <f t="shared" si="38"/>
        <v>35</v>
      </c>
      <c r="AQ93" s="4">
        <f t="shared" si="39"/>
        <v>3</v>
      </c>
      <c r="AR93" s="4">
        <f t="shared" si="40"/>
        <v>30</v>
      </c>
      <c r="AS93" s="4">
        <f t="shared" si="41"/>
        <v>3</v>
      </c>
      <c r="AT93" s="4">
        <f t="shared" si="42"/>
        <v>35</v>
      </c>
      <c r="AU93" s="4">
        <f t="shared" si="43"/>
        <v>7</v>
      </c>
      <c r="AV93" s="4">
        <f t="shared" si="44"/>
        <v>26</v>
      </c>
      <c r="AW93" s="4">
        <f t="shared" si="45"/>
        <v>2</v>
      </c>
      <c r="AX93" s="4">
        <f t="shared" si="46"/>
        <v>39</v>
      </c>
      <c r="AY93" s="4">
        <f t="shared" si="47"/>
        <v>37</v>
      </c>
      <c r="AZ93" s="4">
        <f t="shared" si="48"/>
        <v>25</v>
      </c>
      <c r="BA93" s="4">
        <f t="shared" si="49"/>
        <v>12</v>
      </c>
    </row>
    <row r="94" spans="1:53" x14ac:dyDescent="0.2">
      <c r="A94" s="1" t="str">
        <f>'SegEnds_NonXtal_Prot#'!A65</f>
        <v>ada2a_human</v>
      </c>
      <c r="B94" s="1" t="str">
        <f t="shared" si="25"/>
        <v>LQVTLTLVCLAGLLMLLTVFGNVLVIIAVFTSAPQNLFLVSLASADILVATLVIPFSLANEVMGGKAWCEIYLALDVLFCTSSIVHLCAISLDRYWSITQTPRRIKAIIITVWVISAVISFPPLIQKWYVISSCIGSFFAPCLIMILVYVRIYQIAKRRTRVPPSRRGRQNREKRFTFVLAVVIGVFVVCWFPFFFTYTLTAVGRTLFKFFFWFGYCNSSLNPVIYTIFNHDFRRAFKKILC</v>
      </c>
      <c r="C94" s="29" t="str">
        <f>IF(ISERROR(MATCH(A94,'SegEnds_Xtal_Prot#'!B:B, 0)), "NoXtal", "Xtal")</f>
        <v>NoXtal</v>
      </c>
      <c r="D94" s="4" t="str">
        <f>VLOOKUP(A94,Classification!A:D,2,FALSE)</f>
        <v>A</v>
      </c>
      <c r="E94" s="5" t="str">
        <f>VLOOKUP(A94,Seqs!A:B,2,FALSE)</f>
        <v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</c>
      <c r="F94" s="5" t="str">
        <f t="shared" si="26"/>
        <v>LQVTLTLVCLAGLLMLLTVFGNVLVIIAVFTS</v>
      </c>
      <c r="G94" s="4" t="str">
        <f t="shared" si="27"/>
        <v>RALK</v>
      </c>
      <c r="H94" s="4" t="str">
        <f t="shared" si="28"/>
        <v>APQNLFLVSLASADILVATLVIPFSLANEVMG</v>
      </c>
      <c r="I94" s="4" t="str">
        <f t="shared" si="29"/>
        <v>YWYF</v>
      </c>
      <c r="J94" s="4" t="str">
        <f t="shared" si="30"/>
        <v>GKAWCEIYLALDVLFCTSSIVHLCAISLDRYWSITQ</v>
      </c>
      <c r="K94" s="4" t="str">
        <f t="shared" si="31"/>
        <v>AIEYNLKR</v>
      </c>
      <c r="L94" s="4" t="str">
        <f t="shared" si="32"/>
        <v>TPRRIKAIIITVWVISAVISFPPLI</v>
      </c>
      <c r="M94" s="4" t="str">
        <f t="shared" si="33"/>
        <v>CEI</v>
      </c>
      <c r="N94" s="4" t="str">
        <f t="shared" si="34"/>
        <v>QKWYVISSCIGSFFAPCLIMILVYVRIYQIAKRRTRVPPSR</v>
      </c>
      <c r="O94" s="4" t="str">
        <f t="shared" si="35"/>
        <v>RGRQNREKRFTFVLAVVIGVFVVCWFPFFFTYTLTAVG</v>
      </c>
      <c r="P94" s="4" t="str">
        <f t="shared" si="36"/>
        <v>RTLFKFFFWFGYCNSSLNPVIYTIF</v>
      </c>
      <c r="Q94" s="4" t="str">
        <f t="shared" si="37"/>
        <v>NHDFRRAFKKILC</v>
      </c>
      <c r="R94" s="5">
        <f>VLOOKUP($A94,'SegEnds_NonXtal_Prot#'!$A:$AL,3,FALSE)</f>
        <v>30</v>
      </c>
      <c r="S94" s="5">
        <f>VLOOKUP($A94,'SegEnds_NonXtal_Prot#'!$A:$AL,6,FALSE)</f>
        <v>62</v>
      </c>
      <c r="T94" s="5">
        <f>VLOOKUP($A94,'SegEnds_NonXtal_Prot#'!$A:$AL,9,FALSE)</f>
        <v>66</v>
      </c>
      <c r="U94" s="5">
        <f>VLOOKUP($A94,'SegEnds_NonXtal_Prot#'!$A:$AL,12,FALSE)</f>
        <v>98</v>
      </c>
      <c r="V94" s="5">
        <f>VLOOKUP($A94,'SegEnds_NonXtal_Prot#'!$A:$AL,15,FALSE)</f>
        <v>102</v>
      </c>
      <c r="W94" s="5">
        <f>VLOOKUP($A94,'SegEnds_NonXtal_Prot#'!$A:$AL,18,FALSE)</f>
        <v>138</v>
      </c>
      <c r="X94" s="5">
        <f>VLOOKUP($A94,'SegEnds_NonXtal_Prot#'!$A:$AL,21,FALSE)</f>
        <v>146</v>
      </c>
      <c r="Y94" s="5">
        <f>VLOOKUP($A94,'SegEnds_NonXtal_Prot#'!$A:$AL,24,FALSE)</f>
        <v>188</v>
      </c>
      <c r="Z94" s="5">
        <f>VLOOKUP($A94,'SegEnds_NonXtal_Prot#'!$A:$AL,27,FALSE)</f>
        <v>193</v>
      </c>
      <c r="AA94" s="5">
        <f>VLOOKUP($A94,'SegEnds_NonXtal_Prot#'!$A:$AL,30,FALSE)</f>
        <v>363</v>
      </c>
      <c r="AB94" s="5">
        <f>VLOOKUP($A94,'SegEnds_NonXtal_Prot#'!$A:$AL,33,FALSE)</f>
        <v>405</v>
      </c>
      <c r="AC94" s="5">
        <f>VLOOKUP($A94,'SegEnds_NonXtal_Prot#'!$A:$AL,36,FALSE)</f>
        <v>430</v>
      </c>
      <c r="AD94" s="5">
        <f>VLOOKUP($A94,'SegEnds_NonXtal_Prot#'!$A:$AL,5,FALSE)</f>
        <v>61</v>
      </c>
      <c r="AE94" s="5">
        <f>VLOOKUP($A94,'SegEnds_NonXtal_Prot#'!$A:$AL,8,FALSE)</f>
        <v>65</v>
      </c>
      <c r="AF94" s="5">
        <f>VLOOKUP($A94,'SegEnds_NonXtal_Prot#'!$A:$AL,11,FALSE)</f>
        <v>97</v>
      </c>
      <c r="AG94" s="5">
        <f>VLOOKUP($A94,'SegEnds_NonXtal_Prot#'!$A:$AL,14,FALSE)</f>
        <v>101</v>
      </c>
      <c r="AH94" s="5">
        <f>VLOOKUP($A94,'SegEnds_NonXtal_Prot#'!$A:$AL,17,FALSE)</f>
        <v>137</v>
      </c>
      <c r="AI94" s="5">
        <f>VLOOKUP($A94,'SegEnds_NonXtal_Prot#'!$A:$AL,20,FALSE)</f>
        <v>145</v>
      </c>
      <c r="AJ94" s="5">
        <f>VLOOKUP($A94,'SegEnds_NonXtal_Prot#'!$A:$AL,23,FALSE)</f>
        <v>170</v>
      </c>
      <c r="AK94" s="5">
        <f>VLOOKUP($A94,'SegEnds_NonXtal_Prot#'!$A:$AL,26,FALSE)</f>
        <v>190</v>
      </c>
      <c r="AL94" s="5">
        <f>VLOOKUP($A94,'SegEnds_NonXtal_Prot#'!$A:$AL,29,FALSE)</f>
        <v>233</v>
      </c>
      <c r="AM94" s="5">
        <f>VLOOKUP($A94,'SegEnds_NonXtal_Prot#'!$A:$AL,32,FALSE)</f>
        <v>400</v>
      </c>
      <c r="AN94" s="5">
        <f>VLOOKUP($A94,'SegEnds_NonXtal_Prot#'!$A:$AL,35,FALSE)</f>
        <v>429</v>
      </c>
      <c r="AO94" s="5">
        <f>VLOOKUP($A94,'SegEnds_NonXtal_Prot#'!$A:$AL,38,FALSE)</f>
        <v>442</v>
      </c>
      <c r="AP94" s="5">
        <f t="shared" si="38"/>
        <v>31</v>
      </c>
      <c r="AQ94" s="4">
        <f t="shared" si="39"/>
        <v>3</v>
      </c>
      <c r="AR94" s="4">
        <f t="shared" si="40"/>
        <v>31</v>
      </c>
      <c r="AS94" s="4">
        <f t="shared" si="41"/>
        <v>3</v>
      </c>
      <c r="AT94" s="4">
        <f t="shared" si="42"/>
        <v>35</v>
      </c>
      <c r="AU94" s="4">
        <f t="shared" si="43"/>
        <v>7</v>
      </c>
      <c r="AV94" s="4">
        <f t="shared" si="44"/>
        <v>24</v>
      </c>
      <c r="AW94" s="4">
        <f t="shared" si="45"/>
        <v>2</v>
      </c>
      <c r="AX94" s="4">
        <f t="shared" si="46"/>
        <v>40</v>
      </c>
      <c r="AY94" s="4">
        <f t="shared" si="47"/>
        <v>37</v>
      </c>
      <c r="AZ94" s="4">
        <f t="shared" si="48"/>
        <v>24</v>
      </c>
      <c r="BA94" s="4">
        <f t="shared" si="49"/>
        <v>12</v>
      </c>
    </row>
    <row r="95" spans="1:53" x14ac:dyDescent="0.2">
      <c r="A95" s="1" t="str">
        <f>'SegEnds_NonXtal_Prot#'!A66</f>
        <v>ada2b_human</v>
      </c>
      <c r="B95" s="1" t="str">
        <f t="shared" si="25"/>
        <v>VQATAAIAAAITFLILFTIFGNALVILAVLTSAPQNLFLVSLAAADILVATLIIPFSLANELLGRRTWCEVYLALDVLFCTSSIVHLCAISLDRYWAVSRTPRRIKCIILTVWLIAAVISLPPLIEAWYILASSIGSFFAPCLIMILVYLRIYLIAKRSNRRGPRARAQLTREKRFTFVLAVVIGVFVLCWFPFFFSYSLGAICPHGLFQFFFWIGYCNSSLNPVIYTIFNQDFRRAFRRILC</v>
      </c>
      <c r="C95" s="29" t="str">
        <f>IF(ISERROR(MATCH(A95,'SegEnds_Xtal_Prot#'!B:B, 0)), "NoXtal", "Xtal")</f>
        <v>NoXtal</v>
      </c>
      <c r="D95" s="4" t="str">
        <f>VLOOKUP(A95,Classification!A:D,2,FALSE)</f>
        <v>A</v>
      </c>
      <c r="E95" s="5" t="str">
        <f>VLOOKUP(A95,Seqs!A:B,2,FALSE)</f>
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v>
      </c>
      <c r="F95" s="5" t="str">
        <f t="shared" si="26"/>
        <v>VQATAAIAAAITFLILFTIFGNALVILAVLTS</v>
      </c>
      <c r="G95" s="4" t="str">
        <f t="shared" si="27"/>
        <v>RSLR</v>
      </c>
      <c r="H95" s="4" t="str">
        <f t="shared" si="28"/>
        <v>APQNLFLVSLAAADILVATLIIPFSLANELLG</v>
      </c>
      <c r="I95" s="4" t="str">
        <f t="shared" si="29"/>
        <v>YWYF</v>
      </c>
      <c r="J95" s="4" t="str">
        <f t="shared" si="30"/>
        <v>RRTWCEVYLALDVLFCTSSIVHLCAISLDRYWAVSR</v>
      </c>
      <c r="K95" s="4" t="str">
        <f t="shared" si="31"/>
        <v>ALEYNSKR</v>
      </c>
      <c r="L95" s="4" t="str">
        <f t="shared" si="32"/>
        <v>TPRRIKCIILTVWLIAAVISLPPLI</v>
      </c>
      <c r="M95" s="4" t="str">
        <f t="shared" si="33"/>
        <v>CKL</v>
      </c>
      <c r="N95" s="4" t="str">
        <f t="shared" si="34"/>
        <v>EAWYILASSIGSFFAPCLIMILVYLRIYLIAKRSNRRGPRA</v>
      </c>
      <c r="O95" s="4" t="str">
        <f t="shared" si="35"/>
        <v>RAQLTREKRFTFVLAVVIGVFVLCWFPFFFSYSLGAIC</v>
      </c>
      <c r="P95" s="4" t="str">
        <f t="shared" si="36"/>
        <v>PHGLFQFFFWIGYCNSSLNPVIYTIF</v>
      </c>
      <c r="Q95" s="4" t="str">
        <f t="shared" si="37"/>
        <v>NQDFRRAFRRILC</v>
      </c>
      <c r="R95" s="5">
        <f>VLOOKUP($A95,'SegEnds_NonXtal_Prot#'!$A:$AL,3,FALSE)</f>
        <v>9</v>
      </c>
      <c r="S95" s="5">
        <f>VLOOKUP($A95,'SegEnds_NonXtal_Prot#'!$A:$AL,6,FALSE)</f>
        <v>41</v>
      </c>
      <c r="T95" s="5">
        <f>VLOOKUP($A95,'SegEnds_NonXtal_Prot#'!$A:$AL,9,FALSE)</f>
        <v>45</v>
      </c>
      <c r="U95" s="5">
        <f>VLOOKUP($A95,'SegEnds_NonXtal_Prot#'!$A:$AL,12,FALSE)</f>
        <v>77</v>
      </c>
      <c r="V95" s="5">
        <f>VLOOKUP($A95,'SegEnds_NonXtal_Prot#'!$A:$AL,15,FALSE)</f>
        <v>81</v>
      </c>
      <c r="W95" s="5">
        <f>VLOOKUP($A95,'SegEnds_NonXtal_Prot#'!$A:$AL,18,FALSE)</f>
        <v>117</v>
      </c>
      <c r="X95" s="5">
        <f>VLOOKUP($A95,'SegEnds_NonXtal_Prot#'!$A:$AL,21,FALSE)</f>
        <v>125</v>
      </c>
      <c r="Y95" s="5">
        <f>VLOOKUP($A95,'SegEnds_NonXtal_Prot#'!$A:$AL,24,FALSE)</f>
        <v>164</v>
      </c>
      <c r="Z95" s="5">
        <f>VLOOKUP($A95,'SegEnds_NonXtal_Prot#'!$A:$AL,27,FALSE)</f>
        <v>169</v>
      </c>
      <c r="AA95" s="5">
        <f>VLOOKUP($A95,'SegEnds_NonXtal_Prot#'!$A:$AL,30,FALSE)</f>
        <v>357</v>
      </c>
      <c r="AB95" s="5">
        <f>VLOOKUP($A95,'SegEnds_NonXtal_Prot#'!$A:$AL,33,FALSE)</f>
        <v>401</v>
      </c>
      <c r="AC95" s="5">
        <f>VLOOKUP($A95,'SegEnds_NonXtal_Prot#'!$A:$AL,36,FALSE)</f>
        <v>427</v>
      </c>
      <c r="AD95" s="5">
        <f>VLOOKUP($A95,'SegEnds_NonXtal_Prot#'!$A:$AL,5,FALSE)</f>
        <v>40</v>
      </c>
      <c r="AE95" s="5">
        <f>VLOOKUP($A95,'SegEnds_NonXtal_Prot#'!$A:$AL,8,FALSE)</f>
        <v>44</v>
      </c>
      <c r="AF95" s="5">
        <f>VLOOKUP($A95,'SegEnds_NonXtal_Prot#'!$A:$AL,11,FALSE)</f>
        <v>76</v>
      </c>
      <c r="AG95" s="5">
        <f>VLOOKUP($A95,'SegEnds_NonXtal_Prot#'!$A:$AL,14,FALSE)</f>
        <v>80</v>
      </c>
      <c r="AH95" s="5">
        <f>VLOOKUP($A95,'SegEnds_NonXtal_Prot#'!$A:$AL,17,FALSE)</f>
        <v>116</v>
      </c>
      <c r="AI95" s="5">
        <f>VLOOKUP($A95,'SegEnds_NonXtal_Prot#'!$A:$AL,20,FALSE)</f>
        <v>124</v>
      </c>
      <c r="AJ95" s="5">
        <f>VLOOKUP($A95,'SegEnds_NonXtal_Prot#'!$A:$AL,23,FALSE)</f>
        <v>149</v>
      </c>
      <c r="AK95" s="5">
        <f>VLOOKUP($A95,'SegEnds_NonXtal_Prot#'!$A:$AL,26,FALSE)</f>
        <v>166</v>
      </c>
      <c r="AL95" s="5">
        <f>VLOOKUP($A95,'SegEnds_NonXtal_Prot#'!$A:$AL,29,FALSE)</f>
        <v>209</v>
      </c>
      <c r="AM95" s="5">
        <f>VLOOKUP($A95,'SegEnds_NonXtal_Prot#'!$A:$AL,32,FALSE)</f>
        <v>394</v>
      </c>
      <c r="AN95" s="5">
        <f>VLOOKUP($A95,'SegEnds_NonXtal_Prot#'!$A:$AL,35,FALSE)</f>
        <v>426</v>
      </c>
      <c r="AO95" s="5">
        <f>VLOOKUP($A95,'SegEnds_NonXtal_Prot#'!$A:$AL,38,FALSE)</f>
        <v>439</v>
      </c>
      <c r="AP95" s="5">
        <f t="shared" si="38"/>
        <v>31</v>
      </c>
      <c r="AQ95" s="4">
        <f t="shared" si="39"/>
        <v>3</v>
      </c>
      <c r="AR95" s="4">
        <f t="shared" si="40"/>
        <v>31</v>
      </c>
      <c r="AS95" s="4">
        <f t="shared" si="41"/>
        <v>3</v>
      </c>
      <c r="AT95" s="4">
        <f t="shared" si="42"/>
        <v>35</v>
      </c>
      <c r="AU95" s="4">
        <f t="shared" si="43"/>
        <v>7</v>
      </c>
      <c r="AV95" s="4">
        <f t="shared" si="44"/>
        <v>24</v>
      </c>
      <c r="AW95" s="4">
        <f t="shared" si="45"/>
        <v>2</v>
      </c>
      <c r="AX95" s="4">
        <f t="shared" si="46"/>
        <v>40</v>
      </c>
      <c r="AY95" s="4">
        <f t="shared" si="47"/>
        <v>37</v>
      </c>
      <c r="AZ95" s="4">
        <f t="shared" si="48"/>
        <v>25</v>
      </c>
      <c r="BA95" s="4">
        <f t="shared" si="49"/>
        <v>12</v>
      </c>
    </row>
    <row r="96" spans="1:53" x14ac:dyDescent="0.2">
      <c r="A96" s="1" t="str">
        <f>'SegEnds_NonXtal_Prot#'!A67</f>
        <v>ada2c_human</v>
      </c>
      <c r="B96" s="1" t="str">
        <f t="shared" si="25"/>
        <v>AGAVAGLAAVVGFLIVFTVVGNVLVVIAVLTSAPQNLFLVSLASADILVATLVMPFSLANELMAGQVWCGVYLALDVLFCTSSIVHLCAISLDRYWSVTQTPRRVKATIVAVWLISAVISFPPLVETWYILSSCIGSFFAPCLIMGLVYARIYRVAKLRTRTLSEKKVAQAREKRFTFVLAVVMGVFVLCWFPFFFSYSLYGICPGPLFKFFFWIGYCNSSLNPVIYTVFNQDFRRSFKHILF</v>
      </c>
      <c r="C96" s="29" t="str">
        <f>IF(ISERROR(MATCH(A96,'SegEnds_Xtal_Prot#'!B:B, 0)), "NoXtal", "Xtal")</f>
        <v>NoXtal</v>
      </c>
      <c r="D96" s="4" t="str">
        <f>VLOOKUP(A96,Classification!A:D,2,FALSE)</f>
        <v>A</v>
      </c>
      <c r="E96" s="5" t="str">
        <f>VLOOKUP(A96,Seqs!A:B,2,FALSE)</f>
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</c>
      <c r="F96" s="5" t="str">
        <f t="shared" si="26"/>
        <v>AGAVAGLAAVVGFLIVFTVVGNVLVVIAVLTS</v>
      </c>
      <c r="G96" s="4" t="str">
        <f t="shared" si="27"/>
        <v>RALR</v>
      </c>
      <c r="H96" s="4" t="str">
        <f t="shared" si="28"/>
        <v>APQNLFLVSLASADILVATLVMPFSLANELMA</v>
      </c>
      <c r="I96" s="4" t="str">
        <f t="shared" si="29"/>
        <v>YWYF</v>
      </c>
      <c r="J96" s="4" t="str">
        <f t="shared" si="30"/>
        <v>GQVWCGVYLALDVLFCTSSIVHLCAISLDRYWSVTQ</v>
      </c>
      <c r="K96" s="4" t="str">
        <f t="shared" si="31"/>
        <v>AVEYNLKR</v>
      </c>
      <c r="L96" s="4" t="str">
        <f t="shared" si="32"/>
        <v>TPRRVKATIVAVWLISAVISFPPLV</v>
      </c>
      <c r="M96" s="4" t="str">
        <f t="shared" si="33"/>
        <v>CGL</v>
      </c>
      <c r="N96" s="4" t="str">
        <f t="shared" si="34"/>
        <v>ETWYILSSCIGSFFAPCLIMGLVYARIYRVAKLRTRTLSEK</v>
      </c>
      <c r="O96" s="4" t="str">
        <f t="shared" si="35"/>
        <v>KVAQAREKRFTFVLAVVMGVFVLCWFPFFFSYSLYGIC</v>
      </c>
      <c r="P96" s="4" t="str">
        <f t="shared" si="36"/>
        <v>PGPLFKFFFWIGYCNSSLNPVIYTVF</v>
      </c>
      <c r="Q96" s="4" t="str">
        <f t="shared" si="37"/>
        <v>NQDFRRSFKHILF</v>
      </c>
      <c r="R96" s="5">
        <f>VLOOKUP($A96,'SegEnds_NonXtal_Prot#'!$A:$AL,3,FALSE)</f>
        <v>48</v>
      </c>
      <c r="S96" s="5">
        <f>VLOOKUP($A96,'SegEnds_NonXtal_Prot#'!$A:$AL,6,FALSE)</f>
        <v>80</v>
      </c>
      <c r="T96" s="5">
        <f>VLOOKUP($A96,'SegEnds_NonXtal_Prot#'!$A:$AL,9,FALSE)</f>
        <v>84</v>
      </c>
      <c r="U96" s="5">
        <f>VLOOKUP($A96,'SegEnds_NonXtal_Prot#'!$A:$AL,12,FALSE)</f>
        <v>116</v>
      </c>
      <c r="V96" s="5">
        <f>VLOOKUP($A96,'SegEnds_NonXtal_Prot#'!$A:$AL,15,FALSE)</f>
        <v>120</v>
      </c>
      <c r="W96" s="5">
        <f>VLOOKUP($A96,'SegEnds_NonXtal_Prot#'!$A:$AL,18,FALSE)</f>
        <v>156</v>
      </c>
      <c r="X96" s="5">
        <f>VLOOKUP($A96,'SegEnds_NonXtal_Prot#'!$A:$AL,21,FALSE)</f>
        <v>164</v>
      </c>
      <c r="Y96" s="5">
        <f>VLOOKUP($A96,'SegEnds_NonXtal_Prot#'!$A:$AL,24,FALSE)</f>
        <v>202</v>
      </c>
      <c r="Z96" s="5">
        <f>VLOOKUP($A96,'SegEnds_NonXtal_Prot#'!$A:$AL,27,FALSE)</f>
        <v>207</v>
      </c>
      <c r="AA96" s="5">
        <f>VLOOKUP($A96,'SegEnds_NonXtal_Prot#'!$A:$AL,30,FALSE)</f>
        <v>371</v>
      </c>
      <c r="AB96" s="5">
        <f>VLOOKUP($A96,'SegEnds_NonXtal_Prot#'!$A:$AL,33,FALSE)</f>
        <v>415</v>
      </c>
      <c r="AC96" s="5">
        <f>VLOOKUP($A96,'SegEnds_NonXtal_Prot#'!$A:$AL,36,FALSE)</f>
        <v>441</v>
      </c>
      <c r="AD96" s="5">
        <f>VLOOKUP($A96,'SegEnds_NonXtal_Prot#'!$A:$AL,5,FALSE)</f>
        <v>79</v>
      </c>
      <c r="AE96" s="5">
        <f>VLOOKUP($A96,'SegEnds_NonXtal_Prot#'!$A:$AL,8,FALSE)</f>
        <v>83</v>
      </c>
      <c r="AF96" s="5">
        <f>VLOOKUP($A96,'SegEnds_NonXtal_Prot#'!$A:$AL,11,FALSE)</f>
        <v>115</v>
      </c>
      <c r="AG96" s="5">
        <f>VLOOKUP($A96,'SegEnds_NonXtal_Prot#'!$A:$AL,14,FALSE)</f>
        <v>119</v>
      </c>
      <c r="AH96" s="5">
        <f>VLOOKUP($A96,'SegEnds_NonXtal_Prot#'!$A:$AL,17,FALSE)</f>
        <v>155</v>
      </c>
      <c r="AI96" s="5">
        <f>VLOOKUP($A96,'SegEnds_NonXtal_Prot#'!$A:$AL,20,FALSE)</f>
        <v>163</v>
      </c>
      <c r="AJ96" s="5">
        <f>VLOOKUP($A96,'SegEnds_NonXtal_Prot#'!$A:$AL,23,FALSE)</f>
        <v>188</v>
      </c>
      <c r="AK96" s="5">
        <f>VLOOKUP($A96,'SegEnds_NonXtal_Prot#'!$A:$AL,26,FALSE)</f>
        <v>204</v>
      </c>
      <c r="AL96" s="5">
        <f>VLOOKUP($A96,'SegEnds_NonXtal_Prot#'!$A:$AL,29,FALSE)</f>
        <v>247</v>
      </c>
      <c r="AM96" s="5">
        <f>VLOOKUP($A96,'SegEnds_NonXtal_Prot#'!$A:$AL,32,FALSE)</f>
        <v>408</v>
      </c>
      <c r="AN96" s="5">
        <f>VLOOKUP($A96,'SegEnds_NonXtal_Prot#'!$A:$AL,35,FALSE)</f>
        <v>440</v>
      </c>
      <c r="AO96" s="5">
        <f>VLOOKUP($A96,'SegEnds_NonXtal_Prot#'!$A:$AL,38,FALSE)</f>
        <v>453</v>
      </c>
      <c r="AP96" s="5">
        <f t="shared" si="38"/>
        <v>31</v>
      </c>
      <c r="AQ96" s="4">
        <f t="shared" si="39"/>
        <v>3</v>
      </c>
      <c r="AR96" s="4">
        <f t="shared" si="40"/>
        <v>31</v>
      </c>
      <c r="AS96" s="4">
        <f t="shared" si="41"/>
        <v>3</v>
      </c>
      <c r="AT96" s="4">
        <f t="shared" si="42"/>
        <v>35</v>
      </c>
      <c r="AU96" s="4">
        <f t="shared" si="43"/>
        <v>7</v>
      </c>
      <c r="AV96" s="4">
        <f t="shared" si="44"/>
        <v>24</v>
      </c>
      <c r="AW96" s="4">
        <f t="shared" si="45"/>
        <v>2</v>
      </c>
      <c r="AX96" s="4">
        <f t="shared" si="46"/>
        <v>40</v>
      </c>
      <c r="AY96" s="4">
        <f t="shared" si="47"/>
        <v>37</v>
      </c>
      <c r="AZ96" s="4">
        <f t="shared" si="48"/>
        <v>25</v>
      </c>
      <c r="BA96" s="4">
        <f t="shared" si="49"/>
        <v>12</v>
      </c>
    </row>
    <row r="97" spans="1:53" x14ac:dyDescent="0.2">
      <c r="A97" s="1" t="str">
        <f>'SegEnds_NonXtal_Prot#'!A68</f>
        <v>adrb1_human</v>
      </c>
      <c r="B97" s="1" t="str">
        <f t="shared" si="25"/>
        <v>EPLSQQWTAGMGLLMALIVLLIVAGNVLVIVAIAKTTLTNLFIMSLASADLVMGLLVVPFGATIVVWGSFFCELWTSVDVLCVTASIETLCVIALDRYLAITSTRARARGLVCTVWAISALVSFLPILMHNRAYAIASSVVSFYVPLCIMAFVYLRVFREAQKQVKKIDSRLVALREQKALKTLGIIMGVFTLCWLPFFLANVVKAFHPDRLFVFFNWLGYANSAFNPIIYCRSPDFRKAFQRLLC</v>
      </c>
      <c r="C97" s="29" t="str">
        <f>IF(ISERROR(MATCH(A97,'SegEnds_Xtal_Prot#'!B:B, 0)), "NoXtal", "Xtal")</f>
        <v>NoXtal</v>
      </c>
      <c r="D97" s="4" t="str">
        <f>VLOOKUP(A97,Classification!A:D,2,FALSE)</f>
        <v>A</v>
      </c>
      <c r="E97" s="5" t="str">
        <f>VLOOKUP(A97,Seqs!A:B,2,FALSE)</f>
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</c>
      <c r="F97" s="5" t="str">
        <f t="shared" si="26"/>
        <v>EPLSQQWTAGMGLLMALIVLLIVAGNVLVIVAIAKT</v>
      </c>
      <c r="G97" s="4" t="str">
        <f t="shared" si="27"/>
        <v>PRLQ</v>
      </c>
      <c r="H97" s="4" t="str">
        <f t="shared" si="28"/>
        <v>TLTNLFIMSLASADLVMGLLVVPFGATIVVW</v>
      </c>
      <c r="I97" s="4" t="str">
        <f t="shared" si="29"/>
        <v>RWEY</v>
      </c>
      <c r="J97" s="4" t="str">
        <f t="shared" si="30"/>
        <v>GSFFCELWTSVDVLCVTASIETLCVIALDRYLAITS</v>
      </c>
      <c r="K97" s="4" t="str">
        <f t="shared" si="31"/>
        <v>PFRYQSLL</v>
      </c>
      <c r="L97" s="4" t="str">
        <f t="shared" si="32"/>
        <v>TRARARGLVCTVWAISALVSFLPILMH</v>
      </c>
      <c r="M97" s="4" t="str">
        <f t="shared" si="33"/>
        <v>CDF</v>
      </c>
      <c r="N97" s="4" t="str">
        <f t="shared" si="34"/>
        <v>NRAYAIASSVVSFYVPLCIMAFVYLRVFREAQKQVKKIDS</v>
      </c>
      <c r="O97" s="4" t="str">
        <f t="shared" si="35"/>
        <v>RLVALREQKALKTLGIIMGVFTLCWLPFFLANVVKAFH</v>
      </c>
      <c r="P97" s="4" t="str">
        <f t="shared" si="36"/>
        <v>PDRLFVFFNWLGYANSAFNPIIYCR</v>
      </c>
      <c r="Q97" s="4" t="str">
        <f t="shared" si="37"/>
        <v>SPDFRKAFQRLLC</v>
      </c>
      <c r="R97" s="5">
        <f>VLOOKUP($A97,'SegEnds_NonXtal_Prot#'!$A:$AL,3,FALSE)</f>
        <v>51</v>
      </c>
      <c r="S97" s="5">
        <f>VLOOKUP($A97,'SegEnds_NonXtal_Prot#'!$A:$AL,6,FALSE)</f>
        <v>87</v>
      </c>
      <c r="T97" s="5">
        <f>VLOOKUP($A97,'SegEnds_NonXtal_Prot#'!$A:$AL,9,FALSE)</f>
        <v>91</v>
      </c>
      <c r="U97" s="5">
        <f>VLOOKUP($A97,'SegEnds_NonXtal_Prot#'!$A:$AL,12,FALSE)</f>
        <v>123</v>
      </c>
      <c r="V97" s="5">
        <f>VLOOKUP($A97,'SegEnds_NonXtal_Prot#'!$A:$AL,15,FALSE)</f>
        <v>127</v>
      </c>
      <c r="W97" s="5">
        <f>VLOOKUP($A97,'SegEnds_NonXtal_Prot#'!$A:$AL,18,FALSE)</f>
        <v>163</v>
      </c>
      <c r="X97" s="5">
        <f>VLOOKUP($A97,'SegEnds_NonXtal_Prot#'!$A:$AL,21,FALSE)</f>
        <v>171</v>
      </c>
      <c r="Y97" s="5">
        <f>VLOOKUP($A97,'SegEnds_NonXtal_Prot#'!$A:$AL,24,FALSE)</f>
        <v>216</v>
      </c>
      <c r="Z97" s="5">
        <f>VLOOKUP($A97,'SegEnds_NonXtal_Prot#'!$A:$AL,27,FALSE)</f>
        <v>221</v>
      </c>
      <c r="AA97" s="5">
        <f>VLOOKUP($A97,'SegEnds_NonXtal_Prot#'!$A:$AL,30,FALSE)</f>
        <v>313</v>
      </c>
      <c r="AB97" s="5">
        <f>VLOOKUP($A97,'SegEnds_NonXtal_Prot#'!$A:$AL,33,FALSE)</f>
        <v>355</v>
      </c>
      <c r="AC97" s="5">
        <f>VLOOKUP($A97,'SegEnds_NonXtal_Prot#'!$A:$AL,36,FALSE)</f>
        <v>380</v>
      </c>
      <c r="AD97" s="5">
        <f>VLOOKUP($A97,'SegEnds_NonXtal_Prot#'!$A:$AL,5,FALSE)</f>
        <v>86</v>
      </c>
      <c r="AE97" s="5">
        <f>VLOOKUP($A97,'SegEnds_NonXtal_Prot#'!$A:$AL,8,FALSE)</f>
        <v>90</v>
      </c>
      <c r="AF97" s="5">
        <f>VLOOKUP($A97,'SegEnds_NonXtal_Prot#'!$A:$AL,11,FALSE)</f>
        <v>121</v>
      </c>
      <c r="AG97" s="5">
        <f>VLOOKUP($A97,'SegEnds_NonXtal_Prot#'!$A:$AL,14,FALSE)</f>
        <v>126</v>
      </c>
      <c r="AH97" s="5">
        <f>VLOOKUP($A97,'SegEnds_NonXtal_Prot#'!$A:$AL,17,FALSE)</f>
        <v>162</v>
      </c>
      <c r="AI97" s="5">
        <f>VLOOKUP($A97,'SegEnds_NonXtal_Prot#'!$A:$AL,20,FALSE)</f>
        <v>170</v>
      </c>
      <c r="AJ97" s="5">
        <f>VLOOKUP($A97,'SegEnds_NonXtal_Prot#'!$A:$AL,23,FALSE)</f>
        <v>197</v>
      </c>
      <c r="AK97" s="5">
        <f>VLOOKUP($A97,'SegEnds_NonXtal_Prot#'!$A:$AL,26,FALSE)</f>
        <v>218</v>
      </c>
      <c r="AL97" s="5">
        <f>VLOOKUP($A97,'SegEnds_NonXtal_Prot#'!$A:$AL,29,FALSE)</f>
        <v>260</v>
      </c>
      <c r="AM97" s="5">
        <f>VLOOKUP($A97,'SegEnds_NonXtal_Prot#'!$A:$AL,32,FALSE)</f>
        <v>350</v>
      </c>
      <c r="AN97" s="5">
        <f>VLOOKUP($A97,'SegEnds_NonXtal_Prot#'!$A:$AL,35,FALSE)</f>
        <v>379</v>
      </c>
      <c r="AO97" s="5">
        <f>VLOOKUP($A97,'SegEnds_NonXtal_Prot#'!$A:$AL,38,FALSE)</f>
        <v>392</v>
      </c>
      <c r="AP97" s="5">
        <f t="shared" si="38"/>
        <v>35</v>
      </c>
      <c r="AQ97" s="4">
        <f t="shared" si="39"/>
        <v>3</v>
      </c>
      <c r="AR97" s="4">
        <f t="shared" si="40"/>
        <v>30</v>
      </c>
      <c r="AS97" s="4">
        <f t="shared" si="41"/>
        <v>3</v>
      </c>
      <c r="AT97" s="4">
        <f t="shared" si="42"/>
        <v>35</v>
      </c>
      <c r="AU97" s="4">
        <f t="shared" si="43"/>
        <v>7</v>
      </c>
      <c r="AV97" s="4">
        <f t="shared" si="44"/>
        <v>26</v>
      </c>
      <c r="AW97" s="4">
        <f t="shared" si="45"/>
        <v>2</v>
      </c>
      <c r="AX97" s="4">
        <f t="shared" si="46"/>
        <v>39</v>
      </c>
      <c r="AY97" s="4">
        <f t="shared" si="47"/>
        <v>37</v>
      </c>
      <c r="AZ97" s="4">
        <f t="shared" si="48"/>
        <v>24</v>
      </c>
      <c r="BA97" s="4">
        <f t="shared" si="49"/>
        <v>12</v>
      </c>
    </row>
    <row r="98" spans="1:53" x14ac:dyDescent="0.2">
      <c r="A98" s="1" t="str">
        <f>'SegEnds_NonXtal_Prot#'!A69</f>
        <v>adrb1_melga</v>
      </c>
      <c r="B98" s="1" t="str">
        <f t="shared" si="25"/>
        <v>AELLSQQWEAGMSLLMALVVLLIVAGNVLVIAAIGRTTLTNLFITSLACADLVMGLLVVPFGATLVVRGSFLCECWTSLDVLCVTASIETLCVIAIDRYLAITSTRARAKVIICTVWAISALVSFLPIMMHNRAYAIASSIISFYIPLLIMIFVYLRVYREAKEQIRKIDRCERKTSRVMAMREHKALKTLGIIMGVFTLCWLPFFLVNIVNVFNPDWLFVFFNWLGYANSAFNPIIYCRSPDFRKAFKRLLC</v>
      </c>
      <c r="C98" s="29" t="str">
        <f>IF(ISERROR(MATCH(A98,'SegEnds_Xtal_Prot#'!B:B, 0)), "NoXtal", "Xtal")</f>
        <v>Xtal</v>
      </c>
      <c r="D98" s="4" t="str">
        <f>VLOOKUP(A98,Classification!A:D,2,FALSE)</f>
        <v>A</v>
      </c>
      <c r="E98" s="5" t="str">
        <f>VLOOKUP(A98,Seqs!A:B,2,FALSE)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F98" s="5" t="str">
        <f t="shared" si="26"/>
        <v>AELLSQQWEAGMSLLMALVVLLIVAGNVLVIAAIGRT</v>
      </c>
      <c r="G98" s="4" t="str">
        <f t="shared" si="27"/>
        <v>QRLQ</v>
      </c>
      <c r="H98" s="4" t="str">
        <f t="shared" si="28"/>
        <v>TLTNLFITSLACADLVMGLLVVPFGATLVVR</v>
      </c>
      <c r="I98" s="4" t="str">
        <f t="shared" si="29"/>
        <v>TWLW</v>
      </c>
      <c r="J98" s="4" t="str">
        <f t="shared" si="30"/>
        <v>GSFLCECWTSLDVLCVTASIETLCVIAIDRYLAITS</v>
      </c>
      <c r="K98" s="4" t="str">
        <f t="shared" si="31"/>
        <v>PFRYQSLM</v>
      </c>
      <c r="L98" s="4" t="str">
        <f t="shared" si="32"/>
        <v>TRARAKVIICTVWAISALVSFLPIMMH</v>
      </c>
      <c r="M98" s="4" t="str">
        <f t="shared" si="33"/>
        <v>CDF</v>
      </c>
      <c r="N98" s="4" t="str">
        <f t="shared" si="34"/>
        <v>NRAYAIASSIISFYIPLLIMIFVYLRVYREAKEQIRKIDRCE</v>
      </c>
      <c r="O98" s="4" t="str">
        <f t="shared" si="35"/>
        <v>RKTSRVMAMREHKALKTLGIIMGVFTLCWLPFFLVNIVNVFN</v>
      </c>
      <c r="P98" s="4" t="str">
        <f t="shared" si="36"/>
        <v>PDWLFVFFNWLGYANSAFNPIIYCR</v>
      </c>
      <c r="Q98" s="4" t="str">
        <f t="shared" si="37"/>
        <v>SPDFRKAFKRLLC</v>
      </c>
      <c r="R98" s="5">
        <f>VLOOKUP($A98,'SegEnds_NonXtal_Prot#'!$A:$AL,3,FALSE)</f>
        <v>33</v>
      </c>
      <c r="S98" s="5">
        <f>VLOOKUP($A98,'SegEnds_NonXtal_Prot#'!$A:$AL,6,FALSE)</f>
        <v>70</v>
      </c>
      <c r="T98" s="5">
        <f>VLOOKUP($A98,'SegEnds_NonXtal_Prot#'!$A:$AL,9,FALSE)</f>
        <v>74</v>
      </c>
      <c r="U98" s="5">
        <f>VLOOKUP($A98,'SegEnds_NonXtal_Prot#'!$A:$AL,12,FALSE)</f>
        <v>106</v>
      </c>
      <c r="V98" s="5">
        <f>VLOOKUP($A98,'SegEnds_NonXtal_Prot#'!$A:$AL,15,FALSE)</f>
        <v>110</v>
      </c>
      <c r="W98" s="5">
        <f>VLOOKUP($A98,'SegEnds_NonXtal_Prot#'!$A:$AL,18,FALSE)</f>
        <v>146</v>
      </c>
      <c r="X98" s="5">
        <f>VLOOKUP($A98,'SegEnds_NonXtal_Prot#'!$A:$AL,21,FALSE)</f>
        <v>154</v>
      </c>
      <c r="Y98" s="5">
        <f>VLOOKUP($A98,'SegEnds_NonXtal_Prot#'!$A:$AL,24,FALSE)</f>
        <v>199</v>
      </c>
      <c r="Z98" s="5">
        <f>VLOOKUP($A98,'SegEnds_NonXtal_Prot#'!$A:$AL,27,FALSE)</f>
        <v>204</v>
      </c>
      <c r="AA98" s="5">
        <f>VLOOKUP($A98,'SegEnds_NonXtal_Prot#'!$A:$AL,30,FALSE)</f>
        <v>275</v>
      </c>
      <c r="AB98" s="5">
        <f>VLOOKUP($A98,'SegEnds_NonXtal_Prot#'!$A:$AL,33,FALSE)</f>
        <v>321</v>
      </c>
      <c r="AC98" s="5">
        <f>VLOOKUP($A98,'SegEnds_NonXtal_Prot#'!$A:$AL,36,FALSE)</f>
        <v>346</v>
      </c>
      <c r="AD98" s="5">
        <f>VLOOKUP($A98,'SegEnds_NonXtal_Prot#'!$A:$AL,5,FALSE)</f>
        <v>69</v>
      </c>
      <c r="AE98" s="5">
        <f>VLOOKUP($A98,'SegEnds_NonXtal_Prot#'!$A:$AL,8,FALSE)</f>
        <v>73</v>
      </c>
      <c r="AF98" s="5">
        <f>VLOOKUP($A98,'SegEnds_NonXtal_Prot#'!$A:$AL,11,FALSE)</f>
        <v>104</v>
      </c>
      <c r="AG98" s="5">
        <f>VLOOKUP($A98,'SegEnds_NonXtal_Prot#'!$A:$AL,14,FALSE)</f>
        <v>109</v>
      </c>
      <c r="AH98" s="5">
        <f>VLOOKUP($A98,'SegEnds_NonXtal_Prot#'!$A:$AL,17,FALSE)</f>
        <v>145</v>
      </c>
      <c r="AI98" s="5">
        <f>VLOOKUP($A98,'SegEnds_NonXtal_Prot#'!$A:$AL,20,FALSE)</f>
        <v>153</v>
      </c>
      <c r="AJ98" s="5">
        <f>VLOOKUP($A98,'SegEnds_NonXtal_Prot#'!$A:$AL,23,FALSE)</f>
        <v>180</v>
      </c>
      <c r="AK98" s="5">
        <f>VLOOKUP($A98,'SegEnds_NonXtal_Prot#'!$A:$AL,26,FALSE)</f>
        <v>201</v>
      </c>
      <c r="AL98" s="5">
        <f>VLOOKUP($A98,'SegEnds_NonXtal_Prot#'!$A:$AL,29,FALSE)</f>
        <v>245</v>
      </c>
      <c r="AM98" s="5">
        <f>VLOOKUP($A98,'SegEnds_NonXtal_Prot#'!$A:$AL,32,FALSE)</f>
        <v>316</v>
      </c>
      <c r="AN98" s="5">
        <f>VLOOKUP($A98,'SegEnds_NonXtal_Prot#'!$A:$AL,35,FALSE)</f>
        <v>345</v>
      </c>
      <c r="AO98" s="5">
        <f>VLOOKUP($A98,'SegEnds_NonXtal_Prot#'!$A:$AL,38,FALSE)</f>
        <v>358</v>
      </c>
      <c r="AP98" s="5">
        <f t="shared" si="38"/>
        <v>36</v>
      </c>
      <c r="AQ98" s="4">
        <f t="shared" si="39"/>
        <v>3</v>
      </c>
      <c r="AR98" s="4">
        <f t="shared" si="40"/>
        <v>30</v>
      </c>
      <c r="AS98" s="4">
        <f t="shared" si="41"/>
        <v>3</v>
      </c>
      <c r="AT98" s="4">
        <f t="shared" si="42"/>
        <v>35</v>
      </c>
      <c r="AU98" s="4">
        <f t="shared" si="43"/>
        <v>7</v>
      </c>
      <c r="AV98" s="4">
        <f t="shared" si="44"/>
        <v>26</v>
      </c>
      <c r="AW98" s="4">
        <f t="shared" si="45"/>
        <v>2</v>
      </c>
      <c r="AX98" s="4">
        <f t="shared" si="46"/>
        <v>41</v>
      </c>
      <c r="AY98" s="4">
        <f t="shared" si="47"/>
        <v>41</v>
      </c>
      <c r="AZ98" s="4">
        <f t="shared" si="48"/>
        <v>24</v>
      </c>
      <c r="BA98" s="4">
        <f t="shared" si="49"/>
        <v>12</v>
      </c>
    </row>
    <row r="99" spans="1:53" x14ac:dyDescent="0.2">
      <c r="A99" s="1" t="str">
        <f>'SegEnds_NonXtal_Prot#'!A70</f>
        <v>adrb2_human</v>
      </c>
      <c r="B99" s="1" t="str">
        <f t="shared" si="25"/>
        <v>QERDEVWVVGMGIVMSLIVLAIVFGNVLVITAIAKFTVTNYFITSLACADLVMGLAVVPFGAAHILMGNFWCEFWTSIDVLCVTASIETLCVIAVDRYFAITSTKNKARVIILMVWIVSGLTSFLPIQMHNQAYAIASSIVSFYVPLVIMVFVYSRVFQEAKRQLQKIDKSESKFCLKEHKALKTLGIIMGTFTLCWLPFFIVNIVHVIQRKEVYILLNWIGYVNSGFNPLIYCRSPDFRIAFQELLC</v>
      </c>
      <c r="C99" s="29" t="str">
        <f>IF(ISERROR(MATCH(A99,'SegEnds_Xtal_Prot#'!B:B, 0)), "NoXtal", "Xtal")</f>
        <v>Xtal</v>
      </c>
      <c r="D99" s="4" t="str">
        <f>VLOOKUP(A99,Classification!A:D,2,FALSE)</f>
        <v>A</v>
      </c>
      <c r="E99" s="5" t="str">
        <f>VLOOKUP(A99,Seqs!A:B,2,FALSE)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F99" s="5" t="str">
        <f t="shared" si="26"/>
        <v>QERDEVWVVGMGIVMSLIVLAIVFGNVLVITAIAKF</v>
      </c>
      <c r="G99" s="4" t="str">
        <f t="shared" si="27"/>
        <v>ERLQ</v>
      </c>
      <c r="H99" s="4" t="str">
        <f t="shared" si="28"/>
        <v>TVTNYFITSLACADLVMGLAVVPFGAAHILM</v>
      </c>
      <c r="I99" s="4" t="str">
        <f t="shared" si="29"/>
        <v>MWTF</v>
      </c>
      <c r="J99" s="4" t="str">
        <f t="shared" si="30"/>
        <v>GNFWCEFWTSIDVLCVTASIETLCVIAVDRYFAITS</v>
      </c>
      <c r="K99" s="4" t="str">
        <f t="shared" si="31"/>
        <v>PFKYQSLL</v>
      </c>
      <c r="L99" s="4" t="str">
        <f t="shared" si="32"/>
        <v>TKNKARVIILMVWIVSGLTSFLPIQMH</v>
      </c>
      <c r="M99" s="4" t="str">
        <f t="shared" si="33"/>
        <v>CDF</v>
      </c>
      <c r="N99" s="4" t="str">
        <f t="shared" si="34"/>
        <v>NQAYAIASSIVSFYVPLVIMVFVYSRVFQEAKRQLQKIDKSE</v>
      </c>
      <c r="O99" s="4" t="str">
        <f t="shared" si="35"/>
        <v>SKFCLKEHKALKTLGIIMGTFTLCWLPFFIVNIVHVIQ</v>
      </c>
      <c r="P99" s="4" t="str">
        <f t="shared" si="36"/>
        <v>RKEVYILLNWIGYVNSGFNPLIYCR</v>
      </c>
      <c r="Q99" s="4" t="str">
        <f t="shared" si="37"/>
        <v>SPDFRIAFQELLC</v>
      </c>
      <c r="R99" s="5">
        <f>VLOOKUP($A99,'SegEnds_NonXtal_Prot#'!$A:$AL,3,FALSE)</f>
        <v>26</v>
      </c>
      <c r="S99" s="5">
        <f>VLOOKUP($A99,'SegEnds_NonXtal_Prot#'!$A:$AL,6,FALSE)</f>
        <v>62</v>
      </c>
      <c r="T99" s="5">
        <f>VLOOKUP($A99,'SegEnds_NonXtal_Prot#'!$A:$AL,9,FALSE)</f>
        <v>66</v>
      </c>
      <c r="U99" s="5">
        <f>VLOOKUP($A99,'SegEnds_NonXtal_Prot#'!$A:$AL,12,FALSE)</f>
        <v>98</v>
      </c>
      <c r="V99" s="5">
        <f>VLOOKUP($A99,'SegEnds_NonXtal_Prot#'!$A:$AL,15,FALSE)</f>
        <v>102</v>
      </c>
      <c r="W99" s="5">
        <f>VLOOKUP($A99,'SegEnds_NonXtal_Prot#'!$A:$AL,18,FALSE)</f>
        <v>138</v>
      </c>
      <c r="X99" s="5">
        <f>VLOOKUP($A99,'SegEnds_NonXtal_Prot#'!$A:$AL,21,FALSE)</f>
        <v>146</v>
      </c>
      <c r="Y99" s="5">
        <f>VLOOKUP($A99,'SegEnds_NonXtal_Prot#'!$A:$AL,24,FALSE)</f>
        <v>191</v>
      </c>
      <c r="Z99" s="5">
        <f>VLOOKUP($A99,'SegEnds_NonXtal_Prot#'!$A:$AL,27,FALSE)</f>
        <v>196</v>
      </c>
      <c r="AA99" s="5">
        <f>VLOOKUP($A99,'SegEnds_NonXtal_Prot#'!$A:$AL,30,FALSE)</f>
        <v>262</v>
      </c>
      <c r="AB99" s="5">
        <f>VLOOKUP($A99,'SegEnds_NonXtal_Prot#'!$A:$AL,33,FALSE)</f>
        <v>304</v>
      </c>
      <c r="AC99" s="5">
        <f>VLOOKUP($A99,'SegEnds_NonXtal_Prot#'!$A:$AL,36,FALSE)</f>
        <v>329</v>
      </c>
      <c r="AD99" s="5">
        <f>VLOOKUP($A99,'SegEnds_NonXtal_Prot#'!$A:$AL,5,FALSE)</f>
        <v>61</v>
      </c>
      <c r="AE99" s="5">
        <f>VLOOKUP($A99,'SegEnds_NonXtal_Prot#'!$A:$AL,8,FALSE)</f>
        <v>65</v>
      </c>
      <c r="AF99" s="5">
        <f>VLOOKUP($A99,'SegEnds_NonXtal_Prot#'!$A:$AL,11,FALSE)</f>
        <v>96</v>
      </c>
      <c r="AG99" s="5">
        <f>VLOOKUP($A99,'SegEnds_NonXtal_Prot#'!$A:$AL,14,FALSE)</f>
        <v>101</v>
      </c>
      <c r="AH99" s="5">
        <f>VLOOKUP($A99,'SegEnds_NonXtal_Prot#'!$A:$AL,17,FALSE)</f>
        <v>137</v>
      </c>
      <c r="AI99" s="5">
        <f>VLOOKUP($A99,'SegEnds_NonXtal_Prot#'!$A:$AL,20,FALSE)</f>
        <v>145</v>
      </c>
      <c r="AJ99" s="5">
        <f>VLOOKUP($A99,'SegEnds_NonXtal_Prot#'!$A:$AL,23,FALSE)</f>
        <v>172</v>
      </c>
      <c r="AK99" s="5">
        <f>VLOOKUP($A99,'SegEnds_NonXtal_Prot#'!$A:$AL,26,FALSE)</f>
        <v>193</v>
      </c>
      <c r="AL99" s="5">
        <f>VLOOKUP($A99,'SegEnds_NonXtal_Prot#'!$A:$AL,29,FALSE)</f>
        <v>237</v>
      </c>
      <c r="AM99" s="5">
        <f>VLOOKUP($A99,'SegEnds_NonXtal_Prot#'!$A:$AL,32,FALSE)</f>
        <v>299</v>
      </c>
      <c r="AN99" s="5">
        <f>VLOOKUP($A99,'SegEnds_NonXtal_Prot#'!$A:$AL,35,FALSE)</f>
        <v>328</v>
      </c>
      <c r="AO99" s="5">
        <f>VLOOKUP($A99,'SegEnds_NonXtal_Prot#'!$A:$AL,38,FALSE)</f>
        <v>341</v>
      </c>
      <c r="AP99" s="5">
        <f t="shared" si="38"/>
        <v>35</v>
      </c>
      <c r="AQ99" s="4">
        <f t="shared" si="39"/>
        <v>3</v>
      </c>
      <c r="AR99" s="4">
        <f t="shared" si="40"/>
        <v>30</v>
      </c>
      <c r="AS99" s="4">
        <f t="shared" si="41"/>
        <v>3</v>
      </c>
      <c r="AT99" s="4">
        <f t="shared" si="42"/>
        <v>35</v>
      </c>
      <c r="AU99" s="4">
        <f t="shared" si="43"/>
        <v>7</v>
      </c>
      <c r="AV99" s="4">
        <f t="shared" si="44"/>
        <v>26</v>
      </c>
      <c r="AW99" s="4">
        <f t="shared" si="45"/>
        <v>2</v>
      </c>
      <c r="AX99" s="4">
        <f t="shared" si="46"/>
        <v>41</v>
      </c>
      <c r="AY99" s="4">
        <f t="shared" si="47"/>
        <v>37</v>
      </c>
      <c r="AZ99" s="4">
        <f t="shared" si="48"/>
        <v>24</v>
      </c>
      <c r="BA99" s="4">
        <f t="shared" si="49"/>
        <v>12</v>
      </c>
    </row>
    <row r="100" spans="1:53" x14ac:dyDescent="0.2">
      <c r="A100" s="1" t="str">
        <f>'SegEnds_NonXtal_Prot#'!A71</f>
        <v>adrb3_human</v>
      </c>
      <c r="B100" s="1" t="str">
        <f t="shared" si="25"/>
        <v>LPGVPWEAALAGALLALAVLATVGGNLLVIVAIAWTTMTNVFVTSLAAADLVMGLLVVPPAATLALTGATGCELWTSVDVLCVTASIETLCALAVDRYLAVTNTKRCARTAVVLVWVVSAAVSFAPIMSQNMPYVLLSSSVSFYLPLLVMLFVYARVFVVATRQLRLLRGELRLLPLREHRALCTLGLIMGTFTLCWLPFFLANVLRALGPGPAFLALNWLGYANSAFNPLIYCRSPDFRSAFRRLLC</v>
      </c>
      <c r="C100" s="29" t="str">
        <f>IF(ISERROR(MATCH(A100,'SegEnds_Xtal_Prot#'!B:B, 0)), "NoXtal", "Xtal")</f>
        <v>NoXtal</v>
      </c>
      <c r="D100" s="4" t="str">
        <f>VLOOKUP(A100,Classification!A:D,2,FALSE)</f>
        <v>A</v>
      </c>
      <c r="E100" s="5" t="str">
        <f>VLOOKUP(A100,Seqs!A:B,2,FALSE)</f>
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</c>
      <c r="F100" s="5" t="str">
        <f t="shared" si="26"/>
        <v>LPGVPWEAALAGALLALAVLATVGGNLLVIVAIAWT</v>
      </c>
      <c r="G100" s="4" t="str">
        <f t="shared" si="27"/>
        <v>PRLQ</v>
      </c>
      <c r="H100" s="4" t="str">
        <f t="shared" si="28"/>
        <v>TMTNVFVTSLAAADLVMGLLVVPPAATLALT</v>
      </c>
      <c r="I100" s="4" t="str">
        <f t="shared" si="29"/>
        <v>HWPL</v>
      </c>
      <c r="J100" s="4" t="str">
        <f t="shared" si="30"/>
        <v>GATGCELWTSVDVLCVTASIETLCALAVDRYLAVTN</v>
      </c>
      <c r="K100" s="4" t="str">
        <f t="shared" si="31"/>
        <v>PLRYGALV</v>
      </c>
      <c r="L100" s="4" t="str">
        <f t="shared" si="32"/>
        <v>TKRCARTAVVLVWVVSAAVSFAPIMSQ</v>
      </c>
      <c r="M100" s="4" t="str">
        <f t="shared" si="33"/>
        <v>CAF</v>
      </c>
      <c r="N100" s="4" t="str">
        <f t="shared" si="34"/>
        <v>NMPYVLLSSSVSFYLPLLVMLFVYARVFVVATRQLRLLRGEL</v>
      </c>
      <c r="O100" s="4" t="str">
        <f t="shared" si="35"/>
        <v>RLLPLREHRALCTLGLIMGTFTLCWLPFFLANVLRALG</v>
      </c>
      <c r="P100" s="4" t="str">
        <f t="shared" si="36"/>
        <v>PGPAFLALNWLGYANSAFNPLIYCR</v>
      </c>
      <c r="Q100" s="4" t="str">
        <f t="shared" si="37"/>
        <v>SPDFRSAFRRLLC</v>
      </c>
      <c r="R100" s="5">
        <f>VLOOKUP($A100,'SegEnds_NonXtal_Prot#'!$A:$AL,3,FALSE)</f>
        <v>30</v>
      </c>
      <c r="S100" s="5">
        <f>VLOOKUP($A100,'SegEnds_NonXtal_Prot#'!$A:$AL,6,FALSE)</f>
        <v>66</v>
      </c>
      <c r="T100" s="5">
        <f>VLOOKUP($A100,'SegEnds_NonXtal_Prot#'!$A:$AL,9,FALSE)</f>
        <v>70</v>
      </c>
      <c r="U100" s="5">
        <f>VLOOKUP($A100,'SegEnds_NonXtal_Prot#'!$A:$AL,12,FALSE)</f>
        <v>102</v>
      </c>
      <c r="V100" s="5">
        <f>VLOOKUP($A100,'SegEnds_NonXtal_Prot#'!$A:$AL,15,FALSE)</f>
        <v>106</v>
      </c>
      <c r="W100" s="5">
        <f>VLOOKUP($A100,'SegEnds_NonXtal_Prot#'!$A:$AL,18,FALSE)</f>
        <v>142</v>
      </c>
      <c r="X100" s="5">
        <f>VLOOKUP($A100,'SegEnds_NonXtal_Prot#'!$A:$AL,21,FALSE)</f>
        <v>150</v>
      </c>
      <c r="Y100" s="5">
        <f>VLOOKUP($A100,'SegEnds_NonXtal_Prot#'!$A:$AL,24,FALSE)</f>
        <v>196</v>
      </c>
      <c r="Z100" s="5">
        <f>VLOOKUP($A100,'SegEnds_NonXtal_Prot#'!$A:$AL,27,FALSE)</f>
        <v>201</v>
      </c>
      <c r="AA100" s="5">
        <f>VLOOKUP($A100,'SegEnds_NonXtal_Prot#'!$A:$AL,30,FALSE)</f>
        <v>281</v>
      </c>
      <c r="AB100" s="5">
        <f>VLOOKUP($A100,'SegEnds_NonXtal_Prot#'!$A:$AL,33,FALSE)</f>
        <v>324</v>
      </c>
      <c r="AC100" s="5">
        <f>VLOOKUP($A100,'SegEnds_NonXtal_Prot#'!$A:$AL,36,FALSE)</f>
        <v>349</v>
      </c>
      <c r="AD100" s="5">
        <f>VLOOKUP($A100,'SegEnds_NonXtal_Prot#'!$A:$AL,5,FALSE)</f>
        <v>65</v>
      </c>
      <c r="AE100" s="5">
        <f>VLOOKUP($A100,'SegEnds_NonXtal_Prot#'!$A:$AL,8,FALSE)</f>
        <v>69</v>
      </c>
      <c r="AF100" s="5">
        <f>VLOOKUP($A100,'SegEnds_NonXtal_Prot#'!$A:$AL,11,FALSE)</f>
        <v>100</v>
      </c>
      <c r="AG100" s="5">
        <f>VLOOKUP($A100,'SegEnds_NonXtal_Prot#'!$A:$AL,14,FALSE)</f>
        <v>105</v>
      </c>
      <c r="AH100" s="5">
        <f>VLOOKUP($A100,'SegEnds_NonXtal_Prot#'!$A:$AL,17,FALSE)</f>
        <v>141</v>
      </c>
      <c r="AI100" s="5">
        <f>VLOOKUP($A100,'SegEnds_NonXtal_Prot#'!$A:$AL,20,FALSE)</f>
        <v>149</v>
      </c>
      <c r="AJ100" s="5">
        <f>VLOOKUP($A100,'SegEnds_NonXtal_Prot#'!$A:$AL,23,FALSE)</f>
        <v>176</v>
      </c>
      <c r="AK100" s="5">
        <f>VLOOKUP($A100,'SegEnds_NonXtal_Prot#'!$A:$AL,26,FALSE)</f>
        <v>198</v>
      </c>
      <c r="AL100" s="5">
        <f>VLOOKUP($A100,'SegEnds_NonXtal_Prot#'!$A:$AL,29,FALSE)</f>
        <v>242</v>
      </c>
      <c r="AM100" s="5">
        <f>VLOOKUP($A100,'SegEnds_NonXtal_Prot#'!$A:$AL,32,FALSE)</f>
        <v>318</v>
      </c>
      <c r="AN100" s="5">
        <f>VLOOKUP($A100,'SegEnds_NonXtal_Prot#'!$A:$AL,35,FALSE)</f>
        <v>348</v>
      </c>
      <c r="AO100" s="5">
        <f>VLOOKUP($A100,'SegEnds_NonXtal_Prot#'!$A:$AL,38,FALSE)</f>
        <v>361</v>
      </c>
      <c r="AP100" s="5">
        <f t="shared" si="38"/>
        <v>35</v>
      </c>
      <c r="AQ100" s="4">
        <f t="shared" si="39"/>
        <v>3</v>
      </c>
      <c r="AR100" s="4">
        <f t="shared" si="40"/>
        <v>30</v>
      </c>
      <c r="AS100" s="4">
        <f t="shared" si="41"/>
        <v>3</v>
      </c>
      <c r="AT100" s="4">
        <f t="shared" si="42"/>
        <v>35</v>
      </c>
      <c r="AU100" s="4">
        <f t="shared" si="43"/>
        <v>7</v>
      </c>
      <c r="AV100" s="4">
        <f t="shared" si="44"/>
        <v>26</v>
      </c>
      <c r="AW100" s="4">
        <f t="shared" si="45"/>
        <v>2</v>
      </c>
      <c r="AX100" s="4">
        <f t="shared" si="46"/>
        <v>41</v>
      </c>
      <c r="AY100" s="4">
        <f t="shared" si="47"/>
        <v>37</v>
      </c>
      <c r="AZ100" s="4">
        <f t="shared" si="48"/>
        <v>24</v>
      </c>
      <c r="BA100" s="4">
        <f t="shared" si="49"/>
        <v>12</v>
      </c>
    </row>
    <row r="101" spans="1:53" x14ac:dyDescent="0.2">
      <c r="A101" s="1" t="str">
        <f>'SegEnds_NonXtal_Prot#'!A72</f>
        <v>agtr1_human</v>
      </c>
      <c r="B101" s="1" t="str">
        <f t="shared" si="25"/>
        <v>HNYIFVMIPTLYSIIFVVGIFGNSLVVIVIYFYTVASVFLLNLALADLCFLLTLPLWAVYTAMEGNYLCKIASASVSFNLYASVFLLTCLSIDRYLAIVHTMLVAKVTCIIIWLLAGLASLPAIIHRLPIGLGLTKNILGFLFPFLIILTSYTLIWKALKKAQKNKPRNDDIFKIIMAIVLFFFFSWIPHQIFTFLDVLIQLGDCRIADIVDTAMPITICIAYFNNCLNPLFYGFLGKKFKRYFLQLLKYI</v>
      </c>
      <c r="C101" s="29" t="str">
        <f>IF(ISERROR(MATCH(A101,'SegEnds_Xtal_Prot#'!B:B, 0)), "NoXtal", "Xtal")</f>
        <v>Xtal</v>
      </c>
      <c r="D101" s="4" t="str">
        <f>VLOOKUP(A101,Classification!A:D,2,FALSE)</f>
        <v>A</v>
      </c>
      <c r="E101" s="5" t="str">
        <f>VLOOKUP(A101,Seqs!A:B,2,FALSE)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F101" s="5" t="str">
        <f t="shared" si="26"/>
        <v>HNYIFVMIPTLYSIIFVVGIFGNSLVVIVIYFY</v>
      </c>
      <c r="G101" s="4" t="str">
        <f t="shared" si="27"/>
        <v>MKLK</v>
      </c>
      <c r="H101" s="4" t="str">
        <f t="shared" si="28"/>
        <v>TVASVFLLNLALADLCFLLTLPLWAVYTAME</v>
      </c>
      <c r="I101" s="4" t="str">
        <f t="shared" si="29"/>
        <v>RWPF</v>
      </c>
      <c r="J101" s="4" t="str">
        <f t="shared" si="30"/>
        <v>GNYLCKIASASVSFNLYASVFLLTCLSIDRYLAIVH</v>
      </c>
      <c r="K101" s="4" t="str">
        <f t="shared" si="31"/>
        <v>PMKSRLRR</v>
      </c>
      <c r="L101" s="4" t="str">
        <f t="shared" si="32"/>
        <v>TMLVAKVTCIIIWLLAGLASLPAIIHR</v>
      </c>
      <c r="M101" s="4" t="str">
        <f t="shared" si="33"/>
        <v>CAF</v>
      </c>
      <c r="N101" s="4" t="str">
        <f t="shared" si="34"/>
        <v>LPIGLGLTKNILGFLFPFLIILTSYTLIWKALKKA</v>
      </c>
      <c r="O101" s="4" t="str">
        <f t="shared" si="35"/>
        <v>QKNKPRNDDIFKIIMAIVLFFFFSWIPHQIFTFLDVLIQLG</v>
      </c>
      <c r="P101" s="4" t="str">
        <f t="shared" si="36"/>
        <v>DCRIADIVDTAMPITICIAYFNNCLNPLFYGFL</v>
      </c>
      <c r="Q101" s="4" t="str">
        <f t="shared" si="37"/>
        <v>GKKFKRYFLQLLKYI</v>
      </c>
      <c r="R101" s="5">
        <f>VLOOKUP($A101,'SegEnds_NonXtal_Prot#'!$A:$AL,3,FALSE)</f>
        <v>24</v>
      </c>
      <c r="S101" s="5">
        <f>VLOOKUP($A101,'SegEnds_NonXtal_Prot#'!$A:$AL,6,FALSE)</f>
        <v>57</v>
      </c>
      <c r="T101" s="5">
        <f>VLOOKUP($A101,'SegEnds_NonXtal_Prot#'!$A:$AL,9,FALSE)</f>
        <v>61</v>
      </c>
      <c r="U101" s="5">
        <f>VLOOKUP($A101,'SegEnds_NonXtal_Prot#'!$A:$AL,12,FALSE)</f>
        <v>93</v>
      </c>
      <c r="V101" s="5">
        <f>VLOOKUP($A101,'SegEnds_NonXtal_Prot#'!$A:$AL,15,FALSE)</f>
        <v>97</v>
      </c>
      <c r="W101" s="5">
        <f>VLOOKUP($A101,'SegEnds_NonXtal_Prot#'!$A:$AL,18,FALSE)</f>
        <v>133</v>
      </c>
      <c r="X101" s="5">
        <f>VLOOKUP($A101,'SegEnds_NonXtal_Prot#'!$A:$AL,21,FALSE)</f>
        <v>141</v>
      </c>
      <c r="Y101" s="5">
        <f>VLOOKUP($A101,'SegEnds_NonXtal_Prot#'!$A:$AL,24,FALSE)</f>
        <v>180</v>
      </c>
      <c r="Z101" s="5">
        <f>VLOOKUP($A101,'SegEnds_NonXtal_Prot#'!$A:$AL,27,FALSE)</f>
        <v>191</v>
      </c>
      <c r="AA101" s="5">
        <f>VLOOKUP($A101,'SegEnds_NonXtal_Prot#'!$A:$AL,30,FALSE)</f>
        <v>229</v>
      </c>
      <c r="AB101" s="5">
        <f>VLOOKUP($A101,'SegEnds_NonXtal_Prot#'!$A:$AL,33,FALSE)</f>
        <v>273</v>
      </c>
      <c r="AC101" s="5">
        <f>VLOOKUP($A101,'SegEnds_NonXtal_Prot#'!$A:$AL,36,FALSE)</f>
        <v>306</v>
      </c>
      <c r="AD101" s="5">
        <f>VLOOKUP($A101,'SegEnds_NonXtal_Prot#'!$A:$AL,5,FALSE)</f>
        <v>56</v>
      </c>
      <c r="AE101" s="5">
        <f>VLOOKUP($A101,'SegEnds_NonXtal_Prot#'!$A:$AL,8,FALSE)</f>
        <v>60</v>
      </c>
      <c r="AF101" s="5">
        <f>VLOOKUP($A101,'SegEnds_NonXtal_Prot#'!$A:$AL,11,FALSE)</f>
        <v>91</v>
      </c>
      <c r="AG101" s="5">
        <f>VLOOKUP($A101,'SegEnds_NonXtal_Prot#'!$A:$AL,14,FALSE)</f>
        <v>96</v>
      </c>
      <c r="AH101" s="5">
        <f>VLOOKUP($A101,'SegEnds_NonXtal_Prot#'!$A:$AL,17,FALSE)</f>
        <v>132</v>
      </c>
      <c r="AI101" s="5">
        <f>VLOOKUP($A101,'SegEnds_NonXtal_Prot#'!$A:$AL,20,FALSE)</f>
        <v>140</v>
      </c>
      <c r="AJ101" s="5">
        <f>VLOOKUP($A101,'SegEnds_NonXtal_Prot#'!$A:$AL,23,FALSE)</f>
        <v>167</v>
      </c>
      <c r="AK101" s="5">
        <f>VLOOKUP($A101,'SegEnds_NonXtal_Prot#'!$A:$AL,26,FALSE)</f>
        <v>182</v>
      </c>
      <c r="AL101" s="5">
        <f>VLOOKUP($A101,'SegEnds_NonXtal_Prot#'!$A:$AL,29,FALSE)</f>
        <v>225</v>
      </c>
      <c r="AM101" s="5">
        <f>VLOOKUP($A101,'SegEnds_NonXtal_Prot#'!$A:$AL,32,FALSE)</f>
        <v>269</v>
      </c>
      <c r="AN101" s="5">
        <f>VLOOKUP($A101,'SegEnds_NonXtal_Prot#'!$A:$AL,35,FALSE)</f>
        <v>305</v>
      </c>
      <c r="AO101" s="5">
        <f>VLOOKUP($A101,'SegEnds_NonXtal_Prot#'!$A:$AL,38,FALSE)</f>
        <v>320</v>
      </c>
      <c r="AP101" s="5">
        <f t="shared" si="38"/>
        <v>32</v>
      </c>
      <c r="AQ101" s="4">
        <f t="shared" si="39"/>
        <v>3</v>
      </c>
      <c r="AR101" s="4">
        <f t="shared" si="40"/>
        <v>30</v>
      </c>
      <c r="AS101" s="4">
        <f t="shared" si="41"/>
        <v>3</v>
      </c>
      <c r="AT101" s="4">
        <f t="shared" si="42"/>
        <v>35</v>
      </c>
      <c r="AU101" s="4">
        <f t="shared" si="43"/>
        <v>7</v>
      </c>
      <c r="AV101" s="4">
        <f t="shared" si="44"/>
        <v>26</v>
      </c>
      <c r="AW101" s="4">
        <f t="shared" si="45"/>
        <v>2</v>
      </c>
      <c r="AX101" s="4">
        <f t="shared" si="46"/>
        <v>34</v>
      </c>
      <c r="AY101" s="4">
        <f t="shared" si="47"/>
        <v>40</v>
      </c>
      <c r="AZ101" s="4">
        <f t="shared" si="48"/>
        <v>32</v>
      </c>
      <c r="BA101" s="4">
        <f t="shared" si="49"/>
        <v>14</v>
      </c>
    </row>
    <row r="102" spans="1:53" x14ac:dyDescent="0.2">
      <c r="A102" s="1" t="str">
        <f>'SegEnds_NonXtal_Prot#'!A73</f>
        <v>apj_human</v>
      </c>
      <c r="B102" s="1" t="str">
        <f t="shared" si="25"/>
        <v>ALIPAIYMLVFLLGTTGNGLVLWTVFRSRSADIFIASLAVADLTFVVTLPLWATYTYRDGTFFCKLSSYLIFVNMYASVFCLTGLSFDRYLAIVRLRVSGAVATAVLWVLAALLAMPVMVLRSEWAWEVGLGVSSTTVGFVVPFTIMLTCYFFIAQTIAGHFRKEKRRRLLSIIVVLVVTFALCWMPYHLVKTLYMLGSLPCDFDLFLMNIFPYCTCISYVNSCLNPFLYAFFDPRFRQACTSMLCCG</v>
      </c>
      <c r="C102" s="29" t="str">
        <f>IF(ISERROR(MATCH(A102,'SegEnds_Xtal_Prot#'!B:B, 0)), "NoXtal", "Xtal")</f>
        <v>Xtal</v>
      </c>
      <c r="D102" s="4" t="str">
        <f>VLOOKUP(A102,Classification!A:D,2,FALSE)</f>
        <v>A</v>
      </c>
      <c r="E102" s="5" t="str">
        <f>VLOOKUP(A102,Seqs!A:B,2,FALSE)</f>
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</c>
      <c r="F102" s="5" t="str">
        <f t="shared" si="26"/>
        <v>ALIPAIYMLVFLLGTTGNGLVLWTVFRS</v>
      </c>
      <c r="G102" s="4" t="str">
        <f t="shared" si="27"/>
        <v>SREKR</v>
      </c>
      <c r="H102" s="4" t="str">
        <f t="shared" si="28"/>
        <v>RSADIFIASLAVADLTFVVTLPLWATYTYRD</v>
      </c>
      <c r="I102" s="4" t="str">
        <f t="shared" si="29"/>
        <v>DWPF</v>
      </c>
      <c r="J102" s="4" t="str">
        <f t="shared" si="30"/>
        <v>GTFFCKLSSYLIFVNMYASVFCLTGLSFDRYLAIVR</v>
      </c>
      <c r="K102" s="4" t="str">
        <f t="shared" si="31"/>
        <v>PVANARLR</v>
      </c>
      <c r="L102" s="4" t="str">
        <f t="shared" si="32"/>
        <v>LRVSGAVATAVLWVLAALLAMPVMVLR</v>
      </c>
      <c r="M102" s="4" t="str">
        <f t="shared" si="33"/>
        <v>CYM</v>
      </c>
      <c r="N102" s="4" t="str">
        <f t="shared" si="34"/>
        <v>SEWAWEVGLGVSSTTVGFVVPFTIMLTCYFFIAQTIAGHFRKE</v>
      </c>
      <c r="O102" s="4" t="str">
        <f t="shared" si="35"/>
        <v>KRRRLLSIIVVLVVTFALCWMPYHLVKTLYMLGSL</v>
      </c>
      <c r="P102" s="4" t="str">
        <f t="shared" si="36"/>
        <v>PCDFDLFLMNIFPYCTCISYVNSCLNPFLYAFF</v>
      </c>
      <c r="Q102" s="4" t="str">
        <f t="shared" si="37"/>
        <v>DPRFRQACTSMLCCG</v>
      </c>
      <c r="R102" s="5">
        <f>VLOOKUP($A102,'SegEnds_NonXtal_Prot#'!$A:$AL,3,FALSE)</f>
        <v>29</v>
      </c>
      <c r="S102" s="5">
        <f>VLOOKUP($A102,'SegEnds_NonXtal_Prot#'!$A:$AL,6,FALSE)</f>
        <v>57</v>
      </c>
      <c r="T102" s="5">
        <f>VLOOKUP($A102,'SegEnds_NonXtal_Prot#'!$A:$AL,9,FALSE)</f>
        <v>62</v>
      </c>
      <c r="U102" s="5">
        <f>VLOOKUP($A102,'SegEnds_NonXtal_Prot#'!$A:$AL,12,FALSE)</f>
        <v>94</v>
      </c>
      <c r="V102" s="5">
        <f>VLOOKUP($A102,'SegEnds_NonXtal_Prot#'!$A:$AL,15,FALSE)</f>
        <v>98</v>
      </c>
      <c r="W102" s="5">
        <f>VLOOKUP($A102,'SegEnds_NonXtal_Prot#'!$A:$AL,18,FALSE)</f>
        <v>134</v>
      </c>
      <c r="X102" s="5">
        <f>VLOOKUP($A102,'SegEnds_NonXtal_Prot#'!$A:$AL,21,FALSE)</f>
        <v>142</v>
      </c>
      <c r="Y102" s="5">
        <f>VLOOKUP($A102,'SegEnds_NonXtal_Prot#'!$A:$AL,24,FALSE)</f>
        <v>181</v>
      </c>
      <c r="Z102" s="5">
        <f>VLOOKUP($A102,'SegEnds_NonXtal_Prot#'!$A:$AL,27,FALSE)</f>
        <v>193</v>
      </c>
      <c r="AA102" s="5">
        <f>VLOOKUP($A102,'SegEnds_NonXtal_Prot#'!$A:$AL,30,FALSE)</f>
        <v>242</v>
      </c>
      <c r="AB102" s="5">
        <f>VLOOKUP($A102,'SegEnds_NonXtal_Prot#'!$A:$AL,33,FALSE)</f>
        <v>280</v>
      </c>
      <c r="AC102" s="5">
        <f>VLOOKUP($A102,'SegEnds_NonXtal_Prot#'!$A:$AL,36,FALSE)</f>
        <v>313</v>
      </c>
      <c r="AD102" s="5">
        <f>VLOOKUP($A102,'SegEnds_NonXtal_Prot#'!$A:$AL,5,FALSE)</f>
        <v>56</v>
      </c>
      <c r="AE102" s="5">
        <f>VLOOKUP($A102,'SegEnds_NonXtal_Prot#'!$A:$AL,8,FALSE)</f>
        <v>61</v>
      </c>
      <c r="AF102" s="5">
        <f>VLOOKUP($A102,'SegEnds_NonXtal_Prot#'!$A:$AL,11,FALSE)</f>
        <v>92</v>
      </c>
      <c r="AG102" s="5">
        <f>VLOOKUP($A102,'SegEnds_NonXtal_Prot#'!$A:$AL,14,FALSE)</f>
        <v>97</v>
      </c>
      <c r="AH102" s="5">
        <f>VLOOKUP($A102,'SegEnds_NonXtal_Prot#'!$A:$AL,17,FALSE)</f>
        <v>133</v>
      </c>
      <c r="AI102" s="5">
        <f>VLOOKUP($A102,'SegEnds_NonXtal_Prot#'!$A:$AL,20,FALSE)</f>
        <v>141</v>
      </c>
      <c r="AJ102" s="5">
        <f>VLOOKUP($A102,'SegEnds_NonXtal_Prot#'!$A:$AL,23,FALSE)</f>
        <v>168</v>
      </c>
      <c r="AK102" s="5">
        <f>VLOOKUP($A102,'SegEnds_NonXtal_Prot#'!$A:$AL,26,FALSE)</f>
        <v>183</v>
      </c>
      <c r="AL102" s="5">
        <f>VLOOKUP($A102,'SegEnds_NonXtal_Prot#'!$A:$AL,29,FALSE)</f>
        <v>235</v>
      </c>
      <c r="AM102" s="5">
        <f>VLOOKUP($A102,'SegEnds_NonXtal_Prot#'!$A:$AL,32,FALSE)</f>
        <v>276</v>
      </c>
      <c r="AN102" s="5">
        <f>VLOOKUP($A102,'SegEnds_NonXtal_Prot#'!$A:$AL,35,FALSE)</f>
        <v>312</v>
      </c>
      <c r="AO102" s="5">
        <f>VLOOKUP($A102,'SegEnds_NonXtal_Prot#'!$A:$AL,38,FALSE)</f>
        <v>327</v>
      </c>
      <c r="AP102" s="5">
        <f t="shared" si="38"/>
        <v>27</v>
      </c>
      <c r="AQ102" s="4">
        <f t="shared" si="39"/>
        <v>4</v>
      </c>
      <c r="AR102" s="4">
        <f t="shared" si="40"/>
        <v>30</v>
      </c>
      <c r="AS102" s="4">
        <f t="shared" si="41"/>
        <v>3</v>
      </c>
      <c r="AT102" s="4">
        <f t="shared" si="42"/>
        <v>35</v>
      </c>
      <c r="AU102" s="4">
        <f t="shared" si="43"/>
        <v>7</v>
      </c>
      <c r="AV102" s="4">
        <f t="shared" si="44"/>
        <v>26</v>
      </c>
      <c r="AW102" s="4">
        <f t="shared" si="45"/>
        <v>2</v>
      </c>
      <c r="AX102" s="4">
        <f t="shared" si="46"/>
        <v>42</v>
      </c>
      <c r="AY102" s="4">
        <f t="shared" si="47"/>
        <v>34</v>
      </c>
      <c r="AZ102" s="4">
        <f t="shared" si="48"/>
        <v>32</v>
      </c>
      <c r="BA102" s="4">
        <f t="shared" si="49"/>
        <v>14</v>
      </c>
    </row>
    <row r="103" spans="1:53" x14ac:dyDescent="0.2">
      <c r="A103" s="1" t="str">
        <f>'SegEnds_NonXtal_Prot#'!A74</f>
        <v>bkrb1_human</v>
      </c>
      <c r="B103" s="1" t="str">
        <f t="shared" si="25"/>
        <v>WDLLHRVLPTFIISICFFGLLGNLFVLLVFLLPNVAEIYLANLAASDLVFVLGLPFWAENIWNQGALLCRVINGVIKANLFISIFLVVAISQDRYRVLVHRRRQARVTCVLIWVVGGLLSIPTFLLRWHFARIVELNILGFLLPLAAIVFFNYHILASLRTRTRCGGRKDSKTTALILTLVVAFLVCWAPYHFFAFLEFLFQVQGCFWEDFIDLGLQLANFFAFTNSSLNPVIYVFVGRLFRTKVWELYKQC</v>
      </c>
      <c r="C103" s="29" t="str">
        <f>IF(ISERROR(MATCH(A103,'SegEnds_Xtal_Prot#'!B:B, 0)), "NoXtal", "Xtal")</f>
        <v>NoXtal</v>
      </c>
      <c r="D103" s="4" t="str">
        <f>VLOOKUP(A103,Classification!A:D,2,FALSE)</f>
        <v>A</v>
      </c>
      <c r="E103" s="5" t="str">
        <f>VLOOKUP(A103,Seqs!A:B,2,FALSE)</f>
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</c>
      <c r="F103" s="5" t="str">
        <f t="shared" si="26"/>
        <v>WDLLHRVLPTFIISICFFGLLGNLFVLLVFLLP</v>
      </c>
      <c r="G103" s="4" t="str">
        <f t="shared" si="27"/>
        <v>RRQL</v>
      </c>
      <c r="H103" s="4" t="str">
        <f t="shared" si="28"/>
        <v>NVAEIYLANLAASDLVFVLGLPFWAENIWNQ</v>
      </c>
      <c r="I103" s="4" t="str">
        <f t="shared" si="29"/>
        <v>NWPF</v>
      </c>
      <c r="J103" s="4" t="str">
        <f t="shared" si="30"/>
        <v>GALLCRVINGVIKANLFISIFLVVAISQDRYRVLVH</v>
      </c>
      <c r="K103" s="4" t="str">
        <f t="shared" si="31"/>
        <v>PMASRRQQ</v>
      </c>
      <c r="L103" s="4" t="str">
        <f t="shared" si="32"/>
        <v>RRRQARVTCVLIWVVGGLLSIPTFLLR</v>
      </c>
      <c r="M103" s="4" t="str">
        <f t="shared" si="33"/>
        <v>CIL</v>
      </c>
      <c r="N103" s="4" t="str">
        <f t="shared" si="34"/>
        <v>WHFARIVELNILGFLLPLAAIVFFNYHILASLRTR</v>
      </c>
      <c r="O103" s="4" t="str">
        <f t="shared" si="35"/>
        <v>TRCGGRKDSKTTALILTLVVAFLVCWAPYHFFAFLEFLFQVQ</v>
      </c>
      <c r="P103" s="4" t="str">
        <f t="shared" si="36"/>
        <v>GCFWEDFIDLGLQLANFFAFTNSSLNPVIYVFV</v>
      </c>
      <c r="Q103" s="4" t="str">
        <f t="shared" si="37"/>
        <v>GRLFRTKVWELYKQC</v>
      </c>
      <c r="R103" s="5">
        <f>VLOOKUP($A103,'SegEnds_NonXtal_Prot#'!$A:$AL,3,FALSE)</f>
        <v>33</v>
      </c>
      <c r="S103" s="5">
        <f>VLOOKUP($A103,'SegEnds_NonXtal_Prot#'!$A:$AL,6,FALSE)</f>
        <v>66</v>
      </c>
      <c r="T103" s="5">
        <f>VLOOKUP($A103,'SegEnds_NonXtal_Prot#'!$A:$AL,9,FALSE)</f>
        <v>70</v>
      </c>
      <c r="U103" s="5">
        <f>VLOOKUP($A103,'SegEnds_NonXtal_Prot#'!$A:$AL,12,FALSE)</f>
        <v>102</v>
      </c>
      <c r="V103" s="5">
        <f>VLOOKUP($A103,'SegEnds_NonXtal_Prot#'!$A:$AL,15,FALSE)</f>
        <v>106</v>
      </c>
      <c r="W103" s="5">
        <f>VLOOKUP($A103,'SegEnds_NonXtal_Prot#'!$A:$AL,18,FALSE)</f>
        <v>142</v>
      </c>
      <c r="X103" s="5">
        <f>VLOOKUP($A103,'SegEnds_NonXtal_Prot#'!$A:$AL,21,FALSE)</f>
        <v>150</v>
      </c>
      <c r="Y103" s="5">
        <f>VLOOKUP($A103,'SegEnds_NonXtal_Prot#'!$A:$AL,24,FALSE)</f>
        <v>189</v>
      </c>
      <c r="Z103" s="5">
        <f>VLOOKUP($A103,'SegEnds_NonXtal_Prot#'!$A:$AL,27,FALSE)</f>
        <v>198</v>
      </c>
      <c r="AA103" s="5">
        <f>VLOOKUP($A103,'SegEnds_NonXtal_Prot#'!$A:$AL,30,FALSE)</f>
        <v>238</v>
      </c>
      <c r="AB103" s="5">
        <f>VLOOKUP($A103,'SegEnds_NonXtal_Prot#'!$A:$AL,33,FALSE)</f>
        <v>283</v>
      </c>
      <c r="AC103" s="5">
        <f>VLOOKUP($A103,'SegEnds_NonXtal_Prot#'!$A:$AL,36,FALSE)</f>
        <v>316</v>
      </c>
      <c r="AD103" s="5">
        <f>VLOOKUP($A103,'SegEnds_NonXtal_Prot#'!$A:$AL,5,FALSE)</f>
        <v>65</v>
      </c>
      <c r="AE103" s="5">
        <f>VLOOKUP($A103,'SegEnds_NonXtal_Prot#'!$A:$AL,8,FALSE)</f>
        <v>69</v>
      </c>
      <c r="AF103" s="5">
        <f>VLOOKUP($A103,'SegEnds_NonXtal_Prot#'!$A:$AL,11,FALSE)</f>
        <v>100</v>
      </c>
      <c r="AG103" s="5">
        <f>VLOOKUP($A103,'SegEnds_NonXtal_Prot#'!$A:$AL,14,FALSE)</f>
        <v>105</v>
      </c>
      <c r="AH103" s="5">
        <f>VLOOKUP($A103,'SegEnds_NonXtal_Prot#'!$A:$AL,17,FALSE)</f>
        <v>141</v>
      </c>
      <c r="AI103" s="5">
        <f>VLOOKUP($A103,'SegEnds_NonXtal_Prot#'!$A:$AL,20,FALSE)</f>
        <v>149</v>
      </c>
      <c r="AJ103" s="5">
        <f>VLOOKUP($A103,'SegEnds_NonXtal_Prot#'!$A:$AL,23,FALSE)</f>
        <v>176</v>
      </c>
      <c r="AK103" s="5">
        <f>VLOOKUP($A103,'SegEnds_NonXtal_Prot#'!$A:$AL,26,FALSE)</f>
        <v>191</v>
      </c>
      <c r="AL103" s="5">
        <f>VLOOKUP($A103,'SegEnds_NonXtal_Prot#'!$A:$AL,29,FALSE)</f>
        <v>232</v>
      </c>
      <c r="AM103" s="5">
        <f>VLOOKUP($A103,'SegEnds_NonXtal_Prot#'!$A:$AL,32,FALSE)</f>
        <v>279</v>
      </c>
      <c r="AN103" s="5">
        <f>VLOOKUP($A103,'SegEnds_NonXtal_Prot#'!$A:$AL,35,FALSE)</f>
        <v>315</v>
      </c>
      <c r="AO103" s="5">
        <f>VLOOKUP($A103,'SegEnds_NonXtal_Prot#'!$A:$AL,38,FALSE)</f>
        <v>330</v>
      </c>
      <c r="AP103" s="5">
        <f t="shared" si="38"/>
        <v>32</v>
      </c>
      <c r="AQ103" s="4">
        <f t="shared" si="39"/>
        <v>3</v>
      </c>
      <c r="AR103" s="4">
        <f t="shared" si="40"/>
        <v>30</v>
      </c>
      <c r="AS103" s="4">
        <f t="shared" si="41"/>
        <v>3</v>
      </c>
      <c r="AT103" s="4">
        <f t="shared" si="42"/>
        <v>35</v>
      </c>
      <c r="AU103" s="4">
        <f t="shared" si="43"/>
        <v>7</v>
      </c>
      <c r="AV103" s="4">
        <f t="shared" si="44"/>
        <v>26</v>
      </c>
      <c r="AW103" s="4">
        <f t="shared" si="45"/>
        <v>2</v>
      </c>
      <c r="AX103" s="4">
        <f t="shared" si="46"/>
        <v>34</v>
      </c>
      <c r="AY103" s="4">
        <f t="shared" si="47"/>
        <v>41</v>
      </c>
      <c r="AZ103" s="4">
        <f t="shared" si="48"/>
        <v>32</v>
      </c>
      <c r="BA103" s="4">
        <f t="shared" si="49"/>
        <v>14</v>
      </c>
    </row>
    <row r="104" spans="1:53" x14ac:dyDescent="0.2">
      <c r="A104" s="1" t="str">
        <f>'SegEnds_NonXtal_Prot#'!A75</f>
        <v>bkrb2_human</v>
      </c>
      <c r="B104" s="1" t="str">
        <f t="shared" si="25"/>
        <v>TIQPPFLWVLFVLATLENIFVLSVFCLHTVAEIYLGNLAAADLILACGLPFWAITISNGETLCRVVNAIISMNLYSSICFLMLVSIDRYLALVKGVRWAKLYSLVIWGCTLLLSSPMLVFRPSLIWEVFTNMLLNVVGFLLPLSVITFCTMQIMQVLRNNFKEIQTERRATVLVLVVLLLFIICWLPFQISTFLDTLHRLGSCQDERIIDVITQIASFMAYSNSCLNPLVYVIVGKRFRKKSWEVYQGV</v>
      </c>
      <c r="C104" s="29" t="str">
        <f>IF(ISERROR(MATCH(A104,'SegEnds_Xtal_Prot#'!B:B, 0)), "NoXtal", "Xtal")</f>
        <v>NoXtal</v>
      </c>
      <c r="D104" s="4" t="str">
        <f>VLOOKUP(A104,Classification!A:D,2,FALSE)</f>
        <v>A</v>
      </c>
      <c r="E104" s="5" t="str">
        <f>VLOOKUP(A104,Seqs!A:B,2,FALSE)</f>
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</c>
      <c r="F104" s="5" t="str">
        <f t="shared" si="26"/>
        <v>TIQPPFLWVLFVLATLENIFVLSVFCLH</v>
      </c>
      <c r="G104" s="4" t="str">
        <f t="shared" si="27"/>
        <v>KSSC</v>
      </c>
      <c r="H104" s="4" t="str">
        <f t="shared" si="28"/>
        <v>TVAEIYLGNLAAADLILACGLPFWAITISN</v>
      </c>
      <c r="I104" s="4" t="str">
        <f t="shared" si="29"/>
        <v>DWLF</v>
      </c>
      <c r="J104" s="4" t="str">
        <f t="shared" si="30"/>
        <v>GETLCRVVNAIISMNLYSSICFLMLVSIDRYLALVK</v>
      </c>
      <c r="K104" s="4" t="str">
        <f t="shared" si="31"/>
        <v>TMSMGRMR</v>
      </c>
      <c r="L104" s="4" t="str">
        <f t="shared" si="32"/>
        <v>GVRWAKLYSLVIWGCTLLLSSPMLVFR</v>
      </c>
      <c r="M104" s="4" t="str">
        <f t="shared" si="33"/>
        <v>CVI</v>
      </c>
      <c r="N104" s="4" t="str">
        <f t="shared" si="34"/>
        <v>PSLIWEVFTNMLLNVVGFLLPLSVITFCTMQIMQVLRNN</v>
      </c>
      <c r="O104" s="4" t="str">
        <f t="shared" si="35"/>
        <v>FKEIQTERRATVLVLVVLLLFIICWLPFQISTFLDTLHRLG</v>
      </c>
      <c r="P104" s="4" t="str">
        <f t="shared" si="36"/>
        <v>SCQDERIIDVITQIASFMAYSNSCLNPLVYVIV</v>
      </c>
      <c r="Q104" s="4" t="str">
        <f t="shared" si="37"/>
        <v>GKRFRKKSWEVYQGV</v>
      </c>
      <c r="R104" s="5">
        <f>VLOOKUP($A104,'SegEnds_NonXtal_Prot#'!$A:$AL,3,FALSE)</f>
        <v>58</v>
      </c>
      <c r="S104" s="5">
        <f>VLOOKUP($A104,'SegEnds_NonXtal_Prot#'!$A:$AL,6,FALSE)</f>
        <v>86</v>
      </c>
      <c r="T104" s="5">
        <f>VLOOKUP($A104,'SegEnds_NonXtal_Prot#'!$A:$AL,9,FALSE)</f>
        <v>90</v>
      </c>
      <c r="U104" s="5">
        <f>VLOOKUP($A104,'SegEnds_NonXtal_Prot#'!$A:$AL,12,FALSE)</f>
        <v>122</v>
      </c>
      <c r="V104" s="5">
        <f>VLOOKUP($A104,'SegEnds_NonXtal_Prot#'!$A:$AL,15,FALSE)</f>
        <v>126</v>
      </c>
      <c r="W104" s="5">
        <f>VLOOKUP($A104,'SegEnds_NonXtal_Prot#'!$A:$AL,18,FALSE)</f>
        <v>162</v>
      </c>
      <c r="X104" s="5">
        <f>VLOOKUP($A104,'SegEnds_NonXtal_Prot#'!$A:$AL,21,FALSE)</f>
        <v>170</v>
      </c>
      <c r="Y104" s="5">
        <f>VLOOKUP($A104,'SegEnds_NonXtal_Prot#'!$A:$AL,24,FALSE)</f>
        <v>211</v>
      </c>
      <c r="Z104" s="5">
        <f>VLOOKUP($A104,'SegEnds_NonXtal_Prot#'!$A:$AL,27,FALSE)</f>
        <v>216</v>
      </c>
      <c r="AA104" s="5">
        <f>VLOOKUP($A104,'SegEnds_NonXtal_Prot#'!$A:$AL,30,FALSE)</f>
        <v>259</v>
      </c>
      <c r="AB104" s="5">
        <f>VLOOKUP($A104,'SegEnds_NonXtal_Prot#'!$A:$AL,33,FALSE)</f>
        <v>303</v>
      </c>
      <c r="AC104" s="5">
        <f>VLOOKUP($A104,'SegEnds_NonXtal_Prot#'!$A:$AL,36,FALSE)</f>
        <v>336</v>
      </c>
      <c r="AD104" s="5">
        <f>VLOOKUP($A104,'SegEnds_NonXtal_Prot#'!$A:$AL,5,FALSE)</f>
        <v>85</v>
      </c>
      <c r="AE104" s="5">
        <f>VLOOKUP($A104,'SegEnds_NonXtal_Prot#'!$A:$AL,8,FALSE)</f>
        <v>89</v>
      </c>
      <c r="AF104" s="5">
        <f>VLOOKUP($A104,'SegEnds_NonXtal_Prot#'!$A:$AL,11,FALSE)</f>
        <v>119</v>
      </c>
      <c r="AG104" s="5">
        <f>VLOOKUP($A104,'SegEnds_NonXtal_Prot#'!$A:$AL,14,FALSE)</f>
        <v>125</v>
      </c>
      <c r="AH104" s="5">
        <f>VLOOKUP($A104,'SegEnds_NonXtal_Prot#'!$A:$AL,17,FALSE)</f>
        <v>161</v>
      </c>
      <c r="AI104" s="5">
        <f>VLOOKUP($A104,'SegEnds_NonXtal_Prot#'!$A:$AL,20,FALSE)</f>
        <v>169</v>
      </c>
      <c r="AJ104" s="5">
        <f>VLOOKUP($A104,'SegEnds_NonXtal_Prot#'!$A:$AL,23,FALSE)</f>
        <v>196</v>
      </c>
      <c r="AK104" s="5">
        <f>VLOOKUP($A104,'SegEnds_NonXtal_Prot#'!$A:$AL,26,FALSE)</f>
        <v>213</v>
      </c>
      <c r="AL104" s="5">
        <f>VLOOKUP($A104,'SegEnds_NonXtal_Prot#'!$A:$AL,29,FALSE)</f>
        <v>254</v>
      </c>
      <c r="AM104" s="5">
        <f>VLOOKUP($A104,'SegEnds_NonXtal_Prot#'!$A:$AL,32,FALSE)</f>
        <v>299</v>
      </c>
      <c r="AN104" s="5">
        <f>VLOOKUP($A104,'SegEnds_NonXtal_Prot#'!$A:$AL,35,FALSE)</f>
        <v>335</v>
      </c>
      <c r="AO104" s="5">
        <f>VLOOKUP($A104,'SegEnds_NonXtal_Prot#'!$A:$AL,38,FALSE)</f>
        <v>350</v>
      </c>
      <c r="AP104" s="5">
        <f t="shared" si="38"/>
        <v>27</v>
      </c>
      <c r="AQ104" s="4">
        <f t="shared" si="39"/>
        <v>3</v>
      </c>
      <c r="AR104" s="4">
        <f t="shared" si="40"/>
        <v>29</v>
      </c>
      <c r="AS104" s="4">
        <f t="shared" si="41"/>
        <v>3</v>
      </c>
      <c r="AT104" s="4">
        <f t="shared" si="42"/>
        <v>35</v>
      </c>
      <c r="AU104" s="4">
        <f t="shared" si="43"/>
        <v>7</v>
      </c>
      <c r="AV104" s="4">
        <f t="shared" si="44"/>
        <v>26</v>
      </c>
      <c r="AW104" s="4">
        <f t="shared" si="45"/>
        <v>2</v>
      </c>
      <c r="AX104" s="4">
        <f t="shared" si="46"/>
        <v>38</v>
      </c>
      <c r="AY104" s="4">
        <f t="shared" si="47"/>
        <v>40</v>
      </c>
      <c r="AZ104" s="4">
        <f t="shared" si="48"/>
        <v>32</v>
      </c>
      <c r="BA104" s="4">
        <f t="shared" si="49"/>
        <v>14</v>
      </c>
    </row>
    <row r="105" spans="1:53" x14ac:dyDescent="0.2">
      <c r="A105" s="1" t="str">
        <f>'SegEnds_NonXtal_Prot#'!A76</f>
        <v>brs3_human</v>
      </c>
      <c r="B105" s="1" t="str">
        <f t="shared" si="25"/>
        <v>SGDNSPGIEALCAIYITYAVIISVGILGNAILIKVFFKTTVPNIFITSLAFGDLLLLLTCVPVDATHYLAGRIGCKVLSFIRLTSVGVSVFTLTILSADRYKAVVKAILKTCVKAGCVWIVSMIFALPEAIFSPVSKKLLQEIHSLLCFLVFYIIPLSIISVYYSLIARTLYKSTLNIPHARKQIESRKRIARTVLVLVALFALCWLPNHLLYLYHSFTSAMHFIFTIFSRVLAFSNSCVNPFALYWLSKSFQKHFKAQLFC</v>
      </c>
      <c r="C105" s="29" t="str">
        <f>IF(ISERROR(MATCH(A105,'SegEnds_Xtal_Prot#'!B:B, 0)), "NoXtal", "Xtal")</f>
        <v>NoXtal</v>
      </c>
      <c r="D105" s="4" t="str">
        <f>VLOOKUP(A105,Classification!A:D,2,FALSE)</f>
        <v>A</v>
      </c>
      <c r="E105" s="5" t="str">
        <f>VLOOKUP(A105,Seqs!A:B,2,FALSE)</f>
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</c>
      <c r="F105" s="5" t="str">
        <f t="shared" si="26"/>
        <v>SGDNSPGIEALCAIYITYAVIISVGILGNAILIKVFFKT</v>
      </c>
      <c r="G105" s="4" t="str">
        <f t="shared" si="27"/>
        <v>KSMQ</v>
      </c>
      <c r="H105" s="4" t="str">
        <f t="shared" si="28"/>
        <v>TVPNIFITSLAFGDLLLLLTCVPVDATHYLA</v>
      </c>
      <c r="I105" s="4" t="str">
        <f t="shared" si="29"/>
        <v>GWLF</v>
      </c>
      <c r="J105" s="4" t="str">
        <f t="shared" si="30"/>
        <v>GRIGCKVLSFIRLTSVGVSVFTLTILSADRYKAVVK</v>
      </c>
      <c r="K105" s="4" t="str">
        <f t="shared" si="31"/>
        <v>PLERQPSN</v>
      </c>
      <c r="L105" s="4" t="str">
        <f t="shared" si="32"/>
        <v>AILKTCVKAGCVWIVSMIFALPEAIFS</v>
      </c>
      <c r="M105" s="4" t="str">
        <f t="shared" si="33"/>
        <v>CTS</v>
      </c>
      <c r="N105" s="4" t="str">
        <f t="shared" si="34"/>
        <v>PVSKKLLQEIHSLLCFLVFYIIPLSIISVYYSLIARTLYKSTLNIP</v>
      </c>
      <c r="O105" s="4" t="str">
        <f t="shared" si="35"/>
        <v>HARKQIESRKRIARTVLVLVALFALCWLPNHLLYLYHSFT</v>
      </c>
      <c r="P105" s="4" t="str">
        <f t="shared" si="36"/>
        <v>SAMHFIFTIFSRVLAFSNSCVNPFALYWL</v>
      </c>
      <c r="Q105" s="4" t="str">
        <f t="shared" si="37"/>
        <v>SKSFQKHFKAQLFC</v>
      </c>
      <c r="R105" s="5">
        <f>VLOOKUP($A105,'SegEnds_NonXtal_Prot#'!$A:$AL,3,FALSE)</f>
        <v>37</v>
      </c>
      <c r="S105" s="5">
        <f>VLOOKUP($A105,'SegEnds_NonXtal_Prot#'!$A:$AL,6,FALSE)</f>
        <v>76</v>
      </c>
      <c r="T105" s="5">
        <f>VLOOKUP($A105,'SegEnds_NonXtal_Prot#'!$A:$AL,9,FALSE)</f>
        <v>80</v>
      </c>
      <c r="U105" s="5">
        <f>VLOOKUP($A105,'SegEnds_NonXtal_Prot#'!$A:$AL,12,FALSE)</f>
        <v>112</v>
      </c>
      <c r="V105" s="5">
        <f>VLOOKUP($A105,'SegEnds_NonXtal_Prot#'!$A:$AL,15,FALSE)</f>
        <v>116</v>
      </c>
      <c r="W105" s="5">
        <f>VLOOKUP($A105,'SegEnds_NonXtal_Prot#'!$A:$AL,18,FALSE)</f>
        <v>152</v>
      </c>
      <c r="X105" s="5">
        <f>VLOOKUP($A105,'SegEnds_NonXtal_Prot#'!$A:$AL,21,FALSE)</f>
        <v>160</v>
      </c>
      <c r="Y105" s="5">
        <f>VLOOKUP($A105,'SegEnds_NonXtal_Prot#'!$A:$AL,24,FALSE)</f>
        <v>203</v>
      </c>
      <c r="Z105" s="5">
        <f>VLOOKUP($A105,'SegEnds_NonXtal_Prot#'!$A:$AL,27,FALSE)</f>
        <v>207</v>
      </c>
      <c r="AA105" s="5">
        <f>VLOOKUP($A105,'SegEnds_NonXtal_Prot#'!$A:$AL,30,FALSE)</f>
        <v>258</v>
      </c>
      <c r="AB105" s="5">
        <f>VLOOKUP($A105,'SegEnds_NonXtal_Prot#'!$A:$AL,33,FALSE)</f>
        <v>305</v>
      </c>
      <c r="AC105" s="5">
        <f>VLOOKUP($A105,'SegEnds_NonXtal_Prot#'!$A:$AL,36,FALSE)</f>
        <v>334</v>
      </c>
      <c r="AD105" s="5">
        <f>VLOOKUP($A105,'SegEnds_NonXtal_Prot#'!$A:$AL,5,FALSE)</f>
        <v>75</v>
      </c>
      <c r="AE105" s="5">
        <f>VLOOKUP($A105,'SegEnds_NonXtal_Prot#'!$A:$AL,8,FALSE)</f>
        <v>79</v>
      </c>
      <c r="AF105" s="5">
        <f>VLOOKUP($A105,'SegEnds_NonXtal_Prot#'!$A:$AL,11,FALSE)</f>
        <v>110</v>
      </c>
      <c r="AG105" s="5">
        <f>VLOOKUP($A105,'SegEnds_NonXtal_Prot#'!$A:$AL,14,FALSE)</f>
        <v>115</v>
      </c>
      <c r="AH105" s="5">
        <f>VLOOKUP($A105,'SegEnds_NonXtal_Prot#'!$A:$AL,17,FALSE)</f>
        <v>151</v>
      </c>
      <c r="AI105" s="5">
        <f>VLOOKUP($A105,'SegEnds_NonXtal_Prot#'!$A:$AL,20,FALSE)</f>
        <v>159</v>
      </c>
      <c r="AJ105" s="5">
        <f>VLOOKUP($A105,'SegEnds_NonXtal_Prot#'!$A:$AL,23,FALSE)</f>
        <v>186</v>
      </c>
      <c r="AK105" s="5">
        <f>VLOOKUP($A105,'SegEnds_NonXtal_Prot#'!$A:$AL,26,FALSE)</f>
        <v>205</v>
      </c>
      <c r="AL105" s="5">
        <f>VLOOKUP($A105,'SegEnds_NonXtal_Prot#'!$A:$AL,29,FALSE)</f>
        <v>252</v>
      </c>
      <c r="AM105" s="5">
        <f>VLOOKUP($A105,'SegEnds_NonXtal_Prot#'!$A:$AL,32,FALSE)</f>
        <v>297</v>
      </c>
      <c r="AN105" s="5">
        <f>VLOOKUP($A105,'SegEnds_NonXtal_Prot#'!$A:$AL,35,FALSE)</f>
        <v>333</v>
      </c>
      <c r="AO105" s="5">
        <f>VLOOKUP($A105,'SegEnds_NonXtal_Prot#'!$A:$AL,38,FALSE)</f>
        <v>347</v>
      </c>
      <c r="AP105" s="5">
        <f t="shared" si="38"/>
        <v>38</v>
      </c>
      <c r="AQ105" s="4">
        <f t="shared" si="39"/>
        <v>3</v>
      </c>
      <c r="AR105" s="4">
        <f t="shared" si="40"/>
        <v>30</v>
      </c>
      <c r="AS105" s="4">
        <f t="shared" si="41"/>
        <v>3</v>
      </c>
      <c r="AT105" s="4">
        <f t="shared" si="42"/>
        <v>35</v>
      </c>
      <c r="AU105" s="4">
        <f t="shared" si="43"/>
        <v>7</v>
      </c>
      <c r="AV105" s="4">
        <f t="shared" si="44"/>
        <v>26</v>
      </c>
      <c r="AW105" s="4">
        <f t="shared" si="45"/>
        <v>2</v>
      </c>
      <c r="AX105" s="4">
        <f t="shared" si="46"/>
        <v>45</v>
      </c>
      <c r="AY105" s="4">
        <f t="shared" si="47"/>
        <v>39</v>
      </c>
      <c r="AZ105" s="4">
        <f t="shared" si="48"/>
        <v>28</v>
      </c>
      <c r="BA105" s="4">
        <f t="shared" si="49"/>
        <v>13</v>
      </c>
    </row>
    <row r="106" spans="1:53" x14ac:dyDescent="0.2">
      <c r="A106" s="1" t="str">
        <f>'SegEnds_NonXtal_Prot#'!A77</f>
        <v>c3ar_human</v>
      </c>
      <c r="B106" s="1" t="str">
        <f t="shared" si="25"/>
        <v>EPPVILSMVILSLTFLLGLPGNGLVLWVAGLKTVNTIWFLHLTLADLLCCLSLPFSLAHLALQGRFLCKLIPSIIVLNMFASVFLLTAISLDRCLVVFKNVGMACSICGCIWVVAFVMCIPVFVYRVPTPLVAITITRLVVGFLLPSVIMIACYSFIVFRMQRGSKTFRVAVVVVAVFLVCWTPYHIFGVLSLLTTPLGKTLMSWDHVCIALASANSCFNPFLYALLGKDFRKKARQ</v>
      </c>
      <c r="C106" s="29" t="str">
        <f>IF(ISERROR(MATCH(A106,'SegEnds_Xtal_Prot#'!B:B, 0)), "NoXtal", "Xtal")</f>
        <v>NoXtal</v>
      </c>
      <c r="D106" s="4" t="str">
        <f>VLOOKUP(A106,Classification!A:D,2,FALSE)</f>
        <v>A</v>
      </c>
      <c r="E106" s="5" t="str">
        <f>VLOOKUP(A106,Seqs!A:B,2,FALSE)</f>
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</c>
      <c r="F106" s="5" t="str">
        <f t="shared" si="26"/>
        <v>EPPVILSMVILSLTFLLGLPGNGLVLWVAGLK</v>
      </c>
      <c r="G106" s="4" t="str">
        <f t="shared" si="27"/>
        <v/>
      </c>
      <c r="H106" s="4" t="str">
        <f t="shared" si="28"/>
        <v>TVNTIWFLHLTLADLLCCLSLPFSLAHLALQ</v>
      </c>
      <c r="I106" s="4" t="str">
        <f t="shared" si="29"/>
        <v>QWPY</v>
      </c>
      <c r="J106" s="4" t="str">
        <f t="shared" si="30"/>
        <v>GRFLCKLIPSIIVLNMFASVFLLTAISLDRCLVVFK</v>
      </c>
      <c r="K106" s="4" t="str">
        <f t="shared" si="31"/>
        <v>PIWCQNHR</v>
      </c>
      <c r="L106" s="4" t="str">
        <f t="shared" si="32"/>
        <v>NVGMACSICGCIWVVAFVMCIPVFVYR</v>
      </c>
      <c r="M106" s="4" t="str">
        <f t="shared" si="33"/>
        <v>CGY</v>
      </c>
      <c r="N106" s="4" t="str">
        <f t="shared" si="34"/>
        <v>VPTPLVAITITRLVVGFLLPSVIMIACYSFIVFRMQRG</v>
      </c>
      <c r="O106" s="4" t="str">
        <f t="shared" si="35"/>
        <v>SKTFRVAVVVVAVFLVCWTPYHIFGVLSLLT</v>
      </c>
      <c r="P106" s="4" t="str">
        <f t="shared" si="36"/>
        <v>TPLGKTLMSWDHVCIALASANSCFNPFLYALL</v>
      </c>
      <c r="Q106" s="4" t="str">
        <f t="shared" si="37"/>
        <v>GKDFRKKARQ</v>
      </c>
      <c r="R106" s="5">
        <f>VLOOKUP($A106,'SegEnds_NonXtal_Prot#'!$A:$AL,3,FALSE)</f>
        <v>20</v>
      </c>
      <c r="S106" s="5" t="str">
        <f>VLOOKUP($A106,'SegEnds_NonXtal_Prot#'!$A:$AL,6,FALSE)</f>
        <v>-</v>
      </c>
      <c r="T106" s="5">
        <f>VLOOKUP($A106,'SegEnds_NonXtal_Prot#'!$A:$AL,9,FALSE)</f>
        <v>55</v>
      </c>
      <c r="U106" s="5">
        <f>VLOOKUP($A106,'SegEnds_NonXtal_Prot#'!$A:$AL,12,FALSE)</f>
        <v>87</v>
      </c>
      <c r="V106" s="5">
        <f>VLOOKUP($A106,'SegEnds_NonXtal_Prot#'!$A:$AL,15,FALSE)</f>
        <v>91</v>
      </c>
      <c r="W106" s="5">
        <f>VLOOKUP($A106,'SegEnds_NonXtal_Prot#'!$A:$AL,18,FALSE)</f>
        <v>127</v>
      </c>
      <c r="X106" s="5">
        <f>VLOOKUP($A106,'SegEnds_NonXtal_Prot#'!$A:$AL,21,FALSE)</f>
        <v>135</v>
      </c>
      <c r="Y106" s="5">
        <f>VLOOKUP($A106,'SegEnds_NonXtal_Prot#'!$A:$AL,24,FALSE)</f>
        <v>172</v>
      </c>
      <c r="Z106" s="5">
        <f>VLOOKUP($A106,'SegEnds_NonXtal_Prot#'!$A:$AL,27,FALSE)</f>
        <v>329</v>
      </c>
      <c r="AA106" s="5">
        <f>VLOOKUP($A106,'SegEnds_NonXtal_Prot#'!$A:$AL,30,FALSE)</f>
        <v>373</v>
      </c>
      <c r="AB106" s="5">
        <f>VLOOKUP($A106,'SegEnds_NonXtal_Prot#'!$A:$AL,33,FALSE)</f>
        <v>407</v>
      </c>
      <c r="AC106" s="5">
        <f>VLOOKUP($A106,'SegEnds_NonXtal_Prot#'!$A:$AL,36,FALSE)</f>
        <v>439</v>
      </c>
      <c r="AD106" s="5">
        <f>VLOOKUP($A106,'SegEnds_NonXtal_Prot#'!$A:$AL,5,FALSE)</f>
        <v>51</v>
      </c>
      <c r="AE106" s="5" t="str">
        <f>VLOOKUP($A106,'SegEnds_NonXtal_Prot#'!$A:$AL,8,FALSE)</f>
        <v>-</v>
      </c>
      <c r="AF106" s="5">
        <f>VLOOKUP($A106,'SegEnds_NonXtal_Prot#'!$A:$AL,11,FALSE)</f>
        <v>85</v>
      </c>
      <c r="AG106" s="5">
        <f>VLOOKUP($A106,'SegEnds_NonXtal_Prot#'!$A:$AL,14,FALSE)</f>
        <v>90</v>
      </c>
      <c r="AH106" s="5">
        <f>VLOOKUP($A106,'SegEnds_NonXtal_Prot#'!$A:$AL,17,FALSE)</f>
        <v>126</v>
      </c>
      <c r="AI106" s="5">
        <f>VLOOKUP($A106,'SegEnds_NonXtal_Prot#'!$A:$AL,20,FALSE)</f>
        <v>134</v>
      </c>
      <c r="AJ106" s="5">
        <f>VLOOKUP($A106,'SegEnds_NonXtal_Prot#'!$A:$AL,23,FALSE)</f>
        <v>161</v>
      </c>
      <c r="AK106" s="5">
        <f>VLOOKUP($A106,'SegEnds_NonXtal_Prot#'!$A:$AL,26,FALSE)</f>
        <v>174</v>
      </c>
      <c r="AL106" s="5">
        <f>VLOOKUP($A106,'SegEnds_NonXtal_Prot#'!$A:$AL,29,FALSE)</f>
        <v>366</v>
      </c>
      <c r="AM106" s="5">
        <f>VLOOKUP($A106,'SegEnds_NonXtal_Prot#'!$A:$AL,32,FALSE)</f>
        <v>403</v>
      </c>
      <c r="AN106" s="5">
        <f>VLOOKUP($A106,'SegEnds_NonXtal_Prot#'!$A:$AL,35,FALSE)</f>
        <v>438</v>
      </c>
      <c r="AO106" s="5">
        <f>VLOOKUP($A106,'SegEnds_NonXtal_Prot#'!$A:$AL,38,FALSE)</f>
        <v>448</v>
      </c>
      <c r="AP106" s="5">
        <f t="shared" si="38"/>
        <v>31</v>
      </c>
      <c r="AQ106" s="4" t="str">
        <f t="shared" si="39"/>
        <v>-</v>
      </c>
      <c r="AR106" s="4">
        <f t="shared" si="40"/>
        <v>30</v>
      </c>
      <c r="AS106" s="4">
        <f t="shared" si="41"/>
        <v>3</v>
      </c>
      <c r="AT106" s="4">
        <f t="shared" si="42"/>
        <v>35</v>
      </c>
      <c r="AU106" s="4">
        <f t="shared" si="43"/>
        <v>7</v>
      </c>
      <c r="AV106" s="4">
        <f t="shared" si="44"/>
        <v>26</v>
      </c>
      <c r="AW106" s="4">
        <f t="shared" si="45"/>
        <v>2</v>
      </c>
      <c r="AX106" s="4">
        <f t="shared" si="46"/>
        <v>37</v>
      </c>
      <c r="AY106" s="4">
        <f t="shared" si="47"/>
        <v>30</v>
      </c>
      <c r="AZ106" s="4">
        <f t="shared" si="48"/>
        <v>31</v>
      </c>
      <c r="BA106" s="4">
        <f t="shared" si="49"/>
        <v>9</v>
      </c>
    </row>
    <row r="107" spans="1:53" x14ac:dyDescent="0.2">
      <c r="A107" s="1" t="str">
        <f>'SegEnds_NonXtal_Prot#'!A78</f>
        <v>c5ar1_human</v>
      </c>
      <c r="B107" s="1" t="str">
        <f t="shared" si="25"/>
        <v>RVPDILALVIFAVVFLVGVLGNALVVWVTAFETINAIWFLNLAVADFLSCLALPILFTSIVQHGGAACSILPSLILLNMYASILLLATISADRFLLVFKGAGLAWIACAVAWGLALLLTIPSFLYRDKRRERAVAIVRLVLGFLWPLLTLTICYTFILLRTWSRTKTLKVVVAVVASFFIFWLPYQVTGIMMSFLSPTFLLLKKLDSLCVSFAYINCCINPIIYVVAGQGFQGRLRK</v>
      </c>
      <c r="C107" s="29" t="str">
        <f>IF(ISERROR(MATCH(A107,'SegEnds_Xtal_Prot#'!B:B, 0)), "NoXtal", "Xtal")</f>
        <v>Xtal</v>
      </c>
      <c r="D107" s="4" t="str">
        <f>VLOOKUP(A107,Classification!A:D,2,FALSE)</f>
        <v>A</v>
      </c>
      <c r="E107" s="5" t="str">
        <f>VLOOKUP(A107,Seqs!A:B,2,FALSE)</f>
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</c>
      <c r="F107" s="5" t="str">
        <f t="shared" si="26"/>
        <v>RVPDILALVIFAVVFLVGVLGNALVVWVTAFE</v>
      </c>
      <c r="G107" s="4" t="str">
        <f t="shared" si="27"/>
        <v/>
      </c>
      <c r="H107" s="4" t="str">
        <f t="shared" si="28"/>
        <v>TINAIWFLNLAVADFLSCLALPILFTSIVQH</v>
      </c>
      <c r="I107" s="4" t="str">
        <f t="shared" si="29"/>
        <v>HWPF</v>
      </c>
      <c r="J107" s="4" t="str">
        <f t="shared" si="30"/>
        <v>GGAACSILPSLILLNMYASILLLATISADRFLLVFK</v>
      </c>
      <c r="K107" s="4" t="str">
        <f t="shared" si="31"/>
        <v>PIWCQNFR</v>
      </c>
      <c r="L107" s="4" t="str">
        <f t="shared" si="32"/>
        <v>GAGLAWIACAVAWGLALLLTIPSFLYR</v>
      </c>
      <c r="M107" s="4" t="str">
        <f t="shared" si="33"/>
        <v>CGV</v>
      </c>
      <c r="N107" s="4" t="str">
        <f t="shared" si="34"/>
        <v>DKRRERAVAIVRLVLGFLWPLLTLTICYTFILLRTWSR</v>
      </c>
      <c r="O107" s="4" t="str">
        <f t="shared" si="35"/>
        <v>TKTLKVVVAVVASFFIFWLPYQVTGIMMSFL</v>
      </c>
      <c r="P107" s="4" t="str">
        <f t="shared" si="36"/>
        <v>SPTFLLLKKLDSLCVSFAYINCCINPIIYVVA</v>
      </c>
      <c r="Q107" s="4" t="str">
        <f t="shared" si="37"/>
        <v>GQGFQGRLRK</v>
      </c>
      <c r="R107" s="5">
        <f>VLOOKUP($A107,'SegEnds_NonXtal_Prot#'!$A:$AL,3,FALSE)</f>
        <v>34</v>
      </c>
      <c r="S107" s="5" t="str">
        <f>VLOOKUP($A107,'SegEnds_NonXtal_Prot#'!$A:$AL,6,FALSE)</f>
        <v>-</v>
      </c>
      <c r="T107" s="5">
        <f>VLOOKUP($A107,'SegEnds_NonXtal_Prot#'!$A:$AL,9,FALSE)</f>
        <v>69</v>
      </c>
      <c r="U107" s="5">
        <f>VLOOKUP($A107,'SegEnds_NonXtal_Prot#'!$A:$AL,12,FALSE)</f>
        <v>101</v>
      </c>
      <c r="V107" s="5">
        <f>VLOOKUP($A107,'SegEnds_NonXtal_Prot#'!$A:$AL,15,FALSE)</f>
        <v>105</v>
      </c>
      <c r="W107" s="5">
        <f>VLOOKUP($A107,'SegEnds_NonXtal_Prot#'!$A:$AL,18,FALSE)</f>
        <v>141</v>
      </c>
      <c r="X107" s="5">
        <f>VLOOKUP($A107,'SegEnds_NonXtal_Prot#'!$A:$AL,21,FALSE)</f>
        <v>149</v>
      </c>
      <c r="Y107" s="5">
        <f>VLOOKUP($A107,'SegEnds_NonXtal_Prot#'!$A:$AL,24,FALSE)</f>
        <v>188</v>
      </c>
      <c r="Z107" s="5">
        <f>VLOOKUP($A107,'SegEnds_NonXtal_Prot#'!$A:$AL,27,FALSE)</f>
        <v>195</v>
      </c>
      <c r="AA107" s="5">
        <f>VLOOKUP($A107,'SegEnds_NonXtal_Prot#'!$A:$AL,30,FALSE)</f>
        <v>238</v>
      </c>
      <c r="AB107" s="5">
        <f>VLOOKUP($A107,'SegEnds_NonXtal_Prot#'!$A:$AL,33,FALSE)</f>
        <v>272</v>
      </c>
      <c r="AC107" s="5">
        <f>VLOOKUP($A107,'SegEnds_NonXtal_Prot#'!$A:$AL,36,FALSE)</f>
        <v>304</v>
      </c>
      <c r="AD107" s="5">
        <f>VLOOKUP($A107,'SegEnds_NonXtal_Prot#'!$A:$AL,5,FALSE)</f>
        <v>65</v>
      </c>
      <c r="AE107" s="5" t="str">
        <f>VLOOKUP($A107,'SegEnds_NonXtal_Prot#'!$A:$AL,8,FALSE)</f>
        <v>-</v>
      </c>
      <c r="AF107" s="5">
        <f>VLOOKUP($A107,'SegEnds_NonXtal_Prot#'!$A:$AL,11,FALSE)</f>
        <v>99</v>
      </c>
      <c r="AG107" s="5">
        <f>VLOOKUP($A107,'SegEnds_NonXtal_Prot#'!$A:$AL,14,FALSE)</f>
        <v>104</v>
      </c>
      <c r="AH107" s="5">
        <f>VLOOKUP($A107,'SegEnds_NonXtal_Prot#'!$A:$AL,17,FALSE)</f>
        <v>140</v>
      </c>
      <c r="AI107" s="5">
        <f>VLOOKUP($A107,'SegEnds_NonXtal_Prot#'!$A:$AL,20,FALSE)</f>
        <v>148</v>
      </c>
      <c r="AJ107" s="5">
        <f>VLOOKUP($A107,'SegEnds_NonXtal_Prot#'!$A:$AL,23,FALSE)</f>
        <v>175</v>
      </c>
      <c r="AK107" s="5">
        <f>VLOOKUP($A107,'SegEnds_NonXtal_Prot#'!$A:$AL,26,FALSE)</f>
        <v>190</v>
      </c>
      <c r="AL107" s="5">
        <f>VLOOKUP($A107,'SegEnds_NonXtal_Prot#'!$A:$AL,29,FALSE)</f>
        <v>232</v>
      </c>
      <c r="AM107" s="5">
        <f>VLOOKUP($A107,'SegEnds_NonXtal_Prot#'!$A:$AL,32,FALSE)</f>
        <v>268</v>
      </c>
      <c r="AN107" s="5">
        <f>VLOOKUP($A107,'SegEnds_NonXtal_Prot#'!$A:$AL,35,FALSE)</f>
        <v>303</v>
      </c>
      <c r="AO107" s="5">
        <f>VLOOKUP($A107,'SegEnds_NonXtal_Prot#'!$A:$AL,38,FALSE)</f>
        <v>313</v>
      </c>
      <c r="AP107" s="5">
        <f t="shared" si="38"/>
        <v>31</v>
      </c>
      <c r="AQ107" s="4" t="str">
        <f t="shared" si="39"/>
        <v>-</v>
      </c>
      <c r="AR107" s="4">
        <f t="shared" si="40"/>
        <v>30</v>
      </c>
      <c r="AS107" s="4">
        <f t="shared" si="41"/>
        <v>3</v>
      </c>
      <c r="AT107" s="4">
        <f t="shared" si="42"/>
        <v>35</v>
      </c>
      <c r="AU107" s="4">
        <f t="shared" si="43"/>
        <v>7</v>
      </c>
      <c r="AV107" s="4">
        <f t="shared" si="44"/>
        <v>26</v>
      </c>
      <c r="AW107" s="4">
        <f t="shared" si="45"/>
        <v>2</v>
      </c>
      <c r="AX107" s="4">
        <f t="shared" si="46"/>
        <v>37</v>
      </c>
      <c r="AY107" s="4">
        <f t="shared" si="47"/>
        <v>30</v>
      </c>
      <c r="AZ107" s="4">
        <f t="shared" si="48"/>
        <v>31</v>
      </c>
      <c r="BA107" s="4">
        <f t="shared" si="49"/>
        <v>9</v>
      </c>
    </row>
    <row r="108" spans="1:53" x14ac:dyDescent="0.2">
      <c r="A108" s="1" t="str">
        <f>'SegEnds_NonXtal_Prot#'!A79</f>
        <v>c5ar2_human</v>
      </c>
      <c r="B108" s="1" t="str">
        <f t="shared" si="25"/>
        <v>DPLRVAPLPLYAAIFLVGVPGNAMVAWVAGKVRVGATWLLHLAVADLLCCLSLPILAVPIARGGAVGCRALPSIILLTMYASVLLLAALSADLCFLALGRACGVQVACGAAWTLALLLTVPSAIYRSSSTENAVTAIRFLFGFLGPLVAVASCHSALLCWRRCRPLGTAIVVGFFVCWAPYHLLGLVLTVASALLARALRAEPLIVGLALAHSCLNPMLFLYFGRAQLRRSLP</v>
      </c>
      <c r="C108" s="29" t="str">
        <f>IF(ISERROR(MATCH(A108,'SegEnds_Xtal_Prot#'!B:B, 0)), "NoXtal", "Xtal")</f>
        <v>NoXtal</v>
      </c>
      <c r="D108" s="4" t="str">
        <f>VLOOKUP(A108,Classification!A:D,2,FALSE)</f>
        <v>A</v>
      </c>
      <c r="E108" s="5" t="str">
        <f>VLOOKUP(A108,Seqs!A:B,2,FALSE)</f>
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</c>
      <c r="F108" s="5" t="str">
        <f t="shared" si="26"/>
        <v>DPLRVAPLPLYAAIFLVGVPGNAMVAWVAGKV</v>
      </c>
      <c r="G108" s="4" t="str">
        <f t="shared" si="27"/>
        <v/>
      </c>
      <c r="H108" s="4" t="str">
        <f t="shared" si="28"/>
        <v>RVGATWLLHLAVADLLCCLSLPILAVPIARG</v>
      </c>
      <c r="I108" s="4" t="str">
        <f t="shared" si="29"/>
        <v>HWPY</v>
      </c>
      <c r="J108" s="4" t="str">
        <f t="shared" si="30"/>
        <v>GAVGCRALPSIILLTMYASVLLLAALSADLCFLALG</v>
      </c>
      <c r="K108" s="4" t="str">
        <f t="shared" si="31"/>
        <v>PAWWSTVQ</v>
      </c>
      <c r="L108" s="4" t="str">
        <f t="shared" si="32"/>
        <v>RACGVQVACGAAWTLALLLTVPSAIYR</v>
      </c>
      <c r="M108" s="4" t="str">
        <f t="shared" si="33"/>
        <v>CVV</v>
      </c>
      <c r="N108" s="4" t="str">
        <f t="shared" si="34"/>
        <v>SSSTENAVTAIRFLFGFLGPLVAVASCHSALLCW</v>
      </c>
      <c r="O108" s="4" t="str">
        <f t="shared" si="35"/>
        <v>RRCRPLGTAIVVGFFVCWAPYHLLGLVLTVA</v>
      </c>
      <c r="P108" s="4" t="str">
        <f t="shared" si="36"/>
        <v>SALLARALRAEPLIVGLALAHSCLNPMLFLYF</v>
      </c>
      <c r="Q108" s="4" t="str">
        <f t="shared" si="37"/>
        <v>GRAQLRRSLP</v>
      </c>
      <c r="R108" s="5">
        <f>VLOOKUP($A108,'SegEnds_NonXtal_Prot#'!$A:$AL,3,FALSE)</f>
        <v>32</v>
      </c>
      <c r="S108" s="5" t="str">
        <f>VLOOKUP($A108,'SegEnds_NonXtal_Prot#'!$A:$AL,6,FALSE)</f>
        <v>-</v>
      </c>
      <c r="T108" s="5">
        <f>VLOOKUP($A108,'SegEnds_NonXtal_Prot#'!$A:$AL,9,FALSE)</f>
        <v>67</v>
      </c>
      <c r="U108" s="5">
        <f>VLOOKUP($A108,'SegEnds_NonXtal_Prot#'!$A:$AL,12,FALSE)</f>
        <v>99</v>
      </c>
      <c r="V108" s="5">
        <f>VLOOKUP($A108,'SegEnds_NonXtal_Prot#'!$A:$AL,15,FALSE)</f>
        <v>103</v>
      </c>
      <c r="W108" s="5">
        <f>VLOOKUP($A108,'SegEnds_NonXtal_Prot#'!$A:$AL,18,FALSE)</f>
        <v>139</v>
      </c>
      <c r="X108" s="5">
        <f>VLOOKUP($A108,'SegEnds_NonXtal_Prot#'!$A:$AL,21,FALSE)</f>
        <v>147</v>
      </c>
      <c r="Y108" s="5">
        <f>VLOOKUP($A108,'SegEnds_NonXtal_Prot#'!$A:$AL,24,FALSE)</f>
        <v>186</v>
      </c>
      <c r="Z108" s="5">
        <f>VLOOKUP($A108,'SegEnds_NonXtal_Prot#'!$A:$AL,27,FALSE)</f>
        <v>193</v>
      </c>
      <c r="AA108" s="5">
        <f>VLOOKUP($A108,'SegEnds_NonXtal_Prot#'!$A:$AL,30,FALSE)</f>
        <v>229</v>
      </c>
      <c r="AB108" s="5">
        <f>VLOOKUP($A108,'SegEnds_NonXtal_Prot#'!$A:$AL,33,FALSE)</f>
        <v>263</v>
      </c>
      <c r="AC108" s="5">
        <f>VLOOKUP($A108,'SegEnds_NonXtal_Prot#'!$A:$AL,36,FALSE)</f>
        <v>295</v>
      </c>
      <c r="AD108" s="5">
        <f>VLOOKUP($A108,'SegEnds_NonXtal_Prot#'!$A:$AL,5,FALSE)</f>
        <v>63</v>
      </c>
      <c r="AE108" s="5" t="str">
        <f>VLOOKUP($A108,'SegEnds_NonXtal_Prot#'!$A:$AL,8,FALSE)</f>
        <v>-</v>
      </c>
      <c r="AF108" s="5">
        <f>VLOOKUP($A108,'SegEnds_NonXtal_Prot#'!$A:$AL,11,FALSE)</f>
        <v>97</v>
      </c>
      <c r="AG108" s="5">
        <f>VLOOKUP($A108,'SegEnds_NonXtal_Prot#'!$A:$AL,14,FALSE)</f>
        <v>102</v>
      </c>
      <c r="AH108" s="5">
        <f>VLOOKUP($A108,'SegEnds_NonXtal_Prot#'!$A:$AL,17,FALSE)</f>
        <v>138</v>
      </c>
      <c r="AI108" s="5">
        <f>VLOOKUP($A108,'SegEnds_NonXtal_Prot#'!$A:$AL,20,FALSE)</f>
        <v>146</v>
      </c>
      <c r="AJ108" s="5">
        <f>VLOOKUP($A108,'SegEnds_NonXtal_Prot#'!$A:$AL,23,FALSE)</f>
        <v>173</v>
      </c>
      <c r="AK108" s="5">
        <f>VLOOKUP($A108,'SegEnds_NonXtal_Prot#'!$A:$AL,26,FALSE)</f>
        <v>188</v>
      </c>
      <c r="AL108" s="5">
        <f>VLOOKUP($A108,'SegEnds_NonXtal_Prot#'!$A:$AL,29,FALSE)</f>
        <v>226</v>
      </c>
      <c r="AM108" s="5">
        <f>VLOOKUP($A108,'SegEnds_NonXtal_Prot#'!$A:$AL,32,FALSE)</f>
        <v>259</v>
      </c>
      <c r="AN108" s="5">
        <f>VLOOKUP($A108,'SegEnds_NonXtal_Prot#'!$A:$AL,35,FALSE)</f>
        <v>294</v>
      </c>
      <c r="AO108" s="5">
        <f>VLOOKUP($A108,'SegEnds_NonXtal_Prot#'!$A:$AL,38,FALSE)</f>
        <v>304</v>
      </c>
      <c r="AP108" s="5">
        <f t="shared" si="38"/>
        <v>31</v>
      </c>
      <c r="AQ108" s="4" t="str">
        <f t="shared" si="39"/>
        <v>-</v>
      </c>
      <c r="AR108" s="4">
        <f t="shared" si="40"/>
        <v>30</v>
      </c>
      <c r="AS108" s="4">
        <f t="shared" si="41"/>
        <v>3</v>
      </c>
      <c r="AT108" s="4">
        <f t="shared" si="42"/>
        <v>35</v>
      </c>
      <c r="AU108" s="4">
        <f t="shared" si="43"/>
        <v>7</v>
      </c>
      <c r="AV108" s="4">
        <f t="shared" si="44"/>
        <v>26</v>
      </c>
      <c r="AW108" s="4">
        <f t="shared" si="45"/>
        <v>2</v>
      </c>
      <c r="AX108" s="4">
        <f t="shared" si="46"/>
        <v>33</v>
      </c>
      <c r="AY108" s="4">
        <f t="shared" si="47"/>
        <v>30</v>
      </c>
      <c r="AZ108" s="4">
        <f t="shared" si="48"/>
        <v>31</v>
      </c>
      <c r="BA108" s="4">
        <f t="shared" si="49"/>
        <v>9</v>
      </c>
    </row>
    <row r="109" spans="1:53" x14ac:dyDescent="0.2">
      <c r="A109" s="1" t="str">
        <f>'SegEnds_NonXtal_Prot#'!A80</f>
        <v>cckar_human</v>
      </c>
      <c r="B109" s="1" t="str">
        <f t="shared" si="25"/>
        <v>PAVQILLYSLIFLLSVLGNTLVITVLIRNTVTNIFLLSLAVSDLMLCLFCMPFNLIPNLLKGSAVCKTTTYFMGTSVSVSTFNLVAISLERYGAICKTKSHALKVIAATWCLSFTIMTPYPIYSVMQQSWHTFLLLILFLIPGIVMMVAYGLISLELYQGIKFEASAANLMAKKRVIRMLIVIVVLFFLCWMPIFSANAWRAYDERRLSGTPISFILLLSYTSSCVNPIIYCFMNKRFRLGFMATFPCCPN</v>
      </c>
      <c r="C109" s="29" t="str">
        <f>IF(ISERROR(MATCH(A109,'SegEnds_Xtal_Prot#'!B:B, 0)), "NoXtal", "Xtal")</f>
        <v>NoXtal</v>
      </c>
      <c r="D109" s="4" t="str">
        <f>VLOOKUP(A109,Classification!A:D,2,FALSE)</f>
        <v>A</v>
      </c>
      <c r="E109" s="5" t="str">
        <f>VLOOKUP(A109,Seqs!A:B,2,FALSE)</f>
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</c>
      <c r="F109" s="5" t="str">
        <f t="shared" si="26"/>
        <v>PAVQILLYSLIFLLSVLGNTLVITVLIRN</v>
      </c>
      <c r="G109" s="4" t="str">
        <f t="shared" si="27"/>
        <v>KRMR</v>
      </c>
      <c r="H109" s="4" t="str">
        <f t="shared" si="28"/>
        <v>TVTNIFLLSLAVSDLMLCLFCMPFNLIPNLLK</v>
      </c>
      <c r="I109" s="4" t="str">
        <f t="shared" si="29"/>
        <v>DFIF</v>
      </c>
      <c r="J109" s="4" t="str">
        <f t="shared" si="30"/>
        <v>GSAVCKTTTYFMGTSVSVSTFNLVAISLERYGAICK</v>
      </c>
      <c r="K109" s="4" t="str">
        <f t="shared" si="31"/>
        <v>PLQSRVWQ</v>
      </c>
      <c r="L109" s="4" t="str">
        <f t="shared" si="32"/>
        <v>TKSHALKVIAATWCLSFTIMTPYPIYS</v>
      </c>
      <c r="M109" s="4" t="str">
        <f t="shared" si="33"/>
        <v>CRF</v>
      </c>
      <c r="N109" s="4" t="str">
        <f t="shared" si="34"/>
        <v>VMQQSWHTFLLLILFLIPGIVMMVAYGLISLELYQGIKFEAS</v>
      </c>
      <c r="O109" s="4" t="str">
        <f t="shared" si="35"/>
        <v>AANLMAKKRVIRMLIVIVVLFFLCWMPIFSANAWRAYD</v>
      </c>
      <c r="P109" s="4" t="str">
        <f t="shared" si="36"/>
        <v>ERRLSGTPISFILLLSYTSSCVNPIIYCFM</v>
      </c>
      <c r="Q109" s="4" t="str">
        <f t="shared" si="37"/>
        <v>NKRFRLGFMATFPCCPN</v>
      </c>
      <c r="R109" s="5">
        <f>VLOOKUP($A109,'SegEnds_NonXtal_Prot#'!$A:$AL,3,FALSE)</f>
        <v>41</v>
      </c>
      <c r="S109" s="5">
        <f>VLOOKUP($A109,'SegEnds_NonXtal_Prot#'!$A:$AL,6,FALSE)</f>
        <v>70</v>
      </c>
      <c r="T109" s="5">
        <f>VLOOKUP($A109,'SegEnds_NonXtal_Prot#'!$A:$AL,9,FALSE)</f>
        <v>74</v>
      </c>
      <c r="U109" s="5">
        <f>VLOOKUP($A109,'SegEnds_NonXtal_Prot#'!$A:$AL,12,FALSE)</f>
        <v>106</v>
      </c>
      <c r="V109" s="5">
        <f>VLOOKUP($A109,'SegEnds_NonXtal_Prot#'!$A:$AL,15,FALSE)</f>
        <v>110</v>
      </c>
      <c r="W109" s="5">
        <f>VLOOKUP($A109,'SegEnds_NonXtal_Prot#'!$A:$AL,18,FALSE)</f>
        <v>146</v>
      </c>
      <c r="X109" s="5">
        <f>VLOOKUP($A109,'SegEnds_NonXtal_Prot#'!$A:$AL,21,FALSE)</f>
        <v>154</v>
      </c>
      <c r="Y109" s="5">
        <f>VLOOKUP($A109,'SegEnds_NonXtal_Prot#'!$A:$AL,24,FALSE)</f>
        <v>196</v>
      </c>
      <c r="Z109" s="5">
        <f>VLOOKUP($A109,'SegEnds_NonXtal_Prot#'!$A:$AL,27,FALSE)</f>
        <v>204</v>
      </c>
      <c r="AA109" s="5">
        <f>VLOOKUP($A109,'SegEnds_NonXtal_Prot#'!$A:$AL,30,FALSE)</f>
        <v>302</v>
      </c>
      <c r="AB109" s="5">
        <f>VLOOKUP($A109,'SegEnds_NonXtal_Prot#'!$A:$AL,33,FALSE)</f>
        <v>344</v>
      </c>
      <c r="AC109" s="5">
        <f>VLOOKUP($A109,'SegEnds_NonXtal_Prot#'!$A:$AL,36,FALSE)</f>
        <v>374</v>
      </c>
      <c r="AD109" s="5">
        <f>VLOOKUP($A109,'SegEnds_NonXtal_Prot#'!$A:$AL,5,FALSE)</f>
        <v>69</v>
      </c>
      <c r="AE109" s="5">
        <f>VLOOKUP($A109,'SegEnds_NonXtal_Prot#'!$A:$AL,8,FALSE)</f>
        <v>73</v>
      </c>
      <c r="AF109" s="5">
        <f>VLOOKUP($A109,'SegEnds_NonXtal_Prot#'!$A:$AL,11,FALSE)</f>
        <v>105</v>
      </c>
      <c r="AG109" s="5">
        <f>VLOOKUP($A109,'SegEnds_NonXtal_Prot#'!$A:$AL,14,FALSE)</f>
        <v>109</v>
      </c>
      <c r="AH109" s="5">
        <f>VLOOKUP($A109,'SegEnds_NonXtal_Prot#'!$A:$AL,17,FALSE)</f>
        <v>145</v>
      </c>
      <c r="AI109" s="5">
        <f>VLOOKUP($A109,'SegEnds_NonXtal_Prot#'!$A:$AL,20,FALSE)</f>
        <v>153</v>
      </c>
      <c r="AJ109" s="5">
        <f>VLOOKUP($A109,'SegEnds_NonXtal_Prot#'!$A:$AL,23,FALSE)</f>
        <v>180</v>
      </c>
      <c r="AK109" s="5">
        <f>VLOOKUP($A109,'SegEnds_NonXtal_Prot#'!$A:$AL,26,FALSE)</f>
        <v>198</v>
      </c>
      <c r="AL109" s="5">
        <f>VLOOKUP($A109,'SegEnds_NonXtal_Prot#'!$A:$AL,29,FALSE)</f>
        <v>245</v>
      </c>
      <c r="AM109" s="5">
        <f>VLOOKUP($A109,'SegEnds_NonXtal_Prot#'!$A:$AL,32,FALSE)</f>
        <v>339</v>
      </c>
      <c r="AN109" s="5">
        <f>VLOOKUP($A109,'SegEnds_NonXtal_Prot#'!$A:$AL,35,FALSE)</f>
        <v>373</v>
      </c>
      <c r="AO109" s="5">
        <f>VLOOKUP($A109,'SegEnds_NonXtal_Prot#'!$A:$AL,38,FALSE)</f>
        <v>390</v>
      </c>
      <c r="AP109" s="5">
        <f t="shared" si="38"/>
        <v>28</v>
      </c>
      <c r="AQ109" s="4">
        <f t="shared" si="39"/>
        <v>3</v>
      </c>
      <c r="AR109" s="4">
        <f t="shared" si="40"/>
        <v>31</v>
      </c>
      <c r="AS109" s="4">
        <f t="shared" si="41"/>
        <v>3</v>
      </c>
      <c r="AT109" s="4">
        <f t="shared" si="42"/>
        <v>35</v>
      </c>
      <c r="AU109" s="4">
        <f t="shared" si="43"/>
        <v>7</v>
      </c>
      <c r="AV109" s="4">
        <f t="shared" si="44"/>
        <v>26</v>
      </c>
      <c r="AW109" s="4">
        <f t="shared" si="45"/>
        <v>2</v>
      </c>
      <c r="AX109" s="4">
        <f t="shared" si="46"/>
        <v>41</v>
      </c>
      <c r="AY109" s="4">
        <f t="shared" si="47"/>
        <v>37</v>
      </c>
      <c r="AZ109" s="4">
        <f t="shared" si="48"/>
        <v>29</v>
      </c>
      <c r="BA109" s="4">
        <f t="shared" si="49"/>
        <v>16</v>
      </c>
    </row>
    <row r="110" spans="1:53" x14ac:dyDescent="0.2">
      <c r="A110" s="1" t="str">
        <f>'SegEnds_NonXtal_Prot#'!A81</f>
        <v>ccr1_human</v>
      </c>
      <c r="B110" s="1" t="str">
        <f t="shared" si="25"/>
        <v>KVNERAFGAQLLPPLYSLVFVIGLVGNILVVLVLVQYNMTSIYLLNLAISDLLFLFTLPFWIDYKLKGDAMCKILSGFYYTGLYSEIFFIILLTIDRYLAIVHTVTFGVITSIIIWALAILASMPGLYFSSLREWKLFQALKLNLFGLVLPLLVMIICYTGIIKILLRRKSKAVRLIFVIMIIFFLFWTPYNLTILISVFQDFLFECEQSRHLDLAVQVTEVIAYTHCCVNPVIYAFVGERFRKYLRQLFH</v>
      </c>
      <c r="C110" s="29" t="str">
        <f>IF(ISERROR(MATCH(A110,'SegEnds_Xtal_Prot#'!B:B, 0)), "NoXtal", "Xtal")</f>
        <v>NoXtal</v>
      </c>
      <c r="D110" s="4" t="str">
        <f>VLOOKUP(A110,Classification!A:D,2,FALSE)</f>
        <v>A</v>
      </c>
      <c r="E110" s="5" t="str">
        <f>VLOOKUP(A110,Seqs!A:B,2,FALSE)</f>
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</c>
      <c r="F110" s="5" t="str">
        <f t="shared" si="26"/>
        <v>KVNERAFGAQLLPPLYSLVFVIGLVGNILVVLVLVQY</v>
      </c>
      <c r="G110" s="4" t="str">
        <f t="shared" si="27"/>
        <v>KRLK</v>
      </c>
      <c r="H110" s="4" t="str">
        <f t="shared" si="28"/>
        <v>NMTSIYLLNLAISDLLFLFTLPFWIDYKLK</v>
      </c>
      <c r="I110" s="4" t="str">
        <f t="shared" si="29"/>
        <v>DWVF</v>
      </c>
      <c r="J110" s="4" t="str">
        <f t="shared" si="30"/>
        <v>GDAMCKILSGFYYTGLYSEIFFIILLTIDRYLAIVH</v>
      </c>
      <c r="K110" s="4" t="str">
        <f t="shared" si="31"/>
        <v>AVFALRAR</v>
      </c>
      <c r="L110" s="4" t="str">
        <f t="shared" si="32"/>
        <v>TVTFGVITSIIIWALAILASMPGLYFS</v>
      </c>
      <c r="M110" s="4" t="str">
        <f t="shared" si="33"/>
        <v>CSL</v>
      </c>
      <c r="N110" s="4" t="str">
        <f t="shared" si="34"/>
        <v>SLREWKLFQALKLNLFGLVLPLLVMIICYTGIIKILLRR</v>
      </c>
      <c r="O110" s="4" t="str">
        <f t="shared" si="35"/>
        <v>KSKAVRLIFVIMIIFFLFWTPYNLTILISVFQDFLF</v>
      </c>
      <c r="P110" s="4" t="str">
        <f t="shared" si="36"/>
        <v>ECEQSRHLDLAVQVTEVIAYTHCCVNPVIYAFV</v>
      </c>
      <c r="Q110" s="4" t="str">
        <f t="shared" si="37"/>
        <v>GERFRKYLRQLFH</v>
      </c>
      <c r="R110" s="5">
        <f>VLOOKUP($A110,'SegEnds_NonXtal_Prot#'!$A:$AL,3,FALSE)</f>
        <v>26</v>
      </c>
      <c r="S110" s="5">
        <f>VLOOKUP($A110,'SegEnds_NonXtal_Prot#'!$A:$AL,6,FALSE)</f>
        <v>63</v>
      </c>
      <c r="T110" s="5">
        <f>VLOOKUP($A110,'SegEnds_NonXtal_Prot#'!$A:$AL,9,FALSE)</f>
        <v>67</v>
      </c>
      <c r="U110" s="5">
        <f>VLOOKUP($A110,'SegEnds_NonXtal_Prot#'!$A:$AL,12,FALSE)</f>
        <v>98</v>
      </c>
      <c r="V110" s="5">
        <f>VLOOKUP($A110,'SegEnds_NonXtal_Prot#'!$A:$AL,15,FALSE)</f>
        <v>102</v>
      </c>
      <c r="W110" s="5">
        <f>VLOOKUP($A110,'SegEnds_NonXtal_Prot#'!$A:$AL,18,FALSE)</f>
        <v>138</v>
      </c>
      <c r="X110" s="5">
        <f>VLOOKUP($A110,'SegEnds_NonXtal_Prot#'!$A:$AL,21,FALSE)</f>
        <v>146</v>
      </c>
      <c r="Y110" s="5">
        <f>VLOOKUP($A110,'SegEnds_NonXtal_Prot#'!$A:$AL,24,FALSE)</f>
        <v>183</v>
      </c>
      <c r="Z110" s="5">
        <f>VLOOKUP($A110,'SegEnds_NonXtal_Prot#'!$A:$AL,27,FALSE)</f>
        <v>191</v>
      </c>
      <c r="AA110" s="5">
        <f>VLOOKUP($A110,'SegEnds_NonXtal_Prot#'!$A:$AL,30,FALSE)</f>
        <v>234</v>
      </c>
      <c r="AB110" s="5">
        <f>VLOOKUP($A110,'SegEnds_NonXtal_Prot#'!$A:$AL,33,FALSE)</f>
        <v>272</v>
      </c>
      <c r="AC110" s="5">
        <f>VLOOKUP($A110,'SegEnds_NonXtal_Prot#'!$A:$AL,36,FALSE)</f>
        <v>305</v>
      </c>
      <c r="AD110" s="5">
        <f>VLOOKUP($A110,'SegEnds_NonXtal_Prot#'!$A:$AL,5,FALSE)</f>
        <v>62</v>
      </c>
      <c r="AE110" s="5">
        <f>VLOOKUP($A110,'SegEnds_NonXtal_Prot#'!$A:$AL,8,FALSE)</f>
        <v>66</v>
      </c>
      <c r="AF110" s="5">
        <f>VLOOKUP($A110,'SegEnds_NonXtal_Prot#'!$A:$AL,11,FALSE)</f>
        <v>96</v>
      </c>
      <c r="AG110" s="5">
        <f>VLOOKUP($A110,'SegEnds_NonXtal_Prot#'!$A:$AL,14,FALSE)</f>
        <v>101</v>
      </c>
      <c r="AH110" s="5">
        <f>VLOOKUP($A110,'SegEnds_NonXtal_Prot#'!$A:$AL,17,FALSE)</f>
        <v>137</v>
      </c>
      <c r="AI110" s="5">
        <f>VLOOKUP($A110,'SegEnds_NonXtal_Prot#'!$A:$AL,20,FALSE)</f>
        <v>145</v>
      </c>
      <c r="AJ110" s="5">
        <f>VLOOKUP($A110,'SegEnds_NonXtal_Prot#'!$A:$AL,23,FALSE)</f>
        <v>172</v>
      </c>
      <c r="AK110" s="5">
        <f>VLOOKUP($A110,'SegEnds_NonXtal_Prot#'!$A:$AL,26,FALSE)</f>
        <v>185</v>
      </c>
      <c r="AL110" s="5">
        <f>VLOOKUP($A110,'SegEnds_NonXtal_Prot#'!$A:$AL,29,FALSE)</f>
        <v>229</v>
      </c>
      <c r="AM110" s="5">
        <f>VLOOKUP($A110,'SegEnds_NonXtal_Prot#'!$A:$AL,32,FALSE)</f>
        <v>269</v>
      </c>
      <c r="AN110" s="5">
        <f>VLOOKUP($A110,'SegEnds_NonXtal_Prot#'!$A:$AL,35,FALSE)</f>
        <v>304</v>
      </c>
      <c r="AO110" s="5">
        <f>VLOOKUP($A110,'SegEnds_NonXtal_Prot#'!$A:$AL,38,FALSE)</f>
        <v>317</v>
      </c>
      <c r="AP110" s="5">
        <f t="shared" si="38"/>
        <v>36</v>
      </c>
      <c r="AQ110" s="4">
        <f t="shared" si="39"/>
        <v>3</v>
      </c>
      <c r="AR110" s="4">
        <f t="shared" si="40"/>
        <v>29</v>
      </c>
      <c r="AS110" s="4">
        <f t="shared" si="41"/>
        <v>3</v>
      </c>
      <c r="AT110" s="4">
        <f t="shared" si="42"/>
        <v>35</v>
      </c>
      <c r="AU110" s="4">
        <f t="shared" si="43"/>
        <v>7</v>
      </c>
      <c r="AV110" s="4">
        <f t="shared" si="44"/>
        <v>26</v>
      </c>
      <c r="AW110" s="4">
        <f t="shared" si="45"/>
        <v>2</v>
      </c>
      <c r="AX110" s="4">
        <f t="shared" si="46"/>
        <v>38</v>
      </c>
      <c r="AY110" s="4">
        <f t="shared" si="47"/>
        <v>35</v>
      </c>
      <c r="AZ110" s="4">
        <f t="shared" si="48"/>
        <v>32</v>
      </c>
      <c r="BA110" s="4">
        <f t="shared" si="49"/>
        <v>12</v>
      </c>
    </row>
    <row r="111" spans="1:53" x14ac:dyDescent="0.2">
      <c r="A111" s="1" t="str">
        <f>'SegEnds_NonXtal_Prot#'!A82</f>
        <v>ccr2_human</v>
      </c>
      <c r="B111" s="1" t="str">
        <f t="shared" si="25"/>
        <v>VKQIGAQLLPPLYSLVFIFGFVGNMLVVLILINCCLTDIYLLNLAISDLLFLITLPLWAHSAANGNAMCKLFTGLYHIGYFGGIFFIILLTIDRYLAIVHTVTFGVVTSVITWLVAVFASVPGIIFTPRGWNNFHTIMRNILGLVLPLLIMVICYSGILKTLLRCKKRHRAVRVIFTIMIVYFLFWTPYNIVILLNTFQEFFGNCESTSQLDQATQVTETLGMTHCCINPIIYAFVGEKFRSLFHIAL</v>
      </c>
      <c r="C111" s="29" t="str">
        <f>IF(ISERROR(MATCH(A111,'SegEnds_Xtal_Prot#'!B:B, 0)), "NoXtal", "Xtal")</f>
        <v>Xtal</v>
      </c>
      <c r="D111" s="4" t="str">
        <f>VLOOKUP(A111,Classification!A:D,2,FALSE)</f>
        <v>A</v>
      </c>
      <c r="E111" s="5" t="str">
        <f>VLOOKUP(A111,Seqs!A:B,2,FALSE)</f>
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</c>
      <c r="F111" s="5" t="str">
        <f t="shared" si="26"/>
        <v>VKQIGAQLLPPLYSLVFIFGFVGNMLVVLILINC</v>
      </c>
      <c r="G111" s="4" t="str">
        <f t="shared" si="27"/>
        <v>KKLK</v>
      </c>
      <c r="H111" s="4" t="str">
        <f t="shared" si="28"/>
        <v>CLTDIYLLNLAISDLLFLITLPLWAHSAAN</v>
      </c>
      <c r="I111" s="4" t="str">
        <f t="shared" si="29"/>
        <v>EWVF</v>
      </c>
      <c r="J111" s="4" t="str">
        <f t="shared" si="30"/>
        <v>GNAMCKLFTGLYHIGYFGGIFFIILLTIDRYLAIVH</v>
      </c>
      <c r="K111" s="4" t="str">
        <f t="shared" si="31"/>
        <v>AVFALKAR</v>
      </c>
      <c r="L111" s="4" t="str">
        <f t="shared" si="32"/>
        <v>TVTFGVVTSVITWLVAVFASVPGIIFT</v>
      </c>
      <c r="M111" s="4" t="str">
        <f t="shared" si="33"/>
        <v>CGP</v>
      </c>
      <c r="N111" s="4" t="str">
        <f t="shared" si="34"/>
        <v>PRGWNNFHTIMRNILGLVLPLLIMVICYSGILKTLLRC</v>
      </c>
      <c r="O111" s="4" t="str">
        <f t="shared" si="35"/>
        <v>KKRHRAVRVIFTIMIVYFLFWTPYNIVILLNTFQEFFG</v>
      </c>
      <c r="P111" s="4" t="str">
        <f t="shared" si="36"/>
        <v>NCESTSQLDQATQVTETLGMTHCCINPIIYAFV</v>
      </c>
      <c r="Q111" s="4" t="str">
        <f t="shared" si="37"/>
        <v>GEKFRSLFHIAL</v>
      </c>
      <c r="R111" s="5">
        <f>VLOOKUP($A111,'SegEnds_NonXtal_Prot#'!$A:$AL,3,FALSE)</f>
        <v>37</v>
      </c>
      <c r="S111" s="5">
        <f>VLOOKUP($A111,'SegEnds_NonXtal_Prot#'!$A:$AL,6,FALSE)</f>
        <v>71</v>
      </c>
      <c r="T111" s="5">
        <f>VLOOKUP($A111,'SegEnds_NonXtal_Prot#'!$A:$AL,9,FALSE)</f>
        <v>75</v>
      </c>
      <c r="U111" s="5">
        <f>VLOOKUP($A111,'SegEnds_NonXtal_Prot#'!$A:$AL,12,FALSE)</f>
        <v>105</v>
      </c>
      <c r="V111" s="5">
        <f>VLOOKUP($A111,'SegEnds_NonXtal_Prot#'!$A:$AL,15,FALSE)</f>
        <v>109</v>
      </c>
      <c r="W111" s="5">
        <f>VLOOKUP($A111,'SegEnds_NonXtal_Prot#'!$A:$AL,18,FALSE)</f>
        <v>145</v>
      </c>
      <c r="X111" s="5">
        <f>VLOOKUP($A111,'SegEnds_NonXtal_Prot#'!$A:$AL,21,FALSE)</f>
        <v>153</v>
      </c>
      <c r="Y111" s="5">
        <f>VLOOKUP($A111,'SegEnds_NonXtal_Prot#'!$A:$AL,24,FALSE)</f>
        <v>190</v>
      </c>
      <c r="Z111" s="5">
        <f>VLOOKUP($A111,'SegEnds_NonXtal_Prot#'!$A:$AL,27,FALSE)</f>
        <v>195</v>
      </c>
      <c r="AA111" s="5">
        <f>VLOOKUP($A111,'SegEnds_NonXtal_Prot#'!$A:$AL,30,FALSE)</f>
        <v>236</v>
      </c>
      <c r="AB111" s="5">
        <f>VLOOKUP($A111,'SegEnds_NonXtal_Prot#'!$A:$AL,33,FALSE)</f>
        <v>276</v>
      </c>
      <c r="AC111" s="5">
        <f>VLOOKUP($A111,'SegEnds_NonXtal_Prot#'!$A:$AL,36,FALSE)</f>
        <v>309</v>
      </c>
      <c r="AD111" s="5">
        <f>VLOOKUP($A111,'SegEnds_NonXtal_Prot#'!$A:$AL,5,FALSE)</f>
        <v>70</v>
      </c>
      <c r="AE111" s="5">
        <f>VLOOKUP($A111,'SegEnds_NonXtal_Prot#'!$A:$AL,8,FALSE)</f>
        <v>74</v>
      </c>
      <c r="AF111" s="5">
        <f>VLOOKUP($A111,'SegEnds_NonXtal_Prot#'!$A:$AL,11,FALSE)</f>
        <v>104</v>
      </c>
      <c r="AG111" s="5">
        <f>VLOOKUP($A111,'SegEnds_NonXtal_Prot#'!$A:$AL,14,FALSE)</f>
        <v>108</v>
      </c>
      <c r="AH111" s="5">
        <f>VLOOKUP($A111,'SegEnds_NonXtal_Prot#'!$A:$AL,17,FALSE)</f>
        <v>144</v>
      </c>
      <c r="AI111" s="5">
        <f>VLOOKUP($A111,'SegEnds_NonXtal_Prot#'!$A:$AL,20,FALSE)</f>
        <v>152</v>
      </c>
      <c r="AJ111" s="5">
        <f>VLOOKUP($A111,'SegEnds_NonXtal_Prot#'!$A:$AL,23,FALSE)</f>
        <v>179</v>
      </c>
      <c r="AK111" s="5">
        <f>VLOOKUP($A111,'SegEnds_NonXtal_Prot#'!$A:$AL,26,FALSE)</f>
        <v>192</v>
      </c>
      <c r="AL111" s="5">
        <f>VLOOKUP($A111,'SegEnds_NonXtal_Prot#'!$A:$AL,29,FALSE)</f>
        <v>232</v>
      </c>
      <c r="AM111" s="5">
        <f>VLOOKUP($A111,'SegEnds_NonXtal_Prot#'!$A:$AL,32,FALSE)</f>
        <v>273</v>
      </c>
      <c r="AN111" s="5">
        <f>VLOOKUP($A111,'SegEnds_NonXtal_Prot#'!$A:$AL,35,FALSE)</f>
        <v>308</v>
      </c>
      <c r="AO111" s="5">
        <f>VLOOKUP($A111,'SegEnds_NonXtal_Prot#'!$A:$AL,38,FALSE)</f>
        <v>320</v>
      </c>
      <c r="AP111" s="5">
        <f t="shared" si="38"/>
        <v>33</v>
      </c>
      <c r="AQ111" s="4">
        <f t="shared" si="39"/>
        <v>3</v>
      </c>
      <c r="AR111" s="4">
        <f t="shared" si="40"/>
        <v>29</v>
      </c>
      <c r="AS111" s="4">
        <f t="shared" si="41"/>
        <v>3</v>
      </c>
      <c r="AT111" s="4">
        <f t="shared" si="42"/>
        <v>35</v>
      </c>
      <c r="AU111" s="4">
        <f t="shared" si="43"/>
        <v>7</v>
      </c>
      <c r="AV111" s="4">
        <f t="shared" si="44"/>
        <v>26</v>
      </c>
      <c r="AW111" s="4">
        <f t="shared" si="45"/>
        <v>2</v>
      </c>
      <c r="AX111" s="4">
        <f t="shared" si="46"/>
        <v>37</v>
      </c>
      <c r="AY111" s="4">
        <f t="shared" si="47"/>
        <v>37</v>
      </c>
      <c r="AZ111" s="4">
        <f t="shared" si="48"/>
        <v>32</v>
      </c>
      <c r="BA111" s="4">
        <f t="shared" si="49"/>
        <v>11</v>
      </c>
    </row>
    <row r="112" spans="1:53" x14ac:dyDescent="0.2">
      <c r="A112" s="1" t="str">
        <f>'SegEnds_NonXtal_Prot#'!A83</f>
        <v>ccr3_human</v>
      </c>
      <c r="B112" s="1" t="str">
        <f t="shared" si="25"/>
        <v>KADTRALMAQFVPPLYSLVFTVGLLGNVVVVMILIKYIMTNIYLLNLAISDLLFLVTLPFWIHYVRGGHGMCKLLSGFYHTGLYSEIFFIILLTIDRYLAIVHTVTFGVITSIVTWGLAVLAALPEFIFYTVYSWRHFHTLRMTIFCLVLPLLVMAICYTGIIKTLLRCKYKAIRLIFVIMAVFFIFWTPYNVAILLSSYQSILFDCERSKHLDLVMLVTEVIAYSHCCMNPVIYAFVGERFRKYLRHFFH</v>
      </c>
      <c r="C112" s="29" t="str">
        <f>IF(ISERROR(MATCH(A112,'SegEnds_Xtal_Prot#'!B:B, 0)), "NoXtal", "Xtal")</f>
        <v>NoXtal</v>
      </c>
      <c r="D112" s="4" t="str">
        <f>VLOOKUP(A112,Classification!A:D,2,FALSE)</f>
        <v>A</v>
      </c>
      <c r="E112" s="5" t="str">
        <f>VLOOKUP(A112,Seqs!A:B,2,FALSE)</f>
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</c>
      <c r="F112" s="5" t="str">
        <f t="shared" si="26"/>
        <v>KADTRALMAQFVPPLYSLVFTVGLLGNVVVVMILIKY</v>
      </c>
      <c r="G112" s="4" t="str">
        <f t="shared" si="27"/>
        <v>RRLR</v>
      </c>
      <c r="H112" s="4" t="str">
        <f t="shared" si="28"/>
        <v>IMTNIYLLNLAISDLLFLVTLPFWIHYVRG</v>
      </c>
      <c r="I112" s="4" t="str">
        <f t="shared" si="29"/>
        <v>NWVF</v>
      </c>
      <c r="J112" s="4" t="str">
        <f t="shared" si="30"/>
        <v>GHGMCKLLSGFYHTGLYSEIFFIILLTIDRYLAIVH</v>
      </c>
      <c r="K112" s="4" t="str">
        <f t="shared" si="31"/>
        <v>AVFALRAR</v>
      </c>
      <c r="L112" s="4" t="str">
        <f t="shared" si="32"/>
        <v>TVTFGVITSIVTWGLAVLAALPEFIFY</v>
      </c>
      <c r="M112" s="4" t="str">
        <f t="shared" si="33"/>
        <v>CSA</v>
      </c>
      <c r="N112" s="4" t="str">
        <f t="shared" si="34"/>
        <v>TVYSWRHFHTLRMTIFCLVLPLLVMAICYTGIIKTLLRC</v>
      </c>
      <c r="O112" s="4" t="str">
        <f t="shared" si="35"/>
        <v>KYKAIRLIFVIMAVFFIFWTPYNVAILLSSYQSILF</v>
      </c>
      <c r="P112" s="4" t="str">
        <f t="shared" si="36"/>
        <v>DCERSKHLDLVMLVTEVIAYSHCCMNPVIYAFV</v>
      </c>
      <c r="Q112" s="4" t="str">
        <f t="shared" si="37"/>
        <v>GERFRKYLRHFFH</v>
      </c>
      <c r="R112" s="5">
        <f>VLOOKUP($A112,'SegEnds_NonXtal_Prot#'!$A:$AL,3,FALSE)</f>
        <v>26</v>
      </c>
      <c r="S112" s="5">
        <f>VLOOKUP($A112,'SegEnds_NonXtal_Prot#'!$A:$AL,6,FALSE)</f>
        <v>63</v>
      </c>
      <c r="T112" s="5">
        <f>VLOOKUP($A112,'SegEnds_NonXtal_Prot#'!$A:$AL,9,FALSE)</f>
        <v>67</v>
      </c>
      <c r="U112" s="5">
        <f>VLOOKUP($A112,'SegEnds_NonXtal_Prot#'!$A:$AL,12,FALSE)</f>
        <v>98</v>
      </c>
      <c r="V112" s="5">
        <f>VLOOKUP($A112,'SegEnds_NonXtal_Prot#'!$A:$AL,15,FALSE)</f>
        <v>102</v>
      </c>
      <c r="W112" s="5">
        <f>VLOOKUP($A112,'SegEnds_NonXtal_Prot#'!$A:$AL,18,FALSE)</f>
        <v>138</v>
      </c>
      <c r="X112" s="5">
        <f>VLOOKUP($A112,'SegEnds_NonXtal_Prot#'!$A:$AL,21,FALSE)</f>
        <v>146</v>
      </c>
      <c r="Y112" s="5">
        <f>VLOOKUP($A112,'SegEnds_NonXtal_Prot#'!$A:$AL,24,FALSE)</f>
        <v>183</v>
      </c>
      <c r="Z112" s="5">
        <f>VLOOKUP($A112,'SegEnds_NonXtal_Prot#'!$A:$AL,27,FALSE)</f>
        <v>191</v>
      </c>
      <c r="AA112" s="5">
        <f>VLOOKUP($A112,'SegEnds_NonXtal_Prot#'!$A:$AL,30,FALSE)</f>
        <v>234</v>
      </c>
      <c r="AB112" s="5">
        <f>VLOOKUP($A112,'SegEnds_NonXtal_Prot#'!$A:$AL,33,FALSE)</f>
        <v>272</v>
      </c>
      <c r="AC112" s="5">
        <f>VLOOKUP($A112,'SegEnds_NonXtal_Prot#'!$A:$AL,36,FALSE)</f>
        <v>305</v>
      </c>
      <c r="AD112" s="5">
        <f>VLOOKUP($A112,'SegEnds_NonXtal_Prot#'!$A:$AL,5,FALSE)</f>
        <v>62</v>
      </c>
      <c r="AE112" s="5">
        <f>VLOOKUP($A112,'SegEnds_NonXtal_Prot#'!$A:$AL,8,FALSE)</f>
        <v>66</v>
      </c>
      <c r="AF112" s="5">
        <f>VLOOKUP($A112,'SegEnds_NonXtal_Prot#'!$A:$AL,11,FALSE)</f>
        <v>96</v>
      </c>
      <c r="AG112" s="5">
        <f>VLOOKUP($A112,'SegEnds_NonXtal_Prot#'!$A:$AL,14,FALSE)</f>
        <v>101</v>
      </c>
      <c r="AH112" s="5">
        <f>VLOOKUP($A112,'SegEnds_NonXtal_Prot#'!$A:$AL,17,FALSE)</f>
        <v>137</v>
      </c>
      <c r="AI112" s="5">
        <f>VLOOKUP($A112,'SegEnds_NonXtal_Prot#'!$A:$AL,20,FALSE)</f>
        <v>145</v>
      </c>
      <c r="AJ112" s="5">
        <f>VLOOKUP($A112,'SegEnds_NonXtal_Prot#'!$A:$AL,23,FALSE)</f>
        <v>172</v>
      </c>
      <c r="AK112" s="5">
        <f>VLOOKUP($A112,'SegEnds_NonXtal_Prot#'!$A:$AL,26,FALSE)</f>
        <v>185</v>
      </c>
      <c r="AL112" s="5">
        <f>VLOOKUP($A112,'SegEnds_NonXtal_Prot#'!$A:$AL,29,FALSE)</f>
        <v>229</v>
      </c>
      <c r="AM112" s="5">
        <f>VLOOKUP($A112,'SegEnds_NonXtal_Prot#'!$A:$AL,32,FALSE)</f>
        <v>269</v>
      </c>
      <c r="AN112" s="5">
        <f>VLOOKUP($A112,'SegEnds_NonXtal_Prot#'!$A:$AL,35,FALSE)</f>
        <v>304</v>
      </c>
      <c r="AO112" s="5">
        <f>VLOOKUP($A112,'SegEnds_NonXtal_Prot#'!$A:$AL,38,FALSE)</f>
        <v>317</v>
      </c>
      <c r="AP112" s="5">
        <f t="shared" si="38"/>
        <v>36</v>
      </c>
      <c r="AQ112" s="4">
        <f t="shared" si="39"/>
        <v>3</v>
      </c>
      <c r="AR112" s="4">
        <f t="shared" si="40"/>
        <v>29</v>
      </c>
      <c r="AS112" s="4">
        <f t="shared" si="41"/>
        <v>3</v>
      </c>
      <c r="AT112" s="4">
        <f t="shared" si="42"/>
        <v>35</v>
      </c>
      <c r="AU112" s="4">
        <f t="shared" si="43"/>
        <v>7</v>
      </c>
      <c r="AV112" s="4">
        <f t="shared" si="44"/>
        <v>26</v>
      </c>
      <c r="AW112" s="4">
        <f t="shared" si="45"/>
        <v>2</v>
      </c>
      <c r="AX112" s="4">
        <f t="shared" si="46"/>
        <v>38</v>
      </c>
      <c r="AY112" s="4">
        <f t="shared" si="47"/>
        <v>35</v>
      </c>
      <c r="AZ112" s="4">
        <f t="shared" si="48"/>
        <v>32</v>
      </c>
      <c r="BA112" s="4">
        <f t="shared" si="49"/>
        <v>12</v>
      </c>
    </row>
    <row r="113" spans="1:53" x14ac:dyDescent="0.2">
      <c r="A113" s="1" t="str">
        <f>'SegEnds_NonXtal_Prot#'!A84</f>
        <v>ccr4_human</v>
      </c>
      <c r="B113" s="1" t="str">
        <f t="shared" si="25"/>
        <v>KEGIKAFGELFLPPLYSLVFVFGLLGNSVVVLVLFKYSMTDVYLLNLAISDLLFVFSLPFWGYYAADGLGLCKMISWMYLVGFYSGIFFVMLMSIDRYLAIVHTLTYGVITSLATWSVAVFASLPGFLFSNSTTWKVLSSLEINILGLVIPLGIMLFCYSMIIRTLQHCKNKAVKMIFAVVVLFLGFWTPYNIVLFLETLVELEVDCTFERYLDYAIQATETLAFVHCCLNPIIYFFLGEKFRKYILQLFK</v>
      </c>
      <c r="C113" s="29" t="str">
        <f>IF(ISERROR(MATCH(A113,'SegEnds_Xtal_Prot#'!B:B, 0)), "NoXtal", "Xtal")</f>
        <v>NoXtal</v>
      </c>
      <c r="D113" s="4" t="str">
        <f>VLOOKUP(A113,Classification!A:D,2,FALSE)</f>
        <v>A</v>
      </c>
      <c r="E113" s="5" t="str">
        <f>VLOOKUP(A113,Seqs!A:B,2,FALSE)</f>
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</c>
      <c r="F113" s="5" t="str">
        <f t="shared" si="26"/>
        <v>KEGIKAFGELFLPPLYSLVFVFGLLGNSVVVLVLFKY</v>
      </c>
      <c r="G113" s="4" t="str">
        <f t="shared" si="27"/>
        <v>KRLR</v>
      </c>
      <c r="H113" s="4" t="str">
        <f t="shared" si="28"/>
        <v>SMTDVYLLNLAISDLLFVFSLPFWGYYAAD</v>
      </c>
      <c r="I113" s="4" t="str">
        <f t="shared" si="29"/>
        <v>QWVF</v>
      </c>
      <c r="J113" s="4" t="str">
        <f t="shared" si="30"/>
        <v>GLGLCKMISWMYLVGFYSGIFFVMLMSIDRYLAIVH</v>
      </c>
      <c r="K113" s="4" t="str">
        <f t="shared" si="31"/>
        <v>AVFSLRAR</v>
      </c>
      <c r="L113" s="4" t="str">
        <f t="shared" si="32"/>
        <v>TLTYGVITSLATWSVAVFASLPGFLFS</v>
      </c>
      <c r="M113" s="4" t="str">
        <f t="shared" si="33"/>
        <v>CKT</v>
      </c>
      <c r="N113" s="4" t="str">
        <f t="shared" si="34"/>
        <v>NSTTWKVLSSLEINILGLVIPLGIMLFCYSMIIRTLQHC</v>
      </c>
      <c r="O113" s="4" t="str">
        <f t="shared" si="35"/>
        <v>KNKAVKMIFAVVVLFLGFWTPYNIVLFLETLVELEV</v>
      </c>
      <c r="P113" s="4" t="str">
        <f t="shared" si="36"/>
        <v>DCTFERYLDYAIQATETLAFVHCCLNPIIYFFL</v>
      </c>
      <c r="Q113" s="4" t="str">
        <f t="shared" si="37"/>
        <v>GEKFRKYILQLFK</v>
      </c>
      <c r="R113" s="5">
        <f>VLOOKUP($A113,'SegEnds_NonXtal_Prot#'!$A:$AL,3,FALSE)</f>
        <v>31</v>
      </c>
      <c r="S113" s="5">
        <f>VLOOKUP($A113,'SegEnds_NonXtal_Prot#'!$A:$AL,6,FALSE)</f>
        <v>68</v>
      </c>
      <c r="T113" s="5">
        <f>VLOOKUP($A113,'SegEnds_NonXtal_Prot#'!$A:$AL,9,FALSE)</f>
        <v>72</v>
      </c>
      <c r="U113" s="5">
        <f>VLOOKUP($A113,'SegEnds_NonXtal_Prot#'!$A:$AL,12,FALSE)</f>
        <v>102</v>
      </c>
      <c r="V113" s="5">
        <f>VLOOKUP($A113,'SegEnds_NonXtal_Prot#'!$A:$AL,15,FALSE)</f>
        <v>106</v>
      </c>
      <c r="W113" s="5">
        <f>VLOOKUP($A113,'SegEnds_NonXtal_Prot#'!$A:$AL,18,FALSE)</f>
        <v>142</v>
      </c>
      <c r="X113" s="5">
        <f>VLOOKUP($A113,'SegEnds_NonXtal_Prot#'!$A:$AL,21,FALSE)</f>
        <v>150</v>
      </c>
      <c r="Y113" s="5">
        <f>VLOOKUP($A113,'SegEnds_NonXtal_Prot#'!$A:$AL,24,FALSE)</f>
        <v>187</v>
      </c>
      <c r="Z113" s="5">
        <f>VLOOKUP($A113,'SegEnds_NonXtal_Prot#'!$A:$AL,27,FALSE)</f>
        <v>194</v>
      </c>
      <c r="AA113" s="5">
        <f>VLOOKUP($A113,'SegEnds_NonXtal_Prot#'!$A:$AL,30,FALSE)</f>
        <v>237</v>
      </c>
      <c r="AB113" s="5">
        <f>VLOOKUP($A113,'SegEnds_NonXtal_Prot#'!$A:$AL,33,FALSE)</f>
        <v>275</v>
      </c>
      <c r="AC113" s="5">
        <f>VLOOKUP($A113,'SegEnds_NonXtal_Prot#'!$A:$AL,36,FALSE)</f>
        <v>308</v>
      </c>
      <c r="AD113" s="5">
        <f>VLOOKUP($A113,'SegEnds_NonXtal_Prot#'!$A:$AL,5,FALSE)</f>
        <v>67</v>
      </c>
      <c r="AE113" s="5">
        <f>VLOOKUP($A113,'SegEnds_NonXtal_Prot#'!$A:$AL,8,FALSE)</f>
        <v>71</v>
      </c>
      <c r="AF113" s="5">
        <f>VLOOKUP($A113,'SegEnds_NonXtal_Prot#'!$A:$AL,11,FALSE)</f>
        <v>101</v>
      </c>
      <c r="AG113" s="5">
        <f>VLOOKUP($A113,'SegEnds_NonXtal_Prot#'!$A:$AL,14,FALSE)</f>
        <v>105</v>
      </c>
      <c r="AH113" s="5">
        <f>VLOOKUP($A113,'SegEnds_NonXtal_Prot#'!$A:$AL,17,FALSE)</f>
        <v>141</v>
      </c>
      <c r="AI113" s="5">
        <f>VLOOKUP($A113,'SegEnds_NonXtal_Prot#'!$A:$AL,20,FALSE)</f>
        <v>149</v>
      </c>
      <c r="AJ113" s="5">
        <f>VLOOKUP($A113,'SegEnds_NonXtal_Prot#'!$A:$AL,23,FALSE)</f>
        <v>176</v>
      </c>
      <c r="AK113" s="5">
        <f>VLOOKUP($A113,'SegEnds_NonXtal_Prot#'!$A:$AL,26,FALSE)</f>
        <v>189</v>
      </c>
      <c r="AL113" s="5">
        <f>VLOOKUP($A113,'SegEnds_NonXtal_Prot#'!$A:$AL,29,FALSE)</f>
        <v>232</v>
      </c>
      <c r="AM113" s="5">
        <f>VLOOKUP($A113,'SegEnds_NonXtal_Prot#'!$A:$AL,32,FALSE)</f>
        <v>272</v>
      </c>
      <c r="AN113" s="5">
        <f>VLOOKUP($A113,'SegEnds_NonXtal_Prot#'!$A:$AL,35,FALSE)</f>
        <v>307</v>
      </c>
      <c r="AO113" s="5">
        <f>VLOOKUP($A113,'SegEnds_NonXtal_Prot#'!$A:$AL,38,FALSE)</f>
        <v>320</v>
      </c>
      <c r="AP113" s="5">
        <f t="shared" si="38"/>
        <v>36</v>
      </c>
      <c r="AQ113" s="4">
        <f t="shared" si="39"/>
        <v>3</v>
      </c>
      <c r="AR113" s="4">
        <f t="shared" si="40"/>
        <v>29</v>
      </c>
      <c r="AS113" s="4">
        <f t="shared" si="41"/>
        <v>3</v>
      </c>
      <c r="AT113" s="4">
        <f t="shared" si="42"/>
        <v>35</v>
      </c>
      <c r="AU113" s="4">
        <f t="shared" si="43"/>
        <v>7</v>
      </c>
      <c r="AV113" s="4">
        <f t="shared" si="44"/>
        <v>26</v>
      </c>
      <c r="AW113" s="4">
        <f t="shared" si="45"/>
        <v>2</v>
      </c>
      <c r="AX113" s="4">
        <f t="shared" si="46"/>
        <v>38</v>
      </c>
      <c r="AY113" s="4">
        <f t="shared" si="47"/>
        <v>35</v>
      </c>
      <c r="AZ113" s="4">
        <f t="shared" si="48"/>
        <v>32</v>
      </c>
      <c r="BA113" s="4">
        <f t="shared" si="49"/>
        <v>12</v>
      </c>
    </row>
    <row r="114" spans="1:53" x14ac:dyDescent="0.2">
      <c r="A114" s="1" t="str">
        <f>'SegEnds_NonXtal_Prot#'!A85</f>
        <v>ccr5_human</v>
      </c>
      <c r="B114" s="1" t="str">
        <f t="shared" si="25"/>
        <v>KINVKQIAARLLPPLYSLVFIFGFVGNMLVILILINCSMTDIYLLNLAISDLFFLLTVPFWAHYAAAGNTMCQLLTGLYFIGFFSGIFFIILLTIDRYLAVVHTVTFGVVTSVITWVVAVFASLPGIIFTQYQFWKNFQTLKIVILGLVLPLLVMVICYSGILKTLLRCKKRHRAVRLIFTIMIVYFLFWAPYNIVLLLNTFQEFFGNCSSSNRLDQAMQVTETLGMTHCCINPIIYAFVGEKFRNYLLVFFQ</v>
      </c>
      <c r="C114" s="29" t="str">
        <f>IF(ISERROR(MATCH(A114,'SegEnds_Xtal_Prot#'!B:B, 0)), "NoXtal", "Xtal")</f>
        <v>Xtal</v>
      </c>
      <c r="D114" s="4" t="str">
        <f>VLOOKUP(A114,Classification!A:D,2,FALSE)</f>
        <v>A</v>
      </c>
      <c r="E114" s="5" t="str">
        <f>VLOOKUP(A114,Seqs!A:B,2,FALSE)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F114" s="5" t="str">
        <f t="shared" si="26"/>
        <v>KINVKQIAARLLPPLYSLVFIFGFVGNMLVILILINC</v>
      </c>
      <c r="G114" s="4" t="str">
        <f t="shared" si="27"/>
        <v>KRLK</v>
      </c>
      <c r="H114" s="4" t="str">
        <f t="shared" si="28"/>
        <v>SMTDIYLLNLAISDLFFLLTVPFWAHYAAA</v>
      </c>
      <c r="I114" s="4" t="str">
        <f t="shared" si="29"/>
        <v>QWDF</v>
      </c>
      <c r="J114" s="4" t="str">
        <f t="shared" si="30"/>
        <v>GNTMCQLLTGLYFIGFFSGIFFIILLTIDRYLAVVH</v>
      </c>
      <c r="K114" s="4" t="str">
        <f t="shared" si="31"/>
        <v>AVFALKAR</v>
      </c>
      <c r="L114" s="4" t="str">
        <f t="shared" si="32"/>
        <v>TVTFGVVTSVITWVVAVFASLPGIIFT</v>
      </c>
      <c r="M114" s="4" t="str">
        <f t="shared" si="33"/>
        <v>CSS</v>
      </c>
      <c r="N114" s="4" t="str">
        <f t="shared" si="34"/>
        <v>QYQFWKNFQTLKIVILGLVLPLLVMVICYSGILKTLLRC</v>
      </c>
      <c r="O114" s="4" t="str">
        <f t="shared" si="35"/>
        <v>KKRHRAVRLIFTIMIVYFLFWAPYNIVLLLNTFQEFFG</v>
      </c>
      <c r="P114" s="4" t="str">
        <f t="shared" si="36"/>
        <v>NCSSSNRLDQAMQVTETLGMTHCCINPIIYAFV</v>
      </c>
      <c r="Q114" s="4" t="str">
        <f t="shared" si="37"/>
        <v>GEKFRNYLLVFFQ</v>
      </c>
      <c r="R114" s="5">
        <f>VLOOKUP($A114,'SegEnds_NonXtal_Prot#'!$A:$AL,3,FALSE)</f>
        <v>22</v>
      </c>
      <c r="S114" s="5">
        <f>VLOOKUP($A114,'SegEnds_NonXtal_Prot#'!$A:$AL,6,FALSE)</f>
        <v>59</v>
      </c>
      <c r="T114" s="5">
        <f>VLOOKUP($A114,'SegEnds_NonXtal_Prot#'!$A:$AL,9,FALSE)</f>
        <v>63</v>
      </c>
      <c r="U114" s="5">
        <f>VLOOKUP($A114,'SegEnds_NonXtal_Prot#'!$A:$AL,12,FALSE)</f>
        <v>93</v>
      </c>
      <c r="V114" s="5">
        <f>VLOOKUP($A114,'SegEnds_NonXtal_Prot#'!$A:$AL,15,FALSE)</f>
        <v>97</v>
      </c>
      <c r="W114" s="5">
        <f>VLOOKUP($A114,'SegEnds_NonXtal_Prot#'!$A:$AL,18,FALSE)</f>
        <v>133</v>
      </c>
      <c r="X114" s="5">
        <f>VLOOKUP($A114,'SegEnds_NonXtal_Prot#'!$A:$AL,21,FALSE)</f>
        <v>141</v>
      </c>
      <c r="Y114" s="5">
        <f>VLOOKUP($A114,'SegEnds_NonXtal_Prot#'!$A:$AL,24,FALSE)</f>
        <v>178</v>
      </c>
      <c r="Z114" s="5">
        <f>VLOOKUP($A114,'SegEnds_NonXtal_Prot#'!$A:$AL,27,FALSE)</f>
        <v>186</v>
      </c>
      <c r="AA114" s="5">
        <f>VLOOKUP($A114,'SegEnds_NonXtal_Prot#'!$A:$AL,30,FALSE)</f>
        <v>228</v>
      </c>
      <c r="AB114" s="5">
        <f>VLOOKUP($A114,'SegEnds_NonXtal_Prot#'!$A:$AL,33,FALSE)</f>
        <v>268</v>
      </c>
      <c r="AC114" s="5">
        <f>VLOOKUP($A114,'SegEnds_NonXtal_Prot#'!$A:$AL,36,FALSE)</f>
        <v>301</v>
      </c>
      <c r="AD114" s="5">
        <f>VLOOKUP($A114,'SegEnds_NonXtal_Prot#'!$A:$AL,5,FALSE)</f>
        <v>58</v>
      </c>
      <c r="AE114" s="5">
        <f>VLOOKUP($A114,'SegEnds_NonXtal_Prot#'!$A:$AL,8,FALSE)</f>
        <v>62</v>
      </c>
      <c r="AF114" s="5">
        <f>VLOOKUP($A114,'SegEnds_NonXtal_Prot#'!$A:$AL,11,FALSE)</f>
        <v>92</v>
      </c>
      <c r="AG114" s="5">
        <f>VLOOKUP($A114,'SegEnds_NonXtal_Prot#'!$A:$AL,14,FALSE)</f>
        <v>96</v>
      </c>
      <c r="AH114" s="5">
        <f>VLOOKUP($A114,'SegEnds_NonXtal_Prot#'!$A:$AL,17,FALSE)</f>
        <v>132</v>
      </c>
      <c r="AI114" s="5">
        <f>VLOOKUP($A114,'SegEnds_NonXtal_Prot#'!$A:$AL,20,FALSE)</f>
        <v>140</v>
      </c>
      <c r="AJ114" s="5">
        <f>VLOOKUP($A114,'SegEnds_NonXtal_Prot#'!$A:$AL,23,FALSE)</f>
        <v>167</v>
      </c>
      <c r="AK114" s="5">
        <f>VLOOKUP($A114,'SegEnds_NonXtal_Prot#'!$A:$AL,26,FALSE)</f>
        <v>180</v>
      </c>
      <c r="AL114" s="5">
        <f>VLOOKUP($A114,'SegEnds_NonXtal_Prot#'!$A:$AL,29,FALSE)</f>
        <v>224</v>
      </c>
      <c r="AM114" s="5">
        <f>VLOOKUP($A114,'SegEnds_NonXtal_Prot#'!$A:$AL,32,FALSE)</f>
        <v>265</v>
      </c>
      <c r="AN114" s="5">
        <f>VLOOKUP($A114,'SegEnds_NonXtal_Prot#'!$A:$AL,35,FALSE)</f>
        <v>300</v>
      </c>
      <c r="AO114" s="5">
        <f>VLOOKUP($A114,'SegEnds_NonXtal_Prot#'!$A:$AL,38,FALSE)</f>
        <v>313</v>
      </c>
      <c r="AP114" s="5">
        <f t="shared" si="38"/>
        <v>36</v>
      </c>
      <c r="AQ114" s="4">
        <f t="shared" si="39"/>
        <v>3</v>
      </c>
      <c r="AR114" s="4">
        <f t="shared" si="40"/>
        <v>29</v>
      </c>
      <c r="AS114" s="4">
        <f t="shared" si="41"/>
        <v>3</v>
      </c>
      <c r="AT114" s="4">
        <f t="shared" si="42"/>
        <v>35</v>
      </c>
      <c r="AU114" s="4">
        <f t="shared" si="43"/>
        <v>7</v>
      </c>
      <c r="AV114" s="4">
        <f t="shared" si="44"/>
        <v>26</v>
      </c>
      <c r="AW114" s="4">
        <f t="shared" si="45"/>
        <v>2</v>
      </c>
      <c r="AX114" s="4">
        <f t="shared" si="46"/>
        <v>38</v>
      </c>
      <c r="AY114" s="4">
        <f t="shared" si="47"/>
        <v>37</v>
      </c>
      <c r="AZ114" s="4">
        <f t="shared" si="48"/>
        <v>32</v>
      </c>
      <c r="BA114" s="4">
        <f t="shared" si="49"/>
        <v>12</v>
      </c>
    </row>
    <row r="115" spans="1:53" x14ac:dyDescent="0.2">
      <c r="A115" s="1" t="str">
        <f>'SegEnds_NonXtal_Prot#'!A86</f>
        <v>ccr8_human</v>
      </c>
      <c r="B115" s="1" t="str">
        <f t="shared" si="25"/>
        <v>AELIQTNGKLLLAVFYCLLFVFSLLGNSLVILVLVVCSITDVYLLNLALSDLLFVFSFPFQTYYLLDGTVMCKVVSGFYYIGFYSSMFFITLMSVDRYLAVVHTIRMGTTLCLAVWLTAIMATIPLLVFYQTLKWKIFTNFKMNILGLLIPFTIFMFCYIKILHQLKRCKTKAIRLVLIVVIASLLFWVPFNVVLFLTSLHSMHIGCSISQQLTYATHVTEIISFTHCCVNPVIYAFVGEKFKKHLSEIFQ</v>
      </c>
      <c r="C115" s="29" t="str">
        <f>IF(ISERROR(MATCH(A115,'SegEnds_Xtal_Prot#'!B:B, 0)), "NoXtal", "Xtal")</f>
        <v>NoXtal</v>
      </c>
      <c r="D115" s="4" t="str">
        <f>VLOOKUP(A115,Classification!A:D,2,FALSE)</f>
        <v>A</v>
      </c>
      <c r="E115" s="5" t="str">
        <f>VLOOKUP(A115,Seqs!A:B,2,FALSE)</f>
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</c>
      <c r="F115" s="5" t="str">
        <f t="shared" si="26"/>
        <v>AELIQTNGKLLLAVFYCLLFVFSLLGNSLVILVLVVC</v>
      </c>
      <c r="G115" s="4" t="str">
        <f t="shared" si="27"/>
        <v>KKLR</v>
      </c>
      <c r="H115" s="4" t="str">
        <f t="shared" si="28"/>
        <v>SITDVYLLNLALSDLLFVFSFPFQTYYLLD</v>
      </c>
      <c r="I115" s="4" t="str">
        <f t="shared" si="29"/>
        <v>QWVF</v>
      </c>
      <c r="J115" s="4" t="str">
        <f t="shared" si="30"/>
        <v>GTVMCKVVSGFYYIGFYSSMFFITLMSVDRYLAVVH</v>
      </c>
      <c r="K115" s="4" t="str">
        <f t="shared" si="31"/>
        <v>AVYALKVR</v>
      </c>
      <c r="L115" s="4" t="str">
        <f t="shared" si="32"/>
        <v>TIRMGTTLCLAVWLTAIMATIPLLVFY</v>
      </c>
      <c r="M115" s="4" t="str">
        <f t="shared" si="33"/>
        <v>CYS</v>
      </c>
      <c r="N115" s="4" t="str">
        <f t="shared" si="34"/>
        <v>QTLKWKIFTNFKMNILGLLIPFTIFMFCYIKILHQLKRC</v>
      </c>
      <c r="O115" s="4" t="str">
        <f t="shared" si="35"/>
        <v>KTKAIRLVLIVVIASLLFWVPFNVVLFLTSLHSMHI</v>
      </c>
      <c r="P115" s="4" t="str">
        <f t="shared" si="36"/>
        <v>GCSISQQLTYATHVTEIISFTHCCVNPVIYAFV</v>
      </c>
      <c r="Q115" s="4" t="str">
        <f t="shared" si="37"/>
        <v>GEKFKKHLSEIFQ</v>
      </c>
      <c r="R115" s="5">
        <f>VLOOKUP($A115,'SegEnds_NonXtal_Prot#'!$A:$AL,3,FALSE)</f>
        <v>27</v>
      </c>
      <c r="S115" s="5">
        <f>VLOOKUP($A115,'SegEnds_NonXtal_Prot#'!$A:$AL,6,FALSE)</f>
        <v>64</v>
      </c>
      <c r="T115" s="5">
        <f>VLOOKUP($A115,'SegEnds_NonXtal_Prot#'!$A:$AL,9,FALSE)</f>
        <v>68</v>
      </c>
      <c r="U115" s="5">
        <f>VLOOKUP($A115,'SegEnds_NonXtal_Prot#'!$A:$AL,12,FALSE)</f>
        <v>98</v>
      </c>
      <c r="V115" s="5">
        <f>VLOOKUP($A115,'SegEnds_NonXtal_Prot#'!$A:$AL,15,FALSE)</f>
        <v>102</v>
      </c>
      <c r="W115" s="5">
        <f>VLOOKUP($A115,'SegEnds_NonXtal_Prot#'!$A:$AL,18,FALSE)</f>
        <v>138</v>
      </c>
      <c r="X115" s="5">
        <f>VLOOKUP($A115,'SegEnds_NonXtal_Prot#'!$A:$AL,21,FALSE)</f>
        <v>146</v>
      </c>
      <c r="Y115" s="5">
        <f>VLOOKUP($A115,'SegEnds_NonXtal_Prot#'!$A:$AL,24,FALSE)</f>
        <v>183</v>
      </c>
      <c r="Z115" s="5">
        <f>VLOOKUP($A115,'SegEnds_NonXtal_Prot#'!$A:$AL,27,FALSE)</f>
        <v>190</v>
      </c>
      <c r="AA115" s="5">
        <f>VLOOKUP($A115,'SegEnds_NonXtal_Prot#'!$A:$AL,30,FALSE)</f>
        <v>233</v>
      </c>
      <c r="AB115" s="5">
        <f>VLOOKUP($A115,'SegEnds_NonXtal_Prot#'!$A:$AL,33,FALSE)</f>
        <v>271</v>
      </c>
      <c r="AC115" s="5">
        <f>VLOOKUP($A115,'SegEnds_NonXtal_Prot#'!$A:$AL,36,FALSE)</f>
        <v>304</v>
      </c>
      <c r="AD115" s="5">
        <f>VLOOKUP($A115,'SegEnds_NonXtal_Prot#'!$A:$AL,5,FALSE)</f>
        <v>63</v>
      </c>
      <c r="AE115" s="5">
        <f>VLOOKUP($A115,'SegEnds_NonXtal_Prot#'!$A:$AL,8,FALSE)</f>
        <v>67</v>
      </c>
      <c r="AF115" s="5">
        <f>VLOOKUP($A115,'SegEnds_NonXtal_Prot#'!$A:$AL,11,FALSE)</f>
        <v>97</v>
      </c>
      <c r="AG115" s="5">
        <f>VLOOKUP($A115,'SegEnds_NonXtal_Prot#'!$A:$AL,14,FALSE)</f>
        <v>101</v>
      </c>
      <c r="AH115" s="5">
        <f>VLOOKUP($A115,'SegEnds_NonXtal_Prot#'!$A:$AL,17,FALSE)</f>
        <v>137</v>
      </c>
      <c r="AI115" s="5">
        <f>VLOOKUP($A115,'SegEnds_NonXtal_Prot#'!$A:$AL,20,FALSE)</f>
        <v>145</v>
      </c>
      <c r="AJ115" s="5">
        <f>VLOOKUP($A115,'SegEnds_NonXtal_Prot#'!$A:$AL,23,FALSE)</f>
        <v>172</v>
      </c>
      <c r="AK115" s="5">
        <f>VLOOKUP($A115,'SegEnds_NonXtal_Prot#'!$A:$AL,26,FALSE)</f>
        <v>185</v>
      </c>
      <c r="AL115" s="5">
        <f>VLOOKUP($A115,'SegEnds_NonXtal_Prot#'!$A:$AL,29,FALSE)</f>
        <v>228</v>
      </c>
      <c r="AM115" s="5">
        <f>VLOOKUP($A115,'SegEnds_NonXtal_Prot#'!$A:$AL,32,FALSE)</f>
        <v>268</v>
      </c>
      <c r="AN115" s="5">
        <f>VLOOKUP($A115,'SegEnds_NonXtal_Prot#'!$A:$AL,35,FALSE)</f>
        <v>303</v>
      </c>
      <c r="AO115" s="5">
        <f>VLOOKUP($A115,'SegEnds_NonXtal_Prot#'!$A:$AL,38,FALSE)</f>
        <v>316</v>
      </c>
      <c r="AP115" s="5">
        <f t="shared" si="38"/>
        <v>36</v>
      </c>
      <c r="AQ115" s="4">
        <f t="shared" si="39"/>
        <v>3</v>
      </c>
      <c r="AR115" s="4">
        <f t="shared" si="40"/>
        <v>29</v>
      </c>
      <c r="AS115" s="4">
        <f t="shared" si="41"/>
        <v>3</v>
      </c>
      <c r="AT115" s="4">
        <f t="shared" si="42"/>
        <v>35</v>
      </c>
      <c r="AU115" s="4">
        <f t="shared" si="43"/>
        <v>7</v>
      </c>
      <c r="AV115" s="4">
        <f t="shared" si="44"/>
        <v>26</v>
      </c>
      <c r="AW115" s="4">
        <f t="shared" si="45"/>
        <v>2</v>
      </c>
      <c r="AX115" s="4">
        <f t="shared" si="46"/>
        <v>38</v>
      </c>
      <c r="AY115" s="4">
        <f t="shared" si="47"/>
        <v>35</v>
      </c>
      <c r="AZ115" s="4">
        <f t="shared" si="48"/>
        <v>32</v>
      </c>
      <c r="BA115" s="4">
        <f t="shared" si="49"/>
        <v>12</v>
      </c>
    </row>
    <row r="116" spans="1:53" x14ac:dyDescent="0.2">
      <c r="A116" s="1" t="str">
        <f>'SegEnds_NonXtal_Prot#'!A87</f>
        <v>cltr1_human</v>
      </c>
      <c r="B116" s="1" t="str">
        <f t="shared" si="25"/>
        <v>SATCHDTIDDFRNQVYSTLYSMISVVGFFGNGFVLYVLIKTSAFQVYMINLAVADLLCVCTLPLRVVYYVHKGDFLCRLSTYALYVNLYCSIFFMTAMSFFRCIAIVFTQKKARFVCVGIWIFVILTSSPFLMADNQTKNHVLVLHYVSLFVGFIIPFVIIIVCYTMIILTLLKNLSSHKKAIGMIMVVTAAFLVSFMPYHIQRTIHLHFLHNPCDSVLRMQKSVVITLSLAASNCCFDPLLYFFSGGNFRKRLSTFRK</v>
      </c>
      <c r="C116" s="29" t="str">
        <f>IF(ISERROR(MATCH(A116,'SegEnds_Xtal_Prot#'!B:B, 0)), "NoXtal", "Xtal")</f>
        <v>Xtal</v>
      </c>
      <c r="D116" s="4" t="str">
        <f>VLOOKUP(A116,Classification!A:D,2,FALSE)</f>
        <v>A</v>
      </c>
      <c r="E116" s="5" t="str">
        <f>VLOOKUP(A116,Seqs!A:B,2,FALSE)</f>
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</c>
      <c r="F116" s="5" t="str">
        <f t="shared" si="26"/>
        <v>SATCHDTIDDFRNQVYSTLYSMISVVGFFGNGFVLYVLIKT</v>
      </c>
      <c r="G116" s="4" t="str">
        <f t="shared" si="27"/>
        <v/>
      </c>
      <c r="H116" s="4" t="str">
        <f t="shared" si="28"/>
        <v>SAFQVYMINLAVADLLCVCTLPLRVVYYVHK</v>
      </c>
      <c r="I116" s="4" t="str">
        <f t="shared" si="29"/>
        <v>IWLF</v>
      </c>
      <c r="J116" s="4" t="str">
        <f t="shared" si="30"/>
        <v>GDFLCRLSTYALYVNLYCSIFFMTAMSFFRCIAIVF</v>
      </c>
      <c r="K116" s="4" t="str">
        <f t="shared" si="31"/>
        <v>PVQNINLV</v>
      </c>
      <c r="L116" s="4" t="str">
        <f t="shared" si="32"/>
        <v>TQKKARFVCVGIWIFVILTSSPFLMA</v>
      </c>
      <c r="M116" s="4" t="str">
        <f t="shared" si="33"/>
        <v>CFE</v>
      </c>
      <c r="N116" s="4" t="str">
        <f t="shared" si="34"/>
        <v>DNQTKNHVLVLHYVSLFVGFIIPFVIIIVCYTMIILTLLK</v>
      </c>
      <c r="O116" s="4" t="str">
        <f t="shared" si="35"/>
        <v>NLSSHKKAIGMIMVVTAAFLVSFMPYHIQRTIHLHFLHN</v>
      </c>
      <c r="P116" s="4" t="str">
        <f t="shared" si="36"/>
        <v>PCDSVLRMQKSVVITLSLAASNCCFDPLLYFFS</v>
      </c>
      <c r="Q116" s="4" t="str">
        <f t="shared" si="37"/>
        <v>GGNFRKRLSTFRK</v>
      </c>
      <c r="R116" s="5">
        <f>VLOOKUP($A116,'SegEnds_NonXtal_Prot#'!$A:$AL,3,FALSE)</f>
        <v>11</v>
      </c>
      <c r="S116" s="5" t="str">
        <f>VLOOKUP($A116,'SegEnds_NonXtal_Prot#'!$A:$AL,6,FALSE)</f>
        <v>-</v>
      </c>
      <c r="T116" s="5">
        <f>VLOOKUP($A116,'SegEnds_NonXtal_Prot#'!$A:$AL,9,FALSE)</f>
        <v>56</v>
      </c>
      <c r="U116" s="5">
        <f>VLOOKUP($A116,'SegEnds_NonXtal_Prot#'!$A:$AL,12,FALSE)</f>
        <v>88</v>
      </c>
      <c r="V116" s="5">
        <f>VLOOKUP($A116,'SegEnds_NonXtal_Prot#'!$A:$AL,15,FALSE)</f>
        <v>92</v>
      </c>
      <c r="W116" s="5">
        <f>VLOOKUP($A116,'SegEnds_NonXtal_Prot#'!$A:$AL,18,FALSE)</f>
        <v>128</v>
      </c>
      <c r="X116" s="5">
        <f>VLOOKUP($A116,'SegEnds_NonXtal_Prot#'!$A:$AL,21,FALSE)</f>
        <v>136</v>
      </c>
      <c r="Y116" s="5">
        <f>VLOOKUP($A116,'SegEnds_NonXtal_Prot#'!$A:$AL,24,FALSE)</f>
        <v>173</v>
      </c>
      <c r="Z116" s="5">
        <f>VLOOKUP($A116,'SegEnds_NonXtal_Prot#'!$A:$AL,27,FALSE)</f>
        <v>179</v>
      </c>
      <c r="AA116" s="5">
        <f>VLOOKUP($A116,'SegEnds_NonXtal_Prot#'!$A:$AL,30,FALSE)</f>
        <v>224</v>
      </c>
      <c r="AB116" s="5">
        <f>VLOOKUP($A116,'SegEnds_NonXtal_Prot#'!$A:$AL,33,FALSE)</f>
        <v>266</v>
      </c>
      <c r="AC116" s="5">
        <f>VLOOKUP($A116,'SegEnds_NonXtal_Prot#'!$A:$AL,36,FALSE)</f>
        <v>299</v>
      </c>
      <c r="AD116" s="5">
        <f>VLOOKUP($A116,'SegEnds_NonXtal_Prot#'!$A:$AL,5,FALSE)</f>
        <v>51</v>
      </c>
      <c r="AE116" s="5" t="str">
        <f>VLOOKUP($A116,'SegEnds_NonXtal_Prot#'!$A:$AL,8,FALSE)</f>
        <v>-</v>
      </c>
      <c r="AF116" s="5">
        <f>VLOOKUP($A116,'SegEnds_NonXtal_Prot#'!$A:$AL,11,FALSE)</f>
        <v>86</v>
      </c>
      <c r="AG116" s="5">
        <f>VLOOKUP($A116,'SegEnds_NonXtal_Prot#'!$A:$AL,14,FALSE)</f>
        <v>91</v>
      </c>
      <c r="AH116" s="5">
        <f>VLOOKUP($A116,'SegEnds_NonXtal_Prot#'!$A:$AL,17,FALSE)</f>
        <v>127</v>
      </c>
      <c r="AI116" s="5">
        <f>VLOOKUP($A116,'SegEnds_NonXtal_Prot#'!$A:$AL,20,FALSE)</f>
        <v>135</v>
      </c>
      <c r="AJ116" s="5">
        <f>VLOOKUP($A116,'SegEnds_NonXtal_Prot#'!$A:$AL,23,FALSE)</f>
        <v>161</v>
      </c>
      <c r="AK116" s="5">
        <f>VLOOKUP($A116,'SegEnds_NonXtal_Prot#'!$A:$AL,26,FALSE)</f>
        <v>175</v>
      </c>
      <c r="AL116" s="5">
        <f>VLOOKUP($A116,'SegEnds_NonXtal_Prot#'!$A:$AL,29,FALSE)</f>
        <v>218</v>
      </c>
      <c r="AM116" s="5">
        <f>VLOOKUP($A116,'SegEnds_NonXtal_Prot#'!$A:$AL,32,FALSE)</f>
        <v>262</v>
      </c>
      <c r="AN116" s="5">
        <f>VLOOKUP($A116,'SegEnds_NonXtal_Prot#'!$A:$AL,35,FALSE)</f>
        <v>298</v>
      </c>
      <c r="AO116" s="5">
        <f>VLOOKUP($A116,'SegEnds_NonXtal_Prot#'!$A:$AL,38,FALSE)</f>
        <v>311</v>
      </c>
      <c r="AP116" s="5">
        <f t="shared" si="38"/>
        <v>40</v>
      </c>
      <c r="AQ116" s="4" t="str">
        <f t="shared" si="39"/>
        <v>-</v>
      </c>
      <c r="AR116" s="4">
        <f t="shared" si="40"/>
        <v>30</v>
      </c>
      <c r="AS116" s="4">
        <f t="shared" si="41"/>
        <v>3</v>
      </c>
      <c r="AT116" s="4">
        <f t="shared" si="42"/>
        <v>35</v>
      </c>
      <c r="AU116" s="4">
        <f t="shared" si="43"/>
        <v>7</v>
      </c>
      <c r="AV116" s="4">
        <f t="shared" si="44"/>
        <v>25</v>
      </c>
      <c r="AW116" s="4">
        <f t="shared" si="45"/>
        <v>2</v>
      </c>
      <c r="AX116" s="4">
        <f t="shared" si="46"/>
        <v>39</v>
      </c>
      <c r="AY116" s="4">
        <f t="shared" si="47"/>
        <v>38</v>
      </c>
      <c r="AZ116" s="4">
        <f t="shared" si="48"/>
        <v>32</v>
      </c>
      <c r="BA116" s="4">
        <f t="shared" si="49"/>
        <v>12</v>
      </c>
    </row>
    <row r="117" spans="1:53" x14ac:dyDescent="0.2">
      <c r="A117" s="1" t="str">
        <f>'SegEnds_NonXtal_Prot#'!A88</f>
        <v>cltr2_human</v>
      </c>
      <c r="B117" s="1" t="str">
        <f t="shared" si="25"/>
        <v>CTIENFKREFFPIVYLIIFFWGVLGNGLSIYVFLQPTSVNVFMLNLAISDLLFISTLPFRADYYLRGGDLACRIMSYSLYVNMYSSIYFLTVLSVVRFLAMVHSIRSAWILCGIIWILIMASSIMLLDSIAKLQTMNYIALVVGCLLPFFTLSICYLLIIRVLLKVSGLRVSHRKALTTIIITLIIFFLCFLPYHTLRTVHLTTWKDRLHKALVITLALAAANACFNPLLYYFAGENFKDRLKSALRK</v>
      </c>
      <c r="C117" s="29" t="str">
        <f>IF(ISERROR(MATCH(A117,'SegEnds_Xtal_Prot#'!B:B, 0)), "NoXtal", "Xtal")</f>
        <v>Xtal</v>
      </c>
      <c r="D117" s="4" t="str">
        <f>VLOOKUP(A117,Classification!A:D,2,FALSE)</f>
        <v>A</v>
      </c>
      <c r="E117" s="5" t="str">
        <f>VLOOKUP(A117,Seqs!A:B,2,FALSE)</f>
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</c>
      <c r="F117" s="5" t="str">
        <f t="shared" si="26"/>
        <v>CTIENFKREFFPIVYLIIFFWGVLGNGLSIYVFLQP</v>
      </c>
      <c r="G117" s="4" t="str">
        <f t="shared" si="27"/>
        <v/>
      </c>
      <c r="H117" s="4" t="str">
        <f t="shared" si="28"/>
        <v>TSVNVFMLNLAISDLLFISTLPFRADYYLRG</v>
      </c>
      <c r="I117" s="4" t="str">
        <f t="shared" si="29"/>
        <v>NWIF</v>
      </c>
      <c r="J117" s="4" t="str">
        <f t="shared" si="30"/>
        <v>GDLACRIMSYSLYVNMYSSIYFLTVLSVVRFLAMVH</v>
      </c>
      <c r="K117" s="4" t="str">
        <f t="shared" si="31"/>
        <v>PFRLLHVT</v>
      </c>
      <c r="L117" s="4" t="str">
        <f t="shared" si="32"/>
        <v>SIRSAWILCGIIWILIMASSIMLLDS</v>
      </c>
      <c r="M117" s="4" t="str">
        <f t="shared" si="33"/>
        <v>CLE</v>
      </c>
      <c r="N117" s="4" t="str">
        <f t="shared" si="34"/>
        <v>IAKLQTMNYIALVVGCLLPFFTLSICYLLIIRVLLKV</v>
      </c>
      <c r="O117" s="4" t="str">
        <f t="shared" si="35"/>
        <v>SGLRVSHRKALTTIIITLIIFFLCFLPYHTLRTVHLTTW</v>
      </c>
      <c r="P117" s="4" t="str">
        <f t="shared" si="36"/>
        <v>KDRLHKALVITLALAAANACFNPLLYYFA</v>
      </c>
      <c r="Q117" s="4" t="str">
        <f t="shared" si="37"/>
        <v>GENFKDRLKSALRK</v>
      </c>
      <c r="R117" s="5">
        <f>VLOOKUP($A117,'SegEnds_NonXtal_Prot#'!$A:$AL,3,FALSE)</f>
        <v>31</v>
      </c>
      <c r="S117" s="5" t="str">
        <f>VLOOKUP($A117,'SegEnds_NonXtal_Prot#'!$A:$AL,6,FALSE)</f>
        <v>-</v>
      </c>
      <c r="T117" s="5">
        <f>VLOOKUP($A117,'SegEnds_NonXtal_Prot#'!$A:$AL,9,FALSE)</f>
        <v>71</v>
      </c>
      <c r="U117" s="5">
        <f>VLOOKUP($A117,'SegEnds_NonXtal_Prot#'!$A:$AL,12,FALSE)</f>
        <v>103</v>
      </c>
      <c r="V117" s="5">
        <f>VLOOKUP($A117,'SegEnds_NonXtal_Prot#'!$A:$AL,15,FALSE)</f>
        <v>107</v>
      </c>
      <c r="W117" s="5">
        <f>VLOOKUP($A117,'SegEnds_NonXtal_Prot#'!$A:$AL,18,FALSE)</f>
        <v>143</v>
      </c>
      <c r="X117" s="5">
        <f>VLOOKUP($A117,'SegEnds_NonXtal_Prot#'!$A:$AL,21,FALSE)</f>
        <v>151</v>
      </c>
      <c r="Y117" s="5">
        <f>VLOOKUP($A117,'SegEnds_NonXtal_Prot#'!$A:$AL,24,FALSE)</f>
        <v>187</v>
      </c>
      <c r="Z117" s="5">
        <f>VLOOKUP($A117,'SegEnds_NonXtal_Prot#'!$A:$AL,27,FALSE)</f>
        <v>195</v>
      </c>
      <c r="AA117" s="5">
        <f>VLOOKUP($A117,'SegEnds_NonXtal_Prot#'!$A:$AL,30,FALSE)</f>
        <v>236</v>
      </c>
      <c r="AB117" s="5">
        <f>VLOOKUP($A117,'SegEnds_NonXtal_Prot#'!$A:$AL,33,FALSE)</f>
        <v>280</v>
      </c>
      <c r="AC117" s="5">
        <f>VLOOKUP($A117,'SegEnds_NonXtal_Prot#'!$A:$AL,36,FALSE)</f>
        <v>309</v>
      </c>
      <c r="AD117" s="5">
        <f>VLOOKUP($A117,'SegEnds_NonXtal_Prot#'!$A:$AL,5,FALSE)</f>
        <v>66</v>
      </c>
      <c r="AE117" s="5" t="str">
        <f>VLOOKUP($A117,'SegEnds_NonXtal_Prot#'!$A:$AL,8,FALSE)</f>
        <v>-</v>
      </c>
      <c r="AF117" s="5">
        <f>VLOOKUP($A117,'SegEnds_NonXtal_Prot#'!$A:$AL,11,FALSE)</f>
        <v>101</v>
      </c>
      <c r="AG117" s="5">
        <f>VLOOKUP($A117,'SegEnds_NonXtal_Prot#'!$A:$AL,14,FALSE)</f>
        <v>106</v>
      </c>
      <c r="AH117" s="5">
        <f>VLOOKUP($A117,'SegEnds_NonXtal_Prot#'!$A:$AL,17,FALSE)</f>
        <v>142</v>
      </c>
      <c r="AI117" s="5">
        <f>VLOOKUP($A117,'SegEnds_NonXtal_Prot#'!$A:$AL,20,FALSE)</f>
        <v>150</v>
      </c>
      <c r="AJ117" s="5">
        <f>VLOOKUP($A117,'SegEnds_NonXtal_Prot#'!$A:$AL,23,FALSE)</f>
        <v>176</v>
      </c>
      <c r="AK117" s="5">
        <f>VLOOKUP($A117,'SegEnds_NonXtal_Prot#'!$A:$AL,26,FALSE)</f>
        <v>189</v>
      </c>
      <c r="AL117" s="5">
        <f>VLOOKUP($A117,'SegEnds_NonXtal_Prot#'!$A:$AL,29,FALSE)</f>
        <v>231</v>
      </c>
      <c r="AM117" s="5">
        <f>VLOOKUP($A117,'SegEnds_NonXtal_Prot#'!$A:$AL,32,FALSE)</f>
        <v>274</v>
      </c>
      <c r="AN117" s="5">
        <f>VLOOKUP($A117,'SegEnds_NonXtal_Prot#'!$A:$AL,35,FALSE)</f>
        <v>308</v>
      </c>
      <c r="AO117" s="5">
        <f>VLOOKUP($A117,'SegEnds_NonXtal_Prot#'!$A:$AL,38,FALSE)</f>
        <v>322</v>
      </c>
      <c r="AP117" s="5">
        <f t="shared" si="38"/>
        <v>35</v>
      </c>
      <c r="AQ117" s="4" t="str">
        <f t="shared" si="39"/>
        <v>-</v>
      </c>
      <c r="AR117" s="4">
        <f t="shared" si="40"/>
        <v>30</v>
      </c>
      <c r="AS117" s="4">
        <f t="shared" si="41"/>
        <v>3</v>
      </c>
      <c r="AT117" s="4">
        <f t="shared" si="42"/>
        <v>35</v>
      </c>
      <c r="AU117" s="4">
        <f t="shared" si="43"/>
        <v>7</v>
      </c>
      <c r="AV117" s="4">
        <f t="shared" si="44"/>
        <v>25</v>
      </c>
      <c r="AW117" s="4">
        <f t="shared" si="45"/>
        <v>2</v>
      </c>
      <c r="AX117" s="4">
        <f t="shared" si="46"/>
        <v>36</v>
      </c>
      <c r="AY117" s="4">
        <f t="shared" si="47"/>
        <v>38</v>
      </c>
      <c r="AZ117" s="4">
        <f t="shared" si="48"/>
        <v>28</v>
      </c>
      <c r="BA117" s="4">
        <f t="shared" si="49"/>
        <v>13</v>
      </c>
    </row>
    <row r="118" spans="1:53" x14ac:dyDescent="0.2">
      <c r="A118" s="1" t="str">
        <f>'SegEnds_NonXtal_Prot#'!A89</f>
        <v>cml1_human</v>
      </c>
      <c r="B118" s="1" t="str">
        <f t="shared" si="25"/>
        <v>PLEARVTRIFLVVVYSIVCFLGILGNGLVIIIATFKMTVNMVWFLNLAVADFLFNVFLPIHITYAAMDGTAMCKISNFLLIHNMFTSVFLLTIISSDRCISVLLSVRLAYMACMVIWVLAFFLSSPSLVFRTHSQMDPVGYSRHMVVTVTRFLCGFLVPVLIITACYLTIVCKLQRNTKKPFKIIVTIIITFFLCWCPYHTLNLLELHHAMPGSVFSLGLPLATALAIANSCMNPILYVFMGQDFKKFKVALF</v>
      </c>
      <c r="C118" s="29" t="str">
        <f>IF(ISERROR(MATCH(A118,'SegEnds_Xtal_Prot#'!B:B, 0)), "NoXtal", "Xtal")</f>
        <v>NoXtal</v>
      </c>
      <c r="D118" s="4" t="str">
        <f>VLOOKUP(A118,Classification!A:D,2,FALSE)</f>
        <v>A</v>
      </c>
      <c r="E118" s="5" t="str">
        <f>VLOOKUP(A118,Seqs!A:B,2,FALSE)</f>
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</c>
      <c r="F118" s="5" t="str">
        <f t="shared" si="26"/>
        <v>PLEARVTRIFLVVVYSIVCFLGILGNGLVIIIATFKM</v>
      </c>
      <c r="G118" s="4" t="str">
        <f t="shared" si="27"/>
        <v/>
      </c>
      <c r="H118" s="4" t="str">
        <f t="shared" si="28"/>
        <v>TVNMVWFLNLAVADFLFNVFLPIHITYAAMD</v>
      </c>
      <c r="I118" s="4" t="str">
        <f t="shared" si="29"/>
        <v>HWVF</v>
      </c>
      <c r="J118" s="4" t="str">
        <f t="shared" si="30"/>
        <v>GTAMCKISNFLLIHNMFTSVFLLTIISSDRCISVLL</v>
      </c>
      <c r="K118" s="4" t="str">
        <f t="shared" si="31"/>
        <v>PVWSQNHR</v>
      </c>
      <c r="L118" s="4" t="str">
        <f t="shared" si="32"/>
        <v>SVRLAYMACMVIWVLAFFLSSPSLVFR</v>
      </c>
      <c r="M118" s="4" t="str">
        <f t="shared" si="33"/>
        <v>CFN</v>
      </c>
      <c r="N118" s="4" t="str">
        <f t="shared" si="34"/>
        <v>THSQMDPVGYSRHMVVTVTRFLCGFLVPVLIITACYLTIVCKLQRN</v>
      </c>
      <c r="O118" s="4" t="str">
        <f t="shared" si="35"/>
        <v>TKKPFKIIVTIIITFFLCWCPYHTLNLLELHH</v>
      </c>
      <c r="P118" s="4" t="str">
        <f t="shared" si="36"/>
        <v>AMPGSVFSLGLPLATALAIANSCMNPILYVFM</v>
      </c>
      <c r="Q118" s="4" t="str">
        <f t="shared" si="37"/>
        <v>GQDFKKFKVALF</v>
      </c>
      <c r="R118" s="5">
        <f>VLOOKUP($A118,'SegEnds_NonXtal_Prot#'!$A:$AL,3,FALSE)</f>
        <v>33</v>
      </c>
      <c r="S118" s="5" t="str">
        <f>VLOOKUP($A118,'SegEnds_NonXtal_Prot#'!$A:$AL,6,FALSE)</f>
        <v>-</v>
      </c>
      <c r="T118" s="5">
        <f>VLOOKUP($A118,'SegEnds_NonXtal_Prot#'!$A:$AL,9,FALSE)</f>
        <v>72</v>
      </c>
      <c r="U118" s="5">
        <f>VLOOKUP($A118,'SegEnds_NonXtal_Prot#'!$A:$AL,12,FALSE)</f>
        <v>104</v>
      </c>
      <c r="V118" s="5">
        <f>VLOOKUP($A118,'SegEnds_NonXtal_Prot#'!$A:$AL,15,FALSE)</f>
        <v>108</v>
      </c>
      <c r="W118" s="5">
        <f>VLOOKUP($A118,'SegEnds_NonXtal_Prot#'!$A:$AL,18,FALSE)</f>
        <v>144</v>
      </c>
      <c r="X118" s="5">
        <f>VLOOKUP($A118,'SegEnds_NonXtal_Prot#'!$A:$AL,21,FALSE)</f>
        <v>152</v>
      </c>
      <c r="Y118" s="5">
        <f>VLOOKUP($A118,'SegEnds_NonXtal_Prot#'!$A:$AL,24,FALSE)</f>
        <v>189</v>
      </c>
      <c r="Z118" s="5">
        <f>VLOOKUP($A118,'SegEnds_NonXtal_Prot#'!$A:$AL,27,FALSE)</f>
        <v>205</v>
      </c>
      <c r="AA118" s="5">
        <f>VLOOKUP($A118,'SegEnds_NonXtal_Prot#'!$A:$AL,30,FALSE)</f>
        <v>255</v>
      </c>
      <c r="AB118" s="5">
        <f>VLOOKUP($A118,'SegEnds_NonXtal_Prot#'!$A:$AL,33,FALSE)</f>
        <v>288</v>
      </c>
      <c r="AC118" s="5">
        <f>VLOOKUP($A118,'SegEnds_NonXtal_Prot#'!$A:$AL,36,FALSE)</f>
        <v>320</v>
      </c>
      <c r="AD118" s="5">
        <f>VLOOKUP($A118,'SegEnds_NonXtal_Prot#'!$A:$AL,5,FALSE)</f>
        <v>69</v>
      </c>
      <c r="AE118" s="5" t="str">
        <f>VLOOKUP($A118,'SegEnds_NonXtal_Prot#'!$A:$AL,8,FALSE)</f>
        <v>-</v>
      </c>
      <c r="AF118" s="5">
        <f>VLOOKUP($A118,'SegEnds_NonXtal_Prot#'!$A:$AL,11,FALSE)</f>
        <v>102</v>
      </c>
      <c r="AG118" s="5">
        <f>VLOOKUP($A118,'SegEnds_NonXtal_Prot#'!$A:$AL,14,FALSE)</f>
        <v>107</v>
      </c>
      <c r="AH118" s="5">
        <f>VLOOKUP($A118,'SegEnds_NonXtal_Prot#'!$A:$AL,17,FALSE)</f>
        <v>143</v>
      </c>
      <c r="AI118" s="5">
        <f>VLOOKUP($A118,'SegEnds_NonXtal_Prot#'!$A:$AL,20,FALSE)</f>
        <v>151</v>
      </c>
      <c r="AJ118" s="5">
        <f>VLOOKUP($A118,'SegEnds_NonXtal_Prot#'!$A:$AL,23,FALSE)</f>
        <v>178</v>
      </c>
      <c r="AK118" s="5">
        <f>VLOOKUP($A118,'SegEnds_NonXtal_Prot#'!$A:$AL,26,FALSE)</f>
        <v>191</v>
      </c>
      <c r="AL118" s="5">
        <f>VLOOKUP($A118,'SegEnds_NonXtal_Prot#'!$A:$AL,29,FALSE)</f>
        <v>250</v>
      </c>
      <c r="AM118" s="5">
        <f>VLOOKUP($A118,'SegEnds_NonXtal_Prot#'!$A:$AL,32,FALSE)</f>
        <v>286</v>
      </c>
      <c r="AN118" s="5">
        <f>VLOOKUP($A118,'SegEnds_NonXtal_Prot#'!$A:$AL,35,FALSE)</f>
        <v>319</v>
      </c>
      <c r="AO118" s="5">
        <f>VLOOKUP($A118,'SegEnds_NonXtal_Prot#'!$A:$AL,38,FALSE)</f>
        <v>331</v>
      </c>
      <c r="AP118" s="5">
        <f t="shared" si="38"/>
        <v>36</v>
      </c>
      <c r="AQ118" s="4" t="str">
        <f t="shared" si="39"/>
        <v>-</v>
      </c>
      <c r="AR118" s="4">
        <f t="shared" si="40"/>
        <v>30</v>
      </c>
      <c r="AS118" s="4">
        <f t="shared" si="41"/>
        <v>3</v>
      </c>
      <c r="AT118" s="4">
        <f t="shared" si="42"/>
        <v>35</v>
      </c>
      <c r="AU118" s="4">
        <f t="shared" si="43"/>
        <v>7</v>
      </c>
      <c r="AV118" s="4">
        <f t="shared" si="44"/>
        <v>26</v>
      </c>
      <c r="AW118" s="4">
        <f t="shared" si="45"/>
        <v>2</v>
      </c>
      <c r="AX118" s="4">
        <f t="shared" si="46"/>
        <v>45</v>
      </c>
      <c r="AY118" s="4">
        <f t="shared" si="47"/>
        <v>31</v>
      </c>
      <c r="AZ118" s="4">
        <f t="shared" si="48"/>
        <v>31</v>
      </c>
      <c r="BA118" s="4">
        <f t="shared" si="49"/>
        <v>11</v>
      </c>
    </row>
    <row r="119" spans="1:53" x14ac:dyDescent="0.2">
      <c r="A119" s="1" t="str">
        <f>'SegEnds_NonXtal_Prot#'!A90</f>
        <v>cnr1_human</v>
      </c>
      <c r="B119" s="1" t="str">
        <f t="shared" si="25"/>
        <v>NPSQQLAIAVLSLTLGTFTVLENLLVLCVILHSRPSYHFIGSLAVADLLGSVIFVYSFIDFHVSRNVFLFKLGGVTASFTASVGSLFLTAIDRYISIHRTRPKAVVAFCLMWTIAIVIAVLPLLGDETYLMFWIGVTSVLLLFIVYAYMYILWKAHSHAVRMIQRGPDQARMDIRLAKTLVLILVVLIICWGPLLAIMVYDVFGNKLIKTVFAFCSMLCLLNSTVNPIIYALRSKDLRHAFRSMFP</v>
      </c>
      <c r="C119" s="29" t="str">
        <f>IF(ISERROR(MATCH(A119,'SegEnds_Xtal_Prot#'!B:B, 0)), "NoXtal", "Xtal")</f>
        <v>Xtal</v>
      </c>
      <c r="D119" s="4" t="str">
        <f>VLOOKUP(A119,Classification!A:D,2,FALSE)</f>
        <v>A</v>
      </c>
      <c r="E119" s="5" t="str">
        <f>VLOOKUP(A119,Seqs!A:B,2,FALSE)</f>
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</c>
      <c r="F119" s="5" t="str">
        <f t="shared" si="26"/>
        <v>NPSQQLAIAVLSLTLGTFTVLENLLVLCVILHS</v>
      </c>
      <c r="G119" s="4" t="str">
        <f t="shared" si="27"/>
        <v>RSLR</v>
      </c>
      <c r="H119" s="4" t="str">
        <f t="shared" si="28"/>
        <v>RPSYHFIGSLAVADLLGSVIFVYSFIDFHV</v>
      </c>
      <c r="I119" s="4" t="str">
        <f t="shared" si="29"/>
        <v/>
      </c>
      <c r="J119" s="4" t="str">
        <f t="shared" si="30"/>
        <v>SRNVFLFKLGGVTASFTASVGSLFLTAIDRYISIHR</v>
      </c>
      <c r="K119" s="4" t="str">
        <f t="shared" si="31"/>
        <v>PLAYKRIV</v>
      </c>
      <c r="L119" s="4" t="str">
        <f t="shared" si="32"/>
        <v>TRPKAVVAFCLMWTIAIVIAVLPLLG</v>
      </c>
      <c r="M119" s="4" t="str">
        <f t="shared" si="33"/>
        <v/>
      </c>
      <c r="N119" s="4" t="str">
        <f t="shared" si="34"/>
        <v>DETYLMFWIGVTSVLLLFIVYAYMYILWKAHSHAVRMIQRG</v>
      </c>
      <c r="O119" s="4" t="str">
        <f t="shared" si="35"/>
        <v>PDQARMDIRLAKTLVLILVVLIICWGPLLAIMVYDVFG</v>
      </c>
      <c r="P119" s="4" t="str">
        <f t="shared" si="36"/>
        <v>NKLIKTVFAFCSMLCLLNSTVNPIIYALR</v>
      </c>
      <c r="Q119" s="4" t="str">
        <f t="shared" si="37"/>
        <v>SKDLRHAFRSMFP</v>
      </c>
      <c r="R119" s="5">
        <f>VLOOKUP($A119,'SegEnds_NonXtal_Prot#'!$A:$AL,3,FALSE)</f>
        <v>112</v>
      </c>
      <c r="S119" s="5">
        <f>VLOOKUP($A119,'SegEnds_NonXtal_Prot#'!$A:$AL,6,FALSE)</f>
        <v>145</v>
      </c>
      <c r="T119" s="5">
        <f>VLOOKUP($A119,'SegEnds_NonXtal_Prot#'!$A:$AL,9,FALSE)</f>
        <v>150</v>
      </c>
      <c r="U119" s="5" t="str">
        <f>VLOOKUP($A119,'SegEnds_NonXtal_Prot#'!$A:$AL,12,FALSE)</f>
        <v>-</v>
      </c>
      <c r="V119" s="5">
        <f>VLOOKUP($A119,'SegEnds_NonXtal_Prot#'!$A:$AL,15,FALSE)</f>
        <v>185</v>
      </c>
      <c r="W119" s="5">
        <f>VLOOKUP($A119,'SegEnds_NonXtal_Prot#'!$A:$AL,18,FALSE)</f>
        <v>221</v>
      </c>
      <c r="X119" s="5">
        <f>VLOOKUP($A119,'SegEnds_NonXtal_Prot#'!$A:$AL,21,FALSE)</f>
        <v>229</v>
      </c>
      <c r="Y119" s="5" t="str">
        <f>VLOOKUP($A119,'SegEnds_NonXtal_Prot#'!$A:$AL,24,FALSE)</f>
        <v>-</v>
      </c>
      <c r="Z119" s="5">
        <f>VLOOKUP($A119,'SegEnds_NonXtal_Prot#'!$A:$AL,27,FALSE)</f>
        <v>272</v>
      </c>
      <c r="AA119" s="5">
        <f>VLOOKUP($A119,'SegEnds_NonXtal_Prot#'!$A:$AL,30,FALSE)</f>
        <v>332</v>
      </c>
      <c r="AB119" s="5">
        <f>VLOOKUP($A119,'SegEnds_NonXtal_Prot#'!$A:$AL,33,FALSE)</f>
        <v>372</v>
      </c>
      <c r="AC119" s="5">
        <f>VLOOKUP($A119,'SegEnds_NonXtal_Prot#'!$A:$AL,36,FALSE)</f>
        <v>401</v>
      </c>
      <c r="AD119" s="5">
        <f>VLOOKUP($A119,'SegEnds_NonXtal_Prot#'!$A:$AL,5,FALSE)</f>
        <v>144</v>
      </c>
      <c r="AE119" s="5">
        <f>VLOOKUP($A119,'SegEnds_NonXtal_Prot#'!$A:$AL,8,FALSE)</f>
        <v>148</v>
      </c>
      <c r="AF119" s="5">
        <f>VLOOKUP($A119,'SegEnds_NonXtal_Prot#'!$A:$AL,11,FALSE)</f>
        <v>179</v>
      </c>
      <c r="AG119" s="5" t="str">
        <f>VLOOKUP($A119,'SegEnds_NonXtal_Prot#'!$A:$AL,14,FALSE)</f>
        <v>-</v>
      </c>
      <c r="AH119" s="5">
        <f>VLOOKUP($A119,'SegEnds_NonXtal_Prot#'!$A:$AL,17,FALSE)</f>
        <v>220</v>
      </c>
      <c r="AI119" s="5">
        <f>VLOOKUP($A119,'SegEnds_NonXtal_Prot#'!$A:$AL,20,FALSE)</f>
        <v>228</v>
      </c>
      <c r="AJ119" s="5">
        <f>VLOOKUP($A119,'SegEnds_NonXtal_Prot#'!$A:$AL,23,FALSE)</f>
        <v>254</v>
      </c>
      <c r="AK119" s="5" t="str">
        <f>VLOOKUP($A119,'SegEnds_NonXtal_Prot#'!$A:$AL,26,FALSE)</f>
        <v>-</v>
      </c>
      <c r="AL119" s="5">
        <f>VLOOKUP($A119,'SegEnds_NonXtal_Prot#'!$A:$AL,29,FALSE)</f>
        <v>312</v>
      </c>
      <c r="AM119" s="5">
        <f>VLOOKUP($A119,'SegEnds_NonXtal_Prot#'!$A:$AL,32,FALSE)</f>
        <v>369</v>
      </c>
      <c r="AN119" s="5">
        <f>VLOOKUP($A119,'SegEnds_NonXtal_Prot#'!$A:$AL,35,FALSE)</f>
        <v>400</v>
      </c>
      <c r="AO119" s="5">
        <f>VLOOKUP($A119,'SegEnds_NonXtal_Prot#'!$A:$AL,38,FALSE)</f>
        <v>413</v>
      </c>
      <c r="AP119" s="5">
        <f t="shared" si="38"/>
        <v>32</v>
      </c>
      <c r="AQ119" s="4">
        <f t="shared" si="39"/>
        <v>3</v>
      </c>
      <c r="AR119" s="4">
        <f t="shared" si="40"/>
        <v>29</v>
      </c>
      <c r="AS119" s="4" t="str">
        <f t="shared" si="41"/>
        <v>-</v>
      </c>
      <c r="AT119" s="4">
        <f t="shared" si="42"/>
        <v>35</v>
      </c>
      <c r="AU119" s="4">
        <f t="shared" si="43"/>
        <v>7</v>
      </c>
      <c r="AV119" s="4">
        <f t="shared" si="44"/>
        <v>25</v>
      </c>
      <c r="AW119" s="4" t="str">
        <f t="shared" si="45"/>
        <v>-</v>
      </c>
      <c r="AX119" s="4">
        <f t="shared" si="46"/>
        <v>40</v>
      </c>
      <c r="AY119" s="4">
        <f t="shared" si="47"/>
        <v>37</v>
      </c>
      <c r="AZ119" s="4">
        <f t="shared" si="48"/>
        <v>28</v>
      </c>
      <c r="BA119" s="4">
        <f t="shared" si="49"/>
        <v>12</v>
      </c>
    </row>
    <row r="120" spans="1:53" x14ac:dyDescent="0.2">
      <c r="A120" s="1" t="str">
        <f>'SegEnds_NonXtal_Prot#'!A91</f>
        <v>cnr2_human</v>
      </c>
      <c r="B120" s="1" t="str">
        <f t="shared" si="25"/>
        <v>SGPQKTAVAVLCTLLGLLSALENVAVLYLILSSKPSYLFIGSLAGADFLASVVFACSFVNFHVSKAVFLLKIGSVTMTFTASVGSLLLTAIDRYLCLRYTRGRALVTLGIMWVLSALVSYLPLMGPNDYLLSWLLFIAFLFSGIIYTYGHVLWKAHQHVASLSGRLDVRLAKTLGLVLAVLLICWFPVLALMAHSLATSDQVKKAFAFCSMLCLINSMVNPVIYALRSGEIRSSAHHCLAHWKK</v>
      </c>
      <c r="C120" s="29" t="str">
        <f>IF(ISERROR(MATCH(A120,'SegEnds_Xtal_Prot#'!B:B, 0)), "NoXtal", "Xtal")</f>
        <v>Xtal</v>
      </c>
      <c r="D120" s="4" t="str">
        <f>VLOOKUP(A120,Classification!A:D,2,FALSE)</f>
        <v>A</v>
      </c>
      <c r="E120" s="5" t="str">
        <f>VLOOKUP(A120,Seqs!A:B,2,FALSE)</f>
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</c>
      <c r="F120" s="5" t="str">
        <f t="shared" si="26"/>
        <v>SGPQKTAVAVLCTLLGLLSALENVAVLYLILSS</v>
      </c>
      <c r="G120" s="4" t="str">
        <f t="shared" si="27"/>
        <v>HQLR</v>
      </c>
      <c r="H120" s="4" t="str">
        <f t="shared" si="28"/>
        <v>KPSYLFIGSLAGADFLASVVFACSFVNFHV</v>
      </c>
      <c r="I120" s="4" t="str">
        <f t="shared" si="29"/>
        <v/>
      </c>
      <c r="J120" s="4" t="str">
        <f t="shared" si="30"/>
        <v>SKAVFLLKIGSVTMTFTASVGSLLLTAIDRYLCLRY</v>
      </c>
      <c r="K120" s="4" t="str">
        <f t="shared" si="31"/>
        <v>PPSYKALL</v>
      </c>
      <c r="L120" s="4" t="str">
        <f t="shared" si="32"/>
        <v>TRGRALVTLGIMWVLSALVSYLPLMG</v>
      </c>
      <c r="M120" s="4" t="str">
        <f t="shared" si="33"/>
        <v/>
      </c>
      <c r="N120" s="4" t="str">
        <f t="shared" si="34"/>
        <v>PNDYLLSWLLFIAFLFSGIIYTYGHVLWKAHQHVASLSG</v>
      </c>
      <c r="O120" s="4" t="str">
        <f t="shared" si="35"/>
        <v>RLDVRLAKTLGLVLAVLLICWFPVLALMAHSLAT</v>
      </c>
      <c r="P120" s="4" t="str">
        <f t="shared" si="36"/>
        <v>SDQVKKAFAFCSMLCLINSMVNPVIYALR</v>
      </c>
      <c r="Q120" s="4" t="str">
        <f t="shared" si="37"/>
        <v>SGEIRSSAHHCLAHWKK</v>
      </c>
      <c r="R120" s="5">
        <f>VLOOKUP($A120,'SegEnds_NonXtal_Prot#'!$A:$AL,3,FALSE)</f>
        <v>29</v>
      </c>
      <c r="S120" s="5">
        <f>VLOOKUP($A120,'SegEnds_NonXtal_Prot#'!$A:$AL,6,FALSE)</f>
        <v>62</v>
      </c>
      <c r="T120" s="5">
        <f>VLOOKUP($A120,'SegEnds_NonXtal_Prot#'!$A:$AL,9,FALSE)</f>
        <v>67</v>
      </c>
      <c r="U120" s="5" t="str">
        <f>VLOOKUP($A120,'SegEnds_NonXtal_Prot#'!$A:$AL,12,FALSE)</f>
        <v>-</v>
      </c>
      <c r="V120" s="5">
        <f>VLOOKUP($A120,'SegEnds_NonXtal_Prot#'!$A:$AL,15,FALSE)</f>
        <v>102</v>
      </c>
      <c r="W120" s="5">
        <f>VLOOKUP($A120,'SegEnds_NonXtal_Prot#'!$A:$AL,18,FALSE)</f>
        <v>138</v>
      </c>
      <c r="X120" s="5">
        <f>VLOOKUP($A120,'SegEnds_NonXtal_Prot#'!$A:$AL,21,FALSE)</f>
        <v>146</v>
      </c>
      <c r="Y120" s="5" t="str">
        <f>VLOOKUP($A120,'SegEnds_NonXtal_Prot#'!$A:$AL,24,FALSE)</f>
        <v>-</v>
      </c>
      <c r="Z120" s="5">
        <f>VLOOKUP($A120,'SegEnds_NonXtal_Prot#'!$A:$AL,27,FALSE)</f>
        <v>187</v>
      </c>
      <c r="AA120" s="5">
        <f>VLOOKUP($A120,'SegEnds_NonXtal_Prot#'!$A:$AL,30,FALSE)</f>
        <v>238</v>
      </c>
      <c r="AB120" s="5">
        <f>VLOOKUP($A120,'SegEnds_NonXtal_Prot#'!$A:$AL,33,FALSE)</f>
        <v>274</v>
      </c>
      <c r="AC120" s="5">
        <f>VLOOKUP($A120,'SegEnds_NonXtal_Prot#'!$A:$AL,36,FALSE)</f>
        <v>303</v>
      </c>
      <c r="AD120" s="5">
        <f>VLOOKUP($A120,'SegEnds_NonXtal_Prot#'!$A:$AL,5,FALSE)</f>
        <v>61</v>
      </c>
      <c r="AE120" s="5">
        <f>VLOOKUP($A120,'SegEnds_NonXtal_Prot#'!$A:$AL,8,FALSE)</f>
        <v>65</v>
      </c>
      <c r="AF120" s="5">
        <f>VLOOKUP($A120,'SegEnds_NonXtal_Prot#'!$A:$AL,11,FALSE)</f>
        <v>96</v>
      </c>
      <c r="AG120" s="5" t="str">
        <f>VLOOKUP($A120,'SegEnds_NonXtal_Prot#'!$A:$AL,14,FALSE)</f>
        <v>-</v>
      </c>
      <c r="AH120" s="5">
        <f>VLOOKUP($A120,'SegEnds_NonXtal_Prot#'!$A:$AL,17,FALSE)</f>
        <v>137</v>
      </c>
      <c r="AI120" s="5">
        <f>VLOOKUP($A120,'SegEnds_NonXtal_Prot#'!$A:$AL,20,FALSE)</f>
        <v>145</v>
      </c>
      <c r="AJ120" s="5">
        <f>VLOOKUP($A120,'SegEnds_NonXtal_Prot#'!$A:$AL,23,FALSE)</f>
        <v>171</v>
      </c>
      <c r="AK120" s="5" t="str">
        <f>VLOOKUP($A120,'SegEnds_NonXtal_Prot#'!$A:$AL,26,FALSE)</f>
        <v>-</v>
      </c>
      <c r="AL120" s="5">
        <f>VLOOKUP($A120,'SegEnds_NonXtal_Prot#'!$A:$AL,29,FALSE)</f>
        <v>225</v>
      </c>
      <c r="AM120" s="5">
        <f>VLOOKUP($A120,'SegEnds_NonXtal_Prot#'!$A:$AL,32,FALSE)</f>
        <v>271</v>
      </c>
      <c r="AN120" s="5">
        <f>VLOOKUP($A120,'SegEnds_NonXtal_Prot#'!$A:$AL,35,FALSE)</f>
        <v>302</v>
      </c>
      <c r="AO120" s="5">
        <f>VLOOKUP($A120,'SegEnds_NonXtal_Prot#'!$A:$AL,38,FALSE)</f>
        <v>319</v>
      </c>
      <c r="AP120" s="5">
        <f t="shared" si="38"/>
        <v>32</v>
      </c>
      <c r="AQ120" s="4">
        <f t="shared" si="39"/>
        <v>3</v>
      </c>
      <c r="AR120" s="4">
        <f t="shared" si="40"/>
        <v>29</v>
      </c>
      <c r="AS120" s="4" t="str">
        <f t="shared" si="41"/>
        <v>-</v>
      </c>
      <c r="AT120" s="4">
        <f t="shared" si="42"/>
        <v>35</v>
      </c>
      <c r="AU120" s="4">
        <f t="shared" si="43"/>
        <v>7</v>
      </c>
      <c r="AV120" s="4">
        <f t="shared" si="44"/>
        <v>25</v>
      </c>
      <c r="AW120" s="4" t="str">
        <f t="shared" si="45"/>
        <v>-</v>
      </c>
      <c r="AX120" s="4">
        <f t="shared" si="46"/>
        <v>38</v>
      </c>
      <c r="AY120" s="4">
        <f t="shared" si="47"/>
        <v>33</v>
      </c>
      <c r="AZ120" s="4">
        <f t="shared" si="48"/>
        <v>28</v>
      </c>
      <c r="BA120" s="4">
        <f t="shared" si="49"/>
        <v>16</v>
      </c>
    </row>
    <row r="121" spans="1:53" x14ac:dyDescent="0.2">
      <c r="A121" s="1" t="str">
        <f>'SegEnds_NonXtal_Prot#'!A92</f>
        <v>cx3c1_human</v>
      </c>
      <c r="B121" s="1" t="str">
        <f t="shared" si="25"/>
        <v>IVVFGTVFLSIFYSVIFAIGLVGNLLVVFALTNSSVTDIYLLNLALSDLLFVATLPFWTHYLINMCKFTTAFFFIGFFGSIFFITVISIDRYLAIVLTVQHGVTISLGVWAAAILVAAPQFMFTQEIWPVLRNVETNFLGFLLPLLIMSYCYFRIIQTLFSCKAKAIKLILLVVIVFFLFWTPYNVMIFLETLKLYDSCDMRKDLRLALSVTETVAFSHCCLNPLIYAFAGEKFRRYLYHLY</v>
      </c>
      <c r="C121" s="29" t="str">
        <f>IF(ISERROR(MATCH(A121,'SegEnds_Xtal_Prot#'!B:B, 0)), "NoXtal", "Xtal")</f>
        <v>NoXtal</v>
      </c>
      <c r="D121" s="4" t="str">
        <f>VLOOKUP(A121,Classification!A:D,2,FALSE)</f>
        <v>A</v>
      </c>
      <c r="E121" s="5" t="str">
        <f>VLOOKUP(A121,Seqs!A:B,2,FALSE)</f>
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</c>
      <c r="F121" s="5" t="str">
        <f t="shared" si="26"/>
        <v>IVVFGTVFLSIFYSVIFAIGLVGNLLVVFALTNS</v>
      </c>
      <c r="G121" s="4" t="str">
        <f t="shared" si="27"/>
        <v>KKPK</v>
      </c>
      <c r="H121" s="4" t="str">
        <f t="shared" si="28"/>
        <v>SVTDIYLLNLALSDLLFVATLPFWTHYLIN</v>
      </c>
      <c r="I121" s="4" t="str">
        <f t="shared" si="29"/>
        <v/>
      </c>
      <c r="J121" s="4" t="str">
        <f t="shared" si="30"/>
        <v>MCKFTTAFFFIGFFGSIFFITVISIDRYLAIVL</v>
      </c>
      <c r="K121" s="4" t="str">
        <f t="shared" si="31"/>
        <v>AANSMNNR</v>
      </c>
      <c r="L121" s="4" t="str">
        <f t="shared" si="32"/>
        <v>TVQHGVTISLGVWAAAILVAAPQFMFT</v>
      </c>
      <c r="M121" s="4" t="str">
        <f t="shared" si="33"/>
        <v>CLG</v>
      </c>
      <c r="N121" s="4" t="str">
        <f t="shared" si="34"/>
        <v>QEIWPVLRNVETNFLGFLLPLLIMSYCYFRIIQTLFSC</v>
      </c>
      <c r="O121" s="4" t="str">
        <f t="shared" si="35"/>
        <v>KAKAIKLILLVVIVFFLFWTPYNVMIFLETLKLYD</v>
      </c>
      <c r="P121" s="4" t="str">
        <f t="shared" si="36"/>
        <v>SCDMRKDLRLALSVTETVAFSHCCLNPLIYAFA</v>
      </c>
      <c r="Q121" s="4" t="str">
        <f t="shared" si="37"/>
        <v>GEKFRRYLYHLY</v>
      </c>
      <c r="R121" s="5">
        <f>VLOOKUP($A121,'SegEnds_NonXtal_Prot#'!$A:$AL,3,FALSE)</f>
        <v>26</v>
      </c>
      <c r="S121" s="5">
        <f>VLOOKUP($A121,'SegEnds_NonXtal_Prot#'!$A:$AL,6,FALSE)</f>
        <v>60</v>
      </c>
      <c r="T121" s="5">
        <f>VLOOKUP($A121,'SegEnds_NonXtal_Prot#'!$A:$AL,9,FALSE)</f>
        <v>64</v>
      </c>
      <c r="U121" s="5" t="str">
        <f>VLOOKUP($A121,'SegEnds_NonXtal_Prot#'!$A:$AL,12,FALSE)</f>
        <v>-</v>
      </c>
      <c r="V121" s="5">
        <f>VLOOKUP($A121,'SegEnds_NonXtal_Prot#'!$A:$AL,15,FALSE)</f>
        <v>101</v>
      </c>
      <c r="W121" s="5">
        <f>VLOOKUP($A121,'SegEnds_NonXtal_Prot#'!$A:$AL,18,FALSE)</f>
        <v>134</v>
      </c>
      <c r="X121" s="5">
        <f>VLOOKUP($A121,'SegEnds_NonXtal_Prot#'!$A:$AL,21,FALSE)</f>
        <v>142</v>
      </c>
      <c r="Y121" s="5">
        <f>VLOOKUP($A121,'SegEnds_NonXtal_Prot#'!$A:$AL,24,FALSE)</f>
        <v>175</v>
      </c>
      <c r="Z121" s="5">
        <f>VLOOKUP($A121,'SegEnds_NonXtal_Prot#'!$A:$AL,27,FALSE)</f>
        <v>184</v>
      </c>
      <c r="AA121" s="5">
        <f>VLOOKUP($A121,'SegEnds_NonXtal_Prot#'!$A:$AL,30,FALSE)</f>
        <v>226</v>
      </c>
      <c r="AB121" s="5">
        <f>VLOOKUP($A121,'SegEnds_NonXtal_Prot#'!$A:$AL,33,FALSE)</f>
        <v>264</v>
      </c>
      <c r="AC121" s="5">
        <f>VLOOKUP($A121,'SegEnds_NonXtal_Prot#'!$A:$AL,36,FALSE)</f>
        <v>297</v>
      </c>
      <c r="AD121" s="5">
        <f>VLOOKUP($A121,'SegEnds_NonXtal_Prot#'!$A:$AL,5,FALSE)</f>
        <v>59</v>
      </c>
      <c r="AE121" s="5">
        <f>VLOOKUP($A121,'SegEnds_NonXtal_Prot#'!$A:$AL,8,FALSE)</f>
        <v>63</v>
      </c>
      <c r="AF121" s="5">
        <f>VLOOKUP($A121,'SegEnds_NonXtal_Prot#'!$A:$AL,11,FALSE)</f>
        <v>93</v>
      </c>
      <c r="AG121" s="5" t="str">
        <f>VLOOKUP($A121,'SegEnds_NonXtal_Prot#'!$A:$AL,14,FALSE)</f>
        <v>-</v>
      </c>
      <c r="AH121" s="5">
        <f>VLOOKUP($A121,'SegEnds_NonXtal_Prot#'!$A:$AL,17,FALSE)</f>
        <v>133</v>
      </c>
      <c r="AI121" s="5">
        <f>VLOOKUP($A121,'SegEnds_NonXtal_Prot#'!$A:$AL,20,FALSE)</f>
        <v>141</v>
      </c>
      <c r="AJ121" s="5">
        <f>VLOOKUP($A121,'SegEnds_NonXtal_Prot#'!$A:$AL,23,FALSE)</f>
        <v>168</v>
      </c>
      <c r="AK121" s="5">
        <f>VLOOKUP($A121,'SegEnds_NonXtal_Prot#'!$A:$AL,26,FALSE)</f>
        <v>177</v>
      </c>
      <c r="AL121" s="5">
        <f>VLOOKUP($A121,'SegEnds_NonXtal_Prot#'!$A:$AL,29,FALSE)</f>
        <v>221</v>
      </c>
      <c r="AM121" s="5">
        <f>VLOOKUP($A121,'SegEnds_NonXtal_Prot#'!$A:$AL,32,FALSE)</f>
        <v>260</v>
      </c>
      <c r="AN121" s="5">
        <f>VLOOKUP($A121,'SegEnds_NonXtal_Prot#'!$A:$AL,35,FALSE)</f>
        <v>296</v>
      </c>
      <c r="AO121" s="5">
        <f>VLOOKUP($A121,'SegEnds_NonXtal_Prot#'!$A:$AL,38,FALSE)</f>
        <v>308</v>
      </c>
      <c r="AP121" s="5">
        <f t="shared" si="38"/>
        <v>33</v>
      </c>
      <c r="AQ121" s="4">
        <f t="shared" si="39"/>
        <v>3</v>
      </c>
      <c r="AR121" s="4">
        <f t="shared" si="40"/>
        <v>29</v>
      </c>
      <c r="AS121" s="4" t="str">
        <f t="shared" si="41"/>
        <v>-</v>
      </c>
      <c r="AT121" s="4">
        <f t="shared" si="42"/>
        <v>32</v>
      </c>
      <c r="AU121" s="4">
        <f t="shared" si="43"/>
        <v>7</v>
      </c>
      <c r="AV121" s="4">
        <f t="shared" si="44"/>
        <v>26</v>
      </c>
      <c r="AW121" s="4">
        <f t="shared" si="45"/>
        <v>2</v>
      </c>
      <c r="AX121" s="4">
        <f t="shared" si="46"/>
        <v>37</v>
      </c>
      <c r="AY121" s="4">
        <f t="shared" si="47"/>
        <v>34</v>
      </c>
      <c r="AZ121" s="4">
        <f t="shared" si="48"/>
        <v>32</v>
      </c>
      <c r="BA121" s="4">
        <f t="shared" si="49"/>
        <v>11</v>
      </c>
    </row>
    <row r="122" spans="1:53" x14ac:dyDescent="0.2">
      <c r="A122" s="1" t="str">
        <f>'SegEnds_NonXtal_Prot#'!A93</f>
        <v>cxcr3_human</v>
      </c>
      <c r="B122" s="1" t="str">
        <f t="shared" si="25"/>
        <v>NFDRAFLPALYSLLFLLGLLGNGAVAAVLLSRSSTDTFLLHLAVADTLLVLTLPLWAVDAAVGSGLCKVAGALFNINFYAGALLLACISFDRYLNIVHPPARVTLTCLAVWGLCLLFALPDFIFLVGRTALRVLQLVAGFLLPLLVMAYCYAHILAVLLVSRLRAMRLVVVVVVAFALCWTPYHLVVLVDILMDLGNCGRESRVDVAKSVTSGLGYMHCCLNPLLYAFVGVKFRERMWMLLL</v>
      </c>
      <c r="C122" s="29" t="str">
        <f>IF(ISERROR(MATCH(A122,'SegEnds_Xtal_Prot#'!B:B, 0)), "NoXtal", "Xtal")</f>
        <v>NoXtal</v>
      </c>
      <c r="D122" s="4" t="str">
        <f>VLOOKUP(A122,Classification!A:D,2,FALSE)</f>
        <v>A</v>
      </c>
      <c r="E122" s="5" t="str">
        <f>VLOOKUP(A122,Seqs!A:B,2,FALSE)</f>
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</c>
      <c r="F122" s="5" t="str">
        <f t="shared" si="26"/>
        <v>NFDRAFLPALYSLLFLLGLLGNGAVAAVLLSR</v>
      </c>
      <c r="G122" s="4" t="str">
        <f t="shared" si="27"/>
        <v>RTAL</v>
      </c>
      <c r="H122" s="4" t="str">
        <f t="shared" si="28"/>
        <v>SSTDTFLLHLAVADTLLVLTLPLWAVDAAV</v>
      </c>
      <c r="I122" s="4" t="str">
        <f t="shared" si="29"/>
        <v>QWVF</v>
      </c>
      <c r="J122" s="4" t="str">
        <f t="shared" si="30"/>
        <v>GSGLCKVAGALFNINFYAGALLLACISFDRYLNIVH</v>
      </c>
      <c r="K122" s="4" t="str">
        <f t="shared" si="31"/>
        <v>ATQLYRRG</v>
      </c>
      <c r="L122" s="4" t="str">
        <f t="shared" si="32"/>
        <v>PPARVTLTCLAVWGLCLLFALPDFIFL</v>
      </c>
      <c r="M122" s="4" t="str">
        <f t="shared" si="33"/>
        <v>CQY</v>
      </c>
      <c r="N122" s="4" t="str">
        <f t="shared" si="34"/>
        <v>VGRTALRVLQLVAGFLLPLLVMAYCYAHILAVLLVS</v>
      </c>
      <c r="O122" s="4" t="str">
        <f t="shared" si="35"/>
        <v>RLRAMRLVVVVVVAFALCWTPYHLVVLVDILMDLG</v>
      </c>
      <c r="P122" s="4" t="str">
        <f t="shared" si="36"/>
        <v>NCGRESRVDVAKSVTSGLGYMHCCLNPLLYAFV</v>
      </c>
      <c r="Q122" s="4" t="str">
        <f t="shared" si="37"/>
        <v>GVKFRERMWMLLL</v>
      </c>
      <c r="R122" s="5">
        <f>VLOOKUP($A122,'SegEnds_NonXtal_Prot#'!$A:$AL,3,FALSE)</f>
        <v>50</v>
      </c>
      <c r="S122" s="5">
        <f>VLOOKUP($A122,'SegEnds_NonXtal_Prot#'!$A:$AL,6,FALSE)</f>
        <v>82</v>
      </c>
      <c r="T122" s="5">
        <f>VLOOKUP($A122,'SegEnds_NonXtal_Prot#'!$A:$AL,9,FALSE)</f>
        <v>86</v>
      </c>
      <c r="U122" s="5">
        <f>VLOOKUP($A122,'SegEnds_NonXtal_Prot#'!$A:$AL,12,FALSE)</f>
        <v>116</v>
      </c>
      <c r="V122" s="5">
        <f>VLOOKUP($A122,'SegEnds_NonXtal_Prot#'!$A:$AL,15,FALSE)</f>
        <v>120</v>
      </c>
      <c r="W122" s="5">
        <f>VLOOKUP($A122,'SegEnds_NonXtal_Prot#'!$A:$AL,18,FALSE)</f>
        <v>156</v>
      </c>
      <c r="X122" s="5">
        <f>VLOOKUP($A122,'SegEnds_NonXtal_Prot#'!$A:$AL,21,FALSE)</f>
        <v>164</v>
      </c>
      <c r="Y122" s="5">
        <f>VLOOKUP($A122,'SegEnds_NonXtal_Prot#'!$A:$AL,24,FALSE)</f>
        <v>203</v>
      </c>
      <c r="Z122" s="5">
        <f>VLOOKUP($A122,'SegEnds_NonXtal_Prot#'!$A:$AL,27,FALSE)</f>
        <v>210</v>
      </c>
      <c r="AA122" s="5">
        <f>VLOOKUP($A122,'SegEnds_NonXtal_Prot#'!$A:$AL,30,FALSE)</f>
        <v>250</v>
      </c>
      <c r="AB122" s="5">
        <f>VLOOKUP($A122,'SegEnds_NonXtal_Prot#'!$A:$AL,33,FALSE)</f>
        <v>289</v>
      </c>
      <c r="AC122" s="5">
        <f>VLOOKUP($A122,'SegEnds_NonXtal_Prot#'!$A:$AL,36,FALSE)</f>
        <v>322</v>
      </c>
      <c r="AD122" s="5">
        <f>VLOOKUP($A122,'SegEnds_NonXtal_Prot#'!$A:$AL,5,FALSE)</f>
        <v>81</v>
      </c>
      <c r="AE122" s="5">
        <f>VLOOKUP($A122,'SegEnds_NonXtal_Prot#'!$A:$AL,8,FALSE)</f>
        <v>85</v>
      </c>
      <c r="AF122" s="5">
        <f>VLOOKUP($A122,'SegEnds_NonXtal_Prot#'!$A:$AL,11,FALSE)</f>
        <v>115</v>
      </c>
      <c r="AG122" s="5">
        <f>VLOOKUP($A122,'SegEnds_NonXtal_Prot#'!$A:$AL,14,FALSE)</f>
        <v>119</v>
      </c>
      <c r="AH122" s="5">
        <f>VLOOKUP($A122,'SegEnds_NonXtal_Prot#'!$A:$AL,17,FALSE)</f>
        <v>155</v>
      </c>
      <c r="AI122" s="5">
        <f>VLOOKUP($A122,'SegEnds_NonXtal_Prot#'!$A:$AL,20,FALSE)</f>
        <v>163</v>
      </c>
      <c r="AJ122" s="5">
        <f>VLOOKUP($A122,'SegEnds_NonXtal_Prot#'!$A:$AL,23,FALSE)</f>
        <v>190</v>
      </c>
      <c r="AK122" s="5">
        <f>VLOOKUP($A122,'SegEnds_NonXtal_Prot#'!$A:$AL,26,FALSE)</f>
        <v>205</v>
      </c>
      <c r="AL122" s="5">
        <f>VLOOKUP($A122,'SegEnds_NonXtal_Prot#'!$A:$AL,29,FALSE)</f>
        <v>245</v>
      </c>
      <c r="AM122" s="5">
        <f>VLOOKUP($A122,'SegEnds_NonXtal_Prot#'!$A:$AL,32,FALSE)</f>
        <v>284</v>
      </c>
      <c r="AN122" s="5">
        <f>VLOOKUP($A122,'SegEnds_NonXtal_Prot#'!$A:$AL,35,FALSE)</f>
        <v>321</v>
      </c>
      <c r="AO122" s="5">
        <f>VLOOKUP($A122,'SegEnds_NonXtal_Prot#'!$A:$AL,38,FALSE)</f>
        <v>334</v>
      </c>
      <c r="AP122" s="5">
        <f t="shared" si="38"/>
        <v>31</v>
      </c>
      <c r="AQ122" s="4">
        <f t="shared" si="39"/>
        <v>3</v>
      </c>
      <c r="AR122" s="4">
        <f t="shared" si="40"/>
        <v>29</v>
      </c>
      <c r="AS122" s="4">
        <f t="shared" si="41"/>
        <v>3</v>
      </c>
      <c r="AT122" s="4">
        <f t="shared" si="42"/>
        <v>35</v>
      </c>
      <c r="AU122" s="4">
        <f t="shared" si="43"/>
        <v>7</v>
      </c>
      <c r="AV122" s="4">
        <f t="shared" si="44"/>
        <v>26</v>
      </c>
      <c r="AW122" s="4">
        <f t="shared" si="45"/>
        <v>2</v>
      </c>
      <c r="AX122" s="4">
        <f t="shared" si="46"/>
        <v>35</v>
      </c>
      <c r="AY122" s="4">
        <f t="shared" si="47"/>
        <v>34</v>
      </c>
      <c r="AZ122" s="4">
        <f t="shared" si="48"/>
        <v>32</v>
      </c>
      <c r="BA122" s="4">
        <f t="shared" si="49"/>
        <v>12</v>
      </c>
    </row>
    <row r="123" spans="1:53" x14ac:dyDescent="0.2">
      <c r="A123" s="1" t="str">
        <f>'SegEnds_NonXtal_Prot#'!A94</f>
        <v>cxcr4_human</v>
      </c>
      <c r="B123" s="1" t="str">
        <f t="shared" si="25"/>
        <v>REENANFNKIFLPTIYSIIFLTGIVGNGLVILVMGYQSMTDKYRLHLSVADLLFVITLPFWAVDAVAGNFLCKAVHVIYTVNLYSSVLILAFISLDRYLAIVHKLLAEKVVYVGVWIPALLLTIPDFIFADLWVVVFQFQHIMVGLILPGIVILSCYCIIISKLSHSKRKALKTTVILILAFFACWLPYYIGISIDSFILLEGCEFENTVHKWISITEALAFFHCCLNPILYAFLGAKFKTSAQHALT</v>
      </c>
      <c r="C123" s="29" t="str">
        <f>IF(ISERROR(MATCH(A123,'SegEnds_Xtal_Prot#'!B:B, 0)), "NoXtal", "Xtal")</f>
        <v>Xtal</v>
      </c>
      <c r="D123" s="4" t="str">
        <f>VLOOKUP(A123,Classification!A:D,2,FALSE)</f>
        <v>A</v>
      </c>
      <c r="E123" s="5" t="str">
        <f>VLOOKUP(A123,Seqs!A:B,2,FALSE)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F123" s="5" t="str">
        <f t="shared" si="26"/>
        <v>REENANFNKIFLPTIYSIIFLTGIVGNGLVILVMGYQ</v>
      </c>
      <c r="G123" s="4" t="str">
        <f t="shared" si="27"/>
        <v>KKLR</v>
      </c>
      <c r="H123" s="4" t="str">
        <f t="shared" si="28"/>
        <v>SMTDKYRLHLSVADLLFVITLPFWAVDAVA</v>
      </c>
      <c r="I123" s="4" t="str">
        <f t="shared" si="29"/>
        <v>NWYF</v>
      </c>
      <c r="J123" s="4" t="str">
        <f t="shared" si="30"/>
        <v>GNFLCKAVHVIYTVNLYSSVLILAFISLDRYLAIVH</v>
      </c>
      <c r="K123" s="4" t="str">
        <f t="shared" si="31"/>
        <v>ATNSQRPR</v>
      </c>
      <c r="L123" s="4" t="str">
        <f t="shared" si="32"/>
        <v>KLLAEKVVYVGVWIPALLLTIPDFIFA</v>
      </c>
      <c r="M123" s="4" t="str">
        <f t="shared" si="33"/>
        <v>CDR</v>
      </c>
      <c r="N123" s="4" t="str">
        <f t="shared" si="34"/>
        <v>DLWVVVFQFQHIMVGLILPGIVILSCYCIIISKLSHS</v>
      </c>
      <c r="O123" s="4" t="str">
        <f t="shared" si="35"/>
        <v>KRKALKTTVILILAFFACWLPYYIGISIDSFILLE</v>
      </c>
      <c r="P123" s="4" t="str">
        <f t="shared" si="36"/>
        <v>GCEFENTVHKWISITEALAFFHCCLNPILYAFL</v>
      </c>
      <c r="Q123" s="4" t="str">
        <f t="shared" si="37"/>
        <v>GAKFKTSAQHALT</v>
      </c>
      <c r="R123" s="5">
        <f>VLOOKUP($A123,'SegEnds_NonXtal_Prot#'!$A:$AL,3,FALSE)</f>
        <v>30</v>
      </c>
      <c r="S123" s="5">
        <f>VLOOKUP($A123,'SegEnds_NonXtal_Prot#'!$A:$AL,6,FALSE)</f>
        <v>67</v>
      </c>
      <c r="T123" s="5">
        <f>VLOOKUP($A123,'SegEnds_NonXtal_Prot#'!$A:$AL,9,FALSE)</f>
        <v>71</v>
      </c>
      <c r="U123" s="5">
        <f>VLOOKUP($A123,'SegEnds_NonXtal_Prot#'!$A:$AL,12,FALSE)</f>
        <v>101</v>
      </c>
      <c r="V123" s="5">
        <f>VLOOKUP($A123,'SegEnds_NonXtal_Prot#'!$A:$AL,15,FALSE)</f>
        <v>105</v>
      </c>
      <c r="W123" s="5">
        <f>VLOOKUP($A123,'SegEnds_NonXtal_Prot#'!$A:$AL,18,FALSE)</f>
        <v>141</v>
      </c>
      <c r="X123" s="5">
        <f>VLOOKUP($A123,'SegEnds_NonXtal_Prot#'!$A:$AL,21,FALSE)</f>
        <v>149</v>
      </c>
      <c r="Y123" s="5">
        <f>VLOOKUP($A123,'SegEnds_NonXtal_Prot#'!$A:$AL,24,FALSE)</f>
        <v>186</v>
      </c>
      <c r="Z123" s="5">
        <f>VLOOKUP($A123,'SegEnds_NonXtal_Prot#'!$A:$AL,27,FALSE)</f>
        <v>193</v>
      </c>
      <c r="AA123" s="5">
        <f>VLOOKUP($A123,'SegEnds_NonXtal_Prot#'!$A:$AL,30,FALSE)</f>
        <v>234</v>
      </c>
      <c r="AB123" s="5">
        <f>VLOOKUP($A123,'SegEnds_NonXtal_Prot#'!$A:$AL,33,FALSE)</f>
        <v>273</v>
      </c>
      <c r="AC123" s="5">
        <f>VLOOKUP($A123,'SegEnds_NonXtal_Prot#'!$A:$AL,36,FALSE)</f>
        <v>306</v>
      </c>
      <c r="AD123" s="5">
        <f>VLOOKUP($A123,'SegEnds_NonXtal_Prot#'!$A:$AL,5,FALSE)</f>
        <v>66</v>
      </c>
      <c r="AE123" s="5">
        <f>VLOOKUP($A123,'SegEnds_NonXtal_Prot#'!$A:$AL,8,FALSE)</f>
        <v>70</v>
      </c>
      <c r="AF123" s="5">
        <f>VLOOKUP($A123,'SegEnds_NonXtal_Prot#'!$A:$AL,11,FALSE)</f>
        <v>100</v>
      </c>
      <c r="AG123" s="5">
        <f>VLOOKUP($A123,'SegEnds_NonXtal_Prot#'!$A:$AL,14,FALSE)</f>
        <v>104</v>
      </c>
      <c r="AH123" s="5">
        <f>VLOOKUP($A123,'SegEnds_NonXtal_Prot#'!$A:$AL,17,FALSE)</f>
        <v>140</v>
      </c>
      <c r="AI123" s="5">
        <f>VLOOKUP($A123,'SegEnds_NonXtal_Prot#'!$A:$AL,20,FALSE)</f>
        <v>148</v>
      </c>
      <c r="AJ123" s="5">
        <f>VLOOKUP($A123,'SegEnds_NonXtal_Prot#'!$A:$AL,23,FALSE)</f>
        <v>175</v>
      </c>
      <c r="AK123" s="5">
        <f>VLOOKUP($A123,'SegEnds_NonXtal_Prot#'!$A:$AL,26,FALSE)</f>
        <v>188</v>
      </c>
      <c r="AL123" s="5">
        <f>VLOOKUP($A123,'SegEnds_NonXtal_Prot#'!$A:$AL,29,FALSE)</f>
        <v>229</v>
      </c>
      <c r="AM123" s="5">
        <f>VLOOKUP($A123,'SegEnds_NonXtal_Prot#'!$A:$AL,32,FALSE)</f>
        <v>268</v>
      </c>
      <c r="AN123" s="5">
        <f>VLOOKUP($A123,'SegEnds_NonXtal_Prot#'!$A:$AL,35,FALSE)</f>
        <v>305</v>
      </c>
      <c r="AO123" s="5">
        <f>VLOOKUP($A123,'SegEnds_NonXtal_Prot#'!$A:$AL,38,FALSE)</f>
        <v>318</v>
      </c>
      <c r="AP123" s="5">
        <f t="shared" si="38"/>
        <v>36</v>
      </c>
      <c r="AQ123" s="4">
        <f t="shared" si="39"/>
        <v>3</v>
      </c>
      <c r="AR123" s="4">
        <f t="shared" si="40"/>
        <v>29</v>
      </c>
      <c r="AS123" s="4">
        <f t="shared" si="41"/>
        <v>3</v>
      </c>
      <c r="AT123" s="4">
        <f t="shared" si="42"/>
        <v>35</v>
      </c>
      <c r="AU123" s="4">
        <f t="shared" si="43"/>
        <v>7</v>
      </c>
      <c r="AV123" s="4">
        <f t="shared" si="44"/>
        <v>26</v>
      </c>
      <c r="AW123" s="4">
        <f t="shared" si="45"/>
        <v>2</v>
      </c>
      <c r="AX123" s="4">
        <f t="shared" si="46"/>
        <v>36</v>
      </c>
      <c r="AY123" s="4">
        <f t="shared" si="47"/>
        <v>34</v>
      </c>
      <c r="AZ123" s="4">
        <f t="shared" si="48"/>
        <v>32</v>
      </c>
      <c r="BA123" s="4">
        <f t="shared" si="49"/>
        <v>12</v>
      </c>
    </row>
    <row r="124" spans="1:53" x14ac:dyDescent="0.2">
      <c r="A124" s="1" t="str">
        <f>'SegEnds_NonXtal_Prot#'!A95</f>
        <v>cxcr5_human</v>
      </c>
      <c r="B124" s="1" t="str">
        <f t="shared" si="25"/>
        <v>SFKAVFVPVAYSLIFLLGVIGNVLVLVILERHSSTETFLFHLAVADLLLVFILPFAVAEGSVGTFLCKTVIALHKVNFYCSSLLLACIAVDRYLAIVHRLLSIHITCGTIWLVGFLLALPEILFAHAWFTSRFLYHVAGFLLPMLVMGWCYVGVVHRLRQAPQRQKAVRVAILVTSIFFLCWSPYHIVIFLDTLARLKTCKLNGSLPVAITMCEFLGLAHCCLNPMLYTFAGVKFRSDLSRLLT</v>
      </c>
      <c r="C124" s="29" t="str">
        <f>IF(ISERROR(MATCH(A124,'SegEnds_Xtal_Prot#'!B:B, 0)), "NoXtal", "Xtal")</f>
        <v>NoXtal</v>
      </c>
      <c r="D124" s="4" t="str">
        <f>VLOOKUP(A124,Classification!A:D,2,FALSE)</f>
        <v>A</v>
      </c>
      <c r="E124" s="5" t="str">
        <f>VLOOKUP(A124,Seqs!A:B,2,FALSE)</f>
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</c>
      <c r="F124" s="5" t="str">
        <f t="shared" si="26"/>
        <v>SFKAVFVPVAYSLIFLLGVIGNVLVLVILERH</v>
      </c>
      <c r="G124" s="4" t="str">
        <f t="shared" si="27"/>
        <v>RQTR</v>
      </c>
      <c r="H124" s="4" t="str">
        <f t="shared" si="28"/>
        <v>SSTETFLFHLAVADLLLVFILPFAVAEGSV</v>
      </c>
      <c r="I124" s="4" t="str">
        <f t="shared" si="29"/>
        <v>GWVL</v>
      </c>
      <c r="J124" s="4" t="str">
        <f t="shared" si="30"/>
        <v>GTFLCKTVIALHKVNFYCSSLLLACIAVDRYLAIVH</v>
      </c>
      <c r="K124" s="4" t="str">
        <f t="shared" si="31"/>
        <v>AVHAYRHR</v>
      </c>
      <c r="L124" s="4" t="str">
        <f t="shared" si="32"/>
        <v>RLLSIHITCGTIWLVGFLLALPEILFA</v>
      </c>
      <c r="M124" s="4" t="str">
        <f t="shared" si="33"/>
        <v>CTF</v>
      </c>
      <c r="N124" s="4" t="str">
        <f t="shared" si="34"/>
        <v>HAWFTSRFLYHVAGFLLPMLVMGWCYVGVVHRLRQA</v>
      </c>
      <c r="O124" s="4" t="str">
        <f t="shared" si="35"/>
        <v>PQRQKAVRVAILVTSIFFLCWSPYHIVIFLDTLARLK</v>
      </c>
      <c r="P124" s="4" t="str">
        <f t="shared" si="36"/>
        <v>TCKLNGSLPVAITMCEFLGLAHCCLNPMLYTFA</v>
      </c>
      <c r="Q124" s="4" t="str">
        <f t="shared" si="37"/>
        <v>GVKFRSDLSRLLT</v>
      </c>
      <c r="R124" s="5">
        <f>VLOOKUP($A124,'SegEnds_NonXtal_Prot#'!$A:$AL,3,FALSE)</f>
        <v>48</v>
      </c>
      <c r="S124" s="5">
        <f>VLOOKUP($A124,'SegEnds_NonXtal_Prot#'!$A:$AL,6,FALSE)</f>
        <v>80</v>
      </c>
      <c r="T124" s="5">
        <f>VLOOKUP($A124,'SegEnds_NonXtal_Prot#'!$A:$AL,9,FALSE)</f>
        <v>84</v>
      </c>
      <c r="U124" s="5">
        <f>VLOOKUP($A124,'SegEnds_NonXtal_Prot#'!$A:$AL,12,FALSE)</f>
        <v>114</v>
      </c>
      <c r="V124" s="5">
        <f>VLOOKUP($A124,'SegEnds_NonXtal_Prot#'!$A:$AL,15,FALSE)</f>
        <v>118</v>
      </c>
      <c r="W124" s="5">
        <f>VLOOKUP($A124,'SegEnds_NonXtal_Prot#'!$A:$AL,18,FALSE)</f>
        <v>154</v>
      </c>
      <c r="X124" s="5">
        <f>VLOOKUP($A124,'SegEnds_NonXtal_Prot#'!$A:$AL,21,FALSE)</f>
        <v>162</v>
      </c>
      <c r="Y124" s="5">
        <f>VLOOKUP($A124,'SegEnds_NonXtal_Prot#'!$A:$AL,24,FALSE)</f>
        <v>202</v>
      </c>
      <c r="Z124" s="5">
        <f>VLOOKUP($A124,'SegEnds_NonXtal_Prot#'!$A:$AL,27,FALSE)</f>
        <v>213</v>
      </c>
      <c r="AA124" s="5">
        <f>VLOOKUP($A124,'SegEnds_NonXtal_Prot#'!$A:$AL,30,FALSE)</f>
        <v>252</v>
      </c>
      <c r="AB124" s="5">
        <f>VLOOKUP($A124,'SegEnds_NonXtal_Prot#'!$A:$AL,33,FALSE)</f>
        <v>293</v>
      </c>
      <c r="AC124" s="5">
        <f>VLOOKUP($A124,'SegEnds_NonXtal_Prot#'!$A:$AL,36,FALSE)</f>
        <v>326</v>
      </c>
      <c r="AD124" s="5">
        <f>VLOOKUP($A124,'SegEnds_NonXtal_Prot#'!$A:$AL,5,FALSE)</f>
        <v>79</v>
      </c>
      <c r="AE124" s="5">
        <f>VLOOKUP($A124,'SegEnds_NonXtal_Prot#'!$A:$AL,8,FALSE)</f>
        <v>83</v>
      </c>
      <c r="AF124" s="5">
        <f>VLOOKUP($A124,'SegEnds_NonXtal_Prot#'!$A:$AL,11,FALSE)</f>
        <v>113</v>
      </c>
      <c r="AG124" s="5">
        <f>VLOOKUP($A124,'SegEnds_NonXtal_Prot#'!$A:$AL,14,FALSE)</f>
        <v>117</v>
      </c>
      <c r="AH124" s="5">
        <f>VLOOKUP($A124,'SegEnds_NonXtal_Prot#'!$A:$AL,17,FALSE)</f>
        <v>153</v>
      </c>
      <c r="AI124" s="5">
        <f>VLOOKUP($A124,'SegEnds_NonXtal_Prot#'!$A:$AL,20,FALSE)</f>
        <v>161</v>
      </c>
      <c r="AJ124" s="5">
        <f>VLOOKUP($A124,'SegEnds_NonXtal_Prot#'!$A:$AL,23,FALSE)</f>
        <v>188</v>
      </c>
      <c r="AK124" s="5">
        <f>VLOOKUP($A124,'SegEnds_NonXtal_Prot#'!$A:$AL,26,FALSE)</f>
        <v>204</v>
      </c>
      <c r="AL124" s="5">
        <f>VLOOKUP($A124,'SegEnds_NonXtal_Prot#'!$A:$AL,29,FALSE)</f>
        <v>248</v>
      </c>
      <c r="AM124" s="5">
        <f>VLOOKUP($A124,'SegEnds_NonXtal_Prot#'!$A:$AL,32,FALSE)</f>
        <v>288</v>
      </c>
      <c r="AN124" s="5">
        <f>VLOOKUP($A124,'SegEnds_NonXtal_Prot#'!$A:$AL,35,FALSE)</f>
        <v>325</v>
      </c>
      <c r="AO124" s="5">
        <f>VLOOKUP($A124,'SegEnds_NonXtal_Prot#'!$A:$AL,38,FALSE)</f>
        <v>338</v>
      </c>
      <c r="AP124" s="5">
        <f t="shared" si="38"/>
        <v>31</v>
      </c>
      <c r="AQ124" s="4">
        <f t="shared" si="39"/>
        <v>3</v>
      </c>
      <c r="AR124" s="4">
        <f t="shared" si="40"/>
        <v>29</v>
      </c>
      <c r="AS124" s="4">
        <f t="shared" si="41"/>
        <v>3</v>
      </c>
      <c r="AT124" s="4">
        <f t="shared" si="42"/>
        <v>35</v>
      </c>
      <c r="AU124" s="4">
        <f t="shared" si="43"/>
        <v>7</v>
      </c>
      <c r="AV124" s="4">
        <f t="shared" si="44"/>
        <v>26</v>
      </c>
      <c r="AW124" s="4">
        <f t="shared" si="45"/>
        <v>2</v>
      </c>
      <c r="AX124" s="4">
        <f t="shared" si="46"/>
        <v>35</v>
      </c>
      <c r="AY124" s="4">
        <f t="shared" si="47"/>
        <v>36</v>
      </c>
      <c r="AZ124" s="4">
        <f t="shared" si="48"/>
        <v>32</v>
      </c>
      <c r="BA124" s="4">
        <f t="shared" si="49"/>
        <v>12</v>
      </c>
    </row>
    <row r="125" spans="1:53" x14ac:dyDescent="0.2">
      <c r="A125" s="1" t="str">
        <f>'SegEnds_NonXtal_Prot#'!A96</f>
        <v>drd1_human</v>
      </c>
      <c r="B125" s="1" t="str">
        <f t="shared" si="25"/>
        <v>VERDFSVRILTACFLSLLILSTLLGNTLVCAAVIRFSKVTNFFVISLAVSDLLVAVLVMPWKAVAEIGSFCNIWVAFDIMCSTASILNLCVISVDRYWAISSTPKAAFILISVAWTLSVLISFIPVQLSSRTYAISSSVISFYIPVAIMIVTYTRIYRIAQKQIRRIAALEKMSFKRETKVLKTLSVIMGVFVCCWLPFFILNCILPFCFCIDSNTFDVFVWFGWANSSLNPIIYAFNADFRKAFSTLLGC</v>
      </c>
      <c r="C125" s="29" t="str">
        <f>IF(ISERROR(MATCH(A125,'SegEnds_Xtal_Prot#'!B:B, 0)), "NoXtal", "Xtal")</f>
        <v>NoXtal</v>
      </c>
      <c r="D125" s="4" t="str">
        <f>VLOOKUP(A125,Classification!A:D,2,FALSE)</f>
        <v>A</v>
      </c>
      <c r="E125" s="5" t="str">
        <f>VLOOKUP(A125,Seqs!A:B,2,FALSE)</f>
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</c>
      <c r="F125" s="5" t="str">
        <f t="shared" si="26"/>
        <v>VERDFSVRILTACFLSLLILSTLLGNTLVCAAVIRF</v>
      </c>
      <c r="G125" s="4" t="str">
        <f t="shared" si="27"/>
        <v>RHLR</v>
      </c>
      <c r="H125" s="4" t="str">
        <f t="shared" si="28"/>
        <v>SKVTNFFVISLAVSDLLVAVLVMPWKAVAEI</v>
      </c>
      <c r="I125" s="4" t="str">
        <f t="shared" si="29"/>
        <v>FWPF</v>
      </c>
      <c r="J125" s="4" t="str">
        <f t="shared" si="30"/>
        <v>GSFCNIWVAFDIMCSTASILNLCVISVDRYWAISS</v>
      </c>
      <c r="K125" s="4" t="str">
        <f t="shared" si="31"/>
        <v>PFRYERKM</v>
      </c>
      <c r="L125" s="4" t="str">
        <f t="shared" si="32"/>
        <v>TPKAAFILISVAWTLSVLISFIPVQLS</v>
      </c>
      <c r="M125" s="4" t="str">
        <f t="shared" si="33"/>
        <v>CDS</v>
      </c>
      <c r="N125" s="4" t="str">
        <f t="shared" si="34"/>
        <v>SRTYAISSSVISFYIPVAIMIVTYTRIYRIAQKQIRRIAALE</v>
      </c>
      <c r="O125" s="4" t="str">
        <f t="shared" si="35"/>
        <v>KMSFKRETKVLKTLSVIMGVFVCCWLPFFILNCILPFC</v>
      </c>
      <c r="P125" s="4" t="str">
        <f t="shared" si="36"/>
        <v>FCIDSNTFDVFVWFGWANSSLNPIIYAFN</v>
      </c>
      <c r="Q125" s="4" t="str">
        <f t="shared" si="37"/>
        <v>ADFRKAFSTLLGC</v>
      </c>
      <c r="R125" s="5">
        <f>VLOOKUP($A125,'SegEnds_NonXtal_Prot#'!$A:$AL,3,FALSE)</f>
        <v>16</v>
      </c>
      <c r="S125" s="5">
        <f>VLOOKUP($A125,'SegEnds_NonXtal_Prot#'!$A:$AL,6,FALSE)</f>
        <v>52</v>
      </c>
      <c r="T125" s="5">
        <f>VLOOKUP($A125,'SegEnds_NonXtal_Prot#'!$A:$AL,9,FALSE)</f>
        <v>56</v>
      </c>
      <c r="U125" s="5">
        <f>VLOOKUP($A125,'SegEnds_NonXtal_Prot#'!$A:$AL,12,FALSE)</f>
        <v>89</v>
      </c>
      <c r="V125" s="5">
        <f>VLOOKUP($A125,'SegEnds_NonXtal_Prot#'!$A:$AL,15,FALSE)</f>
        <v>93</v>
      </c>
      <c r="W125" s="5">
        <f>VLOOKUP($A125,'SegEnds_NonXtal_Prot#'!$A:$AL,18,FALSE)</f>
        <v>128</v>
      </c>
      <c r="X125" s="5">
        <f>VLOOKUP($A125,'SegEnds_NonXtal_Prot#'!$A:$AL,21,FALSE)</f>
        <v>136</v>
      </c>
      <c r="Y125" s="5">
        <f>VLOOKUP($A125,'SegEnds_NonXtal_Prot#'!$A:$AL,24,FALSE)</f>
        <v>186</v>
      </c>
      <c r="Z125" s="5">
        <f>VLOOKUP($A125,'SegEnds_NonXtal_Prot#'!$A:$AL,27,FALSE)</f>
        <v>191</v>
      </c>
      <c r="AA125" s="5">
        <f>VLOOKUP($A125,'SegEnds_NonXtal_Prot#'!$A:$AL,30,FALSE)</f>
        <v>261</v>
      </c>
      <c r="AB125" s="5">
        <f>VLOOKUP($A125,'SegEnds_NonXtal_Prot#'!$A:$AL,33,FALSE)</f>
        <v>306</v>
      </c>
      <c r="AC125" s="5">
        <f>VLOOKUP($A125,'SegEnds_NonXtal_Prot#'!$A:$AL,36,FALSE)</f>
        <v>335</v>
      </c>
      <c r="AD125" s="5">
        <f>VLOOKUP($A125,'SegEnds_NonXtal_Prot#'!$A:$AL,5,FALSE)</f>
        <v>51</v>
      </c>
      <c r="AE125" s="5">
        <f>VLOOKUP($A125,'SegEnds_NonXtal_Prot#'!$A:$AL,8,FALSE)</f>
        <v>55</v>
      </c>
      <c r="AF125" s="5">
        <f>VLOOKUP($A125,'SegEnds_NonXtal_Prot#'!$A:$AL,11,FALSE)</f>
        <v>86</v>
      </c>
      <c r="AG125" s="5">
        <f>VLOOKUP($A125,'SegEnds_NonXtal_Prot#'!$A:$AL,14,FALSE)</f>
        <v>92</v>
      </c>
      <c r="AH125" s="5">
        <f>VLOOKUP($A125,'SegEnds_NonXtal_Prot#'!$A:$AL,17,FALSE)</f>
        <v>127</v>
      </c>
      <c r="AI125" s="5">
        <f>VLOOKUP($A125,'SegEnds_NonXtal_Prot#'!$A:$AL,20,FALSE)</f>
        <v>135</v>
      </c>
      <c r="AJ125" s="5">
        <f>VLOOKUP($A125,'SegEnds_NonXtal_Prot#'!$A:$AL,23,FALSE)</f>
        <v>162</v>
      </c>
      <c r="AK125" s="5">
        <f>VLOOKUP($A125,'SegEnds_NonXtal_Prot#'!$A:$AL,26,FALSE)</f>
        <v>188</v>
      </c>
      <c r="AL125" s="5">
        <f>VLOOKUP($A125,'SegEnds_NonXtal_Prot#'!$A:$AL,29,FALSE)</f>
        <v>232</v>
      </c>
      <c r="AM125" s="5">
        <f>VLOOKUP($A125,'SegEnds_NonXtal_Prot#'!$A:$AL,32,FALSE)</f>
        <v>298</v>
      </c>
      <c r="AN125" s="5">
        <f>VLOOKUP($A125,'SegEnds_NonXtal_Prot#'!$A:$AL,35,FALSE)</f>
        <v>334</v>
      </c>
      <c r="AO125" s="5">
        <f>VLOOKUP($A125,'SegEnds_NonXtal_Prot#'!$A:$AL,38,FALSE)</f>
        <v>347</v>
      </c>
      <c r="AP125" s="5">
        <f t="shared" si="38"/>
        <v>35</v>
      </c>
      <c r="AQ125" s="4">
        <f t="shared" si="39"/>
        <v>3</v>
      </c>
      <c r="AR125" s="4">
        <f t="shared" si="40"/>
        <v>30</v>
      </c>
      <c r="AS125" s="4">
        <f t="shared" si="41"/>
        <v>3</v>
      </c>
      <c r="AT125" s="4">
        <f t="shared" si="42"/>
        <v>34</v>
      </c>
      <c r="AU125" s="4">
        <f t="shared" si="43"/>
        <v>7</v>
      </c>
      <c r="AV125" s="4">
        <f t="shared" si="44"/>
        <v>26</v>
      </c>
      <c r="AW125" s="4">
        <f t="shared" si="45"/>
        <v>2</v>
      </c>
      <c r="AX125" s="4">
        <f t="shared" si="46"/>
        <v>41</v>
      </c>
      <c r="AY125" s="4">
        <f t="shared" si="47"/>
        <v>37</v>
      </c>
      <c r="AZ125" s="4">
        <f t="shared" si="48"/>
        <v>28</v>
      </c>
      <c r="BA125" s="4">
        <f t="shared" si="49"/>
        <v>12</v>
      </c>
    </row>
    <row r="126" spans="1:53" x14ac:dyDescent="0.2">
      <c r="A126" s="1" t="str">
        <f>'SegEnds_NonXtal_Prot#'!A97</f>
        <v>drd4_human</v>
      </c>
      <c r="B126" s="1" t="str">
        <f t="shared" si="25"/>
        <v>AGQGAAALVGGVLLIGAVLAGNSLVCVSVATETPTNSFIVSLAAADLLLALLVLPLFVYSEVQSPRLCDALMAMDVMLCTASIFNLCAISVDRFVAVAVGSRRQLLLIGATWLLSAAVAAPVLCGDRDYVVYSSVCSFFLPCPLMLLLYWATFRGLQRWEVARRAKAKITGRERKAMRVLPVVVGAFLLCWTPFFVVHITQALCPPRLVSAVTWLGYVNSALNPVIYTVFNAEFRNVFRKALR</v>
      </c>
      <c r="C126" s="29" t="str">
        <f>IF(ISERROR(MATCH(A126,'SegEnds_Xtal_Prot#'!B:B, 0)), "NoXtal", "Xtal")</f>
        <v>Xtal</v>
      </c>
      <c r="D126" s="4" t="str">
        <f>VLOOKUP(A126,Classification!A:D,2,FALSE)</f>
        <v>A</v>
      </c>
      <c r="E126" s="5" t="str">
        <f>VLOOKUP(A126,Seqs!A:B,2,FALSE)</f>
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</c>
      <c r="F126" s="5" t="str">
        <f t="shared" si="26"/>
        <v>AGQGAAALVGGVLLIGAVLAGNSLVCVSVATE</v>
      </c>
      <c r="G126" s="4" t="str">
        <f t="shared" si="27"/>
        <v>RALQ</v>
      </c>
      <c r="H126" s="4" t="str">
        <f t="shared" si="28"/>
        <v>TPTNSFIVSLAAADLLLALLVLPLFVYSEVQ</v>
      </c>
      <c r="I126" s="4" t="str">
        <f t="shared" si="29"/>
        <v>AWLL</v>
      </c>
      <c r="J126" s="4" t="str">
        <f t="shared" si="30"/>
        <v>SPRLCDALMAMDVMLCTASIFNLCAISVDRFVAVAV</v>
      </c>
      <c r="K126" s="4" t="str">
        <f t="shared" si="31"/>
        <v>PLRYNRQG</v>
      </c>
      <c r="L126" s="4" t="str">
        <f t="shared" si="32"/>
        <v>GSRRQLLLIGATWLLSAAVAAPVLCG</v>
      </c>
      <c r="M126" s="4" t="str">
        <f t="shared" si="33"/>
        <v>CRL</v>
      </c>
      <c r="N126" s="4" t="str">
        <f t="shared" si="34"/>
        <v>DRDYVVYSSVCSFFLPCPLMLLLYWATFRGLQRWEVARRAK</v>
      </c>
      <c r="O126" s="4" t="str">
        <f t="shared" si="35"/>
        <v>AKITGRERKAMRVLPVVVGAFLLCWTPFFVVHITQALC</v>
      </c>
      <c r="P126" s="4" t="str">
        <f t="shared" si="36"/>
        <v>PPRLVSAVTWLGYVNSALNPVIYTVF</v>
      </c>
      <c r="Q126" s="4" t="str">
        <f t="shared" si="37"/>
        <v>NAEFRNVFRKALR</v>
      </c>
      <c r="R126" s="5">
        <f>VLOOKUP($A126,'SegEnds_NonXtal_Prot#'!$A:$AL,3,FALSE)</f>
        <v>31</v>
      </c>
      <c r="S126" s="5">
        <f>VLOOKUP($A126,'SegEnds_NonXtal_Prot#'!$A:$AL,6,FALSE)</f>
        <v>63</v>
      </c>
      <c r="T126" s="5">
        <f>VLOOKUP($A126,'SegEnds_NonXtal_Prot#'!$A:$AL,9,FALSE)</f>
        <v>67</v>
      </c>
      <c r="U126" s="5">
        <f>VLOOKUP($A126,'SegEnds_NonXtal_Prot#'!$A:$AL,12,FALSE)</f>
        <v>100</v>
      </c>
      <c r="V126" s="5">
        <f>VLOOKUP($A126,'SegEnds_NonXtal_Prot#'!$A:$AL,15,FALSE)</f>
        <v>104</v>
      </c>
      <c r="W126" s="5">
        <f>VLOOKUP($A126,'SegEnds_NonXtal_Prot#'!$A:$AL,18,FALSE)</f>
        <v>140</v>
      </c>
      <c r="X126" s="5">
        <f>VLOOKUP($A126,'SegEnds_NonXtal_Prot#'!$A:$AL,21,FALSE)</f>
        <v>148</v>
      </c>
      <c r="Y126" s="5">
        <f>VLOOKUP($A126,'SegEnds_NonXtal_Prot#'!$A:$AL,24,FALSE)</f>
        <v>185</v>
      </c>
      <c r="Z126" s="5">
        <f>VLOOKUP($A126,'SegEnds_NonXtal_Prot#'!$A:$AL,27,FALSE)</f>
        <v>189</v>
      </c>
      <c r="AA126" s="5">
        <f>VLOOKUP($A126,'SegEnds_NonXtal_Prot#'!$A:$AL,30,FALSE)</f>
        <v>383</v>
      </c>
      <c r="AB126" s="5">
        <f>VLOOKUP($A126,'SegEnds_NonXtal_Prot#'!$A:$AL,33,FALSE)</f>
        <v>426</v>
      </c>
      <c r="AC126" s="5">
        <f>VLOOKUP($A126,'SegEnds_NonXtal_Prot#'!$A:$AL,36,FALSE)</f>
        <v>452</v>
      </c>
      <c r="AD126" s="5">
        <f>VLOOKUP($A126,'SegEnds_NonXtal_Prot#'!$A:$AL,5,FALSE)</f>
        <v>62</v>
      </c>
      <c r="AE126" s="5">
        <f>VLOOKUP($A126,'SegEnds_NonXtal_Prot#'!$A:$AL,8,FALSE)</f>
        <v>66</v>
      </c>
      <c r="AF126" s="5">
        <f>VLOOKUP($A126,'SegEnds_NonXtal_Prot#'!$A:$AL,11,FALSE)</f>
        <v>97</v>
      </c>
      <c r="AG126" s="5">
        <f>VLOOKUP($A126,'SegEnds_NonXtal_Prot#'!$A:$AL,14,FALSE)</f>
        <v>103</v>
      </c>
      <c r="AH126" s="5">
        <f>VLOOKUP($A126,'SegEnds_NonXtal_Prot#'!$A:$AL,17,FALSE)</f>
        <v>139</v>
      </c>
      <c r="AI126" s="5">
        <f>VLOOKUP($A126,'SegEnds_NonXtal_Prot#'!$A:$AL,20,FALSE)</f>
        <v>147</v>
      </c>
      <c r="AJ126" s="5">
        <f>VLOOKUP($A126,'SegEnds_NonXtal_Prot#'!$A:$AL,23,FALSE)</f>
        <v>173</v>
      </c>
      <c r="AK126" s="5">
        <f>VLOOKUP($A126,'SegEnds_NonXtal_Prot#'!$A:$AL,26,FALSE)</f>
        <v>187</v>
      </c>
      <c r="AL126" s="5">
        <f>VLOOKUP($A126,'SegEnds_NonXtal_Prot#'!$A:$AL,29,FALSE)</f>
        <v>229</v>
      </c>
      <c r="AM126" s="5">
        <f>VLOOKUP($A126,'SegEnds_NonXtal_Prot#'!$A:$AL,32,FALSE)</f>
        <v>420</v>
      </c>
      <c r="AN126" s="5">
        <f>VLOOKUP($A126,'SegEnds_NonXtal_Prot#'!$A:$AL,35,FALSE)</f>
        <v>451</v>
      </c>
      <c r="AO126" s="5">
        <f>VLOOKUP($A126,'SegEnds_NonXtal_Prot#'!$A:$AL,38,FALSE)</f>
        <v>464</v>
      </c>
      <c r="AP126" s="5">
        <f t="shared" si="38"/>
        <v>31</v>
      </c>
      <c r="AQ126" s="4">
        <f t="shared" si="39"/>
        <v>3</v>
      </c>
      <c r="AR126" s="4">
        <f t="shared" si="40"/>
        <v>30</v>
      </c>
      <c r="AS126" s="4">
        <f t="shared" si="41"/>
        <v>3</v>
      </c>
      <c r="AT126" s="4">
        <f t="shared" si="42"/>
        <v>35</v>
      </c>
      <c r="AU126" s="4">
        <f t="shared" si="43"/>
        <v>7</v>
      </c>
      <c r="AV126" s="4">
        <f t="shared" si="44"/>
        <v>25</v>
      </c>
      <c r="AW126" s="4">
        <f t="shared" si="45"/>
        <v>2</v>
      </c>
      <c r="AX126" s="4">
        <f t="shared" si="46"/>
        <v>40</v>
      </c>
      <c r="AY126" s="4">
        <f t="shared" si="47"/>
        <v>37</v>
      </c>
      <c r="AZ126" s="4">
        <f t="shared" si="48"/>
        <v>25</v>
      </c>
      <c r="BA126" s="4">
        <f t="shared" si="49"/>
        <v>12</v>
      </c>
    </row>
    <row r="127" spans="1:53" x14ac:dyDescent="0.2">
      <c r="A127" s="1" t="str">
        <f>'SegEnds_NonXtal_Prot#'!A98</f>
        <v>drd5_human</v>
      </c>
      <c r="B127" s="1" t="str">
        <f t="shared" si="25"/>
        <v>APPLGPSQVVTACLLTLLIIWTLLGNVLVCAAIVRSANMTNVFIVSLAVSDLFVALLVMPWKAVAEVGAFCDVWVAFDIMCSTASILNLCVISVDRYWAISRTQRMALVMVGLAWTLSILISFIPVQLNNRTYAISSSLISFYIPVAIMIVTYTRIYRIAQVQIRRISSLERASIKKETKVLKTLSVIMGVFVCCWLPFFILNCMVPFCSGHPAGFPCVSETTFDVFVWFGWANSSLNPVIYAFNADFQKVFAQLLGC</v>
      </c>
      <c r="C127" s="29" t="str">
        <f>IF(ISERROR(MATCH(A127,'SegEnds_Xtal_Prot#'!B:B, 0)), "NoXtal", "Xtal")</f>
        <v>NoXtal</v>
      </c>
      <c r="D127" s="4" t="str">
        <f>VLOOKUP(A127,Classification!A:D,2,FALSE)</f>
        <v>A</v>
      </c>
      <c r="E127" s="5" t="str">
        <f>VLOOKUP(A127,Seqs!A:B,2,FALSE)</f>
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</c>
      <c r="F127" s="5" t="str">
        <f t="shared" si="26"/>
        <v>APPLGPSQVVTACLLTLLIIWTLLGNVLVCAAIVRS</v>
      </c>
      <c r="G127" s="4" t="str">
        <f t="shared" si="27"/>
        <v>RHLR</v>
      </c>
      <c r="H127" s="4" t="str">
        <f t="shared" si="28"/>
        <v>ANMTNVFIVSLAVSDLFVALLVMPWKAVAEV</v>
      </c>
      <c r="I127" s="4" t="str">
        <f t="shared" si="29"/>
        <v>YWPF</v>
      </c>
      <c r="J127" s="4" t="str">
        <f t="shared" si="30"/>
        <v>GAFCDVWVAFDIMCSTASILNLCVISVDRYWAISR</v>
      </c>
      <c r="K127" s="4" t="str">
        <f t="shared" si="31"/>
        <v>PFRYKRKM</v>
      </c>
      <c r="L127" s="4" t="str">
        <f t="shared" si="32"/>
        <v>TQRMALVMVGLAWTLSILISFIPVQLN</v>
      </c>
      <c r="M127" s="4" t="str">
        <f t="shared" si="33"/>
        <v>CDS</v>
      </c>
      <c r="N127" s="4" t="str">
        <f t="shared" si="34"/>
        <v>NRTYAISSSLISFYIPVAIMIVTYTRIYRIAQVQIRRISSLE</v>
      </c>
      <c r="O127" s="4" t="str">
        <f t="shared" si="35"/>
        <v>RASIKKETKVLKTLSVIMGVFVCCWLPFFILNCMVPFCSGH</v>
      </c>
      <c r="P127" s="4" t="str">
        <f t="shared" si="36"/>
        <v>PAGFPCVSETTFDVFVWFGWANSSLNPVIYAFN</v>
      </c>
      <c r="Q127" s="4" t="str">
        <f t="shared" si="37"/>
        <v>ADFQKVFAQLLGC</v>
      </c>
      <c r="R127" s="5">
        <f>VLOOKUP($A127,'SegEnds_NonXtal_Prot#'!$A:$AL,3,FALSE)</f>
        <v>33</v>
      </c>
      <c r="S127" s="5">
        <f>VLOOKUP($A127,'SegEnds_NonXtal_Prot#'!$A:$AL,6,FALSE)</f>
        <v>69</v>
      </c>
      <c r="T127" s="5">
        <f>VLOOKUP($A127,'SegEnds_NonXtal_Prot#'!$A:$AL,9,FALSE)</f>
        <v>73</v>
      </c>
      <c r="U127" s="5">
        <f>VLOOKUP($A127,'SegEnds_NonXtal_Prot#'!$A:$AL,12,FALSE)</f>
        <v>106</v>
      </c>
      <c r="V127" s="5">
        <f>VLOOKUP($A127,'SegEnds_NonXtal_Prot#'!$A:$AL,15,FALSE)</f>
        <v>110</v>
      </c>
      <c r="W127" s="5">
        <f>VLOOKUP($A127,'SegEnds_NonXtal_Prot#'!$A:$AL,18,FALSE)</f>
        <v>145</v>
      </c>
      <c r="X127" s="5">
        <f>VLOOKUP($A127,'SegEnds_NonXtal_Prot#'!$A:$AL,21,FALSE)</f>
        <v>153</v>
      </c>
      <c r="Y127" s="5">
        <f>VLOOKUP($A127,'SegEnds_NonXtal_Prot#'!$A:$AL,24,FALSE)</f>
        <v>217</v>
      </c>
      <c r="Z127" s="5">
        <f>VLOOKUP($A127,'SegEnds_NonXtal_Prot#'!$A:$AL,27,FALSE)</f>
        <v>222</v>
      </c>
      <c r="AA127" s="5">
        <f>VLOOKUP($A127,'SegEnds_NonXtal_Prot#'!$A:$AL,30,FALSE)</f>
        <v>285</v>
      </c>
      <c r="AB127" s="5">
        <f>VLOOKUP($A127,'SegEnds_NonXtal_Prot#'!$A:$AL,33,FALSE)</f>
        <v>330</v>
      </c>
      <c r="AC127" s="5">
        <f>VLOOKUP($A127,'SegEnds_NonXtal_Prot#'!$A:$AL,36,FALSE)</f>
        <v>363</v>
      </c>
      <c r="AD127" s="5">
        <f>VLOOKUP($A127,'SegEnds_NonXtal_Prot#'!$A:$AL,5,FALSE)</f>
        <v>68</v>
      </c>
      <c r="AE127" s="5">
        <f>VLOOKUP($A127,'SegEnds_NonXtal_Prot#'!$A:$AL,8,FALSE)</f>
        <v>72</v>
      </c>
      <c r="AF127" s="5">
        <f>VLOOKUP($A127,'SegEnds_NonXtal_Prot#'!$A:$AL,11,FALSE)</f>
        <v>103</v>
      </c>
      <c r="AG127" s="5">
        <f>VLOOKUP($A127,'SegEnds_NonXtal_Prot#'!$A:$AL,14,FALSE)</f>
        <v>109</v>
      </c>
      <c r="AH127" s="5">
        <f>VLOOKUP($A127,'SegEnds_NonXtal_Prot#'!$A:$AL,17,FALSE)</f>
        <v>144</v>
      </c>
      <c r="AI127" s="5">
        <f>VLOOKUP($A127,'SegEnds_NonXtal_Prot#'!$A:$AL,20,FALSE)</f>
        <v>152</v>
      </c>
      <c r="AJ127" s="5">
        <f>VLOOKUP($A127,'SegEnds_NonXtal_Prot#'!$A:$AL,23,FALSE)</f>
        <v>179</v>
      </c>
      <c r="AK127" s="5">
        <f>VLOOKUP($A127,'SegEnds_NonXtal_Prot#'!$A:$AL,26,FALSE)</f>
        <v>219</v>
      </c>
      <c r="AL127" s="5">
        <f>VLOOKUP($A127,'SegEnds_NonXtal_Prot#'!$A:$AL,29,FALSE)</f>
        <v>263</v>
      </c>
      <c r="AM127" s="5">
        <f>VLOOKUP($A127,'SegEnds_NonXtal_Prot#'!$A:$AL,32,FALSE)</f>
        <v>325</v>
      </c>
      <c r="AN127" s="5">
        <f>VLOOKUP($A127,'SegEnds_NonXtal_Prot#'!$A:$AL,35,FALSE)</f>
        <v>362</v>
      </c>
      <c r="AO127" s="5">
        <f>VLOOKUP($A127,'SegEnds_NonXtal_Prot#'!$A:$AL,38,FALSE)</f>
        <v>375</v>
      </c>
      <c r="AP127" s="5">
        <f t="shared" si="38"/>
        <v>35</v>
      </c>
      <c r="AQ127" s="4">
        <f t="shared" si="39"/>
        <v>3</v>
      </c>
      <c r="AR127" s="4">
        <f t="shared" si="40"/>
        <v>30</v>
      </c>
      <c r="AS127" s="4">
        <f t="shared" si="41"/>
        <v>3</v>
      </c>
      <c r="AT127" s="4">
        <f t="shared" si="42"/>
        <v>34</v>
      </c>
      <c r="AU127" s="4">
        <f t="shared" si="43"/>
        <v>7</v>
      </c>
      <c r="AV127" s="4">
        <f t="shared" si="44"/>
        <v>26</v>
      </c>
      <c r="AW127" s="4">
        <f t="shared" si="45"/>
        <v>2</v>
      </c>
      <c r="AX127" s="4">
        <f t="shared" si="46"/>
        <v>41</v>
      </c>
      <c r="AY127" s="4">
        <f t="shared" si="47"/>
        <v>40</v>
      </c>
      <c r="AZ127" s="4">
        <f t="shared" si="48"/>
        <v>32</v>
      </c>
      <c r="BA127" s="4">
        <f t="shared" si="49"/>
        <v>12</v>
      </c>
    </row>
    <row r="128" spans="1:53" x14ac:dyDescent="0.2">
      <c r="A128" s="1" t="str">
        <f>'SegEnds_NonXtal_Prot#'!A99</f>
        <v>ednra_human</v>
      </c>
      <c r="B128" s="1" t="str">
        <f t="shared" si="25"/>
        <v>PQQTKITSAFKYINTVISCTIFIVGMVGNATLLRIIYQNGPNALIASLALGDLIYVVIDLPINVFKLLADHNDFGVFLCKLFPFLQKSSVGITVLNLCALSVDRYRAVASIPLVTAIEIVSIWILSFILAIPEAIGFSKFMEFYQDVKDWWLFGFYFCMPLVCTAIFYTLMTCEMLNRRNGSSEHLKQRREVAKTVFCLVVIFALCWFPLHLSRILKKTVYRCELLSFLLLMDYIGINLATMNSCINPIALYFVSKKFKNCFQSCLCC</v>
      </c>
      <c r="C128" s="29" t="str">
        <f>IF(ISERROR(MATCH(A128,'SegEnds_Xtal_Prot#'!B:B, 0)), "NoXtal", "Xtal")</f>
        <v>NoXtal</v>
      </c>
      <c r="D128" s="4" t="str">
        <f>VLOOKUP(A128,Classification!A:D,2,FALSE)</f>
        <v>A</v>
      </c>
      <c r="E128" s="5" t="str">
        <f>VLOOKUP(A128,Seqs!A:B,2,FALSE)</f>
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</c>
      <c r="F128" s="5" t="str">
        <f t="shared" si="26"/>
        <v>PQQTKITSAFKYINTVISCTIFIVGMVGNATLLRIIYQN</v>
      </c>
      <c r="G128" s="4" t="str">
        <f t="shared" si="27"/>
        <v>KCMRN</v>
      </c>
      <c r="H128" s="4" t="str">
        <f t="shared" si="28"/>
        <v>GPNALIASLALGDLIYVVIDLPINVFKLLA</v>
      </c>
      <c r="I128" s="4" t="str">
        <f t="shared" si="29"/>
        <v>RWPF</v>
      </c>
      <c r="J128" s="4" t="str">
        <f t="shared" si="30"/>
        <v>DHNDFGVFLCKLFPFLQKSSVGITVLNLCALSVDRYRAVAS</v>
      </c>
      <c r="K128" s="4" t="str">
        <f t="shared" si="31"/>
        <v>WSRVQGIG</v>
      </c>
      <c r="L128" s="4" t="str">
        <f t="shared" si="32"/>
        <v>IPLVTAIEIVSIWILSFILAIPEAIGF</v>
      </c>
      <c r="M128" s="4" t="str">
        <f t="shared" si="33"/>
        <v>CML</v>
      </c>
      <c r="N128" s="4" t="str">
        <f t="shared" si="34"/>
        <v>SKFMEFYQDVKDWWLFGFYFCMPLVCTAIFYTLMTCEMLNRRNGS</v>
      </c>
      <c r="O128" s="4" t="str">
        <f t="shared" si="35"/>
        <v>SEHLKQRREVAKTVFCLVVIFALCWFPLHLSRILKKTVY</v>
      </c>
      <c r="P128" s="4" t="str">
        <f t="shared" si="36"/>
        <v>RCELLSFLLLMDYIGINLATMNSCINPIALYFV</v>
      </c>
      <c r="Q128" s="4" t="str">
        <f t="shared" si="37"/>
        <v>SKKFKNCFQSCLCC</v>
      </c>
      <c r="R128" s="5">
        <f>VLOOKUP($A128,'SegEnds_NonXtal_Prot#'!$A:$AL,3,FALSE)</f>
        <v>70</v>
      </c>
      <c r="S128" s="5">
        <f>VLOOKUP($A128,'SegEnds_NonXtal_Prot#'!$A:$AL,6,FALSE)</f>
        <v>109</v>
      </c>
      <c r="T128" s="5">
        <f>VLOOKUP($A128,'SegEnds_NonXtal_Prot#'!$A:$AL,9,FALSE)</f>
        <v>114</v>
      </c>
      <c r="U128" s="5">
        <f>VLOOKUP($A128,'SegEnds_NonXtal_Prot#'!$A:$AL,12,FALSE)</f>
        <v>145</v>
      </c>
      <c r="V128" s="5">
        <f>VLOOKUP($A128,'SegEnds_NonXtal_Prot#'!$A:$AL,15,FALSE)</f>
        <v>149</v>
      </c>
      <c r="W128" s="5">
        <f>VLOOKUP($A128,'SegEnds_NonXtal_Prot#'!$A:$AL,18,FALSE)</f>
        <v>190</v>
      </c>
      <c r="X128" s="5">
        <f>VLOOKUP($A128,'SegEnds_NonXtal_Prot#'!$A:$AL,21,FALSE)</f>
        <v>198</v>
      </c>
      <c r="Y128" s="5">
        <f>VLOOKUP($A128,'SegEnds_NonXtal_Prot#'!$A:$AL,24,FALSE)</f>
        <v>239</v>
      </c>
      <c r="Z128" s="5">
        <f>VLOOKUP($A128,'SegEnds_NonXtal_Prot#'!$A:$AL,27,FALSE)</f>
        <v>245</v>
      </c>
      <c r="AA128" s="5">
        <f>VLOOKUP($A128,'SegEnds_NonXtal_Prot#'!$A:$AL,30,FALSE)</f>
        <v>295</v>
      </c>
      <c r="AB128" s="5">
        <f>VLOOKUP($A128,'SegEnds_NonXtal_Prot#'!$A:$AL,33,FALSE)</f>
        <v>340</v>
      </c>
      <c r="AC128" s="5">
        <f>VLOOKUP($A128,'SegEnds_NonXtal_Prot#'!$A:$AL,36,FALSE)</f>
        <v>373</v>
      </c>
      <c r="AD128" s="5">
        <f>VLOOKUP($A128,'SegEnds_NonXtal_Prot#'!$A:$AL,5,FALSE)</f>
        <v>108</v>
      </c>
      <c r="AE128" s="5">
        <f>VLOOKUP($A128,'SegEnds_NonXtal_Prot#'!$A:$AL,8,FALSE)</f>
        <v>113</v>
      </c>
      <c r="AF128" s="5">
        <f>VLOOKUP($A128,'SegEnds_NonXtal_Prot#'!$A:$AL,11,FALSE)</f>
        <v>143</v>
      </c>
      <c r="AG128" s="5">
        <f>VLOOKUP($A128,'SegEnds_NonXtal_Prot#'!$A:$AL,14,FALSE)</f>
        <v>148</v>
      </c>
      <c r="AH128" s="5">
        <f>VLOOKUP($A128,'SegEnds_NonXtal_Prot#'!$A:$AL,17,FALSE)</f>
        <v>189</v>
      </c>
      <c r="AI128" s="5">
        <f>VLOOKUP($A128,'SegEnds_NonXtal_Prot#'!$A:$AL,20,FALSE)</f>
        <v>197</v>
      </c>
      <c r="AJ128" s="5">
        <f>VLOOKUP($A128,'SegEnds_NonXtal_Prot#'!$A:$AL,23,FALSE)</f>
        <v>224</v>
      </c>
      <c r="AK128" s="5">
        <f>VLOOKUP($A128,'SegEnds_NonXtal_Prot#'!$A:$AL,26,FALSE)</f>
        <v>241</v>
      </c>
      <c r="AL128" s="5">
        <f>VLOOKUP($A128,'SegEnds_NonXtal_Prot#'!$A:$AL,29,FALSE)</f>
        <v>289</v>
      </c>
      <c r="AM128" s="5">
        <f>VLOOKUP($A128,'SegEnds_NonXtal_Prot#'!$A:$AL,32,FALSE)</f>
        <v>333</v>
      </c>
      <c r="AN128" s="5">
        <f>VLOOKUP($A128,'SegEnds_NonXtal_Prot#'!$A:$AL,35,FALSE)</f>
        <v>372</v>
      </c>
      <c r="AO128" s="5">
        <f>VLOOKUP($A128,'SegEnds_NonXtal_Prot#'!$A:$AL,38,FALSE)</f>
        <v>386</v>
      </c>
      <c r="AP128" s="5">
        <f t="shared" si="38"/>
        <v>38</v>
      </c>
      <c r="AQ128" s="4">
        <f t="shared" si="39"/>
        <v>4</v>
      </c>
      <c r="AR128" s="4">
        <f t="shared" si="40"/>
        <v>29</v>
      </c>
      <c r="AS128" s="4">
        <f t="shared" si="41"/>
        <v>3</v>
      </c>
      <c r="AT128" s="4">
        <f t="shared" si="42"/>
        <v>40</v>
      </c>
      <c r="AU128" s="4">
        <f t="shared" si="43"/>
        <v>7</v>
      </c>
      <c r="AV128" s="4">
        <f t="shared" si="44"/>
        <v>26</v>
      </c>
      <c r="AW128" s="4">
        <f t="shared" si="45"/>
        <v>2</v>
      </c>
      <c r="AX128" s="4">
        <f t="shared" si="46"/>
        <v>44</v>
      </c>
      <c r="AY128" s="4">
        <f t="shared" si="47"/>
        <v>38</v>
      </c>
      <c r="AZ128" s="4">
        <f t="shared" si="48"/>
        <v>32</v>
      </c>
      <c r="BA128" s="4">
        <f t="shared" si="49"/>
        <v>13</v>
      </c>
    </row>
    <row r="129" spans="1:53" x14ac:dyDescent="0.2">
      <c r="A129" s="1" t="str">
        <f>'SegEnds_NonXtal_Prot#'!A100</f>
        <v>ednrb_human</v>
      </c>
      <c r="B129" s="1" t="str">
        <f t="shared" si="25"/>
        <v>QGPIEIKETFKYINTVVSCLVFVLGIIGNSTLLRIIYKNGPNILIASLALGDLLHIVIDIPINVYKLLAGAEMCKLVPFIQKASVGITVLSLCALSIDRYRAVASVPKWTAVEIVLIWVVSVVLAVPEAIGFTAFMQFYKTAKDWWLFSFYFCLPLAITAFFYTLMTCEMLRKKSGMNDHLKQRREVAKTVFCLVLVFALCWLPLHLSRILKLTLYRCELLSFLLVLDYIGINMASLNSCINPIALYLVSKRFKNCFKSCLCC</v>
      </c>
      <c r="C129" s="29" t="str">
        <f>IF(ISERROR(MATCH(A129,'SegEnds_Xtal_Prot#'!B:B, 0)), "NoXtal", "Xtal")</f>
        <v>Xtal</v>
      </c>
      <c r="D129" s="4" t="str">
        <f>VLOOKUP(A129,Classification!A:D,2,FALSE)</f>
        <v>A</v>
      </c>
      <c r="E129" s="5" t="str">
        <f>VLOOKUP(A129,Seqs!A:B,2,FALSE)</f>
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</c>
      <c r="F129" s="5" t="str">
        <f t="shared" si="26"/>
        <v>QGPIEIKETFKYINTVVSCLVFVLGIIGNSTLLRIIYKN</v>
      </c>
      <c r="G129" s="4" t="str">
        <f t="shared" si="27"/>
        <v>KCMRN</v>
      </c>
      <c r="H129" s="4" t="str">
        <f t="shared" si="28"/>
        <v>GPNILIASLALGDLLHIVIDIPINVYKLLA</v>
      </c>
      <c r="I129" s="4" t="str">
        <f t="shared" si="29"/>
        <v>DWPF</v>
      </c>
      <c r="J129" s="4" t="str">
        <f t="shared" si="30"/>
        <v>GAEMCKLVPFIQKASVGITVLSLCALSIDRYRAVAS</v>
      </c>
      <c r="K129" s="4" t="str">
        <f t="shared" si="31"/>
        <v>WSRIKGIG</v>
      </c>
      <c r="L129" s="4" t="str">
        <f t="shared" si="32"/>
        <v>VPKWTAVEIVLIWVVSVVLAVPEAIGF</v>
      </c>
      <c r="M129" s="4" t="str">
        <f t="shared" si="33"/>
        <v>CLL</v>
      </c>
      <c r="N129" s="4" t="str">
        <f t="shared" si="34"/>
        <v>TAFMQFYKTAKDWWLFSFYFCLPLAITAFFYTLMTCEMLRKKSGM</v>
      </c>
      <c r="O129" s="4" t="str">
        <f t="shared" si="35"/>
        <v>NDHLKQRREVAKTVFCLVLVFALCWLPLHLSRILKLTLY</v>
      </c>
      <c r="P129" s="4" t="str">
        <f t="shared" si="36"/>
        <v>RCELLSFLLVLDYIGINMASLNSCINPIALYLV</v>
      </c>
      <c r="Q129" s="4" t="str">
        <f t="shared" si="37"/>
        <v>SKRFKNCFKSCLCC</v>
      </c>
      <c r="R129" s="5">
        <f>VLOOKUP($A129,'SegEnds_NonXtal_Prot#'!$A:$AL,3,FALSE)</f>
        <v>91</v>
      </c>
      <c r="S129" s="5">
        <f>VLOOKUP($A129,'SegEnds_NonXtal_Prot#'!$A:$AL,6,FALSE)</f>
        <v>130</v>
      </c>
      <c r="T129" s="5">
        <f>VLOOKUP($A129,'SegEnds_NonXtal_Prot#'!$A:$AL,9,FALSE)</f>
        <v>135</v>
      </c>
      <c r="U129" s="5">
        <f>VLOOKUP($A129,'SegEnds_NonXtal_Prot#'!$A:$AL,12,FALSE)</f>
        <v>166</v>
      </c>
      <c r="V129" s="5">
        <f>VLOOKUP($A129,'SegEnds_NonXtal_Prot#'!$A:$AL,15,FALSE)</f>
        <v>170</v>
      </c>
      <c r="W129" s="5">
        <f>VLOOKUP($A129,'SegEnds_NonXtal_Prot#'!$A:$AL,18,FALSE)</f>
        <v>206</v>
      </c>
      <c r="X129" s="5">
        <f>VLOOKUP($A129,'SegEnds_NonXtal_Prot#'!$A:$AL,21,FALSE)</f>
        <v>214</v>
      </c>
      <c r="Y129" s="5">
        <f>VLOOKUP($A129,'SegEnds_NonXtal_Prot#'!$A:$AL,24,FALSE)</f>
        <v>255</v>
      </c>
      <c r="Z129" s="5">
        <f>VLOOKUP($A129,'SegEnds_NonXtal_Prot#'!$A:$AL,27,FALSE)</f>
        <v>263</v>
      </c>
      <c r="AA129" s="5">
        <f>VLOOKUP($A129,'SegEnds_NonXtal_Prot#'!$A:$AL,30,FALSE)</f>
        <v>312</v>
      </c>
      <c r="AB129" s="5">
        <f>VLOOKUP($A129,'SegEnds_NonXtal_Prot#'!$A:$AL,33,FALSE)</f>
        <v>357</v>
      </c>
      <c r="AC129" s="5">
        <f>VLOOKUP($A129,'SegEnds_NonXtal_Prot#'!$A:$AL,36,FALSE)</f>
        <v>390</v>
      </c>
      <c r="AD129" s="5">
        <f>VLOOKUP($A129,'SegEnds_NonXtal_Prot#'!$A:$AL,5,FALSE)</f>
        <v>129</v>
      </c>
      <c r="AE129" s="5">
        <f>VLOOKUP($A129,'SegEnds_NonXtal_Prot#'!$A:$AL,8,FALSE)</f>
        <v>134</v>
      </c>
      <c r="AF129" s="5">
        <f>VLOOKUP($A129,'SegEnds_NonXtal_Prot#'!$A:$AL,11,FALSE)</f>
        <v>164</v>
      </c>
      <c r="AG129" s="5">
        <f>VLOOKUP($A129,'SegEnds_NonXtal_Prot#'!$A:$AL,14,FALSE)</f>
        <v>169</v>
      </c>
      <c r="AH129" s="5">
        <f>VLOOKUP($A129,'SegEnds_NonXtal_Prot#'!$A:$AL,17,FALSE)</f>
        <v>205</v>
      </c>
      <c r="AI129" s="5">
        <f>VLOOKUP($A129,'SegEnds_NonXtal_Prot#'!$A:$AL,20,FALSE)</f>
        <v>213</v>
      </c>
      <c r="AJ129" s="5">
        <f>VLOOKUP($A129,'SegEnds_NonXtal_Prot#'!$A:$AL,23,FALSE)</f>
        <v>240</v>
      </c>
      <c r="AK129" s="5">
        <f>VLOOKUP($A129,'SegEnds_NonXtal_Prot#'!$A:$AL,26,FALSE)</f>
        <v>257</v>
      </c>
      <c r="AL129" s="5">
        <f>VLOOKUP($A129,'SegEnds_NonXtal_Prot#'!$A:$AL,29,FALSE)</f>
        <v>307</v>
      </c>
      <c r="AM129" s="5">
        <f>VLOOKUP($A129,'SegEnds_NonXtal_Prot#'!$A:$AL,32,FALSE)</f>
        <v>350</v>
      </c>
      <c r="AN129" s="5">
        <f>VLOOKUP($A129,'SegEnds_NonXtal_Prot#'!$A:$AL,35,FALSE)</f>
        <v>389</v>
      </c>
      <c r="AO129" s="5">
        <f>VLOOKUP($A129,'SegEnds_NonXtal_Prot#'!$A:$AL,38,FALSE)</f>
        <v>403</v>
      </c>
      <c r="AP129" s="5">
        <f t="shared" si="38"/>
        <v>38</v>
      </c>
      <c r="AQ129" s="4">
        <f t="shared" si="39"/>
        <v>4</v>
      </c>
      <c r="AR129" s="4">
        <f t="shared" si="40"/>
        <v>29</v>
      </c>
      <c r="AS129" s="4">
        <f t="shared" si="41"/>
        <v>3</v>
      </c>
      <c r="AT129" s="4">
        <f t="shared" si="42"/>
        <v>35</v>
      </c>
      <c r="AU129" s="4">
        <f t="shared" si="43"/>
        <v>7</v>
      </c>
      <c r="AV129" s="4">
        <f t="shared" si="44"/>
        <v>26</v>
      </c>
      <c r="AW129" s="4">
        <f t="shared" si="45"/>
        <v>2</v>
      </c>
      <c r="AX129" s="4">
        <f t="shared" si="46"/>
        <v>44</v>
      </c>
      <c r="AY129" s="4">
        <f t="shared" si="47"/>
        <v>38</v>
      </c>
      <c r="AZ129" s="4">
        <f t="shared" si="48"/>
        <v>32</v>
      </c>
      <c r="BA129" s="4">
        <f t="shared" si="49"/>
        <v>13</v>
      </c>
    </row>
    <row r="130" spans="1:53" x14ac:dyDescent="0.2">
      <c r="A130" s="1" t="s">
        <v>1676</v>
      </c>
      <c r="B130" s="1" t="str">
        <f t="shared" ref="B130:B193" si="50">F130&amp;H130&amp;J130&amp;L130&amp;N130&amp;O130&amp;P130&amp;Q130</f>
        <v>LYPVTESSYSAYAIMLLALVVFAVGIVGNLSVMCIVWHSSAWNSILASLALWDFLVLFFCLPIVIFNEITGDVSCRAVPFMEVSSLGVTTFSLCALGIDRFHVATSRCQSILAKLAVIWVGSMTLAVPELLLWYSLVMTYQNARMWWYFGCYFCLPILFTVTCQLVTWRVRGPPGRKSSKHEQCESQLNSTVVGLTVVYAFCTLPENVCNIVVAYLTELTRQTLDLLGLINQFSTFFKGAITPVLLLCICRPLGQAFLDCCCC</v>
      </c>
      <c r="C130" s="29" t="str">
        <f>IF(ISERROR(MATCH(A130,'SegEnds_Xtal_Prot#'!B:B, 0)), "NoXtal", "Xtal")</f>
        <v>NoXtal</v>
      </c>
      <c r="D130" s="4" t="str">
        <f>VLOOKUP(A130,Classification!A:D,2,FALSE)</f>
        <v>A</v>
      </c>
      <c r="E130" s="5" t="str">
        <f>VLOOKUP(A130,Seqs!A:B,2,FALSE)</f>
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</c>
      <c r="F130" s="5" t="str">
        <f t="shared" ref="F130:F193" si="51">IFERROR(MID($E130,R130,(AP130+1)),"")</f>
        <v>LYPVTESSYSAYAIMLLALVVFAVGIVGNLSVMCIVWHS</v>
      </c>
      <c r="G130" s="4" t="str">
        <f t="shared" ref="G130:G193" si="52">IFERROR(MID($E130,S130,(AQ130+1)),"")</f>
        <v>YYLK</v>
      </c>
      <c r="H130" s="4" t="str">
        <f t="shared" ref="H130:H193" si="53">IFERROR(MID($E130,T130,(AR130+1)),"")</f>
        <v>SAWNSILASLALWDFLVLFFCLPIVIFNEIT</v>
      </c>
      <c r="I130" s="4" t="str">
        <f t="shared" ref="I130:I193" si="54">IFERROR(MID($E130,U130,(AS130+1)),"")</f>
        <v/>
      </c>
      <c r="J130" s="4" t="str">
        <f t="shared" ref="J130:J193" si="55">IFERROR(MID($E130,V130,(AT130+1)),"")</f>
        <v>GDVSCRAVPFMEVSSLGVTTFSLCALGIDRFHVATS</v>
      </c>
      <c r="K130" s="4" t="str">
        <f t="shared" ref="K130:K193" si="56">IFERROR(MID($E130,W130,(AU130+1)),"")</f>
        <v>LPKVRPIE</v>
      </c>
      <c r="L130" s="4" t="str">
        <f t="shared" ref="L130:L193" si="57">IFERROR(MID($E130,X130,(AV130+1)),"")</f>
        <v>RCQSILAKLAVIWVGSMTLAVPELLLW</v>
      </c>
      <c r="M130" s="4" t="str">
        <f t="shared" ref="M130:M193" si="58">IFERROR(MID($E130,Y130,(AW130+1)),"")</f>
        <v>CIM</v>
      </c>
      <c r="N130" s="4" t="str">
        <f t="shared" ref="N130:N193" si="59">IFERROR(MID($E130,Z130,(AX130+1)),"")</f>
        <v>YSLVMTYQNARMWWYFGCYFCLPILFTVTCQLVTWRVRGPPGRKS</v>
      </c>
      <c r="O130" s="4" t="str">
        <f t="shared" ref="O130:O193" si="60">IFERROR(MID($E130,AA130,(AY130+1)),"")</f>
        <v>SKHEQCESQLNSTVVGLTVVYAFCTLPENVCNIVVAYL</v>
      </c>
      <c r="P130" s="4" t="str">
        <f t="shared" ref="P130:P193" si="61">IFERROR(MID($E130,AB130,(AZ130+1)),"")</f>
        <v>TELTRQTLDLLGLINQFSTFFKGAITPVLLLCI</v>
      </c>
      <c r="Q130" s="4" t="str">
        <f t="shared" ref="Q130:Q193" si="62">IFERROR(MID($E130,AC130,(BA130+1)),"")</f>
        <v>CRPLGQAFLDCCCC</v>
      </c>
      <c r="R130" s="5">
        <f>VLOOKUP($A130,'SegEnds_NonXtal_Prot#'!$A:$AL,3,FALSE)</f>
        <v>120</v>
      </c>
      <c r="S130" s="5">
        <f>VLOOKUP($A130,'SegEnds_NonXtal_Prot#'!$A:$AL,6,FALSE)</f>
        <v>159</v>
      </c>
      <c r="T130" s="5">
        <f>VLOOKUP($A130,'SegEnds_NonXtal_Prot#'!$A:$AL,9,FALSE)</f>
        <v>163</v>
      </c>
      <c r="U130" s="5" t="str">
        <f>VLOOKUP($A130,'SegEnds_NonXtal_Prot#'!$A:$AL,12,FALSE)</f>
        <v>-</v>
      </c>
      <c r="V130" s="5">
        <f>VLOOKUP($A130,'SegEnds_NonXtal_Prot#'!$A:$AL,15,FALSE)</f>
        <v>199</v>
      </c>
      <c r="W130" s="5">
        <f>VLOOKUP($A130,'SegEnds_NonXtal_Prot#'!$A:$AL,18,FALSE)</f>
        <v>236</v>
      </c>
      <c r="X130" s="5">
        <f>VLOOKUP($A130,'SegEnds_NonXtal_Prot#'!$A:$AL,21,FALSE)</f>
        <v>244</v>
      </c>
      <c r="Y130" s="5">
        <f>VLOOKUP($A130,'SegEnds_NonXtal_Prot#'!$A:$AL,24,FALSE)</f>
        <v>286</v>
      </c>
      <c r="Z130" s="5">
        <f>VLOOKUP($A130,'SegEnds_NonXtal_Prot#'!$A:$AL,27,FALSE)</f>
        <v>299</v>
      </c>
      <c r="AA130" s="5">
        <f>VLOOKUP($A130,'SegEnds_NonXtal_Prot#'!$A:$AL,30,FALSE)</f>
        <v>348</v>
      </c>
      <c r="AB130" s="5">
        <f>VLOOKUP($A130,'SegEnds_NonXtal_Prot#'!$A:$AL,33,FALSE)</f>
        <v>387</v>
      </c>
      <c r="AC130" s="5">
        <f>VLOOKUP($A130,'SegEnds_NonXtal_Prot#'!$A:$AL,36,FALSE)</f>
        <v>420</v>
      </c>
      <c r="AD130" s="5">
        <f>VLOOKUP($A130,'SegEnds_NonXtal_Prot#'!$A:$AL,5,FALSE)</f>
        <v>158</v>
      </c>
      <c r="AE130" s="5">
        <f>VLOOKUP($A130,'SegEnds_NonXtal_Prot#'!$A:$AL,8,FALSE)</f>
        <v>162</v>
      </c>
      <c r="AF130" s="5">
        <f>VLOOKUP($A130,'SegEnds_NonXtal_Prot#'!$A:$AL,11,FALSE)</f>
        <v>193</v>
      </c>
      <c r="AG130" s="5" t="str">
        <f>VLOOKUP($A130,'SegEnds_NonXtal_Prot#'!$A:$AL,14,FALSE)</f>
        <v>-</v>
      </c>
      <c r="AH130" s="5">
        <f>VLOOKUP($A130,'SegEnds_NonXtal_Prot#'!$A:$AL,17,FALSE)</f>
        <v>234</v>
      </c>
      <c r="AI130" s="5">
        <f>VLOOKUP($A130,'SegEnds_NonXtal_Prot#'!$A:$AL,20,FALSE)</f>
        <v>243</v>
      </c>
      <c r="AJ130" s="5">
        <f>VLOOKUP($A130,'SegEnds_NonXtal_Prot#'!$A:$AL,23,FALSE)</f>
        <v>270</v>
      </c>
      <c r="AK130" s="5">
        <f>VLOOKUP($A130,'SegEnds_NonXtal_Prot#'!$A:$AL,26,FALSE)</f>
        <v>288</v>
      </c>
      <c r="AL130" s="5">
        <f>VLOOKUP($A130,'SegEnds_NonXtal_Prot#'!$A:$AL,29,FALSE)</f>
        <v>343</v>
      </c>
      <c r="AM130" s="5">
        <f>VLOOKUP($A130,'SegEnds_NonXtal_Prot#'!$A:$AL,32,FALSE)</f>
        <v>385</v>
      </c>
      <c r="AN130" s="5">
        <f>VLOOKUP($A130,'SegEnds_NonXtal_Prot#'!$A:$AL,35,FALSE)</f>
        <v>419</v>
      </c>
      <c r="AO130" s="5">
        <f>VLOOKUP($A130,'SegEnds_NonXtal_Prot#'!$A:$AL,38,FALSE)</f>
        <v>433</v>
      </c>
      <c r="AP130" s="5">
        <f t="shared" ref="AP130:AP193" si="63">IFERROR(AD130-R130,"-")</f>
        <v>38</v>
      </c>
      <c r="AQ130" s="4">
        <f t="shared" ref="AQ130:AQ193" si="64">IFERROR(AE130-S130,"-")</f>
        <v>3</v>
      </c>
      <c r="AR130" s="4">
        <f t="shared" ref="AR130:AR193" si="65">IFERROR(AF130-T130,"-")</f>
        <v>30</v>
      </c>
      <c r="AS130" s="4" t="str">
        <f t="shared" ref="AS130:AS193" si="66">IFERROR(AG130-U130,"-")</f>
        <v>-</v>
      </c>
      <c r="AT130" s="4">
        <f t="shared" ref="AT130:AT193" si="67">IFERROR(AH130-V130,"-")</f>
        <v>35</v>
      </c>
      <c r="AU130" s="4">
        <f t="shared" ref="AU130:AU193" si="68">IFERROR(AI130-W130,"-")</f>
        <v>7</v>
      </c>
      <c r="AV130" s="4">
        <f t="shared" ref="AV130:AV193" si="69">IFERROR(AJ130-X130,"-")</f>
        <v>26</v>
      </c>
      <c r="AW130" s="4">
        <f t="shared" ref="AW130:AW193" si="70">IFERROR(AK130-Y130,"-")</f>
        <v>2</v>
      </c>
      <c r="AX130" s="4">
        <f t="shared" ref="AX130:AX193" si="71">IFERROR(AL130-Z130,"-")</f>
        <v>44</v>
      </c>
      <c r="AY130" s="4">
        <f t="shared" ref="AY130:AY193" si="72">IFERROR(AM130-AA130,"-")</f>
        <v>37</v>
      </c>
      <c r="AZ130" s="4">
        <f t="shared" ref="AZ130:AZ193" si="73">IFERROR(AN130-AB130,"-")</f>
        <v>32</v>
      </c>
      <c r="BA130" s="4">
        <f t="shared" ref="BA130:BA193" si="74">IFERROR(AO130-AC130,"-")</f>
        <v>13</v>
      </c>
    </row>
    <row r="131" spans="1:53" x14ac:dyDescent="0.2">
      <c r="A131" s="1" t="str">
        <f>'SegEnds_NonXtal_Prot#'!A102</f>
        <v>ffar1_human</v>
      </c>
      <c r="B131" s="1" t="str">
        <f t="shared" si="50"/>
        <v>PPQLSFGLYVAAFALGFPLNVLAIRGATAHARLRTPSLVYALNLGCSDLLLTVSLPLKAVEALASPASLCPVFAVAHFFPLYAGGGFLAALSAGRYLGAAFRPCYSWGVCAAIWALVLCHLGLVFGLEADPASAGPARFSLSLLLFFLPLAITAFCYVGCLRALARRRKLRAAWVAGGALLTLLLCVGPYNASNVASFLYGSWRKLGLITGAWSVVLNPLVTGYLGRGPGLKTVCAARTQ</v>
      </c>
      <c r="C131" s="29" t="str">
        <f>IF(ISERROR(MATCH(A131,'SegEnds_Xtal_Prot#'!B:B, 0)), "NoXtal", "Xtal")</f>
        <v>Xtal</v>
      </c>
      <c r="D131" s="4" t="str">
        <f>VLOOKUP(A131,Classification!A:D,2,FALSE)</f>
        <v>A</v>
      </c>
      <c r="E131" s="5" t="str">
        <f>VLOOKUP(A131,Seqs!A:B,2,FALSE)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F131" s="5" t="str">
        <f t="shared" si="51"/>
        <v>PPQLSFGLYVAAFALGFPLNVLAIRGATAHARLR</v>
      </c>
      <c r="G131" s="4" t="str">
        <f t="shared" si="52"/>
        <v/>
      </c>
      <c r="H131" s="4" t="str">
        <f t="shared" si="53"/>
        <v>TPSLVYALNLGCSDLLLTVSLPLKAVEALAS</v>
      </c>
      <c r="I131" s="4" t="str">
        <f t="shared" si="54"/>
        <v>AWPL</v>
      </c>
      <c r="J131" s="4" t="str">
        <f t="shared" si="55"/>
        <v>PASLCPVFAVAHFFPLYAGGGFLAALSAGRYLGAAF</v>
      </c>
      <c r="K131" s="4" t="str">
        <f t="shared" si="56"/>
        <v>PLGYQAFR</v>
      </c>
      <c r="L131" s="4" t="str">
        <f t="shared" si="57"/>
        <v>RPCYSWGVCAAIWALVLCHLGLVFGLEA</v>
      </c>
      <c r="M131" s="4" t="str">
        <f t="shared" si="58"/>
        <v>CLE</v>
      </c>
      <c r="N131" s="4" t="str">
        <f t="shared" si="59"/>
        <v>DPASAGPARFSLSLLLFFLPLAITAFCYVGCLRALAR</v>
      </c>
      <c r="O131" s="4" t="str">
        <f t="shared" si="60"/>
        <v>RRKLRAAWVAGGALLTLLLCVGPYNASNVASFLY</v>
      </c>
      <c r="P131" s="4" t="str">
        <f t="shared" si="61"/>
        <v>GSWRKLGLITGAWSVVLNPLVTGYL</v>
      </c>
      <c r="Q131" s="4" t="str">
        <f t="shared" si="62"/>
        <v>GRGPGLKTVCAARTQ</v>
      </c>
      <c r="R131" s="5">
        <f>VLOOKUP($A131,'SegEnds_NonXtal_Prot#'!$A:$AL,3,FALSE)</f>
        <v>4</v>
      </c>
      <c r="S131" s="5" t="str">
        <f>VLOOKUP($A131,'SegEnds_NonXtal_Prot#'!$A:$AL,6,FALSE)</f>
        <v>-</v>
      </c>
      <c r="T131" s="5">
        <f>VLOOKUP($A131,'SegEnds_NonXtal_Prot#'!$A:$AL,9,FALSE)</f>
        <v>39</v>
      </c>
      <c r="U131" s="5">
        <f>VLOOKUP($A131,'SegEnds_NonXtal_Prot#'!$A:$AL,12,FALSE)</f>
        <v>71</v>
      </c>
      <c r="V131" s="5">
        <f>VLOOKUP($A131,'SegEnds_NonXtal_Prot#'!$A:$AL,15,FALSE)</f>
        <v>75</v>
      </c>
      <c r="W131" s="5">
        <f>VLOOKUP($A131,'SegEnds_NonXtal_Prot#'!$A:$AL,18,FALSE)</f>
        <v>111</v>
      </c>
      <c r="X131" s="5">
        <f>VLOOKUP($A131,'SegEnds_NonXtal_Prot#'!$A:$AL,21,FALSE)</f>
        <v>119</v>
      </c>
      <c r="Y131" s="5">
        <f>VLOOKUP($A131,'SegEnds_NonXtal_Prot#'!$A:$AL,24,FALSE)</f>
        <v>170</v>
      </c>
      <c r="Z131" s="5">
        <f>VLOOKUP($A131,'SegEnds_NonXtal_Prot#'!$A:$AL,27,FALSE)</f>
        <v>175</v>
      </c>
      <c r="AA131" s="5">
        <f>VLOOKUP($A131,'SegEnds_NonXtal_Prot#'!$A:$AL,30,FALSE)</f>
        <v>217</v>
      </c>
      <c r="AB131" s="5">
        <f>VLOOKUP($A131,'SegEnds_NonXtal_Prot#'!$A:$AL,33,FALSE)</f>
        <v>255</v>
      </c>
      <c r="AC131" s="5">
        <f>VLOOKUP($A131,'SegEnds_NonXtal_Prot#'!$A:$AL,36,FALSE)</f>
        <v>280</v>
      </c>
      <c r="AD131" s="5">
        <f>VLOOKUP($A131,'SegEnds_NonXtal_Prot#'!$A:$AL,5,FALSE)</f>
        <v>37</v>
      </c>
      <c r="AE131" s="5" t="str">
        <f>VLOOKUP($A131,'SegEnds_NonXtal_Prot#'!$A:$AL,8,FALSE)</f>
        <v>-</v>
      </c>
      <c r="AF131" s="5">
        <f>VLOOKUP($A131,'SegEnds_NonXtal_Prot#'!$A:$AL,11,FALSE)</f>
        <v>69</v>
      </c>
      <c r="AG131" s="5">
        <f>VLOOKUP($A131,'SegEnds_NonXtal_Prot#'!$A:$AL,14,FALSE)</f>
        <v>74</v>
      </c>
      <c r="AH131" s="5">
        <f>VLOOKUP($A131,'SegEnds_NonXtal_Prot#'!$A:$AL,17,FALSE)</f>
        <v>110</v>
      </c>
      <c r="AI131" s="5">
        <f>VLOOKUP($A131,'SegEnds_NonXtal_Prot#'!$A:$AL,20,FALSE)</f>
        <v>118</v>
      </c>
      <c r="AJ131" s="5">
        <f>VLOOKUP($A131,'SegEnds_NonXtal_Prot#'!$A:$AL,23,FALSE)</f>
        <v>146</v>
      </c>
      <c r="AK131" s="5">
        <f>VLOOKUP($A131,'SegEnds_NonXtal_Prot#'!$A:$AL,26,FALSE)</f>
        <v>172</v>
      </c>
      <c r="AL131" s="5">
        <f>VLOOKUP($A131,'SegEnds_NonXtal_Prot#'!$A:$AL,29,FALSE)</f>
        <v>211</v>
      </c>
      <c r="AM131" s="5">
        <f>VLOOKUP($A131,'SegEnds_NonXtal_Prot#'!$A:$AL,32,FALSE)</f>
        <v>250</v>
      </c>
      <c r="AN131" s="5">
        <f>VLOOKUP($A131,'SegEnds_NonXtal_Prot#'!$A:$AL,35,FALSE)</f>
        <v>279</v>
      </c>
      <c r="AO131" s="5">
        <f>VLOOKUP($A131,'SegEnds_NonXtal_Prot#'!$A:$AL,38,FALSE)</f>
        <v>294</v>
      </c>
      <c r="AP131" s="5">
        <f t="shared" si="63"/>
        <v>33</v>
      </c>
      <c r="AQ131" s="4" t="str">
        <f t="shared" si="64"/>
        <v>-</v>
      </c>
      <c r="AR131" s="4">
        <f t="shared" si="65"/>
        <v>30</v>
      </c>
      <c r="AS131" s="4">
        <f t="shared" si="66"/>
        <v>3</v>
      </c>
      <c r="AT131" s="4">
        <f t="shared" si="67"/>
        <v>35</v>
      </c>
      <c r="AU131" s="4">
        <f t="shared" si="68"/>
        <v>7</v>
      </c>
      <c r="AV131" s="4">
        <f t="shared" si="69"/>
        <v>27</v>
      </c>
      <c r="AW131" s="4">
        <f t="shared" si="70"/>
        <v>2</v>
      </c>
      <c r="AX131" s="4">
        <f t="shared" si="71"/>
        <v>36</v>
      </c>
      <c r="AY131" s="4">
        <f t="shared" si="72"/>
        <v>33</v>
      </c>
      <c r="AZ131" s="4">
        <f t="shared" si="73"/>
        <v>24</v>
      </c>
      <c r="BA131" s="4">
        <f t="shared" si="74"/>
        <v>14</v>
      </c>
    </row>
    <row r="132" spans="1:53" x14ac:dyDescent="0.2">
      <c r="A132" s="1" t="str">
        <f>'SegEnds_NonXtal_Prot#'!A103</f>
        <v>ffar2_human</v>
      </c>
      <c r="B132" s="1" t="str">
        <f t="shared" si="50"/>
        <v>PDWKSSLILMAYIIIFLTGLPANLLALRAFVGRAPVHILLLSLTLADLLLLLLLPFKIIEAASPKVVCALTSFGFYSSIYCSTWLLAGISIERYLGVAFRPLYGVIAALVAWVMSFGHCTIVIIQLDVVLPVRLELCLVLFFIPMAVTIFCYWRFVWIMLSGAQRRRRAVGLAVVTLLNFLVCFGPYNVSHLVGYHQWWRSIAVVFSSLNASLDPLLFYFSSSVVRRAFGRGLQVL</v>
      </c>
      <c r="C132" s="29" t="str">
        <f>IF(ISERROR(MATCH(A132,'SegEnds_Xtal_Prot#'!B:B, 0)), "NoXtal", "Xtal")</f>
        <v>NoXtal</v>
      </c>
      <c r="D132" s="4" t="str">
        <f>VLOOKUP(A132,Classification!A:D,2,FALSE)</f>
        <v>A</v>
      </c>
      <c r="E132" s="5" t="str">
        <f>VLOOKUP(A132,Seqs!A:B,2,FALSE)</f>
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</c>
      <c r="F132" s="5" t="str">
        <f t="shared" si="51"/>
        <v>PDWKSSLILMAYIIIFLTGLPANLLALRAFVGR</v>
      </c>
      <c r="G132" s="4" t="str">
        <f t="shared" si="52"/>
        <v/>
      </c>
      <c r="H132" s="4" t="str">
        <f t="shared" si="53"/>
        <v>APVHILLLSLTLADLLLLLLLPFKIIEAAS</v>
      </c>
      <c r="I132" s="4" t="str">
        <f t="shared" si="54"/>
        <v>RWYL</v>
      </c>
      <c r="J132" s="4" t="str">
        <f t="shared" si="55"/>
        <v>PKVVCALTSFGFYSSIYCSTWLLAGISIERYLGVAF</v>
      </c>
      <c r="K132" s="4" t="str">
        <f t="shared" si="56"/>
        <v>PVQYKLSR</v>
      </c>
      <c r="L132" s="4" t="str">
        <f t="shared" si="57"/>
        <v>RPLYGVIAALVAWVMSFGHCTIVII</v>
      </c>
      <c r="M132" s="4" t="str">
        <f t="shared" si="58"/>
        <v>CYE</v>
      </c>
      <c r="N132" s="4" t="str">
        <f t="shared" si="59"/>
        <v>QLDVVLPVRLELCLVLFFIPMAVTIFCYWRFVWIMLS</v>
      </c>
      <c r="O132" s="4" t="str">
        <f t="shared" si="60"/>
        <v>GAQRRRRAVGLAVVTLLNFLVCFGPYNVSHLVGYHQ</v>
      </c>
      <c r="P132" s="4" t="str">
        <f t="shared" si="61"/>
        <v>WWRSIAVVFSSLNASLDPLLFYFS</v>
      </c>
      <c r="Q132" s="4" t="str">
        <f t="shared" si="62"/>
        <v>SSVVRRAFGRGLQVL</v>
      </c>
      <c r="R132" s="5">
        <f>VLOOKUP($A132,'SegEnds_NonXtal_Prot#'!$A:$AL,3,FALSE)</f>
        <v>3</v>
      </c>
      <c r="S132" s="5" t="str">
        <f>VLOOKUP($A132,'SegEnds_NonXtal_Prot#'!$A:$AL,6,FALSE)</f>
        <v>-</v>
      </c>
      <c r="T132" s="5">
        <f>VLOOKUP($A132,'SegEnds_NonXtal_Prot#'!$A:$AL,9,FALSE)</f>
        <v>42</v>
      </c>
      <c r="U132" s="5">
        <f>VLOOKUP($A132,'SegEnds_NonXtal_Prot#'!$A:$AL,12,FALSE)</f>
        <v>74</v>
      </c>
      <c r="V132" s="5">
        <f>VLOOKUP($A132,'SegEnds_NonXtal_Prot#'!$A:$AL,15,FALSE)</f>
        <v>78</v>
      </c>
      <c r="W132" s="5">
        <f>VLOOKUP($A132,'SegEnds_NonXtal_Prot#'!$A:$AL,18,FALSE)</f>
        <v>114</v>
      </c>
      <c r="X132" s="5">
        <f>VLOOKUP($A132,'SegEnds_NonXtal_Prot#'!$A:$AL,21,FALSE)</f>
        <v>122</v>
      </c>
      <c r="Y132" s="5">
        <f>VLOOKUP($A132,'SegEnds_NonXtal_Prot#'!$A:$AL,24,FALSE)</f>
        <v>164</v>
      </c>
      <c r="Z132" s="5">
        <f>VLOOKUP($A132,'SegEnds_NonXtal_Prot#'!$A:$AL,27,FALSE)</f>
        <v>172</v>
      </c>
      <c r="AA132" s="5">
        <f>VLOOKUP($A132,'SegEnds_NonXtal_Prot#'!$A:$AL,30,FALSE)</f>
        <v>213</v>
      </c>
      <c r="AB132" s="5">
        <f>VLOOKUP($A132,'SegEnds_NonXtal_Prot#'!$A:$AL,33,FALSE)</f>
        <v>253</v>
      </c>
      <c r="AC132" s="5">
        <f>VLOOKUP($A132,'SegEnds_NonXtal_Prot#'!$A:$AL,36,FALSE)</f>
        <v>277</v>
      </c>
      <c r="AD132" s="5">
        <f>VLOOKUP($A132,'SegEnds_NonXtal_Prot#'!$A:$AL,5,FALSE)</f>
        <v>35</v>
      </c>
      <c r="AE132" s="5" t="str">
        <f>VLOOKUP($A132,'SegEnds_NonXtal_Prot#'!$A:$AL,8,FALSE)</f>
        <v>-</v>
      </c>
      <c r="AF132" s="5">
        <f>VLOOKUP($A132,'SegEnds_NonXtal_Prot#'!$A:$AL,11,FALSE)</f>
        <v>71</v>
      </c>
      <c r="AG132" s="5">
        <f>VLOOKUP($A132,'SegEnds_NonXtal_Prot#'!$A:$AL,14,FALSE)</f>
        <v>77</v>
      </c>
      <c r="AH132" s="5">
        <f>VLOOKUP($A132,'SegEnds_NonXtal_Prot#'!$A:$AL,17,FALSE)</f>
        <v>113</v>
      </c>
      <c r="AI132" s="5">
        <f>VLOOKUP($A132,'SegEnds_NonXtal_Prot#'!$A:$AL,20,FALSE)</f>
        <v>121</v>
      </c>
      <c r="AJ132" s="5">
        <f>VLOOKUP($A132,'SegEnds_NonXtal_Prot#'!$A:$AL,23,FALSE)</f>
        <v>146</v>
      </c>
      <c r="AK132" s="5">
        <f>VLOOKUP($A132,'SegEnds_NonXtal_Prot#'!$A:$AL,26,FALSE)</f>
        <v>166</v>
      </c>
      <c r="AL132" s="5">
        <f>VLOOKUP($A132,'SegEnds_NonXtal_Prot#'!$A:$AL,29,FALSE)</f>
        <v>208</v>
      </c>
      <c r="AM132" s="5">
        <f>VLOOKUP($A132,'SegEnds_NonXtal_Prot#'!$A:$AL,32,FALSE)</f>
        <v>248</v>
      </c>
      <c r="AN132" s="5">
        <f>VLOOKUP($A132,'SegEnds_NonXtal_Prot#'!$A:$AL,35,FALSE)</f>
        <v>276</v>
      </c>
      <c r="AO132" s="5">
        <f>VLOOKUP($A132,'SegEnds_NonXtal_Prot#'!$A:$AL,38,FALSE)</f>
        <v>291</v>
      </c>
      <c r="AP132" s="5">
        <f t="shared" si="63"/>
        <v>32</v>
      </c>
      <c r="AQ132" s="4" t="str">
        <f t="shared" si="64"/>
        <v>-</v>
      </c>
      <c r="AR132" s="4">
        <f t="shared" si="65"/>
        <v>29</v>
      </c>
      <c r="AS132" s="4">
        <f t="shared" si="66"/>
        <v>3</v>
      </c>
      <c r="AT132" s="4">
        <f t="shared" si="67"/>
        <v>35</v>
      </c>
      <c r="AU132" s="4">
        <f t="shared" si="68"/>
        <v>7</v>
      </c>
      <c r="AV132" s="4">
        <f t="shared" si="69"/>
        <v>24</v>
      </c>
      <c r="AW132" s="4">
        <f t="shared" si="70"/>
        <v>2</v>
      </c>
      <c r="AX132" s="4">
        <f t="shared" si="71"/>
        <v>36</v>
      </c>
      <c r="AY132" s="4">
        <f t="shared" si="72"/>
        <v>35</v>
      </c>
      <c r="AZ132" s="4">
        <f t="shared" si="73"/>
        <v>23</v>
      </c>
      <c r="BA132" s="4">
        <f t="shared" si="74"/>
        <v>14</v>
      </c>
    </row>
    <row r="133" spans="1:53" x14ac:dyDescent="0.2">
      <c r="A133" s="1" t="str">
        <f>'SegEnds_NonXtal_Prot#'!A104</f>
        <v>ffar3_human</v>
      </c>
      <c r="B133" s="1" t="str">
        <f t="shared" si="50"/>
        <v>SGNHWFVFSVYLLTFLVGLPLNLLALVVFVGKVAVDVLLLNLTASDLLLLLFLPFRMVEAANPFILCPLSGFIFFTTIYLTALFLAAVSIERFLSVAHRLGQAGLVSVACWLLASAHCSVVYVILAILLPVRLEMAVVLFVVPLIITSYCYSRLVWILGRGRRQRRVAGLLAATLLNFLVCFGPYNVSHVVGYICAWRIYVTLLSTLNSCVDPFVYYFSSSGFQADFHELLRRL</v>
      </c>
      <c r="C133" s="29" t="str">
        <f>IF(ISERROR(MATCH(A133,'SegEnds_Xtal_Prot#'!B:B, 0)), "NoXtal", "Xtal")</f>
        <v>NoXtal</v>
      </c>
      <c r="D133" s="4" t="str">
        <f>VLOOKUP(A133,Classification!A:D,2,FALSE)</f>
        <v>A</v>
      </c>
      <c r="E133" s="5" t="str">
        <f>VLOOKUP(A133,Seqs!A:B,2,FALSE)</f>
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</c>
      <c r="F133" s="5" t="str">
        <f t="shared" si="51"/>
        <v>SGNHWFVFSVYLLTFLVGLPLNLLALVVFVGK</v>
      </c>
      <c r="G133" s="4" t="str">
        <f t="shared" si="52"/>
        <v/>
      </c>
      <c r="H133" s="4" t="str">
        <f t="shared" si="53"/>
        <v>VAVDVLLLNLTASDLLLLLFLPFRMVEAAN</v>
      </c>
      <c r="I133" s="4" t="str">
        <f t="shared" si="54"/>
        <v>HWPL</v>
      </c>
      <c r="J133" s="4" t="str">
        <f t="shared" si="55"/>
        <v>PFILCPLSGFIFFTTIYLTALFLAAVSIERFLSVAH</v>
      </c>
      <c r="K133" s="4" t="str">
        <f t="shared" si="56"/>
        <v>PLWYKTRP</v>
      </c>
      <c r="L133" s="4" t="str">
        <f t="shared" si="57"/>
        <v>RLGQAGLVSVACWLLASAHCSVVYVI</v>
      </c>
      <c r="M133" s="4" t="str">
        <f t="shared" si="58"/>
        <v>CYL</v>
      </c>
      <c r="N133" s="4" t="str">
        <f t="shared" si="59"/>
        <v>LAILLPVRLEMAVVLFVVPLIITSYCYSRLVWILGRG</v>
      </c>
      <c r="O133" s="4" t="str">
        <f t="shared" si="60"/>
        <v>RRQRRVAGLLAATLLNFLVCFGPYNVSHVVGYIC</v>
      </c>
      <c r="P133" s="4" t="str">
        <f t="shared" si="61"/>
        <v>AWRIYVTLLSTLNSCVDPFVYYFS</v>
      </c>
      <c r="Q133" s="4" t="str">
        <f t="shared" si="62"/>
        <v>SSGFQADFHELLRRL</v>
      </c>
      <c r="R133" s="5">
        <f>VLOOKUP($A133,'SegEnds_NonXtal_Prot#'!$A:$AL,3,FALSE)</f>
        <v>11</v>
      </c>
      <c r="S133" s="5" t="str">
        <f>VLOOKUP($A133,'SegEnds_NonXtal_Prot#'!$A:$AL,6,FALSE)</f>
        <v>-</v>
      </c>
      <c r="T133" s="5">
        <f>VLOOKUP($A133,'SegEnds_NonXtal_Prot#'!$A:$AL,9,FALSE)</f>
        <v>48</v>
      </c>
      <c r="U133" s="5">
        <f>VLOOKUP($A133,'SegEnds_NonXtal_Prot#'!$A:$AL,12,FALSE)</f>
        <v>80</v>
      </c>
      <c r="V133" s="5">
        <f>VLOOKUP($A133,'SegEnds_NonXtal_Prot#'!$A:$AL,15,FALSE)</f>
        <v>84</v>
      </c>
      <c r="W133" s="5">
        <f>VLOOKUP($A133,'SegEnds_NonXtal_Prot#'!$A:$AL,18,FALSE)</f>
        <v>120</v>
      </c>
      <c r="X133" s="5">
        <f>VLOOKUP($A133,'SegEnds_NonXtal_Prot#'!$A:$AL,21,FALSE)</f>
        <v>128</v>
      </c>
      <c r="Y133" s="5">
        <f>VLOOKUP($A133,'SegEnds_NonXtal_Prot#'!$A:$AL,24,FALSE)</f>
        <v>169</v>
      </c>
      <c r="Z133" s="5">
        <f>VLOOKUP($A133,'SegEnds_NonXtal_Prot#'!$A:$AL,27,FALSE)</f>
        <v>178</v>
      </c>
      <c r="AA133" s="5">
        <f>VLOOKUP($A133,'SegEnds_NonXtal_Prot#'!$A:$AL,30,FALSE)</f>
        <v>218</v>
      </c>
      <c r="AB133" s="5">
        <f>VLOOKUP($A133,'SegEnds_NonXtal_Prot#'!$A:$AL,33,FALSE)</f>
        <v>256</v>
      </c>
      <c r="AC133" s="5">
        <f>VLOOKUP($A133,'SegEnds_NonXtal_Prot#'!$A:$AL,36,FALSE)</f>
        <v>280</v>
      </c>
      <c r="AD133" s="5">
        <f>VLOOKUP($A133,'SegEnds_NonXtal_Prot#'!$A:$AL,5,FALSE)</f>
        <v>42</v>
      </c>
      <c r="AE133" s="5" t="str">
        <f>VLOOKUP($A133,'SegEnds_NonXtal_Prot#'!$A:$AL,8,FALSE)</f>
        <v>-</v>
      </c>
      <c r="AF133" s="5">
        <f>VLOOKUP($A133,'SegEnds_NonXtal_Prot#'!$A:$AL,11,FALSE)</f>
        <v>77</v>
      </c>
      <c r="AG133" s="5">
        <f>VLOOKUP($A133,'SegEnds_NonXtal_Prot#'!$A:$AL,14,FALSE)</f>
        <v>83</v>
      </c>
      <c r="AH133" s="5">
        <f>VLOOKUP($A133,'SegEnds_NonXtal_Prot#'!$A:$AL,17,FALSE)</f>
        <v>119</v>
      </c>
      <c r="AI133" s="5">
        <f>VLOOKUP($A133,'SegEnds_NonXtal_Prot#'!$A:$AL,20,FALSE)</f>
        <v>127</v>
      </c>
      <c r="AJ133" s="5">
        <f>VLOOKUP($A133,'SegEnds_NonXtal_Prot#'!$A:$AL,23,FALSE)</f>
        <v>153</v>
      </c>
      <c r="AK133" s="5">
        <f>VLOOKUP($A133,'SegEnds_NonXtal_Prot#'!$A:$AL,26,FALSE)</f>
        <v>171</v>
      </c>
      <c r="AL133" s="5">
        <f>VLOOKUP($A133,'SegEnds_NonXtal_Prot#'!$A:$AL,29,FALSE)</f>
        <v>214</v>
      </c>
      <c r="AM133" s="5">
        <f>VLOOKUP($A133,'SegEnds_NonXtal_Prot#'!$A:$AL,32,FALSE)</f>
        <v>251</v>
      </c>
      <c r="AN133" s="5">
        <f>VLOOKUP($A133,'SegEnds_NonXtal_Prot#'!$A:$AL,35,FALSE)</f>
        <v>279</v>
      </c>
      <c r="AO133" s="5">
        <f>VLOOKUP($A133,'SegEnds_NonXtal_Prot#'!$A:$AL,38,FALSE)</f>
        <v>294</v>
      </c>
      <c r="AP133" s="5">
        <f t="shared" si="63"/>
        <v>31</v>
      </c>
      <c r="AQ133" s="4" t="str">
        <f t="shared" si="64"/>
        <v>-</v>
      </c>
      <c r="AR133" s="4">
        <f t="shared" si="65"/>
        <v>29</v>
      </c>
      <c r="AS133" s="4">
        <f t="shared" si="66"/>
        <v>3</v>
      </c>
      <c r="AT133" s="4">
        <f t="shared" si="67"/>
        <v>35</v>
      </c>
      <c r="AU133" s="4">
        <f t="shared" si="68"/>
        <v>7</v>
      </c>
      <c r="AV133" s="4">
        <f t="shared" si="69"/>
        <v>25</v>
      </c>
      <c r="AW133" s="4">
        <f t="shared" si="70"/>
        <v>2</v>
      </c>
      <c r="AX133" s="4">
        <f t="shared" si="71"/>
        <v>36</v>
      </c>
      <c r="AY133" s="4">
        <f t="shared" si="72"/>
        <v>33</v>
      </c>
      <c r="AZ133" s="4">
        <f t="shared" si="73"/>
        <v>23</v>
      </c>
      <c r="BA133" s="4">
        <f t="shared" si="74"/>
        <v>14</v>
      </c>
    </row>
    <row r="134" spans="1:53" x14ac:dyDescent="0.2">
      <c r="A134" s="1" t="str">
        <f>'SegEnds_NonXtal_Prot#'!A105</f>
        <v>ffar4_human</v>
      </c>
      <c r="B134" s="1" t="str">
        <f t="shared" si="50"/>
        <v>LAAVETTVLVLIFAVSLLGNVCALVLVARRGATACLVLNLFCADLLFISAIPLVLAVRWTGPVACHLLFYVMTLSGSVTILTLAAVSLERMVCIVHGRRARAVLLALIWGYSAVAALPLCVFFPGEISWDVSFVTLNFLVPGLVIVISYSKILQTSEHLLDARAVVTIRVSQQDFRLFRTLFLLMVSFFIMWSPIIITILLILIQDLVIWPSLFFWVVAFTFANSALNPILYNMTLCRNEWKKIFCCFWFPE</v>
      </c>
      <c r="C134" s="29" t="str">
        <f>IF(ISERROR(MATCH(A134,'SegEnds_Xtal_Prot#'!B:B, 0)), "NoXtal", "Xtal")</f>
        <v>NoXtal</v>
      </c>
      <c r="D134" s="4" t="str">
        <f>VLOOKUP(A134,Classification!A:D,2,FALSE)</f>
        <v>A</v>
      </c>
      <c r="E134" s="5" t="str">
        <f>VLOOKUP(A134,Seqs!A:B,2,FALSE)</f>
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</c>
      <c r="F134" s="5" t="str">
        <f t="shared" si="51"/>
        <v>LAAVETTVLVLIFAVSLLGNVCALVLVARR</v>
      </c>
      <c r="G134" s="4" t="str">
        <f t="shared" si="52"/>
        <v/>
      </c>
      <c r="H134" s="4" t="str">
        <f t="shared" si="53"/>
        <v>GATACLVLNLFCADLLFISAIPLVLAVRWT</v>
      </c>
      <c r="I134" s="4" t="str">
        <f t="shared" si="54"/>
        <v>AWLL</v>
      </c>
      <c r="J134" s="4" t="str">
        <f t="shared" si="55"/>
        <v>GPVACHLLFYVMTLSGSVTILTLAAVSLERMVCIVH</v>
      </c>
      <c r="K134" s="4" t="str">
        <f t="shared" si="56"/>
        <v>LQRGVRGP</v>
      </c>
      <c r="L134" s="4" t="str">
        <f t="shared" si="57"/>
        <v>GRRARAVLLALIWGYSAVAALPLCVFF</v>
      </c>
      <c r="M134" s="4" t="str">
        <f t="shared" si="58"/>
        <v>CTL</v>
      </c>
      <c r="N134" s="4" t="str">
        <f t="shared" si="59"/>
        <v>PGEISWDVSFVTLNFLVPGLVIVISYSKILQTSEHLLDARAVVT</v>
      </c>
      <c r="O134" s="4" t="str">
        <f t="shared" si="60"/>
        <v>IRVSQQDFRLFRTLFLLMVSFFIMWSPIIITILLILIQ</v>
      </c>
      <c r="P134" s="4" t="str">
        <f t="shared" si="61"/>
        <v>DLVIWPSLFFWVVAFTFANSALNPILYNMT</v>
      </c>
      <c r="Q134" s="4" t="str">
        <f t="shared" si="62"/>
        <v>LCRNEWKKIFCCFWFPE</v>
      </c>
      <c r="R134" s="5">
        <f>VLOOKUP($A134,'SegEnds_NonXtal_Prot#'!$A:$AL,3,FALSE)</f>
        <v>39</v>
      </c>
      <c r="S134" s="5" t="str">
        <f>VLOOKUP($A134,'SegEnds_NonXtal_Prot#'!$A:$AL,6,FALSE)</f>
        <v>-</v>
      </c>
      <c r="T134" s="5">
        <f>VLOOKUP($A134,'SegEnds_NonXtal_Prot#'!$A:$AL,9,FALSE)</f>
        <v>72</v>
      </c>
      <c r="U134" s="5">
        <f>VLOOKUP($A134,'SegEnds_NonXtal_Prot#'!$A:$AL,12,FALSE)</f>
        <v>103</v>
      </c>
      <c r="V134" s="5">
        <f>VLOOKUP($A134,'SegEnds_NonXtal_Prot#'!$A:$AL,15,FALSE)</f>
        <v>107</v>
      </c>
      <c r="W134" s="5">
        <f>VLOOKUP($A134,'SegEnds_NonXtal_Prot#'!$A:$AL,18,FALSE)</f>
        <v>143</v>
      </c>
      <c r="X134" s="5">
        <f>VLOOKUP($A134,'SegEnds_NonXtal_Prot#'!$A:$AL,21,FALSE)</f>
        <v>151</v>
      </c>
      <c r="Y134" s="5">
        <f>VLOOKUP($A134,'SegEnds_NonXtal_Prot#'!$A:$AL,24,FALSE)</f>
        <v>194</v>
      </c>
      <c r="Z134" s="5">
        <f>VLOOKUP($A134,'SegEnds_NonXtal_Prot#'!$A:$AL,27,FALSE)</f>
        <v>202</v>
      </c>
      <c r="AA134" s="5">
        <f>VLOOKUP($A134,'SegEnds_NonXtal_Prot#'!$A:$AL,30,FALSE)</f>
        <v>269</v>
      </c>
      <c r="AB134" s="5">
        <f>VLOOKUP($A134,'SegEnds_NonXtal_Prot#'!$A:$AL,33,FALSE)</f>
        <v>311</v>
      </c>
      <c r="AC134" s="5">
        <f>VLOOKUP($A134,'SegEnds_NonXtal_Prot#'!$A:$AL,36,FALSE)</f>
        <v>341</v>
      </c>
      <c r="AD134" s="5">
        <f>VLOOKUP($A134,'SegEnds_NonXtal_Prot#'!$A:$AL,5,FALSE)</f>
        <v>68</v>
      </c>
      <c r="AE134" s="5" t="str">
        <f>VLOOKUP($A134,'SegEnds_NonXtal_Prot#'!$A:$AL,8,FALSE)</f>
        <v>-</v>
      </c>
      <c r="AF134" s="5">
        <f>VLOOKUP($A134,'SegEnds_NonXtal_Prot#'!$A:$AL,11,FALSE)</f>
        <v>101</v>
      </c>
      <c r="AG134" s="5">
        <f>VLOOKUP($A134,'SegEnds_NonXtal_Prot#'!$A:$AL,14,FALSE)</f>
        <v>106</v>
      </c>
      <c r="AH134" s="5">
        <f>VLOOKUP($A134,'SegEnds_NonXtal_Prot#'!$A:$AL,17,FALSE)</f>
        <v>142</v>
      </c>
      <c r="AI134" s="5">
        <f>VLOOKUP($A134,'SegEnds_NonXtal_Prot#'!$A:$AL,20,FALSE)</f>
        <v>150</v>
      </c>
      <c r="AJ134" s="5">
        <f>VLOOKUP($A134,'SegEnds_NonXtal_Prot#'!$A:$AL,23,FALSE)</f>
        <v>177</v>
      </c>
      <c r="AK134" s="5">
        <f>VLOOKUP($A134,'SegEnds_NonXtal_Prot#'!$A:$AL,26,FALSE)</f>
        <v>196</v>
      </c>
      <c r="AL134" s="5">
        <f>VLOOKUP($A134,'SegEnds_NonXtal_Prot#'!$A:$AL,29,FALSE)</f>
        <v>245</v>
      </c>
      <c r="AM134" s="5">
        <f>VLOOKUP($A134,'SegEnds_NonXtal_Prot#'!$A:$AL,32,FALSE)</f>
        <v>306</v>
      </c>
      <c r="AN134" s="5">
        <f>VLOOKUP($A134,'SegEnds_NonXtal_Prot#'!$A:$AL,35,FALSE)</f>
        <v>340</v>
      </c>
      <c r="AO134" s="5">
        <f>VLOOKUP($A134,'SegEnds_NonXtal_Prot#'!$A:$AL,38,FALSE)</f>
        <v>357</v>
      </c>
      <c r="AP134" s="5">
        <f t="shared" si="63"/>
        <v>29</v>
      </c>
      <c r="AQ134" s="4" t="str">
        <f t="shared" si="64"/>
        <v>-</v>
      </c>
      <c r="AR134" s="4">
        <f t="shared" si="65"/>
        <v>29</v>
      </c>
      <c r="AS134" s="4">
        <f t="shared" si="66"/>
        <v>3</v>
      </c>
      <c r="AT134" s="4">
        <f t="shared" si="67"/>
        <v>35</v>
      </c>
      <c r="AU134" s="4">
        <f t="shared" si="68"/>
        <v>7</v>
      </c>
      <c r="AV134" s="4">
        <f t="shared" si="69"/>
        <v>26</v>
      </c>
      <c r="AW134" s="4">
        <f t="shared" si="70"/>
        <v>2</v>
      </c>
      <c r="AX134" s="4">
        <f t="shared" si="71"/>
        <v>43</v>
      </c>
      <c r="AY134" s="4">
        <f t="shared" si="72"/>
        <v>37</v>
      </c>
      <c r="AZ134" s="4">
        <f t="shared" si="73"/>
        <v>29</v>
      </c>
      <c r="BA134" s="4">
        <f t="shared" si="74"/>
        <v>16</v>
      </c>
    </row>
    <row r="135" spans="1:53" x14ac:dyDescent="0.2">
      <c r="A135" s="1" t="str">
        <f>'SegEnds_NonXtal_Prot#'!A106</f>
        <v>fpr1_human</v>
      </c>
      <c r="B135" s="1" t="str">
        <f t="shared" si="50"/>
        <v>SAGYLFLDIITYLVFAVTFVLGVLGNGLVIWVAGFRMTVTTISYLNLAVADFCFTSTLPFFMVRKAMGGWFLCKFVFTIVDINLFGSVFLIALIALDRCVCVLHTVSLAKKVIIGPWVMALLLTLPVIIRVDPKERINVAVAMLTVRGIIRFIIGFSAPMSIVAVSYGLIATKIHKQSSRPLRVLSFVAAAFFLCWSPYQVVALIATVRYKEIGIAVDVTSALAFFNSCLNPMLYVFMGQDFRERLIHAL</v>
      </c>
      <c r="C135" s="29" t="str">
        <f>IF(ISERROR(MATCH(A135,'SegEnds_Xtal_Prot#'!B:B, 0)), "NoXtal", "Xtal")</f>
        <v>NoXtal</v>
      </c>
      <c r="D135" s="4" t="str">
        <f>VLOOKUP(A135,Classification!A:D,2,FALSE)</f>
        <v>A</v>
      </c>
      <c r="E135" s="5" t="str">
        <f>VLOOKUP(A135,Seqs!A:B,2,FALSE)</f>
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</c>
      <c r="F135" s="5" t="str">
        <f t="shared" si="51"/>
        <v>SAGYLFLDIITYLVFAVTFVLGVLGNGLVIWVAGFRM</v>
      </c>
      <c r="G135" s="4" t="str">
        <f t="shared" si="52"/>
        <v/>
      </c>
      <c r="H135" s="4" t="str">
        <f t="shared" si="53"/>
        <v>TVTTISYLNLAVADFCFTSTLPFFMVRKAMG</v>
      </c>
      <c r="I135" s="4" t="str">
        <f t="shared" si="54"/>
        <v>HWPF</v>
      </c>
      <c r="J135" s="4" t="str">
        <f t="shared" si="55"/>
        <v>GWFLCKFVFTIVDINLFGSVFLIALIALDRCVCVLH</v>
      </c>
      <c r="K135" s="4" t="str">
        <f t="shared" si="56"/>
        <v>PVWTQNHR</v>
      </c>
      <c r="L135" s="4" t="str">
        <f t="shared" si="57"/>
        <v>TVSLAKKVIIGPWVMALLLTLPVIIRV</v>
      </c>
      <c r="M135" s="4" t="str">
        <f t="shared" si="58"/>
        <v>CTF</v>
      </c>
      <c r="N135" s="4" t="str">
        <f t="shared" si="59"/>
        <v>DPKERINVAVAMLTVRGIIRFIIGFSAPMSIVAVSYGLIATKIHKQ</v>
      </c>
      <c r="O135" s="4" t="str">
        <f t="shared" si="60"/>
        <v>SSRPLRVLSFVAAAFFLCWSPYQVVALIATVR</v>
      </c>
      <c r="P135" s="4" t="str">
        <f t="shared" si="61"/>
        <v>YKEIGIAVDVTSALAFFNSCLNPMLYVFM</v>
      </c>
      <c r="Q135" s="4" t="str">
        <f t="shared" si="62"/>
        <v>GQDFRERLIHAL</v>
      </c>
      <c r="R135" s="5">
        <f>VLOOKUP($A135,'SegEnds_NonXtal_Prot#'!$A:$AL,3,FALSE)</f>
        <v>19</v>
      </c>
      <c r="S135" s="5" t="str">
        <f>VLOOKUP($A135,'SegEnds_NonXtal_Prot#'!$A:$AL,6,FALSE)</f>
        <v>-</v>
      </c>
      <c r="T135" s="5">
        <f>VLOOKUP($A135,'SegEnds_NonXtal_Prot#'!$A:$AL,9,FALSE)</f>
        <v>58</v>
      </c>
      <c r="U135" s="5">
        <f>VLOOKUP($A135,'SegEnds_NonXtal_Prot#'!$A:$AL,12,FALSE)</f>
        <v>90</v>
      </c>
      <c r="V135" s="5">
        <f>VLOOKUP($A135,'SegEnds_NonXtal_Prot#'!$A:$AL,15,FALSE)</f>
        <v>94</v>
      </c>
      <c r="W135" s="5">
        <f>VLOOKUP($A135,'SegEnds_NonXtal_Prot#'!$A:$AL,18,FALSE)</f>
        <v>130</v>
      </c>
      <c r="X135" s="5">
        <f>VLOOKUP($A135,'SegEnds_NonXtal_Prot#'!$A:$AL,21,FALSE)</f>
        <v>138</v>
      </c>
      <c r="Y135" s="5">
        <f>VLOOKUP($A135,'SegEnds_NonXtal_Prot#'!$A:$AL,24,FALSE)</f>
        <v>176</v>
      </c>
      <c r="Z135" s="5">
        <f>VLOOKUP($A135,'SegEnds_NonXtal_Prot#'!$A:$AL,27,FALSE)</f>
        <v>186</v>
      </c>
      <c r="AA135" s="5">
        <f>VLOOKUP($A135,'SegEnds_NonXtal_Prot#'!$A:$AL,30,FALSE)</f>
        <v>236</v>
      </c>
      <c r="AB135" s="5">
        <f>VLOOKUP($A135,'SegEnds_NonXtal_Prot#'!$A:$AL,33,FALSE)</f>
        <v>276</v>
      </c>
      <c r="AC135" s="5">
        <f>VLOOKUP($A135,'SegEnds_NonXtal_Prot#'!$A:$AL,36,FALSE)</f>
        <v>305</v>
      </c>
      <c r="AD135" s="5">
        <f>VLOOKUP($A135,'SegEnds_NonXtal_Prot#'!$A:$AL,5,FALSE)</f>
        <v>55</v>
      </c>
      <c r="AE135" s="5" t="str">
        <f>VLOOKUP($A135,'SegEnds_NonXtal_Prot#'!$A:$AL,8,FALSE)</f>
        <v>-</v>
      </c>
      <c r="AF135" s="5">
        <f>VLOOKUP($A135,'SegEnds_NonXtal_Prot#'!$A:$AL,11,FALSE)</f>
        <v>88</v>
      </c>
      <c r="AG135" s="5">
        <f>VLOOKUP($A135,'SegEnds_NonXtal_Prot#'!$A:$AL,14,FALSE)</f>
        <v>93</v>
      </c>
      <c r="AH135" s="5">
        <f>VLOOKUP($A135,'SegEnds_NonXtal_Prot#'!$A:$AL,17,FALSE)</f>
        <v>129</v>
      </c>
      <c r="AI135" s="5">
        <f>VLOOKUP($A135,'SegEnds_NonXtal_Prot#'!$A:$AL,20,FALSE)</f>
        <v>137</v>
      </c>
      <c r="AJ135" s="5">
        <f>VLOOKUP($A135,'SegEnds_NonXtal_Prot#'!$A:$AL,23,FALSE)</f>
        <v>164</v>
      </c>
      <c r="AK135" s="5">
        <f>VLOOKUP($A135,'SegEnds_NonXtal_Prot#'!$A:$AL,26,FALSE)</f>
        <v>178</v>
      </c>
      <c r="AL135" s="5">
        <f>VLOOKUP($A135,'SegEnds_NonXtal_Prot#'!$A:$AL,29,FALSE)</f>
        <v>231</v>
      </c>
      <c r="AM135" s="5">
        <f>VLOOKUP($A135,'SegEnds_NonXtal_Prot#'!$A:$AL,32,FALSE)</f>
        <v>267</v>
      </c>
      <c r="AN135" s="5">
        <f>VLOOKUP($A135,'SegEnds_NonXtal_Prot#'!$A:$AL,35,FALSE)</f>
        <v>304</v>
      </c>
      <c r="AO135" s="5">
        <f>VLOOKUP($A135,'SegEnds_NonXtal_Prot#'!$A:$AL,38,FALSE)</f>
        <v>316</v>
      </c>
      <c r="AP135" s="5">
        <f t="shared" si="63"/>
        <v>36</v>
      </c>
      <c r="AQ135" s="4" t="str">
        <f t="shared" si="64"/>
        <v>-</v>
      </c>
      <c r="AR135" s="4">
        <f t="shared" si="65"/>
        <v>30</v>
      </c>
      <c r="AS135" s="4">
        <f t="shared" si="66"/>
        <v>3</v>
      </c>
      <c r="AT135" s="4">
        <f t="shared" si="67"/>
        <v>35</v>
      </c>
      <c r="AU135" s="4">
        <f t="shared" si="68"/>
        <v>7</v>
      </c>
      <c r="AV135" s="4">
        <f t="shared" si="69"/>
        <v>26</v>
      </c>
      <c r="AW135" s="4">
        <f t="shared" si="70"/>
        <v>2</v>
      </c>
      <c r="AX135" s="4">
        <f t="shared" si="71"/>
        <v>45</v>
      </c>
      <c r="AY135" s="4">
        <f t="shared" si="72"/>
        <v>31</v>
      </c>
      <c r="AZ135" s="4">
        <f t="shared" si="73"/>
        <v>28</v>
      </c>
      <c r="BA135" s="4">
        <f t="shared" si="74"/>
        <v>11</v>
      </c>
    </row>
    <row r="136" spans="1:53" x14ac:dyDescent="0.2">
      <c r="A136" s="1" t="str">
        <f>'SegEnds_NonXtal_Prot#'!A107</f>
        <v>fpr2_human</v>
      </c>
      <c r="B136" s="1" t="str">
        <f t="shared" si="50"/>
        <v>SAGYTVLRILPLVVLGVTFVLGVLGNGLVIWVAGFRMTVTTICYLNLALADFSFTATLPFLIVSMAMGGWFLCKLIHIVVDINLFGSVFLIGFIALDRCICVLHTVSLAMKVIVGPWILALVLTLPVFLFLTPEERLKVAITMLTARGIIRFVIGFSLPMSIVAICYGLIAAKIHKKGSRPLRVLTAVVASFFICWFPFQLVALLGTVWYKIIDILVNPTSSLAFFNSCLNPMLYVFVGQDFRERLIHSL</v>
      </c>
      <c r="C136" s="29" t="str">
        <f>IF(ISERROR(MATCH(A136,'SegEnds_Xtal_Prot#'!B:B, 0)), "NoXtal", "Xtal")</f>
        <v>Xtal</v>
      </c>
      <c r="D136" s="4" t="str">
        <f>VLOOKUP(A136,Classification!A:D,2,FALSE)</f>
        <v>A</v>
      </c>
      <c r="E136" s="5" t="str">
        <f>VLOOKUP(A136,Seqs!A:B,2,FALSE)</f>
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</c>
      <c r="F136" s="5" t="str">
        <f t="shared" si="51"/>
        <v>SAGYTVLRILPLVVLGVTFVLGVLGNGLVIWVAGFRM</v>
      </c>
      <c r="G136" s="4" t="str">
        <f t="shared" si="52"/>
        <v/>
      </c>
      <c r="H136" s="4" t="str">
        <f t="shared" si="53"/>
        <v>TVTTICYLNLALADFSFTATLPFLIVSMAMG</v>
      </c>
      <c r="I136" s="4" t="str">
        <f t="shared" si="54"/>
        <v>KWPF</v>
      </c>
      <c r="J136" s="4" t="str">
        <f t="shared" si="55"/>
        <v>GWFLCKLIHIVVDINLFGSVFLIGFIALDRCICVLH</v>
      </c>
      <c r="K136" s="4" t="str">
        <f t="shared" si="56"/>
        <v>PVWAQNHR</v>
      </c>
      <c r="L136" s="4" t="str">
        <f t="shared" si="57"/>
        <v>TVSLAMKVIVGPWILALVLTLPVFLFL</v>
      </c>
      <c r="M136" s="4" t="str">
        <f t="shared" si="58"/>
        <v>CTF</v>
      </c>
      <c r="N136" s="4" t="str">
        <f t="shared" si="59"/>
        <v>TPEERLKVAITMLTARGIIRFVIGFSLPMSIVAICYGLIAAKIHKKG</v>
      </c>
      <c r="O136" s="4" t="str">
        <f t="shared" si="60"/>
        <v>SRPLRVLTAVVASFFICWFPFQLVALLGTVW</v>
      </c>
      <c r="P136" s="4" t="str">
        <f t="shared" si="61"/>
        <v>YKIIDILVNPTSSLAFFNSCLNPMLYVFV</v>
      </c>
      <c r="Q136" s="4" t="str">
        <f t="shared" si="62"/>
        <v>GQDFRERLIHSL</v>
      </c>
      <c r="R136" s="5">
        <f>VLOOKUP($A136,'SegEnds_NonXtal_Prot#'!$A:$AL,3,FALSE)</f>
        <v>19</v>
      </c>
      <c r="S136" s="5" t="str">
        <f>VLOOKUP($A136,'SegEnds_NonXtal_Prot#'!$A:$AL,6,FALSE)</f>
        <v>-</v>
      </c>
      <c r="T136" s="5">
        <f>VLOOKUP($A136,'SegEnds_NonXtal_Prot#'!$A:$AL,9,FALSE)</f>
        <v>58</v>
      </c>
      <c r="U136" s="5">
        <f>VLOOKUP($A136,'SegEnds_NonXtal_Prot#'!$A:$AL,12,FALSE)</f>
        <v>90</v>
      </c>
      <c r="V136" s="5">
        <f>VLOOKUP($A136,'SegEnds_NonXtal_Prot#'!$A:$AL,15,FALSE)</f>
        <v>94</v>
      </c>
      <c r="W136" s="5">
        <f>VLOOKUP($A136,'SegEnds_NonXtal_Prot#'!$A:$AL,18,FALSE)</f>
        <v>130</v>
      </c>
      <c r="X136" s="5">
        <f>VLOOKUP($A136,'SegEnds_NonXtal_Prot#'!$A:$AL,21,FALSE)</f>
        <v>138</v>
      </c>
      <c r="Y136" s="5">
        <f>VLOOKUP($A136,'SegEnds_NonXtal_Prot#'!$A:$AL,24,FALSE)</f>
        <v>176</v>
      </c>
      <c r="Z136" s="5">
        <f>VLOOKUP($A136,'SegEnds_NonXtal_Prot#'!$A:$AL,27,FALSE)</f>
        <v>186</v>
      </c>
      <c r="AA136" s="5">
        <f>VLOOKUP($A136,'SegEnds_NonXtal_Prot#'!$A:$AL,30,FALSE)</f>
        <v>237</v>
      </c>
      <c r="AB136" s="5">
        <f>VLOOKUP($A136,'SegEnds_NonXtal_Prot#'!$A:$AL,33,FALSE)</f>
        <v>277</v>
      </c>
      <c r="AC136" s="5">
        <f>VLOOKUP($A136,'SegEnds_NonXtal_Prot#'!$A:$AL,36,FALSE)</f>
        <v>306</v>
      </c>
      <c r="AD136" s="5">
        <f>VLOOKUP($A136,'SegEnds_NonXtal_Prot#'!$A:$AL,5,FALSE)</f>
        <v>55</v>
      </c>
      <c r="AE136" s="5" t="str">
        <f>VLOOKUP($A136,'SegEnds_NonXtal_Prot#'!$A:$AL,8,FALSE)</f>
        <v>-</v>
      </c>
      <c r="AF136" s="5">
        <f>VLOOKUP($A136,'SegEnds_NonXtal_Prot#'!$A:$AL,11,FALSE)</f>
        <v>88</v>
      </c>
      <c r="AG136" s="5">
        <f>VLOOKUP($A136,'SegEnds_NonXtal_Prot#'!$A:$AL,14,FALSE)</f>
        <v>93</v>
      </c>
      <c r="AH136" s="5">
        <f>VLOOKUP($A136,'SegEnds_NonXtal_Prot#'!$A:$AL,17,FALSE)</f>
        <v>129</v>
      </c>
      <c r="AI136" s="5">
        <f>VLOOKUP($A136,'SegEnds_NonXtal_Prot#'!$A:$AL,20,FALSE)</f>
        <v>137</v>
      </c>
      <c r="AJ136" s="5">
        <f>VLOOKUP($A136,'SegEnds_NonXtal_Prot#'!$A:$AL,23,FALSE)</f>
        <v>164</v>
      </c>
      <c r="AK136" s="5">
        <f>VLOOKUP($A136,'SegEnds_NonXtal_Prot#'!$A:$AL,26,FALSE)</f>
        <v>178</v>
      </c>
      <c r="AL136" s="5">
        <f>VLOOKUP($A136,'SegEnds_NonXtal_Prot#'!$A:$AL,29,FALSE)</f>
        <v>232</v>
      </c>
      <c r="AM136" s="5">
        <f>VLOOKUP($A136,'SegEnds_NonXtal_Prot#'!$A:$AL,32,FALSE)</f>
        <v>267</v>
      </c>
      <c r="AN136" s="5">
        <f>VLOOKUP($A136,'SegEnds_NonXtal_Prot#'!$A:$AL,35,FALSE)</f>
        <v>305</v>
      </c>
      <c r="AO136" s="5">
        <f>VLOOKUP($A136,'SegEnds_NonXtal_Prot#'!$A:$AL,38,FALSE)</f>
        <v>317</v>
      </c>
      <c r="AP136" s="5">
        <f t="shared" si="63"/>
        <v>36</v>
      </c>
      <c r="AQ136" s="4" t="str">
        <f t="shared" si="64"/>
        <v>-</v>
      </c>
      <c r="AR136" s="4">
        <f t="shared" si="65"/>
        <v>30</v>
      </c>
      <c r="AS136" s="4">
        <f t="shared" si="66"/>
        <v>3</v>
      </c>
      <c r="AT136" s="4">
        <f t="shared" si="67"/>
        <v>35</v>
      </c>
      <c r="AU136" s="4">
        <f t="shared" si="68"/>
        <v>7</v>
      </c>
      <c r="AV136" s="4">
        <f t="shared" si="69"/>
        <v>26</v>
      </c>
      <c r="AW136" s="4">
        <f t="shared" si="70"/>
        <v>2</v>
      </c>
      <c r="AX136" s="4">
        <f t="shared" si="71"/>
        <v>46</v>
      </c>
      <c r="AY136" s="4">
        <f t="shared" si="72"/>
        <v>30</v>
      </c>
      <c r="AZ136" s="4">
        <f t="shared" si="73"/>
        <v>28</v>
      </c>
      <c r="BA136" s="4">
        <f t="shared" si="74"/>
        <v>11</v>
      </c>
    </row>
    <row r="137" spans="1:53" x14ac:dyDescent="0.2">
      <c r="A137" s="1" t="str">
        <f>'SegEnds_NonXtal_Prot#'!A108</f>
        <v>fpr3_human</v>
      </c>
      <c r="B137" s="1" t="str">
        <f t="shared" si="50"/>
        <v>PAGHTVLWIFSLLVHGVTFVFGVLGNGLVIWVAGFRMTVNTICYLNLALADFSFSAILPFRMVSVAMRGSFLCKLVHVMIDINLFVSVYLITIIALDRCICVLHTMSLAKRVMTGLWIFTIVLTLPNFIFWTAVERLNVFITMAKVFLILHFIIGFSVPMSIITVCYGIIAAKIHRNSSRPLRVFAAVVASFFICWFPYELIGILMAVWLNGKYKIILVLINPTSSLAFFNSCLNPILYVFMGRNFQERLIRSL</v>
      </c>
      <c r="C137" s="29" t="str">
        <f>IF(ISERROR(MATCH(A137,'SegEnds_Xtal_Prot#'!B:B, 0)), "NoXtal", "Xtal")</f>
        <v>NoXtal</v>
      </c>
      <c r="D137" s="4" t="str">
        <f>VLOOKUP(A137,Classification!A:D,2,FALSE)</f>
        <v>A</v>
      </c>
      <c r="E137" s="5" t="str">
        <f>VLOOKUP(A137,Seqs!A:B,2,FALSE)</f>
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</c>
      <c r="F137" s="5" t="str">
        <f t="shared" si="51"/>
        <v>PAGHTVLWIFSLLVHGVTFVFGVLGNGLVIWVAGFRM</v>
      </c>
      <c r="G137" s="4" t="str">
        <f t="shared" si="52"/>
        <v/>
      </c>
      <c r="H137" s="4" t="str">
        <f t="shared" si="53"/>
        <v>TVNTICYLNLALADFSFSAILPFRMVSVAMR</v>
      </c>
      <c r="I137" s="4" t="str">
        <f t="shared" si="54"/>
        <v>KWPF</v>
      </c>
      <c r="J137" s="4" t="str">
        <f t="shared" si="55"/>
        <v>GSFLCKLVHVMIDINLFVSVYLITIIALDRCICVLH</v>
      </c>
      <c r="K137" s="4" t="str">
        <f t="shared" si="56"/>
        <v>PAWAQNHR</v>
      </c>
      <c r="L137" s="4" t="str">
        <f t="shared" si="57"/>
        <v>TMSLAKRVMTGLWIFTIVLTLPNFIFW</v>
      </c>
      <c r="M137" s="4" t="str">
        <f t="shared" si="58"/>
        <v>CIF</v>
      </c>
      <c r="N137" s="4" t="str">
        <f t="shared" si="59"/>
        <v>TAVERLNVFITMAKVFLILHFIIGFSVPMSIITVCYGIIAAKIHRN</v>
      </c>
      <c r="O137" s="4" t="str">
        <f t="shared" si="60"/>
        <v>SSRPLRVFAAVVASFFICWFPYELIGILMAVW</v>
      </c>
      <c r="P137" s="4" t="str">
        <f t="shared" si="61"/>
        <v>LNGKYKIILVLINPTSSLAFFNSCLNPILYVFM</v>
      </c>
      <c r="Q137" s="4" t="str">
        <f t="shared" si="62"/>
        <v>GRNFQERLIRSL</v>
      </c>
      <c r="R137" s="5">
        <f>VLOOKUP($A137,'SegEnds_NonXtal_Prot#'!$A:$AL,3,FALSE)</f>
        <v>19</v>
      </c>
      <c r="S137" s="5" t="str">
        <f>VLOOKUP($A137,'SegEnds_NonXtal_Prot#'!$A:$AL,6,FALSE)</f>
        <v>-</v>
      </c>
      <c r="T137" s="5">
        <f>VLOOKUP($A137,'SegEnds_NonXtal_Prot#'!$A:$AL,9,FALSE)</f>
        <v>58</v>
      </c>
      <c r="U137" s="5">
        <f>VLOOKUP($A137,'SegEnds_NonXtal_Prot#'!$A:$AL,12,FALSE)</f>
        <v>90</v>
      </c>
      <c r="V137" s="5">
        <f>VLOOKUP($A137,'SegEnds_NonXtal_Prot#'!$A:$AL,15,FALSE)</f>
        <v>94</v>
      </c>
      <c r="W137" s="5">
        <f>VLOOKUP($A137,'SegEnds_NonXtal_Prot#'!$A:$AL,18,FALSE)</f>
        <v>130</v>
      </c>
      <c r="X137" s="5">
        <f>VLOOKUP($A137,'SegEnds_NonXtal_Prot#'!$A:$AL,21,FALSE)</f>
        <v>138</v>
      </c>
      <c r="Y137" s="5">
        <f>VLOOKUP($A137,'SegEnds_NonXtal_Prot#'!$A:$AL,24,FALSE)</f>
        <v>176</v>
      </c>
      <c r="Z137" s="5">
        <f>VLOOKUP($A137,'SegEnds_NonXtal_Prot#'!$A:$AL,27,FALSE)</f>
        <v>186</v>
      </c>
      <c r="AA137" s="5">
        <f>VLOOKUP($A137,'SegEnds_NonXtal_Prot#'!$A:$AL,30,FALSE)</f>
        <v>236</v>
      </c>
      <c r="AB137" s="5">
        <f>VLOOKUP($A137,'SegEnds_NonXtal_Prot#'!$A:$AL,33,FALSE)</f>
        <v>273</v>
      </c>
      <c r="AC137" s="5">
        <f>VLOOKUP($A137,'SegEnds_NonXtal_Prot#'!$A:$AL,36,FALSE)</f>
        <v>306</v>
      </c>
      <c r="AD137" s="5">
        <f>VLOOKUP($A137,'SegEnds_NonXtal_Prot#'!$A:$AL,5,FALSE)</f>
        <v>55</v>
      </c>
      <c r="AE137" s="5" t="str">
        <f>VLOOKUP($A137,'SegEnds_NonXtal_Prot#'!$A:$AL,8,FALSE)</f>
        <v>-</v>
      </c>
      <c r="AF137" s="5">
        <f>VLOOKUP($A137,'SegEnds_NonXtal_Prot#'!$A:$AL,11,FALSE)</f>
        <v>88</v>
      </c>
      <c r="AG137" s="5">
        <f>VLOOKUP($A137,'SegEnds_NonXtal_Prot#'!$A:$AL,14,FALSE)</f>
        <v>93</v>
      </c>
      <c r="AH137" s="5">
        <f>VLOOKUP($A137,'SegEnds_NonXtal_Prot#'!$A:$AL,17,FALSE)</f>
        <v>129</v>
      </c>
      <c r="AI137" s="5">
        <f>VLOOKUP($A137,'SegEnds_NonXtal_Prot#'!$A:$AL,20,FALSE)</f>
        <v>137</v>
      </c>
      <c r="AJ137" s="5">
        <f>VLOOKUP($A137,'SegEnds_NonXtal_Prot#'!$A:$AL,23,FALSE)</f>
        <v>164</v>
      </c>
      <c r="AK137" s="5">
        <f>VLOOKUP($A137,'SegEnds_NonXtal_Prot#'!$A:$AL,26,FALSE)</f>
        <v>178</v>
      </c>
      <c r="AL137" s="5">
        <f>VLOOKUP($A137,'SegEnds_NonXtal_Prot#'!$A:$AL,29,FALSE)</f>
        <v>231</v>
      </c>
      <c r="AM137" s="5">
        <f>VLOOKUP($A137,'SegEnds_NonXtal_Prot#'!$A:$AL,32,FALSE)</f>
        <v>267</v>
      </c>
      <c r="AN137" s="5">
        <f>VLOOKUP($A137,'SegEnds_NonXtal_Prot#'!$A:$AL,35,FALSE)</f>
        <v>305</v>
      </c>
      <c r="AO137" s="5">
        <f>VLOOKUP($A137,'SegEnds_NonXtal_Prot#'!$A:$AL,38,FALSE)</f>
        <v>317</v>
      </c>
      <c r="AP137" s="5">
        <f t="shared" si="63"/>
        <v>36</v>
      </c>
      <c r="AQ137" s="4" t="str">
        <f t="shared" si="64"/>
        <v>-</v>
      </c>
      <c r="AR137" s="4">
        <f t="shared" si="65"/>
        <v>30</v>
      </c>
      <c r="AS137" s="4">
        <f t="shared" si="66"/>
        <v>3</v>
      </c>
      <c r="AT137" s="4">
        <f t="shared" si="67"/>
        <v>35</v>
      </c>
      <c r="AU137" s="4">
        <f t="shared" si="68"/>
        <v>7</v>
      </c>
      <c r="AV137" s="4">
        <f t="shared" si="69"/>
        <v>26</v>
      </c>
      <c r="AW137" s="4">
        <f t="shared" si="70"/>
        <v>2</v>
      </c>
      <c r="AX137" s="4">
        <f t="shared" si="71"/>
        <v>45</v>
      </c>
      <c r="AY137" s="4">
        <f t="shared" si="72"/>
        <v>31</v>
      </c>
      <c r="AZ137" s="4">
        <f t="shared" si="73"/>
        <v>32</v>
      </c>
      <c r="BA137" s="4">
        <f t="shared" si="74"/>
        <v>11</v>
      </c>
    </row>
    <row r="138" spans="1:53" x14ac:dyDescent="0.2">
      <c r="A138" s="1" t="str">
        <f>'SegEnds_NonXtal_Prot#'!A109</f>
        <v>fshr_human</v>
      </c>
      <c r="B138" s="1" t="str">
        <f t="shared" si="50"/>
        <v>EDIMGYNILRVLIWFISILAITGNIIVLVILTTSVPRFLMCNLAFADLCIGIYLLLIASVDIHTGAGCDAAGFFTVFASELSVYTLTAITLERWHTITHQLRHAASVMVMGWIFAFAAALFPIFGPLSQLYVMSLLVLNVLAFVVICGCYIHIYLTVRNSSSSDTRIAKRMAMLIFTDFLCMAPISFFAISASLKVSKAKILLVLFHPINSCANPFLYAIFTKNFRRDFFILLSKCGCYEMQAQ</v>
      </c>
      <c r="C138" s="29" t="str">
        <f>IF(ISERROR(MATCH(A138,'SegEnds_Xtal_Prot#'!B:B, 0)), "NoXtal", "Xtal")</f>
        <v>NoXtal</v>
      </c>
      <c r="D138" s="4" t="str">
        <f>VLOOKUP(A138,Classification!A:D,2,FALSE)</f>
        <v>A</v>
      </c>
      <c r="E138" s="5" t="str">
        <f>VLOOKUP(A138,Seqs!A:B,2,FALSE)</f>
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</c>
      <c r="F138" s="5" t="str">
        <f t="shared" si="51"/>
        <v>EDIMGYNILRVLIWFISILAITGNIIVLVILTTS</v>
      </c>
      <c r="G138" s="4" t="str">
        <f t="shared" si="52"/>
        <v>YKLT</v>
      </c>
      <c r="H138" s="4" t="str">
        <f t="shared" si="53"/>
        <v>VPRFLMCNLAFADLCIGIYLLLIASVDIHT</v>
      </c>
      <c r="I138" s="4" t="str">
        <f t="shared" si="54"/>
        <v>DWQT</v>
      </c>
      <c r="J138" s="4" t="str">
        <f t="shared" si="55"/>
        <v>GAGCDAAGFFTVFASELSVYTLTAITLERWHTITH</v>
      </c>
      <c r="K138" s="4" t="str">
        <f t="shared" si="56"/>
        <v>AMQLDCKV</v>
      </c>
      <c r="L138" s="4" t="str">
        <f t="shared" si="57"/>
        <v>QLRHAASVMVMGWIFAFAAALFPIFG</v>
      </c>
      <c r="M138" s="4" t="str">
        <f t="shared" si="58"/>
        <v>CLP</v>
      </c>
      <c r="N138" s="4" t="str">
        <f t="shared" si="59"/>
        <v>PLSQLYVMSLLVLNVLAFVVICGCYIHIYLTVRN</v>
      </c>
      <c r="O138" s="4" t="str">
        <f t="shared" si="60"/>
        <v>SSSSDTRIAKRMAMLIFTDFLCMAPISFFAISASLK</v>
      </c>
      <c r="P138" s="4" t="str">
        <f t="shared" si="61"/>
        <v>VSKAKILLVLFHPINSCANPFLYAIF</v>
      </c>
      <c r="Q138" s="4" t="str">
        <f t="shared" si="62"/>
        <v>TKNFRRDFFILLSKCGCYEMQAQ</v>
      </c>
      <c r="R138" s="5">
        <f>VLOOKUP($A138,'SegEnds_NonXtal_Prot#'!$A:$AL,3,FALSE)</f>
        <v>357</v>
      </c>
      <c r="S138" s="5">
        <f>VLOOKUP($A138,'SegEnds_NonXtal_Prot#'!$A:$AL,6,FALSE)</f>
        <v>392</v>
      </c>
      <c r="T138" s="5">
        <f>VLOOKUP($A138,'SegEnds_NonXtal_Prot#'!$A:$AL,9,FALSE)</f>
        <v>396</v>
      </c>
      <c r="U138" s="5">
        <f>VLOOKUP($A138,'SegEnds_NonXtal_Prot#'!$A:$AL,12,FALSE)</f>
        <v>435</v>
      </c>
      <c r="V138" s="5">
        <f>VLOOKUP($A138,'SegEnds_NonXtal_Prot#'!$A:$AL,15,FALSE)</f>
        <v>439</v>
      </c>
      <c r="W138" s="5">
        <f>VLOOKUP($A138,'SegEnds_NonXtal_Prot#'!$A:$AL,18,FALSE)</f>
        <v>474</v>
      </c>
      <c r="X138" s="5">
        <f>VLOOKUP($A138,'SegEnds_NonXtal_Prot#'!$A:$AL,21,FALSE)</f>
        <v>482</v>
      </c>
      <c r="Y138" s="5">
        <f>VLOOKUP($A138,'SegEnds_NonXtal_Prot#'!$A:$AL,24,FALSE)</f>
        <v>517</v>
      </c>
      <c r="Z138" s="5">
        <f>VLOOKUP($A138,'SegEnds_NonXtal_Prot#'!$A:$AL,27,FALSE)</f>
        <v>525</v>
      </c>
      <c r="AA138" s="5">
        <f>VLOOKUP($A138,'SegEnds_NonXtal_Prot#'!$A:$AL,30,FALSE)</f>
        <v>563</v>
      </c>
      <c r="AB138" s="5">
        <f>VLOOKUP($A138,'SegEnds_NonXtal_Prot#'!$A:$AL,33,FALSE)</f>
        <v>604</v>
      </c>
      <c r="AC138" s="5">
        <f>VLOOKUP($A138,'SegEnds_NonXtal_Prot#'!$A:$AL,36,FALSE)</f>
        <v>630</v>
      </c>
      <c r="AD138" s="5">
        <f>VLOOKUP($A138,'SegEnds_NonXtal_Prot#'!$A:$AL,5,FALSE)</f>
        <v>390</v>
      </c>
      <c r="AE138" s="5">
        <f>VLOOKUP($A138,'SegEnds_NonXtal_Prot#'!$A:$AL,8,FALSE)</f>
        <v>395</v>
      </c>
      <c r="AF138" s="5">
        <f>VLOOKUP($A138,'SegEnds_NonXtal_Prot#'!$A:$AL,11,FALSE)</f>
        <v>425</v>
      </c>
      <c r="AG138" s="5">
        <f>VLOOKUP($A138,'SegEnds_NonXtal_Prot#'!$A:$AL,14,FALSE)</f>
        <v>438</v>
      </c>
      <c r="AH138" s="5">
        <f>VLOOKUP($A138,'SegEnds_NonXtal_Prot#'!$A:$AL,17,FALSE)</f>
        <v>473</v>
      </c>
      <c r="AI138" s="5">
        <f>VLOOKUP($A138,'SegEnds_NonXtal_Prot#'!$A:$AL,20,FALSE)</f>
        <v>481</v>
      </c>
      <c r="AJ138" s="5">
        <f>VLOOKUP($A138,'SegEnds_NonXtal_Prot#'!$A:$AL,23,FALSE)</f>
        <v>507</v>
      </c>
      <c r="AK138" s="5">
        <f>VLOOKUP($A138,'SegEnds_NonXtal_Prot#'!$A:$AL,26,FALSE)</f>
        <v>519</v>
      </c>
      <c r="AL138" s="5">
        <f>VLOOKUP($A138,'SegEnds_NonXtal_Prot#'!$A:$AL,29,FALSE)</f>
        <v>558</v>
      </c>
      <c r="AM138" s="5">
        <f>VLOOKUP($A138,'SegEnds_NonXtal_Prot#'!$A:$AL,32,FALSE)</f>
        <v>598</v>
      </c>
      <c r="AN138" s="5">
        <f>VLOOKUP($A138,'SegEnds_NonXtal_Prot#'!$A:$AL,35,FALSE)</f>
        <v>629</v>
      </c>
      <c r="AO138" s="5">
        <f>VLOOKUP($A138,'SegEnds_NonXtal_Prot#'!$A:$AL,38,FALSE)</f>
        <v>652</v>
      </c>
      <c r="AP138" s="5">
        <f t="shared" si="63"/>
        <v>33</v>
      </c>
      <c r="AQ138" s="4">
        <f t="shared" si="64"/>
        <v>3</v>
      </c>
      <c r="AR138" s="4">
        <f t="shared" si="65"/>
        <v>29</v>
      </c>
      <c r="AS138" s="4">
        <f t="shared" si="66"/>
        <v>3</v>
      </c>
      <c r="AT138" s="4">
        <f t="shared" si="67"/>
        <v>34</v>
      </c>
      <c r="AU138" s="4">
        <f t="shared" si="68"/>
        <v>7</v>
      </c>
      <c r="AV138" s="4">
        <f t="shared" si="69"/>
        <v>25</v>
      </c>
      <c r="AW138" s="4">
        <f t="shared" si="70"/>
        <v>2</v>
      </c>
      <c r="AX138" s="4">
        <f t="shared" si="71"/>
        <v>33</v>
      </c>
      <c r="AY138" s="4">
        <f t="shared" si="72"/>
        <v>35</v>
      </c>
      <c r="AZ138" s="4">
        <f t="shared" si="73"/>
        <v>25</v>
      </c>
      <c r="BA138" s="4">
        <f t="shared" si="74"/>
        <v>22</v>
      </c>
    </row>
    <row r="139" spans="1:53" x14ac:dyDescent="0.2">
      <c r="A139" s="1" t="str">
        <f>'SegEnds_NonXtal_Prot#'!A110</f>
        <v>galr1_human</v>
      </c>
      <c r="B139" s="1" t="str">
        <f t="shared" si="50"/>
        <v>VENFVTLVVFGLIFALGVLGNSLVITVLARSSTTNLFILNLSIADLAYLLFCIPFQATVYALGAFICKFIHYFFTVSMLVSIFTLAAMSVDRYVAIVHVSRNALLGVGCIWALSIAMASPVAYHQPDPRHKKAYVVCTFVFGYLLPLLLICFCYAKVLNHLHKKLKNMSKKKTAQTVLVVVVVFGISWLPHHIIHLWAEFGTPASFLFRITAHCLAYSNSSVNPIIYAFLSENFRKAYKQVFK</v>
      </c>
      <c r="C139" s="29" t="str">
        <f>IF(ISERROR(MATCH(A139,'SegEnds_Xtal_Prot#'!B:B, 0)), "NoXtal", "Xtal")</f>
        <v>NoXtal</v>
      </c>
      <c r="D139" s="4" t="str">
        <f>VLOOKUP(A139,Classification!A:D,2,FALSE)</f>
        <v>A</v>
      </c>
      <c r="E139" s="5" t="str">
        <f>VLOOKUP(A139,Seqs!A:B,2,FALSE)</f>
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</c>
      <c r="F139" s="5" t="str">
        <f t="shared" si="51"/>
        <v>VENFVTLVVFGLIFALGVLGNSLVITVLARS</v>
      </c>
      <c r="G139" s="4" t="str">
        <f t="shared" si="52"/>
        <v/>
      </c>
      <c r="H139" s="4" t="str">
        <f t="shared" si="53"/>
        <v>STTNLFILNLSIADLAYLLFCIPFQATVYAL</v>
      </c>
      <c r="I139" s="4" t="str">
        <f t="shared" si="54"/>
        <v>TWVL</v>
      </c>
      <c r="J139" s="4" t="str">
        <f t="shared" si="55"/>
        <v>GAFICKFIHYFFTVSMLVSIFTLAAMSVDRYVAIVH</v>
      </c>
      <c r="K139" s="4" t="str">
        <f t="shared" si="56"/>
        <v>SRRSSSLR</v>
      </c>
      <c r="L139" s="4" t="str">
        <f t="shared" si="57"/>
        <v>VSRNALLGVGCIWALSIAMASPVAYHQ</v>
      </c>
      <c r="M139" s="4" t="str">
        <f t="shared" si="58"/>
        <v>CWE</v>
      </c>
      <c r="N139" s="4" t="str">
        <f t="shared" si="59"/>
        <v>PDPRHKKAYVVCTFVFGYLLPLLLICFCYAKVLNHLHKKLKNM</v>
      </c>
      <c r="O139" s="4" t="str">
        <f t="shared" si="60"/>
        <v>SKKKTAQTVLVVVVVFGISWLPHHIIHLWAEFG</v>
      </c>
      <c r="P139" s="4" t="str">
        <f t="shared" si="61"/>
        <v>TPASFLFRITAHCLAYSNSSVNPIIYAFL</v>
      </c>
      <c r="Q139" s="4" t="str">
        <f t="shared" si="62"/>
        <v>SENFRKAYKQVFK</v>
      </c>
      <c r="R139" s="5">
        <f>VLOOKUP($A139,'SegEnds_NonXtal_Prot#'!$A:$AL,3,FALSE)</f>
        <v>31</v>
      </c>
      <c r="S139" s="5" t="str">
        <f>VLOOKUP($A139,'SegEnds_NonXtal_Prot#'!$A:$AL,6,FALSE)</f>
        <v>-</v>
      </c>
      <c r="T139" s="5">
        <f>VLOOKUP($A139,'SegEnds_NonXtal_Prot#'!$A:$AL,9,FALSE)</f>
        <v>68</v>
      </c>
      <c r="U139" s="5">
        <f>VLOOKUP($A139,'SegEnds_NonXtal_Prot#'!$A:$AL,12,FALSE)</f>
        <v>100</v>
      </c>
      <c r="V139" s="5">
        <f>VLOOKUP($A139,'SegEnds_NonXtal_Prot#'!$A:$AL,15,FALSE)</f>
        <v>104</v>
      </c>
      <c r="W139" s="5">
        <f>VLOOKUP($A139,'SegEnds_NonXtal_Prot#'!$A:$AL,18,FALSE)</f>
        <v>140</v>
      </c>
      <c r="X139" s="5">
        <f>VLOOKUP($A139,'SegEnds_NonXtal_Prot#'!$A:$AL,21,FALSE)</f>
        <v>148</v>
      </c>
      <c r="Y139" s="5">
        <f>VLOOKUP($A139,'SegEnds_NonXtal_Prot#'!$A:$AL,24,FALSE)</f>
        <v>187</v>
      </c>
      <c r="Z139" s="5">
        <f>VLOOKUP($A139,'SegEnds_NonXtal_Prot#'!$A:$AL,27,FALSE)</f>
        <v>192</v>
      </c>
      <c r="AA139" s="5">
        <f>VLOOKUP($A139,'SegEnds_NonXtal_Prot#'!$A:$AL,30,FALSE)</f>
        <v>241</v>
      </c>
      <c r="AB139" s="5">
        <f>VLOOKUP($A139,'SegEnds_NonXtal_Prot#'!$A:$AL,33,FALSE)</f>
        <v>278</v>
      </c>
      <c r="AC139" s="5">
        <f>VLOOKUP($A139,'SegEnds_NonXtal_Prot#'!$A:$AL,36,FALSE)</f>
        <v>307</v>
      </c>
      <c r="AD139" s="5">
        <f>VLOOKUP($A139,'SegEnds_NonXtal_Prot#'!$A:$AL,5,FALSE)</f>
        <v>61</v>
      </c>
      <c r="AE139" s="5" t="str">
        <f>VLOOKUP($A139,'SegEnds_NonXtal_Prot#'!$A:$AL,8,FALSE)</f>
        <v>-</v>
      </c>
      <c r="AF139" s="5">
        <f>VLOOKUP($A139,'SegEnds_NonXtal_Prot#'!$A:$AL,11,FALSE)</f>
        <v>98</v>
      </c>
      <c r="AG139" s="5">
        <f>VLOOKUP($A139,'SegEnds_NonXtal_Prot#'!$A:$AL,14,FALSE)</f>
        <v>103</v>
      </c>
      <c r="AH139" s="5">
        <f>VLOOKUP($A139,'SegEnds_NonXtal_Prot#'!$A:$AL,17,FALSE)</f>
        <v>139</v>
      </c>
      <c r="AI139" s="5">
        <f>VLOOKUP($A139,'SegEnds_NonXtal_Prot#'!$A:$AL,20,FALSE)</f>
        <v>147</v>
      </c>
      <c r="AJ139" s="5">
        <f>VLOOKUP($A139,'SegEnds_NonXtal_Prot#'!$A:$AL,23,FALSE)</f>
        <v>174</v>
      </c>
      <c r="AK139" s="5">
        <f>VLOOKUP($A139,'SegEnds_NonXtal_Prot#'!$A:$AL,26,FALSE)</f>
        <v>189</v>
      </c>
      <c r="AL139" s="5">
        <f>VLOOKUP($A139,'SegEnds_NonXtal_Prot#'!$A:$AL,29,FALSE)</f>
        <v>234</v>
      </c>
      <c r="AM139" s="5">
        <f>VLOOKUP($A139,'SegEnds_NonXtal_Prot#'!$A:$AL,32,FALSE)</f>
        <v>273</v>
      </c>
      <c r="AN139" s="5">
        <f>VLOOKUP($A139,'SegEnds_NonXtal_Prot#'!$A:$AL,35,FALSE)</f>
        <v>306</v>
      </c>
      <c r="AO139" s="5">
        <f>VLOOKUP($A139,'SegEnds_NonXtal_Prot#'!$A:$AL,38,FALSE)</f>
        <v>319</v>
      </c>
      <c r="AP139" s="5">
        <f t="shared" si="63"/>
        <v>30</v>
      </c>
      <c r="AQ139" s="4" t="str">
        <f t="shared" si="64"/>
        <v>-</v>
      </c>
      <c r="AR139" s="4">
        <f t="shared" si="65"/>
        <v>30</v>
      </c>
      <c r="AS139" s="4">
        <f t="shared" si="66"/>
        <v>3</v>
      </c>
      <c r="AT139" s="4">
        <f t="shared" si="67"/>
        <v>35</v>
      </c>
      <c r="AU139" s="4">
        <f t="shared" si="68"/>
        <v>7</v>
      </c>
      <c r="AV139" s="4">
        <f t="shared" si="69"/>
        <v>26</v>
      </c>
      <c r="AW139" s="4">
        <f t="shared" si="70"/>
        <v>2</v>
      </c>
      <c r="AX139" s="4">
        <f t="shared" si="71"/>
        <v>42</v>
      </c>
      <c r="AY139" s="4">
        <f t="shared" si="72"/>
        <v>32</v>
      </c>
      <c r="AZ139" s="4">
        <f t="shared" si="73"/>
        <v>28</v>
      </c>
      <c r="BA139" s="4">
        <f t="shared" si="74"/>
        <v>12</v>
      </c>
    </row>
    <row r="140" spans="1:53" x14ac:dyDescent="0.2">
      <c r="A140" s="1" t="str">
        <f>'SegEnds_NonXtal_Prot#'!A111</f>
        <v>galr2_human</v>
      </c>
      <c r="B140" s="1" t="str">
        <f t="shared" si="50"/>
        <v>PEAVIVPLLFALIFLVGTVGNTLVLAVLLRGSTTNLFILNLGVADLCFILCCVPFQATIYTLGSLLCKAVHFLIFLTMHASSFTLAAVSLDRYLAIRYTPRNALAAIGLIWGLSLLFSGPYLSYYWSAPRRRAMDICTFVFSYLLPVLVLGLTYARTLRYLWRAVDPVGSGARRAKRKVTRMILIVAALFCLCWMPHHALILCVWFGTRATYALRILSHLVSYANSCVNPIVYALVSKHFRKGFRTICA</v>
      </c>
      <c r="C140" s="29" t="str">
        <f>IF(ISERROR(MATCH(A140,'SegEnds_Xtal_Prot#'!B:B, 0)), "NoXtal", "Xtal")</f>
        <v>NoXtal</v>
      </c>
      <c r="D140" s="4" t="str">
        <f>VLOOKUP(A140,Classification!A:D,2,FALSE)</f>
        <v>A</v>
      </c>
      <c r="E140" s="5" t="str">
        <f>VLOOKUP(A140,Seqs!A:B,2,FALSE)</f>
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</c>
      <c r="F140" s="5" t="str">
        <f t="shared" si="51"/>
        <v>PEAVIVPLLFALIFLVGTVGNTLVLAVLLRG</v>
      </c>
      <c r="G140" s="4" t="str">
        <f t="shared" si="52"/>
        <v>GQAV</v>
      </c>
      <c r="H140" s="4" t="str">
        <f t="shared" si="53"/>
        <v>STTNLFILNLGVADLCFILCCVPFQATIYTL</v>
      </c>
      <c r="I140" s="4" t="str">
        <f t="shared" si="54"/>
        <v>GWVF</v>
      </c>
      <c r="J140" s="4" t="str">
        <f t="shared" si="55"/>
        <v>GSLLCKAVHFLIFLTMHASSFTLAAVSLDRYLAIRY</v>
      </c>
      <c r="K140" s="4" t="str">
        <f t="shared" si="56"/>
        <v>PLHSRELR</v>
      </c>
      <c r="L140" s="4" t="str">
        <f t="shared" si="57"/>
        <v>TPRNALAAIGLIWGLSLLFSGPYLSYY</v>
      </c>
      <c r="M140" s="4" t="str">
        <f t="shared" si="58"/>
        <v>CHP</v>
      </c>
      <c r="N140" s="4" t="str">
        <f t="shared" si="59"/>
        <v>WSAPRRRAMDICTFVFSYLLPVLVLGLTYARTLRYLWRAVDPV</v>
      </c>
      <c r="O140" s="4" t="str">
        <f t="shared" si="60"/>
        <v>GSGARRAKRKVTRMILIVAALFCLCWMPHHALILCVWFG</v>
      </c>
      <c r="P140" s="4" t="str">
        <f t="shared" si="61"/>
        <v>TRATYALRILSHLVSYANSCVNPIVYALV</v>
      </c>
      <c r="Q140" s="4" t="str">
        <f t="shared" si="62"/>
        <v>SKHFRKGFRTICA</v>
      </c>
      <c r="R140" s="5">
        <f>VLOOKUP($A140,'SegEnds_NonXtal_Prot#'!$A:$AL,3,FALSE)</f>
        <v>23</v>
      </c>
      <c r="S140" s="5">
        <f>VLOOKUP($A140,'SegEnds_NonXtal_Prot#'!$A:$AL,6,FALSE)</f>
        <v>54</v>
      </c>
      <c r="T140" s="5">
        <f>VLOOKUP($A140,'SegEnds_NonXtal_Prot#'!$A:$AL,9,FALSE)</f>
        <v>58</v>
      </c>
      <c r="U140" s="5">
        <f>VLOOKUP($A140,'SegEnds_NonXtal_Prot#'!$A:$AL,12,FALSE)</f>
        <v>90</v>
      </c>
      <c r="V140" s="5">
        <f>VLOOKUP($A140,'SegEnds_NonXtal_Prot#'!$A:$AL,15,FALSE)</f>
        <v>94</v>
      </c>
      <c r="W140" s="5">
        <f>VLOOKUP($A140,'SegEnds_NonXtal_Prot#'!$A:$AL,18,FALSE)</f>
        <v>130</v>
      </c>
      <c r="X140" s="5">
        <f>VLOOKUP($A140,'SegEnds_NonXtal_Prot#'!$A:$AL,21,FALSE)</f>
        <v>138</v>
      </c>
      <c r="Y140" s="5">
        <f>VLOOKUP($A140,'SegEnds_NonXtal_Prot#'!$A:$AL,24,FALSE)</f>
        <v>175</v>
      </c>
      <c r="Z140" s="5">
        <f>VLOOKUP($A140,'SegEnds_NonXtal_Prot#'!$A:$AL,27,FALSE)</f>
        <v>179</v>
      </c>
      <c r="AA140" s="5">
        <f>VLOOKUP($A140,'SegEnds_NonXtal_Prot#'!$A:$AL,30,FALSE)</f>
        <v>224</v>
      </c>
      <c r="AB140" s="5">
        <f>VLOOKUP($A140,'SegEnds_NonXtal_Prot#'!$A:$AL,33,FALSE)</f>
        <v>267</v>
      </c>
      <c r="AC140" s="5">
        <f>VLOOKUP($A140,'SegEnds_NonXtal_Prot#'!$A:$AL,36,FALSE)</f>
        <v>296</v>
      </c>
      <c r="AD140" s="5">
        <f>VLOOKUP($A140,'SegEnds_NonXtal_Prot#'!$A:$AL,5,FALSE)</f>
        <v>53</v>
      </c>
      <c r="AE140" s="5">
        <f>VLOOKUP($A140,'SegEnds_NonXtal_Prot#'!$A:$AL,8,FALSE)</f>
        <v>57</v>
      </c>
      <c r="AF140" s="5">
        <f>VLOOKUP($A140,'SegEnds_NonXtal_Prot#'!$A:$AL,11,FALSE)</f>
        <v>88</v>
      </c>
      <c r="AG140" s="5">
        <f>VLOOKUP($A140,'SegEnds_NonXtal_Prot#'!$A:$AL,14,FALSE)</f>
        <v>93</v>
      </c>
      <c r="AH140" s="5">
        <f>VLOOKUP($A140,'SegEnds_NonXtal_Prot#'!$A:$AL,17,FALSE)</f>
        <v>129</v>
      </c>
      <c r="AI140" s="5">
        <f>VLOOKUP($A140,'SegEnds_NonXtal_Prot#'!$A:$AL,20,FALSE)</f>
        <v>137</v>
      </c>
      <c r="AJ140" s="5">
        <f>VLOOKUP($A140,'SegEnds_NonXtal_Prot#'!$A:$AL,23,FALSE)</f>
        <v>164</v>
      </c>
      <c r="AK140" s="5">
        <f>VLOOKUP($A140,'SegEnds_NonXtal_Prot#'!$A:$AL,26,FALSE)</f>
        <v>177</v>
      </c>
      <c r="AL140" s="5">
        <f>VLOOKUP($A140,'SegEnds_NonXtal_Prot#'!$A:$AL,29,FALSE)</f>
        <v>221</v>
      </c>
      <c r="AM140" s="5">
        <f>VLOOKUP($A140,'SegEnds_NonXtal_Prot#'!$A:$AL,32,FALSE)</f>
        <v>262</v>
      </c>
      <c r="AN140" s="5">
        <f>VLOOKUP($A140,'SegEnds_NonXtal_Prot#'!$A:$AL,35,FALSE)</f>
        <v>295</v>
      </c>
      <c r="AO140" s="5">
        <f>VLOOKUP($A140,'SegEnds_NonXtal_Prot#'!$A:$AL,38,FALSE)</f>
        <v>308</v>
      </c>
      <c r="AP140" s="5">
        <f t="shared" si="63"/>
        <v>30</v>
      </c>
      <c r="AQ140" s="4">
        <f t="shared" si="64"/>
        <v>3</v>
      </c>
      <c r="AR140" s="4">
        <f t="shared" si="65"/>
        <v>30</v>
      </c>
      <c r="AS140" s="4">
        <f t="shared" si="66"/>
        <v>3</v>
      </c>
      <c r="AT140" s="4">
        <f t="shared" si="67"/>
        <v>35</v>
      </c>
      <c r="AU140" s="4">
        <f t="shared" si="68"/>
        <v>7</v>
      </c>
      <c r="AV140" s="4">
        <f t="shared" si="69"/>
        <v>26</v>
      </c>
      <c r="AW140" s="4">
        <f t="shared" si="70"/>
        <v>2</v>
      </c>
      <c r="AX140" s="4">
        <f t="shared" si="71"/>
        <v>42</v>
      </c>
      <c r="AY140" s="4">
        <f t="shared" si="72"/>
        <v>38</v>
      </c>
      <c r="AZ140" s="4">
        <f t="shared" si="73"/>
        <v>28</v>
      </c>
      <c r="BA140" s="4">
        <f t="shared" si="74"/>
        <v>12</v>
      </c>
    </row>
    <row r="141" spans="1:53" x14ac:dyDescent="0.2">
      <c r="A141" s="1" t="str">
        <f>'SegEnds_NonXtal_Prot#'!A112</f>
        <v>galr3_human</v>
      </c>
      <c r="B141" s="1" t="str">
        <f t="shared" si="50"/>
        <v>VGAVAVPVVFALIFLLGTVGNGLVLAVLLQPQEPGSTTDLFILNLAVADLCFILCCVPFQATIYTLGALVCKAVHLLIYLTMYASSFTLAAVSVDRYLAVRHTPRNARAAVGLVWLLAALFSAPYLSYYWEDARRRALDVATFAAGYLLPVAVVSLAYGRTLRFLWAAVGPAEARRRATGRAGRAMLAVAALYALCWGPHHALILCFWYGSPATYACRLASHCLAYANSCLNPLVYALASRHFRARFRRLWP</v>
      </c>
      <c r="C141" s="29" t="str">
        <f>IF(ISERROR(MATCH(A141,'SegEnds_Xtal_Prot#'!B:B, 0)), "NoXtal", "Xtal")</f>
        <v>NoXtal</v>
      </c>
      <c r="D141" s="4" t="str">
        <f>VLOOKUP(A141,Classification!A:D,2,FALSE)</f>
        <v>A</v>
      </c>
      <c r="E141" s="5" t="str">
        <f>VLOOKUP(A141,Seqs!A:B,2,FALSE)</f>
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</c>
      <c r="F141" s="5" t="str">
        <f t="shared" si="51"/>
        <v>VGAVAVPVVFALIFLLGTVGNGLVLAVLLQP</v>
      </c>
      <c r="G141" s="4" t="str">
        <f t="shared" si="52"/>
        <v>PSAW</v>
      </c>
      <c r="H141" s="4" t="str">
        <f t="shared" si="53"/>
        <v>QEPGSTTDLFILNLAVADLCFILCCVPFQATIYTL</v>
      </c>
      <c r="I141" s="4" t="str">
        <f t="shared" si="54"/>
        <v>AWLF</v>
      </c>
      <c r="J141" s="4" t="str">
        <f t="shared" si="55"/>
        <v>GALVCKAVHLLIYLTMYASSFTLAAVSVDRYLAVRH</v>
      </c>
      <c r="K141" s="4" t="str">
        <f t="shared" si="56"/>
        <v>PLRSRALR</v>
      </c>
      <c r="L141" s="4" t="str">
        <f t="shared" si="57"/>
        <v>TPRNARAAVGLVWLLAALFSAPYLSYY</v>
      </c>
      <c r="M141" s="4" t="str">
        <f t="shared" si="58"/>
        <v>CVP</v>
      </c>
      <c r="N141" s="4" t="str">
        <f t="shared" si="59"/>
        <v>WEDARRRALDVATFAAGYLLPVAVVSLAYGRTLRFLWAAVGPA</v>
      </c>
      <c r="O141" s="4" t="str">
        <f t="shared" si="60"/>
        <v>EARRRATGRAGRAMLAVAALYALCWGPHHALILCFWYG</v>
      </c>
      <c r="P141" s="4" t="str">
        <f t="shared" si="61"/>
        <v>SPATYACRLASHCLAYANSCLNPLVYALA</v>
      </c>
      <c r="Q141" s="4" t="str">
        <f t="shared" si="62"/>
        <v>SRHFRARFRRLWP</v>
      </c>
      <c r="R141" s="5">
        <f>VLOOKUP($A141,'SegEnds_NonXtal_Prot#'!$A:$AL,3,FALSE)</f>
        <v>15</v>
      </c>
      <c r="S141" s="5">
        <f>VLOOKUP($A141,'SegEnds_NonXtal_Prot#'!$A:$AL,6,FALSE)</f>
        <v>47</v>
      </c>
      <c r="T141" s="5">
        <f>VLOOKUP($A141,'SegEnds_NonXtal_Prot#'!$A:$AL,9,FALSE)</f>
        <v>51</v>
      </c>
      <c r="U141" s="5">
        <f>VLOOKUP($A141,'SegEnds_NonXtal_Prot#'!$A:$AL,12,FALSE)</f>
        <v>87</v>
      </c>
      <c r="V141" s="5">
        <f>VLOOKUP($A141,'SegEnds_NonXtal_Prot#'!$A:$AL,15,FALSE)</f>
        <v>91</v>
      </c>
      <c r="W141" s="5">
        <f>VLOOKUP($A141,'SegEnds_NonXtal_Prot#'!$A:$AL,18,FALSE)</f>
        <v>127</v>
      </c>
      <c r="X141" s="5">
        <f>VLOOKUP($A141,'SegEnds_NonXtal_Prot#'!$A:$AL,21,FALSE)</f>
        <v>135</v>
      </c>
      <c r="Y141" s="5">
        <f>VLOOKUP($A141,'SegEnds_NonXtal_Prot#'!$A:$AL,24,FALSE)</f>
        <v>172</v>
      </c>
      <c r="Z141" s="5">
        <f>VLOOKUP($A141,'SegEnds_NonXtal_Prot#'!$A:$AL,27,FALSE)</f>
        <v>176</v>
      </c>
      <c r="AA141" s="5">
        <f>VLOOKUP($A141,'SegEnds_NonXtal_Prot#'!$A:$AL,30,FALSE)</f>
        <v>224</v>
      </c>
      <c r="AB141" s="5">
        <f>VLOOKUP($A141,'SegEnds_NonXtal_Prot#'!$A:$AL,33,FALSE)</f>
        <v>266</v>
      </c>
      <c r="AC141" s="5">
        <f>VLOOKUP($A141,'SegEnds_NonXtal_Prot#'!$A:$AL,36,FALSE)</f>
        <v>295</v>
      </c>
      <c r="AD141" s="5">
        <f>VLOOKUP($A141,'SegEnds_NonXtal_Prot#'!$A:$AL,5,FALSE)</f>
        <v>45</v>
      </c>
      <c r="AE141" s="5">
        <f>VLOOKUP($A141,'SegEnds_NonXtal_Prot#'!$A:$AL,8,FALSE)</f>
        <v>50</v>
      </c>
      <c r="AF141" s="5">
        <f>VLOOKUP($A141,'SegEnds_NonXtal_Prot#'!$A:$AL,11,FALSE)</f>
        <v>85</v>
      </c>
      <c r="AG141" s="5">
        <f>VLOOKUP($A141,'SegEnds_NonXtal_Prot#'!$A:$AL,14,FALSE)</f>
        <v>90</v>
      </c>
      <c r="AH141" s="5">
        <f>VLOOKUP($A141,'SegEnds_NonXtal_Prot#'!$A:$AL,17,FALSE)</f>
        <v>126</v>
      </c>
      <c r="AI141" s="5">
        <f>VLOOKUP($A141,'SegEnds_NonXtal_Prot#'!$A:$AL,20,FALSE)</f>
        <v>134</v>
      </c>
      <c r="AJ141" s="5">
        <f>VLOOKUP($A141,'SegEnds_NonXtal_Prot#'!$A:$AL,23,FALSE)</f>
        <v>161</v>
      </c>
      <c r="AK141" s="5">
        <f>VLOOKUP($A141,'SegEnds_NonXtal_Prot#'!$A:$AL,26,FALSE)</f>
        <v>174</v>
      </c>
      <c r="AL141" s="5">
        <f>VLOOKUP($A141,'SegEnds_NonXtal_Prot#'!$A:$AL,29,FALSE)</f>
        <v>218</v>
      </c>
      <c r="AM141" s="5">
        <f>VLOOKUP($A141,'SegEnds_NonXtal_Prot#'!$A:$AL,32,FALSE)</f>
        <v>261</v>
      </c>
      <c r="AN141" s="5">
        <f>VLOOKUP($A141,'SegEnds_NonXtal_Prot#'!$A:$AL,35,FALSE)</f>
        <v>294</v>
      </c>
      <c r="AO141" s="5">
        <f>VLOOKUP($A141,'SegEnds_NonXtal_Prot#'!$A:$AL,38,FALSE)</f>
        <v>307</v>
      </c>
      <c r="AP141" s="5">
        <f t="shared" si="63"/>
        <v>30</v>
      </c>
      <c r="AQ141" s="4">
        <f t="shared" si="64"/>
        <v>3</v>
      </c>
      <c r="AR141" s="4">
        <f t="shared" si="65"/>
        <v>34</v>
      </c>
      <c r="AS141" s="4">
        <f t="shared" si="66"/>
        <v>3</v>
      </c>
      <c r="AT141" s="4">
        <f t="shared" si="67"/>
        <v>35</v>
      </c>
      <c r="AU141" s="4">
        <f t="shared" si="68"/>
        <v>7</v>
      </c>
      <c r="AV141" s="4">
        <f t="shared" si="69"/>
        <v>26</v>
      </c>
      <c r="AW141" s="4">
        <f t="shared" si="70"/>
        <v>2</v>
      </c>
      <c r="AX141" s="4">
        <f t="shared" si="71"/>
        <v>42</v>
      </c>
      <c r="AY141" s="4">
        <f t="shared" si="72"/>
        <v>37</v>
      </c>
      <c r="AZ141" s="4">
        <f t="shared" si="73"/>
        <v>28</v>
      </c>
      <c r="BA141" s="4">
        <f t="shared" si="74"/>
        <v>12</v>
      </c>
    </row>
    <row r="142" spans="1:53" x14ac:dyDescent="0.2">
      <c r="A142" s="1" t="str">
        <f>'SegEnds_NonXtal_Prot#'!A114</f>
        <v>ghsr_human</v>
      </c>
      <c r="B142" s="1" t="str">
        <f t="shared" si="50"/>
        <v>PAPLLAGVTATCVALFVVGIAGNLLTMLVVSRFTTTNLYLSSMAFSDLLIFLCMPLDLVRLWQYGDLLCKLFQFVSESCTYATVLTITALSVERYFAICFTKGRVKLVIFVIWAVAFCSAGPIFVLVVRSGLLTVMVWVSSIFFFLPVFCLTVLYSLIGRKLWRRRRGDSLRDQNHKQTVKMLAVVVFAFILCWLPFHVGRYLFSKSAQISQYCNLVSFVLFYLSAAINPILYNIMSKKYRVAVFRLLGFEP</v>
      </c>
      <c r="C142" s="29" t="str">
        <f>IF(ISERROR(MATCH(A142,'SegEnds_Xtal_Prot#'!B:B, 0)), "NoXtal", "Xtal")</f>
        <v>NoXtal</v>
      </c>
      <c r="D142" s="4" t="str">
        <f>VLOOKUP(A142,Classification!A:D,2,FALSE)</f>
        <v>A</v>
      </c>
      <c r="E142" s="5" t="str">
        <f>VLOOKUP(A142,Seqs!A:B,2,FALSE)</f>
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</c>
      <c r="F142" s="5" t="str">
        <f t="shared" si="51"/>
        <v>PAPLLAGVTATCVALFVVGIAGNLLTMLVVSRF</v>
      </c>
      <c r="G142" s="4" t="str">
        <f t="shared" si="52"/>
        <v>RELR</v>
      </c>
      <c r="H142" s="4" t="str">
        <f t="shared" si="53"/>
        <v>TTTNLYLSSMAFSDLLIFLCMPLDLVRLWQY</v>
      </c>
      <c r="I142" s="4" t="str">
        <f t="shared" si="54"/>
        <v>PWNF</v>
      </c>
      <c r="J142" s="4" t="str">
        <f t="shared" si="55"/>
        <v>GDLLCKLFQFVSESCTYATVLTITALSVERYFAICF</v>
      </c>
      <c r="K142" s="4" t="str">
        <f t="shared" si="56"/>
        <v>PLRAKVVV</v>
      </c>
      <c r="L142" s="4" t="str">
        <f t="shared" si="57"/>
        <v>TKGRVKLVIFVIWAVAFCSAGPIFVLV</v>
      </c>
      <c r="M142" s="4" t="str">
        <f t="shared" si="58"/>
        <v>CRP</v>
      </c>
      <c r="N142" s="4" t="str">
        <f t="shared" si="59"/>
        <v>VRSGLLTVMVWVSSIFFFLPVFCLTVLYSLIGRKLWRRRRGD</v>
      </c>
      <c r="O142" s="4" t="str">
        <f t="shared" si="60"/>
        <v>SLRDQNHKQTVKMLAVVVFAFILCWLPFHVGRYLFSKS</v>
      </c>
      <c r="P142" s="4" t="str">
        <f t="shared" si="61"/>
        <v>AQISQYCNLVSFVLFYLSAAINPILYNIM</v>
      </c>
      <c r="Q142" s="4" t="str">
        <f t="shared" si="62"/>
        <v>SKKYRVAVFRLLGFEP</v>
      </c>
      <c r="R142" s="5">
        <f>VLOOKUP($A142,'SegEnds_NonXtal_Prot#'!$A:$AL,3,FALSE)</f>
        <v>39</v>
      </c>
      <c r="S142" s="5">
        <f>VLOOKUP($A142,'SegEnds_NonXtal_Prot#'!$A:$AL,6,FALSE)</f>
        <v>72</v>
      </c>
      <c r="T142" s="5">
        <f>VLOOKUP($A142,'SegEnds_NonXtal_Prot#'!$A:$AL,9,FALSE)</f>
        <v>76</v>
      </c>
      <c r="U142" s="5">
        <f>VLOOKUP($A142,'SegEnds_NonXtal_Prot#'!$A:$AL,12,FALSE)</f>
        <v>108</v>
      </c>
      <c r="V142" s="5">
        <f>VLOOKUP($A142,'SegEnds_NonXtal_Prot#'!$A:$AL,15,FALSE)</f>
        <v>112</v>
      </c>
      <c r="W142" s="5">
        <f>VLOOKUP($A142,'SegEnds_NonXtal_Prot#'!$A:$AL,18,FALSE)</f>
        <v>148</v>
      </c>
      <c r="X142" s="5">
        <f>VLOOKUP($A142,'SegEnds_NonXtal_Prot#'!$A:$AL,21,FALSE)</f>
        <v>156</v>
      </c>
      <c r="Y142" s="5">
        <f>VLOOKUP($A142,'SegEnds_NonXtal_Prot#'!$A:$AL,24,FALSE)</f>
        <v>198</v>
      </c>
      <c r="Z142" s="5">
        <f>VLOOKUP($A142,'SegEnds_NonXtal_Prot#'!$A:$AL,27,FALSE)</f>
        <v>205</v>
      </c>
      <c r="AA142" s="5">
        <f>VLOOKUP($A142,'SegEnds_NonXtal_Prot#'!$A:$AL,30,FALSE)</f>
        <v>252</v>
      </c>
      <c r="AB142" s="5">
        <f>VLOOKUP($A142,'SegEnds_NonXtal_Prot#'!$A:$AL,33,FALSE)</f>
        <v>298</v>
      </c>
      <c r="AC142" s="5">
        <f>VLOOKUP($A142,'SegEnds_NonXtal_Prot#'!$A:$AL,36,FALSE)</f>
        <v>327</v>
      </c>
      <c r="AD142" s="5">
        <f>VLOOKUP($A142,'SegEnds_NonXtal_Prot#'!$A:$AL,5,FALSE)</f>
        <v>71</v>
      </c>
      <c r="AE142" s="5">
        <f>VLOOKUP($A142,'SegEnds_NonXtal_Prot#'!$A:$AL,8,FALSE)</f>
        <v>75</v>
      </c>
      <c r="AF142" s="5">
        <f>VLOOKUP($A142,'SegEnds_NonXtal_Prot#'!$A:$AL,11,FALSE)</f>
        <v>106</v>
      </c>
      <c r="AG142" s="5">
        <f>VLOOKUP($A142,'SegEnds_NonXtal_Prot#'!$A:$AL,14,FALSE)</f>
        <v>111</v>
      </c>
      <c r="AH142" s="5">
        <f>VLOOKUP($A142,'SegEnds_NonXtal_Prot#'!$A:$AL,17,FALSE)</f>
        <v>147</v>
      </c>
      <c r="AI142" s="5">
        <f>VLOOKUP($A142,'SegEnds_NonXtal_Prot#'!$A:$AL,20,FALSE)</f>
        <v>155</v>
      </c>
      <c r="AJ142" s="5">
        <f>VLOOKUP($A142,'SegEnds_NonXtal_Prot#'!$A:$AL,23,FALSE)</f>
        <v>182</v>
      </c>
      <c r="AK142" s="5">
        <f>VLOOKUP($A142,'SegEnds_NonXtal_Prot#'!$A:$AL,26,FALSE)</f>
        <v>200</v>
      </c>
      <c r="AL142" s="5">
        <f>VLOOKUP($A142,'SegEnds_NonXtal_Prot#'!$A:$AL,29,FALSE)</f>
        <v>246</v>
      </c>
      <c r="AM142" s="5">
        <f>VLOOKUP($A142,'SegEnds_NonXtal_Prot#'!$A:$AL,32,FALSE)</f>
        <v>289</v>
      </c>
      <c r="AN142" s="5">
        <f>VLOOKUP($A142,'SegEnds_NonXtal_Prot#'!$A:$AL,35,FALSE)</f>
        <v>326</v>
      </c>
      <c r="AO142" s="5">
        <f>VLOOKUP($A142,'SegEnds_NonXtal_Prot#'!$A:$AL,38,FALSE)</f>
        <v>342</v>
      </c>
      <c r="AP142" s="5">
        <f t="shared" si="63"/>
        <v>32</v>
      </c>
      <c r="AQ142" s="4">
        <f t="shared" si="64"/>
        <v>3</v>
      </c>
      <c r="AR142" s="4">
        <f t="shared" si="65"/>
        <v>30</v>
      </c>
      <c r="AS142" s="4">
        <f t="shared" si="66"/>
        <v>3</v>
      </c>
      <c r="AT142" s="4">
        <f t="shared" si="67"/>
        <v>35</v>
      </c>
      <c r="AU142" s="4">
        <f t="shared" si="68"/>
        <v>7</v>
      </c>
      <c r="AV142" s="4">
        <f t="shared" si="69"/>
        <v>26</v>
      </c>
      <c r="AW142" s="4">
        <f t="shared" si="70"/>
        <v>2</v>
      </c>
      <c r="AX142" s="4">
        <f t="shared" si="71"/>
        <v>41</v>
      </c>
      <c r="AY142" s="4">
        <f t="shared" si="72"/>
        <v>37</v>
      </c>
      <c r="AZ142" s="4">
        <f t="shared" si="73"/>
        <v>28</v>
      </c>
      <c r="BA142" s="4">
        <f t="shared" si="74"/>
        <v>15</v>
      </c>
    </row>
    <row r="143" spans="1:53" x14ac:dyDescent="0.2">
      <c r="A143" s="1" t="str">
        <f>'SegEnds_NonXtal_Prot#'!A115</f>
        <v>gp101_human</v>
      </c>
      <c r="B143" s="1" t="str">
        <f t="shared" si="50"/>
        <v>KMPISLAHGIIRSTVLVIFLAASFVGNIVLALVLQRKQVTNRFIFNLLVTDLLQISLVAPWVVATSVNSHFCTALVSLTHLFAFASVNTIVVVSVDRYLSIIHTQRRGYLLLYGTWIVAILQSTPPLYGWSPSYTILSVVSFIVIPLIVMIACYSVVFCAARRQHALLYNVPLPRCYQCKAAKVIFIIIFSYVLSLGPYCFLAVLAVWVPQWVITIIIWLFFLQCCIHPYVYGYMHKTIKKEIQDMLK</v>
      </c>
      <c r="C143" s="29" t="str">
        <f>IF(ISERROR(MATCH(A143,'SegEnds_Xtal_Prot#'!B:B, 0)), "NoXtal", "Xtal")</f>
        <v>NoXtal</v>
      </c>
      <c r="D143" s="4" t="str">
        <f>VLOOKUP(A143,Classification!A:D,2,FALSE)</f>
        <v>A</v>
      </c>
      <c r="E143" s="5" t="str">
        <f>VLOOKUP(A143,Seqs!A:B,2,FALSE)</f>
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</c>
      <c r="F143" s="5" t="str">
        <f t="shared" si="51"/>
        <v>KMPISLAHGIIRSTVLVIFLAASFVGNIVLALVLQRK</v>
      </c>
      <c r="G143" s="4" t="str">
        <f t="shared" si="52"/>
        <v>PQLL</v>
      </c>
      <c r="H143" s="4" t="str">
        <f t="shared" si="53"/>
        <v>QVTNRFIFNLLVTDLLQISLVAPWVVATSV</v>
      </c>
      <c r="I143" s="4" t="str">
        <f t="shared" si="54"/>
        <v>FWPL</v>
      </c>
      <c r="J143" s="4" t="str">
        <f t="shared" si="55"/>
        <v>NSHFCTALVSLTHLFAFASVNTIVVVSVDRYLSIIH</v>
      </c>
      <c r="K143" s="4" t="str">
        <f t="shared" si="56"/>
        <v>PLSYPSKM</v>
      </c>
      <c r="L143" s="4" t="str">
        <f t="shared" si="57"/>
        <v>TQRRGYLLLYGTWIVAILQSTPPLYGW</v>
      </c>
      <c r="M143" s="4" t="str">
        <f t="shared" si="58"/>
        <v>CSM</v>
      </c>
      <c r="N143" s="4" t="str">
        <f t="shared" si="59"/>
        <v>SPSYTILSVVSFIVIPLIVMIACYSVVFCAARRQHALLYNV</v>
      </c>
      <c r="O143" s="4" t="str">
        <f t="shared" si="60"/>
        <v>PLPRCYQCKAAKVIFIIIFSYVLSLGPYCFLAVLAVWV</v>
      </c>
      <c r="P143" s="4" t="str">
        <f t="shared" si="61"/>
        <v>PQWVITIIIWLFFLQCCIHPYVYGYM</v>
      </c>
      <c r="Q143" s="4" t="str">
        <f t="shared" si="62"/>
        <v>HKTIKKEIQDMLK</v>
      </c>
      <c r="R143" s="5">
        <f>VLOOKUP($A143,'SegEnds_NonXtal_Prot#'!$A:$AL,3,FALSE)</f>
        <v>23</v>
      </c>
      <c r="S143" s="5">
        <f>VLOOKUP($A143,'SegEnds_NonXtal_Prot#'!$A:$AL,6,FALSE)</f>
        <v>60</v>
      </c>
      <c r="T143" s="5">
        <f>VLOOKUP($A143,'SegEnds_NonXtal_Prot#'!$A:$AL,9,FALSE)</f>
        <v>64</v>
      </c>
      <c r="U143" s="5">
        <f>VLOOKUP($A143,'SegEnds_NonXtal_Prot#'!$A:$AL,12,FALSE)</f>
        <v>96</v>
      </c>
      <c r="V143" s="5">
        <f>VLOOKUP($A143,'SegEnds_NonXtal_Prot#'!$A:$AL,15,FALSE)</f>
        <v>100</v>
      </c>
      <c r="W143" s="5">
        <f>VLOOKUP($A143,'SegEnds_NonXtal_Prot#'!$A:$AL,18,FALSE)</f>
        <v>136</v>
      </c>
      <c r="X143" s="5">
        <f>VLOOKUP($A143,'SegEnds_NonXtal_Prot#'!$A:$AL,21,FALSE)</f>
        <v>144</v>
      </c>
      <c r="Y143" s="5">
        <f>VLOOKUP($A143,'SegEnds_NonXtal_Prot#'!$A:$AL,24,FALSE)</f>
        <v>182</v>
      </c>
      <c r="Z143" s="5">
        <f>VLOOKUP($A143,'SegEnds_NonXtal_Prot#'!$A:$AL,27,FALSE)</f>
        <v>189</v>
      </c>
      <c r="AA143" s="5">
        <f>VLOOKUP($A143,'SegEnds_NonXtal_Prot#'!$A:$AL,30,FALSE)</f>
        <v>388</v>
      </c>
      <c r="AB143" s="5">
        <f>VLOOKUP($A143,'SegEnds_NonXtal_Prot#'!$A:$AL,33,FALSE)</f>
        <v>432</v>
      </c>
      <c r="AC143" s="5">
        <f>VLOOKUP($A143,'SegEnds_NonXtal_Prot#'!$A:$AL,36,FALSE)</f>
        <v>458</v>
      </c>
      <c r="AD143" s="5">
        <f>VLOOKUP($A143,'SegEnds_NonXtal_Prot#'!$A:$AL,5,FALSE)</f>
        <v>59</v>
      </c>
      <c r="AE143" s="5">
        <f>VLOOKUP($A143,'SegEnds_NonXtal_Prot#'!$A:$AL,8,FALSE)</f>
        <v>63</v>
      </c>
      <c r="AF143" s="5">
        <f>VLOOKUP($A143,'SegEnds_NonXtal_Prot#'!$A:$AL,11,FALSE)</f>
        <v>93</v>
      </c>
      <c r="AG143" s="5">
        <f>VLOOKUP($A143,'SegEnds_NonXtal_Prot#'!$A:$AL,14,FALSE)</f>
        <v>99</v>
      </c>
      <c r="AH143" s="5">
        <f>VLOOKUP($A143,'SegEnds_NonXtal_Prot#'!$A:$AL,17,FALSE)</f>
        <v>135</v>
      </c>
      <c r="AI143" s="5">
        <f>VLOOKUP($A143,'SegEnds_NonXtal_Prot#'!$A:$AL,20,FALSE)</f>
        <v>143</v>
      </c>
      <c r="AJ143" s="5">
        <f>VLOOKUP($A143,'SegEnds_NonXtal_Prot#'!$A:$AL,23,FALSE)</f>
        <v>170</v>
      </c>
      <c r="AK143" s="5">
        <f>VLOOKUP($A143,'SegEnds_NonXtal_Prot#'!$A:$AL,26,FALSE)</f>
        <v>184</v>
      </c>
      <c r="AL143" s="5">
        <f>VLOOKUP($A143,'SegEnds_NonXtal_Prot#'!$A:$AL,29,FALSE)</f>
        <v>229</v>
      </c>
      <c r="AM143" s="5">
        <f>VLOOKUP($A143,'SegEnds_NonXtal_Prot#'!$A:$AL,32,FALSE)</f>
        <v>425</v>
      </c>
      <c r="AN143" s="5">
        <f>VLOOKUP($A143,'SegEnds_NonXtal_Prot#'!$A:$AL,35,FALSE)</f>
        <v>457</v>
      </c>
      <c r="AO143" s="5">
        <f>VLOOKUP($A143,'SegEnds_NonXtal_Prot#'!$A:$AL,38,FALSE)</f>
        <v>470</v>
      </c>
      <c r="AP143" s="5">
        <f t="shared" si="63"/>
        <v>36</v>
      </c>
      <c r="AQ143" s="4">
        <f t="shared" si="64"/>
        <v>3</v>
      </c>
      <c r="AR143" s="4">
        <f t="shared" si="65"/>
        <v>29</v>
      </c>
      <c r="AS143" s="4">
        <f t="shared" si="66"/>
        <v>3</v>
      </c>
      <c r="AT143" s="4">
        <f t="shared" si="67"/>
        <v>35</v>
      </c>
      <c r="AU143" s="4">
        <f t="shared" si="68"/>
        <v>7</v>
      </c>
      <c r="AV143" s="4">
        <f t="shared" si="69"/>
        <v>26</v>
      </c>
      <c r="AW143" s="4">
        <f t="shared" si="70"/>
        <v>2</v>
      </c>
      <c r="AX143" s="4">
        <f t="shared" si="71"/>
        <v>40</v>
      </c>
      <c r="AY143" s="4">
        <f t="shared" si="72"/>
        <v>37</v>
      </c>
      <c r="AZ143" s="4">
        <f t="shared" si="73"/>
        <v>25</v>
      </c>
      <c r="BA143" s="4">
        <f t="shared" si="74"/>
        <v>12</v>
      </c>
    </row>
    <row r="144" spans="1:53" x14ac:dyDescent="0.2">
      <c r="A144" s="1" t="str">
        <f>'SegEnds_NonXtal_Prot#'!A116</f>
        <v>gp119_human</v>
      </c>
      <c r="B144" s="1" t="str">
        <f t="shared" si="50"/>
        <v>GVSLCFTLNLAVADTLIGVAISGLLTDQLSRPTQKTLCSLRMAFVTSSAAASVLTVMLITFDRYLAIKQSGFVAGACIAGLWLVSYLIGFLPLGIPMFQFHPHFVLTLSCVGFFPAMLLFVFFYCDMLKIASMHSQQIRGYRSPRTPSDFKALRTVSVLIGSFALSWTPFLITGIVQVACYLVLERYLWLLGVGNSLLNPLIYAYWQKEVRLQLYHMALG</v>
      </c>
      <c r="C144" s="29" t="str">
        <f>IF(ISERROR(MATCH(A144,'SegEnds_Xtal_Prot#'!B:B, 0)), "NoXtal", "Xtal")</f>
        <v>NoXtal</v>
      </c>
      <c r="D144" s="4" t="str">
        <f>VLOOKUP(A144,Classification!A:D,2,FALSE)</f>
        <v>A</v>
      </c>
      <c r="E144" s="5" t="str">
        <f>VLOOKUP(A144,Seqs!A:B,2,FALSE)</f>
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</c>
      <c r="F144" s="5" t="str">
        <f t="shared" si="51"/>
        <v/>
      </c>
      <c r="G144" s="4" t="str">
        <f t="shared" si="52"/>
        <v/>
      </c>
      <c r="H144" s="4" t="str">
        <f t="shared" si="53"/>
        <v>GVSLCFTLNLAVADTLIGVAISGLLTDQLS</v>
      </c>
      <c r="I144" s="4" t="str">
        <f t="shared" si="54"/>
        <v/>
      </c>
      <c r="J144" s="4" t="str">
        <f t="shared" si="55"/>
        <v>RPTQKTLCSLRMAFVTSSAAASVLTVMLITFDRYLAIKQ</v>
      </c>
      <c r="K144" s="4" t="str">
        <f t="shared" si="56"/>
        <v>PFRYLKIM</v>
      </c>
      <c r="L144" s="4" t="str">
        <f t="shared" si="57"/>
        <v>SGFVAGACIAGLWLVSYLIGFLPLGIPMFQ</v>
      </c>
      <c r="M144" s="4" t="str">
        <f t="shared" si="58"/>
        <v>CSF</v>
      </c>
      <c r="N144" s="4" t="str">
        <f t="shared" si="59"/>
        <v>FHPHFVLTLSCVGFFPAMLLFVFFYCDMLKIASMHSQQIR</v>
      </c>
      <c r="O144" s="4" t="str">
        <f t="shared" si="60"/>
        <v>GYRSPRTPSDFKALRTVSVLIGSFALSWTPFLITGIVQVAC</v>
      </c>
      <c r="P144" s="4" t="str">
        <f t="shared" si="61"/>
        <v>YLVLERYLWLLGVGNSLLNPLIYAYW</v>
      </c>
      <c r="Q144" s="4" t="str">
        <f t="shared" si="62"/>
        <v>QKEVRLQLYHMALG</v>
      </c>
      <c r="R144" s="5">
        <f>VLOOKUP($A144,'SegEnds_NonXtal_Prot#'!$A:$AL,3,FALSE)</f>
        <v>-1</v>
      </c>
      <c r="S144" s="5" t="str">
        <f>VLOOKUP($A144,'SegEnds_NonXtal_Prot#'!$A:$AL,6,FALSE)</f>
        <v>-</v>
      </c>
      <c r="T144" s="5">
        <f>VLOOKUP($A144,'SegEnds_NonXtal_Prot#'!$A:$AL,9,FALSE)</f>
        <v>38</v>
      </c>
      <c r="U144" s="5" t="str">
        <f>VLOOKUP($A144,'SegEnds_NonXtal_Prot#'!$A:$AL,12,FALSE)</f>
        <v>-</v>
      </c>
      <c r="V144" s="5">
        <f>VLOOKUP($A144,'SegEnds_NonXtal_Prot#'!$A:$AL,15,FALSE)</f>
        <v>71</v>
      </c>
      <c r="W144" s="5">
        <f>VLOOKUP($A144,'SegEnds_NonXtal_Prot#'!$A:$AL,18,FALSE)</f>
        <v>110</v>
      </c>
      <c r="X144" s="5">
        <f>VLOOKUP($A144,'SegEnds_NonXtal_Prot#'!$A:$AL,21,FALSE)</f>
        <v>118</v>
      </c>
      <c r="Y144" s="5">
        <f>VLOOKUP($A144,'SegEnds_NonXtal_Prot#'!$A:$AL,24,FALSE)</f>
        <v>155</v>
      </c>
      <c r="Z144" s="5">
        <f>VLOOKUP($A144,'SegEnds_NonXtal_Prot#'!$A:$AL,27,FALSE)</f>
        <v>161</v>
      </c>
      <c r="AA144" s="5">
        <f>VLOOKUP($A144,'SegEnds_NonXtal_Prot#'!$A:$AL,30,FALSE)</f>
        <v>211</v>
      </c>
      <c r="AB144" s="5">
        <f>VLOOKUP($A144,'SegEnds_NonXtal_Prot#'!$A:$AL,33,FALSE)</f>
        <v>257</v>
      </c>
      <c r="AC144" s="5">
        <f>VLOOKUP($A144,'SegEnds_NonXtal_Prot#'!$A:$AL,36,FALSE)</f>
        <v>283</v>
      </c>
      <c r="AD144" s="5">
        <f>VLOOKUP($A144,'SegEnds_NonXtal_Prot#'!$A:$AL,5,FALSE)</f>
        <v>32</v>
      </c>
      <c r="AE144" s="5" t="str">
        <f>VLOOKUP($A144,'SegEnds_NonXtal_Prot#'!$A:$AL,8,FALSE)</f>
        <v>-</v>
      </c>
      <c r="AF144" s="5">
        <f>VLOOKUP($A144,'SegEnds_NonXtal_Prot#'!$A:$AL,11,FALSE)</f>
        <v>67</v>
      </c>
      <c r="AG144" s="5" t="str">
        <f>VLOOKUP($A144,'SegEnds_NonXtal_Prot#'!$A:$AL,14,FALSE)</f>
        <v>-</v>
      </c>
      <c r="AH144" s="5">
        <f>VLOOKUP($A144,'SegEnds_NonXtal_Prot#'!$A:$AL,17,FALSE)</f>
        <v>109</v>
      </c>
      <c r="AI144" s="5">
        <f>VLOOKUP($A144,'SegEnds_NonXtal_Prot#'!$A:$AL,20,FALSE)</f>
        <v>117</v>
      </c>
      <c r="AJ144" s="5">
        <f>VLOOKUP($A144,'SegEnds_NonXtal_Prot#'!$A:$AL,23,FALSE)</f>
        <v>147</v>
      </c>
      <c r="AK144" s="5">
        <f>VLOOKUP($A144,'SegEnds_NonXtal_Prot#'!$A:$AL,26,FALSE)</f>
        <v>157</v>
      </c>
      <c r="AL144" s="5">
        <f>VLOOKUP($A144,'SegEnds_NonXtal_Prot#'!$A:$AL,29,FALSE)</f>
        <v>200</v>
      </c>
      <c r="AM144" s="5">
        <f>VLOOKUP($A144,'SegEnds_NonXtal_Prot#'!$A:$AL,32,FALSE)</f>
        <v>251</v>
      </c>
      <c r="AN144" s="5">
        <f>VLOOKUP($A144,'SegEnds_NonXtal_Prot#'!$A:$AL,35,FALSE)</f>
        <v>282</v>
      </c>
      <c r="AO144" s="5">
        <f>VLOOKUP($A144,'SegEnds_NonXtal_Prot#'!$A:$AL,38,FALSE)</f>
        <v>296</v>
      </c>
      <c r="AP144" s="5">
        <f t="shared" si="63"/>
        <v>33</v>
      </c>
      <c r="AQ144" s="4" t="str">
        <f t="shared" si="64"/>
        <v>-</v>
      </c>
      <c r="AR144" s="4">
        <f t="shared" si="65"/>
        <v>29</v>
      </c>
      <c r="AS144" s="4" t="str">
        <f t="shared" si="66"/>
        <v>-</v>
      </c>
      <c r="AT144" s="4">
        <f t="shared" si="67"/>
        <v>38</v>
      </c>
      <c r="AU144" s="4">
        <f t="shared" si="68"/>
        <v>7</v>
      </c>
      <c r="AV144" s="4">
        <f t="shared" si="69"/>
        <v>29</v>
      </c>
      <c r="AW144" s="4">
        <f t="shared" si="70"/>
        <v>2</v>
      </c>
      <c r="AX144" s="4">
        <f t="shared" si="71"/>
        <v>39</v>
      </c>
      <c r="AY144" s="4">
        <f t="shared" si="72"/>
        <v>40</v>
      </c>
      <c r="AZ144" s="4">
        <f t="shared" si="73"/>
        <v>25</v>
      </c>
      <c r="BA144" s="4">
        <f t="shared" si="74"/>
        <v>13</v>
      </c>
    </row>
    <row r="145" spans="1:53" x14ac:dyDescent="0.2">
      <c r="A145" s="1" t="str">
        <f>'SegEnds_NonXtal_Prot#'!A117</f>
        <v>gp141_human</v>
      </c>
      <c r="B145" s="1" t="str">
        <f t="shared" si="50"/>
        <v>DPIVTPHLISLYFIVLIGGLVGVISILFLLVKSVTTMAVINLVVVHSVFLLTVPFRLTYLIKGLPFCKFVSAMLHIHMYLTFLFYVVILVTRYLIFFKRKLHAVAASAGMWTLVIVIVVPLVVSRKIINYMIVIFVIAVAVILLVFQVFIIMLMVQKLRHSHQEFWAQLKNLFFIGVILVCFLPYQFFRIYYLNVCNSKVAFYNEIFLSVTAISCYDLLLFVFGSHWFKQKIIGLWN</v>
      </c>
      <c r="C145" s="29" t="str">
        <f>IF(ISERROR(MATCH(A145,'SegEnds_Xtal_Prot#'!B:B, 0)), "NoXtal", "Xtal")</f>
        <v>NoXtal</v>
      </c>
      <c r="D145" s="4" t="str">
        <f>VLOOKUP(A145,Classification!A:D,2,FALSE)</f>
        <v>A</v>
      </c>
      <c r="E145" s="5" t="str">
        <f>VLOOKUP(A145,Seqs!A:B,2,FALSE)</f>
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</c>
      <c r="F145" s="5" t="str">
        <f t="shared" si="51"/>
        <v>DPIVTPHLISLYFIVLIGGLVGVISILFLLVK</v>
      </c>
      <c r="G145" s="4" t="str">
        <f t="shared" si="52"/>
        <v>MNTR</v>
      </c>
      <c r="H145" s="4" t="str">
        <f t="shared" si="53"/>
        <v>SVTTMAVINLVVVHSVFLLTVPFRLTYLIK</v>
      </c>
      <c r="I145" s="4" t="str">
        <f t="shared" si="54"/>
        <v>TWMF</v>
      </c>
      <c r="J145" s="4" t="str">
        <f t="shared" si="55"/>
        <v>GLPFCKFVSAMLHIHMYLTFLFYVVILVTRYLIFFK</v>
      </c>
      <c r="K145" s="4" t="str">
        <f t="shared" si="56"/>
        <v>CKDKVEFY</v>
      </c>
      <c r="L145" s="4" t="str">
        <f t="shared" si="57"/>
        <v>RKLHAVAASAGMWTLVIVIVVPLVVSR</v>
      </c>
      <c r="M145" s="4" t="str">
        <f t="shared" si="58"/>
        <v>CFK</v>
      </c>
      <c r="N145" s="4" t="str">
        <f t="shared" si="59"/>
        <v>KIINYMIVIFVIAVAVILLVFQVFIIMLMVQKLRHS</v>
      </c>
      <c r="O145" s="4" t="str">
        <f t="shared" si="60"/>
        <v>HQEFWAQLKNLFFIGVILVCFLPYQFFRIYYLNV</v>
      </c>
      <c r="P145" s="4" t="str">
        <f t="shared" si="61"/>
        <v>CNSKVAFYNEIFLSVTAISCYDLLLFVFG</v>
      </c>
      <c r="Q145" s="4" t="str">
        <f t="shared" si="62"/>
        <v>SHWFKQKIIGLWN</v>
      </c>
      <c r="R145" s="5">
        <f>VLOOKUP($A145,'SegEnds_NonXtal_Prot#'!$A:$AL,3,FALSE)</f>
        <v>13</v>
      </c>
      <c r="S145" s="5">
        <f>VLOOKUP($A145,'SegEnds_NonXtal_Prot#'!$A:$AL,6,FALSE)</f>
        <v>45</v>
      </c>
      <c r="T145" s="5">
        <f>VLOOKUP($A145,'SegEnds_NonXtal_Prot#'!$A:$AL,9,FALSE)</f>
        <v>49</v>
      </c>
      <c r="U145" s="5">
        <f>VLOOKUP($A145,'SegEnds_NonXtal_Prot#'!$A:$AL,12,FALSE)</f>
        <v>80</v>
      </c>
      <c r="V145" s="5">
        <f>VLOOKUP($A145,'SegEnds_NonXtal_Prot#'!$A:$AL,15,FALSE)</f>
        <v>84</v>
      </c>
      <c r="W145" s="5">
        <f>VLOOKUP($A145,'SegEnds_NonXtal_Prot#'!$A:$AL,18,FALSE)</f>
        <v>120</v>
      </c>
      <c r="X145" s="5">
        <f>VLOOKUP($A145,'SegEnds_NonXtal_Prot#'!$A:$AL,21,FALSE)</f>
        <v>128</v>
      </c>
      <c r="Y145" s="5">
        <f>VLOOKUP($A145,'SegEnds_NonXtal_Prot#'!$A:$AL,24,FALSE)</f>
        <v>166</v>
      </c>
      <c r="Z145" s="5">
        <f>VLOOKUP($A145,'SegEnds_NonXtal_Prot#'!$A:$AL,27,FALSE)</f>
        <v>179</v>
      </c>
      <c r="AA145" s="5">
        <f>VLOOKUP($A145,'SegEnds_NonXtal_Prot#'!$A:$AL,30,FALSE)</f>
        <v>218</v>
      </c>
      <c r="AB145" s="5">
        <f>VLOOKUP($A145,'SegEnds_NonXtal_Prot#'!$A:$AL,33,FALSE)</f>
        <v>258</v>
      </c>
      <c r="AC145" s="5">
        <f>VLOOKUP($A145,'SegEnds_NonXtal_Prot#'!$A:$AL,36,FALSE)</f>
        <v>288</v>
      </c>
      <c r="AD145" s="5">
        <f>VLOOKUP($A145,'SegEnds_NonXtal_Prot#'!$A:$AL,5,FALSE)</f>
        <v>44</v>
      </c>
      <c r="AE145" s="5">
        <f>VLOOKUP($A145,'SegEnds_NonXtal_Prot#'!$A:$AL,8,FALSE)</f>
        <v>48</v>
      </c>
      <c r="AF145" s="5">
        <f>VLOOKUP($A145,'SegEnds_NonXtal_Prot#'!$A:$AL,11,FALSE)</f>
        <v>78</v>
      </c>
      <c r="AG145" s="5">
        <f>VLOOKUP($A145,'SegEnds_NonXtal_Prot#'!$A:$AL,14,FALSE)</f>
        <v>83</v>
      </c>
      <c r="AH145" s="5">
        <f>VLOOKUP($A145,'SegEnds_NonXtal_Prot#'!$A:$AL,17,FALSE)</f>
        <v>119</v>
      </c>
      <c r="AI145" s="5">
        <f>VLOOKUP($A145,'SegEnds_NonXtal_Prot#'!$A:$AL,20,FALSE)</f>
        <v>127</v>
      </c>
      <c r="AJ145" s="5">
        <f>VLOOKUP($A145,'SegEnds_NonXtal_Prot#'!$A:$AL,23,FALSE)</f>
        <v>154</v>
      </c>
      <c r="AK145" s="5">
        <f>VLOOKUP($A145,'SegEnds_NonXtal_Prot#'!$A:$AL,26,FALSE)</f>
        <v>168</v>
      </c>
      <c r="AL145" s="5">
        <f>VLOOKUP($A145,'SegEnds_NonXtal_Prot#'!$A:$AL,29,FALSE)</f>
        <v>214</v>
      </c>
      <c r="AM145" s="5">
        <f>VLOOKUP($A145,'SegEnds_NonXtal_Prot#'!$A:$AL,32,FALSE)</f>
        <v>251</v>
      </c>
      <c r="AN145" s="5">
        <f>VLOOKUP($A145,'SegEnds_NonXtal_Prot#'!$A:$AL,35,FALSE)</f>
        <v>286</v>
      </c>
      <c r="AO145" s="5">
        <f>VLOOKUP($A145,'SegEnds_NonXtal_Prot#'!$A:$AL,38,FALSE)</f>
        <v>300</v>
      </c>
      <c r="AP145" s="5">
        <f t="shared" si="63"/>
        <v>31</v>
      </c>
      <c r="AQ145" s="4">
        <f t="shared" si="64"/>
        <v>3</v>
      </c>
      <c r="AR145" s="4">
        <f t="shared" si="65"/>
        <v>29</v>
      </c>
      <c r="AS145" s="4">
        <f t="shared" si="66"/>
        <v>3</v>
      </c>
      <c r="AT145" s="4">
        <f t="shared" si="67"/>
        <v>35</v>
      </c>
      <c r="AU145" s="4">
        <f t="shared" si="68"/>
        <v>7</v>
      </c>
      <c r="AV145" s="4">
        <f t="shared" si="69"/>
        <v>26</v>
      </c>
      <c r="AW145" s="4">
        <f t="shared" si="70"/>
        <v>2</v>
      </c>
      <c r="AX145" s="4">
        <f t="shared" si="71"/>
        <v>35</v>
      </c>
      <c r="AY145" s="4">
        <f t="shared" si="72"/>
        <v>33</v>
      </c>
      <c r="AZ145" s="4">
        <f t="shared" si="73"/>
        <v>28</v>
      </c>
      <c r="BA145" s="4">
        <f t="shared" si="74"/>
        <v>12</v>
      </c>
    </row>
    <row r="146" spans="1:53" x14ac:dyDescent="0.2">
      <c r="A146" s="1" t="str">
        <f>'SegEnds_NonXtal_Prot#'!A118</f>
        <v>gp148_human</v>
      </c>
      <c r="B146" s="1" t="str">
        <f t="shared" si="50"/>
        <v>PSSMLYWLFLPSSLLAAATLAVSPLLLVTILRNQEPHYLLPANILLSDLAYILLHMLISSSSLGGRMACGILTDAVFAACTSTILSFTAIVLHTYLAVIHSHGAAWKAVALIWLVACCFPTFLIWLEQGASYILPPSMGTQPGCGLLVIVTYTSILCVLFLCTALIANGQGYSRARGTLLIHSVLITLYVSTGVVFSLDMVLTGTHTWLLAANSEVLMMLPRAMLTYLYLLRYRQLL</v>
      </c>
      <c r="C146" s="29" t="str">
        <f>IF(ISERROR(MATCH(A146,'SegEnds_Xtal_Prot#'!B:B, 0)), "NoXtal", "Xtal")</f>
        <v>NoXtal</v>
      </c>
      <c r="D146" s="4" t="str">
        <f>VLOOKUP(A146,Classification!A:D,2,FALSE)</f>
        <v>A</v>
      </c>
      <c r="E146" s="5" t="str">
        <f>VLOOKUP(A146,Seqs!A:B,2,FALSE)</f>
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</c>
      <c r="F146" s="5" t="str">
        <f t="shared" si="51"/>
        <v>PSSMLYWLFLPSSLLAAATLAVSPLLLVTILRN</v>
      </c>
      <c r="G146" s="4" t="str">
        <f t="shared" si="52"/>
        <v>QRLR</v>
      </c>
      <c r="H146" s="4" t="str">
        <f t="shared" si="53"/>
        <v>QEPHYLLPANILLSDLAYILLHMLISSSSLG</v>
      </c>
      <c r="I146" s="4" t="str">
        <f t="shared" si="54"/>
        <v>GWEL</v>
      </c>
      <c r="J146" s="4" t="str">
        <f t="shared" si="55"/>
        <v>GRMACGILTDAVFAACTSTILSFTAIVLHTYLAVIH</v>
      </c>
      <c r="K146" s="4" t="str">
        <f t="shared" si="56"/>
        <v>PLRYLSFM</v>
      </c>
      <c r="L146" s="4" t="str">
        <f t="shared" si="57"/>
        <v>SHGAAWKAVALIWLVACCFPTFLIWL</v>
      </c>
      <c r="M146" s="4" t="str">
        <f t="shared" si="58"/>
        <v/>
      </c>
      <c r="N146" s="4" t="str">
        <f t="shared" si="59"/>
        <v>EQGASYILPPSMGTQPGCGLLVIVTYTSILCVLFLCTALIAN</v>
      </c>
      <c r="O146" s="4" t="str">
        <f t="shared" si="60"/>
        <v>GQGYSRARGTLLIHSVLITLYVSTGVVFSLDMVLT</v>
      </c>
      <c r="P146" s="4" t="str">
        <f t="shared" si="61"/>
        <v>GTHTWLLAANSEVLMMLPRAML</v>
      </c>
      <c r="Q146" s="4" t="str">
        <f t="shared" si="62"/>
        <v>TYLYLLRYRQLL</v>
      </c>
      <c r="R146" s="5">
        <f>VLOOKUP($A146,'SegEnds_NonXtal_Prot#'!$A:$AL,3,FALSE)</f>
        <v>45</v>
      </c>
      <c r="S146" s="5">
        <f>VLOOKUP($A146,'SegEnds_NonXtal_Prot#'!$A:$AL,6,FALSE)</f>
        <v>78</v>
      </c>
      <c r="T146" s="5">
        <f>VLOOKUP($A146,'SegEnds_NonXtal_Prot#'!$A:$AL,9,FALSE)</f>
        <v>82</v>
      </c>
      <c r="U146" s="5">
        <f>VLOOKUP($A146,'SegEnds_NonXtal_Prot#'!$A:$AL,12,FALSE)</f>
        <v>113</v>
      </c>
      <c r="V146" s="5">
        <f>VLOOKUP($A146,'SegEnds_NonXtal_Prot#'!$A:$AL,15,FALSE)</f>
        <v>117</v>
      </c>
      <c r="W146" s="5">
        <f>VLOOKUP($A146,'SegEnds_NonXtal_Prot#'!$A:$AL,18,FALSE)</f>
        <v>153</v>
      </c>
      <c r="X146" s="5">
        <f>VLOOKUP($A146,'SegEnds_NonXtal_Prot#'!$A:$AL,21,FALSE)</f>
        <v>161</v>
      </c>
      <c r="Y146" s="5" t="str">
        <f>VLOOKUP($A146,'SegEnds_NonXtal_Prot#'!$A:$AL,24,FALSE)</f>
        <v>-</v>
      </c>
      <c r="Z146" s="5">
        <f>VLOOKUP($A146,'SegEnds_NonXtal_Prot#'!$A:$AL,27,FALSE)</f>
        <v>196</v>
      </c>
      <c r="AA146" s="5">
        <f>VLOOKUP($A146,'SegEnds_NonXtal_Prot#'!$A:$AL,30,FALSE)</f>
        <v>253</v>
      </c>
      <c r="AB146" s="5">
        <f>VLOOKUP($A146,'SegEnds_NonXtal_Prot#'!$A:$AL,33,FALSE)</f>
        <v>295</v>
      </c>
      <c r="AC146" s="5">
        <f>VLOOKUP($A146,'SegEnds_NonXtal_Prot#'!$A:$AL,36,FALSE)</f>
        <v>317</v>
      </c>
      <c r="AD146" s="5">
        <f>VLOOKUP($A146,'SegEnds_NonXtal_Prot#'!$A:$AL,5,FALSE)</f>
        <v>77</v>
      </c>
      <c r="AE146" s="5">
        <f>VLOOKUP($A146,'SegEnds_NonXtal_Prot#'!$A:$AL,8,FALSE)</f>
        <v>81</v>
      </c>
      <c r="AF146" s="5">
        <f>VLOOKUP($A146,'SegEnds_NonXtal_Prot#'!$A:$AL,11,FALSE)</f>
        <v>112</v>
      </c>
      <c r="AG146" s="5">
        <f>VLOOKUP($A146,'SegEnds_NonXtal_Prot#'!$A:$AL,14,FALSE)</f>
        <v>116</v>
      </c>
      <c r="AH146" s="5">
        <f>VLOOKUP($A146,'SegEnds_NonXtal_Prot#'!$A:$AL,17,FALSE)</f>
        <v>152</v>
      </c>
      <c r="AI146" s="5">
        <f>VLOOKUP($A146,'SegEnds_NonXtal_Prot#'!$A:$AL,20,FALSE)</f>
        <v>160</v>
      </c>
      <c r="AJ146" s="5">
        <f>VLOOKUP($A146,'SegEnds_NonXtal_Prot#'!$A:$AL,23,FALSE)</f>
        <v>186</v>
      </c>
      <c r="AK146" s="5" t="str">
        <f>VLOOKUP($A146,'SegEnds_NonXtal_Prot#'!$A:$AL,26,FALSE)</f>
        <v>-</v>
      </c>
      <c r="AL146" s="5">
        <f>VLOOKUP($A146,'SegEnds_NonXtal_Prot#'!$A:$AL,29,FALSE)</f>
        <v>237</v>
      </c>
      <c r="AM146" s="5">
        <f>VLOOKUP($A146,'SegEnds_NonXtal_Prot#'!$A:$AL,32,FALSE)</f>
        <v>287</v>
      </c>
      <c r="AN146" s="5">
        <f>VLOOKUP($A146,'SegEnds_NonXtal_Prot#'!$A:$AL,35,FALSE)</f>
        <v>316</v>
      </c>
      <c r="AO146" s="5">
        <f>VLOOKUP($A146,'SegEnds_NonXtal_Prot#'!$A:$AL,38,FALSE)</f>
        <v>328</v>
      </c>
      <c r="AP146" s="5">
        <f t="shared" si="63"/>
        <v>32</v>
      </c>
      <c r="AQ146" s="4">
        <f t="shared" si="64"/>
        <v>3</v>
      </c>
      <c r="AR146" s="4">
        <f t="shared" si="65"/>
        <v>30</v>
      </c>
      <c r="AS146" s="4">
        <f t="shared" si="66"/>
        <v>3</v>
      </c>
      <c r="AT146" s="4">
        <f t="shared" si="67"/>
        <v>35</v>
      </c>
      <c r="AU146" s="4">
        <f t="shared" si="68"/>
        <v>7</v>
      </c>
      <c r="AV146" s="4">
        <f t="shared" si="69"/>
        <v>25</v>
      </c>
      <c r="AW146" s="4" t="str">
        <f t="shared" si="70"/>
        <v>-</v>
      </c>
      <c r="AX146" s="4">
        <f t="shared" si="71"/>
        <v>41</v>
      </c>
      <c r="AY146" s="4">
        <f t="shared" si="72"/>
        <v>34</v>
      </c>
      <c r="AZ146" s="4">
        <f t="shared" si="73"/>
        <v>21</v>
      </c>
      <c r="BA146" s="4">
        <f t="shared" si="74"/>
        <v>11</v>
      </c>
    </row>
    <row r="147" spans="1:53" x14ac:dyDescent="0.2">
      <c r="A147" s="1" t="str">
        <f>'SegEnds_NonXtal_Prot#'!A119</f>
        <v>gp152_human</v>
      </c>
      <c r="B147" s="1" t="str">
        <f t="shared" si="50"/>
        <v>DEDSYPQGGWDTVFLVALLLLGLPANGLMAWLAGSQATRLALLLLSLALSDFLFLAAAAFQILEIRHGGTAACRFYYFLWGVSYSSGLFLLAALSLDRCLLALCPVRLPLWVCAGVWVLATLFSVPWLVFPEELSLRMLEVLGGFLPFLLLLVCHVLTQATACRTQQQPAACRGFARVARTILSAYVVLRLPYQLAQLLYLAFGYLLWEALVYSDYLILLNSCLSPFLCLMASADLRTLLRSVL</v>
      </c>
      <c r="C147" s="29" t="str">
        <f>IF(ISERROR(MATCH(A147,'SegEnds_Xtal_Prot#'!B:B, 0)), "NoXtal", "Xtal")</f>
        <v>NoXtal</v>
      </c>
      <c r="D147" s="4" t="str">
        <f>VLOOKUP(A147,Classification!A:D,2,FALSE)</f>
        <v>A</v>
      </c>
      <c r="E147" s="5" t="str">
        <f>VLOOKUP(A147,Seqs!A:B,2,FALSE)</f>
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</c>
      <c r="F147" s="5" t="str">
        <f t="shared" si="51"/>
        <v>DEDSYPQGGWDTVFLVALLLLGLPANGLMAWLAGSQA</v>
      </c>
      <c r="G147" s="4" t="str">
        <f t="shared" si="52"/>
        <v/>
      </c>
      <c r="H147" s="4" t="str">
        <f t="shared" si="53"/>
        <v>TRLALLLLSLALSDFLFLAAAAFQILEIRHG</v>
      </c>
      <c r="I147" s="4" t="str">
        <f t="shared" si="54"/>
        <v>HWPL</v>
      </c>
      <c r="J147" s="4" t="str">
        <f t="shared" si="55"/>
        <v>GTAACRFYYFLWGVSYSSGLFLLAALSLDRCLLALC</v>
      </c>
      <c r="K147" s="4" t="str">
        <f t="shared" si="56"/>
        <v>PHWYPGHR</v>
      </c>
      <c r="L147" s="4" t="str">
        <f t="shared" si="57"/>
        <v>PVRLPLWVCAGVWVLATLFSVPWLVFP</v>
      </c>
      <c r="M147" s="4" t="str">
        <f t="shared" si="58"/>
        <v>CLD</v>
      </c>
      <c r="N147" s="4" t="str">
        <f t="shared" si="59"/>
        <v>EELSLRMLEVLGGFLPFLLLLVCHVLTQATACRT</v>
      </c>
      <c r="O147" s="4" t="str">
        <f t="shared" si="60"/>
        <v>QQQPAACRGFARVARTILSAYVVLRLPYQLAQLLYLAF</v>
      </c>
      <c r="P147" s="4" t="str">
        <f t="shared" si="61"/>
        <v>GYLLWEALVYSDYLILLNSCLSPFLCLMA</v>
      </c>
      <c r="Q147" s="4" t="str">
        <f t="shared" si="62"/>
        <v>SADLRTLLRSVL</v>
      </c>
      <c r="R147" s="5">
        <f>VLOOKUP($A147,'SegEnds_NonXtal_Prot#'!$A:$AL,3,FALSE)</f>
        <v>22</v>
      </c>
      <c r="S147" s="5" t="str">
        <f>VLOOKUP($A147,'SegEnds_NonXtal_Prot#'!$A:$AL,6,FALSE)</f>
        <v>-</v>
      </c>
      <c r="T147" s="5">
        <f>VLOOKUP($A147,'SegEnds_NonXtal_Prot#'!$A:$AL,9,FALSE)</f>
        <v>64</v>
      </c>
      <c r="U147" s="5">
        <f>VLOOKUP($A147,'SegEnds_NonXtal_Prot#'!$A:$AL,12,FALSE)</f>
        <v>96</v>
      </c>
      <c r="V147" s="5">
        <f>VLOOKUP($A147,'SegEnds_NonXtal_Prot#'!$A:$AL,15,FALSE)</f>
        <v>100</v>
      </c>
      <c r="W147" s="5">
        <f>VLOOKUP($A147,'SegEnds_NonXtal_Prot#'!$A:$AL,18,FALSE)</f>
        <v>136</v>
      </c>
      <c r="X147" s="5">
        <f>VLOOKUP($A147,'SegEnds_NonXtal_Prot#'!$A:$AL,21,FALSE)</f>
        <v>144</v>
      </c>
      <c r="Y147" s="5">
        <f>VLOOKUP($A147,'SegEnds_NonXtal_Prot#'!$A:$AL,24,FALSE)</f>
        <v>182</v>
      </c>
      <c r="Z147" s="5">
        <f>VLOOKUP($A147,'SegEnds_NonXtal_Prot#'!$A:$AL,27,FALSE)</f>
        <v>189</v>
      </c>
      <c r="AA147" s="5">
        <f>VLOOKUP($A147,'SegEnds_NonXtal_Prot#'!$A:$AL,30,FALSE)</f>
        <v>226</v>
      </c>
      <c r="AB147" s="5">
        <f>VLOOKUP($A147,'SegEnds_NonXtal_Prot#'!$A:$AL,33,FALSE)</f>
        <v>270</v>
      </c>
      <c r="AC147" s="5">
        <f>VLOOKUP($A147,'SegEnds_NonXtal_Prot#'!$A:$AL,36,FALSE)</f>
        <v>299</v>
      </c>
      <c r="AD147" s="5">
        <f>VLOOKUP($A147,'SegEnds_NonXtal_Prot#'!$A:$AL,5,FALSE)</f>
        <v>58</v>
      </c>
      <c r="AE147" s="5" t="str">
        <f>VLOOKUP($A147,'SegEnds_NonXtal_Prot#'!$A:$AL,8,FALSE)</f>
        <v>-</v>
      </c>
      <c r="AF147" s="5">
        <f>VLOOKUP($A147,'SegEnds_NonXtal_Prot#'!$A:$AL,11,FALSE)</f>
        <v>94</v>
      </c>
      <c r="AG147" s="5">
        <f>VLOOKUP($A147,'SegEnds_NonXtal_Prot#'!$A:$AL,14,FALSE)</f>
        <v>99</v>
      </c>
      <c r="AH147" s="5">
        <f>VLOOKUP($A147,'SegEnds_NonXtal_Prot#'!$A:$AL,17,FALSE)</f>
        <v>135</v>
      </c>
      <c r="AI147" s="5">
        <f>VLOOKUP($A147,'SegEnds_NonXtal_Prot#'!$A:$AL,20,FALSE)</f>
        <v>143</v>
      </c>
      <c r="AJ147" s="5">
        <f>VLOOKUP($A147,'SegEnds_NonXtal_Prot#'!$A:$AL,23,FALSE)</f>
        <v>170</v>
      </c>
      <c r="AK147" s="5">
        <f>VLOOKUP($A147,'SegEnds_NonXtal_Prot#'!$A:$AL,26,FALSE)</f>
        <v>184</v>
      </c>
      <c r="AL147" s="5">
        <f>VLOOKUP($A147,'SegEnds_NonXtal_Prot#'!$A:$AL,29,FALSE)</f>
        <v>222</v>
      </c>
      <c r="AM147" s="5">
        <f>VLOOKUP($A147,'SegEnds_NonXtal_Prot#'!$A:$AL,32,FALSE)</f>
        <v>263</v>
      </c>
      <c r="AN147" s="5">
        <f>VLOOKUP($A147,'SegEnds_NonXtal_Prot#'!$A:$AL,35,FALSE)</f>
        <v>298</v>
      </c>
      <c r="AO147" s="5">
        <f>VLOOKUP($A147,'SegEnds_NonXtal_Prot#'!$A:$AL,38,FALSE)</f>
        <v>310</v>
      </c>
      <c r="AP147" s="5">
        <f t="shared" si="63"/>
        <v>36</v>
      </c>
      <c r="AQ147" s="4" t="str">
        <f t="shared" si="64"/>
        <v>-</v>
      </c>
      <c r="AR147" s="4">
        <f t="shared" si="65"/>
        <v>30</v>
      </c>
      <c r="AS147" s="4">
        <f t="shared" si="66"/>
        <v>3</v>
      </c>
      <c r="AT147" s="4">
        <f t="shared" si="67"/>
        <v>35</v>
      </c>
      <c r="AU147" s="4">
        <f t="shared" si="68"/>
        <v>7</v>
      </c>
      <c r="AV147" s="4">
        <f t="shared" si="69"/>
        <v>26</v>
      </c>
      <c r="AW147" s="4">
        <f t="shared" si="70"/>
        <v>2</v>
      </c>
      <c r="AX147" s="4">
        <f t="shared" si="71"/>
        <v>33</v>
      </c>
      <c r="AY147" s="4">
        <f t="shared" si="72"/>
        <v>37</v>
      </c>
      <c r="AZ147" s="4">
        <f t="shared" si="73"/>
        <v>28</v>
      </c>
      <c r="BA147" s="4">
        <f t="shared" si="74"/>
        <v>11</v>
      </c>
    </row>
    <row r="148" spans="1:53" x14ac:dyDescent="0.2">
      <c r="A148" s="1" t="str">
        <f>'SegEnds_NonXtal_Prot#'!A120</f>
        <v>gp153_human</v>
      </c>
      <c r="B148" s="1" t="str">
        <f t="shared" si="50"/>
        <v>RLPGSAVGWLVCGGLSLLANAWGILSVGAKKPLEFLLCTLAATHMLNVAVPIATYSVVQLRNEGLCKVFVSTFYTLTLATCFSVTSLSYHRMWMVCWAKKQAVHTVMGIWMVSFILSALPAVGGLGFGVCFLLLVGGSVAMGVICTAIALFQTLAVQVGRQADRREPAKTSLQTTGLVTTIVFIYDCLMGFPVLVVSFSSLRAPWMALCVLWCSVAQALLLPVFLWACDRYRADLKAVREKCMA</v>
      </c>
      <c r="C148" s="29" t="str">
        <f>IF(ISERROR(MATCH(A148,'SegEnds_Xtal_Prot#'!B:B, 0)), "NoXtal", "Xtal")</f>
        <v>NoXtal</v>
      </c>
      <c r="D148" s="4" t="str">
        <f>VLOOKUP(A148,Classification!A:D,2,FALSE)</f>
        <v>A</v>
      </c>
      <c r="E148" s="5" t="str">
        <f>VLOOKUP(A148,Seqs!A:B,2,FALSE)</f>
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</c>
      <c r="F148" s="5" t="str">
        <f t="shared" si="51"/>
        <v>RLPGSAVGWLVCGGLSLLANAWGILSVGAK</v>
      </c>
      <c r="G148" s="4" t="str">
        <f t="shared" si="52"/>
        <v>QKKW</v>
      </c>
      <c r="H148" s="4" t="str">
        <f t="shared" si="53"/>
        <v>KPLEFLLCTLAATHMLNVAVPIATYSVVQLR</v>
      </c>
      <c r="I148" s="4" t="str">
        <f t="shared" si="54"/>
        <v>DFEW</v>
      </c>
      <c r="J148" s="4" t="str">
        <f t="shared" si="55"/>
        <v>NEGLCKVFVSTFYTLTLATCFSVTSLSYHRMWMVCW</v>
      </c>
      <c r="K148" s="4" t="str">
        <f t="shared" si="56"/>
        <v>PVNYRLSN</v>
      </c>
      <c r="L148" s="4" t="str">
        <f t="shared" si="57"/>
        <v>AKKQAVHTVMGIWMVSFILSALPAVG</v>
      </c>
      <c r="M148" s="4" t="str">
        <f t="shared" si="58"/>
        <v>CRF</v>
      </c>
      <c r="N148" s="4" t="str">
        <f t="shared" si="59"/>
        <v>GLGFGVCFLLLVGGSVAMGVICTAIALFQTLAVQVGRQADRR</v>
      </c>
      <c r="O148" s="4" t="str">
        <f t="shared" si="60"/>
        <v>EPAKTSLQTTGLVTTIVFIYDCLMGFPVLVVSFSSLRA</v>
      </c>
      <c r="P148" s="4" t="str">
        <f t="shared" si="61"/>
        <v>PWMALCVLWCSVAQALLLPVFLWA</v>
      </c>
      <c r="Q148" s="4" t="str">
        <f t="shared" si="62"/>
        <v>CDRYRADLKAVREKCMA</v>
      </c>
      <c r="R148" s="5">
        <f>VLOOKUP($A148,'SegEnds_NonXtal_Prot#'!$A:$AL,3,FALSE)</f>
        <v>6</v>
      </c>
      <c r="S148" s="5">
        <f>VLOOKUP($A148,'SegEnds_NonXtal_Prot#'!$A:$AL,6,FALSE)</f>
        <v>36</v>
      </c>
      <c r="T148" s="5">
        <f>VLOOKUP($A148,'SegEnds_NonXtal_Prot#'!$A:$AL,9,FALSE)</f>
        <v>40</v>
      </c>
      <c r="U148" s="5">
        <f>VLOOKUP($A148,'SegEnds_NonXtal_Prot#'!$A:$AL,12,FALSE)</f>
        <v>75</v>
      </c>
      <c r="V148" s="5">
        <f>VLOOKUP($A148,'SegEnds_NonXtal_Prot#'!$A:$AL,15,FALSE)</f>
        <v>79</v>
      </c>
      <c r="W148" s="5">
        <f>VLOOKUP($A148,'SegEnds_NonXtal_Prot#'!$A:$AL,18,FALSE)</f>
        <v>115</v>
      </c>
      <c r="X148" s="5">
        <f>VLOOKUP($A148,'SegEnds_NonXtal_Prot#'!$A:$AL,21,FALSE)</f>
        <v>123</v>
      </c>
      <c r="Y148" s="5">
        <f>VLOOKUP($A148,'SegEnds_NonXtal_Prot#'!$A:$AL,24,FALSE)</f>
        <v>161</v>
      </c>
      <c r="Z148" s="5">
        <f>VLOOKUP($A148,'SegEnds_NonXtal_Prot#'!$A:$AL,27,FALSE)</f>
        <v>169</v>
      </c>
      <c r="AA148" s="5">
        <f>VLOOKUP($A148,'SegEnds_NonXtal_Prot#'!$A:$AL,30,FALSE)</f>
        <v>234</v>
      </c>
      <c r="AB148" s="5">
        <f>VLOOKUP($A148,'SegEnds_NonXtal_Prot#'!$A:$AL,33,FALSE)</f>
        <v>276</v>
      </c>
      <c r="AC148" s="5">
        <f>VLOOKUP($A148,'SegEnds_NonXtal_Prot#'!$A:$AL,36,FALSE)</f>
        <v>300</v>
      </c>
      <c r="AD148" s="5">
        <f>VLOOKUP($A148,'SegEnds_NonXtal_Prot#'!$A:$AL,5,FALSE)</f>
        <v>35</v>
      </c>
      <c r="AE148" s="5">
        <f>VLOOKUP($A148,'SegEnds_NonXtal_Prot#'!$A:$AL,8,FALSE)</f>
        <v>39</v>
      </c>
      <c r="AF148" s="5">
        <f>VLOOKUP($A148,'SegEnds_NonXtal_Prot#'!$A:$AL,11,FALSE)</f>
        <v>70</v>
      </c>
      <c r="AG148" s="5">
        <f>VLOOKUP($A148,'SegEnds_NonXtal_Prot#'!$A:$AL,14,FALSE)</f>
        <v>78</v>
      </c>
      <c r="AH148" s="5">
        <f>VLOOKUP($A148,'SegEnds_NonXtal_Prot#'!$A:$AL,17,FALSE)</f>
        <v>114</v>
      </c>
      <c r="AI148" s="5">
        <f>VLOOKUP($A148,'SegEnds_NonXtal_Prot#'!$A:$AL,20,FALSE)</f>
        <v>122</v>
      </c>
      <c r="AJ148" s="5">
        <f>VLOOKUP($A148,'SegEnds_NonXtal_Prot#'!$A:$AL,23,FALSE)</f>
        <v>148</v>
      </c>
      <c r="AK148" s="5">
        <f>VLOOKUP($A148,'SegEnds_NonXtal_Prot#'!$A:$AL,26,FALSE)</f>
        <v>163</v>
      </c>
      <c r="AL148" s="5">
        <f>VLOOKUP($A148,'SegEnds_NonXtal_Prot#'!$A:$AL,29,FALSE)</f>
        <v>210</v>
      </c>
      <c r="AM148" s="5">
        <f>VLOOKUP($A148,'SegEnds_NonXtal_Prot#'!$A:$AL,32,FALSE)</f>
        <v>271</v>
      </c>
      <c r="AN148" s="5">
        <f>VLOOKUP($A148,'SegEnds_NonXtal_Prot#'!$A:$AL,35,FALSE)</f>
        <v>299</v>
      </c>
      <c r="AO148" s="5">
        <f>VLOOKUP($A148,'SegEnds_NonXtal_Prot#'!$A:$AL,38,FALSE)</f>
        <v>316</v>
      </c>
      <c r="AP148" s="5">
        <f t="shared" si="63"/>
        <v>29</v>
      </c>
      <c r="AQ148" s="4">
        <f t="shared" si="64"/>
        <v>3</v>
      </c>
      <c r="AR148" s="4">
        <f t="shared" si="65"/>
        <v>30</v>
      </c>
      <c r="AS148" s="4">
        <f t="shared" si="66"/>
        <v>3</v>
      </c>
      <c r="AT148" s="4">
        <f t="shared" si="67"/>
        <v>35</v>
      </c>
      <c r="AU148" s="4">
        <f t="shared" si="68"/>
        <v>7</v>
      </c>
      <c r="AV148" s="4">
        <f t="shared" si="69"/>
        <v>25</v>
      </c>
      <c r="AW148" s="4">
        <f t="shared" si="70"/>
        <v>2</v>
      </c>
      <c r="AX148" s="4">
        <f t="shared" si="71"/>
        <v>41</v>
      </c>
      <c r="AY148" s="4">
        <f t="shared" si="72"/>
        <v>37</v>
      </c>
      <c r="AZ148" s="4">
        <f t="shared" si="73"/>
        <v>23</v>
      </c>
      <c r="BA148" s="4">
        <f t="shared" si="74"/>
        <v>16</v>
      </c>
    </row>
    <row r="149" spans="1:53" x14ac:dyDescent="0.2">
      <c r="A149" s="1" t="str">
        <f>'SegEnds_NonXtal_Prot#'!A121</f>
        <v>gp161_human</v>
      </c>
      <c r="B149" s="1" t="str">
        <f t="shared" si="50"/>
        <v>EGGVIITQFIAIIVITIFVCLGNLVIVVTLYKKTLSNKFVFSLTLSNFLLSVLVLPFVVTSSIRRGVVWCNFSALLYLLISSASMLTLGVIAIDRYYAVLYTGNRAVMALVYIWLHSLIGCLPPLFGEPGYTAFWQIWCALFPFLVMLVCYGFIFRVARVKARKVHCGTVVYSANQCKALITILVVLGAFMVTWGPYMVVIASEALWSPSLETWATWLSFASAVCHPLIYGLWNKTVRKELLGMC</v>
      </c>
      <c r="C149" s="29" t="str">
        <f>IF(ISERROR(MATCH(A149,'SegEnds_Xtal_Prot#'!B:B, 0)), "NoXtal", "Xtal")</f>
        <v>NoXtal</v>
      </c>
      <c r="D149" s="4" t="str">
        <f>VLOOKUP(A149,Classification!A:D,2,FALSE)</f>
        <v>A</v>
      </c>
      <c r="E149" s="5" t="str">
        <f>VLOOKUP(A149,Seqs!A:B,2,FALSE)</f>
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</c>
      <c r="F149" s="5" t="str">
        <f t="shared" si="51"/>
        <v>EGGVIITQFIAIIVITIFVCLGNLVIVVTLYKK</v>
      </c>
      <c r="G149" s="4" t="str">
        <f t="shared" si="52"/>
        <v>SYLL</v>
      </c>
      <c r="H149" s="4" t="str">
        <f t="shared" si="53"/>
        <v>TLSNKFVFSLTLSNFLLSVLVLPFVVTSSIRR</v>
      </c>
      <c r="I149" s="4" t="str">
        <f t="shared" si="54"/>
        <v>EWIF</v>
      </c>
      <c r="J149" s="4" t="str">
        <f t="shared" si="55"/>
        <v>GVVWCNFSALLYLLISSASMLTLGVIAIDRYYAVLY</v>
      </c>
      <c r="K149" s="4" t="str">
        <f t="shared" si="56"/>
        <v>PMVYPMKI</v>
      </c>
      <c r="L149" s="4" t="str">
        <f t="shared" si="57"/>
        <v>TGNRAVMALVYIWLHSLIGCLPPLFG</v>
      </c>
      <c r="M149" s="4" t="str">
        <f t="shared" si="58"/>
        <v>CVA</v>
      </c>
      <c r="N149" s="4" t="str">
        <f t="shared" si="59"/>
        <v>EPGYTAFWQIWCALFPFLVMLVCYGFIFRVARVKARKVHCGT</v>
      </c>
      <c r="O149" s="4" t="str">
        <f t="shared" si="60"/>
        <v>VVYSANQCKALITILVVLGAFMVTWGPYMVVIASEALW</v>
      </c>
      <c r="P149" s="4" t="str">
        <f t="shared" si="61"/>
        <v>SPSLETWATWLSFASAVCHPLIYGLW</v>
      </c>
      <c r="Q149" s="4" t="str">
        <f t="shared" si="62"/>
        <v>NKTVRKELLGMC</v>
      </c>
      <c r="R149" s="5">
        <f>VLOOKUP($A149,'SegEnds_NonXtal_Prot#'!$A:$AL,3,FALSE)</f>
        <v>23</v>
      </c>
      <c r="S149" s="5">
        <f>VLOOKUP($A149,'SegEnds_NonXtal_Prot#'!$A:$AL,6,FALSE)</f>
        <v>56</v>
      </c>
      <c r="T149" s="5">
        <f>VLOOKUP($A149,'SegEnds_NonXtal_Prot#'!$A:$AL,9,FALSE)</f>
        <v>60</v>
      </c>
      <c r="U149" s="5">
        <f>VLOOKUP($A149,'SegEnds_NonXtal_Prot#'!$A:$AL,12,FALSE)</f>
        <v>92</v>
      </c>
      <c r="V149" s="5">
        <f>VLOOKUP($A149,'SegEnds_NonXtal_Prot#'!$A:$AL,15,FALSE)</f>
        <v>96</v>
      </c>
      <c r="W149" s="5">
        <f>VLOOKUP($A149,'SegEnds_NonXtal_Prot#'!$A:$AL,18,FALSE)</f>
        <v>132</v>
      </c>
      <c r="X149" s="5">
        <f>VLOOKUP($A149,'SegEnds_NonXtal_Prot#'!$A:$AL,21,FALSE)</f>
        <v>140</v>
      </c>
      <c r="Y149" s="5">
        <f>VLOOKUP($A149,'SegEnds_NonXtal_Prot#'!$A:$AL,24,FALSE)</f>
        <v>178</v>
      </c>
      <c r="Z149" s="5">
        <f>VLOOKUP($A149,'SegEnds_NonXtal_Prot#'!$A:$AL,27,FALSE)</f>
        <v>185</v>
      </c>
      <c r="AA149" s="5">
        <f>VLOOKUP($A149,'SegEnds_NonXtal_Prot#'!$A:$AL,30,FALSE)</f>
        <v>259</v>
      </c>
      <c r="AB149" s="5">
        <f>VLOOKUP($A149,'SegEnds_NonXtal_Prot#'!$A:$AL,33,FALSE)</f>
        <v>302</v>
      </c>
      <c r="AC149" s="5">
        <f>VLOOKUP($A149,'SegEnds_NonXtal_Prot#'!$A:$AL,36,FALSE)</f>
        <v>328</v>
      </c>
      <c r="AD149" s="5">
        <f>VLOOKUP($A149,'SegEnds_NonXtal_Prot#'!$A:$AL,5,FALSE)</f>
        <v>55</v>
      </c>
      <c r="AE149" s="5">
        <f>VLOOKUP($A149,'SegEnds_NonXtal_Prot#'!$A:$AL,8,FALSE)</f>
        <v>59</v>
      </c>
      <c r="AF149" s="5">
        <f>VLOOKUP($A149,'SegEnds_NonXtal_Prot#'!$A:$AL,11,FALSE)</f>
        <v>91</v>
      </c>
      <c r="AG149" s="5">
        <f>VLOOKUP($A149,'SegEnds_NonXtal_Prot#'!$A:$AL,14,FALSE)</f>
        <v>95</v>
      </c>
      <c r="AH149" s="5">
        <f>VLOOKUP($A149,'SegEnds_NonXtal_Prot#'!$A:$AL,17,FALSE)</f>
        <v>131</v>
      </c>
      <c r="AI149" s="5">
        <f>VLOOKUP($A149,'SegEnds_NonXtal_Prot#'!$A:$AL,20,FALSE)</f>
        <v>139</v>
      </c>
      <c r="AJ149" s="5">
        <f>VLOOKUP($A149,'SegEnds_NonXtal_Prot#'!$A:$AL,23,FALSE)</f>
        <v>165</v>
      </c>
      <c r="AK149" s="5">
        <f>VLOOKUP($A149,'SegEnds_NonXtal_Prot#'!$A:$AL,26,FALSE)</f>
        <v>180</v>
      </c>
      <c r="AL149" s="5">
        <f>VLOOKUP($A149,'SegEnds_NonXtal_Prot#'!$A:$AL,29,FALSE)</f>
        <v>226</v>
      </c>
      <c r="AM149" s="5">
        <f>VLOOKUP($A149,'SegEnds_NonXtal_Prot#'!$A:$AL,32,FALSE)</f>
        <v>296</v>
      </c>
      <c r="AN149" s="5">
        <f>VLOOKUP($A149,'SegEnds_NonXtal_Prot#'!$A:$AL,35,FALSE)</f>
        <v>327</v>
      </c>
      <c r="AO149" s="5">
        <f>VLOOKUP($A149,'SegEnds_NonXtal_Prot#'!$A:$AL,38,FALSE)</f>
        <v>339</v>
      </c>
      <c r="AP149" s="5">
        <f t="shared" si="63"/>
        <v>32</v>
      </c>
      <c r="AQ149" s="4">
        <f t="shared" si="64"/>
        <v>3</v>
      </c>
      <c r="AR149" s="4">
        <f t="shared" si="65"/>
        <v>31</v>
      </c>
      <c r="AS149" s="4">
        <f t="shared" si="66"/>
        <v>3</v>
      </c>
      <c r="AT149" s="4">
        <f t="shared" si="67"/>
        <v>35</v>
      </c>
      <c r="AU149" s="4">
        <f t="shared" si="68"/>
        <v>7</v>
      </c>
      <c r="AV149" s="4">
        <f t="shared" si="69"/>
        <v>25</v>
      </c>
      <c r="AW149" s="4">
        <f t="shared" si="70"/>
        <v>2</v>
      </c>
      <c r="AX149" s="4">
        <f t="shared" si="71"/>
        <v>41</v>
      </c>
      <c r="AY149" s="4">
        <f t="shared" si="72"/>
        <v>37</v>
      </c>
      <c r="AZ149" s="4">
        <f t="shared" si="73"/>
        <v>25</v>
      </c>
      <c r="BA149" s="4">
        <f t="shared" si="74"/>
        <v>11</v>
      </c>
    </row>
    <row r="150" spans="1:53" x14ac:dyDescent="0.2">
      <c r="A150" s="1" t="str">
        <f>'SegEnds_NonXtal_Prot#'!A122</f>
        <v>gp162_human</v>
      </c>
      <c r="B150" s="1" t="str">
        <f t="shared" si="50"/>
        <v>EEASLRSNALSWLACGLLALLANAWIILSISAKKPLELLLCFLAGTHILMAAVPLTTFAVVQLRNESICKVFVSTYYTLALATCFTVASLSYHRMWMVRWAKKQALHAVMGIWMVSFILSTLPSIGWGLGFGVCFSLLLLGGIVMGLVCVAITFYQTLWARPRRARQESAKTSLQVTNLVSAIVFLYDSLTGVPILVVSFFSLKSPWMVLAVLWCSMAQTLLLPSFIWSCERYRADVRTVW</v>
      </c>
      <c r="C150" s="29" t="str">
        <f>IF(ISERROR(MATCH(A150,'SegEnds_Xtal_Prot#'!B:B, 0)), "NoXtal", "Xtal")</f>
        <v>NoXtal</v>
      </c>
      <c r="D150" s="4" t="str">
        <f>VLOOKUP(A150,Classification!A:D,2,FALSE)</f>
        <v>A</v>
      </c>
      <c r="E150" s="5" t="str">
        <f>VLOOKUP(A150,Seqs!A:B,2,FALSE)</f>
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</c>
      <c r="F150" s="5" t="str">
        <f t="shared" si="51"/>
        <v>EEASLRSNALSWLACGLLALLANAWIILSISAK</v>
      </c>
      <c r="G150" s="4" t="str">
        <f t="shared" si="52"/>
        <v>QQKH</v>
      </c>
      <c r="H150" s="4" t="str">
        <f t="shared" si="53"/>
        <v>KPLELLLCFLAGTHILMAAVPLTTFAVVQLR</v>
      </c>
      <c r="I150" s="4" t="str">
        <f t="shared" si="54"/>
        <v>DYDW</v>
      </c>
      <c r="J150" s="4" t="str">
        <f t="shared" si="55"/>
        <v>NESICKVFVSTYYTLALATCFTVASLSYHRMWMVRW</v>
      </c>
      <c r="K150" s="4" t="str">
        <f t="shared" si="56"/>
        <v>PVNYRLSN</v>
      </c>
      <c r="L150" s="4" t="str">
        <f t="shared" si="57"/>
        <v>AKKQALHAVMGIWMVSFILSTLPSIGW</v>
      </c>
      <c r="M150" s="4" t="str">
        <f t="shared" si="58"/>
        <v>CQF</v>
      </c>
      <c r="N150" s="4" t="str">
        <f t="shared" si="59"/>
        <v>GLGFGVCFSLLLLGGIVMGLVCVAITFYQTLWARPRRARQ</v>
      </c>
      <c r="O150" s="4" t="str">
        <f t="shared" si="60"/>
        <v>ESAKTSLQVTNLVSAIVFLYDSLTGVPILVVSFFSLKS</v>
      </c>
      <c r="P150" s="4" t="str">
        <f t="shared" si="61"/>
        <v>PWMVLAVLWCSMAQTLLLPSFIWS</v>
      </c>
      <c r="Q150" s="4" t="str">
        <f t="shared" si="62"/>
        <v>CERYRADVRTVW</v>
      </c>
      <c r="R150" s="5">
        <f>VLOOKUP($A150,'SegEnds_NonXtal_Prot#'!$A:$AL,3,FALSE)</f>
        <v>9</v>
      </c>
      <c r="S150" s="5">
        <f>VLOOKUP($A150,'SegEnds_NonXtal_Prot#'!$A:$AL,6,FALSE)</f>
        <v>42</v>
      </c>
      <c r="T150" s="5">
        <f>VLOOKUP($A150,'SegEnds_NonXtal_Prot#'!$A:$AL,9,FALSE)</f>
        <v>46</v>
      </c>
      <c r="U150" s="5">
        <f>VLOOKUP($A150,'SegEnds_NonXtal_Prot#'!$A:$AL,12,FALSE)</f>
        <v>82</v>
      </c>
      <c r="V150" s="5">
        <f>VLOOKUP($A150,'SegEnds_NonXtal_Prot#'!$A:$AL,15,FALSE)</f>
        <v>86</v>
      </c>
      <c r="W150" s="5">
        <f>VLOOKUP($A150,'SegEnds_NonXtal_Prot#'!$A:$AL,18,FALSE)</f>
        <v>122</v>
      </c>
      <c r="X150" s="5">
        <f>VLOOKUP($A150,'SegEnds_NonXtal_Prot#'!$A:$AL,21,FALSE)</f>
        <v>130</v>
      </c>
      <c r="Y150" s="5">
        <f>VLOOKUP($A150,'SegEnds_NonXtal_Prot#'!$A:$AL,24,FALSE)</f>
        <v>168</v>
      </c>
      <c r="Z150" s="5">
        <f>VLOOKUP($A150,'SegEnds_NonXtal_Prot#'!$A:$AL,27,FALSE)</f>
        <v>176</v>
      </c>
      <c r="AA150" s="5">
        <f>VLOOKUP($A150,'SegEnds_NonXtal_Prot#'!$A:$AL,30,FALSE)</f>
        <v>261</v>
      </c>
      <c r="AB150" s="5">
        <f>VLOOKUP($A150,'SegEnds_NonXtal_Prot#'!$A:$AL,33,FALSE)</f>
        <v>303</v>
      </c>
      <c r="AC150" s="5">
        <f>VLOOKUP($A150,'SegEnds_NonXtal_Prot#'!$A:$AL,36,FALSE)</f>
        <v>327</v>
      </c>
      <c r="AD150" s="5">
        <f>VLOOKUP($A150,'SegEnds_NonXtal_Prot#'!$A:$AL,5,FALSE)</f>
        <v>41</v>
      </c>
      <c r="AE150" s="5">
        <f>VLOOKUP($A150,'SegEnds_NonXtal_Prot#'!$A:$AL,8,FALSE)</f>
        <v>45</v>
      </c>
      <c r="AF150" s="5">
        <f>VLOOKUP($A150,'SegEnds_NonXtal_Prot#'!$A:$AL,11,FALSE)</f>
        <v>76</v>
      </c>
      <c r="AG150" s="5">
        <f>VLOOKUP($A150,'SegEnds_NonXtal_Prot#'!$A:$AL,14,FALSE)</f>
        <v>85</v>
      </c>
      <c r="AH150" s="5">
        <f>VLOOKUP($A150,'SegEnds_NonXtal_Prot#'!$A:$AL,17,FALSE)</f>
        <v>121</v>
      </c>
      <c r="AI150" s="5">
        <f>VLOOKUP($A150,'SegEnds_NonXtal_Prot#'!$A:$AL,20,FALSE)</f>
        <v>129</v>
      </c>
      <c r="AJ150" s="5">
        <f>VLOOKUP($A150,'SegEnds_NonXtal_Prot#'!$A:$AL,23,FALSE)</f>
        <v>156</v>
      </c>
      <c r="AK150" s="5">
        <f>VLOOKUP($A150,'SegEnds_NonXtal_Prot#'!$A:$AL,26,FALSE)</f>
        <v>170</v>
      </c>
      <c r="AL150" s="5">
        <f>VLOOKUP($A150,'SegEnds_NonXtal_Prot#'!$A:$AL,29,FALSE)</f>
        <v>215</v>
      </c>
      <c r="AM150" s="5">
        <f>VLOOKUP($A150,'SegEnds_NonXtal_Prot#'!$A:$AL,32,FALSE)</f>
        <v>298</v>
      </c>
      <c r="AN150" s="5">
        <f>VLOOKUP($A150,'SegEnds_NonXtal_Prot#'!$A:$AL,35,FALSE)</f>
        <v>326</v>
      </c>
      <c r="AO150" s="5">
        <f>VLOOKUP($A150,'SegEnds_NonXtal_Prot#'!$A:$AL,38,FALSE)</f>
        <v>338</v>
      </c>
      <c r="AP150" s="5">
        <f t="shared" si="63"/>
        <v>32</v>
      </c>
      <c r="AQ150" s="4">
        <f t="shared" si="64"/>
        <v>3</v>
      </c>
      <c r="AR150" s="4">
        <f t="shared" si="65"/>
        <v>30</v>
      </c>
      <c r="AS150" s="4">
        <f t="shared" si="66"/>
        <v>3</v>
      </c>
      <c r="AT150" s="4">
        <f t="shared" si="67"/>
        <v>35</v>
      </c>
      <c r="AU150" s="4">
        <f t="shared" si="68"/>
        <v>7</v>
      </c>
      <c r="AV150" s="4">
        <f t="shared" si="69"/>
        <v>26</v>
      </c>
      <c r="AW150" s="4">
        <f t="shared" si="70"/>
        <v>2</v>
      </c>
      <c r="AX150" s="4">
        <f t="shared" si="71"/>
        <v>39</v>
      </c>
      <c r="AY150" s="4">
        <f t="shared" si="72"/>
        <v>37</v>
      </c>
      <c r="AZ150" s="4">
        <f t="shared" si="73"/>
        <v>23</v>
      </c>
      <c r="BA150" s="4">
        <f t="shared" si="74"/>
        <v>11</v>
      </c>
    </row>
    <row r="151" spans="1:53" x14ac:dyDescent="0.2">
      <c r="A151" s="1" t="str">
        <f>'SegEnds_NonXtal_Prot#'!A126</f>
        <v>gp183_human</v>
      </c>
      <c r="B151" s="1" t="str">
        <f t="shared" si="50"/>
        <v>TARIVMPLHYSLVFIIGLVGNLLALVVIVQNNSTTLYSTNLVISDILFTTALPTRIAYYAMGGDALCRITALVFYINTYAGVNFMTCLSIDRFIAVVHRIEHAKGVCIFVWILVFAQTLPLLINPEETKSLPWILLGACFIGYVLPLIIILICYSQICCKLFRTLTEKSGVNKKALNTIILIIVVFVLCFTPYHVAIIQHMIKKLRECSQRHSFQISLHFTVCLMNFNCCMDPFIYFFACKGYKRKVMRMLK</v>
      </c>
      <c r="C151" s="29" t="str">
        <f>IF(ISERROR(MATCH(A151,'SegEnds_Xtal_Prot#'!B:B, 0)), "NoXtal", "Xtal")</f>
        <v>NoXtal</v>
      </c>
      <c r="D151" s="4" t="str">
        <f>VLOOKUP(A151,Classification!A:D,2,FALSE)</f>
        <v>A</v>
      </c>
      <c r="E151" s="5" t="str">
        <f>VLOOKUP(A151,Seqs!A:B,2,FALSE)</f>
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</c>
      <c r="F151" s="5" t="str">
        <f t="shared" si="51"/>
        <v>TARIVMPLHYSLVFIIGLVGNLLALVVIVQN</v>
      </c>
      <c r="G151" s="4" t="str">
        <f t="shared" si="52"/>
        <v>RKKI</v>
      </c>
      <c r="H151" s="4" t="str">
        <f t="shared" si="53"/>
        <v>NSTTLYSTNLVISDILFTTALPTRIAYYAMG</v>
      </c>
      <c r="I151" s="4" t="str">
        <f t="shared" si="54"/>
        <v>DWRI</v>
      </c>
      <c r="J151" s="4" t="str">
        <f t="shared" si="55"/>
        <v>GDALCRITALVFYINTYAGVNFMTCLSIDRFIAVVH</v>
      </c>
      <c r="K151" s="4" t="str">
        <f t="shared" si="56"/>
        <v>PLRYNKIK</v>
      </c>
      <c r="L151" s="4" t="str">
        <f t="shared" si="57"/>
        <v>RIEHAKGVCIFVWILVFAQTLPLLINP</v>
      </c>
      <c r="M151" s="4" t="str">
        <f t="shared" si="58"/>
        <v>CME</v>
      </c>
      <c r="N151" s="4" t="str">
        <f t="shared" si="59"/>
        <v>EETKSLPWILLGACFIGYVLPLIIILICYSQICCKLFRT</v>
      </c>
      <c r="O151" s="4" t="str">
        <f t="shared" si="60"/>
        <v>LTEKSGVNKKALNTIILIIVVFVLCFTPYHVAIIQHMIKKLR</v>
      </c>
      <c r="P151" s="4" t="str">
        <f t="shared" si="61"/>
        <v>ECSQRHSFQISLHFTVCLMNFNCCMDPFIYFFA</v>
      </c>
      <c r="Q151" s="4" t="str">
        <f t="shared" si="62"/>
        <v>CKGYKRKVMRMLK</v>
      </c>
      <c r="R151" s="5">
        <f>VLOOKUP($A151,'SegEnds_NonXtal_Prot#'!$A:$AL,3,FALSE)</f>
        <v>29</v>
      </c>
      <c r="S151" s="5">
        <f>VLOOKUP($A151,'SegEnds_NonXtal_Prot#'!$A:$AL,6,FALSE)</f>
        <v>60</v>
      </c>
      <c r="T151" s="5">
        <f>VLOOKUP($A151,'SegEnds_NonXtal_Prot#'!$A:$AL,9,FALSE)</f>
        <v>64</v>
      </c>
      <c r="U151" s="5">
        <f>VLOOKUP($A151,'SegEnds_NonXtal_Prot#'!$A:$AL,12,FALSE)</f>
        <v>96</v>
      </c>
      <c r="V151" s="5">
        <f>VLOOKUP($A151,'SegEnds_NonXtal_Prot#'!$A:$AL,15,FALSE)</f>
        <v>100</v>
      </c>
      <c r="W151" s="5">
        <f>VLOOKUP($A151,'SegEnds_NonXtal_Prot#'!$A:$AL,18,FALSE)</f>
        <v>136</v>
      </c>
      <c r="X151" s="5">
        <f>VLOOKUP($A151,'SegEnds_NonXtal_Prot#'!$A:$AL,21,FALSE)</f>
        <v>144</v>
      </c>
      <c r="Y151" s="5">
        <f>VLOOKUP($A151,'SegEnds_NonXtal_Prot#'!$A:$AL,24,FALSE)</f>
        <v>181</v>
      </c>
      <c r="Z151" s="5">
        <f>VLOOKUP($A151,'SegEnds_NonXtal_Prot#'!$A:$AL,27,FALSE)</f>
        <v>188</v>
      </c>
      <c r="AA151" s="5">
        <f>VLOOKUP($A151,'SegEnds_NonXtal_Prot#'!$A:$AL,30,FALSE)</f>
        <v>232</v>
      </c>
      <c r="AB151" s="5">
        <f>VLOOKUP($A151,'SegEnds_NonXtal_Prot#'!$A:$AL,33,FALSE)</f>
        <v>279</v>
      </c>
      <c r="AC151" s="5">
        <f>VLOOKUP($A151,'SegEnds_NonXtal_Prot#'!$A:$AL,36,FALSE)</f>
        <v>312</v>
      </c>
      <c r="AD151" s="5">
        <f>VLOOKUP($A151,'SegEnds_NonXtal_Prot#'!$A:$AL,5,FALSE)</f>
        <v>59</v>
      </c>
      <c r="AE151" s="5">
        <f>VLOOKUP($A151,'SegEnds_NonXtal_Prot#'!$A:$AL,8,FALSE)</f>
        <v>63</v>
      </c>
      <c r="AF151" s="5">
        <f>VLOOKUP($A151,'SegEnds_NonXtal_Prot#'!$A:$AL,11,FALSE)</f>
        <v>94</v>
      </c>
      <c r="AG151" s="5">
        <f>VLOOKUP($A151,'SegEnds_NonXtal_Prot#'!$A:$AL,14,FALSE)</f>
        <v>99</v>
      </c>
      <c r="AH151" s="5">
        <f>VLOOKUP($A151,'SegEnds_NonXtal_Prot#'!$A:$AL,17,FALSE)</f>
        <v>135</v>
      </c>
      <c r="AI151" s="5">
        <f>VLOOKUP($A151,'SegEnds_NonXtal_Prot#'!$A:$AL,20,FALSE)</f>
        <v>143</v>
      </c>
      <c r="AJ151" s="5">
        <f>VLOOKUP($A151,'SegEnds_NonXtal_Prot#'!$A:$AL,23,FALSE)</f>
        <v>170</v>
      </c>
      <c r="AK151" s="5">
        <f>VLOOKUP($A151,'SegEnds_NonXtal_Prot#'!$A:$AL,26,FALSE)</f>
        <v>183</v>
      </c>
      <c r="AL151" s="5">
        <f>VLOOKUP($A151,'SegEnds_NonXtal_Prot#'!$A:$AL,29,FALSE)</f>
        <v>226</v>
      </c>
      <c r="AM151" s="5">
        <f>VLOOKUP($A151,'SegEnds_NonXtal_Prot#'!$A:$AL,32,FALSE)</f>
        <v>273</v>
      </c>
      <c r="AN151" s="5">
        <f>VLOOKUP($A151,'SegEnds_NonXtal_Prot#'!$A:$AL,35,FALSE)</f>
        <v>311</v>
      </c>
      <c r="AO151" s="5">
        <f>VLOOKUP($A151,'SegEnds_NonXtal_Prot#'!$A:$AL,38,FALSE)</f>
        <v>324</v>
      </c>
      <c r="AP151" s="5">
        <f t="shared" si="63"/>
        <v>30</v>
      </c>
      <c r="AQ151" s="4">
        <f t="shared" si="64"/>
        <v>3</v>
      </c>
      <c r="AR151" s="4">
        <f t="shared" si="65"/>
        <v>30</v>
      </c>
      <c r="AS151" s="4">
        <f t="shared" si="66"/>
        <v>3</v>
      </c>
      <c r="AT151" s="4">
        <f t="shared" si="67"/>
        <v>35</v>
      </c>
      <c r="AU151" s="4">
        <f t="shared" si="68"/>
        <v>7</v>
      </c>
      <c r="AV151" s="4">
        <f t="shared" si="69"/>
        <v>26</v>
      </c>
      <c r="AW151" s="4">
        <f t="shared" si="70"/>
        <v>2</v>
      </c>
      <c r="AX151" s="4">
        <f t="shared" si="71"/>
        <v>38</v>
      </c>
      <c r="AY151" s="4">
        <f t="shared" si="72"/>
        <v>41</v>
      </c>
      <c r="AZ151" s="4">
        <f t="shared" si="73"/>
        <v>32</v>
      </c>
      <c r="BA151" s="4">
        <f t="shared" si="74"/>
        <v>12</v>
      </c>
    </row>
    <row r="152" spans="1:53" x14ac:dyDescent="0.2">
      <c r="A152" s="1" t="str">
        <f>'SegEnds_NonXtal_Prot#'!A127</f>
        <v>gper1_human</v>
      </c>
      <c r="B152" s="1" t="str">
        <f t="shared" si="50"/>
        <v>HQQYVIGLFLSCLYTIFLFPIGFVGNILILVVNISFTIPDLYFINLAVADLILVADSLIEVFNLHEAVLCTFMSLFLQVNMYSSVFFLTWMSFDRYIALARTKHHARLSCGLIWMASVSATLVPFTADVREVQWLEVTLGFIVPFAIIGLCYSLIVRVLVRARGLRPRRQKALRMILAVVLVFFVCWLPENVFISVHLLQRTQKQSFRHAHPLTGHIVNLAAFSNSCLNPLIYSFLGETFRDKLRLYIEQ</v>
      </c>
      <c r="C152" s="29" t="str">
        <f>IF(ISERROR(MATCH(A152,'SegEnds_Xtal_Prot#'!B:B, 0)), "NoXtal", "Xtal")</f>
        <v>NoXtal</v>
      </c>
      <c r="D152" s="4" t="str">
        <f>VLOOKUP(A152,Classification!A:D,2,FALSE)</f>
        <v>A</v>
      </c>
      <c r="E152" s="5" t="str">
        <f>VLOOKUP(A152,Seqs!A:B,2,FALSE)</f>
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</c>
      <c r="F152" s="5" t="str">
        <f t="shared" si="51"/>
        <v>HQQYVIGLFLSCLYTIFLFPIGFVGNILILVVNISF</v>
      </c>
      <c r="G152" s="4" t="str">
        <f t="shared" si="52"/>
        <v>REKM</v>
      </c>
      <c r="H152" s="4" t="str">
        <f t="shared" si="53"/>
        <v>TIPDLYFINLAVADLILVADSLIEVFNLHE</v>
      </c>
      <c r="I152" s="4" t="str">
        <f t="shared" si="54"/>
        <v>YYDI</v>
      </c>
      <c r="J152" s="4" t="str">
        <f t="shared" si="55"/>
        <v>AVLCTFMSLFLQVNMYSSVFFLTWMSFDRYIALAR</v>
      </c>
      <c r="K152" s="4" t="str">
        <f t="shared" si="56"/>
        <v>AMRCSLFR</v>
      </c>
      <c r="L152" s="4" t="str">
        <f t="shared" si="57"/>
        <v>TKHHARLSCGLIWMASVSATLVPFTA</v>
      </c>
      <c r="M152" s="4" t="str">
        <f t="shared" si="58"/>
        <v>CFC</v>
      </c>
      <c r="N152" s="4" t="str">
        <f t="shared" si="59"/>
        <v>DVREVQWLEVTLGFIVPFAIIGLCYSLIVRVLVRA</v>
      </c>
      <c r="O152" s="4" t="str">
        <f t="shared" si="60"/>
        <v>RGLRPRRQKALRMILAVVLVFFVCWLPENVFISVHLLQRTQ</v>
      </c>
      <c r="P152" s="4" t="str">
        <f t="shared" si="61"/>
        <v>KQSFRHAHPLTGHIVNLAAFSNSCLNPLIYSFL</v>
      </c>
      <c r="Q152" s="4" t="str">
        <f t="shared" si="62"/>
        <v>GETFRDKLRLYIEQ</v>
      </c>
      <c r="R152" s="5">
        <f>VLOOKUP($A152,'SegEnds_NonXtal_Prot#'!$A:$AL,3,FALSE)</f>
        <v>52</v>
      </c>
      <c r="S152" s="5">
        <f>VLOOKUP($A152,'SegEnds_NonXtal_Prot#'!$A:$AL,6,FALSE)</f>
        <v>88</v>
      </c>
      <c r="T152" s="5">
        <f>VLOOKUP($A152,'SegEnds_NonXtal_Prot#'!$A:$AL,9,FALSE)</f>
        <v>92</v>
      </c>
      <c r="U152" s="5">
        <f>VLOOKUP($A152,'SegEnds_NonXtal_Prot#'!$A:$AL,12,FALSE)</f>
        <v>123</v>
      </c>
      <c r="V152" s="5">
        <f>VLOOKUP($A152,'SegEnds_NonXtal_Prot#'!$A:$AL,15,FALSE)</f>
        <v>127</v>
      </c>
      <c r="W152" s="5">
        <f>VLOOKUP($A152,'SegEnds_NonXtal_Prot#'!$A:$AL,18,FALSE)</f>
        <v>162</v>
      </c>
      <c r="X152" s="5">
        <f>VLOOKUP($A152,'SegEnds_NonXtal_Prot#'!$A:$AL,21,FALSE)</f>
        <v>170</v>
      </c>
      <c r="Y152" s="5">
        <f>VLOOKUP($A152,'SegEnds_NonXtal_Prot#'!$A:$AL,24,FALSE)</f>
        <v>205</v>
      </c>
      <c r="Z152" s="5">
        <f>VLOOKUP($A152,'SegEnds_NonXtal_Prot#'!$A:$AL,27,FALSE)</f>
        <v>210</v>
      </c>
      <c r="AA152" s="5">
        <f>VLOOKUP($A152,'SegEnds_NonXtal_Prot#'!$A:$AL,30,FALSE)</f>
        <v>248</v>
      </c>
      <c r="AB152" s="5">
        <f>VLOOKUP($A152,'SegEnds_NonXtal_Prot#'!$A:$AL,33,FALSE)</f>
        <v>295</v>
      </c>
      <c r="AC152" s="5">
        <f>VLOOKUP($A152,'SegEnds_NonXtal_Prot#'!$A:$AL,36,FALSE)</f>
        <v>328</v>
      </c>
      <c r="AD152" s="5">
        <f>VLOOKUP($A152,'SegEnds_NonXtal_Prot#'!$A:$AL,5,FALSE)</f>
        <v>87</v>
      </c>
      <c r="AE152" s="5">
        <f>VLOOKUP($A152,'SegEnds_NonXtal_Prot#'!$A:$AL,8,FALSE)</f>
        <v>91</v>
      </c>
      <c r="AF152" s="5">
        <f>VLOOKUP($A152,'SegEnds_NonXtal_Prot#'!$A:$AL,11,FALSE)</f>
        <v>121</v>
      </c>
      <c r="AG152" s="5">
        <f>VLOOKUP($A152,'SegEnds_NonXtal_Prot#'!$A:$AL,14,FALSE)</f>
        <v>126</v>
      </c>
      <c r="AH152" s="5">
        <f>VLOOKUP($A152,'SegEnds_NonXtal_Prot#'!$A:$AL,17,FALSE)</f>
        <v>161</v>
      </c>
      <c r="AI152" s="5">
        <f>VLOOKUP($A152,'SegEnds_NonXtal_Prot#'!$A:$AL,20,FALSE)</f>
        <v>169</v>
      </c>
      <c r="AJ152" s="5">
        <f>VLOOKUP($A152,'SegEnds_NonXtal_Prot#'!$A:$AL,23,FALSE)</f>
        <v>195</v>
      </c>
      <c r="AK152" s="5">
        <f>VLOOKUP($A152,'SegEnds_NonXtal_Prot#'!$A:$AL,26,FALSE)</f>
        <v>207</v>
      </c>
      <c r="AL152" s="5">
        <f>VLOOKUP($A152,'SegEnds_NonXtal_Prot#'!$A:$AL,29,FALSE)</f>
        <v>244</v>
      </c>
      <c r="AM152" s="5">
        <f>VLOOKUP($A152,'SegEnds_NonXtal_Prot#'!$A:$AL,32,FALSE)</f>
        <v>288</v>
      </c>
      <c r="AN152" s="5">
        <f>VLOOKUP($A152,'SegEnds_NonXtal_Prot#'!$A:$AL,35,FALSE)</f>
        <v>327</v>
      </c>
      <c r="AO152" s="5">
        <f>VLOOKUP($A152,'SegEnds_NonXtal_Prot#'!$A:$AL,38,FALSE)</f>
        <v>341</v>
      </c>
      <c r="AP152" s="5">
        <f t="shared" si="63"/>
        <v>35</v>
      </c>
      <c r="AQ152" s="4">
        <f t="shared" si="64"/>
        <v>3</v>
      </c>
      <c r="AR152" s="4">
        <f t="shared" si="65"/>
        <v>29</v>
      </c>
      <c r="AS152" s="4">
        <f t="shared" si="66"/>
        <v>3</v>
      </c>
      <c r="AT152" s="4">
        <f t="shared" si="67"/>
        <v>34</v>
      </c>
      <c r="AU152" s="4">
        <f t="shared" si="68"/>
        <v>7</v>
      </c>
      <c r="AV152" s="4">
        <f t="shared" si="69"/>
        <v>25</v>
      </c>
      <c r="AW152" s="4">
        <f t="shared" si="70"/>
        <v>2</v>
      </c>
      <c r="AX152" s="4">
        <f t="shared" si="71"/>
        <v>34</v>
      </c>
      <c r="AY152" s="4">
        <f t="shared" si="72"/>
        <v>40</v>
      </c>
      <c r="AZ152" s="4">
        <f t="shared" si="73"/>
        <v>32</v>
      </c>
      <c r="BA152" s="4">
        <f t="shared" si="74"/>
        <v>13</v>
      </c>
    </row>
    <row r="153" spans="1:53" x14ac:dyDescent="0.2">
      <c r="A153" s="1" t="str">
        <f>'SegEnds_NonXtal_Prot#'!A128</f>
        <v>gpr1_human</v>
      </c>
      <c r="B153" s="1" t="str">
        <f t="shared" si="50"/>
        <v>KVQLGVVHWVSLVLYCLAFVLGIPGNAIVIWFTGFKWTVTTLWFLNLAIADFIFLLFLPLYISYVAMNGIWLCKANSFTAQLNMFASVFFLTVISLDHYIHLIHTLKNSLIVIIFIWLLASLIGGPALYFRFQKHDPDLTLIRHHVLTWVKFIIGYLFPLLTMSICYLCLIFKVKKRSSRHFWTILVVVVAFVVCWTPYHLFSIWELTIHHVMQAGIPLSTGLAFLNSCLNPILYVLISKKFQARFRSSV</v>
      </c>
      <c r="C153" s="29" t="str">
        <f>IF(ISERROR(MATCH(A153,'SegEnds_Xtal_Prot#'!B:B, 0)), "NoXtal", "Xtal")</f>
        <v>NoXtal</v>
      </c>
      <c r="D153" s="4" t="str">
        <f>VLOOKUP(A153,Classification!A:D,2,FALSE)</f>
        <v>A</v>
      </c>
      <c r="E153" s="5" t="str">
        <f>VLOOKUP(A153,Seqs!A:B,2,FALSE)</f>
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</c>
      <c r="F153" s="5" t="str">
        <f t="shared" si="51"/>
        <v>KVQLGVVHWVSLVLYCLAFVLGIPGNAIVIWFTGFKW</v>
      </c>
      <c r="G153" s="4" t="str">
        <f t="shared" si="52"/>
        <v/>
      </c>
      <c r="H153" s="4" t="str">
        <f t="shared" si="53"/>
        <v>TVTTLWFLNLAIADFIFLLFLPLYISYVAMN</v>
      </c>
      <c r="I153" s="4" t="str">
        <f t="shared" si="54"/>
        <v>HWPF</v>
      </c>
      <c r="J153" s="4" t="str">
        <f t="shared" si="55"/>
        <v>GIWLCKANSFTAQLNMFASVFFLTVISLDHYIHLIH</v>
      </c>
      <c r="K153" s="4" t="str">
        <f t="shared" si="56"/>
        <v>PVLSHRHR</v>
      </c>
      <c r="L153" s="4" t="str">
        <f t="shared" si="57"/>
        <v>TLKNSLIVIIFIWLLASLIGGPALYFR</v>
      </c>
      <c r="M153" s="4" t="str">
        <f t="shared" si="58"/>
        <v>CYN</v>
      </c>
      <c r="N153" s="4" t="str">
        <f t="shared" si="59"/>
        <v>FQKHDPDLTLIRHHVLTWVKFIIGYLFPLLTMSICYLCLIFKVKKR</v>
      </c>
      <c r="O153" s="4" t="str">
        <f t="shared" si="60"/>
        <v>SSRHFWTILVVVVAFVVCWTPYHLFSIWELTI</v>
      </c>
      <c r="P153" s="4" t="str">
        <f t="shared" si="61"/>
        <v>HHVMQAGIPLSTGLAFLNSCLNPILYVLI</v>
      </c>
      <c r="Q153" s="4" t="str">
        <f t="shared" si="62"/>
        <v>SKKFQARFRSSV</v>
      </c>
      <c r="R153" s="5">
        <f>VLOOKUP($A153,'SegEnds_NonXtal_Prot#'!$A:$AL,3,FALSE)</f>
        <v>31</v>
      </c>
      <c r="S153" s="5" t="str">
        <f>VLOOKUP($A153,'SegEnds_NonXtal_Prot#'!$A:$AL,6,FALSE)</f>
        <v>-</v>
      </c>
      <c r="T153" s="5">
        <f>VLOOKUP($A153,'SegEnds_NonXtal_Prot#'!$A:$AL,9,FALSE)</f>
        <v>70</v>
      </c>
      <c r="U153" s="5">
        <f>VLOOKUP($A153,'SegEnds_NonXtal_Prot#'!$A:$AL,12,FALSE)</f>
        <v>102</v>
      </c>
      <c r="V153" s="5">
        <f>VLOOKUP($A153,'SegEnds_NonXtal_Prot#'!$A:$AL,15,FALSE)</f>
        <v>106</v>
      </c>
      <c r="W153" s="5">
        <f>VLOOKUP($A153,'SegEnds_NonXtal_Prot#'!$A:$AL,18,FALSE)</f>
        <v>142</v>
      </c>
      <c r="X153" s="5">
        <f>VLOOKUP($A153,'SegEnds_NonXtal_Prot#'!$A:$AL,21,FALSE)</f>
        <v>150</v>
      </c>
      <c r="Y153" s="5">
        <f>VLOOKUP($A153,'SegEnds_NonXtal_Prot#'!$A:$AL,24,FALSE)</f>
        <v>187</v>
      </c>
      <c r="Z153" s="5">
        <f>VLOOKUP($A153,'SegEnds_NonXtal_Prot#'!$A:$AL,27,FALSE)</f>
        <v>191</v>
      </c>
      <c r="AA153" s="5">
        <f>VLOOKUP($A153,'SegEnds_NonXtal_Prot#'!$A:$AL,30,FALSE)</f>
        <v>241</v>
      </c>
      <c r="AB153" s="5">
        <f>VLOOKUP($A153,'SegEnds_NonXtal_Prot#'!$A:$AL,33,FALSE)</f>
        <v>279</v>
      </c>
      <c r="AC153" s="5">
        <f>VLOOKUP($A153,'SegEnds_NonXtal_Prot#'!$A:$AL,36,FALSE)</f>
        <v>308</v>
      </c>
      <c r="AD153" s="5">
        <f>VLOOKUP($A153,'SegEnds_NonXtal_Prot#'!$A:$AL,5,FALSE)</f>
        <v>67</v>
      </c>
      <c r="AE153" s="5" t="str">
        <f>VLOOKUP($A153,'SegEnds_NonXtal_Prot#'!$A:$AL,8,FALSE)</f>
        <v>-</v>
      </c>
      <c r="AF153" s="5">
        <f>VLOOKUP($A153,'SegEnds_NonXtal_Prot#'!$A:$AL,11,FALSE)</f>
        <v>100</v>
      </c>
      <c r="AG153" s="5">
        <f>VLOOKUP($A153,'SegEnds_NonXtal_Prot#'!$A:$AL,14,FALSE)</f>
        <v>105</v>
      </c>
      <c r="AH153" s="5">
        <f>VLOOKUP($A153,'SegEnds_NonXtal_Prot#'!$A:$AL,17,FALSE)</f>
        <v>141</v>
      </c>
      <c r="AI153" s="5">
        <f>VLOOKUP($A153,'SegEnds_NonXtal_Prot#'!$A:$AL,20,FALSE)</f>
        <v>149</v>
      </c>
      <c r="AJ153" s="5">
        <f>VLOOKUP($A153,'SegEnds_NonXtal_Prot#'!$A:$AL,23,FALSE)</f>
        <v>176</v>
      </c>
      <c r="AK153" s="5">
        <f>VLOOKUP($A153,'SegEnds_NonXtal_Prot#'!$A:$AL,26,FALSE)</f>
        <v>189</v>
      </c>
      <c r="AL153" s="5">
        <f>VLOOKUP($A153,'SegEnds_NonXtal_Prot#'!$A:$AL,29,FALSE)</f>
        <v>236</v>
      </c>
      <c r="AM153" s="5">
        <f>VLOOKUP($A153,'SegEnds_NonXtal_Prot#'!$A:$AL,32,FALSE)</f>
        <v>272</v>
      </c>
      <c r="AN153" s="5">
        <f>VLOOKUP($A153,'SegEnds_NonXtal_Prot#'!$A:$AL,35,FALSE)</f>
        <v>307</v>
      </c>
      <c r="AO153" s="5">
        <f>VLOOKUP($A153,'SegEnds_NonXtal_Prot#'!$A:$AL,38,FALSE)</f>
        <v>319</v>
      </c>
      <c r="AP153" s="5">
        <f t="shared" si="63"/>
        <v>36</v>
      </c>
      <c r="AQ153" s="4" t="str">
        <f t="shared" si="64"/>
        <v>-</v>
      </c>
      <c r="AR153" s="4">
        <f t="shared" si="65"/>
        <v>30</v>
      </c>
      <c r="AS153" s="4">
        <f t="shared" si="66"/>
        <v>3</v>
      </c>
      <c r="AT153" s="4">
        <f t="shared" si="67"/>
        <v>35</v>
      </c>
      <c r="AU153" s="4">
        <f t="shared" si="68"/>
        <v>7</v>
      </c>
      <c r="AV153" s="4">
        <f t="shared" si="69"/>
        <v>26</v>
      </c>
      <c r="AW153" s="4">
        <f t="shared" si="70"/>
        <v>2</v>
      </c>
      <c r="AX153" s="4">
        <f t="shared" si="71"/>
        <v>45</v>
      </c>
      <c r="AY153" s="4">
        <f t="shared" si="72"/>
        <v>31</v>
      </c>
      <c r="AZ153" s="4">
        <f t="shared" si="73"/>
        <v>28</v>
      </c>
      <c r="BA153" s="4">
        <f t="shared" si="74"/>
        <v>11</v>
      </c>
    </row>
    <row r="154" spans="1:53" x14ac:dyDescent="0.2">
      <c r="A154" s="1" t="str">
        <f>'SegEnds_NonXtal_Prot#'!A129</f>
        <v>gpr12_human</v>
      </c>
      <c r="B154" s="1" t="str">
        <f t="shared" si="50"/>
        <v>LVVNPWDIVLCTSGTLISCENAIVVLIIFHNAPMFLLIGSLALADLLAGIGLITNFVQSEATKLVTIGLIVASFSASVCSLLAITVDRYLSLYYTVTFTYVMLVMLWGTSICLGLLPVMGTKNNAAILSVSFLFMFALMLQLYIQICKIVMRHAHQIALATSHYVTTRKGVSTLAIILGTFAACWMPFTLYSLIADYTYTYATLLPATYNSIINPVIYAFRNQEIQKALCLICC</v>
      </c>
      <c r="C154" s="29" t="str">
        <f>IF(ISERROR(MATCH(A154,'SegEnds_Xtal_Prot#'!B:B, 0)), "NoXtal", "Xtal")</f>
        <v>NoXtal</v>
      </c>
      <c r="D154" s="4" t="str">
        <f>VLOOKUP(A154,Classification!A:D,2,FALSE)</f>
        <v>A</v>
      </c>
      <c r="E154" s="5" t="str">
        <f>VLOOKUP(A154,Seqs!A:B,2,FALSE)</f>
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</c>
      <c r="F154" s="5" t="str">
        <f t="shared" si="51"/>
        <v>LVVNPWDIVLCTSGTLISCENAIVVLIIFHN</v>
      </c>
      <c r="G154" s="4" t="str">
        <f t="shared" si="52"/>
        <v/>
      </c>
      <c r="H154" s="4" t="str">
        <f t="shared" si="53"/>
        <v>APMFLLIGSLALADLLAGIGLITNFV</v>
      </c>
      <c r="I154" s="4" t="str">
        <f t="shared" si="54"/>
        <v>AYLL</v>
      </c>
      <c r="J154" s="4" t="str">
        <f t="shared" si="55"/>
        <v>QSEATKLVTIGLIVASFSASVCSLLAITVDRYLSLYY</v>
      </c>
      <c r="K154" s="4" t="str">
        <f t="shared" si="56"/>
        <v>ALTYHSER</v>
      </c>
      <c r="L154" s="4" t="str">
        <f t="shared" si="57"/>
        <v>TVTFTYVMLVMLWGTSICLGLLPVMG</v>
      </c>
      <c r="M154" s="4" t="str">
        <f t="shared" si="58"/>
        <v/>
      </c>
      <c r="N154" s="4" t="str">
        <f t="shared" si="59"/>
        <v>TKNNAAILSVSFLFMFALMLQLYIQICKIVMRHAHQIA</v>
      </c>
      <c r="O154" s="4" t="str">
        <f t="shared" si="60"/>
        <v>LATSHYVTTRKGVSTLAIILGTFAACWMPFTLYSLIADYT</v>
      </c>
      <c r="P154" s="4" t="str">
        <f t="shared" si="61"/>
        <v>YTYATLLPATYNSIINPVIYAFR</v>
      </c>
      <c r="Q154" s="4" t="str">
        <f t="shared" si="62"/>
        <v>NQEIQKALCLICC</v>
      </c>
      <c r="R154" s="5">
        <f>VLOOKUP($A154,'SegEnds_NonXtal_Prot#'!$A:$AL,3,FALSE)</f>
        <v>42</v>
      </c>
      <c r="S154" s="5" t="str">
        <f>VLOOKUP($A154,'SegEnds_NonXtal_Prot#'!$A:$AL,6,FALSE)</f>
        <v>-</v>
      </c>
      <c r="T154" s="5">
        <f>VLOOKUP($A154,'SegEnds_NonXtal_Prot#'!$A:$AL,9,FALSE)</f>
        <v>77</v>
      </c>
      <c r="U154" s="5">
        <f>VLOOKUP($A154,'SegEnds_NonXtal_Prot#'!$A:$AL,12,FALSE)</f>
        <v>104</v>
      </c>
      <c r="V154" s="5">
        <f>VLOOKUP($A154,'SegEnds_NonXtal_Prot#'!$A:$AL,15,FALSE)</f>
        <v>108</v>
      </c>
      <c r="W154" s="5">
        <f>VLOOKUP($A154,'SegEnds_NonXtal_Prot#'!$A:$AL,18,FALSE)</f>
        <v>145</v>
      </c>
      <c r="X154" s="5">
        <f>VLOOKUP($A154,'SegEnds_NonXtal_Prot#'!$A:$AL,21,FALSE)</f>
        <v>153</v>
      </c>
      <c r="Y154" s="5" t="str">
        <f>VLOOKUP($A154,'SegEnds_NonXtal_Prot#'!$A:$AL,24,FALSE)</f>
        <v>-</v>
      </c>
      <c r="Z154" s="5">
        <f>VLOOKUP($A154,'SegEnds_NonXtal_Prot#'!$A:$AL,27,FALSE)</f>
        <v>195</v>
      </c>
      <c r="AA154" s="5">
        <f>VLOOKUP($A154,'SegEnds_NonXtal_Prot#'!$A:$AL,30,FALSE)</f>
        <v>238</v>
      </c>
      <c r="AB154" s="5">
        <f>VLOOKUP($A154,'SegEnds_NonXtal_Prot#'!$A:$AL,33,FALSE)</f>
        <v>282</v>
      </c>
      <c r="AC154" s="5">
        <f>VLOOKUP($A154,'SegEnds_NonXtal_Prot#'!$A:$AL,36,FALSE)</f>
        <v>305</v>
      </c>
      <c r="AD154" s="5">
        <f>VLOOKUP($A154,'SegEnds_NonXtal_Prot#'!$A:$AL,5,FALSE)</f>
        <v>72</v>
      </c>
      <c r="AE154" s="5" t="str">
        <f>VLOOKUP($A154,'SegEnds_NonXtal_Prot#'!$A:$AL,8,FALSE)</f>
        <v>-</v>
      </c>
      <c r="AF154" s="5">
        <f>VLOOKUP($A154,'SegEnds_NonXtal_Prot#'!$A:$AL,11,FALSE)</f>
        <v>102</v>
      </c>
      <c r="AG154" s="5">
        <f>VLOOKUP($A154,'SegEnds_NonXtal_Prot#'!$A:$AL,14,FALSE)</f>
        <v>107</v>
      </c>
      <c r="AH154" s="5">
        <f>VLOOKUP($A154,'SegEnds_NonXtal_Prot#'!$A:$AL,17,FALSE)</f>
        <v>144</v>
      </c>
      <c r="AI154" s="5">
        <f>VLOOKUP($A154,'SegEnds_NonXtal_Prot#'!$A:$AL,20,FALSE)</f>
        <v>152</v>
      </c>
      <c r="AJ154" s="5">
        <f>VLOOKUP($A154,'SegEnds_NonXtal_Prot#'!$A:$AL,23,FALSE)</f>
        <v>178</v>
      </c>
      <c r="AK154" s="5" t="str">
        <f>VLOOKUP($A154,'SegEnds_NonXtal_Prot#'!$A:$AL,26,FALSE)</f>
        <v>-</v>
      </c>
      <c r="AL154" s="5">
        <f>VLOOKUP($A154,'SegEnds_NonXtal_Prot#'!$A:$AL,29,FALSE)</f>
        <v>232</v>
      </c>
      <c r="AM154" s="5">
        <f>VLOOKUP($A154,'SegEnds_NonXtal_Prot#'!$A:$AL,32,FALSE)</f>
        <v>277</v>
      </c>
      <c r="AN154" s="5">
        <f>VLOOKUP($A154,'SegEnds_NonXtal_Prot#'!$A:$AL,35,FALSE)</f>
        <v>304</v>
      </c>
      <c r="AO154" s="5">
        <f>VLOOKUP($A154,'SegEnds_NonXtal_Prot#'!$A:$AL,38,FALSE)</f>
        <v>317</v>
      </c>
      <c r="AP154" s="5">
        <f t="shared" si="63"/>
        <v>30</v>
      </c>
      <c r="AQ154" s="4" t="str">
        <f t="shared" si="64"/>
        <v>-</v>
      </c>
      <c r="AR154" s="4">
        <f t="shared" si="65"/>
        <v>25</v>
      </c>
      <c r="AS154" s="4">
        <f t="shared" si="66"/>
        <v>3</v>
      </c>
      <c r="AT154" s="4">
        <f t="shared" si="67"/>
        <v>36</v>
      </c>
      <c r="AU154" s="4">
        <f t="shared" si="68"/>
        <v>7</v>
      </c>
      <c r="AV154" s="4">
        <f t="shared" si="69"/>
        <v>25</v>
      </c>
      <c r="AW154" s="4" t="str">
        <f t="shared" si="70"/>
        <v>-</v>
      </c>
      <c r="AX154" s="4">
        <f t="shared" si="71"/>
        <v>37</v>
      </c>
      <c r="AY154" s="4">
        <f t="shared" si="72"/>
        <v>39</v>
      </c>
      <c r="AZ154" s="4">
        <f t="shared" si="73"/>
        <v>22</v>
      </c>
      <c r="BA154" s="4">
        <f t="shared" si="74"/>
        <v>12</v>
      </c>
    </row>
    <row r="155" spans="1:53" x14ac:dyDescent="0.2">
      <c r="A155" s="1" t="str">
        <f>'SegEnds_NonXtal_Prot#'!A130</f>
        <v>gpr15_human</v>
      </c>
      <c r="B155" s="1" t="str">
        <f t="shared" si="50"/>
        <v>VFLPVFYTAVFLTGVLGNLVLMGALHFKRLIDIFIINLAASDFIFLVTLPLWVDKEASLGSFLCKGSSYMISVNMHCSVLLLTCMSVDRYLAIVWRTDCAYVVCASIWFISCLLGLPTLLSRKATPIKLIWSLVALIFTFFVPLLSIVTCYCCIARKLCAHGKHNKKLKKSIKIIFIVVAAFLVSWLPFNTFKFLAIVSHYLPSAILQLGMEVSGPLAFANSCVNPFIYYIFDSYIRRAIVHCLCPC</v>
      </c>
      <c r="C155" s="29" t="str">
        <f>IF(ISERROR(MATCH(A155,'SegEnds_Xtal_Prot#'!B:B, 0)), "NoXtal", "Xtal")</f>
        <v>NoXtal</v>
      </c>
      <c r="D155" s="4" t="str">
        <f>VLOOKUP(A155,Classification!A:D,2,FALSE)</f>
        <v>A</v>
      </c>
      <c r="E155" s="5" t="str">
        <f>VLOOKUP(A155,Seqs!A:B,2,FALSE)</f>
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</c>
      <c r="F155" s="5" t="str">
        <f t="shared" si="51"/>
        <v>VFLPVFYTAVFLTGVLGNLVLMGALHFK</v>
      </c>
      <c r="G155" s="4" t="str">
        <f t="shared" si="52"/>
        <v/>
      </c>
      <c r="H155" s="4" t="str">
        <f t="shared" si="53"/>
        <v>RLIDIFIINLAASDFIFLVTLPLWVDKEASL</v>
      </c>
      <c r="I155" s="4" t="str">
        <f t="shared" si="54"/>
        <v>LWRT</v>
      </c>
      <c r="J155" s="4" t="str">
        <f t="shared" si="55"/>
        <v>GSFLCKGSSYMISVNMHCSVLLLTCMSVDRYLAIVW</v>
      </c>
      <c r="K155" s="4" t="str">
        <f t="shared" si="56"/>
        <v>PVVSRKFR</v>
      </c>
      <c r="L155" s="4" t="str">
        <f t="shared" si="57"/>
        <v>RTDCAYVVCASIWFISCLLGLPTLLSR</v>
      </c>
      <c r="M155" s="4" t="str">
        <f t="shared" si="58"/>
        <v>CAE</v>
      </c>
      <c r="N155" s="4" t="str">
        <f t="shared" si="59"/>
        <v>KATPIKLIWSLVALIFTFFVPLLSIVTCYCCIARKLCAH</v>
      </c>
      <c r="O155" s="4" t="str">
        <f t="shared" si="60"/>
        <v>GKHNKKLKKSIKIIFIVVAAFLVSWLPFNTFKFLAIVS</v>
      </c>
      <c r="P155" s="4" t="str">
        <f t="shared" si="61"/>
        <v>HYLPSAILQLGMEVSGPLAFANSCVNPFIYYIF</v>
      </c>
      <c r="Q155" s="4" t="str">
        <f t="shared" si="62"/>
        <v>DSYIRRAIVHCLCPC</v>
      </c>
      <c r="R155" s="5">
        <f>VLOOKUP($A155,'SegEnds_NonXtal_Prot#'!$A:$AL,3,FALSE)</f>
        <v>34</v>
      </c>
      <c r="S155" s="5" t="str">
        <f>VLOOKUP($A155,'SegEnds_NonXtal_Prot#'!$A:$AL,6,FALSE)</f>
        <v>-</v>
      </c>
      <c r="T155" s="5">
        <f>VLOOKUP($A155,'SegEnds_NonXtal_Prot#'!$A:$AL,9,FALSE)</f>
        <v>66</v>
      </c>
      <c r="U155" s="5">
        <f>VLOOKUP($A155,'SegEnds_NonXtal_Prot#'!$A:$AL,12,FALSE)</f>
        <v>98</v>
      </c>
      <c r="V155" s="5">
        <f>VLOOKUP($A155,'SegEnds_NonXtal_Prot#'!$A:$AL,15,FALSE)</f>
        <v>102</v>
      </c>
      <c r="W155" s="5">
        <f>VLOOKUP($A155,'SegEnds_NonXtal_Prot#'!$A:$AL,18,FALSE)</f>
        <v>138</v>
      </c>
      <c r="X155" s="5">
        <f>VLOOKUP($A155,'SegEnds_NonXtal_Prot#'!$A:$AL,21,FALSE)</f>
        <v>146</v>
      </c>
      <c r="Y155" s="5">
        <f>VLOOKUP($A155,'SegEnds_NonXtal_Prot#'!$A:$AL,24,FALSE)</f>
        <v>183</v>
      </c>
      <c r="Z155" s="5">
        <f>VLOOKUP($A155,'SegEnds_NonXtal_Prot#'!$A:$AL,27,FALSE)</f>
        <v>187</v>
      </c>
      <c r="AA155" s="5">
        <f>VLOOKUP($A155,'SegEnds_NonXtal_Prot#'!$A:$AL,30,FALSE)</f>
        <v>230</v>
      </c>
      <c r="AB155" s="5">
        <f>VLOOKUP($A155,'SegEnds_NonXtal_Prot#'!$A:$AL,33,FALSE)</f>
        <v>273</v>
      </c>
      <c r="AC155" s="5">
        <f>VLOOKUP($A155,'SegEnds_NonXtal_Prot#'!$A:$AL,36,FALSE)</f>
        <v>306</v>
      </c>
      <c r="AD155" s="5">
        <f>VLOOKUP($A155,'SegEnds_NonXtal_Prot#'!$A:$AL,5,FALSE)</f>
        <v>61</v>
      </c>
      <c r="AE155" s="5" t="str">
        <f>VLOOKUP($A155,'SegEnds_NonXtal_Prot#'!$A:$AL,8,FALSE)</f>
        <v>-</v>
      </c>
      <c r="AF155" s="5">
        <f>VLOOKUP($A155,'SegEnds_NonXtal_Prot#'!$A:$AL,11,FALSE)</f>
        <v>96</v>
      </c>
      <c r="AG155" s="5">
        <f>VLOOKUP($A155,'SegEnds_NonXtal_Prot#'!$A:$AL,14,FALSE)</f>
        <v>101</v>
      </c>
      <c r="AH155" s="5">
        <f>VLOOKUP($A155,'SegEnds_NonXtal_Prot#'!$A:$AL,17,FALSE)</f>
        <v>137</v>
      </c>
      <c r="AI155" s="5">
        <f>VLOOKUP($A155,'SegEnds_NonXtal_Prot#'!$A:$AL,20,FALSE)</f>
        <v>145</v>
      </c>
      <c r="AJ155" s="5">
        <f>VLOOKUP($A155,'SegEnds_NonXtal_Prot#'!$A:$AL,23,FALSE)</f>
        <v>172</v>
      </c>
      <c r="AK155" s="5">
        <f>VLOOKUP($A155,'SegEnds_NonXtal_Prot#'!$A:$AL,26,FALSE)</f>
        <v>185</v>
      </c>
      <c r="AL155" s="5">
        <f>VLOOKUP($A155,'SegEnds_NonXtal_Prot#'!$A:$AL,29,FALSE)</f>
        <v>225</v>
      </c>
      <c r="AM155" s="5">
        <f>VLOOKUP($A155,'SegEnds_NonXtal_Prot#'!$A:$AL,32,FALSE)</f>
        <v>267</v>
      </c>
      <c r="AN155" s="5">
        <f>VLOOKUP($A155,'SegEnds_NonXtal_Prot#'!$A:$AL,35,FALSE)</f>
        <v>305</v>
      </c>
      <c r="AO155" s="5">
        <f>VLOOKUP($A155,'SegEnds_NonXtal_Prot#'!$A:$AL,38,FALSE)</f>
        <v>320</v>
      </c>
      <c r="AP155" s="5">
        <f t="shared" si="63"/>
        <v>27</v>
      </c>
      <c r="AQ155" s="4" t="str">
        <f t="shared" si="64"/>
        <v>-</v>
      </c>
      <c r="AR155" s="4">
        <f t="shared" si="65"/>
        <v>30</v>
      </c>
      <c r="AS155" s="4">
        <f t="shared" si="66"/>
        <v>3</v>
      </c>
      <c r="AT155" s="4">
        <f t="shared" si="67"/>
        <v>35</v>
      </c>
      <c r="AU155" s="4">
        <f t="shared" si="68"/>
        <v>7</v>
      </c>
      <c r="AV155" s="4">
        <f t="shared" si="69"/>
        <v>26</v>
      </c>
      <c r="AW155" s="4">
        <f t="shared" si="70"/>
        <v>2</v>
      </c>
      <c r="AX155" s="4">
        <f t="shared" si="71"/>
        <v>38</v>
      </c>
      <c r="AY155" s="4">
        <f t="shared" si="72"/>
        <v>37</v>
      </c>
      <c r="AZ155" s="4">
        <f t="shared" si="73"/>
        <v>32</v>
      </c>
      <c r="BA155" s="4">
        <f t="shared" si="74"/>
        <v>14</v>
      </c>
    </row>
    <row r="156" spans="1:53" x14ac:dyDescent="0.2">
      <c r="A156" s="1" t="str">
        <f>'SegEnds_NonXtal_Prot#'!A131</f>
        <v>gpr17_human</v>
      </c>
      <c r="B156" s="1" t="str">
        <f t="shared" si="50"/>
        <v>GQETPLENMLFASFYLLDFILALVGNTLALWLFIRDTPANVFLMHLAVADLSCVLVLPTRLVYHFSGGEIACRLTGFLFYLNMYASIYFLTCISADRFLAIVHRPLYAHLACAFLWVVVAVAMAPLLVSYREKASHHALVSLAVAFTFPFITTVTCYLLIIRSLRQEKRLKTKAVRMIAIVLAIFLVCFVPYHVNRSVYVLHYRSSCATQRILALANRITSCLTSLNGALDPIMYFFVAEKFRHALCNLLCG</v>
      </c>
      <c r="C156" s="29" t="str">
        <f>IF(ISERROR(MATCH(A156,'SegEnds_Xtal_Prot#'!B:B, 0)), "NoXtal", "Xtal")</f>
        <v>NoXtal</v>
      </c>
      <c r="D156" s="4" t="str">
        <f>VLOOKUP(A156,Classification!A:D,2,FALSE)</f>
        <v>A</v>
      </c>
      <c r="E156" s="5" t="str">
        <f>VLOOKUP(A156,Seqs!A:B,2,FALSE)</f>
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</c>
      <c r="F156" s="5" t="str">
        <f t="shared" si="51"/>
        <v>GQETPLENMLFASFYLLDFILALVGNTLALWLFIRD</v>
      </c>
      <c r="G156" s="4" t="str">
        <f t="shared" si="52"/>
        <v/>
      </c>
      <c r="H156" s="4" t="str">
        <f t="shared" si="53"/>
        <v>TPANVFLMHLAVADLSCVLVLPTRLVYHFSG</v>
      </c>
      <c r="I156" s="4" t="str">
        <f t="shared" si="54"/>
        <v>HWPF</v>
      </c>
      <c r="J156" s="4" t="str">
        <f t="shared" si="55"/>
        <v>GEIACRLTGFLFYLNMYASIYFLTCISADRFLAIVH</v>
      </c>
      <c r="K156" s="4" t="str">
        <f t="shared" si="56"/>
        <v>PVKSLKLR</v>
      </c>
      <c r="L156" s="4" t="str">
        <f t="shared" si="57"/>
        <v>RPLYAHLACAFLWVVVAVAMAPLLVS</v>
      </c>
      <c r="M156" s="4" t="str">
        <f t="shared" si="58"/>
        <v>CLQ</v>
      </c>
      <c r="N156" s="4" t="str">
        <f t="shared" si="59"/>
        <v>YREKASHHALVSLAVAFTFPFITTVTCYLLIIRSLRQ</v>
      </c>
      <c r="O156" s="4" t="str">
        <f t="shared" si="60"/>
        <v>EKRLKTKAVRMIAIVLAIFLVCFVPYHVNRSVYVLHYRS</v>
      </c>
      <c r="P156" s="4" t="str">
        <f t="shared" si="61"/>
        <v>SCATQRILALANRITSCLTSLNGALDPIMYFFV</v>
      </c>
      <c r="Q156" s="4" t="str">
        <f t="shared" si="62"/>
        <v>AEKFRHALCNLLCG</v>
      </c>
      <c r="R156" s="5">
        <f>VLOOKUP($A156,'SegEnds_NonXtal_Prot#'!$A:$AL,3,FALSE)</f>
        <v>52</v>
      </c>
      <c r="S156" s="5" t="str">
        <f>VLOOKUP($A156,'SegEnds_NonXtal_Prot#'!$A:$AL,6,FALSE)</f>
        <v>-</v>
      </c>
      <c r="T156" s="5">
        <f>VLOOKUP($A156,'SegEnds_NonXtal_Prot#'!$A:$AL,9,FALSE)</f>
        <v>92</v>
      </c>
      <c r="U156" s="5">
        <f>VLOOKUP($A156,'SegEnds_NonXtal_Prot#'!$A:$AL,12,FALSE)</f>
        <v>124</v>
      </c>
      <c r="V156" s="5">
        <f>VLOOKUP($A156,'SegEnds_NonXtal_Prot#'!$A:$AL,15,FALSE)</f>
        <v>128</v>
      </c>
      <c r="W156" s="5">
        <f>VLOOKUP($A156,'SegEnds_NonXtal_Prot#'!$A:$AL,18,FALSE)</f>
        <v>164</v>
      </c>
      <c r="X156" s="5">
        <f>VLOOKUP($A156,'SegEnds_NonXtal_Prot#'!$A:$AL,21,FALSE)</f>
        <v>172</v>
      </c>
      <c r="Y156" s="5">
        <f>VLOOKUP($A156,'SegEnds_NonXtal_Prot#'!$A:$AL,24,FALSE)</f>
        <v>209</v>
      </c>
      <c r="Z156" s="5">
        <f>VLOOKUP($A156,'SegEnds_NonXtal_Prot#'!$A:$AL,27,FALSE)</f>
        <v>213</v>
      </c>
      <c r="AA156" s="5">
        <f>VLOOKUP($A156,'SegEnds_NonXtal_Prot#'!$A:$AL,30,FALSE)</f>
        <v>254</v>
      </c>
      <c r="AB156" s="5">
        <f>VLOOKUP($A156,'SegEnds_NonXtal_Prot#'!$A:$AL,33,FALSE)</f>
        <v>296</v>
      </c>
      <c r="AC156" s="5">
        <f>VLOOKUP($A156,'SegEnds_NonXtal_Prot#'!$A:$AL,36,FALSE)</f>
        <v>329</v>
      </c>
      <c r="AD156" s="5">
        <f>VLOOKUP($A156,'SegEnds_NonXtal_Prot#'!$A:$AL,5,FALSE)</f>
        <v>87</v>
      </c>
      <c r="AE156" s="5" t="str">
        <f>VLOOKUP($A156,'SegEnds_NonXtal_Prot#'!$A:$AL,8,FALSE)</f>
        <v>-</v>
      </c>
      <c r="AF156" s="5">
        <f>VLOOKUP($A156,'SegEnds_NonXtal_Prot#'!$A:$AL,11,FALSE)</f>
        <v>122</v>
      </c>
      <c r="AG156" s="5">
        <f>VLOOKUP($A156,'SegEnds_NonXtal_Prot#'!$A:$AL,14,FALSE)</f>
        <v>127</v>
      </c>
      <c r="AH156" s="5">
        <f>VLOOKUP($A156,'SegEnds_NonXtal_Prot#'!$A:$AL,17,FALSE)</f>
        <v>163</v>
      </c>
      <c r="AI156" s="5">
        <f>VLOOKUP($A156,'SegEnds_NonXtal_Prot#'!$A:$AL,20,FALSE)</f>
        <v>171</v>
      </c>
      <c r="AJ156" s="5">
        <f>VLOOKUP($A156,'SegEnds_NonXtal_Prot#'!$A:$AL,23,FALSE)</f>
        <v>197</v>
      </c>
      <c r="AK156" s="5">
        <f>VLOOKUP($A156,'SegEnds_NonXtal_Prot#'!$A:$AL,26,FALSE)</f>
        <v>211</v>
      </c>
      <c r="AL156" s="5">
        <f>VLOOKUP($A156,'SegEnds_NonXtal_Prot#'!$A:$AL,29,FALSE)</f>
        <v>249</v>
      </c>
      <c r="AM156" s="5">
        <f>VLOOKUP($A156,'SegEnds_NonXtal_Prot#'!$A:$AL,32,FALSE)</f>
        <v>292</v>
      </c>
      <c r="AN156" s="5">
        <f>VLOOKUP($A156,'SegEnds_NonXtal_Prot#'!$A:$AL,35,FALSE)</f>
        <v>328</v>
      </c>
      <c r="AO156" s="5">
        <f>VLOOKUP($A156,'SegEnds_NonXtal_Prot#'!$A:$AL,38,FALSE)</f>
        <v>342</v>
      </c>
      <c r="AP156" s="5">
        <f t="shared" si="63"/>
        <v>35</v>
      </c>
      <c r="AQ156" s="4" t="str">
        <f t="shared" si="64"/>
        <v>-</v>
      </c>
      <c r="AR156" s="4">
        <f t="shared" si="65"/>
        <v>30</v>
      </c>
      <c r="AS156" s="4">
        <f t="shared" si="66"/>
        <v>3</v>
      </c>
      <c r="AT156" s="4">
        <f t="shared" si="67"/>
        <v>35</v>
      </c>
      <c r="AU156" s="4">
        <f t="shared" si="68"/>
        <v>7</v>
      </c>
      <c r="AV156" s="4">
        <f t="shared" si="69"/>
        <v>25</v>
      </c>
      <c r="AW156" s="4">
        <f t="shared" si="70"/>
        <v>2</v>
      </c>
      <c r="AX156" s="4">
        <f t="shared" si="71"/>
        <v>36</v>
      </c>
      <c r="AY156" s="4">
        <f t="shared" si="72"/>
        <v>38</v>
      </c>
      <c r="AZ156" s="4">
        <f t="shared" si="73"/>
        <v>32</v>
      </c>
      <c r="BA156" s="4">
        <f t="shared" si="74"/>
        <v>13</v>
      </c>
    </row>
    <row r="157" spans="1:53" x14ac:dyDescent="0.2">
      <c r="A157" s="1" t="str">
        <f>'SegEnds_NonXtal_Prot#'!A132</f>
        <v>gpr18_human</v>
      </c>
      <c r="B157" s="1" t="str">
        <f t="shared" si="50"/>
        <v>DEYKIAALVFYSCIFIIGLFVNITALWVFSCTTTVTIYMMNVALVDLIFIMTLPFRMFYYAKGEYFCQILGALTVFYPSIALWLLAFISADRYMAIVQNTCKAVLACVGVWIMTLTTTTPLLLLYKAVNVLNLTRLTFFFLIPLFIMIGCYLVIIHNLLHGKLKPKVKEKSIRIIITLLVQVLVCFMPFHICFAFLMLGYNPWGAFTTFLMNLSTCLDVILYYIVSKQFQARVISVML</v>
      </c>
      <c r="C157" s="29" t="str">
        <f>IF(ISERROR(MATCH(A157,'SegEnds_Xtal_Prot#'!B:B, 0)), "NoXtal", "Xtal")</f>
        <v>NoXtal</v>
      </c>
      <c r="D157" s="4" t="str">
        <f>VLOOKUP(A157,Classification!A:D,2,FALSE)</f>
        <v>A</v>
      </c>
      <c r="E157" s="5" t="str">
        <f>VLOOKUP(A157,Seqs!A:B,2,FALSE)</f>
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</c>
      <c r="F157" s="5" t="str">
        <f t="shared" si="51"/>
        <v>DEYKIAALVFYSCIFIIGLFVNITALWVFSCT</v>
      </c>
      <c r="G157" s="4" t="str">
        <f t="shared" si="52"/>
        <v/>
      </c>
      <c r="H157" s="4" t="str">
        <f t="shared" si="53"/>
        <v>TTVTIYMMNVALVDLIFIMTLPFRMFYYAK</v>
      </c>
      <c r="I157" s="4" t="str">
        <f t="shared" si="54"/>
        <v>EWPF</v>
      </c>
      <c r="J157" s="4" t="str">
        <f t="shared" si="55"/>
        <v>GEYFCQILGALTVFYPSIALWLLAFISADRYMAIVQ</v>
      </c>
      <c r="K157" s="4" t="str">
        <f t="shared" si="56"/>
        <v>PKYAKELK</v>
      </c>
      <c r="L157" s="4" t="str">
        <f t="shared" si="57"/>
        <v>NTCKAVLACVGVWIMTLTTTTPLLLLY</v>
      </c>
      <c r="M157" s="4" t="str">
        <f t="shared" si="58"/>
        <v>CLK</v>
      </c>
      <c r="N157" s="4" t="str">
        <f t="shared" si="59"/>
        <v>KAVNVLNLTRLTFFFLIPLFIMIGCYLVIIHNLLHG</v>
      </c>
      <c r="O157" s="4" t="str">
        <f t="shared" si="60"/>
        <v>KLKPKVKEKSIRIIITLLVQVLVCFMPFHICFAFLMLG</v>
      </c>
      <c r="P157" s="4" t="str">
        <f t="shared" si="61"/>
        <v>YNPWGAFTTFLMNLSTCLDVILYYIV</v>
      </c>
      <c r="Q157" s="4" t="str">
        <f t="shared" si="62"/>
        <v>SKQFQARVISVML</v>
      </c>
      <c r="R157" s="5">
        <f>VLOOKUP($A157,'SegEnds_NonXtal_Prot#'!$A:$AL,3,FALSE)</f>
        <v>19</v>
      </c>
      <c r="S157" s="5" t="str">
        <f>VLOOKUP($A157,'SegEnds_NonXtal_Prot#'!$A:$AL,6,FALSE)</f>
        <v>-</v>
      </c>
      <c r="T157" s="5">
        <f>VLOOKUP($A157,'SegEnds_NonXtal_Prot#'!$A:$AL,9,FALSE)</f>
        <v>55</v>
      </c>
      <c r="U157" s="5">
        <f>VLOOKUP($A157,'SegEnds_NonXtal_Prot#'!$A:$AL,12,FALSE)</f>
        <v>86</v>
      </c>
      <c r="V157" s="5">
        <f>VLOOKUP($A157,'SegEnds_NonXtal_Prot#'!$A:$AL,15,FALSE)</f>
        <v>90</v>
      </c>
      <c r="W157" s="5">
        <f>VLOOKUP($A157,'SegEnds_NonXtal_Prot#'!$A:$AL,18,FALSE)</f>
        <v>126</v>
      </c>
      <c r="X157" s="5">
        <f>VLOOKUP($A157,'SegEnds_NonXtal_Prot#'!$A:$AL,21,FALSE)</f>
        <v>134</v>
      </c>
      <c r="Y157" s="5">
        <f>VLOOKUP($A157,'SegEnds_NonXtal_Prot#'!$A:$AL,24,FALSE)</f>
        <v>172</v>
      </c>
      <c r="Z157" s="5">
        <f>VLOOKUP($A157,'SegEnds_NonXtal_Prot#'!$A:$AL,27,FALSE)</f>
        <v>182</v>
      </c>
      <c r="AA157" s="5">
        <f>VLOOKUP($A157,'SegEnds_NonXtal_Prot#'!$A:$AL,30,FALSE)</f>
        <v>221</v>
      </c>
      <c r="AB157" s="5">
        <f>VLOOKUP($A157,'SegEnds_NonXtal_Prot#'!$A:$AL,33,FALSE)</f>
        <v>264</v>
      </c>
      <c r="AC157" s="5">
        <f>VLOOKUP($A157,'SegEnds_NonXtal_Prot#'!$A:$AL,36,FALSE)</f>
        <v>290</v>
      </c>
      <c r="AD157" s="5">
        <f>VLOOKUP($A157,'SegEnds_NonXtal_Prot#'!$A:$AL,5,FALSE)</f>
        <v>50</v>
      </c>
      <c r="AE157" s="5" t="str">
        <f>VLOOKUP($A157,'SegEnds_NonXtal_Prot#'!$A:$AL,8,FALSE)</f>
        <v>-</v>
      </c>
      <c r="AF157" s="5">
        <f>VLOOKUP($A157,'SegEnds_NonXtal_Prot#'!$A:$AL,11,FALSE)</f>
        <v>84</v>
      </c>
      <c r="AG157" s="5">
        <f>VLOOKUP($A157,'SegEnds_NonXtal_Prot#'!$A:$AL,14,FALSE)</f>
        <v>89</v>
      </c>
      <c r="AH157" s="5">
        <f>VLOOKUP($A157,'SegEnds_NonXtal_Prot#'!$A:$AL,17,FALSE)</f>
        <v>125</v>
      </c>
      <c r="AI157" s="5">
        <f>VLOOKUP($A157,'SegEnds_NonXtal_Prot#'!$A:$AL,20,FALSE)</f>
        <v>133</v>
      </c>
      <c r="AJ157" s="5">
        <f>VLOOKUP($A157,'SegEnds_NonXtal_Prot#'!$A:$AL,23,FALSE)</f>
        <v>160</v>
      </c>
      <c r="AK157" s="5">
        <f>VLOOKUP($A157,'SegEnds_NonXtal_Prot#'!$A:$AL,26,FALSE)</f>
        <v>174</v>
      </c>
      <c r="AL157" s="5">
        <f>VLOOKUP($A157,'SegEnds_NonXtal_Prot#'!$A:$AL,29,FALSE)</f>
        <v>217</v>
      </c>
      <c r="AM157" s="5">
        <f>VLOOKUP($A157,'SegEnds_NonXtal_Prot#'!$A:$AL,32,FALSE)</f>
        <v>258</v>
      </c>
      <c r="AN157" s="5">
        <f>VLOOKUP($A157,'SegEnds_NonXtal_Prot#'!$A:$AL,35,FALSE)</f>
        <v>289</v>
      </c>
      <c r="AO157" s="5">
        <f>VLOOKUP($A157,'SegEnds_NonXtal_Prot#'!$A:$AL,38,FALSE)</f>
        <v>302</v>
      </c>
      <c r="AP157" s="5">
        <f t="shared" si="63"/>
        <v>31</v>
      </c>
      <c r="AQ157" s="4" t="str">
        <f t="shared" si="64"/>
        <v>-</v>
      </c>
      <c r="AR157" s="4">
        <f t="shared" si="65"/>
        <v>29</v>
      </c>
      <c r="AS157" s="4">
        <f t="shared" si="66"/>
        <v>3</v>
      </c>
      <c r="AT157" s="4">
        <f t="shared" si="67"/>
        <v>35</v>
      </c>
      <c r="AU157" s="4">
        <f t="shared" si="68"/>
        <v>7</v>
      </c>
      <c r="AV157" s="4">
        <f t="shared" si="69"/>
        <v>26</v>
      </c>
      <c r="AW157" s="4">
        <f t="shared" si="70"/>
        <v>2</v>
      </c>
      <c r="AX157" s="4">
        <f t="shared" si="71"/>
        <v>35</v>
      </c>
      <c r="AY157" s="4">
        <f t="shared" si="72"/>
        <v>37</v>
      </c>
      <c r="AZ157" s="4">
        <f t="shared" si="73"/>
        <v>25</v>
      </c>
      <c r="BA157" s="4">
        <f t="shared" si="74"/>
        <v>12</v>
      </c>
    </row>
    <row r="158" spans="1:53" x14ac:dyDescent="0.2">
      <c r="A158" s="1" t="str">
        <f>'SegEnds_NonXtal_Prot#'!A133</f>
        <v>gpr20_human</v>
      </c>
      <c r="B158" s="1" t="str">
        <f t="shared" si="50"/>
        <v>FPGLWLALMAVHGAIFLAGLVLNGLALYVFCCRTPSVIYTINLVVTDLLVGLSLPTRFAVYYGCAFPHVLGYFLNMHCSILFLTCICVDRYLAIVRQPACARAVCAFVWLAAGAVTLSVLGRVFALTVLEFLLPLLVISVFTGRIMCALSRPHQGRQRRVRAMQLLLTVLIIFLVCFTPFHARQVAVALWSLVVYHVAVTLSSLNSCMDPIVYCFVTSGFQATVRGLFGQH</v>
      </c>
      <c r="C158" s="29" t="str">
        <f>IF(ISERROR(MATCH(A158,'SegEnds_Xtal_Prot#'!B:B, 0)), "NoXtal", "Xtal")</f>
        <v>NoXtal</v>
      </c>
      <c r="D158" s="4" t="str">
        <f>VLOOKUP(A158,Classification!A:D,2,FALSE)</f>
        <v>A</v>
      </c>
      <c r="E158" s="5" t="str">
        <f>VLOOKUP(A158,Seqs!A:B,2,FALSE)</f>
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</c>
      <c r="F158" s="5" t="str">
        <f t="shared" si="51"/>
        <v>FPGLWLALMAVHGAIFLAGLVLNGLALYVFCCR</v>
      </c>
      <c r="G158" s="4" t="str">
        <f t="shared" si="52"/>
        <v>TRAK</v>
      </c>
      <c r="H158" s="4" t="str">
        <f t="shared" si="53"/>
        <v>TPSVIYTINLVVTDLLVGLSLPTRFAVYYG</v>
      </c>
      <c r="I158" s="4" t="str">
        <f t="shared" si="54"/>
        <v/>
      </c>
      <c r="J158" s="4" t="str">
        <f t="shared" si="55"/>
        <v>CAFPHVLGYFLNMHCSILFLTCICVDRYLAIVR</v>
      </c>
      <c r="K158" s="4" t="str">
        <f t="shared" si="56"/>
        <v>PEGSRRCR</v>
      </c>
      <c r="L158" s="4" t="str">
        <f t="shared" si="57"/>
        <v>QPACARAVCAFVWLAAGAVTLSVLG</v>
      </c>
      <c r="M158" s="4" t="str">
        <f t="shared" si="58"/>
        <v/>
      </c>
      <c r="N158" s="4" t="str">
        <f t="shared" si="59"/>
        <v>RVFALTVLEFLLPLLVISVFTGRIMCALSRP</v>
      </c>
      <c r="O158" s="4" t="str">
        <f t="shared" si="60"/>
        <v>HQGRQRRVRAMQLLLTVLIIFLVCFTPFHARQVAVALW</v>
      </c>
      <c r="P158" s="4" t="str">
        <f t="shared" si="61"/>
        <v>SLVVYHVAVTLSSLNSCMDPIVYCFV</v>
      </c>
      <c r="Q158" s="4" t="str">
        <f t="shared" si="62"/>
        <v>TSGFQATVRGLFGQH</v>
      </c>
      <c r="R158" s="5">
        <f>VLOOKUP($A158,'SegEnds_NonXtal_Prot#'!$A:$AL,3,FALSE)</f>
        <v>49</v>
      </c>
      <c r="S158" s="5">
        <f>VLOOKUP($A158,'SegEnds_NonXtal_Prot#'!$A:$AL,6,FALSE)</f>
        <v>82</v>
      </c>
      <c r="T158" s="5">
        <f>VLOOKUP($A158,'SegEnds_NonXtal_Prot#'!$A:$AL,9,FALSE)</f>
        <v>86</v>
      </c>
      <c r="U158" s="5" t="str">
        <f>VLOOKUP($A158,'SegEnds_NonXtal_Prot#'!$A:$AL,12,FALSE)</f>
        <v>-</v>
      </c>
      <c r="V158" s="5">
        <f>VLOOKUP($A158,'SegEnds_NonXtal_Prot#'!$A:$AL,15,FALSE)</f>
        <v>122</v>
      </c>
      <c r="W158" s="5">
        <f>VLOOKUP($A158,'SegEnds_NonXtal_Prot#'!$A:$AL,18,FALSE)</f>
        <v>155</v>
      </c>
      <c r="X158" s="5">
        <f>VLOOKUP($A158,'SegEnds_NonXtal_Prot#'!$A:$AL,21,FALSE)</f>
        <v>163</v>
      </c>
      <c r="Y158" s="5" t="str">
        <f>VLOOKUP($A158,'SegEnds_NonXtal_Prot#'!$A:$AL,24,FALSE)</f>
        <v>-</v>
      </c>
      <c r="Z158" s="5">
        <f>VLOOKUP($A158,'SegEnds_NonXtal_Prot#'!$A:$AL,27,FALSE)</f>
        <v>196</v>
      </c>
      <c r="AA158" s="5">
        <f>VLOOKUP($A158,'SegEnds_NonXtal_Prot#'!$A:$AL,30,FALSE)</f>
        <v>230</v>
      </c>
      <c r="AB158" s="5">
        <f>VLOOKUP($A158,'SegEnds_NonXtal_Prot#'!$A:$AL,33,FALSE)</f>
        <v>275</v>
      </c>
      <c r="AC158" s="5">
        <f>VLOOKUP($A158,'SegEnds_NonXtal_Prot#'!$A:$AL,36,FALSE)</f>
        <v>301</v>
      </c>
      <c r="AD158" s="5">
        <f>VLOOKUP($A158,'SegEnds_NonXtal_Prot#'!$A:$AL,5,FALSE)</f>
        <v>81</v>
      </c>
      <c r="AE158" s="5">
        <f>VLOOKUP($A158,'SegEnds_NonXtal_Prot#'!$A:$AL,8,FALSE)</f>
        <v>85</v>
      </c>
      <c r="AF158" s="5">
        <f>VLOOKUP($A158,'SegEnds_NonXtal_Prot#'!$A:$AL,11,FALSE)</f>
        <v>115</v>
      </c>
      <c r="AG158" s="5" t="str">
        <f>VLOOKUP($A158,'SegEnds_NonXtal_Prot#'!$A:$AL,14,FALSE)</f>
        <v>-</v>
      </c>
      <c r="AH158" s="5">
        <f>VLOOKUP($A158,'SegEnds_NonXtal_Prot#'!$A:$AL,17,FALSE)</f>
        <v>154</v>
      </c>
      <c r="AI158" s="5">
        <f>VLOOKUP($A158,'SegEnds_NonXtal_Prot#'!$A:$AL,20,FALSE)</f>
        <v>162</v>
      </c>
      <c r="AJ158" s="5">
        <f>VLOOKUP($A158,'SegEnds_NonXtal_Prot#'!$A:$AL,23,FALSE)</f>
        <v>187</v>
      </c>
      <c r="AK158" s="5" t="str">
        <f>VLOOKUP($A158,'SegEnds_NonXtal_Prot#'!$A:$AL,26,FALSE)</f>
        <v>-</v>
      </c>
      <c r="AL158" s="5">
        <f>VLOOKUP($A158,'SegEnds_NonXtal_Prot#'!$A:$AL,29,FALSE)</f>
        <v>226</v>
      </c>
      <c r="AM158" s="5">
        <f>VLOOKUP($A158,'SegEnds_NonXtal_Prot#'!$A:$AL,32,FALSE)</f>
        <v>267</v>
      </c>
      <c r="AN158" s="5">
        <f>VLOOKUP($A158,'SegEnds_NonXtal_Prot#'!$A:$AL,35,FALSE)</f>
        <v>300</v>
      </c>
      <c r="AO158" s="5">
        <f>VLOOKUP($A158,'SegEnds_NonXtal_Prot#'!$A:$AL,38,FALSE)</f>
        <v>315</v>
      </c>
      <c r="AP158" s="5">
        <f t="shared" si="63"/>
        <v>32</v>
      </c>
      <c r="AQ158" s="4">
        <f t="shared" si="64"/>
        <v>3</v>
      </c>
      <c r="AR158" s="4">
        <f t="shared" si="65"/>
        <v>29</v>
      </c>
      <c r="AS158" s="4" t="str">
        <f t="shared" si="66"/>
        <v>-</v>
      </c>
      <c r="AT158" s="4">
        <f t="shared" si="67"/>
        <v>32</v>
      </c>
      <c r="AU158" s="4">
        <f t="shared" si="68"/>
        <v>7</v>
      </c>
      <c r="AV158" s="4">
        <f t="shared" si="69"/>
        <v>24</v>
      </c>
      <c r="AW158" s="4" t="str">
        <f t="shared" si="70"/>
        <v>-</v>
      </c>
      <c r="AX158" s="4">
        <f t="shared" si="71"/>
        <v>30</v>
      </c>
      <c r="AY158" s="4">
        <f t="shared" si="72"/>
        <v>37</v>
      </c>
      <c r="AZ158" s="4">
        <f t="shared" si="73"/>
        <v>25</v>
      </c>
      <c r="BA158" s="4">
        <f t="shared" si="74"/>
        <v>14</v>
      </c>
    </row>
    <row r="159" spans="1:53" x14ac:dyDescent="0.2">
      <c r="A159" s="1" t="str">
        <f>'SegEnds_NonXtal_Prot#'!A134</f>
        <v>gpr21_human</v>
      </c>
      <c r="B159" s="1" t="str">
        <f t="shared" si="50"/>
        <v>CLLEVLIIVFLTVLIISGNIIVIFVFHCAHHTTSYFIQTMAYADLFVGVSCVVPSLSLLHPVEESLTCQIFGFVVSVLKSVSMASLACISIDRYIAITKTPWRLRLCIFLIWLYSTLVFLPSFFTDSYFTLFIVMMLYAPAALIVCFTYFNIFRICQQHTKDISETGEVQACPDKRYAMVLFRITSVFYILWLPYIIYFLLESSTRFASFLTTWLAISNSFCNCVIYSLSNSVFQRGLKRLSGAMCTSCAS</v>
      </c>
      <c r="C159" s="29" t="str">
        <f>IF(ISERROR(MATCH(A159,'SegEnds_Xtal_Prot#'!B:B, 0)), "NoXtal", "Xtal")</f>
        <v>NoXtal</v>
      </c>
      <c r="D159" s="4" t="str">
        <f>VLOOKUP(A159,Classification!A:D,2,FALSE)</f>
        <v>A</v>
      </c>
      <c r="E159" s="5" t="str">
        <f>VLOOKUP(A159,Seqs!A:B,2,FALSE)</f>
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</c>
      <c r="F159" s="5" t="str">
        <f t="shared" si="51"/>
        <v>CLLEVLIIVFLTVLIISGNIIVIFVFHCA</v>
      </c>
      <c r="G159" s="4" t="str">
        <f t="shared" si="52"/>
        <v>PLLN</v>
      </c>
      <c r="H159" s="4" t="str">
        <f t="shared" si="53"/>
        <v>HHTTSYFIQTMAYADLFVGVSCVVPSLSLLH</v>
      </c>
      <c r="I159" s="4" t="str">
        <f t="shared" si="54"/>
        <v/>
      </c>
      <c r="J159" s="4" t="str">
        <f t="shared" si="55"/>
        <v>PVEESLTCQIFGFVVSVLKSVSMASLACISIDRYIAITK</v>
      </c>
      <c r="K159" s="4" t="str">
        <f t="shared" si="56"/>
        <v>PLTYNTLV</v>
      </c>
      <c r="L159" s="4" t="str">
        <f t="shared" si="57"/>
        <v>TPWRLRLCIFLIWLYSTLVFLPSFF</v>
      </c>
      <c r="M159" s="4" t="str">
        <f t="shared" si="58"/>
        <v>CAE</v>
      </c>
      <c r="N159" s="4" t="str">
        <f t="shared" si="59"/>
        <v>TDSYFTLFIVMMLYAPAALIVCFTYFNIFRICQQHTKDIS</v>
      </c>
      <c r="O159" s="4" t="str">
        <f t="shared" si="60"/>
        <v>ETGEVQACPDKRYAMVLFRITSVFYILWLPYIIYFLLESST</v>
      </c>
      <c r="P159" s="4" t="str">
        <f t="shared" si="61"/>
        <v>RFASFLTTWLAISNSFCNCVIYSLS</v>
      </c>
      <c r="Q159" s="4" t="str">
        <f t="shared" si="62"/>
        <v>NSVFQRGLKRLSGAMCTSCAS</v>
      </c>
      <c r="R159" s="5">
        <f>VLOOKUP($A159,'SegEnds_NonXtal_Prot#'!$A:$AL,3,FALSE)</f>
        <v>28</v>
      </c>
      <c r="S159" s="5">
        <f>VLOOKUP($A159,'SegEnds_NonXtal_Prot#'!$A:$AL,6,FALSE)</f>
        <v>57</v>
      </c>
      <c r="T159" s="5">
        <f>VLOOKUP($A159,'SegEnds_NonXtal_Prot#'!$A:$AL,9,FALSE)</f>
        <v>61</v>
      </c>
      <c r="U159" s="5" t="str">
        <f>VLOOKUP($A159,'SegEnds_NonXtal_Prot#'!$A:$AL,12,FALSE)</f>
        <v>-</v>
      </c>
      <c r="V159" s="5">
        <f>VLOOKUP($A159,'SegEnds_NonXtal_Prot#'!$A:$AL,15,FALSE)</f>
        <v>95</v>
      </c>
      <c r="W159" s="5">
        <f>VLOOKUP($A159,'SegEnds_NonXtal_Prot#'!$A:$AL,18,FALSE)</f>
        <v>134</v>
      </c>
      <c r="X159" s="5">
        <f>VLOOKUP($A159,'SegEnds_NonXtal_Prot#'!$A:$AL,21,FALSE)</f>
        <v>142</v>
      </c>
      <c r="Y159" s="5">
        <f>VLOOKUP($A159,'SegEnds_NonXtal_Prot#'!$A:$AL,24,FALSE)</f>
        <v>181</v>
      </c>
      <c r="Z159" s="5">
        <f>VLOOKUP($A159,'SegEnds_NonXtal_Prot#'!$A:$AL,27,FALSE)</f>
        <v>187</v>
      </c>
      <c r="AA159" s="5">
        <f>VLOOKUP($A159,'SegEnds_NonXtal_Prot#'!$A:$AL,30,FALSE)</f>
        <v>238</v>
      </c>
      <c r="AB159" s="5">
        <f>VLOOKUP($A159,'SegEnds_NonXtal_Prot#'!$A:$AL,33,FALSE)</f>
        <v>283</v>
      </c>
      <c r="AC159" s="5">
        <f>VLOOKUP($A159,'SegEnds_NonXtal_Prot#'!$A:$AL,36,FALSE)</f>
        <v>308</v>
      </c>
      <c r="AD159" s="5">
        <f>VLOOKUP($A159,'SegEnds_NonXtal_Prot#'!$A:$AL,5,FALSE)</f>
        <v>56</v>
      </c>
      <c r="AE159" s="5">
        <f>VLOOKUP($A159,'SegEnds_NonXtal_Prot#'!$A:$AL,8,FALSE)</f>
        <v>60</v>
      </c>
      <c r="AF159" s="5">
        <f>VLOOKUP($A159,'SegEnds_NonXtal_Prot#'!$A:$AL,11,FALSE)</f>
        <v>91</v>
      </c>
      <c r="AG159" s="5" t="str">
        <f>VLOOKUP($A159,'SegEnds_NonXtal_Prot#'!$A:$AL,14,FALSE)</f>
        <v>-</v>
      </c>
      <c r="AH159" s="5">
        <f>VLOOKUP($A159,'SegEnds_NonXtal_Prot#'!$A:$AL,17,FALSE)</f>
        <v>133</v>
      </c>
      <c r="AI159" s="5">
        <f>VLOOKUP($A159,'SegEnds_NonXtal_Prot#'!$A:$AL,20,FALSE)</f>
        <v>141</v>
      </c>
      <c r="AJ159" s="5">
        <f>VLOOKUP($A159,'SegEnds_NonXtal_Prot#'!$A:$AL,23,FALSE)</f>
        <v>166</v>
      </c>
      <c r="AK159" s="5">
        <f>VLOOKUP($A159,'SegEnds_NonXtal_Prot#'!$A:$AL,26,FALSE)</f>
        <v>183</v>
      </c>
      <c r="AL159" s="5">
        <f>VLOOKUP($A159,'SegEnds_NonXtal_Prot#'!$A:$AL,29,FALSE)</f>
        <v>226</v>
      </c>
      <c r="AM159" s="5">
        <f>VLOOKUP($A159,'SegEnds_NonXtal_Prot#'!$A:$AL,32,FALSE)</f>
        <v>278</v>
      </c>
      <c r="AN159" s="5">
        <f>VLOOKUP($A159,'SegEnds_NonXtal_Prot#'!$A:$AL,35,FALSE)</f>
        <v>307</v>
      </c>
      <c r="AO159" s="5">
        <f>VLOOKUP($A159,'SegEnds_NonXtal_Prot#'!$A:$AL,38,FALSE)</f>
        <v>328</v>
      </c>
      <c r="AP159" s="5">
        <f t="shared" si="63"/>
        <v>28</v>
      </c>
      <c r="AQ159" s="4">
        <f t="shared" si="64"/>
        <v>3</v>
      </c>
      <c r="AR159" s="4">
        <f t="shared" si="65"/>
        <v>30</v>
      </c>
      <c r="AS159" s="4" t="str">
        <f t="shared" si="66"/>
        <v>-</v>
      </c>
      <c r="AT159" s="4">
        <f t="shared" si="67"/>
        <v>38</v>
      </c>
      <c r="AU159" s="4">
        <f t="shared" si="68"/>
        <v>7</v>
      </c>
      <c r="AV159" s="4">
        <f t="shared" si="69"/>
        <v>24</v>
      </c>
      <c r="AW159" s="4">
        <f t="shared" si="70"/>
        <v>2</v>
      </c>
      <c r="AX159" s="4">
        <f t="shared" si="71"/>
        <v>39</v>
      </c>
      <c r="AY159" s="4">
        <f t="shared" si="72"/>
        <v>40</v>
      </c>
      <c r="AZ159" s="4">
        <f t="shared" si="73"/>
        <v>24</v>
      </c>
      <c r="BA159" s="4">
        <f t="shared" si="74"/>
        <v>20</v>
      </c>
    </row>
    <row r="160" spans="1:53" x14ac:dyDescent="0.2">
      <c r="A160" s="1" t="str">
        <f>'SegEnds_NonXtal_Prot#'!A135</f>
        <v>gpr25_human</v>
      </c>
      <c r="B160" s="1" t="str">
        <f t="shared" si="50"/>
        <v>LPYGYVYIPALYLAAFAVGLLGNAFVVWLLAGRRLVDTFVLHLAAADLGFVLTLPLWAAAAALGGDGLCKLSSFALAGTRCAGALLLAGMSVDRYLAVVKTPRCALASCCGVWAVALLAGLPSLVYRAFQGLSLLLLLLTFVLPLVVTLFCYCRISRRLRRRARRNSLRIIFAIESTFVGSWLPFSALRAVFHLARLGPCPLLLALRWGLTIATCLAFVNSCANPLIYLLLDRSFRARALDGACGR</v>
      </c>
      <c r="C160" s="29" t="str">
        <f>IF(ISERROR(MATCH(A160,'SegEnds_Xtal_Prot#'!B:B, 0)), "NoXtal", "Xtal")</f>
        <v>NoXtal</v>
      </c>
      <c r="D160" s="4" t="str">
        <f>VLOOKUP(A160,Classification!A:D,2,FALSE)</f>
        <v>A</v>
      </c>
      <c r="E160" s="5" t="str">
        <f>VLOOKUP(A160,Seqs!A:B,2,FALSE)</f>
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</c>
      <c r="F160" s="5" t="str">
        <f t="shared" si="51"/>
        <v>LPYGYVYIPALYLAAFAVGLLGNAFVVWLLAGR</v>
      </c>
      <c r="G160" s="4" t="str">
        <f t="shared" si="52"/>
        <v>RGPR</v>
      </c>
      <c r="H160" s="4" t="str">
        <f t="shared" si="53"/>
        <v>RLVDTFVLHLAAADLGFVLTLPLWAAAAALG</v>
      </c>
      <c r="I160" s="4" t="str">
        <f t="shared" si="54"/>
        <v>RWPF</v>
      </c>
      <c r="J160" s="4" t="str">
        <f t="shared" si="55"/>
        <v>GDGLCKLSSFALAGTRCAGALLLAGMSVDRYLAVVK</v>
      </c>
      <c r="K160" s="4" t="str">
        <f t="shared" si="56"/>
        <v>LLEARPLR</v>
      </c>
      <c r="L160" s="4" t="str">
        <f t="shared" si="57"/>
        <v>TPRCALASCCGVWAVALLAGLPSLVYR</v>
      </c>
      <c r="M160" s="4" t="str">
        <f t="shared" si="58"/>
        <v>CGE</v>
      </c>
      <c r="N160" s="4" t="str">
        <f t="shared" si="59"/>
        <v>AFQGLSLLLLLLTFVLPLVVTLFCYCRISRRLRR</v>
      </c>
      <c r="O160" s="4" t="str">
        <f t="shared" si="60"/>
        <v>RARRNSLRIIFAIESTFVGSWLPFSALRAVFHLARLG</v>
      </c>
      <c r="P160" s="4" t="str">
        <f t="shared" si="61"/>
        <v>PCPLLLALRWGLTIATCLAFVNSCANPLIYLLL</v>
      </c>
      <c r="Q160" s="4" t="str">
        <f t="shared" si="62"/>
        <v>DRSFRARALDGACGR</v>
      </c>
      <c r="R160" s="5">
        <f>VLOOKUP($A160,'SegEnds_NonXtal_Prot#'!$A:$AL,3,FALSE)</f>
        <v>35</v>
      </c>
      <c r="S160" s="5">
        <f>VLOOKUP($A160,'SegEnds_NonXtal_Prot#'!$A:$AL,6,FALSE)</f>
        <v>68</v>
      </c>
      <c r="T160" s="5">
        <f>VLOOKUP($A160,'SegEnds_NonXtal_Prot#'!$A:$AL,9,FALSE)</f>
        <v>72</v>
      </c>
      <c r="U160" s="5">
        <f>VLOOKUP($A160,'SegEnds_NonXtal_Prot#'!$A:$AL,12,FALSE)</f>
        <v>104</v>
      </c>
      <c r="V160" s="5">
        <f>VLOOKUP($A160,'SegEnds_NonXtal_Prot#'!$A:$AL,15,FALSE)</f>
        <v>108</v>
      </c>
      <c r="W160" s="5">
        <f>VLOOKUP($A160,'SegEnds_NonXtal_Prot#'!$A:$AL,18,FALSE)</f>
        <v>144</v>
      </c>
      <c r="X160" s="5">
        <f>VLOOKUP($A160,'SegEnds_NonXtal_Prot#'!$A:$AL,21,FALSE)</f>
        <v>152</v>
      </c>
      <c r="Y160" s="5">
        <f>VLOOKUP($A160,'SegEnds_NonXtal_Prot#'!$A:$AL,24,FALSE)</f>
        <v>191</v>
      </c>
      <c r="Z160" s="5">
        <f>VLOOKUP($A160,'SegEnds_NonXtal_Prot#'!$A:$AL,27,FALSE)</f>
        <v>198</v>
      </c>
      <c r="AA160" s="5">
        <f>VLOOKUP($A160,'SegEnds_NonXtal_Prot#'!$A:$AL,30,FALSE)</f>
        <v>237</v>
      </c>
      <c r="AB160" s="5">
        <f>VLOOKUP($A160,'SegEnds_NonXtal_Prot#'!$A:$AL,33,FALSE)</f>
        <v>278</v>
      </c>
      <c r="AC160" s="5">
        <f>VLOOKUP($A160,'SegEnds_NonXtal_Prot#'!$A:$AL,36,FALSE)</f>
        <v>311</v>
      </c>
      <c r="AD160" s="5">
        <f>VLOOKUP($A160,'SegEnds_NonXtal_Prot#'!$A:$AL,5,FALSE)</f>
        <v>67</v>
      </c>
      <c r="AE160" s="5">
        <f>VLOOKUP($A160,'SegEnds_NonXtal_Prot#'!$A:$AL,8,FALSE)</f>
        <v>71</v>
      </c>
      <c r="AF160" s="5">
        <f>VLOOKUP($A160,'SegEnds_NonXtal_Prot#'!$A:$AL,11,FALSE)</f>
        <v>102</v>
      </c>
      <c r="AG160" s="5">
        <f>VLOOKUP($A160,'SegEnds_NonXtal_Prot#'!$A:$AL,14,FALSE)</f>
        <v>107</v>
      </c>
      <c r="AH160" s="5">
        <f>VLOOKUP($A160,'SegEnds_NonXtal_Prot#'!$A:$AL,17,FALSE)</f>
        <v>143</v>
      </c>
      <c r="AI160" s="5">
        <f>VLOOKUP($A160,'SegEnds_NonXtal_Prot#'!$A:$AL,20,FALSE)</f>
        <v>151</v>
      </c>
      <c r="AJ160" s="5">
        <f>VLOOKUP($A160,'SegEnds_NonXtal_Prot#'!$A:$AL,23,FALSE)</f>
        <v>178</v>
      </c>
      <c r="AK160" s="5">
        <f>VLOOKUP($A160,'SegEnds_NonXtal_Prot#'!$A:$AL,26,FALSE)</f>
        <v>193</v>
      </c>
      <c r="AL160" s="5">
        <f>VLOOKUP($A160,'SegEnds_NonXtal_Prot#'!$A:$AL,29,FALSE)</f>
        <v>231</v>
      </c>
      <c r="AM160" s="5">
        <f>VLOOKUP($A160,'SegEnds_NonXtal_Prot#'!$A:$AL,32,FALSE)</f>
        <v>273</v>
      </c>
      <c r="AN160" s="5">
        <f>VLOOKUP($A160,'SegEnds_NonXtal_Prot#'!$A:$AL,35,FALSE)</f>
        <v>310</v>
      </c>
      <c r="AO160" s="5">
        <f>VLOOKUP($A160,'SegEnds_NonXtal_Prot#'!$A:$AL,38,FALSE)</f>
        <v>325</v>
      </c>
      <c r="AP160" s="5">
        <f t="shared" si="63"/>
        <v>32</v>
      </c>
      <c r="AQ160" s="4">
        <f t="shared" si="64"/>
        <v>3</v>
      </c>
      <c r="AR160" s="4">
        <f t="shared" si="65"/>
        <v>30</v>
      </c>
      <c r="AS160" s="4">
        <f t="shared" si="66"/>
        <v>3</v>
      </c>
      <c r="AT160" s="4">
        <f t="shared" si="67"/>
        <v>35</v>
      </c>
      <c r="AU160" s="4">
        <f t="shared" si="68"/>
        <v>7</v>
      </c>
      <c r="AV160" s="4">
        <f t="shared" si="69"/>
        <v>26</v>
      </c>
      <c r="AW160" s="4">
        <f t="shared" si="70"/>
        <v>2</v>
      </c>
      <c r="AX160" s="4">
        <f t="shared" si="71"/>
        <v>33</v>
      </c>
      <c r="AY160" s="4">
        <f t="shared" si="72"/>
        <v>36</v>
      </c>
      <c r="AZ160" s="4">
        <f t="shared" si="73"/>
        <v>32</v>
      </c>
      <c r="BA160" s="4">
        <f t="shared" si="74"/>
        <v>14</v>
      </c>
    </row>
    <row r="161" spans="1:53" x14ac:dyDescent="0.2">
      <c r="A161" s="1" t="str">
        <f>'SegEnds_NonXtal_Prot#'!A136</f>
        <v>gpr26_human</v>
      </c>
      <c r="B161" s="1" t="str">
        <f t="shared" si="50"/>
        <v>NSWDAGLAGLLVGTMGVSLLSNALVLLCLLHSRQAPALFTLNLTCGNLLCTVVNMPLTLAGVVAQGDRLCRLAAFLDTFLAANSMLSMAALSIDRWVAVVFRLRDAALMVAYTWLHALTFPAAALAFAVFTGAFHALSFLLSFVVLCCTYLKVLKVARFHCKRIDVITEEQKRRRQRATKKISTFIGTFLVCFAPYVITRLVELFSGSHWGVLSKCLAYSKAASDPFVYSLLRHQYRKSCKEILN</v>
      </c>
      <c r="C161" s="29" t="str">
        <f>IF(ISERROR(MATCH(A161,'SegEnds_Xtal_Prot#'!B:B, 0)), "NoXtal", "Xtal")</f>
        <v>NoXtal</v>
      </c>
      <c r="D161" s="4" t="str">
        <f>VLOOKUP(A161,Classification!A:D,2,FALSE)</f>
        <v>A</v>
      </c>
      <c r="E161" s="5" t="str">
        <f>VLOOKUP(A161,Seqs!A:B,2,FALSE)</f>
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</c>
      <c r="F161" s="5" t="str">
        <f t="shared" si="51"/>
        <v>NSWDAGLAGLLVGTMGVSLLSNALVLLCLLHS</v>
      </c>
      <c r="G161" s="4" t="str">
        <f t="shared" si="52"/>
        <v>ADIR</v>
      </c>
      <c r="H161" s="4" t="str">
        <f t="shared" si="53"/>
        <v>RQAPALFTLNLTCGNLLCTVVNMPLTLAGVVAQ</v>
      </c>
      <c r="I161" s="4" t="str">
        <f t="shared" si="54"/>
        <v/>
      </c>
      <c r="J161" s="4" t="str">
        <f t="shared" si="55"/>
        <v>GDRLCRLAAFLDTFLAANSMLSMAALSIDRWVAVVF</v>
      </c>
      <c r="K161" s="4" t="str">
        <f t="shared" si="56"/>
        <v>PLSYRAKM</v>
      </c>
      <c r="L161" s="4" t="str">
        <f t="shared" si="57"/>
        <v>RLRDAALMVAYTWLHALTFPAAALA</v>
      </c>
      <c r="M161" s="4" t="str">
        <f t="shared" si="58"/>
        <v>CSR</v>
      </c>
      <c r="N161" s="4" t="str">
        <f t="shared" si="59"/>
        <v>FAVFTGAFHALSFLLSFVVLCCTYLKVLKVARFHCKRIDVIT</v>
      </c>
      <c r="O161" s="4" t="str">
        <f t="shared" si="60"/>
        <v>EEQKRRRQRATKKISTFIGTFLVCFAPYVITRLVELFS</v>
      </c>
      <c r="P161" s="4" t="str">
        <f t="shared" si="61"/>
        <v>GSHWGVLSKCLAYSKAASDPFVYSLL</v>
      </c>
      <c r="Q161" s="4" t="str">
        <f t="shared" si="62"/>
        <v>RHQYRKSCKEILN</v>
      </c>
      <c r="R161" s="5">
        <f>VLOOKUP($A161,'SegEnds_NonXtal_Prot#'!$A:$AL,3,FALSE)</f>
        <v>2</v>
      </c>
      <c r="S161" s="5">
        <f>VLOOKUP($A161,'SegEnds_NonXtal_Prot#'!$A:$AL,6,FALSE)</f>
        <v>34</v>
      </c>
      <c r="T161" s="5">
        <f>VLOOKUP($A161,'SegEnds_NonXtal_Prot#'!$A:$AL,9,FALSE)</f>
        <v>38</v>
      </c>
      <c r="U161" s="5" t="str">
        <f>VLOOKUP($A161,'SegEnds_NonXtal_Prot#'!$A:$AL,12,FALSE)</f>
        <v>-</v>
      </c>
      <c r="V161" s="5">
        <f>VLOOKUP($A161,'SegEnds_NonXtal_Prot#'!$A:$AL,15,FALSE)</f>
        <v>75</v>
      </c>
      <c r="W161" s="5">
        <f>VLOOKUP($A161,'SegEnds_NonXtal_Prot#'!$A:$AL,18,FALSE)</f>
        <v>111</v>
      </c>
      <c r="X161" s="5">
        <f>VLOOKUP($A161,'SegEnds_NonXtal_Prot#'!$A:$AL,21,FALSE)</f>
        <v>119</v>
      </c>
      <c r="Y161" s="5">
        <f>VLOOKUP($A161,'SegEnds_NonXtal_Prot#'!$A:$AL,24,FALSE)</f>
        <v>159</v>
      </c>
      <c r="Z161" s="5">
        <f>VLOOKUP($A161,'SegEnds_NonXtal_Prot#'!$A:$AL,27,FALSE)</f>
        <v>169</v>
      </c>
      <c r="AA161" s="5">
        <f>VLOOKUP($A161,'SegEnds_NonXtal_Prot#'!$A:$AL,30,FALSE)</f>
        <v>230</v>
      </c>
      <c r="AB161" s="5">
        <f>VLOOKUP($A161,'SegEnds_NonXtal_Prot#'!$A:$AL,33,FALSE)</f>
        <v>272</v>
      </c>
      <c r="AC161" s="5">
        <f>VLOOKUP($A161,'SegEnds_NonXtal_Prot#'!$A:$AL,36,FALSE)</f>
        <v>298</v>
      </c>
      <c r="AD161" s="5">
        <f>VLOOKUP($A161,'SegEnds_NonXtal_Prot#'!$A:$AL,5,FALSE)</f>
        <v>33</v>
      </c>
      <c r="AE161" s="5">
        <f>VLOOKUP($A161,'SegEnds_NonXtal_Prot#'!$A:$AL,8,FALSE)</f>
        <v>37</v>
      </c>
      <c r="AF161" s="5">
        <f>VLOOKUP($A161,'SegEnds_NonXtal_Prot#'!$A:$AL,11,FALSE)</f>
        <v>70</v>
      </c>
      <c r="AG161" s="5" t="str">
        <f>VLOOKUP($A161,'SegEnds_NonXtal_Prot#'!$A:$AL,14,FALSE)</f>
        <v>-</v>
      </c>
      <c r="AH161" s="5">
        <f>VLOOKUP($A161,'SegEnds_NonXtal_Prot#'!$A:$AL,17,FALSE)</f>
        <v>110</v>
      </c>
      <c r="AI161" s="5">
        <f>VLOOKUP($A161,'SegEnds_NonXtal_Prot#'!$A:$AL,20,FALSE)</f>
        <v>118</v>
      </c>
      <c r="AJ161" s="5">
        <f>VLOOKUP($A161,'SegEnds_NonXtal_Prot#'!$A:$AL,23,FALSE)</f>
        <v>143</v>
      </c>
      <c r="AK161" s="5">
        <f>VLOOKUP($A161,'SegEnds_NonXtal_Prot#'!$A:$AL,26,FALSE)</f>
        <v>161</v>
      </c>
      <c r="AL161" s="5">
        <f>VLOOKUP($A161,'SegEnds_NonXtal_Prot#'!$A:$AL,29,FALSE)</f>
        <v>210</v>
      </c>
      <c r="AM161" s="5">
        <f>VLOOKUP($A161,'SegEnds_NonXtal_Prot#'!$A:$AL,32,FALSE)</f>
        <v>267</v>
      </c>
      <c r="AN161" s="5">
        <f>VLOOKUP($A161,'SegEnds_NonXtal_Prot#'!$A:$AL,35,FALSE)</f>
        <v>297</v>
      </c>
      <c r="AO161" s="5">
        <f>VLOOKUP($A161,'SegEnds_NonXtal_Prot#'!$A:$AL,38,FALSE)</f>
        <v>310</v>
      </c>
      <c r="AP161" s="5">
        <f t="shared" si="63"/>
        <v>31</v>
      </c>
      <c r="AQ161" s="4">
        <f t="shared" si="64"/>
        <v>3</v>
      </c>
      <c r="AR161" s="4">
        <f t="shared" si="65"/>
        <v>32</v>
      </c>
      <c r="AS161" s="4" t="str">
        <f t="shared" si="66"/>
        <v>-</v>
      </c>
      <c r="AT161" s="4">
        <f t="shared" si="67"/>
        <v>35</v>
      </c>
      <c r="AU161" s="4">
        <f t="shared" si="68"/>
        <v>7</v>
      </c>
      <c r="AV161" s="4">
        <f t="shared" si="69"/>
        <v>24</v>
      </c>
      <c r="AW161" s="4">
        <f t="shared" si="70"/>
        <v>2</v>
      </c>
      <c r="AX161" s="4">
        <f t="shared" si="71"/>
        <v>41</v>
      </c>
      <c r="AY161" s="4">
        <f t="shared" si="72"/>
        <v>37</v>
      </c>
      <c r="AZ161" s="4">
        <f t="shared" si="73"/>
        <v>25</v>
      </c>
      <c r="BA161" s="4">
        <f t="shared" si="74"/>
        <v>12</v>
      </c>
    </row>
    <row r="162" spans="1:53" x14ac:dyDescent="0.2">
      <c r="A162" s="1" t="str">
        <f>'SegEnds_NonXtal_Prot#'!A137</f>
        <v>gpr3_human</v>
      </c>
      <c r="B162" s="1" t="str">
        <f t="shared" si="50"/>
        <v>PSPKAWDVVLCISGTLVSCENALVVAIIVGTAPMFLLVGSLAVADLLAGLGLVLHFAGSAEMSLVLVGVLAMAFTASIGSLLAITVDRYLSLYNTVTRTYVMLALVWGGALGLGLLPVLASKNHLVVLAIAFFMVFGIMLQLYAQICRIVCRHAQQIALPASHYVATRKGIATLAVVLGAFAACWLPFTVYCLLGDAHYTYLTLLPATYNSMINPIIYAFRNQDVQKVLWAVCC</v>
      </c>
      <c r="C162" s="29" t="str">
        <f>IF(ISERROR(MATCH(A162,'SegEnds_Xtal_Prot#'!B:B, 0)), "NoXtal", "Xtal")</f>
        <v>NoXtal</v>
      </c>
      <c r="D162" s="4" t="str">
        <f>VLOOKUP(A162,Classification!A:D,2,FALSE)</f>
        <v>A</v>
      </c>
      <c r="E162" s="5" t="str">
        <f>VLOOKUP(A162,Seqs!A:B,2,FALSE)</f>
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</c>
      <c r="F162" s="5" t="str">
        <f t="shared" si="51"/>
        <v>PSPKAWDVVLCISGTLVSCENALVVAIIVGT</v>
      </c>
      <c r="G162" s="4" t="str">
        <f t="shared" si="52"/>
        <v>PAFR</v>
      </c>
      <c r="H162" s="4" t="str">
        <f t="shared" si="53"/>
        <v>APMFLLVGSLAVADLLAGLGLVLHFA</v>
      </c>
      <c r="I162" s="4" t="str">
        <f t="shared" si="54"/>
        <v>VFCI</v>
      </c>
      <c r="J162" s="4" t="str">
        <f t="shared" si="55"/>
        <v>GSAEMSLVLVGVLAMAFTASIGSLLAITVDRYLSLYN</v>
      </c>
      <c r="K162" s="4" t="str">
        <f t="shared" si="56"/>
        <v>ALTYYSET</v>
      </c>
      <c r="L162" s="4" t="str">
        <f t="shared" si="57"/>
        <v>TVTRTYVMLALVWGGALGLGLLPVLA</v>
      </c>
      <c r="M162" s="4" t="str">
        <f t="shared" si="58"/>
        <v/>
      </c>
      <c r="N162" s="4" t="str">
        <f t="shared" si="59"/>
        <v>SKNHLVVLAIAFFMVFGIMLQLYAQICRIVCRHAQQIA</v>
      </c>
      <c r="O162" s="4" t="str">
        <f t="shared" si="60"/>
        <v>LPASHYVATRKGIATLAVVLGAFAACWLPFTVYCLLGDAH</v>
      </c>
      <c r="P162" s="4" t="str">
        <f t="shared" si="61"/>
        <v>YTYLTLLPATYNSMINPIIYAFR</v>
      </c>
      <c r="Q162" s="4" t="str">
        <f t="shared" si="62"/>
        <v>NQDVQKVLWAVCC</v>
      </c>
      <c r="R162" s="5">
        <f>VLOOKUP($A162,'SegEnds_NonXtal_Prot#'!$A:$AL,3,FALSE)</f>
        <v>38</v>
      </c>
      <c r="S162" s="5">
        <f>VLOOKUP($A162,'SegEnds_NonXtal_Prot#'!$A:$AL,6,FALSE)</f>
        <v>69</v>
      </c>
      <c r="T162" s="5">
        <f>VLOOKUP($A162,'SegEnds_NonXtal_Prot#'!$A:$AL,9,FALSE)</f>
        <v>73</v>
      </c>
      <c r="U162" s="5">
        <f>VLOOKUP($A162,'SegEnds_NonXtal_Prot#'!$A:$AL,12,FALSE)</f>
        <v>100</v>
      </c>
      <c r="V162" s="5">
        <f>VLOOKUP($A162,'SegEnds_NonXtal_Prot#'!$A:$AL,15,FALSE)</f>
        <v>104</v>
      </c>
      <c r="W162" s="5">
        <f>VLOOKUP($A162,'SegEnds_NonXtal_Prot#'!$A:$AL,18,FALSE)</f>
        <v>141</v>
      </c>
      <c r="X162" s="5">
        <f>VLOOKUP($A162,'SegEnds_NonXtal_Prot#'!$A:$AL,21,FALSE)</f>
        <v>149</v>
      </c>
      <c r="Y162" s="5" t="str">
        <f>VLOOKUP($A162,'SegEnds_NonXtal_Prot#'!$A:$AL,24,FALSE)</f>
        <v>-</v>
      </c>
      <c r="Z162" s="5">
        <f>VLOOKUP($A162,'SegEnds_NonXtal_Prot#'!$A:$AL,27,FALSE)</f>
        <v>191</v>
      </c>
      <c r="AA162" s="5">
        <f>VLOOKUP($A162,'SegEnds_NonXtal_Prot#'!$A:$AL,30,FALSE)</f>
        <v>234</v>
      </c>
      <c r="AB162" s="5">
        <f>VLOOKUP($A162,'SegEnds_NonXtal_Prot#'!$A:$AL,33,FALSE)</f>
        <v>278</v>
      </c>
      <c r="AC162" s="5">
        <f>VLOOKUP($A162,'SegEnds_NonXtal_Prot#'!$A:$AL,36,FALSE)</f>
        <v>301</v>
      </c>
      <c r="AD162" s="5">
        <f>VLOOKUP($A162,'SegEnds_NonXtal_Prot#'!$A:$AL,5,FALSE)</f>
        <v>68</v>
      </c>
      <c r="AE162" s="5">
        <f>VLOOKUP($A162,'SegEnds_NonXtal_Prot#'!$A:$AL,8,FALSE)</f>
        <v>72</v>
      </c>
      <c r="AF162" s="5">
        <f>VLOOKUP($A162,'SegEnds_NonXtal_Prot#'!$A:$AL,11,FALSE)</f>
        <v>98</v>
      </c>
      <c r="AG162" s="5">
        <f>VLOOKUP($A162,'SegEnds_NonXtal_Prot#'!$A:$AL,14,FALSE)</f>
        <v>103</v>
      </c>
      <c r="AH162" s="5">
        <f>VLOOKUP($A162,'SegEnds_NonXtal_Prot#'!$A:$AL,17,FALSE)</f>
        <v>140</v>
      </c>
      <c r="AI162" s="5">
        <f>VLOOKUP($A162,'SegEnds_NonXtal_Prot#'!$A:$AL,20,FALSE)</f>
        <v>148</v>
      </c>
      <c r="AJ162" s="5">
        <f>VLOOKUP($A162,'SegEnds_NonXtal_Prot#'!$A:$AL,23,FALSE)</f>
        <v>174</v>
      </c>
      <c r="AK162" s="5" t="str">
        <f>VLOOKUP($A162,'SegEnds_NonXtal_Prot#'!$A:$AL,26,FALSE)</f>
        <v>-</v>
      </c>
      <c r="AL162" s="5">
        <f>VLOOKUP($A162,'SegEnds_NonXtal_Prot#'!$A:$AL,29,FALSE)</f>
        <v>228</v>
      </c>
      <c r="AM162" s="5">
        <f>VLOOKUP($A162,'SegEnds_NonXtal_Prot#'!$A:$AL,32,FALSE)</f>
        <v>273</v>
      </c>
      <c r="AN162" s="5">
        <f>VLOOKUP($A162,'SegEnds_NonXtal_Prot#'!$A:$AL,35,FALSE)</f>
        <v>300</v>
      </c>
      <c r="AO162" s="5">
        <f>VLOOKUP($A162,'SegEnds_NonXtal_Prot#'!$A:$AL,38,FALSE)</f>
        <v>313</v>
      </c>
      <c r="AP162" s="5">
        <f t="shared" si="63"/>
        <v>30</v>
      </c>
      <c r="AQ162" s="4">
        <f t="shared" si="64"/>
        <v>3</v>
      </c>
      <c r="AR162" s="4">
        <f t="shared" si="65"/>
        <v>25</v>
      </c>
      <c r="AS162" s="4">
        <f t="shared" si="66"/>
        <v>3</v>
      </c>
      <c r="AT162" s="4">
        <f t="shared" si="67"/>
        <v>36</v>
      </c>
      <c r="AU162" s="4">
        <f t="shared" si="68"/>
        <v>7</v>
      </c>
      <c r="AV162" s="4">
        <f t="shared" si="69"/>
        <v>25</v>
      </c>
      <c r="AW162" s="4" t="str">
        <f t="shared" si="70"/>
        <v>-</v>
      </c>
      <c r="AX162" s="4">
        <f t="shared" si="71"/>
        <v>37</v>
      </c>
      <c r="AY162" s="4">
        <f t="shared" si="72"/>
        <v>39</v>
      </c>
      <c r="AZ162" s="4">
        <f t="shared" si="73"/>
        <v>22</v>
      </c>
      <c r="BA162" s="4">
        <f t="shared" si="74"/>
        <v>12</v>
      </c>
    </row>
    <row r="163" spans="1:53" x14ac:dyDescent="0.2">
      <c r="A163" s="1" t="str">
        <f>'SegEnds_NonXtal_Prot#'!A138</f>
        <v>gpr31_human</v>
      </c>
      <c r="B163" s="1" t="str">
        <f t="shared" si="50"/>
        <v>CSAPSTVVATAVGVLLGLECGLGLLGNAVALWTFLFRKPYAVYLLNLALADLLLAACLPFLAAFYLSGRVGCWALHFLLDLSRSVGMAFLAAVALDRYLRVVHSPQAALGVSGLVWLLMVALTCPGLLISDGSFSIIWQEALSCLQFVLPFGLIVFCNAGIIRALQKRPEKQPKLQRAQALVTLVVVLFALCFLPCFLARVLMHIFLCAVAHTSDVTGSLTYLHSVLNPVVYCFSSPTFRSSYRRVFHT</v>
      </c>
      <c r="C163" s="29" t="str">
        <f>IF(ISERROR(MATCH(A163,'SegEnds_Xtal_Prot#'!B:B, 0)), "NoXtal", "Xtal")</f>
        <v>NoXtal</v>
      </c>
      <c r="D163" s="4" t="str">
        <f>VLOOKUP(A163,Classification!A:D,2,FALSE)</f>
        <v>A</v>
      </c>
      <c r="E163" s="5" t="str">
        <f>VLOOKUP(A163,Seqs!A:B,2,FALSE)</f>
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</c>
      <c r="F163" s="5" t="str">
        <f t="shared" si="51"/>
        <v>CSAPSTVVATAVGVLLGLECGLGLLGNAVALWTFLFR</v>
      </c>
      <c r="G163" s="4" t="str">
        <f t="shared" si="52"/>
        <v>VRVW</v>
      </c>
      <c r="H163" s="4" t="str">
        <f t="shared" si="53"/>
        <v>KPYAVYLLNLALADLLLAACLPFLAAFYLS</v>
      </c>
      <c r="I163" s="4" t="str">
        <f t="shared" si="54"/>
        <v>AWHL</v>
      </c>
      <c r="J163" s="4" t="str">
        <f t="shared" si="55"/>
        <v>GRVGCWALHFLLDLSRSVGMAFLAAVALDRYLRVVH</v>
      </c>
      <c r="K163" s="4" t="str">
        <f t="shared" si="56"/>
        <v>PRLKVNLL</v>
      </c>
      <c r="L163" s="4" t="str">
        <f t="shared" si="57"/>
        <v>SPQAALGVSGLVWLLMVALTCPGLLIS</v>
      </c>
      <c r="M163" s="4" t="str">
        <f t="shared" si="58"/>
        <v>CHS</v>
      </c>
      <c r="N163" s="4" t="str">
        <f t="shared" si="59"/>
        <v>DGSFSIIWQEALSCLQFVLPFGLIVFCNAGIIRALQKR</v>
      </c>
      <c r="O163" s="4" t="str">
        <f t="shared" si="60"/>
        <v>PEKQPKLQRAQALVTLVVVLFALCFLPCFLARVLMHIF</v>
      </c>
      <c r="P163" s="4" t="str">
        <f t="shared" si="61"/>
        <v>LCAVAHTSDVTGSLTYLHSVLNPVVYCFS</v>
      </c>
      <c r="Q163" s="4" t="str">
        <f t="shared" si="62"/>
        <v>SPTFRSSYRRVFHT</v>
      </c>
      <c r="R163" s="5">
        <f>VLOOKUP($A163,'SegEnds_NonXtal_Prot#'!$A:$AL,3,FALSE)</f>
        <v>6</v>
      </c>
      <c r="S163" s="5">
        <f>VLOOKUP($A163,'SegEnds_NonXtal_Prot#'!$A:$AL,6,FALSE)</f>
        <v>43</v>
      </c>
      <c r="T163" s="5">
        <f>VLOOKUP($A163,'SegEnds_NonXtal_Prot#'!$A:$AL,9,FALSE)</f>
        <v>47</v>
      </c>
      <c r="U163" s="5">
        <f>VLOOKUP($A163,'SegEnds_NonXtal_Prot#'!$A:$AL,12,FALSE)</f>
        <v>79</v>
      </c>
      <c r="V163" s="5">
        <f>VLOOKUP($A163,'SegEnds_NonXtal_Prot#'!$A:$AL,15,FALSE)</f>
        <v>83</v>
      </c>
      <c r="W163" s="5">
        <f>VLOOKUP($A163,'SegEnds_NonXtal_Prot#'!$A:$AL,18,FALSE)</f>
        <v>119</v>
      </c>
      <c r="X163" s="5">
        <f>VLOOKUP($A163,'SegEnds_NonXtal_Prot#'!$A:$AL,21,FALSE)</f>
        <v>127</v>
      </c>
      <c r="Y163" s="5">
        <f>VLOOKUP($A163,'SegEnds_NonXtal_Prot#'!$A:$AL,24,FALSE)</f>
        <v>162</v>
      </c>
      <c r="Z163" s="5">
        <f>VLOOKUP($A163,'SegEnds_NonXtal_Prot#'!$A:$AL,27,FALSE)</f>
        <v>170</v>
      </c>
      <c r="AA163" s="5">
        <f>VLOOKUP($A163,'SegEnds_NonXtal_Prot#'!$A:$AL,30,FALSE)</f>
        <v>211</v>
      </c>
      <c r="AB163" s="5">
        <f>VLOOKUP($A163,'SegEnds_NonXtal_Prot#'!$A:$AL,33,FALSE)</f>
        <v>257</v>
      </c>
      <c r="AC163" s="5">
        <f>VLOOKUP($A163,'SegEnds_NonXtal_Prot#'!$A:$AL,36,FALSE)</f>
        <v>286</v>
      </c>
      <c r="AD163" s="5">
        <f>VLOOKUP($A163,'SegEnds_NonXtal_Prot#'!$A:$AL,5,FALSE)</f>
        <v>42</v>
      </c>
      <c r="AE163" s="5">
        <f>VLOOKUP($A163,'SegEnds_NonXtal_Prot#'!$A:$AL,8,FALSE)</f>
        <v>46</v>
      </c>
      <c r="AF163" s="5">
        <f>VLOOKUP($A163,'SegEnds_NonXtal_Prot#'!$A:$AL,11,FALSE)</f>
        <v>76</v>
      </c>
      <c r="AG163" s="5">
        <f>VLOOKUP($A163,'SegEnds_NonXtal_Prot#'!$A:$AL,14,FALSE)</f>
        <v>82</v>
      </c>
      <c r="AH163" s="5">
        <f>VLOOKUP($A163,'SegEnds_NonXtal_Prot#'!$A:$AL,17,FALSE)</f>
        <v>118</v>
      </c>
      <c r="AI163" s="5">
        <f>VLOOKUP($A163,'SegEnds_NonXtal_Prot#'!$A:$AL,20,FALSE)</f>
        <v>126</v>
      </c>
      <c r="AJ163" s="5">
        <f>VLOOKUP($A163,'SegEnds_NonXtal_Prot#'!$A:$AL,23,FALSE)</f>
        <v>153</v>
      </c>
      <c r="AK163" s="5">
        <f>VLOOKUP($A163,'SegEnds_NonXtal_Prot#'!$A:$AL,26,FALSE)</f>
        <v>164</v>
      </c>
      <c r="AL163" s="5">
        <f>VLOOKUP($A163,'SegEnds_NonXtal_Prot#'!$A:$AL,29,FALSE)</f>
        <v>207</v>
      </c>
      <c r="AM163" s="5">
        <f>VLOOKUP($A163,'SegEnds_NonXtal_Prot#'!$A:$AL,32,FALSE)</f>
        <v>248</v>
      </c>
      <c r="AN163" s="5">
        <f>VLOOKUP($A163,'SegEnds_NonXtal_Prot#'!$A:$AL,35,FALSE)</f>
        <v>285</v>
      </c>
      <c r="AO163" s="5">
        <f>VLOOKUP($A163,'SegEnds_NonXtal_Prot#'!$A:$AL,38,FALSE)</f>
        <v>299</v>
      </c>
      <c r="AP163" s="5">
        <f t="shared" si="63"/>
        <v>36</v>
      </c>
      <c r="AQ163" s="4">
        <f t="shared" si="64"/>
        <v>3</v>
      </c>
      <c r="AR163" s="4">
        <f t="shared" si="65"/>
        <v>29</v>
      </c>
      <c r="AS163" s="4">
        <f t="shared" si="66"/>
        <v>3</v>
      </c>
      <c r="AT163" s="4">
        <f t="shared" si="67"/>
        <v>35</v>
      </c>
      <c r="AU163" s="4">
        <f t="shared" si="68"/>
        <v>7</v>
      </c>
      <c r="AV163" s="4">
        <f t="shared" si="69"/>
        <v>26</v>
      </c>
      <c r="AW163" s="4">
        <f t="shared" si="70"/>
        <v>2</v>
      </c>
      <c r="AX163" s="4">
        <f t="shared" si="71"/>
        <v>37</v>
      </c>
      <c r="AY163" s="4">
        <f t="shared" si="72"/>
        <v>37</v>
      </c>
      <c r="AZ163" s="4">
        <f t="shared" si="73"/>
        <v>28</v>
      </c>
      <c r="BA163" s="4">
        <f t="shared" si="74"/>
        <v>13</v>
      </c>
    </row>
    <row r="164" spans="1:53" x14ac:dyDescent="0.2">
      <c r="A164" s="1" t="str">
        <f>'SegEnds_NonXtal_Prot#'!A139</f>
        <v>gpr32_human</v>
      </c>
      <c r="B164" s="1" t="str">
        <f t="shared" si="50"/>
        <v>SEEVGSLRPLTVVILSASIVVGVLGNGLVLWMTVFRMTVSTVCFFHLALADFMLSLSLPIAMYYIVSGEWACKLYITFVFLSYFASNCLLVFISVDRCISVLYTVQRASWLAFGVWLLAAALCSAHLKFRTAQIWIEGVVEGHIIGTIGHFLLGFLGPLAIIGTCAHLIRAKLLREANRPKRLLLVLVSAFFIFWSPFNVVLLVHLWRHPRMLLILQASFALGCVNSSLNPFLYVFVGRDFQEKFFQSL</v>
      </c>
      <c r="C164" s="29" t="str">
        <f>IF(ISERROR(MATCH(A164,'SegEnds_Xtal_Prot#'!B:B, 0)), "NoXtal", "Xtal")</f>
        <v>NoXtal</v>
      </c>
      <c r="D164" s="4" t="str">
        <f>VLOOKUP(A164,Classification!A:D,2,FALSE)</f>
        <v>A</v>
      </c>
      <c r="E164" s="5" t="str">
        <f>VLOOKUP(A164,Seqs!A:B,2,FALSE)</f>
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</c>
      <c r="F164" s="5" t="str">
        <f t="shared" si="51"/>
        <v>SEEVGSLRPLTVVILSASIVVGVLGNGLVLWMTVFRM</v>
      </c>
      <c r="G164" s="4" t="str">
        <f t="shared" si="52"/>
        <v/>
      </c>
      <c r="H164" s="4" t="str">
        <f t="shared" si="53"/>
        <v>TVSTVCFFHLALADFMLSLSLPIAMYYIVS</v>
      </c>
      <c r="I164" s="4" t="str">
        <f t="shared" si="54"/>
        <v>QWLL</v>
      </c>
      <c r="J164" s="4" t="str">
        <f t="shared" si="55"/>
        <v>GEWACKLYITFVFLSYFASNCLLVFISVDRCISVLY</v>
      </c>
      <c r="K164" s="4" t="str">
        <f t="shared" si="56"/>
        <v>PVWALNHR</v>
      </c>
      <c r="L164" s="4" t="str">
        <f t="shared" si="57"/>
        <v>TVQRASWLAFGVWLLAAALCSAHLKFR</v>
      </c>
      <c r="M164" s="4" t="str">
        <f t="shared" si="58"/>
        <v>CYL</v>
      </c>
      <c r="N164" s="4" t="str">
        <f t="shared" si="59"/>
        <v>TAQIWIEGVVEGHIIGTIGHFLLGFLGPLAIIGTCAHLIRAKLLRE</v>
      </c>
      <c r="O164" s="4" t="str">
        <f t="shared" si="60"/>
        <v>ANRPKRLLLVLVSAFFIFWSPFNVVLLVHLWR</v>
      </c>
      <c r="P164" s="4" t="str">
        <f t="shared" si="61"/>
        <v>HPRMLLILQASFALGCVNSSLNPFLYVFV</v>
      </c>
      <c r="Q164" s="4" t="str">
        <f t="shared" si="62"/>
        <v>GRDFQEKFFQSL</v>
      </c>
      <c r="R164" s="5">
        <f>VLOOKUP($A164,'SegEnds_NonXtal_Prot#'!$A:$AL,3,FALSE)</f>
        <v>36</v>
      </c>
      <c r="S164" s="5" t="str">
        <f>VLOOKUP($A164,'SegEnds_NonXtal_Prot#'!$A:$AL,6,FALSE)</f>
        <v>-</v>
      </c>
      <c r="T164" s="5">
        <f>VLOOKUP($A164,'SegEnds_NonXtal_Prot#'!$A:$AL,9,FALSE)</f>
        <v>75</v>
      </c>
      <c r="U164" s="5">
        <f>VLOOKUP($A164,'SegEnds_NonXtal_Prot#'!$A:$AL,12,FALSE)</f>
        <v>106</v>
      </c>
      <c r="V164" s="5">
        <f>VLOOKUP($A164,'SegEnds_NonXtal_Prot#'!$A:$AL,15,FALSE)</f>
        <v>110</v>
      </c>
      <c r="W164" s="5">
        <f>VLOOKUP($A164,'SegEnds_NonXtal_Prot#'!$A:$AL,18,FALSE)</f>
        <v>146</v>
      </c>
      <c r="X164" s="5">
        <f>VLOOKUP($A164,'SegEnds_NonXtal_Prot#'!$A:$AL,21,FALSE)</f>
        <v>154</v>
      </c>
      <c r="Y164" s="5">
        <f>VLOOKUP($A164,'SegEnds_NonXtal_Prot#'!$A:$AL,24,FALSE)</f>
        <v>191</v>
      </c>
      <c r="Z164" s="5">
        <f>VLOOKUP($A164,'SegEnds_NonXtal_Prot#'!$A:$AL,27,FALSE)</f>
        <v>201</v>
      </c>
      <c r="AA164" s="5">
        <f>VLOOKUP($A164,'SegEnds_NonXtal_Prot#'!$A:$AL,30,FALSE)</f>
        <v>251</v>
      </c>
      <c r="AB164" s="5">
        <f>VLOOKUP($A164,'SegEnds_NonXtal_Prot#'!$A:$AL,33,FALSE)</f>
        <v>291</v>
      </c>
      <c r="AC164" s="5">
        <f>VLOOKUP($A164,'SegEnds_NonXtal_Prot#'!$A:$AL,36,FALSE)</f>
        <v>320</v>
      </c>
      <c r="AD164" s="5">
        <f>VLOOKUP($A164,'SegEnds_NonXtal_Prot#'!$A:$AL,5,FALSE)</f>
        <v>72</v>
      </c>
      <c r="AE164" s="5" t="str">
        <f>VLOOKUP($A164,'SegEnds_NonXtal_Prot#'!$A:$AL,8,FALSE)</f>
        <v>-</v>
      </c>
      <c r="AF164" s="5">
        <f>VLOOKUP($A164,'SegEnds_NonXtal_Prot#'!$A:$AL,11,FALSE)</f>
        <v>104</v>
      </c>
      <c r="AG164" s="5">
        <f>VLOOKUP($A164,'SegEnds_NonXtal_Prot#'!$A:$AL,14,FALSE)</f>
        <v>109</v>
      </c>
      <c r="AH164" s="5">
        <f>VLOOKUP($A164,'SegEnds_NonXtal_Prot#'!$A:$AL,17,FALSE)</f>
        <v>145</v>
      </c>
      <c r="AI164" s="5">
        <f>VLOOKUP($A164,'SegEnds_NonXtal_Prot#'!$A:$AL,20,FALSE)</f>
        <v>153</v>
      </c>
      <c r="AJ164" s="5">
        <f>VLOOKUP($A164,'SegEnds_NonXtal_Prot#'!$A:$AL,23,FALSE)</f>
        <v>180</v>
      </c>
      <c r="AK164" s="5">
        <f>VLOOKUP($A164,'SegEnds_NonXtal_Prot#'!$A:$AL,26,FALSE)</f>
        <v>193</v>
      </c>
      <c r="AL164" s="5">
        <f>VLOOKUP($A164,'SegEnds_NonXtal_Prot#'!$A:$AL,29,FALSE)</f>
        <v>246</v>
      </c>
      <c r="AM164" s="5">
        <f>VLOOKUP($A164,'SegEnds_NonXtal_Prot#'!$A:$AL,32,FALSE)</f>
        <v>282</v>
      </c>
      <c r="AN164" s="5">
        <f>VLOOKUP($A164,'SegEnds_NonXtal_Prot#'!$A:$AL,35,FALSE)</f>
        <v>319</v>
      </c>
      <c r="AO164" s="5">
        <f>VLOOKUP($A164,'SegEnds_NonXtal_Prot#'!$A:$AL,38,FALSE)</f>
        <v>331</v>
      </c>
      <c r="AP164" s="5">
        <f t="shared" si="63"/>
        <v>36</v>
      </c>
      <c r="AQ164" s="4" t="str">
        <f t="shared" si="64"/>
        <v>-</v>
      </c>
      <c r="AR164" s="4">
        <f t="shared" si="65"/>
        <v>29</v>
      </c>
      <c r="AS164" s="4">
        <f t="shared" si="66"/>
        <v>3</v>
      </c>
      <c r="AT164" s="4">
        <f t="shared" si="67"/>
        <v>35</v>
      </c>
      <c r="AU164" s="4">
        <f t="shared" si="68"/>
        <v>7</v>
      </c>
      <c r="AV164" s="4">
        <f t="shared" si="69"/>
        <v>26</v>
      </c>
      <c r="AW164" s="4">
        <f t="shared" si="70"/>
        <v>2</v>
      </c>
      <c r="AX164" s="4">
        <f t="shared" si="71"/>
        <v>45</v>
      </c>
      <c r="AY164" s="4">
        <f t="shared" si="72"/>
        <v>31</v>
      </c>
      <c r="AZ164" s="4">
        <f t="shared" si="73"/>
        <v>28</v>
      </c>
      <c r="BA164" s="4">
        <f t="shared" si="74"/>
        <v>11</v>
      </c>
    </row>
    <row r="165" spans="1:53" x14ac:dyDescent="0.2">
      <c r="A165" s="1" t="str">
        <f>'SegEnds_NonXtal_Prot#'!A140</f>
        <v>gpr33_human</v>
      </c>
      <c r="B165" s="1" t="str">
        <f t="shared" si="50"/>
        <v>QFLAPASKMIIALSLYISSIIGTITNGLYLWVLRFKMTVNTLLFFHLILSYFISTMILPFMATSQLQDGTALCKVFNGTLSLGMFTSVFFLSAIGLDRYLLTLHTPRWASSIVLGVWISAAALSIPYLIFRESKEMQASRQWIHVACFISRFLLGFLLPFFIIIFCYERVASKVKERSSKPFKVMMTAIISFFVCWMPYHIHQGLLLTTLELTLILTVLTTSFNTIFSPTLYLFVGENFKKVFKKSI</v>
      </c>
      <c r="C165" s="29" t="str">
        <f>IF(ISERROR(MATCH(A165,'SegEnds_Xtal_Prot#'!B:B, 0)), "NoXtal", "Xtal")</f>
        <v>NoXtal</v>
      </c>
      <c r="D165" s="4" t="str">
        <f>VLOOKUP(A165,Classification!A:D,2,FALSE)</f>
        <v>A</v>
      </c>
      <c r="E165" s="5" t="str">
        <f>VLOOKUP(A165,Seqs!A:B,2,FALSE)</f>
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</c>
      <c r="F165" s="5" t="str">
        <f t="shared" si="51"/>
        <v>QFLAPASKMIIALSLYISSIIGTITNGLYLWVLRFKM</v>
      </c>
      <c r="G165" s="4" t="str">
        <f t="shared" si="52"/>
        <v/>
      </c>
      <c r="H165" s="4" t="str">
        <f t="shared" si="53"/>
        <v>TVNTLLFFHLILSYFISTMILPFMATSQLQD</v>
      </c>
      <c r="I165" s="4" t="str">
        <f t="shared" si="54"/>
        <v>HWNF</v>
      </c>
      <c r="J165" s="4" t="str">
        <f t="shared" si="55"/>
        <v>GTALCKVFNGTLSLGMFTSVFFLSAIGLDRYLLTLH</v>
      </c>
      <c r="K165" s="4" t="str">
        <f t="shared" si="56"/>
        <v>PVWSQQHR</v>
      </c>
      <c r="L165" s="4" t="str">
        <f t="shared" si="57"/>
        <v>TPRWASSIVLGVWISAAALSIPYLIFR</v>
      </c>
      <c r="M165" s="4" t="str">
        <f t="shared" si="58"/>
        <v>CQN</v>
      </c>
      <c r="N165" s="4" t="str">
        <f t="shared" si="59"/>
        <v>ESKEMQASRQWIHVACFISRFLLGFLLPFFIIIFCYERVASKVKER</v>
      </c>
      <c r="O165" s="4" t="str">
        <f t="shared" si="60"/>
        <v>SSKPFKVMMTAIISFFVCWMPYHIHQGLLLTT</v>
      </c>
      <c r="P165" s="4" t="str">
        <f t="shared" si="61"/>
        <v>LELTLILTVLTTSFNTIFSPTLYLFV</v>
      </c>
      <c r="Q165" s="4" t="str">
        <f t="shared" si="62"/>
        <v>GENFKKVFKKSI</v>
      </c>
      <c r="R165" s="5">
        <f>VLOOKUP($A165,'SegEnds_NonXtal_Prot#'!$A:$AL,3,FALSE)</f>
        <v>22</v>
      </c>
      <c r="S165" s="5" t="str">
        <f>VLOOKUP($A165,'SegEnds_NonXtal_Prot#'!$A:$AL,6,FALSE)</f>
        <v>-</v>
      </c>
      <c r="T165" s="5">
        <f>VLOOKUP($A165,'SegEnds_NonXtal_Prot#'!$A:$AL,9,FALSE)</f>
        <v>61</v>
      </c>
      <c r="U165" s="5">
        <f>VLOOKUP($A165,'SegEnds_NonXtal_Prot#'!$A:$AL,12,FALSE)</f>
        <v>93</v>
      </c>
      <c r="V165" s="5">
        <f>VLOOKUP($A165,'SegEnds_NonXtal_Prot#'!$A:$AL,15,FALSE)</f>
        <v>97</v>
      </c>
      <c r="W165" s="5">
        <f>VLOOKUP($A165,'SegEnds_NonXtal_Prot#'!$A:$AL,18,FALSE)</f>
        <v>133</v>
      </c>
      <c r="X165" s="5">
        <f>VLOOKUP($A165,'SegEnds_NonXtal_Prot#'!$A:$AL,21,FALSE)</f>
        <v>141</v>
      </c>
      <c r="Y165" s="5">
        <f>VLOOKUP($A165,'SegEnds_NonXtal_Prot#'!$A:$AL,24,FALSE)</f>
        <v>179</v>
      </c>
      <c r="Z165" s="5">
        <f>VLOOKUP($A165,'SegEnds_NonXtal_Prot#'!$A:$AL,27,FALSE)</f>
        <v>190</v>
      </c>
      <c r="AA165" s="5">
        <f>VLOOKUP($A165,'SegEnds_NonXtal_Prot#'!$A:$AL,30,FALSE)</f>
        <v>240</v>
      </c>
      <c r="AB165" s="5">
        <f>VLOOKUP($A165,'SegEnds_NonXtal_Prot#'!$A:$AL,33,FALSE)</f>
        <v>277</v>
      </c>
      <c r="AC165" s="5">
        <f>VLOOKUP($A165,'SegEnds_NonXtal_Prot#'!$A:$AL,36,FALSE)</f>
        <v>303</v>
      </c>
      <c r="AD165" s="5">
        <f>VLOOKUP($A165,'SegEnds_NonXtal_Prot#'!$A:$AL,5,FALSE)</f>
        <v>58</v>
      </c>
      <c r="AE165" s="5" t="str">
        <f>VLOOKUP($A165,'SegEnds_NonXtal_Prot#'!$A:$AL,8,FALSE)</f>
        <v>-</v>
      </c>
      <c r="AF165" s="5">
        <f>VLOOKUP($A165,'SegEnds_NonXtal_Prot#'!$A:$AL,11,FALSE)</f>
        <v>91</v>
      </c>
      <c r="AG165" s="5">
        <f>VLOOKUP($A165,'SegEnds_NonXtal_Prot#'!$A:$AL,14,FALSE)</f>
        <v>96</v>
      </c>
      <c r="AH165" s="5">
        <f>VLOOKUP($A165,'SegEnds_NonXtal_Prot#'!$A:$AL,17,FALSE)</f>
        <v>132</v>
      </c>
      <c r="AI165" s="5">
        <f>VLOOKUP($A165,'SegEnds_NonXtal_Prot#'!$A:$AL,20,FALSE)</f>
        <v>140</v>
      </c>
      <c r="AJ165" s="5">
        <f>VLOOKUP($A165,'SegEnds_NonXtal_Prot#'!$A:$AL,23,FALSE)</f>
        <v>167</v>
      </c>
      <c r="AK165" s="5">
        <f>VLOOKUP($A165,'SegEnds_NonXtal_Prot#'!$A:$AL,26,FALSE)</f>
        <v>181</v>
      </c>
      <c r="AL165" s="5">
        <f>VLOOKUP($A165,'SegEnds_NonXtal_Prot#'!$A:$AL,29,FALSE)</f>
        <v>235</v>
      </c>
      <c r="AM165" s="5">
        <f>VLOOKUP($A165,'SegEnds_NonXtal_Prot#'!$A:$AL,32,FALSE)</f>
        <v>271</v>
      </c>
      <c r="AN165" s="5">
        <f>VLOOKUP($A165,'SegEnds_NonXtal_Prot#'!$A:$AL,35,FALSE)</f>
        <v>302</v>
      </c>
      <c r="AO165" s="5">
        <f>VLOOKUP($A165,'SegEnds_NonXtal_Prot#'!$A:$AL,38,FALSE)</f>
        <v>314</v>
      </c>
      <c r="AP165" s="5">
        <f t="shared" si="63"/>
        <v>36</v>
      </c>
      <c r="AQ165" s="4" t="str">
        <f t="shared" si="64"/>
        <v>-</v>
      </c>
      <c r="AR165" s="4">
        <f t="shared" si="65"/>
        <v>30</v>
      </c>
      <c r="AS165" s="4">
        <f t="shared" si="66"/>
        <v>3</v>
      </c>
      <c r="AT165" s="4">
        <f t="shared" si="67"/>
        <v>35</v>
      </c>
      <c r="AU165" s="4">
        <f t="shared" si="68"/>
        <v>7</v>
      </c>
      <c r="AV165" s="4">
        <f t="shared" si="69"/>
        <v>26</v>
      </c>
      <c r="AW165" s="4">
        <f t="shared" si="70"/>
        <v>2</v>
      </c>
      <c r="AX165" s="4">
        <f t="shared" si="71"/>
        <v>45</v>
      </c>
      <c r="AY165" s="4">
        <f t="shared" si="72"/>
        <v>31</v>
      </c>
      <c r="AZ165" s="4">
        <f t="shared" si="73"/>
        <v>25</v>
      </c>
      <c r="BA165" s="4">
        <f t="shared" si="74"/>
        <v>11</v>
      </c>
    </row>
    <row r="166" spans="1:53" x14ac:dyDescent="0.2">
      <c r="A166" s="1" t="str">
        <f>'SegEnds_NonXtal_Prot#'!A141</f>
        <v>gpr34_human</v>
      </c>
      <c r="B166" s="1" t="str">
        <f t="shared" si="50"/>
        <v>DEKLLSTVLTTSYSVIFIVGLVGNIIALYVFLGIHNSIQIYLLNVAIADLLLIFCLPFRIMYHINQGVILCKVVGTLFYMNMYISIILLGFISLDRYIKINRTTKQSIYVCCIVWMLALGGFLTMIILAKGEAIFNFILVVMFWLIFLLIILSYIKIGKNLLRIKFPNSGKYATTARNSFIVLIIFTICFVPYHAFRFIYISSSCYWKEIVHKTNEIMLVLSSFNSCLDPVMYFLMSSNIRKIMCQLLFRRFQ</v>
      </c>
      <c r="C166" s="29" t="str">
        <f>IF(ISERROR(MATCH(A166,'SegEnds_Xtal_Prot#'!B:B, 0)), "NoXtal", "Xtal")</f>
        <v>NoXtal</v>
      </c>
      <c r="D166" s="4" t="str">
        <f>VLOOKUP(A166,Classification!A:D,2,FALSE)</f>
        <v>A</v>
      </c>
      <c r="E166" s="5" t="str">
        <f>VLOOKUP(A166,Seqs!A:B,2,FALSE)</f>
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</c>
      <c r="F166" s="5" t="str">
        <f t="shared" si="51"/>
        <v>DEKLLSTVLTTSYSVIFIVGLVGNIIALYVFLGIH</v>
      </c>
      <c r="G166" s="4" t="str">
        <f t="shared" si="52"/>
        <v/>
      </c>
      <c r="H166" s="4" t="str">
        <f t="shared" si="53"/>
        <v>NSIQIYLLNVAIADLLLIFCLPFRIMYHINQ</v>
      </c>
      <c r="I166" s="4" t="str">
        <f t="shared" si="54"/>
        <v>KWTL</v>
      </c>
      <c r="J166" s="4" t="str">
        <f t="shared" si="55"/>
        <v>GVILCKVVGTLFYMNMYISIILLGFISLDRYIKINR</v>
      </c>
      <c r="K166" s="4" t="str">
        <f t="shared" si="56"/>
        <v>SIQQRKAI</v>
      </c>
      <c r="L166" s="4" t="str">
        <f t="shared" si="57"/>
        <v>TTKQSIYVCCIVWMLALGGFLTMIIL</v>
      </c>
      <c r="M166" s="4" t="str">
        <f t="shared" si="58"/>
        <v>CFH</v>
      </c>
      <c r="N166" s="4" t="str">
        <f t="shared" si="59"/>
        <v>AKGEAIFNFILVVMFWLIFLLIILSYIKIGKNLLRI</v>
      </c>
      <c r="O166" s="4" t="str">
        <f t="shared" si="60"/>
        <v>KFPNSGKYATTARNSFIVLIIFTICFVPYHAFRFIYISS</v>
      </c>
      <c r="P166" s="4" t="str">
        <f t="shared" si="61"/>
        <v>SCYWKEIVHKTNEIMLVLSSFNSCLDPVMYFLMSSN</v>
      </c>
      <c r="Q166" s="4" t="str">
        <f t="shared" si="62"/>
        <v>IRKIMCQLLFRRFQ</v>
      </c>
      <c r="R166" s="5">
        <f>VLOOKUP($A166,'SegEnds_NonXtal_Prot#'!$A:$AL,3,FALSE)</f>
        <v>49</v>
      </c>
      <c r="S166" s="5" t="str">
        <f>VLOOKUP($A166,'SegEnds_NonXtal_Prot#'!$A:$AL,6,FALSE)</f>
        <v>-</v>
      </c>
      <c r="T166" s="5">
        <f>VLOOKUP($A166,'SegEnds_NonXtal_Prot#'!$A:$AL,9,FALSE)</f>
        <v>87</v>
      </c>
      <c r="U166" s="5">
        <f>VLOOKUP($A166,'SegEnds_NonXtal_Prot#'!$A:$AL,12,FALSE)</f>
        <v>119</v>
      </c>
      <c r="V166" s="5">
        <f>VLOOKUP($A166,'SegEnds_NonXtal_Prot#'!$A:$AL,15,FALSE)</f>
        <v>123</v>
      </c>
      <c r="W166" s="5">
        <f>VLOOKUP($A166,'SegEnds_NonXtal_Prot#'!$A:$AL,18,FALSE)</f>
        <v>159</v>
      </c>
      <c r="X166" s="5">
        <f>VLOOKUP($A166,'SegEnds_NonXtal_Prot#'!$A:$AL,21,FALSE)</f>
        <v>167</v>
      </c>
      <c r="Y166" s="5">
        <f>VLOOKUP($A166,'SegEnds_NonXtal_Prot#'!$A:$AL,24,FALSE)</f>
        <v>204</v>
      </c>
      <c r="Z166" s="5">
        <f>VLOOKUP($A166,'SegEnds_NonXtal_Prot#'!$A:$AL,27,FALSE)</f>
        <v>213</v>
      </c>
      <c r="AA166" s="5">
        <f>VLOOKUP($A166,'SegEnds_NonXtal_Prot#'!$A:$AL,30,FALSE)</f>
        <v>254</v>
      </c>
      <c r="AB166" s="5">
        <f>VLOOKUP($A166,'SegEnds_NonXtal_Prot#'!$A:$AL,33,FALSE)</f>
        <v>298</v>
      </c>
      <c r="AC166" s="5">
        <f>VLOOKUP($A166,'SegEnds_NonXtal_Prot#'!$A:$AL,36,FALSE)</f>
        <v>334</v>
      </c>
      <c r="AD166" s="5">
        <f>VLOOKUP($A166,'SegEnds_NonXtal_Prot#'!$A:$AL,5,FALSE)</f>
        <v>83</v>
      </c>
      <c r="AE166" s="5" t="str">
        <f>VLOOKUP($A166,'SegEnds_NonXtal_Prot#'!$A:$AL,8,FALSE)</f>
        <v>-</v>
      </c>
      <c r="AF166" s="5">
        <f>VLOOKUP($A166,'SegEnds_NonXtal_Prot#'!$A:$AL,11,FALSE)</f>
        <v>117</v>
      </c>
      <c r="AG166" s="5">
        <f>VLOOKUP($A166,'SegEnds_NonXtal_Prot#'!$A:$AL,14,FALSE)</f>
        <v>122</v>
      </c>
      <c r="AH166" s="5">
        <f>VLOOKUP($A166,'SegEnds_NonXtal_Prot#'!$A:$AL,17,FALSE)</f>
        <v>158</v>
      </c>
      <c r="AI166" s="5">
        <f>VLOOKUP($A166,'SegEnds_NonXtal_Prot#'!$A:$AL,20,FALSE)</f>
        <v>166</v>
      </c>
      <c r="AJ166" s="5">
        <f>VLOOKUP($A166,'SegEnds_NonXtal_Prot#'!$A:$AL,23,FALSE)</f>
        <v>192</v>
      </c>
      <c r="AK166" s="5">
        <f>VLOOKUP($A166,'SegEnds_NonXtal_Prot#'!$A:$AL,26,FALSE)</f>
        <v>206</v>
      </c>
      <c r="AL166" s="5">
        <f>VLOOKUP($A166,'SegEnds_NonXtal_Prot#'!$A:$AL,29,FALSE)</f>
        <v>248</v>
      </c>
      <c r="AM166" s="5">
        <f>VLOOKUP($A166,'SegEnds_NonXtal_Prot#'!$A:$AL,32,FALSE)</f>
        <v>292</v>
      </c>
      <c r="AN166" s="5">
        <f>VLOOKUP($A166,'SegEnds_NonXtal_Prot#'!$A:$AL,35,FALSE)</f>
        <v>333</v>
      </c>
      <c r="AO166" s="5">
        <f>VLOOKUP($A166,'SegEnds_NonXtal_Prot#'!$A:$AL,38,FALSE)</f>
        <v>347</v>
      </c>
      <c r="AP166" s="5">
        <f t="shared" si="63"/>
        <v>34</v>
      </c>
      <c r="AQ166" s="4" t="str">
        <f t="shared" si="64"/>
        <v>-</v>
      </c>
      <c r="AR166" s="4">
        <f t="shared" si="65"/>
        <v>30</v>
      </c>
      <c r="AS166" s="4">
        <f t="shared" si="66"/>
        <v>3</v>
      </c>
      <c r="AT166" s="4">
        <f t="shared" si="67"/>
        <v>35</v>
      </c>
      <c r="AU166" s="4">
        <f t="shared" si="68"/>
        <v>7</v>
      </c>
      <c r="AV166" s="4">
        <f t="shared" si="69"/>
        <v>25</v>
      </c>
      <c r="AW166" s="4">
        <f t="shared" si="70"/>
        <v>2</v>
      </c>
      <c r="AX166" s="4">
        <f t="shared" si="71"/>
        <v>35</v>
      </c>
      <c r="AY166" s="4">
        <f t="shared" si="72"/>
        <v>38</v>
      </c>
      <c r="AZ166" s="4">
        <f t="shared" si="73"/>
        <v>35</v>
      </c>
      <c r="BA166" s="4">
        <f t="shared" si="74"/>
        <v>13</v>
      </c>
    </row>
    <row r="167" spans="1:53" x14ac:dyDescent="0.2">
      <c r="A167" s="1" t="str">
        <f>'SegEnds_NonXtal_Prot#'!A142</f>
        <v>gpr35_human</v>
      </c>
      <c r="B167" s="1" t="str">
        <f t="shared" si="50"/>
        <v>LTWPPAIKLGFYAYLGVLLVLGLLLNSLALWVFCCRTETRIYMTNLAVADLCLLCTLPFVLHSLRDLCQLSQGIYLTNRYMSISLVTAIAVDRYVAVRHSPRQAAAVCAVLWVLVIGSLVARWLLGHNFNSMAFPLLGFYLPLAVVVFCSLKVVTALAQRVGQAEATRKAARMVWANLLVFVVCFLPLHVGLTVRLAVLETIRRALYITSKLSDANCCLDAICYYYMAKEFQEASALAV</v>
      </c>
      <c r="C167" s="29" t="str">
        <f>IF(ISERROR(MATCH(A167,'SegEnds_Xtal_Prot#'!B:B, 0)), "NoXtal", "Xtal")</f>
        <v>NoXtal</v>
      </c>
      <c r="D167" s="4" t="str">
        <f>VLOOKUP(A167,Classification!A:D,2,FALSE)</f>
        <v>A</v>
      </c>
      <c r="E167" s="5" t="str">
        <f>VLOOKUP(A167,Seqs!A:B,2,FALSE)</f>
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</c>
      <c r="F167" s="5" t="str">
        <f t="shared" si="51"/>
        <v>LTWPPAIKLGFYAYLGVLLVLGLLLNSLALWVFCCR</v>
      </c>
      <c r="G167" s="4" t="str">
        <f t="shared" si="52"/>
        <v>MQQW</v>
      </c>
      <c r="H167" s="4" t="str">
        <f t="shared" si="53"/>
        <v>TETRIYMTNLAVADLCLLCTLPFVLHSLRD</v>
      </c>
      <c r="I167" s="4" t="str">
        <f t="shared" si="54"/>
        <v/>
      </c>
      <c r="J167" s="4" t="str">
        <f t="shared" si="55"/>
        <v>LCQLSQGIYLTNRYMSISLVTAIAVDRYVAVRH</v>
      </c>
      <c r="K167" s="4" t="str">
        <f t="shared" si="56"/>
        <v>PLRARGLR</v>
      </c>
      <c r="L167" s="4" t="str">
        <f t="shared" si="57"/>
        <v>SPRQAAAVCAVLWVLVIGSLVARWLLG</v>
      </c>
      <c r="M167" s="4" t="str">
        <f t="shared" si="58"/>
        <v>CFR</v>
      </c>
      <c r="N167" s="4" t="str">
        <f t="shared" si="59"/>
        <v>HNFNSMAFPLLGFYLPLAVVVFCSLKVVTALAQR</v>
      </c>
      <c r="O167" s="4" t="str">
        <f t="shared" si="60"/>
        <v>VGQAEATRKAARMVWANLLVFVVCFLPLHVGLTVRLAV</v>
      </c>
      <c r="P167" s="4" t="str">
        <f t="shared" si="61"/>
        <v>LETIRRALYITSKLSDANCCLDAICYYYM</v>
      </c>
      <c r="Q167" s="4" t="str">
        <f t="shared" si="62"/>
        <v>AKEFQEASALAV</v>
      </c>
      <c r="R167" s="5">
        <f>VLOOKUP($A167,'SegEnds_NonXtal_Prot#'!$A:$AL,3,FALSE)</f>
        <v>13</v>
      </c>
      <c r="S167" s="5">
        <f>VLOOKUP($A167,'SegEnds_NonXtal_Prot#'!$A:$AL,6,FALSE)</f>
        <v>49</v>
      </c>
      <c r="T167" s="5">
        <f>VLOOKUP($A167,'SegEnds_NonXtal_Prot#'!$A:$AL,9,FALSE)</f>
        <v>53</v>
      </c>
      <c r="U167" s="5" t="str">
        <f>VLOOKUP($A167,'SegEnds_NonXtal_Prot#'!$A:$AL,12,FALSE)</f>
        <v>-</v>
      </c>
      <c r="V167" s="5">
        <f>VLOOKUP($A167,'SegEnds_NonXtal_Prot#'!$A:$AL,15,FALSE)</f>
        <v>88</v>
      </c>
      <c r="W167" s="5">
        <f>VLOOKUP($A167,'SegEnds_NonXtal_Prot#'!$A:$AL,18,FALSE)</f>
        <v>121</v>
      </c>
      <c r="X167" s="5">
        <f>VLOOKUP($A167,'SegEnds_NonXtal_Prot#'!$A:$AL,21,FALSE)</f>
        <v>129</v>
      </c>
      <c r="Y167" s="5">
        <f>VLOOKUP($A167,'SegEnds_NonXtal_Prot#'!$A:$AL,24,FALSE)</f>
        <v>162</v>
      </c>
      <c r="Z167" s="5">
        <f>VLOOKUP($A167,'SegEnds_NonXtal_Prot#'!$A:$AL,27,FALSE)</f>
        <v>168</v>
      </c>
      <c r="AA167" s="5">
        <f>VLOOKUP($A167,'SegEnds_NonXtal_Prot#'!$A:$AL,30,FALSE)</f>
        <v>206</v>
      </c>
      <c r="AB167" s="5">
        <f>VLOOKUP($A167,'SegEnds_NonXtal_Prot#'!$A:$AL,33,FALSE)</f>
        <v>251</v>
      </c>
      <c r="AC167" s="5">
        <f>VLOOKUP($A167,'SegEnds_NonXtal_Prot#'!$A:$AL,36,FALSE)</f>
        <v>280</v>
      </c>
      <c r="AD167" s="5">
        <f>VLOOKUP($A167,'SegEnds_NonXtal_Prot#'!$A:$AL,5,FALSE)</f>
        <v>48</v>
      </c>
      <c r="AE167" s="5">
        <f>VLOOKUP($A167,'SegEnds_NonXtal_Prot#'!$A:$AL,8,FALSE)</f>
        <v>52</v>
      </c>
      <c r="AF167" s="5">
        <f>VLOOKUP($A167,'SegEnds_NonXtal_Prot#'!$A:$AL,11,FALSE)</f>
        <v>82</v>
      </c>
      <c r="AG167" s="5" t="str">
        <f>VLOOKUP($A167,'SegEnds_NonXtal_Prot#'!$A:$AL,14,FALSE)</f>
        <v>-</v>
      </c>
      <c r="AH167" s="5">
        <f>VLOOKUP($A167,'SegEnds_NonXtal_Prot#'!$A:$AL,17,FALSE)</f>
        <v>120</v>
      </c>
      <c r="AI167" s="5">
        <f>VLOOKUP($A167,'SegEnds_NonXtal_Prot#'!$A:$AL,20,FALSE)</f>
        <v>128</v>
      </c>
      <c r="AJ167" s="5">
        <f>VLOOKUP($A167,'SegEnds_NonXtal_Prot#'!$A:$AL,23,FALSE)</f>
        <v>155</v>
      </c>
      <c r="AK167" s="5">
        <f>VLOOKUP($A167,'SegEnds_NonXtal_Prot#'!$A:$AL,26,FALSE)</f>
        <v>164</v>
      </c>
      <c r="AL167" s="5">
        <f>VLOOKUP($A167,'SegEnds_NonXtal_Prot#'!$A:$AL,29,FALSE)</f>
        <v>201</v>
      </c>
      <c r="AM167" s="5">
        <f>VLOOKUP($A167,'SegEnds_NonXtal_Prot#'!$A:$AL,32,FALSE)</f>
        <v>243</v>
      </c>
      <c r="AN167" s="5">
        <f>VLOOKUP($A167,'SegEnds_NonXtal_Prot#'!$A:$AL,35,FALSE)</f>
        <v>279</v>
      </c>
      <c r="AO167" s="5">
        <f>VLOOKUP($A167,'SegEnds_NonXtal_Prot#'!$A:$AL,38,FALSE)</f>
        <v>291</v>
      </c>
      <c r="AP167" s="5">
        <f t="shared" si="63"/>
        <v>35</v>
      </c>
      <c r="AQ167" s="4">
        <f t="shared" si="64"/>
        <v>3</v>
      </c>
      <c r="AR167" s="4">
        <f t="shared" si="65"/>
        <v>29</v>
      </c>
      <c r="AS167" s="4" t="str">
        <f t="shared" si="66"/>
        <v>-</v>
      </c>
      <c r="AT167" s="4">
        <f t="shared" si="67"/>
        <v>32</v>
      </c>
      <c r="AU167" s="4">
        <f t="shared" si="68"/>
        <v>7</v>
      </c>
      <c r="AV167" s="4">
        <f t="shared" si="69"/>
        <v>26</v>
      </c>
      <c r="AW167" s="4">
        <f t="shared" si="70"/>
        <v>2</v>
      </c>
      <c r="AX167" s="4">
        <f t="shared" si="71"/>
        <v>33</v>
      </c>
      <c r="AY167" s="4">
        <f t="shared" si="72"/>
        <v>37</v>
      </c>
      <c r="AZ167" s="4">
        <f t="shared" si="73"/>
        <v>28</v>
      </c>
      <c r="BA167" s="4">
        <f t="shared" si="74"/>
        <v>11</v>
      </c>
    </row>
    <row r="168" spans="1:53" x14ac:dyDescent="0.2">
      <c r="A168" s="1" t="str">
        <f>'SegEnds_NonXtal_Prot#'!A143</f>
        <v>gpr37_human</v>
      </c>
      <c r="B168" s="1" t="str">
        <f t="shared" si="50"/>
        <v>FYPLTQESYGAYAVMCLSVVIFGTGIIGNLAVMCIVCHNSISNSLLANLAFWDFLIIFFCLPLVIFHELTEDFSCKIVPYIEVASLGVTTFTLCALCIDRFRAATNNCSSTTAKLAVIWVGALLLALPEVVLRYVLALTYDSARLWWYFGCYFCLPTLFTITCSLVTARKIRKAEKACKRQIQLESQMNCTVVALTILYGFCIIPENICNIVTAYMTGVSQQTMDLLNIISQFLLFFKSCVTPVLLFCLCKPFSRAFMECCCC</v>
      </c>
      <c r="C168" s="29" t="str">
        <f>IF(ISERROR(MATCH(A168,'SegEnds_Xtal_Prot#'!B:B, 0)), "NoXtal", "Xtal")</f>
        <v>NoXtal</v>
      </c>
      <c r="D168" s="4" t="str">
        <f>VLOOKUP(A168,Classification!A:D,2,FALSE)</f>
        <v>A</v>
      </c>
      <c r="E168" s="5" t="str">
        <f>VLOOKUP(A168,Seqs!A:B,2,FALSE)</f>
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</c>
      <c r="F168" s="5" t="str">
        <f t="shared" si="51"/>
        <v>FYPLTQESYGAYAVMCLSVVIFGTGIIGNLAVMCIVCHN</v>
      </c>
      <c r="G168" s="4" t="str">
        <f t="shared" si="52"/>
        <v>YYMR</v>
      </c>
      <c r="H168" s="4" t="str">
        <f t="shared" si="53"/>
        <v>SISNSLLANLAFWDFLIIFFCLPLVIFHELT</v>
      </c>
      <c r="I168" s="4" t="str">
        <f t="shared" si="54"/>
        <v>KWLL</v>
      </c>
      <c r="J168" s="4" t="str">
        <f t="shared" si="55"/>
        <v>EDFSCKIVPYIEVASLGVTTFTLCALCIDRFRAATN</v>
      </c>
      <c r="K168" s="4" t="str">
        <f t="shared" si="56"/>
        <v>QMYYEMIE</v>
      </c>
      <c r="L168" s="4" t="str">
        <f t="shared" si="57"/>
        <v>NCSSTTAKLAVIWVGALLLALPEVVLR</v>
      </c>
      <c r="M168" s="4" t="str">
        <f t="shared" si="58"/>
        <v>CII</v>
      </c>
      <c r="N168" s="4" t="str">
        <f t="shared" si="59"/>
        <v>YVLALTYDSARLWWYFGCYFCLPTLFTITCSLVTARKIRKAEKAC</v>
      </c>
      <c r="O168" s="4" t="str">
        <f t="shared" si="60"/>
        <v>KRQIQLESQMNCTVVALTILYGFCIIPENICNIVTAYM</v>
      </c>
      <c r="P168" s="4" t="str">
        <f t="shared" si="61"/>
        <v>TGVSQQTMDLLNIISQFLLFFKSCVTPVLLFCL</v>
      </c>
      <c r="Q168" s="4" t="str">
        <f t="shared" si="62"/>
        <v>CKPFSRAFMECCCC</v>
      </c>
      <c r="R168" s="5">
        <f>VLOOKUP($A168,'SegEnds_NonXtal_Prot#'!$A:$AL,3,FALSE)</f>
        <v>251</v>
      </c>
      <c r="S168" s="5">
        <f>VLOOKUP($A168,'SegEnds_NonXtal_Prot#'!$A:$AL,6,FALSE)</f>
        <v>290</v>
      </c>
      <c r="T168" s="5">
        <f>VLOOKUP($A168,'SegEnds_NonXtal_Prot#'!$A:$AL,9,FALSE)</f>
        <v>294</v>
      </c>
      <c r="U168" s="5">
        <f>VLOOKUP($A168,'SegEnds_NonXtal_Prot#'!$A:$AL,12,FALSE)</f>
        <v>326</v>
      </c>
      <c r="V168" s="5">
        <f>VLOOKUP($A168,'SegEnds_NonXtal_Prot#'!$A:$AL,15,FALSE)</f>
        <v>330</v>
      </c>
      <c r="W168" s="5">
        <f>VLOOKUP($A168,'SegEnds_NonXtal_Prot#'!$A:$AL,18,FALSE)</f>
        <v>367</v>
      </c>
      <c r="X168" s="5">
        <f>VLOOKUP($A168,'SegEnds_NonXtal_Prot#'!$A:$AL,21,FALSE)</f>
        <v>375</v>
      </c>
      <c r="Y168" s="5">
        <f>VLOOKUP($A168,'SegEnds_NonXtal_Prot#'!$A:$AL,24,FALSE)</f>
        <v>419</v>
      </c>
      <c r="Z168" s="5">
        <f>VLOOKUP($A168,'SegEnds_NonXtal_Prot#'!$A:$AL,27,FALSE)</f>
        <v>432</v>
      </c>
      <c r="AA168" s="5">
        <f>VLOOKUP($A168,'SegEnds_NonXtal_Prot#'!$A:$AL,30,FALSE)</f>
        <v>481</v>
      </c>
      <c r="AB168" s="5">
        <f>VLOOKUP($A168,'SegEnds_NonXtal_Prot#'!$A:$AL,33,FALSE)</f>
        <v>520</v>
      </c>
      <c r="AC168" s="5">
        <f>VLOOKUP($A168,'SegEnds_NonXtal_Prot#'!$A:$AL,36,FALSE)</f>
        <v>553</v>
      </c>
      <c r="AD168" s="5">
        <f>VLOOKUP($A168,'SegEnds_NonXtal_Prot#'!$A:$AL,5,FALSE)</f>
        <v>289</v>
      </c>
      <c r="AE168" s="5">
        <f>VLOOKUP($A168,'SegEnds_NonXtal_Prot#'!$A:$AL,8,FALSE)</f>
        <v>293</v>
      </c>
      <c r="AF168" s="5">
        <f>VLOOKUP($A168,'SegEnds_NonXtal_Prot#'!$A:$AL,11,FALSE)</f>
        <v>324</v>
      </c>
      <c r="AG168" s="5">
        <f>VLOOKUP($A168,'SegEnds_NonXtal_Prot#'!$A:$AL,14,FALSE)</f>
        <v>329</v>
      </c>
      <c r="AH168" s="5">
        <f>VLOOKUP($A168,'SegEnds_NonXtal_Prot#'!$A:$AL,17,FALSE)</f>
        <v>365</v>
      </c>
      <c r="AI168" s="5">
        <f>VLOOKUP($A168,'SegEnds_NonXtal_Prot#'!$A:$AL,20,FALSE)</f>
        <v>374</v>
      </c>
      <c r="AJ168" s="5">
        <f>VLOOKUP($A168,'SegEnds_NonXtal_Prot#'!$A:$AL,23,FALSE)</f>
        <v>401</v>
      </c>
      <c r="AK168" s="5">
        <f>VLOOKUP($A168,'SegEnds_NonXtal_Prot#'!$A:$AL,26,FALSE)</f>
        <v>421</v>
      </c>
      <c r="AL168" s="5">
        <f>VLOOKUP($A168,'SegEnds_NonXtal_Prot#'!$A:$AL,29,FALSE)</f>
        <v>476</v>
      </c>
      <c r="AM168" s="5">
        <f>VLOOKUP($A168,'SegEnds_NonXtal_Prot#'!$A:$AL,32,FALSE)</f>
        <v>518</v>
      </c>
      <c r="AN168" s="5">
        <f>VLOOKUP($A168,'SegEnds_NonXtal_Prot#'!$A:$AL,35,FALSE)</f>
        <v>552</v>
      </c>
      <c r="AO168" s="5">
        <f>VLOOKUP($A168,'SegEnds_NonXtal_Prot#'!$A:$AL,38,FALSE)</f>
        <v>566</v>
      </c>
      <c r="AP168" s="5">
        <f t="shared" si="63"/>
        <v>38</v>
      </c>
      <c r="AQ168" s="4">
        <f t="shared" si="64"/>
        <v>3</v>
      </c>
      <c r="AR168" s="4">
        <f t="shared" si="65"/>
        <v>30</v>
      </c>
      <c r="AS168" s="4">
        <f t="shared" si="66"/>
        <v>3</v>
      </c>
      <c r="AT168" s="4">
        <f t="shared" si="67"/>
        <v>35</v>
      </c>
      <c r="AU168" s="4">
        <f t="shared" si="68"/>
        <v>7</v>
      </c>
      <c r="AV168" s="4">
        <f t="shared" si="69"/>
        <v>26</v>
      </c>
      <c r="AW168" s="4">
        <f t="shared" si="70"/>
        <v>2</v>
      </c>
      <c r="AX168" s="4">
        <f t="shared" si="71"/>
        <v>44</v>
      </c>
      <c r="AY168" s="4">
        <f t="shared" si="72"/>
        <v>37</v>
      </c>
      <c r="AZ168" s="4">
        <f t="shared" si="73"/>
        <v>32</v>
      </c>
      <c r="BA168" s="4">
        <f t="shared" si="74"/>
        <v>13</v>
      </c>
    </row>
    <row r="169" spans="1:53" x14ac:dyDescent="0.2">
      <c r="A169" s="1" t="str">
        <f>'SegEnds_NonXtal_Prot#'!A144</f>
        <v>gpr39_human</v>
      </c>
      <c r="B169" s="1" t="str">
        <f t="shared" si="50"/>
        <v>TWIKITLILVYLIIFVMGLLGNSATIRVTQVLKEVTDHMVSLACSDILVFLIGMPMEFYSIIWNTSSYTLSCKLHTFLFEACSYATLLHVLTLSFERYIAICHGPCQVKLLIGFVWVTSALVALPLLFAMRWTVFQSSIFGAFVVYLVVLLSVAFMCWNMMQVLMKSQKGSLEESRTARRQTIIFLRLIVVTLAVCWMPNQIRRIMAAAKTRSYFRAYMILLPFSETFFYLSSVINPLLYTVSSQQFRRVFVQVLCCRL</v>
      </c>
      <c r="C169" s="29" t="str">
        <f>IF(ISERROR(MATCH(A169,'SegEnds_Xtal_Prot#'!B:B, 0)), "NoXtal", "Xtal")</f>
        <v>NoXtal</v>
      </c>
      <c r="D169" s="4" t="str">
        <f>VLOOKUP(A169,Classification!A:D,2,FALSE)</f>
        <v>A</v>
      </c>
      <c r="E169" s="5" t="str">
        <f>VLOOKUP(A169,Seqs!A:B,2,FALSE)</f>
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</c>
      <c r="F169" s="5" t="str">
        <f t="shared" si="51"/>
        <v>TWIKITLILVYLIIFVMGLLGNSATIRVTQVL</v>
      </c>
      <c r="G169" s="4" t="str">
        <f t="shared" si="52"/>
        <v/>
      </c>
      <c r="H169" s="4" t="str">
        <f t="shared" si="53"/>
        <v>KEVTDHMVSLACSDILVFLIGMPMEFYSIIWN</v>
      </c>
      <c r="I169" s="4" t="str">
        <f t="shared" si="54"/>
        <v/>
      </c>
      <c r="J169" s="4" t="str">
        <f t="shared" si="55"/>
        <v>TSSYTLSCKLHTFLFEACSYATLLHVLTLSFERYIAICH</v>
      </c>
      <c r="K169" s="4" t="str">
        <f t="shared" si="56"/>
        <v>PFRYKAVS</v>
      </c>
      <c r="L169" s="4" t="str">
        <f t="shared" si="57"/>
        <v>GPCQVKLLIGFVWVTSALVALPLLFAM</v>
      </c>
      <c r="M169" s="4" t="str">
        <f t="shared" si="58"/>
        <v>CTN</v>
      </c>
      <c r="N169" s="4" t="str">
        <f t="shared" si="59"/>
        <v>RWTVFQSSIFGAFVVYLVVLLSVAFMCWNMMQVLMKSQKGSL</v>
      </c>
      <c r="O169" s="4" t="str">
        <f t="shared" si="60"/>
        <v>EESRTARRQTIIFLRLIVVTLAVCWMPNQIRRIMAAAK</v>
      </c>
      <c r="P169" s="4" t="str">
        <f t="shared" si="61"/>
        <v>TRSYFRAYMILLPFSETFFYLSSVINPLLYTVS</v>
      </c>
      <c r="Q169" s="4" t="str">
        <f t="shared" si="62"/>
        <v>SQQFRRVFVQVLCCRL</v>
      </c>
      <c r="R169" s="5">
        <f>VLOOKUP($A169,'SegEnds_NonXtal_Prot#'!$A:$AL,3,FALSE)</f>
        <v>27</v>
      </c>
      <c r="S169" s="5" t="str">
        <f>VLOOKUP($A169,'SegEnds_NonXtal_Prot#'!$A:$AL,6,FALSE)</f>
        <v>-</v>
      </c>
      <c r="T169" s="5">
        <f>VLOOKUP($A169,'SegEnds_NonXtal_Prot#'!$A:$AL,9,FALSE)</f>
        <v>66</v>
      </c>
      <c r="U169" s="5" t="str">
        <f>VLOOKUP($A169,'SegEnds_NonXtal_Prot#'!$A:$AL,12,FALSE)</f>
        <v>-</v>
      </c>
      <c r="V169" s="5">
        <f>VLOOKUP($A169,'SegEnds_NonXtal_Prot#'!$A:$AL,15,FALSE)</f>
        <v>101</v>
      </c>
      <c r="W169" s="5">
        <f>VLOOKUP($A169,'SegEnds_NonXtal_Prot#'!$A:$AL,18,FALSE)</f>
        <v>140</v>
      </c>
      <c r="X169" s="5">
        <f>VLOOKUP($A169,'SegEnds_NonXtal_Prot#'!$A:$AL,21,FALSE)</f>
        <v>148</v>
      </c>
      <c r="Y169" s="5">
        <f>VLOOKUP($A169,'SegEnds_NonXtal_Prot#'!$A:$AL,24,FALSE)</f>
        <v>210</v>
      </c>
      <c r="Z169" s="5">
        <f>VLOOKUP($A169,'SegEnds_NonXtal_Prot#'!$A:$AL,27,FALSE)</f>
        <v>216</v>
      </c>
      <c r="AA169" s="5">
        <f>VLOOKUP($A169,'SegEnds_NonXtal_Prot#'!$A:$AL,30,FALSE)</f>
        <v>272</v>
      </c>
      <c r="AB169" s="5">
        <f>VLOOKUP($A169,'SegEnds_NonXtal_Prot#'!$A:$AL,33,FALSE)</f>
        <v>315</v>
      </c>
      <c r="AC169" s="5">
        <f>VLOOKUP($A169,'SegEnds_NonXtal_Prot#'!$A:$AL,36,FALSE)</f>
        <v>348</v>
      </c>
      <c r="AD169" s="5">
        <f>VLOOKUP($A169,'SegEnds_NonXtal_Prot#'!$A:$AL,5,FALSE)</f>
        <v>58</v>
      </c>
      <c r="AE169" s="5" t="str">
        <f>VLOOKUP($A169,'SegEnds_NonXtal_Prot#'!$A:$AL,8,FALSE)</f>
        <v>-</v>
      </c>
      <c r="AF169" s="5">
        <f>VLOOKUP($A169,'SegEnds_NonXtal_Prot#'!$A:$AL,11,FALSE)</f>
        <v>97</v>
      </c>
      <c r="AG169" s="5" t="str">
        <f>VLOOKUP($A169,'SegEnds_NonXtal_Prot#'!$A:$AL,14,FALSE)</f>
        <v>-</v>
      </c>
      <c r="AH169" s="5">
        <f>VLOOKUP($A169,'SegEnds_NonXtal_Prot#'!$A:$AL,17,FALSE)</f>
        <v>139</v>
      </c>
      <c r="AI169" s="5">
        <f>VLOOKUP($A169,'SegEnds_NonXtal_Prot#'!$A:$AL,20,FALSE)</f>
        <v>147</v>
      </c>
      <c r="AJ169" s="5">
        <f>VLOOKUP($A169,'SegEnds_NonXtal_Prot#'!$A:$AL,23,FALSE)</f>
        <v>174</v>
      </c>
      <c r="AK169" s="5">
        <f>VLOOKUP($A169,'SegEnds_NonXtal_Prot#'!$A:$AL,26,FALSE)</f>
        <v>212</v>
      </c>
      <c r="AL169" s="5">
        <f>VLOOKUP($A169,'SegEnds_NonXtal_Prot#'!$A:$AL,29,FALSE)</f>
        <v>257</v>
      </c>
      <c r="AM169" s="5">
        <f>VLOOKUP($A169,'SegEnds_NonXtal_Prot#'!$A:$AL,32,FALSE)</f>
        <v>309</v>
      </c>
      <c r="AN169" s="5">
        <f>VLOOKUP($A169,'SegEnds_NonXtal_Prot#'!$A:$AL,35,FALSE)</f>
        <v>347</v>
      </c>
      <c r="AO169" s="5">
        <f>VLOOKUP($A169,'SegEnds_NonXtal_Prot#'!$A:$AL,38,FALSE)</f>
        <v>363</v>
      </c>
      <c r="AP169" s="5">
        <f t="shared" si="63"/>
        <v>31</v>
      </c>
      <c r="AQ169" s="4" t="str">
        <f t="shared" si="64"/>
        <v>-</v>
      </c>
      <c r="AR169" s="4">
        <f t="shared" si="65"/>
        <v>31</v>
      </c>
      <c r="AS169" s="4" t="str">
        <f t="shared" si="66"/>
        <v>-</v>
      </c>
      <c r="AT169" s="4">
        <f t="shared" si="67"/>
        <v>38</v>
      </c>
      <c r="AU169" s="4">
        <f t="shared" si="68"/>
        <v>7</v>
      </c>
      <c r="AV169" s="4">
        <f t="shared" si="69"/>
        <v>26</v>
      </c>
      <c r="AW169" s="4">
        <f t="shared" si="70"/>
        <v>2</v>
      </c>
      <c r="AX169" s="4">
        <f t="shared" si="71"/>
        <v>41</v>
      </c>
      <c r="AY169" s="4">
        <f t="shared" si="72"/>
        <v>37</v>
      </c>
      <c r="AZ169" s="4">
        <f t="shared" si="73"/>
        <v>32</v>
      </c>
      <c r="BA169" s="4">
        <f t="shared" si="74"/>
        <v>15</v>
      </c>
    </row>
    <row r="170" spans="1:53" x14ac:dyDescent="0.2">
      <c r="A170" s="1" t="str">
        <f>'SegEnds_NonXtal_Prot#'!A145</f>
        <v>gpr4_human</v>
      </c>
      <c r="B170" s="1" t="str">
        <f t="shared" si="50"/>
        <v>DSRVDHLFPPSLYIFVIGVGLPTNCLALWAAYRQVNELGVYLMNLSIADLLYICTLPLWVDYFLHHGPGSCKLFGFIFYTNIYISIAFLCCISVDRYLAVAHRVKTAVAVSSVVWATELGANSAPLFHGWVAWMNLYRVFVGFLFPWALMLLSYRGILRAVRGERQEKAKIKRLALSLIAIVLVCFAPYHVLLLSRSAIYLGDCGFEERVFSAYHSSLAFTSLNCVADPILYCLVNEGARSDVAKALHNLLR</v>
      </c>
      <c r="C170" s="29" t="str">
        <f>IF(ISERROR(MATCH(A170,'SegEnds_Xtal_Prot#'!B:B, 0)), "NoXtal", "Xtal")</f>
        <v>NoXtal</v>
      </c>
      <c r="D170" s="4" t="str">
        <f>VLOOKUP(A170,Classification!A:D,2,FALSE)</f>
        <v>A</v>
      </c>
      <c r="E170" s="5" t="str">
        <f>VLOOKUP(A170,Seqs!A:B,2,FALSE)</f>
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</c>
      <c r="F170" s="5" t="str">
        <f t="shared" si="51"/>
        <v>DSRVDHLFPPSLYIFVIGVGLPTNCLALWAAYRQV</v>
      </c>
      <c r="G170" s="4" t="str">
        <f t="shared" si="52"/>
        <v/>
      </c>
      <c r="H170" s="4" t="str">
        <f t="shared" si="53"/>
        <v>NELGVYLMNLSIADLLYICTLPLWVDYFLHH</v>
      </c>
      <c r="I170" s="4" t="str">
        <f t="shared" si="54"/>
        <v>NWIH</v>
      </c>
      <c r="J170" s="4" t="str">
        <f t="shared" si="55"/>
        <v>GPGSCKLFGFIFYTNIYISIAFLCCISVDRYLAVAH</v>
      </c>
      <c r="K170" s="4" t="str">
        <f t="shared" si="56"/>
        <v>PLRFARLR</v>
      </c>
      <c r="L170" s="4" t="str">
        <f t="shared" si="57"/>
        <v>RVKTAVAVSSVVWATELGANSAPLFH</v>
      </c>
      <c r="M170" s="4" t="str">
        <f t="shared" si="58"/>
        <v>CFE</v>
      </c>
      <c r="N170" s="4" t="str">
        <f t="shared" si="59"/>
        <v>GWVAWMNLYRVFVGFLFPWALMLLSYRGILRAVRG</v>
      </c>
      <c r="O170" s="4" t="str">
        <f t="shared" si="60"/>
        <v>ERQEKAKIKRLALSLIAIVLVCFAPYHVLLLSRSAIYLG</v>
      </c>
      <c r="P170" s="4" t="str">
        <f t="shared" si="61"/>
        <v>DCGFEERVFSAYHSSLAFTSLNCVADPILYCLVNEG</v>
      </c>
      <c r="Q170" s="4" t="str">
        <f t="shared" si="62"/>
        <v>ARSDVAKALHNLLR</v>
      </c>
      <c r="R170" s="5">
        <f>VLOOKUP($A170,'SegEnds_NonXtal_Prot#'!$A:$AL,3,FALSE)</f>
        <v>12</v>
      </c>
      <c r="S170" s="5" t="str">
        <f>VLOOKUP($A170,'SegEnds_NonXtal_Prot#'!$A:$AL,6,FALSE)</f>
        <v>-</v>
      </c>
      <c r="T170" s="5">
        <f>VLOOKUP($A170,'SegEnds_NonXtal_Prot#'!$A:$AL,9,FALSE)</f>
        <v>50</v>
      </c>
      <c r="U170" s="5">
        <f>VLOOKUP($A170,'SegEnds_NonXtal_Prot#'!$A:$AL,12,FALSE)</f>
        <v>82</v>
      </c>
      <c r="V170" s="5">
        <f>VLOOKUP($A170,'SegEnds_NonXtal_Prot#'!$A:$AL,15,FALSE)</f>
        <v>86</v>
      </c>
      <c r="W170" s="5">
        <f>VLOOKUP($A170,'SegEnds_NonXtal_Prot#'!$A:$AL,18,FALSE)</f>
        <v>122</v>
      </c>
      <c r="X170" s="5">
        <f>VLOOKUP($A170,'SegEnds_NonXtal_Prot#'!$A:$AL,21,FALSE)</f>
        <v>130</v>
      </c>
      <c r="Y170" s="5">
        <f>VLOOKUP($A170,'SegEnds_NonXtal_Prot#'!$A:$AL,24,FALSE)</f>
        <v>168</v>
      </c>
      <c r="Z170" s="5">
        <f>VLOOKUP($A170,'SegEnds_NonXtal_Prot#'!$A:$AL,27,FALSE)</f>
        <v>176</v>
      </c>
      <c r="AA170" s="5">
        <f>VLOOKUP($A170,'SegEnds_NonXtal_Prot#'!$A:$AL,30,FALSE)</f>
        <v>215</v>
      </c>
      <c r="AB170" s="5">
        <f>VLOOKUP($A170,'SegEnds_NonXtal_Prot#'!$A:$AL,33,FALSE)</f>
        <v>257</v>
      </c>
      <c r="AC170" s="5">
        <f>VLOOKUP($A170,'SegEnds_NonXtal_Prot#'!$A:$AL,36,FALSE)</f>
        <v>293</v>
      </c>
      <c r="AD170" s="5">
        <f>VLOOKUP($A170,'SegEnds_NonXtal_Prot#'!$A:$AL,5,FALSE)</f>
        <v>46</v>
      </c>
      <c r="AE170" s="5" t="str">
        <f>VLOOKUP($A170,'SegEnds_NonXtal_Prot#'!$A:$AL,8,FALSE)</f>
        <v>-</v>
      </c>
      <c r="AF170" s="5">
        <f>VLOOKUP($A170,'SegEnds_NonXtal_Prot#'!$A:$AL,11,FALSE)</f>
        <v>80</v>
      </c>
      <c r="AG170" s="5">
        <f>VLOOKUP($A170,'SegEnds_NonXtal_Prot#'!$A:$AL,14,FALSE)</f>
        <v>85</v>
      </c>
      <c r="AH170" s="5">
        <f>VLOOKUP($A170,'SegEnds_NonXtal_Prot#'!$A:$AL,17,FALSE)</f>
        <v>121</v>
      </c>
      <c r="AI170" s="5">
        <f>VLOOKUP($A170,'SegEnds_NonXtal_Prot#'!$A:$AL,20,FALSE)</f>
        <v>129</v>
      </c>
      <c r="AJ170" s="5">
        <f>VLOOKUP($A170,'SegEnds_NonXtal_Prot#'!$A:$AL,23,FALSE)</f>
        <v>155</v>
      </c>
      <c r="AK170" s="5">
        <f>VLOOKUP($A170,'SegEnds_NonXtal_Prot#'!$A:$AL,26,FALSE)</f>
        <v>170</v>
      </c>
      <c r="AL170" s="5">
        <f>VLOOKUP($A170,'SegEnds_NonXtal_Prot#'!$A:$AL,29,FALSE)</f>
        <v>210</v>
      </c>
      <c r="AM170" s="5">
        <f>VLOOKUP($A170,'SegEnds_NonXtal_Prot#'!$A:$AL,32,FALSE)</f>
        <v>253</v>
      </c>
      <c r="AN170" s="5">
        <f>VLOOKUP($A170,'SegEnds_NonXtal_Prot#'!$A:$AL,35,FALSE)</f>
        <v>292</v>
      </c>
      <c r="AO170" s="5">
        <f>VLOOKUP($A170,'SegEnds_NonXtal_Prot#'!$A:$AL,38,FALSE)</f>
        <v>306</v>
      </c>
      <c r="AP170" s="5">
        <f t="shared" si="63"/>
        <v>34</v>
      </c>
      <c r="AQ170" s="4" t="str">
        <f t="shared" si="64"/>
        <v>-</v>
      </c>
      <c r="AR170" s="4">
        <f t="shared" si="65"/>
        <v>30</v>
      </c>
      <c r="AS170" s="4">
        <f t="shared" si="66"/>
        <v>3</v>
      </c>
      <c r="AT170" s="4">
        <f t="shared" si="67"/>
        <v>35</v>
      </c>
      <c r="AU170" s="4">
        <f t="shared" si="68"/>
        <v>7</v>
      </c>
      <c r="AV170" s="4">
        <f t="shared" si="69"/>
        <v>25</v>
      </c>
      <c r="AW170" s="4">
        <f t="shared" si="70"/>
        <v>2</v>
      </c>
      <c r="AX170" s="4">
        <f t="shared" si="71"/>
        <v>34</v>
      </c>
      <c r="AY170" s="4">
        <f t="shared" si="72"/>
        <v>38</v>
      </c>
      <c r="AZ170" s="4">
        <f t="shared" si="73"/>
        <v>35</v>
      </c>
      <c r="BA170" s="4">
        <f t="shared" si="74"/>
        <v>13</v>
      </c>
    </row>
    <row r="171" spans="1:53" x14ac:dyDescent="0.2">
      <c r="A171" s="1" t="str">
        <f>'SegEnds_NonXtal_Prot#'!A146</f>
        <v>gpr42_human</v>
      </c>
      <c r="B171" s="1" t="str">
        <f t="shared" si="50"/>
        <v>SGNHWFVFSVYLLTFLVGLPLNLLALVVFVGKVAVDVLLLNLTASDLLLLLFLPFRMVEAANPFILCPLSGFIFFTTIYLTALFLAAVSIERFLSVAHRLGQAGLVSVACWLLASAHCSVVYVILAILLPVRLEMAVVLFVVPLIITSYCYSRLVWILGRGRRQRRVAGLVAATLLNFLVCFGPYNVSHVVGYICVWRIYVTLLSTLNSCVDPFVYYFSSSGFQADFHELLRRL</v>
      </c>
      <c r="C171" s="29" t="str">
        <f>IF(ISERROR(MATCH(A171,'SegEnds_Xtal_Prot#'!B:B, 0)), "NoXtal", "Xtal")</f>
        <v>NoXtal</v>
      </c>
      <c r="D171" s="4" t="str">
        <f>VLOOKUP(A171,Classification!A:D,2,FALSE)</f>
        <v>A</v>
      </c>
      <c r="E171" s="5" t="str">
        <f>VLOOKUP(A171,Seqs!A:B,2,FALSE)</f>
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</c>
      <c r="F171" s="5" t="str">
        <f t="shared" si="51"/>
        <v>SGNHWFVFSVYLLTFLVGLPLNLLALVVFVGK</v>
      </c>
      <c r="G171" s="4" t="str">
        <f t="shared" si="52"/>
        <v/>
      </c>
      <c r="H171" s="4" t="str">
        <f t="shared" si="53"/>
        <v>VAVDVLLLNLTASDLLLLLFLPFRMVEAAN</v>
      </c>
      <c r="I171" s="4" t="str">
        <f t="shared" si="54"/>
        <v>HWPL</v>
      </c>
      <c r="J171" s="4" t="str">
        <f t="shared" si="55"/>
        <v>PFILCPLSGFIFFTTIYLTALFLAAVSIERFLSVAH</v>
      </c>
      <c r="K171" s="4" t="str">
        <f t="shared" si="56"/>
        <v>PLWYKTRP</v>
      </c>
      <c r="L171" s="4" t="str">
        <f t="shared" si="57"/>
        <v>RLGQAGLVSVACWLLASAHCSVVYVI</v>
      </c>
      <c r="M171" s="4" t="str">
        <f t="shared" si="58"/>
        <v>CYL</v>
      </c>
      <c r="N171" s="4" t="str">
        <f t="shared" si="59"/>
        <v>LAILLPVRLEMAVVLFVVPLIITSYCYSRLVWILGRG</v>
      </c>
      <c r="O171" s="4" t="str">
        <f t="shared" si="60"/>
        <v>RRQRRVAGLVAATLLNFLVCFGPYNVSHVVGYIC</v>
      </c>
      <c r="P171" s="4" t="str">
        <f t="shared" si="61"/>
        <v>VWRIYVTLLSTLNSCVDPFVYYFS</v>
      </c>
      <c r="Q171" s="4" t="str">
        <f t="shared" si="62"/>
        <v>SSGFQADFHELLRRL</v>
      </c>
      <c r="R171" s="5">
        <f>VLOOKUP($A171,'SegEnds_NonXtal_Prot#'!$A:$AL,3,FALSE)</f>
        <v>11</v>
      </c>
      <c r="S171" s="5" t="str">
        <f>VLOOKUP($A171,'SegEnds_NonXtal_Prot#'!$A:$AL,6,FALSE)</f>
        <v>-</v>
      </c>
      <c r="T171" s="5">
        <f>VLOOKUP($A171,'SegEnds_NonXtal_Prot#'!$A:$AL,9,FALSE)</f>
        <v>48</v>
      </c>
      <c r="U171" s="5">
        <f>VLOOKUP($A171,'SegEnds_NonXtal_Prot#'!$A:$AL,12,FALSE)</f>
        <v>80</v>
      </c>
      <c r="V171" s="5">
        <f>VLOOKUP($A171,'SegEnds_NonXtal_Prot#'!$A:$AL,15,FALSE)</f>
        <v>84</v>
      </c>
      <c r="W171" s="5">
        <f>VLOOKUP($A171,'SegEnds_NonXtal_Prot#'!$A:$AL,18,FALSE)</f>
        <v>120</v>
      </c>
      <c r="X171" s="5">
        <f>VLOOKUP($A171,'SegEnds_NonXtal_Prot#'!$A:$AL,21,FALSE)</f>
        <v>128</v>
      </c>
      <c r="Y171" s="5">
        <f>VLOOKUP($A171,'SegEnds_NonXtal_Prot#'!$A:$AL,24,FALSE)</f>
        <v>169</v>
      </c>
      <c r="Z171" s="5">
        <f>VLOOKUP($A171,'SegEnds_NonXtal_Prot#'!$A:$AL,27,FALSE)</f>
        <v>178</v>
      </c>
      <c r="AA171" s="5">
        <f>VLOOKUP($A171,'SegEnds_NonXtal_Prot#'!$A:$AL,30,FALSE)</f>
        <v>218</v>
      </c>
      <c r="AB171" s="5">
        <f>VLOOKUP($A171,'SegEnds_NonXtal_Prot#'!$A:$AL,33,FALSE)</f>
        <v>256</v>
      </c>
      <c r="AC171" s="5">
        <f>VLOOKUP($A171,'SegEnds_NonXtal_Prot#'!$A:$AL,36,FALSE)</f>
        <v>280</v>
      </c>
      <c r="AD171" s="5">
        <f>VLOOKUP($A171,'SegEnds_NonXtal_Prot#'!$A:$AL,5,FALSE)</f>
        <v>42</v>
      </c>
      <c r="AE171" s="5" t="str">
        <f>VLOOKUP($A171,'SegEnds_NonXtal_Prot#'!$A:$AL,8,FALSE)</f>
        <v>-</v>
      </c>
      <c r="AF171" s="5">
        <f>VLOOKUP($A171,'SegEnds_NonXtal_Prot#'!$A:$AL,11,FALSE)</f>
        <v>77</v>
      </c>
      <c r="AG171" s="5">
        <f>VLOOKUP($A171,'SegEnds_NonXtal_Prot#'!$A:$AL,14,FALSE)</f>
        <v>83</v>
      </c>
      <c r="AH171" s="5">
        <f>VLOOKUP($A171,'SegEnds_NonXtal_Prot#'!$A:$AL,17,FALSE)</f>
        <v>119</v>
      </c>
      <c r="AI171" s="5">
        <f>VLOOKUP($A171,'SegEnds_NonXtal_Prot#'!$A:$AL,20,FALSE)</f>
        <v>127</v>
      </c>
      <c r="AJ171" s="5">
        <f>VLOOKUP($A171,'SegEnds_NonXtal_Prot#'!$A:$AL,23,FALSE)</f>
        <v>153</v>
      </c>
      <c r="AK171" s="5">
        <f>VLOOKUP($A171,'SegEnds_NonXtal_Prot#'!$A:$AL,26,FALSE)</f>
        <v>171</v>
      </c>
      <c r="AL171" s="5">
        <f>VLOOKUP($A171,'SegEnds_NonXtal_Prot#'!$A:$AL,29,FALSE)</f>
        <v>214</v>
      </c>
      <c r="AM171" s="5">
        <f>VLOOKUP($A171,'SegEnds_NonXtal_Prot#'!$A:$AL,32,FALSE)</f>
        <v>251</v>
      </c>
      <c r="AN171" s="5">
        <f>VLOOKUP($A171,'SegEnds_NonXtal_Prot#'!$A:$AL,35,FALSE)</f>
        <v>279</v>
      </c>
      <c r="AO171" s="5">
        <f>VLOOKUP($A171,'SegEnds_NonXtal_Prot#'!$A:$AL,38,FALSE)</f>
        <v>294</v>
      </c>
      <c r="AP171" s="5">
        <f t="shared" si="63"/>
        <v>31</v>
      </c>
      <c r="AQ171" s="4" t="str">
        <f t="shared" si="64"/>
        <v>-</v>
      </c>
      <c r="AR171" s="4">
        <f t="shared" si="65"/>
        <v>29</v>
      </c>
      <c r="AS171" s="4">
        <f t="shared" si="66"/>
        <v>3</v>
      </c>
      <c r="AT171" s="4">
        <f t="shared" si="67"/>
        <v>35</v>
      </c>
      <c r="AU171" s="4">
        <f t="shared" si="68"/>
        <v>7</v>
      </c>
      <c r="AV171" s="4">
        <f t="shared" si="69"/>
        <v>25</v>
      </c>
      <c r="AW171" s="4">
        <f t="shared" si="70"/>
        <v>2</v>
      </c>
      <c r="AX171" s="4">
        <f t="shared" si="71"/>
        <v>36</v>
      </c>
      <c r="AY171" s="4">
        <f t="shared" si="72"/>
        <v>33</v>
      </c>
      <c r="AZ171" s="4">
        <f t="shared" si="73"/>
        <v>23</v>
      </c>
      <c r="BA171" s="4">
        <f t="shared" si="74"/>
        <v>14</v>
      </c>
    </row>
    <row r="172" spans="1:53" x14ac:dyDescent="0.2">
      <c r="A172" s="1" t="str">
        <f>'SegEnds_NonXtal_Prot#'!A147</f>
        <v>gpr52_human</v>
      </c>
      <c r="B172" s="1" t="str">
        <f t="shared" si="50"/>
        <v>CIFETVVIVLLTFLIIAGNLTVIFVFHCAHYTTSYFIQTMAYADLFVGVSCLVPTLSLLHYESLTCQVFGYIISVLKSVSMACLACISVDRYLAITKTPCRLRICIILIWIYSCLIFLPSFFSAYFTGFIVCLLYAPAAFVVCFTYFHIFKICRQHTKEINSSRETGHSPDRRYAMVLFRITSVFYMLWLPYIIYFLLESSRNPTLSFLTTWLAISNSFCNCVIYSLSNSVFRLGLRRLSETMCTSCMC</v>
      </c>
      <c r="C172" s="29" t="str">
        <f>IF(ISERROR(MATCH(A172,'SegEnds_Xtal_Prot#'!B:B, 0)), "NoXtal", "Xtal")</f>
        <v>Xtal</v>
      </c>
      <c r="D172" s="4" t="str">
        <f>VLOOKUP(A172,Classification!A:D,2,FALSE)</f>
        <v>A</v>
      </c>
      <c r="E172" s="5" t="str">
        <f>VLOOKUP(A172,Seqs!A:B,2,FALSE)</f>
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</c>
      <c r="F172" s="5" t="str">
        <f t="shared" si="51"/>
        <v>CIFETVVIVLLTFLIIAGNLTVIFVFHCA</v>
      </c>
      <c r="G172" s="4" t="str">
        <f t="shared" si="52"/>
        <v>PLLH</v>
      </c>
      <c r="H172" s="4" t="str">
        <f t="shared" si="53"/>
        <v>HYTTSYFIQTMAYADLFVGVSCLVPTLSLLHY</v>
      </c>
      <c r="I172" s="4" t="str">
        <f t="shared" si="54"/>
        <v/>
      </c>
      <c r="J172" s="4" t="str">
        <f t="shared" si="55"/>
        <v>ESLTCQVFGYIISVLKSVSMACLACISVDRYLAITK</v>
      </c>
      <c r="K172" s="4" t="str">
        <f t="shared" si="56"/>
        <v>PLSYNQLV</v>
      </c>
      <c r="L172" s="4" t="str">
        <f t="shared" si="57"/>
        <v>TPCRLRICIILIWIYSCLIFLPSFF</v>
      </c>
      <c r="M172" s="4" t="str">
        <f t="shared" si="58"/>
        <v>CAT</v>
      </c>
      <c r="N172" s="4" t="str">
        <f t="shared" si="59"/>
        <v>SAYFTGFIVCLLYAPAAFVVCFTYFHIFKICRQHTKEIN</v>
      </c>
      <c r="O172" s="4" t="str">
        <f t="shared" si="60"/>
        <v>SSRETGHSPDRRYAMVLFRITSVFYMLWLPYIIYFLLESSR</v>
      </c>
      <c r="P172" s="4" t="str">
        <f t="shared" si="61"/>
        <v>NPTLSFLTTWLAISNSFCNCVIYSLS</v>
      </c>
      <c r="Q172" s="4" t="str">
        <f t="shared" si="62"/>
        <v>NSVFRLGLRRLSETMCTSCMC</v>
      </c>
      <c r="R172" s="5">
        <f>VLOOKUP($A172,'SegEnds_NonXtal_Prot#'!$A:$AL,3,FALSE)</f>
        <v>40</v>
      </c>
      <c r="S172" s="5">
        <f>VLOOKUP($A172,'SegEnds_NonXtal_Prot#'!$A:$AL,6,FALSE)</f>
        <v>69</v>
      </c>
      <c r="T172" s="5">
        <f>VLOOKUP($A172,'SegEnds_NonXtal_Prot#'!$A:$AL,9,FALSE)</f>
        <v>73</v>
      </c>
      <c r="U172" s="5" t="str">
        <f>VLOOKUP($A172,'SegEnds_NonXtal_Prot#'!$A:$AL,12,FALSE)</f>
        <v>-</v>
      </c>
      <c r="V172" s="5">
        <f>VLOOKUP($A172,'SegEnds_NonXtal_Prot#'!$A:$AL,15,FALSE)</f>
        <v>110</v>
      </c>
      <c r="W172" s="5">
        <f>VLOOKUP($A172,'SegEnds_NonXtal_Prot#'!$A:$AL,18,FALSE)</f>
        <v>146</v>
      </c>
      <c r="X172" s="5">
        <f>VLOOKUP($A172,'SegEnds_NonXtal_Prot#'!$A:$AL,21,FALSE)</f>
        <v>154</v>
      </c>
      <c r="Y172" s="5">
        <f>VLOOKUP($A172,'SegEnds_NonXtal_Prot#'!$A:$AL,24,FALSE)</f>
        <v>193</v>
      </c>
      <c r="Z172" s="5">
        <f>VLOOKUP($A172,'SegEnds_NonXtal_Prot#'!$A:$AL,27,FALSE)</f>
        <v>200</v>
      </c>
      <c r="AA172" s="5">
        <f>VLOOKUP($A172,'SegEnds_NonXtal_Prot#'!$A:$AL,30,FALSE)</f>
        <v>251</v>
      </c>
      <c r="AB172" s="5">
        <f>VLOOKUP($A172,'SegEnds_NonXtal_Prot#'!$A:$AL,33,FALSE)</f>
        <v>295</v>
      </c>
      <c r="AC172" s="5">
        <f>VLOOKUP($A172,'SegEnds_NonXtal_Prot#'!$A:$AL,36,FALSE)</f>
        <v>321</v>
      </c>
      <c r="AD172" s="5">
        <f>VLOOKUP($A172,'SegEnds_NonXtal_Prot#'!$A:$AL,5,FALSE)</f>
        <v>68</v>
      </c>
      <c r="AE172" s="5">
        <f>VLOOKUP($A172,'SegEnds_NonXtal_Prot#'!$A:$AL,8,FALSE)</f>
        <v>72</v>
      </c>
      <c r="AF172" s="5">
        <f>VLOOKUP($A172,'SegEnds_NonXtal_Prot#'!$A:$AL,11,FALSE)</f>
        <v>104</v>
      </c>
      <c r="AG172" s="5" t="str">
        <f>VLOOKUP($A172,'SegEnds_NonXtal_Prot#'!$A:$AL,14,FALSE)</f>
        <v>-</v>
      </c>
      <c r="AH172" s="5">
        <f>VLOOKUP($A172,'SegEnds_NonXtal_Prot#'!$A:$AL,17,FALSE)</f>
        <v>145</v>
      </c>
      <c r="AI172" s="5">
        <f>VLOOKUP($A172,'SegEnds_NonXtal_Prot#'!$A:$AL,20,FALSE)</f>
        <v>153</v>
      </c>
      <c r="AJ172" s="5">
        <f>VLOOKUP($A172,'SegEnds_NonXtal_Prot#'!$A:$AL,23,FALSE)</f>
        <v>178</v>
      </c>
      <c r="AK172" s="5">
        <f>VLOOKUP($A172,'SegEnds_NonXtal_Prot#'!$A:$AL,26,FALSE)</f>
        <v>195</v>
      </c>
      <c r="AL172" s="5">
        <f>VLOOKUP($A172,'SegEnds_NonXtal_Prot#'!$A:$AL,29,FALSE)</f>
        <v>238</v>
      </c>
      <c r="AM172" s="5">
        <f>VLOOKUP($A172,'SegEnds_NonXtal_Prot#'!$A:$AL,32,FALSE)</f>
        <v>291</v>
      </c>
      <c r="AN172" s="5">
        <f>VLOOKUP($A172,'SegEnds_NonXtal_Prot#'!$A:$AL,35,FALSE)</f>
        <v>320</v>
      </c>
      <c r="AO172" s="5">
        <f>VLOOKUP($A172,'SegEnds_NonXtal_Prot#'!$A:$AL,38,FALSE)</f>
        <v>341</v>
      </c>
      <c r="AP172" s="5">
        <f t="shared" si="63"/>
        <v>28</v>
      </c>
      <c r="AQ172" s="4">
        <f t="shared" si="64"/>
        <v>3</v>
      </c>
      <c r="AR172" s="4">
        <f t="shared" si="65"/>
        <v>31</v>
      </c>
      <c r="AS172" s="4" t="str">
        <f t="shared" si="66"/>
        <v>-</v>
      </c>
      <c r="AT172" s="4">
        <f t="shared" si="67"/>
        <v>35</v>
      </c>
      <c r="AU172" s="4">
        <f t="shared" si="68"/>
        <v>7</v>
      </c>
      <c r="AV172" s="4">
        <f t="shared" si="69"/>
        <v>24</v>
      </c>
      <c r="AW172" s="4">
        <f t="shared" si="70"/>
        <v>2</v>
      </c>
      <c r="AX172" s="4">
        <f t="shared" si="71"/>
        <v>38</v>
      </c>
      <c r="AY172" s="4">
        <f t="shared" si="72"/>
        <v>40</v>
      </c>
      <c r="AZ172" s="4">
        <f t="shared" si="73"/>
        <v>25</v>
      </c>
      <c r="BA172" s="4">
        <f t="shared" si="74"/>
        <v>20</v>
      </c>
    </row>
    <row r="173" spans="1:53" x14ac:dyDescent="0.2">
      <c r="A173" s="1" t="str">
        <f>'SegEnds_NonXtal_Prot#'!A149</f>
        <v>gpr6_human</v>
      </c>
      <c r="B173" s="1" t="str">
        <f t="shared" si="50"/>
        <v>LPAVNPWDVLLCVSGTVIAGENALVVALIASTTPMFVLVGSLATADLLAGCGLILHFVPSETVSLLTVGFLVASFAASVSSLLAITVDRYLSLYNTLLGVHLLLAATWTVSLGLGLLPVLGARSHVALLSAAFFMVFGIMLHLYVRICQVVWRHAHQIALAPPHLAATRKGVGTLAVVLGTFGASWLPFAIYCVVGSHEYTYATLLPATYNSMINPIIYAFRNQEIQRALWLLLC</v>
      </c>
      <c r="C173" s="29" t="str">
        <f>IF(ISERROR(MATCH(A173,'SegEnds_Xtal_Prot#'!B:B, 0)), "NoXtal", "Xtal")</f>
        <v>NoXtal</v>
      </c>
      <c r="D173" s="4" t="str">
        <f>VLOOKUP(A173,Classification!A:D,2,FALSE)</f>
        <v>A</v>
      </c>
      <c r="E173" s="5" t="str">
        <f>VLOOKUP(A173,Seqs!A:B,2,FALSE)</f>
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</c>
      <c r="F173" s="5" t="str">
        <f t="shared" si="51"/>
        <v>LPAVNPWDVLLCVSGTVIAGENALVVALIAST</v>
      </c>
      <c r="G173" s="4" t="str">
        <f t="shared" si="52"/>
        <v>PALR</v>
      </c>
      <c r="H173" s="4" t="str">
        <f t="shared" si="53"/>
        <v>TPMFVLVGSLATADLLAGCGLILHFV</v>
      </c>
      <c r="I173" s="4" t="str">
        <f t="shared" si="54"/>
        <v>QYLV</v>
      </c>
      <c r="J173" s="4" t="str">
        <f t="shared" si="55"/>
        <v>PSETVSLLTVGFLVASFAASVSSLLAITVDRYLSLYN</v>
      </c>
      <c r="K173" s="4" t="str">
        <f t="shared" si="56"/>
        <v>ALTYYSRR</v>
      </c>
      <c r="L173" s="4" t="str">
        <f t="shared" si="57"/>
        <v>TLLGVHLLLAATWTVSLGLGLLPVLG</v>
      </c>
      <c r="M173" s="4" t="str">
        <f t="shared" si="58"/>
        <v/>
      </c>
      <c r="N173" s="4" t="str">
        <f t="shared" si="59"/>
        <v>ARSHVALLSAAFFMVFGIMLHLYVRICQVVWRHAHQIA</v>
      </c>
      <c r="O173" s="4" t="str">
        <f t="shared" si="60"/>
        <v>LAPPHLAATRKGVGTLAVVLGTFGASWLPFAIYCVVGSHE</v>
      </c>
      <c r="P173" s="4" t="str">
        <f t="shared" si="61"/>
        <v>YTYATLLPATYNSMINPIIYAFR</v>
      </c>
      <c r="Q173" s="4" t="str">
        <f t="shared" si="62"/>
        <v>NQEIQRALWLLLC</v>
      </c>
      <c r="R173" s="5">
        <f>VLOOKUP($A173,'SegEnds_NonXtal_Prot#'!$A:$AL,3,FALSE)</f>
        <v>69</v>
      </c>
      <c r="S173" s="5">
        <f>VLOOKUP($A173,'SegEnds_NonXtal_Prot#'!$A:$AL,6,FALSE)</f>
        <v>101</v>
      </c>
      <c r="T173" s="5">
        <f>VLOOKUP($A173,'SegEnds_NonXtal_Prot#'!$A:$AL,9,FALSE)</f>
        <v>105</v>
      </c>
      <c r="U173" s="5">
        <f>VLOOKUP($A173,'SegEnds_NonXtal_Prot#'!$A:$AL,12,FALSE)</f>
        <v>132</v>
      </c>
      <c r="V173" s="5">
        <f>VLOOKUP($A173,'SegEnds_NonXtal_Prot#'!$A:$AL,15,FALSE)</f>
        <v>136</v>
      </c>
      <c r="W173" s="5">
        <f>VLOOKUP($A173,'SegEnds_NonXtal_Prot#'!$A:$AL,18,FALSE)</f>
        <v>173</v>
      </c>
      <c r="X173" s="5">
        <f>VLOOKUP($A173,'SegEnds_NonXtal_Prot#'!$A:$AL,21,FALSE)</f>
        <v>181</v>
      </c>
      <c r="Y173" s="5" t="str">
        <f>VLOOKUP($A173,'SegEnds_NonXtal_Prot#'!$A:$AL,24,FALSE)</f>
        <v>-</v>
      </c>
      <c r="Z173" s="5">
        <f>VLOOKUP($A173,'SegEnds_NonXtal_Prot#'!$A:$AL,27,FALSE)</f>
        <v>223</v>
      </c>
      <c r="AA173" s="5">
        <f>VLOOKUP($A173,'SegEnds_NonXtal_Prot#'!$A:$AL,30,FALSE)</f>
        <v>266</v>
      </c>
      <c r="AB173" s="5">
        <f>VLOOKUP($A173,'SegEnds_NonXtal_Prot#'!$A:$AL,33,FALSE)</f>
        <v>310</v>
      </c>
      <c r="AC173" s="5">
        <f>VLOOKUP($A173,'SegEnds_NonXtal_Prot#'!$A:$AL,36,FALSE)</f>
        <v>333</v>
      </c>
      <c r="AD173" s="5">
        <f>VLOOKUP($A173,'SegEnds_NonXtal_Prot#'!$A:$AL,5,FALSE)</f>
        <v>100</v>
      </c>
      <c r="AE173" s="5">
        <f>VLOOKUP($A173,'SegEnds_NonXtal_Prot#'!$A:$AL,8,FALSE)</f>
        <v>104</v>
      </c>
      <c r="AF173" s="5">
        <f>VLOOKUP($A173,'SegEnds_NonXtal_Prot#'!$A:$AL,11,FALSE)</f>
        <v>130</v>
      </c>
      <c r="AG173" s="5">
        <f>VLOOKUP($A173,'SegEnds_NonXtal_Prot#'!$A:$AL,14,FALSE)</f>
        <v>135</v>
      </c>
      <c r="AH173" s="5">
        <f>VLOOKUP($A173,'SegEnds_NonXtal_Prot#'!$A:$AL,17,FALSE)</f>
        <v>172</v>
      </c>
      <c r="AI173" s="5">
        <f>VLOOKUP($A173,'SegEnds_NonXtal_Prot#'!$A:$AL,20,FALSE)</f>
        <v>180</v>
      </c>
      <c r="AJ173" s="5">
        <f>VLOOKUP($A173,'SegEnds_NonXtal_Prot#'!$A:$AL,23,FALSE)</f>
        <v>206</v>
      </c>
      <c r="AK173" s="5" t="str">
        <f>VLOOKUP($A173,'SegEnds_NonXtal_Prot#'!$A:$AL,26,FALSE)</f>
        <v>-</v>
      </c>
      <c r="AL173" s="5">
        <f>VLOOKUP($A173,'SegEnds_NonXtal_Prot#'!$A:$AL,29,FALSE)</f>
        <v>260</v>
      </c>
      <c r="AM173" s="5">
        <f>VLOOKUP($A173,'SegEnds_NonXtal_Prot#'!$A:$AL,32,FALSE)</f>
        <v>305</v>
      </c>
      <c r="AN173" s="5">
        <f>VLOOKUP($A173,'SegEnds_NonXtal_Prot#'!$A:$AL,35,FALSE)</f>
        <v>332</v>
      </c>
      <c r="AO173" s="5">
        <f>VLOOKUP($A173,'SegEnds_NonXtal_Prot#'!$A:$AL,38,FALSE)</f>
        <v>345</v>
      </c>
      <c r="AP173" s="5">
        <f t="shared" si="63"/>
        <v>31</v>
      </c>
      <c r="AQ173" s="4">
        <f t="shared" si="64"/>
        <v>3</v>
      </c>
      <c r="AR173" s="4">
        <f t="shared" si="65"/>
        <v>25</v>
      </c>
      <c r="AS173" s="4">
        <f t="shared" si="66"/>
        <v>3</v>
      </c>
      <c r="AT173" s="4">
        <f t="shared" si="67"/>
        <v>36</v>
      </c>
      <c r="AU173" s="4">
        <f t="shared" si="68"/>
        <v>7</v>
      </c>
      <c r="AV173" s="4">
        <f t="shared" si="69"/>
        <v>25</v>
      </c>
      <c r="AW173" s="4" t="str">
        <f t="shared" si="70"/>
        <v>-</v>
      </c>
      <c r="AX173" s="4">
        <f t="shared" si="71"/>
        <v>37</v>
      </c>
      <c r="AY173" s="4">
        <f t="shared" si="72"/>
        <v>39</v>
      </c>
      <c r="AZ173" s="4">
        <f t="shared" si="73"/>
        <v>22</v>
      </c>
      <c r="BA173" s="4">
        <f t="shared" si="74"/>
        <v>12</v>
      </c>
    </row>
    <row r="174" spans="1:53" x14ac:dyDescent="0.2">
      <c r="A174" s="1" t="str">
        <f>'SegEnds_NonXtal_Prot#'!A150</f>
        <v>gpr61_human</v>
      </c>
      <c r="B174" s="1" t="str">
        <f t="shared" si="50"/>
        <v>SESVALFFMLLLDLTAVAGNAAVMAVIAKTLRKFVFVFHLCLVDLLAALTLMPLAMLSSSALFGEVACRLYLFLSVCFVSLAILSVSAINVERYYYVVHTLGLVASVLVGVWVKALAMASVPVLGRCQLFVVVFAVLYFLLPLLLILVVYCSMFRVARVAAMQHGPLPPHRTFGGGKAAVVLLAVGGQFLLCWLPYFSFHLYVALSTGQVESVVTWIGYFCFTSNPFFYGCLNRQIRGELSKQFVCFFK</v>
      </c>
      <c r="C174" s="29" t="str">
        <f>IF(ISERROR(MATCH(A174,'SegEnds_Xtal_Prot#'!B:B, 0)), "NoXtal", "Xtal")</f>
        <v>NoXtal</v>
      </c>
      <c r="D174" s="4" t="str">
        <f>VLOOKUP(A174,Classification!A:D,2,FALSE)</f>
        <v>A</v>
      </c>
      <c r="E174" s="5" t="str">
        <f>VLOOKUP(A174,Seqs!A:B,2,FALSE)</f>
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</c>
      <c r="F174" s="5" t="str">
        <f t="shared" si="51"/>
        <v>SESVALFFMLLLDLTAVAGNAAVMAVIAKT</v>
      </c>
      <c r="G174" s="4" t="str">
        <f t="shared" si="52"/>
        <v/>
      </c>
      <c r="H174" s="4" t="str">
        <f t="shared" si="53"/>
        <v>LRKFVFVFHLCLVDLLAALTLMPLAMLSSSAL</v>
      </c>
      <c r="I174" s="4" t="str">
        <f t="shared" si="54"/>
        <v>DHAL</v>
      </c>
      <c r="J174" s="4" t="str">
        <f t="shared" si="55"/>
        <v>FGEVACRLYLFLSVCFVSLAILSVSAINVERYYYVVH</v>
      </c>
      <c r="K174" s="4" t="str">
        <f t="shared" si="56"/>
        <v>PMRYEVRM</v>
      </c>
      <c r="L174" s="4" t="str">
        <f t="shared" si="57"/>
        <v>TLGLVASVLVGVWVKALAMASVPVLGR</v>
      </c>
      <c r="M174" s="4" t="str">
        <f t="shared" si="58"/>
        <v>CSL</v>
      </c>
      <c r="N174" s="4" t="str">
        <f t="shared" si="59"/>
        <v>CQLFVVVFAVLYFLLPLLLILVVYCSMFRVARVAAMQHGPLP</v>
      </c>
      <c r="O174" s="4" t="str">
        <f t="shared" si="60"/>
        <v>PHRTFGGGKAAVVLLAVGGQFLLCWLPYFSFHLYVALS</v>
      </c>
      <c r="P174" s="4" t="str">
        <f t="shared" si="61"/>
        <v>TGQVESVVTWIGYFCFTSNPFFYGCL</v>
      </c>
      <c r="Q174" s="4" t="str">
        <f t="shared" si="62"/>
        <v>NRQIRGELSKQFVCFFK</v>
      </c>
      <c r="R174" s="5">
        <f>VLOOKUP($A174,'SegEnds_NonXtal_Prot#'!$A:$AL,3,FALSE)</f>
        <v>41</v>
      </c>
      <c r="S174" s="5" t="str">
        <f>VLOOKUP($A174,'SegEnds_NonXtal_Prot#'!$A:$AL,6,FALSE)</f>
        <v>-</v>
      </c>
      <c r="T174" s="5">
        <f>VLOOKUP($A174,'SegEnds_NonXtal_Prot#'!$A:$AL,9,FALSE)</f>
        <v>73</v>
      </c>
      <c r="U174" s="5">
        <f>VLOOKUP($A174,'SegEnds_NonXtal_Prot#'!$A:$AL,12,FALSE)</f>
        <v>106</v>
      </c>
      <c r="V174" s="5">
        <f>VLOOKUP($A174,'SegEnds_NonXtal_Prot#'!$A:$AL,15,FALSE)</f>
        <v>110</v>
      </c>
      <c r="W174" s="5">
        <f>VLOOKUP($A174,'SegEnds_NonXtal_Prot#'!$A:$AL,18,FALSE)</f>
        <v>147</v>
      </c>
      <c r="X174" s="5">
        <f>VLOOKUP($A174,'SegEnds_NonXtal_Prot#'!$A:$AL,21,FALSE)</f>
        <v>155</v>
      </c>
      <c r="Y174" s="5">
        <f>VLOOKUP($A174,'SegEnds_NonXtal_Prot#'!$A:$AL,24,FALSE)</f>
        <v>195</v>
      </c>
      <c r="Z174" s="5">
        <f>VLOOKUP($A174,'SegEnds_NonXtal_Prot#'!$A:$AL,27,FALSE)</f>
        <v>205</v>
      </c>
      <c r="AA174" s="5">
        <f>VLOOKUP($A174,'SegEnds_NonXtal_Prot#'!$A:$AL,30,FALSE)</f>
        <v>276</v>
      </c>
      <c r="AB174" s="5">
        <f>VLOOKUP($A174,'SegEnds_NonXtal_Prot#'!$A:$AL,33,FALSE)</f>
        <v>319</v>
      </c>
      <c r="AC174" s="5">
        <f>VLOOKUP($A174,'SegEnds_NonXtal_Prot#'!$A:$AL,36,FALSE)</f>
        <v>345</v>
      </c>
      <c r="AD174" s="5">
        <f>VLOOKUP($A174,'SegEnds_NonXtal_Prot#'!$A:$AL,5,FALSE)</f>
        <v>70</v>
      </c>
      <c r="AE174" s="5" t="str">
        <f>VLOOKUP($A174,'SegEnds_NonXtal_Prot#'!$A:$AL,8,FALSE)</f>
        <v>-</v>
      </c>
      <c r="AF174" s="5">
        <f>VLOOKUP($A174,'SegEnds_NonXtal_Prot#'!$A:$AL,11,FALSE)</f>
        <v>104</v>
      </c>
      <c r="AG174" s="5">
        <f>VLOOKUP($A174,'SegEnds_NonXtal_Prot#'!$A:$AL,14,FALSE)</f>
        <v>109</v>
      </c>
      <c r="AH174" s="5">
        <f>VLOOKUP($A174,'SegEnds_NonXtal_Prot#'!$A:$AL,17,FALSE)</f>
        <v>146</v>
      </c>
      <c r="AI174" s="5">
        <f>VLOOKUP($A174,'SegEnds_NonXtal_Prot#'!$A:$AL,20,FALSE)</f>
        <v>154</v>
      </c>
      <c r="AJ174" s="5">
        <f>VLOOKUP($A174,'SegEnds_NonXtal_Prot#'!$A:$AL,23,FALSE)</f>
        <v>181</v>
      </c>
      <c r="AK174" s="5">
        <f>VLOOKUP($A174,'SegEnds_NonXtal_Prot#'!$A:$AL,26,FALSE)</f>
        <v>197</v>
      </c>
      <c r="AL174" s="5">
        <f>VLOOKUP($A174,'SegEnds_NonXtal_Prot#'!$A:$AL,29,FALSE)</f>
        <v>246</v>
      </c>
      <c r="AM174" s="5">
        <f>VLOOKUP($A174,'SegEnds_NonXtal_Prot#'!$A:$AL,32,FALSE)</f>
        <v>313</v>
      </c>
      <c r="AN174" s="5">
        <f>VLOOKUP($A174,'SegEnds_NonXtal_Prot#'!$A:$AL,35,FALSE)</f>
        <v>344</v>
      </c>
      <c r="AO174" s="5">
        <f>VLOOKUP($A174,'SegEnds_NonXtal_Prot#'!$A:$AL,38,FALSE)</f>
        <v>361</v>
      </c>
      <c r="AP174" s="5">
        <f t="shared" si="63"/>
        <v>29</v>
      </c>
      <c r="AQ174" s="4" t="str">
        <f t="shared" si="64"/>
        <v>-</v>
      </c>
      <c r="AR174" s="4">
        <f t="shared" si="65"/>
        <v>31</v>
      </c>
      <c r="AS174" s="4">
        <f t="shared" si="66"/>
        <v>3</v>
      </c>
      <c r="AT174" s="4">
        <f t="shared" si="67"/>
        <v>36</v>
      </c>
      <c r="AU174" s="4">
        <f t="shared" si="68"/>
        <v>7</v>
      </c>
      <c r="AV174" s="4">
        <f t="shared" si="69"/>
        <v>26</v>
      </c>
      <c r="AW174" s="4">
        <f t="shared" si="70"/>
        <v>2</v>
      </c>
      <c r="AX174" s="4">
        <f t="shared" si="71"/>
        <v>41</v>
      </c>
      <c r="AY174" s="4">
        <f t="shared" si="72"/>
        <v>37</v>
      </c>
      <c r="AZ174" s="4">
        <f t="shared" si="73"/>
        <v>25</v>
      </c>
      <c r="BA174" s="4">
        <f t="shared" si="74"/>
        <v>16</v>
      </c>
    </row>
    <row r="175" spans="1:53" x14ac:dyDescent="0.2">
      <c r="A175" s="1" t="str">
        <f>'SegEnds_NonXtal_Prot#'!A151</f>
        <v>gpr78_human</v>
      </c>
      <c r="B175" s="1" t="str">
        <f t="shared" si="50"/>
        <v>GPGEALLAGLLVMVLAVALLSNALVLLCCAYSTRASGVLLVNLSLGHLLLAALDMPFTLLGVMRGAPGACQVIGFLDTFLASNAALSVAALSADQWLAVGFRPRYAGLLLGCAWGQSLAFSGAALGFAAFTATLHAVGFVLPLAVLCLTSLQVHRVARRHCQRMDTVTIQQKRRRHRATRKIGIAIATFLICFAPYVMTRLAELVPNAQWGILSKCLTYSKAVADPFTYSLLRRPFRQVLAGMVH</v>
      </c>
      <c r="C175" s="29" t="str">
        <f>IF(ISERROR(MATCH(A175,'SegEnds_Xtal_Prot#'!B:B, 0)), "NoXtal", "Xtal")</f>
        <v>NoXtal</v>
      </c>
      <c r="D175" s="4" t="str">
        <f>VLOOKUP(A175,Classification!A:D,2,FALSE)</f>
        <v>A</v>
      </c>
      <c r="E175" s="5" t="str">
        <f>VLOOKUP(A175,Seqs!A:B,2,FALSE)</f>
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</c>
      <c r="F175" s="5" t="str">
        <f t="shared" si="51"/>
        <v>GPGEALLAGLLVMVLAVALLSNALVLLCCAYS</v>
      </c>
      <c r="G175" s="4" t="str">
        <f t="shared" si="52"/>
        <v>AELR</v>
      </c>
      <c r="H175" s="4" t="str">
        <f t="shared" si="53"/>
        <v>TRASGVLLVNLSLGHLLLAALDMPFTLLGVMRG</v>
      </c>
      <c r="I175" s="4" t="str">
        <f t="shared" si="54"/>
        <v/>
      </c>
      <c r="J175" s="4" t="str">
        <f t="shared" si="55"/>
        <v>APGACQVIGFLDTFLASNAALSVAALSADQWLAVGF</v>
      </c>
      <c r="K175" s="4" t="str">
        <f t="shared" si="56"/>
        <v>PLRYAGRL</v>
      </c>
      <c r="L175" s="4" t="str">
        <f t="shared" si="57"/>
        <v>RPRYAGLLLGCAWGQSLAFSGAALG</v>
      </c>
      <c r="M175" s="4" t="str">
        <f t="shared" si="58"/>
        <v>CSL</v>
      </c>
      <c r="N175" s="4" t="str">
        <f t="shared" si="59"/>
        <v>FAAFTATLHAVGFVLPLAVLCLTSLQVHRVARRHCQRMDTVT</v>
      </c>
      <c r="O175" s="4" t="str">
        <f t="shared" si="60"/>
        <v>IQQKRRRHRATRKIGIAIATFLICFAPYVMTRLAELVP</v>
      </c>
      <c r="P175" s="4" t="str">
        <f t="shared" si="61"/>
        <v>NAQWGILSKCLTYSKAVADPFTYSLL</v>
      </c>
      <c r="Q175" s="4" t="str">
        <f t="shared" si="62"/>
        <v>RRPFRQVLAGMVH</v>
      </c>
      <c r="R175" s="5">
        <f>VLOOKUP($A175,'SegEnds_NonXtal_Prot#'!$A:$AL,3,FALSE)</f>
        <v>2</v>
      </c>
      <c r="S175" s="5">
        <f>VLOOKUP($A175,'SegEnds_NonXtal_Prot#'!$A:$AL,6,FALSE)</f>
        <v>34</v>
      </c>
      <c r="T175" s="5">
        <f>VLOOKUP($A175,'SegEnds_NonXtal_Prot#'!$A:$AL,9,FALSE)</f>
        <v>38</v>
      </c>
      <c r="U175" s="5" t="str">
        <f>VLOOKUP($A175,'SegEnds_NonXtal_Prot#'!$A:$AL,12,FALSE)</f>
        <v>-</v>
      </c>
      <c r="V175" s="5">
        <f>VLOOKUP($A175,'SegEnds_NonXtal_Prot#'!$A:$AL,15,FALSE)</f>
        <v>75</v>
      </c>
      <c r="W175" s="5">
        <f>VLOOKUP($A175,'SegEnds_NonXtal_Prot#'!$A:$AL,18,FALSE)</f>
        <v>111</v>
      </c>
      <c r="X175" s="5">
        <f>VLOOKUP($A175,'SegEnds_NonXtal_Prot#'!$A:$AL,21,FALSE)</f>
        <v>119</v>
      </c>
      <c r="Y175" s="5">
        <f>VLOOKUP($A175,'SegEnds_NonXtal_Prot#'!$A:$AL,24,FALSE)</f>
        <v>156</v>
      </c>
      <c r="Z175" s="5">
        <f>VLOOKUP($A175,'SegEnds_NonXtal_Prot#'!$A:$AL,27,FALSE)</f>
        <v>169</v>
      </c>
      <c r="AA175" s="5">
        <f>VLOOKUP($A175,'SegEnds_NonXtal_Prot#'!$A:$AL,30,FALSE)</f>
        <v>230</v>
      </c>
      <c r="AB175" s="5">
        <f>VLOOKUP($A175,'SegEnds_NonXtal_Prot#'!$A:$AL,33,FALSE)</f>
        <v>272</v>
      </c>
      <c r="AC175" s="5">
        <f>VLOOKUP($A175,'SegEnds_NonXtal_Prot#'!$A:$AL,36,FALSE)</f>
        <v>298</v>
      </c>
      <c r="AD175" s="5">
        <f>VLOOKUP($A175,'SegEnds_NonXtal_Prot#'!$A:$AL,5,FALSE)</f>
        <v>33</v>
      </c>
      <c r="AE175" s="5">
        <f>VLOOKUP($A175,'SegEnds_NonXtal_Prot#'!$A:$AL,8,FALSE)</f>
        <v>37</v>
      </c>
      <c r="AF175" s="5">
        <f>VLOOKUP($A175,'SegEnds_NonXtal_Prot#'!$A:$AL,11,FALSE)</f>
        <v>70</v>
      </c>
      <c r="AG175" s="5" t="str">
        <f>VLOOKUP($A175,'SegEnds_NonXtal_Prot#'!$A:$AL,14,FALSE)</f>
        <v>-</v>
      </c>
      <c r="AH175" s="5">
        <f>VLOOKUP($A175,'SegEnds_NonXtal_Prot#'!$A:$AL,17,FALSE)</f>
        <v>110</v>
      </c>
      <c r="AI175" s="5">
        <f>VLOOKUP($A175,'SegEnds_NonXtal_Prot#'!$A:$AL,20,FALSE)</f>
        <v>118</v>
      </c>
      <c r="AJ175" s="5">
        <f>VLOOKUP($A175,'SegEnds_NonXtal_Prot#'!$A:$AL,23,FALSE)</f>
        <v>143</v>
      </c>
      <c r="AK175" s="5">
        <f>VLOOKUP($A175,'SegEnds_NonXtal_Prot#'!$A:$AL,26,FALSE)</f>
        <v>158</v>
      </c>
      <c r="AL175" s="5">
        <f>VLOOKUP($A175,'SegEnds_NonXtal_Prot#'!$A:$AL,29,FALSE)</f>
        <v>210</v>
      </c>
      <c r="AM175" s="5">
        <f>VLOOKUP($A175,'SegEnds_NonXtal_Prot#'!$A:$AL,32,FALSE)</f>
        <v>267</v>
      </c>
      <c r="AN175" s="5">
        <f>VLOOKUP($A175,'SegEnds_NonXtal_Prot#'!$A:$AL,35,FALSE)</f>
        <v>297</v>
      </c>
      <c r="AO175" s="5">
        <f>VLOOKUP($A175,'SegEnds_NonXtal_Prot#'!$A:$AL,38,FALSE)</f>
        <v>310</v>
      </c>
      <c r="AP175" s="5">
        <f t="shared" si="63"/>
        <v>31</v>
      </c>
      <c r="AQ175" s="4">
        <f t="shared" si="64"/>
        <v>3</v>
      </c>
      <c r="AR175" s="4">
        <f t="shared" si="65"/>
        <v>32</v>
      </c>
      <c r="AS175" s="4" t="str">
        <f t="shared" si="66"/>
        <v>-</v>
      </c>
      <c r="AT175" s="4">
        <f t="shared" si="67"/>
        <v>35</v>
      </c>
      <c r="AU175" s="4">
        <f t="shared" si="68"/>
        <v>7</v>
      </c>
      <c r="AV175" s="4">
        <f t="shared" si="69"/>
        <v>24</v>
      </c>
      <c r="AW175" s="4">
        <f t="shared" si="70"/>
        <v>2</v>
      </c>
      <c r="AX175" s="4">
        <f t="shared" si="71"/>
        <v>41</v>
      </c>
      <c r="AY175" s="4">
        <f t="shared" si="72"/>
        <v>37</v>
      </c>
      <c r="AZ175" s="4">
        <f t="shared" si="73"/>
        <v>25</v>
      </c>
      <c r="BA175" s="4">
        <f t="shared" si="74"/>
        <v>12</v>
      </c>
    </row>
    <row r="176" spans="1:53" x14ac:dyDescent="0.2">
      <c r="A176" s="1" t="str">
        <f>'SegEnds_NonXtal_Prot#'!A152</f>
        <v>gpr82_human</v>
      </c>
      <c r="B176" s="1" t="str">
        <f t="shared" si="50"/>
        <v>TTCIQPSMISSMALPIIYILLCIVGVFGNTLSQWIFLTKTSTHIYLSHLVTANLLVCSAMPFMSIYFLKGQSAQCRVVNFLGTLSMHASMFVSLLILSWIAISRYATLMQQPNFARKLCIYIWGVVLGIIIPVTVYYLGAMISQIAGLIGTTFIGFSFLVVLTSYYSFVSHLRKIIMEKDLTYSSVKRHLLVIQILLIVCFLPYSIFKPIFYVLLNYLIETKNILTCLASARSSTDPIIFLLLDKTFKKTLYNLFTK</v>
      </c>
      <c r="C176" s="29" t="str">
        <f>IF(ISERROR(MATCH(A176,'SegEnds_Xtal_Prot#'!B:B, 0)), "NoXtal", "Xtal")</f>
        <v>NoXtal</v>
      </c>
      <c r="D176" s="4" t="str">
        <f>VLOOKUP(A176,Classification!A:D,2,FALSE)</f>
        <v>A</v>
      </c>
      <c r="E176" s="5" t="str">
        <f>VLOOKUP(A176,Seqs!A:B,2,FALSE)</f>
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</c>
      <c r="F176" s="5" t="str">
        <f t="shared" si="51"/>
        <v>TTCIQPSMISSMALPIIYILLCIVGVFGNTLSQWIFLTK</v>
      </c>
      <c r="G176" s="4" t="str">
        <f t="shared" si="52"/>
        <v/>
      </c>
      <c r="H176" s="4" t="str">
        <f t="shared" si="53"/>
        <v>TSTHIYLSHLVTANLLVCSAMPFMSIYFLKG</v>
      </c>
      <c r="I176" s="4" t="str">
        <f t="shared" si="54"/>
        <v>QWEY</v>
      </c>
      <c r="J176" s="4" t="str">
        <f t="shared" si="55"/>
        <v>QSAQCRVVNFLGTLSMHASMFVSLLILSWIAISRYATLMQ</v>
      </c>
      <c r="K176" s="4" t="str">
        <f t="shared" si="56"/>
        <v>GHLLKKFR</v>
      </c>
      <c r="L176" s="4" t="str">
        <f t="shared" si="57"/>
        <v>QPNFARKLCIYIWGVVLGIIIPVTVYY</v>
      </c>
      <c r="M176" s="4" t="str">
        <f t="shared" si="58"/>
        <v/>
      </c>
      <c r="N176" s="4" t="str">
        <f t="shared" si="59"/>
        <v>LGAMISQIAGLIGTTFIGFSFLVVLTSYYSFVSHLRKI</v>
      </c>
      <c r="O176" s="4" t="str">
        <f t="shared" si="60"/>
        <v>IMEKDLTYSSVKRHLLVIQILLIVCFLPYSIFKPIFYVL</v>
      </c>
      <c r="P176" s="4" t="str">
        <f t="shared" si="61"/>
        <v>LNYLIETKNILTCLASARSSTDPIIFLLL</v>
      </c>
      <c r="Q176" s="4" t="str">
        <f t="shared" si="62"/>
        <v>DKTFKKTLYNLFTK</v>
      </c>
      <c r="R176" s="5">
        <f>VLOOKUP($A176,'SegEnds_NonXtal_Prot#'!$A:$AL,3,FALSE)</f>
        <v>5</v>
      </c>
      <c r="S176" s="5" t="str">
        <f>VLOOKUP($A176,'SegEnds_NonXtal_Prot#'!$A:$AL,6,FALSE)</f>
        <v>-</v>
      </c>
      <c r="T176" s="5">
        <f>VLOOKUP($A176,'SegEnds_NonXtal_Prot#'!$A:$AL,9,FALSE)</f>
        <v>48</v>
      </c>
      <c r="U176" s="5">
        <f>VLOOKUP($A176,'SegEnds_NonXtal_Prot#'!$A:$AL,12,FALSE)</f>
        <v>80</v>
      </c>
      <c r="V176" s="5">
        <f>VLOOKUP($A176,'SegEnds_NonXtal_Prot#'!$A:$AL,15,FALSE)</f>
        <v>84</v>
      </c>
      <c r="W176" s="5">
        <f>VLOOKUP($A176,'SegEnds_NonXtal_Prot#'!$A:$AL,18,FALSE)</f>
        <v>140</v>
      </c>
      <c r="X176" s="5">
        <f>VLOOKUP($A176,'SegEnds_NonXtal_Prot#'!$A:$AL,21,FALSE)</f>
        <v>148</v>
      </c>
      <c r="Y176" s="5" t="str">
        <f>VLOOKUP($A176,'SegEnds_NonXtal_Prot#'!$A:$AL,24,FALSE)</f>
        <v>-</v>
      </c>
      <c r="Z176" s="5">
        <f>VLOOKUP($A176,'SegEnds_NonXtal_Prot#'!$A:$AL,27,FALSE)</f>
        <v>194</v>
      </c>
      <c r="AA176" s="5">
        <f>VLOOKUP($A176,'SegEnds_NonXtal_Prot#'!$A:$AL,30,FALSE)</f>
        <v>237</v>
      </c>
      <c r="AB176" s="5">
        <f>VLOOKUP($A176,'SegEnds_NonXtal_Prot#'!$A:$AL,33,FALSE)</f>
        <v>284</v>
      </c>
      <c r="AC176" s="5">
        <f>VLOOKUP($A176,'SegEnds_NonXtal_Prot#'!$A:$AL,36,FALSE)</f>
        <v>313</v>
      </c>
      <c r="AD176" s="5">
        <f>VLOOKUP($A176,'SegEnds_NonXtal_Prot#'!$A:$AL,5,FALSE)</f>
        <v>43</v>
      </c>
      <c r="AE176" s="5" t="str">
        <f>VLOOKUP($A176,'SegEnds_NonXtal_Prot#'!$A:$AL,8,FALSE)</f>
        <v>-</v>
      </c>
      <c r="AF176" s="5">
        <f>VLOOKUP($A176,'SegEnds_NonXtal_Prot#'!$A:$AL,11,FALSE)</f>
        <v>78</v>
      </c>
      <c r="AG176" s="5">
        <f>VLOOKUP($A176,'SegEnds_NonXtal_Prot#'!$A:$AL,14,FALSE)</f>
        <v>83</v>
      </c>
      <c r="AH176" s="5">
        <f>VLOOKUP($A176,'SegEnds_NonXtal_Prot#'!$A:$AL,17,FALSE)</f>
        <v>123</v>
      </c>
      <c r="AI176" s="5">
        <f>VLOOKUP($A176,'SegEnds_NonXtal_Prot#'!$A:$AL,20,FALSE)</f>
        <v>147</v>
      </c>
      <c r="AJ176" s="5">
        <f>VLOOKUP($A176,'SegEnds_NonXtal_Prot#'!$A:$AL,23,FALSE)</f>
        <v>174</v>
      </c>
      <c r="AK176" s="5" t="str">
        <f>VLOOKUP($A176,'SegEnds_NonXtal_Prot#'!$A:$AL,26,FALSE)</f>
        <v>-</v>
      </c>
      <c r="AL176" s="5">
        <f>VLOOKUP($A176,'SegEnds_NonXtal_Prot#'!$A:$AL,29,FALSE)</f>
        <v>231</v>
      </c>
      <c r="AM176" s="5">
        <f>VLOOKUP($A176,'SegEnds_NonXtal_Prot#'!$A:$AL,32,FALSE)</f>
        <v>275</v>
      </c>
      <c r="AN176" s="5">
        <f>VLOOKUP($A176,'SegEnds_NonXtal_Prot#'!$A:$AL,35,FALSE)</f>
        <v>312</v>
      </c>
      <c r="AO176" s="5">
        <f>VLOOKUP($A176,'SegEnds_NonXtal_Prot#'!$A:$AL,38,FALSE)</f>
        <v>326</v>
      </c>
      <c r="AP176" s="5">
        <f t="shared" si="63"/>
        <v>38</v>
      </c>
      <c r="AQ176" s="4" t="str">
        <f t="shared" si="64"/>
        <v>-</v>
      </c>
      <c r="AR176" s="4">
        <f t="shared" si="65"/>
        <v>30</v>
      </c>
      <c r="AS176" s="4">
        <f t="shared" si="66"/>
        <v>3</v>
      </c>
      <c r="AT176" s="4">
        <f t="shared" si="67"/>
        <v>39</v>
      </c>
      <c r="AU176" s="4">
        <f t="shared" si="68"/>
        <v>7</v>
      </c>
      <c r="AV176" s="4">
        <f t="shared" si="69"/>
        <v>26</v>
      </c>
      <c r="AW176" s="4" t="str">
        <f t="shared" si="70"/>
        <v>-</v>
      </c>
      <c r="AX176" s="4">
        <f t="shared" si="71"/>
        <v>37</v>
      </c>
      <c r="AY176" s="4">
        <f t="shared" si="72"/>
        <v>38</v>
      </c>
      <c r="AZ176" s="4">
        <f t="shared" si="73"/>
        <v>28</v>
      </c>
      <c r="BA176" s="4">
        <f t="shared" si="74"/>
        <v>13</v>
      </c>
    </row>
    <row r="177" spans="1:53" x14ac:dyDescent="0.2">
      <c r="A177" s="1" t="str">
        <f>'SegEnds_NonXtal_Prot#'!A153</f>
        <v>gpr84_human</v>
      </c>
      <c r="B177" s="1" t="str">
        <f t="shared" si="50"/>
        <v>SCYHESVLGYRYVAVSWGVVVAVTGTVGNVLTLLALAIQTRFNLLIANLTLADLLYCTLLQPFSVDTYLHGATFCRVFGLLLFASNSVSILTLCLIALGRYLLIAHSAKGIVLALVSTWVVGVASFAPLWPIYDQYKLRQASIHSNHVARTDEAMPGRFQELDSRLASGGPSEGISSEPVPDSSSEFGKVTRMCFAVFLCFALSYIPFLLLNILDARVVVHMLAANLTWLNGCINPVLYAAMNRQFRQAYGSILKR</v>
      </c>
      <c r="C177" s="29" t="str">
        <f>IF(ISERROR(MATCH(A177,'SegEnds_Xtal_Prot#'!B:B, 0)), "NoXtal", "Xtal")</f>
        <v>NoXtal</v>
      </c>
      <c r="D177" s="4" t="str">
        <f>VLOOKUP(A177,Classification!A:D,2,FALSE)</f>
        <v>A</v>
      </c>
      <c r="E177" s="5" t="str">
        <f>VLOOKUP(A177,Seqs!A:B,2,FALSE)</f>
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</c>
      <c r="F177" s="5" t="str">
        <f t="shared" si="51"/>
        <v>SCYHESVLGYRYVAVSWGVVVAVTGTVGNVLTLLALAIQ</v>
      </c>
      <c r="G177" s="4" t="str">
        <f t="shared" si="52"/>
        <v>PKLR</v>
      </c>
      <c r="H177" s="4" t="str">
        <f t="shared" si="53"/>
        <v>TRFNLLIANLTLADLLYCTLLQPFSVDTYLH</v>
      </c>
      <c r="I177" s="4" t="str">
        <f t="shared" si="54"/>
        <v/>
      </c>
      <c r="J177" s="4" t="str">
        <f t="shared" si="55"/>
        <v>GATFCRVFGLLLFASNSVSILTLCLIALGRYLLIAH</v>
      </c>
      <c r="K177" s="4" t="str">
        <f t="shared" si="56"/>
        <v>PKLFPQVF</v>
      </c>
      <c r="L177" s="4" t="str">
        <f t="shared" si="57"/>
        <v>SAKGIVLALVSTWVVGVASFAPLWPIY</v>
      </c>
      <c r="M177" s="4" t="str">
        <f t="shared" si="58"/>
        <v>CSF</v>
      </c>
      <c r="N177" s="4" t="str">
        <f t="shared" si="59"/>
        <v>DQYKLRQASIHSNHVARTDEAMPGRFQELDSRLASGGPSEGISSEPV</v>
      </c>
      <c r="O177" s="4" t="str">
        <f t="shared" si="60"/>
        <v>PDSSSEFGKVTRMCFAVFLCFALSYIPFLLLNILDARV</v>
      </c>
      <c r="P177" s="4" t="str">
        <f t="shared" si="61"/>
        <v>VVHMLAANLTWLNGCINPVLYAAM</v>
      </c>
      <c r="Q177" s="4" t="str">
        <f t="shared" si="62"/>
        <v>NRQFRQAYGSILKR</v>
      </c>
      <c r="R177" s="5">
        <f>VLOOKUP($A177,'SegEnds_NonXtal_Prot#'!$A:$AL,3,FALSE)</f>
        <v>10</v>
      </c>
      <c r="S177" s="5">
        <f>VLOOKUP($A177,'SegEnds_NonXtal_Prot#'!$A:$AL,6,FALSE)</f>
        <v>49</v>
      </c>
      <c r="T177" s="5">
        <f>VLOOKUP($A177,'SegEnds_NonXtal_Prot#'!$A:$AL,9,FALSE)</f>
        <v>53</v>
      </c>
      <c r="U177" s="5" t="str">
        <f>VLOOKUP($A177,'SegEnds_NonXtal_Prot#'!$A:$AL,12,FALSE)</f>
        <v>-</v>
      </c>
      <c r="V177" s="5">
        <f>VLOOKUP($A177,'SegEnds_NonXtal_Prot#'!$A:$AL,15,FALSE)</f>
        <v>89</v>
      </c>
      <c r="W177" s="5">
        <f>VLOOKUP($A177,'SegEnds_NonXtal_Prot#'!$A:$AL,18,FALSE)</f>
        <v>125</v>
      </c>
      <c r="X177" s="5">
        <f>VLOOKUP($A177,'SegEnds_NonXtal_Prot#'!$A:$AL,21,FALSE)</f>
        <v>133</v>
      </c>
      <c r="Y177" s="5">
        <f>VLOOKUP($A177,'SegEnds_NonXtal_Prot#'!$A:$AL,24,FALSE)</f>
        <v>168</v>
      </c>
      <c r="Z177" s="5">
        <f>VLOOKUP($A177,'SegEnds_NonXtal_Prot#'!$A:$AL,27,FALSE)</f>
        <v>213</v>
      </c>
      <c r="AA177" s="5">
        <f>VLOOKUP($A177,'SegEnds_NonXtal_Prot#'!$A:$AL,30,FALSE)</f>
        <v>308</v>
      </c>
      <c r="AB177" s="5">
        <f>VLOOKUP($A177,'SegEnds_NonXtal_Prot#'!$A:$AL,33,FALSE)</f>
        <v>350</v>
      </c>
      <c r="AC177" s="5">
        <f>VLOOKUP($A177,'SegEnds_NonXtal_Prot#'!$A:$AL,36,FALSE)</f>
        <v>374</v>
      </c>
      <c r="AD177" s="5">
        <f>VLOOKUP($A177,'SegEnds_NonXtal_Prot#'!$A:$AL,5,FALSE)</f>
        <v>48</v>
      </c>
      <c r="AE177" s="5">
        <f>VLOOKUP($A177,'SegEnds_NonXtal_Prot#'!$A:$AL,8,FALSE)</f>
        <v>52</v>
      </c>
      <c r="AF177" s="5">
        <f>VLOOKUP($A177,'SegEnds_NonXtal_Prot#'!$A:$AL,11,FALSE)</f>
        <v>83</v>
      </c>
      <c r="AG177" s="5" t="str">
        <f>VLOOKUP($A177,'SegEnds_NonXtal_Prot#'!$A:$AL,14,FALSE)</f>
        <v>-</v>
      </c>
      <c r="AH177" s="5">
        <f>VLOOKUP($A177,'SegEnds_NonXtal_Prot#'!$A:$AL,17,FALSE)</f>
        <v>124</v>
      </c>
      <c r="AI177" s="5">
        <f>VLOOKUP($A177,'SegEnds_NonXtal_Prot#'!$A:$AL,20,FALSE)</f>
        <v>132</v>
      </c>
      <c r="AJ177" s="5">
        <f>VLOOKUP($A177,'SegEnds_NonXtal_Prot#'!$A:$AL,23,FALSE)</f>
        <v>159</v>
      </c>
      <c r="AK177" s="5">
        <f>VLOOKUP($A177,'SegEnds_NonXtal_Prot#'!$A:$AL,26,FALSE)</f>
        <v>170</v>
      </c>
      <c r="AL177" s="5">
        <f>VLOOKUP($A177,'SegEnds_NonXtal_Prot#'!$A:$AL,29,FALSE)</f>
        <v>259</v>
      </c>
      <c r="AM177" s="5">
        <f>VLOOKUP($A177,'SegEnds_NonXtal_Prot#'!$A:$AL,32,FALSE)</f>
        <v>345</v>
      </c>
      <c r="AN177" s="5">
        <f>VLOOKUP($A177,'SegEnds_NonXtal_Prot#'!$A:$AL,35,FALSE)</f>
        <v>373</v>
      </c>
      <c r="AO177" s="5">
        <f>VLOOKUP($A177,'SegEnds_NonXtal_Prot#'!$A:$AL,38,FALSE)</f>
        <v>387</v>
      </c>
      <c r="AP177" s="5">
        <f t="shared" si="63"/>
        <v>38</v>
      </c>
      <c r="AQ177" s="4">
        <f t="shared" si="64"/>
        <v>3</v>
      </c>
      <c r="AR177" s="4">
        <f t="shared" si="65"/>
        <v>30</v>
      </c>
      <c r="AS177" s="4" t="str">
        <f t="shared" si="66"/>
        <v>-</v>
      </c>
      <c r="AT177" s="4">
        <f t="shared" si="67"/>
        <v>35</v>
      </c>
      <c r="AU177" s="4">
        <f t="shared" si="68"/>
        <v>7</v>
      </c>
      <c r="AV177" s="4">
        <f t="shared" si="69"/>
        <v>26</v>
      </c>
      <c r="AW177" s="4">
        <f t="shared" si="70"/>
        <v>2</v>
      </c>
      <c r="AX177" s="4">
        <f t="shared" si="71"/>
        <v>46</v>
      </c>
      <c r="AY177" s="4">
        <f t="shared" si="72"/>
        <v>37</v>
      </c>
      <c r="AZ177" s="4">
        <f t="shared" si="73"/>
        <v>23</v>
      </c>
      <c r="BA177" s="4">
        <f t="shared" si="74"/>
        <v>13</v>
      </c>
    </row>
    <row r="178" spans="1:53" x14ac:dyDescent="0.2">
      <c r="A178" s="1" t="str">
        <f>'SegEnds_NonXtal_Prot#'!A154</f>
        <v>gpr85_human</v>
      </c>
      <c r="B178" s="1" t="str">
        <f t="shared" si="50"/>
        <v>FLKLTSLGFIIGVSVVGNLLISILLVKDRAPYYFLLDLCCSDILRSAICFPFVFNSVKNGGTLTCKVIAFLGVLSCFHTAFMLFCISVTRYLAIAHTFWTCLAVICMVWTLSVAMAFPPVLDVGTYVQFVAAVSQNWTFHGPGASGQAAANWLAGFGRGPTPPTLLGILDEFKMEKRISRMFYIMTFLFLTLWGPYLVACYWRVFAPGGFLTAAVWMSFAQAGINPFVCIFSNRELRRCFSTTLLY</v>
      </c>
      <c r="C178" s="29" t="str">
        <f>IF(ISERROR(MATCH(A178,'SegEnds_Xtal_Prot#'!B:B, 0)), "NoXtal", "Xtal")</f>
        <v>NoXtal</v>
      </c>
      <c r="D178" s="4" t="str">
        <f>VLOOKUP(A178,Classification!A:D,2,FALSE)</f>
        <v>A</v>
      </c>
      <c r="E178" s="5" t="str">
        <f>VLOOKUP(A178,Seqs!A:B,2,FALSE)</f>
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</c>
      <c r="F178" s="5" t="str">
        <f t="shared" si="51"/>
        <v>FLKLTSLGFIIGVSVVGNLLISILLVKD</v>
      </c>
      <c r="G178" s="4" t="str">
        <f t="shared" si="52"/>
        <v>KTLH</v>
      </c>
      <c r="H178" s="4" t="str">
        <f t="shared" si="53"/>
        <v>RAPYYFLLDLCCSDILRSAICFPFVFNSVKNG</v>
      </c>
      <c r="I178" s="4" t="str">
        <f t="shared" si="54"/>
        <v>TWTY</v>
      </c>
      <c r="J178" s="4" t="str">
        <f t="shared" si="55"/>
        <v>GTLTCKVIAFLGVLSCFHTAFMLFCISVTRYLAIAH</v>
      </c>
      <c r="K178" s="4" t="str">
        <f t="shared" si="56"/>
        <v>HRFYTKRL</v>
      </c>
      <c r="L178" s="4" t="str">
        <f t="shared" si="57"/>
        <v>TFWTCLAVICMVWTLSVAMAFPPVLDVGTY</v>
      </c>
      <c r="M178" s="4" t="str">
        <f t="shared" si="58"/>
        <v>CTF</v>
      </c>
      <c r="N178" s="4" t="str">
        <f t="shared" si="59"/>
        <v>VQFVAAVSQNWTFHGPGASGQAAANWLAGFGRGPTPPTLLGI</v>
      </c>
      <c r="O178" s="4" t="str">
        <f t="shared" si="60"/>
        <v>LDEFKMEKRISRMFYIMTFLFLTLWGPYLVACYWRVFA</v>
      </c>
      <c r="P178" s="4" t="str">
        <f t="shared" si="61"/>
        <v>PGGFLTAAVWMSFAQAGINPFVCIFS</v>
      </c>
      <c r="Q178" s="4" t="str">
        <f t="shared" si="62"/>
        <v>NRELRRCFSTTLLY</v>
      </c>
      <c r="R178" s="5">
        <f>VLOOKUP($A178,'SegEnds_NonXtal_Prot#'!$A:$AL,3,FALSE)</f>
        <v>21</v>
      </c>
      <c r="S178" s="5">
        <f>VLOOKUP($A178,'SegEnds_NonXtal_Prot#'!$A:$AL,6,FALSE)</f>
        <v>49</v>
      </c>
      <c r="T178" s="5">
        <f>VLOOKUP($A178,'SegEnds_NonXtal_Prot#'!$A:$AL,9,FALSE)</f>
        <v>53</v>
      </c>
      <c r="U178" s="5">
        <f>VLOOKUP($A178,'SegEnds_NonXtal_Prot#'!$A:$AL,12,FALSE)</f>
        <v>86</v>
      </c>
      <c r="V178" s="5">
        <f>VLOOKUP($A178,'SegEnds_NonXtal_Prot#'!$A:$AL,15,FALSE)</f>
        <v>90</v>
      </c>
      <c r="W178" s="5">
        <f>VLOOKUP($A178,'SegEnds_NonXtal_Prot#'!$A:$AL,18,FALSE)</f>
        <v>126</v>
      </c>
      <c r="X178" s="5">
        <f>VLOOKUP($A178,'SegEnds_NonXtal_Prot#'!$A:$AL,21,FALSE)</f>
        <v>134</v>
      </c>
      <c r="Y178" s="5">
        <f>VLOOKUP($A178,'SegEnds_NonXtal_Prot#'!$A:$AL,24,FALSE)</f>
        <v>172</v>
      </c>
      <c r="Z178" s="5">
        <f>VLOOKUP($A178,'SegEnds_NonXtal_Prot#'!$A:$AL,27,FALSE)</f>
        <v>218</v>
      </c>
      <c r="AA178" s="5">
        <f>VLOOKUP($A178,'SegEnds_NonXtal_Prot#'!$A:$AL,30,FALSE)</f>
        <v>274</v>
      </c>
      <c r="AB178" s="5">
        <f>VLOOKUP($A178,'SegEnds_NonXtal_Prot#'!$A:$AL,33,FALSE)</f>
        <v>317</v>
      </c>
      <c r="AC178" s="5">
        <f>VLOOKUP($A178,'SegEnds_NonXtal_Prot#'!$A:$AL,36,FALSE)</f>
        <v>343</v>
      </c>
      <c r="AD178" s="5">
        <f>VLOOKUP($A178,'SegEnds_NonXtal_Prot#'!$A:$AL,5,FALSE)</f>
        <v>48</v>
      </c>
      <c r="AE178" s="5">
        <f>VLOOKUP($A178,'SegEnds_NonXtal_Prot#'!$A:$AL,8,FALSE)</f>
        <v>52</v>
      </c>
      <c r="AF178" s="5">
        <f>VLOOKUP($A178,'SegEnds_NonXtal_Prot#'!$A:$AL,11,FALSE)</f>
        <v>84</v>
      </c>
      <c r="AG178" s="5">
        <f>VLOOKUP($A178,'SegEnds_NonXtal_Prot#'!$A:$AL,14,FALSE)</f>
        <v>89</v>
      </c>
      <c r="AH178" s="5">
        <f>VLOOKUP($A178,'SegEnds_NonXtal_Prot#'!$A:$AL,17,FALSE)</f>
        <v>125</v>
      </c>
      <c r="AI178" s="5">
        <f>VLOOKUP($A178,'SegEnds_NonXtal_Prot#'!$A:$AL,20,FALSE)</f>
        <v>133</v>
      </c>
      <c r="AJ178" s="5">
        <f>VLOOKUP($A178,'SegEnds_NonXtal_Prot#'!$A:$AL,23,FALSE)</f>
        <v>163</v>
      </c>
      <c r="AK178" s="5">
        <f>VLOOKUP($A178,'SegEnds_NonXtal_Prot#'!$A:$AL,26,FALSE)</f>
        <v>174</v>
      </c>
      <c r="AL178" s="5">
        <f>VLOOKUP($A178,'SegEnds_NonXtal_Prot#'!$A:$AL,29,FALSE)</f>
        <v>259</v>
      </c>
      <c r="AM178" s="5">
        <f>VLOOKUP($A178,'SegEnds_NonXtal_Prot#'!$A:$AL,32,FALSE)</f>
        <v>311</v>
      </c>
      <c r="AN178" s="5">
        <f>VLOOKUP($A178,'SegEnds_NonXtal_Prot#'!$A:$AL,35,FALSE)</f>
        <v>342</v>
      </c>
      <c r="AO178" s="5">
        <f>VLOOKUP($A178,'SegEnds_NonXtal_Prot#'!$A:$AL,38,FALSE)</f>
        <v>356</v>
      </c>
      <c r="AP178" s="5">
        <f t="shared" si="63"/>
        <v>27</v>
      </c>
      <c r="AQ178" s="4">
        <f t="shared" si="64"/>
        <v>3</v>
      </c>
      <c r="AR178" s="4">
        <f t="shared" si="65"/>
        <v>31</v>
      </c>
      <c r="AS178" s="4">
        <f t="shared" si="66"/>
        <v>3</v>
      </c>
      <c r="AT178" s="4">
        <f t="shared" si="67"/>
        <v>35</v>
      </c>
      <c r="AU178" s="4">
        <f t="shared" si="68"/>
        <v>7</v>
      </c>
      <c r="AV178" s="4">
        <f t="shared" si="69"/>
        <v>29</v>
      </c>
      <c r="AW178" s="4">
        <f t="shared" si="70"/>
        <v>2</v>
      </c>
      <c r="AX178" s="4">
        <f t="shared" si="71"/>
        <v>41</v>
      </c>
      <c r="AY178" s="4">
        <f t="shared" si="72"/>
        <v>37</v>
      </c>
      <c r="AZ178" s="4">
        <f t="shared" si="73"/>
        <v>25</v>
      </c>
      <c r="BA178" s="4">
        <f t="shared" si="74"/>
        <v>13</v>
      </c>
    </row>
    <row r="179" spans="1:53" x14ac:dyDescent="0.2">
      <c r="A179" s="1" t="str">
        <f>'SegEnds_NonXtal_Prot#'!A155</f>
        <v>gpr87_human</v>
      </c>
      <c r="B179" s="1" t="str">
        <f t="shared" si="50"/>
        <v>NEFDTIVLPVLYLIIFVASILLNGLAVWIFFHITSFIFYLKNIVVADLIMTLTFPFRIVHDAGKFILCRYTSVLFYANMYTSIVFLGLISIDRYLKVVKSITFTKVLSVCVWVIMAVLSLPNIILTPLGVKWHTAVTYVNSCLFVAVLVILIGCYIAISRYIHKSISQSSRKRKHNQSIRVVVAVFFTCFLPYHLCRIPFTFSHLDDESAQKILYYCKEITLFLSACNVCLDPIIYFFMCRSFSRRLFKK</v>
      </c>
      <c r="C179" s="29" t="str">
        <f>IF(ISERROR(MATCH(A179,'SegEnds_Xtal_Prot#'!B:B, 0)), "NoXtal", "Xtal")</f>
        <v>NoXtal</v>
      </c>
      <c r="D179" s="4" t="str">
        <f>VLOOKUP(A179,Classification!A:D,2,FALSE)</f>
        <v>A</v>
      </c>
      <c r="E179" s="5" t="str">
        <f>VLOOKUP(A179,Seqs!A:B,2,FALSE)</f>
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</c>
      <c r="F179" s="5" t="str">
        <f t="shared" si="51"/>
        <v>NEFDTIVLPVLYLIIFVASILLNGLAVWIFFHI</v>
      </c>
      <c r="G179" s="4" t="str">
        <f t="shared" si="52"/>
        <v/>
      </c>
      <c r="H179" s="4" t="str">
        <f t="shared" si="53"/>
        <v>TSFIFYLKNIVVADLIMTLTFPFRIVHDAG</v>
      </c>
      <c r="I179" s="4" t="str">
        <f t="shared" si="54"/>
        <v>PWYF</v>
      </c>
      <c r="J179" s="4" t="str">
        <f t="shared" si="55"/>
        <v>KFILCRYTSVLFYANMYTSIVFLGLISIDRYLKVVK</v>
      </c>
      <c r="K179" s="4" t="str">
        <f t="shared" si="56"/>
        <v>PFGDSRMY</v>
      </c>
      <c r="L179" s="4" t="str">
        <f t="shared" si="57"/>
        <v>SITFTKVLSVCVWVIMAVLSLPNIILT</v>
      </c>
      <c r="M179" s="4" t="str">
        <f t="shared" si="58"/>
        <v>CSK</v>
      </c>
      <c r="N179" s="4" t="str">
        <f t="shared" si="59"/>
        <v>PLGVKWHTAVTYVNSCLFVAVLVILIGCYIAISRYIHKS</v>
      </c>
      <c r="O179" s="4" t="str">
        <f t="shared" si="60"/>
        <v>ISQSSRKRKHNQSIRVVVAVFFTCFLPYHLCRIPFTFSHLD</v>
      </c>
      <c r="P179" s="4" t="str">
        <f t="shared" si="61"/>
        <v>DESAQKILYYCKEITLFLSACNVCLDPIIYFFM</v>
      </c>
      <c r="Q179" s="4" t="str">
        <f t="shared" si="62"/>
        <v>CRSFSRRLFKK</v>
      </c>
      <c r="R179" s="5">
        <f>VLOOKUP($A179,'SegEnds_NonXtal_Prot#'!$A:$AL,3,FALSE)</f>
        <v>38</v>
      </c>
      <c r="S179" s="5" t="str">
        <f>VLOOKUP($A179,'SegEnds_NonXtal_Prot#'!$A:$AL,6,FALSE)</f>
        <v>-</v>
      </c>
      <c r="T179" s="5">
        <f>VLOOKUP($A179,'SegEnds_NonXtal_Prot#'!$A:$AL,9,FALSE)</f>
        <v>74</v>
      </c>
      <c r="U179" s="5">
        <f>VLOOKUP($A179,'SegEnds_NonXtal_Prot#'!$A:$AL,12,FALSE)</f>
        <v>106</v>
      </c>
      <c r="V179" s="5">
        <f>VLOOKUP($A179,'SegEnds_NonXtal_Prot#'!$A:$AL,15,FALSE)</f>
        <v>110</v>
      </c>
      <c r="W179" s="5">
        <f>VLOOKUP($A179,'SegEnds_NonXtal_Prot#'!$A:$AL,18,FALSE)</f>
        <v>146</v>
      </c>
      <c r="X179" s="5">
        <f>VLOOKUP($A179,'SegEnds_NonXtal_Prot#'!$A:$AL,21,FALSE)</f>
        <v>154</v>
      </c>
      <c r="Y179" s="5">
        <f>VLOOKUP($A179,'SegEnds_NonXtal_Prot#'!$A:$AL,24,FALSE)</f>
        <v>192</v>
      </c>
      <c r="Z179" s="5">
        <f>VLOOKUP($A179,'SegEnds_NonXtal_Prot#'!$A:$AL,27,FALSE)</f>
        <v>198</v>
      </c>
      <c r="AA179" s="5">
        <f>VLOOKUP($A179,'SegEnds_NonXtal_Prot#'!$A:$AL,30,FALSE)</f>
        <v>241</v>
      </c>
      <c r="AB179" s="5">
        <f>VLOOKUP($A179,'SegEnds_NonXtal_Prot#'!$A:$AL,33,FALSE)</f>
        <v>285</v>
      </c>
      <c r="AC179" s="5">
        <f>VLOOKUP($A179,'SegEnds_NonXtal_Prot#'!$A:$AL,36,FALSE)</f>
        <v>318</v>
      </c>
      <c r="AD179" s="5">
        <f>VLOOKUP($A179,'SegEnds_NonXtal_Prot#'!$A:$AL,5,FALSE)</f>
        <v>70</v>
      </c>
      <c r="AE179" s="5" t="str">
        <f>VLOOKUP($A179,'SegEnds_NonXtal_Prot#'!$A:$AL,8,FALSE)</f>
        <v>-</v>
      </c>
      <c r="AF179" s="5">
        <f>VLOOKUP($A179,'SegEnds_NonXtal_Prot#'!$A:$AL,11,FALSE)</f>
        <v>103</v>
      </c>
      <c r="AG179" s="5">
        <f>VLOOKUP($A179,'SegEnds_NonXtal_Prot#'!$A:$AL,14,FALSE)</f>
        <v>109</v>
      </c>
      <c r="AH179" s="5">
        <f>VLOOKUP($A179,'SegEnds_NonXtal_Prot#'!$A:$AL,17,FALSE)</f>
        <v>145</v>
      </c>
      <c r="AI179" s="5">
        <f>VLOOKUP($A179,'SegEnds_NonXtal_Prot#'!$A:$AL,20,FALSE)</f>
        <v>153</v>
      </c>
      <c r="AJ179" s="5">
        <f>VLOOKUP($A179,'SegEnds_NonXtal_Prot#'!$A:$AL,23,FALSE)</f>
        <v>180</v>
      </c>
      <c r="AK179" s="5">
        <f>VLOOKUP($A179,'SegEnds_NonXtal_Prot#'!$A:$AL,26,FALSE)</f>
        <v>194</v>
      </c>
      <c r="AL179" s="5">
        <f>VLOOKUP($A179,'SegEnds_NonXtal_Prot#'!$A:$AL,29,FALSE)</f>
        <v>236</v>
      </c>
      <c r="AM179" s="5">
        <f>VLOOKUP($A179,'SegEnds_NonXtal_Prot#'!$A:$AL,32,FALSE)</f>
        <v>281</v>
      </c>
      <c r="AN179" s="5">
        <f>VLOOKUP($A179,'SegEnds_NonXtal_Prot#'!$A:$AL,35,FALSE)</f>
        <v>317</v>
      </c>
      <c r="AO179" s="5">
        <f>VLOOKUP($A179,'SegEnds_NonXtal_Prot#'!$A:$AL,38,FALSE)</f>
        <v>328</v>
      </c>
      <c r="AP179" s="5">
        <f t="shared" si="63"/>
        <v>32</v>
      </c>
      <c r="AQ179" s="4" t="str">
        <f t="shared" si="64"/>
        <v>-</v>
      </c>
      <c r="AR179" s="4">
        <f t="shared" si="65"/>
        <v>29</v>
      </c>
      <c r="AS179" s="4">
        <f t="shared" si="66"/>
        <v>3</v>
      </c>
      <c r="AT179" s="4">
        <f t="shared" si="67"/>
        <v>35</v>
      </c>
      <c r="AU179" s="4">
        <f t="shared" si="68"/>
        <v>7</v>
      </c>
      <c r="AV179" s="4">
        <f t="shared" si="69"/>
        <v>26</v>
      </c>
      <c r="AW179" s="4">
        <f t="shared" si="70"/>
        <v>2</v>
      </c>
      <c r="AX179" s="4">
        <f t="shared" si="71"/>
        <v>38</v>
      </c>
      <c r="AY179" s="4">
        <f t="shared" si="72"/>
        <v>40</v>
      </c>
      <c r="AZ179" s="4">
        <f t="shared" si="73"/>
        <v>32</v>
      </c>
      <c r="BA179" s="4">
        <f t="shared" si="74"/>
        <v>10</v>
      </c>
    </row>
    <row r="180" spans="1:53" x14ac:dyDescent="0.2">
      <c r="A180" s="1" t="str">
        <f>'SegEnds_NonXtal_Prot#'!A156</f>
        <v>gpr88_human</v>
      </c>
      <c r="B180" s="1" t="str">
        <f t="shared" si="50"/>
        <v>RIPVSLLYSGLAIGGTLANGMVIYLVSSFTTSNAFIVNGCAADLSVCALWMPQEAVLGLLPDGAGGSYRLLRGGLLGLGLTVSLLSHCLVALNRYLLITRQRRHTAGMLALSWALALGLVLLLPPWAVKRVSVLNFHLLHQLPGCAAAAAAFPGAQHAPGPGGAAHPPALHPRRAQRRLSGLSVLLLCCVFLLATQPLVWVSLASGFSWGVQAASWLLCCALSALNPLLYTWRNEEFRRSVRSVLPGVGD</v>
      </c>
      <c r="C180" s="29" t="str">
        <f>IF(ISERROR(MATCH(A180,'SegEnds_Xtal_Prot#'!B:B, 0)), "NoXtal", "Xtal")</f>
        <v>NoXtal</v>
      </c>
      <c r="D180" s="4" t="str">
        <f>VLOOKUP(A180,Classification!A:D,2,FALSE)</f>
        <v>A</v>
      </c>
      <c r="E180" s="5" t="str">
        <f>VLOOKUP(A180,Seqs!A:B,2,FALSE)</f>
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</c>
      <c r="F180" s="5" t="str">
        <f t="shared" si="51"/>
        <v>RIPVSLLYSGLAIGGTLANGMVIYLVSSF</v>
      </c>
      <c r="G180" s="4" t="str">
        <f t="shared" si="52"/>
        <v>RKLQ</v>
      </c>
      <c r="H180" s="4" t="str">
        <f t="shared" si="53"/>
        <v>TTSNAFIVNGCAADLSVCALWMPQEAVLGLLP</v>
      </c>
      <c r="I180" s="4" t="str">
        <f t="shared" si="54"/>
        <v/>
      </c>
      <c r="J180" s="4" t="str">
        <f t="shared" si="55"/>
        <v>DGAGGSYRLLRGGLLGLGLTVSLLSHCLVALNRYLLITR</v>
      </c>
      <c r="K180" s="4" t="str">
        <f t="shared" si="56"/>
        <v>PATYQALY</v>
      </c>
      <c r="L180" s="4" t="str">
        <f t="shared" si="57"/>
        <v>QRRHTAGMLALSWALALGLVLLLPPWA</v>
      </c>
      <c r="M180" s="4" t="str">
        <f t="shared" si="58"/>
        <v/>
      </c>
      <c r="N180" s="4" t="str">
        <f t="shared" si="59"/>
        <v>VKRVSVLNFHLLHQLPGCAAAAAAFPGAQHAPGPGGAAHP</v>
      </c>
      <c r="O180" s="4" t="str">
        <f t="shared" si="60"/>
        <v>PALHPRRAQRRLSGLSVLLLCCVFLLATQPLVWVSLASGFS</v>
      </c>
      <c r="P180" s="4" t="str">
        <f t="shared" si="61"/>
        <v>WGVQAASWLLCCALSALNPLLYTWR</v>
      </c>
      <c r="Q180" s="4" t="str">
        <f t="shared" si="62"/>
        <v>NEEFRRSVRSVLPGVGD</v>
      </c>
      <c r="R180" s="5">
        <f>VLOOKUP($A180,'SegEnds_NonXtal_Prot#'!$A:$AL,3,FALSE)</f>
        <v>31</v>
      </c>
      <c r="S180" s="5">
        <f>VLOOKUP($A180,'SegEnds_NonXtal_Prot#'!$A:$AL,6,FALSE)</f>
        <v>60</v>
      </c>
      <c r="T180" s="5">
        <f>VLOOKUP($A180,'SegEnds_NonXtal_Prot#'!$A:$AL,9,FALSE)</f>
        <v>64</v>
      </c>
      <c r="U180" s="5" t="str">
        <f>VLOOKUP($A180,'SegEnds_NonXtal_Prot#'!$A:$AL,12,FALSE)</f>
        <v>-</v>
      </c>
      <c r="V180" s="5">
        <f>VLOOKUP($A180,'SegEnds_NonXtal_Prot#'!$A:$AL,15,FALSE)</f>
        <v>106</v>
      </c>
      <c r="W180" s="5">
        <f>VLOOKUP($A180,'SegEnds_NonXtal_Prot#'!$A:$AL,18,FALSE)</f>
        <v>146</v>
      </c>
      <c r="X180" s="5">
        <f>VLOOKUP($A180,'SegEnds_NonXtal_Prot#'!$A:$AL,21,FALSE)</f>
        <v>154</v>
      </c>
      <c r="Y180" s="5" t="str">
        <f>VLOOKUP($A180,'SegEnds_NonXtal_Prot#'!$A:$AL,24,FALSE)</f>
        <v>-</v>
      </c>
      <c r="Z180" s="5">
        <f>VLOOKUP($A180,'SegEnds_NonXtal_Prot#'!$A:$AL,27,FALSE)</f>
        <v>223</v>
      </c>
      <c r="AA180" s="5">
        <f>VLOOKUP($A180,'SegEnds_NonXtal_Prot#'!$A:$AL,30,FALSE)</f>
        <v>270</v>
      </c>
      <c r="AB180" s="5">
        <f>VLOOKUP($A180,'SegEnds_NonXtal_Prot#'!$A:$AL,33,FALSE)</f>
        <v>315</v>
      </c>
      <c r="AC180" s="5">
        <f>VLOOKUP($A180,'SegEnds_NonXtal_Prot#'!$A:$AL,36,FALSE)</f>
        <v>340</v>
      </c>
      <c r="AD180" s="5">
        <f>VLOOKUP($A180,'SegEnds_NonXtal_Prot#'!$A:$AL,5,FALSE)</f>
        <v>59</v>
      </c>
      <c r="AE180" s="5">
        <f>VLOOKUP($A180,'SegEnds_NonXtal_Prot#'!$A:$AL,8,FALSE)</f>
        <v>63</v>
      </c>
      <c r="AF180" s="5">
        <f>VLOOKUP($A180,'SegEnds_NonXtal_Prot#'!$A:$AL,11,FALSE)</f>
        <v>95</v>
      </c>
      <c r="AG180" s="5" t="str">
        <f>VLOOKUP($A180,'SegEnds_NonXtal_Prot#'!$A:$AL,14,FALSE)</f>
        <v>-</v>
      </c>
      <c r="AH180" s="5">
        <f>VLOOKUP($A180,'SegEnds_NonXtal_Prot#'!$A:$AL,17,FALSE)</f>
        <v>144</v>
      </c>
      <c r="AI180" s="5">
        <f>VLOOKUP($A180,'SegEnds_NonXtal_Prot#'!$A:$AL,20,FALSE)</f>
        <v>153</v>
      </c>
      <c r="AJ180" s="5">
        <f>VLOOKUP($A180,'SegEnds_NonXtal_Prot#'!$A:$AL,23,FALSE)</f>
        <v>180</v>
      </c>
      <c r="AK180" s="5" t="str">
        <f>VLOOKUP($A180,'SegEnds_NonXtal_Prot#'!$A:$AL,26,FALSE)</f>
        <v>-</v>
      </c>
      <c r="AL180" s="5">
        <f>VLOOKUP($A180,'SegEnds_NonXtal_Prot#'!$A:$AL,29,FALSE)</f>
        <v>262</v>
      </c>
      <c r="AM180" s="5">
        <f>VLOOKUP($A180,'SegEnds_NonXtal_Prot#'!$A:$AL,32,FALSE)</f>
        <v>310</v>
      </c>
      <c r="AN180" s="5">
        <f>VLOOKUP($A180,'SegEnds_NonXtal_Prot#'!$A:$AL,35,FALSE)</f>
        <v>339</v>
      </c>
      <c r="AO180" s="5">
        <f>VLOOKUP($A180,'SegEnds_NonXtal_Prot#'!$A:$AL,38,FALSE)</f>
        <v>356</v>
      </c>
      <c r="AP180" s="5">
        <f t="shared" si="63"/>
        <v>28</v>
      </c>
      <c r="AQ180" s="4">
        <f t="shared" si="64"/>
        <v>3</v>
      </c>
      <c r="AR180" s="4">
        <f t="shared" si="65"/>
        <v>31</v>
      </c>
      <c r="AS180" s="4" t="str">
        <f t="shared" si="66"/>
        <v>-</v>
      </c>
      <c r="AT180" s="4">
        <f t="shared" si="67"/>
        <v>38</v>
      </c>
      <c r="AU180" s="4">
        <f t="shared" si="68"/>
        <v>7</v>
      </c>
      <c r="AV180" s="4">
        <f t="shared" si="69"/>
        <v>26</v>
      </c>
      <c r="AW180" s="4" t="str">
        <f t="shared" si="70"/>
        <v>-</v>
      </c>
      <c r="AX180" s="4">
        <f t="shared" si="71"/>
        <v>39</v>
      </c>
      <c r="AY180" s="4">
        <f t="shared" si="72"/>
        <v>40</v>
      </c>
      <c r="AZ180" s="4">
        <f t="shared" si="73"/>
        <v>24</v>
      </c>
      <c r="BA180" s="4">
        <f t="shared" si="74"/>
        <v>16</v>
      </c>
    </row>
    <row r="181" spans="1:53" x14ac:dyDescent="0.2">
      <c r="A181" s="1" t="str">
        <f>'SegEnds_NonXtal_Prot#'!A157</f>
        <v>grpr_human</v>
      </c>
      <c r="B181" s="1" t="str">
        <f t="shared" si="50"/>
        <v>VNDDWSHPGILYVIPAVYGVIILIGLIGNITLIKIFCTVNVPNLFISSLALGDLLLLITCAPVDASRYLAGRIGCKLIPFIQLTSVGVSVFTLTALSADRYKAIVRALMKICLKAAFIWIISMLLAIPEAVFSPHSNELHPKIHSMASFLVFYVIPLSIISVYYYFIAKNLIQSAYNLPHVKKQIESRKRLAKTVLVFVGLFAFCWLPNHVIYLYRSYHSMLHFVTSICARLLAFTNSCVNPFALYLLSKSFRKQFNTQLLC</v>
      </c>
      <c r="C181" s="29" t="str">
        <f>IF(ISERROR(MATCH(A181,'SegEnds_Xtal_Prot#'!B:B, 0)), "NoXtal", "Xtal")</f>
        <v>NoXtal</v>
      </c>
      <c r="D181" s="4" t="str">
        <f>VLOOKUP(A181,Classification!A:D,2,FALSE)</f>
        <v>A</v>
      </c>
      <c r="E181" s="5" t="str">
        <f>VLOOKUP(A181,Seqs!A:B,2,FALSE)</f>
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</c>
      <c r="F181" s="5" t="str">
        <f t="shared" si="51"/>
        <v>VNDDWSHPGILYVIPAVYGVIILIGLIGNITLIKIFCTV</v>
      </c>
      <c r="G181" s="4" t="str">
        <f t="shared" si="52"/>
        <v>KSMR</v>
      </c>
      <c r="H181" s="4" t="str">
        <f t="shared" si="53"/>
        <v>NVPNLFISSLALGDLLLLITCAPVDASRYLA</v>
      </c>
      <c r="I181" s="4" t="str">
        <f t="shared" si="54"/>
        <v>RWLF</v>
      </c>
      <c r="J181" s="4" t="str">
        <f t="shared" si="55"/>
        <v>GRIGCKLIPFIQLTSVGVSVFTLTALSADRYKAIVR</v>
      </c>
      <c r="K181" s="4" t="str">
        <f t="shared" si="56"/>
        <v>PMDIQASH</v>
      </c>
      <c r="L181" s="4" t="str">
        <f t="shared" si="57"/>
        <v>ALMKICLKAAFIWIISMLLAIPEAVFS</v>
      </c>
      <c r="M181" s="4" t="str">
        <f t="shared" si="58"/>
        <v>CAP</v>
      </c>
      <c r="N181" s="4" t="str">
        <f t="shared" si="59"/>
        <v>PHSNELHPKIHSMASFLVFYVIPLSIISVYYYFIAKNLIQSAYNLP</v>
      </c>
      <c r="O181" s="4" t="str">
        <f t="shared" si="60"/>
        <v>HVKKQIESRKRLAKTVLVFVGLFAFCWLPNHVIYLYRSYH</v>
      </c>
      <c r="P181" s="4" t="str">
        <f t="shared" si="61"/>
        <v>SMLHFVTSICARLLAFTNSCVNPFALYLL</v>
      </c>
      <c r="Q181" s="4" t="str">
        <f t="shared" si="62"/>
        <v>SKSFRKQFNTQLLC</v>
      </c>
      <c r="R181" s="5">
        <f>VLOOKUP($A181,'SegEnds_NonXtal_Prot#'!$A:$AL,3,FALSE)</f>
        <v>30</v>
      </c>
      <c r="S181" s="5">
        <f>VLOOKUP($A181,'SegEnds_NonXtal_Prot#'!$A:$AL,6,FALSE)</f>
        <v>69</v>
      </c>
      <c r="T181" s="5">
        <f>VLOOKUP($A181,'SegEnds_NonXtal_Prot#'!$A:$AL,9,FALSE)</f>
        <v>73</v>
      </c>
      <c r="U181" s="5">
        <f>VLOOKUP($A181,'SegEnds_NonXtal_Prot#'!$A:$AL,12,FALSE)</f>
        <v>105</v>
      </c>
      <c r="V181" s="5">
        <f>VLOOKUP($A181,'SegEnds_NonXtal_Prot#'!$A:$AL,15,FALSE)</f>
        <v>109</v>
      </c>
      <c r="W181" s="5">
        <f>VLOOKUP($A181,'SegEnds_NonXtal_Prot#'!$A:$AL,18,FALSE)</f>
        <v>145</v>
      </c>
      <c r="X181" s="5">
        <f>VLOOKUP($A181,'SegEnds_NonXtal_Prot#'!$A:$AL,21,FALSE)</f>
        <v>153</v>
      </c>
      <c r="Y181" s="5">
        <f>VLOOKUP($A181,'SegEnds_NonXtal_Prot#'!$A:$AL,24,FALSE)</f>
        <v>196</v>
      </c>
      <c r="Z181" s="5">
        <f>VLOOKUP($A181,'SegEnds_NonXtal_Prot#'!$A:$AL,27,FALSE)</f>
        <v>200</v>
      </c>
      <c r="AA181" s="5">
        <f>VLOOKUP($A181,'SegEnds_NonXtal_Prot#'!$A:$AL,30,FALSE)</f>
        <v>251</v>
      </c>
      <c r="AB181" s="5">
        <f>VLOOKUP($A181,'SegEnds_NonXtal_Prot#'!$A:$AL,33,FALSE)</f>
        <v>297</v>
      </c>
      <c r="AC181" s="5">
        <f>VLOOKUP($A181,'SegEnds_NonXtal_Prot#'!$A:$AL,36,FALSE)</f>
        <v>326</v>
      </c>
      <c r="AD181" s="5">
        <f>VLOOKUP($A181,'SegEnds_NonXtal_Prot#'!$A:$AL,5,FALSE)</f>
        <v>68</v>
      </c>
      <c r="AE181" s="5">
        <f>VLOOKUP($A181,'SegEnds_NonXtal_Prot#'!$A:$AL,8,FALSE)</f>
        <v>72</v>
      </c>
      <c r="AF181" s="5">
        <f>VLOOKUP($A181,'SegEnds_NonXtal_Prot#'!$A:$AL,11,FALSE)</f>
        <v>103</v>
      </c>
      <c r="AG181" s="5">
        <f>VLOOKUP($A181,'SegEnds_NonXtal_Prot#'!$A:$AL,14,FALSE)</f>
        <v>108</v>
      </c>
      <c r="AH181" s="5">
        <f>VLOOKUP($A181,'SegEnds_NonXtal_Prot#'!$A:$AL,17,FALSE)</f>
        <v>144</v>
      </c>
      <c r="AI181" s="5">
        <f>VLOOKUP($A181,'SegEnds_NonXtal_Prot#'!$A:$AL,20,FALSE)</f>
        <v>152</v>
      </c>
      <c r="AJ181" s="5">
        <f>VLOOKUP($A181,'SegEnds_NonXtal_Prot#'!$A:$AL,23,FALSE)</f>
        <v>179</v>
      </c>
      <c r="AK181" s="5">
        <f>VLOOKUP($A181,'SegEnds_NonXtal_Prot#'!$A:$AL,26,FALSE)</f>
        <v>198</v>
      </c>
      <c r="AL181" s="5">
        <f>VLOOKUP($A181,'SegEnds_NonXtal_Prot#'!$A:$AL,29,FALSE)</f>
        <v>245</v>
      </c>
      <c r="AM181" s="5">
        <f>VLOOKUP($A181,'SegEnds_NonXtal_Prot#'!$A:$AL,32,FALSE)</f>
        <v>290</v>
      </c>
      <c r="AN181" s="5">
        <f>VLOOKUP($A181,'SegEnds_NonXtal_Prot#'!$A:$AL,35,FALSE)</f>
        <v>325</v>
      </c>
      <c r="AO181" s="5">
        <f>VLOOKUP($A181,'SegEnds_NonXtal_Prot#'!$A:$AL,38,FALSE)</f>
        <v>339</v>
      </c>
      <c r="AP181" s="5">
        <f t="shared" si="63"/>
        <v>38</v>
      </c>
      <c r="AQ181" s="4">
        <f t="shared" si="64"/>
        <v>3</v>
      </c>
      <c r="AR181" s="4">
        <f t="shared" si="65"/>
        <v>30</v>
      </c>
      <c r="AS181" s="4">
        <f t="shared" si="66"/>
        <v>3</v>
      </c>
      <c r="AT181" s="4">
        <f t="shared" si="67"/>
        <v>35</v>
      </c>
      <c r="AU181" s="4">
        <f t="shared" si="68"/>
        <v>7</v>
      </c>
      <c r="AV181" s="4">
        <f t="shared" si="69"/>
        <v>26</v>
      </c>
      <c r="AW181" s="4">
        <f t="shared" si="70"/>
        <v>2</v>
      </c>
      <c r="AX181" s="4">
        <f t="shared" si="71"/>
        <v>45</v>
      </c>
      <c r="AY181" s="4">
        <f t="shared" si="72"/>
        <v>39</v>
      </c>
      <c r="AZ181" s="4">
        <f t="shared" si="73"/>
        <v>28</v>
      </c>
      <c r="BA181" s="4">
        <f t="shared" si="74"/>
        <v>13</v>
      </c>
    </row>
    <row r="182" spans="1:53" x14ac:dyDescent="0.2">
      <c r="A182" s="1" t="str">
        <f>'SegEnds_NonXtal_Prot#'!A158</f>
        <v>hcar1_human</v>
      </c>
      <c r="B182" s="1" t="str">
        <f t="shared" si="50"/>
        <v>TISQVMPPLLIVAFVLGALGNGVALCGFCFHKPSTVYLFNLAVADFLLMICLPFRTDYYLRGDIPCRVGLFTLAMNRAGSIVFLTVVAADRYFKVVHSTRVAAGIVCTLWALVILGTVYLLLENMESANGWHDIMFQLEFFMPLGIILFCSFKIVWSLRRRQARMKKATRFIMVVAIVFITCYLPSVSARLYFLWTDPSVHGALHITLSFTYMNSMLDPLVYYFSSPSFPKFYNKLKI</v>
      </c>
      <c r="C182" s="29" t="str">
        <f>IF(ISERROR(MATCH(A182,'SegEnds_Xtal_Prot#'!B:B, 0)), "NoXtal", "Xtal")</f>
        <v>NoXtal</v>
      </c>
      <c r="D182" s="4" t="str">
        <f>VLOOKUP(A182,Classification!A:D,2,FALSE)</f>
        <v>A</v>
      </c>
      <c r="E182" s="5" t="str">
        <f>VLOOKUP(A182,Seqs!A:B,2,FALSE)</f>
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</c>
      <c r="F182" s="5" t="str">
        <f t="shared" si="51"/>
        <v>TISQVMPPLLIVAFVLGALGNGVALCGFCFH</v>
      </c>
      <c r="G182" s="4" t="str">
        <f t="shared" si="52"/>
        <v/>
      </c>
      <c r="H182" s="4" t="str">
        <f t="shared" si="53"/>
        <v>KPSTVYLFNLAVADFLLMICLPFRTDYYLR</v>
      </c>
      <c r="I182" s="4" t="str">
        <f t="shared" si="54"/>
        <v>HWAF</v>
      </c>
      <c r="J182" s="4" t="str">
        <f t="shared" si="55"/>
        <v>GDIPCRVGLFTLAMNRAGSIVFLTVVAADRYFKVVH</v>
      </c>
      <c r="K182" s="4" t="str">
        <f t="shared" si="56"/>
        <v>PHHAVNTI</v>
      </c>
      <c r="L182" s="4" t="str">
        <f t="shared" si="57"/>
        <v>STRVAAGIVCTLWALVILGTVYLLLEN</v>
      </c>
      <c r="M182" s="4" t="str">
        <f t="shared" si="58"/>
        <v>CES</v>
      </c>
      <c r="N182" s="4" t="str">
        <f t="shared" si="59"/>
        <v>MESANGWHDIMFQLEFFMPLGIILFCSFKIVWSLRR</v>
      </c>
      <c r="O182" s="4" t="str">
        <f t="shared" si="60"/>
        <v>RQARMKKATRFIMVVAIVFITCYLPSVSARLYFLWT</v>
      </c>
      <c r="P182" s="4" t="str">
        <f t="shared" si="61"/>
        <v>DPSVHGALHITLSFTYMNSMLDPLVYYFS</v>
      </c>
      <c r="Q182" s="4" t="str">
        <f t="shared" si="62"/>
        <v>SPSFPKFYNKLKI</v>
      </c>
      <c r="R182" s="5">
        <f>VLOOKUP($A182,'SegEnds_NonXtal_Prot#'!$A:$AL,3,FALSE)</f>
        <v>13</v>
      </c>
      <c r="S182" s="5" t="str">
        <f>VLOOKUP($A182,'SegEnds_NonXtal_Prot#'!$A:$AL,6,FALSE)</f>
        <v>-</v>
      </c>
      <c r="T182" s="5">
        <f>VLOOKUP($A182,'SegEnds_NonXtal_Prot#'!$A:$AL,9,FALSE)</f>
        <v>48</v>
      </c>
      <c r="U182" s="5">
        <f>VLOOKUP($A182,'SegEnds_NonXtal_Prot#'!$A:$AL,12,FALSE)</f>
        <v>80</v>
      </c>
      <c r="V182" s="5">
        <f>VLOOKUP($A182,'SegEnds_NonXtal_Prot#'!$A:$AL,15,FALSE)</f>
        <v>84</v>
      </c>
      <c r="W182" s="5">
        <f>VLOOKUP($A182,'SegEnds_NonXtal_Prot#'!$A:$AL,18,FALSE)</f>
        <v>120</v>
      </c>
      <c r="X182" s="5">
        <f>VLOOKUP($A182,'SegEnds_NonXtal_Prot#'!$A:$AL,21,FALSE)</f>
        <v>128</v>
      </c>
      <c r="Y182" s="5">
        <f>VLOOKUP($A182,'SegEnds_NonXtal_Prot#'!$A:$AL,24,FALSE)</f>
        <v>165</v>
      </c>
      <c r="Z182" s="5">
        <f>VLOOKUP($A182,'SegEnds_NonXtal_Prot#'!$A:$AL,27,FALSE)</f>
        <v>170</v>
      </c>
      <c r="AA182" s="5">
        <f>VLOOKUP($A182,'SegEnds_NonXtal_Prot#'!$A:$AL,30,FALSE)</f>
        <v>211</v>
      </c>
      <c r="AB182" s="5">
        <f>VLOOKUP($A182,'SegEnds_NonXtal_Prot#'!$A:$AL,33,FALSE)</f>
        <v>253</v>
      </c>
      <c r="AC182" s="5">
        <f>VLOOKUP($A182,'SegEnds_NonXtal_Prot#'!$A:$AL,36,FALSE)</f>
        <v>282</v>
      </c>
      <c r="AD182" s="5">
        <f>VLOOKUP($A182,'SegEnds_NonXtal_Prot#'!$A:$AL,5,FALSE)</f>
        <v>43</v>
      </c>
      <c r="AE182" s="5" t="str">
        <f>VLOOKUP($A182,'SegEnds_NonXtal_Prot#'!$A:$AL,8,FALSE)</f>
        <v>-</v>
      </c>
      <c r="AF182" s="5">
        <f>VLOOKUP($A182,'SegEnds_NonXtal_Prot#'!$A:$AL,11,FALSE)</f>
        <v>77</v>
      </c>
      <c r="AG182" s="5">
        <f>VLOOKUP($A182,'SegEnds_NonXtal_Prot#'!$A:$AL,14,FALSE)</f>
        <v>83</v>
      </c>
      <c r="AH182" s="5">
        <f>VLOOKUP($A182,'SegEnds_NonXtal_Prot#'!$A:$AL,17,FALSE)</f>
        <v>119</v>
      </c>
      <c r="AI182" s="5">
        <f>VLOOKUP($A182,'SegEnds_NonXtal_Prot#'!$A:$AL,20,FALSE)</f>
        <v>127</v>
      </c>
      <c r="AJ182" s="5">
        <f>VLOOKUP($A182,'SegEnds_NonXtal_Prot#'!$A:$AL,23,FALSE)</f>
        <v>154</v>
      </c>
      <c r="AK182" s="5">
        <f>VLOOKUP($A182,'SegEnds_NonXtal_Prot#'!$A:$AL,26,FALSE)</f>
        <v>167</v>
      </c>
      <c r="AL182" s="5">
        <f>VLOOKUP($A182,'SegEnds_NonXtal_Prot#'!$A:$AL,29,FALSE)</f>
        <v>205</v>
      </c>
      <c r="AM182" s="5">
        <f>VLOOKUP($A182,'SegEnds_NonXtal_Prot#'!$A:$AL,32,FALSE)</f>
        <v>246</v>
      </c>
      <c r="AN182" s="5">
        <f>VLOOKUP($A182,'SegEnds_NonXtal_Prot#'!$A:$AL,35,FALSE)</f>
        <v>281</v>
      </c>
      <c r="AO182" s="5">
        <f>VLOOKUP($A182,'SegEnds_NonXtal_Prot#'!$A:$AL,38,FALSE)</f>
        <v>294</v>
      </c>
      <c r="AP182" s="5">
        <f t="shared" si="63"/>
        <v>30</v>
      </c>
      <c r="AQ182" s="4" t="str">
        <f t="shared" si="64"/>
        <v>-</v>
      </c>
      <c r="AR182" s="4">
        <f t="shared" si="65"/>
        <v>29</v>
      </c>
      <c r="AS182" s="4">
        <f t="shared" si="66"/>
        <v>3</v>
      </c>
      <c r="AT182" s="4">
        <f t="shared" si="67"/>
        <v>35</v>
      </c>
      <c r="AU182" s="4">
        <f t="shared" si="68"/>
        <v>7</v>
      </c>
      <c r="AV182" s="4">
        <f t="shared" si="69"/>
        <v>26</v>
      </c>
      <c r="AW182" s="4">
        <f t="shared" si="70"/>
        <v>2</v>
      </c>
      <c r="AX182" s="4">
        <f t="shared" si="71"/>
        <v>35</v>
      </c>
      <c r="AY182" s="4">
        <f t="shared" si="72"/>
        <v>35</v>
      </c>
      <c r="AZ182" s="4">
        <f t="shared" si="73"/>
        <v>28</v>
      </c>
      <c r="BA182" s="4">
        <f t="shared" si="74"/>
        <v>12</v>
      </c>
    </row>
    <row r="183" spans="1:53" x14ac:dyDescent="0.2">
      <c r="A183" s="1" t="str">
        <f>'SegEnds_NonXtal_Prot#'!A160</f>
        <v>hcar3_human</v>
      </c>
      <c r="B183" s="1" t="str">
        <f t="shared" si="50"/>
        <v>FIAKVLPPVLGLEFIFGLLGNGLALWIFCFHKSSRIFLFNLAVADFLLIICLPFVMDYYVRGDIPCRLVLFMFAMNRQGSIIFLTVVAVDRYFRVVHSNWTAAIISCLLWGITVGLTVHLLKKKICHTFRWHEAMFLLEFFLPLGIILFCSARIIWSLRQRHAKIKRAITFIMVVAIVFVICFLPSVVVRIHIFWLLHTNCEVYRSVDLAFFITLSFTYMNSMLDPVVYYFSSPSFPNFFSTLIN</v>
      </c>
      <c r="C183" s="29" t="str">
        <f>IF(ISERROR(MATCH(A183,'SegEnds_Xtal_Prot#'!B:B, 0)), "NoXtal", "Xtal")</f>
        <v>NoXtal</v>
      </c>
      <c r="D183" s="4" t="str">
        <f>VLOOKUP(A183,Classification!A:D,2,FALSE)</f>
        <v>A</v>
      </c>
      <c r="E183" s="5" t="str">
        <f>VLOOKUP(A183,Seqs!A:B,2,FALSE)</f>
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</c>
      <c r="F183" s="5" t="str">
        <f t="shared" si="51"/>
        <v>FIAKVLPPVLGLEFIFGLLGNGLALWIFCFH</v>
      </c>
      <c r="G183" s="4" t="str">
        <f t="shared" si="52"/>
        <v/>
      </c>
      <c r="H183" s="4" t="str">
        <f t="shared" si="53"/>
        <v>KSSRIFLFNLAVADFLLIICLPFVMDYYVR</v>
      </c>
      <c r="I183" s="4" t="str">
        <f t="shared" si="54"/>
        <v>DWKF</v>
      </c>
      <c r="J183" s="4" t="str">
        <f t="shared" si="55"/>
        <v>GDIPCRLVLFMFAMNRQGSIIFLTVVAVDRYFRVVH</v>
      </c>
      <c r="K183" s="4" t="str">
        <f t="shared" si="56"/>
        <v>PHHALNKI</v>
      </c>
      <c r="L183" s="4" t="str">
        <f t="shared" si="57"/>
        <v>SNWTAAIISCLLWGITVGLTVHLLKKK</v>
      </c>
      <c r="M183" s="4" t="str">
        <f t="shared" si="58"/>
        <v>CIS</v>
      </c>
      <c r="N183" s="4" t="str">
        <f t="shared" si="59"/>
        <v>ICHTFRWHEAMFLLEFFLPLGIILFCSARIIWSLRQ</v>
      </c>
      <c r="O183" s="4" t="str">
        <f t="shared" si="60"/>
        <v>RHAKIKRAITFIMVVAIVFVICFLPSVVVRIHIFWLLHT</v>
      </c>
      <c r="P183" s="4" t="str">
        <f t="shared" si="61"/>
        <v>NCEVYRSVDLAFFITLSFTYMNSMLDPVVYYFS</v>
      </c>
      <c r="Q183" s="4" t="str">
        <f t="shared" si="62"/>
        <v>SPSFPNFFSTLIN</v>
      </c>
      <c r="R183" s="5">
        <f>VLOOKUP($A183,'SegEnds_NonXtal_Prot#'!$A:$AL,3,FALSE)</f>
        <v>25</v>
      </c>
      <c r="S183" s="5" t="str">
        <f>VLOOKUP($A183,'SegEnds_NonXtal_Prot#'!$A:$AL,6,FALSE)</f>
        <v>-</v>
      </c>
      <c r="T183" s="5">
        <f>VLOOKUP($A183,'SegEnds_NonXtal_Prot#'!$A:$AL,9,FALSE)</f>
        <v>60</v>
      </c>
      <c r="U183" s="5">
        <f>VLOOKUP($A183,'SegEnds_NonXtal_Prot#'!$A:$AL,12,FALSE)</f>
        <v>92</v>
      </c>
      <c r="V183" s="5">
        <f>VLOOKUP($A183,'SegEnds_NonXtal_Prot#'!$A:$AL,15,FALSE)</f>
        <v>96</v>
      </c>
      <c r="W183" s="5">
        <f>VLOOKUP($A183,'SegEnds_NonXtal_Prot#'!$A:$AL,18,FALSE)</f>
        <v>132</v>
      </c>
      <c r="X183" s="5">
        <f>VLOOKUP($A183,'SegEnds_NonXtal_Prot#'!$A:$AL,21,FALSE)</f>
        <v>140</v>
      </c>
      <c r="Y183" s="5">
        <f>VLOOKUP($A183,'SegEnds_NonXtal_Prot#'!$A:$AL,24,FALSE)</f>
        <v>177</v>
      </c>
      <c r="Z183" s="5">
        <f>VLOOKUP($A183,'SegEnds_NonXtal_Prot#'!$A:$AL,27,FALSE)</f>
        <v>182</v>
      </c>
      <c r="AA183" s="5">
        <f>VLOOKUP($A183,'SegEnds_NonXtal_Prot#'!$A:$AL,30,FALSE)</f>
        <v>222</v>
      </c>
      <c r="AB183" s="5">
        <f>VLOOKUP($A183,'SegEnds_NonXtal_Prot#'!$A:$AL,33,FALSE)</f>
        <v>265</v>
      </c>
      <c r="AC183" s="5">
        <f>VLOOKUP($A183,'SegEnds_NonXtal_Prot#'!$A:$AL,36,FALSE)</f>
        <v>298</v>
      </c>
      <c r="AD183" s="5">
        <f>VLOOKUP($A183,'SegEnds_NonXtal_Prot#'!$A:$AL,5,FALSE)</f>
        <v>55</v>
      </c>
      <c r="AE183" s="5" t="str">
        <f>VLOOKUP($A183,'SegEnds_NonXtal_Prot#'!$A:$AL,8,FALSE)</f>
        <v>-</v>
      </c>
      <c r="AF183" s="5">
        <f>VLOOKUP($A183,'SegEnds_NonXtal_Prot#'!$A:$AL,11,FALSE)</f>
        <v>89</v>
      </c>
      <c r="AG183" s="5">
        <f>VLOOKUP($A183,'SegEnds_NonXtal_Prot#'!$A:$AL,14,FALSE)</f>
        <v>95</v>
      </c>
      <c r="AH183" s="5">
        <f>VLOOKUP($A183,'SegEnds_NonXtal_Prot#'!$A:$AL,17,FALSE)</f>
        <v>131</v>
      </c>
      <c r="AI183" s="5">
        <f>VLOOKUP($A183,'SegEnds_NonXtal_Prot#'!$A:$AL,20,FALSE)</f>
        <v>139</v>
      </c>
      <c r="AJ183" s="5">
        <f>VLOOKUP($A183,'SegEnds_NonXtal_Prot#'!$A:$AL,23,FALSE)</f>
        <v>166</v>
      </c>
      <c r="AK183" s="5">
        <f>VLOOKUP($A183,'SegEnds_NonXtal_Prot#'!$A:$AL,26,FALSE)</f>
        <v>179</v>
      </c>
      <c r="AL183" s="5">
        <f>VLOOKUP($A183,'SegEnds_NonXtal_Prot#'!$A:$AL,29,FALSE)</f>
        <v>217</v>
      </c>
      <c r="AM183" s="5">
        <f>VLOOKUP($A183,'SegEnds_NonXtal_Prot#'!$A:$AL,32,FALSE)</f>
        <v>260</v>
      </c>
      <c r="AN183" s="5">
        <f>VLOOKUP($A183,'SegEnds_NonXtal_Prot#'!$A:$AL,35,FALSE)</f>
        <v>297</v>
      </c>
      <c r="AO183" s="5">
        <f>VLOOKUP($A183,'SegEnds_NonXtal_Prot#'!$A:$AL,38,FALSE)</f>
        <v>310</v>
      </c>
      <c r="AP183" s="5">
        <f t="shared" si="63"/>
        <v>30</v>
      </c>
      <c r="AQ183" s="4" t="str">
        <f t="shared" si="64"/>
        <v>-</v>
      </c>
      <c r="AR183" s="4">
        <f t="shared" si="65"/>
        <v>29</v>
      </c>
      <c r="AS183" s="4">
        <f t="shared" si="66"/>
        <v>3</v>
      </c>
      <c r="AT183" s="4">
        <f t="shared" si="67"/>
        <v>35</v>
      </c>
      <c r="AU183" s="4">
        <f t="shared" si="68"/>
        <v>7</v>
      </c>
      <c r="AV183" s="4">
        <f t="shared" si="69"/>
        <v>26</v>
      </c>
      <c r="AW183" s="4">
        <f t="shared" si="70"/>
        <v>2</v>
      </c>
      <c r="AX183" s="4">
        <f t="shared" si="71"/>
        <v>35</v>
      </c>
      <c r="AY183" s="4">
        <f t="shared" si="72"/>
        <v>38</v>
      </c>
      <c r="AZ183" s="4">
        <f t="shared" si="73"/>
        <v>32</v>
      </c>
      <c r="BA183" s="4">
        <f t="shared" si="74"/>
        <v>12</v>
      </c>
    </row>
    <row r="184" spans="1:53" x14ac:dyDescent="0.2">
      <c r="A184" s="1" t="str">
        <f>'SegEnds_NonXtal_Prot#'!A161</f>
        <v>hrh1_human</v>
      </c>
      <c r="B184" s="1" t="str">
        <f t="shared" si="50"/>
        <v>PLVVVLSTICLVTVGLNLLVLYAVRSETVGNLYIVSLSVADLIVGAVVMPMNILYLLMGRPLCLFWLSMDYVASTASIFSVFILCIDRYRSVQQTKTRASATILGAWFLSFLWVIPILGVTWFKVMTAIINFYLPTLLMLWFYAKIYKAVRQHCQHRELINGLHMNRERKAAKQLGFIMAAFILCWIPYFIFFMVIAFCNEHLHMFTIWLGYINSTLNPLIYPLCNENFKKTFKRILH</v>
      </c>
      <c r="C184" s="29" t="str">
        <f>IF(ISERROR(MATCH(A184,'SegEnds_Xtal_Prot#'!B:B, 0)), "NoXtal", "Xtal")</f>
        <v>Xtal</v>
      </c>
      <c r="D184" s="4" t="str">
        <f>VLOOKUP(A184,Classification!A:D,2,FALSE)</f>
        <v>A</v>
      </c>
      <c r="E184" s="5" t="str">
        <f>VLOOKUP(A184,Seqs!A:B,2,FALSE)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F184" s="5" t="str">
        <f t="shared" si="51"/>
        <v>PLVVVLSTICLVTVGLNLLVLYAVRSE</v>
      </c>
      <c r="G184" s="4" t="str">
        <f t="shared" si="52"/>
        <v>RKLH</v>
      </c>
      <c r="H184" s="4" t="str">
        <f t="shared" si="53"/>
        <v>TVGNLYIVSLSVADLIVGAVVMPMNILYLLM</v>
      </c>
      <c r="I184" s="4" t="str">
        <f t="shared" si="54"/>
        <v>KWSL</v>
      </c>
      <c r="J184" s="4" t="str">
        <f t="shared" si="55"/>
        <v>GRPLCLFWLSMDYVASTASIFSVFILCIDRYRSVQQ</v>
      </c>
      <c r="K184" s="4" t="str">
        <f t="shared" si="56"/>
        <v>PLRYLKYR</v>
      </c>
      <c r="L184" s="4" t="str">
        <f t="shared" si="57"/>
        <v>TKTRASATILGAWFLSFLWVIPILG</v>
      </c>
      <c r="M184" s="4" t="str">
        <f t="shared" si="58"/>
        <v>CET</v>
      </c>
      <c r="N184" s="4" t="str">
        <f t="shared" si="59"/>
        <v>VTWFKVMTAIINFYLPTLLMLWFYAKIYKAVRQHCQHRELIN</v>
      </c>
      <c r="O184" s="4" t="str">
        <f t="shared" si="60"/>
        <v>GLHMNRERKAAKQLGFIMAAFILCWIPYFIFFMVIAFC</v>
      </c>
      <c r="P184" s="4" t="str">
        <f t="shared" si="61"/>
        <v>NEHLHMFTIWLGYINSTLNPLIYPLC</v>
      </c>
      <c r="Q184" s="4" t="str">
        <f t="shared" si="62"/>
        <v>NENFKKTFKRILH</v>
      </c>
      <c r="R184" s="5">
        <f>VLOOKUP($A184,'SegEnds_NonXtal_Prot#'!$A:$AL,3,FALSE)</f>
        <v>29</v>
      </c>
      <c r="S184" s="5">
        <f>VLOOKUP($A184,'SegEnds_NonXtal_Prot#'!$A:$AL,6,FALSE)</f>
        <v>56</v>
      </c>
      <c r="T184" s="5">
        <f>VLOOKUP($A184,'SegEnds_NonXtal_Prot#'!$A:$AL,9,FALSE)</f>
        <v>60</v>
      </c>
      <c r="U184" s="5">
        <f>VLOOKUP($A184,'SegEnds_NonXtal_Prot#'!$A:$AL,12,FALSE)</f>
        <v>92</v>
      </c>
      <c r="V184" s="5">
        <f>VLOOKUP($A184,'SegEnds_NonXtal_Prot#'!$A:$AL,15,FALSE)</f>
        <v>96</v>
      </c>
      <c r="W184" s="5">
        <f>VLOOKUP($A184,'SegEnds_NonXtal_Prot#'!$A:$AL,18,FALSE)</f>
        <v>132</v>
      </c>
      <c r="X184" s="5">
        <f>VLOOKUP($A184,'SegEnds_NonXtal_Prot#'!$A:$AL,21,FALSE)</f>
        <v>140</v>
      </c>
      <c r="Y184" s="5">
        <f>VLOOKUP($A184,'SegEnds_NonXtal_Prot#'!$A:$AL,24,FALSE)</f>
        <v>180</v>
      </c>
      <c r="Z184" s="5">
        <f>VLOOKUP($A184,'SegEnds_NonXtal_Prot#'!$A:$AL,27,FALSE)</f>
        <v>187</v>
      </c>
      <c r="AA184" s="5">
        <f>VLOOKUP($A184,'SegEnds_NonXtal_Prot#'!$A:$AL,30,FALSE)</f>
        <v>404</v>
      </c>
      <c r="AB184" s="5">
        <f>VLOOKUP($A184,'SegEnds_NonXtal_Prot#'!$A:$AL,33,FALSE)</f>
        <v>446</v>
      </c>
      <c r="AC184" s="5">
        <f>VLOOKUP($A184,'SegEnds_NonXtal_Prot#'!$A:$AL,36,FALSE)</f>
        <v>472</v>
      </c>
      <c r="AD184" s="5">
        <f>VLOOKUP($A184,'SegEnds_NonXtal_Prot#'!$A:$AL,5,FALSE)</f>
        <v>55</v>
      </c>
      <c r="AE184" s="5">
        <f>VLOOKUP($A184,'SegEnds_NonXtal_Prot#'!$A:$AL,8,FALSE)</f>
        <v>59</v>
      </c>
      <c r="AF184" s="5">
        <f>VLOOKUP($A184,'SegEnds_NonXtal_Prot#'!$A:$AL,11,FALSE)</f>
        <v>90</v>
      </c>
      <c r="AG184" s="5">
        <f>VLOOKUP($A184,'SegEnds_NonXtal_Prot#'!$A:$AL,14,FALSE)</f>
        <v>95</v>
      </c>
      <c r="AH184" s="5">
        <f>VLOOKUP($A184,'SegEnds_NonXtal_Prot#'!$A:$AL,17,FALSE)</f>
        <v>131</v>
      </c>
      <c r="AI184" s="5">
        <f>VLOOKUP($A184,'SegEnds_NonXtal_Prot#'!$A:$AL,20,FALSE)</f>
        <v>139</v>
      </c>
      <c r="AJ184" s="5">
        <f>VLOOKUP($A184,'SegEnds_NonXtal_Prot#'!$A:$AL,23,FALSE)</f>
        <v>164</v>
      </c>
      <c r="AK184" s="5">
        <f>VLOOKUP($A184,'SegEnds_NonXtal_Prot#'!$A:$AL,26,FALSE)</f>
        <v>182</v>
      </c>
      <c r="AL184" s="5">
        <f>VLOOKUP($A184,'SegEnds_NonXtal_Prot#'!$A:$AL,29,FALSE)</f>
        <v>228</v>
      </c>
      <c r="AM184" s="5">
        <f>VLOOKUP($A184,'SegEnds_NonXtal_Prot#'!$A:$AL,32,FALSE)</f>
        <v>441</v>
      </c>
      <c r="AN184" s="5">
        <f>VLOOKUP($A184,'SegEnds_NonXtal_Prot#'!$A:$AL,35,FALSE)</f>
        <v>471</v>
      </c>
      <c r="AO184" s="5">
        <f>VLOOKUP($A184,'SegEnds_NonXtal_Prot#'!$A:$AL,38,FALSE)</f>
        <v>484</v>
      </c>
      <c r="AP184" s="5">
        <f t="shared" si="63"/>
        <v>26</v>
      </c>
      <c r="AQ184" s="4">
        <f t="shared" si="64"/>
        <v>3</v>
      </c>
      <c r="AR184" s="4">
        <f t="shared" si="65"/>
        <v>30</v>
      </c>
      <c r="AS184" s="4">
        <f t="shared" si="66"/>
        <v>3</v>
      </c>
      <c r="AT184" s="4">
        <f t="shared" si="67"/>
        <v>35</v>
      </c>
      <c r="AU184" s="4">
        <f t="shared" si="68"/>
        <v>7</v>
      </c>
      <c r="AV184" s="4">
        <f t="shared" si="69"/>
        <v>24</v>
      </c>
      <c r="AW184" s="4">
        <f t="shared" si="70"/>
        <v>2</v>
      </c>
      <c r="AX184" s="4">
        <f t="shared" si="71"/>
        <v>41</v>
      </c>
      <c r="AY184" s="4">
        <f t="shared" si="72"/>
        <v>37</v>
      </c>
      <c r="AZ184" s="4">
        <f t="shared" si="73"/>
        <v>25</v>
      </c>
      <c r="BA184" s="4">
        <f t="shared" si="74"/>
        <v>12</v>
      </c>
    </row>
    <row r="185" spans="1:53" x14ac:dyDescent="0.2">
      <c r="A185" s="1" t="str">
        <f>'SegEnds_NonXtal_Prot#'!A162</f>
        <v>hrh2_human</v>
      </c>
      <c r="B185" s="1" t="str">
        <f t="shared" si="50"/>
        <v>CLDSTACKITITVVLAVLILITVAGNVVVCLAVGLNNLTNCFIVSLAITDLLLGLLVLPFSAIYQLSGKVFCNIYTSLDVMLCTASILNLFMISLDRYCAVMDTPVRVAISLVLIWVISITLSFLSIHLGNEVYGLVDGLVTFYLPLLIMCITYYRIFKVARDQAKRINSWKAATIREHKATVTLAAVMGAFIICWFPYFTAFVYRGLRNEVLEAIVLWLGYANSALNPILYAALNRDFRTGYQQLFC</v>
      </c>
      <c r="C185" s="29" t="str">
        <f>IF(ISERROR(MATCH(A185,'SegEnds_Xtal_Prot#'!B:B, 0)), "NoXtal", "Xtal")</f>
        <v>NoXtal</v>
      </c>
      <c r="D185" s="4" t="str">
        <f>VLOOKUP(A185,Classification!A:D,2,FALSE)</f>
        <v>A</v>
      </c>
      <c r="E185" s="5" t="str">
        <f>VLOOKUP(A185,Seqs!A:B,2,FALSE)</f>
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</c>
      <c r="F185" s="5" t="str">
        <f t="shared" si="51"/>
        <v>CLDSTACKITITVVLAVLILITVAGNVVVCLAVGLN</v>
      </c>
      <c r="G185" s="4" t="str">
        <f t="shared" si="52"/>
        <v>RRLR</v>
      </c>
      <c r="H185" s="4" t="str">
        <f t="shared" si="53"/>
        <v>NLTNCFIVSLAITDLLLGLLVLPFSAIYQLS</v>
      </c>
      <c r="I185" s="4" t="str">
        <f t="shared" si="54"/>
        <v>KWSF</v>
      </c>
      <c r="J185" s="4" t="str">
        <f t="shared" si="55"/>
        <v>GKVFCNIYTSLDVMLCTASILNLFMISLDRYCAVMD</v>
      </c>
      <c r="K185" s="4" t="str">
        <f t="shared" si="56"/>
        <v>PLRYPVLV</v>
      </c>
      <c r="L185" s="4" t="str">
        <f t="shared" si="57"/>
        <v>TPVRVAISLVLIWVISITLSFLSIHLG</v>
      </c>
      <c r="M185" s="4" t="str">
        <f t="shared" si="58"/>
        <v>CKV</v>
      </c>
      <c r="N185" s="4" t="str">
        <f t="shared" si="59"/>
        <v>NEVYGLVDGLVTFYLPLLIMCITYYRIFKVARDQAKRIN</v>
      </c>
      <c r="O185" s="4" t="str">
        <f t="shared" si="60"/>
        <v>SWKAATIREHKATVTLAAVMGAFIICWFPYFTAFVYRGLR</v>
      </c>
      <c r="P185" s="4" t="str">
        <f t="shared" si="61"/>
        <v>NEVLEAIVLWLGYANSALNPILYAAL</v>
      </c>
      <c r="Q185" s="4" t="str">
        <f t="shared" si="62"/>
        <v>NRDFRTGYQQLFC</v>
      </c>
      <c r="R185" s="5">
        <f>VLOOKUP($A185,'SegEnds_NonXtal_Prot#'!$A:$AL,3,FALSE)</f>
        <v>11</v>
      </c>
      <c r="S185" s="5">
        <f>VLOOKUP($A185,'SegEnds_NonXtal_Prot#'!$A:$AL,6,FALSE)</f>
        <v>47</v>
      </c>
      <c r="T185" s="5">
        <f>VLOOKUP($A185,'SegEnds_NonXtal_Prot#'!$A:$AL,9,FALSE)</f>
        <v>51</v>
      </c>
      <c r="U185" s="5">
        <f>VLOOKUP($A185,'SegEnds_NonXtal_Prot#'!$A:$AL,12,FALSE)</f>
        <v>83</v>
      </c>
      <c r="V185" s="5">
        <f>VLOOKUP($A185,'SegEnds_NonXtal_Prot#'!$A:$AL,15,FALSE)</f>
        <v>87</v>
      </c>
      <c r="W185" s="5">
        <f>VLOOKUP($A185,'SegEnds_NonXtal_Prot#'!$A:$AL,18,FALSE)</f>
        <v>123</v>
      </c>
      <c r="X185" s="5">
        <f>VLOOKUP($A185,'SegEnds_NonXtal_Prot#'!$A:$AL,21,FALSE)</f>
        <v>131</v>
      </c>
      <c r="Y185" s="5">
        <f>VLOOKUP($A185,'SegEnds_NonXtal_Prot#'!$A:$AL,24,FALSE)</f>
        <v>174</v>
      </c>
      <c r="Z185" s="5">
        <f>VLOOKUP($A185,'SegEnds_NonXtal_Prot#'!$A:$AL,27,FALSE)</f>
        <v>179</v>
      </c>
      <c r="AA185" s="5">
        <f>VLOOKUP($A185,'SegEnds_NonXtal_Prot#'!$A:$AL,30,FALSE)</f>
        <v>221</v>
      </c>
      <c r="AB185" s="5">
        <f>VLOOKUP($A185,'SegEnds_NonXtal_Prot#'!$A:$AL,33,FALSE)</f>
        <v>266</v>
      </c>
      <c r="AC185" s="5">
        <f>VLOOKUP($A185,'SegEnds_NonXtal_Prot#'!$A:$AL,36,FALSE)</f>
        <v>292</v>
      </c>
      <c r="AD185" s="5">
        <f>VLOOKUP($A185,'SegEnds_NonXtal_Prot#'!$A:$AL,5,FALSE)</f>
        <v>46</v>
      </c>
      <c r="AE185" s="5">
        <f>VLOOKUP($A185,'SegEnds_NonXtal_Prot#'!$A:$AL,8,FALSE)</f>
        <v>50</v>
      </c>
      <c r="AF185" s="5">
        <f>VLOOKUP($A185,'SegEnds_NonXtal_Prot#'!$A:$AL,11,FALSE)</f>
        <v>81</v>
      </c>
      <c r="AG185" s="5">
        <f>VLOOKUP($A185,'SegEnds_NonXtal_Prot#'!$A:$AL,14,FALSE)</f>
        <v>86</v>
      </c>
      <c r="AH185" s="5">
        <f>VLOOKUP($A185,'SegEnds_NonXtal_Prot#'!$A:$AL,17,FALSE)</f>
        <v>122</v>
      </c>
      <c r="AI185" s="5">
        <f>VLOOKUP($A185,'SegEnds_NonXtal_Prot#'!$A:$AL,20,FALSE)</f>
        <v>130</v>
      </c>
      <c r="AJ185" s="5">
        <f>VLOOKUP($A185,'SegEnds_NonXtal_Prot#'!$A:$AL,23,FALSE)</f>
        <v>157</v>
      </c>
      <c r="AK185" s="5">
        <f>VLOOKUP($A185,'SegEnds_NonXtal_Prot#'!$A:$AL,26,FALSE)</f>
        <v>176</v>
      </c>
      <c r="AL185" s="5">
        <f>VLOOKUP($A185,'SegEnds_NonXtal_Prot#'!$A:$AL,29,FALSE)</f>
        <v>217</v>
      </c>
      <c r="AM185" s="5">
        <f>VLOOKUP($A185,'SegEnds_NonXtal_Prot#'!$A:$AL,32,FALSE)</f>
        <v>260</v>
      </c>
      <c r="AN185" s="5">
        <f>VLOOKUP($A185,'SegEnds_NonXtal_Prot#'!$A:$AL,35,FALSE)</f>
        <v>291</v>
      </c>
      <c r="AO185" s="5">
        <f>VLOOKUP($A185,'SegEnds_NonXtal_Prot#'!$A:$AL,38,FALSE)</f>
        <v>304</v>
      </c>
      <c r="AP185" s="5">
        <f t="shared" si="63"/>
        <v>35</v>
      </c>
      <c r="AQ185" s="4">
        <f t="shared" si="64"/>
        <v>3</v>
      </c>
      <c r="AR185" s="4">
        <f t="shared" si="65"/>
        <v>30</v>
      </c>
      <c r="AS185" s="4">
        <f t="shared" si="66"/>
        <v>3</v>
      </c>
      <c r="AT185" s="4">
        <f t="shared" si="67"/>
        <v>35</v>
      </c>
      <c r="AU185" s="4">
        <f t="shared" si="68"/>
        <v>7</v>
      </c>
      <c r="AV185" s="4">
        <f t="shared" si="69"/>
        <v>26</v>
      </c>
      <c r="AW185" s="4">
        <f t="shared" si="70"/>
        <v>2</v>
      </c>
      <c r="AX185" s="4">
        <f t="shared" si="71"/>
        <v>38</v>
      </c>
      <c r="AY185" s="4">
        <f t="shared" si="72"/>
        <v>39</v>
      </c>
      <c r="AZ185" s="4">
        <f t="shared" si="73"/>
        <v>25</v>
      </c>
      <c r="BA185" s="4">
        <f t="shared" si="74"/>
        <v>12</v>
      </c>
    </row>
    <row r="186" spans="1:53" x14ac:dyDescent="0.2">
      <c r="A186" s="1" t="str">
        <f>'SegEnds_NonXtal_Prot#'!A163</f>
        <v>kissr_human</v>
      </c>
      <c r="B186" s="1" t="str">
        <f t="shared" si="50"/>
        <v>VDAWLVPLFFAALMLLGLVGNSLVIYVICRHTVTNFYIANLAATDVTFLLCCVPFTALLYPLGDFMCKFVNYIQQVSVQATCATLTAMSVDRWYVTVFTPRLALAVSLSIWVGSAAVSAPVLALHPSRALERAFALYNLLALYLLPLLATCACYAAMLRHLGRVAVRPAPVLAERAGAVRAKVSRLVAAVVLLFAACWGPIQLFLVLQALGSYAAYALKTWAHCMSYSNSALNPLLYAFLGSHFRQAFRRVCP</v>
      </c>
      <c r="C186" s="29" t="str">
        <f>IF(ISERROR(MATCH(A186,'SegEnds_Xtal_Prot#'!B:B, 0)), "NoXtal", "Xtal")</f>
        <v>NoXtal</v>
      </c>
      <c r="D186" s="4" t="str">
        <f>VLOOKUP(A186,Classification!A:D,2,FALSE)</f>
        <v>A</v>
      </c>
      <c r="E186" s="5" t="str">
        <f>VLOOKUP(A186,Seqs!A:B,2,FALSE)</f>
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</c>
      <c r="F186" s="5" t="str">
        <f t="shared" si="51"/>
        <v>VDAWLVPLFFAALMLLGLVGNSLVIYVICRH</v>
      </c>
      <c r="G186" s="4" t="str">
        <f t="shared" si="52"/>
        <v>KPMR</v>
      </c>
      <c r="H186" s="4" t="str">
        <f t="shared" si="53"/>
        <v>TVTNFYIANLAATDVTFLLCCVPFTALLYPL</v>
      </c>
      <c r="I186" s="4" t="str">
        <f t="shared" si="54"/>
        <v>GWVL</v>
      </c>
      <c r="J186" s="4" t="str">
        <f t="shared" si="55"/>
        <v>GDFMCKFVNYIQQVSVQATCATLTAMSVDRWYVTVF</v>
      </c>
      <c r="K186" s="4" t="str">
        <f t="shared" si="56"/>
        <v>PLRALHRR</v>
      </c>
      <c r="L186" s="4" t="str">
        <f t="shared" si="57"/>
        <v>TPRLALAVSLSIWVGSAAVSAPVLALH</v>
      </c>
      <c r="M186" s="4" t="str">
        <f t="shared" si="58"/>
        <v>CSE</v>
      </c>
      <c r="N186" s="4" t="str">
        <f t="shared" si="59"/>
        <v>PSRALERAFALYNLLALYLLPLLATCACYAAMLRHLGRVAVRPAP</v>
      </c>
      <c r="O186" s="4" t="str">
        <f t="shared" si="60"/>
        <v>VLAERAGAVRAKVSRLVAAVVLLFAACWGPIQLFLVLQALG</v>
      </c>
      <c r="P186" s="4" t="str">
        <f t="shared" si="61"/>
        <v>SYAAYALKTWAHCMSYSNSALNPLLYAFL</v>
      </c>
      <c r="Q186" s="4" t="str">
        <f t="shared" si="62"/>
        <v>GSHFRQAFRRVCP</v>
      </c>
      <c r="R186" s="5">
        <f>VLOOKUP($A186,'SegEnds_NonXtal_Prot#'!$A:$AL,3,FALSE)</f>
        <v>40</v>
      </c>
      <c r="S186" s="5">
        <f>VLOOKUP($A186,'SegEnds_NonXtal_Prot#'!$A:$AL,6,FALSE)</f>
        <v>71</v>
      </c>
      <c r="T186" s="5">
        <f>VLOOKUP($A186,'SegEnds_NonXtal_Prot#'!$A:$AL,9,FALSE)</f>
        <v>75</v>
      </c>
      <c r="U186" s="5">
        <f>VLOOKUP($A186,'SegEnds_NonXtal_Prot#'!$A:$AL,12,FALSE)</f>
        <v>107</v>
      </c>
      <c r="V186" s="5">
        <f>VLOOKUP($A186,'SegEnds_NonXtal_Prot#'!$A:$AL,15,FALSE)</f>
        <v>111</v>
      </c>
      <c r="W186" s="5">
        <f>VLOOKUP($A186,'SegEnds_NonXtal_Prot#'!$A:$AL,18,FALSE)</f>
        <v>147</v>
      </c>
      <c r="X186" s="5">
        <f>VLOOKUP($A186,'SegEnds_NonXtal_Prot#'!$A:$AL,21,FALSE)</f>
        <v>155</v>
      </c>
      <c r="Y186" s="5">
        <f>VLOOKUP($A186,'SegEnds_NonXtal_Prot#'!$A:$AL,24,FALSE)</f>
        <v>191</v>
      </c>
      <c r="Z186" s="5">
        <f>VLOOKUP($A186,'SegEnds_NonXtal_Prot#'!$A:$AL,27,FALSE)</f>
        <v>196</v>
      </c>
      <c r="AA186" s="5">
        <f>VLOOKUP($A186,'SegEnds_NonXtal_Prot#'!$A:$AL,30,FALSE)</f>
        <v>249</v>
      </c>
      <c r="AB186" s="5">
        <f>VLOOKUP($A186,'SegEnds_NonXtal_Prot#'!$A:$AL,33,FALSE)</f>
        <v>298</v>
      </c>
      <c r="AC186" s="5">
        <f>VLOOKUP($A186,'SegEnds_NonXtal_Prot#'!$A:$AL,36,FALSE)</f>
        <v>327</v>
      </c>
      <c r="AD186" s="5">
        <f>VLOOKUP($A186,'SegEnds_NonXtal_Prot#'!$A:$AL,5,FALSE)</f>
        <v>70</v>
      </c>
      <c r="AE186" s="5">
        <f>VLOOKUP($A186,'SegEnds_NonXtal_Prot#'!$A:$AL,8,FALSE)</f>
        <v>74</v>
      </c>
      <c r="AF186" s="5">
        <f>VLOOKUP($A186,'SegEnds_NonXtal_Prot#'!$A:$AL,11,FALSE)</f>
        <v>105</v>
      </c>
      <c r="AG186" s="5">
        <f>VLOOKUP($A186,'SegEnds_NonXtal_Prot#'!$A:$AL,14,FALSE)</f>
        <v>110</v>
      </c>
      <c r="AH186" s="5">
        <f>VLOOKUP($A186,'SegEnds_NonXtal_Prot#'!$A:$AL,17,FALSE)</f>
        <v>146</v>
      </c>
      <c r="AI186" s="5">
        <f>VLOOKUP($A186,'SegEnds_NonXtal_Prot#'!$A:$AL,20,FALSE)</f>
        <v>154</v>
      </c>
      <c r="AJ186" s="5">
        <f>VLOOKUP($A186,'SegEnds_NonXtal_Prot#'!$A:$AL,23,FALSE)</f>
        <v>181</v>
      </c>
      <c r="AK186" s="5">
        <f>VLOOKUP($A186,'SegEnds_NonXtal_Prot#'!$A:$AL,26,FALSE)</f>
        <v>193</v>
      </c>
      <c r="AL186" s="5">
        <f>VLOOKUP($A186,'SegEnds_NonXtal_Prot#'!$A:$AL,29,FALSE)</f>
        <v>240</v>
      </c>
      <c r="AM186" s="5">
        <f>VLOOKUP($A186,'SegEnds_NonXtal_Prot#'!$A:$AL,32,FALSE)</f>
        <v>289</v>
      </c>
      <c r="AN186" s="5">
        <f>VLOOKUP($A186,'SegEnds_NonXtal_Prot#'!$A:$AL,35,FALSE)</f>
        <v>326</v>
      </c>
      <c r="AO186" s="5">
        <f>VLOOKUP($A186,'SegEnds_NonXtal_Prot#'!$A:$AL,38,FALSE)</f>
        <v>339</v>
      </c>
      <c r="AP186" s="5">
        <f t="shared" si="63"/>
        <v>30</v>
      </c>
      <c r="AQ186" s="4">
        <f t="shared" si="64"/>
        <v>3</v>
      </c>
      <c r="AR186" s="4">
        <f t="shared" si="65"/>
        <v>30</v>
      </c>
      <c r="AS186" s="4">
        <f t="shared" si="66"/>
        <v>3</v>
      </c>
      <c r="AT186" s="4">
        <f t="shared" si="67"/>
        <v>35</v>
      </c>
      <c r="AU186" s="4">
        <f t="shared" si="68"/>
        <v>7</v>
      </c>
      <c r="AV186" s="4">
        <f t="shared" si="69"/>
        <v>26</v>
      </c>
      <c r="AW186" s="4">
        <f t="shared" si="70"/>
        <v>2</v>
      </c>
      <c r="AX186" s="4">
        <f t="shared" si="71"/>
        <v>44</v>
      </c>
      <c r="AY186" s="4">
        <f t="shared" si="72"/>
        <v>40</v>
      </c>
      <c r="AZ186" s="4">
        <f t="shared" si="73"/>
        <v>28</v>
      </c>
      <c r="BA186" s="4">
        <f t="shared" si="74"/>
        <v>12</v>
      </c>
    </row>
    <row r="187" spans="1:53" x14ac:dyDescent="0.2">
      <c r="A187" s="1" t="str">
        <f>'SegEnds_NonXtal_Prot#'!A164</f>
        <v>lgr4_human</v>
      </c>
      <c r="B187" s="1" t="str">
        <f t="shared" si="50"/>
        <v>YLLGSWMIRLTVWFIFLVALFFNLLVILTTFASPSSKLFIGLISVSNLFMGIYTGILTFLDAVSWWETGSGCKVAGFLAVFSSESAIFLLMLATVERSLSAKDHLKQFRVAALLAFLGATVAGCFPLFHRTPSLGFTVTLVLLNSLAFLLMAVIYTKLYCNLEKNSQSSMIKHVAWLIFTNCIFFCPVAFFSFAPLITPEIMKSVTLIFFPLPACLNPVLYVFFNPKFKEDWKLLKRRV</v>
      </c>
      <c r="C187" s="29" t="str">
        <f>IF(ISERROR(MATCH(A187,'SegEnds_Xtal_Prot#'!B:B, 0)), "NoXtal", "Xtal")</f>
        <v>NoXtal</v>
      </c>
      <c r="D187" s="4" t="str">
        <f>VLOOKUP(A187,Classification!A:D,2,FALSE)</f>
        <v>A</v>
      </c>
      <c r="E187" s="5" t="str">
        <f>VLOOKUP(A187,Seqs!A:B,2,FALSE)</f>
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</c>
      <c r="F187" s="5" t="str">
        <f t="shared" si="51"/>
        <v>YLLGSWMIRLTVWFIFLVALFFNLLVILTTFAS</v>
      </c>
      <c r="G187" s="4" t="str">
        <f t="shared" si="52"/>
        <v/>
      </c>
      <c r="H187" s="4" t="str">
        <f t="shared" si="53"/>
        <v>PSSKLFIGLISVSNLFMGIYTGILTFLDAVS</v>
      </c>
      <c r="I187" s="4" t="str">
        <f t="shared" si="54"/>
        <v/>
      </c>
      <c r="J187" s="4" t="str">
        <f t="shared" si="55"/>
        <v>WWETGSGCKVAGFLAVFSSESAIFLLMLATVERSLSAKD</v>
      </c>
      <c r="K187" s="4" t="str">
        <f t="shared" si="56"/>
        <v>IMKNGKSN</v>
      </c>
      <c r="L187" s="4" t="str">
        <f t="shared" si="57"/>
        <v>HLKQFRVAALLAFLGATVAGCFPLFHR</v>
      </c>
      <c r="M187" s="4" t="str">
        <f t="shared" si="58"/>
        <v>CLP</v>
      </c>
      <c r="N187" s="4" t="str">
        <f t="shared" si="59"/>
        <v>TPSLGFTVTLVLLNSLAFLLMAVIYTKLYCNLEK</v>
      </c>
      <c r="O187" s="4" t="str">
        <f t="shared" si="60"/>
        <v>NSQSSMIKHVAWLIFTNCIFFCPVAFFSFAPLIT</v>
      </c>
      <c r="P187" s="4" t="str">
        <f t="shared" si="61"/>
        <v>PEIMKSVTLIFFPLPACLNPVLYVFF</v>
      </c>
      <c r="Q187" s="4" t="str">
        <f t="shared" si="62"/>
        <v>NPKFKEDWKLLKRRV</v>
      </c>
      <c r="R187" s="5">
        <f>VLOOKUP($A187,'SegEnds_NonXtal_Prot#'!$A:$AL,3,FALSE)</f>
        <v>534</v>
      </c>
      <c r="S187" s="5" t="str">
        <f>VLOOKUP($A187,'SegEnds_NonXtal_Prot#'!$A:$AL,6,FALSE)</f>
        <v>-</v>
      </c>
      <c r="T187" s="5">
        <f>VLOOKUP($A187,'SegEnds_NonXtal_Prot#'!$A:$AL,9,FALSE)</f>
        <v>571</v>
      </c>
      <c r="U187" s="5" t="str">
        <f>VLOOKUP($A187,'SegEnds_NonXtal_Prot#'!$A:$AL,12,FALSE)</f>
        <v>-</v>
      </c>
      <c r="V187" s="5">
        <f>VLOOKUP($A187,'SegEnds_NonXtal_Prot#'!$A:$AL,15,FALSE)</f>
        <v>611</v>
      </c>
      <c r="W187" s="5">
        <f>VLOOKUP($A187,'SegEnds_NonXtal_Prot#'!$A:$AL,18,FALSE)</f>
        <v>650</v>
      </c>
      <c r="X187" s="5">
        <f>VLOOKUP($A187,'SegEnds_NonXtal_Prot#'!$A:$AL,21,FALSE)</f>
        <v>658</v>
      </c>
      <c r="Y187" s="5">
        <f>VLOOKUP($A187,'SegEnds_NonXtal_Prot#'!$A:$AL,24,FALSE)</f>
        <v>693</v>
      </c>
      <c r="Z187" s="5">
        <f>VLOOKUP($A187,'SegEnds_NonXtal_Prot#'!$A:$AL,27,FALSE)</f>
        <v>701</v>
      </c>
      <c r="AA187" s="5">
        <f>VLOOKUP($A187,'SegEnds_NonXtal_Prot#'!$A:$AL,30,FALSE)</f>
        <v>740</v>
      </c>
      <c r="AB187" s="5">
        <f>VLOOKUP($A187,'SegEnds_NonXtal_Prot#'!$A:$AL,33,FALSE)</f>
        <v>779</v>
      </c>
      <c r="AC187" s="5">
        <f>VLOOKUP($A187,'SegEnds_NonXtal_Prot#'!$A:$AL,36,FALSE)</f>
        <v>805</v>
      </c>
      <c r="AD187" s="5">
        <f>VLOOKUP($A187,'SegEnds_NonXtal_Prot#'!$A:$AL,5,FALSE)</f>
        <v>566</v>
      </c>
      <c r="AE187" s="5" t="str">
        <f>VLOOKUP($A187,'SegEnds_NonXtal_Prot#'!$A:$AL,8,FALSE)</f>
        <v>-</v>
      </c>
      <c r="AF187" s="5">
        <f>VLOOKUP($A187,'SegEnds_NonXtal_Prot#'!$A:$AL,11,FALSE)</f>
        <v>601</v>
      </c>
      <c r="AG187" s="5" t="str">
        <f>VLOOKUP($A187,'SegEnds_NonXtal_Prot#'!$A:$AL,14,FALSE)</f>
        <v>-</v>
      </c>
      <c r="AH187" s="5">
        <f>VLOOKUP($A187,'SegEnds_NonXtal_Prot#'!$A:$AL,17,FALSE)</f>
        <v>649</v>
      </c>
      <c r="AI187" s="5">
        <f>VLOOKUP($A187,'SegEnds_NonXtal_Prot#'!$A:$AL,20,FALSE)</f>
        <v>657</v>
      </c>
      <c r="AJ187" s="5">
        <f>VLOOKUP($A187,'SegEnds_NonXtal_Prot#'!$A:$AL,23,FALSE)</f>
        <v>684</v>
      </c>
      <c r="AK187" s="5">
        <f>VLOOKUP($A187,'SegEnds_NonXtal_Prot#'!$A:$AL,26,FALSE)</f>
        <v>695</v>
      </c>
      <c r="AL187" s="5">
        <f>VLOOKUP($A187,'SegEnds_NonXtal_Prot#'!$A:$AL,29,FALSE)</f>
        <v>734</v>
      </c>
      <c r="AM187" s="5">
        <f>VLOOKUP($A187,'SegEnds_NonXtal_Prot#'!$A:$AL,32,FALSE)</f>
        <v>773</v>
      </c>
      <c r="AN187" s="5">
        <f>VLOOKUP($A187,'SegEnds_NonXtal_Prot#'!$A:$AL,35,FALSE)</f>
        <v>804</v>
      </c>
      <c r="AO187" s="5">
        <f>VLOOKUP($A187,'SegEnds_NonXtal_Prot#'!$A:$AL,38,FALSE)</f>
        <v>819</v>
      </c>
      <c r="AP187" s="5">
        <f t="shared" si="63"/>
        <v>32</v>
      </c>
      <c r="AQ187" s="4" t="str">
        <f t="shared" si="64"/>
        <v>-</v>
      </c>
      <c r="AR187" s="4">
        <f t="shared" si="65"/>
        <v>30</v>
      </c>
      <c r="AS187" s="4" t="str">
        <f t="shared" si="66"/>
        <v>-</v>
      </c>
      <c r="AT187" s="4">
        <f t="shared" si="67"/>
        <v>38</v>
      </c>
      <c r="AU187" s="4">
        <f t="shared" si="68"/>
        <v>7</v>
      </c>
      <c r="AV187" s="4">
        <f t="shared" si="69"/>
        <v>26</v>
      </c>
      <c r="AW187" s="4">
        <f t="shared" si="70"/>
        <v>2</v>
      </c>
      <c r="AX187" s="4">
        <f t="shared" si="71"/>
        <v>33</v>
      </c>
      <c r="AY187" s="4">
        <f t="shared" si="72"/>
        <v>33</v>
      </c>
      <c r="AZ187" s="4">
        <f t="shared" si="73"/>
        <v>25</v>
      </c>
      <c r="BA187" s="4">
        <f t="shared" si="74"/>
        <v>14</v>
      </c>
    </row>
    <row r="188" spans="1:53" x14ac:dyDescent="0.2">
      <c r="A188" s="1" t="str">
        <f>'SegEnds_NonXtal_Prot#'!A165</f>
        <v>lgr5_human</v>
      </c>
      <c r="B188" s="1" t="str">
        <f t="shared" si="50"/>
        <v>EHLLDGWLIRIGVWTIAVLALTCNALVTSTVFRSSPIKLLIGVIAAVNMLTGVSSAVLAGVDAFTWWENGVGCHVIGFLSIFASESSVFLLTLAALERGFSVKYPFSSLKVIILLCALLALTMAAVPLLGPSTMGYMVALILLNSLCFLMMTIAYTKLYCNLDKIWDCSMVKHIALLLFTNCILNCPVAFLSFSSLINPEVIKFILLVVVPLPACLNPLLYILFNPHFKEDLVSLRKQTYVWTRSKH</v>
      </c>
      <c r="C188" s="29" t="str">
        <f>IF(ISERROR(MATCH(A188,'SegEnds_Xtal_Prot#'!B:B, 0)), "NoXtal", "Xtal")</f>
        <v>NoXtal</v>
      </c>
      <c r="D188" s="4" t="str">
        <f>VLOOKUP(A188,Classification!A:D,2,FALSE)</f>
        <v>A</v>
      </c>
      <c r="E188" s="5" t="str">
        <f>VLOOKUP(A188,Seqs!A:B,2,FALSE)</f>
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</c>
      <c r="F188" s="5" t="str">
        <f t="shared" si="51"/>
        <v>EHLLDGWLIRIGVWTIAVLALTCNALVTSTVFRS</v>
      </c>
      <c r="G188" s="4" t="str">
        <f t="shared" si="52"/>
        <v/>
      </c>
      <c r="H188" s="4" t="str">
        <f t="shared" si="53"/>
        <v>SPIKLLIGVIAAVNMLTGVSSAVLAGVDAFT</v>
      </c>
      <c r="I188" s="4" t="str">
        <f t="shared" si="54"/>
        <v/>
      </c>
      <c r="J188" s="4" t="str">
        <f t="shared" si="55"/>
        <v>WWENGVGCHVIGFLSIFASESSVFLLTLAALERGFSVKY</v>
      </c>
      <c r="K188" s="4" t="str">
        <f t="shared" si="56"/>
        <v>SAKFETKA</v>
      </c>
      <c r="L188" s="4" t="str">
        <f t="shared" si="57"/>
        <v>PFSSLKVIILLCALLALTMAAVPLLG</v>
      </c>
      <c r="M188" s="4" t="str">
        <f t="shared" si="58"/>
        <v>CLP</v>
      </c>
      <c r="N188" s="4" t="str">
        <f t="shared" si="59"/>
        <v>PSTMGYMVALILLNSLCFLMMTIAYTKLYCNLDK</v>
      </c>
      <c r="O188" s="4" t="str">
        <f t="shared" si="60"/>
        <v>IWDCSMVKHIALLLFTNCILNCPVAFLSFSSLIN</v>
      </c>
      <c r="P188" s="4" t="str">
        <f t="shared" si="61"/>
        <v>PEVIKFILLVVVPLPACLNPLLYILF</v>
      </c>
      <c r="Q188" s="4" t="str">
        <f t="shared" si="62"/>
        <v>NPHFKEDLVSLRKQTYVWTRSKH</v>
      </c>
      <c r="R188" s="5">
        <f>VLOOKUP($A188,'SegEnds_NonXtal_Prot#'!$A:$AL,3,FALSE)</f>
        <v>552</v>
      </c>
      <c r="S188" s="5" t="str">
        <f>VLOOKUP($A188,'SegEnds_NonXtal_Prot#'!$A:$AL,6,FALSE)</f>
        <v>-</v>
      </c>
      <c r="T188" s="5">
        <f>VLOOKUP($A188,'SegEnds_NonXtal_Prot#'!$A:$AL,9,FALSE)</f>
        <v>590</v>
      </c>
      <c r="U188" s="5" t="str">
        <f>VLOOKUP($A188,'SegEnds_NonXtal_Prot#'!$A:$AL,12,FALSE)</f>
        <v>-</v>
      </c>
      <c r="V188" s="5">
        <f>VLOOKUP($A188,'SegEnds_NonXtal_Prot#'!$A:$AL,15,FALSE)</f>
        <v>630</v>
      </c>
      <c r="W188" s="5">
        <f>VLOOKUP($A188,'SegEnds_NonXtal_Prot#'!$A:$AL,18,FALSE)</f>
        <v>669</v>
      </c>
      <c r="X188" s="5">
        <f>VLOOKUP($A188,'SegEnds_NonXtal_Prot#'!$A:$AL,21,FALSE)</f>
        <v>677</v>
      </c>
      <c r="Y188" s="5">
        <f>VLOOKUP($A188,'SegEnds_NonXtal_Prot#'!$A:$AL,24,FALSE)</f>
        <v>712</v>
      </c>
      <c r="Z188" s="5">
        <f>VLOOKUP($A188,'SegEnds_NonXtal_Prot#'!$A:$AL,27,FALSE)</f>
        <v>720</v>
      </c>
      <c r="AA188" s="5">
        <f>VLOOKUP($A188,'SegEnds_NonXtal_Prot#'!$A:$AL,30,FALSE)</f>
        <v>759</v>
      </c>
      <c r="AB188" s="5">
        <f>VLOOKUP($A188,'SegEnds_NonXtal_Prot#'!$A:$AL,33,FALSE)</f>
        <v>798</v>
      </c>
      <c r="AC188" s="5">
        <f>VLOOKUP($A188,'SegEnds_NonXtal_Prot#'!$A:$AL,36,FALSE)</f>
        <v>824</v>
      </c>
      <c r="AD188" s="5">
        <f>VLOOKUP($A188,'SegEnds_NonXtal_Prot#'!$A:$AL,5,FALSE)</f>
        <v>585</v>
      </c>
      <c r="AE188" s="5" t="str">
        <f>VLOOKUP($A188,'SegEnds_NonXtal_Prot#'!$A:$AL,8,FALSE)</f>
        <v>-</v>
      </c>
      <c r="AF188" s="5">
        <f>VLOOKUP($A188,'SegEnds_NonXtal_Prot#'!$A:$AL,11,FALSE)</f>
        <v>620</v>
      </c>
      <c r="AG188" s="5" t="str">
        <f>VLOOKUP($A188,'SegEnds_NonXtal_Prot#'!$A:$AL,14,FALSE)</f>
        <v>-</v>
      </c>
      <c r="AH188" s="5">
        <f>VLOOKUP($A188,'SegEnds_NonXtal_Prot#'!$A:$AL,17,FALSE)</f>
        <v>668</v>
      </c>
      <c r="AI188" s="5">
        <f>VLOOKUP($A188,'SegEnds_NonXtal_Prot#'!$A:$AL,20,FALSE)</f>
        <v>676</v>
      </c>
      <c r="AJ188" s="5">
        <f>VLOOKUP($A188,'SegEnds_NonXtal_Prot#'!$A:$AL,23,FALSE)</f>
        <v>702</v>
      </c>
      <c r="AK188" s="5">
        <f>VLOOKUP($A188,'SegEnds_NonXtal_Prot#'!$A:$AL,26,FALSE)</f>
        <v>714</v>
      </c>
      <c r="AL188" s="5">
        <f>VLOOKUP($A188,'SegEnds_NonXtal_Prot#'!$A:$AL,29,FALSE)</f>
        <v>753</v>
      </c>
      <c r="AM188" s="5">
        <f>VLOOKUP($A188,'SegEnds_NonXtal_Prot#'!$A:$AL,32,FALSE)</f>
        <v>792</v>
      </c>
      <c r="AN188" s="5">
        <f>VLOOKUP($A188,'SegEnds_NonXtal_Prot#'!$A:$AL,35,FALSE)</f>
        <v>823</v>
      </c>
      <c r="AO188" s="5">
        <f>VLOOKUP($A188,'SegEnds_NonXtal_Prot#'!$A:$AL,38,FALSE)</f>
        <v>846</v>
      </c>
      <c r="AP188" s="5">
        <f t="shared" si="63"/>
        <v>33</v>
      </c>
      <c r="AQ188" s="4" t="str">
        <f t="shared" si="64"/>
        <v>-</v>
      </c>
      <c r="AR188" s="4">
        <f t="shared" si="65"/>
        <v>30</v>
      </c>
      <c r="AS188" s="4" t="str">
        <f t="shared" si="66"/>
        <v>-</v>
      </c>
      <c r="AT188" s="4">
        <f t="shared" si="67"/>
        <v>38</v>
      </c>
      <c r="AU188" s="4">
        <f t="shared" si="68"/>
        <v>7</v>
      </c>
      <c r="AV188" s="4">
        <f t="shared" si="69"/>
        <v>25</v>
      </c>
      <c r="AW188" s="4">
        <f t="shared" si="70"/>
        <v>2</v>
      </c>
      <c r="AX188" s="4">
        <f t="shared" si="71"/>
        <v>33</v>
      </c>
      <c r="AY188" s="4">
        <f t="shared" si="72"/>
        <v>33</v>
      </c>
      <c r="AZ188" s="4">
        <f t="shared" si="73"/>
        <v>25</v>
      </c>
      <c r="BA188" s="4">
        <f t="shared" si="74"/>
        <v>22</v>
      </c>
    </row>
    <row r="189" spans="1:53" x14ac:dyDescent="0.2">
      <c r="A189" s="1" t="str">
        <f>'SegEnds_NonXtal_Prot#'!A166</f>
        <v>lgr6_human</v>
      </c>
      <c r="B189" s="1" t="str">
        <f t="shared" si="50"/>
        <v>YLFESWGIRLAVWAIVLLSVLCNGLVLLTVFAGPPVKFVVGAIAGANTLTGISCGLLASVDALTFRWETGLGCRATGFLAVLGSEASVLLLTLAAVQCSVSVSCSLGSVRAGVLGCLALAGLAAALPLASVAALGFTVALVMMNSFCFLVVAGAYIKLYCDLPRVWDCAMVRHVAWLIFADGLLYCPVAFLSFASMLGPEAVKSVLLVVLPLPACLNPLLYLLFNPHFRDDLRRLRPRAGD</v>
      </c>
      <c r="C189" s="29" t="str">
        <f>IF(ISERROR(MATCH(A189,'SegEnds_Xtal_Prot#'!B:B, 0)), "NoXtal", "Xtal")</f>
        <v>NoXtal</v>
      </c>
      <c r="D189" s="4" t="str">
        <f>VLOOKUP(A189,Classification!A:D,2,FALSE)</f>
        <v>A</v>
      </c>
      <c r="E189" s="5" t="str">
        <f>VLOOKUP(A189,Seqs!A:B,2,FALSE)</f>
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</c>
      <c r="F189" s="5" t="str">
        <f t="shared" si="51"/>
        <v>YLFESWGIRLAVWAIVLLSVLCNGLVLLTVFAG</v>
      </c>
      <c r="G189" s="4" t="str">
        <f t="shared" si="52"/>
        <v/>
      </c>
      <c r="H189" s="4" t="str">
        <f t="shared" si="53"/>
        <v>PPVKFVVGAIAGANTLTGISCGLLASVDALTF</v>
      </c>
      <c r="I189" s="4" t="str">
        <f t="shared" si="54"/>
        <v/>
      </c>
      <c r="J189" s="4" t="str">
        <f t="shared" si="55"/>
        <v>RWETGLGCRATGFLAVLGSEASVLLLTLAAVQCSVSVSC</v>
      </c>
      <c r="K189" s="4" t="str">
        <f t="shared" si="56"/>
        <v>VRAYGKSP</v>
      </c>
      <c r="L189" s="4" t="str">
        <f t="shared" si="57"/>
        <v>SLGSVRAGVLGCLALAGLAAALPLASV</v>
      </c>
      <c r="M189" s="4" t="str">
        <f t="shared" si="58"/>
        <v>CLP</v>
      </c>
      <c r="N189" s="4" t="str">
        <f t="shared" si="59"/>
        <v>AALGFTVALVMMNSFCFLVVAGAYIKLYCDLPR</v>
      </c>
      <c r="O189" s="4" t="str">
        <f t="shared" si="60"/>
        <v>VWDCAMVRHVAWLIFADGLLYCPVAFLSFASMLG</v>
      </c>
      <c r="P189" s="4" t="str">
        <f t="shared" si="61"/>
        <v>PEAVKSVLLVVLPLPACLNPLLYLLF</v>
      </c>
      <c r="Q189" s="4" t="str">
        <f t="shared" si="62"/>
        <v>NPHFRDDLRRLRPRAGD</v>
      </c>
      <c r="R189" s="5">
        <f>VLOOKUP($A189,'SegEnds_NonXtal_Prot#'!$A:$AL,3,FALSE)</f>
        <v>557</v>
      </c>
      <c r="S189" s="5" t="str">
        <f>VLOOKUP($A189,'SegEnds_NonXtal_Prot#'!$A:$AL,6,FALSE)</f>
        <v>-</v>
      </c>
      <c r="T189" s="5">
        <f>VLOOKUP($A189,'SegEnds_NonXtal_Prot#'!$A:$AL,9,FALSE)</f>
        <v>595</v>
      </c>
      <c r="U189" s="5" t="str">
        <f>VLOOKUP($A189,'SegEnds_NonXtal_Prot#'!$A:$AL,12,FALSE)</f>
        <v>-</v>
      </c>
      <c r="V189" s="5">
        <f>VLOOKUP($A189,'SegEnds_NonXtal_Prot#'!$A:$AL,15,FALSE)</f>
        <v>635</v>
      </c>
      <c r="W189" s="5">
        <f>VLOOKUP($A189,'SegEnds_NonXtal_Prot#'!$A:$AL,18,FALSE)</f>
        <v>674</v>
      </c>
      <c r="X189" s="5">
        <f>VLOOKUP($A189,'SegEnds_NonXtal_Prot#'!$A:$AL,21,FALSE)</f>
        <v>682</v>
      </c>
      <c r="Y189" s="5">
        <f>VLOOKUP($A189,'SegEnds_NonXtal_Prot#'!$A:$AL,24,FALSE)</f>
        <v>717</v>
      </c>
      <c r="Z189" s="5">
        <f>VLOOKUP($A189,'SegEnds_NonXtal_Prot#'!$A:$AL,27,FALSE)</f>
        <v>728</v>
      </c>
      <c r="AA189" s="5">
        <f>VLOOKUP($A189,'SegEnds_NonXtal_Prot#'!$A:$AL,30,FALSE)</f>
        <v>766</v>
      </c>
      <c r="AB189" s="5">
        <f>VLOOKUP($A189,'SegEnds_NonXtal_Prot#'!$A:$AL,33,FALSE)</f>
        <v>805</v>
      </c>
      <c r="AC189" s="5">
        <f>VLOOKUP($A189,'SegEnds_NonXtal_Prot#'!$A:$AL,36,FALSE)</f>
        <v>831</v>
      </c>
      <c r="AD189" s="5">
        <f>VLOOKUP($A189,'SegEnds_NonXtal_Prot#'!$A:$AL,5,FALSE)</f>
        <v>589</v>
      </c>
      <c r="AE189" s="5" t="str">
        <f>VLOOKUP($A189,'SegEnds_NonXtal_Prot#'!$A:$AL,8,FALSE)</f>
        <v>-</v>
      </c>
      <c r="AF189" s="5">
        <f>VLOOKUP($A189,'SegEnds_NonXtal_Prot#'!$A:$AL,11,FALSE)</f>
        <v>626</v>
      </c>
      <c r="AG189" s="5" t="str">
        <f>VLOOKUP($A189,'SegEnds_NonXtal_Prot#'!$A:$AL,14,FALSE)</f>
        <v>-</v>
      </c>
      <c r="AH189" s="5">
        <f>VLOOKUP($A189,'SegEnds_NonXtal_Prot#'!$A:$AL,17,FALSE)</f>
        <v>673</v>
      </c>
      <c r="AI189" s="5">
        <f>VLOOKUP($A189,'SegEnds_NonXtal_Prot#'!$A:$AL,20,FALSE)</f>
        <v>681</v>
      </c>
      <c r="AJ189" s="5">
        <f>VLOOKUP($A189,'SegEnds_NonXtal_Prot#'!$A:$AL,23,FALSE)</f>
        <v>708</v>
      </c>
      <c r="AK189" s="5">
        <f>VLOOKUP($A189,'SegEnds_NonXtal_Prot#'!$A:$AL,26,FALSE)</f>
        <v>719</v>
      </c>
      <c r="AL189" s="5">
        <f>VLOOKUP($A189,'SegEnds_NonXtal_Prot#'!$A:$AL,29,FALSE)</f>
        <v>760</v>
      </c>
      <c r="AM189" s="5">
        <f>VLOOKUP($A189,'SegEnds_NonXtal_Prot#'!$A:$AL,32,FALSE)</f>
        <v>799</v>
      </c>
      <c r="AN189" s="5">
        <f>VLOOKUP($A189,'SegEnds_NonXtal_Prot#'!$A:$AL,35,FALSE)</f>
        <v>830</v>
      </c>
      <c r="AO189" s="5">
        <f>VLOOKUP($A189,'SegEnds_NonXtal_Prot#'!$A:$AL,38,FALSE)</f>
        <v>847</v>
      </c>
      <c r="AP189" s="5">
        <f t="shared" si="63"/>
        <v>32</v>
      </c>
      <c r="AQ189" s="4" t="str">
        <f t="shared" si="64"/>
        <v>-</v>
      </c>
      <c r="AR189" s="4">
        <f t="shared" si="65"/>
        <v>31</v>
      </c>
      <c r="AS189" s="4" t="str">
        <f t="shared" si="66"/>
        <v>-</v>
      </c>
      <c r="AT189" s="4">
        <f t="shared" si="67"/>
        <v>38</v>
      </c>
      <c r="AU189" s="4">
        <f t="shared" si="68"/>
        <v>7</v>
      </c>
      <c r="AV189" s="4">
        <f t="shared" si="69"/>
        <v>26</v>
      </c>
      <c r="AW189" s="4">
        <f t="shared" si="70"/>
        <v>2</v>
      </c>
      <c r="AX189" s="4">
        <f t="shared" si="71"/>
        <v>32</v>
      </c>
      <c r="AY189" s="4">
        <f t="shared" si="72"/>
        <v>33</v>
      </c>
      <c r="AZ189" s="4">
        <f t="shared" si="73"/>
        <v>25</v>
      </c>
      <c r="BA189" s="4">
        <f t="shared" si="74"/>
        <v>16</v>
      </c>
    </row>
    <row r="190" spans="1:53" x14ac:dyDescent="0.2">
      <c r="A190" s="1" t="str">
        <f>'SegEnds_NonXtal_Prot#'!A167</f>
        <v>lpar4_human</v>
      </c>
      <c r="B190" s="1" t="str">
        <f t="shared" si="50"/>
        <v>FKYNLNGAVYSVVFILGLITNSVSLFVFCFRSETAIFITNLAVSDLLFVCTLPFKIFYNFNGDTLCKISGTAFLTNIYGSMLFLTCISVDRFLAIVYTRRNSAIVCAGVWILVLSGGISASLFSVWKTYLSKITIFIEVVGFIIPLILNVSCSSVVLRTLRKPSQIGTNKKKVLKMITVHMAVFVVCFVPYNSVLFLYALVRSQNCFLERFAKIMYPITLCLATLNCCFDPFIYYFTLESFQKSFYINAH</v>
      </c>
      <c r="C190" s="29" t="str">
        <f>IF(ISERROR(MATCH(A190,'SegEnds_Xtal_Prot#'!B:B, 0)), "NoXtal", "Xtal")</f>
        <v>NoXtal</v>
      </c>
      <c r="D190" s="4" t="str">
        <f>VLOOKUP(A190,Classification!A:D,2,FALSE)</f>
        <v>A</v>
      </c>
      <c r="E190" s="5" t="str">
        <f>VLOOKUP(A190,Seqs!A:B,2,FALSE)</f>
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</c>
      <c r="F190" s="5" t="str">
        <f t="shared" si="51"/>
        <v>FKYNLNGAVYSVVFILGLITNSVSLFVFCFR</v>
      </c>
      <c r="G190" s="4" t="str">
        <f t="shared" si="52"/>
        <v>MKMR</v>
      </c>
      <c r="H190" s="4" t="str">
        <f t="shared" si="53"/>
        <v>SETAIFITNLAVSDLLFVCTLPFKIFYNFN</v>
      </c>
      <c r="I190" s="4" t="str">
        <f t="shared" si="54"/>
        <v>HWPF</v>
      </c>
      <c r="J190" s="4" t="str">
        <f t="shared" si="55"/>
        <v>GDTLCKISGTAFLTNIYGSMLFLTCISVDRFLAIVY</v>
      </c>
      <c r="K190" s="4" t="str">
        <f t="shared" si="56"/>
        <v>PFRSRTIR</v>
      </c>
      <c r="L190" s="4" t="str">
        <f t="shared" si="57"/>
        <v>TRRNSAIVCAGVWILVLSGGISASLFS</v>
      </c>
      <c r="M190" s="4" t="str">
        <f t="shared" si="58"/>
        <v>CFE</v>
      </c>
      <c r="N190" s="4" t="str">
        <f t="shared" si="59"/>
        <v>VWKTYLSKITIFIEVVGFIIPLILNVSCSSVVLRTLRKP</v>
      </c>
      <c r="O190" s="4" t="str">
        <f t="shared" si="60"/>
        <v>SQIGTNKKKVLKMITVHMAVFVVCFVPYNSVLFLYALVRSQ</v>
      </c>
      <c r="P190" s="4" t="str">
        <f t="shared" si="61"/>
        <v>NCFLERFAKIMYPITLCLATLNCCFDPFIYYFT</v>
      </c>
      <c r="Q190" s="4" t="str">
        <f t="shared" si="62"/>
        <v>LESFQKSFYINAH</v>
      </c>
      <c r="R190" s="5">
        <f>VLOOKUP($A190,'SegEnds_NonXtal_Prot#'!$A:$AL,3,FALSE)</f>
        <v>37</v>
      </c>
      <c r="S190" s="5">
        <f>VLOOKUP($A190,'SegEnds_NonXtal_Prot#'!$A:$AL,6,FALSE)</f>
        <v>68</v>
      </c>
      <c r="T190" s="5">
        <f>VLOOKUP($A190,'SegEnds_NonXtal_Prot#'!$A:$AL,9,FALSE)</f>
        <v>72</v>
      </c>
      <c r="U190" s="5">
        <f>VLOOKUP($A190,'SegEnds_NonXtal_Prot#'!$A:$AL,12,FALSE)</f>
        <v>103</v>
      </c>
      <c r="V190" s="5">
        <f>VLOOKUP($A190,'SegEnds_NonXtal_Prot#'!$A:$AL,15,FALSE)</f>
        <v>107</v>
      </c>
      <c r="W190" s="5">
        <f>VLOOKUP($A190,'SegEnds_NonXtal_Prot#'!$A:$AL,18,FALSE)</f>
        <v>143</v>
      </c>
      <c r="X190" s="5">
        <f>VLOOKUP($A190,'SegEnds_NonXtal_Prot#'!$A:$AL,21,FALSE)</f>
        <v>151</v>
      </c>
      <c r="Y190" s="5">
        <f>VLOOKUP($A190,'SegEnds_NonXtal_Prot#'!$A:$AL,24,FALSE)</f>
        <v>188</v>
      </c>
      <c r="Z190" s="5">
        <f>VLOOKUP($A190,'SegEnds_NonXtal_Prot#'!$A:$AL,27,FALSE)</f>
        <v>196</v>
      </c>
      <c r="AA190" s="5">
        <f>VLOOKUP($A190,'SegEnds_NonXtal_Prot#'!$A:$AL,30,FALSE)</f>
        <v>238</v>
      </c>
      <c r="AB190" s="5">
        <f>VLOOKUP($A190,'SegEnds_NonXtal_Prot#'!$A:$AL,33,FALSE)</f>
        <v>282</v>
      </c>
      <c r="AC190" s="5">
        <f>VLOOKUP($A190,'SegEnds_NonXtal_Prot#'!$A:$AL,36,FALSE)</f>
        <v>315</v>
      </c>
      <c r="AD190" s="5">
        <f>VLOOKUP($A190,'SegEnds_NonXtal_Prot#'!$A:$AL,5,FALSE)</f>
        <v>67</v>
      </c>
      <c r="AE190" s="5">
        <f>VLOOKUP($A190,'SegEnds_NonXtal_Prot#'!$A:$AL,8,FALSE)</f>
        <v>71</v>
      </c>
      <c r="AF190" s="5">
        <f>VLOOKUP($A190,'SegEnds_NonXtal_Prot#'!$A:$AL,11,FALSE)</f>
        <v>101</v>
      </c>
      <c r="AG190" s="5">
        <f>VLOOKUP($A190,'SegEnds_NonXtal_Prot#'!$A:$AL,14,FALSE)</f>
        <v>106</v>
      </c>
      <c r="AH190" s="5">
        <f>VLOOKUP($A190,'SegEnds_NonXtal_Prot#'!$A:$AL,17,FALSE)</f>
        <v>142</v>
      </c>
      <c r="AI190" s="5">
        <f>VLOOKUP($A190,'SegEnds_NonXtal_Prot#'!$A:$AL,20,FALSE)</f>
        <v>150</v>
      </c>
      <c r="AJ190" s="5">
        <f>VLOOKUP($A190,'SegEnds_NonXtal_Prot#'!$A:$AL,23,FALSE)</f>
        <v>177</v>
      </c>
      <c r="AK190" s="5">
        <f>VLOOKUP($A190,'SegEnds_NonXtal_Prot#'!$A:$AL,26,FALSE)</f>
        <v>190</v>
      </c>
      <c r="AL190" s="5">
        <f>VLOOKUP($A190,'SegEnds_NonXtal_Prot#'!$A:$AL,29,FALSE)</f>
        <v>234</v>
      </c>
      <c r="AM190" s="5">
        <f>VLOOKUP($A190,'SegEnds_NonXtal_Prot#'!$A:$AL,32,FALSE)</f>
        <v>278</v>
      </c>
      <c r="AN190" s="5">
        <f>VLOOKUP($A190,'SegEnds_NonXtal_Prot#'!$A:$AL,35,FALSE)</f>
        <v>314</v>
      </c>
      <c r="AO190" s="5">
        <f>VLOOKUP($A190,'SegEnds_NonXtal_Prot#'!$A:$AL,38,FALSE)</f>
        <v>327</v>
      </c>
      <c r="AP190" s="5">
        <f t="shared" si="63"/>
        <v>30</v>
      </c>
      <c r="AQ190" s="4">
        <f t="shared" si="64"/>
        <v>3</v>
      </c>
      <c r="AR190" s="4">
        <f t="shared" si="65"/>
        <v>29</v>
      </c>
      <c r="AS190" s="4">
        <f t="shared" si="66"/>
        <v>3</v>
      </c>
      <c r="AT190" s="4">
        <f t="shared" si="67"/>
        <v>35</v>
      </c>
      <c r="AU190" s="4">
        <f t="shared" si="68"/>
        <v>7</v>
      </c>
      <c r="AV190" s="4">
        <f t="shared" si="69"/>
        <v>26</v>
      </c>
      <c r="AW190" s="4">
        <f t="shared" si="70"/>
        <v>2</v>
      </c>
      <c r="AX190" s="4">
        <f t="shared" si="71"/>
        <v>38</v>
      </c>
      <c r="AY190" s="4">
        <f t="shared" si="72"/>
        <v>40</v>
      </c>
      <c r="AZ190" s="4">
        <f t="shared" si="73"/>
        <v>32</v>
      </c>
      <c r="BA190" s="4">
        <f t="shared" si="74"/>
        <v>12</v>
      </c>
    </row>
    <row r="191" spans="1:53" x14ac:dyDescent="0.2">
      <c r="A191" s="1" t="str">
        <f>'SegEnds_NonXtal_Prot#'!A168</f>
        <v>lpar5_human</v>
      </c>
      <c r="B191" s="1" t="str">
        <f t="shared" si="50"/>
        <v>CPDYRPTHRLHLVVYSLVLAAGLPLNALALWVFLRASVVSVYMCNLAASDLLFTLSLPVRLSYYALPDLLCQTTGAIFQMNMYGSCIFLMLINVDRYAAIVHRPRVARLLCLGVWALILVFAVPAARVKGRLLPLVLLAEALGFLLPLAAVVYSSGRVFWTLARQSQRRRKTVRLLLANLVIFLLCFVPYNSTLAVYGLLRSKSVPARDRVRGVLMVMVLLAGANCVLDPLVYYFSAEGFRNTLRGLGTP</v>
      </c>
      <c r="C191" s="29" t="str">
        <f>IF(ISERROR(MATCH(A191,'SegEnds_Xtal_Prot#'!B:B, 0)), "NoXtal", "Xtal")</f>
        <v>NoXtal</v>
      </c>
      <c r="D191" s="4" t="str">
        <f>VLOOKUP(A191,Classification!A:D,2,FALSE)</f>
        <v>A</v>
      </c>
      <c r="E191" s="5" t="str">
        <f>VLOOKUP(A191,Seqs!A:B,2,FALSE)</f>
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</c>
      <c r="F191" s="5" t="str">
        <f t="shared" si="51"/>
        <v>CPDYRPTHRLHLVVYSLVLAAGLPLNALALWVFLRA</v>
      </c>
      <c r="G191" s="4" t="str">
        <f t="shared" si="52"/>
        <v>LRVH</v>
      </c>
      <c r="H191" s="4" t="str">
        <f t="shared" si="53"/>
        <v>SVVSVYMCNLAASDLLFTLSLPVRLSYYAL</v>
      </c>
      <c r="I191" s="4" t="str">
        <f t="shared" si="54"/>
        <v>HWPF</v>
      </c>
      <c r="J191" s="4" t="str">
        <f t="shared" si="55"/>
        <v>PDLLCQTTGAIFQMNMYGSCIFLMLINVDRYAAIVH</v>
      </c>
      <c r="K191" s="4" t="str">
        <f t="shared" si="56"/>
        <v>PLRLRHLR</v>
      </c>
      <c r="L191" s="4" t="str">
        <f t="shared" si="57"/>
        <v>RPRVARLLCLGVWALILVFAVPAARV</v>
      </c>
      <c r="M191" s="4" t="str">
        <f t="shared" si="58"/>
        <v>CFE</v>
      </c>
      <c r="N191" s="4" t="str">
        <f t="shared" si="59"/>
        <v>KGRLLPLVLLAEALGFLLPLAAVVYSSGRVFWTLAR</v>
      </c>
      <c r="O191" s="4" t="str">
        <f t="shared" si="60"/>
        <v>QSQRRRKTVRLLLANLVIFLLCFVPYNSTLAVYGLLRSK</v>
      </c>
      <c r="P191" s="4" t="str">
        <f t="shared" si="61"/>
        <v>SVPARDRVRGVLMVMVLLAGANCVLDPLVYYFS</v>
      </c>
      <c r="Q191" s="4" t="str">
        <f t="shared" si="62"/>
        <v>AEGFRNTLRGLGTP</v>
      </c>
      <c r="R191" s="5">
        <f>VLOOKUP($A191,'SegEnds_NonXtal_Prot#'!$A:$AL,3,FALSE)</f>
        <v>15</v>
      </c>
      <c r="S191" s="5">
        <f>VLOOKUP($A191,'SegEnds_NonXtal_Prot#'!$A:$AL,6,FALSE)</f>
        <v>51</v>
      </c>
      <c r="T191" s="5">
        <f>VLOOKUP($A191,'SegEnds_NonXtal_Prot#'!$A:$AL,9,FALSE)</f>
        <v>55</v>
      </c>
      <c r="U191" s="5">
        <f>VLOOKUP($A191,'SegEnds_NonXtal_Prot#'!$A:$AL,12,FALSE)</f>
        <v>86</v>
      </c>
      <c r="V191" s="5">
        <f>VLOOKUP($A191,'SegEnds_NonXtal_Prot#'!$A:$AL,15,FALSE)</f>
        <v>90</v>
      </c>
      <c r="W191" s="5">
        <f>VLOOKUP($A191,'SegEnds_NonXtal_Prot#'!$A:$AL,18,FALSE)</f>
        <v>126</v>
      </c>
      <c r="X191" s="5">
        <f>VLOOKUP($A191,'SegEnds_NonXtal_Prot#'!$A:$AL,21,FALSE)</f>
        <v>134</v>
      </c>
      <c r="Y191" s="5">
        <f>VLOOKUP($A191,'SegEnds_NonXtal_Prot#'!$A:$AL,24,FALSE)</f>
        <v>175</v>
      </c>
      <c r="Z191" s="5">
        <f>VLOOKUP($A191,'SegEnds_NonXtal_Prot#'!$A:$AL,27,FALSE)</f>
        <v>185</v>
      </c>
      <c r="AA191" s="5">
        <f>VLOOKUP($A191,'SegEnds_NonXtal_Prot#'!$A:$AL,30,FALSE)</f>
        <v>225</v>
      </c>
      <c r="AB191" s="5">
        <f>VLOOKUP($A191,'SegEnds_NonXtal_Prot#'!$A:$AL,33,FALSE)</f>
        <v>268</v>
      </c>
      <c r="AC191" s="5">
        <f>VLOOKUP($A191,'SegEnds_NonXtal_Prot#'!$A:$AL,36,FALSE)</f>
        <v>301</v>
      </c>
      <c r="AD191" s="5">
        <f>VLOOKUP($A191,'SegEnds_NonXtal_Prot#'!$A:$AL,5,FALSE)</f>
        <v>50</v>
      </c>
      <c r="AE191" s="5">
        <f>VLOOKUP($A191,'SegEnds_NonXtal_Prot#'!$A:$AL,8,FALSE)</f>
        <v>54</v>
      </c>
      <c r="AF191" s="5">
        <f>VLOOKUP($A191,'SegEnds_NonXtal_Prot#'!$A:$AL,11,FALSE)</f>
        <v>84</v>
      </c>
      <c r="AG191" s="5">
        <f>VLOOKUP($A191,'SegEnds_NonXtal_Prot#'!$A:$AL,14,FALSE)</f>
        <v>89</v>
      </c>
      <c r="AH191" s="5">
        <f>VLOOKUP($A191,'SegEnds_NonXtal_Prot#'!$A:$AL,17,FALSE)</f>
        <v>125</v>
      </c>
      <c r="AI191" s="5">
        <f>VLOOKUP($A191,'SegEnds_NonXtal_Prot#'!$A:$AL,20,FALSE)</f>
        <v>133</v>
      </c>
      <c r="AJ191" s="5">
        <f>VLOOKUP($A191,'SegEnds_NonXtal_Prot#'!$A:$AL,23,FALSE)</f>
        <v>159</v>
      </c>
      <c r="AK191" s="5">
        <f>VLOOKUP($A191,'SegEnds_NonXtal_Prot#'!$A:$AL,26,FALSE)</f>
        <v>177</v>
      </c>
      <c r="AL191" s="5">
        <f>VLOOKUP($A191,'SegEnds_NonXtal_Prot#'!$A:$AL,29,FALSE)</f>
        <v>220</v>
      </c>
      <c r="AM191" s="5">
        <f>VLOOKUP($A191,'SegEnds_NonXtal_Prot#'!$A:$AL,32,FALSE)</f>
        <v>263</v>
      </c>
      <c r="AN191" s="5">
        <f>VLOOKUP($A191,'SegEnds_NonXtal_Prot#'!$A:$AL,35,FALSE)</f>
        <v>300</v>
      </c>
      <c r="AO191" s="5">
        <f>VLOOKUP($A191,'SegEnds_NonXtal_Prot#'!$A:$AL,38,FALSE)</f>
        <v>314</v>
      </c>
      <c r="AP191" s="5">
        <f t="shared" si="63"/>
        <v>35</v>
      </c>
      <c r="AQ191" s="4">
        <f t="shared" si="64"/>
        <v>3</v>
      </c>
      <c r="AR191" s="4">
        <f t="shared" si="65"/>
        <v>29</v>
      </c>
      <c r="AS191" s="4">
        <f t="shared" si="66"/>
        <v>3</v>
      </c>
      <c r="AT191" s="4">
        <f t="shared" si="67"/>
        <v>35</v>
      </c>
      <c r="AU191" s="4">
        <f t="shared" si="68"/>
        <v>7</v>
      </c>
      <c r="AV191" s="4">
        <f t="shared" si="69"/>
        <v>25</v>
      </c>
      <c r="AW191" s="4">
        <f t="shared" si="70"/>
        <v>2</v>
      </c>
      <c r="AX191" s="4">
        <f t="shared" si="71"/>
        <v>35</v>
      </c>
      <c r="AY191" s="4">
        <f t="shared" si="72"/>
        <v>38</v>
      </c>
      <c r="AZ191" s="4">
        <f t="shared" si="73"/>
        <v>32</v>
      </c>
      <c r="BA191" s="4">
        <f t="shared" si="74"/>
        <v>13</v>
      </c>
    </row>
    <row r="192" spans="1:53" x14ac:dyDescent="0.2">
      <c r="A192" s="1" t="str">
        <f>'SegEnds_NonXtal_Prot#'!A169</f>
        <v>lpar6_human</v>
      </c>
      <c r="B192" s="1" t="str">
        <f t="shared" si="50"/>
        <v>NSSHCFYNDSFKYTLYGCMFSMVFVLGLISNCVAIYIFICVNETTTYMINLAMSDLLFVFTLPFRIFYFTTGDLLCKISVMLFYTNMYGSILFLTCISVDRFLAIVYTKRNAKIVCTGVWLTVIGGSAPAVFVEATWKTYLSRIVIFIEIVGFFIPLILNVTCSSMVLKTLTKPSRSKINKTKVLKMIFVHLIIFCFCFVPYNINLILYSLVRTQNCSVVAAVRTMYPITLCIAVSNCCFDPIVYYFTSDTIQNSIKMKNW</v>
      </c>
      <c r="C192" s="29" t="str">
        <f>IF(ISERROR(MATCH(A192,'SegEnds_Xtal_Prot#'!B:B, 0)), "NoXtal", "Xtal")</f>
        <v>NoXtal</v>
      </c>
      <c r="D192" s="4" t="str">
        <f>VLOOKUP(A192,Classification!A:D,2,FALSE)</f>
        <v>A</v>
      </c>
      <c r="E192" s="5" t="str">
        <f>VLOOKUP(A192,Seqs!A:B,2,FALSE)</f>
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</c>
      <c r="F192" s="5" t="str">
        <f t="shared" si="51"/>
        <v>NSSHCFYNDSFKYTLYGCMFSMVFVLGLISNCVAIYIFICV</v>
      </c>
      <c r="G192" s="4" t="str">
        <f t="shared" si="52"/>
        <v>LKVR</v>
      </c>
      <c r="H192" s="4" t="str">
        <f t="shared" si="53"/>
        <v>NETTTYMINLAMSDLLFVFTLPFRIFYFTT</v>
      </c>
      <c r="I192" s="4" t="str">
        <f t="shared" si="54"/>
        <v>NWPF</v>
      </c>
      <c r="J192" s="4" t="str">
        <f t="shared" si="55"/>
        <v>GDLLCKISVMLFYTNMYGSILFLTCISVDRFLAIVY</v>
      </c>
      <c r="K192" s="4" t="str">
        <f t="shared" si="56"/>
        <v>PFKSKTLR</v>
      </c>
      <c r="L192" s="4" t="str">
        <f t="shared" si="57"/>
        <v>TKRNAKIVCTGVWLTVIGGSAPAVFV</v>
      </c>
      <c r="M192" s="4" t="str">
        <f t="shared" si="58"/>
        <v>CFE</v>
      </c>
      <c r="N192" s="4" t="str">
        <f t="shared" si="59"/>
        <v>EATWKTYLSRIVIFIEIVGFFIPLILNVTCSSMVLKTLTKP</v>
      </c>
      <c r="O192" s="4" t="str">
        <f t="shared" si="60"/>
        <v>SRSKINKTKVLKMIFVHLIIFCFCFVPYNINLILYSLVRTQ</v>
      </c>
      <c r="P192" s="4" t="str">
        <f t="shared" si="61"/>
        <v>NCSVVAAVRTMYPITLCIAVSNCCFDPIVYYFT</v>
      </c>
      <c r="Q192" s="4" t="str">
        <f t="shared" si="62"/>
        <v>SDTIQNSIKMKNW</v>
      </c>
      <c r="R192" s="5">
        <f>VLOOKUP($A192,'SegEnds_NonXtal_Prot#'!$A:$AL,3,FALSE)</f>
        <v>5</v>
      </c>
      <c r="S192" s="5">
        <f>VLOOKUP($A192,'SegEnds_NonXtal_Prot#'!$A:$AL,6,FALSE)</f>
        <v>46</v>
      </c>
      <c r="T192" s="5">
        <f>VLOOKUP($A192,'SegEnds_NonXtal_Prot#'!$A:$AL,9,FALSE)</f>
        <v>50</v>
      </c>
      <c r="U192" s="5">
        <f>VLOOKUP($A192,'SegEnds_NonXtal_Prot#'!$A:$AL,12,FALSE)</f>
        <v>81</v>
      </c>
      <c r="V192" s="5">
        <f>VLOOKUP($A192,'SegEnds_NonXtal_Prot#'!$A:$AL,15,FALSE)</f>
        <v>85</v>
      </c>
      <c r="W192" s="5">
        <f>VLOOKUP($A192,'SegEnds_NonXtal_Prot#'!$A:$AL,18,FALSE)</f>
        <v>121</v>
      </c>
      <c r="X192" s="5">
        <f>VLOOKUP($A192,'SegEnds_NonXtal_Prot#'!$A:$AL,21,FALSE)</f>
        <v>129</v>
      </c>
      <c r="Y192" s="5">
        <f>VLOOKUP($A192,'SegEnds_NonXtal_Prot#'!$A:$AL,24,FALSE)</f>
        <v>168</v>
      </c>
      <c r="Z192" s="5">
        <f>VLOOKUP($A192,'SegEnds_NonXtal_Prot#'!$A:$AL,27,FALSE)</f>
        <v>174</v>
      </c>
      <c r="AA192" s="5">
        <f>VLOOKUP($A192,'SegEnds_NonXtal_Prot#'!$A:$AL,30,FALSE)</f>
        <v>218</v>
      </c>
      <c r="AB192" s="5">
        <f>VLOOKUP($A192,'SegEnds_NonXtal_Prot#'!$A:$AL,33,FALSE)</f>
        <v>262</v>
      </c>
      <c r="AC192" s="5">
        <f>VLOOKUP($A192,'SegEnds_NonXtal_Prot#'!$A:$AL,36,FALSE)</f>
        <v>295</v>
      </c>
      <c r="AD192" s="5">
        <f>VLOOKUP($A192,'SegEnds_NonXtal_Prot#'!$A:$AL,5,FALSE)</f>
        <v>45</v>
      </c>
      <c r="AE192" s="5">
        <f>VLOOKUP($A192,'SegEnds_NonXtal_Prot#'!$A:$AL,8,FALSE)</f>
        <v>49</v>
      </c>
      <c r="AF192" s="5">
        <f>VLOOKUP($A192,'SegEnds_NonXtal_Prot#'!$A:$AL,11,FALSE)</f>
        <v>79</v>
      </c>
      <c r="AG192" s="5">
        <f>VLOOKUP($A192,'SegEnds_NonXtal_Prot#'!$A:$AL,14,FALSE)</f>
        <v>84</v>
      </c>
      <c r="AH192" s="5">
        <f>VLOOKUP($A192,'SegEnds_NonXtal_Prot#'!$A:$AL,17,FALSE)</f>
        <v>120</v>
      </c>
      <c r="AI192" s="5">
        <f>VLOOKUP($A192,'SegEnds_NonXtal_Prot#'!$A:$AL,20,FALSE)</f>
        <v>128</v>
      </c>
      <c r="AJ192" s="5">
        <f>VLOOKUP($A192,'SegEnds_NonXtal_Prot#'!$A:$AL,23,FALSE)</f>
        <v>154</v>
      </c>
      <c r="AK192" s="5">
        <f>VLOOKUP($A192,'SegEnds_NonXtal_Prot#'!$A:$AL,26,FALSE)</f>
        <v>170</v>
      </c>
      <c r="AL192" s="5">
        <f>VLOOKUP($A192,'SegEnds_NonXtal_Prot#'!$A:$AL,29,FALSE)</f>
        <v>214</v>
      </c>
      <c r="AM192" s="5">
        <f>VLOOKUP($A192,'SegEnds_NonXtal_Prot#'!$A:$AL,32,FALSE)</f>
        <v>258</v>
      </c>
      <c r="AN192" s="5">
        <f>VLOOKUP($A192,'SegEnds_NonXtal_Prot#'!$A:$AL,35,FALSE)</f>
        <v>294</v>
      </c>
      <c r="AO192" s="5">
        <f>VLOOKUP($A192,'SegEnds_NonXtal_Prot#'!$A:$AL,38,FALSE)</f>
        <v>307</v>
      </c>
      <c r="AP192" s="5">
        <f t="shared" si="63"/>
        <v>40</v>
      </c>
      <c r="AQ192" s="4">
        <f t="shared" si="64"/>
        <v>3</v>
      </c>
      <c r="AR192" s="4">
        <f t="shared" si="65"/>
        <v>29</v>
      </c>
      <c r="AS192" s="4">
        <f t="shared" si="66"/>
        <v>3</v>
      </c>
      <c r="AT192" s="4">
        <f t="shared" si="67"/>
        <v>35</v>
      </c>
      <c r="AU192" s="4">
        <f t="shared" si="68"/>
        <v>7</v>
      </c>
      <c r="AV192" s="4">
        <f t="shared" si="69"/>
        <v>25</v>
      </c>
      <c r="AW192" s="4">
        <f t="shared" si="70"/>
        <v>2</v>
      </c>
      <c r="AX192" s="4">
        <f t="shared" si="71"/>
        <v>40</v>
      </c>
      <c r="AY192" s="4">
        <f t="shared" si="72"/>
        <v>40</v>
      </c>
      <c r="AZ192" s="4">
        <f t="shared" si="73"/>
        <v>32</v>
      </c>
      <c r="BA192" s="4">
        <f t="shared" si="74"/>
        <v>12</v>
      </c>
    </row>
    <row r="193" spans="1:53" x14ac:dyDescent="0.2">
      <c r="A193" s="1" t="str">
        <f>'SegEnds_NonXtal_Prot#'!A170</f>
        <v>lshr_human</v>
      </c>
      <c r="B193" s="1" t="str">
        <f t="shared" si="50"/>
        <v>FLRVLIWLINILAIMGNMTVLFVLLTSVPRFLMCNLSFADFCMGLYLLLIASVDSQTGSGCSTAGFFTVFASELSVYTLTVITLERWHTITYRLRHAILIMLGGWLFSSLIAMLPLVLSQVYILTILILNVVAFFIICACYIKIYFAVRNATNKDTKIAKKMAILIFTDFTCMAPISFFAISAAFKVTNSKVLLVLFYPINSCANPFLYAIFTKTFQRDFFLLLS</v>
      </c>
      <c r="C193" s="29" t="str">
        <f>IF(ISERROR(MATCH(A193,'SegEnds_Xtal_Prot#'!B:B, 0)), "NoXtal", "Xtal")</f>
        <v>NoXtal</v>
      </c>
      <c r="D193" s="4" t="str">
        <f>VLOOKUP(A193,Classification!A:D,2,FALSE)</f>
        <v>A</v>
      </c>
      <c r="E193" s="5" t="str">
        <f>VLOOKUP(A193,Seqs!A:B,2,FALSE)</f>
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</c>
      <c r="F193" s="5" t="str">
        <f t="shared" si="51"/>
        <v>FLRVLIWLINILAIMGNMTVLFVLLTS</v>
      </c>
      <c r="G193" s="4" t="str">
        <f t="shared" si="52"/>
        <v>YKLT</v>
      </c>
      <c r="H193" s="4" t="str">
        <f t="shared" si="53"/>
        <v>VPRFLMCNLSFADFCMGLYLLLIASVDSQT</v>
      </c>
      <c r="I193" s="4" t="str">
        <f t="shared" si="54"/>
        <v>DWQT</v>
      </c>
      <c r="J193" s="4" t="str">
        <f t="shared" si="55"/>
        <v>GSGCSTAGFFTVFASELSVYTLTVITLERWHTITY</v>
      </c>
      <c r="K193" s="4" t="str">
        <f t="shared" si="56"/>
        <v>AIHLDQKL</v>
      </c>
      <c r="L193" s="4" t="str">
        <f t="shared" si="57"/>
        <v>RLRHAILIMLGGWLFSSLIAMLPLV</v>
      </c>
      <c r="M193" s="4" t="str">
        <f t="shared" si="58"/>
        <v>CFP</v>
      </c>
      <c r="N193" s="4" t="str">
        <f t="shared" si="59"/>
        <v>LSQVYILTILILNVVAFFIICACYIKIYFAVRN</v>
      </c>
      <c r="O193" s="4" t="str">
        <f t="shared" si="60"/>
        <v>ATNKDTKIAKKMAILIFTDFTCMAPISFFAISAAFK</v>
      </c>
      <c r="P193" s="4" t="str">
        <f t="shared" si="61"/>
        <v>VTNSKVLLVLFYPINSCANPFLYAIF</v>
      </c>
      <c r="Q193" s="4" t="str">
        <f t="shared" si="62"/>
        <v>TKTFQRDFFLLLS</v>
      </c>
      <c r="R193" s="5">
        <f>VLOOKUP($A193,'SegEnds_NonXtal_Prot#'!$A:$AL,3,FALSE)</f>
        <v>361</v>
      </c>
      <c r="S193" s="5">
        <f>VLOOKUP($A193,'SegEnds_NonXtal_Prot#'!$A:$AL,6,FALSE)</f>
        <v>389</v>
      </c>
      <c r="T193" s="5">
        <f>VLOOKUP($A193,'SegEnds_NonXtal_Prot#'!$A:$AL,9,FALSE)</f>
        <v>393</v>
      </c>
      <c r="U193" s="5">
        <f>VLOOKUP($A193,'SegEnds_NonXtal_Prot#'!$A:$AL,12,FALSE)</f>
        <v>432</v>
      </c>
      <c r="V193" s="5">
        <f>VLOOKUP($A193,'SegEnds_NonXtal_Prot#'!$A:$AL,15,FALSE)</f>
        <v>436</v>
      </c>
      <c r="W193" s="5">
        <f>VLOOKUP($A193,'SegEnds_NonXtal_Prot#'!$A:$AL,18,FALSE)</f>
        <v>471</v>
      </c>
      <c r="X193" s="5">
        <f>VLOOKUP($A193,'SegEnds_NonXtal_Prot#'!$A:$AL,21,FALSE)</f>
        <v>479</v>
      </c>
      <c r="Y193" s="5">
        <f>VLOOKUP($A193,'SegEnds_NonXtal_Prot#'!$A:$AL,24,FALSE)</f>
        <v>514</v>
      </c>
      <c r="Z193" s="5">
        <f>VLOOKUP($A193,'SegEnds_NonXtal_Prot#'!$A:$AL,27,FALSE)</f>
        <v>523</v>
      </c>
      <c r="AA193" s="5">
        <f>VLOOKUP($A193,'SegEnds_NonXtal_Prot#'!$A:$AL,30,FALSE)</f>
        <v>560</v>
      </c>
      <c r="AB193" s="5">
        <f>VLOOKUP($A193,'SegEnds_NonXtal_Prot#'!$A:$AL,33,FALSE)</f>
        <v>601</v>
      </c>
      <c r="AC193" s="5">
        <f>VLOOKUP($A193,'SegEnds_NonXtal_Prot#'!$A:$AL,36,FALSE)</f>
        <v>627</v>
      </c>
      <c r="AD193" s="5">
        <f>VLOOKUP($A193,'SegEnds_NonXtal_Prot#'!$A:$AL,5,FALSE)</f>
        <v>387</v>
      </c>
      <c r="AE193" s="5">
        <f>VLOOKUP($A193,'SegEnds_NonXtal_Prot#'!$A:$AL,8,FALSE)</f>
        <v>392</v>
      </c>
      <c r="AF193" s="5">
        <f>VLOOKUP($A193,'SegEnds_NonXtal_Prot#'!$A:$AL,11,FALSE)</f>
        <v>422</v>
      </c>
      <c r="AG193" s="5">
        <f>VLOOKUP($A193,'SegEnds_NonXtal_Prot#'!$A:$AL,14,FALSE)</f>
        <v>435</v>
      </c>
      <c r="AH193" s="5">
        <f>VLOOKUP($A193,'SegEnds_NonXtal_Prot#'!$A:$AL,17,FALSE)</f>
        <v>470</v>
      </c>
      <c r="AI193" s="5">
        <f>VLOOKUP($A193,'SegEnds_NonXtal_Prot#'!$A:$AL,20,FALSE)</f>
        <v>478</v>
      </c>
      <c r="AJ193" s="5">
        <f>VLOOKUP($A193,'SegEnds_NonXtal_Prot#'!$A:$AL,23,FALSE)</f>
        <v>503</v>
      </c>
      <c r="AK193" s="5">
        <f>VLOOKUP($A193,'SegEnds_NonXtal_Prot#'!$A:$AL,26,FALSE)</f>
        <v>516</v>
      </c>
      <c r="AL193" s="5">
        <f>VLOOKUP($A193,'SegEnds_NonXtal_Prot#'!$A:$AL,29,FALSE)</f>
        <v>555</v>
      </c>
      <c r="AM193" s="5">
        <f>VLOOKUP($A193,'SegEnds_NonXtal_Prot#'!$A:$AL,32,FALSE)</f>
        <v>595</v>
      </c>
      <c r="AN193" s="5">
        <f>VLOOKUP($A193,'SegEnds_NonXtal_Prot#'!$A:$AL,35,FALSE)</f>
        <v>626</v>
      </c>
      <c r="AO193" s="5">
        <f>VLOOKUP($A193,'SegEnds_NonXtal_Prot#'!$A:$AL,38,FALSE)</f>
        <v>639</v>
      </c>
      <c r="AP193" s="5">
        <f t="shared" si="63"/>
        <v>26</v>
      </c>
      <c r="AQ193" s="4">
        <f t="shared" si="64"/>
        <v>3</v>
      </c>
      <c r="AR193" s="4">
        <f t="shared" si="65"/>
        <v>29</v>
      </c>
      <c r="AS193" s="4">
        <f t="shared" si="66"/>
        <v>3</v>
      </c>
      <c r="AT193" s="4">
        <f t="shared" si="67"/>
        <v>34</v>
      </c>
      <c r="AU193" s="4">
        <f t="shared" si="68"/>
        <v>7</v>
      </c>
      <c r="AV193" s="4">
        <f t="shared" si="69"/>
        <v>24</v>
      </c>
      <c r="AW193" s="4">
        <f t="shared" si="70"/>
        <v>2</v>
      </c>
      <c r="AX193" s="4">
        <f t="shared" si="71"/>
        <v>32</v>
      </c>
      <c r="AY193" s="4">
        <f t="shared" si="72"/>
        <v>35</v>
      </c>
      <c r="AZ193" s="4">
        <f t="shared" si="73"/>
        <v>25</v>
      </c>
      <c r="BA193" s="4">
        <f t="shared" si="74"/>
        <v>12</v>
      </c>
    </row>
    <row r="194" spans="1:53" x14ac:dyDescent="0.2">
      <c r="A194" s="1" t="str">
        <f>'SegEnds_NonXtal_Prot#'!A171</f>
        <v>lt4r1_human</v>
      </c>
      <c r="B194" s="1" t="str">
        <f t="shared" ref="B194:B257" si="75">F194&amp;H194&amp;J194&amp;L194&amp;N194&amp;O194&amp;P194&amp;Q194</f>
        <v>EFISLLAIILLSVALAVGLPGNSFVVWSILKRSVTALMVLNLALADLAVLLTAPFFLHFLAQGLAGCRLCHYVCGVSMYASVLLITAMSLDRSLAVARTKAMARRVLAGIWVLSFLLATPVLAYRYPSEGHRAFHLIFEAVTGFLLPFLAVVASYSDIGRRLQARSRRTGRLVVLIILTFAAFWLPYHVVNLAEAGRALALGLVGKRLSLARNVLIALAFLSSSVNPVLYACAGGGLLRSAGVGFV</v>
      </c>
      <c r="C194" s="29" t="str">
        <f>IF(ISERROR(MATCH(A194,'SegEnds_Xtal_Prot#'!B:B, 0)), "NoXtal", "Xtal")</f>
        <v>NoXtal</v>
      </c>
      <c r="D194" s="4" t="str">
        <f>VLOOKUP(A194,Classification!A:D,2,FALSE)</f>
        <v>A</v>
      </c>
      <c r="E194" s="5" t="str">
        <f>VLOOKUP(A194,Seqs!A:B,2,FALSE)</f>
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</c>
      <c r="F194" s="5" t="str">
        <f t="shared" ref="F194:F257" si="76">IFERROR(MID($E194,R194,(AP194+1)),"")</f>
        <v>EFISLLAIILLSVALAVGLPGNSFVVWSILKR</v>
      </c>
      <c r="G194" s="4" t="str">
        <f t="shared" ref="G194:G257" si="77">IFERROR(MID($E194,S194,(AQ194+1)),"")</f>
        <v>MQKR</v>
      </c>
      <c r="H194" s="4" t="str">
        <f t="shared" ref="H194:H257" si="78">IFERROR(MID($E194,T194,(AR194+1)),"")</f>
        <v>SVTALMVLNLALADLAVLLTAPFFLHFLAQ</v>
      </c>
      <c r="I194" s="4" t="str">
        <f t="shared" ref="I194:I257" si="79">IFERROR(MID($E194,U194,(AS194+1)),"")</f>
        <v>TWSF</v>
      </c>
      <c r="J194" s="4" t="str">
        <f t="shared" ref="J194:J257" si="80">IFERROR(MID($E194,V194,(AT194+1)),"")</f>
        <v>GLAGCRLCHYVCGVSMYASVLLITAMSLDRSLAVAR</v>
      </c>
      <c r="K194" s="4" t="str">
        <f t="shared" ref="K194:K257" si="81">IFERROR(MID($E194,W194,(AU194+1)),"")</f>
        <v>PFVSQKLR</v>
      </c>
      <c r="L194" s="4" t="str">
        <f t="shared" ref="L194:L257" si="82">IFERROR(MID($E194,X194,(AV194+1)),"")</f>
        <v>TKAMARRVLAGIWVLSFLLATPVLAYR</v>
      </c>
      <c r="M194" s="4" t="str">
        <f t="shared" ref="M194:M257" si="83">IFERROR(MID($E194,Y194,(AW194+1)),"")</f>
        <v>CFP</v>
      </c>
      <c r="N194" s="4" t="str">
        <f t="shared" ref="N194:N257" si="84">IFERROR(MID($E194,Z194,(AX194+1)),"")</f>
        <v>YPSEGHRAFHLIFEAVTGFLLPFLAVVASYSDIGRRLQAR</v>
      </c>
      <c r="O194" s="4" t="str">
        <f t="shared" ref="O194:O257" si="85">IFERROR(MID($E194,AA194,(AY194+1)),"")</f>
        <v>SRRTGRLVVLIILTFAAFWLPYHVVNLAEAGRALA</v>
      </c>
      <c r="P194" s="4" t="str">
        <f t="shared" ref="P194:P257" si="86">IFERROR(MID($E194,AB194,(AZ194+1)),"")</f>
        <v>LGLVGKRLSLARNVLIALAFLSSSVNPVLYACA</v>
      </c>
      <c r="Q194" s="4" t="str">
        <f t="shared" ref="Q194:Q257" si="87">IFERROR(MID($E194,AC194,(BA194+1)),"")</f>
        <v>GGGLLRSAGVGFV</v>
      </c>
      <c r="R194" s="5">
        <f>VLOOKUP($A194,'SegEnds_NonXtal_Prot#'!$A:$AL,3,FALSE)</f>
        <v>15</v>
      </c>
      <c r="S194" s="5">
        <f>VLOOKUP($A194,'SegEnds_NonXtal_Prot#'!$A:$AL,6,FALSE)</f>
        <v>47</v>
      </c>
      <c r="T194" s="5">
        <f>VLOOKUP($A194,'SegEnds_NonXtal_Prot#'!$A:$AL,9,FALSE)</f>
        <v>51</v>
      </c>
      <c r="U194" s="5">
        <f>VLOOKUP($A194,'SegEnds_NonXtal_Prot#'!$A:$AL,12,FALSE)</f>
        <v>82</v>
      </c>
      <c r="V194" s="5">
        <f>VLOOKUP($A194,'SegEnds_NonXtal_Prot#'!$A:$AL,15,FALSE)</f>
        <v>86</v>
      </c>
      <c r="W194" s="5">
        <f>VLOOKUP($A194,'SegEnds_NonXtal_Prot#'!$A:$AL,18,FALSE)</f>
        <v>122</v>
      </c>
      <c r="X194" s="5">
        <f>VLOOKUP($A194,'SegEnds_NonXtal_Prot#'!$A:$AL,21,FALSE)</f>
        <v>130</v>
      </c>
      <c r="Y194" s="5">
        <f>VLOOKUP($A194,'SegEnds_NonXtal_Prot#'!$A:$AL,24,FALSE)</f>
        <v>168</v>
      </c>
      <c r="Z194" s="5">
        <f>VLOOKUP($A194,'SegEnds_NonXtal_Prot#'!$A:$AL,27,FALSE)</f>
        <v>172</v>
      </c>
      <c r="AA194" s="5">
        <f>VLOOKUP($A194,'SegEnds_NonXtal_Prot#'!$A:$AL,30,FALSE)</f>
        <v>216</v>
      </c>
      <c r="AB194" s="5">
        <f>VLOOKUP($A194,'SegEnds_NonXtal_Prot#'!$A:$AL,33,FALSE)</f>
        <v>256</v>
      </c>
      <c r="AC194" s="5">
        <f>VLOOKUP($A194,'SegEnds_NonXtal_Prot#'!$A:$AL,36,FALSE)</f>
        <v>289</v>
      </c>
      <c r="AD194" s="5">
        <f>VLOOKUP($A194,'SegEnds_NonXtal_Prot#'!$A:$AL,5,FALSE)</f>
        <v>46</v>
      </c>
      <c r="AE194" s="5">
        <f>VLOOKUP($A194,'SegEnds_NonXtal_Prot#'!$A:$AL,8,FALSE)</f>
        <v>50</v>
      </c>
      <c r="AF194" s="5">
        <f>VLOOKUP($A194,'SegEnds_NonXtal_Prot#'!$A:$AL,11,FALSE)</f>
        <v>80</v>
      </c>
      <c r="AG194" s="5">
        <f>VLOOKUP($A194,'SegEnds_NonXtal_Prot#'!$A:$AL,14,FALSE)</f>
        <v>85</v>
      </c>
      <c r="AH194" s="5">
        <f>VLOOKUP($A194,'SegEnds_NonXtal_Prot#'!$A:$AL,17,FALSE)</f>
        <v>121</v>
      </c>
      <c r="AI194" s="5">
        <f>VLOOKUP($A194,'SegEnds_NonXtal_Prot#'!$A:$AL,20,FALSE)</f>
        <v>129</v>
      </c>
      <c r="AJ194" s="5">
        <f>VLOOKUP($A194,'SegEnds_NonXtal_Prot#'!$A:$AL,23,FALSE)</f>
        <v>156</v>
      </c>
      <c r="AK194" s="5">
        <f>VLOOKUP($A194,'SegEnds_NonXtal_Prot#'!$A:$AL,26,FALSE)</f>
        <v>170</v>
      </c>
      <c r="AL194" s="5">
        <f>VLOOKUP($A194,'SegEnds_NonXtal_Prot#'!$A:$AL,29,FALSE)</f>
        <v>211</v>
      </c>
      <c r="AM194" s="5">
        <f>VLOOKUP($A194,'SegEnds_NonXtal_Prot#'!$A:$AL,32,FALSE)</f>
        <v>250</v>
      </c>
      <c r="AN194" s="5">
        <f>VLOOKUP($A194,'SegEnds_NonXtal_Prot#'!$A:$AL,35,FALSE)</f>
        <v>288</v>
      </c>
      <c r="AO194" s="5">
        <f>VLOOKUP($A194,'SegEnds_NonXtal_Prot#'!$A:$AL,38,FALSE)</f>
        <v>301</v>
      </c>
      <c r="AP194" s="5">
        <f t="shared" ref="AP194:AP257" si="88">IFERROR(AD194-R194,"-")</f>
        <v>31</v>
      </c>
      <c r="AQ194" s="4">
        <f t="shared" ref="AQ194:AQ257" si="89">IFERROR(AE194-S194,"-")</f>
        <v>3</v>
      </c>
      <c r="AR194" s="4">
        <f t="shared" ref="AR194:AR257" si="90">IFERROR(AF194-T194,"-")</f>
        <v>29</v>
      </c>
      <c r="AS194" s="4">
        <f t="shared" ref="AS194:AS257" si="91">IFERROR(AG194-U194,"-")</f>
        <v>3</v>
      </c>
      <c r="AT194" s="4">
        <f t="shared" ref="AT194:AT257" si="92">IFERROR(AH194-V194,"-")</f>
        <v>35</v>
      </c>
      <c r="AU194" s="4">
        <f t="shared" ref="AU194:AU257" si="93">IFERROR(AI194-W194,"-")</f>
        <v>7</v>
      </c>
      <c r="AV194" s="4">
        <f t="shared" ref="AV194:AV257" si="94">IFERROR(AJ194-X194,"-")</f>
        <v>26</v>
      </c>
      <c r="AW194" s="4">
        <f t="shared" ref="AW194:AW257" si="95">IFERROR(AK194-Y194,"-")</f>
        <v>2</v>
      </c>
      <c r="AX194" s="4">
        <f t="shared" ref="AX194:AX257" si="96">IFERROR(AL194-Z194,"-")</f>
        <v>39</v>
      </c>
      <c r="AY194" s="4">
        <f t="shared" ref="AY194:AY257" si="97">IFERROR(AM194-AA194,"-")</f>
        <v>34</v>
      </c>
      <c r="AZ194" s="4">
        <f t="shared" ref="AZ194:AZ257" si="98">IFERROR(AN194-AB194,"-")</f>
        <v>32</v>
      </c>
      <c r="BA194" s="4">
        <f t="shared" ref="BA194:BA257" si="99">IFERROR(AO194-AC194,"-")</f>
        <v>12</v>
      </c>
    </row>
    <row r="195" spans="1:53" x14ac:dyDescent="0.2">
      <c r="A195" s="1" t="str">
        <f>'SegEnds_NonXtal_Prot#'!A173</f>
        <v>mas_human</v>
      </c>
      <c r="B195" s="1" t="str">
        <f t="shared" si="75"/>
        <v>AHRQIPIVHWVIMSISPVGFVENGILLWFLCFRNPFTVYITHLSIADISLLFCIFILSIDYALDSSGHYYTIVTLSVTFLFGYNTGLYLLTAISVERCLSVLYPKYQSALVCALLWALSCLVTTMEYVMCRAVIIFIAILSFLVFTPLMLVSSTILVVKIRKNTWSSKLYIVIMVTIIIFLIFAMPMRLLYLLYYEYGNLHHISLLFSTINSSANPFIYFFVGSSKKKRFKESLKVV</v>
      </c>
      <c r="C195" s="29" t="str">
        <f>IF(ISERROR(MATCH(A195,'SegEnds_Xtal_Prot#'!B:B, 0)), "NoXtal", "Xtal")</f>
        <v>NoXtal</v>
      </c>
      <c r="D195" s="4" t="str">
        <f>VLOOKUP(A195,Classification!A:D,2,FALSE)</f>
        <v>A</v>
      </c>
      <c r="E195" s="5" t="str">
        <f>VLOOKUP(A195,Seqs!A:B,2,FALSE)</f>
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</c>
      <c r="F195" s="5" t="str">
        <f t="shared" si="76"/>
        <v>AHRQIPIVHWVIMSISPVGFVENGILLWFLCFR</v>
      </c>
      <c r="G195" s="4" t="str">
        <f t="shared" si="77"/>
        <v/>
      </c>
      <c r="H195" s="4" t="str">
        <f t="shared" si="78"/>
        <v>NPFTVYITHLSIADISLLFCIFILSIDYALD</v>
      </c>
      <c r="I195" s="4" t="str">
        <f t="shared" si="79"/>
        <v/>
      </c>
      <c r="J195" s="4" t="str">
        <f t="shared" si="80"/>
        <v>SSGHYYTIVTLSVTFLFGYNTGLYLLTAISVERCLSVLY</v>
      </c>
      <c r="K195" s="4" t="str">
        <f t="shared" si="81"/>
        <v>PIWYRCHR</v>
      </c>
      <c r="L195" s="4" t="str">
        <f t="shared" si="82"/>
        <v>PKYQSALVCALLWALSCLVTTMEYVMC</v>
      </c>
      <c r="M195" s="4" t="str">
        <f t="shared" si="83"/>
        <v/>
      </c>
      <c r="N195" s="4" t="str">
        <f t="shared" si="84"/>
        <v>RAVIIFIAILSFLVFTPLMLVSSTILVVKIRKNTW</v>
      </c>
      <c r="O195" s="4" t="str">
        <f t="shared" si="85"/>
        <v>SSKLYIVIMVTIIIFLIFAMPMRLLYLLYYEY</v>
      </c>
      <c r="P195" s="4" t="str">
        <f t="shared" si="86"/>
        <v>GNLHHISLLFSTINSSANPFIYFFV</v>
      </c>
      <c r="Q195" s="4" t="str">
        <f t="shared" si="87"/>
        <v>GSSKKKRFKESLKVV</v>
      </c>
      <c r="R195" s="5">
        <f>VLOOKUP($A195,'SegEnds_NonXtal_Prot#'!$A:$AL,3,FALSE)</f>
        <v>28</v>
      </c>
      <c r="S195" s="5" t="str">
        <f>VLOOKUP($A195,'SegEnds_NonXtal_Prot#'!$A:$AL,6,FALSE)</f>
        <v>-</v>
      </c>
      <c r="T195" s="5">
        <f>VLOOKUP($A195,'SegEnds_NonXtal_Prot#'!$A:$AL,9,FALSE)</f>
        <v>64</v>
      </c>
      <c r="U195" s="5" t="str">
        <f>VLOOKUP($A195,'SegEnds_NonXtal_Prot#'!$A:$AL,12,FALSE)</f>
        <v>-</v>
      </c>
      <c r="V195" s="5">
        <f>VLOOKUP($A195,'SegEnds_NonXtal_Prot#'!$A:$AL,15,FALSE)</f>
        <v>98</v>
      </c>
      <c r="W195" s="5">
        <f>VLOOKUP($A195,'SegEnds_NonXtal_Prot#'!$A:$AL,18,FALSE)</f>
        <v>137</v>
      </c>
      <c r="X195" s="5">
        <f>VLOOKUP($A195,'SegEnds_NonXtal_Prot#'!$A:$AL,21,FALSE)</f>
        <v>145</v>
      </c>
      <c r="Y195" s="5" t="str">
        <f>VLOOKUP($A195,'SegEnds_NonXtal_Prot#'!$A:$AL,24,FALSE)</f>
        <v>-</v>
      </c>
      <c r="Z195" s="5">
        <f>VLOOKUP($A195,'SegEnds_NonXtal_Prot#'!$A:$AL,27,FALSE)</f>
        <v>185</v>
      </c>
      <c r="AA195" s="5">
        <f>VLOOKUP($A195,'SegEnds_NonXtal_Prot#'!$A:$AL,30,FALSE)</f>
        <v>223</v>
      </c>
      <c r="AB195" s="5">
        <f>VLOOKUP($A195,'SegEnds_NonXtal_Prot#'!$A:$AL,33,FALSE)</f>
        <v>259</v>
      </c>
      <c r="AC195" s="5">
        <f>VLOOKUP($A195,'SegEnds_NonXtal_Prot#'!$A:$AL,36,FALSE)</f>
        <v>284</v>
      </c>
      <c r="AD195" s="5">
        <f>VLOOKUP($A195,'SegEnds_NonXtal_Prot#'!$A:$AL,5,FALSE)</f>
        <v>60</v>
      </c>
      <c r="AE195" s="5" t="str">
        <f>VLOOKUP($A195,'SegEnds_NonXtal_Prot#'!$A:$AL,8,FALSE)</f>
        <v>-</v>
      </c>
      <c r="AF195" s="5">
        <f>VLOOKUP($A195,'SegEnds_NonXtal_Prot#'!$A:$AL,11,FALSE)</f>
        <v>94</v>
      </c>
      <c r="AG195" s="5" t="str">
        <f>VLOOKUP($A195,'SegEnds_NonXtal_Prot#'!$A:$AL,14,FALSE)</f>
        <v>-</v>
      </c>
      <c r="AH195" s="5">
        <f>VLOOKUP($A195,'SegEnds_NonXtal_Prot#'!$A:$AL,17,FALSE)</f>
        <v>136</v>
      </c>
      <c r="AI195" s="5">
        <f>VLOOKUP($A195,'SegEnds_NonXtal_Prot#'!$A:$AL,20,FALSE)</f>
        <v>144</v>
      </c>
      <c r="AJ195" s="5">
        <f>VLOOKUP($A195,'SegEnds_NonXtal_Prot#'!$A:$AL,23,FALSE)</f>
        <v>171</v>
      </c>
      <c r="AK195" s="5" t="str">
        <f>VLOOKUP($A195,'SegEnds_NonXtal_Prot#'!$A:$AL,26,FALSE)</f>
        <v>-</v>
      </c>
      <c r="AL195" s="5">
        <f>VLOOKUP($A195,'SegEnds_NonXtal_Prot#'!$A:$AL,29,FALSE)</f>
        <v>219</v>
      </c>
      <c r="AM195" s="5">
        <f>VLOOKUP($A195,'SegEnds_NonXtal_Prot#'!$A:$AL,32,FALSE)</f>
        <v>254</v>
      </c>
      <c r="AN195" s="5">
        <f>VLOOKUP($A195,'SegEnds_NonXtal_Prot#'!$A:$AL,35,FALSE)</f>
        <v>283</v>
      </c>
      <c r="AO195" s="5">
        <f>VLOOKUP($A195,'SegEnds_NonXtal_Prot#'!$A:$AL,38,FALSE)</f>
        <v>298</v>
      </c>
      <c r="AP195" s="5">
        <f t="shared" si="88"/>
        <v>32</v>
      </c>
      <c r="AQ195" s="4" t="str">
        <f t="shared" si="89"/>
        <v>-</v>
      </c>
      <c r="AR195" s="4">
        <f t="shared" si="90"/>
        <v>30</v>
      </c>
      <c r="AS195" s="4" t="str">
        <f t="shared" si="91"/>
        <v>-</v>
      </c>
      <c r="AT195" s="4">
        <f t="shared" si="92"/>
        <v>38</v>
      </c>
      <c r="AU195" s="4">
        <f t="shared" si="93"/>
        <v>7</v>
      </c>
      <c r="AV195" s="4">
        <f t="shared" si="94"/>
        <v>26</v>
      </c>
      <c r="AW195" s="4" t="str">
        <f t="shared" si="95"/>
        <v>-</v>
      </c>
      <c r="AX195" s="4">
        <f t="shared" si="96"/>
        <v>34</v>
      </c>
      <c r="AY195" s="4">
        <f t="shared" si="97"/>
        <v>31</v>
      </c>
      <c r="AZ195" s="4">
        <f t="shared" si="98"/>
        <v>24</v>
      </c>
      <c r="BA195" s="4">
        <f t="shared" si="99"/>
        <v>14</v>
      </c>
    </row>
    <row r="196" spans="1:53" x14ac:dyDescent="0.2">
      <c r="A196" s="1" t="str">
        <f>'SegEnds_NonXtal_Prot#'!A174</f>
        <v>mas1l_human</v>
      </c>
      <c r="B196" s="1" t="str">
        <f t="shared" si="75"/>
        <v>QQALPLNIIAPKAVLVSLCGVLLNGTVFWLLCCGNPYMVYILHLVAADVIYLCCSAVGFLQVTLHGVVFFIPDFLAILSPFSFEVCLCLLVAISTERCVCVLFPKYTSNVVCTLIWGLPFCINIVKSLFLACVIFLKLSGLFHAILSLVMCVSSLTLLIRFLCCSQATRVYAVVQISAPMFLLWALPLSVAPLITDFKTSYLISLFLIINSSANPIIYFFVGSLRKKRLKESLRVILQRALA</v>
      </c>
      <c r="C196" s="29" t="str">
        <f>IF(ISERROR(MATCH(A196,'SegEnds_Xtal_Prot#'!B:B, 0)), "NoXtal", "Xtal")</f>
        <v>NoXtal</v>
      </c>
      <c r="D196" s="4" t="str">
        <f>VLOOKUP(A196,Classification!A:D,2,FALSE)</f>
        <v>A</v>
      </c>
      <c r="E196" s="5" t="str">
        <f>VLOOKUP(A196,Seqs!A:B,2,FALSE)</f>
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</c>
      <c r="F196" s="5" t="str">
        <f t="shared" si="76"/>
        <v>QQALPLNIIAPKAVLVSLCGVLLNGTVFWLLCCG</v>
      </c>
      <c r="G196" s="4" t="str">
        <f t="shared" si="77"/>
        <v/>
      </c>
      <c r="H196" s="4" t="str">
        <f t="shared" si="78"/>
        <v>NPYMVYILHLVAADVIYLCCSAVGFLQVTL</v>
      </c>
      <c r="I196" s="4" t="str">
        <f t="shared" si="79"/>
        <v/>
      </c>
      <c r="J196" s="4" t="str">
        <f t="shared" si="80"/>
        <v>HGVVFFIPDFLAILSPFSFEVCLCLLVAISTERCVCVLF</v>
      </c>
      <c r="K196" s="4" t="str">
        <f t="shared" si="81"/>
        <v>PIWYRCHR</v>
      </c>
      <c r="L196" s="4" t="str">
        <f t="shared" si="82"/>
        <v>PKYTSNVVCTLIWGLPFCINIVKSLFL</v>
      </c>
      <c r="M196" s="4" t="str">
        <f t="shared" si="83"/>
        <v/>
      </c>
      <c r="N196" s="4" t="str">
        <f t="shared" si="84"/>
        <v>ACVIFLKLSGLFHAILSLVMCVSSLTLLIRFLCCSQ</v>
      </c>
      <c r="O196" s="4" t="str">
        <f t="shared" si="85"/>
        <v>ATRVYAVVQISAPMFLLWALPLSVAPLITDFK</v>
      </c>
      <c r="P196" s="4" t="str">
        <f t="shared" si="86"/>
        <v>TSYLISLFLIINSSANPIIYFFV</v>
      </c>
      <c r="Q196" s="4" t="str">
        <f t="shared" si="87"/>
        <v>GSLRKKRLKESLRVILQRALA</v>
      </c>
      <c r="R196" s="5">
        <f>VLOOKUP($A196,'SegEnds_NonXtal_Prot#'!$A:$AL,3,FALSE)</f>
        <v>70</v>
      </c>
      <c r="S196" s="5" t="str">
        <f>VLOOKUP($A196,'SegEnds_NonXtal_Prot#'!$A:$AL,6,FALSE)</f>
        <v>-</v>
      </c>
      <c r="T196" s="5">
        <f>VLOOKUP($A196,'SegEnds_NonXtal_Prot#'!$A:$AL,9,FALSE)</f>
        <v>106</v>
      </c>
      <c r="U196" s="5" t="str">
        <f>VLOOKUP($A196,'SegEnds_NonXtal_Prot#'!$A:$AL,12,FALSE)</f>
        <v>-</v>
      </c>
      <c r="V196" s="5">
        <f>VLOOKUP($A196,'SegEnds_NonXtal_Prot#'!$A:$AL,15,FALSE)</f>
        <v>139</v>
      </c>
      <c r="W196" s="5">
        <f>VLOOKUP($A196,'SegEnds_NonXtal_Prot#'!$A:$AL,18,FALSE)</f>
        <v>178</v>
      </c>
      <c r="X196" s="5">
        <f>VLOOKUP($A196,'SegEnds_NonXtal_Prot#'!$A:$AL,21,FALSE)</f>
        <v>186</v>
      </c>
      <c r="Y196" s="5" t="str">
        <f>VLOOKUP($A196,'SegEnds_NonXtal_Prot#'!$A:$AL,24,FALSE)</f>
        <v>-</v>
      </c>
      <c r="Z196" s="5">
        <f>VLOOKUP($A196,'SegEnds_NonXtal_Prot#'!$A:$AL,27,FALSE)</f>
        <v>220</v>
      </c>
      <c r="AA196" s="5">
        <f>VLOOKUP($A196,'SegEnds_NonXtal_Prot#'!$A:$AL,30,FALSE)</f>
        <v>259</v>
      </c>
      <c r="AB196" s="5">
        <f>VLOOKUP($A196,'SegEnds_NonXtal_Prot#'!$A:$AL,33,FALSE)</f>
        <v>295</v>
      </c>
      <c r="AC196" s="5">
        <f>VLOOKUP($A196,'SegEnds_NonXtal_Prot#'!$A:$AL,36,FALSE)</f>
        <v>318</v>
      </c>
      <c r="AD196" s="5">
        <f>VLOOKUP($A196,'SegEnds_NonXtal_Prot#'!$A:$AL,5,FALSE)</f>
        <v>103</v>
      </c>
      <c r="AE196" s="5" t="str">
        <f>VLOOKUP($A196,'SegEnds_NonXtal_Prot#'!$A:$AL,8,FALSE)</f>
        <v>-</v>
      </c>
      <c r="AF196" s="5">
        <f>VLOOKUP($A196,'SegEnds_NonXtal_Prot#'!$A:$AL,11,FALSE)</f>
        <v>135</v>
      </c>
      <c r="AG196" s="5" t="str">
        <f>VLOOKUP($A196,'SegEnds_NonXtal_Prot#'!$A:$AL,14,FALSE)</f>
        <v>-</v>
      </c>
      <c r="AH196" s="5">
        <f>VLOOKUP($A196,'SegEnds_NonXtal_Prot#'!$A:$AL,17,FALSE)</f>
        <v>177</v>
      </c>
      <c r="AI196" s="5">
        <f>VLOOKUP($A196,'SegEnds_NonXtal_Prot#'!$A:$AL,20,FALSE)</f>
        <v>185</v>
      </c>
      <c r="AJ196" s="5">
        <f>VLOOKUP($A196,'SegEnds_NonXtal_Prot#'!$A:$AL,23,FALSE)</f>
        <v>212</v>
      </c>
      <c r="AK196" s="5" t="str">
        <f>VLOOKUP($A196,'SegEnds_NonXtal_Prot#'!$A:$AL,26,FALSE)</f>
        <v>-</v>
      </c>
      <c r="AL196" s="5">
        <f>VLOOKUP($A196,'SegEnds_NonXtal_Prot#'!$A:$AL,29,FALSE)</f>
        <v>255</v>
      </c>
      <c r="AM196" s="5">
        <f>VLOOKUP($A196,'SegEnds_NonXtal_Prot#'!$A:$AL,32,FALSE)</f>
        <v>290</v>
      </c>
      <c r="AN196" s="5">
        <f>VLOOKUP($A196,'SegEnds_NonXtal_Prot#'!$A:$AL,35,FALSE)</f>
        <v>317</v>
      </c>
      <c r="AO196" s="5">
        <f>VLOOKUP($A196,'SegEnds_NonXtal_Prot#'!$A:$AL,38,FALSE)</f>
        <v>338</v>
      </c>
      <c r="AP196" s="5">
        <f t="shared" si="88"/>
        <v>33</v>
      </c>
      <c r="AQ196" s="4" t="str">
        <f t="shared" si="89"/>
        <v>-</v>
      </c>
      <c r="AR196" s="4">
        <f t="shared" si="90"/>
        <v>29</v>
      </c>
      <c r="AS196" s="4" t="str">
        <f t="shared" si="91"/>
        <v>-</v>
      </c>
      <c r="AT196" s="4">
        <f t="shared" si="92"/>
        <v>38</v>
      </c>
      <c r="AU196" s="4">
        <f t="shared" si="93"/>
        <v>7</v>
      </c>
      <c r="AV196" s="4">
        <f t="shared" si="94"/>
        <v>26</v>
      </c>
      <c r="AW196" s="4" t="str">
        <f t="shared" si="95"/>
        <v>-</v>
      </c>
      <c r="AX196" s="4">
        <f t="shared" si="96"/>
        <v>35</v>
      </c>
      <c r="AY196" s="4">
        <f t="shared" si="97"/>
        <v>31</v>
      </c>
      <c r="AZ196" s="4">
        <f t="shared" si="98"/>
        <v>22</v>
      </c>
      <c r="BA196" s="4">
        <f t="shared" si="99"/>
        <v>20</v>
      </c>
    </row>
    <row r="197" spans="1:53" x14ac:dyDescent="0.2">
      <c r="A197" s="1" t="str">
        <f>'SegEnds_NonXtal_Prot#'!A175</f>
        <v>mc3r_human</v>
      </c>
      <c r="B197" s="1" t="str">
        <f t="shared" si="75"/>
        <v>EQVFIKPEVFLSLGIVSLLENILVILAVVRNSPMYFFLCSLAVADMLVSVSNALETIMIAIVDQFIQHMDNIFDSMICISLVASICNLLAIAVDRYVTIFYTVRKALTLIVAIWVCCGVCGVVFIVYLITMFFAMMLLMGTLYVHMFLFARLHVKRIAALPPAQHSCMKGAVTITILLGVFIFCWAPFFLHLVLIITCCYTAHFNTYLVLIMCNSVIDPLIYAFRSLELRNTFREILC</v>
      </c>
      <c r="C197" s="29" t="str">
        <f>IF(ISERROR(MATCH(A197,'SegEnds_Xtal_Prot#'!B:B, 0)), "NoXtal", "Xtal")</f>
        <v>NoXtal</v>
      </c>
      <c r="D197" s="4" t="str">
        <f>VLOOKUP(A197,Classification!A:D,2,FALSE)</f>
        <v>A</v>
      </c>
      <c r="E197" s="5" t="str">
        <f>VLOOKUP(A197,Seqs!A:B,2,FALSE)</f>
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</c>
      <c r="F197" s="5" t="str">
        <f t="shared" si="76"/>
        <v>EQVFIKPEVFLSLGIVSLLENILVILAVVRN</v>
      </c>
      <c r="G197" s="4" t="str">
        <f t="shared" si="77"/>
        <v>GNLH</v>
      </c>
      <c r="H197" s="4" t="str">
        <f t="shared" si="78"/>
        <v>SPMYFFLCSLAVADMLVSVSNALETIMIAIV</v>
      </c>
      <c r="I197" s="4" t="str">
        <f t="shared" si="79"/>
        <v/>
      </c>
      <c r="J197" s="4" t="str">
        <f t="shared" si="80"/>
        <v>DQFIQHMDNIFDSMICISLVASICNLLAIAVDRYVTIFY</v>
      </c>
      <c r="K197" s="4" t="str">
        <f t="shared" si="81"/>
        <v>ALRYHSIM</v>
      </c>
      <c r="L197" s="4" t="str">
        <f t="shared" si="82"/>
        <v>TVRKALTLIVAIWVCCGVCGVVFIVY</v>
      </c>
      <c r="M197" s="4" t="str">
        <f t="shared" si="83"/>
        <v/>
      </c>
      <c r="N197" s="4" t="str">
        <f t="shared" si="84"/>
        <v>LITMFFAMMLLMGTLYVHMFLFARLHVKRIAALPPA</v>
      </c>
      <c r="O197" s="4" t="str">
        <f t="shared" si="85"/>
        <v>QHSCMKGAVTITILLGVFIFCWAPFFLHLVLIITC</v>
      </c>
      <c r="P197" s="4" t="str">
        <f t="shared" si="86"/>
        <v>CYTAHFNTYLVLIMCNSVIDPLIYAFR</v>
      </c>
      <c r="Q197" s="4" t="str">
        <f t="shared" si="87"/>
        <v>SLELRNTFREILC</v>
      </c>
      <c r="R197" s="5">
        <f>VLOOKUP($A197,'SegEnds_NonXtal_Prot#'!$A:$AL,3,FALSE)</f>
        <v>36</v>
      </c>
      <c r="S197" s="5">
        <f>VLOOKUP($A197,'SegEnds_NonXtal_Prot#'!$A:$AL,6,FALSE)</f>
        <v>67</v>
      </c>
      <c r="T197" s="5">
        <f>VLOOKUP($A197,'SegEnds_NonXtal_Prot#'!$A:$AL,9,FALSE)</f>
        <v>71</v>
      </c>
      <c r="U197" s="5" t="str">
        <f>VLOOKUP($A197,'SegEnds_NonXtal_Prot#'!$A:$AL,12,FALSE)</f>
        <v>-</v>
      </c>
      <c r="V197" s="5">
        <f>VLOOKUP($A197,'SegEnds_NonXtal_Prot#'!$A:$AL,15,FALSE)</f>
        <v>110</v>
      </c>
      <c r="W197" s="5">
        <f>VLOOKUP($A197,'SegEnds_NonXtal_Prot#'!$A:$AL,18,FALSE)</f>
        <v>149</v>
      </c>
      <c r="X197" s="5">
        <f>VLOOKUP($A197,'SegEnds_NonXtal_Prot#'!$A:$AL,21,FALSE)</f>
        <v>157</v>
      </c>
      <c r="Y197" s="5" t="str">
        <f>VLOOKUP($A197,'SegEnds_NonXtal_Prot#'!$A:$AL,24,FALSE)</f>
        <v>-</v>
      </c>
      <c r="Z197" s="5">
        <f>VLOOKUP($A197,'SegEnds_NonXtal_Prot#'!$A:$AL,27,FALSE)</f>
        <v>192</v>
      </c>
      <c r="AA197" s="5">
        <f>VLOOKUP($A197,'SegEnds_NonXtal_Prot#'!$A:$AL,30,FALSE)</f>
        <v>234</v>
      </c>
      <c r="AB197" s="5">
        <f>VLOOKUP($A197,'SegEnds_NonXtal_Prot#'!$A:$AL,33,FALSE)</f>
        <v>276</v>
      </c>
      <c r="AC197" s="5">
        <f>VLOOKUP($A197,'SegEnds_NonXtal_Prot#'!$A:$AL,36,FALSE)</f>
        <v>303</v>
      </c>
      <c r="AD197" s="5">
        <f>VLOOKUP($A197,'SegEnds_NonXtal_Prot#'!$A:$AL,5,FALSE)</f>
        <v>66</v>
      </c>
      <c r="AE197" s="5">
        <f>VLOOKUP($A197,'SegEnds_NonXtal_Prot#'!$A:$AL,8,FALSE)</f>
        <v>70</v>
      </c>
      <c r="AF197" s="5">
        <f>VLOOKUP($A197,'SegEnds_NonXtal_Prot#'!$A:$AL,11,FALSE)</f>
        <v>101</v>
      </c>
      <c r="AG197" s="5" t="str">
        <f>VLOOKUP($A197,'SegEnds_NonXtal_Prot#'!$A:$AL,14,FALSE)</f>
        <v>-</v>
      </c>
      <c r="AH197" s="5">
        <f>VLOOKUP($A197,'SegEnds_NonXtal_Prot#'!$A:$AL,17,FALSE)</f>
        <v>148</v>
      </c>
      <c r="AI197" s="5">
        <f>VLOOKUP($A197,'SegEnds_NonXtal_Prot#'!$A:$AL,20,FALSE)</f>
        <v>156</v>
      </c>
      <c r="AJ197" s="5">
        <f>VLOOKUP($A197,'SegEnds_NonXtal_Prot#'!$A:$AL,23,FALSE)</f>
        <v>182</v>
      </c>
      <c r="AK197" s="5" t="str">
        <f>VLOOKUP($A197,'SegEnds_NonXtal_Prot#'!$A:$AL,26,FALSE)</f>
        <v>-</v>
      </c>
      <c r="AL197" s="5">
        <f>VLOOKUP($A197,'SegEnds_NonXtal_Prot#'!$A:$AL,29,FALSE)</f>
        <v>227</v>
      </c>
      <c r="AM197" s="5">
        <f>VLOOKUP($A197,'SegEnds_NonXtal_Prot#'!$A:$AL,32,FALSE)</f>
        <v>268</v>
      </c>
      <c r="AN197" s="5">
        <f>VLOOKUP($A197,'SegEnds_NonXtal_Prot#'!$A:$AL,35,FALSE)</f>
        <v>302</v>
      </c>
      <c r="AO197" s="5">
        <f>VLOOKUP($A197,'SegEnds_NonXtal_Prot#'!$A:$AL,38,FALSE)</f>
        <v>315</v>
      </c>
      <c r="AP197" s="5">
        <f t="shared" si="88"/>
        <v>30</v>
      </c>
      <c r="AQ197" s="4">
        <f t="shared" si="89"/>
        <v>3</v>
      </c>
      <c r="AR197" s="4">
        <f t="shared" si="90"/>
        <v>30</v>
      </c>
      <c r="AS197" s="4" t="str">
        <f t="shared" si="91"/>
        <v>-</v>
      </c>
      <c r="AT197" s="4">
        <f t="shared" si="92"/>
        <v>38</v>
      </c>
      <c r="AU197" s="4">
        <f t="shared" si="93"/>
        <v>7</v>
      </c>
      <c r="AV197" s="4">
        <f t="shared" si="94"/>
        <v>25</v>
      </c>
      <c r="AW197" s="4" t="str">
        <f t="shared" si="95"/>
        <v>-</v>
      </c>
      <c r="AX197" s="4">
        <f t="shared" si="96"/>
        <v>35</v>
      </c>
      <c r="AY197" s="4">
        <f t="shared" si="97"/>
        <v>34</v>
      </c>
      <c r="AZ197" s="4">
        <f t="shared" si="98"/>
        <v>26</v>
      </c>
      <c r="BA197" s="4">
        <f t="shared" si="99"/>
        <v>12</v>
      </c>
    </row>
    <row r="198" spans="1:53" x14ac:dyDescent="0.2">
      <c r="A198" s="1" t="str">
        <f>'SegEnds_NonXtal_Prot#'!A176</f>
        <v>mc4r_human</v>
      </c>
      <c r="B198" s="1" t="str">
        <f t="shared" si="75"/>
        <v>YEQLFVSPEVFVTLGVISLLENILVIVAIAKNSPMYFFICSLAVADMLVSVSNGSETIVITLLQSFTVNIDNVIDSVICSSLLASICSLLSIAVDRYFTIFYTVKRVGIIISCIWAACTVSGILFIIYLITMFFTMLALMASLYVHMFLMARLHIKRIAVLPGQGANMKGAITLTILIGVFVVCWAPFFLHLIFYISCCFMSHFNLYLILIMCNSIIDPLIYALRSQELRKTFKEIIC</v>
      </c>
      <c r="C198" s="29" t="str">
        <f>IF(ISERROR(MATCH(A198,'SegEnds_Xtal_Prot#'!B:B, 0)), "NoXtal", "Xtal")</f>
        <v>NoXtal</v>
      </c>
      <c r="D198" s="4" t="str">
        <f>VLOOKUP(A198,Classification!A:D,2,FALSE)</f>
        <v>A</v>
      </c>
      <c r="E198" s="5" t="str">
        <f>VLOOKUP(A198,Seqs!A:B,2,FALSE)</f>
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</c>
      <c r="F198" s="5" t="str">
        <f t="shared" si="76"/>
        <v>YEQLFVSPEVFVTLGVISLLENILVIVAIAKN</v>
      </c>
      <c r="G198" s="4" t="str">
        <f t="shared" si="77"/>
        <v>KNLH</v>
      </c>
      <c r="H198" s="4" t="str">
        <f t="shared" si="78"/>
        <v>SPMYFFICSLAVADMLVSVSNGSETIVITLL</v>
      </c>
      <c r="I198" s="4" t="str">
        <f t="shared" si="79"/>
        <v/>
      </c>
      <c r="J198" s="4" t="str">
        <f t="shared" si="80"/>
        <v>QSFTVNIDNVIDSVICSSLLASICSLLSIAVDRYFTIFY</v>
      </c>
      <c r="K198" s="4" t="str">
        <f t="shared" si="81"/>
        <v>ALQYHNIM</v>
      </c>
      <c r="L198" s="4" t="str">
        <f t="shared" si="82"/>
        <v>TVKRVGIIISCIWAACTVSGILFIIY</v>
      </c>
      <c r="M198" s="4" t="str">
        <f t="shared" si="83"/>
        <v/>
      </c>
      <c r="N198" s="4" t="str">
        <f t="shared" si="84"/>
        <v>LITMFFTMLALMASLYVHMFLMARLHIKRIAVLPG</v>
      </c>
      <c r="O198" s="4" t="str">
        <f t="shared" si="85"/>
        <v>QGANMKGAITLTILIGVFVVCWAPFFLHLIFYISC</v>
      </c>
      <c r="P198" s="4" t="str">
        <f t="shared" si="86"/>
        <v>CFMSHFNLYLILIMCNSIIDPLIYALR</v>
      </c>
      <c r="Q198" s="4" t="str">
        <f t="shared" si="87"/>
        <v>SQELRKTFKEIIC</v>
      </c>
      <c r="R198" s="5">
        <f>VLOOKUP($A198,'SegEnds_NonXtal_Prot#'!$A:$AL,3,FALSE)</f>
        <v>41</v>
      </c>
      <c r="S198" s="5">
        <f>VLOOKUP($A198,'SegEnds_NonXtal_Prot#'!$A:$AL,6,FALSE)</f>
        <v>73</v>
      </c>
      <c r="T198" s="5">
        <f>VLOOKUP($A198,'SegEnds_NonXtal_Prot#'!$A:$AL,9,FALSE)</f>
        <v>77</v>
      </c>
      <c r="U198" s="5" t="str">
        <f>VLOOKUP($A198,'SegEnds_NonXtal_Prot#'!$A:$AL,12,FALSE)</f>
        <v>-</v>
      </c>
      <c r="V198" s="5">
        <f>VLOOKUP($A198,'SegEnds_NonXtal_Prot#'!$A:$AL,15,FALSE)</f>
        <v>115</v>
      </c>
      <c r="W198" s="5">
        <f>VLOOKUP($A198,'SegEnds_NonXtal_Prot#'!$A:$AL,18,FALSE)</f>
        <v>154</v>
      </c>
      <c r="X198" s="5">
        <f>VLOOKUP($A198,'SegEnds_NonXtal_Prot#'!$A:$AL,21,FALSE)</f>
        <v>162</v>
      </c>
      <c r="Y198" s="5" t="str">
        <f>VLOOKUP($A198,'SegEnds_NonXtal_Prot#'!$A:$AL,24,FALSE)</f>
        <v>-</v>
      </c>
      <c r="Z198" s="5">
        <f>VLOOKUP($A198,'SegEnds_NonXtal_Prot#'!$A:$AL,27,FALSE)</f>
        <v>197</v>
      </c>
      <c r="AA198" s="5">
        <f>VLOOKUP($A198,'SegEnds_NonXtal_Prot#'!$A:$AL,30,FALSE)</f>
        <v>237</v>
      </c>
      <c r="AB198" s="5">
        <f>VLOOKUP($A198,'SegEnds_NonXtal_Prot#'!$A:$AL,33,FALSE)</f>
        <v>279</v>
      </c>
      <c r="AC198" s="5">
        <f>VLOOKUP($A198,'SegEnds_NonXtal_Prot#'!$A:$AL,36,FALSE)</f>
        <v>306</v>
      </c>
      <c r="AD198" s="5">
        <f>VLOOKUP($A198,'SegEnds_NonXtal_Prot#'!$A:$AL,5,FALSE)</f>
        <v>72</v>
      </c>
      <c r="AE198" s="5">
        <f>VLOOKUP($A198,'SegEnds_NonXtal_Prot#'!$A:$AL,8,FALSE)</f>
        <v>76</v>
      </c>
      <c r="AF198" s="5">
        <f>VLOOKUP($A198,'SegEnds_NonXtal_Prot#'!$A:$AL,11,FALSE)</f>
        <v>107</v>
      </c>
      <c r="AG198" s="5" t="str">
        <f>VLOOKUP($A198,'SegEnds_NonXtal_Prot#'!$A:$AL,14,FALSE)</f>
        <v>-</v>
      </c>
      <c r="AH198" s="5">
        <f>VLOOKUP($A198,'SegEnds_NonXtal_Prot#'!$A:$AL,17,FALSE)</f>
        <v>153</v>
      </c>
      <c r="AI198" s="5">
        <f>VLOOKUP($A198,'SegEnds_NonXtal_Prot#'!$A:$AL,20,FALSE)</f>
        <v>161</v>
      </c>
      <c r="AJ198" s="5">
        <f>VLOOKUP($A198,'SegEnds_NonXtal_Prot#'!$A:$AL,23,FALSE)</f>
        <v>187</v>
      </c>
      <c r="AK198" s="5" t="str">
        <f>VLOOKUP($A198,'SegEnds_NonXtal_Prot#'!$A:$AL,26,FALSE)</f>
        <v>-</v>
      </c>
      <c r="AL198" s="5">
        <f>VLOOKUP($A198,'SegEnds_NonXtal_Prot#'!$A:$AL,29,FALSE)</f>
        <v>231</v>
      </c>
      <c r="AM198" s="5">
        <f>VLOOKUP($A198,'SegEnds_NonXtal_Prot#'!$A:$AL,32,FALSE)</f>
        <v>271</v>
      </c>
      <c r="AN198" s="5">
        <f>VLOOKUP($A198,'SegEnds_NonXtal_Prot#'!$A:$AL,35,FALSE)</f>
        <v>305</v>
      </c>
      <c r="AO198" s="5">
        <f>VLOOKUP($A198,'SegEnds_NonXtal_Prot#'!$A:$AL,38,FALSE)</f>
        <v>318</v>
      </c>
      <c r="AP198" s="5">
        <f t="shared" si="88"/>
        <v>31</v>
      </c>
      <c r="AQ198" s="4">
        <f t="shared" si="89"/>
        <v>3</v>
      </c>
      <c r="AR198" s="4">
        <f t="shared" si="90"/>
        <v>30</v>
      </c>
      <c r="AS198" s="4" t="str">
        <f t="shared" si="91"/>
        <v>-</v>
      </c>
      <c r="AT198" s="4">
        <f t="shared" si="92"/>
        <v>38</v>
      </c>
      <c r="AU198" s="4">
        <f t="shared" si="93"/>
        <v>7</v>
      </c>
      <c r="AV198" s="4">
        <f t="shared" si="94"/>
        <v>25</v>
      </c>
      <c r="AW198" s="4" t="str">
        <f t="shared" si="95"/>
        <v>-</v>
      </c>
      <c r="AX198" s="4">
        <f t="shared" si="96"/>
        <v>34</v>
      </c>
      <c r="AY198" s="4">
        <f t="shared" si="97"/>
        <v>34</v>
      </c>
      <c r="AZ198" s="4">
        <f t="shared" si="98"/>
        <v>26</v>
      </c>
      <c r="BA198" s="4">
        <f t="shared" si="99"/>
        <v>12</v>
      </c>
    </row>
    <row r="199" spans="1:53" x14ac:dyDescent="0.2">
      <c r="A199" s="1" t="str">
        <f>'SegEnds_NonXtal_Prot#'!A177</f>
        <v>mc5r_human</v>
      </c>
      <c r="B199" s="1" t="str">
        <f t="shared" si="75"/>
        <v>EDMGIAVEVFLTLGVISLLENILVIGAIVKNSPMYFFVCSLAVADMLVSMSSAWETITDAFVRHIDNVFDSMICISVVASMCSLLAIAVDRYVTIFYTARRSGAIIAGIWAFCTGCGIVFILYLISMFFAMLFLLVSLYIHMFLLARTHVKRIAALPGQRTSMQGAVTVTMLLGVFTVCWAPFFLHLTLMLSCRFMSHFNMYLILIMCNSVMDPLIYAFRSQEMRKTFKEIIC</v>
      </c>
      <c r="C199" s="29" t="str">
        <f>IF(ISERROR(MATCH(A199,'SegEnds_Xtal_Prot#'!B:B, 0)), "NoXtal", "Xtal")</f>
        <v>NoXtal</v>
      </c>
      <c r="D199" s="4" t="str">
        <f>VLOOKUP(A199,Classification!A:D,2,FALSE)</f>
        <v>A</v>
      </c>
      <c r="E199" s="5" t="str">
        <f>VLOOKUP(A199,Seqs!A:B,2,FALSE)</f>
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</c>
      <c r="F199" s="5" t="str">
        <f t="shared" si="76"/>
        <v>EDMGIAVEVFLTLGVISLLENILVIGAIVKN</v>
      </c>
      <c r="G199" s="4" t="str">
        <f t="shared" si="77"/>
        <v>KNLH</v>
      </c>
      <c r="H199" s="4" t="str">
        <f t="shared" si="78"/>
        <v>SPMYFFVCSLAVADMLVSMSSAWETIT</v>
      </c>
      <c r="I199" s="4" t="str">
        <f t="shared" si="79"/>
        <v/>
      </c>
      <c r="J199" s="4" t="str">
        <f t="shared" si="80"/>
        <v>DAFVRHIDNVFDSMICISVVASMCSLLAIAVDRYVTIFY</v>
      </c>
      <c r="K199" s="4" t="str">
        <f t="shared" si="81"/>
        <v>ALRYHHIM</v>
      </c>
      <c r="L199" s="4" t="str">
        <f t="shared" si="82"/>
        <v>TARRSGAIIAGIWAFCTGCGIVFILY</v>
      </c>
      <c r="M199" s="4" t="str">
        <f t="shared" si="83"/>
        <v/>
      </c>
      <c r="N199" s="4" t="str">
        <f t="shared" si="84"/>
        <v>LISMFFAMLFLLVSLYIHMFLLARTHVKRIAALPG</v>
      </c>
      <c r="O199" s="4" t="str">
        <f t="shared" si="85"/>
        <v>QRTSMQGAVTVTMLLGVFTVCWAPFFLHLTLMLSC</v>
      </c>
      <c r="P199" s="4" t="str">
        <f t="shared" si="86"/>
        <v>RFMSHFNMYLILIMCNSVMDPLIYAFR</v>
      </c>
      <c r="Q199" s="4" t="str">
        <f t="shared" si="87"/>
        <v>SQEMRKTFKEIIC</v>
      </c>
      <c r="R199" s="5">
        <f>VLOOKUP($A199,'SegEnds_NonXtal_Prot#'!$A:$AL,3,FALSE)</f>
        <v>34</v>
      </c>
      <c r="S199" s="5">
        <f>VLOOKUP($A199,'SegEnds_NonXtal_Prot#'!$A:$AL,6,FALSE)</f>
        <v>65</v>
      </c>
      <c r="T199" s="5">
        <f>VLOOKUP($A199,'SegEnds_NonXtal_Prot#'!$A:$AL,9,FALSE)</f>
        <v>69</v>
      </c>
      <c r="U199" s="5" t="str">
        <f>VLOOKUP($A199,'SegEnds_NonXtal_Prot#'!$A:$AL,12,FALSE)</f>
        <v>-</v>
      </c>
      <c r="V199" s="5">
        <f>VLOOKUP($A199,'SegEnds_NonXtal_Prot#'!$A:$AL,15,FALSE)</f>
        <v>108</v>
      </c>
      <c r="W199" s="5">
        <f>VLOOKUP($A199,'SegEnds_NonXtal_Prot#'!$A:$AL,18,FALSE)</f>
        <v>147</v>
      </c>
      <c r="X199" s="5">
        <f>VLOOKUP($A199,'SegEnds_NonXtal_Prot#'!$A:$AL,21,FALSE)</f>
        <v>155</v>
      </c>
      <c r="Y199" s="5" t="str">
        <f>VLOOKUP($A199,'SegEnds_NonXtal_Prot#'!$A:$AL,24,FALSE)</f>
        <v>-</v>
      </c>
      <c r="Z199" s="5">
        <f>VLOOKUP($A199,'SegEnds_NonXtal_Prot#'!$A:$AL,27,FALSE)</f>
        <v>190</v>
      </c>
      <c r="AA199" s="5">
        <f>VLOOKUP($A199,'SegEnds_NonXtal_Prot#'!$A:$AL,30,FALSE)</f>
        <v>230</v>
      </c>
      <c r="AB199" s="5">
        <f>VLOOKUP($A199,'SegEnds_NonXtal_Prot#'!$A:$AL,33,FALSE)</f>
        <v>272</v>
      </c>
      <c r="AC199" s="5">
        <f>VLOOKUP($A199,'SegEnds_NonXtal_Prot#'!$A:$AL,36,FALSE)</f>
        <v>299</v>
      </c>
      <c r="AD199" s="5">
        <f>VLOOKUP($A199,'SegEnds_NonXtal_Prot#'!$A:$AL,5,FALSE)</f>
        <v>64</v>
      </c>
      <c r="AE199" s="5">
        <f>VLOOKUP($A199,'SegEnds_NonXtal_Prot#'!$A:$AL,8,FALSE)</f>
        <v>68</v>
      </c>
      <c r="AF199" s="5">
        <f>VLOOKUP($A199,'SegEnds_NonXtal_Prot#'!$A:$AL,11,FALSE)</f>
        <v>95</v>
      </c>
      <c r="AG199" s="5" t="str">
        <f>VLOOKUP($A199,'SegEnds_NonXtal_Prot#'!$A:$AL,14,FALSE)</f>
        <v>-</v>
      </c>
      <c r="AH199" s="5">
        <f>VLOOKUP($A199,'SegEnds_NonXtal_Prot#'!$A:$AL,17,FALSE)</f>
        <v>146</v>
      </c>
      <c r="AI199" s="5">
        <f>VLOOKUP($A199,'SegEnds_NonXtal_Prot#'!$A:$AL,20,FALSE)</f>
        <v>154</v>
      </c>
      <c r="AJ199" s="5">
        <f>VLOOKUP($A199,'SegEnds_NonXtal_Prot#'!$A:$AL,23,FALSE)</f>
        <v>180</v>
      </c>
      <c r="AK199" s="5" t="str">
        <f>VLOOKUP($A199,'SegEnds_NonXtal_Prot#'!$A:$AL,26,FALSE)</f>
        <v>-</v>
      </c>
      <c r="AL199" s="5">
        <f>VLOOKUP($A199,'SegEnds_NonXtal_Prot#'!$A:$AL,29,FALSE)</f>
        <v>224</v>
      </c>
      <c r="AM199" s="5">
        <f>VLOOKUP($A199,'SegEnds_NonXtal_Prot#'!$A:$AL,32,FALSE)</f>
        <v>264</v>
      </c>
      <c r="AN199" s="5">
        <f>VLOOKUP($A199,'SegEnds_NonXtal_Prot#'!$A:$AL,35,FALSE)</f>
        <v>298</v>
      </c>
      <c r="AO199" s="5">
        <f>VLOOKUP($A199,'SegEnds_NonXtal_Prot#'!$A:$AL,38,FALSE)</f>
        <v>311</v>
      </c>
      <c r="AP199" s="5">
        <f t="shared" si="88"/>
        <v>30</v>
      </c>
      <c r="AQ199" s="4">
        <f t="shared" si="89"/>
        <v>3</v>
      </c>
      <c r="AR199" s="4">
        <f t="shared" si="90"/>
        <v>26</v>
      </c>
      <c r="AS199" s="4" t="str">
        <f t="shared" si="91"/>
        <v>-</v>
      </c>
      <c r="AT199" s="4">
        <f t="shared" si="92"/>
        <v>38</v>
      </c>
      <c r="AU199" s="4">
        <f t="shared" si="93"/>
        <v>7</v>
      </c>
      <c r="AV199" s="4">
        <f t="shared" si="94"/>
        <v>25</v>
      </c>
      <c r="AW199" s="4" t="str">
        <f t="shared" si="95"/>
        <v>-</v>
      </c>
      <c r="AX199" s="4">
        <f t="shared" si="96"/>
        <v>34</v>
      </c>
      <c r="AY199" s="4">
        <f t="shared" si="97"/>
        <v>34</v>
      </c>
      <c r="AZ199" s="4">
        <f t="shared" si="98"/>
        <v>26</v>
      </c>
      <c r="BA199" s="4">
        <f t="shared" si="99"/>
        <v>12</v>
      </c>
    </row>
    <row r="200" spans="1:53" x14ac:dyDescent="0.2">
      <c r="A200" s="1" t="str">
        <f>'SegEnds_NonXtal_Prot#'!A178</f>
        <v>mchr1_human</v>
      </c>
      <c r="B200" s="1" t="str">
        <f t="shared" si="75"/>
        <v>YINIIMPSVFGTICLLGIIGNSTVIFAVVKKWCNNVPDIFIINLSVVDLLFLLGMPFMIHQLMGNGETMCTLITAMDANSQFTSTYILTAMAIDRYLATVHKPSVATLVICLLWALSFISITPVWLYANPDTDLYWFTLYQFFLAFALPFVVITAAYVRILQRMTSSQRSIRLRTKRVTRTAIAICLVFFVCWAPYYVLQLTQLSIFVYLYNAAISLGYANSCLNPFVYIVLCETFRKRLVLSVK</v>
      </c>
      <c r="C200" s="29" t="str">
        <f>IF(ISERROR(MATCH(A200,'SegEnds_Xtal_Prot#'!B:B, 0)), "NoXtal", "Xtal")</f>
        <v>NoXtal</v>
      </c>
      <c r="D200" s="4" t="str">
        <f>VLOOKUP(A200,Classification!A:D,2,FALSE)</f>
        <v>A</v>
      </c>
      <c r="E200" s="5" t="str">
        <f>VLOOKUP(A200,Seqs!A:B,2,FALSE)</f>
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</c>
      <c r="F200" s="5" t="str">
        <f t="shared" si="76"/>
        <v>YINIIMPSVFGTICLLGIIGNSTVIFAVVKK</v>
      </c>
      <c r="G200" s="4" t="str">
        <f t="shared" si="77"/>
        <v>SKLH</v>
      </c>
      <c r="H200" s="4" t="str">
        <f t="shared" si="78"/>
        <v>WCNNVPDIFIINLSVVDLLFLLGMPFMIHQLMGN</v>
      </c>
      <c r="I200" s="4" t="str">
        <f t="shared" si="79"/>
        <v>VWHF</v>
      </c>
      <c r="J200" s="4" t="str">
        <f t="shared" si="80"/>
        <v>GETMCTLITAMDANSQFTSTYILTAMAIDRYLATVH</v>
      </c>
      <c r="K200" s="4" t="str">
        <f t="shared" si="81"/>
        <v>PISSTKFR</v>
      </c>
      <c r="L200" s="4" t="str">
        <f t="shared" si="82"/>
        <v>KPSVATLVICLLWALSFISITPVWLYA</v>
      </c>
      <c r="M200" s="4" t="str">
        <f t="shared" si="83"/>
        <v>CGI</v>
      </c>
      <c r="N200" s="4" t="str">
        <f t="shared" si="84"/>
        <v>NPDTDLYWFTLYQFFLAFALPFVVITAAYVRILQRMTSS</v>
      </c>
      <c r="O200" s="4" t="str">
        <f t="shared" si="85"/>
        <v>QRSIRLRTKRVTRTAIAICLVFFVCWAPYYVLQLTQLSI</v>
      </c>
      <c r="P200" s="4" t="str">
        <f t="shared" si="86"/>
        <v>FVYLYNAAISLGYANSCLNPFVYIVL</v>
      </c>
      <c r="Q200" s="4" t="str">
        <f t="shared" si="87"/>
        <v>CETFRKRLVLSVK</v>
      </c>
      <c r="R200" s="5">
        <f>VLOOKUP($A200,'SegEnds_NonXtal_Prot#'!$A:$AL,3,FALSE)</f>
        <v>107</v>
      </c>
      <c r="S200" s="5">
        <f>VLOOKUP($A200,'SegEnds_NonXtal_Prot#'!$A:$AL,6,FALSE)</f>
        <v>138</v>
      </c>
      <c r="T200" s="5">
        <f>VLOOKUP($A200,'SegEnds_NonXtal_Prot#'!$A:$AL,9,FALSE)</f>
        <v>142</v>
      </c>
      <c r="U200" s="5">
        <f>VLOOKUP($A200,'SegEnds_NonXtal_Prot#'!$A:$AL,12,FALSE)</f>
        <v>177</v>
      </c>
      <c r="V200" s="5">
        <f>VLOOKUP($A200,'SegEnds_NonXtal_Prot#'!$A:$AL,15,FALSE)</f>
        <v>181</v>
      </c>
      <c r="W200" s="5">
        <f>VLOOKUP($A200,'SegEnds_NonXtal_Prot#'!$A:$AL,18,FALSE)</f>
        <v>217</v>
      </c>
      <c r="X200" s="5">
        <f>VLOOKUP($A200,'SegEnds_NonXtal_Prot#'!$A:$AL,21,FALSE)</f>
        <v>225</v>
      </c>
      <c r="Y200" s="5">
        <f>VLOOKUP($A200,'SegEnds_NonXtal_Prot#'!$A:$AL,24,FALSE)</f>
        <v>263</v>
      </c>
      <c r="Z200" s="5">
        <f>VLOOKUP($A200,'SegEnds_NonXtal_Prot#'!$A:$AL,27,FALSE)</f>
        <v>269</v>
      </c>
      <c r="AA200" s="5">
        <f>VLOOKUP($A200,'SegEnds_NonXtal_Prot#'!$A:$AL,30,FALSE)</f>
        <v>313</v>
      </c>
      <c r="AB200" s="5">
        <f>VLOOKUP($A200,'SegEnds_NonXtal_Prot#'!$A:$AL,33,FALSE)</f>
        <v>358</v>
      </c>
      <c r="AC200" s="5">
        <f>VLOOKUP($A200,'SegEnds_NonXtal_Prot#'!$A:$AL,36,FALSE)</f>
        <v>384</v>
      </c>
      <c r="AD200" s="5">
        <f>VLOOKUP($A200,'SegEnds_NonXtal_Prot#'!$A:$AL,5,FALSE)</f>
        <v>137</v>
      </c>
      <c r="AE200" s="5">
        <f>VLOOKUP($A200,'SegEnds_NonXtal_Prot#'!$A:$AL,8,FALSE)</f>
        <v>141</v>
      </c>
      <c r="AF200" s="5">
        <f>VLOOKUP($A200,'SegEnds_NonXtal_Prot#'!$A:$AL,11,FALSE)</f>
        <v>175</v>
      </c>
      <c r="AG200" s="5">
        <f>VLOOKUP($A200,'SegEnds_NonXtal_Prot#'!$A:$AL,14,FALSE)</f>
        <v>180</v>
      </c>
      <c r="AH200" s="5">
        <f>VLOOKUP($A200,'SegEnds_NonXtal_Prot#'!$A:$AL,17,FALSE)</f>
        <v>216</v>
      </c>
      <c r="AI200" s="5">
        <f>VLOOKUP($A200,'SegEnds_NonXtal_Prot#'!$A:$AL,20,FALSE)</f>
        <v>224</v>
      </c>
      <c r="AJ200" s="5">
        <f>VLOOKUP($A200,'SegEnds_NonXtal_Prot#'!$A:$AL,23,FALSE)</f>
        <v>251</v>
      </c>
      <c r="AK200" s="5">
        <f>VLOOKUP($A200,'SegEnds_NonXtal_Prot#'!$A:$AL,26,FALSE)</f>
        <v>265</v>
      </c>
      <c r="AL200" s="5">
        <f>VLOOKUP($A200,'SegEnds_NonXtal_Prot#'!$A:$AL,29,FALSE)</f>
        <v>307</v>
      </c>
      <c r="AM200" s="5">
        <f>VLOOKUP($A200,'SegEnds_NonXtal_Prot#'!$A:$AL,32,FALSE)</f>
        <v>351</v>
      </c>
      <c r="AN200" s="5">
        <f>VLOOKUP($A200,'SegEnds_NonXtal_Prot#'!$A:$AL,35,FALSE)</f>
        <v>383</v>
      </c>
      <c r="AO200" s="5">
        <f>VLOOKUP($A200,'SegEnds_NonXtal_Prot#'!$A:$AL,38,FALSE)</f>
        <v>396</v>
      </c>
      <c r="AP200" s="5">
        <f t="shared" si="88"/>
        <v>30</v>
      </c>
      <c r="AQ200" s="4">
        <f t="shared" si="89"/>
        <v>3</v>
      </c>
      <c r="AR200" s="4">
        <f t="shared" si="90"/>
        <v>33</v>
      </c>
      <c r="AS200" s="4">
        <f t="shared" si="91"/>
        <v>3</v>
      </c>
      <c r="AT200" s="4">
        <f t="shared" si="92"/>
        <v>35</v>
      </c>
      <c r="AU200" s="4">
        <f t="shared" si="93"/>
        <v>7</v>
      </c>
      <c r="AV200" s="4">
        <f t="shared" si="94"/>
        <v>26</v>
      </c>
      <c r="AW200" s="4">
        <f t="shared" si="95"/>
        <v>2</v>
      </c>
      <c r="AX200" s="4">
        <f t="shared" si="96"/>
        <v>38</v>
      </c>
      <c r="AY200" s="4">
        <f t="shared" si="97"/>
        <v>38</v>
      </c>
      <c r="AZ200" s="4">
        <f t="shared" si="98"/>
        <v>25</v>
      </c>
      <c r="BA200" s="4">
        <f t="shared" si="99"/>
        <v>12</v>
      </c>
    </row>
    <row r="201" spans="1:53" x14ac:dyDescent="0.2">
      <c r="A201" s="1" t="str">
        <f>'SegEnds_NonXtal_Prot#'!A179</f>
        <v>mchr2_human</v>
      </c>
      <c r="B201" s="1" t="str">
        <f t="shared" si="75"/>
        <v>FAYQTASVVDTVILPSMIGIICSTGLVGNILIVFTIIRSTVPDIYICNLAVADLVHIVGMPFLIHQWARGGPLCTIITSLDTCNQFACSAIMTVMSVDRYFALVQTRYKTIRINLGLWAASFILALPVWVYSSPDDVLWYTLYLTITTFFFPLPLILVCYILILCYTWEMYQQNKNPSVPKQRVMKLTKMVLVLVVVFILSAAPYHVIQLVNLQMFYVGYYLSICLSYASSSINPFLYILLSGNFQKRLPQIQRR</v>
      </c>
      <c r="C201" s="29" t="str">
        <f>IF(ISERROR(MATCH(A201,'SegEnds_Xtal_Prot#'!B:B, 0)), "NoXtal", "Xtal")</f>
        <v>NoXtal</v>
      </c>
      <c r="D201" s="4" t="str">
        <f>VLOOKUP(A201,Classification!A:D,2,FALSE)</f>
        <v>A</v>
      </c>
      <c r="E201" s="5" t="str">
        <f>VLOOKUP(A201,Seqs!A:B,2,FALSE)</f>
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</c>
      <c r="F201" s="5" t="str">
        <f t="shared" si="76"/>
        <v>FAYQTASVVDTVILPSMIGIICSTGLVGNILIVFTIIRS</v>
      </c>
      <c r="G201" s="4" t="str">
        <f t="shared" si="77"/>
        <v/>
      </c>
      <c r="H201" s="4" t="str">
        <f t="shared" si="78"/>
        <v>TVPDIYICNLAVADLVHIVGMPFLIHQWAR</v>
      </c>
      <c r="I201" s="4" t="str">
        <f t="shared" si="79"/>
        <v>EWVF</v>
      </c>
      <c r="J201" s="4" t="str">
        <f t="shared" si="80"/>
        <v>GGPLCTIITSLDTCNQFACSAIMTVMSVDRYFALVQ</v>
      </c>
      <c r="K201" s="4" t="str">
        <f t="shared" si="81"/>
        <v>PFRLTRWR</v>
      </c>
      <c r="L201" s="4" t="str">
        <f t="shared" si="82"/>
        <v>TRYKTIRINLGLWAASFILALPVWVYS</v>
      </c>
      <c r="M201" s="4" t="str">
        <f t="shared" si="83"/>
        <v>CAF</v>
      </c>
      <c r="N201" s="4" t="str">
        <f t="shared" si="84"/>
        <v>SPDDVLWYTLYLTITTFFFPLPLILVCYILILCYTWEMYQQNK</v>
      </c>
      <c r="O201" s="4" t="str">
        <f t="shared" si="85"/>
        <v>NPSVPKQRVMKLTKMVLVLVVVFILSAAPYHVIQLVNLQM</v>
      </c>
      <c r="P201" s="4" t="str">
        <f t="shared" si="86"/>
        <v>FYVGYYLSICLSYASSSINPFLYILL</v>
      </c>
      <c r="Q201" s="4" t="str">
        <f t="shared" si="87"/>
        <v>SGNFQKRLPQIQRR</v>
      </c>
      <c r="R201" s="5">
        <f>VLOOKUP($A201,'SegEnds_NonXtal_Prot#'!$A:$AL,3,FALSE)</f>
        <v>24</v>
      </c>
      <c r="S201" s="5" t="str">
        <f>VLOOKUP($A201,'SegEnds_NonXtal_Prot#'!$A:$AL,6,FALSE)</f>
        <v>-</v>
      </c>
      <c r="T201" s="5">
        <f>VLOOKUP($A201,'SegEnds_NonXtal_Prot#'!$A:$AL,9,FALSE)</f>
        <v>66</v>
      </c>
      <c r="U201" s="5">
        <f>VLOOKUP($A201,'SegEnds_NonXtal_Prot#'!$A:$AL,12,FALSE)</f>
        <v>98</v>
      </c>
      <c r="V201" s="5">
        <f>VLOOKUP($A201,'SegEnds_NonXtal_Prot#'!$A:$AL,15,FALSE)</f>
        <v>102</v>
      </c>
      <c r="W201" s="5">
        <f>VLOOKUP($A201,'SegEnds_NonXtal_Prot#'!$A:$AL,18,FALSE)</f>
        <v>138</v>
      </c>
      <c r="X201" s="5">
        <f>VLOOKUP($A201,'SegEnds_NonXtal_Prot#'!$A:$AL,21,FALSE)</f>
        <v>146</v>
      </c>
      <c r="Y201" s="5">
        <f>VLOOKUP($A201,'SegEnds_NonXtal_Prot#'!$A:$AL,24,FALSE)</f>
        <v>184</v>
      </c>
      <c r="Z201" s="5">
        <f>VLOOKUP($A201,'SegEnds_NonXtal_Prot#'!$A:$AL,27,FALSE)</f>
        <v>190</v>
      </c>
      <c r="AA201" s="5">
        <f>VLOOKUP($A201,'SegEnds_NonXtal_Prot#'!$A:$AL,30,FALSE)</f>
        <v>238</v>
      </c>
      <c r="AB201" s="5">
        <f>VLOOKUP($A201,'SegEnds_NonXtal_Prot#'!$A:$AL,33,FALSE)</f>
        <v>284</v>
      </c>
      <c r="AC201" s="5">
        <f>VLOOKUP($A201,'SegEnds_NonXtal_Prot#'!$A:$AL,36,FALSE)</f>
        <v>310</v>
      </c>
      <c r="AD201" s="5">
        <f>VLOOKUP($A201,'SegEnds_NonXtal_Prot#'!$A:$AL,5,FALSE)</f>
        <v>62</v>
      </c>
      <c r="AE201" s="5" t="str">
        <f>VLOOKUP($A201,'SegEnds_NonXtal_Prot#'!$A:$AL,8,FALSE)</f>
        <v>-</v>
      </c>
      <c r="AF201" s="5">
        <f>VLOOKUP($A201,'SegEnds_NonXtal_Prot#'!$A:$AL,11,FALSE)</f>
        <v>95</v>
      </c>
      <c r="AG201" s="5">
        <f>VLOOKUP($A201,'SegEnds_NonXtal_Prot#'!$A:$AL,14,FALSE)</f>
        <v>101</v>
      </c>
      <c r="AH201" s="5">
        <f>VLOOKUP($A201,'SegEnds_NonXtal_Prot#'!$A:$AL,17,FALSE)</f>
        <v>137</v>
      </c>
      <c r="AI201" s="5">
        <f>VLOOKUP($A201,'SegEnds_NonXtal_Prot#'!$A:$AL,20,FALSE)</f>
        <v>145</v>
      </c>
      <c r="AJ201" s="5">
        <f>VLOOKUP($A201,'SegEnds_NonXtal_Prot#'!$A:$AL,23,FALSE)</f>
        <v>172</v>
      </c>
      <c r="AK201" s="5">
        <f>VLOOKUP($A201,'SegEnds_NonXtal_Prot#'!$A:$AL,26,FALSE)</f>
        <v>186</v>
      </c>
      <c r="AL201" s="5">
        <f>VLOOKUP($A201,'SegEnds_NonXtal_Prot#'!$A:$AL,29,FALSE)</f>
        <v>232</v>
      </c>
      <c r="AM201" s="5">
        <f>VLOOKUP($A201,'SegEnds_NonXtal_Prot#'!$A:$AL,32,FALSE)</f>
        <v>277</v>
      </c>
      <c r="AN201" s="5">
        <f>VLOOKUP($A201,'SegEnds_NonXtal_Prot#'!$A:$AL,35,FALSE)</f>
        <v>309</v>
      </c>
      <c r="AO201" s="5">
        <f>VLOOKUP($A201,'SegEnds_NonXtal_Prot#'!$A:$AL,38,FALSE)</f>
        <v>323</v>
      </c>
      <c r="AP201" s="5">
        <f t="shared" si="88"/>
        <v>38</v>
      </c>
      <c r="AQ201" s="4" t="str">
        <f t="shared" si="89"/>
        <v>-</v>
      </c>
      <c r="AR201" s="4">
        <f t="shared" si="90"/>
        <v>29</v>
      </c>
      <c r="AS201" s="4">
        <f t="shared" si="91"/>
        <v>3</v>
      </c>
      <c r="AT201" s="4">
        <f t="shared" si="92"/>
        <v>35</v>
      </c>
      <c r="AU201" s="4">
        <f t="shared" si="93"/>
        <v>7</v>
      </c>
      <c r="AV201" s="4">
        <f t="shared" si="94"/>
        <v>26</v>
      </c>
      <c r="AW201" s="4">
        <f t="shared" si="95"/>
        <v>2</v>
      </c>
      <c r="AX201" s="4">
        <f t="shared" si="96"/>
        <v>42</v>
      </c>
      <c r="AY201" s="4">
        <f t="shared" si="97"/>
        <v>39</v>
      </c>
      <c r="AZ201" s="4">
        <f t="shared" si="98"/>
        <v>25</v>
      </c>
      <c r="BA201" s="4">
        <f t="shared" si="99"/>
        <v>13</v>
      </c>
    </row>
    <row r="202" spans="1:53" x14ac:dyDescent="0.2">
      <c r="A202" s="1" t="str">
        <f>'SegEnds_NonXtal_Prot#'!A181</f>
        <v>mrgre_human</v>
      </c>
      <c r="B202" s="1" t="str">
        <f t="shared" si="75"/>
        <v>GAQEDVAFNLIILSLTEGLGLGGLLGNGAVLWLLSSNNPFAIYLLDVACADLIFLGCHMVAIVPDLLPGFVQTSLATLRFFCYIVGLSLLAAVSVEQCLAALFPRHLTTCVCALTWALCLLLHLLLSGACHLCRTLWLVAAVLLALLCCTMCGASLMLLLRVERGPQPRGFPGLILLTVLLFLFCGLPFGIYWLSRNLLHYFYHFSFLMAAVHCAAKPVVYFCLGSAQGRRLPLRLV</v>
      </c>
      <c r="C202" s="29" t="str">
        <f>IF(ISERROR(MATCH(A202,'SegEnds_Xtal_Prot#'!B:B, 0)), "NoXtal", "Xtal")</f>
        <v>NoXtal</v>
      </c>
      <c r="D202" s="4" t="str">
        <f>VLOOKUP(A202,Classification!A:D,2,FALSE)</f>
        <v>A</v>
      </c>
      <c r="E202" s="5" t="str">
        <f>VLOOKUP(A202,Seqs!A:B,2,FALSE)</f>
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</c>
      <c r="F202" s="5" t="str">
        <f t="shared" si="76"/>
        <v>GAQEDVAFNLIILSLTEGLGLGGLLGNGAVLWLLSSN</v>
      </c>
      <c r="G202" s="4" t="str">
        <f t="shared" si="77"/>
        <v/>
      </c>
      <c r="H202" s="4" t="str">
        <f t="shared" si="78"/>
        <v>NPFAIYLLDVACADLIFLGCHMVAIVPDLL</v>
      </c>
      <c r="I202" s="4" t="str">
        <f t="shared" si="79"/>
        <v/>
      </c>
      <c r="J202" s="4" t="str">
        <f t="shared" si="80"/>
        <v>PGFVQTSLATLRFFCYIVGLSLLAAVSVEQCLAALF</v>
      </c>
      <c r="K202" s="4" t="str">
        <f t="shared" si="81"/>
        <v>PAWYSCRR</v>
      </c>
      <c r="L202" s="4" t="str">
        <f t="shared" si="82"/>
        <v>PRHLTTCVCALTWALCLLLHLLLSGAC</v>
      </c>
      <c r="M202" s="4" t="str">
        <f t="shared" si="83"/>
        <v/>
      </c>
      <c r="N202" s="4" t="str">
        <f t="shared" si="84"/>
        <v>HLCRTLWLVAAVLLALLCCTMCGASLMLLLRVERGPQ</v>
      </c>
      <c r="O202" s="4" t="str">
        <f t="shared" si="85"/>
        <v>PRGFPGLILLTVLLFLFCGLPFGIYWLSRNLL</v>
      </c>
      <c r="P202" s="4" t="str">
        <f t="shared" si="86"/>
        <v>HYFYHFSFLMAAVHCAAKPVVYFCL</v>
      </c>
      <c r="Q202" s="4" t="str">
        <f t="shared" si="87"/>
        <v>GSAQGRRLPLRLV</v>
      </c>
      <c r="R202" s="5">
        <f>VLOOKUP($A202,'SegEnds_NonXtal_Prot#'!$A:$AL,3,FALSE)</f>
        <v>16</v>
      </c>
      <c r="S202" s="5" t="str">
        <f>VLOOKUP($A202,'SegEnds_NonXtal_Prot#'!$A:$AL,6,FALSE)</f>
        <v>-</v>
      </c>
      <c r="T202" s="5">
        <f>VLOOKUP($A202,'SegEnds_NonXtal_Prot#'!$A:$AL,9,FALSE)</f>
        <v>56</v>
      </c>
      <c r="U202" s="5" t="str">
        <f>VLOOKUP($A202,'SegEnds_NonXtal_Prot#'!$A:$AL,12,FALSE)</f>
        <v>-</v>
      </c>
      <c r="V202" s="5">
        <f>VLOOKUP($A202,'SegEnds_NonXtal_Prot#'!$A:$AL,15,FALSE)</f>
        <v>92</v>
      </c>
      <c r="W202" s="5">
        <f>VLOOKUP($A202,'SegEnds_NonXtal_Prot#'!$A:$AL,18,FALSE)</f>
        <v>128</v>
      </c>
      <c r="X202" s="5">
        <f>VLOOKUP($A202,'SegEnds_NonXtal_Prot#'!$A:$AL,21,FALSE)</f>
        <v>136</v>
      </c>
      <c r="Y202" s="5" t="str">
        <f>VLOOKUP($A202,'SegEnds_NonXtal_Prot#'!$A:$AL,24,FALSE)</f>
        <v>-</v>
      </c>
      <c r="Z202" s="5">
        <f>VLOOKUP($A202,'SegEnds_NonXtal_Prot#'!$A:$AL,27,FALSE)</f>
        <v>172</v>
      </c>
      <c r="AA202" s="5">
        <f>VLOOKUP($A202,'SegEnds_NonXtal_Prot#'!$A:$AL,30,FALSE)</f>
        <v>212</v>
      </c>
      <c r="AB202" s="5">
        <f>VLOOKUP($A202,'SegEnds_NonXtal_Prot#'!$A:$AL,33,FALSE)</f>
        <v>248</v>
      </c>
      <c r="AC202" s="5">
        <f>VLOOKUP($A202,'SegEnds_NonXtal_Prot#'!$A:$AL,36,FALSE)</f>
        <v>273</v>
      </c>
      <c r="AD202" s="5">
        <f>VLOOKUP($A202,'SegEnds_NonXtal_Prot#'!$A:$AL,5,FALSE)</f>
        <v>52</v>
      </c>
      <c r="AE202" s="5" t="str">
        <f>VLOOKUP($A202,'SegEnds_NonXtal_Prot#'!$A:$AL,8,FALSE)</f>
        <v>-</v>
      </c>
      <c r="AF202" s="5">
        <f>VLOOKUP($A202,'SegEnds_NonXtal_Prot#'!$A:$AL,11,FALSE)</f>
        <v>85</v>
      </c>
      <c r="AG202" s="5" t="str">
        <f>VLOOKUP($A202,'SegEnds_NonXtal_Prot#'!$A:$AL,14,FALSE)</f>
        <v>-</v>
      </c>
      <c r="AH202" s="5">
        <f>VLOOKUP($A202,'SegEnds_NonXtal_Prot#'!$A:$AL,17,FALSE)</f>
        <v>127</v>
      </c>
      <c r="AI202" s="5">
        <f>VLOOKUP($A202,'SegEnds_NonXtal_Prot#'!$A:$AL,20,FALSE)</f>
        <v>135</v>
      </c>
      <c r="AJ202" s="5">
        <f>VLOOKUP($A202,'SegEnds_NonXtal_Prot#'!$A:$AL,23,FALSE)</f>
        <v>162</v>
      </c>
      <c r="AK202" s="5" t="str">
        <f>VLOOKUP($A202,'SegEnds_NonXtal_Prot#'!$A:$AL,26,FALSE)</f>
        <v>-</v>
      </c>
      <c r="AL202" s="5">
        <f>VLOOKUP($A202,'SegEnds_NonXtal_Prot#'!$A:$AL,29,FALSE)</f>
        <v>208</v>
      </c>
      <c r="AM202" s="5">
        <f>VLOOKUP($A202,'SegEnds_NonXtal_Prot#'!$A:$AL,32,FALSE)</f>
        <v>243</v>
      </c>
      <c r="AN202" s="5">
        <f>VLOOKUP($A202,'SegEnds_NonXtal_Prot#'!$A:$AL,35,FALSE)</f>
        <v>272</v>
      </c>
      <c r="AO202" s="5">
        <f>VLOOKUP($A202,'SegEnds_NonXtal_Prot#'!$A:$AL,38,FALSE)</f>
        <v>285</v>
      </c>
      <c r="AP202" s="5">
        <f t="shared" si="88"/>
        <v>36</v>
      </c>
      <c r="AQ202" s="4" t="str">
        <f t="shared" si="89"/>
        <v>-</v>
      </c>
      <c r="AR202" s="4">
        <f t="shared" si="90"/>
        <v>29</v>
      </c>
      <c r="AS202" s="4" t="str">
        <f t="shared" si="91"/>
        <v>-</v>
      </c>
      <c r="AT202" s="4">
        <f t="shared" si="92"/>
        <v>35</v>
      </c>
      <c r="AU202" s="4">
        <f t="shared" si="93"/>
        <v>7</v>
      </c>
      <c r="AV202" s="4">
        <f t="shared" si="94"/>
        <v>26</v>
      </c>
      <c r="AW202" s="4" t="str">
        <f t="shared" si="95"/>
        <v>-</v>
      </c>
      <c r="AX202" s="4">
        <f t="shared" si="96"/>
        <v>36</v>
      </c>
      <c r="AY202" s="4">
        <f t="shared" si="97"/>
        <v>31</v>
      </c>
      <c r="AZ202" s="4">
        <f t="shared" si="98"/>
        <v>24</v>
      </c>
      <c r="BA202" s="4">
        <f t="shared" si="99"/>
        <v>12</v>
      </c>
    </row>
    <row r="203" spans="1:53" x14ac:dyDescent="0.2">
      <c r="A203" s="1" t="str">
        <f>'SegEnds_NonXtal_Prot#'!A182</f>
        <v>mrgrf_human</v>
      </c>
      <c r="B203" s="1" t="str">
        <f t="shared" si="75"/>
        <v>LPPPAVMNYIFLLLCLCGLVGNGLVLWFFGFSNPFSIYFLHLASADVGYLFSKAVFSILNTGGADYIRSVCRVLGLCMFLTGVSLLPAVSAERCASVIFPKRLSAVVCALLWVLSLLVTCLHNYFCAACRHMDIFLGILLFLLCCPLMVLPCLALILHVECRARSAKLNHVILAMVSVFLVSSIYLGIDWFLFWVFPFPEYVTDLCICINSSAKPIVYFLAGRDKSQRLWE</v>
      </c>
      <c r="C203" s="29" t="str">
        <f>IF(ISERROR(MATCH(A203,'SegEnds_Xtal_Prot#'!B:B, 0)), "NoXtal", "Xtal")</f>
        <v>NoXtal</v>
      </c>
      <c r="D203" s="4" t="str">
        <f>VLOOKUP(A203,Classification!A:D,2,FALSE)</f>
        <v>A</v>
      </c>
      <c r="E203" s="5" t="str">
        <f>VLOOKUP(A203,Seqs!A:B,2,FALSE)</f>
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</c>
      <c r="F203" s="5" t="str">
        <f t="shared" si="76"/>
        <v>LPPPAVMNYIFLLLCLCGLVGNGLVLWFFGFS</v>
      </c>
      <c r="G203" s="4" t="str">
        <f t="shared" si="77"/>
        <v/>
      </c>
      <c r="H203" s="4" t="str">
        <f t="shared" si="78"/>
        <v>NPFSIYFLHLASADVGYLFSKAVFSILNTGG</v>
      </c>
      <c r="I203" s="4" t="str">
        <f t="shared" si="79"/>
        <v/>
      </c>
      <c r="J203" s="4" t="str">
        <f t="shared" si="80"/>
        <v>ADYIRSVCRVLGLCMFLTGVSLLPAVSAERCASVIF</v>
      </c>
      <c r="K203" s="4" t="str">
        <f t="shared" si="81"/>
        <v>PAWYWRRR</v>
      </c>
      <c r="L203" s="4" t="str">
        <f t="shared" si="82"/>
        <v>PKRLSAVVCALLWVLSLLVTCLHNYFC</v>
      </c>
      <c r="M203" s="4" t="str">
        <f t="shared" si="83"/>
        <v/>
      </c>
      <c r="N203" s="4" t="str">
        <f t="shared" si="84"/>
        <v>AACRHMDIFLGILLFLLCCPLMVLPCLALILHVECRAR</v>
      </c>
      <c r="O203" s="4" t="str">
        <f t="shared" si="85"/>
        <v>SAKLNHVILAMVSVFLVSSIYLGIDWFLFWVF</v>
      </c>
      <c r="P203" s="4" t="str">
        <f t="shared" si="86"/>
        <v>PFPEYVTDLCICINSSAKPIVYFLA</v>
      </c>
      <c r="Q203" s="4" t="str">
        <f t="shared" si="87"/>
        <v>GRDKSQRLWE</v>
      </c>
      <c r="R203" s="5">
        <f>VLOOKUP($A203,'SegEnds_NonXtal_Prot#'!$A:$AL,3,FALSE)</f>
        <v>41</v>
      </c>
      <c r="S203" s="5" t="str">
        <f>VLOOKUP($A203,'SegEnds_NonXtal_Prot#'!$A:$AL,6,FALSE)</f>
        <v>-</v>
      </c>
      <c r="T203" s="5">
        <f>VLOOKUP($A203,'SegEnds_NonXtal_Prot#'!$A:$AL,9,FALSE)</f>
        <v>76</v>
      </c>
      <c r="U203" s="5" t="str">
        <f>VLOOKUP($A203,'SegEnds_NonXtal_Prot#'!$A:$AL,12,FALSE)</f>
        <v>-</v>
      </c>
      <c r="V203" s="5">
        <f>VLOOKUP($A203,'SegEnds_NonXtal_Prot#'!$A:$AL,15,FALSE)</f>
        <v>112</v>
      </c>
      <c r="W203" s="5">
        <f>VLOOKUP($A203,'SegEnds_NonXtal_Prot#'!$A:$AL,18,FALSE)</f>
        <v>148</v>
      </c>
      <c r="X203" s="5">
        <f>VLOOKUP($A203,'SegEnds_NonXtal_Prot#'!$A:$AL,21,FALSE)</f>
        <v>156</v>
      </c>
      <c r="Y203" s="5" t="str">
        <f>VLOOKUP($A203,'SegEnds_NonXtal_Prot#'!$A:$AL,24,FALSE)</f>
        <v>-</v>
      </c>
      <c r="Z203" s="5">
        <f>VLOOKUP($A203,'SegEnds_NonXtal_Prot#'!$A:$AL,27,FALSE)</f>
        <v>192</v>
      </c>
      <c r="AA203" s="5">
        <f>VLOOKUP($A203,'SegEnds_NonXtal_Prot#'!$A:$AL,30,FALSE)</f>
        <v>234</v>
      </c>
      <c r="AB203" s="5">
        <f>VLOOKUP($A203,'SegEnds_NonXtal_Prot#'!$A:$AL,33,FALSE)</f>
        <v>270</v>
      </c>
      <c r="AC203" s="5">
        <f>VLOOKUP($A203,'SegEnds_NonXtal_Prot#'!$A:$AL,36,FALSE)</f>
        <v>295</v>
      </c>
      <c r="AD203" s="5">
        <f>VLOOKUP($A203,'SegEnds_NonXtal_Prot#'!$A:$AL,5,FALSE)</f>
        <v>72</v>
      </c>
      <c r="AE203" s="5" t="str">
        <f>VLOOKUP($A203,'SegEnds_NonXtal_Prot#'!$A:$AL,8,FALSE)</f>
        <v>-</v>
      </c>
      <c r="AF203" s="5">
        <f>VLOOKUP($A203,'SegEnds_NonXtal_Prot#'!$A:$AL,11,FALSE)</f>
        <v>106</v>
      </c>
      <c r="AG203" s="5" t="str">
        <f>VLOOKUP($A203,'SegEnds_NonXtal_Prot#'!$A:$AL,14,FALSE)</f>
        <v>-</v>
      </c>
      <c r="AH203" s="5">
        <f>VLOOKUP($A203,'SegEnds_NonXtal_Prot#'!$A:$AL,17,FALSE)</f>
        <v>147</v>
      </c>
      <c r="AI203" s="5">
        <f>VLOOKUP($A203,'SegEnds_NonXtal_Prot#'!$A:$AL,20,FALSE)</f>
        <v>155</v>
      </c>
      <c r="AJ203" s="5">
        <f>VLOOKUP($A203,'SegEnds_NonXtal_Prot#'!$A:$AL,23,FALSE)</f>
        <v>182</v>
      </c>
      <c r="AK203" s="5" t="str">
        <f>VLOOKUP($A203,'SegEnds_NonXtal_Prot#'!$A:$AL,26,FALSE)</f>
        <v>-</v>
      </c>
      <c r="AL203" s="5">
        <f>VLOOKUP($A203,'SegEnds_NonXtal_Prot#'!$A:$AL,29,FALSE)</f>
        <v>229</v>
      </c>
      <c r="AM203" s="5">
        <f>VLOOKUP($A203,'SegEnds_NonXtal_Prot#'!$A:$AL,32,FALSE)</f>
        <v>265</v>
      </c>
      <c r="AN203" s="5">
        <f>VLOOKUP($A203,'SegEnds_NonXtal_Prot#'!$A:$AL,35,FALSE)</f>
        <v>294</v>
      </c>
      <c r="AO203" s="5">
        <f>VLOOKUP($A203,'SegEnds_NonXtal_Prot#'!$A:$AL,38,FALSE)</f>
        <v>304</v>
      </c>
      <c r="AP203" s="5">
        <f t="shared" si="88"/>
        <v>31</v>
      </c>
      <c r="AQ203" s="4" t="str">
        <f t="shared" si="89"/>
        <v>-</v>
      </c>
      <c r="AR203" s="4">
        <f t="shared" si="90"/>
        <v>30</v>
      </c>
      <c r="AS203" s="4" t="str">
        <f t="shared" si="91"/>
        <v>-</v>
      </c>
      <c r="AT203" s="4">
        <f t="shared" si="92"/>
        <v>35</v>
      </c>
      <c r="AU203" s="4">
        <f t="shared" si="93"/>
        <v>7</v>
      </c>
      <c r="AV203" s="4">
        <f t="shared" si="94"/>
        <v>26</v>
      </c>
      <c r="AW203" s="4" t="str">
        <f t="shared" si="95"/>
        <v>-</v>
      </c>
      <c r="AX203" s="4">
        <f t="shared" si="96"/>
        <v>37</v>
      </c>
      <c r="AY203" s="4">
        <f t="shared" si="97"/>
        <v>31</v>
      </c>
      <c r="AZ203" s="4">
        <f t="shared" si="98"/>
        <v>24</v>
      </c>
      <c r="BA203" s="4">
        <f t="shared" si="99"/>
        <v>9</v>
      </c>
    </row>
    <row r="204" spans="1:53" x14ac:dyDescent="0.2">
      <c r="A204" s="1" t="str">
        <f>'SegEnds_NonXtal_Prot#'!A184</f>
        <v>mrgx1_human</v>
      </c>
      <c r="B204" s="1" t="str">
        <f t="shared" si="75"/>
        <v>CYKQTLSLTVLTCIVSLVGLTGNAVVLWLLGCRNAFSIYILNLAAADFLFLSGRLIYSLLSFIISKILYPVMMFSYFAGLSFLSAVSTERCLSVLWPTHLSAVVCVLLWALSLLRSILEWMLCCQTSDFITVAWLIFLCVVLCGSSLVLLIRILCGSRLTRLYVTILLTVLVFLLCGLPFGIQFFLFLWIVDREVLFCHVHLVSIFLSALNSSANPIIYFFVGSFRQRQNRQNLKLV</v>
      </c>
      <c r="C204" s="29" t="str">
        <f>IF(ISERROR(MATCH(A204,'SegEnds_Xtal_Prot#'!B:B, 0)), "NoXtal", "Xtal")</f>
        <v>NoXtal</v>
      </c>
      <c r="D204" s="4" t="str">
        <f>VLOOKUP(A204,Classification!A:D,2,FALSE)</f>
        <v>A</v>
      </c>
      <c r="E204" s="5" t="str">
        <f>VLOOKUP(A204,Seqs!A:B,2,FALSE)</f>
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</c>
      <c r="F204" s="5" t="str">
        <f t="shared" si="76"/>
        <v>CYKQTLSLTVLTCIVSLVGLTGNAVVLWLLGCR</v>
      </c>
      <c r="G204" s="4" t="str">
        <f t="shared" si="77"/>
        <v/>
      </c>
      <c r="H204" s="4" t="str">
        <f t="shared" si="78"/>
        <v>NAFSIYILNLAAADFLFLSGRLIYSLLSFI</v>
      </c>
      <c r="I204" s="4" t="str">
        <f t="shared" si="79"/>
        <v/>
      </c>
      <c r="J204" s="4" t="str">
        <f t="shared" si="80"/>
        <v>ISKILYPVMMFSYFAGLSFLSAVSTERCLSVLW</v>
      </c>
      <c r="K204" s="4" t="str">
        <f t="shared" si="81"/>
        <v>PIWYRCHR</v>
      </c>
      <c r="L204" s="4" t="str">
        <f t="shared" si="82"/>
        <v>PTHLSAVVCVLLWALSLLRSILEWMLC</v>
      </c>
      <c r="M204" s="4" t="str">
        <f t="shared" si="83"/>
        <v/>
      </c>
      <c r="N204" s="4" t="str">
        <f t="shared" si="84"/>
        <v>CQTSDFITVAWLIFLCVVLCGSSLVLLIRILCGSR</v>
      </c>
      <c r="O204" s="4" t="str">
        <f t="shared" si="85"/>
        <v>LTRLYVTILLTVLVFLLCGLPFGIQFFLFLWI</v>
      </c>
      <c r="P204" s="4" t="str">
        <f t="shared" si="86"/>
        <v>VDREVLFCHVHLVSIFLSALNSSANPIIYFFV</v>
      </c>
      <c r="Q204" s="4" t="str">
        <f t="shared" si="87"/>
        <v>GSFRQRQNRQNLKLV</v>
      </c>
      <c r="R204" s="5">
        <f>VLOOKUP($A204,'SegEnds_NonXtal_Prot#'!$A:$AL,3,FALSE)</f>
        <v>23</v>
      </c>
      <c r="S204" s="5" t="str">
        <f>VLOOKUP($A204,'SegEnds_NonXtal_Prot#'!$A:$AL,6,FALSE)</f>
        <v>-</v>
      </c>
      <c r="T204" s="5">
        <f>VLOOKUP($A204,'SegEnds_NonXtal_Prot#'!$A:$AL,9,FALSE)</f>
        <v>59</v>
      </c>
      <c r="U204" s="5" t="str">
        <f>VLOOKUP($A204,'SegEnds_NonXtal_Prot#'!$A:$AL,12,FALSE)</f>
        <v>-</v>
      </c>
      <c r="V204" s="5">
        <f>VLOOKUP($A204,'SegEnds_NonXtal_Prot#'!$A:$AL,15,FALSE)</f>
        <v>94</v>
      </c>
      <c r="W204" s="5">
        <f>VLOOKUP($A204,'SegEnds_NonXtal_Prot#'!$A:$AL,18,FALSE)</f>
        <v>127</v>
      </c>
      <c r="X204" s="5">
        <f>VLOOKUP($A204,'SegEnds_NonXtal_Prot#'!$A:$AL,21,FALSE)</f>
        <v>135</v>
      </c>
      <c r="Y204" s="5" t="str">
        <f>VLOOKUP($A204,'SegEnds_NonXtal_Prot#'!$A:$AL,24,FALSE)</f>
        <v>-</v>
      </c>
      <c r="Z204" s="5">
        <f>VLOOKUP($A204,'SegEnds_NonXtal_Prot#'!$A:$AL,27,FALSE)</f>
        <v>173</v>
      </c>
      <c r="AA204" s="5">
        <f>VLOOKUP($A204,'SegEnds_NonXtal_Prot#'!$A:$AL,30,FALSE)</f>
        <v>211</v>
      </c>
      <c r="AB204" s="5">
        <f>VLOOKUP($A204,'SegEnds_NonXtal_Prot#'!$A:$AL,33,FALSE)</f>
        <v>244</v>
      </c>
      <c r="AC204" s="5">
        <f>VLOOKUP($A204,'SegEnds_NonXtal_Prot#'!$A:$AL,36,FALSE)</f>
        <v>276</v>
      </c>
      <c r="AD204" s="5">
        <f>VLOOKUP($A204,'SegEnds_NonXtal_Prot#'!$A:$AL,5,FALSE)</f>
        <v>55</v>
      </c>
      <c r="AE204" s="5" t="str">
        <f>VLOOKUP($A204,'SegEnds_NonXtal_Prot#'!$A:$AL,8,FALSE)</f>
        <v>-</v>
      </c>
      <c r="AF204" s="5">
        <f>VLOOKUP($A204,'SegEnds_NonXtal_Prot#'!$A:$AL,11,FALSE)</f>
        <v>88</v>
      </c>
      <c r="AG204" s="5" t="str">
        <f>VLOOKUP($A204,'SegEnds_NonXtal_Prot#'!$A:$AL,14,FALSE)</f>
        <v>-</v>
      </c>
      <c r="AH204" s="5">
        <f>VLOOKUP($A204,'SegEnds_NonXtal_Prot#'!$A:$AL,17,FALSE)</f>
        <v>126</v>
      </c>
      <c r="AI204" s="5">
        <f>VLOOKUP($A204,'SegEnds_NonXtal_Prot#'!$A:$AL,20,FALSE)</f>
        <v>134</v>
      </c>
      <c r="AJ204" s="5">
        <f>VLOOKUP($A204,'SegEnds_NonXtal_Prot#'!$A:$AL,23,FALSE)</f>
        <v>161</v>
      </c>
      <c r="AK204" s="5" t="str">
        <f>VLOOKUP($A204,'SegEnds_NonXtal_Prot#'!$A:$AL,26,FALSE)</f>
        <v>-</v>
      </c>
      <c r="AL204" s="5">
        <f>VLOOKUP($A204,'SegEnds_NonXtal_Prot#'!$A:$AL,29,FALSE)</f>
        <v>207</v>
      </c>
      <c r="AM204" s="5">
        <f>VLOOKUP($A204,'SegEnds_NonXtal_Prot#'!$A:$AL,32,FALSE)</f>
        <v>242</v>
      </c>
      <c r="AN204" s="5">
        <f>VLOOKUP($A204,'SegEnds_NonXtal_Prot#'!$A:$AL,35,FALSE)</f>
        <v>275</v>
      </c>
      <c r="AO204" s="5">
        <f>VLOOKUP($A204,'SegEnds_NonXtal_Prot#'!$A:$AL,38,FALSE)</f>
        <v>290</v>
      </c>
      <c r="AP204" s="5">
        <f t="shared" si="88"/>
        <v>32</v>
      </c>
      <c r="AQ204" s="4" t="str">
        <f t="shared" si="89"/>
        <v>-</v>
      </c>
      <c r="AR204" s="4">
        <f t="shared" si="90"/>
        <v>29</v>
      </c>
      <c r="AS204" s="4" t="str">
        <f t="shared" si="91"/>
        <v>-</v>
      </c>
      <c r="AT204" s="4">
        <f t="shared" si="92"/>
        <v>32</v>
      </c>
      <c r="AU204" s="4">
        <f t="shared" si="93"/>
        <v>7</v>
      </c>
      <c r="AV204" s="4">
        <f t="shared" si="94"/>
        <v>26</v>
      </c>
      <c r="AW204" s="4" t="str">
        <f t="shared" si="95"/>
        <v>-</v>
      </c>
      <c r="AX204" s="4">
        <f t="shared" si="96"/>
        <v>34</v>
      </c>
      <c r="AY204" s="4">
        <f t="shared" si="97"/>
        <v>31</v>
      </c>
      <c r="AZ204" s="4">
        <f t="shared" si="98"/>
        <v>31</v>
      </c>
      <c r="BA204" s="4">
        <f t="shared" si="99"/>
        <v>14</v>
      </c>
    </row>
    <row r="205" spans="1:53" x14ac:dyDescent="0.2">
      <c r="A205" s="1" t="str">
        <f>'SegEnds_NonXtal_Prot#'!A185</f>
        <v>mrgx2_human</v>
      </c>
      <c r="B205" s="1" t="str">
        <f t="shared" si="75"/>
        <v>GKETLIPVFLILFIALVGLVGNGFVLWLLGFRNAFSVYVLSLAGADFLFLCFQIINCLVYLSNSINFPSFFTTVMTCAYLAGLSMLSTVSTERCLSVLWPRHLSAVVCVLLWALSLLLSILEGKFCSGWCQTFDFITAAWLIFLFMVLCGSSLALLVRILCGSRLTRLYLTILLTVLVFLLCGLPFGIQWFLILWIKDSDVLFCHIHPVSVVLSSLNSSANPIIYFFVGSFRKQWRLQ</v>
      </c>
      <c r="C205" s="29" t="str">
        <f>IF(ISERROR(MATCH(A205,'SegEnds_Xtal_Prot#'!B:B, 0)), "NoXtal", "Xtal")</f>
        <v>NoXtal</v>
      </c>
      <c r="D205" s="4" t="str">
        <f>VLOOKUP(A205,Classification!A:D,2,FALSE)</f>
        <v>A</v>
      </c>
      <c r="E205" s="5" t="str">
        <f>VLOOKUP(A205,Seqs!A:B,2,FALSE)</f>
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</c>
      <c r="F205" s="5" t="str">
        <f t="shared" si="76"/>
        <v>GKETLIPVFLILFIALVGLVGNGFVLWLLGFR</v>
      </c>
      <c r="G205" s="4" t="str">
        <f t="shared" si="77"/>
        <v/>
      </c>
      <c r="H205" s="4" t="str">
        <f t="shared" si="78"/>
        <v>NAFSVYVLSLAGADFLFLCFQIINCLVYLSN</v>
      </c>
      <c r="I205" s="4" t="str">
        <f t="shared" si="79"/>
        <v/>
      </c>
      <c r="J205" s="4" t="str">
        <f t="shared" si="80"/>
        <v>SINFPSFFTTVMTCAYLAGLSMLSTVSTERCLSVLW</v>
      </c>
      <c r="K205" s="4" t="str">
        <f t="shared" si="81"/>
        <v>PIWYRCRR</v>
      </c>
      <c r="L205" s="4" t="str">
        <f t="shared" si="82"/>
        <v>PRHLSAVVCVLLWALSLLLSILEGKFC</v>
      </c>
      <c r="M205" s="4" t="str">
        <f t="shared" si="83"/>
        <v/>
      </c>
      <c r="N205" s="4" t="str">
        <f t="shared" si="84"/>
        <v>SGWCQTFDFITAAWLIFLFMVLCGSSLALLVRILCGSR</v>
      </c>
      <c r="O205" s="4" t="str">
        <f t="shared" si="85"/>
        <v>LTRLYLTILLTVLVFLLCGLPFGIQWFLILWI</v>
      </c>
      <c r="P205" s="4" t="str">
        <f t="shared" si="86"/>
        <v>KDSDVLFCHIHPVSVVLSSLNSSANPIIYFFV</v>
      </c>
      <c r="Q205" s="4" t="str">
        <f t="shared" si="87"/>
        <v>GSFRKQWRLQ</v>
      </c>
      <c r="R205" s="5">
        <f>VLOOKUP($A205,'SegEnds_NonXtal_Prot#'!$A:$AL,3,FALSE)</f>
        <v>27</v>
      </c>
      <c r="S205" s="5" t="str">
        <f>VLOOKUP($A205,'SegEnds_NonXtal_Prot#'!$A:$AL,6,FALSE)</f>
        <v>-</v>
      </c>
      <c r="T205" s="5">
        <f>VLOOKUP($A205,'SegEnds_NonXtal_Prot#'!$A:$AL,9,FALSE)</f>
        <v>62</v>
      </c>
      <c r="U205" s="5" t="str">
        <f>VLOOKUP($A205,'SegEnds_NonXtal_Prot#'!$A:$AL,12,FALSE)</f>
        <v>-</v>
      </c>
      <c r="V205" s="5">
        <f>VLOOKUP($A205,'SegEnds_NonXtal_Prot#'!$A:$AL,15,FALSE)</f>
        <v>98</v>
      </c>
      <c r="W205" s="5">
        <f>VLOOKUP($A205,'SegEnds_NonXtal_Prot#'!$A:$AL,18,FALSE)</f>
        <v>134</v>
      </c>
      <c r="X205" s="5">
        <f>VLOOKUP($A205,'SegEnds_NonXtal_Prot#'!$A:$AL,21,FALSE)</f>
        <v>142</v>
      </c>
      <c r="Y205" s="5" t="str">
        <f>VLOOKUP($A205,'SegEnds_NonXtal_Prot#'!$A:$AL,24,FALSE)</f>
        <v>-</v>
      </c>
      <c r="Z205" s="5">
        <f>VLOOKUP($A205,'SegEnds_NonXtal_Prot#'!$A:$AL,27,FALSE)</f>
        <v>177</v>
      </c>
      <c r="AA205" s="5">
        <f>VLOOKUP($A205,'SegEnds_NonXtal_Prot#'!$A:$AL,30,FALSE)</f>
        <v>218</v>
      </c>
      <c r="AB205" s="5">
        <f>VLOOKUP($A205,'SegEnds_NonXtal_Prot#'!$A:$AL,33,FALSE)</f>
        <v>251</v>
      </c>
      <c r="AC205" s="5">
        <f>VLOOKUP($A205,'SegEnds_NonXtal_Prot#'!$A:$AL,36,FALSE)</f>
        <v>283</v>
      </c>
      <c r="AD205" s="5">
        <f>VLOOKUP($A205,'SegEnds_NonXtal_Prot#'!$A:$AL,5,FALSE)</f>
        <v>58</v>
      </c>
      <c r="AE205" s="5" t="str">
        <f>VLOOKUP($A205,'SegEnds_NonXtal_Prot#'!$A:$AL,8,FALSE)</f>
        <v>-</v>
      </c>
      <c r="AF205" s="5">
        <f>VLOOKUP($A205,'SegEnds_NonXtal_Prot#'!$A:$AL,11,FALSE)</f>
        <v>92</v>
      </c>
      <c r="AG205" s="5" t="str">
        <f>VLOOKUP($A205,'SegEnds_NonXtal_Prot#'!$A:$AL,14,FALSE)</f>
        <v>-</v>
      </c>
      <c r="AH205" s="5">
        <f>VLOOKUP($A205,'SegEnds_NonXtal_Prot#'!$A:$AL,17,FALSE)</f>
        <v>133</v>
      </c>
      <c r="AI205" s="5">
        <f>VLOOKUP($A205,'SegEnds_NonXtal_Prot#'!$A:$AL,20,FALSE)</f>
        <v>141</v>
      </c>
      <c r="AJ205" s="5">
        <f>VLOOKUP($A205,'SegEnds_NonXtal_Prot#'!$A:$AL,23,FALSE)</f>
        <v>168</v>
      </c>
      <c r="AK205" s="5" t="str">
        <f>VLOOKUP($A205,'SegEnds_NonXtal_Prot#'!$A:$AL,26,FALSE)</f>
        <v>-</v>
      </c>
      <c r="AL205" s="5">
        <f>VLOOKUP($A205,'SegEnds_NonXtal_Prot#'!$A:$AL,29,FALSE)</f>
        <v>214</v>
      </c>
      <c r="AM205" s="5">
        <f>VLOOKUP($A205,'SegEnds_NonXtal_Prot#'!$A:$AL,32,FALSE)</f>
        <v>249</v>
      </c>
      <c r="AN205" s="5">
        <f>VLOOKUP($A205,'SegEnds_NonXtal_Prot#'!$A:$AL,35,FALSE)</f>
        <v>282</v>
      </c>
      <c r="AO205" s="5">
        <f>VLOOKUP($A205,'SegEnds_NonXtal_Prot#'!$A:$AL,38,FALSE)</f>
        <v>292</v>
      </c>
      <c r="AP205" s="5">
        <f t="shared" si="88"/>
        <v>31</v>
      </c>
      <c r="AQ205" s="4" t="str">
        <f t="shared" si="89"/>
        <v>-</v>
      </c>
      <c r="AR205" s="4">
        <f t="shared" si="90"/>
        <v>30</v>
      </c>
      <c r="AS205" s="4" t="str">
        <f t="shared" si="91"/>
        <v>-</v>
      </c>
      <c r="AT205" s="4">
        <f t="shared" si="92"/>
        <v>35</v>
      </c>
      <c r="AU205" s="4">
        <f t="shared" si="93"/>
        <v>7</v>
      </c>
      <c r="AV205" s="4">
        <f t="shared" si="94"/>
        <v>26</v>
      </c>
      <c r="AW205" s="4" t="str">
        <f t="shared" si="95"/>
        <v>-</v>
      </c>
      <c r="AX205" s="4">
        <f t="shared" si="96"/>
        <v>37</v>
      </c>
      <c r="AY205" s="4">
        <f t="shared" si="97"/>
        <v>31</v>
      </c>
      <c r="AZ205" s="4">
        <f t="shared" si="98"/>
        <v>31</v>
      </c>
      <c r="BA205" s="4">
        <f t="shared" si="99"/>
        <v>9</v>
      </c>
    </row>
    <row r="206" spans="1:53" x14ac:dyDescent="0.2">
      <c r="A206" s="1" t="str">
        <f>'SegEnds_NonXtal_Prot#'!A186</f>
        <v>mrgx3_human</v>
      </c>
      <c r="B206" s="1" t="str">
        <f t="shared" si="75"/>
        <v>TLSFTGLTCIVSLVALTGNAVVLWLLGCRNAVSIYILNLVAADFLFLSGHIICSPLRLIISKILSPVMTFPYFIGLSMLSAISTERCLSILWPRYLSSVMCVLLWALSLLRSILEWMFCFSGANSVWCETSDFITIAWLVFLCVVLCGSSLVLLVRILCGSRLTRLYVTILLTVLVFLLCGLPFGIQWALFSRIWKVLFCHVHLVSIFLSALNSSANPIIYFFVGSFRQRQNRQNLKLVLQR</v>
      </c>
      <c r="C206" s="29" t="str">
        <f>IF(ISERROR(MATCH(A206,'SegEnds_Xtal_Prot#'!B:B, 0)), "NoXtal", "Xtal")</f>
        <v>NoXtal</v>
      </c>
      <c r="D206" s="4" t="str">
        <f>VLOOKUP(A206,Classification!A:D,2,FALSE)</f>
        <v>A</v>
      </c>
      <c r="E206" s="5" t="str">
        <f>VLOOKUP(A206,Seqs!A:B,2,FALSE)</f>
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</c>
      <c r="F206" s="5" t="str">
        <f t="shared" si="76"/>
        <v>TLSFTGLTCIVSLVALTGNAVVLWLLGCR</v>
      </c>
      <c r="G206" s="4" t="str">
        <f t="shared" si="77"/>
        <v/>
      </c>
      <c r="H206" s="4" t="str">
        <f t="shared" si="78"/>
        <v>NAVSIYILNLVAADFLFLSGHIICSPLRLI</v>
      </c>
      <c r="I206" s="4" t="str">
        <f t="shared" si="79"/>
        <v/>
      </c>
      <c r="J206" s="4" t="str">
        <f t="shared" si="80"/>
        <v>ISKILSPVMTFPYFIGLSMLSAISTERCLSILW</v>
      </c>
      <c r="K206" s="4" t="str">
        <f t="shared" si="81"/>
        <v>PIWYHCRR</v>
      </c>
      <c r="L206" s="4" t="str">
        <f t="shared" si="82"/>
        <v>PRYLSSVMCVLLWALSLLRSILEWMFC</v>
      </c>
      <c r="M206" s="4" t="str">
        <f t="shared" si="83"/>
        <v/>
      </c>
      <c r="N206" s="4" t="str">
        <f t="shared" si="84"/>
        <v>FSGANSVWCETSDFITIAWLVFLCVVLCGSSLVLLVRILCGSR</v>
      </c>
      <c r="O206" s="4" t="str">
        <f t="shared" si="85"/>
        <v>LTRLYVTILLTVLVFLLCGLPFGIQWALFSRI</v>
      </c>
      <c r="P206" s="4" t="str">
        <f t="shared" si="86"/>
        <v>WKVLFCHVHLVSIFLSALNSSANPIIYFFV</v>
      </c>
      <c r="Q206" s="4" t="str">
        <f t="shared" si="87"/>
        <v>GSFRQRQNRQNLKLVLQR</v>
      </c>
      <c r="R206" s="5">
        <f>VLOOKUP($A206,'SegEnds_NonXtal_Prot#'!$A:$AL,3,FALSE)</f>
        <v>27</v>
      </c>
      <c r="S206" s="5" t="str">
        <f>VLOOKUP($A206,'SegEnds_NonXtal_Prot#'!$A:$AL,6,FALSE)</f>
        <v>-</v>
      </c>
      <c r="T206" s="5">
        <f>VLOOKUP($A206,'SegEnds_NonXtal_Prot#'!$A:$AL,9,FALSE)</f>
        <v>59</v>
      </c>
      <c r="U206" s="5" t="str">
        <f>VLOOKUP($A206,'SegEnds_NonXtal_Prot#'!$A:$AL,12,FALSE)</f>
        <v>-</v>
      </c>
      <c r="V206" s="5">
        <f>VLOOKUP($A206,'SegEnds_NonXtal_Prot#'!$A:$AL,15,FALSE)</f>
        <v>94</v>
      </c>
      <c r="W206" s="5">
        <f>VLOOKUP($A206,'SegEnds_NonXtal_Prot#'!$A:$AL,18,FALSE)</f>
        <v>127</v>
      </c>
      <c r="X206" s="5">
        <f>VLOOKUP($A206,'SegEnds_NonXtal_Prot#'!$A:$AL,21,FALSE)</f>
        <v>135</v>
      </c>
      <c r="Y206" s="5" t="str">
        <f>VLOOKUP($A206,'SegEnds_NonXtal_Prot#'!$A:$AL,24,FALSE)</f>
        <v>-</v>
      </c>
      <c r="Z206" s="5">
        <f>VLOOKUP($A206,'SegEnds_NonXtal_Prot#'!$A:$AL,27,FALSE)</f>
        <v>165</v>
      </c>
      <c r="AA206" s="5">
        <f>VLOOKUP($A206,'SegEnds_NonXtal_Prot#'!$A:$AL,30,FALSE)</f>
        <v>211</v>
      </c>
      <c r="AB206" s="5">
        <f>VLOOKUP($A206,'SegEnds_NonXtal_Prot#'!$A:$AL,33,FALSE)</f>
        <v>246</v>
      </c>
      <c r="AC206" s="5">
        <f>VLOOKUP($A206,'SegEnds_NonXtal_Prot#'!$A:$AL,36,FALSE)</f>
        <v>276</v>
      </c>
      <c r="AD206" s="5">
        <f>VLOOKUP($A206,'SegEnds_NonXtal_Prot#'!$A:$AL,5,FALSE)</f>
        <v>55</v>
      </c>
      <c r="AE206" s="5" t="str">
        <f>VLOOKUP($A206,'SegEnds_NonXtal_Prot#'!$A:$AL,8,FALSE)</f>
        <v>-</v>
      </c>
      <c r="AF206" s="5">
        <f>VLOOKUP($A206,'SegEnds_NonXtal_Prot#'!$A:$AL,11,FALSE)</f>
        <v>88</v>
      </c>
      <c r="AG206" s="5" t="str">
        <f>VLOOKUP($A206,'SegEnds_NonXtal_Prot#'!$A:$AL,14,FALSE)</f>
        <v>-</v>
      </c>
      <c r="AH206" s="5">
        <f>VLOOKUP($A206,'SegEnds_NonXtal_Prot#'!$A:$AL,17,FALSE)</f>
        <v>126</v>
      </c>
      <c r="AI206" s="5">
        <f>VLOOKUP($A206,'SegEnds_NonXtal_Prot#'!$A:$AL,20,FALSE)</f>
        <v>134</v>
      </c>
      <c r="AJ206" s="5">
        <f>VLOOKUP($A206,'SegEnds_NonXtal_Prot#'!$A:$AL,23,FALSE)</f>
        <v>161</v>
      </c>
      <c r="AK206" s="5" t="str">
        <f>VLOOKUP($A206,'SegEnds_NonXtal_Prot#'!$A:$AL,26,FALSE)</f>
        <v>-</v>
      </c>
      <c r="AL206" s="5">
        <f>VLOOKUP($A206,'SegEnds_NonXtal_Prot#'!$A:$AL,29,FALSE)</f>
        <v>207</v>
      </c>
      <c r="AM206" s="5">
        <f>VLOOKUP($A206,'SegEnds_NonXtal_Prot#'!$A:$AL,32,FALSE)</f>
        <v>242</v>
      </c>
      <c r="AN206" s="5">
        <f>VLOOKUP($A206,'SegEnds_NonXtal_Prot#'!$A:$AL,35,FALSE)</f>
        <v>275</v>
      </c>
      <c r="AO206" s="5">
        <f>VLOOKUP($A206,'SegEnds_NonXtal_Prot#'!$A:$AL,38,FALSE)</f>
        <v>293</v>
      </c>
      <c r="AP206" s="5">
        <f t="shared" si="88"/>
        <v>28</v>
      </c>
      <c r="AQ206" s="4" t="str">
        <f t="shared" si="89"/>
        <v>-</v>
      </c>
      <c r="AR206" s="4">
        <f t="shared" si="90"/>
        <v>29</v>
      </c>
      <c r="AS206" s="4" t="str">
        <f t="shared" si="91"/>
        <v>-</v>
      </c>
      <c r="AT206" s="4">
        <f t="shared" si="92"/>
        <v>32</v>
      </c>
      <c r="AU206" s="4">
        <f t="shared" si="93"/>
        <v>7</v>
      </c>
      <c r="AV206" s="4">
        <f t="shared" si="94"/>
        <v>26</v>
      </c>
      <c r="AW206" s="4" t="str">
        <f t="shared" si="95"/>
        <v>-</v>
      </c>
      <c r="AX206" s="4">
        <f t="shared" si="96"/>
        <v>42</v>
      </c>
      <c r="AY206" s="4">
        <f t="shared" si="97"/>
        <v>31</v>
      </c>
      <c r="AZ206" s="4">
        <f t="shared" si="98"/>
        <v>29</v>
      </c>
      <c r="BA206" s="4">
        <f t="shared" si="99"/>
        <v>17</v>
      </c>
    </row>
    <row r="207" spans="1:53" x14ac:dyDescent="0.2">
      <c r="A207" s="1" t="str">
        <f>'SegEnds_NonXtal_Prot#'!A187</f>
        <v>mrgx4_human</v>
      </c>
      <c r="B207" s="1" t="str">
        <f t="shared" si="75"/>
        <v>CYNQTLSFTVLTCIISLVGLTGNAVVLWLLGYRNAVSIYILNLAAADFLFLSFQIIRLPLRLIIRKILVSVMTFPYFTGLSMLSAISTERCLSVLWPTHLSAVVCVLLWGLSLLFSMLEWRSSWCETSDFIPVAWLIFLCVVLCVSSLVLLVRILCGSRLTRLYVTILLTVLVFLLCGLPFGILGALIYRMYCHVYLVCMSLSSLNSSANPIIYFFVGSFRQRQNRQNLKLV</v>
      </c>
      <c r="C207" s="29" t="str">
        <f>IF(ISERROR(MATCH(A207,'SegEnds_Xtal_Prot#'!B:B, 0)), "NoXtal", "Xtal")</f>
        <v>NoXtal</v>
      </c>
      <c r="D207" s="4" t="str">
        <f>VLOOKUP(A207,Classification!A:D,2,FALSE)</f>
        <v>A</v>
      </c>
      <c r="E207" s="5" t="str">
        <f>VLOOKUP(A207,Seqs!A:B,2,FALSE)</f>
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</c>
      <c r="F207" s="5" t="str">
        <f t="shared" si="76"/>
        <v>CYNQTLSFTVLTCIISLVGLTGNAVVLWLLGYR</v>
      </c>
      <c r="G207" s="4" t="str">
        <f t="shared" si="77"/>
        <v/>
      </c>
      <c r="H207" s="4" t="str">
        <f t="shared" si="78"/>
        <v>NAVSIYILNLAAADFLFLSFQIIRLPLRLI</v>
      </c>
      <c r="I207" s="4" t="str">
        <f t="shared" si="79"/>
        <v/>
      </c>
      <c r="J207" s="4" t="str">
        <f t="shared" si="80"/>
        <v>IRKILVSVMTFPYFTGLSMLSAISTERCLSVLW</v>
      </c>
      <c r="K207" s="4" t="str">
        <f t="shared" si="81"/>
        <v>PIWYRCRR</v>
      </c>
      <c r="L207" s="4" t="str">
        <f t="shared" si="82"/>
        <v>PTHLSAVVCVLLWGLSLLFSMLEWR</v>
      </c>
      <c r="M207" s="4" t="str">
        <f t="shared" si="83"/>
        <v/>
      </c>
      <c r="N207" s="4" t="str">
        <f t="shared" si="84"/>
        <v>SSWCETSDFIPVAWLIFLCVVLCVSSLVLLVRILCGSR</v>
      </c>
      <c r="O207" s="4" t="str">
        <f t="shared" si="85"/>
        <v>LTRLYVTILLTVLVFLLCGLPFGILGALIYRM</v>
      </c>
      <c r="P207" s="4" t="str">
        <f t="shared" si="86"/>
        <v>YCHVYLVCMSLSSLNSSANPIIYFFV</v>
      </c>
      <c r="Q207" s="4" t="str">
        <f t="shared" si="87"/>
        <v>GSFRQRQNRQNLKLV</v>
      </c>
      <c r="R207" s="5">
        <f>VLOOKUP($A207,'SegEnds_NonXtal_Prot#'!$A:$AL,3,FALSE)</f>
        <v>23</v>
      </c>
      <c r="S207" s="5" t="str">
        <f>VLOOKUP($A207,'SegEnds_NonXtal_Prot#'!$A:$AL,6,FALSE)</f>
        <v>-</v>
      </c>
      <c r="T207" s="5">
        <f>VLOOKUP($A207,'SegEnds_NonXtal_Prot#'!$A:$AL,9,FALSE)</f>
        <v>59</v>
      </c>
      <c r="U207" s="5" t="str">
        <f>VLOOKUP($A207,'SegEnds_NonXtal_Prot#'!$A:$AL,12,FALSE)</f>
        <v>-</v>
      </c>
      <c r="V207" s="5">
        <f>VLOOKUP($A207,'SegEnds_NonXtal_Prot#'!$A:$AL,15,FALSE)</f>
        <v>94</v>
      </c>
      <c r="W207" s="5">
        <f>VLOOKUP($A207,'SegEnds_NonXtal_Prot#'!$A:$AL,18,FALSE)</f>
        <v>127</v>
      </c>
      <c r="X207" s="5">
        <f>VLOOKUP($A207,'SegEnds_NonXtal_Prot#'!$A:$AL,21,FALSE)</f>
        <v>135</v>
      </c>
      <c r="Y207" s="5" t="str">
        <f>VLOOKUP($A207,'SegEnds_NonXtal_Prot#'!$A:$AL,24,FALSE)</f>
        <v>-</v>
      </c>
      <c r="Z207" s="5">
        <f>VLOOKUP($A207,'SegEnds_NonXtal_Prot#'!$A:$AL,27,FALSE)</f>
        <v>170</v>
      </c>
      <c r="AA207" s="5">
        <f>VLOOKUP($A207,'SegEnds_NonXtal_Prot#'!$A:$AL,30,FALSE)</f>
        <v>211</v>
      </c>
      <c r="AB207" s="5">
        <f>VLOOKUP($A207,'SegEnds_NonXtal_Prot#'!$A:$AL,33,FALSE)</f>
        <v>250</v>
      </c>
      <c r="AC207" s="5">
        <f>VLOOKUP($A207,'SegEnds_NonXtal_Prot#'!$A:$AL,36,FALSE)</f>
        <v>276</v>
      </c>
      <c r="AD207" s="5">
        <f>VLOOKUP($A207,'SegEnds_NonXtal_Prot#'!$A:$AL,5,FALSE)</f>
        <v>55</v>
      </c>
      <c r="AE207" s="5" t="str">
        <f>VLOOKUP($A207,'SegEnds_NonXtal_Prot#'!$A:$AL,8,FALSE)</f>
        <v>-</v>
      </c>
      <c r="AF207" s="5">
        <f>VLOOKUP($A207,'SegEnds_NonXtal_Prot#'!$A:$AL,11,FALSE)</f>
        <v>88</v>
      </c>
      <c r="AG207" s="5" t="str">
        <f>VLOOKUP($A207,'SegEnds_NonXtal_Prot#'!$A:$AL,14,FALSE)</f>
        <v>-</v>
      </c>
      <c r="AH207" s="5">
        <f>VLOOKUP($A207,'SegEnds_NonXtal_Prot#'!$A:$AL,17,FALSE)</f>
        <v>126</v>
      </c>
      <c r="AI207" s="5">
        <f>VLOOKUP($A207,'SegEnds_NonXtal_Prot#'!$A:$AL,20,FALSE)</f>
        <v>134</v>
      </c>
      <c r="AJ207" s="5">
        <f>VLOOKUP($A207,'SegEnds_NonXtal_Prot#'!$A:$AL,23,FALSE)</f>
        <v>159</v>
      </c>
      <c r="AK207" s="5" t="str">
        <f>VLOOKUP($A207,'SegEnds_NonXtal_Prot#'!$A:$AL,26,FALSE)</f>
        <v>-</v>
      </c>
      <c r="AL207" s="5">
        <f>VLOOKUP($A207,'SegEnds_NonXtal_Prot#'!$A:$AL,29,FALSE)</f>
        <v>207</v>
      </c>
      <c r="AM207" s="5">
        <f>VLOOKUP($A207,'SegEnds_NonXtal_Prot#'!$A:$AL,32,FALSE)</f>
        <v>242</v>
      </c>
      <c r="AN207" s="5">
        <f>VLOOKUP($A207,'SegEnds_NonXtal_Prot#'!$A:$AL,35,FALSE)</f>
        <v>275</v>
      </c>
      <c r="AO207" s="5">
        <f>VLOOKUP($A207,'SegEnds_NonXtal_Prot#'!$A:$AL,38,FALSE)</f>
        <v>290</v>
      </c>
      <c r="AP207" s="5">
        <f t="shared" si="88"/>
        <v>32</v>
      </c>
      <c r="AQ207" s="4" t="str">
        <f t="shared" si="89"/>
        <v>-</v>
      </c>
      <c r="AR207" s="4">
        <f t="shared" si="90"/>
        <v>29</v>
      </c>
      <c r="AS207" s="4" t="str">
        <f t="shared" si="91"/>
        <v>-</v>
      </c>
      <c r="AT207" s="4">
        <f t="shared" si="92"/>
        <v>32</v>
      </c>
      <c r="AU207" s="4">
        <f t="shared" si="93"/>
        <v>7</v>
      </c>
      <c r="AV207" s="4">
        <f t="shared" si="94"/>
        <v>24</v>
      </c>
      <c r="AW207" s="4" t="str">
        <f t="shared" si="95"/>
        <v>-</v>
      </c>
      <c r="AX207" s="4">
        <f t="shared" si="96"/>
        <v>37</v>
      </c>
      <c r="AY207" s="4">
        <f t="shared" si="97"/>
        <v>31</v>
      </c>
      <c r="AZ207" s="4">
        <f t="shared" si="98"/>
        <v>25</v>
      </c>
      <c r="BA207" s="4">
        <f t="shared" si="99"/>
        <v>14</v>
      </c>
    </row>
    <row r="208" spans="1:53" x14ac:dyDescent="0.2">
      <c r="A208" s="1" t="str">
        <f>'SegEnds_NonXtal_Prot#'!A188</f>
        <v>mshr_human</v>
      </c>
      <c r="B208" s="1" t="str">
        <f t="shared" si="75"/>
        <v>CLEVSISDGLFLSLGLVSLVENALVVATIAKNSPMYCFICCLALSDLLVSGSNVLETAVILLLAAVLQQLDNVIDVITCSSMLSSLCFLGAIAVDRYISIFYTLPRARRAVAAIWVASVVFSTLFIAYLVVFFLAMLVLMAVLYVHMLARACQHAQGIARLHKQGFGLKGAVTLTILLGIFFLCWGPFFLHLTLIVLCCIFKNFNLFLALIICNAIIDPLIYAFHSQELRRTLKEVLT</v>
      </c>
      <c r="C208" s="29" t="str">
        <f>IF(ISERROR(MATCH(A208,'SegEnds_Xtal_Prot#'!B:B, 0)), "NoXtal", "Xtal")</f>
        <v>NoXtal</v>
      </c>
      <c r="D208" s="4" t="str">
        <f>VLOOKUP(A208,Classification!A:D,2,FALSE)</f>
        <v>A</v>
      </c>
      <c r="E208" s="5" t="str">
        <f>VLOOKUP(A208,Seqs!A:B,2,FALSE)</f>
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</c>
      <c r="F208" s="5" t="str">
        <f t="shared" si="76"/>
        <v>CLEVSISDGLFLSLGLVSLVENALVVATIAKN</v>
      </c>
      <c r="G208" s="4" t="str">
        <f t="shared" si="77"/>
        <v>RNLH</v>
      </c>
      <c r="H208" s="4" t="str">
        <f t="shared" si="78"/>
        <v>SPMYCFICCLALSDLLVSGSNVLETAVILLL</v>
      </c>
      <c r="I208" s="4" t="str">
        <f t="shared" si="79"/>
        <v/>
      </c>
      <c r="J208" s="4" t="str">
        <f t="shared" si="80"/>
        <v>AAVLQQLDNVIDVITCSSMLSSLCFLGAIAVDRYISIFY</v>
      </c>
      <c r="K208" s="4" t="str">
        <f t="shared" si="81"/>
        <v>ALRYHSIV</v>
      </c>
      <c r="L208" s="4" t="str">
        <f t="shared" si="82"/>
        <v>TLPRARRAVAAIWVASVVFSTLFIAY</v>
      </c>
      <c r="M208" s="4" t="str">
        <f t="shared" si="83"/>
        <v/>
      </c>
      <c r="N208" s="4" t="str">
        <f t="shared" si="84"/>
        <v>LVVFFLAMLVLMAVLYVHMLARACQHAQGIARLHK</v>
      </c>
      <c r="O208" s="4" t="str">
        <f t="shared" si="85"/>
        <v>QGFGLKGAVTLTILLGIFFLCWGPFFLHLTLIVLC</v>
      </c>
      <c r="P208" s="4" t="str">
        <f t="shared" si="86"/>
        <v>CIFKNFNLFLALIICNAIIDPLIYAFH</v>
      </c>
      <c r="Q208" s="4" t="str">
        <f t="shared" si="87"/>
        <v>SQELRRTLKEVLT</v>
      </c>
      <c r="R208" s="5">
        <f>VLOOKUP($A208,'SegEnds_NonXtal_Prot#'!$A:$AL,3,FALSE)</f>
        <v>35</v>
      </c>
      <c r="S208" s="5">
        <f>VLOOKUP($A208,'SegEnds_NonXtal_Prot#'!$A:$AL,6,FALSE)</f>
        <v>67</v>
      </c>
      <c r="T208" s="5">
        <f>VLOOKUP($A208,'SegEnds_NonXtal_Prot#'!$A:$AL,9,FALSE)</f>
        <v>71</v>
      </c>
      <c r="U208" s="5" t="str">
        <f>VLOOKUP($A208,'SegEnds_NonXtal_Prot#'!$A:$AL,12,FALSE)</f>
        <v>-</v>
      </c>
      <c r="V208" s="5">
        <f>VLOOKUP($A208,'SegEnds_NonXtal_Prot#'!$A:$AL,15,FALSE)</f>
        <v>110</v>
      </c>
      <c r="W208" s="5">
        <f>VLOOKUP($A208,'SegEnds_NonXtal_Prot#'!$A:$AL,18,FALSE)</f>
        <v>149</v>
      </c>
      <c r="X208" s="5">
        <f>VLOOKUP($A208,'SegEnds_NonXtal_Prot#'!$A:$AL,21,FALSE)</f>
        <v>157</v>
      </c>
      <c r="Y208" s="5" t="str">
        <f>VLOOKUP($A208,'SegEnds_NonXtal_Prot#'!$A:$AL,24,FALSE)</f>
        <v>-</v>
      </c>
      <c r="Z208" s="5">
        <f>VLOOKUP($A208,'SegEnds_NonXtal_Prot#'!$A:$AL,27,FALSE)</f>
        <v>192</v>
      </c>
      <c r="AA208" s="5">
        <f>VLOOKUP($A208,'SegEnds_NonXtal_Prot#'!$A:$AL,30,FALSE)</f>
        <v>233</v>
      </c>
      <c r="AB208" s="5">
        <f>VLOOKUP($A208,'SegEnds_NonXtal_Prot#'!$A:$AL,33,FALSE)</f>
        <v>275</v>
      </c>
      <c r="AC208" s="5">
        <f>VLOOKUP($A208,'SegEnds_NonXtal_Prot#'!$A:$AL,36,FALSE)</f>
        <v>302</v>
      </c>
      <c r="AD208" s="5">
        <f>VLOOKUP($A208,'SegEnds_NonXtal_Prot#'!$A:$AL,5,FALSE)</f>
        <v>66</v>
      </c>
      <c r="AE208" s="5">
        <f>VLOOKUP($A208,'SegEnds_NonXtal_Prot#'!$A:$AL,8,FALSE)</f>
        <v>70</v>
      </c>
      <c r="AF208" s="5">
        <f>VLOOKUP($A208,'SegEnds_NonXtal_Prot#'!$A:$AL,11,FALSE)</f>
        <v>101</v>
      </c>
      <c r="AG208" s="5" t="str">
        <f>VLOOKUP($A208,'SegEnds_NonXtal_Prot#'!$A:$AL,14,FALSE)</f>
        <v>-</v>
      </c>
      <c r="AH208" s="5">
        <f>VLOOKUP($A208,'SegEnds_NonXtal_Prot#'!$A:$AL,17,FALSE)</f>
        <v>148</v>
      </c>
      <c r="AI208" s="5">
        <f>VLOOKUP($A208,'SegEnds_NonXtal_Prot#'!$A:$AL,20,FALSE)</f>
        <v>156</v>
      </c>
      <c r="AJ208" s="5">
        <f>VLOOKUP($A208,'SegEnds_NonXtal_Prot#'!$A:$AL,23,FALSE)</f>
        <v>182</v>
      </c>
      <c r="AK208" s="5" t="str">
        <f>VLOOKUP($A208,'SegEnds_NonXtal_Prot#'!$A:$AL,26,FALSE)</f>
        <v>-</v>
      </c>
      <c r="AL208" s="5">
        <f>VLOOKUP($A208,'SegEnds_NonXtal_Prot#'!$A:$AL,29,FALSE)</f>
        <v>226</v>
      </c>
      <c r="AM208" s="5">
        <f>VLOOKUP($A208,'SegEnds_NonXtal_Prot#'!$A:$AL,32,FALSE)</f>
        <v>267</v>
      </c>
      <c r="AN208" s="5">
        <f>VLOOKUP($A208,'SegEnds_NonXtal_Prot#'!$A:$AL,35,FALSE)</f>
        <v>301</v>
      </c>
      <c r="AO208" s="5">
        <f>VLOOKUP($A208,'SegEnds_NonXtal_Prot#'!$A:$AL,38,FALSE)</f>
        <v>314</v>
      </c>
      <c r="AP208" s="5">
        <f t="shared" si="88"/>
        <v>31</v>
      </c>
      <c r="AQ208" s="4">
        <f t="shared" si="89"/>
        <v>3</v>
      </c>
      <c r="AR208" s="4">
        <f t="shared" si="90"/>
        <v>30</v>
      </c>
      <c r="AS208" s="4" t="str">
        <f t="shared" si="91"/>
        <v>-</v>
      </c>
      <c r="AT208" s="4">
        <f t="shared" si="92"/>
        <v>38</v>
      </c>
      <c r="AU208" s="4">
        <f t="shared" si="93"/>
        <v>7</v>
      </c>
      <c r="AV208" s="4">
        <f t="shared" si="94"/>
        <v>25</v>
      </c>
      <c r="AW208" s="4" t="str">
        <f t="shared" si="95"/>
        <v>-</v>
      </c>
      <c r="AX208" s="4">
        <f t="shared" si="96"/>
        <v>34</v>
      </c>
      <c r="AY208" s="4">
        <f t="shared" si="97"/>
        <v>34</v>
      </c>
      <c r="AZ208" s="4">
        <f t="shared" si="98"/>
        <v>26</v>
      </c>
      <c r="BA208" s="4">
        <f t="shared" si="99"/>
        <v>12</v>
      </c>
    </row>
    <row r="209" spans="1:53" x14ac:dyDescent="0.2">
      <c r="A209" s="1" t="str">
        <f>'SegEnds_NonXtal_Prot#'!A189</f>
        <v>mtlr_human</v>
      </c>
      <c r="B209" s="1" t="str">
        <f t="shared" si="75"/>
        <v>LGALVPVTAVCLCLFVVGVSGNVVTVMLIGRYTTTNLYLGSMAVSDLLILLGLPFDLYRLWRSGPLLCRLSLYVGEGCTYATLLHMTALSVERYLAICRTRRRVRALIAVLWAVALLSAGPFLFLVQLGALRVMLWVTTAYFFLPFLCLSILYGLIGRELWSSRRPLSGRERGHRQTVRVLLVVVLAFIICWLPFHVGRIIYINTDSRMMYFSQYFNIVALQLFYLSASINPILYNLISKKYRAAAFKLLLARK</v>
      </c>
      <c r="C209" s="29" t="str">
        <f>IF(ISERROR(MATCH(A209,'SegEnds_Xtal_Prot#'!B:B, 0)), "NoXtal", "Xtal")</f>
        <v>NoXtal</v>
      </c>
      <c r="D209" s="4" t="str">
        <f>VLOOKUP(A209,Classification!A:D,2,FALSE)</f>
        <v>A</v>
      </c>
      <c r="E209" s="5" t="str">
        <f>VLOOKUP(A209,Seqs!A:B,2,FALSE)</f>
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</c>
      <c r="F209" s="5" t="str">
        <f t="shared" si="76"/>
        <v>LGALVPVTAVCLCLFVVGVSGNVVTVMLIGRY</v>
      </c>
      <c r="G209" s="4" t="str">
        <f t="shared" si="77"/>
        <v>RDMR</v>
      </c>
      <c r="H209" s="4" t="str">
        <f t="shared" si="78"/>
        <v>TTTNLYLGSMAVSDLLILLGLPFDLYRLWRS</v>
      </c>
      <c r="I209" s="4" t="str">
        <f t="shared" si="79"/>
        <v>PWVF</v>
      </c>
      <c r="J209" s="4" t="str">
        <f t="shared" si="80"/>
        <v>GPLLCRLSLYVGEGCTYATLLHMTALSVERYLAICR</v>
      </c>
      <c r="K209" s="4" t="str">
        <f t="shared" si="81"/>
        <v>PLRARVLV</v>
      </c>
      <c r="L209" s="4" t="str">
        <f t="shared" si="82"/>
        <v>TRRRVRALIAVLWAVALLSAGPFLFLV</v>
      </c>
      <c r="M209" s="4" t="str">
        <f t="shared" si="83"/>
        <v>CRP</v>
      </c>
      <c r="N209" s="4" t="str">
        <f t="shared" si="84"/>
        <v>QLGALRVMLWVTTAYFFLPFLCLSILYGLIGRELWSSRRPL</v>
      </c>
      <c r="O209" s="4" t="str">
        <f t="shared" si="85"/>
        <v>SGRERGHRQTVRVLLVVVLAFIICWLPFHVGRIIYINT</v>
      </c>
      <c r="P209" s="4" t="str">
        <f t="shared" si="86"/>
        <v>DSRMMYFSQYFNIVALQLFYLSASINPILYNLI</v>
      </c>
      <c r="Q209" s="4" t="str">
        <f t="shared" si="87"/>
        <v>SKKYRAAAFKLLLARK</v>
      </c>
      <c r="R209" s="5">
        <f>VLOOKUP($A209,'SegEnds_NonXtal_Prot#'!$A:$AL,3,FALSE)</f>
        <v>35</v>
      </c>
      <c r="S209" s="5">
        <f>VLOOKUP($A209,'SegEnds_NonXtal_Prot#'!$A:$AL,6,FALSE)</f>
        <v>67</v>
      </c>
      <c r="T209" s="5">
        <f>VLOOKUP($A209,'SegEnds_NonXtal_Prot#'!$A:$AL,9,FALSE)</f>
        <v>71</v>
      </c>
      <c r="U209" s="5">
        <f>VLOOKUP($A209,'SegEnds_NonXtal_Prot#'!$A:$AL,12,FALSE)</f>
        <v>103</v>
      </c>
      <c r="V209" s="5">
        <f>VLOOKUP($A209,'SegEnds_NonXtal_Prot#'!$A:$AL,15,FALSE)</f>
        <v>107</v>
      </c>
      <c r="W209" s="5">
        <f>VLOOKUP($A209,'SegEnds_NonXtal_Prot#'!$A:$AL,18,FALSE)</f>
        <v>143</v>
      </c>
      <c r="X209" s="5">
        <f>VLOOKUP($A209,'SegEnds_NonXtal_Prot#'!$A:$AL,21,FALSE)</f>
        <v>151</v>
      </c>
      <c r="Y209" s="5">
        <f>VLOOKUP($A209,'SegEnds_NonXtal_Prot#'!$A:$AL,24,FALSE)</f>
        <v>235</v>
      </c>
      <c r="Z209" s="5">
        <f>VLOOKUP($A209,'SegEnds_NonXtal_Prot#'!$A:$AL,27,FALSE)</f>
        <v>241</v>
      </c>
      <c r="AA209" s="5">
        <f>VLOOKUP($A209,'SegEnds_NonXtal_Prot#'!$A:$AL,30,FALSE)</f>
        <v>287</v>
      </c>
      <c r="AB209" s="5">
        <f>VLOOKUP($A209,'SegEnds_NonXtal_Prot#'!$A:$AL,33,FALSE)</f>
        <v>326</v>
      </c>
      <c r="AC209" s="5">
        <f>VLOOKUP($A209,'SegEnds_NonXtal_Prot#'!$A:$AL,36,FALSE)</f>
        <v>359</v>
      </c>
      <c r="AD209" s="5">
        <f>VLOOKUP($A209,'SegEnds_NonXtal_Prot#'!$A:$AL,5,FALSE)</f>
        <v>66</v>
      </c>
      <c r="AE209" s="5">
        <f>VLOOKUP($A209,'SegEnds_NonXtal_Prot#'!$A:$AL,8,FALSE)</f>
        <v>70</v>
      </c>
      <c r="AF209" s="5">
        <f>VLOOKUP($A209,'SegEnds_NonXtal_Prot#'!$A:$AL,11,FALSE)</f>
        <v>101</v>
      </c>
      <c r="AG209" s="5">
        <f>VLOOKUP($A209,'SegEnds_NonXtal_Prot#'!$A:$AL,14,FALSE)</f>
        <v>106</v>
      </c>
      <c r="AH209" s="5">
        <f>VLOOKUP($A209,'SegEnds_NonXtal_Prot#'!$A:$AL,17,FALSE)</f>
        <v>142</v>
      </c>
      <c r="AI209" s="5">
        <f>VLOOKUP($A209,'SegEnds_NonXtal_Prot#'!$A:$AL,20,FALSE)</f>
        <v>150</v>
      </c>
      <c r="AJ209" s="5">
        <f>VLOOKUP($A209,'SegEnds_NonXtal_Prot#'!$A:$AL,23,FALSE)</f>
        <v>177</v>
      </c>
      <c r="AK209" s="5">
        <f>VLOOKUP($A209,'SegEnds_NonXtal_Prot#'!$A:$AL,26,FALSE)</f>
        <v>237</v>
      </c>
      <c r="AL209" s="5">
        <f>VLOOKUP($A209,'SegEnds_NonXtal_Prot#'!$A:$AL,29,FALSE)</f>
        <v>281</v>
      </c>
      <c r="AM209" s="5">
        <f>VLOOKUP($A209,'SegEnds_NonXtal_Prot#'!$A:$AL,32,FALSE)</f>
        <v>324</v>
      </c>
      <c r="AN209" s="5">
        <f>VLOOKUP($A209,'SegEnds_NonXtal_Prot#'!$A:$AL,35,FALSE)</f>
        <v>358</v>
      </c>
      <c r="AO209" s="5">
        <f>VLOOKUP($A209,'SegEnds_NonXtal_Prot#'!$A:$AL,38,FALSE)</f>
        <v>374</v>
      </c>
      <c r="AP209" s="5">
        <f t="shared" si="88"/>
        <v>31</v>
      </c>
      <c r="AQ209" s="4">
        <f t="shared" si="89"/>
        <v>3</v>
      </c>
      <c r="AR209" s="4">
        <f t="shared" si="90"/>
        <v>30</v>
      </c>
      <c r="AS209" s="4">
        <f t="shared" si="91"/>
        <v>3</v>
      </c>
      <c r="AT209" s="4">
        <f t="shared" si="92"/>
        <v>35</v>
      </c>
      <c r="AU209" s="4">
        <f t="shared" si="93"/>
        <v>7</v>
      </c>
      <c r="AV209" s="4">
        <f t="shared" si="94"/>
        <v>26</v>
      </c>
      <c r="AW209" s="4">
        <f t="shared" si="95"/>
        <v>2</v>
      </c>
      <c r="AX209" s="4">
        <f t="shared" si="96"/>
        <v>40</v>
      </c>
      <c r="AY209" s="4">
        <f t="shared" si="97"/>
        <v>37</v>
      </c>
      <c r="AZ209" s="4">
        <f t="shared" si="98"/>
        <v>32</v>
      </c>
      <c r="BA209" s="4">
        <f t="shared" si="99"/>
        <v>15</v>
      </c>
    </row>
    <row r="210" spans="1:53" x14ac:dyDescent="0.2">
      <c r="A210" s="1" t="str">
        <f>'SegEnds_NonXtal_Prot#'!A191</f>
        <v>mtr1b_human</v>
      </c>
      <c r="B210" s="1" t="str">
        <f t="shared" si="75"/>
        <v>WVAPALSAVLIVTTAVDVVGNLLVILSVLRNNAGNLFLVSLALADLVVAFYPYPLILVAIFYDGEEHCKASAFVMGLSVIGSVFNITAIAINRYCYICHRRWHTPLHICLIWLLTVVALLPNFFVGSTQYTAAVVVIHFLLPIAVVSFCYLRIWVLVLQARRKALCLKPSDLRSFLTMFVVFVIFAICWAPLNCIGLAVAINPEGLFVTSYLLAYFNSCLNAIVYGLLNQNFRREYKRILLALWN</v>
      </c>
      <c r="C210" s="29" t="str">
        <f>IF(ISERROR(MATCH(A210,'SegEnds_Xtal_Prot#'!B:B, 0)), "NoXtal", "Xtal")</f>
        <v>Xtal</v>
      </c>
      <c r="D210" s="4" t="str">
        <f>VLOOKUP(A210,Classification!A:D,2,FALSE)</f>
        <v>A</v>
      </c>
      <c r="E210" s="5" t="str">
        <f>VLOOKUP(A210,Seqs!A:B,2,FALSE)</f>
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</c>
      <c r="F210" s="5" t="str">
        <f t="shared" si="76"/>
        <v>WVAPALSAVLIVTTAVDVVGNLLVILSVLRN</v>
      </c>
      <c r="G210" s="4" t="str">
        <f t="shared" si="77"/>
        <v>RKLR</v>
      </c>
      <c r="H210" s="4" t="str">
        <f t="shared" si="78"/>
        <v>NAGNLFLVSLALADLVVAFYPYPLILVAIFYD</v>
      </c>
      <c r="I210" s="4" t="str">
        <f t="shared" si="79"/>
        <v>GWAL</v>
      </c>
      <c r="J210" s="4" t="str">
        <f t="shared" si="80"/>
        <v>GEEHCKASAFVMGLSVIGSVFNITAIAINRYCYICH</v>
      </c>
      <c r="K210" s="4" t="str">
        <f t="shared" si="81"/>
        <v>SMAYHRIY</v>
      </c>
      <c r="L210" s="4" t="str">
        <f t="shared" si="82"/>
        <v>RRWHTPLHICLIWLLTVVALLPNFFVG</v>
      </c>
      <c r="M210" s="4" t="str">
        <f t="shared" si="83"/>
        <v>CTF</v>
      </c>
      <c r="N210" s="4" t="str">
        <f t="shared" si="84"/>
        <v>STQYTAAVVVIHFLLPIAVVSFCYLRIWVLVLQARRKA</v>
      </c>
      <c r="O210" s="4" t="str">
        <f t="shared" si="85"/>
        <v>LCLKPSDLRSFLTMFVVFVIFAICWAPLNCIGLAVAIN</v>
      </c>
      <c r="P210" s="4" t="str">
        <f t="shared" si="86"/>
        <v>PEGLFVTSYLLAYFNSCLNAIVYGLL</v>
      </c>
      <c r="Q210" s="4" t="str">
        <f t="shared" si="87"/>
        <v>NQNFRREYKRILLALWN</v>
      </c>
      <c r="R210" s="5">
        <f>VLOOKUP($A210,'SegEnds_NonXtal_Prot#'!$A:$AL,3,FALSE)</f>
        <v>38</v>
      </c>
      <c r="S210" s="5">
        <f>VLOOKUP($A210,'SegEnds_NonXtal_Prot#'!$A:$AL,6,FALSE)</f>
        <v>69</v>
      </c>
      <c r="T210" s="5">
        <f>VLOOKUP($A210,'SegEnds_NonXtal_Prot#'!$A:$AL,9,FALSE)</f>
        <v>73</v>
      </c>
      <c r="U210" s="5">
        <f>VLOOKUP($A210,'SegEnds_NonXtal_Prot#'!$A:$AL,12,FALSE)</f>
        <v>105</v>
      </c>
      <c r="V210" s="5">
        <f>VLOOKUP($A210,'SegEnds_NonXtal_Prot#'!$A:$AL,15,FALSE)</f>
        <v>109</v>
      </c>
      <c r="W210" s="5">
        <f>VLOOKUP($A210,'SegEnds_NonXtal_Prot#'!$A:$AL,18,FALSE)</f>
        <v>145</v>
      </c>
      <c r="X210" s="5">
        <f>VLOOKUP($A210,'SegEnds_NonXtal_Prot#'!$A:$AL,21,FALSE)</f>
        <v>153</v>
      </c>
      <c r="Y210" s="5">
        <f>VLOOKUP($A210,'SegEnds_NonXtal_Prot#'!$A:$AL,24,FALSE)</f>
        <v>190</v>
      </c>
      <c r="Z210" s="5">
        <f>VLOOKUP($A210,'SegEnds_NonXtal_Prot#'!$A:$AL,27,FALSE)</f>
        <v>197</v>
      </c>
      <c r="AA210" s="5">
        <f>VLOOKUP($A210,'SegEnds_NonXtal_Prot#'!$A:$AL,30,FALSE)</f>
        <v>240</v>
      </c>
      <c r="AB210" s="5">
        <f>VLOOKUP($A210,'SegEnds_NonXtal_Prot#'!$A:$AL,33,FALSE)</f>
        <v>286</v>
      </c>
      <c r="AC210" s="5">
        <f>VLOOKUP($A210,'SegEnds_NonXtal_Prot#'!$A:$AL,36,FALSE)</f>
        <v>312</v>
      </c>
      <c r="AD210" s="5">
        <f>VLOOKUP($A210,'SegEnds_NonXtal_Prot#'!$A:$AL,5,FALSE)</f>
        <v>68</v>
      </c>
      <c r="AE210" s="5">
        <f>VLOOKUP($A210,'SegEnds_NonXtal_Prot#'!$A:$AL,8,FALSE)</f>
        <v>72</v>
      </c>
      <c r="AF210" s="5">
        <f>VLOOKUP($A210,'SegEnds_NonXtal_Prot#'!$A:$AL,11,FALSE)</f>
        <v>104</v>
      </c>
      <c r="AG210" s="5">
        <f>VLOOKUP($A210,'SegEnds_NonXtal_Prot#'!$A:$AL,14,FALSE)</f>
        <v>108</v>
      </c>
      <c r="AH210" s="5">
        <f>VLOOKUP($A210,'SegEnds_NonXtal_Prot#'!$A:$AL,17,FALSE)</f>
        <v>144</v>
      </c>
      <c r="AI210" s="5">
        <f>VLOOKUP($A210,'SegEnds_NonXtal_Prot#'!$A:$AL,20,FALSE)</f>
        <v>152</v>
      </c>
      <c r="AJ210" s="5">
        <f>VLOOKUP($A210,'SegEnds_NonXtal_Prot#'!$A:$AL,23,FALSE)</f>
        <v>179</v>
      </c>
      <c r="AK210" s="5">
        <f>VLOOKUP($A210,'SegEnds_NonXtal_Prot#'!$A:$AL,26,FALSE)</f>
        <v>192</v>
      </c>
      <c r="AL210" s="5">
        <f>VLOOKUP($A210,'SegEnds_NonXtal_Prot#'!$A:$AL,29,FALSE)</f>
        <v>234</v>
      </c>
      <c r="AM210" s="5">
        <f>VLOOKUP($A210,'SegEnds_NonXtal_Prot#'!$A:$AL,32,FALSE)</f>
        <v>277</v>
      </c>
      <c r="AN210" s="5">
        <f>VLOOKUP($A210,'SegEnds_NonXtal_Prot#'!$A:$AL,35,FALSE)</f>
        <v>311</v>
      </c>
      <c r="AO210" s="5">
        <f>VLOOKUP($A210,'SegEnds_NonXtal_Prot#'!$A:$AL,38,FALSE)</f>
        <v>328</v>
      </c>
      <c r="AP210" s="5">
        <f t="shared" si="88"/>
        <v>30</v>
      </c>
      <c r="AQ210" s="4">
        <f t="shared" si="89"/>
        <v>3</v>
      </c>
      <c r="AR210" s="4">
        <f t="shared" si="90"/>
        <v>31</v>
      </c>
      <c r="AS210" s="4">
        <f t="shared" si="91"/>
        <v>3</v>
      </c>
      <c r="AT210" s="4">
        <f t="shared" si="92"/>
        <v>35</v>
      </c>
      <c r="AU210" s="4">
        <f t="shared" si="93"/>
        <v>7</v>
      </c>
      <c r="AV210" s="4">
        <f t="shared" si="94"/>
        <v>26</v>
      </c>
      <c r="AW210" s="4">
        <f t="shared" si="95"/>
        <v>2</v>
      </c>
      <c r="AX210" s="4">
        <f t="shared" si="96"/>
        <v>37</v>
      </c>
      <c r="AY210" s="4">
        <f t="shared" si="97"/>
        <v>37</v>
      </c>
      <c r="AZ210" s="4">
        <f t="shared" si="98"/>
        <v>25</v>
      </c>
      <c r="BA210" s="4">
        <f t="shared" si="99"/>
        <v>16</v>
      </c>
    </row>
    <row r="211" spans="1:53" x14ac:dyDescent="0.2">
      <c r="A211" s="1" t="str">
        <f>'SegEnds_NonXtal_Prot#'!A192</f>
        <v>mtr1l_human</v>
      </c>
      <c r="B211" s="1" t="str">
        <f t="shared" si="75"/>
        <v>PPALIIFMFCAMVITIVVDLIGNSMVILAVTKNNSGNIFVVSLSVADMLVAIYPYPLMLHAMSIGSQLQCQMVGFITGLSVVGSIFNIVAIAINRYCYICHSVRNTCIYLVITWIMTVLAVLPNMYIGNPVFTVTIVCIHFVLPLLIVGFCYVRIWTKVLAARDPANPDNQLAEVRNFLTMFVIFLLFAVCWCPINVLTVLVAVSPNWLYLAAYFIAYFNSCLNAVIYGLLNENFRREYWTIFHAMRH</v>
      </c>
      <c r="C211" s="29" t="str">
        <f>IF(ISERROR(MATCH(A211,'SegEnds_Xtal_Prot#'!B:B, 0)), "NoXtal", "Xtal")</f>
        <v>NoXtal</v>
      </c>
      <c r="D211" s="4" t="str">
        <f>VLOOKUP(A211,Classification!A:D,2,FALSE)</f>
        <v>A</v>
      </c>
      <c r="E211" s="5" t="str">
        <f>VLOOKUP(A211,Seqs!A:B,2,FALSE)</f>
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</c>
      <c r="F211" s="5" t="str">
        <f t="shared" si="76"/>
        <v>PPALIIFMFCAMVITIVVDLIGNSMVILAVTKN</v>
      </c>
      <c r="G211" s="4" t="str">
        <f t="shared" si="77"/>
        <v>KKLR</v>
      </c>
      <c r="H211" s="4" t="str">
        <f t="shared" si="78"/>
        <v>NSGNIFVVSLSVADMLVAIYPYPLMLHAMSIG</v>
      </c>
      <c r="I211" s="4" t="str">
        <f t="shared" si="79"/>
        <v>GWDL</v>
      </c>
      <c r="J211" s="4" t="str">
        <f t="shared" si="80"/>
        <v>SQLQCQMVGFITGLSVVGSIFNIVAIAINRYCYICH</v>
      </c>
      <c r="K211" s="4" t="str">
        <f t="shared" si="81"/>
        <v>SLQYERIF</v>
      </c>
      <c r="L211" s="4" t="str">
        <f t="shared" si="82"/>
        <v>SVRNTCIYLVITWIMTVLAVLPNMYIG</v>
      </c>
      <c r="M211" s="4" t="str">
        <f t="shared" si="83"/>
        <v>CIF</v>
      </c>
      <c r="N211" s="4" t="str">
        <f t="shared" si="84"/>
        <v>NPVFTVTIVCIHFVLPLLIVGFCYVRIWTKVLAARDPA</v>
      </c>
      <c r="O211" s="4" t="str">
        <f t="shared" si="85"/>
        <v>NPDNQLAEVRNFLTMFVIFLLFAVCWCPINVLTVLVAVS</v>
      </c>
      <c r="P211" s="4" t="str">
        <f t="shared" si="86"/>
        <v>PNWLYLAAYFIAYFNSCLNAVIYGLL</v>
      </c>
      <c r="Q211" s="4" t="str">
        <f t="shared" si="87"/>
        <v>NENFRREYWTIFHAMRH</v>
      </c>
      <c r="R211" s="5">
        <f>VLOOKUP($A211,'SegEnds_NonXtal_Prot#'!$A:$AL,3,FALSE)</f>
        <v>24</v>
      </c>
      <c r="S211" s="5">
        <f>VLOOKUP($A211,'SegEnds_NonXtal_Prot#'!$A:$AL,6,FALSE)</f>
        <v>57</v>
      </c>
      <c r="T211" s="5">
        <f>VLOOKUP($A211,'SegEnds_NonXtal_Prot#'!$A:$AL,9,FALSE)</f>
        <v>61</v>
      </c>
      <c r="U211" s="5">
        <f>VLOOKUP($A211,'SegEnds_NonXtal_Prot#'!$A:$AL,12,FALSE)</f>
        <v>93</v>
      </c>
      <c r="V211" s="5">
        <f>VLOOKUP($A211,'SegEnds_NonXtal_Prot#'!$A:$AL,15,FALSE)</f>
        <v>97</v>
      </c>
      <c r="W211" s="5">
        <f>VLOOKUP($A211,'SegEnds_NonXtal_Prot#'!$A:$AL,18,FALSE)</f>
        <v>133</v>
      </c>
      <c r="X211" s="5">
        <f>VLOOKUP($A211,'SegEnds_NonXtal_Prot#'!$A:$AL,21,FALSE)</f>
        <v>141</v>
      </c>
      <c r="Y211" s="5">
        <f>VLOOKUP($A211,'SegEnds_NonXtal_Prot#'!$A:$AL,24,FALSE)</f>
        <v>178</v>
      </c>
      <c r="Z211" s="5">
        <f>VLOOKUP($A211,'SegEnds_NonXtal_Prot#'!$A:$AL,27,FALSE)</f>
        <v>185</v>
      </c>
      <c r="AA211" s="5">
        <f>VLOOKUP($A211,'SegEnds_NonXtal_Prot#'!$A:$AL,30,FALSE)</f>
        <v>225</v>
      </c>
      <c r="AB211" s="5">
        <f>VLOOKUP($A211,'SegEnds_NonXtal_Prot#'!$A:$AL,33,FALSE)</f>
        <v>272</v>
      </c>
      <c r="AC211" s="5">
        <f>VLOOKUP($A211,'SegEnds_NonXtal_Prot#'!$A:$AL,36,FALSE)</f>
        <v>298</v>
      </c>
      <c r="AD211" s="5">
        <f>VLOOKUP($A211,'SegEnds_NonXtal_Prot#'!$A:$AL,5,FALSE)</f>
        <v>56</v>
      </c>
      <c r="AE211" s="5">
        <f>VLOOKUP($A211,'SegEnds_NonXtal_Prot#'!$A:$AL,8,FALSE)</f>
        <v>60</v>
      </c>
      <c r="AF211" s="5">
        <f>VLOOKUP($A211,'SegEnds_NonXtal_Prot#'!$A:$AL,11,FALSE)</f>
        <v>92</v>
      </c>
      <c r="AG211" s="5">
        <f>VLOOKUP($A211,'SegEnds_NonXtal_Prot#'!$A:$AL,14,FALSE)</f>
        <v>96</v>
      </c>
      <c r="AH211" s="5">
        <f>VLOOKUP($A211,'SegEnds_NonXtal_Prot#'!$A:$AL,17,FALSE)</f>
        <v>132</v>
      </c>
      <c r="AI211" s="5">
        <f>VLOOKUP($A211,'SegEnds_NonXtal_Prot#'!$A:$AL,20,FALSE)</f>
        <v>140</v>
      </c>
      <c r="AJ211" s="5">
        <f>VLOOKUP($A211,'SegEnds_NonXtal_Prot#'!$A:$AL,23,FALSE)</f>
        <v>167</v>
      </c>
      <c r="AK211" s="5">
        <f>VLOOKUP($A211,'SegEnds_NonXtal_Prot#'!$A:$AL,26,FALSE)</f>
        <v>180</v>
      </c>
      <c r="AL211" s="5">
        <f>VLOOKUP($A211,'SegEnds_NonXtal_Prot#'!$A:$AL,29,FALSE)</f>
        <v>222</v>
      </c>
      <c r="AM211" s="5">
        <f>VLOOKUP($A211,'SegEnds_NonXtal_Prot#'!$A:$AL,32,FALSE)</f>
        <v>263</v>
      </c>
      <c r="AN211" s="5">
        <f>VLOOKUP($A211,'SegEnds_NonXtal_Prot#'!$A:$AL,35,FALSE)</f>
        <v>297</v>
      </c>
      <c r="AO211" s="5">
        <f>VLOOKUP($A211,'SegEnds_NonXtal_Prot#'!$A:$AL,38,FALSE)</f>
        <v>314</v>
      </c>
      <c r="AP211" s="5">
        <f t="shared" si="88"/>
        <v>32</v>
      </c>
      <c r="AQ211" s="4">
        <f t="shared" si="89"/>
        <v>3</v>
      </c>
      <c r="AR211" s="4">
        <f t="shared" si="90"/>
        <v>31</v>
      </c>
      <c r="AS211" s="4">
        <f t="shared" si="91"/>
        <v>3</v>
      </c>
      <c r="AT211" s="4">
        <f t="shared" si="92"/>
        <v>35</v>
      </c>
      <c r="AU211" s="4">
        <f t="shared" si="93"/>
        <v>7</v>
      </c>
      <c r="AV211" s="4">
        <f t="shared" si="94"/>
        <v>26</v>
      </c>
      <c r="AW211" s="4">
        <f t="shared" si="95"/>
        <v>2</v>
      </c>
      <c r="AX211" s="4">
        <f t="shared" si="96"/>
        <v>37</v>
      </c>
      <c r="AY211" s="4">
        <f t="shared" si="97"/>
        <v>38</v>
      </c>
      <c r="AZ211" s="4">
        <f t="shared" si="98"/>
        <v>25</v>
      </c>
      <c r="BA211" s="4">
        <f t="shared" si="99"/>
        <v>16</v>
      </c>
    </row>
    <row r="212" spans="1:53" x14ac:dyDescent="0.2">
      <c r="A212" s="1" t="str">
        <f>'SegEnds_NonXtal_Prot#'!A193</f>
        <v>nmbr_human</v>
      </c>
      <c r="B212" s="1" t="str">
        <f t="shared" si="75"/>
        <v>SDGTTTELVIRCVIPSLYLLIITVGLLGNIMLVKIFITNSVPNIFISNLAAGDLLLLLTCVPVDASRYFFGKVGCKLIPVIQLTSVGVSVFTLTALSADRYRAIVNALLRTCVKAMGIWVVSVLLAVPEAVFSPQTDELHPKIHSVLIFLVYFLIPLAIISIYYYHIAKTLIKSAHNLPHTKKQMETRKRLAKIVLVFVGCFIFCWFPNHILYMYRSFNSLGHMIVTLVARVLSFGNSCVNPFALYLLSESFRRHFNSQLCC</v>
      </c>
      <c r="C212" s="29" t="str">
        <f>IF(ISERROR(MATCH(A212,'SegEnds_Xtal_Prot#'!B:B, 0)), "NoXtal", "Xtal")</f>
        <v>NoXtal</v>
      </c>
      <c r="D212" s="4" t="str">
        <f>VLOOKUP(A212,Classification!A:D,2,FALSE)</f>
        <v>A</v>
      </c>
      <c r="E212" s="5" t="str">
        <f>VLOOKUP(A212,Seqs!A:B,2,FALSE)</f>
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</c>
      <c r="F212" s="5" t="str">
        <f t="shared" si="76"/>
        <v>SDGTTTELVIRCVIPSLYLLIITVGLLGNIMLVKIFITN</v>
      </c>
      <c r="G212" s="4" t="str">
        <f t="shared" si="77"/>
        <v>SAMR</v>
      </c>
      <c r="H212" s="4" t="str">
        <f t="shared" si="78"/>
        <v>SVPNIFISNLAAGDLLLLLTCVPVDASRYFF</v>
      </c>
      <c r="I212" s="4" t="str">
        <f t="shared" si="79"/>
        <v>EWMF</v>
      </c>
      <c r="J212" s="4" t="str">
        <f t="shared" si="80"/>
        <v>GKVGCKLIPVIQLTSVGVSVFTLTALSADRYRAIVN</v>
      </c>
      <c r="K212" s="4" t="str">
        <f t="shared" si="81"/>
        <v>PMDMQTSG</v>
      </c>
      <c r="L212" s="4" t="str">
        <f t="shared" si="82"/>
        <v>ALLRTCVKAMGIWVVSVLLAVPEAVFS</v>
      </c>
      <c r="M212" s="4" t="str">
        <f t="shared" si="83"/>
        <v>CIP</v>
      </c>
      <c r="N212" s="4" t="str">
        <f t="shared" si="84"/>
        <v>PQTDELHPKIHSVLIFLVYFLIPLAIISIYYYHIAKTLIKSAHNLP</v>
      </c>
      <c r="O212" s="4" t="str">
        <f t="shared" si="85"/>
        <v>HTKKQMETRKRLAKIVLVFVGCFIFCWFPNHILYMYRSFN</v>
      </c>
      <c r="P212" s="4" t="str">
        <f t="shared" si="86"/>
        <v>SLGHMIVTLVARVLSFGNSCVNPFALYLL</v>
      </c>
      <c r="Q212" s="4" t="str">
        <f t="shared" si="87"/>
        <v>SESFRRHFNSQLCC</v>
      </c>
      <c r="R212" s="5">
        <f>VLOOKUP($A212,'SegEnds_NonXtal_Prot#'!$A:$AL,3,FALSE)</f>
        <v>33</v>
      </c>
      <c r="S212" s="5">
        <f>VLOOKUP($A212,'SegEnds_NonXtal_Prot#'!$A:$AL,6,FALSE)</f>
        <v>72</v>
      </c>
      <c r="T212" s="5">
        <f>VLOOKUP($A212,'SegEnds_NonXtal_Prot#'!$A:$AL,9,FALSE)</f>
        <v>76</v>
      </c>
      <c r="U212" s="5">
        <f>VLOOKUP($A212,'SegEnds_NonXtal_Prot#'!$A:$AL,12,FALSE)</f>
        <v>108</v>
      </c>
      <c r="V212" s="5">
        <f>VLOOKUP($A212,'SegEnds_NonXtal_Prot#'!$A:$AL,15,FALSE)</f>
        <v>112</v>
      </c>
      <c r="W212" s="5">
        <f>VLOOKUP($A212,'SegEnds_NonXtal_Prot#'!$A:$AL,18,FALSE)</f>
        <v>148</v>
      </c>
      <c r="X212" s="5">
        <f>VLOOKUP($A212,'SegEnds_NonXtal_Prot#'!$A:$AL,21,FALSE)</f>
        <v>156</v>
      </c>
      <c r="Y212" s="5">
        <f>VLOOKUP($A212,'SegEnds_NonXtal_Prot#'!$A:$AL,24,FALSE)</f>
        <v>198</v>
      </c>
      <c r="Z212" s="5">
        <f>VLOOKUP($A212,'SegEnds_NonXtal_Prot#'!$A:$AL,27,FALSE)</f>
        <v>202</v>
      </c>
      <c r="AA212" s="5">
        <f>VLOOKUP($A212,'SegEnds_NonXtal_Prot#'!$A:$AL,30,FALSE)</f>
        <v>253</v>
      </c>
      <c r="AB212" s="5">
        <f>VLOOKUP($A212,'SegEnds_NonXtal_Prot#'!$A:$AL,33,FALSE)</f>
        <v>299</v>
      </c>
      <c r="AC212" s="5">
        <f>VLOOKUP($A212,'SegEnds_NonXtal_Prot#'!$A:$AL,36,FALSE)</f>
        <v>328</v>
      </c>
      <c r="AD212" s="5">
        <f>VLOOKUP($A212,'SegEnds_NonXtal_Prot#'!$A:$AL,5,FALSE)</f>
        <v>71</v>
      </c>
      <c r="AE212" s="5">
        <f>VLOOKUP($A212,'SegEnds_NonXtal_Prot#'!$A:$AL,8,FALSE)</f>
        <v>75</v>
      </c>
      <c r="AF212" s="5">
        <f>VLOOKUP($A212,'SegEnds_NonXtal_Prot#'!$A:$AL,11,FALSE)</f>
        <v>106</v>
      </c>
      <c r="AG212" s="5">
        <f>VLOOKUP($A212,'SegEnds_NonXtal_Prot#'!$A:$AL,14,FALSE)</f>
        <v>111</v>
      </c>
      <c r="AH212" s="5">
        <f>VLOOKUP($A212,'SegEnds_NonXtal_Prot#'!$A:$AL,17,FALSE)</f>
        <v>147</v>
      </c>
      <c r="AI212" s="5">
        <f>VLOOKUP($A212,'SegEnds_NonXtal_Prot#'!$A:$AL,20,FALSE)</f>
        <v>155</v>
      </c>
      <c r="AJ212" s="5">
        <f>VLOOKUP($A212,'SegEnds_NonXtal_Prot#'!$A:$AL,23,FALSE)</f>
        <v>182</v>
      </c>
      <c r="AK212" s="5">
        <f>VLOOKUP($A212,'SegEnds_NonXtal_Prot#'!$A:$AL,26,FALSE)</f>
        <v>200</v>
      </c>
      <c r="AL212" s="5">
        <f>VLOOKUP($A212,'SegEnds_NonXtal_Prot#'!$A:$AL,29,FALSE)</f>
        <v>247</v>
      </c>
      <c r="AM212" s="5">
        <f>VLOOKUP($A212,'SegEnds_NonXtal_Prot#'!$A:$AL,32,FALSE)</f>
        <v>292</v>
      </c>
      <c r="AN212" s="5">
        <f>VLOOKUP($A212,'SegEnds_NonXtal_Prot#'!$A:$AL,35,FALSE)</f>
        <v>327</v>
      </c>
      <c r="AO212" s="5">
        <f>VLOOKUP($A212,'SegEnds_NonXtal_Prot#'!$A:$AL,38,FALSE)</f>
        <v>341</v>
      </c>
      <c r="AP212" s="5">
        <f t="shared" si="88"/>
        <v>38</v>
      </c>
      <c r="AQ212" s="4">
        <f t="shared" si="89"/>
        <v>3</v>
      </c>
      <c r="AR212" s="4">
        <f t="shared" si="90"/>
        <v>30</v>
      </c>
      <c r="AS212" s="4">
        <f t="shared" si="91"/>
        <v>3</v>
      </c>
      <c r="AT212" s="4">
        <f t="shared" si="92"/>
        <v>35</v>
      </c>
      <c r="AU212" s="4">
        <f t="shared" si="93"/>
        <v>7</v>
      </c>
      <c r="AV212" s="4">
        <f t="shared" si="94"/>
        <v>26</v>
      </c>
      <c r="AW212" s="4">
        <f t="shared" si="95"/>
        <v>2</v>
      </c>
      <c r="AX212" s="4">
        <f t="shared" si="96"/>
        <v>45</v>
      </c>
      <c r="AY212" s="4">
        <f t="shared" si="97"/>
        <v>39</v>
      </c>
      <c r="AZ212" s="4">
        <f t="shared" si="98"/>
        <v>28</v>
      </c>
      <c r="BA212" s="4">
        <f t="shared" si="99"/>
        <v>13</v>
      </c>
    </row>
    <row r="213" spans="1:53" x14ac:dyDescent="0.2">
      <c r="A213" s="1" t="str">
        <f>'SegEnds_NonXtal_Prot#'!A194</f>
        <v>nmur1_human</v>
      </c>
      <c r="B213" s="1" t="str">
        <f t="shared" si="75"/>
        <v>TELFMPICATYLLIFVVGAVGNGLTCLVILRHTPTNYYLFSLAVSDLLVLLVGLPLELYEMWLLGVGGCYFRTLLFEMVCLASVLNVTALSVERYVAVVHTRAHVRRVLGAVWGLAMLCSLPNTSLHRALYNMVVQTTALLFFCLPMAIMSVLYLLIGLRLRRERLLLMQEAQQHDRGRRQVTKMLFVLVVVFGICWAPFHADRVMWSVVHLAFQHVHVISGIFFYLGSAANPVLYSLMSSRFRETFQEALCLGA</v>
      </c>
      <c r="C213" s="29" t="str">
        <f>IF(ISERROR(MATCH(A213,'SegEnds_Xtal_Prot#'!B:B, 0)), "NoXtal", "Xtal")</f>
        <v>NoXtal</v>
      </c>
      <c r="D213" s="4" t="str">
        <f>VLOOKUP(A213,Classification!A:D,2,FALSE)</f>
        <v>A</v>
      </c>
      <c r="E213" s="5" t="str">
        <f>VLOOKUP(A213,Seqs!A:B,2,FALSE)</f>
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</c>
      <c r="F213" s="5" t="str">
        <f t="shared" si="76"/>
        <v>TELFMPICATYLLIFVVGAVGNGLTCLVILRH</v>
      </c>
      <c r="G213" s="4" t="str">
        <f t="shared" si="77"/>
        <v>KAMR</v>
      </c>
      <c r="H213" s="4" t="str">
        <f t="shared" si="78"/>
        <v>TPTNYYLFSLAVSDLLVLLVGLPLELYEMW</v>
      </c>
      <c r="I213" s="4" t="str">
        <f t="shared" si="79"/>
        <v>NYPF</v>
      </c>
      <c r="J213" s="4" t="str">
        <f t="shared" si="80"/>
        <v>LLGVGGCYFRTLLFEMVCLASVLNVTALSVERYVAVVH</v>
      </c>
      <c r="K213" s="4" t="str">
        <f t="shared" si="81"/>
        <v>PLQARSMV</v>
      </c>
      <c r="L213" s="4" t="str">
        <f t="shared" si="82"/>
        <v>TRAHVRRVLGAVWGLAMLCSLPNTSLH</v>
      </c>
      <c r="M213" s="4" t="str">
        <f t="shared" si="83"/>
        <v>CML</v>
      </c>
      <c r="N213" s="4" t="str">
        <f t="shared" si="84"/>
        <v>RALYNMVVQTTALLFFCLPMAIMSVLYLLIGLRLRRERLLLMQEA</v>
      </c>
      <c r="O213" s="4" t="str">
        <f t="shared" si="85"/>
        <v>QQHDRGRRQVTKMLFVLVVVFGICWAPFHADRVMWSVV</v>
      </c>
      <c r="P213" s="4" t="str">
        <f t="shared" si="86"/>
        <v>HLAFQHVHVISGIFFYLGSAANPVLYSLM</v>
      </c>
      <c r="Q213" s="4" t="str">
        <f t="shared" si="87"/>
        <v>SSRFRETFQEALCLGA</v>
      </c>
      <c r="R213" s="5">
        <f>VLOOKUP($A213,'SegEnds_NonXtal_Prot#'!$A:$AL,3,FALSE)</f>
        <v>57</v>
      </c>
      <c r="S213" s="5">
        <f>VLOOKUP($A213,'SegEnds_NonXtal_Prot#'!$A:$AL,6,FALSE)</f>
        <v>89</v>
      </c>
      <c r="T213" s="5">
        <f>VLOOKUP($A213,'SegEnds_NonXtal_Prot#'!$A:$AL,9,FALSE)</f>
        <v>93</v>
      </c>
      <c r="U213" s="5">
        <f>VLOOKUP($A213,'SegEnds_NonXtal_Prot#'!$A:$AL,12,FALSE)</f>
        <v>124</v>
      </c>
      <c r="V213" s="5">
        <f>VLOOKUP($A213,'SegEnds_NonXtal_Prot#'!$A:$AL,15,FALSE)</f>
        <v>128</v>
      </c>
      <c r="W213" s="5">
        <f>VLOOKUP($A213,'SegEnds_NonXtal_Prot#'!$A:$AL,18,FALSE)</f>
        <v>166</v>
      </c>
      <c r="X213" s="5">
        <f>VLOOKUP($A213,'SegEnds_NonXtal_Prot#'!$A:$AL,21,FALSE)</f>
        <v>174</v>
      </c>
      <c r="Y213" s="5">
        <f>VLOOKUP($A213,'SegEnds_NonXtal_Prot#'!$A:$AL,24,FALSE)</f>
        <v>219</v>
      </c>
      <c r="Z213" s="5">
        <f>VLOOKUP($A213,'SegEnds_NonXtal_Prot#'!$A:$AL,27,FALSE)</f>
        <v>225</v>
      </c>
      <c r="AA213" s="5">
        <f>VLOOKUP($A213,'SegEnds_NonXtal_Prot#'!$A:$AL,30,FALSE)</f>
        <v>286</v>
      </c>
      <c r="AB213" s="5">
        <f>VLOOKUP($A213,'SegEnds_NonXtal_Prot#'!$A:$AL,33,FALSE)</f>
        <v>331</v>
      </c>
      <c r="AC213" s="5">
        <f>VLOOKUP($A213,'SegEnds_NonXtal_Prot#'!$A:$AL,36,FALSE)</f>
        <v>360</v>
      </c>
      <c r="AD213" s="5">
        <f>VLOOKUP($A213,'SegEnds_NonXtal_Prot#'!$A:$AL,5,FALSE)</f>
        <v>88</v>
      </c>
      <c r="AE213" s="5">
        <f>VLOOKUP($A213,'SegEnds_NonXtal_Prot#'!$A:$AL,8,FALSE)</f>
        <v>92</v>
      </c>
      <c r="AF213" s="5">
        <f>VLOOKUP($A213,'SegEnds_NonXtal_Prot#'!$A:$AL,11,FALSE)</f>
        <v>122</v>
      </c>
      <c r="AG213" s="5">
        <f>VLOOKUP($A213,'SegEnds_NonXtal_Prot#'!$A:$AL,14,FALSE)</f>
        <v>127</v>
      </c>
      <c r="AH213" s="5">
        <f>VLOOKUP($A213,'SegEnds_NonXtal_Prot#'!$A:$AL,17,FALSE)</f>
        <v>165</v>
      </c>
      <c r="AI213" s="5">
        <f>VLOOKUP($A213,'SegEnds_NonXtal_Prot#'!$A:$AL,20,FALSE)</f>
        <v>173</v>
      </c>
      <c r="AJ213" s="5">
        <f>VLOOKUP($A213,'SegEnds_NonXtal_Prot#'!$A:$AL,23,FALSE)</f>
        <v>200</v>
      </c>
      <c r="AK213" s="5">
        <f>VLOOKUP($A213,'SegEnds_NonXtal_Prot#'!$A:$AL,26,FALSE)</f>
        <v>221</v>
      </c>
      <c r="AL213" s="5">
        <f>VLOOKUP($A213,'SegEnds_NonXtal_Prot#'!$A:$AL,29,FALSE)</f>
        <v>269</v>
      </c>
      <c r="AM213" s="5">
        <f>VLOOKUP($A213,'SegEnds_NonXtal_Prot#'!$A:$AL,32,FALSE)</f>
        <v>323</v>
      </c>
      <c r="AN213" s="5">
        <f>VLOOKUP($A213,'SegEnds_NonXtal_Prot#'!$A:$AL,35,FALSE)</f>
        <v>359</v>
      </c>
      <c r="AO213" s="5">
        <f>VLOOKUP($A213,'SegEnds_NonXtal_Prot#'!$A:$AL,38,FALSE)</f>
        <v>375</v>
      </c>
      <c r="AP213" s="5">
        <f t="shared" si="88"/>
        <v>31</v>
      </c>
      <c r="AQ213" s="4">
        <f t="shared" si="89"/>
        <v>3</v>
      </c>
      <c r="AR213" s="4">
        <f t="shared" si="90"/>
        <v>29</v>
      </c>
      <c r="AS213" s="4">
        <f t="shared" si="91"/>
        <v>3</v>
      </c>
      <c r="AT213" s="4">
        <f t="shared" si="92"/>
        <v>37</v>
      </c>
      <c r="AU213" s="4">
        <f t="shared" si="93"/>
        <v>7</v>
      </c>
      <c r="AV213" s="4">
        <f t="shared" si="94"/>
        <v>26</v>
      </c>
      <c r="AW213" s="4">
        <f t="shared" si="95"/>
        <v>2</v>
      </c>
      <c r="AX213" s="4">
        <f t="shared" si="96"/>
        <v>44</v>
      </c>
      <c r="AY213" s="4">
        <f t="shared" si="97"/>
        <v>37</v>
      </c>
      <c r="AZ213" s="4">
        <f t="shared" si="98"/>
        <v>28</v>
      </c>
      <c r="BA213" s="4">
        <f t="shared" si="99"/>
        <v>15</v>
      </c>
    </row>
    <row r="214" spans="1:53" x14ac:dyDescent="0.2">
      <c r="A214" s="1" t="str">
        <f>'SegEnds_NonXtal_Prot#'!A195</f>
        <v>nmur2_human</v>
      </c>
      <c r="B214" s="1" t="str">
        <f t="shared" si="75"/>
        <v>SHFFLPVSVVYVPIFVVGVIGNVLVCLVILQHTPTNYYLFSLAVSDLLVLLLGMPLEVYEMWLFGPVGCYFKTALFETVCFASILSITTVSVERYVAILHTRRRALRILGIVWGFSVLFSLPNTSIHMWIYNFIIQVTSFLFYLLPMTVISVLYYLMALRLKKDKSLEANANIQRPCRKSVNKMLFVLVLVFAICWAPFHIDRLFFSFVAAVFNLVHVVSGVFFYLSSAVNPIIYNLLSRRFQAAFQNVISSFH</v>
      </c>
      <c r="C214" s="29" t="str">
        <f>IF(ISERROR(MATCH(A214,'SegEnds_Xtal_Prot#'!B:B, 0)), "NoXtal", "Xtal")</f>
        <v>NoXtal</v>
      </c>
      <c r="D214" s="4" t="str">
        <f>VLOOKUP(A214,Classification!A:D,2,FALSE)</f>
        <v>A</v>
      </c>
      <c r="E214" s="5" t="str">
        <f>VLOOKUP(A214,Seqs!A:B,2,FALSE)</f>
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</c>
      <c r="F214" s="5" t="str">
        <f t="shared" si="76"/>
        <v>SHFFLPVSVVYVPIFVVGVIGNVLVCLVILQH</v>
      </c>
      <c r="G214" s="4" t="str">
        <f t="shared" si="77"/>
        <v>QAMK</v>
      </c>
      <c r="H214" s="4" t="str">
        <f t="shared" si="78"/>
        <v>TPTNYYLFSLAVSDLLVLLLGMPLEVYEMW</v>
      </c>
      <c r="I214" s="4" t="str">
        <f t="shared" si="79"/>
        <v>NYPF</v>
      </c>
      <c r="J214" s="4" t="str">
        <f t="shared" si="80"/>
        <v>LFGPVGCYFKTALFETVCFASILSITTVSVERYVAILH</v>
      </c>
      <c r="K214" s="4" t="str">
        <f t="shared" si="81"/>
        <v>PFRAKLQS</v>
      </c>
      <c r="L214" s="4" t="str">
        <f t="shared" si="82"/>
        <v>TRRRALRILGIVWGFSVLFSLPNTSIH</v>
      </c>
      <c r="M214" s="4" t="str">
        <f t="shared" si="83"/>
        <v>CTV</v>
      </c>
      <c r="N214" s="4" t="str">
        <f t="shared" si="84"/>
        <v>MWIYNFIIQVTSFLFYLLPMTVISVLYYLMALRLKKDKSLEA</v>
      </c>
      <c r="O214" s="4" t="str">
        <f t="shared" si="85"/>
        <v>NANIQRPCRKSVNKMLFVLVLVFAICWAPFHIDRLFFSFV</v>
      </c>
      <c r="P214" s="4" t="str">
        <f t="shared" si="86"/>
        <v>AAVFNLVHVVSGVFFYLSSAVNPIIYNLL</v>
      </c>
      <c r="Q214" s="4" t="str">
        <f t="shared" si="87"/>
        <v>SRRFQAAFQNVISSFH</v>
      </c>
      <c r="R214" s="5">
        <f>VLOOKUP($A214,'SegEnds_NonXtal_Prot#'!$A:$AL,3,FALSE)</f>
        <v>42</v>
      </c>
      <c r="S214" s="5">
        <f>VLOOKUP($A214,'SegEnds_NonXtal_Prot#'!$A:$AL,6,FALSE)</f>
        <v>74</v>
      </c>
      <c r="T214" s="5">
        <f>VLOOKUP($A214,'SegEnds_NonXtal_Prot#'!$A:$AL,9,FALSE)</f>
        <v>78</v>
      </c>
      <c r="U214" s="5">
        <f>VLOOKUP($A214,'SegEnds_NonXtal_Prot#'!$A:$AL,12,FALSE)</f>
        <v>109</v>
      </c>
      <c r="V214" s="5">
        <f>VLOOKUP($A214,'SegEnds_NonXtal_Prot#'!$A:$AL,15,FALSE)</f>
        <v>113</v>
      </c>
      <c r="W214" s="5">
        <f>VLOOKUP($A214,'SegEnds_NonXtal_Prot#'!$A:$AL,18,FALSE)</f>
        <v>151</v>
      </c>
      <c r="X214" s="5">
        <f>VLOOKUP($A214,'SegEnds_NonXtal_Prot#'!$A:$AL,21,FALSE)</f>
        <v>159</v>
      </c>
      <c r="Y214" s="5">
        <f>VLOOKUP($A214,'SegEnds_NonXtal_Prot#'!$A:$AL,24,FALSE)</f>
        <v>204</v>
      </c>
      <c r="Z214" s="5">
        <f>VLOOKUP($A214,'SegEnds_NonXtal_Prot#'!$A:$AL,27,FALSE)</f>
        <v>210</v>
      </c>
      <c r="AA214" s="5">
        <f>VLOOKUP($A214,'SegEnds_NonXtal_Prot#'!$A:$AL,30,FALSE)</f>
        <v>255</v>
      </c>
      <c r="AB214" s="5">
        <f>VLOOKUP($A214,'SegEnds_NonXtal_Prot#'!$A:$AL,33,FALSE)</f>
        <v>302</v>
      </c>
      <c r="AC214" s="5">
        <f>VLOOKUP($A214,'SegEnds_NonXtal_Prot#'!$A:$AL,36,FALSE)</f>
        <v>331</v>
      </c>
      <c r="AD214" s="5">
        <f>VLOOKUP($A214,'SegEnds_NonXtal_Prot#'!$A:$AL,5,FALSE)</f>
        <v>73</v>
      </c>
      <c r="AE214" s="5">
        <f>VLOOKUP($A214,'SegEnds_NonXtal_Prot#'!$A:$AL,8,FALSE)</f>
        <v>77</v>
      </c>
      <c r="AF214" s="5">
        <f>VLOOKUP($A214,'SegEnds_NonXtal_Prot#'!$A:$AL,11,FALSE)</f>
        <v>107</v>
      </c>
      <c r="AG214" s="5">
        <f>VLOOKUP($A214,'SegEnds_NonXtal_Prot#'!$A:$AL,14,FALSE)</f>
        <v>112</v>
      </c>
      <c r="AH214" s="5">
        <f>VLOOKUP($A214,'SegEnds_NonXtal_Prot#'!$A:$AL,17,FALSE)</f>
        <v>150</v>
      </c>
      <c r="AI214" s="5">
        <f>VLOOKUP($A214,'SegEnds_NonXtal_Prot#'!$A:$AL,20,FALSE)</f>
        <v>158</v>
      </c>
      <c r="AJ214" s="5">
        <f>VLOOKUP($A214,'SegEnds_NonXtal_Prot#'!$A:$AL,23,FALSE)</f>
        <v>185</v>
      </c>
      <c r="AK214" s="5">
        <f>VLOOKUP($A214,'SegEnds_NonXtal_Prot#'!$A:$AL,26,FALSE)</f>
        <v>206</v>
      </c>
      <c r="AL214" s="5">
        <f>VLOOKUP($A214,'SegEnds_NonXtal_Prot#'!$A:$AL,29,FALSE)</f>
        <v>251</v>
      </c>
      <c r="AM214" s="5">
        <f>VLOOKUP($A214,'SegEnds_NonXtal_Prot#'!$A:$AL,32,FALSE)</f>
        <v>294</v>
      </c>
      <c r="AN214" s="5">
        <f>VLOOKUP($A214,'SegEnds_NonXtal_Prot#'!$A:$AL,35,FALSE)</f>
        <v>330</v>
      </c>
      <c r="AO214" s="5">
        <f>VLOOKUP($A214,'SegEnds_NonXtal_Prot#'!$A:$AL,38,FALSE)</f>
        <v>346</v>
      </c>
      <c r="AP214" s="5">
        <f t="shared" si="88"/>
        <v>31</v>
      </c>
      <c r="AQ214" s="4">
        <f t="shared" si="89"/>
        <v>3</v>
      </c>
      <c r="AR214" s="4">
        <f t="shared" si="90"/>
        <v>29</v>
      </c>
      <c r="AS214" s="4">
        <f t="shared" si="91"/>
        <v>3</v>
      </c>
      <c r="AT214" s="4">
        <f t="shared" si="92"/>
        <v>37</v>
      </c>
      <c r="AU214" s="4">
        <f t="shared" si="93"/>
        <v>7</v>
      </c>
      <c r="AV214" s="4">
        <f t="shared" si="94"/>
        <v>26</v>
      </c>
      <c r="AW214" s="4">
        <f t="shared" si="95"/>
        <v>2</v>
      </c>
      <c r="AX214" s="4">
        <f t="shared" si="96"/>
        <v>41</v>
      </c>
      <c r="AY214" s="4">
        <f t="shared" si="97"/>
        <v>39</v>
      </c>
      <c r="AZ214" s="4">
        <f t="shared" si="98"/>
        <v>28</v>
      </c>
      <c r="BA214" s="4">
        <f t="shared" si="99"/>
        <v>15</v>
      </c>
    </row>
    <row r="215" spans="1:53" x14ac:dyDescent="0.2">
      <c r="A215" s="1" t="str">
        <f>'SegEnds_NonXtal_Prot#'!A196</f>
        <v>ntr1_human</v>
      </c>
      <c r="B215" s="1" t="str">
        <f t="shared" si="75"/>
        <v>DIYSKVLVTAVYLALFVVGTVGNTVTAFTLARKSTVHYHLGSLALSDLLTLLLAMPVELYNFIWVGDAGCRGYYFLRDACTYATALNVASLSVERYLAICHSRSRTKKFISAIWLASALLAVPMLFTMHTATVKVVIQVNTFMSFIFPMVVISVLNTIIANKLTVMVRQAAEQGPGRVQALRHGVRVLRAVVIAFVVCWLPYHVRRLMFCYITPFLYDFYHYFYMVTNALFYVSSTINPILYNLVSANFRHIFLATLACLC</v>
      </c>
      <c r="C215" s="29" t="str">
        <f>IF(ISERROR(MATCH(A215,'SegEnds_Xtal_Prot#'!B:B, 0)), "NoXtal", "Xtal")</f>
        <v>Xtal</v>
      </c>
      <c r="D215" s="4" t="str">
        <f>VLOOKUP(A215,Classification!A:D,2,FALSE)</f>
        <v>A</v>
      </c>
      <c r="E215" s="5" t="str">
        <f>VLOOKUP(A215,Seqs!A:B,2,FALSE)</f>
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</c>
      <c r="F215" s="5" t="str">
        <f t="shared" si="76"/>
        <v>DIYSKVLVTAVYLALFVVGTVGNTVTAFTLARK</v>
      </c>
      <c r="G215" s="4" t="str">
        <f t="shared" si="77"/>
        <v/>
      </c>
      <c r="H215" s="4" t="str">
        <f t="shared" si="78"/>
        <v>STVHYHLGSLALSDLLTLLLAMPVELYNFIWV</v>
      </c>
      <c r="I215" s="4" t="str">
        <f t="shared" si="79"/>
        <v>PWAF</v>
      </c>
      <c r="J215" s="4" t="str">
        <f t="shared" si="80"/>
        <v>GDAGCRGYYFLRDACTYATALNVASLSVERYLAICH</v>
      </c>
      <c r="K215" s="4" t="str">
        <f t="shared" si="81"/>
        <v>PFKAKTLM</v>
      </c>
      <c r="L215" s="4" t="str">
        <f t="shared" si="82"/>
        <v>SRSRTKKFISAIWLASALLAVPMLFTM</v>
      </c>
      <c r="M215" s="4" t="str">
        <f t="shared" si="83"/>
        <v>CTP</v>
      </c>
      <c r="N215" s="4" t="str">
        <f t="shared" si="84"/>
        <v>HTATVKVVIQVNTFMSFIFPMVVISVLNTIIANKLTVMVRQAAEQG</v>
      </c>
      <c r="O215" s="4" t="str">
        <f t="shared" si="85"/>
        <v>PGRVQALRHGVRVLRAVVIAFVVCWLPYHVRRLMFCYI</v>
      </c>
      <c r="P215" s="4" t="str">
        <f t="shared" si="86"/>
        <v>TPFLYDFYHYFYMVTNALFYVSSTINPILYNLV</v>
      </c>
      <c r="Q215" s="4" t="str">
        <f t="shared" si="87"/>
        <v>SANFRHIFLATLACLC</v>
      </c>
      <c r="R215" s="5">
        <f>VLOOKUP($A215,'SegEnds_NonXtal_Prot#'!$A:$AL,3,FALSE)</f>
        <v>59</v>
      </c>
      <c r="S215" s="5" t="str">
        <f>VLOOKUP($A215,'SegEnds_NonXtal_Prot#'!$A:$AL,6,FALSE)</f>
        <v>-</v>
      </c>
      <c r="T215" s="5">
        <f>VLOOKUP($A215,'SegEnds_NonXtal_Prot#'!$A:$AL,9,FALSE)</f>
        <v>99</v>
      </c>
      <c r="U215" s="5">
        <f>VLOOKUP($A215,'SegEnds_NonXtal_Prot#'!$A:$AL,12,FALSE)</f>
        <v>133</v>
      </c>
      <c r="V215" s="5">
        <f>VLOOKUP($A215,'SegEnds_NonXtal_Prot#'!$A:$AL,15,FALSE)</f>
        <v>137</v>
      </c>
      <c r="W215" s="5">
        <f>VLOOKUP($A215,'SegEnds_NonXtal_Prot#'!$A:$AL,18,FALSE)</f>
        <v>173</v>
      </c>
      <c r="X215" s="5">
        <f>VLOOKUP($A215,'SegEnds_NonXtal_Prot#'!$A:$AL,21,FALSE)</f>
        <v>181</v>
      </c>
      <c r="Y215" s="5">
        <f>VLOOKUP($A215,'SegEnds_NonXtal_Prot#'!$A:$AL,24,FALSE)</f>
        <v>224</v>
      </c>
      <c r="Z215" s="5">
        <f>VLOOKUP($A215,'SegEnds_NonXtal_Prot#'!$A:$AL,27,FALSE)</f>
        <v>229</v>
      </c>
      <c r="AA215" s="5">
        <f>VLOOKUP($A215,'SegEnds_NonXtal_Prot#'!$A:$AL,30,FALSE)</f>
        <v>292</v>
      </c>
      <c r="AB215" s="5">
        <f>VLOOKUP($A215,'SegEnds_NonXtal_Prot#'!$A:$AL,33,FALSE)</f>
        <v>335</v>
      </c>
      <c r="AC215" s="5">
        <f>VLOOKUP($A215,'SegEnds_NonXtal_Prot#'!$A:$AL,36,FALSE)</f>
        <v>368</v>
      </c>
      <c r="AD215" s="5">
        <f>VLOOKUP($A215,'SegEnds_NonXtal_Prot#'!$A:$AL,5,FALSE)</f>
        <v>91</v>
      </c>
      <c r="AE215" s="5" t="str">
        <f>VLOOKUP($A215,'SegEnds_NonXtal_Prot#'!$A:$AL,8,FALSE)</f>
        <v>-</v>
      </c>
      <c r="AF215" s="5">
        <f>VLOOKUP($A215,'SegEnds_NonXtal_Prot#'!$A:$AL,11,FALSE)</f>
        <v>130</v>
      </c>
      <c r="AG215" s="5">
        <f>VLOOKUP($A215,'SegEnds_NonXtal_Prot#'!$A:$AL,14,FALSE)</f>
        <v>136</v>
      </c>
      <c r="AH215" s="5">
        <f>VLOOKUP($A215,'SegEnds_NonXtal_Prot#'!$A:$AL,17,FALSE)</f>
        <v>172</v>
      </c>
      <c r="AI215" s="5">
        <f>VLOOKUP($A215,'SegEnds_NonXtal_Prot#'!$A:$AL,20,FALSE)</f>
        <v>180</v>
      </c>
      <c r="AJ215" s="5">
        <f>VLOOKUP($A215,'SegEnds_NonXtal_Prot#'!$A:$AL,23,FALSE)</f>
        <v>207</v>
      </c>
      <c r="AK215" s="5">
        <f>VLOOKUP($A215,'SegEnds_NonXtal_Prot#'!$A:$AL,26,FALSE)</f>
        <v>226</v>
      </c>
      <c r="AL215" s="5">
        <f>VLOOKUP($A215,'SegEnds_NonXtal_Prot#'!$A:$AL,29,FALSE)</f>
        <v>274</v>
      </c>
      <c r="AM215" s="5">
        <f>VLOOKUP($A215,'SegEnds_NonXtal_Prot#'!$A:$AL,32,FALSE)</f>
        <v>329</v>
      </c>
      <c r="AN215" s="5">
        <f>VLOOKUP($A215,'SegEnds_NonXtal_Prot#'!$A:$AL,35,FALSE)</f>
        <v>367</v>
      </c>
      <c r="AO215" s="5">
        <f>VLOOKUP($A215,'SegEnds_NonXtal_Prot#'!$A:$AL,38,FALSE)</f>
        <v>383</v>
      </c>
      <c r="AP215" s="5">
        <f t="shared" si="88"/>
        <v>32</v>
      </c>
      <c r="AQ215" s="4" t="str">
        <f t="shared" si="89"/>
        <v>-</v>
      </c>
      <c r="AR215" s="4">
        <f t="shared" si="90"/>
        <v>31</v>
      </c>
      <c r="AS215" s="4">
        <f t="shared" si="91"/>
        <v>3</v>
      </c>
      <c r="AT215" s="4">
        <f t="shared" si="92"/>
        <v>35</v>
      </c>
      <c r="AU215" s="4">
        <f t="shared" si="93"/>
        <v>7</v>
      </c>
      <c r="AV215" s="4">
        <f t="shared" si="94"/>
        <v>26</v>
      </c>
      <c r="AW215" s="4">
        <f t="shared" si="95"/>
        <v>2</v>
      </c>
      <c r="AX215" s="4">
        <f t="shared" si="96"/>
        <v>45</v>
      </c>
      <c r="AY215" s="4">
        <f t="shared" si="97"/>
        <v>37</v>
      </c>
      <c r="AZ215" s="4">
        <f t="shared" si="98"/>
        <v>32</v>
      </c>
      <c r="BA215" s="4">
        <f t="shared" si="99"/>
        <v>15</v>
      </c>
    </row>
    <row r="216" spans="1:53" x14ac:dyDescent="0.2">
      <c r="A216" s="1" t="str">
        <f>'SegEnds_NonXtal_Prot#'!A197</f>
        <v>ntr1_rat</v>
      </c>
      <c r="B216" s="1" t="str">
        <f t="shared" si="75"/>
        <v>IYSKVLVTAIYLALFVVGTVGNSVTAFTLARKSTVHYHLGSLALSDLLILLLAMPVELYNFIWVGDAGCRGYYFLRDACTYATALNVASLSVERYLAICHSRSRTKKFISAIWLASALLAIPMLFTMTATVKVVIQVNTFMSFLFPMLVISILNTVIANKLTVMVHQAAEQGPGRVQALRHGVLVLRAVVIAFVVCWLPYHVRRLMFCYITTFLFDFYHYFYMLTNALFYVSSAINPILYNLVSANFRQVFLSTLACLC</v>
      </c>
      <c r="C216" s="29" t="str">
        <f>IF(ISERROR(MATCH(A216,'SegEnds_Xtal_Prot#'!B:B, 0)), "NoXtal", "Xtal")</f>
        <v>Xtal</v>
      </c>
      <c r="D216" s="4" t="str">
        <f>VLOOKUP(A216,Classification!A:D,2,FALSE)</f>
        <v>A</v>
      </c>
      <c r="E216" s="5" t="str">
        <f>VLOOKUP(A216,Seqs!A:B,2,FALSE)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F216" s="5" t="str">
        <f t="shared" si="76"/>
        <v>IYSKVLVTAIYLALFVVGTVGNSVTAFTLARK</v>
      </c>
      <c r="G216" s="4" t="str">
        <f t="shared" si="77"/>
        <v/>
      </c>
      <c r="H216" s="4" t="str">
        <f t="shared" si="78"/>
        <v>STVHYHLGSLALSDLLILLLAMPVELYNFIWV</v>
      </c>
      <c r="I216" s="4" t="str">
        <f t="shared" si="79"/>
        <v>PWAF</v>
      </c>
      <c r="J216" s="4" t="str">
        <f t="shared" si="80"/>
        <v>GDAGCRGYYFLRDACTYATALNVASLSVERYLAICH</v>
      </c>
      <c r="K216" s="4" t="str">
        <f t="shared" si="81"/>
        <v>PFKAKTLM</v>
      </c>
      <c r="L216" s="4" t="str">
        <f t="shared" si="82"/>
        <v>SRSRTKKFISAIWLASALLAIPMLFTM</v>
      </c>
      <c r="M216" s="4" t="str">
        <f t="shared" si="83"/>
        <v>CTP</v>
      </c>
      <c r="N216" s="4" t="str">
        <f t="shared" si="84"/>
        <v>TATVKVVIQVNTFMSFLFPMLVISILNTVIANKLTVMVHQAAEQG</v>
      </c>
      <c r="O216" s="4" t="str">
        <f t="shared" si="85"/>
        <v>PGRVQALRHGVLVLRAVVIAFVVCWLPYHVRRLMFCYI</v>
      </c>
      <c r="P216" s="4" t="str">
        <f t="shared" si="86"/>
        <v>TTFLFDFYHYFYMLTNALFYVSSAINPILYNLV</v>
      </c>
      <c r="Q216" s="4" t="str">
        <f t="shared" si="87"/>
        <v>SANFRQVFLSTLACLC</v>
      </c>
      <c r="R216" s="5">
        <f>VLOOKUP($A216,'SegEnds_NonXtal_Prot#'!$A:$AL,3,FALSE)</f>
        <v>61</v>
      </c>
      <c r="S216" s="5" t="str">
        <f>VLOOKUP($A216,'SegEnds_NonXtal_Prot#'!$A:$AL,6,FALSE)</f>
        <v>-</v>
      </c>
      <c r="T216" s="5">
        <f>VLOOKUP($A216,'SegEnds_NonXtal_Prot#'!$A:$AL,9,FALSE)</f>
        <v>100</v>
      </c>
      <c r="U216" s="5">
        <f>VLOOKUP($A216,'SegEnds_NonXtal_Prot#'!$A:$AL,12,FALSE)</f>
        <v>134</v>
      </c>
      <c r="V216" s="5">
        <f>VLOOKUP($A216,'SegEnds_NonXtal_Prot#'!$A:$AL,15,FALSE)</f>
        <v>138</v>
      </c>
      <c r="W216" s="5">
        <f>VLOOKUP($A216,'SegEnds_NonXtal_Prot#'!$A:$AL,18,FALSE)</f>
        <v>174</v>
      </c>
      <c r="X216" s="5">
        <f>VLOOKUP($A216,'SegEnds_NonXtal_Prot#'!$A:$AL,21,FALSE)</f>
        <v>182</v>
      </c>
      <c r="Y216" s="5">
        <f>VLOOKUP($A216,'SegEnds_NonXtal_Prot#'!$A:$AL,24,FALSE)</f>
        <v>225</v>
      </c>
      <c r="Z216" s="5">
        <f>VLOOKUP($A216,'SegEnds_NonXtal_Prot#'!$A:$AL,27,FALSE)</f>
        <v>231</v>
      </c>
      <c r="AA216" s="5">
        <f>VLOOKUP($A216,'SegEnds_NonXtal_Prot#'!$A:$AL,30,FALSE)</f>
        <v>297</v>
      </c>
      <c r="AB216" s="5">
        <f>VLOOKUP($A216,'SegEnds_NonXtal_Prot#'!$A:$AL,33,FALSE)</f>
        <v>340</v>
      </c>
      <c r="AC216" s="5">
        <f>VLOOKUP($A216,'SegEnds_NonXtal_Prot#'!$A:$AL,36,FALSE)</f>
        <v>373</v>
      </c>
      <c r="AD216" s="5">
        <f>VLOOKUP($A216,'SegEnds_NonXtal_Prot#'!$A:$AL,5,FALSE)</f>
        <v>92</v>
      </c>
      <c r="AE216" s="5" t="str">
        <f>VLOOKUP($A216,'SegEnds_NonXtal_Prot#'!$A:$AL,8,FALSE)</f>
        <v>-</v>
      </c>
      <c r="AF216" s="5">
        <f>VLOOKUP($A216,'SegEnds_NonXtal_Prot#'!$A:$AL,11,FALSE)</f>
        <v>131</v>
      </c>
      <c r="AG216" s="5">
        <f>VLOOKUP($A216,'SegEnds_NonXtal_Prot#'!$A:$AL,14,FALSE)</f>
        <v>137</v>
      </c>
      <c r="AH216" s="5">
        <f>VLOOKUP($A216,'SegEnds_NonXtal_Prot#'!$A:$AL,17,FALSE)</f>
        <v>173</v>
      </c>
      <c r="AI216" s="5">
        <f>VLOOKUP($A216,'SegEnds_NonXtal_Prot#'!$A:$AL,20,FALSE)</f>
        <v>181</v>
      </c>
      <c r="AJ216" s="5">
        <f>VLOOKUP($A216,'SegEnds_NonXtal_Prot#'!$A:$AL,23,FALSE)</f>
        <v>208</v>
      </c>
      <c r="AK216" s="5">
        <f>VLOOKUP($A216,'SegEnds_NonXtal_Prot#'!$A:$AL,26,FALSE)</f>
        <v>227</v>
      </c>
      <c r="AL216" s="5">
        <f>VLOOKUP($A216,'SegEnds_NonXtal_Prot#'!$A:$AL,29,FALSE)</f>
        <v>275</v>
      </c>
      <c r="AM216" s="5">
        <f>VLOOKUP($A216,'SegEnds_NonXtal_Prot#'!$A:$AL,32,FALSE)</f>
        <v>334</v>
      </c>
      <c r="AN216" s="5">
        <f>VLOOKUP($A216,'SegEnds_NonXtal_Prot#'!$A:$AL,35,FALSE)</f>
        <v>372</v>
      </c>
      <c r="AO216" s="5">
        <f>VLOOKUP($A216,'SegEnds_NonXtal_Prot#'!$A:$AL,38,FALSE)</f>
        <v>388</v>
      </c>
      <c r="AP216" s="5">
        <f t="shared" si="88"/>
        <v>31</v>
      </c>
      <c r="AQ216" s="4" t="str">
        <f t="shared" si="89"/>
        <v>-</v>
      </c>
      <c r="AR216" s="4">
        <f t="shared" si="90"/>
        <v>31</v>
      </c>
      <c r="AS216" s="4">
        <f t="shared" si="91"/>
        <v>3</v>
      </c>
      <c r="AT216" s="4">
        <f t="shared" si="92"/>
        <v>35</v>
      </c>
      <c r="AU216" s="4">
        <f t="shared" si="93"/>
        <v>7</v>
      </c>
      <c r="AV216" s="4">
        <f t="shared" si="94"/>
        <v>26</v>
      </c>
      <c r="AW216" s="4">
        <f t="shared" si="95"/>
        <v>2</v>
      </c>
      <c r="AX216" s="4">
        <f t="shared" si="96"/>
        <v>44</v>
      </c>
      <c r="AY216" s="4">
        <f t="shared" si="97"/>
        <v>37</v>
      </c>
      <c r="AZ216" s="4">
        <f t="shared" si="98"/>
        <v>32</v>
      </c>
      <c r="BA216" s="4">
        <f t="shared" si="99"/>
        <v>15</v>
      </c>
    </row>
    <row r="217" spans="1:53" x14ac:dyDescent="0.2">
      <c r="A217" s="1" t="str">
        <f>'SegEnds_NonXtal_Prot#'!A198</f>
        <v>ntr2_human</v>
      </c>
      <c r="B217" s="1" t="str">
        <f t="shared" si="75"/>
        <v>LWAKVLFTALYALIWALGAAGNALSAHVVLKAGRLRHHVLSLALAGLLLLLVGVPVELYSFVWFGDLGCRGYYFVHELCAYATVLSVAGLSAERCLAVCQTPRRTRWLVALSWAASLGLALPMAVIMRTALQVFIQVNVLVSFVLPLALTAFLNGVTVSHLLALCSQVPSVRRIRSLQRSVQVLRAIVVMYVICWLPYHARRLMYCYVTDPLYNFYHYFYMVTNTLFYVSSAVTPLLYNAVSSSFRKLFLEAVSSLC</v>
      </c>
      <c r="C217" s="29" t="str">
        <f>IF(ISERROR(MATCH(A217,'SegEnds_Xtal_Prot#'!B:B, 0)), "NoXtal", "Xtal")</f>
        <v>NoXtal</v>
      </c>
      <c r="D217" s="4" t="str">
        <f>VLOOKUP(A217,Classification!A:D,2,FALSE)</f>
        <v>A</v>
      </c>
      <c r="E217" s="5" t="str">
        <f>VLOOKUP(A217,Seqs!A:B,2,FALSE)</f>
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</c>
      <c r="F217" s="5" t="str">
        <f t="shared" si="76"/>
        <v>LWAKVLFTALYALIWALGAAGNALSAHVVLKA</v>
      </c>
      <c r="G217" s="4" t="str">
        <f t="shared" si="77"/>
        <v/>
      </c>
      <c r="H217" s="4" t="str">
        <f t="shared" si="78"/>
        <v>GRLRHHVLSLALAGLLLLLVGVPVELYSFVWF</v>
      </c>
      <c r="I217" s="4" t="str">
        <f t="shared" si="79"/>
        <v>PWVF</v>
      </c>
      <c r="J217" s="4" t="str">
        <f t="shared" si="80"/>
        <v>GDLGCRGYYFVHELCAYATVLSVAGLSAERCLAVCQ</v>
      </c>
      <c r="K217" s="4" t="str">
        <f t="shared" si="81"/>
        <v>PLRARSLL</v>
      </c>
      <c r="L217" s="4" t="str">
        <f t="shared" si="82"/>
        <v>TPRRTRWLVALSWAASLGLALPMAVIM</v>
      </c>
      <c r="M217" s="4" t="str">
        <f t="shared" si="83"/>
        <v>CTV</v>
      </c>
      <c r="N217" s="4" t="str">
        <f t="shared" si="84"/>
        <v>RTALQVFIQVNVLVSFVLPLALTAFLNGVTVSHLLALCSQVPS</v>
      </c>
      <c r="O217" s="4" t="str">
        <f t="shared" si="85"/>
        <v>VRRIRSLQRSVQVLRAIVVMYVICWLPYHARRLMYCYV</v>
      </c>
      <c r="P217" s="4" t="str">
        <f t="shared" si="86"/>
        <v>TDPLYNFYHYFYMVTNTLFYVSSAVTPLLYNAV</v>
      </c>
      <c r="Q217" s="4" t="str">
        <f t="shared" si="87"/>
        <v>SSSFRKLFLEAVSSLC</v>
      </c>
      <c r="R217" s="5">
        <f>VLOOKUP($A217,'SegEnds_NonXtal_Prot#'!$A:$AL,3,FALSE)</f>
        <v>29</v>
      </c>
      <c r="S217" s="5" t="str">
        <f>VLOOKUP($A217,'SegEnds_NonXtal_Prot#'!$A:$AL,6,FALSE)</f>
        <v>-</v>
      </c>
      <c r="T217" s="5">
        <f>VLOOKUP($A217,'SegEnds_NonXtal_Prot#'!$A:$AL,9,FALSE)</f>
        <v>66</v>
      </c>
      <c r="U217" s="5">
        <f>VLOOKUP($A217,'SegEnds_NonXtal_Prot#'!$A:$AL,12,FALSE)</f>
        <v>100</v>
      </c>
      <c r="V217" s="5">
        <f>VLOOKUP($A217,'SegEnds_NonXtal_Prot#'!$A:$AL,15,FALSE)</f>
        <v>104</v>
      </c>
      <c r="W217" s="5">
        <f>VLOOKUP($A217,'SegEnds_NonXtal_Prot#'!$A:$AL,18,FALSE)</f>
        <v>140</v>
      </c>
      <c r="X217" s="5">
        <f>VLOOKUP($A217,'SegEnds_NonXtal_Prot#'!$A:$AL,21,FALSE)</f>
        <v>148</v>
      </c>
      <c r="Y217" s="5">
        <f>VLOOKUP($A217,'SegEnds_NonXtal_Prot#'!$A:$AL,24,FALSE)</f>
        <v>194</v>
      </c>
      <c r="Z217" s="5">
        <f>VLOOKUP($A217,'SegEnds_NonXtal_Prot#'!$A:$AL,27,FALSE)</f>
        <v>200</v>
      </c>
      <c r="AA217" s="5">
        <f>VLOOKUP($A217,'SegEnds_NonXtal_Prot#'!$A:$AL,30,FALSE)</f>
        <v>286</v>
      </c>
      <c r="AB217" s="5">
        <f>VLOOKUP($A217,'SegEnds_NonXtal_Prot#'!$A:$AL,33,FALSE)</f>
        <v>329</v>
      </c>
      <c r="AC217" s="5">
        <f>VLOOKUP($A217,'SegEnds_NonXtal_Prot#'!$A:$AL,36,FALSE)</f>
        <v>362</v>
      </c>
      <c r="AD217" s="5">
        <f>VLOOKUP($A217,'SegEnds_NonXtal_Prot#'!$A:$AL,5,FALSE)</f>
        <v>60</v>
      </c>
      <c r="AE217" s="5" t="str">
        <f>VLOOKUP($A217,'SegEnds_NonXtal_Prot#'!$A:$AL,8,FALSE)</f>
        <v>-</v>
      </c>
      <c r="AF217" s="5">
        <f>VLOOKUP($A217,'SegEnds_NonXtal_Prot#'!$A:$AL,11,FALSE)</f>
        <v>97</v>
      </c>
      <c r="AG217" s="5">
        <f>VLOOKUP($A217,'SegEnds_NonXtal_Prot#'!$A:$AL,14,FALSE)</f>
        <v>103</v>
      </c>
      <c r="AH217" s="5">
        <f>VLOOKUP($A217,'SegEnds_NonXtal_Prot#'!$A:$AL,17,FALSE)</f>
        <v>139</v>
      </c>
      <c r="AI217" s="5">
        <f>VLOOKUP($A217,'SegEnds_NonXtal_Prot#'!$A:$AL,20,FALSE)</f>
        <v>147</v>
      </c>
      <c r="AJ217" s="5">
        <f>VLOOKUP($A217,'SegEnds_NonXtal_Prot#'!$A:$AL,23,FALSE)</f>
        <v>174</v>
      </c>
      <c r="AK217" s="5">
        <f>VLOOKUP($A217,'SegEnds_NonXtal_Prot#'!$A:$AL,26,FALSE)</f>
        <v>196</v>
      </c>
      <c r="AL217" s="5">
        <f>VLOOKUP($A217,'SegEnds_NonXtal_Prot#'!$A:$AL,29,FALSE)</f>
        <v>242</v>
      </c>
      <c r="AM217" s="5">
        <f>VLOOKUP($A217,'SegEnds_NonXtal_Prot#'!$A:$AL,32,FALSE)</f>
        <v>323</v>
      </c>
      <c r="AN217" s="5">
        <f>VLOOKUP($A217,'SegEnds_NonXtal_Prot#'!$A:$AL,35,FALSE)</f>
        <v>361</v>
      </c>
      <c r="AO217" s="5">
        <f>VLOOKUP($A217,'SegEnds_NonXtal_Prot#'!$A:$AL,38,FALSE)</f>
        <v>377</v>
      </c>
      <c r="AP217" s="5">
        <f t="shared" si="88"/>
        <v>31</v>
      </c>
      <c r="AQ217" s="4" t="str">
        <f t="shared" si="89"/>
        <v>-</v>
      </c>
      <c r="AR217" s="4">
        <f t="shared" si="90"/>
        <v>31</v>
      </c>
      <c r="AS217" s="4">
        <f t="shared" si="91"/>
        <v>3</v>
      </c>
      <c r="AT217" s="4">
        <f t="shared" si="92"/>
        <v>35</v>
      </c>
      <c r="AU217" s="4">
        <f t="shared" si="93"/>
        <v>7</v>
      </c>
      <c r="AV217" s="4">
        <f t="shared" si="94"/>
        <v>26</v>
      </c>
      <c r="AW217" s="4">
        <f t="shared" si="95"/>
        <v>2</v>
      </c>
      <c r="AX217" s="4">
        <f t="shared" si="96"/>
        <v>42</v>
      </c>
      <c r="AY217" s="4">
        <f t="shared" si="97"/>
        <v>37</v>
      </c>
      <c r="AZ217" s="4">
        <f t="shared" si="98"/>
        <v>32</v>
      </c>
      <c r="BA217" s="4">
        <f t="shared" si="99"/>
        <v>15</v>
      </c>
    </row>
    <row r="218" spans="1:53" x14ac:dyDescent="0.2">
      <c r="A218" s="1" t="str">
        <f>'SegEnds_NonXtal_Prot#'!A199</f>
        <v>ogr1_human</v>
      </c>
      <c r="B218" s="1" t="str">
        <f t="shared" si="75"/>
        <v>DHTIHQTLAPVVYVTVLVVGFPANCLSLYFGYLQNELGVYLCNLTVADLFYICSLPFWLQYVLQHGDLSCQVCGILLYENIYISVGFLCCISVDRYLAVAHTLKAAVGVSVVIWAKELLTSIYFLMHAWQRAINYYRFLVGFLFPICLLLASYQGILRAVRRQKSRKDQIQRLVLSTVVIFLACFLPYHVLLLVRSVWAKGVFNAYHFSLLLTSFNCVADPVLYCFVSETTHRDLARLRGACLA</v>
      </c>
      <c r="C218" s="29" t="str">
        <f>IF(ISERROR(MATCH(A218,'SegEnds_Xtal_Prot#'!B:B, 0)), "NoXtal", "Xtal")</f>
        <v>NoXtal</v>
      </c>
      <c r="D218" s="4" t="str">
        <f>VLOOKUP(A218,Classification!A:D,2,FALSE)</f>
        <v>A</v>
      </c>
      <c r="E218" s="5" t="str">
        <f>VLOOKUP(A218,Seqs!A:B,2,FALSE)</f>
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</c>
      <c r="F218" s="5" t="str">
        <f t="shared" si="76"/>
        <v>DHTIHQTLAPVVYVTVLVVGFPANCLSLYFGYLQ</v>
      </c>
      <c r="G218" s="4" t="str">
        <f t="shared" si="77"/>
        <v>IKAR</v>
      </c>
      <c r="H218" s="4" t="str">
        <f t="shared" si="78"/>
        <v>NELGVYLCNLTVADLFYICSLPFWLQYVLQH</v>
      </c>
      <c r="I218" s="4" t="str">
        <f t="shared" si="79"/>
        <v>NWSH</v>
      </c>
      <c r="J218" s="4" t="str">
        <f t="shared" si="80"/>
        <v>GDLSCQVCGILLYENIYISVGFLCCISVDRYLAVAH</v>
      </c>
      <c r="K218" s="4" t="str">
        <f t="shared" si="81"/>
        <v>PFRFHQFR</v>
      </c>
      <c r="L218" s="4" t="str">
        <f t="shared" si="82"/>
        <v>TLKAAVGVSVVIWAKELLTSIYFLMH</v>
      </c>
      <c r="M218" s="4" t="str">
        <f t="shared" si="83"/>
        <v>CFE</v>
      </c>
      <c r="N218" s="4" t="str">
        <f t="shared" si="84"/>
        <v>AWQRAINYYRFLVGFLFPICLLLASYQGILRAVRR</v>
      </c>
      <c r="O218" s="4" t="str">
        <f t="shared" si="85"/>
        <v>QKSRKDQIQRLVLSTVVIFLACFLPYHVLLLVRSVW</v>
      </c>
      <c r="P218" s="4" t="str">
        <f t="shared" si="86"/>
        <v>AKGVFNAYHFSLLLTSFNCVADPVLYCFVSET</v>
      </c>
      <c r="Q218" s="4" t="str">
        <f t="shared" si="87"/>
        <v>THRDLARLRGACLA</v>
      </c>
      <c r="R218" s="5">
        <f>VLOOKUP($A218,'SegEnds_NonXtal_Prot#'!$A:$AL,3,FALSE)</f>
        <v>16</v>
      </c>
      <c r="S218" s="5">
        <f>VLOOKUP($A218,'SegEnds_NonXtal_Prot#'!$A:$AL,6,FALSE)</f>
        <v>50</v>
      </c>
      <c r="T218" s="5">
        <f>VLOOKUP($A218,'SegEnds_NonXtal_Prot#'!$A:$AL,9,FALSE)</f>
        <v>54</v>
      </c>
      <c r="U218" s="5">
        <f>VLOOKUP($A218,'SegEnds_NonXtal_Prot#'!$A:$AL,12,FALSE)</f>
        <v>86</v>
      </c>
      <c r="V218" s="5">
        <f>VLOOKUP($A218,'SegEnds_NonXtal_Prot#'!$A:$AL,15,FALSE)</f>
        <v>90</v>
      </c>
      <c r="W218" s="5">
        <f>VLOOKUP($A218,'SegEnds_NonXtal_Prot#'!$A:$AL,18,FALSE)</f>
        <v>126</v>
      </c>
      <c r="X218" s="5">
        <f>VLOOKUP($A218,'SegEnds_NonXtal_Prot#'!$A:$AL,21,FALSE)</f>
        <v>134</v>
      </c>
      <c r="Y218" s="5">
        <f>VLOOKUP($A218,'SegEnds_NonXtal_Prot#'!$A:$AL,24,FALSE)</f>
        <v>172</v>
      </c>
      <c r="Z218" s="5">
        <f>VLOOKUP($A218,'SegEnds_NonXtal_Prot#'!$A:$AL,27,FALSE)</f>
        <v>180</v>
      </c>
      <c r="AA218" s="5">
        <f>VLOOKUP($A218,'SegEnds_NonXtal_Prot#'!$A:$AL,30,FALSE)</f>
        <v>219</v>
      </c>
      <c r="AB218" s="5">
        <f>VLOOKUP($A218,'SegEnds_NonXtal_Prot#'!$A:$AL,33,FALSE)</f>
        <v>261</v>
      </c>
      <c r="AC218" s="5">
        <f>VLOOKUP($A218,'SegEnds_NonXtal_Prot#'!$A:$AL,36,FALSE)</f>
        <v>293</v>
      </c>
      <c r="AD218" s="5">
        <f>VLOOKUP($A218,'SegEnds_NonXtal_Prot#'!$A:$AL,5,FALSE)</f>
        <v>49</v>
      </c>
      <c r="AE218" s="5">
        <f>VLOOKUP($A218,'SegEnds_NonXtal_Prot#'!$A:$AL,8,FALSE)</f>
        <v>53</v>
      </c>
      <c r="AF218" s="5">
        <f>VLOOKUP($A218,'SegEnds_NonXtal_Prot#'!$A:$AL,11,FALSE)</f>
        <v>84</v>
      </c>
      <c r="AG218" s="5">
        <f>VLOOKUP($A218,'SegEnds_NonXtal_Prot#'!$A:$AL,14,FALSE)</f>
        <v>89</v>
      </c>
      <c r="AH218" s="5">
        <f>VLOOKUP($A218,'SegEnds_NonXtal_Prot#'!$A:$AL,17,FALSE)</f>
        <v>125</v>
      </c>
      <c r="AI218" s="5">
        <f>VLOOKUP($A218,'SegEnds_NonXtal_Prot#'!$A:$AL,20,FALSE)</f>
        <v>133</v>
      </c>
      <c r="AJ218" s="5">
        <f>VLOOKUP($A218,'SegEnds_NonXtal_Prot#'!$A:$AL,23,FALSE)</f>
        <v>159</v>
      </c>
      <c r="AK218" s="5">
        <f>VLOOKUP($A218,'SegEnds_NonXtal_Prot#'!$A:$AL,26,FALSE)</f>
        <v>174</v>
      </c>
      <c r="AL218" s="5">
        <f>VLOOKUP($A218,'SegEnds_NonXtal_Prot#'!$A:$AL,29,FALSE)</f>
        <v>214</v>
      </c>
      <c r="AM218" s="5">
        <f>VLOOKUP($A218,'SegEnds_NonXtal_Prot#'!$A:$AL,32,FALSE)</f>
        <v>254</v>
      </c>
      <c r="AN218" s="5">
        <f>VLOOKUP($A218,'SegEnds_NonXtal_Prot#'!$A:$AL,35,FALSE)</f>
        <v>292</v>
      </c>
      <c r="AO218" s="5">
        <f>VLOOKUP($A218,'SegEnds_NonXtal_Prot#'!$A:$AL,38,FALSE)</f>
        <v>306</v>
      </c>
      <c r="AP218" s="5">
        <f t="shared" si="88"/>
        <v>33</v>
      </c>
      <c r="AQ218" s="4">
        <f t="shared" si="89"/>
        <v>3</v>
      </c>
      <c r="AR218" s="4">
        <f t="shared" si="90"/>
        <v>30</v>
      </c>
      <c r="AS218" s="4">
        <f t="shared" si="91"/>
        <v>3</v>
      </c>
      <c r="AT218" s="4">
        <f t="shared" si="92"/>
        <v>35</v>
      </c>
      <c r="AU218" s="4">
        <f t="shared" si="93"/>
        <v>7</v>
      </c>
      <c r="AV218" s="4">
        <f t="shared" si="94"/>
        <v>25</v>
      </c>
      <c r="AW218" s="4">
        <f t="shared" si="95"/>
        <v>2</v>
      </c>
      <c r="AX218" s="4">
        <f t="shared" si="96"/>
        <v>34</v>
      </c>
      <c r="AY218" s="4">
        <f t="shared" si="97"/>
        <v>35</v>
      </c>
      <c r="AZ218" s="4">
        <f t="shared" si="98"/>
        <v>31</v>
      </c>
      <c r="BA218" s="4">
        <f t="shared" si="99"/>
        <v>13</v>
      </c>
    </row>
    <row r="219" spans="1:53" x14ac:dyDescent="0.2">
      <c r="A219" s="1" t="str">
        <f>'SegEnds_NonXtal_Prot#'!A201</f>
        <v>oprd_human</v>
      </c>
      <c r="B219" s="1" t="str">
        <f t="shared" si="75"/>
        <v>GARSASSLALAIAITALYSAVCAVGLLGNVLVMFGIVRYTATNIYIFNLALADALATSTLPFQSAKYLMGELLCKAVLSIDYYNMFTSIFTLTMMSVDRYIAVCHTPAKAKLINICIWVLASGVGVPIMVMASWYWDTVTKICVFLFAFVVPILIITVCYGLMLLRLRSVSKEKDRSLRRITRMVLVVVGAFVVCWAPIHIFVIVWTLVDPLVVAALHLCIALGYANSSLNPVLYAFLDENFKRCFRQLCRK</v>
      </c>
      <c r="C219" s="29" t="str">
        <f>IF(ISERROR(MATCH(A219,'SegEnds_Xtal_Prot#'!B:B, 0)), "NoXtal", "Xtal")</f>
        <v>Xtal</v>
      </c>
      <c r="D219" s="4" t="str">
        <f>VLOOKUP(A219,Classification!A:D,2,FALSE)</f>
        <v>A</v>
      </c>
      <c r="E219" s="5" t="str">
        <f>VLOOKUP(A219,Seqs!A:B,2,FALSE)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F219" s="5" t="str">
        <f t="shared" si="76"/>
        <v>GARSASSLALAIAITALYSAVCAVGLLGNVLVMFGIVRY</v>
      </c>
      <c r="G219" s="4" t="str">
        <f t="shared" si="77"/>
        <v>TKMK</v>
      </c>
      <c r="H219" s="4" t="str">
        <f t="shared" si="78"/>
        <v>TATNIYIFNLALADALATSTLPFQSAKYLM</v>
      </c>
      <c r="I219" s="4" t="str">
        <f t="shared" si="79"/>
        <v>TWPF</v>
      </c>
      <c r="J219" s="4" t="str">
        <f t="shared" si="80"/>
        <v>GELLCKAVLSIDYYNMFTSIFTLTMMSVDRYIAVCH</v>
      </c>
      <c r="K219" s="4" t="str">
        <f t="shared" si="81"/>
        <v>PVKALDFR</v>
      </c>
      <c r="L219" s="4" t="str">
        <f t="shared" si="82"/>
        <v>TPAKAKLINICIWVLASGVGVPIMVMA</v>
      </c>
      <c r="M219" s="4" t="str">
        <f t="shared" si="83"/>
        <v>CML</v>
      </c>
      <c r="N219" s="4" t="str">
        <f t="shared" si="84"/>
        <v>SWYWDTVTKICVFLFAFVVPILIITVCYGLMLLRLRSV</v>
      </c>
      <c r="O219" s="4" t="str">
        <f t="shared" si="85"/>
        <v>SKEKDRSLRRITRMVLVVVGAFVVCWAPIHIFVIVWTLV</v>
      </c>
      <c r="P219" s="4" t="str">
        <f t="shared" si="86"/>
        <v>DPLVVAALHLCIALGYANSSLNPVLYAFL</v>
      </c>
      <c r="Q219" s="4" t="str">
        <f t="shared" si="87"/>
        <v>DENFKRCFRQLCRK</v>
      </c>
      <c r="R219" s="5">
        <f>VLOOKUP($A219,'SegEnds_NonXtal_Prot#'!$A:$AL,3,FALSE)</f>
        <v>39</v>
      </c>
      <c r="S219" s="5">
        <f>VLOOKUP($A219,'SegEnds_NonXtal_Prot#'!$A:$AL,6,FALSE)</f>
        <v>78</v>
      </c>
      <c r="T219" s="5">
        <f>VLOOKUP($A219,'SegEnds_NonXtal_Prot#'!$A:$AL,9,FALSE)</f>
        <v>82</v>
      </c>
      <c r="U219" s="5">
        <f>VLOOKUP($A219,'SegEnds_NonXtal_Prot#'!$A:$AL,12,FALSE)</f>
        <v>113</v>
      </c>
      <c r="V219" s="5">
        <f>VLOOKUP($A219,'SegEnds_NonXtal_Prot#'!$A:$AL,15,FALSE)</f>
        <v>117</v>
      </c>
      <c r="W219" s="5">
        <f>VLOOKUP($A219,'SegEnds_NonXtal_Prot#'!$A:$AL,18,FALSE)</f>
        <v>153</v>
      </c>
      <c r="X219" s="5">
        <f>VLOOKUP($A219,'SegEnds_NonXtal_Prot#'!$A:$AL,21,FALSE)</f>
        <v>161</v>
      </c>
      <c r="Y219" s="5">
        <f>VLOOKUP($A219,'SegEnds_NonXtal_Prot#'!$A:$AL,24,FALSE)</f>
        <v>198</v>
      </c>
      <c r="Z219" s="5">
        <f>VLOOKUP($A219,'SegEnds_NonXtal_Prot#'!$A:$AL,27,FALSE)</f>
        <v>206</v>
      </c>
      <c r="AA219" s="5">
        <f>VLOOKUP($A219,'SegEnds_NonXtal_Prot#'!$A:$AL,30,FALSE)</f>
        <v>249</v>
      </c>
      <c r="AB219" s="5">
        <f>VLOOKUP($A219,'SegEnds_NonXtal_Prot#'!$A:$AL,33,FALSE)</f>
        <v>293</v>
      </c>
      <c r="AC219" s="5">
        <f>VLOOKUP($A219,'SegEnds_NonXtal_Prot#'!$A:$AL,36,FALSE)</f>
        <v>322</v>
      </c>
      <c r="AD219" s="5">
        <f>VLOOKUP($A219,'SegEnds_NonXtal_Prot#'!$A:$AL,5,FALSE)</f>
        <v>77</v>
      </c>
      <c r="AE219" s="5">
        <f>VLOOKUP($A219,'SegEnds_NonXtal_Prot#'!$A:$AL,8,FALSE)</f>
        <v>81</v>
      </c>
      <c r="AF219" s="5">
        <f>VLOOKUP($A219,'SegEnds_NonXtal_Prot#'!$A:$AL,11,FALSE)</f>
        <v>111</v>
      </c>
      <c r="AG219" s="5">
        <f>VLOOKUP($A219,'SegEnds_NonXtal_Prot#'!$A:$AL,14,FALSE)</f>
        <v>116</v>
      </c>
      <c r="AH219" s="5">
        <f>VLOOKUP($A219,'SegEnds_NonXtal_Prot#'!$A:$AL,17,FALSE)</f>
        <v>152</v>
      </c>
      <c r="AI219" s="5">
        <f>VLOOKUP($A219,'SegEnds_NonXtal_Prot#'!$A:$AL,20,FALSE)</f>
        <v>160</v>
      </c>
      <c r="AJ219" s="5">
        <f>VLOOKUP($A219,'SegEnds_NonXtal_Prot#'!$A:$AL,23,FALSE)</f>
        <v>187</v>
      </c>
      <c r="AK219" s="5">
        <f>VLOOKUP($A219,'SegEnds_NonXtal_Prot#'!$A:$AL,26,FALSE)</f>
        <v>200</v>
      </c>
      <c r="AL219" s="5">
        <f>VLOOKUP($A219,'SegEnds_NonXtal_Prot#'!$A:$AL,29,FALSE)</f>
        <v>243</v>
      </c>
      <c r="AM219" s="5">
        <f>VLOOKUP($A219,'SegEnds_NonXtal_Prot#'!$A:$AL,32,FALSE)</f>
        <v>287</v>
      </c>
      <c r="AN219" s="5">
        <f>VLOOKUP($A219,'SegEnds_NonXtal_Prot#'!$A:$AL,35,FALSE)</f>
        <v>321</v>
      </c>
      <c r="AO219" s="5">
        <f>VLOOKUP($A219,'SegEnds_NonXtal_Prot#'!$A:$AL,38,FALSE)</f>
        <v>335</v>
      </c>
      <c r="AP219" s="5">
        <f t="shared" si="88"/>
        <v>38</v>
      </c>
      <c r="AQ219" s="4">
        <f t="shared" si="89"/>
        <v>3</v>
      </c>
      <c r="AR219" s="4">
        <f t="shared" si="90"/>
        <v>29</v>
      </c>
      <c r="AS219" s="4">
        <f t="shared" si="91"/>
        <v>3</v>
      </c>
      <c r="AT219" s="4">
        <f t="shared" si="92"/>
        <v>35</v>
      </c>
      <c r="AU219" s="4">
        <f t="shared" si="93"/>
        <v>7</v>
      </c>
      <c r="AV219" s="4">
        <f t="shared" si="94"/>
        <v>26</v>
      </c>
      <c r="AW219" s="4">
        <f t="shared" si="95"/>
        <v>2</v>
      </c>
      <c r="AX219" s="4">
        <f t="shared" si="96"/>
        <v>37</v>
      </c>
      <c r="AY219" s="4">
        <f t="shared" si="97"/>
        <v>38</v>
      </c>
      <c r="AZ219" s="4">
        <f t="shared" si="98"/>
        <v>28</v>
      </c>
      <c r="BA219" s="4">
        <f t="shared" si="99"/>
        <v>13</v>
      </c>
    </row>
    <row r="220" spans="1:53" x14ac:dyDescent="0.2">
      <c r="A220" s="1" t="str">
        <f>'SegEnds_NonXtal_Prot#'!A202</f>
        <v>oprd_mouse</v>
      </c>
      <c r="B220" s="1" t="str">
        <f t="shared" si="75"/>
        <v>RSASSLALAIAITALYSAVCAVGLLGNVLVMFGIVRYTATNIYIFNLALADALATSTLPFQSAKYLMGELLCKAVLSIDYYNMFTSIFTLTMMSVDRYIAVCHTPAKAKLINICIWVLASGVGVPIMVMASWYWDTVTKICVFLFAFVVPILIITVCYGLMLLRLRSVSKEKDRSLRRITRMVLVVVGAFVVCWAPIHIFVIVWTLVDPLVVAALHLCIALGYANSSLNPVLYAFLDENFKRCFRQLCRT</v>
      </c>
      <c r="C220" s="29" t="str">
        <f>IF(ISERROR(MATCH(A220,'SegEnds_Xtal_Prot#'!B:B, 0)), "NoXtal", "Xtal")</f>
        <v>Xtal</v>
      </c>
      <c r="D220" s="4" t="str">
        <f>VLOOKUP(A220,Classification!A:D,2,FALSE)</f>
        <v>A</v>
      </c>
      <c r="E220" s="5" t="str">
        <f>VLOOKUP(A220,Seqs!A:B,2,FALSE)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F220" s="5" t="str">
        <f t="shared" si="76"/>
        <v>RSASSLALAIAITALYSAVCAVGLLGNVLVMFGIVRY</v>
      </c>
      <c r="G220" s="4" t="str">
        <f t="shared" si="77"/>
        <v>TKLK</v>
      </c>
      <c r="H220" s="4" t="str">
        <f t="shared" si="78"/>
        <v>TATNIYIFNLALADALATSTLPFQSAKYLM</v>
      </c>
      <c r="I220" s="4" t="str">
        <f t="shared" si="79"/>
        <v>TWPF</v>
      </c>
      <c r="J220" s="4" t="str">
        <f t="shared" si="80"/>
        <v>GELLCKAVLSIDYYNMFTSIFTLTMMSVDRYIAVCH</v>
      </c>
      <c r="K220" s="4" t="str">
        <f t="shared" si="81"/>
        <v>PVKALDFR</v>
      </c>
      <c r="L220" s="4" t="str">
        <f t="shared" si="82"/>
        <v>TPAKAKLINICIWVLASGVGVPIMVMA</v>
      </c>
      <c r="M220" s="4" t="str">
        <f t="shared" si="83"/>
        <v>CML</v>
      </c>
      <c r="N220" s="4" t="str">
        <f t="shared" si="84"/>
        <v>SWYWDTVTKICVFLFAFVVPILIITVCYGLMLLRLRSV</v>
      </c>
      <c r="O220" s="4" t="str">
        <f t="shared" si="85"/>
        <v>SKEKDRSLRRITRMVLVVVGAFVVCWAPIHIFVIVWTLV</v>
      </c>
      <c r="P220" s="4" t="str">
        <f t="shared" si="86"/>
        <v>DPLVVAALHLCIALGYANSSLNPVLYAFL</v>
      </c>
      <c r="Q220" s="4" t="str">
        <f t="shared" si="87"/>
        <v>DENFKRCFRQLCRT</v>
      </c>
      <c r="R220" s="5">
        <f>VLOOKUP($A220,'SegEnds_NonXtal_Prot#'!$A:$AL,3,FALSE)</f>
        <v>41</v>
      </c>
      <c r="S220" s="5">
        <f>VLOOKUP($A220,'SegEnds_NonXtal_Prot#'!$A:$AL,6,FALSE)</f>
        <v>78</v>
      </c>
      <c r="T220" s="5">
        <f>VLOOKUP($A220,'SegEnds_NonXtal_Prot#'!$A:$AL,9,FALSE)</f>
        <v>82</v>
      </c>
      <c r="U220" s="5">
        <f>VLOOKUP($A220,'SegEnds_NonXtal_Prot#'!$A:$AL,12,FALSE)</f>
        <v>113</v>
      </c>
      <c r="V220" s="5">
        <f>VLOOKUP($A220,'SegEnds_NonXtal_Prot#'!$A:$AL,15,FALSE)</f>
        <v>117</v>
      </c>
      <c r="W220" s="5">
        <f>VLOOKUP($A220,'SegEnds_NonXtal_Prot#'!$A:$AL,18,FALSE)</f>
        <v>153</v>
      </c>
      <c r="X220" s="5">
        <f>VLOOKUP($A220,'SegEnds_NonXtal_Prot#'!$A:$AL,21,FALSE)</f>
        <v>161</v>
      </c>
      <c r="Y220" s="5">
        <f>VLOOKUP($A220,'SegEnds_NonXtal_Prot#'!$A:$AL,24,FALSE)</f>
        <v>198</v>
      </c>
      <c r="Z220" s="5">
        <f>VLOOKUP($A220,'SegEnds_NonXtal_Prot#'!$A:$AL,27,FALSE)</f>
        <v>206</v>
      </c>
      <c r="AA220" s="5">
        <f>VLOOKUP($A220,'SegEnds_NonXtal_Prot#'!$A:$AL,30,FALSE)</f>
        <v>249</v>
      </c>
      <c r="AB220" s="5">
        <f>VLOOKUP($A220,'SegEnds_NonXtal_Prot#'!$A:$AL,33,FALSE)</f>
        <v>293</v>
      </c>
      <c r="AC220" s="5">
        <f>VLOOKUP($A220,'SegEnds_NonXtal_Prot#'!$A:$AL,36,FALSE)</f>
        <v>322</v>
      </c>
      <c r="AD220" s="5">
        <f>VLOOKUP($A220,'SegEnds_NonXtal_Prot#'!$A:$AL,5,FALSE)</f>
        <v>77</v>
      </c>
      <c r="AE220" s="5">
        <f>VLOOKUP($A220,'SegEnds_NonXtal_Prot#'!$A:$AL,8,FALSE)</f>
        <v>81</v>
      </c>
      <c r="AF220" s="5">
        <f>VLOOKUP($A220,'SegEnds_NonXtal_Prot#'!$A:$AL,11,FALSE)</f>
        <v>111</v>
      </c>
      <c r="AG220" s="5">
        <f>VLOOKUP($A220,'SegEnds_NonXtal_Prot#'!$A:$AL,14,FALSE)</f>
        <v>116</v>
      </c>
      <c r="AH220" s="5">
        <f>VLOOKUP($A220,'SegEnds_NonXtal_Prot#'!$A:$AL,17,FALSE)</f>
        <v>152</v>
      </c>
      <c r="AI220" s="5">
        <f>VLOOKUP($A220,'SegEnds_NonXtal_Prot#'!$A:$AL,20,FALSE)</f>
        <v>160</v>
      </c>
      <c r="AJ220" s="5">
        <f>VLOOKUP($A220,'SegEnds_NonXtal_Prot#'!$A:$AL,23,FALSE)</f>
        <v>187</v>
      </c>
      <c r="AK220" s="5">
        <f>VLOOKUP($A220,'SegEnds_NonXtal_Prot#'!$A:$AL,26,FALSE)</f>
        <v>200</v>
      </c>
      <c r="AL220" s="5">
        <f>VLOOKUP($A220,'SegEnds_NonXtal_Prot#'!$A:$AL,29,FALSE)</f>
        <v>243</v>
      </c>
      <c r="AM220" s="5">
        <f>VLOOKUP($A220,'SegEnds_NonXtal_Prot#'!$A:$AL,32,FALSE)</f>
        <v>287</v>
      </c>
      <c r="AN220" s="5">
        <f>VLOOKUP($A220,'SegEnds_NonXtal_Prot#'!$A:$AL,35,FALSE)</f>
        <v>321</v>
      </c>
      <c r="AO220" s="5">
        <f>VLOOKUP($A220,'SegEnds_NonXtal_Prot#'!$A:$AL,38,FALSE)</f>
        <v>335</v>
      </c>
      <c r="AP220" s="5">
        <f t="shared" si="88"/>
        <v>36</v>
      </c>
      <c r="AQ220" s="4">
        <f t="shared" si="89"/>
        <v>3</v>
      </c>
      <c r="AR220" s="4">
        <f t="shared" si="90"/>
        <v>29</v>
      </c>
      <c r="AS220" s="4">
        <f t="shared" si="91"/>
        <v>3</v>
      </c>
      <c r="AT220" s="4">
        <f t="shared" si="92"/>
        <v>35</v>
      </c>
      <c r="AU220" s="4">
        <f t="shared" si="93"/>
        <v>7</v>
      </c>
      <c r="AV220" s="4">
        <f t="shared" si="94"/>
        <v>26</v>
      </c>
      <c r="AW220" s="4">
        <f t="shared" si="95"/>
        <v>2</v>
      </c>
      <c r="AX220" s="4">
        <f t="shared" si="96"/>
        <v>37</v>
      </c>
      <c r="AY220" s="4">
        <f t="shared" si="97"/>
        <v>38</v>
      </c>
      <c r="AZ220" s="4">
        <f t="shared" si="98"/>
        <v>28</v>
      </c>
      <c r="BA220" s="4">
        <f t="shared" si="99"/>
        <v>13</v>
      </c>
    </row>
    <row r="221" spans="1:53" x14ac:dyDescent="0.2">
      <c r="A221" s="1" t="str">
        <f>'SegEnds_NonXtal_Prot#'!A206</f>
        <v>oprx_human</v>
      </c>
      <c r="B221" s="1" t="str">
        <f t="shared" si="75"/>
        <v>LGLKVTIVGLYLAVCVGGLLGNCLVMYVILRHTATNIYIFNLALADTLVLLTLPFQGTDILLGNALCKTVIAIDYYNMFTSTFTLTAMSVDRYVAICHTSSKAQAVNVAIWALASVVGVPVAIMGQDYWGPVFAICIFLFSFIVPVLVISVCYSLMIRRLRGVSREKDRNLRRITRLVLVVVAVFVGCWTPVQVFVLAQGLGSETAVAILRFCTALGYVNSCLNPILYAFLDENFKACFRKFCC</v>
      </c>
      <c r="C221" s="29" t="str">
        <f>IF(ISERROR(MATCH(A221,'SegEnds_Xtal_Prot#'!B:B, 0)), "NoXtal", "Xtal")</f>
        <v>Xtal</v>
      </c>
      <c r="D221" s="4" t="str">
        <f>VLOOKUP(A221,Classification!A:D,2,FALSE)</f>
        <v>A</v>
      </c>
      <c r="E221" s="5" t="str">
        <f>VLOOKUP(A221,Seqs!A:B,2,FALSE)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F221" s="5" t="str">
        <f t="shared" si="76"/>
        <v>LGLKVTIVGLYLAVCVGGLLGNCLVMYVILRH</v>
      </c>
      <c r="G221" s="4" t="str">
        <f t="shared" si="77"/>
        <v>TKMK</v>
      </c>
      <c r="H221" s="4" t="str">
        <f t="shared" si="78"/>
        <v>TATNIYIFNLALADTLVLLTLPFQGTDILL</v>
      </c>
      <c r="I221" s="4" t="str">
        <f t="shared" si="79"/>
        <v>FWPF</v>
      </c>
      <c r="J221" s="4" t="str">
        <f t="shared" si="80"/>
        <v>GNALCKTVIAIDYYNMFTSTFTLTAMSVDRYVAICH</v>
      </c>
      <c r="K221" s="4" t="str">
        <f t="shared" si="81"/>
        <v>PIRALDVR</v>
      </c>
      <c r="L221" s="4" t="str">
        <f t="shared" si="82"/>
        <v>TSSKAQAVNVAIWALASVVGVPVAIMG</v>
      </c>
      <c r="M221" s="4" t="str">
        <f t="shared" si="83"/>
        <v>CLV</v>
      </c>
      <c r="N221" s="4" t="str">
        <f t="shared" si="84"/>
        <v>QDYWGPVFAICIFLFSFIVPVLVISVCYSLMIRRLRGV</v>
      </c>
      <c r="O221" s="4" t="str">
        <f t="shared" si="85"/>
        <v>SREKDRNLRRITRLVLVVVAVFVGCWTPVQVFVLAQGLG</v>
      </c>
      <c r="P221" s="4" t="str">
        <f t="shared" si="86"/>
        <v>SETAVAILRFCTALGYVNSCLNPILYAFL</v>
      </c>
      <c r="Q221" s="4" t="str">
        <f t="shared" si="87"/>
        <v>DENFKACFRKFCC</v>
      </c>
      <c r="R221" s="5">
        <f>VLOOKUP($A221,'SegEnds_NonXtal_Prot#'!$A:$AL,3,FALSE)</f>
        <v>48</v>
      </c>
      <c r="S221" s="5">
        <f>VLOOKUP($A221,'SegEnds_NonXtal_Prot#'!$A:$AL,6,FALSE)</f>
        <v>80</v>
      </c>
      <c r="T221" s="5">
        <f>VLOOKUP($A221,'SegEnds_NonXtal_Prot#'!$A:$AL,9,FALSE)</f>
        <v>84</v>
      </c>
      <c r="U221" s="5">
        <f>VLOOKUP($A221,'SegEnds_NonXtal_Prot#'!$A:$AL,12,FALSE)</f>
        <v>115</v>
      </c>
      <c r="V221" s="5">
        <f>VLOOKUP($A221,'SegEnds_NonXtal_Prot#'!$A:$AL,15,FALSE)</f>
        <v>119</v>
      </c>
      <c r="W221" s="5">
        <f>VLOOKUP($A221,'SegEnds_NonXtal_Prot#'!$A:$AL,18,FALSE)</f>
        <v>155</v>
      </c>
      <c r="X221" s="5">
        <f>VLOOKUP($A221,'SegEnds_NonXtal_Prot#'!$A:$AL,21,FALSE)</f>
        <v>163</v>
      </c>
      <c r="Y221" s="5">
        <f>VLOOKUP($A221,'SegEnds_NonXtal_Prot#'!$A:$AL,24,FALSE)</f>
        <v>200</v>
      </c>
      <c r="Z221" s="5">
        <f>VLOOKUP($A221,'SegEnds_NonXtal_Prot#'!$A:$AL,27,FALSE)</f>
        <v>208</v>
      </c>
      <c r="AA221" s="5">
        <f>VLOOKUP($A221,'SegEnds_NonXtal_Prot#'!$A:$AL,30,FALSE)</f>
        <v>251</v>
      </c>
      <c r="AB221" s="5">
        <f>VLOOKUP($A221,'SegEnds_NonXtal_Prot#'!$A:$AL,33,FALSE)</f>
        <v>294</v>
      </c>
      <c r="AC221" s="5">
        <f>VLOOKUP($A221,'SegEnds_NonXtal_Prot#'!$A:$AL,36,FALSE)</f>
        <v>323</v>
      </c>
      <c r="AD221" s="5">
        <f>VLOOKUP($A221,'SegEnds_NonXtal_Prot#'!$A:$AL,5,FALSE)</f>
        <v>79</v>
      </c>
      <c r="AE221" s="5">
        <f>VLOOKUP($A221,'SegEnds_NonXtal_Prot#'!$A:$AL,8,FALSE)</f>
        <v>83</v>
      </c>
      <c r="AF221" s="5">
        <f>VLOOKUP($A221,'SegEnds_NonXtal_Prot#'!$A:$AL,11,FALSE)</f>
        <v>113</v>
      </c>
      <c r="AG221" s="5">
        <f>VLOOKUP($A221,'SegEnds_NonXtal_Prot#'!$A:$AL,14,FALSE)</f>
        <v>118</v>
      </c>
      <c r="AH221" s="5">
        <f>VLOOKUP($A221,'SegEnds_NonXtal_Prot#'!$A:$AL,17,FALSE)</f>
        <v>154</v>
      </c>
      <c r="AI221" s="5">
        <f>VLOOKUP($A221,'SegEnds_NonXtal_Prot#'!$A:$AL,20,FALSE)</f>
        <v>162</v>
      </c>
      <c r="AJ221" s="5">
        <f>VLOOKUP($A221,'SegEnds_NonXtal_Prot#'!$A:$AL,23,FALSE)</f>
        <v>189</v>
      </c>
      <c r="AK221" s="5">
        <f>VLOOKUP($A221,'SegEnds_NonXtal_Prot#'!$A:$AL,26,FALSE)</f>
        <v>202</v>
      </c>
      <c r="AL221" s="5">
        <f>VLOOKUP($A221,'SegEnds_NonXtal_Prot#'!$A:$AL,29,FALSE)</f>
        <v>245</v>
      </c>
      <c r="AM221" s="5">
        <f>VLOOKUP($A221,'SegEnds_NonXtal_Prot#'!$A:$AL,32,FALSE)</f>
        <v>289</v>
      </c>
      <c r="AN221" s="5">
        <f>VLOOKUP($A221,'SegEnds_NonXtal_Prot#'!$A:$AL,35,FALSE)</f>
        <v>322</v>
      </c>
      <c r="AO221" s="5">
        <f>VLOOKUP($A221,'SegEnds_NonXtal_Prot#'!$A:$AL,38,FALSE)</f>
        <v>335</v>
      </c>
      <c r="AP221" s="5">
        <f t="shared" si="88"/>
        <v>31</v>
      </c>
      <c r="AQ221" s="4">
        <f t="shared" si="89"/>
        <v>3</v>
      </c>
      <c r="AR221" s="4">
        <f t="shared" si="90"/>
        <v>29</v>
      </c>
      <c r="AS221" s="4">
        <f t="shared" si="91"/>
        <v>3</v>
      </c>
      <c r="AT221" s="4">
        <f t="shared" si="92"/>
        <v>35</v>
      </c>
      <c r="AU221" s="4">
        <f t="shared" si="93"/>
        <v>7</v>
      </c>
      <c r="AV221" s="4">
        <f t="shared" si="94"/>
        <v>26</v>
      </c>
      <c r="AW221" s="4">
        <f t="shared" si="95"/>
        <v>2</v>
      </c>
      <c r="AX221" s="4">
        <f t="shared" si="96"/>
        <v>37</v>
      </c>
      <c r="AY221" s="4">
        <f t="shared" si="97"/>
        <v>38</v>
      </c>
      <c r="AZ221" s="4">
        <f t="shared" si="98"/>
        <v>28</v>
      </c>
      <c r="BA221" s="4">
        <f t="shared" si="99"/>
        <v>12</v>
      </c>
    </row>
    <row r="222" spans="1:53" x14ac:dyDescent="0.2">
      <c r="A222" s="1" t="str">
        <f>'SegEnds_NonXtal_Prot#'!A207</f>
        <v>opsd_todpa</v>
      </c>
      <c r="B222" s="1" t="str">
        <f t="shared" si="75"/>
        <v>DAVYYSLGIFIGICGIIGCGGNGIVIYLFTKTTPANMFIINLAFSDFTFSLVNGFPLMTISCFLKGFAACKVYGFIGGIFGFMSIMTMAMISIDRYNVIGRSHRRAFIMIIFVWLWSVLWAIGPIFDSTTRSNILCMFILGFFGPILIIFFCYFNIVMSVSNHEKEMAAMAKKELRKAQAGANAEMRLAKISIVIVSQFLLSWSPYAVVALLAQFGTPYAAQLPVMFAKASAIHNPMIYSVSHPKFREAISQTF</v>
      </c>
      <c r="C222" s="29" t="str">
        <f>IF(ISERROR(MATCH(A222,'SegEnds_Xtal_Prot#'!B:B, 0)), "NoXtal", "Xtal")</f>
        <v>Xtal</v>
      </c>
      <c r="D222" s="4" t="str">
        <f>VLOOKUP(A222,Classification!A:D,2,FALSE)</f>
        <v>A</v>
      </c>
      <c r="E222" s="5" t="str">
        <f>VLOOKUP(A222,Seqs!A:B,2,FALSE)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F222" s="5" t="str">
        <f t="shared" si="76"/>
        <v>DAVYYSLGIFIGICGIIGCGGNGIVIYLFTKT</v>
      </c>
      <c r="G222" s="4" t="str">
        <f t="shared" si="77"/>
        <v>KSLQ</v>
      </c>
      <c r="H222" s="4" t="str">
        <f t="shared" si="78"/>
        <v>TPANMFIINLAFSDFTFSLVNGFPLMTISCFLK</v>
      </c>
      <c r="I222" s="4" t="str">
        <f t="shared" si="79"/>
        <v>KWIF</v>
      </c>
      <c r="J222" s="4" t="str">
        <f t="shared" si="80"/>
        <v>GFAACKVYGFIGGIFGFMSIMTMAMISIDRYNVIGR</v>
      </c>
      <c r="K222" s="4" t="str">
        <f t="shared" si="81"/>
        <v>PMAASKKM</v>
      </c>
      <c r="L222" s="4" t="str">
        <f t="shared" si="82"/>
        <v>SHRRAFIMIIFVWLWSVLWAIGPIF</v>
      </c>
      <c r="M222" s="4" t="str">
        <f t="shared" si="83"/>
        <v>CSF</v>
      </c>
      <c r="N222" s="4" t="str">
        <f t="shared" si="84"/>
        <v>DSTTRSNILCMFILGFFGPILIIFFCYFNIVMSVSNHEKEMAAMAK</v>
      </c>
      <c r="O222" s="4" t="str">
        <f t="shared" si="85"/>
        <v>KELRKAQAGANAEMRLAKISIVIVSQFLLSWSPYAVVALLAQFG</v>
      </c>
      <c r="P222" s="4" t="str">
        <f t="shared" si="86"/>
        <v>TPYAAQLPVMFAKASAIHNPMIYSVS</v>
      </c>
      <c r="Q222" s="4" t="str">
        <f t="shared" si="87"/>
        <v>HPKFREAISQTF</v>
      </c>
      <c r="R222" s="5">
        <f>VLOOKUP($A222,'SegEnds_NonXtal_Prot#'!$A:$AL,3,FALSE)</f>
        <v>31</v>
      </c>
      <c r="S222" s="5">
        <f>VLOOKUP($A222,'SegEnds_NonXtal_Prot#'!$A:$AL,6,FALSE)</f>
        <v>63</v>
      </c>
      <c r="T222" s="5">
        <f>VLOOKUP($A222,'SegEnds_NonXtal_Prot#'!$A:$AL,9,FALSE)</f>
        <v>67</v>
      </c>
      <c r="U222" s="5">
        <f>VLOOKUP($A222,'SegEnds_NonXtal_Prot#'!$A:$AL,12,FALSE)</f>
        <v>100</v>
      </c>
      <c r="V222" s="5">
        <f>VLOOKUP($A222,'SegEnds_NonXtal_Prot#'!$A:$AL,15,FALSE)</f>
        <v>104</v>
      </c>
      <c r="W222" s="5">
        <f>VLOOKUP($A222,'SegEnds_NonXtal_Prot#'!$A:$AL,18,FALSE)</f>
        <v>140</v>
      </c>
      <c r="X222" s="5">
        <f>VLOOKUP($A222,'SegEnds_NonXtal_Prot#'!$A:$AL,21,FALSE)</f>
        <v>148</v>
      </c>
      <c r="Y222" s="5">
        <f>VLOOKUP($A222,'SegEnds_NonXtal_Prot#'!$A:$AL,24,FALSE)</f>
        <v>186</v>
      </c>
      <c r="Z222" s="5">
        <f>VLOOKUP($A222,'SegEnds_NonXtal_Prot#'!$A:$AL,27,FALSE)</f>
        <v>194</v>
      </c>
      <c r="AA222" s="5">
        <f>VLOOKUP($A222,'SegEnds_NonXtal_Prot#'!$A:$AL,30,FALSE)</f>
        <v>244</v>
      </c>
      <c r="AB222" s="5">
        <f>VLOOKUP($A222,'SegEnds_NonXtal_Prot#'!$A:$AL,33,FALSE)</f>
        <v>293</v>
      </c>
      <c r="AC222" s="5">
        <f>VLOOKUP($A222,'SegEnds_NonXtal_Prot#'!$A:$AL,36,FALSE)</f>
        <v>319</v>
      </c>
      <c r="AD222" s="5">
        <f>VLOOKUP($A222,'SegEnds_NonXtal_Prot#'!$A:$AL,5,FALSE)</f>
        <v>62</v>
      </c>
      <c r="AE222" s="5">
        <f>VLOOKUP($A222,'SegEnds_NonXtal_Prot#'!$A:$AL,8,FALSE)</f>
        <v>66</v>
      </c>
      <c r="AF222" s="5">
        <f>VLOOKUP($A222,'SegEnds_NonXtal_Prot#'!$A:$AL,11,FALSE)</f>
        <v>99</v>
      </c>
      <c r="AG222" s="5">
        <f>VLOOKUP($A222,'SegEnds_NonXtal_Prot#'!$A:$AL,14,FALSE)</f>
        <v>103</v>
      </c>
      <c r="AH222" s="5">
        <f>VLOOKUP($A222,'SegEnds_NonXtal_Prot#'!$A:$AL,17,FALSE)</f>
        <v>139</v>
      </c>
      <c r="AI222" s="5">
        <f>VLOOKUP($A222,'SegEnds_NonXtal_Prot#'!$A:$AL,20,FALSE)</f>
        <v>147</v>
      </c>
      <c r="AJ222" s="5">
        <f>VLOOKUP($A222,'SegEnds_NonXtal_Prot#'!$A:$AL,23,FALSE)</f>
        <v>172</v>
      </c>
      <c r="AK222" s="5">
        <f>VLOOKUP($A222,'SegEnds_NonXtal_Prot#'!$A:$AL,26,FALSE)</f>
        <v>188</v>
      </c>
      <c r="AL222" s="5">
        <f>VLOOKUP($A222,'SegEnds_NonXtal_Prot#'!$A:$AL,29,FALSE)</f>
        <v>239</v>
      </c>
      <c r="AM222" s="5">
        <f>VLOOKUP($A222,'SegEnds_NonXtal_Prot#'!$A:$AL,32,FALSE)</f>
        <v>287</v>
      </c>
      <c r="AN222" s="5">
        <f>VLOOKUP($A222,'SegEnds_NonXtal_Prot#'!$A:$AL,35,FALSE)</f>
        <v>318</v>
      </c>
      <c r="AO222" s="5">
        <f>VLOOKUP($A222,'SegEnds_NonXtal_Prot#'!$A:$AL,38,FALSE)</f>
        <v>330</v>
      </c>
      <c r="AP222" s="5">
        <f t="shared" si="88"/>
        <v>31</v>
      </c>
      <c r="AQ222" s="4">
        <f t="shared" si="89"/>
        <v>3</v>
      </c>
      <c r="AR222" s="4">
        <f t="shared" si="90"/>
        <v>32</v>
      </c>
      <c r="AS222" s="4">
        <f t="shared" si="91"/>
        <v>3</v>
      </c>
      <c r="AT222" s="4">
        <f t="shared" si="92"/>
        <v>35</v>
      </c>
      <c r="AU222" s="4">
        <f t="shared" si="93"/>
        <v>7</v>
      </c>
      <c r="AV222" s="4">
        <f t="shared" si="94"/>
        <v>24</v>
      </c>
      <c r="AW222" s="4">
        <f t="shared" si="95"/>
        <v>2</v>
      </c>
      <c r="AX222" s="4">
        <f t="shared" si="96"/>
        <v>45</v>
      </c>
      <c r="AY222" s="4">
        <f t="shared" si="97"/>
        <v>43</v>
      </c>
      <c r="AZ222" s="4">
        <f t="shared" si="98"/>
        <v>25</v>
      </c>
      <c r="BA222" s="4">
        <f t="shared" si="99"/>
        <v>11</v>
      </c>
    </row>
    <row r="223" spans="1:53" x14ac:dyDescent="0.2">
      <c r="A223" s="1" t="str">
        <f>'SegEnds_NonXtal_Prot#'!A208</f>
        <v>oxer1_human</v>
      </c>
      <c r="B223" s="1" t="str">
        <f t="shared" si="75"/>
        <v>SAFLAPILALEFVLGLVGNSLALFIFCIHTSNTVFLVSLVAADFLLISNLPLRVDYYLLHGAAACKVNLFMLSTNRTASVVFLTAIALNRYLKVVQSVGAAARVAGGLWVGILLLNGHLLLSTYRVGTKPSASLRWHQALYLLEFFLPLALILFAIVSIGLTIRNGQAGPQRAMRVLAMVVAVYTICFLPSIIFGMASMVALDLCTQLFHGSLAFTYLNSVLDPVLYCFSSPNFLHQSRALLGLTRGR</v>
      </c>
      <c r="C223" s="29" t="str">
        <f>IF(ISERROR(MATCH(A223,'SegEnds_Xtal_Prot#'!B:B, 0)), "NoXtal", "Xtal")</f>
        <v>NoXtal</v>
      </c>
      <c r="D223" s="4" t="str">
        <f>VLOOKUP(A223,Classification!A:D,2,FALSE)</f>
        <v>A</v>
      </c>
      <c r="E223" s="5" t="str">
        <f>VLOOKUP(A223,Seqs!A:B,2,FALSE)</f>
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</c>
      <c r="F223" s="5" t="str">
        <f t="shared" si="76"/>
        <v>SAFLAPILALEFVLGLVGNSLALFIFCIH</v>
      </c>
      <c r="G223" s="4" t="str">
        <f t="shared" si="77"/>
        <v>TRPW</v>
      </c>
      <c r="H223" s="4" t="str">
        <f t="shared" si="78"/>
        <v>TSNTVFLVSLVAADFLLISNLPLRVDYYLLH</v>
      </c>
      <c r="I223" s="4" t="str">
        <f t="shared" si="79"/>
        <v>TWRF</v>
      </c>
      <c r="J223" s="4" t="str">
        <f t="shared" si="80"/>
        <v>GAAACKVNLFMLSTNRTASVVFLTAIALNRYLKVVQ</v>
      </c>
      <c r="K223" s="4" t="str">
        <f t="shared" si="81"/>
        <v>PHHVLSRA</v>
      </c>
      <c r="L223" s="4" t="str">
        <f t="shared" si="82"/>
        <v>SVGAAARVAGGLWVGILLLNGHLLLST</v>
      </c>
      <c r="M223" s="4" t="str">
        <f t="shared" si="83"/>
        <v>CLS</v>
      </c>
      <c r="N223" s="4" t="str">
        <f t="shared" si="84"/>
        <v>YRVGTKPSASLRWHQALYLLEFFLPLALILFAIVSIGLTIRN</v>
      </c>
      <c r="O223" s="4" t="str">
        <f t="shared" si="85"/>
        <v>GQAGPQRAMRVLAMVVAVYTICFLPSIIFGMASMVA</v>
      </c>
      <c r="P223" s="4" t="str">
        <f t="shared" si="86"/>
        <v>LDLCTQLFHGSLAFTYLNSVLDPVLYCFS</v>
      </c>
      <c r="Q223" s="4" t="str">
        <f t="shared" si="87"/>
        <v>SPNFLHQSRALLGLTRGR</v>
      </c>
      <c r="R223" s="5">
        <f>VLOOKUP($A223,'SegEnds_NonXtal_Prot#'!$A:$AL,3,FALSE)</f>
        <v>92</v>
      </c>
      <c r="S223" s="5">
        <f>VLOOKUP($A223,'SegEnds_NonXtal_Prot#'!$A:$AL,6,FALSE)</f>
        <v>121</v>
      </c>
      <c r="T223" s="5">
        <f>VLOOKUP($A223,'SegEnds_NonXtal_Prot#'!$A:$AL,9,FALSE)</f>
        <v>125</v>
      </c>
      <c r="U223" s="5">
        <f>VLOOKUP($A223,'SegEnds_NonXtal_Prot#'!$A:$AL,12,FALSE)</f>
        <v>157</v>
      </c>
      <c r="V223" s="5">
        <f>VLOOKUP($A223,'SegEnds_NonXtal_Prot#'!$A:$AL,15,FALSE)</f>
        <v>161</v>
      </c>
      <c r="W223" s="5">
        <f>VLOOKUP($A223,'SegEnds_NonXtal_Prot#'!$A:$AL,18,FALSE)</f>
        <v>197</v>
      </c>
      <c r="X223" s="5">
        <f>VLOOKUP($A223,'SegEnds_NonXtal_Prot#'!$A:$AL,21,FALSE)</f>
        <v>205</v>
      </c>
      <c r="Y223" s="5">
        <f>VLOOKUP($A223,'SegEnds_NonXtal_Prot#'!$A:$AL,24,FALSE)</f>
        <v>237</v>
      </c>
      <c r="Z223" s="5">
        <f>VLOOKUP($A223,'SegEnds_NonXtal_Prot#'!$A:$AL,27,FALSE)</f>
        <v>240</v>
      </c>
      <c r="AA223" s="5">
        <f>VLOOKUP($A223,'SegEnds_NonXtal_Prot#'!$A:$AL,30,FALSE)</f>
        <v>286</v>
      </c>
      <c r="AB223" s="5">
        <f>VLOOKUP($A223,'SegEnds_NonXtal_Prot#'!$A:$AL,33,FALSE)</f>
        <v>330</v>
      </c>
      <c r="AC223" s="5">
        <f>VLOOKUP($A223,'SegEnds_NonXtal_Prot#'!$A:$AL,36,FALSE)</f>
        <v>359</v>
      </c>
      <c r="AD223" s="5">
        <f>VLOOKUP($A223,'SegEnds_NonXtal_Prot#'!$A:$AL,5,FALSE)</f>
        <v>120</v>
      </c>
      <c r="AE223" s="5">
        <f>VLOOKUP($A223,'SegEnds_NonXtal_Prot#'!$A:$AL,8,FALSE)</f>
        <v>124</v>
      </c>
      <c r="AF223" s="5">
        <f>VLOOKUP($A223,'SegEnds_NonXtal_Prot#'!$A:$AL,11,FALSE)</f>
        <v>155</v>
      </c>
      <c r="AG223" s="5">
        <f>VLOOKUP($A223,'SegEnds_NonXtal_Prot#'!$A:$AL,14,FALSE)</f>
        <v>160</v>
      </c>
      <c r="AH223" s="5">
        <f>VLOOKUP($A223,'SegEnds_NonXtal_Prot#'!$A:$AL,17,FALSE)</f>
        <v>196</v>
      </c>
      <c r="AI223" s="5">
        <f>VLOOKUP($A223,'SegEnds_NonXtal_Prot#'!$A:$AL,20,FALSE)</f>
        <v>204</v>
      </c>
      <c r="AJ223" s="5">
        <f>VLOOKUP($A223,'SegEnds_NonXtal_Prot#'!$A:$AL,23,FALSE)</f>
        <v>231</v>
      </c>
      <c r="AK223" s="5">
        <f>VLOOKUP($A223,'SegEnds_NonXtal_Prot#'!$A:$AL,26,FALSE)</f>
        <v>239</v>
      </c>
      <c r="AL223" s="5">
        <f>VLOOKUP($A223,'SegEnds_NonXtal_Prot#'!$A:$AL,29,FALSE)</f>
        <v>281</v>
      </c>
      <c r="AM223" s="5">
        <f>VLOOKUP($A223,'SegEnds_NonXtal_Prot#'!$A:$AL,32,FALSE)</f>
        <v>321</v>
      </c>
      <c r="AN223" s="5">
        <f>VLOOKUP($A223,'SegEnds_NonXtal_Prot#'!$A:$AL,35,FALSE)</f>
        <v>358</v>
      </c>
      <c r="AO223" s="5">
        <f>VLOOKUP($A223,'SegEnds_NonXtal_Prot#'!$A:$AL,38,FALSE)</f>
        <v>376</v>
      </c>
      <c r="AP223" s="5">
        <f t="shared" si="88"/>
        <v>28</v>
      </c>
      <c r="AQ223" s="4">
        <f t="shared" si="89"/>
        <v>3</v>
      </c>
      <c r="AR223" s="4">
        <f t="shared" si="90"/>
        <v>30</v>
      </c>
      <c r="AS223" s="4">
        <f t="shared" si="91"/>
        <v>3</v>
      </c>
      <c r="AT223" s="4">
        <f t="shared" si="92"/>
        <v>35</v>
      </c>
      <c r="AU223" s="4">
        <f t="shared" si="93"/>
        <v>7</v>
      </c>
      <c r="AV223" s="4">
        <f t="shared" si="94"/>
        <v>26</v>
      </c>
      <c r="AW223" s="4">
        <f t="shared" si="95"/>
        <v>2</v>
      </c>
      <c r="AX223" s="4">
        <f t="shared" si="96"/>
        <v>41</v>
      </c>
      <c r="AY223" s="4">
        <f t="shared" si="97"/>
        <v>35</v>
      </c>
      <c r="AZ223" s="4">
        <f t="shared" si="98"/>
        <v>28</v>
      </c>
      <c r="BA223" s="4">
        <f t="shared" si="99"/>
        <v>17</v>
      </c>
    </row>
    <row r="224" spans="1:53" x14ac:dyDescent="0.2">
      <c r="A224" s="1" t="str">
        <f>'SegEnds_NonXtal_Prot#'!A209</f>
        <v>oxgr1_human</v>
      </c>
      <c r="B224" s="1" t="str">
        <f t="shared" si="75"/>
        <v>LKMHYLPVIYGIIFLVGFPGNAVVISTYIFKKSSTIIMLNLACTDLLYLTSLPFLIHYYASGDFMCKFIRFSFHFNLYSSILFLTCFSIFRYCVIIHKTRCAVVACAVVWIISLVAVIPMTFLILNTIKWYNLILTATTFCLPLVIVTLCYTTIIHTLTHDSCLKQKARRLTILLLLAFYVCFLPFHILRVIRIESSCSIENQIHEAYIVSRPLAALNTFGNLLLYVVVSDNFQQAVCSTVR</v>
      </c>
      <c r="C224" s="29" t="str">
        <f>IF(ISERROR(MATCH(A224,'SegEnds_Xtal_Prot#'!B:B, 0)), "NoXtal", "Xtal")</f>
        <v>NoXtal</v>
      </c>
      <c r="D224" s="4" t="str">
        <f>VLOOKUP(A224,Classification!A:D,2,FALSE)</f>
        <v>A</v>
      </c>
      <c r="E224" s="5" t="str">
        <f>VLOOKUP(A224,Seqs!A:B,2,FALSE)</f>
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</c>
      <c r="F224" s="5" t="str">
        <f t="shared" si="76"/>
        <v>LKMHYLPVIYGIIFLVGFPGNAVVISTYIFK</v>
      </c>
      <c r="G224" s="4" t="str">
        <f t="shared" si="77"/>
        <v/>
      </c>
      <c r="H224" s="4" t="str">
        <f t="shared" si="78"/>
        <v>KSSTIIMLNLACTDLLYLTSLPFLIHYYAS</v>
      </c>
      <c r="I224" s="4" t="str">
        <f t="shared" si="79"/>
        <v>NWIF</v>
      </c>
      <c r="J224" s="4" t="str">
        <f t="shared" si="80"/>
        <v>GDFMCKFIRFSFHFNLYSSILFLTCFSIFRYCVIIH</v>
      </c>
      <c r="K224" s="4" t="str">
        <f t="shared" si="81"/>
        <v>PMSCFSIH</v>
      </c>
      <c r="L224" s="4" t="str">
        <f t="shared" si="82"/>
        <v>KTRCAVVACAVVWIISLVAVIPMTFLI</v>
      </c>
      <c r="M224" s="4" t="str">
        <f t="shared" si="83"/>
        <v>CLD</v>
      </c>
      <c r="N224" s="4" t="str">
        <f t="shared" si="84"/>
        <v>LNTIKWYNLILTATTFCLPLVIVTLCYTTIIHTLTH</v>
      </c>
      <c r="O224" s="4" t="str">
        <f t="shared" si="85"/>
        <v>DSCLKQKARRLTILLLLAFYVCFLPFHILRVIRIES</v>
      </c>
      <c r="P224" s="4" t="str">
        <f t="shared" si="86"/>
        <v>SCSIENQIHEAYIVSRPLAALNTFGNLLLYVVV</v>
      </c>
      <c r="Q224" s="4" t="str">
        <f t="shared" si="87"/>
        <v>SDNFQQAVCSTVR</v>
      </c>
      <c r="R224" s="5">
        <f>VLOOKUP($A224,'SegEnds_NonXtal_Prot#'!$A:$AL,3,FALSE)</f>
        <v>31</v>
      </c>
      <c r="S224" s="5" t="str">
        <f>VLOOKUP($A224,'SegEnds_NonXtal_Prot#'!$A:$AL,6,FALSE)</f>
        <v>-</v>
      </c>
      <c r="T224" s="5">
        <f>VLOOKUP($A224,'SegEnds_NonXtal_Prot#'!$A:$AL,9,FALSE)</f>
        <v>66</v>
      </c>
      <c r="U224" s="5">
        <f>VLOOKUP($A224,'SegEnds_NonXtal_Prot#'!$A:$AL,12,FALSE)</f>
        <v>98</v>
      </c>
      <c r="V224" s="5">
        <f>VLOOKUP($A224,'SegEnds_NonXtal_Prot#'!$A:$AL,15,FALSE)</f>
        <v>102</v>
      </c>
      <c r="W224" s="5">
        <f>VLOOKUP($A224,'SegEnds_NonXtal_Prot#'!$A:$AL,18,FALSE)</f>
        <v>138</v>
      </c>
      <c r="X224" s="5">
        <f>VLOOKUP($A224,'SegEnds_NonXtal_Prot#'!$A:$AL,21,FALSE)</f>
        <v>146</v>
      </c>
      <c r="Y224" s="5">
        <f>VLOOKUP($A224,'SegEnds_NonXtal_Prot#'!$A:$AL,24,FALSE)</f>
        <v>183</v>
      </c>
      <c r="Z224" s="5">
        <f>VLOOKUP($A224,'SegEnds_NonXtal_Prot#'!$A:$AL,27,FALSE)</f>
        <v>192</v>
      </c>
      <c r="AA224" s="5">
        <f>VLOOKUP($A224,'SegEnds_NonXtal_Prot#'!$A:$AL,30,FALSE)</f>
        <v>232</v>
      </c>
      <c r="AB224" s="5">
        <f>VLOOKUP($A224,'SegEnds_NonXtal_Prot#'!$A:$AL,33,FALSE)</f>
        <v>273</v>
      </c>
      <c r="AC224" s="5">
        <f>VLOOKUP($A224,'SegEnds_NonXtal_Prot#'!$A:$AL,36,FALSE)</f>
        <v>306</v>
      </c>
      <c r="AD224" s="5">
        <f>VLOOKUP($A224,'SegEnds_NonXtal_Prot#'!$A:$AL,5,FALSE)</f>
        <v>61</v>
      </c>
      <c r="AE224" s="5" t="str">
        <f>VLOOKUP($A224,'SegEnds_NonXtal_Prot#'!$A:$AL,8,FALSE)</f>
        <v>-</v>
      </c>
      <c r="AF224" s="5">
        <f>VLOOKUP($A224,'SegEnds_NonXtal_Prot#'!$A:$AL,11,FALSE)</f>
        <v>95</v>
      </c>
      <c r="AG224" s="5">
        <f>VLOOKUP($A224,'SegEnds_NonXtal_Prot#'!$A:$AL,14,FALSE)</f>
        <v>101</v>
      </c>
      <c r="AH224" s="5">
        <f>VLOOKUP($A224,'SegEnds_NonXtal_Prot#'!$A:$AL,17,FALSE)</f>
        <v>137</v>
      </c>
      <c r="AI224" s="5">
        <f>VLOOKUP($A224,'SegEnds_NonXtal_Prot#'!$A:$AL,20,FALSE)</f>
        <v>145</v>
      </c>
      <c r="AJ224" s="5">
        <f>VLOOKUP($A224,'SegEnds_NonXtal_Prot#'!$A:$AL,23,FALSE)</f>
        <v>172</v>
      </c>
      <c r="AK224" s="5">
        <f>VLOOKUP($A224,'SegEnds_NonXtal_Prot#'!$A:$AL,26,FALSE)</f>
        <v>185</v>
      </c>
      <c r="AL224" s="5">
        <f>VLOOKUP($A224,'SegEnds_NonXtal_Prot#'!$A:$AL,29,FALSE)</f>
        <v>227</v>
      </c>
      <c r="AM224" s="5">
        <f>VLOOKUP($A224,'SegEnds_NonXtal_Prot#'!$A:$AL,32,FALSE)</f>
        <v>267</v>
      </c>
      <c r="AN224" s="5">
        <f>VLOOKUP($A224,'SegEnds_NonXtal_Prot#'!$A:$AL,35,FALSE)</f>
        <v>305</v>
      </c>
      <c r="AO224" s="5">
        <f>VLOOKUP($A224,'SegEnds_NonXtal_Prot#'!$A:$AL,38,FALSE)</f>
        <v>318</v>
      </c>
      <c r="AP224" s="5">
        <f t="shared" si="88"/>
        <v>30</v>
      </c>
      <c r="AQ224" s="4" t="str">
        <f t="shared" si="89"/>
        <v>-</v>
      </c>
      <c r="AR224" s="4">
        <f t="shared" si="90"/>
        <v>29</v>
      </c>
      <c r="AS224" s="4">
        <f t="shared" si="91"/>
        <v>3</v>
      </c>
      <c r="AT224" s="4">
        <f t="shared" si="92"/>
        <v>35</v>
      </c>
      <c r="AU224" s="4">
        <f t="shared" si="93"/>
        <v>7</v>
      </c>
      <c r="AV224" s="4">
        <f t="shared" si="94"/>
        <v>26</v>
      </c>
      <c r="AW224" s="4">
        <f t="shared" si="95"/>
        <v>2</v>
      </c>
      <c r="AX224" s="4">
        <f t="shared" si="96"/>
        <v>35</v>
      </c>
      <c r="AY224" s="4">
        <f t="shared" si="97"/>
        <v>35</v>
      </c>
      <c r="AZ224" s="4">
        <f t="shared" si="98"/>
        <v>32</v>
      </c>
      <c r="BA224" s="4">
        <f t="shared" si="99"/>
        <v>12</v>
      </c>
    </row>
    <row r="225" spans="1:53" x14ac:dyDescent="0.2">
      <c r="A225" s="1" t="str">
        <f>'SegEnds_NonXtal_Prot#'!A210</f>
        <v>p2ry1_human</v>
      </c>
      <c r="B225" s="1" t="str">
        <f t="shared" si="75"/>
        <v>FQFYYLPAVYILVFIIGFLGNSVAIWMFVFHSGISVYMFNLALADFLYVLTLPALIFYYFNGDAMCKLQRFIFHVNLYGSILFLTCISAHRYSGVVYKKKNAICISVLVWLIVVVAISPILFYSLRSYFIYSMCTTVAMFCVPLVLILGCYGLIVRALIYKPLRRKSIYLVIIVLTVFAVSYIPFHVMKTMNLRARLDMCAFNDRVYATYQVTRGLASLNSCVDPILYFLAGDTFRRRLSRATR</v>
      </c>
      <c r="C225" s="29" t="str">
        <f>IF(ISERROR(MATCH(A225,'SegEnds_Xtal_Prot#'!B:B, 0)), "NoXtal", "Xtal")</f>
        <v>Xtal</v>
      </c>
      <c r="D225" s="4" t="str">
        <f>VLOOKUP(A225,Classification!A:D,2,FALSE)</f>
        <v>A</v>
      </c>
      <c r="E225" s="5" t="str">
        <f>VLOOKUP(A225,Seqs!A:B,2,FALSE)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F225" s="5" t="str">
        <f t="shared" si="76"/>
        <v>FQFYYLPAVYILVFIIGFLGNSVAIWMFVFH</v>
      </c>
      <c r="G225" s="4" t="str">
        <f t="shared" si="77"/>
        <v/>
      </c>
      <c r="H225" s="4" t="str">
        <f t="shared" si="78"/>
        <v>SGISVYMFNLALADFLYVLTLPALIFYYFN</v>
      </c>
      <c r="I225" s="4" t="str">
        <f t="shared" si="79"/>
        <v>DWIF</v>
      </c>
      <c r="J225" s="4" t="str">
        <f t="shared" si="80"/>
        <v>GDAMCKLQRFIFHVNLYGSILFLTCISAHRYSGVVY</v>
      </c>
      <c r="K225" s="4" t="str">
        <f t="shared" si="81"/>
        <v>PLKSLGRL</v>
      </c>
      <c r="L225" s="4" t="str">
        <f t="shared" si="82"/>
        <v>KKKNAICISVLVWLIVVVAISPILFYS</v>
      </c>
      <c r="M225" s="4" t="str">
        <f t="shared" si="83"/>
        <v>CYD</v>
      </c>
      <c r="N225" s="4" t="str">
        <f t="shared" si="84"/>
        <v>LRSYFIYSMCTTVAMFCVPLVLILGCYGLIVRALIYK</v>
      </c>
      <c r="O225" s="4" t="str">
        <f t="shared" si="85"/>
        <v>PLRRKSIYLVIIVLTVFAVSYIPFHVMKTMNLRARLD</v>
      </c>
      <c r="P225" s="4" t="str">
        <f t="shared" si="86"/>
        <v>MCAFNDRVYATYQVTRGLASLNSCVDPILYFLA</v>
      </c>
      <c r="Q225" s="4" t="str">
        <f t="shared" si="87"/>
        <v>GDTFRRRLSRATR</v>
      </c>
      <c r="R225" s="5">
        <f>VLOOKUP($A225,'SegEnds_NonXtal_Prot#'!$A:$AL,3,FALSE)</f>
        <v>49</v>
      </c>
      <c r="S225" s="5" t="str">
        <f>VLOOKUP($A225,'SegEnds_NonXtal_Prot#'!$A:$AL,6,FALSE)</f>
        <v>-</v>
      </c>
      <c r="T225" s="5">
        <f>VLOOKUP($A225,'SegEnds_NonXtal_Prot#'!$A:$AL,9,FALSE)</f>
        <v>84</v>
      </c>
      <c r="U225" s="5">
        <f>VLOOKUP($A225,'SegEnds_NonXtal_Prot#'!$A:$AL,12,FALSE)</f>
        <v>116</v>
      </c>
      <c r="V225" s="5">
        <f>VLOOKUP($A225,'SegEnds_NonXtal_Prot#'!$A:$AL,15,FALSE)</f>
        <v>120</v>
      </c>
      <c r="W225" s="5">
        <f>VLOOKUP($A225,'SegEnds_NonXtal_Prot#'!$A:$AL,18,FALSE)</f>
        <v>156</v>
      </c>
      <c r="X225" s="5">
        <f>VLOOKUP($A225,'SegEnds_NonXtal_Prot#'!$A:$AL,21,FALSE)</f>
        <v>164</v>
      </c>
      <c r="Y225" s="5">
        <f>VLOOKUP($A225,'SegEnds_NonXtal_Prot#'!$A:$AL,24,FALSE)</f>
        <v>202</v>
      </c>
      <c r="Z225" s="5">
        <f>VLOOKUP($A225,'SegEnds_NonXtal_Prot#'!$A:$AL,27,FALSE)</f>
        <v>211</v>
      </c>
      <c r="AA225" s="5">
        <f>VLOOKUP($A225,'SegEnds_NonXtal_Prot#'!$A:$AL,30,FALSE)</f>
        <v>253</v>
      </c>
      <c r="AB225" s="5">
        <f>VLOOKUP($A225,'SegEnds_NonXtal_Prot#'!$A:$AL,33,FALSE)</f>
        <v>295</v>
      </c>
      <c r="AC225" s="5">
        <f>VLOOKUP($A225,'SegEnds_NonXtal_Prot#'!$A:$AL,36,FALSE)</f>
        <v>328</v>
      </c>
      <c r="AD225" s="5">
        <f>VLOOKUP($A225,'SegEnds_NonXtal_Prot#'!$A:$AL,5,FALSE)</f>
        <v>79</v>
      </c>
      <c r="AE225" s="5" t="str">
        <f>VLOOKUP($A225,'SegEnds_NonXtal_Prot#'!$A:$AL,8,FALSE)</f>
        <v>-</v>
      </c>
      <c r="AF225" s="5">
        <f>VLOOKUP($A225,'SegEnds_NonXtal_Prot#'!$A:$AL,11,FALSE)</f>
        <v>113</v>
      </c>
      <c r="AG225" s="5">
        <f>VLOOKUP($A225,'SegEnds_NonXtal_Prot#'!$A:$AL,14,FALSE)</f>
        <v>119</v>
      </c>
      <c r="AH225" s="5">
        <f>VLOOKUP($A225,'SegEnds_NonXtal_Prot#'!$A:$AL,17,FALSE)</f>
        <v>155</v>
      </c>
      <c r="AI225" s="5">
        <f>VLOOKUP($A225,'SegEnds_NonXtal_Prot#'!$A:$AL,20,FALSE)</f>
        <v>163</v>
      </c>
      <c r="AJ225" s="5">
        <f>VLOOKUP($A225,'SegEnds_NonXtal_Prot#'!$A:$AL,23,FALSE)</f>
        <v>190</v>
      </c>
      <c r="AK225" s="5">
        <f>VLOOKUP($A225,'SegEnds_NonXtal_Prot#'!$A:$AL,26,FALSE)</f>
        <v>204</v>
      </c>
      <c r="AL225" s="5">
        <f>VLOOKUP($A225,'SegEnds_NonXtal_Prot#'!$A:$AL,29,FALSE)</f>
        <v>247</v>
      </c>
      <c r="AM225" s="5">
        <f>VLOOKUP($A225,'SegEnds_NonXtal_Prot#'!$A:$AL,32,FALSE)</f>
        <v>289</v>
      </c>
      <c r="AN225" s="5">
        <f>VLOOKUP($A225,'SegEnds_NonXtal_Prot#'!$A:$AL,35,FALSE)</f>
        <v>327</v>
      </c>
      <c r="AO225" s="5">
        <f>VLOOKUP($A225,'SegEnds_NonXtal_Prot#'!$A:$AL,38,FALSE)</f>
        <v>340</v>
      </c>
      <c r="AP225" s="5">
        <f t="shared" si="88"/>
        <v>30</v>
      </c>
      <c r="AQ225" s="4" t="str">
        <f t="shared" si="89"/>
        <v>-</v>
      </c>
      <c r="AR225" s="4">
        <f t="shared" si="90"/>
        <v>29</v>
      </c>
      <c r="AS225" s="4">
        <f t="shared" si="91"/>
        <v>3</v>
      </c>
      <c r="AT225" s="4">
        <f t="shared" si="92"/>
        <v>35</v>
      </c>
      <c r="AU225" s="4">
        <f t="shared" si="93"/>
        <v>7</v>
      </c>
      <c r="AV225" s="4">
        <f t="shared" si="94"/>
        <v>26</v>
      </c>
      <c r="AW225" s="4">
        <f t="shared" si="95"/>
        <v>2</v>
      </c>
      <c r="AX225" s="4">
        <f t="shared" si="96"/>
        <v>36</v>
      </c>
      <c r="AY225" s="4">
        <f t="shared" si="97"/>
        <v>36</v>
      </c>
      <c r="AZ225" s="4">
        <f t="shared" si="98"/>
        <v>32</v>
      </c>
      <c r="BA225" s="4">
        <f t="shared" si="99"/>
        <v>12</v>
      </c>
    </row>
    <row r="226" spans="1:53" x14ac:dyDescent="0.2">
      <c r="A226" s="1" t="str">
        <f>'SegEnds_NonXtal_Prot#'!A211</f>
        <v>p2ry2_human</v>
      </c>
      <c r="B226" s="1" t="str">
        <f t="shared" si="75"/>
        <v>FKYVLLPVSYGVVCVPGLCLNAVALYIFLCRNASTTYMFHLAVSDALYAASLPLLVYYYARSTVLCKLVRFLFYTNLYCSILFLTCISVHRCLGVLRRARYARRVAGAVWVLVLACQAPVLYFVFSRFVAYSSVMLGLLFAVPFAVILVCYVLMARRLLKPAYGTAKRKSVRTIAVVLAVFALCFLPFHVTRTLYYSFSCHTLNAINMAYKVTRPLASANSCLDPVLYFLAGQRLVRFARDAKP</v>
      </c>
      <c r="C226" s="29" t="str">
        <f>IF(ISERROR(MATCH(A226,'SegEnds_Xtal_Prot#'!B:B, 0)), "NoXtal", "Xtal")</f>
        <v>NoXtal</v>
      </c>
      <c r="D226" s="4" t="str">
        <f>VLOOKUP(A226,Classification!A:D,2,FALSE)</f>
        <v>A</v>
      </c>
      <c r="E226" s="5" t="str">
        <f>VLOOKUP(A226,Seqs!A:B,2,FALSE)</f>
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</c>
      <c r="F226" s="5" t="str">
        <f t="shared" si="76"/>
        <v>FKYVLLPVSYGVVCVPGLCLNAVALYIFLCR</v>
      </c>
      <c r="G226" s="4" t="str">
        <f t="shared" si="77"/>
        <v/>
      </c>
      <c r="H226" s="4" t="str">
        <f t="shared" si="78"/>
        <v>NASTTYMFHLAVSDALYAASLPLLVYYYAR</v>
      </c>
      <c r="I226" s="4" t="str">
        <f t="shared" si="79"/>
        <v>HWPF</v>
      </c>
      <c r="J226" s="4" t="str">
        <f t="shared" si="80"/>
        <v>STVLCKLVRFLFYTNLYCSILFLTCISVHRCLGVLR</v>
      </c>
      <c r="K226" s="4" t="str">
        <f t="shared" si="81"/>
        <v>PLRSLRWG</v>
      </c>
      <c r="L226" s="4" t="str">
        <f t="shared" si="82"/>
        <v>RARYARRVAGAVWVLVLACQAPVLYFV</v>
      </c>
      <c r="M226" s="4" t="str">
        <f t="shared" si="83"/>
        <v>CHD</v>
      </c>
      <c r="N226" s="4" t="str">
        <f t="shared" si="84"/>
        <v>FSRFVAYSSVMLGLLFAVPFAVILVCYVLMARRLLKPAYGT</v>
      </c>
      <c r="O226" s="4" t="str">
        <f t="shared" si="85"/>
        <v>AKRKSVRTIAVVLAVFALCFLPFHVTRTLYYSF</v>
      </c>
      <c r="P226" s="4" t="str">
        <f t="shared" si="86"/>
        <v>SCHTLNAINMAYKVTRPLASANSCLDPVLYFLA</v>
      </c>
      <c r="Q226" s="4" t="str">
        <f t="shared" si="87"/>
        <v>GQRLVRFARDAKP</v>
      </c>
      <c r="R226" s="5">
        <f>VLOOKUP($A226,'SegEnds_NonXtal_Prot#'!$A:$AL,3,FALSE)</f>
        <v>31</v>
      </c>
      <c r="S226" s="5" t="str">
        <f>VLOOKUP($A226,'SegEnds_NonXtal_Prot#'!$A:$AL,6,FALSE)</f>
        <v>-</v>
      </c>
      <c r="T226" s="5">
        <f>VLOOKUP($A226,'SegEnds_NonXtal_Prot#'!$A:$AL,9,FALSE)</f>
        <v>66</v>
      </c>
      <c r="U226" s="5">
        <f>VLOOKUP($A226,'SegEnds_NonXtal_Prot#'!$A:$AL,12,FALSE)</f>
        <v>98</v>
      </c>
      <c r="V226" s="5">
        <f>VLOOKUP($A226,'SegEnds_NonXtal_Prot#'!$A:$AL,15,FALSE)</f>
        <v>102</v>
      </c>
      <c r="W226" s="5">
        <f>VLOOKUP($A226,'SegEnds_NonXtal_Prot#'!$A:$AL,18,FALSE)</f>
        <v>138</v>
      </c>
      <c r="X226" s="5">
        <f>VLOOKUP($A226,'SegEnds_NonXtal_Prot#'!$A:$AL,21,FALSE)</f>
        <v>146</v>
      </c>
      <c r="Y226" s="5">
        <f>VLOOKUP($A226,'SegEnds_NonXtal_Prot#'!$A:$AL,24,FALSE)</f>
        <v>183</v>
      </c>
      <c r="Z226" s="5">
        <f>VLOOKUP($A226,'SegEnds_NonXtal_Prot#'!$A:$AL,27,FALSE)</f>
        <v>192</v>
      </c>
      <c r="AA226" s="5">
        <f>VLOOKUP($A226,'SegEnds_NonXtal_Prot#'!$A:$AL,30,FALSE)</f>
        <v>239</v>
      </c>
      <c r="AB226" s="5">
        <f>VLOOKUP($A226,'SegEnds_NonXtal_Prot#'!$A:$AL,33,FALSE)</f>
        <v>277</v>
      </c>
      <c r="AC226" s="5">
        <f>VLOOKUP($A226,'SegEnds_NonXtal_Prot#'!$A:$AL,36,FALSE)</f>
        <v>310</v>
      </c>
      <c r="AD226" s="5">
        <f>VLOOKUP($A226,'SegEnds_NonXtal_Prot#'!$A:$AL,5,FALSE)</f>
        <v>61</v>
      </c>
      <c r="AE226" s="5" t="str">
        <f>VLOOKUP($A226,'SegEnds_NonXtal_Prot#'!$A:$AL,8,FALSE)</f>
        <v>-</v>
      </c>
      <c r="AF226" s="5">
        <f>VLOOKUP($A226,'SegEnds_NonXtal_Prot#'!$A:$AL,11,FALSE)</f>
        <v>95</v>
      </c>
      <c r="AG226" s="5">
        <f>VLOOKUP($A226,'SegEnds_NonXtal_Prot#'!$A:$AL,14,FALSE)</f>
        <v>101</v>
      </c>
      <c r="AH226" s="5">
        <f>VLOOKUP($A226,'SegEnds_NonXtal_Prot#'!$A:$AL,17,FALSE)</f>
        <v>137</v>
      </c>
      <c r="AI226" s="5">
        <f>VLOOKUP($A226,'SegEnds_NonXtal_Prot#'!$A:$AL,20,FALSE)</f>
        <v>145</v>
      </c>
      <c r="AJ226" s="5">
        <f>VLOOKUP($A226,'SegEnds_NonXtal_Prot#'!$A:$AL,23,FALSE)</f>
        <v>172</v>
      </c>
      <c r="AK226" s="5">
        <f>VLOOKUP($A226,'SegEnds_NonXtal_Prot#'!$A:$AL,26,FALSE)</f>
        <v>185</v>
      </c>
      <c r="AL226" s="5">
        <f>VLOOKUP($A226,'SegEnds_NonXtal_Prot#'!$A:$AL,29,FALSE)</f>
        <v>232</v>
      </c>
      <c r="AM226" s="5">
        <f>VLOOKUP($A226,'SegEnds_NonXtal_Prot#'!$A:$AL,32,FALSE)</f>
        <v>271</v>
      </c>
      <c r="AN226" s="5">
        <f>VLOOKUP($A226,'SegEnds_NonXtal_Prot#'!$A:$AL,35,FALSE)</f>
        <v>309</v>
      </c>
      <c r="AO226" s="5">
        <f>VLOOKUP($A226,'SegEnds_NonXtal_Prot#'!$A:$AL,38,FALSE)</f>
        <v>322</v>
      </c>
      <c r="AP226" s="5">
        <f t="shared" si="88"/>
        <v>30</v>
      </c>
      <c r="AQ226" s="4" t="str">
        <f t="shared" si="89"/>
        <v>-</v>
      </c>
      <c r="AR226" s="4">
        <f t="shared" si="90"/>
        <v>29</v>
      </c>
      <c r="AS226" s="4">
        <f t="shared" si="91"/>
        <v>3</v>
      </c>
      <c r="AT226" s="4">
        <f t="shared" si="92"/>
        <v>35</v>
      </c>
      <c r="AU226" s="4">
        <f t="shared" si="93"/>
        <v>7</v>
      </c>
      <c r="AV226" s="4">
        <f t="shared" si="94"/>
        <v>26</v>
      </c>
      <c r="AW226" s="4">
        <f t="shared" si="95"/>
        <v>2</v>
      </c>
      <c r="AX226" s="4">
        <f t="shared" si="96"/>
        <v>40</v>
      </c>
      <c r="AY226" s="4">
        <f t="shared" si="97"/>
        <v>32</v>
      </c>
      <c r="AZ226" s="4">
        <f t="shared" si="98"/>
        <v>32</v>
      </c>
      <c r="BA226" s="4">
        <f t="shared" si="99"/>
        <v>12</v>
      </c>
    </row>
    <row r="227" spans="1:53" x14ac:dyDescent="0.2">
      <c r="A227" s="1" t="str">
        <f>'SegEnds_NonXtal_Prot#'!A212</f>
        <v>p2ry4_human</v>
      </c>
      <c r="B227" s="1" t="str">
        <f t="shared" si="75"/>
        <v>FKFILLPVSYAVVFVLGLGLNAPTLWLFIFRDATATYMFHLALSDTLYVLSLPTLIYYYAAGTEICKFVRFLFYWNLYCSVLFLTCISVHRYLGICHRPRLAGLLCLAVWLVVAGCLVPNLFFVFDHYVHFSSAVMGLLFGVPCLVTLVCYGLMARRLYQPSAQSSSRLRSLRTIAVVLTVFAVCFVPFHITRTIYYLADCRVLNIVNVVYKVTRPLASANSCLDPVLYLLTGDKYRRQLRQLCG</v>
      </c>
      <c r="C227" s="29" t="str">
        <f>IF(ISERROR(MATCH(A227,'SegEnds_Xtal_Prot#'!B:B, 0)), "NoXtal", "Xtal")</f>
        <v>NoXtal</v>
      </c>
      <c r="D227" s="4" t="str">
        <f>VLOOKUP(A227,Classification!A:D,2,FALSE)</f>
        <v>A</v>
      </c>
      <c r="E227" s="5" t="str">
        <f>VLOOKUP(A227,Seqs!A:B,2,FALSE)</f>
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</c>
      <c r="F227" s="5" t="str">
        <f t="shared" si="76"/>
        <v>FKFILLPVSYAVVFVLGLGLNAPTLWLFIFR</v>
      </c>
      <c r="G227" s="4" t="str">
        <f t="shared" si="77"/>
        <v/>
      </c>
      <c r="H227" s="4" t="str">
        <f t="shared" si="78"/>
        <v>DATATYMFHLALSDTLYVLSLPTLIYYYAA</v>
      </c>
      <c r="I227" s="4" t="str">
        <f t="shared" si="79"/>
        <v>HWPF</v>
      </c>
      <c r="J227" s="4" t="str">
        <f t="shared" si="80"/>
        <v>GTEICKFVRFLFYWNLYCSVLFLTCISVHRYLGICH</v>
      </c>
      <c r="K227" s="4" t="str">
        <f t="shared" si="81"/>
        <v>PLRALRWG</v>
      </c>
      <c r="L227" s="4" t="str">
        <f t="shared" si="82"/>
        <v>RPRLAGLLCLAVWLVVAGCLVPNLFFV</v>
      </c>
      <c r="M227" s="4" t="str">
        <f t="shared" si="83"/>
        <v>CHD</v>
      </c>
      <c r="N227" s="4" t="str">
        <f t="shared" si="84"/>
        <v>FDHYVHFSSAVMGLLFGVPCLVTLVCYGLMARRLYQP</v>
      </c>
      <c r="O227" s="4" t="str">
        <f t="shared" si="85"/>
        <v>SAQSSSRLRSLRTIAVVLTVFAVCFVPFHITRTIYYLA</v>
      </c>
      <c r="P227" s="4" t="str">
        <f t="shared" si="86"/>
        <v>DCRVLNIVNVVYKVTRPLASANSCLDPVLYLLT</v>
      </c>
      <c r="Q227" s="4" t="str">
        <f t="shared" si="87"/>
        <v>GDKYRRQLRQLCG</v>
      </c>
      <c r="R227" s="5">
        <f>VLOOKUP($A227,'SegEnds_NonXtal_Prot#'!$A:$AL,3,FALSE)</f>
        <v>33</v>
      </c>
      <c r="S227" s="5" t="str">
        <f>VLOOKUP($A227,'SegEnds_NonXtal_Prot#'!$A:$AL,6,FALSE)</f>
        <v>-</v>
      </c>
      <c r="T227" s="5">
        <f>VLOOKUP($A227,'SegEnds_NonXtal_Prot#'!$A:$AL,9,FALSE)</f>
        <v>68</v>
      </c>
      <c r="U227" s="5">
        <f>VLOOKUP($A227,'SegEnds_NonXtal_Prot#'!$A:$AL,12,FALSE)</f>
        <v>100</v>
      </c>
      <c r="V227" s="5">
        <f>VLOOKUP($A227,'SegEnds_NonXtal_Prot#'!$A:$AL,15,FALSE)</f>
        <v>104</v>
      </c>
      <c r="W227" s="5">
        <f>VLOOKUP($A227,'SegEnds_NonXtal_Prot#'!$A:$AL,18,FALSE)</f>
        <v>140</v>
      </c>
      <c r="X227" s="5">
        <f>VLOOKUP($A227,'SegEnds_NonXtal_Prot#'!$A:$AL,21,FALSE)</f>
        <v>148</v>
      </c>
      <c r="Y227" s="5">
        <f>VLOOKUP($A227,'SegEnds_NonXtal_Prot#'!$A:$AL,24,FALSE)</f>
        <v>185</v>
      </c>
      <c r="Z227" s="5">
        <f>VLOOKUP($A227,'SegEnds_NonXtal_Prot#'!$A:$AL,27,FALSE)</f>
        <v>194</v>
      </c>
      <c r="AA227" s="5">
        <f>VLOOKUP($A227,'SegEnds_NonXtal_Prot#'!$A:$AL,30,FALSE)</f>
        <v>234</v>
      </c>
      <c r="AB227" s="5">
        <f>VLOOKUP($A227,'SegEnds_NonXtal_Prot#'!$A:$AL,33,FALSE)</f>
        <v>277</v>
      </c>
      <c r="AC227" s="5">
        <f>VLOOKUP($A227,'SegEnds_NonXtal_Prot#'!$A:$AL,36,FALSE)</f>
        <v>310</v>
      </c>
      <c r="AD227" s="5">
        <f>VLOOKUP($A227,'SegEnds_NonXtal_Prot#'!$A:$AL,5,FALSE)</f>
        <v>63</v>
      </c>
      <c r="AE227" s="5" t="str">
        <f>VLOOKUP($A227,'SegEnds_NonXtal_Prot#'!$A:$AL,8,FALSE)</f>
        <v>-</v>
      </c>
      <c r="AF227" s="5">
        <f>VLOOKUP($A227,'SegEnds_NonXtal_Prot#'!$A:$AL,11,FALSE)</f>
        <v>97</v>
      </c>
      <c r="AG227" s="5">
        <f>VLOOKUP($A227,'SegEnds_NonXtal_Prot#'!$A:$AL,14,FALSE)</f>
        <v>103</v>
      </c>
      <c r="AH227" s="5">
        <f>VLOOKUP($A227,'SegEnds_NonXtal_Prot#'!$A:$AL,17,FALSE)</f>
        <v>139</v>
      </c>
      <c r="AI227" s="5">
        <f>VLOOKUP($A227,'SegEnds_NonXtal_Prot#'!$A:$AL,20,FALSE)</f>
        <v>147</v>
      </c>
      <c r="AJ227" s="5">
        <f>VLOOKUP($A227,'SegEnds_NonXtal_Prot#'!$A:$AL,23,FALSE)</f>
        <v>174</v>
      </c>
      <c r="AK227" s="5">
        <f>VLOOKUP($A227,'SegEnds_NonXtal_Prot#'!$A:$AL,26,FALSE)</f>
        <v>187</v>
      </c>
      <c r="AL227" s="5">
        <f>VLOOKUP($A227,'SegEnds_NonXtal_Prot#'!$A:$AL,29,FALSE)</f>
        <v>230</v>
      </c>
      <c r="AM227" s="5">
        <f>VLOOKUP($A227,'SegEnds_NonXtal_Prot#'!$A:$AL,32,FALSE)</f>
        <v>271</v>
      </c>
      <c r="AN227" s="5">
        <f>VLOOKUP($A227,'SegEnds_NonXtal_Prot#'!$A:$AL,35,FALSE)</f>
        <v>309</v>
      </c>
      <c r="AO227" s="5">
        <f>VLOOKUP($A227,'SegEnds_NonXtal_Prot#'!$A:$AL,38,FALSE)</f>
        <v>322</v>
      </c>
      <c r="AP227" s="5">
        <f t="shared" si="88"/>
        <v>30</v>
      </c>
      <c r="AQ227" s="4" t="str">
        <f t="shared" si="89"/>
        <v>-</v>
      </c>
      <c r="AR227" s="4">
        <f t="shared" si="90"/>
        <v>29</v>
      </c>
      <c r="AS227" s="4">
        <f t="shared" si="91"/>
        <v>3</v>
      </c>
      <c r="AT227" s="4">
        <f t="shared" si="92"/>
        <v>35</v>
      </c>
      <c r="AU227" s="4">
        <f t="shared" si="93"/>
        <v>7</v>
      </c>
      <c r="AV227" s="4">
        <f t="shared" si="94"/>
        <v>26</v>
      </c>
      <c r="AW227" s="4">
        <f t="shared" si="95"/>
        <v>2</v>
      </c>
      <c r="AX227" s="4">
        <f t="shared" si="96"/>
        <v>36</v>
      </c>
      <c r="AY227" s="4">
        <f t="shared" si="97"/>
        <v>37</v>
      </c>
      <c r="AZ227" s="4">
        <f t="shared" si="98"/>
        <v>32</v>
      </c>
      <c r="BA227" s="4">
        <f t="shared" si="99"/>
        <v>12</v>
      </c>
    </row>
    <row r="228" spans="1:53" x14ac:dyDescent="0.2">
      <c r="A228" s="1" t="str">
        <f>'SegEnds_NonXtal_Prot#'!A213</f>
        <v>p2ry8_human</v>
      </c>
      <c r="B228" s="1" t="str">
        <f t="shared" si="75"/>
        <v>NPAIAVALPVVYSLVAAVSIPGNLFSLWVLCRRSPSVIFMINLSVTDLMLASVLPFQIYYHCNGVLLCNVVTVAFYANMYSSILTMTCISVERFLGVLYRRRYAVAACAGTWLLLLTALSPLARSVAMWAVFLFTIFILLFLIPFVITVACYTATILKLLRGREQRRRAVGLAAVVLLAFVTCFAPNNFVLLAHIVSYYHVYKLTLCLSCLNNCLDPFVYYFASREFQLRLREYLGCR</v>
      </c>
      <c r="C228" s="29" t="str">
        <f>IF(ISERROR(MATCH(A228,'SegEnds_Xtal_Prot#'!B:B, 0)), "NoXtal", "Xtal")</f>
        <v>NoXtal</v>
      </c>
      <c r="D228" s="4" t="str">
        <f>VLOOKUP(A228,Classification!A:D,2,FALSE)</f>
        <v>A</v>
      </c>
      <c r="E228" s="5" t="str">
        <f>VLOOKUP(A228,Seqs!A:B,2,FALSE)</f>
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</c>
      <c r="F228" s="5" t="str">
        <f t="shared" si="76"/>
        <v>NPAIAVALPVVYSLVAAVSIPGNLFSLWVLCRR</v>
      </c>
      <c r="G228" s="4" t="str">
        <f t="shared" si="77"/>
        <v/>
      </c>
      <c r="H228" s="4" t="str">
        <f t="shared" si="78"/>
        <v>SPSVIFMINLSVTDLMLASVLPFQIYYHCN</v>
      </c>
      <c r="I228" s="4" t="str">
        <f t="shared" si="79"/>
        <v>HWVF</v>
      </c>
      <c r="J228" s="4" t="str">
        <f t="shared" si="80"/>
        <v>GVLLCNVVTVAFYANMYSSILTMTCISVERFLGVLY</v>
      </c>
      <c r="K228" s="4" t="str">
        <f t="shared" si="81"/>
        <v>PLSSKRWR</v>
      </c>
      <c r="L228" s="4" t="str">
        <f t="shared" si="82"/>
        <v>RRRYAVAACAGTWLLLLTALSPLAR</v>
      </c>
      <c r="M228" s="4" t="str">
        <f t="shared" si="83"/>
        <v>CFD</v>
      </c>
      <c r="N228" s="4" t="str">
        <f t="shared" si="84"/>
        <v>SVAMWAVFLFTIFILLFLIPFVITVACYTATILKLLR</v>
      </c>
      <c r="O228" s="4" t="str">
        <f t="shared" si="85"/>
        <v>GREQRRRAVGLAAVVLLAFVTCFAPNNFVLLAHIVS</v>
      </c>
      <c r="P228" s="4" t="str">
        <f t="shared" si="86"/>
        <v>YYHVYKLTLCLSCLNNCLDPFVYYFA</v>
      </c>
      <c r="Q228" s="4" t="str">
        <f t="shared" si="87"/>
        <v>SREFQLRLREYLGCR</v>
      </c>
      <c r="R228" s="5">
        <f>VLOOKUP($A228,'SegEnds_NonXtal_Prot#'!$A:$AL,3,FALSE)</f>
        <v>19</v>
      </c>
      <c r="S228" s="5" t="str">
        <f>VLOOKUP($A228,'SegEnds_NonXtal_Prot#'!$A:$AL,6,FALSE)</f>
        <v>-</v>
      </c>
      <c r="T228" s="5">
        <f>VLOOKUP($A228,'SegEnds_NonXtal_Prot#'!$A:$AL,9,FALSE)</f>
        <v>56</v>
      </c>
      <c r="U228" s="5">
        <f>VLOOKUP($A228,'SegEnds_NonXtal_Prot#'!$A:$AL,12,FALSE)</f>
        <v>88</v>
      </c>
      <c r="V228" s="5">
        <f>VLOOKUP($A228,'SegEnds_NonXtal_Prot#'!$A:$AL,15,FALSE)</f>
        <v>92</v>
      </c>
      <c r="W228" s="5">
        <f>VLOOKUP($A228,'SegEnds_NonXtal_Prot#'!$A:$AL,18,FALSE)</f>
        <v>128</v>
      </c>
      <c r="X228" s="5">
        <f>VLOOKUP($A228,'SegEnds_NonXtal_Prot#'!$A:$AL,21,FALSE)</f>
        <v>136</v>
      </c>
      <c r="Y228" s="5">
        <f>VLOOKUP($A228,'SegEnds_NonXtal_Prot#'!$A:$AL,24,FALSE)</f>
        <v>175</v>
      </c>
      <c r="Z228" s="5">
        <f>VLOOKUP($A228,'SegEnds_NonXtal_Prot#'!$A:$AL,27,FALSE)</f>
        <v>186</v>
      </c>
      <c r="AA228" s="5">
        <f>VLOOKUP($A228,'SegEnds_NonXtal_Prot#'!$A:$AL,30,FALSE)</f>
        <v>228</v>
      </c>
      <c r="AB228" s="5">
        <f>VLOOKUP($A228,'SegEnds_NonXtal_Prot#'!$A:$AL,33,FALSE)</f>
        <v>271</v>
      </c>
      <c r="AC228" s="5">
        <f>VLOOKUP($A228,'SegEnds_NonXtal_Prot#'!$A:$AL,36,FALSE)</f>
        <v>297</v>
      </c>
      <c r="AD228" s="5">
        <f>VLOOKUP($A228,'SegEnds_NonXtal_Prot#'!$A:$AL,5,FALSE)</f>
        <v>51</v>
      </c>
      <c r="AE228" s="5" t="str">
        <f>VLOOKUP($A228,'SegEnds_NonXtal_Prot#'!$A:$AL,8,FALSE)</f>
        <v>-</v>
      </c>
      <c r="AF228" s="5">
        <f>VLOOKUP($A228,'SegEnds_NonXtal_Prot#'!$A:$AL,11,FALSE)</f>
        <v>85</v>
      </c>
      <c r="AG228" s="5">
        <f>VLOOKUP($A228,'SegEnds_NonXtal_Prot#'!$A:$AL,14,FALSE)</f>
        <v>91</v>
      </c>
      <c r="AH228" s="5">
        <f>VLOOKUP($A228,'SegEnds_NonXtal_Prot#'!$A:$AL,17,FALSE)</f>
        <v>127</v>
      </c>
      <c r="AI228" s="5">
        <f>VLOOKUP($A228,'SegEnds_NonXtal_Prot#'!$A:$AL,20,FALSE)</f>
        <v>135</v>
      </c>
      <c r="AJ228" s="5">
        <f>VLOOKUP($A228,'SegEnds_NonXtal_Prot#'!$A:$AL,23,FALSE)</f>
        <v>160</v>
      </c>
      <c r="AK228" s="5">
        <f>VLOOKUP($A228,'SegEnds_NonXtal_Prot#'!$A:$AL,26,FALSE)</f>
        <v>177</v>
      </c>
      <c r="AL228" s="5">
        <f>VLOOKUP($A228,'SegEnds_NonXtal_Prot#'!$A:$AL,29,FALSE)</f>
        <v>222</v>
      </c>
      <c r="AM228" s="5">
        <f>VLOOKUP($A228,'SegEnds_NonXtal_Prot#'!$A:$AL,32,FALSE)</f>
        <v>263</v>
      </c>
      <c r="AN228" s="5">
        <f>VLOOKUP($A228,'SegEnds_NonXtal_Prot#'!$A:$AL,35,FALSE)</f>
        <v>296</v>
      </c>
      <c r="AO228" s="5">
        <f>VLOOKUP($A228,'SegEnds_NonXtal_Prot#'!$A:$AL,38,FALSE)</f>
        <v>311</v>
      </c>
      <c r="AP228" s="5">
        <f t="shared" si="88"/>
        <v>32</v>
      </c>
      <c r="AQ228" s="4" t="str">
        <f t="shared" si="89"/>
        <v>-</v>
      </c>
      <c r="AR228" s="4">
        <f t="shared" si="90"/>
        <v>29</v>
      </c>
      <c r="AS228" s="4">
        <f t="shared" si="91"/>
        <v>3</v>
      </c>
      <c r="AT228" s="4">
        <f t="shared" si="92"/>
        <v>35</v>
      </c>
      <c r="AU228" s="4">
        <f t="shared" si="93"/>
        <v>7</v>
      </c>
      <c r="AV228" s="4">
        <f t="shared" si="94"/>
        <v>24</v>
      </c>
      <c r="AW228" s="4">
        <f t="shared" si="95"/>
        <v>2</v>
      </c>
      <c r="AX228" s="4">
        <f t="shared" si="96"/>
        <v>36</v>
      </c>
      <c r="AY228" s="4">
        <f t="shared" si="97"/>
        <v>35</v>
      </c>
      <c r="AZ228" s="4">
        <f t="shared" si="98"/>
        <v>25</v>
      </c>
      <c r="BA228" s="4">
        <f t="shared" si="99"/>
        <v>14</v>
      </c>
    </row>
    <row r="229" spans="1:53" x14ac:dyDescent="0.2">
      <c r="A229" s="1" t="str">
        <f>'SegEnds_NonXtal_Prot#'!A216</f>
        <v>p2y13_human</v>
      </c>
      <c r="B229" s="1" t="str">
        <f t="shared" si="75"/>
        <v>TRIVQLVFPALYTVVFLTGILLNTLALWVFVHISTFIIYLKNTLVADLIMTLMLPFKILSDSHWQLRAFVCRFSSVIFYETMYVGIVLLGLIAFDRFLKIIRKPVFAKTVSIFIWFFLFFISLPNTILSPLGLKWHQMVNNICQFIFWTVFILMLVFYVVIAKKVYDSYRKSNNKKLEGKVFVVVAVFFVCFAPFHFARVPYTHSQTNDCRLQNQLFIAKETTLFLAATNICMDPLIYIFLCKKFTEKLPCM</v>
      </c>
      <c r="C229" s="29" t="str">
        <f>IF(ISERROR(MATCH(A229,'SegEnds_Xtal_Prot#'!B:B, 0)), "NoXtal", "Xtal")</f>
        <v>NoXtal</v>
      </c>
      <c r="D229" s="4" t="str">
        <f>VLOOKUP(A229,Classification!A:D,2,FALSE)</f>
        <v>A</v>
      </c>
      <c r="E229" s="5" t="str">
        <f>VLOOKUP(A229,Seqs!A:B,2,FALSE)</f>
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</c>
      <c r="F229" s="5" t="str">
        <f t="shared" si="76"/>
        <v>TRIVQLVFPALYTVVFLTGILLNTLALWVFVHI</v>
      </c>
      <c r="G229" s="4" t="str">
        <f t="shared" si="77"/>
        <v/>
      </c>
      <c r="H229" s="4" t="str">
        <f t="shared" si="78"/>
        <v>STFIIYLKNTLVADLIMTLMLPFKILSDSH</v>
      </c>
      <c r="I229" s="4" t="str">
        <f t="shared" si="79"/>
        <v/>
      </c>
      <c r="J229" s="4" t="str">
        <f t="shared" si="80"/>
        <v>WQLRAFVCRFSSVIFYETMYVGIVLLGLIAFDRFLKIIR</v>
      </c>
      <c r="K229" s="4" t="str">
        <f t="shared" si="81"/>
        <v>PLRNIFLK</v>
      </c>
      <c r="L229" s="4" t="str">
        <f t="shared" si="82"/>
        <v>KPVFAKTVSIFIWFFLFFISLPNTILS</v>
      </c>
      <c r="M229" s="4" t="str">
        <f t="shared" si="83"/>
        <v>CAS</v>
      </c>
      <c r="N229" s="4" t="str">
        <f t="shared" si="84"/>
        <v>PLGLKWHQMVNNICQFIFWTVFILMLVFYVVIAKKVYDSYRKS</v>
      </c>
      <c r="O229" s="4" t="str">
        <f t="shared" si="85"/>
        <v>NNKKLEGKVFVVVAVFFVCFAPFHFARVPYTHSQTN</v>
      </c>
      <c r="P229" s="4" t="str">
        <f t="shared" si="86"/>
        <v>DCRLQNQLFIAKETTLFLAATNICMDPLIYIFL</v>
      </c>
      <c r="Q229" s="4" t="str">
        <f t="shared" si="87"/>
        <v>CKKFTEKLPCM</v>
      </c>
      <c r="R229" s="5">
        <f>VLOOKUP($A229,'SegEnds_NonXtal_Prot#'!$A:$AL,3,FALSE)</f>
        <v>40</v>
      </c>
      <c r="S229" s="5" t="str">
        <f>VLOOKUP($A229,'SegEnds_NonXtal_Prot#'!$A:$AL,6,FALSE)</f>
        <v>-</v>
      </c>
      <c r="T229" s="5">
        <f>VLOOKUP($A229,'SegEnds_NonXtal_Prot#'!$A:$AL,9,FALSE)</f>
        <v>76</v>
      </c>
      <c r="U229" s="5" t="str">
        <f>VLOOKUP($A229,'SegEnds_NonXtal_Prot#'!$A:$AL,12,FALSE)</f>
        <v>-</v>
      </c>
      <c r="V229" s="5">
        <f>VLOOKUP($A229,'SegEnds_NonXtal_Prot#'!$A:$AL,15,FALSE)</f>
        <v>109</v>
      </c>
      <c r="W229" s="5">
        <f>VLOOKUP($A229,'SegEnds_NonXtal_Prot#'!$A:$AL,18,FALSE)</f>
        <v>148</v>
      </c>
      <c r="X229" s="5">
        <f>VLOOKUP($A229,'SegEnds_NonXtal_Prot#'!$A:$AL,21,FALSE)</f>
        <v>156</v>
      </c>
      <c r="Y229" s="5">
        <f>VLOOKUP($A229,'SegEnds_NonXtal_Prot#'!$A:$AL,24,FALSE)</f>
        <v>194</v>
      </c>
      <c r="Z229" s="5">
        <f>VLOOKUP($A229,'SegEnds_NonXtal_Prot#'!$A:$AL,27,FALSE)</f>
        <v>200</v>
      </c>
      <c r="AA229" s="5">
        <f>VLOOKUP($A229,'SegEnds_NonXtal_Prot#'!$A:$AL,30,FALSE)</f>
        <v>249</v>
      </c>
      <c r="AB229" s="5">
        <f>VLOOKUP($A229,'SegEnds_NonXtal_Prot#'!$A:$AL,33,FALSE)</f>
        <v>288</v>
      </c>
      <c r="AC229" s="5">
        <f>VLOOKUP($A229,'SegEnds_NonXtal_Prot#'!$A:$AL,36,FALSE)</f>
        <v>321</v>
      </c>
      <c r="AD229" s="5">
        <f>VLOOKUP($A229,'SegEnds_NonXtal_Prot#'!$A:$AL,5,FALSE)</f>
        <v>72</v>
      </c>
      <c r="AE229" s="5" t="str">
        <f>VLOOKUP($A229,'SegEnds_NonXtal_Prot#'!$A:$AL,8,FALSE)</f>
        <v>-</v>
      </c>
      <c r="AF229" s="5">
        <f>VLOOKUP($A229,'SegEnds_NonXtal_Prot#'!$A:$AL,11,FALSE)</f>
        <v>105</v>
      </c>
      <c r="AG229" s="5" t="str">
        <f>VLOOKUP($A229,'SegEnds_NonXtal_Prot#'!$A:$AL,14,FALSE)</f>
        <v>-</v>
      </c>
      <c r="AH229" s="5">
        <f>VLOOKUP($A229,'SegEnds_NonXtal_Prot#'!$A:$AL,17,FALSE)</f>
        <v>147</v>
      </c>
      <c r="AI229" s="5">
        <f>VLOOKUP($A229,'SegEnds_NonXtal_Prot#'!$A:$AL,20,FALSE)</f>
        <v>155</v>
      </c>
      <c r="AJ229" s="5">
        <f>VLOOKUP($A229,'SegEnds_NonXtal_Prot#'!$A:$AL,23,FALSE)</f>
        <v>182</v>
      </c>
      <c r="AK229" s="5">
        <f>VLOOKUP($A229,'SegEnds_NonXtal_Prot#'!$A:$AL,26,FALSE)</f>
        <v>196</v>
      </c>
      <c r="AL229" s="5">
        <f>VLOOKUP($A229,'SegEnds_NonXtal_Prot#'!$A:$AL,29,FALSE)</f>
        <v>242</v>
      </c>
      <c r="AM229" s="5">
        <f>VLOOKUP($A229,'SegEnds_NonXtal_Prot#'!$A:$AL,32,FALSE)</f>
        <v>284</v>
      </c>
      <c r="AN229" s="5">
        <f>VLOOKUP($A229,'SegEnds_NonXtal_Prot#'!$A:$AL,35,FALSE)</f>
        <v>320</v>
      </c>
      <c r="AO229" s="5">
        <f>VLOOKUP($A229,'SegEnds_NonXtal_Prot#'!$A:$AL,38,FALSE)</f>
        <v>331</v>
      </c>
      <c r="AP229" s="5">
        <f t="shared" si="88"/>
        <v>32</v>
      </c>
      <c r="AQ229" s="4" t="str">
        <f t="shared" si="89"/>
        <v>-</v>
      </c>
      <c r="AR229" s="4">
        <f t="shared" si="90"/>
        <v>29</v>
      </c>
      <c r="AS229" s="4" t="str">
        <f t="shared" si="91"/>
        <v>-</v>
      </c>
      <c r="AT229" s="4">
        <f t="shared" si="92"/>
        <v>38</v>
      </c>
      <c r="AU229" s="4">
        <f t="shared" si="93"/>
        <v>7</v>
      </c>
      <c r="AV229" s="4">
        <f t="shared" si="94"/>
        <v>26</v>
      </c>
      <c r="AW229" s="4">
        <f t="shared" si="95"/>
        <v>2</v>
      </c>
      <c r="AX229" s="4">
        <f t="shared" si="96"/>
        <v>42</v>
      </c>
      <c r="AY229" s="4">
        <f t="shared" si="97"/>
        <v>35</v>
      </c>
      <c r="AZ229" s="4">
        <f t="shared" si="98"/>
        <v>32</v>
      </c>
      <c r="BA229" s="4">
        <f t="shared" si="99"/>
        <v>10</v>
      </c>
    </row>
    <row r="230" spans="1:53" x14ac:dyDescent="0.2">
      <c r="A230" s="1" t="str">
        <f>'SegEnds_NonXtal_Prot#'!A217</f>
        <v>p2y14_human</v>
      </c>
      <c r="B230" s="1" t="str">
        <f t="shared" si="75"/>
        <v>LLITQQIIPVLYCMVFIAGILLNGVSGWIFFYVKSFIIYLKNIVIADFVMSLTFPFKILGDSGWQLNVFVCRVSAVLFYVNMYVSIVFFGLISFDRYYKIVKSVSYSKLLSVIVWMLMLLLAVPNIILTELGRKWHKASNYIFVAIFWIVFLLLIVFYTAITKKIFKSHLKSVKKKSSRNIFSIVFVFFVCFVPYHIARIPYTKSQTESCQSKEILRYMKEFTLLLSAANVCLDPIIYFFLCQPFREILCKK</v>
      </c>
      <c r="C230" s="29" t="str">
        <f>IF(ISERROR(MATCH(A230,'SegEnds_Xtal_Prot#'!B:B, 0)), "NoXtal", "Xtal")</f>
        <v>NoXtal</v>
      </c>
      <c r="D230" s="4" t="str">
        <f>VLOOKUP(A230,Classification!A:D,2,FALSE)</f>
        <v>A</v>
      </c>
      <c r="E230" s="5" t="str">
        <f>VLOOKUP(A230,Seqs!A:B,2,FALSE)</f>
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</c>
      <c r="F230" s="5" t="str">
        <f t="shared" si="76"/>
        <v>LLITQQIIPVLYCMVFIAGILLNGVSGWIFFYV</v>
      </c>
      <c r="G230" s="4" t="str">
        <f t="shared" si="77"/>
        <v/>
      </c>
      <c r="H230" s="4" t="str">
        <f t="shared" si="78"/>
        <v>KSFIIYLKNIVIADFVMSLTFPFKILGDSG</v>
      </c>
      <c r="I230" s="4" t="str">
        <f t="shared" si="79"/>
        <v/>
      </c>
      <c r="J230" s="4" t="str">
        <f t="shared" si="80"/>
        <v>WQLNVFVCRVSAVLFYVNMYVSIVFFGLISFDRYYKIVK</v>
      </c>
      <c r="K230" s="4" t="str">
        <f t="shared" si="81"/>
        <v>PLWTSFIQ</v>
      </c>
      <c r="L230" s="4" t="str">
        <f t="shared" si="82"/>
        <v>SVSYSKLLSVIVWMLMLLLAVPNIILT</v>
      </c>
      <c r="M230" s="4" t="str">
        <f t="shared" si="83"/>
        <v>CIE</v>
      </c>
      <c r="N230" s="4" t="str">
        <f t="shared" si="84"/>
        <v>ELGRKWHKASNYIFVAIFWIVFLLLIVFYTAITKKIFKSHLKS</v>
      </c>
      <c r="O230" s="4" t="str">
        <f t="shared" si="85"/>
        <v>VKKKSSRNIFSIVFVFFVCFVPYHIARIPYTKSQTE</v>
      </c>
      <c r="P230" s="4" t="str">
        <f t="shared" si="86"/>
        <v>SCQSKEILRYMKEFTLLLSAANVCLDPIIYFFL</v>
      </c>
      <c r="Q230" s="4" t="str">
        <f t="shared" si="87"/>
        <v>CQPFREILCKK</v>
      </c>
      <c r="R230" s="5">
        <f>VLOOKUP($A230,'SegEnds_NonXtal_Prot#'!$A:$AL,3,FALSE)</f>
        <v>18</v>
      </c>
      <c r="S230" s="5" t="str">
        <f>VLOOKUP($A230,'SegEnds_NonXtal_Prot#'!$A:$AL,6,FALSE)</f>
        <v>-</v>
      </c>
      <c r="T230" s="5">
        <f>VLOOKUP($A230,'SegEnds_NonXtal_Prot#'!$A:$AL,9,FALSE)</f>
        <v>54</v>
      </c>
      <c r="U230" s="5" t="str">
        <f>VLOOKUP($A230,'SegEnds_NonXtal_Prot#'!$A:$AL,12,FALSE)</f>
        <v>-</v>
      </c>
      <c r="V230" s="5">
        <f>VLOOKUP($A230,'SegEnds_NonXtal_Prot#'!$A:$AL,15,FALSE)</f>
        <v>87</v>
      </c>
      <c r="W230" s="5">
        <f>VLOOKUP($A230,'SegEnds_NonXtal_Prot#'!$A:$AL,18,FALSE)</f>
        <v>126</v>
      </c>
      <c r="X230" s="5">
        <f>VLOOKUP($A230,'SegEnds_NonXtal_Prot#'!$A:$AL,21,FALSE)</f>
        <v>134</v>
      </c>
      <c r="Y230" s="5">
        <f>VLOOKUP($A230,'SegEnds_NonXtal_Prot#'!$A:$AL,24,FALSE)</f>
        <v>172</v>
      </c>
      <c r="Z230" s="5">
        <f>VLOOKUP($A230,'SegEnds_NonXtal_Prot#'!$A:$AL,27,FALSE)</f>
        <v>178</v>
      </c>
      <c r="AA230" s="5">
        <f>VLOOKUP($A230,'SegEnds_NonXtal_Prot#'!$A:$AL,30,FALSE)</f>
        <v>227</v>
      </c>
      <c r="AB230" s="5">
        <f>VLOOKUP($A230,'SegEnds_NonXtal_Prot#'!$A:$AL,33,FALSE)</f>
        <v>266</v>
      </c>
      <c r="AC230" s="5">
        <f>VLOOKUP($A230,'SegEnds_NonXtal_Prot#'!$A:$AL,36,FALSE)</f>
        <v>299</v>
      </c>
      <c r="AD230" s="5">
        <f>VLOOKUP($A230,'SegEnds_NonXtal_Prot#'!$A:$AL,5,FALSE)</f>
        <v>50</v>
      </c>
      <c r="AE230" s="5" t="str">
        <f>VLOOKUP($A230,'SegEnds_NonXtal_Prot#'!$A:$AL,8,FALSE)</f>
        <v>-</v>
      </c>
      <c r="AF230" s="5">
        <f>VLOOKUP($A230,'SegEnds_NonXtal_Prot#'!$A:$AL,11,FALSE)</f>
        <v>83</v>
      </c>
      <c r="AG230" s="5" t="str">
        <f>VLOOKUP($A230,'SegEnds_NonXtal_Prot#'!$A:$AL,14,FALSE)</f>
        <v>-</v>
      </c>
      <c r="AH230" s="5">
        <f>VLOOKUP($A230,'SegEnds_NonXtal_Prot#'!$A:$AL,17,FALSE)</f>
        <v>125</v>
      </c>
      <c r="AI230" s="5">
        <f>VLOOKUP($A230,'SegEnds_NonXtal_Prot#'!$A:$AL,20,FALSE)</f>
        <v>133</v>
      </c>
      <c r="AJ230" s="5">
        <f>VLOOKUP($A230,'SegEnds_NonXtal_Prot#'!$A:$AL,23,FALSE)</f>
        <v>160</v>
      </c>
      <c r="AK230" s="5">
        <f>VLOOKUP($A230,'SegEnds_NonXtal_Prot#'!$A:$AL,26,FALSE)</f>
        <v>174</v>
      </c>
      <c r="AL230" s="5">
        <f>VLOOKUP($A230,'SegEnds_NonXtal_Prot#'!$A:$AL,29,FALSE)</f>
        <v>220</v>
      </c>
      <c r="AM230" s="5">
        <f>VLOOKUP($A230,'SegEnds_NonXtal_Prot#'!$A:$AL,32,FALSE)</f>
        <v>262</v>
      </c>
      <c r="AN230" s="5">
        <f>VLOOKUP($A230,'SegEnds_NonXtal_Prot#'!$A:$AL,35,FALSE)</f>
        <v>298</v>
      </c>
      <c r="AO230" s="5">
        <f>VLOOKUP($A230,'SegEnds_NonXtal_Prot#'!$A:$AL,38,FALSE)</f>
        <v>309</v>
      </c>
      <c r="AP230" s="5">
        <f t="shared" si="88"/>
        <v>32</v>
      </c>
      <c r="AQ230" s="4" t="str">
        <f t="shared" si="89"/>
        <v>-</v>
      </c>
      <c r="AR230" s="4">
        <f t="shared" si="90"/>
        <v>29</v>
      </c>
      <c r="AS230" s="4" t="str">
        <f t="shared" si="91"/>
        <v>-</v>
      </c>
      <c r="AT230" s="4">
        <f t="shared" si="92"/>
        <v>38</v>
      </c>
      <c r="AU230" s="4">
        <f t="shared" si="93"/>
        <v>7</v>
      </c>
      <c r="AV230" s="4">
        <f t="shared" si="94"/>
        <v>26</v>
      </c>
      <c r="AW230" s="4">
        <f t="shared" si="95"/>
        <v>2</v>
      </c>
      <c r="AX230" s="4">
        <f t="shared" si="96"/>
        <v>42</v>
      </c>
      <c r="AY230" s="4">
        <f t="shared" si="97"/>
        <v>35</v>
      </c>
      <c r="AZ230" s="4">
        <f t="shared" si="98"/>
        <v>32</v>
      </c>
      <c r="BA230" s="4">
        <f t="shared" si="99"/>
        <v>10</v>
      </c>
    </row>
    <row r="231" spans="1:53" x14ac:dyDescent="0.2">
      <c r="A231" s="1" t="str">
        <f>'SegEnds_NonXtal_Prot#'!A218</f>
        <v>par1_human</v>
      </c>
      <c r="B231" s="1" t="str">
        <f t="shared" si="75"/>
        <v>SWLTLFVPSVYTGVFVVSLPLNIMAIVVFILKKPAVVYMLHLATADVLFVSVLPFKISYYFSGSELCRFVTAAFYCNMYASILLMTVISIDRFLAVVYTLGRASFTCLAIWALAIAGVVPLLLKEGYYAYYFSAFSAVFFFVPLIISTVCYVSIIRCLSSNRSKKSRALFLSAAVFCIFIICFGPTNVLLIAHYSFLTEAAYFAYLLCVCVSSISCCIDPLIYYYASSECQRYVYSILCCK</v>
      </c>
      <c r="C231" s="29" t="str">
        <f>IF(ISERROR(MATCH(A231,'SegEnds_Xtal_Prot#'!B:B, 0)), "NoXtal", "Xtal")</f>
        <v>Xtal</v>
      </c>
      <c r="D231" s="4" t="str">
        <f>VLOOKUP(A231,Classification!A:D,2,FALSE)</f>
        <v>A</v>
      </c>
      <c r="E231" s="5" t="str">
        <f>VLOOKUP(A231,Seqs!A:B,2,FALSE)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F231" s="5" t="str">
        <f t="shared" si="76"/>
        <v>SWLTLFVPSVYTGVFVVSLPLNIMAIVVFILK</v>
      </c>
      <c r="G231" s="4" t="str">
        <f t="shared" si="77"/>
        <v>MKVK</v>
      </c>
      <c r="H231" s="4" t="str">
        <f t="shared" si="78"/>
        <v>KPAVVYMLHLATADVLFVSVLPFKISYYFS</v>
      </c>
      <c r="I231" s="4" t="str">
        <f t="shared" si="79"/>
        <v>DWQF</v>
      </c>
      <c r="J231" s="4" t="str">
        <f t="shared" si="80"/>
        <v>GSELCRFVTAAFYCNMYASILLMTVISIDRFLAVVY</v>
      </c>
      <c r="K231" s="4" t="str">
        <f t="shared" si="81"/>
        <v>PMQSLSWR</v>
      </c>
      <c r="L231" s="4" t="str">
        <f t="shared" si="82"/>
        <v>TLGRASFTCLAIWALAIAGVVPLLLK</v>
      </c>
      <c r="M231" s="4" t="str">
        <f t="shared" si="83"/>
        <v>CHD</v>
      </c>
      <c r="N231" s="4" t="str">
        <f t="shared" si="84"/>
        <v>EGYYAYYFSAFSAVFFFVPLIISTVCYVSIIRCLSS</v>
      </c>
      <c r="O231" s="4" t="str">
        <f t="shared" si="85"/>
        <v>NRSKKSRALFLSAAVFCIFIICFGPTNVLLIAHYSFL</v>
      </c>
      <c r="P231" s="4" t="str">
        <f t="shared" si="86"/>
        <v>TEAAYFAYLLCVCVSSISCCIDPLIYYYA</v>
      </c>
      <c r="Q231" s="4" t="str">
        <f t="shared" si="87"/>
        <v>SSECQRYVYSILCCK</v>
      </c>
      <c r="R231" s="5">
        <f>VLOOKUP($A231,'SegEnds_NonXtal_Prot#'!$A:$AL,3,FALSE)</f>
        <v>99</v>
      </c>
      <c r="S231" s="5">
        <f>VLOOKUP($A231,'SegEnds_NonXtal_Prot#'!$A:$AL,6,FALSE)</f>
        <v>131</v>
      </c>
      <c r="T231" s="5">
        <f>VLOOKUP($A231,'SegEnds_NonXtal_Prot#'!$A:$AL,9,FALSE)</f>
        <v>135</v>
      </c>
      <c r="U231" s="5">
        <f>VLOOKUP($A231,'SegEnds_NonXtal_Prot#'!$A:$AL,12,FALSE)</f>
        <v>167</v>
      </c>
      <c r="V231" s="5">
        <f>VLOOKUP($A231,'SegEnds_NonXtal_Prot#'!$A:$AL,15,FALSE)</f>
        <v>171</v>
      </c>
      <c r="W231" s="5">
        <f>VLOOKUP($A231,'SegEnds_NonXtal_Prot#'!$A:$AL,18,FALSE)</f>
        <v>207</v>
      </c>
      <c r="X231" s="5">
        <f>VLOOKUP($A231,'SegEnds_NonXtal_Prot#'!$A:$AL,21,FALSE)</f>
        <v>215</v>
      </c>
      <c r="Y231" s="5">
        <f>VLOOKUP($A231,'SegEnds_NonXtal_Prot#'!$A:$AL,24,FALSE)</f>
        <v>254</v>
      </c>
      <c r="Z231" s="5">
        <f>VLOOKUP($A231,'SegEnds_NonXtal_Prot#'!$A:$AL,27,FALSE)</f>
        <v>264</v>
      </c>
      <c r="AA231" s="5">
        <f>VLOOKUP($A231,'SegEnds_NonXtal_Prot#'!$A:$AL,30,FALSE)</f>
        <v>304</v>
      </c>
      <c r="AB231" s="5">
        <f>VLOOKUP($A231,'SegEnds_NonXtal_Prot#'!$A:$AL,33,FALSE)</f>
        <v>346</v>
      </c>
      <c r="AC231" s="5">
        <f>VLOOKUP($A231,'SegEnds_NonXtal_Prot#'!$A:$AL,36,FALSE)</f>
        <v>375</v>
      </c>
      <c r="AD231" s="5">
        <f>VLOOKUP($A231,'SegEnds_NonXtal_Prot#'!$A:$AL,5,FALSE)</f>
        <v>130</v>
      </c>
      <c r="AE231" s="5">
        <f>VLOOKUP($A231,'SegEnds_NonXtal_Prot#'!$A:$AL,8,FALSE)</f>
        <v>134</v>
      </c>
      <c r="AF231" s="5">
        <f>VLOOKUP($A231,'SegEnds_NonXtal_Prot#'!$A:$AL,11,FALSE)</f>
        <v>164</v>
      </c>
      <c r="AG231" s="5">
        <f>VLOOKUP($A231,'SegEnds_NonXtal_Prot#'!$A:$AL,14,FALSE)</f>
        <v>170</v>
      </c>
      <c r="AH231" s="5">
        <f>VLOOKUP($A231,'SegEnds_NonXtal_Prot#'!$A:$AL,17,FALSE)</f>
        <v>206</v>
      </c>
      <c r="AI231" s="5">
        <f>VLOOKUP($A231,'SegEnds_NonXtal_Prot#'!$A:$AL,20,FALSE)</f>
        <v>214</v>
      </c>
      <c r="AJ231" s="5">
        <f>VLOOKUP($A231,'SegEnds_NonXtal_Prot#'!$A:$AL,23,FALSE)</f>
        <v>240</v>
      </c>
      <c r="AK231" s="5">
        <f>VLOOKUP($A231,'SegEnds_NonXtal_Prot#'!$A:$AL,26,FALSE)</f>
        <v>256</v>
      </c>
      <c r="AL231" s="5">
        <f>VLOOKUP($A231,'SegEnds_NonXtal_Prot#'!$A:$AL,29,FALSE)</f>
        <v>299</v>
      </c>
      <c r="AM231" s="5">
        <f>VLOOKUP($A231,'SegEnds_NonXtal_Prot#'!$A:$AL,32,FALSE)</f>
        <v>340</v>
      </c>
      <c r="AN231" s="5">
        <f>VLOOKUP($A231,'SegEnds_NonXtal_Prot#'!$A:$AL,35,FALSE)</f>
        <v>374</v>
      </c>
      <c r="AO231" s="5">
        <f>VLOOKUP($A231,'SegEnds_NonXtal_Prot#'!$A:$AL,38,FALSE)</f>
        <v>389</v>
      </c>
      <c r="AP231" s="5">
        <f t="shared" si="88"/>
        <v>31</v>
      </c>
      <c r="AQ231" s="4">
        <f t="shared" si="89"/>
        <v>3</v>
      </c>
      <c r="AR231" s="4">
        <f t="shared" si="90"/>
        <v>29</v>
      </c>
      <c r="AS231" s="4">
        <f t="shared" si="91"/>
        <v>3</v>
      </c>
      <c r="AT231" s="4">
        <f t="shared" si="92"/>
        <v>35</v>
      </c>
      <c r="AU231" s="4">
        <f t="shared" si="93"/>
        <v>7</v>
      </c>
      <c r="AV231" s="4">
        <f t="shared" si="94"/>
        <v>25</v>
      </c>
      <c r="AW231" s="4">
        <f t="shared" si="95"/>
        <v>2</v>
      </c>
      <c r="AX231" s="4">
        <f t="shared" si="96"/>
        <v>35</v>
      </c>
      <c r="AY231" s="4">
        <f t="shared" si="97"/>
        <v>36</v>
      </c>
      <c r="AZ231" s="4">
        <f t="shared" si="98"/>
        <v>28</v>
      </c>
      <c r="BA231" s="4">
        <f t="shared" si="99"/>
        <v>14</v>
      </c>
    </row>
    <row r="232" spans="1:53" x14ac:dyDescent="0.2">
      <c r="A232" s="1" t="str">
        <f>'SegEnds_NonXtal_Prot#'!A219</f>
        <v>par3_human</v>
      </c>
      <c r="B232" s="1" t="str">
        <f t="shared" si="75"/>
        <v>SSLSTKLIPAIYLLVFVVGVPANAVTLWMLFFRICTTVFYTNLAIADFLFCVTLPFKIAYHLNGEVLCRATTVIFYGNMYCSILLLACISINRYLAIVHKHTYALVTCGLVWATVFLYMLPFFIQLYYFISLAFFGFLIPFVLIIYCYAAIIRTLNAYWLWYVKASLLILVIFTICFAPSNIILIIHHANYLYFIYLIALCLGSLNSCLDPFLYFLM</v>
      </c>
      <c r="C232" s="29" t="str">
        <f>IF(ISERROR(MATCH(A232,'SegEnds_Xtal_Prot#'!B:B, 0)), "NoXtal", "Xtal")</f>
        <v>NoXtal</v>
      </c>
      <c r="D232" s="4" t="str">
        <f>VLOOKUP(A232,Classification!A:D,2,FALSE)</f>
        <v>A</v>
      </c>
      <c r="E232" s="5" t="str">
        <f>VLOOKUP(A232,Seqs!A:B,2,FALSE)</f>
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</c>
      <c r="F232" s="5" t="str">
        <f t="shared" si="76"/>
        <v>SSLSTKLIPAIYLLVFVVGVPANAVTLWMLFFR</v>
      </c>
      <c r="G232" s="4" t="str">
        <f t="shared" si="77"/>
        <v/>
      </c>
      <c r="H232" s="4" t="str">
        <f t="shared" si="78"/>
        <v>ICTTVFYTNLAIADFLFCVTLPFKIAYHLN</v>
      </c>
      <c r="I232" s="4" t="str">
        <f t="shared" si="79"/>
        <v>NWVF</v>
      </c>
      <c r="J232" s="4" t="str">
        <f t="shared" si="80"/>
        <v>GEVLCRATTVIFYGNMYCSILLLACISINRYLAIVH</v>
      </c>
      <c r="K232" s="4" t="str">
        <f t="shared" si="81"/>
        <v>PFTYRGLP</v>
      </c>
      <c r="L232" s="4" t="str">
        <f t="shared" si="82"/>
        <v>KHTYALVTCGLVWATVFLYMLPFFI</v>
      </c>
      <c r="M232" s="4" t="str">
        <f t="shared" si="83"/>
        <v>CES</v>
      </c>
      <c r="N232" s="4" t="str">
        <f t="shared" si="84"/>
        <v>QLYYFISLAFFGFLIPFVLIIYCYAAIIRTLNAY</v>
      </c>
      <c r="O232" s="4" t="str">
        <f t="shared" si="85"/>
        <v>WLWYVKASLLILVIFTICFAPSNIILIIHHANY</v>
      </c>
      <c r="P232" s="4" t="str">
        <f t="shared" si="86"/>
        <v>LYFIYLIALCLGSLNSCLDPFLYFLM</v>
      </c>
      <c r="Q232" s="4" t="str">
        <f t="shared" si="87"/>
        <v/>
      </c>
      <c r="R232" s="5">
        <f>VLOOKUP($A232,'SegEnds_NonXtal_Prot#'!$A:$AL,3,FALSE)</f>
        <v>90</v>
      </c>
      <c r="S232" s="5" t="str">
        <f>VLOOKUP($A232,'SegEnds_NonXtal_Prot#'!$A:$AL,6,FALSE)</f>
        <v>-</v>
      </c>
      <c r="T232" s="5">
        <f>VLOOKUP($A232,'SegEnds_NonXtal_Prot#'!$A:$AL,9,FALSE)</f>
        <v>126</v>
      </c>
      <c r="U232" s="5">
        <f>VLOOKUP($A232,'SegEnds_NonXtal_Prot#'!$A:$AL,12,FALSE)</f>
        <v>158</v>
      </c>
      <c r="V232" s="5">
        <f>VLOOKUP($A232,'SegEnds_NonXtal_Prot#'!$A:$AL,15,FALSE)</f>
        <v>162</v>
      </c>
      <c r="W232" s="5">
        <f>VLOOKUP($A232,'SegEnds_NonXtal_Prot#'!$A:$AL,18,FALSE)</f>
        <v>198</v>
      </c>
      <c r="X232" s="5">
        <f>VLOOKUP($A232,'SegEnds_NonXtal_Prot#'!$A:$AL,21,FALSE)</f>
        <v>206</v>
      </c>
      <c r="Y232" s="5">
        <f>VLOOKUP($A232,'SegEnds_NonXtal_Prot#'!$A:$AL,24,FALSE)</f>
        <v>252</v>
      </c>
      <c r="Z232" s="5">
        <f>VLOOKUP($A232,'SegEnds_NonXtal_Prot#'!$A:$AL,27,FALSE)</f>
        <v>259</v>
      </c>
      <c r="AA232" s="5">
        <f>VLOOKUP($A232,'SegEnds_NonXtal_Prot#'!$A:$AL,30,FALSE)</f>
        <v>296</v>
      </c>
      <c r="AB232" s="5">
        <f>VLOOKUP($A232,'SegEnds_NonXtal_Prot#'!$A:$AL,33,FALSE)</f>
        <v>336</v>
      </c>
      <c r="AC232" s="5" t="str">
        <f>VLOOKUP($A232,'SegEnds_NonXtal_Prot#'!$A:$AL,36,FALSE)</f>
        <v>-</v>
      </c>
      <c r="AD232" s="5">
        <f>VLOOKUP($A232,'SegEnds_NonXtal_Prot#'!$A:$AL,5,FALSE)</f>
        <v>122</v>
      </c>
      <c r="AE232" s="5" t="str">
        <f>VLOOKUP($A232,'SegEnds_NonXtal_Prot#'!$A:$AL,8,FALSE)</f>
        <v>-</v>
      </c>
      <c r="AF232" s="5">
        <f>VLOOKUP($A232,'SegEnds_NonXtal_Prot#'!$A:$AL,11,FALSE)</f>
        <v>155</v>
      </c>
      <c r="AG232" s="5">
        <f>VLOOKUP($A232,'SegEnds_NonXtal_Prot#'!$A:$AL,14,FALSE)</f>
        <v>161</v>
      </c>
      <c r="AH232" s="5">
        <f>VLOOKUP($A232,'SegEnds_NonXtal_Prot#'!$A:$AL,17,FALSE)</f>
        <v>197</v>
      </c>
      <c r="AI232" s="5">
        <f>VLOOKUP($A232,'SegEnds_NonXtal_Prot#'!$A:$AL,20,FALSE)</f>
        <v>205</v>
      </c>
      <c r="AJ232" s="5">
        <f>VLOOKUP($A232,'SegEnds_NonXtal_Prot#'!$A:$AL,23,FALSE)</f>
        <v>230</v>
      </c>
      <c r="AK232" s="5">
        <f>VLOOKUP($A232,'SegEnds_NonXtal_Prot#'!$A:$AL,26,FALSE)</f>
        <v>254</v>
      </c>
      <c r="AL232" s="5">
        <f>VLOOKUP($A232,'SegEnds_NonXtal_Prot#'!$A:$AL,29,FALSE)</f>
        <v>292</v>
      </c>
      <c r="AM232" s="5">
        <f>VLOOKUP($A232,'SegEnds_NonXtal_Prot#'!$A:$AL,32,FALSE)</f>
        <v>328</v>
      </c>
      <c r="AN232" s="5">
        <f>VLOOKUP($A232,'SegEnds_NonXtal_Prot#'!$A:$AL,35,FALSE)</f>
        <v>361</v>
      </c>
      <c r="AO232" s="5" t="str">
        <f>VLOOKUP($A232,'SegEnds_NonXtal_Prot#'!$A:$AL,38,FALSE)</f>
        <v>-</v>
      </c>
      <c r="AP232" s="5">
        <f t="shared" si="88"/>
        <v>32</v>
      </c>
      <c r="AQ232" s="4" t="str">
        <f t="shared" si="89"/>
        <v>-</v>
      </c>
      <c r="AR232" s="4">
        <f t="shared" si="90"/>
        <v>29</v>
      </c>
      <c r="AS232" s="4">
        <f t="shared" si="91"/>
        <v>3</v>
      </c>
      <c r="AT232" s="4">
        <f t="shared" si="92"/>
        <v>35</v>
      </c>
      <c r="AU232" s="4">
        <f t="shared" si="93"/>
        <v>7</v>
      </c>
      <c r="AV232" s="4">
        <f t="shared" si="94"/>
        <v>24</v>
      </c>
      <c r="AW232" s="4">
        <f t="shared" si="95"/>
        <v>2</v>
      </c>
      <c r="AX232" s="4">
        <f t="shared" si="96"/>
        <v>33</v>
      </c>
      <c r="AY232" s="4">
        <f t="shared" si="97"/>
        <v>32</v>
      </c>
      <c r="AZ232" s="4">
        <f t="shared" si="98"/>
        <v>25</v>
      </c>
      <c r="BA232" s="4" t="str">
        <f t="shared" si="99"/>
        <v>-</v>
      </c>
    </row>
    <row r="233" spans="1:53" x14ac:dyDescent="0.2">
      <c r="A233" s="1" t="str">
        <f>'SegEnds_NonXtal_Prot#'!A220</f>
        <v>par4_human</v>
      </c>
      <c r="B233" s="1" t="str">
        <f t="shared" si="75"/>
        <v>GWVPTRLVPALYGLVLVVGLPANGLALWVLATQLPSTMLLMNLAAADLLLALALPPRIAYHLRGEAACRLATAALYGHMYGSVLLLAAVSLDRYLALVHGRRLALGLCMAAWLMAAALALPLTLQASHWQPAFTCLALLGCFLPLLAMLLCYGATLHTLAASYGHALRLTAVVLASAVAFFVPSNLLLLLHYSDPLYGAYVPSLALSTLNSCVDPFIYYYVSAEFRDKVRAGLFQR</v>
      </c>
      <c r="C233" s="29" t="str">
        <f>IF(ISERROR(MATCH(A233,'SegEnds_Xtal_Prot#'!B:B, 0)), "NoXtal", "Xtal")</f>
        <v>NoXtal</v>
      </c>
      <c r="D233" s="4" t="str">
        <f>VLOOKUP(A233,Classification!A:D,2,FALSE)</f>
        <v>A</v>
      </c>
      <c r="E233" s="5" t="str">
        <f>VLOOKUP(A233,Seqs!A:B,2,FALSE)</f>
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</c>
      <c r="F233" s="5" t="str">
        <f t="shared" si="76"/>
        <v>GWVPTRLVPALYGLVLVVGLPANGLALWVLATQ</v>
      </c>
      <c r="G233" s="4" t="str">
        <f t="shared" si="77"/>
        <v/>
      </c>
      <c r="H233" s="4" t="str">
        <f t="shared" si="78"/>
        <v>LPSTMLLMNLAAADLLLALALPPRIAYHLR</v>
      </c>
      <c r="I233" s="4" t="str">
        <f t="shared" si="79"/>
        <v>RWPF</v>
      </c>
      <c r="J233" s="4" t="str">
        <f t="shared" si="80"/>
        <v>GEAACRLATAALYGHMYGSVLLLAAVSLDRYLALVH</v>
      </c>
      <c r="K233" s="4" t="str">
        <f t="shared" si="81"/>
        <v>PLRARALR</v>
      </c>
      <c r="L233" s="4" t="str">
        <f t="shared" si="82"/>
        <v>GRRLALGLCMAAWLMAAALALPLTL</v>
      </c>
      <c r="M233" s="4" t="str">
        <f t="shared" si="83"/>
        <v>CHD</v>
      </c>
      <c r="N233" s="4" t="str">
        <f t="shared" si="84"/>
        <v>QASHWQPAFTCLALLGCFLPLLAMLLCYGATLHTLAAS</v>
      </c>
      <c r="O233" s="4" t="str">
        <f t="shared" si="85"/>
        <v>YGHALRLTAVVLASAVAFFVPSNLLLLLHYSDP</v>
      </c>
      <c r="P233" s="4" t="str">
        <f t="shared" si="86"/>
        <v>LYGAYVPSLALSTLNSCVDPFIYYYV</v>
      </c>
      <c r="Q233" s="4" t="str">
        <f t="shared" si="87"/>
        <v>SAEFRDKVRAGLFQR</v>
      </c>
      <c r="R233" s="5">
        <f>VLOOKUP($A233,'SegEnds_NonXtal_Prot#'!$A:$AL,3,FALSE)</f>
        <v>73</v>
      </c>
      <c r="S233" s="5" t="str">
        <f>VLOOKUP($A233,'SegEnds_NonXtal_Prot#'!$A:$AL,6,FALSE)</f>
        <v>-</v>
      </c>
      <c r="T233" s="5">
        <f>VLOOKUP($A233,'SegEnds_NonXtal_Prot#'!$A:$AL,9,FALSE)</f>
        <v>109</v>
      </c>
      <c r="U233" s="5">
        <f>VLOOKUP($A233,'SegEnds_NonXtal_Prot#'!$A:$AL,12,FALSE)</f>
        <v>141</v>
      </c>
      <c r="V233" s="5">
        <f>VLOOKUP($A233,'SegEnds_NonXtal_Prot#'!$A:$AL,15,FALSE)</f>
        <v>145</v>
      </c>
      <c r="W233" s="5">
        <f>VLOOKUP($A233,'SegEnds_NonXtal_Prot#'!$A:$AL,18,FALSE)</f>
        <v>181</v>
      </c>
      <c r="X233" s="5">
        <f>VLOOKUP($A233,'SegEnds_NonXtal_Prot#'!$A:$AL,21,FALSE)</f>
        <v>189</v>
      </c>
      <c r="Y233" s="5">
        <f>VLOOKUP($A233,'SegEnds_NonXtal_Prot#'!$A:$AL,24,FALSE)</f>
        <v>228</v>
      </c>
      <c r="Z233" s="5">
        <f>VLOOKUP($A233,'SegEnds_NonXtal_Prot#'!$A:$AL,27,FALSE)</f>
        <v>237</v>
      </c>
      <c r="AA233" s="5">
        <f>VLOOKUP($A233,'SegEnds_NonXtal_Prot#'!$A:$AL,30,FALSE)</f>
        <v>278</v>
      </c>
      <c r="AB233" s="5">
        <f>VLOOKUP($A233,'SegEnds_NonXtal_Prot#'!$A:$AL,33,FALSE)</f>
        <v>318</v>
      </c>
      <c r="AC233" s="5">
        <f>VLOOKUP($A233,'SegEnds_NonXtal_Prot#'!$A:$AL,36,FALSE)</f>
        <v>344</v>
      </c>
      <c r="AD233" s="5">
        <f>VLOOKUP($A233,'SegEnds_NonXtal_Prot#'!$A:$AL,5,FALSE)</f>
        <v>105</v>
      </c>
      <c r="AE233" s="5" t="str">
        <f>VLOOKUP($A233,'SegEnds_NonXtal_Prot#'!$A:$AL,8,FALSE)</f>
        <v>-</v>
      </c>
      <c r="AF233" s="5">
        <f>VLOOKUP($A233,'SegEnds_NonXtal_Prot#'!$A:$AL,11,FALSE)</f>
        <v>138</v>
      </c>
      <c r="AG233" s="5">
        <f>VLOOKUP($A233,'SegEnds_NonXtal_Prot#'!$A:$AL,14,FALSE)</f>
        <v>144</v>
      </c>
      <c r="AH233" s="5">
        <f>VLOOKUP($A233,'SegEnds_NonXtal_Prot#'!$A:$AL,17,FALSE)</f>
        <v>180</v>
      </c>
      <c r="AI233" s="5">
        <f>VLOOKUP($A233,'SegEnds_NonXtal_Prot#'!$A:$AL,20,FALSE)</f>
        <v>188</v>
      </c>
      <c r="AJ233" s="5">
        <f>VLOOKUP($A233,'SegEnds_NonXtal_Prot#'!$A:$AL,23,FALSE)</f>
        <v>213</v>
      </c>
      <c r="AK233" s="5">
        <f>VLOOKUP($A233,'SegEnds_NonXtal_Prot#'!$A:$AL,26,FALSE)</f>
        <v>230</v>
      </c>
      <c r="AL233" s="5">
        <f>VLOOKUP($A233,'SegEnds_NonXtal_Prot#'!$A:$AL,29,FALSE)</f>
        <v>274</v>
      </c>
      <c r="AM233" s="5">
        <f>VLOOKUP($A233,'SegEnds_NonXtal_Prot#'!$A:$AL,32,FALSE)</f>
        <v>310</v>
      </c>
      <c r="AN233" s="5">
        <f>VLOOKUP($A233,'SegEnds_NonXtal_Prot#'!$A:$AL,35,FALSE)</f>
        <v>343</v>
      </c>
      <c r="AO233" s="5">
        <f>VLOOKUP($A233,'SegEnds_NonXtal_Prot#'!$A:$AL,38,FALSE)</f>
        <v>358</v>
      </c>
      <c r="AP233" s="5">
        <f t="shared" si="88"/>
        <v>32</v>
      </c>
      <c r="AQ233" s="4" t="str">
        <f t="shared" si="89"/>
        <v>-</v>
      </c>
      <c r="AR233" s="4">
        <f t="shared" si="90"/>
        <v>29</v>
      </c>
      <c r="AS233" s="4">
        <f t="shared" si="91"/>
        <v>3</v>
      </c>
      <c r="AT233" s="4">
        <f t="shared" si="92"/>
        <v>35</v>
      </c>
      <c r="AU233" s="4">
        <f t="shared" si="93"/>
        <v>7</v>
      </c>
      <c r="AV233" s="4">
        <f t="shared" si="94"/>
        <v>24</v>
      </c>
      <c r="AW233" s="4">
        <f t="shared" si="95"/>
        <v>2</v>
      </c>
      <c r="AX233" s="4">
        <f t="shared" si="96"/>
        <v>37</v>
      </c>
      <c r="AY233" s="4">
        <f t="shared" si="97"/>
        <v>32</v>
      </c>
      <c r="AZ233" s="4">
        <f t="shared" si="98"/>
        <v>25</v>
      </c>
      <c r="BA233" s="4">
        <f t="shared" si="99"/>
        <v>14</v>
      </c>
    </row>
    <row r="234" spans="1:53" x14ac:dyDescent="0.2">
      <c r="A234" s="1" t="str">
        <f>'SegEnds_NonXtal_Prot#'!A221</f>
        <v>pd2r_human</v>
      </c>
      <c r="B234" s="1" t="str">
        <f t="shared" si="75"/>
        <v>GNSAVMGGVLFSTGLLGNLLALGLLASVFYMLVCGLTVTDLLGKCLLSPVVLAAYAQPALDNSLCQAFAFFMSFFGLSSTLQLLAMALECWLSLGHTLRLGALVAPVVSAFSLAFCALPFMGSVLGYSVLYSSLMALLVLATVLCNLGAMRNLYAMHRRLQRHPRSSPQPLEELDHLLLLALMTVLFTMCSLPVIYRAYYGAFKRTSEEAEDLRALRFLSVISIVDPWIFIIFRSPVFRIFFHKIFI</v>
      </c>
      <c r="C234" s="29" t="str">
        <f>IF(ISERROR(MATCH(A234,'SegEnds_Xtal_Prot#'!B:B, 0)), "NoXtal", "Xtal")</f>
        <v>NoXtal</v>
      </c>
      <c r="D234" s="4" t="str">
        <f>VLOOKUP(A234,Classification!A:D,2,FALSE)</f>
        <v>A</v>
      </c>
      <c r="E234" s="5" t="str">
        <f>VLOOKUP(A234,Seqs!A:B,2,FALSE)</f>
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</c>
      <c r="F234" s="5" t="str">
        <f t="shared" si="76"/>
        <v>GNSAVMGGVLFSTGLLGNLLALGLLA</v>
      </c>
      <c r="G234" s="4" t="str">
        <f t="shared" si="77"/>
        <v/>
      </c>
      <c r="H234" s="4" t="str">
        <f t="shared" si="78"/>
        <v>SVFYMLVCGLTVTDLLGKCLLSPVVLAAYAQ</v>
      </c>
      <c r="I234" s="4" t="str">
        <f t="shared" si="79"/>
        <v/>
      </c>
      <c r="J234" s="4" t="str">
        <f t="shared" si="80"/>
        <v>PALDNSLCQAFAFFMSFFGLSSTLQLLAMALECWLSLGH</v>
      </c>
      <c r="K234" s="4" t="str">
        <f t="shared" si="81"/>
        <v>PFFYRRHI</v>
      </c>
      <c r="L234" s="4" t="str">
        <f t="shared" si="82"/>
        <v>TLRLGALVAPVVSAFSLAFCALPFMG</v>
      </c>
      <c r="M234" s="4" t="str">
        <f t="shared" si="83"/>
        <v>CFI</v>
      </c>
      <c r="N234" s="4" t="str">
        <f t="shared" si="84"/>
        <v>SVLGYSVLYSSLMALLVLATVLCNLGAMRNLYAMHRRLQRHPRS</v>
      </c>
      <c r="O234" s="4" t="str">
        <f t="shared" si="85"/>
        <v>SPQPLEELDHLLLLALMTVLFTMCSLPVIYRAYYGAFK</v>
      </c>
      <c r="P234" s="4" t="str">
        <f t="shared" si="86"/>
        <v>RTSEEAEDLRALRFLSVISIVDPWIFIIF</v>
      </c>
      <c r="Q234" s="4" t="str">
        <f t="shared" si="87"/>
        <v>RSPVFRIFFHKIFI</v>
      </c>
      <c r="R234" s="5">
        <f>VLOOKUP($A234,'SegEnds_NonXtal_Prot#'!$A:$AL,3,FALSE)</f>
        <v>17</v>
      </c>
      <c r="S234" s="5" t="str">
        <f>VLOOKUP($A234,'SegEnds_NonXtal_Prot#'!$A:$AL,6,FALSE)</f>
        <v>-</v>
      </c>
      <c r="T234" s="5">
        <f>VLOOKUP($A234,'SegEnds_NonXtal_Prot#'!$A:$AL,9,FALSE)</f>
        <v>59</v>
      </c>
      <c r="U234" s="5" t="str">
        <f>VLOOKUP($A234,'SegEnds_NonXtal_Prot#'!$A:$AL,12,FALSE)</f>
        <v>-</v>
      </c>
      <c r="V234" s="5">
        <f>VLOOKUP($A234,'SegEnds_NonXtal_Prot#'!$A:$AL,15,FALSE)</f>
        <v>98</v>
      </c>
      <c r="W234" s="5">
        <f>VLOOKUP($A234,'SegEnds_NonXtal_Prot#'!$A:$AL,18,FALSE)</f>
        <v>137</v>
      </c>
      <c r="X234" s="5">
        <f>VLOOKUP($A234,'SegEnds_NonXtal_Prot#'!$A:$AL,21,FALSE)</f>
        <v>145</v>
      </c>
      <c r="Y234" s="5">
        <f>VLOOKUP($A234,'SegEnds_NonXtal_Prot#'!$A:$AL,24,FALSE)</f>
        <v>183</v>
      </c>
      <c r="Z234" s="5">
        <f>VLOOKUP($A234,'SegEnds_NonXtal_Prot#'!$A:$AL,27,FALSE)</f>
        <v>195</v>
      </c>
      <c r="AA234" s="5">
        <f>VLOOKUP($A234,'SegEnds_NonXtal_Prot#'!$A:$AL,30,FALSE)</f>
        <v>254</v>
      </c>
      <c r="AB234" s="5">
        <f>VLOOKUP($A234,'SegEnds_NonXtal_Prot#'!$A:$AL,33,FALSE)</f>
        <v>298</v>
      </c>
      <c r="AC234" s="5">
        <f>VLOOKUP($A234,'SegEnds_NonXtal_Prot#'!$A:$AL,36,FALSE)</f>
        <v>327</v>
      </c>
      <c r="AD234" s="5">
        <f>VLOOKUP($A234,'SegEnds_NonXtal_Prot#'!$A:$AL,5,FALSE)</f>
        <v>42</v>
      </c>
      <c r="AE234" s="5" t="str">
        <f>VLOOKUP($A234,'SegEnds_NonXtal_Prot#'!$A:$AL,8,FALSE)</f>
        <v>-</v>
      </c>
      <c r="AF234" s="5">
        <f>VLOOKUP($A234,'SegEnds_NonXtal_Prot#'!$A:$AL,11,FALSE)</f>
        <v>89</v>
      </c>
      <c r="AG234" s="5" t="str">
        <f>VLOOKUP($A234,'SegEnds_NonXtal_Prot#'!$A:$AL,14,FALSE)</f>
        <v>-</v>
      </c>
      <c r="AH234" s="5">
        <f>VLOOKUP($A234,'SegEnds_NonXtal_Prot#'!$A:$AL,17,FALSE)</f>
        <v>136</v>
      </c>
      <c r="AI234" s="5">
        <f>VLOOKUP($A234,'SegEnds_NonXtal_Prot#'!$A:$AL,20,FALSE)</f>
        <v>144</v>
      </c>
      <c r="AJ234" s="5">
        <f>VLOOKUP($A234,'SegEnds_NonXtal_Prot#'!$A:$AL,23,FALSE)</f>
        <v>170</v>
      </c>
      <c r="AK234" s="5">
        <f>VLOOKUP($A234,'SegEnds_NonXtal_Prot#'!$A:$AL,26,FALSE)</f>
        <v>185</v>
      </c>
      <c r="AL234" s="5">
        <f>VLOOKUP($A234,'SegEnds_NonXtal_Prot#'!$A:$AL,29,FALSE)</f>
        <v>238</v>
      </c>
      <c r="AM234" s="5">
        <f>VLOOKUP($A234,'SegEnds_NonXtal_Prot#'!$A:$AL,32,FALSE)</f>
        <v>291</v>
      </c>
      <c r="AN234" s="5">
        <f>VLOOKUP($A234,'SegEnds_NonXtal_Prot#'!$A:$AL,35,FALSE)</f>
        <v>326</v>
      </c>
      <c r="AO234" s="5">
        <f>VLOOKUP($A234,'SegEnds_NonXtal_Prot#'!$A:$AL,38,FALSE)</f>
        <v>340</v>
      </c>
      <c r="AP234" s="5">
        <f t="shared" si="88"/>
        <v>25</v>
      </c>
      <c r="AQ234" s="4" t="str">
        <f t="shared" si="89"/>
        <v>-</v>
      </c>
      <c r="AR234" s="4">
        <f t="shared" si="90"/>
        <v>30</v>
      </c>
      <c r="AS234" s="4" t="str">
        <f t="shared" si="91"/>
        <v>-</v>
      </c>
      <c r="AT234" s="4">
        <f t="shared" si="92"/>
        <v>38</v>
      </c>
      <c r="AU234" s="4">
        <f t="shared" si="93"/>
        <v>7</v>
      </c>
      <c r="AV234" s="4">
        <f t="shared" si="94"/>
        <v>25</v>
      </c>
      <c r="AW234" s="4">
        <f t="shared" si="95"/>
        <v>2</v>
      </c>
      <c r="AX234" s="4">
        <f t="shared" si="96"/>
        <v>43</v>
      </c>
      <c r="AY234" s="4">
        <f t="shared" si="97"/>
        <v>37</v>
      </c>
      <c r="AZ234" s="4">
        <f t="shared" si="98"/>
        <v>28</v>
      </c>
      <c r="BA234" s="4">
        <f t="shared" si="99"/>
        <v>13</v>
      </c>
    </row>
    <row r="235" spans="1:53" x14ac:dyDescent="0.2">
      <c r="A235" s="1" t="str">
        <f>'SegEnds_NonXtal_Prot#'!A222</f>
        <v>pd2r2_human</v>
      </c>
      <c r="B235" s="1" t="str">
        <f t="shared" si="75"/>
        <v>DHAAVLLHGLASLLGLVENGVILFVVGCRTVVTTWVLHLALSDLLASASLPFFTYFLAVGGTTFCKLHSSIFFLNMFASGFLLSAISLDRCLQVVRTVAAAHKVCLVLWALAVLNTVPYFVFRDRDATCNSRQVALAVSKFLLAFLVPLAIIASSHAAVSLRLQHRPGRFVRLVAAVVAAFALCWGPYHVFSLLEARALRPLVWRGLPFVTSLAFFNSVANPVLYVLTCPDMLRKLRRSLRTVLES</v>
      </c>
      <c r="C235" s="29" t="str">
        <f>IF(ISERROR(MATCH(A235,'SegEnds_Xtal_Prot#'!B:B, 0)), "NoXtal", "Xtal")</f>
        <v>Xtal</v>
      </c>
      <c r="D235" s="4" t="str">
        <f>VLOOKUP(A235,Classification!A:D,2,FALSE)</f>
        <v>A</v>
      </c>
      <c r="E235" s="5" t="str">
        <f>VLOOKUP(A235,Seqs!A:B,2,FALSE)</f>
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</c>
      <c r="F235" s="5" t="str">
        <f t="shared" si="76"/>
        <v>DHAAVLLHGLASLLGLVENGVILFVVGCR</v>
      </c>
      <c r="G235" s="4" t="str">
        <f t="shared" si="77"/>
        <v/>
      </c>
      <c r="H235" s="4" t="str">
        <f t="shared" si="78"/>
        <v>TVVTTWVLHLALSDLLASASLPFFTYFLAVG</v>
      </c>
      <c r="I235" s="4" t="str">
        <f t="shared" si="79"/>
        <v>SWEL</v>
      </c>
      <c r="J235" s="4" t="str">
        <f t="shared" si="80"/>
        <v>GTTFCKLHSSIFFLNMFASGFLLSAISLDRCLQVVR</v>
      </c>
      <c r="K235" s="4" t="str">
        <f t="shared" si="81"/>
        <v>PVWAQNHR</v>
      </c>
      <c r="L235" s="4" t="str">
        <f t="shared" si="82"/>
        <v>TVAAAHKVCLVLWALAVLNTVPYFVFR</v>
      </c>
      <c r="M235" s="4" t="str">
        <f t="shared" si="83"/>
        <v>CYY</v>
      </c>
      <c r="N235" s="4" t="str">
        <f t="shared" si="84"/>
        <v>DRDATCNSRQVALAVSKFLLAFLVPLAIIASSHAAVSLRLQHR</v>
      </c>
      <c r="O235" s="4" t="str">
        <f t="shared" si="85"/>
        <v>PGRFVRLVAAVVAAFALCWGPYHVFSLLEARA</v>
      </c>
      <c r="P235" s="4" t="str">
        <f t="shared" si="86"/>
        <v>LRPLVWRGLPFVTSLAFFNSVANPVLYVLT</v>
      </c>
      <c r="Q235" s="4" t="str">
        <f t="shared" si="87"/>
        <v>CPDMLRKLRRSLRTVLES</v>
      </c>
      <c r="R235" s="5">
        <f>VLOOKUP($A235,'SegEnds_NonXtal_Prot#'!$A:$AL,3,FALSE)</f>
        <v>32</v>
      </c>
      <c r="S235" s="5" t="str">
        <f>VLOOKUP($A235,'SegEnds_NonXtal_Prot#'!$A:$AL,6,FALSE)</f>
        <v>-</v>
      </c>
      <c r="T235" s="5">
        <f>VLOOKUP($A235,'SegEnds_NonXtal_Prot#'!$A:$AL,9,FALSE)</f>
        <v>64</v>
      </c>
      <c r="U235" s="5">
        <f>VLOOKUP($A235,'SegEnds_NonXtal_Prot#'!$A:$AL,12,FALSE)</f>
        <v>96</v>
      </c>
      <c r="V235" s="5">
        <f>VLOOKUP($A235,'SegEnds_NonXtal_Prot#'!$A:$AL,15,FALSE)</f>
        <v>100</v>
      </c>
      <c r="W235" s="5">
        <f>VLOOKUP($A235,'SegEnds_NonXtal_Prot#'!$A:$AL,18,FALSE)</f>
        <v>136</v>
      </c>
      <c r="X235" s="5">
        <f>VLOOKUP($A235,'SegEnds_NonXtal_Prot#'!$A:$AL,21,FALSE)</f>
        <v>144</v>
      </c>
      <c r="Y235" s="5">
        <f>VLOOKUP($A235,'SegEnds_NonXtal_Prot#'!$A:$AL,24,FALSE)</f>
        <v>182</v>
      </c>
      <c r="Z235" s="5">
        <f>VLOOKUP($A235,'SegEnds_NonXtal_Prot#'!$A:$AL,27,FALSE)</f>
        <v>194</v>
      </c>
      <c r="AA235" s="5">
        <f>VLOOKUP($A235,'SegEnds_NonXtal_Prot#'!$A:$AL,30,FALSE)</f>
        <v>241</v>
      </c>
      <c r="AB235" s="5">
        <f>VLOOKUP($A235,'SegEnds_NonXtal_Prot#'!$A:$AL,33,FALSE)</f>
        <v>278</v>
      </c>
      <c r="AC235" s="5">
        <f>VLOOKUP($A235,'SegEnds_NonXtal_Prot#'!$A:$AL,36,FALSE)</f>
        <v>308</v>
      </c>
      <c r="AD235" s="5">
        <f>VLOOKUP($A235,'SegEnds_NonXtal_Prot#'!$A:$AL,5,FALSE)</f>
        <v>60</v>
      </c>
      <c r="AE235" s="5" t="str">
        <f>VLOOKUP($A235,'SegEnds_NonXtal_Prot#'!$A:$AL,8,FALSE)</f>
        <v>-</v>
      </c>
      <c r="AF235" s="5">
        <f>VLOOKUP($A235,'SegEnds_NonXtal_Prot#'!$A:$AL,11,FALSE)</f>
        <v>94</v>
      </c>
      <c r="AG235" s="5">
        <f>VLOOKUP($A235,'SegEnds_NonXtal_Prot#'!$A:$AL,14,FALSE)</f>
        <v>99</v>
      </c>
      <c r="AH235" s="5">
        <f>VLOOKUP($A235,'SegEnds_NonXtal_Prot#'!$A:$AL,17,FALSE)</f>
        <v>135</v>
      </c>
      <c r="AI235" s="5">
        <f>VLOOKUP($A235,'SegEnds_NonXtal_Prot#'!$A:$AL,20,FALSE)</f>
        <v>143</v>
      </c>
      <c r="AJ235" s="5">
        <f>VLOOKUP($A235,'SegEnds_NonXtal_Prot#'!$A:$AL,23,FALSE)</f>
        <v>170</v>
      </c>
      <c r="AK235" s="5">
        <f>VLOOKUP($A235,'SegEnds_NonXtal_Prot#'!$A:$AL,26,FALSE)</f>
        <v>184</v>
      </c>
      <c r="AL235" s="5">
        <f>VLOOKUP($A235,'SegEnds_NonXtal_Prot#'!$A:$AL,29,FALSE)</f>
        <v>236</v>
      </c>
      <c r="AM235" s="5">
        <f>VLOOKUP($A235,'SegEnds_NonXtal_Prot#'!$A:$AL,32,FALSE)</f>
        <v>272</v>
      </c>
      <c r="AN235" s="5">
        <f>VLOOKUP($A235,'SegEnds_NonXtal_Prot#'!$A:$AL,35,FALSE)</f>
        <v>307</v>
      </c>
      <c r="AO235" s="5">
        <f>VLOOKUP($A235,'SegEnds_NonXtal_Prot#'!$A:$AL,38,FALSE)</f>
        <v>325</v>
      </c>
      <c r="AP235" s="5">
        <f t="shared" si="88"/>
        <v>28</v>
      </c>
      <c r="AQ235" s="4" t="str">
        <f t="shared" si="89"/>
        <v>-</v>
      </c>
      <c r="AR235" s="4">
        <f t="shared" si="90"/>
        <v>30</v>
      </c>
      <c r="AS235" s="4">
        <f t="shared" si="91"/>
        <v>3</v>
      </c>
      <c r="AT235" s="4">
        <f t="shared" si="92"/>
        <v>35</v>
      </c>
      <c r="AU235" s="4">
        <f t="shared" si="93"/>
        <v>7</v>
      </c>
      <c r="AV235" s="4">
        <f t="shared" si="94"/>
        <v>26</v>
      </c>
      <c r="AW235" s="4">
        <f t="shared" si="95"/>
        <v>2</v>
      </c>
      <c r="AX235" s="4">
        <f t="shared" si="96"/>
        <v>42</v>
      </c>
      <c r="AY235" s="4">
        <f t="shared" si="97"/>
        <v>31</v>
      </c>
      <c r="AZ235" s="4">
        <f t="shared" si="98"/>
        <v>29</v>
      </c>
      <c r="BA235" s="4">
        <f t="shared" si="99"/>
        <v>17</v>
      </c>
    </row>
    <row r="236" spans="1:53" x14ac:dyDescent="0.2">
      <c r="A236" s="1" t="str">
        <f>'SegEnds_NonXtal_Prot#'!A223</f>
        <v>pe2r1_human</v>
      </c>
      <c r="B236" s="1" t="str">
        <f t="shared" si="75"/>
        <v>SPALPIFSMTLGAVSNLLALALLAQAARRRSAATFLLFVASLLATDLAGHVIPGALVLRLYTGGACHFLGGCMVFFGLCPLLLGCGMAVERCVGVTRSVARARLALAAVAAVALAVALLPLARGWRQALLAGLFASLGLVALLAALVCNTLSGLALLRARWRRRSRRRRARAHDVEMVGQLVGIMVVSCICWSPMLVLVALAVGGLQRPLFLAVRLASWNQILDPWVYILLRQAVLRQLLRLLPPRAGAKG</v>
      </c>
      <c r="C236" s="29" t="str">
        <f>IF(ISERROR(MATCH(A236,'SegEnds_Xtal_Prot#'!B:B, 0)), "NoXtal", "Xtal")</f>
        <v>NoXtal</v>
      </c>
      <c r="D236" s="4" t="str">
        <f>VLOOKUP(A236,Classification!A:D,2,FALSE)</f>
        <v>A</v>
      </c>
      <c r="E236" s="5" t="str">
        <f>VLOOKUP(A236,Seqs!A:B,2,FALSE)</f>
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</c>
      <c r="F236" s="5" t="str">
        <f t="shared" si="76"/>
        <v>SPALPIFSMTLGAVSNLLALALLAQAA</v>
      </c>
      <c r="G236" s="4" t="str">
        <f t="shared" si="77"/>
        <v>GRLR</v>
      </c>
      <c r="H236" s="4" t="str">
        <f t="shared" si="78"/>
        <v>RRRSAATFLLFVASLLATDLAGHVIPGALVLRLYT</v>
      </c>
      <c r="I236" s="4" t="str">
        <f t="shared" si="79"/>
        <v>RAPA</v>
      </c>
      <c r="J236" s="4" t="str">
        <f t="shared" si="80"/>
        <v>GGACHFLGGCMVFFGLCPLLLGCGMAVERCVGVTR</v>
      </c>
      <c r="K236" s="4" t="str">
        <f t="shared" si="81"/>
        <v>PLLHAARV</v>
      </c>
      <c r="L236" s="4" t="str">
        <f t="shared" si="82"/>
        <v>SVARARLALAAVAAVALAVALLPLAR</v>
      </c>
      <c r="M236" s="4" t="str">
        <f t="shared" si="83"/>
        <v>CFI</v>
      </c>
      <c r="N236" s="4" t="str">
        <f t="shared" si="84"/>
        <v>GWRQALLAGLFASLGLVALLAALVCNTLSGLALLRARWRRRSRR</v>
      </c>
      <c r="O236" s="4" t="str">
        <f t="shared" si="85"/>
        <v>RRARAHDVEMVGQLVGIMVVSCICWSPMLVLVALAVGG</v>
      </c>
      <c r="P236" s="4" t="str">
        <f t="shared" si="86"/>
        <v>LQRPLFLAVRLASWNQILDPWVYILL</v>
      </c>
      <c r="Q236" s="4" t="str">
        <f t="shared" si="87"/>
        <v>RQAVLRQLLRLLPPRAGAKG</v>
      </c>
      <c r="R236" s="5">
        <f>VLOOKUP($A236,'SegEnds_NonXtal_Prot#'!$A:$AL,3,FALSE)</f>
        <v>35</v>
      </c>
      <c r="S236" s="5">
        <f>VLOOKUP($A236,'SegEnds_NonXtal_Prot#'!$A:$AL,6,FALSE)</f>
        <v>62</v>
      </c>
      <c r="T236" s="5">
        <f>VLOOKUP($A236,'SegEnds_NonXtal_Prot#'!$A:$AL,9,FALSE)</f>
        <v>66</v>
      </c>
      <c r="U236" s="5">
        <f>VLOOKUP($A236,'SegEnds_NonXtal_Prot#'!$A:$AL,12,FALSE)</f>
        <v>103</v>
      </c>
      <c r="V236" s="5">
        <f>VLOOKUP($A236,'SegEnds_NonXtal_Prot#'!$A:$AL,15,FALSE)</f>
        <v>107</v>
      </c>
      <c r="W236" s="5">
        <f>VLOOKUP($A236,'SegEnds_NonXtal_Prot#'!$A:$AL,18,FALSE)</f>
        <v>142</v>
      </c>
      <c r="X236" s="5">
        <f>VLOOKUP($A236,'SegEnds_NonXtal_Prot#'!$A:$AL,21,FALSE)</f>
        <v>150</v>
      </c>
      <c r="Y236" s="5">
        <f>VLOOKUP($A236,'SegEnds_NonXtal_Prot#'!$A:$AL,24,FALSE)</f>
        <v>188</v>
      </c>
      <c r="Z236" s="5">
        <f>VLOOKUP($A236,'SegEnds_NonXtal_Prot#'!$A:$AL,27,FALSE)</f>
        <v>197</v>
      </c>
      <c r="AA236" s="5">
        <f>VLOOKUP($A236,'SegEnds_NonXtal_Prot#'!$A:$AL,30,FALSE)</f>
        <v>286</v>
      </c>
      <c r="AB236" s="5">
        <f>VLOOKUP($A236,'SegEnds_NonXtal_Prot#'!$A:$AL,33,FALSE)</f>
        <v>329</v>
      </c>
      <c r="AC236" s="5">
        <f>VLOOKUP($A236,'SegEnds_NonXtal_Prot#'!$A:$AL,36,FALSE)</f>
        <v>355</v>
      </c>
      <c r="AD236" s="5">
        <f>VLOOKUP($A236,'SegEnds_NonXtal_Prot#'!$A:$AL,5,FALSE)</f>
        <v>61</v>
      </c>
      <c r="AE236" s="5">
        <f>VLOOKUP($A236,'SegEnds_NonXtal_Prot#'!$A:$AL,8,FALSE)</f>
        <v>65</v>
      </c>
      <c r="AF236" s="5">
        <f>VLOOKUP($A236,'SegEnds_NonXtal_Prot#'!$A:$AL,11,FALSE)</f>
        <v>100</v>
      </c>
      <c r="AG236" s="5">
        <f>VLOOKUP($A236,'SegEnds_NonXtal_Prot#'!$A:$AL,14,FALSE)</f>
        <v>106</v>
      </c>
      <c r="AH236" s="5">
        <f>VLOOKUP($A236,'SegEnds_NonXtal_Prot#'!$A:$AL,17,FALSE)</f>
        <v>141</v>
      </c>
      <c r="AI236" s="5">
        <f>VLOOKUP($A236,'SegEnds_NonXtal_Prot#'!$A:$AL,20,FALSE)</f>
        <v>149</v>
      </c>
      <c r="AJ236" s="5">
        <f>VLOOKUP($A236,'SegEnds_NonXtal_Prot#'!$A:$AL,23,FALSE)</f>
        <v>175</v>
      </c>
      <c r="AK236" s="5">
        <f>VLOOKUP($A236,'SegEnds_NonXtal_Prot#'!$A:$AL,26,FALSE)</f>
        <v>190</v>
      </c>
      <c r="AL236" s="5">
        <f>VLOOKUP($A236,'SegEnds_NonXtal_Prot#'!$A:$AL,29,FALSE)</f>
        <v>240</v>
      </c>
      <c r="AM236" s="5">
        <f>VLOOKUP($A236,'SegEnds_NonXtal_Prot#'!$A:$AL,32,FALSE)</f>
        <v>323</v>
      </c>
      <c r="AN236" s="5">
        <f>VLOOKUP($A236,'SegEnds_NonXtal_Prot#'!$A:$AL,35,FALSE)</f>
        <v>354</v>
      </c>
      <c r="AO236" s="5">
        <f>VLOOKUP($A236,'SegEnds_NonXtal_Prot#'!$A:$AL,38,FALSE)</f>
        <v>374</v>
      </c>
      <c r="AP236" s="5">
        <f t="shared" si="88"/>
        <v>26</v>
      </c>
      <c r="AQ236" s="4">
        <f t="shared" si="89"/>
        <v>3</v>
      </c>
      <c r="AR236" s="4">
        <f t="shared" si="90"/>
        <v>34</v>
      </c>
      <c r="AS236" s="4">
        <f t="shared" si="91"/>
        <v>3</v>
      </c>
      <c r="AT236" s="4">
        <f t="shared" si="92"/>
        <v>34</v>
      </c>
      <c r="AU236" s="4">
        <f t="shared" si="93"/>
        <v>7</v>
      </c>
      <c r="AV236" s="4">
        <f t="shared" si="94"/>
        <v>25</v>
      </c>
      <c r="AW236" s="4">
        <f t="shared" si="95"/>
        <v>2</v>
      </c>
      <c r="AX236" s="4">
        <f t="shared" si="96"/>
        <v>43</v>
      </c>
      <c r="AY236" s="4">
        <f t="shared" si="97"/>
        <v>37</v>
      </c>
      <c r="AZ236" s="4">
        <f t="shared" si="98"/>
        <v>25</v>
      </c>
      <c r="BA236" s="4">
        <f t="shared" si="99"/>
        <v>19</v>
      </c>
    </row>
    <row r="237" spans="1:53" x14ac:dyDescent="0.2">
      <c r="A237" s="1" t="str">
        <f>'SegEnds_NonXtal_Prot#'!A224</f>
        <v>pe2r2_human</v>
      </c>
      <c r="B237" s="1" t="str">
        <f t="shared" si="75"/>
        <v>GESPAISSVMFSAGVLGNLIALALLARRSSLSLFHVLVTELVFTDLLGTCLISPVVLASYARLAPESRACTYFAFAMTFFSLATMLMLFAMALERYLSIGHSRSGGLAVLPVIYAVSLLFCSLPLLDTAYLQLYATLLLLLIVSVLACNFSVILNLIRMHRRSRRSRCGRVSMAEETDHLILLAIMTITFAVCSLPFTIFAYMNETSKWDLQALRFLSINSIIDPWVFAILRPPVLRLMRSVLCC</v>
      </c>
      <c r="C237" s="29" t="str">
        <f>IF(ISERROR(MATCH(A237,'SegEnds_Xtal_Prot#'!B:B, 0)), "NoXtal", "Xtal")</f>
        <v>NoXtal</v>
      </c>
      <c r="D237" s="4" t="str">
        <f>VLOOKUP(A237,Classification!A:D,2,FALSE)</f>
        <v>A</v>
      </c>
      <c r="E237" s="5" t="str">
        <f>VLOOKUP(A237,Seqs!A:B,2,FALSE)</f>
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</c>
      <c r="F237" s="5" t="str">
        <f t="shared" si="76"/>
        <v>GESPAISSVMFSAGVLGNLIALALLA</v>
      </c>
      <c r="G237" s="4" t="str">
        <f t="shared" si="77"/>
        <v>CSAG</v>
      </c>
      <c r="H237" s="4" t="str">
        <f t="shared" si="78"/>
        <v>RRSSLSLFHVLVTELVFTDLLGTCLISPVVLASYAR</v>
      </c>
      <c r="I237" s="4" t="str">
        <f t="shared" si="79"/>
        <v/>
      </c>
      <c r="J237" s="4" t="str">
        <f t="shared" si="80"/>
        <v>LAPESRACTYFAFAMTFFSLATMLMLFAMALERYLSIGH</v>
      </c>
      <c r="K237" s="4" t="str">
        <f t="shared" si="81"/>
        <v>PYFYQRRV</v>
      </c>
      <c r="L237" s="4" t="str">
        <f t="shared" si="82"/>
        <v>SRSGGLAVLPVIYAVSLLFCSLPLLD</v>
      </c>
      <c r="M237" s="4" t="str">
        <f t="shared" si="83"/>
        <v>CFI</v>
      </c>
      <c r="N237" s="4" t="str">
        <f t="shared" si="84"/>
        <v>TAYLQLYATLLLLLIVSVLACNFSVILNLIRMHRRSRRSRCG</v>
      </c>
      <c r="O237" s="4" t="str">
        <f t="shared" si="85"/>
        <v>RVSMAEETDHLILLAIMTITFAVCSLPFTIFAYMNETS</v>
      </c>
      <c r="P237" s="4" t="str">
        <f t="shared" si="86"/>
        <v>KWDLQALRFLSINSIIDPWVFAIL</v>
      </c>
      <c r="Q237" s="4" t="str">
        <f t="shared" si="87"/>
        <v>RPPVLRLMRSVLCC</v>
      </c>
      <c r="R237" s="5">
        <f>VLOOKUP($A237,'SegEnds_NonXtal_Prot#'!$A:$AL,3,FALSE)</f>
        <v>22</v>
      </c>
      <c r="S237" s="5">
        <f>VLOOKUP($A237,'SegEnds_NonXtal_Prot#'!$A:$AL,6,FALSE)</f>
        <v>56</v>
      </c>
      <c r="T237" s="5">
        <f>VLOOKUP($A237,'SegEnds_NonXtal_Prot#'!$A:$AL,9,FALSE)</f>
        <v>60</v>
      </c>
      <c r="U237" s="5" t="str">
        <f>VLOOKUP($A237,'SegEnds_NonXtal_Prot#'!$A:$AL,12,FALSE)</f>
        <v>-</v>
      </c>
      <c r="V237" s="5">
        <f>VLOOKUP($A237,'SegEnds_NonXtal_Prot#'!$A:$AL,15,FALSE)</f>
        <v>102</v>
      </c>
      <c r="W237" s="5">
        <f>VLOOKUP($A237,'SegEnds_NonXtal_Prot#'!$A:$AL,18,FALSE)</f>
        <v>141</v>
      </c>
      <c r="X237" s="5">
        <f>VLOOKUP($A237,'SegEnds_NonXtal_Prot#'!$A:$AL,21,FALSE)</f>
        <v>149</v>
      </c>
      <c r="Y237" s="5">
        <f>VLOOKUP($A237,'SegEnds_NonXtal_Prot#'!$A:$AL,24,FALSE)</f>
        <v>187</v>
      </c>
      <c r="Z237" s="5">
        <f>VLOOKUP($A237,'SegEnds_NonXtal_Prot#'!$A:$AL,27,FALSE)</f>
        <v>194</v>
      </c>
      <c r="AA237" s="5">
        <f>VLOOKUP($A237,'SegEnds_NonXtal_Prot#'!$A:$AL,30,FALSE)</f>
        <v>253</v>
      </c>
      <c r="AB237" s="5">
        <f>VLOOKUP($A237,'SegEnds_NonXtal_Prot#'!$A:$AL,33,FALSE)</f>
        <v>295</v>
      </c>
      <c r="AC237" s="5">
        <f>VLOOKUP($A237,'SegEnds_NonXtal_Prot#'!$A:$AL,36,FALSE)</f>
        <v>319</v>
      </c>
      <c r="AD237" s="5">
        <f>VLOOKUP($A237,'SegEnds_NonXtal_Prot#'!$A:$AL,5,FALSE)</f>
        <v>47</v>
      </c>
      <c r="AE237" s="5">
        <f>VLOOKUP($A237,'SegEnds_NonXtal_Prot#'!$A:$AL,8,FALSE)</f>
        <v>59</v>
      </c>
      <c r="AF237" s="5">
        <f>VLOOKUP($A237,'SegEnds_NonXtal_Prot#'!$A:$AL,11,FALSE)</f>
        <v>95</v>
      </c>
      <c r="AG237" s="5" t="str">
        <f>VLOOKUP($A237,'SegEnds_NonXtal_Prot#'!$A:$AL,14,FALSE)</f>
        <v>-</v>
      </c>
      <c r="AH237" s="5">
        <f>VLOOKUP($A237,'SegEnds_NonXtal_Prot#'!$A:$AL,17,FALSE)</f>
        <v>140</v>
      </c>
      <c r="AI237" s="5">
        <f>VLOOKUP($A237,'SegEnds_NonXtal_Prot#'!$A:$AL,20,FALSE)</f>
        <v>148</v>
      </c>
      <c r="AJ237" s="5">
        <f>VLOOKUP($A237,'SegEnds_NonXtal_Prot#'!$A:$AL,23,FALSE)</f>
        <v>174</v>
      </c>
      <c r="AK237" s="5">
        <f>VLOOKUP($A237,'SegEnds_NonXtal_Prot#'!$A:$AL,26,FALSE)</f>
        <v>189</v>
      </c>
      <c r="AL237" s="5">
        <f>VLOOKUP($A237,'SegEnds_NonXtal_Prot#'!$A:$AL,29,FALSE)</f>
        <v>235</v>
      </c>
      <c r="AM237" s="5">
        <f>VLOOKUP($A237,'SegEnds_NonXtal_Prot#'!$A:$AL,32,FALSE)</f>
        <v>290</v>
      </c>
      <c r="AN237" s="5">
        <f>VLOOKUP($A237,'SegEnds_NonXtal_Prot#'!$A:$AL,35,FALSE)</f>
        <v>318</v>
      </c>
      <c r="AO237" s="5">
        <f>VLOOKUP($A237,'SegEnds_NonXtal_Prot#'!$A:$AL,38,FALSE)</f>
        <v>332</v>
      </c>
      <c r="AP237" s="5">
        <f t="shared" si="88"/>
        <v>25</v>
      </c>
      <c r="AQ237" s="4">
        <f t="shared" si="89"/>
        <v>3</v>
      </c>
      <c r="AR237" s="4">
        <f t="shared" si="90"/>
        <v>35</v>
      </c>
      <c r="AS237" s="4" t="str">
        <f t="shared" si="91"/>
        <v>-</v>
      </c>
      <c r="AT237" s="4">
        <f t="shared" si="92"/>
        <v>38</v>
      </c>
      <c r="AU237" s="4">
        <f t="shared" si="93"/>
        <v>7</v>
      </c>
      <c r="AV237" s="4">
        <f t="shared" si="94"/>
        <v>25</v>
      </c>
      <c r="AW237" s="4">
        <f t="shared" si="95"/>
        <v>2</v>
      </c>
      <c r="AX237" s="4">
        <f t="shared" si="96"/>
        <v>41</v>
      </c>
      <c r="AY237" s="4">
        <f t="shared" si="97"/>
        <v>37</v>
      </c>
      <c r="AZ237" s="4">
        <f t="shared" si="98"/>
        <v>23</v>
      </c>
      <c r="BA237" s="4">
        <f t="shared" si="99"/>
        <v>13</v>
      </c>
    </row>
    <row r="238" spans="1:53" x14ac:dyDescent="0.2">
      <c r="A238" s="1" t="str">
        <f>'SegEnds_NonXtal_Prot#'!A225</f>
        <v>pe2r3_human</v>
      </c>
      <c r="B238" s="1" t="str">
        <f t="shared" si="75"/>
        <v>VAFPITMLLTGFVGNALAMLLVSRSYRKSFLLCIGWLALTDLVGQLLTTPVVIVVYLSKIDPSGRLCTFFGLTMTVFGLSSLFIASAMAVERALAIRAKTRATRAVLLGVWLAVLAFALLPVLGWGNLFFASAFAFLGLLALTVTFSCNLATIKALVSRCRAKASSAQWGRITTETAIQLMGIMCVLSVCWSPLLIMMLKMIFNQTSTHTEKQKECNFFLIAVRLASLNQILDPWVYLLLRKILLRKFCQIRYHTNNYAS</v>
      </c>
      <c r="C238" s="29" t="str">
        <f>IF(ISERROR(MATCH(A238,'SegEnds_Xtal_Prot#'!B:B, 0)), "NoXtal", "Xtal")</f>
        <v>Xtal</v>
      </c>
      <c r="D238" s="4" t="str">
        <f>VLOOKUP(A238,Classification!A:D,2,FALSE)</f>
        <v>A</v>
      </c>
      <c r="E238" s="5" t="str">
        <f>VLOOKUP(A238,Seqs!A:B,2,FALSE)</f>
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</c>
      <c r="F238" s="5" t="str">
        <f t="shared" si="76"/>
        <v>VAFPITMLLTGFVGNALAMLLVSRSYR</v>
      </c>
      <c r="G238" s="4" t="str">
        <f t="shared" si="77"/>
        <v/>
      </c>
      <c r="H238" s="4" t="str">
        <f t="shared" si="78"/>
        <v>KSFLLCIGWLALTDLVGQLLTTPVVIVVYLSK</v>
      </c>
      <c r="I238" s="4" t="str">
        <f t="shared" si="79"/>
        <v>RWEH</v>
      </c>
      <c r="J238" s="4" t="str">
        <f t="shared" si="80"/>
        <v>IDPSGRLCTFFGLTMTVFGLSSLFIASAMAVERALAIRA</v>
      </c>
      <c r="K238" s="4" t="str">
        <f t="shared" si="81"/>
        <v>PHWYASHM</v>
      </c>
      <c r="L238" s="4" t="str">
        <f t="shared" si="82"/>
        <v>KTRATRAVLLGVWLAVLAFALLPVLG</v>
      </c>
      <c r="M238" s="4" t="str">
        <f t="shared" si="83"/>
        <v>CFI</v>
      </c>
      <c r="N238" s="4" t="str">
        <f t="shared" si="84"/>
        <v>WGNLFFASAFAFLGLLALTVTFSCNLATIKALVSRCRAKA</v>
      </c>
      <c r="O238" s="4" t="str">
        <f t="shared" si="85"/>
        <v>SSAQWGRITTETAIQLMGIMCVLSVCWSPLLIMMLKMIFNQTS</v>
      </c>
      <c r="P238" s="4" t="str">
        <f t="shared" si="86"/>
        <v>THTEKQKECNFFLIAVRLASLNQILDPWVY</v>
      </c>
      <c r="Q238" s="4" t="str">
        <f t="shared" si="87"/>
        <v>LLLRKILLRKFCQIRYHTNNYAS</v>
      </c>
      <c r="R238" s="5">
        <f>VLOOKUP($A238,'SegEnds_NonXtal_Prot#'!$A:$AL,3,FALSE)</f>
        <v>52</v>
      </c>
      <c r="S238" s="5" t="str">
        <f>VLOOKUP($A238,'SegEnds_NonXtal_Prot#'!$A:$AL,6,FALSE)</f>
        <v>-</v>
      </c>
      <c r="T238" s="5">
        <f>VLOOKUP($A238,'SegEnds_NonXtal_Prot#'!$A:$AL,9,FALSE)</f>
        <v>86</v>
      </c>
      <c r="U238" s="5">
        <f>VLOOKUP($A238,'SegEnds_NonXtal_Prot#'!$A:$AL,12,FALSE)</f>
        <v>119</v>
      </c>
      <c r="V238" s="5">
        <f>VLOOKUP($A238,'SegEnds_NonXtal_Prot#'!$A:$AL,15,FALSE)</f>
        <v>123</v>
      </c>
      <c r="W238" s="5">
        <f>VLOOKUP($A238,'SegEnds_NonXtal_Prot#'!$A:$AL,18,FALSE)</f>
        <v>162</v>
      </c>
      <c r="X238" s="5">
        <f>VLOOKUP($A238,'SegEnds_NonXtal_Prot#'!$A:$AL,21,FALSE)</f>
        <v>170</v>
      </c>
      <c r="Y238" s="5">
        <f>VLOOKUP($A238,'SegEnds_NonXtal_Prot#'!$A:$AL,24,FALSE)</f>
        <v>208</v>
      </c>
      <c r="Z238" s="5">
        <f>VLOOKUP($A238,'SegEnds_NonXtal_Prot#'!$A:$AL,27,FALSE)</f>
        <v>225</v>
      </c>
      <c r="AA238" s="5">
        <f>VLOOKUP($A238,'SegEnds_NonXtal_Prot#'!$A:$AL,30,FALSE)</f>
        <v>269</v>
      </c>
      <c r="AB238" s="5">
        <f>VLOOKUP($A238,'SegEnds_NonXtal_Prot#'!$A:$AL,33,FALSE)</f>
        <v>317</v>
      </c>
      <c r="AC238" s="5">
        <f>VLOOKUP($A238,'SegEnds_NonXtal_Prot#'!$A:$AL,36,FALSE)</f>
        <v>347</v>
      </c>
      <c r="AD238" s="5">
        <f>VLOOKUP($A238,'SegEnds_NonXtal_Prot#'!$A:$AL,5,FALSE)</f>
        <v>78</v>
      </c>
      <c r="AE238" s="5" t="str">
        <f>VLOOKUP($A238,'SegEnds_NonXtal_Prot#'!$A:$AL,8,FALSE)</f>
        <v>-</v>
      </c>
      <c r="AF238" s="5">
        <f>VLOOKUP($A238,'SegEnds_NonXtal_Prot#'!$A:$AL,11,FALSE)</f>
        <v>117</v>
      </c>
      <c r="AG238" s="5">
        <f>VLOOKUP($A238,'SegEnds_NonXtal_Prot#'!$A:$AL,14,FALSE)</f>
        <v>122</v>
      </c>
      <c r="AH238" s="5">
        <f>VLOOKUP($A238,'SegEnds_NonXtal_Prot#'!$A:$AL,17,FALSE)</f>
        <v>161</v>
      </c>
      <c r="AI238" s="5">
        <f>VLOOKUP($A238,'SegEnds_NonXtal_Prot#'!$A:$AL,20,FALSE)</f>
        <v>169</v>
      </c>
      <c r="AJ238" s="5">
        <f>VLOOKUP($A238,'SegEnds_NonXtal_Prot#'!$A:$AL,23,FALSE)</f>
        <v>195</v>
      </c>
      <c r="AK238" s="5">
        <f>VLOOKUP($A238,'SegEnds_NonXtal_Prot#'!$A:$AL,26,FALSE)</f>
        <v>210</v>
      </c>
      <c r="AL238" s="5">
        <f>VLOOKUP($A238,'SegEnds_NonXtal_Prot#'!$A:$AL,29,FALSE)</f>
        <v>264</v>
      </c>
      <c r="AM238" s="5">
        <f>VLOOKUP($A238,'SegEnds_NonXtal_Prot#'!$A:$AL,32,FALSE)</f>
        <v>311</v>
      </c>
      <c r="AN238" s="5">
        <f>VLOOKUP($A238,'SegEnds_NonXtal_Prot#'!$A:$AL,35,FALSE)</f>
        <v>346</v>
      </c>
      <c r="AO238" s="5">
        <f>VLOOKUP($A238,'SegEnds_NonXtal_Prot#'!$A:$AL,38,FALSE)</f>
        <v>369</v>
      </c>
      <c r="AP238" s="5">
        <f t="shared" si="88"/>
        <v>26</v>
      </c>
      <c r="AQ238" s="4" t="str">
        <f t="shared" si="89"/>
        <v>-</v>
      </c>
      <c r="AR238" s="4">
        <f t="shared" si="90"/>
        <v>31</v>
      </c>
      <c r="AS238" s="4">
        <f t="shared" si="91"/>
        <v>3</v>
      </c>
      <c r="AT238" s="4">
        <f t="shared" si="92"/>
        <v>38</v>
      </c>
      <c r="AU238" s="4">
        <f t="shared" si="93"/>
        <v>7</v>
      </c>
      <c r="AV238" s="4">
        <f t="shared" si="94"/>
        <v>25</v>
      </c>
      <c r="AW238" s="4">
        <f t="shared" si="95"/>
        <v>2</v>
      </c>
      <c r="AX238" s="4">
        <f t="shared" si="96"/>
        <v>39</v>
      </c>
      <c r="AY238" s="4">
        <f t="shared" si="97"/>
        <v>42</v>
      </c>
      <c r="AZ238" s="4">
        <f t="shared" si="98"/>
        <v>29</v>
      </c>
      <c r="BA238" s="4">
        <f t="shared" si="99"/>
        <v>22</v>
      </c>
    </row>
    <row r="239" spans="1:53" x14ac:dyDescent="0.2">
      <c r="A239" s="1" t="str">
        <f>'SegEnds_NonXtal_Prot#'!A226</f>
        <v>pe2r4_human</v>
      </c>
      <c r="B239" s="1" t="str">
        <f t="shared" si="75"/>
        <v>NSPVTIPAVMFIFGVVGNLVAIVVLCTTFYTLVCGLAVTDLLGTLLVSPVTIATYMKGQPLCEYSTFILLFFSLSGLSIICAMSVERYLAINHDKRLAGLTLFAVYASNVLFCALPNMGVTAHAAYSYMYAGFSSFLILATVLCNVLVCGALLRMHRQFMRRTRRIAGAEIQMVILLIATSLVVLICSIPLVVRVFVNQLYNPDLQAIRIASVNPILDPWIYILLRKTVLSKAIEKIKC</v>
      </c>
      <c r="C239" s="29" t="str">
        <f>IF(ISERROR(MATCH(A239,'SegEnds_Xtal_Prot#'!B:B, 0)), "NoXtal", "Xtal")</f>
        <v>Xtal</v>
      </c>
      <c r="D239" s="4" t="str">
        <f>VLOOKUP(A239,Classification!A:D,2,FALSE)</f>
        <v>A</v>
      </c>
      <c r="E239" s="5" t="str">
        <f>VLOOKUP(A239,Seqs!A:B,2,FALSE)</f>
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</c>
      <c r="F239" s="5" t="str">
        <f t="shared" si="76"/>
        <v>NSPVTIPAVMFIFGVVGNLVAIVVLC</v>
      </c>
      <c r="G239" s="4" t="str">
        <f t="shared" si="77"/>
        <v/>
      </c>
      <c r="H239" s="4" t="str">
        <f t="shared" si="78"/>
        <v>TTFYTLVCGLAVTDLLGTLLVSPVTIATYMK</v>
      </c>
      <c r="I239" s="4" t="str">
        <f t="shared" si="79"/>
        <v>QWPG</v>
      </c>
      <c r="J239" s="4" t="str">
        <f t="shared" si="80"/>
        <v>GQPLCEYSTFILLFFSLSGLSIICAMSVERYLAINH</v>
      </c>
      <c r="K239" s="4" t="str">
        <f t="shared" si="81"/>
        <v>AYFYSHYV</v>
      </c>
      <c r="L239" s="4" t="str">
        <f t="shared" si="82"/>
        <v>DKRLAGLTLFAVYASNVLFCALPNMG</v>
      </c>
      <c r="M239" s="4" t="str">
        <f t="shared" si="83"/>
        <v>CFI</v>
      </c>
      <c r="N239" s="4" t="str">
        <f t="shared" si="84"/>
        <v>VTAHAAYSYMYAGFSSFLILATVLCNVLVCGALLRMHRQFMRRT</v>
      </c>
      <c r="O239" s="4" t="str">
        <f t="shared" si="85"/>
        <v>RRIAGAEIQMVILLIATSLVVLICSIPLVVRVFVNQLY</v>
      </c>
      <c r="P239" s="4" t="str">
        <f t="shared" si="86"/>
        <v>NPDLQAIRIASVNPILDPWIYILL</v>
      </c>
      <c r="Q239" s="4" t="str">
        <f t="shared" si="87"/>
        <v>RKTVLSKAIEKIKC</v>
      </c>
      <c r="R239" s="5">
        <f>VLOOKUP($A239,'SegEnds_NonXtal_Prot#'!$A:$AL,3,FALSE)</f>
        <v>18</v>
      </c>
      <c r="S239" s="5" t="str">
        <f>VLOOKUP($A239,'SegEnds_NonXtal_Prot#'!$A:$AL,6,FALSE)</f>
        <v>-</v>
      </c>
      <c r="T239" s="5">
        <f>VLOOKUP($A239,'SegEnds_NonXtal_Prot#'!$A:$AL,9,FALSE)</f>
        <v>52</v>
      </c>
      <c r="U239" s="5">
        <f>VLOOKUP($A239,'SegEnds_NonXtal_Prot#'!$A:$AL,12,FALSE)</f>
        <v>84</v>
      </c>
      <c r="V239" s="5">
        <f>VLOOKUP($A239,'SegEnds_NonXtal_Prot#'!$A:$AL,15,FALSE)</f>
        <v>88</v>
      </c>
      <c r="W239" s="5">
        <f>VLOOKUP($A239,'SegEnds_NonXtal_Prot#'!$A:$AL,18,FALSE)</f>
        <v>124</v>
      </c>
      <c r="X239" s="5">
        <f>VLOOKUP($A239,'SegEnds_NonXtal_Prot#'!$A:$AL,21,FALSE)</f>
        <v>132</v>
      </c>
      <c r="Y239" s="5">
        <f>VLOOKUP($A239,'SegEnds_NonXtal_Prot#'!$A:$AL,24,FALSE)</f>
        <v>170</v>
      </c>
      <c r="Z239" s="5">
        <f>VLOOKUP($A239,'SegEnds_NonXtal_Prot#'!$A:$AL,27,FALSE)</f>
        <v>178</v>
      </c>
      <c r="AA239" s="5">
        <f>VLOOKUP($A239,'SegEnds_NonXtal_Prot#'!$A:$AL,30,FALSE)</f>
        <v>261</v>
      </c>
      <c r="AB239" s="5">
        <f>VLOOKUP($A239,'SegEnds_NonXtal_Prot#'!$A:$AL,33,FALSE)</f>
        <v>309</v>
      </c>
      <c r="AC239" s="5">
        <f>VLOOKUP($A239,'SegEnds_NonXtal_Prot#'!$A:$AL,36,FALSE)</f>
        <v>333</v>
      </c>
      <c r="AD239" s="5">
        <f>VLOOKUP($A239,'SegEnds_NonXtal_Prot#'!$A:$AL,5,FALSE)</f>
        <v>43</v>
      </c>
      <c r="AE239" s="5" t="str">
        <f>VLOOKUP($A239,'SegEnds_NonXtal_Prot#'!$A:$AL,8,FALSE)</f>
        <v>-</v>
      </c>
      <c r="AF239" s="5">
        <f>VLOOKUP($A239,'SegEnds_NonXtal_Prot#'!$A:$AL,11,FALSE)</f>
        <v>82</v>
      </c>
      <c r="AG239" s="5">
        <f>VLOOKUP($A239,'SegEnds_NonXtal_Prot#'!$A:$AL,14,FALSE)</f>
        <v>87</v>
      </c>
      <c r="AH239" s="5">
        <f>VLOOKUP($A239,'SegEnds_NonXtal_Prot#'!$A:$AL,17,FALSE)</f>
        <v>123</v>
      </c>
      <c r="AI239" s="5">
        <f>VLOOKUP($A239,'SegEnds_NonXtal_Prot#'!$A:$AL,20,FALSE)</f>
        <v>131</v>
      </c>
      <c r="AJ239" s="5">
        <f>VLOOKUP($A239,'SegEnds_NonXtal_Prot#'!$A:$AL,23,FALSE)</f>
        <v>157</v>
      </c>
      <c r="AK239" s="5">
        <f>VLOOKUP($A239,'SegEnds_NonXtal_Prot#'!$A:$AL,26,FALSE)</f>
        <v>172</v>
      </c>
      <c r="AL239" s="5">
        <f>VLOOKUP($A239,'SegEnds_NonXtal_Prot#'!$A:$AL,29,FALSE)</f>
        <v>221</v>
      </c>
      <c r="AM239" s="5">
        <f>VLOOKUP($A239,'SegEnds_NonXtal_Prot#'!$A:$AL,32,FALSE)</f>
        <v>298</v>
      </c>
      <c r="AN239" s="5">
        <f>VLOOKUP($A239,'SegEnds_NonXtal_Prot#'!$A:$AL,35,FALSE)</f>
        <v>332</v>
      </c>
      <c r="AO239" s="5">
        <f>VLOOKUP($A239,'SegEnds_NonXtal_Prot#'!$A:$AL,38,FALSE)</f>
        <v>346</v>
      </c>
      <c r="AP239" s="5">
        <f t="shared" si="88"/>
        <v>25</v>
      </c>
      <c r="AQ239" s="4" t="str">
        <f t="shared" si="89"/>
        <v>-</v>
      </c>
      <c r="AR239" s="4">
        <f t="shared" si="90"/>
        <v>30</v>
      </c>
      <c r="AS239" s="4">
        <f t="shared" si="91"/>
        <v>3</v>
      </c>
      <c r="AT239" s="4">
        <f t="shared" si="92"/>
        <v>35</v>
      </c>
      <c r="AU239" s="4">
        <f t="shared" si="93"/>
        <v>7</v>
      </c>
      <c r="AV239" s="4">
        <f t="shared" si="94"/>
        <v>25</v>
      </c>
      <c r="AW239" s="4">
        <f t="shared" si="95"/>
        <v>2</v>
      </c>
      <c r="AX239" s="4">
        <f t="shared" si="96"/>
        <v>43</v>
      </c>
      <c r="AY239" s="4">
        <f t="shared" si="97"/>
        <v>37</v>
      </c>
      <c r="AZ239" s="4">
        <f t="shared" si="98"/>
        <v>23</v>
      </c>
      <c r="BA239" s="4">
        <f t="shared" si="99"/>
        <v>13</v>
      </c>
    </row>
    <row r="240" spans="1:53" x14ac:dyDescent="0.2">
      <c r="A240" s="1" t="str">
        <f>'SegEnds_NonXtal_Prot#'!A227</f>
        <v>pf2r_human</v>
      </c>
      <c r="B240" s="1" t="str">
        <f t="shared" si="75"/>
        <v>SVFFSVIFMTVGILSNSLAIAILMKAYQKSKASFLLLASGLVITDFFGHLINGAIAVFVYASFDQSNVLCSIFGICMVFSGLCPLLLGSVMAIERCIGVTKTSKHVKMMLSGVCLFAVFIALLPILGRFYLLLFSFLGLLALGVSLLCNAITGITLLRVKFKSQQHHLEMVIQLLAIMCVSCICWSPFLVTMANIGINTCETTLFALRMATWNQILDPWVYILLRKAVLKNLYKLASQCCGVHV</v>
      </c>
      <c r="C240" s="29" t="str">
        <f>IF(ISERROR(MATCH(A240,'SegEnds_Xtal_Prot#'!B:B, 0)), "NoXtal", "Xtal")</f>
        <v>NoXtal</v>
      </c>
      <c r="D240" s="4" t="str">
        <f>VLOOKUP(A240,Classification!A:D,2,FALSE)</f>
        <v>A</v>
      </c>
      <c r="E240" s="5" t="str">
        <f>VLOOKUP(A240,Seqs!A:B,2,FALSE)</f>
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</c>
      <c r="F240" s="5" t="str">
        <f t="shared" si="76"/>
        <v>SVFFSVIFMTVGILSNSLAIAILMKAY</v>
      </c>
      <c r="G240" s="4" t="str">
        <f t="shared" si="77"/>
        <v>QRFR</v>
      </c>
      <c r="H240" s="4" t="str">
        <f t="shared" si="78"/>
        <v>QKSKASFLLLASGLVITDFFGHLINGAIAVFVYAS</v>
      </c>
      <c r="I240" s="4" t="str">
        <f t="shared" si="79"/>
        <v>EWIR</v>
      </c>
      <c r="J240" s="4" t="str">
        <f t="shared" si="80"/>
        <v>FDQSNVLCSIFGICMVFSGLCPLLLGSVMAIERCIGVTK</v>
      </c>
      <c r="K240" s="4" t="str">
        <f t="shared" si="81"/>
        <v>PIFHSTKI</v>
      </c>
      <c r="L240" s="4" t="str">
        <f t="shared" si="82"/>
        <v>TSKHVKMMLSGVCLFAVFIALLPILG</v>
      </c>
      <c r="M240" s="4" t="str">
        <f t="shared" si="83"/>
        <v>CFY</v>
      </c>
      <c r="N240" s="4" t="str">
        <f t="shared" si="84"/>
        <v>RFYLLLFSFLGLLALGVSLLCNAITGITLLRVKFKSQQ</v>
      </c>
      <c r="O240" s="4" t="str">
        <f t="shared" si="85"/>
        <v>HHLEMVIQLLAIMCVSCICWSPFLVTMANIGIN</v>
      </c>
      <c r="P240" s="4" t="str">
        <f t="shared" si="86"/>
        <v>TCETTLFALRMATWNQILDPWVYILL</v>
      </c>
      <c r="Q240" s="4" t="str">
        <f t="shared" si="87"/>
        <v>RKAVLKNLYKLASQCCGVHV</v>
      </c>
      <c r="R240" s="5">
        <f>VLOOKUP($A240,'SegEnds_NonXtal_Prot#'!$A:$AL,3,FALSE)</f>
        <v>29</v>
      </c>
      <c r="S240" s="5">
        <f>VLOOKUP($A240,'SegEnds_NonXtal_Prot#'!$A:$AL,6,FALSE)</f>
        <v>56</v>
      </c>
      <c r="T240" s="5">
        <f>VLOOKUP($A240,'SegEnds_NonXtal_Prot#'!$A:$AL,9,FALSE)</f>
        <v>60</v>
      </c>
      <c r="U240" s="5">
        <f>VLOOKUP($A240,'SegEnds_NonXtal_Prot#'!$A:$AL,12,FALSE)</f>
        <v>97</v>
      </c>
      <c r="V240" s="5">
        <f>VLOOKUP($A240,'SegEnds_NonXtal_Prot#'!$A:$AL,15,FALSE)</f>
        <v>101</v>
      </c>
      <c r="W240" s="5">
        <f>VLOOKUP($A240,'SegEnds_NonXtal_Prot#'!$A:$AL,18,FALSE)</f>
        <v>140</v>
      </c>
      <c r="X240" s="5">
        <f>VLOOKUP($A240,'SegEnds_NonXtal_Prot#'!$A:$AL,21,FALSE)</f>
        <v>148</v>
      </c>
      <c r="Y240" s="5">
        <f>VLOOKUP($A240,'SegEnds_NonXtal_Prot#'!$A:$AL,24,FALSE)</f>
        <v>186</v>
      </c>
      <c r="Z240" s="5">
        <f>VLOOKUP($A240,'SegEnds_NonXtal_Prot#'!$A:$AL,27,FALSE)</f>
        <v>199</v>
      </c>
      <c r="AA240" s="5">
        <f>VLOOKUP($A240,'SegEnds_NonXtal_Prot#'!$A:$AL,30,FALSE)</f>
        <v>243</v>
      </c>
      <c r="AB240" s="5">
        <f>VLOOKUP($A240,'SegEnds_NonXtal_Prot#'!$A:$AL,33,FALSE)</f>
        <v>282</v>
      </c>
      <c r="AC240" s="5">
        <f>VLOOKUP($A240,'SegEnds_NonXtal_Prot#'!$A:$AL,36,FALSE)</f>
        <v>308</v>
      </c>
      <c r="AD240" s="5">
        <f>VLOOKUP($A240,'SegEnds_NonXtal_Prot#'!$A:$AL,5,FALSE)</f>
        <v>55</v>
      </c>
      <c r="AE240" s="5">
        <f>VLOOKUP($A240,'SegEnds_NonXtal_Prot#'!$A:$AL,8,FALSE)</f>
        <v>59</v>
      </c>
      <c r="AF240" s="5">
        <f>VLOOKUP($A240,'SegEnds_NonXtal_Prot#'!$A:$AL,11,FALSE)</f>
        <v>94</v>
      </c>
      <c r="AG240" s="5">
        <f>VLOOKUP($A240,'SegEnds_NonXtal_Prot#'!$A:$AL,14,FALSE)</f>
        <v>100</v>
      </c>
      <c r="AH240" s="5">
        <f>VLOOKUP($A240,'SegEnds_NonXtal_Prot#'!$A:$AL,17,FALSE)</f>
        <v>139</v>
      </c>
      <c r="AI240" s="5">
        <f>VLOOKUP($A240,'SegEnds_NonXtal_Prot#'!$A:$AL,20,FALSE)</f>
        <v>147</v>
      </c>
      <c r="AJ240" s="5">
        <f>VLOOKUP($A240,'SegEnds_NonXtal_Prot#'!$A:$AL,23,FALSE)</f>
        <v>173</v>
      </c>
      <c r="AK240" s="5">
        <f>VLOOKUP($A240,'SegEnds_NonXtal_Prot#'!$A:$AL,26,FALSE)</f>
        <v>188</v>
      </c>
      <c r="AL240" s="5">
        <f>VLOOKUP($A240,'SegEnds_NonXtal_Prot#'!$A:$AL,29,FALSE)</f>
        <v>236</v>
      </c>
      <c r="AM240" s="5">
        <f>VLOOKUP($A240,'SegEnds_NonXtal_Prot#'!$A:$AL,32,FALSE)</f>
        <v>275</v>
      </c>
      <c r="AN240" s="5">
        <f>VLOOKUP($A240,'SegEnds_NonXtal_Prot#'!$A:$AL,35,FALSE)</f>
        <v>307</v>
      </c>
      <c r="AO240" s="5">
        <f>VLOOKUP($A240,'SegEnds_NonXtal_Prot#'!$A:$AL,38,FALSE)</f>
        <v>327</v>
      </c>
      <c r="AP240" s="5">
        <f t="shared" si="88"/>
        <v>26</v>
      </c>
      <c r="AQ240" s="4">
        <f t="shared" si="89"/>
        <v>3</v>
      </c>
      <c r="AR240" s="4">
        <f t="shared" si="90"/>
        <v>34</v>
      </c>
      <c r="AS240" s="4">
        <f t="shared" si="91"/>
        <v>3</v>
      </c>
      <c r="AT240" s="4">
        <f t="shared" si="92"/>
        <v>38</v>
      </c>
      <c r="AU240" s="4">
        <f t="shared" si="93"/>
        <v>7</v>
      </c>
      <c r="AV240" s="4">
        <f t="shared" si="94"/>
        <v>25</v>
      </c>
      <c r="AW240" s="4">
        <f t="shared" si="95"/>
        <v>2</v>
      </c>
      <c r="AX240" s="4">
        <f t="shared" si="96"/>
        <v>37</v>
      </c>
      <c r="AY240" s="4">
        <f t="shared" si="97"/>
        <v>32</v>
      </c>
      <c r="AZ240" s="4">
        <f t="shared" si="98"/>
        <v>25</v>
      </c>
      <c r="BA240" s="4">
        <f t="shared" si="99"/>
        <v>19</v>
      </c>
    </row>
    <row r="241" spans="1:53" x14ac:dyDescent="0.2">
      <c r="A241" s="1" t="str">
        <f>'SegEnds_NonXtal_Prot#'!A229</f>
        <v>psyr_human</v>
      </c>
      <c r="B241" s="1" t="str">
        <f t="shared" si="75"/>
        <v>QHDLDHYLFPIVYIFVIIVSIPANIGSLCVSFLQASELGIYLFSLSLSDLLYALTLPLWIDYTWNKSPALCKGSAFLMYMNFYSSTAFLTCIAVDRYLAVVYTRRFALMVSLSIWILETIFNAVMLWEKWQINLNLFRTCTGYAIPLVTILICNRKVYQAVRHENKEKKRIIKLLVSITVTFVLCFTPFHVMLLIRCILEHAHSNSGKRTYTMYRITVALTSLNCVADPILYCFVTETGRYDMWNILKFCTG</v>
      </c>
      <c r="C241" s="29" t="str">
        <f>IF(ISERROR(MATCH(A241,'SegEnds_Xtal_Prot#'!B:B, 0)), "NoXtal", "Xtal")</f>
        <v>NoXtal</v>
      </c>
      <c r="D241" s="4" t="str">
        <f>VLOOKUP(A241,Classification!A:D,2,FALSE)</f>
        <v>A</v>
      </c>
      <c r="E241" s="5" t="str">
        <f>VLOOKUP(A241,Seqs!A:B,2,FALSE)</f>
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</c>
      <c r="F241" s="5" t="str">
        <f t="shared" si="76"/>
        <v>QHDLDHYLFPIVYIFVIIVSIPANIGSLCVSFLQA</v>
      </c>
      <c r="G241" s="4" t="str">
        <f t="shared" si="77"/>
        <v/>
      </c>
      <c r="H241" s="4" t="str">
        <f t="shared" si="78"/>
        <v>SELGIYLFSLSLSDLLYALTLPLWIDYTWNK</v>
      </c>
      <c r="I241" s="4" t="str">
        <f t="shared" si="79"/>
        <v>NWTF</v>
      </c>
      <c r="J241" s="4" t="str">
        <f t="shared" si="80"/>
        <v>SPALCKGSAFLMYMNFYSSTAFLTCIAVDRYLAVVY</v>
      </c>
      <c r="K241" s="4" t="str">
        <f t="shared" si="81"/>
        <v>PLKFFFLR</v>
      </c>
      <c r="L241" s="4" t="str">
        <f t="shared" si="82"/>
        <v>TRRFALMVSLSIWILETIFNAVMLWE</v>
      </c>
      <c r="M241" s="4" t="str">
        <f t="shared" si="83"/>
        <v>CYD</v>
      </c>
      <c r="N241" s="4" t="str">
        <f t="shared" si="84"/>
        <v>KWQINLNLFRTCTGYAIPLVTILICNRKVYQAVRH</v>
      </c>
      <c r="O241" s="4" t="str">
        <f t="shared" si="85"/>
        <v>ENKEKKRIIKLLVSITVTFVLCFTPFHVMLLIRCILEHA</v>
      </c>
      <c r="P241" s="4" t="str">
        <f t="shared" si="86"/>
        <v>HSNSGKRTYTMYRITVALTSLNCVADPILYCFVTET</v>
      </c>
      <c r="Q241" s="4" t="str">
        <f t="shared" si="87"/>
        <v>GRYDMWNILKFCTG</v>
      </c>
      <c r="R241" s="5">
        <f>VLOOKUP($A241,'SegEnds_NonXtal_Prot#'!$A:$AL,3,FALSE)</f>
        <v>9</v>
      </c>
      <c r="S241" s="5" t="str">
        <f>VLOOKUP($A241,'SegEnds_NonXtal_Prot#'!$A:$AL,6,FALSE)</f>
        <v>-</v>
      </c>
      <c r="T241" s="5">
        <f>VLOOKUP($A241,'SegEnds_NonXtal_Prot#'!$A:$AL,9,FALSE)</f>
        <v>47</v>
      </c>
      <c r="U241" s="5">
        <f>VLOOKUP($A241,'SegEnds_NonXtal_Prot#'!$A:$AL,12,FALSE)</f>
        <v>79</v>
      </c>
      <c r="V241" s="5">
        <f>VLOOKUP($A241,'SegEnds_NonXtal_Prot#'!$A:$AL,15,FALSE)</f>
        <v>83</v>
      </c>
      <c r="W241" s="5">
        <f>VLOOKUP($A241,'SegEnds_NonXtal_Prot#'!$A:$AL,18,FALSE)</f>
        <v>119</v>
      </c>
      <c r="X241" s="5">
        <f>VLOOKUP($A241,'SegEnds_NonXtal_Prot#'!$A:$AL,21,FALSE)</f>
        <v>127</v>
      </c>
      <c r="Y241" s="5">
        <f>VLOOKUP($A241,'SegEnds_NonXtal_Prot#'!$A:$AL,24,FALSE)</f>
        <v>170</v>
      </c>
      <c r="Z241" s="5">
        <f>VLOOKUP($A241,'SegEnds_NonXtal_Prot#'!$A:$AL,27,FALSE)</f>
        <v>178</v>
      </c>
      <c r="AA241" s="5">
        <f>VLOOKUP($A241,'SegEnds_NonXtal_Prot#'!$A:$AL,30,FALSE)</f>
        <v>217</v>
      </c>
      <c r="AB241" s="5">
        <f>VLOOKUP($A241,'SegEnds_NonXtal_Prot#'!$A:$AL,33,FALSE)</f>
        <v>261</v>
      </c>
      <c r="AC241" s="5">
        <f>VLOOKUP($A241,'SegEnds_NonXtal_Prot#'!$A:$AL,36,FALSE)</f>
        <v>297</v>
      </c>
      <c r="AD241" s="5">
        <f>VLOOKUP($A241,'SegEnds_NonXtal_Prot#'!$A:$AL,5,FALSE)</f>
        <v>43</v>
      </c>
      <c r="AE241" s="5" t="str">
        <f>VLOOKUP($A241,'SegEnds_NonXtal_Prot#'!$A:$AL,8,FALSE)</f>
        <v>-</v>
      </c>
      <c r="AF241" s="5">
        <f>VLOOKUP($A241,'SegEnds_NonXtal_Prot#'!$A:$AL,11,FALSE)</f>
        <v>77</v>
      </c>
      <c r="AG241" s="5">
        <f>VLOOKUP($A241,'SegEnds_NonXtal_Prot#'!$A:$AL,14,FALSE)</f>
        <v>82</v>
      </c>
      <c r="AH241" s="5">
        <f>VLOOKUP($A241,'SegEnds_NonXtal_Prot#'!$A:$AL,17,FALSE)</f>
        <v>118</v>
      </c>
      <c r="AI241" s="5">
        <f>VLOOKUP($A241,'SegEnds_NonXtal_Prot#'!$A:$AL,20,FALSE)</f>
        <v>126</v>
      </c>
      <c r="AJ241" s="5">
        <f>VLOOKUP($A241,'SegEnds_NonXtal_Prot#'!$A:$AL,23,FALSE)</f>
        <v>152</v>
      </c>
      <c r="AK241" s="5">
        <f>VLOOKUP($A241,'SegEnds_NonXtal_Prot#'!$A:$AL,26,FALSE)</f>
        <v>172</v>
      </c>
      <c r="AL241" s="5">
        <f>VLOOKUP($A241,'SegEnds_NonXtal_Prot#'!$A:$AL,29,FALSE)</f>
        <v>212</v>
      </c>
      <c r="AM241" s="5">
        <f>VLOOKUP($A241,'SegEnds_NonXtal_Prot#'!$A:$AL,32,FALSE)</f>
        <v>255</v>
      </c>
      <c r="AN241" s="5">
        <f>VLOOKUP($A241,'SegEnds_NonXtal_Prot#'!$A:$AL,35,FALSE)</f>
        <v>296</v>
      </c>
      <c r="AO241" s="5">
        <f>VLOOKUP($A241,'SegEnds_NonXtal_Prot#'!$A:$AL,38,FALSE)</f>
        <v>310</v>
      </c>
      <c r="AP241" s="5">
        <f t="shared" si="88"/>
        <v>34</v>
      </c>
      <c r="AQ241" s="4" t="str">
        <f t="shared" si="89"/>
        <v>-</v>
      </c>
      <c r="AR241" s="4">
        <f t="shared" si="90"/>
        <v>30</v>
      </c>
      <c r="AS241" s="4">
        <f t="shared" si="91"/>
        <v>3</v>
      </c>
      <c r="AT241" s="4">
        <f t="shared" si="92"/>
        <v>35</v>
      </c>
      <c r="AU241" s="4">
        <f t="shared" si="93"/>
        <v>7</v>
      </c>
      <c r="AV241" s="4">
        <f t="shared" si="94"/>
        <v>25</v>
      </c>
      <c r="AW241" s="4">
        <f t="shared" si="95"/>
        <v>2</v>
      </c>
      <c r="AX241" s="4">
        <f t="shared" si="96"/>
        <v>34</v>
      </c>
      <c r="AY241" s="4">
        <f t="shared" si="97"/>
        <v>38</v>
      </c>
      <c r="AZ241" s="4">
        <f t="shared" si="98"/>
        <v>35</v>
      </c>
      <c r="BA241" s="4">
        <f t="shared" si="99"/>
        <v>13</v>
      </c>
    </row>
    <row r="242" spans="1:53" x14ac:dyDescent="0.2">
      <c r="A242" s="1" t="str">
        <f>'SegEnds_NonXtal_Prot#'!A230</f>
        <v>ptafr_human</v>
      </c>
      <c r="B242" s="1" t="str">
        <f t="shared" si="75"/>
        <v>DSEFRYTLFPIVYSIIFVLGVIANGYVLWVFARLYFNEIKIFMVNLTMADMLFLITLPLWIVYYQNQPKFLCNVAGCLFFINTYCSVAFLGVITYNRFQAVTRTRKRGISLSLVIWVAIVGAASYFLILSVPVLIIHIFIVFSFFLVFLIILFCNLVIIRTLLMQQRNAEVKRRALWMVCTVLAVFIICFVPHHVVQLPWTLAELGDSKFHQAINDAHQVTLCLLSTNCVLDPVIYCFLTKKFRKHLTEKFYSMRS</v>
      </c>
      <c r="C242" s="29" t="str">
        <f>IF(ISERROR(MATCH(A242,'SegEnds_Xtal_Prot#'!B:B, 0)), "NoXtal", "Xtal")</f>
        <v>Xtal</v>
      </c>
      <c r="D242" s="4" t="str">
        <f>VLOOKUP(A242,Classification!A:D,2,FALSE)</f>
        <v>A</v>
      </c>
      <c r="E242" s="5" t="str">
        <f>VLOOKUP(A242,Seqs!A:B,2,FALSE)</f>
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</c>
      <c r="F242" s="5" t="str">
        <f t="shared" si="76"/>
        <v>DSEFRYTLFPIVYSIIFVLGVIANGYVLWVFARLY</v>
      </c>
      <c r="G242" s="4" t="str">
        <f t="shared" si="77"/>
        <v/>
      </c>
      <c r="H242" s="4" t="str">
        <f t="shared" si="78"/>
        <v>FNEIKIFMVNLTMADMLFLITLPLWIVYYQNQ</v>
      </c>
      <c r="I242" s="4" t="str">
        <f t="shared" si="79"/>
        <v>NWIL</v>
      </c>
      <c r="J242" s="4" t="str">
        <f t="shared" si="80"/>
        <v>PKFLCNVAGCLFFINTYCSVAFLGVITYNRFQAVTR</v>
      </c>
      <c r="K242" s="4" t="str">
        <f t="shared" si="81"/>
        <v>PIKTAQAN</v>
      </c>
      <c r="L242" s="4" t="str">
        <f t="shared" si="82"/>
        <v>TRKRGISLSLVIWVAIVGAASYFLIL</v>
      </c>
      <c r="M242" s="4" t="str">
        <f t="shared" si="83"/>
        <v>CFE</v>
      </c>
      <c r="N242" s="4" t="str">
        <f t="shared" si="84"/>
        <v>SVPVLIIHIFIVFSFFLVFLIILFCNLVIIRTLLMQ</v>
      </c>
      <c r="O242" s="4" t="str">
        <f t="shared" si="85"/>
        <v>QRNAEVKRRALWMVCTVLAVFIICFVPHHVVQLPWTLAELG</v>
      </c>
      <c r="P242" s="4" t="str">
        <f t="shared" si="86"/>
        <v>DSKFHQAINDAHQVTLCLLSTNCVLDPVIYCFLTKK</v>
      </c>
      <c r="Q242" s="4" t="str">
        <f t="shared" si="87"/>
        <v>FRKHLTEKFYSMRS</v>
      </c>
      <c r="R242" s="5">
        <f>VLOOKUP($A242,'SegEnds_NonXtal_Prot#'!$A:$AL,3,FALSE)</f>
        <v>10</v>
      </c>
      <c r="S242" s="5" t="str">
        <f>VLOOKUP($A242,'SegEnds_NonXtal_Prot#'!$A:$AL,6,FALSE)</f>
        <v>-</v>
      </c>
      <c r="T242" s="5">
        <f>VLOOKUP($A242,'SegEnds_NonXtal_Prot#'!$A:$AL,9,FALSE)</f>
        <v>49</v>
      </c>
      <c r="U242" s="5">
        <f>VLOOKUP($A242,'SegEnds_NonXtal_Prot#'!$A:$AL,12,FALSE)</f>
        <v>82</v>
      </c>
      <c r="V242" s="5">
        <f>VLOOKUP($A242,'SegEnds_NonXtal_Prot#'!$A:$AL,15,FALSE)</f>
        <v>86</v>
      </c>
      <c r="W242" s="5">
        <f>VLOOKUP($A242,'SegEnds_NonXtal_Prot#'!$A:$AL,18,FALSE)</f>
        <v>122</v>
      </c>
      <c r="X242" s="5">
        <f>VLOOKUP($A242,'SegEnds_NonXtal_Prot#'!$A:$AL,21,FALSE)</f>
        <v>130</v>
      </c>
      <c r="Y242" s="5">
        <f>VLOOKUP($A242,'SegEnds_NonXtal_Prot#'!$A:$AL,24,FALSE)</f>
        <v>173</v>
      </c>
      <c r="Z242" s="5">
        <f>VLOOKUP($A242,'SegEnds_NonXtal_Prot#'!$A:$AL,27,FALSE)</f>
        <v>181</v>
      </c>
      <c r="AA242" s="5">
        <f>VLOOKUP($A242,'SegEnds_NonXtal_Prot#'!$A:$AL,30,FALSE)</f>
        <v>221</v>
      </c>
      <c r="AB242" s="5">
        <f>VLOOKUP($A242,'SegEnds_NonXtal_Prot#'!$A:$AL,33,FALSE)</f>
        <v>264</v>
      </c>
      <c r="AC242" s="5">
        <f>VLOOKUP($A242,'SegEnds_NonXtal_Prot#'!$A:$AL,36,FALSE)</f>
        <v>300</v>
      </c>
      <c r="AD242" s="5">
        <f>VLOOKUP($A242,'SegEnds_NonXtal_Prot#'!$A:$AL,5,FALSE)</f>
        <v>44</v>
      </c>
      <c r="AE242" s="5" t="str">
        <f>VLOOKUP($A242,'SegEnds_NonXtal_Prot#'!$A:$AL,8,FALSE)</f>
        <v>-</v>
      </c>
      <c r="AF242" s="5">
        <f>VLOOKUP($A242,'SegEnds_NonXtal_Prot#'!$A:$AL,11,FALSE)</f>
        <v>80</v>
      </c>
      <c r="AG242" s="5">
        <f>VLOOKUP($A242,'SegEnds_NonXtal_Prot#'!$A:$AL,14,FALSE)</f>
        <v>85</v>
      </c>
      <c r="AH242" s="5">
        <f>VLOOKUP($A242,'SegEnds_NonXtal_Prot#'!$A:$AL,17,FALSE)</f>
        <v>121</v>
      </c>
      <c r="AI242" s="5">
        <f>VLOOKUP($A242,'SegEnds_NonXtal_Prot#'!$A:$AL,20,FALSE)</f>
        <v>129</v>
      </c>
      <c r="AJ242" s="5">
        <f>VLOOKUP($A242,'SegEnds_NonXtal_Prot#'!$A:$AL,23,FALSE)</f>
        <v>155</v>
      </c>
      <c r="AK242" s="5">
        <f>VLOOKUP($A242,'SegEnds_NonXtal_Prot#'!$A:$AL,26,FALSE)</f>
        <v>175</v>
      </c>
      <c r="AL242" s="5">
        <f>VLOOKUP($A242,'SegEnds_NonXtal_Prot#'!$A:$AL,29,FALSE)</f>
        <v>216</v>
      </c>
      <c r="AM242" s="5">
        <f>VLOOKUP($A242,'SegEnds_NonXtal_Prot#'!$A:$AL,32,FALSE)</f>
        <v>261</v>
      </c>
      <c r="AN242" s="5">
        <f>VLOOKUP($A242,'SegEnds_NonXtal_Prot#'!$A:$AL,35,FALSE)</f>
        <v>299</v>
      </c>
      <c r="AO242" s="5">
        <f>VLOOKUP($A242,'SegEnds_NonXtal_Prot#'!$A:$AL,38,FALSE)</f>
        <v>313</v>
      </c>
      <c r="AP242" s="5">
        <f t="shared" si="88"/>
        <v>34</v>
      </c>
      <c r="AQ242" s="4" t="str">
        <f t="shared" si="89"/>
        <v>-</v>
      </c>
      <c r="AR242" s="4">
        <f t="shared" si="90"/>
        <v>31</v>
      </c>
      <c r="AS242" s="4">
        <f t="shared" si="91"/>
        <v>3</v>
      </c>
      <c r="AT242" s="4">
        <f t="shared" si="92"/>
        <v>35</v>
      </c>
      <c r="AU242" s="4">
        <f t="shared" si="93"/>
        <v>7</v>
      </c>
      <c r="AV242" s="4">
        <f t="shared" si="94"/>
        <v>25</v>
      </c>
      <c r="AW242" s="4">
        <f t="shared" si="95"/>
        <v>2</v>
      </c>
      <c r="AX242" s="4">
        <f t="shared" si="96"/>
        <v>35</v>
      </c>
      <c r="AY242" s="4">
        <f t="shared" si="97"/>
        <v>40</v>
      </c>
      <c r="AZ242" s="4">
        <f t="shared" si="98"/>
        <v>35</v>
      </c>
      <c r="BA242" s="4">
        <f t="shared" si="99"/>
        <v>13</v>
      </c>
    </row>
    <row r="243" spans="1:53" x14ac:dyDescent="0.2">
      <c r="A243" s="1" t="str">
        <f>'SegEnds_NonXtal_Prot#'!A231</f>
        <v>qrfpr_human</v>
      </c>
      <c r="B243" s="1" t="str">
        <f t="shared" si="75"/>
        <v>AKLALVLTGVLIFALALFGNALVFYVVTRSTVTNIFICSLALSDLLITFFCIPVTMLQNISDGAFICKMVPFVQSTAVVTEILTMTCIAVERHQGLVHTNRRAFTMLGVVWLVAVIVGSPMWHVQVHQKIYTTFILVILFLLPLMVMLILYSKIGYELWIKKRVGDGKEMSKIARKKKRAVIMMVTVVALFAVCWAPFHVVHMMIEYSDVTIKMIFAIVQIIGFSNSICNPIVYAFMNENFKKNVLSAVCYCIV</v>
      </c>
      <c r="C243" s="29" t="str">
        <f>IF(ISERROR(MATCH(A243,'SegEnds_Xtal_Prot#'!B:B, 0)), "NoXtal", "Xtal")</f>
        <v>NoXtal</v>
      </c>
      <c r="D243" s="4" t="str">
        <f>VLOOKUP(A243,Classification!A:D,2,FALSE)</f>
        <v>A</v>
      </c>
      <c r="E243" s="5" t="str">
        <f>VLOOKUP(A243,Seqs!A:B,2,FALSE)</f>
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</c>
      <c r="F243" s="5" t="str">
        <f t="shared" si="76"/>
        <v>AKLALVLTGVLIFALALFGNALVFYVVTRS</v>
      </c>
      <c r="G243" s="4" t="str">
        <f t="shared" si="77"/>
        <v>KAMR</v>
      </c>
      <c r="H243" s="4" t="str">
        <f t="shared" si="78"/>
        <v>TVTNIFICSLALSDLLITFFCIPVTMLQNISD</v>
      </c>
      <c r="I243" s="4" t="str">
        <f t="shared" si="79"/>
        <v>NWLG</v>
      </c>
      <c r="J243" s="4" t="str">
        <f t="shared" si="80"/>
        <v>GAFICKMVPFVQSTAVVTEILTMTCIAVERHQGLVH</v>
      </c>
      <c r="K243" s="4" t="str">
        <f t="shared" si="81"/>
        <v>PFKMKWQY</v>
      </c>
      <c r="L243" s="4" t="str">
        <f t="shared" si="82"/>
        <v>TNRRAFTMLGVVWLVAVIVGSPMWHVQ</v>
      </c>
      <c r="M243" s="4" t="str">
        <f t="shared" si="83"/>
        <v>CLE</v>
      </c>
      <c r="N243" s="4" t="str">
        <f t="shared" si="84"/>
        <v>VHQKIYTTFILVILFLLPLMVMLILYSKIGYELWIKKRVGDG</v>
      </c>
      <c r="O243" s="4" t="str">
        <f t="shared" si="85"/>
        <v>KEMSKIARKKKRAVIMMVTVVALFAVCWAPFHVVHMMIEYS</v>
      </c>
      <c r="P243" s="4" t="str">
        <f t="shared" si="86"/>
        <v>DVTIKMIFAIVQIIGFSNSICNPIVYAFM</v>
      </c>
      <c r="Q243" s="4" t="str">
        <f t="shared" si="87"/>
        <v>NENFKKNVLSAVCYCIV</v>
      </c>
      <c r="R243" s="5">
        <f>VLOOKUP($A243,'SegEnds_NonXtal_Prot#'!$A:$AL,3,FALSE)</f>
        <v>44</v>
      </c>
      <c r="S243" s="5">
        <f>VLOOKUP($A243,'SegEnds_NonXtal_Prot#'!$A:$AL,6,FALSE)</f>
        <v>74</v>
      </c>
      <c r="T243" s="5">
        <f>VLOOKUP($A243,'SegEnds_NonXtal_Prot#'!$A:$AL,9,FALSE)</f>
        <v>78</v>
      </c>
      <c r="U243" s="5">
        <f>VLOOKUP($A243,'SegEnds_NonXtal_Prot#'!$A:$AL,12,FALSE)</f>
        <v>110</v>
      </c>
      <c r="V243" s="5">
        <f>VLOOKUP($A243,'SegEnds_NonXtal_Prot#'!$A:$AL,15,FALSE)</f>
        <v>114</v>
      </c>
      <c r="W243" s="5">
        <f>VLOOKUP($A243,'SegEnds_NonXtal_Prot#'!$A:$AL,18,FALSE)</f>
        <v>150</v>
      </c>
      <c r="X243" s="5">
        <f>VLOOKUP($A243,'SegEnds_NonXtal_Prot#'!$A:$AL,21,FALSE)</f>
        <v>158</v>
      </c>
      <c r="Y243" s="5">
        <f>VLOOKUP($A243,'SegEnds_NonXtal_Prot#'!$A:$AL,24,FALSE)</f>
        <v>201</v>
      </c>
      <c r="Z243" s="5">
        <f>VLOOKUP($A243,'SegEnds_NonXtal_Prot#'!$A:$AL,27,FALSE)</f>
        <v>209</v>
      </c>
      <c r="AA243" s="5">
        <f>VLOOKUP($A243,'SegEnds_NonXtal_Prot#'!$A:$AL,30,FALSE)</f>
        <v>259</v>
      </c>
      <c r="AB243" s="5">
        <f>VLOOKUP($A243,'SegEnds_NonXtal_Prot#'!$A:$AL,33,FALSE)</f>
        <v>307</v>
      </c>
      <c r="AC243" s="5">
        <f>VLOOKUP($A243,'SegEnds_NonXtal_Prot#'!$A:$AL,36,FALSE)</f>
        <v>336</v>
      </c>
      <c r="AD243" s="5">
        <f>VLOOKUP($A243,'SegEnds_NonXtal_Prot#'!$A:$AL,5,FALSE)</f>
        <v>73</v>
      </c>
      <c r="AE243" s="5">
        <f>VLOOKUP($A243,'SegEnds_NonXtal_Prot#'!$A:$AL,8,FALSE)</f>
        <v>77</v>
      </c>
      <c r="AF243" s="5">
        <f>VLOOKUP($A243,'SegEnds_NonXtal_Prot#'!$A:$AL,11,FALSE)</f>
        <v>109</v>
      </c>
      <c r="AG243" s="5">
        <f>VLOOKUP($A243,'SegEnds_NonXtal_Prot#'!$A:$AL,14,FALSE)</f>
        <v>113</v>
      </c>
      <c r="AH243" s="5">
        <f>VLOOKUP($A243,'SegEnds_NonXtal_Prot#'!$A:$AL,17,FALSE)</f>
        <v>149</v>
      </c>
      <c r="AI243" s="5">
        <f>VLOOKUP($A243,'SegEnds_NonXtal_Prot#'!$A:$AL,20,FALSE)</f>
        <v>157</v>
      </c>
      <c r="AJ243" s="5">
        <f>VLOOKUP($A243,'SegEnds_NonXtal_Prot#'!$A:$AL,23,FALSE)</f>
        <v>184</v>
      </c>
      <c r="AK243" s="5">
        <f>VLOOKUP($A243,'SegEnds_NonXtal_Prot#'!$A:$AL,26,FALSE)</f>
        <v>203</v>
      </c>
      <c r="AL243" s="5">
        <f>VLOOKUP($A243,'SegEnds_NonXtal_Prot#'!$A:$AL,29,FALSE)</f>
        <v>250</v>
      </c>
      <c r="AM243" s="5">
        <f>VLOOKUP($A243,'SegEnds_NonXtal_Prot#'!$A:$AL,32,FALSE)</f>
        <v>299</v>
      </c>
      <c r="AN243" s="5">
        <f>VLOOKUP($A243,'SegEnds_NonXtal_Prot#'!$A:$AL,35,FALSE)</f>
        <v>335</v>
      </c>
      <c r="AO243" s="5">
        <f>VLOOKUP($A243,'SegEnds_NonXtal_Prot#'!$A:$AL,38,FALSE)</f>
        <v>352</v>
      </c>
      <c r="AP243" s="5">
        <f t="shared" si="88"/>
        <v>29</v>
      </c>
      <c r="AQ243" s="4">
        <f t="shared" si="89"/>
        <v>3</v>
      </c>
      <c r="AR243" s="4">
        <f t="shared" si="90"/>
        <v>31</v>
      </c>
      <c r="AS243" s="4">
        <f t="shared" si="91"/>
        <v>3</v>
      </c>
      <c r="AT243" s="4">
        <f t="shared" si="92"/>
        <v>35</v>
      </c>
      <c r="AU243" s="4">
        <f t="shared" si="93"/>
        <v>7</v>
      </c>
      <c r="AV243" s="4">
        <f t="shared" si="94"/>
        <v>26</v>
      </c>
      <c r="AW243" s="4">
        <f t="shared" si="95"/>
        <v>2</v>
      </c>
      <c r="AX243" s="4">
        <f t="shared" si="96"/>
        <v>41</v>
      </c>
      <c r="AY243" s="4">
        <f t="shared" si="97"/>
        <v>40</v>
      </c>
      <c r="AZ243" s="4">
        <f t="shared" si="98"/>
        <v>28</v>
      </c>
      <c r="BA243" s="4">
        <f t="shared" si="99"/>
        <v>16</v>
      </c>
    </row>
    <row r="244" spans="1:53" x14ac:dyDescent="0.2">
      <c r="A244" s="1" t="str">
        <f>'SegEnds_NonXtal_Prot#'!A232</f>
        <v>rl3r2_human</v>
      </c>
      <c r="B244" s="1" t="str">
        <f t="shared" si="75"/>
        <v>APMPVKFLALRLMVALAYGLVGAIGLLGNLAVLWVLSNCGPPSDTFVFNLALADLGLALTLPFWAAESALGGALCKMVLTATVLNVYASIFLITALSVARYWVVAMSLFWARIATLAVWAAAALVTVPTAVFGSRYWLGAYQLQRVVLAFMVPLGVITTSYLLLLAFLQRQDSRVVARSVRILVASFFLCWFPNHVVTLWGVLVKFDNSTFYTIQTYVFPVTTCLAHSNSCLNPVLYCLLRREPRQALAGTFRD</v>
      </c>
      <c r="C244" s="29" t="str">
        <f>IF(ISERROR(MATCH(A244,'SegEnds_Xtal_Prot#'!B:B, 0)), "NoXtal", "Xtal")</f>
        <v>NoXtal</v>
      </c>
      <c r="D244" s="4" t="str">
        <f>VLOOKUP(A244,Classification!A:D,2,FALSE)</f>
        <v>A</v>
      </c>
      <c r="E244" s="5" t="str">
        <f>VLOOKUP(A244,Seqs!A:B,2,FALSE)</f>
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</c>
      <c r="F244" s="5" t="str">
        <f t="shared" si="76"/>
        <v>APMPVKFLALRLMVALAYGLVGAIGLLGNLAVLWVLSNC</v>
      </c>
      <c r="G244" s="4" t="str">
        <f t="shared" si="77"/>
        <v>RRAP</v>
      </c>
      <c r="H244" s="4" t="str">
        <f t="shared" si="78"/>
        <v>GPPSDTFVFNLALADLGLALTLPFWAAESAL</v>
      </c>
      <c r="I244" s="4" t="str">
        <f t="shared" si="79"/>
        <v>HWPF</v>
      </c>
      <c r="J244" s="4" t="str">
        <f t="shared" si="80"/>
        <v>GGALCKMVLTATVLNVYASIFLITALSVARYWVVAM</v>
      </c>
      <c r="K244" s="4" t="str">
        <f t="shared" si="81"/>
        <v>AAGPGTHL</v>
      </c>
      <c r="L244" s="4" t="str">
        <f t="shared" si="82"/>
        <v>SLFWARIATLAVWAAAALVTVPTAVFG</v>
      </c>
      <c r="M244" s="4" t="str">
        <f t="shared" si="83"/>
        <v>CLL</v>
      </c>
      <c r="N244" s="4" t="str">
        <f t="shared" si="84"/>
        <v>SRYWLGAYQLQRVVLAFMVPLGVITTSYLLLLAFLQR</v>
      </c>
      <c r="O244" s="4" t="str">
        <f t="shared" si="85"/>
        <v>QDSRVVARSVRILVASFFLCWFPNHVVTLWGVLVKFD</v>
      </c>
      <c r="P244" s="4" t="str">
        <f t="shared" si="86"/>
        <v>NSTFYTIQTYVFPVTTCLAHSNSCLNPVLYCLL</v>
      </c>
      <c r="Q244" s="4" t="str">
        <f t="shared" si="87"/>
        <v>RREPRQALAGTFRD</v>
      </c>
      <c r="R244" s="5">
        <f>VLOOKUP($A244,'SegEnds_NonXtal_Prot#'!$A:$AL,3,FALSE)</f>
        <v>29</v>
      </c>
      <c r="S244" s="5">
        <f>VLOOKUP($A244,'SegEnds_NonXtal_Prot#'!$A:$AL,6,FALSE)</f>
        <v>69</v>
      </c>
      <c r="T244" s="5">
        <f>VLOOKUP($A244,'SegEnds_NonXtal_Prot#'!$A:$AL,9,FALSE)</f>
        <v>73</v>
      </c>
      <c r="U244" s="5">
        <f>VLOOKUP($A244,'SegEnds_NonXtal_Prot#'!$A:$AL,12,FALSE)</f>
        <v>106</v>
      </c>
      <c r="V244" s="5">
        <f>VLOOKUP($A244,'SegEnds_NonXtal_Prot#'!$A:$AL,15,FALSE)</f>
        <v>110</v>
      </c>
      <c r="W244" s="5">
        <f>VLOOKUP($A244,'SegEnds_NonXtal_Prot#'!$A:$AL,18,FALSE)</f>
        <v>146</v>
      </c>
      <c r="X244" s="5">
        <f>VLOOKUP($A244,'SegEnds_NonXtal_Prot#'!$A:$AL,21,FALSE)</f>
        <v>154</v>
      </c>
      <c r="Y244" s="5">
        <f>VLOOKUP($A244,'SegEnds_NonXtal_Prot#'!$A:$AL,24,FALSE)</f>
        <v>191</v>
      </c>
      <c r="Z244" s="5">
        <f>VLOOKUP($A244,'SegEnds_NonXtal_Prot#'!$A:$AL,27,FALSE)</f>
        <v>197</v>
      </c>
      <c r="AA244" s="5">
        <f>VLOOKUP($A244,'SegEnds_NonXtal_Prot#'!$A:$AL,30,FALSE)</f>
        <v>239</v>
      </c>
      <c r="AB244" s="5">
        <f>VLOOKUP($A244,'SegEnds_NonXtal_Prot#'!$A:$AL,33,FALSE)</f>
        <v>280</v>
      </c>
      <c r="AC244" s="5">
        <f>VLOOKUP($A244,'SegEnds_NonXtal_Prot#'!$A:$AL,36,FALSE)</f>
        <v>313</v>
      </c>
      <c r="AD244" s="5">
        <f>VLOOKUP($A244,'SegEnds_NonXtal_Prot#'!$A:$AL,5,FALSE)</f>
        <v>67</v>
      </c>
      <c r="AE244" s="5">
        <f>VLOOKUP($A244,'SegEnds_NonXtal_Prot#'!$A:$AL,8,FALSE)</f>
        <v>72</v>
      </c>
      <c r="AF244" s="5">
        <f>VLOOKUP($A244,'SegEnds_NonXtal_Prot#'!$A:$AL,11,FALSE)</f>
        <v>103</v>
      </c>
      <c r="AG244" s="5">
        <f>VLOOKUP($A244,'SegEnds_NonXtal_Prot#'!$A:$AL,14,FALSE)</f>
        <v>109</v>
      </c>
      <c r="AH244" s="5">
        <f>VLOOKUP($A244,'SegEnds_NonXtal_Prot#'!$A:$AL,17,FALSE)</f>
        <v>145</v>
      </c>
      <c r="AI244" s="5">
        <f>VLOOKUP($A244,'SegEnds_NonXtal_Prot#'!$A:$AL,20,FALSE)</f>
        <v>153</v>
      </c>
      <c r="AJ244" s="5">
        <f>VLOOKUP($A244,'SegEnds_NonXtal_Prot#'!$A:$AL,23,FALSE)</f>
        <v>180</v>
      </c>
      <c r="AK244" s="5">
        <f>VLOOKUP($A244,'SegEnds_NonXtal_Prot#'!$A:$AL,26,FALSE)</f>
        <v>193</v>
      </c>
      <c r="AL244" s="5">
        <f>VLOOKUP($A244,'SegEnds_NonXtal_Prot#'!$A:$AL,29,FALSE)</f>
        <v>233</v>
      </c>
      <c r="AM244" s="5">
        <f>VLOOKUP($A244,'SegEnds_NonXtal_Prot#'!$A:$AL,32,FALSE)</f>
        <v>275</v>
      </c>
      <c r="AN244" s="5">
        <f>VLOOKUP($A244,'SegEnds_NonXtal_Prot#'!$A:$AL,35,FALSE)</f>
        <v>312</v>
      </c>
      <c r="AO244" s="5">
        <f>VLOOKUP($A244,'SegEnds_NonXtal_Prot#'!$A:$AL,38,FALSE)</f>
        <v>326</v>
      </c>
      <c r="AP244" s="5">
        <f t="shared" si="88"/>
        <v>38</v>
      </c>
      <c r="AQ244" s="4">
        <f t="shared" si="89"/>
        <v>3</v>
      </c>
      <c r="AR244" s="4">
        <f t="shared" si="90"/>
        <v>30</v>
      </c>
      <c r="AS244" s="4">
        <f t="shared" si="91"/>
        <v>3</v>
      </c>
      <c r="AT244" s="4">
        <f t="shared" si="92"/>
        <v>35</v>
      </c>
      <c r="AU244" s="4">
        <f t="shared" si="93"/>
        <v>7</v>
      </c>
      <c r="AV244" s="4">
        <f t="shared" si="94"/>
        <v>26</v>
      </c>
      <c r="AW244" s="4">
        <f t="shared" si="95"/>
        <v>2</v>
      </c>
      <c r="AX244" s="4">
        <f t="shared" si="96"/>
        <v>36</v>
      </c>
      <c r="AY244" s="4">
        <f t="shared" si="97"/>
        <v>36</v>
      </c>
      <c r="AZ244" s="4">
        <f t="shared" si="98"/>
        <v>32</v>
      </c>
      <c r="BA244" s="4">
        <f t="shared" si="99"/>
        <v>13</v>
      </c>
    </row>
    <row r="245" spans="1:53" x14ac:dyDescent="0.2">
      <c r="A245" s="1" t="str">
        <f>'SegEnds_NonXtal_Prot#'!A233</f>
        <v>s1pr4_human</v>
      </c>
      <c r="B245" s="1" t="str">
        <f t="shared" si="75"/>
        <v>DGGLGALRGLSVAASCLVVLENLLVLAAITSHRWVYYCLVNITLSDLLTGAAYLANVLLAPAQWFLREGLLFTALAASTFSLLFTAGERFATMVRKTSRVYGFIGLCWLLAALLGMLPLLGSKRYILFCLVIFAGVLATIMGLYGAIFRLVQASRPAARRKARRLLKTVLMILLAFLVCWGPLFGLLLADVFGEYLRGMDWILALAVLNSAVNPIIYSFRSREVCRAVLSFLC</v>
      </c>
      <c r="C245" s="29" t="str">
        <f>IF(ISERROR(MATCH(A245,'SegEnds_Xtal_Prot#'!B:B, 0)), "NoXtal", "Xtal")</f>
        <v>NoXtal</v>
      </c>
      <c r="D245" s="4" t="str">
        <f>VLOOKUP(A245,Classification!A:D,2,FALSE)</f>
        <v>A</v>
      </c>
      <c r="E245" s="5" t="str">
        <f>VLOOKUP(A245,Seqs!A:B,2,FALSE)</f>
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</c>
      <c r="F245" s="5" t="str">
        <f t="shared" si="76"/>
        <v>DGGLGALRGLSVAASCLVVLENLLVLAAITSH</v>
      </c>
      <c r="G245" s="4" t="str">
        <f t="shared" si="77"/>
        <v>MRSR</v>
      </c>
      <c r="H245" s="4" t="str">
        <f t="shared" si="78"/>
        <v>RWVYYCLVNITLSDLLTGAAYLANVLL</v>
      </c>
      <c r="I245" s="4" t="str">
        <f t="shared" si="79"/>
        <v>GARTFRL</v>
      </c>
      <c r="J245" s="4" t="str">
        <f t="shared" si="80"/>
        <v>APAQWFLREGLLFTALAASTFSLLFTAGERFATMVR</v>
      </c>
      <c r="K245" s="4" t="str">
        <f t="shared" si="81"/>
        <v>PVAESGAT</v>
      </c>
      <c r="L245" s="4" t="str">
        <f t="shared" si="82"/>
        <v>KTSRVYGFIGLCWLLAALLGMLPLLG</v>
      </c>
      <c r="M245" s="4" t="str">
        <f t="shared" si="83"/>
        <v/>
      </c>
      <c r="N245" s="4" t="str">
        <f t="shared" si="84"/>
        <v>SKRYILFCLVIFAGVLATIMGLYGAIFRLVQAS</v>
      </c>
      <c r="O245" s="4" t="str">
        <f t="shared" si="85"/>
        <v>RPAARRKARRLLKTVLMILLAFLVCWGPLFGLLLADVFG</v>
      </c>
      <c r="P245" s="4" t="str">
        <f t="shared" si="86"/>
        <v>EYLRGMDWILALAVLNSAVNPIIYSFR</v>
      </c>
      <c r="Q245" s="4" t="str">
        <f t="shared" si="87"/>
        <v>SREVCRAVLSFLC</v>
      </c>
      <c r="R245" s="5">
        <f>VLOOKUP($A245,'SegEnds_NonXtal_Prot#'!$A:$AL,3,FALSE)</f>
        <v>43</v>
      </c>
      <c r="S245" s="5">
        <f>VLOOKUP($A245,'SegEnds_NonXtal_Prot#'!$A:$AL,6,FALSE)</f>
        <v>75</v>
      </c>
      <c r="T245" s="5">
        <f>VLOOKUP($A245,'SegEnds_NonXtal_Prot#'!$A:$AL,9,FALSE)</f>
        <v>79</v>
      </c>
      <c r="U245" s="5">
        <f>VLOOKUP($A245,'SegEnds_NonXtal_Prot#'!$A:$AL,12,FALSE)</f>
        <v>107</v>
      </c>
      <c r="V245" s="5">
        <f>VLOOKUP($A245,'SegEnds_NonXtal_Prot#'!$A:$AL,15,FALSE)</f>
        <v>114</v>
      </c>
      <c r="W245" s="5">
        <f>VLOOKUP($A245,'SegEnds_NonXtal_Prot#'!$A:$AL,18,FALSE)</f>
        <v>150</v>
      </c>
      <c r="X245" s="5">
        <f>VLOOKUP($A245,'SegEnds_NonXtal_Prot#'!$A:$AL,21,FALSE)</f>
        <v>158</v>
      </c>
      <c r="Y245" s="5" t="str">
        <f>VLOOKUP($A245,'SegEnds_NonXtal_Prot#'!$A:$AL,24,FALSE)</f>
        <v>-</v>
      </c>
      <c r="Z245" s="5">
        <f>VLOOKUP($A245,'SegEnds_NonXtal_Prot#'!$A:$AL,27,FALSE)</f>
        <v>201</v>
      </c>
      <c r="AA245" s="5">
        <f>VLOOKUP($A245,'SegEnds_NonXtal_Prot#'!$A:$AL,30,FALSE)</f>
        <v>239</v>
      </c>
      <c r="AB245" s="5">
        <f>VLOOKUP($A245,'SegEnds_NonXtal_Prot#'!$A:$AL,33,FALSE)</f>
        <v>284</v>
      </c>
      <c r="AC245" s="5">
        <f>VLOOKUP($A245,'SegEnds_NonXtal_Prot#'!$A:$AL,36,FALSE)</f>
        <v>311</v>
      </c>
      <c r="AD245" s="5">
        <f>VLOOKUP($A245,'SegEnds_NonXtal_Prot#'!$A:$AL,5,FALSE)</f>
        <v>74</v>
      </c>
      <c r="AE245" s="5">
        <f>VLOOKUP($A245,'SegEnds_NonXtal_Prot#'!$A:$AL,8,FALSE)</f>
        <v>78</v>
      </c>
      <c r="AF245" s="5">
        <f>VLOOKUP($A245,'SegEnds_NonXtal_Prot#'!$A:$AL,11,FALSE)</f>
        <v>105</v>
      </c>
      <c r="AG245" s="5">
        <f>VLOOKUP($A245,'SegEnds_NonXtal_Prot#'!$A:$AL,14,FALSE)</f>
        <v>113</v>
      </c>
      <c r="AH245" s="5">
        <f>VLOOKUP($A245,'SegEnds_NonXtal_Prot#'!$A:$AL,17,FALSE)</f>
        <v>149</v>
      </c>
      <c r="AI245" s="5">
        <f>VLOOKUP($A245,'SegEnds_NonXtal_Prot#'!$A:$AL,20,FALSE)</f>
        <v>157</v>
      </c>
      <c r="AJ245" s="5">
        <f>VLOOKUP($A245,'SegEnds_NonXtal_Prot#'!$A:$AL,23,FALSE)</f>
        <v>183</v>
      </c>
      <c r="AK245" s="5" t="str">
        <f>VLOOKUP($A245,'SegEnds_NonXtal_Prot#'!$A:$AL,26,FALSE)</f>
        <v>-</v>
      </c>
      <c r="AL245" s="5">
        <f>VLOOKUP($A245,'SegEnds_NonXtal_Prot#'!$A:$AL,29,FALSE)</f>
        <v>233</v>
      </c>
      <c r="AM245" s="5">
        <f>VLOOKUP($A245,'SegEnds_NonXtal_Prot#'!$A:$AL,32,FALSE)</f>
        <v>277</v>
      </c>
      <c r="AN245" s="5">
        <f>VLOOKUP($A245,'SegEnds_NonXtal_Prot#'!$A:$AL,35,FALSE)</f>
        <v>310</v>
      </c>
      <c r="AO245" s="5">
        <f>VLOOKUP($A245,'SegEnds_NonXtal_Prot#'!$A:$AL,38,FALSE)</f>
        <v>323</v>
      </c>
      <c r="AP245" s="5">
        <f t="shared" si="88"/>
        <v>31</v>
      </c>
      <c r="AQ245" s="4">
        <f t="shared" si="89"/>
        <v>3</v>
      </c>
      <c r="AR245" s="4">
        <f t="shared" si="90"/>
        <v>26</v>
      </c>
      <c r="AS245" s="4">
        <f t="shared" si="91"/>
        <v>6</v>
      </c>
      <c r="AT245" s="4">
        <f t="shared" si="92"/>
        <v>35</v>
      </c>
      <c r="AU245" s="4">
        <f t="shared" si="93"/>
        <v>7</v>
      </c>
      <c r="AV245" s="4">
        <f t="shared" si="94"/>
        <v>25</v>
      </c>
      <c r="AW245" s="4" t="str">
        <f t="shared" si="95"/>
        <v>-</v>
      </c>
      <c r="AX245" s="4">
        <f t="shared" si="96"/>
        <v>32</v>
      </c>
      <c r="AY245" s="4">
        <f t="shared" si="97"/>
        <v>38</v>
      </c>
      <c r="AZ245" s="4">
        <f t="shared" si="98"/>
        <v>26</v>
      </c>
      <c r="BA245" s="4">
        <f t="shared" si="99"/>
        <v>12</v>
      </c>
    </row>
    <row r="246" spans="1:53" x14ac:dyDescent="0.2">
      <c r="A246" s="1" t="str">
        <f>'SegEnds_NonXtal_Prot#'!A234</f>
        <v>ssr1_human</v>
      </c>
      <c r="B246" s="1" t="str">
        <f t="shared" si="75"/>
        <v>GSAILISFIYSVVCLVGLCGNSMVIYVILRYTATNIYILNLAIADELLMLSVPFLVTSTLLGALLCRLVLSVDAVNMFTSIYCLTVLSVDRYVAVVHRPTVAKVVNLGVWVLSLLVILPIVVFSPAQRWLVGFVLYTFLMGFLLPVGAICLCYVLIIAKMRMVWQQRKRSERKITLMVMMVVMVFVICWMPFYVVQLVNVFAATVSQLSVILGYANSCANPILYGFLSDNFKRSFQRILC</v>
      </c>
      <c r="C246" s="29" t="str">
        <f>IF(ISERROR(MATCH(A246,'SegEnds_Xtal_Prot#'!B:B, 0)), "NoXtal", "Xtal")</f>
        <v>NoXtal</v>
      </c>
      <c r="D246" s="4" t="str">
        <f>VLOOKUP(A246,Classification!A:D,2,FALSE)</f>
        <v>A</v>
      </c>
      <c r="E246" s="5" t="str">
        <f>VLOOKUP(A246,Seqs!A:B,2,FALSE)</f>
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</c>
      <c r="F246" s="5" t="str">
        <f t="shared" si="76"/>
        <v>GSAILISFIYSVVCLVGLCGNSMVIYVILRY</v>
      </c>
      <c r="G246" s="4" t="str">
        <f t="shared" si="77"/>
        <v>AKMK</v>
      </c>
      <c r="H246" s="4" t="str">
        <f t="shared" si="78"/>
        <v>TATNIYILNLAIADELLMLSVPFLVTSTLL</v>
      </c>
      <c r="I246" s="4" t="str">
        <f t="shared" si="79"/>
        <v>HWPF</v>
      </c>
      <c r="J246" s="4" t="str">
        <f t="shared" si="80"/>
        <v>GALLCRLVLSVDAVNMFTSIYCLTVLSVDRYVAVVH</v>
      </c>
      <c r="K246" s="4" t="str">
        <f t="shared" si="81"/>
        <v>PIKAARYR</v>
      </c>
      <c r="L246" s="4" t="str">
        <f t="shared" si="82"/>
        <v>RPTVAKVVNLGVWVLSLLVILPIVVFS</v>
      </c>
      <c r="M246" s="4" t="str">
        <f t="shared" si="83"/>
        <v>CNM</v>
      </c>
      <c r="N246" s="4" t="str">
        <f t="shared" si="84"/>
        <v>PAQRWLVGFVLYTFLMGFLLPVGAICLCYVLIIAKMRMV</v>
      </c>
      <c r="O246" s="4" t="str">
        <f t="shared" si="85"/>
        <v>WQQRKRSERKITLMVMMVVMVFVICWMPFYVVQLVNVFA</v>
      </c>
      <c r="P246" s="4" t="str">
        <f t="shared" si="86"/>
        <v>ATVSQLSVILGYANSCANPILYGFL</v>
      </c>
      <c r="Q246" s="4" t="str">
        <f t="shared" si="87"/>
        <v>SDNFKRSFQRILC</v>
      </c>
      <c r="R246" s="5">
        <f>VLOOKUP($A246,'SegEnds_NonXtal_Prot#'!$A:$AL,3,FALSE)</f>
        <v>56</v>
      </c>
      <c r="S246" s="5">
        <f>VLOOKUP($A246,'SegEnds_NonXtal_Prot#'!$A:$AL,6,FALSE)</f>
        <v>87</v>
      </c>
      <c r="T246" s="5">
        <f>VLOOKUP($A246,'SegEnds_NonXtal_Prot#'!$A:$AL,9,FALSE)</f>
        <v>91</v>
      </c>
      <c r="U246" s="5">
        <f>VLOOKUP($A246,'SegEnds_NonXtal_Prot#'!$A:$AL,12,FALSE)</f>
        <v>122</v>
      </c>
      <c r="V246" s="5">
        <f>VLOOKUP($A246,'SegEnds_NonXtal_Prot#'!$A:$AL,15,FALSE)</f>
        <v>126</v>
      </c>
      <c r="W246" s="5">
        <f>VLOOKUP($A246,'SegEnds_NonXtal_Prot#'!$A:$AL,18,FALSE)</f>
        <v>162</v>
      </c>
      <c r="X246" s="5">
        <f>VLOOKUP($A246,'SegEnds_NonXtal_Prot#'!$A:$AL,21,FALSE)</f>
        <v>170</v>
      </c>
      <c r="Y246" s="5">
        <f>VLOOKUP($A246,'SegEnds_NonXtal_Prot#'!$A:$AL,24,FALSE)</f>
        <v>208</v>
      </c>
      <c r="Z246" s="5">
        <f>VLOOKUP($A246,'SegEnds_NonXtal_Prot#'!$A:$AL,27,FALSE)</f>
        <v>215</v>
      </c>
      <c r="AA246" s="5">
        <f>VLOOKUP($A246,'SegEnds_NonXtal_Prot#'!$A:$AL,30,FALSE)</f>
        <v>259</v>
      </c>
      <c r="AB246" s="5">
        <f>VLOOKUP($A246,'SegEnds_NonXtal_Prot#'!$A:$AL,33,FALSE)</f>
        <v>302</v>
      </c>
      <c r="AC246" s="5">
        <f>VLOOKUP($A246,'SegEnds_NonXtal_Prot#'!$A:$AL,36,FALSE)</f>
        <v>327</v>
      </c>
      <c r="AD246" s="5">
        <f>VLOOKUP($A246,'SegEnds_NonXtal_Prot#'!$A:$AL,5,FALSE)</f>
        <v>86</v>
      </c>
      <c r="AE246" s="5">
        <f>VLOOKUP($A246,'SegEnds_NonXtal_Prot#'!$A:$AL,8,FALSE)</f>
        <v>90</v>
      </c>
      <c r="AF246" s="5">
        <f>VLOOKUP($A246,'SegEnds_NonXtal_Prot#'!$A:$AL,11,FALSE)</f>
        <v>120</v>
      </c>
      <c r="AG246" s="5">
        <f>VLOOKUP($A246,'SegEnds_NonXtal_Prot#'!$A:$AL,14,FALSE)</f>
        <v>125</v>
      </c>
      <c r="AH246" s="5">
        <f>VLOOKUP($A246,'SegEnds_NonXtal_Prot#'!$A:$AL,17,FALSE)</f>
        <v>161</v>
      </c>
      <c r="AI246" s="5">
        <f>VLOOKUP($A246,'SegEnds_NonXtal_Prot#'!$A:$AL,20,FALSE)</f>
        <v>169</v>
      </c>
      <c r="AJ246" s="5">
        <f>VLOOKUP($A246,'SegEnds_NonXtal_Prot#'!$A:$AL,23,FALSE)</f>
        <v>196</v>
      </c>
      <c r="AK246" s="5">
        <f>VLOOKUP($A246,'SegEnds_NonXtal_Prot#'!$A:$AL,26,FALSE)</f>
        <v>210</v>
      </c>
      <c r="AL246" s="5">
        <f>VLOOKUP($A246,'SegEnds_NonXtal_Prot#'!$A:$AL,29,FALSE)</f>
        <v>253</v>
      </c>
      <c r="AM246" s="5">
        <f>VLOOKUP($A246,'SegEnds_NonXtal_Prot#'!$A:$AL,32,FALSE)</f>
        <v>297</v>
      </c>
      <c r="AN246" s="5">
        <f>VLOOKUP($A246,'SegEnds_NonXtal_Prot#'!$A:$AL,35,FALSE)</f>
        <v>326</v>
      </c>
      <c r="AO246" s="5">
        <f>VLOOKUP($A246,'SegEnds_NonXtal_Prot#'!$A:$AL,38,FALSE)</f>
        <v>339</v>
      </c>
      <c r="AP246" s="5">
        <f t="shared" si="88"/>
        <v>30</v>
      </c>
      <c r="AQ246" s="4">
        <f t="shared" si="89"/>
        <v>3</v>
      </c>
      <c r="AR246" s="4">
        <f t="shared" si="90"/>
        <v>29</v>
      </c>
      <c r="AS246" s="4">
        <f t="shared" si="91"/>
        <v>3</v>
      </c>
      <c r="AT246" s="4">
        <f t="shared" si="92"/>
        <v>35</v>
      </c>
      <c r="AU246" s="4">
        <f t="shared" si="93"/>
        <v>7</v>
      </c>
      <c r="AV246" s="4">
        <f t="shared" si="94"/>
        <v>26</v>
      </c>
      <c r="AW246" s="4">
        <f t="shared" si="95"/>
        <v>2</v>
      </c>
      <c r="AX246" s="4">
        <f t="shared" si="96"/>
        <v>38</v>
      </c>
      <c r="AY246" s="4">
        <f t="shared" si="97"/>
        <v>38</v>
      </c>
      <c r="AZ246" s="4">
        <f t="shared" si="98"/>
        <v>24</v>
      </c>
      <c r="BA246" s="4">
        <f t="shared" si="99"/>
        <v>12</v>
      </c>
    </row>
    <row r="247" spans="1:53" x14ac:dyDescent="0.2">
      <c r="A247" s="1" t="str">
        <f>'SegEnds_NonXtal_Prot#'!A235</f>
        <v>ssr2_human</v>
      </c>
      <c r="B247" s="1" t="str">
        <f t="shared" si="75"/>
        <v>TSNAVLTFIYFVVCIIGLCGNTLVIYVILRYTITNIYILNLAIADELFMLGLPFLAMQVALGKAICRVVMTVDGINQFTSIFCLTVMSIDRYLAVVHRPRTAKMITMAVWGVSLLVILPIMIYAESGAWYTGFIIYTFILGFLVPLTIICLCYLFIIIKVKSSSSKRKKSEKKVTRMVSIVVAVFIFCWLPFYIFNVSSVSMTPALKGMFDFVVVLTYANSCANPILYAFLSDNFKKSFQNVLC</v>
      </c>
      <c r="C247" s="29" t="str">
        <f>IF(ISERROR(MATCH(A247,'SegEnds_Xtal_Prot#'!B:B, 0)), "NoXtal", "Xtal")</f>
        <v>NoXtal</v>
      </c>
      <c r="D247" s="4" t="str">
        <f>VLOOKUP(A247,Classification!A:D,2,FALSE)</f>
        <v>A</v>
      </c>
      <c r="E247" s="5" t="str">
        <f>VLOOKUP(A247,Seqs!A:B,2,FALSE)</f>
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</c>
      <c r="F247" s="5" t="str">
        <f t="shared" si="76"/>
        <v>TSNAVLTFIYFVVCIIGLCGNTLVIYVILRY</v>
      </c>
      <c r="G247" s="4" t="str">
        <f t="shared" si="77"/>
        <v>AKMK</v>
      </c>
      <c r="H247" s="4" t="str">
        <f t="shared" si="78"/>
        <v>TITNIYILNLAIADELFMLGLPFLAMQVAL</v>
      </c>
      <c r="I247" s="4" t="str">
        <f t="shared" si="79"/>
        <v>HWPF</v>
      </c>
      <c r="J247" s="4" t="str">
        <f t="shared" si="80"/>
        <v>GKAICRVVMTVDGINQFTSIFCLTVMSIDRYLAVVH</v>
      </c>
      <c r="K247" s="4" t="str">
        <f t="shared" si="81"/>
        <v>PIKSAKWR</v>
      </c>
      <c r="L247" s="4" t="str">
        <f t="shared" si="82"/>
        <v>RPRTAKMITMAVWGVSLLVILPIMIYA</v>
      </c>
      <c r="M247" s="4" t="str">
        <f t="shared" si="83"/>
        <v>CTI</v>
      </c>
      <c r="N247" s="4" t="str">
        <f t="shared" si="84"/>
        <v>ESGAWYTGFIIYTFILGFLVPLTIICLCYLFIIIKVKSS</v>
      </c>
      <c r="O247" s="4" t="str">
        <f t="shared" si="85"/>
        <v>SSKRKKSEKKVTRMVSIVVAVFIFCWLPFYIFNVSSVSM</v>
      </c>
      <c r="P247" s="4" t="str">
        <f t="shared" si="86"/>
        <v>TPALKGMFDFVVVLTYANSCANPILYAFL</v>
      </c>
      <c r="Q247" s="4" t="str">
        <f t="shared" si="87"/>
        <v>SDNFKKSFQNVLC</v>
      </c>
      <c r="R247" s="5">
        <f>VLOOKUP($A247,'SegEnds_NonXtal_Prot#'!$A:$AL,3,FALSE)</f>
        <v>41</v>
      </c>
      <c r="S247" s="5">
        <f>VLOOKUP($A247,'SegEnds_NonXtal_Prot#'!$A:$AL,6,FALSE)</f>
        <v>72</v>
      </c>
      <c r="T247" s="5">
        <f>VLOOKUP($A247,'SegEnds_NonXtal_Prot#'!$A:$AL,9,FALSE)</f>
        <v>76</v>
      </c>
      <c r="U247" s="5">
        <f>VLOOKUP($A247,'SegEnds_NonXtal_Prot#'!$A:$AL,12,FALSE)</f>
        <v>107</v>
      </c>
      <c r="V247" s="5">
        <f>VLOOKUP($A247,'SegEnds_NonXtal_Prot#'!$A:$AL,15,FALSE)</f>
        <v>111</v>
      </c>
      <c r="W247" s="5">
        <f>VLOOKUP($A247,'SegEnds_NonXtal_Prot#'!$A:$AL,18,FALSE)</f>
        <v>147</v>
      </c>
      <c r="X247" s="5">
        <f>VLOOKUP($A247,'SegEnds_NonXtal_Prot#'!$A:$AL,21,FALSE)</f>
        <v>155</v>
      </c>
      <c r="Y247" s="5">
        <f>VLOOKUP($A247,'SegEnds_NonXtal_Prot#'!$A:$AL,24,FALSE)</f>
        <v>193</v>
      </c>
      <c r="Z247" s="5">
        <f>VLOOKUP($A247,'SegEnds_NonXtal_Prot#'!$A:$AL,27,FALSE)</f>
        <v>200</v>
      </c>
      <c r="AA247" s="5">
        <f>VLOOKUP($A247,'SegEnds_NonXtal_Prot#'!$A:$AL,30,FALSE)</f>
        <v>244</v>
      </c>
      <c r="AB247" s="5">
        <f>VLOOKUP($A247,'SegEnds_NonXtal_Prot#'!$A:$AL,33,FALSE)</f>
        <v>287</v>
      </c>
      <c r="AC247" s="5">
        <f>VLOOKUP($A247,'SegEnds_NonXtal_Prot#'!$A:$AL,36,FALSE)</f>
        <v>316</v>
      </c>
      <c r="AD247" s="5">
        <f>VLOOKUP($A247,'SegEnds_NonXtal_Prot#'!$A:$AL,5,FALSE)</f>
        <v>71</v>
      </c>
      <c r="AE247" s="5">
        <f>VLOOKUP($A247,'SegEnds_NonXtal_Prot#'!$A:$AL,8,FALSE)</f>
        <v>75</v>
      </c>
      <c r="AF247" s="5">
        <f>VLOOKUP($A247,'SegEnds_NonXtal_Prot#'!$A:$AL,11,FALSE)</f>
        <v>105</v>
      </c>
      <c r="AG247" s="5">
        <f>VLOOKUP($A247,'SegEnds_NonXtal_Prot#'!$A:$AL,14,FALSE)</f>
        <v>110</v>
      </c>
      <c r="AH247" s="5">
        <f>VLOOKUP($A247,'SegEnds_NonXtal_Prot#'!$A:$AL,17,FALSE)</f>
        <v>146</v>
      </c>
      <c r="AI247" s="5">
        <f>VLOOKUP($A247,'SegEnds_NonXtal_Prot#'!$A:$AL,20,FALSE)</f>
        <v>154</v>
      </c>
      <c r="AJ247" s="5">
        <f>VLOOKUP($A247,'SegEnds_NonXtal_Prot#'!$A:$AL,23,FALSE)</f>
        <v>181</v>
      </c>
      <c r="AK247" s="5">
        <f>VLOOKUP($A247,'SegEnds_NonXtal_Prot#'!$A:$AL,26,FALSE)</f>
        <v>195</v>
      </c>
      <c r="AL247" s="5">
        <f>VLOOKUP($A247,'SegEnds_NonXtal_Prot#'!$A:$AL,29,FALSE)</f>
        <v>238</v>
      </c>
      <c r="AM247" s="5">
        <f>VLOOKUP($A247,'SegEnds_NonXtal_Prot#'!$A:$AL,32,FALSE)</f>
        <v>282</v>
      </c>
      <c r="AN247" s="5">
        <f>VLOOKUP($A247,'SegEnds_NonXtal_Prot#'!$A:$AL,35,FALSE)</f>
        <v>315</v>
      </c>
      <c r="AO247" s="5">
        <f>VLOOKUP($A247,'SegEnds_NonXtal_Prot#'!$A:$AL,38,FALSE)</f>
        <v>328</v>
      </c>
      <c r="AP247" s="5">
        <f t="shared" si="88"/>
        <v>30</v>
      </c>
      <c r="AQ247" s="4">
        <f t="shared" si="89"/>
        <v>3</v>
      </c>
      <c r="AR247" s="4">
        <f t="shared" si="90"/>
        <v>29</v>
      </c>
      <c r="AS247" s="4">
        <f t="shared" si="91"/>
        <v>3</v>
      </c>
      <c r="AT247" s="4">
        <f t="shared" si="92"/>
        <v>35</v>
      </c>
      <c r="AU247" s="4">
        <f t="shared" si="93"/>
        <v>7</v>
      </c>
      <c r="AV247" s="4">
        <f t="shared" si="94"/>
        <v>26</v>
      </c>
      <c r="AW247" s="4">
        <f t="shared" si="95"/>
        <v>2</v>
      </c>
      <c r="AX247" s="4">
        <f t="shared" si="96"/>
        <v>38</v>
      </c>
      <c r="AY247" s="4">
        <f t="shared" si="97"/>
        <v>38</v>
      </c>
      <c r="AZ247" s="4">
        <f t="shared" si="98"/>
        <v>28</v>
      </c>
      <c r="BA247" s="4">
        <f t="shared" si="99"/>
        <v>12</v>
      </c>
    </row>
    <row r="248" spans="1:53" x14ac:dyDescent="0.2">
      <c r="A248" s="1" t="str">
        <f>'SegEnds_NonXtal_Prot#'!A236</f>
        <v>ssr3_human</v>
      </c>
      <c r="B248" s="1" t="str">
        <f t="shared" si="75"/>
        <v>VSGVLIPLVYLVVCVVGLLGNSLVIYVVLRHSVTNVYILNLALADELFMLGLPFLAAQNALGSLMCRLVMAVDGINQFTSIFCLTVMSVDRYLAVVHTAPVARTVSAAVWVASAVVVLPVVVFSPAAAWRAGFIIYTAALGFFGPLLVICLCYLLIVVKVRSAGRRVQRRRRSERRVTRMVVAVVALFVLCWMPFYVLNIVNVVCEPAFFGLYFLVVALPYANSCANPILYGFLSYRFKQGFRRVLL</v>
      </c>
      <c r="C248" s="29" t="str">
        <f>IF(ISERROR(MATCH(A248,'SegEnds_Xtal_Prot#'!B:B, 0)), "NoXtal", "Xtal")</f>
        <v>NoXtal</v>
      </c>
      <c r="D248" s="4" t="str">
        <f>VLOOKUP(A248,Classification!A:D,2,FALSE)</f>
        <v>A</v>
      </c>
      <c r="E248" s="5" t="str">
        <f>VLOOKUP(A248,Seqs!A:B,2,FALSE)</f>
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</c>
      <c r="F248" s="5" t="str">
        <f t="shared" si="76"/>
        <v>VSGVLIPLVYLVVCVVGLLGNSLVIYVVLRH</v>
      </c>
      <c r="G248" s="4" t="str">
        <f t="shared" si="77"/>
        <v>TASP</v>
      </c>
      <c r="H248" s="4" t="str">
        <f t="shared" si="78"/>
        <v>SVTNVYILNLALADELFMLGLPFLAAQNAL</v>
      </c>
      <c r="I248" s="4" t="str">
        <f t="shared" si="79"/>
        <v>YWPF</v>
      </c>
      <c r="J248" s="4" t="str">
        <f t="shared" si="80"/>
        <v>GSLMCRLVMAVDGINQFTSIFCLTVMSVDRYLAVVH</v>
      </c>
      <c r="K248" s="4" t="str">
        <f t="shared" si="81"/>
        <v>PTRSARWR</v>
      </c>
      <c r="L248" s="4" t="str">
        <f t="shared" si="82"/>
        <v>TAPVARTVSAAVWVASAVVVLPVVVFS</v>
      </c>
      <c r="M248" s="4" t="str">
        <f t="shared" si="83"/>
        <v>CHM</v>
      </c>
      <c r="N248" s="4" t="str">
        <f t="shared" si="84"/>
        <v>PAAAWRAGFIIYTAALGFFGPLLVICLCYLLIVVKVRSAGRRV</v>
      </c>
      <c r="O248" s="4" t="str">
        <f t="shared" si="85"/>
        <v>QRRRRSERRVTRMVVAVVALFVLCWMPFYVLNIVNVVC</v>
      </c>
      <c r="P248" s="4" t="str">
        <f t="shared" si="86"/>
        <v>EPAFFGLYFLVVALPYANSCANPILYGFL</v>
      </c>
      <c r="Q248" s="4" t="str">
        <f t="shared" si="87"/>
        <v>SYRFKQGFRRVLL</v>
      </c>
      <c r="R248" s="5">
        <f>VLOOKUP($A248,'SegEnds_NonXtal_Prot#'!$A:$AL,3,FALSE)</f>
        <v>42</v>
      </c>
      <c r="S248" s="5">
        <f>VLOOKUP($A248,'SegEnds_NonXtal_Prot#'!$A:$AL,6,FALSE)</f>
        <v>73</v>
      </c>
      <c r="T248" s="5">
        <f>VLOOKUP($A248,'SegEnds_NonXtal_Prot#'!$A:$AL,9,FALSE)</f>
        <v>77</v>
      </c>
      <c r="U248" s="5">
        <f>VLOOKUP($A248,'SegEnds_NonXtal_Prot#'!$A:$AL,12,FALSE)</f>
        <v>108</v>
      </c>
      <c r="V248" s="5">
        <f>VLOOKUP($A248,'SegEnds_NonXtal_Prot#'!$A:$AL,15,FALSE)</f>
        <v>112</v>
      </c>
      <c r="W248" s="5">
        <f>VLOOKUP($A248,'SegEnds_NonXtal_Prot#'!$A:$AL,18,FALSE)</f>
        <v>148</v>
      </c>
      <c r="X248" s="5">
        <f>VLOOKUP($A248,'SegEnds_NonXtal_Prot#'!$A:$AL,21,FALSE)</f>
        <v>156</v>
      </c>
      <c r="Y248" s="5">
        <f>VLOOKUP($A248,'SegEnds_NonXtal_Prot#'!$A:$AL,24,FALSE)</f>
        <v>191</v>
      </c>
      <c r="Z248" s="5">
        <f>VLOOKUP($A248,'SegEnds_NonXtal_Prot#'!$A:$AL,27,FALSE)</f>
        <v>198</v>
      </c>
      <c r="AA248" s="5">
        <f>VLOOKUP($A248,'SegEnds_NonXtal_Prot#'!$A:$AL,30,FALSE)</f>
        <v>246</v>
      </c>
      <c r="AB248" s="5">
        <f>VLOOKUP($A248,'SegEnds_NonXtal_Prot#'!$A:$AL,33,FALSE)</f>
        <v>288</v>
      </c>
      <c r="AC248" s="5">
        <f>VLOOKUP($A248,'SegEnds_NonXtal_Prot#'!$A:$AL,36,FALSE)</f>
        <v>317</v>
      </c>
      <c r="AD248" s="5">
        <f>VLOOKUP($A248,'SegEnds_NonXtal_Prot#'!$A:$AL,5,FALSE)</f>
        <v>72</v>
      </c>
      <c r="AE248" s="5">
        <f>VLOOKUP($A248,'SegEnds_NonXtal_Prot#'!$A:$AL,8,FALSE)</f>
        <v>76</v>
      </c>
      <c r="AF248" s="5">
        <f>VLOOKUP($A248,'SegEnds_NonXtal_Prot#'!$A:$AL,11,FALSE)</f>
        <v>106</v>
      </c>
      <c r="AG248" s="5">
        <f>VLOOKUP($A248,'SegEnds_NonXtal_Prot#'!$A:$AL,14,FALSE)</f>
        <v>111</v>
      </c>
      <c r="AH248" s="5">
        <f>VLOOKUP($A248,'SegEnds_NonXtal_Prot#'!$A:$AL,17,FALSE)</f>
        <v>147</v>
      </c>
      <c r="AI248" s="5">
        <f>VLOOKUP($A248,'SegEnds_NonXtal_Prot#'!$A:$AL,20,FALSE)</f>
        <v>155</v>
      </c>
      <c r="AJ248" s="5">
        <f>VLOOKUP($A248,'SegEnds_NonXtal_Prot#'!$A:$AL,23,FALSE)</f>
        <v>182</v>
      </c>
      <c r="AK248" s="5">
        <f>VLOOKUP($A248,'SegEnds_NonXtal_Prot#'!$A:$AL,26,FALSE)</f>
        <v>193</v>
      </c>
      <c r="AL248" s="5">
        <f>VLOOKUP($A248,'SegEnds_NonXtal_Prot#'!$A:$AL,29,FALSE)</f>
        <v>240</v>
      </c>
      <c r="AM248" s="5">
        <f>VLOOKUP($A248,'SegEnds_NonXtal_Prot#'!$A:$AL,32,FALSE)</f>
        <v>283</v>
      </c>
      <c r="AN248" s="5">
        <f>VLOOKUP($A248,'SegEnds_NonXtal_Prot#'!$A:$AL,35,FALSE)</f>
        <v>316</v>
      </c>
      <c r="AO248" s="5">
        <f>VLOOKUP($A248,'SegEnds_NonXtal_Prot#'!$A:$AL,38,FALSE)</f>
        <v>329</v>
      </c>
      <c r="AP248" s="5">
        <f t="shared" si="88"/>
        <v>30</v>
      </c>
      <c r="AQ248" s="4">
        <f t="shared" si="89"/>
        <v>3</v>
      </c>
      <c r="AR248" s="4">
        <f t="shared" si="90"/>
        <v>29</v>
      </c>
      <c r="AS248" s="4">
        <f t="shared" si="91"/>
        <v>3</v>
      </c>
      <c r="AT248" s="4">
        <f t="shared" si="92"/>
        <v>35</v>
      </c>
      <c r="AU248" s="4">
        <f t="shared" si="93"/>
        <v>7</v>
      </c>
      <c r="AV248" s="4">
        <f t="shared" si="94"/>
        <v>26</v>
      </c>
      <c r="AW248" s="4">
        <f t="shared" si="95"/>
        <v>2</v>
      </c>
      <c r="AX248" s="4">
        <f t="shared" si="96"/>
        <v>42</v>
      </c>
      <c r="AY248" s="4">
        <f t="shared" si="97"/>
        <v>37</v>
      </c>
      <c r="AZ248" s="4">
        <f t="shared" si="98"/>
        <v>28</v>
      </c>
      <c r="BA248" s="4">
        <f t="shared" si="99"/>
        <v>12</v>
      </c>
    </row>
    <row r="249" spans="1:53" x14ac:dyDescent="0.2">
      <c r="A249" s="1" t="str">
        <f>'SegEnds_NonXtal_Prot#'!A237</f>
        <v>ssr4_human</v>
      </c>
      <c r="B249" s="1" t="str">
        <f t="shared" si="75"/>
        <v>AGMVAIQCIYALVCLVGLVGNALVIFVILRYTATNIYLLNLAVADELFMLSVPFVASSAALGSVLCRAVLSVDGLNMFTSVFCLTVLSVDRYVAVVHRPSVAKLINLGVWLASLLVTLPIAIFAPHPAWSAVFVVYTFLLGFLLPVLAIGLCYLLIVGKMRAVWQQRRRSEKKITRLVLMVVVVFVLCWMPFYVVQLLNLFVATVNHVSLILSYANSCANPILYGFLSDNFRRFFQRVLC</v>
      </c>
      <c r="C249" s="29" t="str">
        <f>IF(ISERROR(MATCH(A249,'SegEnds_Xtal_Prot#'!B:B, 0)), "NoXtal", "Xtal")</f>
        <v>NoXtal</v>
      </c>
      <c r="D249" s="4" t="str">
        <f>VLOOKUP(A249,Classification!A:D,2,FALSE)</f>
        <v>A</v>
      </c>
      <c r="E249" s="5" t="str">
        <f>VLOOKUP(A249,Seqs!A:B,2,FALSE)</f>
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</c>
      <c r="F249" s="5" t="str">
        <f t="shared" si="76"/>
        <v>AGMVAIQCIYALVCLVGLVGNALVIFVILRY</v>
      </c>
      <c r="G249" s="4" t="str">
        <f t="shared" si="77"/>
        <v>AKMK</v>
      </c>
      <c r="H249" s="4" t="str">
        <f t="shared" si="78"/>
        <v>TATNIYLLNLAVADELFMLSVPFVASSAAL</v>
      </c>
      <c r="I249" s="4" t="str">
        <f t="shared" si="79"/>
        <v>HWPF</v>
      </c>
      <c r="J249" s="4" t="str">
        <f t="shared" si="80"/>
        <v>GSVLCRAVLSVDGLNMFTSVFCLTVLSVDRYVAVVH</v>
      </c>
      <c r="K249" s="4" t="str">
        <f t="shared" si="81"/>
        <v>PLRAATYR</v>
      </c>
      <c r="L249" s="4" t="str">
        <f t="shared" si="82"/>
        <v>RPSVAKLINLGVWLASLLVTLPIAIFA</v>
      </c>
      <c r="M249" s="4" t="str">
        <f t="shared" si="83"/>
        <v>CNL</v>
      </c>
      <c r="N249" s="4" t="str">
        <f t="shared" si="84"/>
        <v>PHPAWSAVFVVYTFLLGFLLPVLAIGLCYLLIVGKMRAV</v>
      </c>
      <c r="O249" s="4" t="str">
        <f t="shared" si="85"/>
        <v>WQQRRRSEKKITRLVLMVVVVFVLCWMPFYVVQLLNLFV</v>
      </c>
      <c r="P249" s="4" t="str">
        <f t="shared" si="86"/>
        <v>ATVNHVSLILSYANSCANPILYGFL</v>
      </c>
      <c r="Q249" s="4" t="str">
        <f t="shared" si="87"/>
        <v>SDNFRRFFQRVLC</v>
      </c>
      <c r="R249" s="5">
        <f>VLOOKUP($A249,'SegEnds_NonXtal_Prot#'!$A:$AL,3,FALSE)</f>
        <v>45</v>
      </c>
      <c r="S249" s="5">
        <f>VLOOKUP($A249,'SegEnds_NonXtal_Prot#'!$A:$AL,6,FALSE)</f>
        <v>76</v>
      </c>
      <c r="T249" s="5">
        <f>VLOOKUP($A249,'SegEnds_NonXtal_Prot#'!$A:$AL,9,FALSE)</f>
        <v>80</v>
      </c>
      <c r="U249" s="5">
        <f>VLOOKUP($A249,'SegEnds_NonXtal_Prot#'!$A:$AL,12,FALSE)</f>
        <v>111</v>
      </c>
      <c r="V249" s="5">
        <f>VLOOKUP($A249,'SegEnds_NonXtal_Prot#'!$A:$AL,15,FALSE)</f>
        <v>115</v>
      </c>
      <c r="W249" s="5">
        <f>VLOOKUP($A249,'SegEnds_NonXtal_Prot#'!$A:$AL,18,FALSE)</f>
        <v>151</v>
      </c>
      <c r="X249" s="5">
        <f>VLOOKUP($A249,'SegEnds_NonXtal_Prot#'!$A:$AL,21,FALSE)</f>
        <v>159</v>
      </c>
      <c r="Y249" s="5">
        <f>VLOOKUP($A249,'SegEnds_NonXtal_Prot#'!$A:$AL,24,FALSE)</f>
        <v>198</v>
      </c>
      <c r="Z249" s="5">
        <f>VLOOKUP($A249,'SegEnds_NonXtal_Prot#'!$A:$AL,27,FALSE)</f>
        <v>203</v>
      </c>
      <c r="AA249" s="5">
        <f>VLOOKUP($A249,'SegEnds_NonXtal_Prot#'!$A:$AL,30,FALSE)</f>
        <v>247</v>
      </c>
      <c r="AB249" s="5">
        <f>VLOOKUP($A249,'SegEnds_NonXtal_Prot#'!$A:$AL,33,FALSE)</f>
        <v>290</v>
      </c>
      <c r="AC249" s="5">
        <f>VLOOKUP($A249,'SegEnds_NonXtal_Prot#'!$A:$AL,36,FALSE)</f>
        <v>315</v>
      </c>
      <c r="AD249" s="5">
        <f>VLOOKUP($A249,'SegEnds_NonXtal_Prot#'!$A:$AL,5,FALSE)</f>
        <v>75</v>
      </c>
      <c r="AE249" s="5">
        <f>VLOOKUP($A249,'SegEnds_NonXtal_Prot#'!$A:$AL,8,FALSE)</f>
        <v>79</v>
      </c>
      <c r="AF249" s="5">
        <f>VLOOKUP($A249,'SegEnds_NonXtal_Prot#'!$A:$AL,11,FALSE)</f>
        <v>109</v>
      </c>
      <c r="AG249" s="5">
        <f>VLOOKUP($A249,'SegEnds_NonXtal_Prot#'!$A:$AL,14,FALSE)</f>
        <v>114</v>
      </c>
      <c r="AH249" s="5">
        <f>VLOOKUP($A249,'SegEnds_NonXtal_Prot#'!$A:$AL,17,FALSE)</f>
        <v>150</v>
      </c>
      <c r="AI249" s="5">
        <f>VLOOKUP($A249,'SegEnds_NonXtal_Prot#'!$A:$AL,20,FALSE)</f>
        <v>158</v>
      </c>
      <c r="AJ249" s="5">
        <f>VLOOKUP($A249,'SegEnds_NonXtal_Prot#'!$A:$AL,23,FALSE)</f>
        <v>185</v>
      </c>
      <c r="AK249" s="5">
        <f>VLOOKUP($A249,'SegEnds_NonXtal_Prot#'!$A:$AL,26,FALSE)</f>
        <v>200</v>
      </c>
      <c r="AL249" s="5">
        <f>VLOOKUP($A249,'SegEnds_NonXtal_Prot#'!$A:$AL,29,FALSE)</f>
        <v>241</v>
      </c>
      <c r="AM249" s="5">
        <f>VLOOKUP($A249,'SegEnds_NonXtal_Prot#'!$A:$AL,32,FALSE)</f>
        <v>285</v>
      </c>
      <c r="AN249" s="5">
        <f>VLOOKUP($A249,'SegEnds_NonXtal_Prot#'!$A:$AL,35,FALSE)</f>
        <v>314</v>
      </c>
      <c r="AO249" s="5">
        <f>VLOOKUP($A249,'SegEnds_NonXtal_Prot#'!$A:$AL,38,FALSE)</f>
        <v>327</v>
      </c>
      <c r="AP249" s="5">
        <f t="shared" si="88"/>
        <v>30</v>
      </c>
      <c r="AQ249" s="4">
        <f t="shared" si="89"/>
        <v>3</v>
      </c>
      <c r="AR249" s="4">
        <f t="shared" si="90"/>
        <v>29</v>
      </c>
      <c r="AS249" s="4">
        <f t="shared" si="91"/>
        <v>3</v>
      </c>
      <c r="AT249" s="4">
        <f t="shared" si="92"/>
        <v>35</v>
      </c>
      <c r="AU249" s="4">
        <f t="shared" si="93"/>
        <v>7</v>
      </c>
      <c r="AV249" s="4">
        <f t="shared" si="94"/>
        <v>26</v>
      </c>
      <c r="AW249" s="4">
        <f t="shared" si="95"/>
        <v>2</v>
      </c>
      <c r="AX249" s="4">
        <f t="shared" si="96"/>
        <v>38</v>
      </c>
      <c r="AY249" s="4">
        <f t="shared" si="97"/>
        <v>38</v>
      </c>
      <c r="AZ249" s="4">
        <f t="shared" si="98"/>
        <v>24</v>
      </c>
      <c r="BA249" s="4">
        <f t="shared" si="99"/>
        <v>12</v>
      </c>
    </row>
    <row r="250" spans="1:53" x14ac:dyDescent="0.2">
      <c r="A250" s="1" t="str">
        <f>'SegEnds_NonXtal_Prot#'!A238</f>
        <v>ssr5_human</v>
      </c>
      <c r="B250" s="1" t="str">
        <f t="shared" si="75"/>
        <v>ARAVLVPVLYLLVCAAGLGGNTLVIYVVLRFTVTNIYILNLAVADVLYMLGLPFLATQNAAGPVLCRLVMTLDGVNQFTSVFCLTVMSVDRYLAVVHRPRVAKLASAAAWVLSLCMSLPLLVFAPVGLWGAVFIIYTAVLGFFAPLLVICLCYLLIVVKVRAAGVRVSERKVTRMVLVVVLVFAGCWLPFFTVNIVNLAVEPASAGLYFFVVILSYANSCANPVLYGFLSDNFRQSFQKVLC</v>
      </c>
      <c r="C250" s="29" t="str">
        <f>IF(ISERROR(MATCH(A250,'SegEnds_Xtal_Prot#'!B:B, 0)), "NoXtal", "Xtal")</f>
        <v>NoXtal</v>
      </c>
      <c r="D250" s="4" t="str">
        <f>VLOOKUP(A250,Classification!A:D,2,FALSE)</f>
        <v>A</v>
      </c>
      <c r="E250" s="5" t="str">
        <f>VLOOKUP(A250,Seqs!A:B,2,FALSE)</f>
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</c>
      <c r="F250" s="5" t="str">
        <f t="shared" si="76"/>
        <v>ARAVLVPVLYLLVCAAGLGGNTLVIYVVLRF</v>
      </c>
      <c r="G250" s="4" t="str">
        <f t="shared" si="77"/>
        <v>AKMK</v>
      </c>
      <c r="H250" s="4" t="str">
        <f t="shared" si="78"/>
        <v>TVTNIYILNLAVADVLYMLGLPFLATQNAA</v>
      </c>
      <c r="I250" s="4" t="str">
        <f t="shared" si="79"/>
        <v>FWPF</v>
      </c>
      <c r="J250" s="4" t="str">
        <f t="shared" si="80"/>
        <v>GPVLCRLVMTLDGVNQFTSVFCLTVMSVDRYLAVVH</v>
      </c>
      <c r="K250" s="4" t="str">
        <f t="shared" si="81"/>
        <v>PLSSARWR</v>
      </c>
      <c r="L250" s="4" t="str">
        <f t="shared" si="82"/>
        <v>RPRVAKLASAAAWVLSLCMSLPLLVFA</v>
      </c>
      <c r="M250" s="4" t="str">
        <f t="shared" si="83"/>
        <v>CNA</v>
      </c>
      <c r="N250" s="4" t="str">
        <f t="shared" si="84"/>
        <v>PVGLWGAVFIIYTAVLGFFAPLLVICLCYLLIVVKVRAAGVRV</v>
      </c>
      <c r="O250" s="4" t="str">
        <f t="shared" si="85"/>
        <v>SERKVTRMVLVVVLVFAGCWLPFFTVNIVNLAV</v>
      </c>
      <c r="P250" s="4" t="str">
        <f t="shared" si="86"/>
        <v>EPASAGLYFFVVILSYANSCANPVLYGFL</v>
      </c>
      <c r="Q250" s="4" t="str">
        <f t="shared" si="87"/>
        <v>SDNFRQSFQKVLC</v>
      </c>
      <c r="R250" s="5">
        <f>VLOOKUP($A250,'SegEnds_NonXtal_Prot#'!$A:$AL,3,FALSE)</f>
        <v>38</v>
      </c>
      <c r="S250" s="5">
        <f>VLOOKUP($A250,'SegEnds_NonXtal_Prot#'!$A:$AL,6,FALSE)</f>
        <v>69</v>
      </c>
      <c r="T250" s="5">
        <f>VLOOKUP($A250,'SegEnds_NonXtal_Prot#'!$A:$AL,9,FALSE)</f>
        <v>73</v>
      </c>
      <c r="U250" s="5">
        <f>VLOOKUP($A250,'SegEnds_NonXtal_Prot#'!$A:$AL,12,FALSE)</f>
        <v>104</v>
      </c>
      <c r="V250" s="5">
        <f>VLOOKUP($A250,'SegEnds_NonXtal_Prot#'!$A:$AL,15,FALSE)</f>
        <v>108</v>
      </c>
      <c r="W250" s="5">
        <f>VLOOKUP($A250,'SegEnds_NonXtal_Prot#'!$A:$AL,18,FALSE)</f>
        <v>144</v>
      </c>
      <c r="X250" s="5">
        <f>VLOOKUP($A250,'SegEnds_NonXtal_Prot#'!$A:$AL,21,FALSE)</f>
        <v>152</v>
      </c>
      <c r="Y250" s="5">
        <f>VLOOKUP($A250,'SegEnds_NonXtal_Prot#'!$A:$AL,24,FALSE)</f>
        <v>186</v>
      </c>
      <c r="Z250" s="5">
        <f>VLOOKUP($A250,'SegEnds_NonXtal_Prot#'!$A:$AL,27,FALSE)</f>
        <v>193</v>
      </c>
      <c r="AA250" s="5">
        <f>VLOOKUP($A250,'SegEnds_NonXtal_Prot#'!$A:$AL,30,FALSE)</f>
        <v>242</v>
      </c>
      <c r="AB250" s="5">
        <f>VLOOKUP($A250,'SegEnds_NonXtal_Prot#'!$A:$AL,33,FALSE)</f>
        <v>279</v>
      </c>
      <c r="AC250" s="5">
        <f>VLOOKUP($A250,'SegEnds_NonXtal_Prot#'!$A:$AL,36,FALSE)</f>
        <v>308</v>
      </c>
      <c r="AD250" s="5">
        <f>VLOOKUP($A250,'SegEnds_NonXtal_Prot#'!$A:$AL,5,FALSE)</f>
        <v>68</v>
      </c>
      <c r="AE250" s="5">
        <f>VLOOKUP($A250,'SegEnds_NonXtal_Prot#'!$A:$AL,8,FALSE)</f>
        <v>72</v>
      </c>
      <c r="AF250" s="5">
        <f>VLOOKUP($A250,'SegEnds_NonXtal_Prot#'!$A:$AL,11,FALSE)</f>
        <v>102</v>
      </c>
      <c r="AG250" s="5">
        <f>VLOOKUP($A250,'SegEnds_NonXtal_Prot#'!$A:$AL,14,FALSE)</f>
        <v>107</v>
      </c>
      <c r="AH250" s="5">
        <f>VLOOKUP($A250,'SegEnds_NonXtal_Prot#'!$A:$AL,17,FALSE)</f>
        <v>143</v>
      </c>
      <c r="AI250" s="5">
        <f>VLOOKUP($A250,'SegEnds_NonXtal_Prot#'!$A:$AL,20,FALSE)</f>
        <v>151</v>
      </c>
      <c r="AJ250" s="5">
        <f>VLOOKUP($A250,'SegEnds_NonXtal_Prot#'!$A:$AL,23,FALSE)</f>
        <v>178</v>
      </c>
      <c r="AK250" s="5">
        <f>VLOOKUP($A250,'SegEnds_NonXtal_Prot#'!$A:$AL,26,FALSE)</f>
        <v>188</v>
      </c>
      <c r="AL250" s="5">
        <f>VLOOKUP($A250,'SegEnds_NonXtal_Prot#'!$A:$AL,29,FALSE)</f>
        <v>235</v>
      </c>
      <c r="AM250" s="5">
        <f>VLOOKUP($A250,'SegEnds_NonXtal_Prot#'!$A:$AL,32,FALSE)</f>
        <v>274</v>
      </c>
      <c r="AN250" s="5">
        <f>VLOOKUP($A250,'SegEnds_NonXtal_Prot#'!$A:$AL,35,FALSE)</f>
        <v>307</v>
      </c>
      <c r="AO250" s="5">
        <f>VLOOKUP($A250,'SegEnds_NonXtal_Prot#'!$A:$AL,38,FALSE)</f>
        <v>320</v>
      </c>
      <c r="AP250" s="5">
        <f t="shared" si="88"/>
        <v>30</v>
      </c>
      <c r="AQ250" s="4">
        <f t="shared" si="89"/>
        <v>3</v>
      </c>
      <c r="AR250" s="4">
        <f t="shared" si="90"/>
        <v>29</v>
      </c>
      <c r="AS250" s="4">
        <f t="shared" si="91"/>
        <v>3</v>
      </c>
      <c r="AT250" s="4">
        <f t="shared" si="92"/>
        <v>35</v>
      </c>
      <c r="AU250" s="4">
        <f t="shared" si="93"/>
        <v>7</v>
      </c>
      <c r="AV250" s="4">
        <f t="shared" si="94"/>
        <v>26</v>
      </c>
      <c r="AW250" s="4">
        <f t="shared" si="95"/>
        <v>2</v>
      </c>
      <c r="AX250" s="4">
        <f t="shared" si="96"/>
        <v>42</v>
      </c>
      <c r="AY250" s="4">
        <f t="shared" si="97"/>
        <v>32</v>
      </c>
      <c r="AZ250" s="4">
        <f t="shared" si="98"/>
        <v>28</v>
      </c>
      <c r="BA250" s="4">
        <f t="shared" si="99"/>
        <v>12</v>
      </c>
    </row>
    <row r="251" spans="1:53" x14ac:dyDescent="0.2">
      <c r="A251" s="1" t="str">
        <f>'SegEnds_NonXtal_Prot#'!A239</f>
        <v>sucr1_human</v>
      </c>
      <c r="B251" s="1" t="str">
        <f t="shared" si="75"/>
        <v>CKNWLAAEAALEKYYLSIFYGIEFVVGVLGNTIVVYGYIFSLNSSNIYLFNLSVSDLAFLCTLPMLIRSYANGDVLCISNRYVLHANLYTSILFLTFISIDRYLIIKYKKEFAILISLAIWVLVTLELLPILPLINPVDPNYNLIYSMCLTLLGFLIPLFVMCFFYYKIALFLKQRVATALPLEKPLNLVIMAVVIFSVLFTPYHVMRNVRIASRLGYQCTQVVINSFYIVTRPLAFLNSVINPVFYFLLGDHFRDMLMNQLRHNFKSL</v>
      </c>
      <c r="C251" s="29" t="str">
        <f>IF(ISERROR(MATCH(A251,'SegEnds_Xtal_Prot#'!B:B, 0)), "NoXtal", "Xtal")</f>
        <v>NoXtal</v>
      </c>
      <c r="D251" s="4" t="str">
        <f>VLOOKUP(A251,Classification!A:D,2,FALSE)</f>
        <v>A</v>
      </c>
      <c r="E251" s="5" t="str">
        <f>VLOOKUP(A251,Seqs!A:B,2,FALSE)</f>
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</c>
      <c r="F251" s="5" t="str">
        <f t="shared" si="76"/>
        <v>CKNWLAAEAALEKYYLSIFYGIEFVVGVLGNTIVVYGYIFSL</v>
      </c>
      <c r="G251" s="4" t="str">
        <f t="shared" si="77"/>
        <v/>
      </c>
      <c r="H251" s="4" t="str">
        <f t="shared" si="78"/>
        <v>NSSNIYLFNLSVSDLAFLCTLPMLIRSYAN</v>
      </c>
      <c r="I251" s="4" t="str">
        <f t="shared" si="79"/>
        <v>NWIY</v>
      </c>
      <c r="J251" s="4" t="str">
        <f t="shared" si="80"/>
        <v>GDVLCISNRYVLHANLYTSILFLTFISIDRYLIIKY</v>
      </c>
      <c r="K251" s="4" t="str">
        <f t="shared" si="81"/>
        <v>PFREHLLQ</v>
      </c>
      <c r="L251" s="4" t="str">
        <f t="shared" si="82"/>
        <v>KKEFAILISLAIWVLVTLELLPILPLINPV</v>
      </c>
      <c r="M251" s="4" t="str">
        <f t="shared" si="83"/>
        <v>CND</v>
      </c>
      <c r="N251" s="4" t="str">
        <f t="shared" si="84"/>
        <v>DPNYNLIYSMCLTLLGFLIPLFVMCFFYYKIALFLKQR</v>
      </c>
      <c r="O251" s="4" t="str">
        <f t="shared" si="85"/>
        <v>VATALPLEKPLNLVIMAVVIFSVLFTPYHVMRNVRIASRLG</v>
      </c>
      <c r="P251" s="4" t="str">
        <f t="shared" si="86"/>
        <v>YQCTQVVINSFYIVTRPLAFLNSVINPVFYFLL</v>
      </c>
      <c r="Q251" s="4" t="str">
        <f t="shared" si="87"/>
        <v>GDHFRDMLMNQLRHNFKSL</v>
      </c>
      <c r="R251" s="5">
        <f>VLOOKUP($A251,'SegEnds_NonXtal_Prot#'!$A:$AL,3,FALSE)</f>
        <v>11</v>
      </c>
      <c r="S251" s="5" t="str">
        <f>VLOOKUP($A251,'SegEnds_NonXtal_Prot#'!$A:$AL,6,FALSE)</f>
        <v>-</v>
      </c>
      <c r="T251" s="5">
        <f>VLOOKUP($A251,'SegEnds_NonXtal_Prot#'!$A:$AL,9,FALSE)</f>
        <v>56</v>
      </c>
      <c r="U251" s="5">
        <f>VLOOKUP($A251,'SegEnds_NonXtal_Prot#'!$A:$AL,12,FALSE)</f>
        <v>87</v>
      </c>
      <c r="V251" s="5">
        <f>VLOOKUP($A251,'SegEnds_NonXtal_Prot#'!$A:$AL,15,FALSE)</f>
        <v>91</v>
      </c>
      <c r="W251" s="5">
        <f>VLOOKUP($A251,'SegEnds_NonXtal_Prot#'!$A:$AL,18,FALSE)</f>
        <v>127</v>
      </c>
      <c r="X251" s="5">
        <f>VLOOKUP($A251,'SegEnds_NonXtal_Prot#'!$A:$AL,21,FALSE)</f>
        <v>135</v>
      </c>
      <c r="Y251" s="5">
        <f>VLOOKUP($A251,'SegEnds_NonXtal_Prot#'!$A:$AL,24,FALSE)</f>
        <v>172</v>
      </c>
      <c r="Z251" s="5">
        <f>VLOOKUP($A251,'SegEnds_NonXtal_Prot#'!$A:$AL,27,FALSE)</f>
        <v>180</v>
      </c>
      <c r="AA251" s="5">
        <f>VLOOKUP($A251,'SegEnds_NonXtal_Prot#'!$A:$AL,30,FALSE)</f>
        <v>221</v>
      </c>
      <c r="AB251" s="5">
        <f>VLOOKUP($A251,'SegEnds_NonXtal_Prot#'!$A:$AL,33,FALSE)</f>
        <v>266</v>
      </c>
      <c r="AC251" s="5">
        <f>VLOOKUP($A251,'SegEnds_NonXtal_Prot#'!$A:$AL,36,FALSE)</f>
        <v>299</v>
      </c>
      <c r="AD251" s="5">
        <f>VLOOKUP($A251,'SegEnds_NonXtal_Prot#'!$A:$AL,5,FALSE)</f>
        <v>52</v>
      </c>
      <c r="AE251" s="5" t="str">
        <f>VLOOKUP($A251,'SegEnds_NonXtal_Prot#'!$A:$AL,8,FALSE)</f>
        <v>-</v>
      </c>
      <c r="AF251" s="5">
        <f>VLOOKUP($A251,'SegEnds_NonXtal_Prot#'!$A:$AL,11,FALSE)</f>
        <v>85</v>
      </c>
      <c r="AG251" s="5">
        <f>VLOOKUP($A251,'SegEnds_NonXtal_Prot#'!$A:$AL,14,FALSE)</f>
        <v>90</v>
      </c>
      <c r="AH251" s="5">
        <f>VLOOKUP($A251,'SegEnds_NonXtal_Prot#'!$A:$AL,17,FALSE)</f>
        <v>126</v>
      </c>
      <c r="AI251" s="5">
        <f>VLOOKUP($A251,'SegEnds_NonXtal_Prot#'!$A:$AL,20,FALSE)</f>
        <v>134</v>
      </c>
      <c r="AJ251" s="5">
        <f>VLOOKUP($A251,'SegEnds_NonXtal_Prot#'!$A:$AL,23,FALSE)</f>
        <v>164</v>
      </c>
      <c r="AK251" s="5">
        <f>VLOOKUP($A251,'SegEnds_NonXtal_Prot#'!$A:$AL,26,FALSE)</f>
        <v>174</v>
      </c>
      <c r="AL251" s="5">
        <f>VLOOKUP($A251,'SegEnds_NonXtal_Prot#'!$A:$AL,29,FALSE)</f>
        <v>217</v>
      </c>
      <c r="AM251" s="5">
        <f>VLOOKUP($A251,'SegEnds_NonXtal_Prot#'!$A:$AL,32,FALSE)</f>
        <v>261</v>
      </c>
      <c r="AN251" s="5">
        <f>VLOOKUP($A251,'SegEnds_NonXtal_Prot#'!$A:$AL,35,FALSE)</f>
        <v>298</v>
      </c>
      <c r="AO251" s="5">
        <f>VLOOKUP($A251,'SegEnds_NonXtal_Prot#'!$A:$AL,38,FALSE)</f>
        <v>317</v>
      </c>
      <c r="AP251" s="5">
        <f t="shared" si="88"/>
        <v>41</v>
      </c>
      <c r="AQ251" s="4" t="str">
        <f t="shared" si="89"/>
        <v>-</v>
      </c>
      <c r="AR251" s="4">
        <f t="shared" si="90"/>
        <v>29</v>
      </c>
      <c r="AS251" s="4">
        <f t="shared" si="91"/>
        <v>3</v>
      </c>
      <c r="AT251" s="4">
        <f t="shared" si="92"/>
        <v>35</v>
      </c>
      <c r="AU251" s="4">
        <f t="shared" si="93"/>
        <v>7</v>
      </c>
      <c r="AV251" s="4">
        <f t="shared" si="94"/>
        <v>29</v>
      </c>
      <c r="AW251" s="4">
        <f t="shared" si="95"/>
        <v>2</v>
      </c>
      <c r="AX251" s="4">
        <f t="shared" si="96"/>
        <v>37</v>
      </c>
      <c r="AY251" s="4">
        <f t="shared" si="97"/>
        <v>40</v>
      </c>
      <c r="AZ251" s="4">
        <f t="shared" si="98"/>
        <v>32</v>
      </c>
      <c r="BA251" s="4">
        <f t="shared" si="99"/>
        <v>18</v>
      </c>
    </row>
    <row r="252" spans="1:53" x14ac:dyDescent="0.2">
      <c r="A252" s="1" t="str">
        <f>'SegEnds_NonXtal_Prot#'!A241</f>
        <v>ta2r_human</v>
      </c>
      <c r="B252" s="1" t="str">
        <f t="shared" si="75"/>
        <v>SPWFAASFCVVGLASNLLALSVLAGARQSSFLTFLCGLVLTDFLGLLVTGTIVVSQHAACRLCRFMGVVMIFFGLSPLLLGAAMASERYLGITRSQRRAWATVGLVWAAALALGLLPLLGESGDVAFGLLFSMLGGLSVGLSFLLNTVSVATLCHVYHGQQRPRDSEVEMMAQLLGIMVVASVCWLPLLVFIAQTVLRSRTTEKELLIYLRVATWNQILDPWVYILFRRAVLRRLQPRLSTRPRSLS</v>
      </c>
      <c r="C252" s="29" t="str">
        <f>IF(ISERROR(MATCH(A252,'SegEnds_Xtal_Prot#'!B:B, 0)), "NoXtal", "Xtal")</f>
        <v>Xtal</v>
      </c>
      <c r="D252" s="4" t="str">
        <f>VLOOKUP(A252,Classification!A:D,2,FALSE)</f>
        <v>A</v>
      </c>
      <c r="E252" s="5" t="str">
        <f>VLOOKUP(A252,Seqs!A:B,2,FALSE)</f>
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</c>
      <c r="F252" s="5" t="str">
        <f t="shared" si="76"/>
        <v>SPWFAASFCVVGLASNLLALSVLAGARQ</v>
      </c>
      <c r="G252" s="4" t="str">
        <f t="shared" si="77"/>
        <v/>
      </c>
      <c r="H252" s="4" t="str">
        <f t="shared" si="78"/>
        <v>SSFLTFLCGLVLTDFLGLLVTGTIVVSQHAA</v>
      </c>
      <c r="I252" s="4" t="str">
        <f t="shared" si="79"/>
        <v>EWHAV</v>
      </c>
      <c r="J252" s="4" t="str">
        <f t="shared" si="80"/>
        <v>CRLCRFMGVVMIFFGLSPLLLGAAMASERYLGITR</v>
      </c>
      <c r="K252" s="4" t="str">
        <f t="shared" si="81"/>
        <v>PFSRPAVA</v>
      </c>
      <c r="L252" s="4" t="str">
        <f t="shared" si="82"/>
        <v>SQRRAWATVGLVWAAALALGLLPLLG</v>
      </c>
      <c r="M252" s="4" t="str">
        <f t="shared" si="83"/>
        <v>CFL</v>
      </c>
      <c r="N252" s="4" t="str">
        <f t="shared" si="84"/>
        <v>ESGDVAFGLLFSMLGGLSVGLSFLLNTVSVATLCHVYHGQ</v>
      </c>
      <c r="O252" s="4" t="str">
        <f t="shared" si="85"/>
        <v>QRPRDSEVEMMAQLLGIMVVASVCWLPLLVFIAQTVLR</v>
      </c>
      <c r="P252" s="4" t="str">
        <f t="shared" si="86"/>
        <v>SRTTEKELLIYLRVATWNQILDPWVYILF</v>
      </c>
      <c r="Q252" s="4" t="str">
        <f t="shared" si="87"/>
        <v>RRAVLRRLQPRLSTRPRSLS</v>
      </c>
      <c r="R252" s="5">
        <f>VLOOKUP($A252,'SegEnds_NonXtal_Prot#'!$A:$AL,3,FALSE)</f>
        <v>27</v>
      </c>
      <c r="S252" s="5" t="str">
        <f>VLOOKUP($A252,'SegEnds_NonXtal_Prot#'!$A:$AL,6,FALSE)</f>
        <v>-</v>
      </c>
      <c r="T252" s="5">
        <f>VLOOKUP($A252,'SegEnds_NonXtal_Prot#'!$A:$AL,9,FALSE)</f>
        <v>61</v>
      </c>
      <c r="U252" s="5">
        <f>VLOOKUP($A252,'SegEnds_NonXtal_Prot#'!$A:$AL,12,FALSE)</f>
        <v>94</v>
      </c>
      <c r="V252" s="5">
        <f>VLOOKUP($A252,'SegEnds_NonXtal_Prot#'!$A:$AL,15,FALSE)</f>
        <v>102</v>
      </c>
      <c r="W252" s="5">
        <f>VLOOKUP($A252,'SegEnds_NonXtal_Prot#'!$A:$AL,18,FALSE)</f>
        <v>137</v>
      </c>
      <c r="X252" s="5">
        <f>VLOOKUP($A252,'SegEnds_NonXtal_Prot#'!$A:$AL,21,FALSE)</f>
        <v>145</v>
      </c>
      <c r="Y252" s="5">
        <f>VLOOKUP($A252,'SegEnds_NonXtal_Prot#'!$A:$AL,24,FALSE)</f>
        <v>183</v>
      </c>
      <c r="Z252" s="5">
        <f>VLOOKUP($A252,'SegEnds_NonXtal_Prot#'!$A:$AL,27,FALSE)</f>
        <v>190</v>
      </c>
      <c r="AA252" s="5">
        <f>VLOOKUP($A252,'SegEnds_NonXtal_Prot#'!$A:$AL,30,FALSE)</f>
        <v>234</v>
      </c>
      <c r="AB252" s="5">
        <f>VLOOKUP($A252,'SegEnds_NonXtal_Prot#'!$A:$AL,33,FALSE)</f>
        <v>283</v>
      </c>
      <c r="AC252" s="5">
        <f>VLOOKUP($A252,'SegEnds_NonXtal_Prot#'!$A:$AL,36,FALSE)</f>
        <v>312</v>
      </c>
      <c r="AD252" s="5">
        <f>VLOOKUP($A252,'SegEnds_NonXtal_Prot#'!$A:$AL,5,FALSE)</f>
        <v>54</v>
      </c>
      <c r="AE252" s="5" t="str">
        <f>VLOOKUP($A252,'SegEnds_NonXtal_Prot#'!$A:$AL,8,FALSE)</f>
        <v>-</v>
      </c>
      <c r="AF252" s="5">
        <f>VLOOKUP($A252,'SegEnds_NonXtal_Prot#'!$A:$AL,11,FALSE)</f>
        <v>91</v>
      </c>
      <c r="AG252" s="5">
        <f>VLOOKUP($A252,'SegEnds_NonXtal_Prot#'!$A:$AL,14,FALSE)</f>
        <v>98</v>
      </c>
      <c r="AH252" s="5">
        <f>VLOOKUP($A252,'SegEnds_NonXtal_Prot#'!$A:$AL,17,FALSE)</f>
        <v>136</v>
      </c>
      <c r="AI252" s="5">
        <f>VLOOKUP($A252,'SegEnds_NonXtal_Prot#'!$A:$AL,20,FALSE)</f>
        <v>144</v>
      </c>
      <c r="AJ252" s="5">
        <f>VLOOKUP($A252,'SegEnds_NonXtal_Prot#'!$A:$AL,23,FALSE)</f>
        <v>170</v>
      </c>
      <c r="AK252" s="5">
        <f>VLOOKUP($A252,'SegEnds_NonXtal_Prot#'!$A:$AL,26,FALSE)</f>
        <v>185</v>
      </c>
      <c r="AL252" s="5">
        <f>VLOOKUP($A252,'SegEnds_NonXtal_Prot#'!$A:$AL,29,FALSE)</f>
        <v>229</v>
      </c>
      <c r="AM252" s="5">
        <f>VLOOKUP($A252,'SegEnds_NonXtal_Prot#'!$A:$AL,32,FALSE)</f>
        <v>271</v>
      </c>
      <c r="AN252" s="5">
        <f>VLOOKUP($A252,'SegEnds_NonXtal_Prot#'!$A:$AL,35,FALSE)</f>
        <v>311</v>
      </c>
      <c r="AO252" s="5">
        <f>VLOOKUP($A252,'SegEnds_NonXtal_Prot#'!$A:$AL,38,FALSE)</f>
        <v>331</v>
      </c>
      <c r="AP252" s="5">
        <f t="shared" si="88"/>
        <v>27</v>
      </c>
      <c r="AQ252" s="4" t="str">
        <f t="shared" si="89"/>
        <v>-</v>
      </c>
      <c r="AR252" s="4">
        <f t="shared" si="90"/>
        <v>30</v>
      </c>
      <c r="AS252" s="4">
        <f t="shared" si="91"/>
        <v>4</v>
      </c>
      <c r="AT252" s="4">
        <f t="shared" si="92"/>
        <v>34</v>
      </c>
      <c r="AU252" s="4">
        <f t="shared" si="93"/>
        <v>7</v>
      </c>
      <c r="AV252" s="4">
        <f t="shared" si="94"/>
        <v>25</v>
      </c>
      <c r="AW252" s="4">
        <f t="shared" si="95"/>
        <v>2</v>
      </c>
      <c r="AX252" s="4">
        <f t="shared" si="96"/>
        <v>39</v>
      </c>
      <c r="AY252" s="4">
        <f t="shared" si="97"/>
        <v>37</v>
      </c>
      <c r="AZ252" s="4">
        <f t="shared" si="98"/>
        <v>28</v>
      </c>
      <c r="BA252" s="4">
        <f t="shared" si="99"/>
        <v>19</v>
      </c>
    </row>
    <row r="253" spans="1:53" x14ac:dyDescent="0.2">
      <c r="A253" s="1" t="str">
        <f>'SegEnds_NonXtal_Prot#'!A242</f>
        <v>taar1_human</v>
      </c>
      <c r="B253" s="1" t="str">
        <f t="shared" si="75"/>
        <v>NDVRASLYSLMVLIILTTLVGNLIVIVSISHFTPTNWLIHSMATVDFLLGCLVMPYSMVRSAEHGEVFCKIHTSTDIMLSSASIFHLSFISIDRYYAVCDNILVICVMIFISWSVPAVFAFGMIFSKISGVLTFMTSFYIPGSIMLCVYYRIYLIAKEQARLISDMKNGISQSKERKAVKTLGIVMGVFLICWCPFFICTVMDPFLPPTLNDVLIWFGYLNSTFNPMVYAFFYPWFRKALKMMLF</v>
      </c>
      <c r="C253" s="29" t="str">
        <f>IF(ISERROR(MATCH(A253,'SegEnds_Xtal_Prot#'!B:B, 0)), "NoXtal", "Xtal")</f>
        <v>NoXtal</v>
      </c>
      <c r="D253" s="4" t="str">
        <f>VLOOKUP(A253,Classification!A:D,2,FALSE)</f>
        <v>A</v>
      </c>
      <c r="E253" s="5" t="str">
        <f>VLOOKUP(A253,Seqs!A:B,2,FALSE)</f>
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</c>
      <c r="F253" s="5" t="str">
        <f t="shared" si="76"/>
        <v>NDVRASLYSLMVLIILTTLVGNLIVIVSISHF</v>
      </c>
      <c r="G253" s="4" t="str">
        <f t="shared" si="77"/>
        <v>KQLH</v>
      </c>
      <c r="H253" s="4" t="str">
        <f t="shared" si="78"/>
        <v>TPTNWLIHSMATVDFLLGCLVMPYSMVRSAEH</v>
      </c>
      <c r="I253" s="4" t="str">
        <f t="shared" si="79"/>
        <v>CWYF</v>
      </c>
      <c r="J253" s="4" t="str">
        <f t="shared" si="80"/>
        <v>GEVFCKIHTSTDIMLSSASIFHLSFISIDRYYAVCD</v>
      </c>
      <c r="K253" s="4" t="str">
        <f t="shared" si="81"/>
        <v>PLRYKAKM</v>
      </c>
      <c r="L253" s="4" t="str">
        <f t="shared" si="82"/>
        <v>NILVICVMIFISWSVPAVFAFGMIF</v>
      </c>
      <c r="M253" s="4" t="str">
        <f t="shared" si="83"/>
        <v>CSV</v>
      </c>
      <c r="N253" s="4" t="str">
        <f t="shared" si="84"/>
        <v>SKISGVLTFMTSFYIPGSIMLCVYYRIYLIAKEQARLISD</v>
      </c>
      <c r="O253" s="4" t="str">
        <f t="shared" si="85"/>
        <v>MKNGISQSKERKAVKTLGIVMGVFLICWCPFFICTVMDPFL</v>
      </c>
      <c r="P253" s="4" t="str">
        <f t="shared" si="86"/>
        <v>PPTLNDVLIWFGYLNSTFNPMVYAFF</v>
      </c>
      <c r="Q253" s="4" t="str">
        <f t="shared" si="87"/>
        <v>YPWFRKALKMMLF</v>
      </c>
      <c r="R253" s="5">
        <f>VLOOKUP($A253,'SegEnds_NonXtal_Prot#'!$A:$AL,3,FALSE)</f>
        <v>20</v>
      </c>
      <c r="S253" s="5">
        <f>VLOOKUP($A253,'SegEnds_NonXtal_Prot#'!$A:$AL,6,FALSE)</f>
        <v>52</v>
      </c>
      <c r="T253" s="5">
        <f>VLOOKUP($A253,'SegEnds_NonXtal_Prot#'!$A:$AL,9,FALSE)</f>
        <v>56</v>
      </c>
      <c r="U253" s="5">
        <f>VLOOKUP($A253,'SegEnds_NonXtal_Prot#'!$A:$AL,12,FALSE)</f>
        <v>88</v>
      </c>
      <c r="V253" s="5">
        <f>VLOOKUP($A253,'SegEnds_NonXtal_Prot#'!$A:$AL,15,FALSE)</f>
        <v>92</v>
      </c>
      <c r="W253" s="5">
        <f>VLOOKUP($A253,'SegEnds_NonXtal_Prot#'!$A:$AL,18,FALSE)</f>
        <v>128</v>
      </c>
      <c r="X253" s="5">
        <f>VLOOKUP($A253,'SegEnds_NonXtal_Prot#'!$A:$AL,21,FALSE)</f>
        <v>136</v>
      </c>
      <c r="Y253" s="5">
        <f>VLOOKUP($A253,'SegEnds_NonXtal_Prot#'!$A:$AL,24,FALSE)</f>
        <v>182</v>
      </c>
      <c r="Z253" s="5">
        <f>VLOOKUP($A253,'SegEnds_NonXtal_Prot#'!$A:$AL,27,FALSE)</f>
        <v>187</v>
      </c>
      <c r="AA253" s="5">
        <f>VLOOKUP($A253,'SegEnds_NonXtal_Prot#'!$A:$AL,30,FALSE)</f>
        <v>237</v>
      </c>
      <c r="AB253" s="5">
        <f>VLOOKUP($A253,'SegEnds_NonXtal_Prot#'!$A:$AL,33,FALSE)</f>
        <v>282</v>
      </c>
      <c r="AC253" s="5">
        <f>VLOOKUP($A253,'SegEnds_NonXtal_Prot#'!$A:$AL,36,FALSE)</f>
        <v>308</v>
      </c>
      <c r="AD253" s="5">
        <f>VLOOKUP($A253,'SegEnds_NonXtal_Prot#'!$A:$AL,5,FALSE)</f>
        <v>51</v>
      </c>
      <c r="AE253" s="5">
        <f>VLOOKUP($A253,'SegEnds_NonXtal_Prot#'!$A:$AL,8,FALSE)</f>
        <v>55</v>
      </c>
      <c r="AF253" s="5">
        <f>VLOOKUP($A253,'SegEnds_NonXtal_Prot#'!$A:$AL,11,FALSE)</f>
        <v>87</v>
      </c>
      <c r="AG253" s="5">
        <f>VLOOKUP($A253,'SegEnds_NonXtal_Prot#'!$A:$AL,14,FALSE)</f>
        <v>91</v>
      </c>
      <c r="AH253" s="5">
        <f>VLOOKUP($A253,'SegEnds_NonXtal_Prot#'!$A:$AL,17,FALSE)</f>
        <v>127</v>
      </c>
      <c r="AI253" s="5">
        <f>VLOOKUP($A253,'SegEnds_NonXtal_Prot#'!$A:$AL,20,FALSE)</f>
        <v>135</v>
      </c>
      <c r="AJ253" s="5">
        <f>VLOOKUP($A253,'SegEnds_NonXtal_Prot#'!$A:$AL,23,FALSE)</f>
        <v>160</v>
      </c>
      <c r="AK253" s="5">
        <f>VLOOKUP($A253,'SegEnds_NonXtal_Prot#'!$A:$AL,26,FALSE)</f>
        <v>184</v>
      </c>
      <c r="AL253" s="5">
        <f>VLOOKUP($A253,'SegEnds_NonXtal_Prot#'!$A:$AL,29,FALSE)</f>
        <v>226</v>
      </c>
      <c r="AM253" s="5">
        <f>VLOOKUP($A253,'SegEnds_NonXtal_Prot#'!$A:$AL,32,FALSE)</f>
        <v>277</v>
      </c>
      <c r="AN253" s="5">
        <f>VLOOKUP($A253,'SegEnds_NonXtal_Prot#'!$A:$AL,35,FALSE)</f>
        <v>307</v>
      </c>
      <c r="AO253" s="5">
        <f>VLOOKUP($A253,'SegEnds_NonXtal_Prot#'!$A:$AL,38,FALSE)</f>
        <v>320</v>
      </c>
      <c r="AP253" s="5">
        <f t="shared" si="88"/>
        <v>31</v>
      </c>
      <c r="AQ253" s="4">
        <f t="shared" si="89"/>
        <v>3</v>
      </c>
      <c r="AR253" s="4">
        <f t="shared" si="90"/>
        <v>31</v>
      </c>
      <c r="AS253" s="4">
        <f t="shared" si="91"/>
        <v>3</v>
      </c>
      <c r="AT253" s="4">
        <f t="shared" si="92"/>
        <v>35</v>
      </c>
      <c r="AU253" s="4">
        <f t="shared" si="93"/>
        <v>7</v>
      </c>
      <c r="AV253" s="4">
        <f t="shared" si="94"/>
        <v>24</v>
      </c>
      <c r="AW253" s="4">
        <f t="shared" si="95"/>
        <v>2</v>
      </c>
      <c r="AX253" s="4">
        <f t="shared" si="96"/>
        <v>39</v>
      </c>
      <c r="AY253" s="4">
        <f t="shared" si="97"/>
        <v>40</v>
      </c>
      <c r="AZ253" s="4">
        <f t="shared" si="98"/>
        <v>25</v>
      </c>
      <c r="BA253" s="4">
        <f t="shared" si="99"/>
        <v>12</v>
      </c>
    </row>
    <row r="254" spans="1:53" x14ac:dyDescent="0.2">
      <c r="A254" s="1" t="str">
        <f>'SegEnds_NonXtal_Prot#'!A243</f>
        <v>taar2_human</v>
      </c>
      <c r="B254" s="1" t="str">
        <f t="shared" si="75"/>
        <v>NERSLGVRVAMYSFMAGSIFITIFGNLAMIISISYFTPTNFLILSMAITDFLLGFTIMPYSMIRSVEGLTFCKIYYSFDLMLSITSIFHLCSVAIDRFYAICYTIPVIKRLLLLCWSVPGAFAFGVVFSENKLWGTTLFMAGFFTPGSMMVGIYGKIFAVSRKHAHAINNQNNQVKKDKKAAKTLGIVIGVFLLCWFPCFFTILLDPFLPVVLFDALTWFGYFNSTCNPLIYGFFYPWFRRALKYILL</v>
      </c>
      <c r="C254" s="29" t="str">
        <f>IF(ISERROR(MATCH(A254,'SegEnds_Xtal_Prot#'!B:B, 0)), "NoXtal", "Xtal")</f>
        <v>NoXtal</v>
      </c>
      <c r="D254" s="4" t="str">
        <f>VLOOKUP(A254,Classification!A:D,2,FALSE)</f>
        <v>A</v>
      </c>
      <c r="E254" s="5" t="str">
        <f>VLOOKUP(A254,Seqs!A:B,2,FALSE)</f>
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</c>
      <c r="F254" s="5" t="str">
        <f t="shared" si="76"/>
        <v>NERSLGVRVAMYSFMAGSIFITIFGNLAMIISISYF</v>
      </c>
      <c r="G254" s="4" t="str">
        <f t="shared" si="77"/>
        <v>KQLH</v>
      </c>
      <c r="H254" s="4" t="str">
        <f t="shared" si="78"/>
        <v>TPTNFLILSMAITDFLLGFTIMPYSMIRSVE</v>
      </c>
      <c r="I254" s="4" t="str">
        <f t="shared" si="79"/>
        <v>CWYF</v>
      </c>
      <c r="J254" s="4" t="str">
        <f t="shared" si="80"/>
        <v>GLTFCKIYYSFDLMLSITSIFHLCSVAIDRFYAICY</v>
      </c>
      <c r="K254" s="4" t="str">
        <f t="shared" si="81"/>
        <v>PLLYSTKI</v>
      </c>
      <c r="L254" s="4" t="str">
        <f t="shared" si="82"/>
        <v>TIPVIKRLLLLCWSVPGAFAFGVVFSE</v>
      </c>
      <c r="M254" s="4" t="str">
        <f t="shared" si="83"/>
        <v>CPV</v>
      </c>
      <c r="N254" s="4" t="str">
        <f t="shared" si="84"/>
        <v>NKLWGTTLFMAGFFTPGSMMVGIYGKIFAVSRKHAHAIN</v>
      </c>
      <c r="O254" s="4" t="str">
        <f t="shared" si="85"/>
        <v>NQNNQVKKDKKAAKTLGIVIGVFLLCWFPCFFTILLDPFL</v>
      </c>
      <c r="P254" s="4" t="str">
        <f t="shared" si="86"/>
        <v>PVVLFDALTWFGYFNSTCNPLIYGFF</v>
      </c>
      <c r="Q254" s="4" t="str">
        <f t="shared" si="87"/>
        <v>YPWFRRALKYILL</v>
      </c>
      <c r="R254" s="5">
        <f>VLOOKUP($A254,'SegEnds_NonXtal_Prot#'!$A:$AL,3,FALSE)</f>
        <v>36</v>
      </c>
      <c r="S254" s="5">
        <f>VLOOKUP($A254,'SegEnds_NonXtal_Prot#'!$A:$AL,6,FALSE)</f>
        <v>72</v>
      </c>
      <c r="T254" s="5">
        <f>VLOOKUP($A254,'SegEnds_NonXtal_Prot#'!$A:$AL,9,FALSE)</f>
        <v>76</v>
      </c>
      <c r="U254" s="5">
        <f>VLOOKUP($A254,'SegEnds_NonXtal_Prot#'!$A:$AL,12,FALSE)</f>
        <v>108</v>
      </c>
      <c r="V254" s="5">
        <f>VLOOKUP($A254,'SegEnds_NonXtal_Prot#'!$A:$AL,15,FALSE)</f>
        <v>112</v>
      </c>
      <c r="W254" s="5">
        <f>VLOOKUP($A254,'SegEnds_NonXtal_Prot#'!$A:$AL,18,FALSE)</f>
        <v>148</v>
      </c>
      <c r="X254" s="5">
        <f>VLOOKUP($A254,'SegEnds_NonXtal_Prot#'!$A:$AL,21,FALSE)</f>
        <v>156</v>
      </c>
      <c r="Y254" s="5">
        <f>VLOOKUP($A254,'SegEnds_NonXtal_Prot#'!$A:$AL,24,FALSE)</f>
        <v>201</v>
      </c>
      <c r="Z254" s="5">
        <f>VLOOKUP($A254,'SegEnds_NonXtal_Prot#'!$A:$AL,27,FALSE)</f>
        <v>206</v>
      </c>
      <c r="AA254" s="5">
        <f>VLOOKUP($A254,'SegEnds_NonXtal_Prot#'!$A:$AL,30,FALSE)</f>
        <v>249</v>
      </c>
      <c r="AB254" s="5">
        <f>VLOOKUP($A254,'SegEnds_NonXtal_Prot#'!$A:$AL,33,FALSE)</f>
        <v>293</v>
      </c>
      <c r="AC254" s="5">
        <f>VLOOKUP($A254,'SegEnds_NonXtal_Prot#'!$A:$AL,36,FALSE)</f>
        <v>319</v>
      </c>
      <c r="AD254" s="5">
        <f>VLOOKUP($A254,'SegEnds_NonXtal_Prot#'!$A:$AL,5,FALSE)</f>
        <v>71</v>
      </c>
      <c r="AE254" s="5">
        <f>VLOOKUP($A254,'SegEnds_NonXtal_Prot#'!$A:$AL,8,FALSE)</f>
        <v>75</v>
      </c>
      <c r="AF254" s="5">
        <f>VLOOKUP($A254,'SegEnds_NonXtal_Prot#'!$A:$AL,11,FALSE)</f>
        <v>106</v>
      </c>
      <c r="AG254" s="5">
        <f>VLOOKUP($A254,'SegEnds_NonXtal_Prot#'!$A:$AL,14,FALSE)</f>
        <v>111</v>
      </c>
      <c r="AH254" s="5">
        <f>VLOOKUP($A254,'SegEnds_NonXtal_Prot#'!$A:$AL,17,FALSE)</f>
        <v>147</v>
      </c>
      <c r="AI254" s="5">
        <f>VLOOKUP($A254,'SegEnds_NonXtal_Prot#'!$A:$AL,20,FALSE)</f>
        <v>155</v>
      </c>
      <c r="AJ254" s="5">
        <f>VLOOKUP($A254,'SegEnds_NonXtal_Prot#'!$A:$AL,23,FALSE)</f>
        <v>182</v>
      </c>
      <c r="AK254" s="5">
        <f>VLOOKUP($A254,'SegEnds_NonXtal_Prot#'!$A:$AL,26,FALSE)</f>
        <v>203</v>
      </c>
      <c r="AL254" s="5">
        <f>VLOOKUP($A254,'SegEnds_NonXtal_Prot#'!$A:$AL,29,FALSE)</f>
        <v>244</v>
      </c>
      <c r="AM254" s="5">
        <f>VLOOKUP($A254,'SegEnds_NonXtal_Prot#'!$A:$AL,32,FALSE)</f>
        <v>288</v>
      </c>
      <c r="AN254" s="5">
        <f>VLOOKUP($A254,'SegEnds_NonXtal_Prot#'!$A:$AL,35,FALSE)</f>
        <v>318</v>
      </c>
      <c r="AO254" s="5">
        <f>VLOOKUP($A254,'SegEnds_NonXtal_Prot#'!$A:$AL,38,FALSE)</f>
        <v>331</v>
      </c>
      <c r="AP254" s="5">
        <f t="shared" si="88"/>
        <v>35</v>
      </c>
      <c r="AQ254" s="4">
        <f t="shared" si="89"/>
        <v>3</v>
      </c>
      <c r="AR254" s="4">
        <f t="shared" si="90"/>
        <v>30</v>
      </c>
      <c r="AS254" s="4">
        <f t="shared" si="91"/>
        <v>3</v>
      </c>
      <c r="AT254" s="4">
        <f t="shared" si="92"/>
        <v>35</v>
      </c>
      <c r="AU254" s="4">
        <f t="shared" si="93"/>
        <v>7</v>
      </c>
      <c r="AV254" s="4">
        <f t="shared" si="94"/>
        <v>26</v>
      </c>
      <c r="AW254" s="4">
        <f t="shared" si="95"/>
        <v>2</v>
      </c>
      <c r="AX254" s="4">
        <f t="shared" si="96"/>
        <v>38</v>
      </c>
      <c r="AY254" s="4">
        <f t="shared" si="97"/>
        <v>39</v>
      </c>
      <c r="AZ254" s="4">
        <f t="shared" si="98"/>
        <v>25</v>
      </c>
      <c r="BA254" s="4">
        <f t="shared" si="99"/>
        <v>12</v>
      </c>
    </row>
    <row r="255" spans="1:53" x14ac:dyDescent="0.2">
      <c r="A255" s="1" t="str">
        <f>'SegEnds_NonXtal_Prot#'!A244</f>
        <v>taar3_human</v>
      </c>
      <c r="B255" s="1" t="str">
        <f t="shared" si="75"/>
        <v>FSCPGDNVFGYDWSHDYPLFGNLVIMVSISHFSPTNFLILSMATTDFLLGFVIMPYSIMRSVESGDGFCKFHTSFDMMLRLTSIFHLCSIAIDRFYAVCYTNSTIKQLLAFCWSVPALFSFGLVLNKFWGTILFTTCFFTPGSIMVGIYGKIFIVSKQHARVISHVKKHLSKKKDRKAAKTLGIVMGVFLACWLPCFLAVLIDPYLPILILDLLVWLRYFNSTCNPLIHGFFNPWFQKAFKYIVS</v>
      </c>
      <c r="C255" s="29" t="str">
        <f>IF(ISERROR(MATCH(A255,'SegEnds_Xtal_Prot#'!B:B, 0)), "NoXtal", "Xtal")</f>
        <v>NoXtal</v>
      </c>
      <c r="D255" s="4" t="str">
        <f>VLOOKUP(A255,Classification!A:D,2,FALSE)</f>
        <v>A</v>
      </c>
      <c r="E255" s="5" t="str">
        <f>VLOOKUP(A255,Seqs!A:B,2,FALSE)</f>
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</c>
      <c r="F255" s="5" t="str">
        <f t="shared" si="76"/>
        <v>FSCPGDNVFGYDWSHDYPLFGNLVIMVSISHF</v>
      </c>
      <c r="G255" s="4" t="str">
        <f t="shared" si="77"/>
        <v>KQLH</v>
      </c>
      <c r="H255" s="4" t="str">
        <f t="shared" si="78"/>
        <v>SPTNFLILSMATTDFLLGFVIMPYSIMRSVES</v>
      </c>
      <c r="I255" s="4" t="str">
        <f t="shared" si="79"/>
        <v>CWYF</v>
      </c>
      <c r="J255" s="4" t="str">
        <f t="shared" si="80"/>
        <v>GDGFCKFHTSFDMMLRLTSIFHLCSIAIDRFYAVCY</v>
      </c>
      <c r="K255" s="4" t="str">
        <f t="shared" si="81"/>
        <v>PLHYTTKM</v>
      </c>
      <c r="L255" s="4" t="str">
        <f t="shared" si="82"/>
        <v>TNSTIKQLLAFCWSVPALFSFGLVL</v>
      </c>
      <c r="M255" s="4" t="str">
        <f t="shared" si="83"/>
        <v>CAL</v>
      </c>
      <c r="N255" s="4" t="str">
        <f t="shared" si="84"/>
        <v>NKFWGTILFTTCFFTPGSIMVGIYGKIFIVSKQHARVISH</v>
      </c>
      <c r="O255" s="4" t="str">
        <f t="shared" si="85"/>
        <v>VKKHLSKKKDRKAAKTLGIVMGVFLACWLPCFLAVLIDPYL</v>
      </c>
      <c r="P255" s="4" t="str">
        <f t="shared" si="86"/>
        <v>PILILDLLVWLRYFNSTCNPLIHGFF</v>
      </c>
      <c r="Q255" s="4" t="str">
        <f t="shared" si="87"/>
        <v>NPWFQKAFKYIVS</v>
      </c>
      <c r="R255" s="5">
        <f>VLOOKUP($A255,'SegEnds_NonXtal_Prot#'!$A:$AL,3,FALSE)</f>
        <v>28</v>
      </c>
      <c r="S255" s="5">
        <f>VLOOKUP($A255,'SegEnds_NonXtal_Prot#'!$A:$AL,6,FALSE)</f>
        <v>60</v>
      </c>
      <c r="T255" s="5">
        <f>VLOOKUP($A255,'SegEnds_NonXtal_Prot#'!$A:$AL,9,FALSE)</f>
        <v>64</v>
      </c>
      <c r="U255" s="5">
        <f>VLOOKUP($A255,'SegEnds_NonXtal_Prot#'!$A:$AL,12,FALSE)</f>
        <v>96</v>
      </c>
      <c r="V255" s="5">
        <f>VLOOKUP($A255,'SegEnds_NonXtal_Prot#'!$A:$AL,15,FALSE)</f>
        <v>100</v>
      </c>
      <c r="W255" s="5">
        <f>VLOOKUP($A255,'SegEnds_NonXtal_Prot#'!$A:$AL,18,FALSE)</f>
        <v>136</v>
      </c>
      <c r="X255" s="5">
        <f>VLOOKUP($A255,'SegEnds_NonXtal_Prot#'!$A:$AL,21,FALSE)</f>
        <v>144</v>
      </c>
      <c r="Y255" s="5">
        <f>VLOOKUP($A255,'SegEnds_NonXtal_Prot#'!$A:$AL,24,FALSE)</f>
        <v>189</v>
      </c>
      <c r="Z255" s="5">
        <f>VLOOKUP($A255,'SegEnds_NonXtal_Prot#'!$A:$AL,27,FALSE)</f>
        <v>194</v>
      </c>
      <c r="AA255" s="5">
        <f>VLOOKUP($A255,'SegEnds_NonXtal_Prot#'!$A:$AL,30,FALSE)</f>
        <v>242</v>
      </c>
      <c r="AB255" s="5">
        <f>VLOOKUP($A255,'SegEnds_NonXtal_Prot#'!$A:$AL,33,FALSE)</f>
        <v>287</v>
      </c>
      <c r="AC255" s="5">
        <f>VLOOKUP($A255,'SegEnds_NonXtal_Prot#'!$A:$AL,36,FALSE)</f>
        <v>313</v>
      </c>
      <c r="AD255" s="5">
        <f>VLOOKUP($A255,'SegEnds_NonXtal_Prot#'!$A:$AL,5,FALSE)</f>
        <v>59</v>
      </c>
      <c r="AE255" s="5">
        <f>VLOOKUP($A255,'SegEnds_NonXtal_Prot#'!$A:$AL,8,FALSE)</f>
        <v>63</v>
      </c>
      <c r="AF255" s="5">
        <f>VLOOKUP($A255,'SegEnds_NonXtal_Prot#'!$A:$AL,11,FALSE)</f>
        <v>95</v>
      </c>
      <c r="AG255" s="5">
        <f>VLOOKUP($A255,'SegEnds_NonXtal_Prot#'!$A:$AL,14,FALSE)</f>
        <v>99</v>
      </c>
      <c r="AH255" s="5">
        <f>VLOOKUP($A255,'SegEnds_NonXtal_Prot#'!$A:$AL,17,FALSE)</f>
        <v>135</v>
      </c>
      <c r="AI255" s="5">
        <f>VLOOKUP($A255,'SegEnds_NonXtal_Prot#'!$A:$AL,20,FALSE)</f>
        <v>143</v>
      </c>
      <c r="AJ255" s="5">
        <f>VLOOKUP($A255,'SegEnds_NonXtal_Prot#'!$A:$AL,23,FALSE)</f>
        <v>168</v>
      </c>
      <c r="AK255" s="5">
        <f>VLOOKUP($A255,'SegEnds_NonXtal_Prot#'!$A:$AL,26,FALSE)</f>
        <v>191</v>
      </c>
      <c r="AL255" s="5">
        <f>VLOOKUP($A255,'SegEnds_NonXtal_Prot#'!$A:$AL,29,FALSE)</f>
        <v>233</v>
      </c>
      <c r="AM255" s="5">
        <f>VLOOKUP($A255,'SegEnds_NonXtal_Prot#'!$A:$AL,32,FALSE)</f>
        <v>282</v>
      </c>
      <c r="AN255" s="5">
        <f>VLOOKUP($A255,'SegEnds_NonXtal_Prot#'!$A:$AL,35,FALSE)</f>
        <v>312</v>
      </c>
      <c r="AO255" s="5">
        <f>VLOOKUP($A255,'SegEnds_NonXtal_Prot#'!$A:$AL,38,FALSE)</f>
        <v>325</v>
      </c>
      <c r="AP255" s="5">
        <f t="shared" si="88"/>
        <v>31</v>
      </c>
      <c r="AQ255" s="4">
        <f t="shared" si="89"/>
        <v>3</v>
      </c>
      <c r="AR255" s="4">
        <f t="shared" si="90"/>
        <v>31</v>
      </c>
      <c r="AS255" s="4">
        <f t="shared" si="91"/>
        <v>3</v>
      </c>
      <c r="AT255" s="4">
        <f t="shared" si="92"/>
        <v>35</v>
      </c>
      <c r="AU255" s="4">
        <f t="shared" si="93"/>
        <v>7</v>
      </c>
      <c r="AV255" s="4">
        <f t="shared" si="94"/>
        <v>24</v>
      </c>
      <c r="AW255" s="4">
        <f t="shared" si="95"/>
        <v>2</v>
      </c>
      <c r="AX255" s="4">
        <f t="shared" si="96"/>
        <v>39</v>
      </c>
      <c r="AY255" s="4">
        <f t="shared" si="97"/>
        <v>40</v>
      </c>
      <c r="AZ255" s="4">
        <f t="shared" si="98"/>
        <v>25</v>
      </c>
      <c r="BA255" s="4">
        <f t="shared" si="99"/>
        <v>12</v>
      </c>
    </row>
    <row r="256" spans="1:53" x14ac:dyDescent="0.2">
      <c r="A256" s="1" t="str">
        <f>'SegEnds_NonXtal_Prot#'!A245</f>
        <v>taar5_human</v>
      </c>
      <c r="B256" s="1" t="str">
        <f t="shared" si="75"/>
        <v>TLGIQLVIYLACAAGMLIIVLGNVFVAFAVSYFTPTNFLLLSLALADMFLGLLVLPLSTIRSVESGDFLCRLHTYLDTLFCLTSIFHLCFISIDRHCAICDTVRVALRYILAGWGVPAAYTSLFLYTLNKFWGWLNFPLFFVPCLIMISLYVKIFVVATRQAQQITSLAGAAKHERKAAKTLGIAVGIYLLCWLPFTIDTMVDSLLPPLVFDIFIWFAYFNSACNPIIYVFSYQWFRKALKLTL</v>
      </c>
      <c r="C256" s="29" t="str">
        <f>IF(ISERROR(MATCH(A256,'SegEnds_Xtal_Prot#'!B:B, 0)), "NoXtal", "Xtal")</f>
        <v>NoXtal</v>
      </c>
      <c r="D256" s="4" t="str">
        <f>VLOOKUP(A256,Classification!A:D,2,FALSE)</f>
        <v>A</v>
      </c>
      <c r="E256" s="5" t="str">
        <f>VLOOKUP(A256,Seqs!A:B,2,FALSE)</f>
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</c>
      <c r="F256" s="5" t="str">
        <f t="shared" si="76"/>
        <v>TLGIQLVIYLACAAGMLIIVLGNVFVAFAVSYF</v>
      </c>
      <c r="G256" s="4" t="str">
        <f t="shared" si="77"/>
        <v>KALH</v>
      </c>
      <c r="H256" s="4" t="str">
        <f t="shared" si="78"/>
        <v>TPTNFLLLSLALADMFLGLLVLPLSTIRSVES</v>
      </c>
      <c r="I256" s="4" t="str">
        <f t="shared" si="79"/>
        <v>CWFF</v>
      </c>
      <c r="J256" s="4" t="str">
        <f t="shared" si="80"/>
        <v>GDFLCRLHTYLDTLFCLTSIFHLCFISIDRHCAICD</v>
      </c>
      <c r="K256" s="4" t="str">
        <f t="shared" si="81"/>
        <v>PLLYPSKF</v>
      </c>
      <c r="L256" s="4" t="str">
        <f t="shared" si="82"/>
        <v>TVRVALRYILAGWGVPAAYTSLFLYT</v>
      </c>
      <c r="M256" s="4" t="str">
        <f t="shared" si="83"/>
        <v>CQL</v>
      </c>
      <c r="N256" s="4" t="str">
        <f t="shared" si="84"/>
        <v>LNKFWGWLNFPLFFVPCLIMISLYVKIFVVATRQAQQIT</v>
      </c>
      <c r="O256" s="4" t="str">
        <f t="shared" si="85"/>
        <v>SLAGAAKHERKAAKTLGIAVGIYLLCWLPFTIDTMVDSLL</v>
      </c>
      <c r="P256" s="4" t="str">
        <f t="shared" si="86"/>
        <v>PPLVFDIFIWFAYFNSACNPIIYVFS</v>
      </c>
      <c r="Q256" s="4" t="str">
        <f t="shared" si="87"/>
        <v>YQWFRKALKLTL</v>
      </c>
      <c r="R256" s="5">
        <f>VLOOKUP($A256,'SegEnds_NonXtal_Prot#'!$A:$AL,3,FALSE)</f>
        <v>30</v>
      </c>
      <c r="S256" s="5">
        <f>VLOOKUP($A256,'SegEnds_NonXtal_Prot#'!$A:$AL,6,FALSE)</f>
        <v>63</v>
      </c>
      <c r="T256" s="5">
        <f>VLOOKUP($A256,'SegEnds_NonXtal_Prot#'!$A:$AL,9,FALSE)</f>
        <v>67</v>
      </c>
      <c r="U256" s="5">
        <f>VLOOKUP($A256,'SegEnds_NonXtal_Prot#'!$A:$AL,12,FALSE)</f>
        <v>99</v>
      </c>
      <c r="V256" s="5">
        <f>VLOOKUP($A256,'SegEnds_NonXtal_Prot#'!$A:$AL,15,FALSE)</f>
        <v>103</v>
      </c>
      <c r="W256" s="5">
        <f>VLOOKUP($A256,'SegEnds_NonXtal_Prot#'!$A:$AL,18,FALSE)</f>
        <v>139</v>
      </c>
      <c r="X256" s="5">
        <f>VLOOKUP($A256,'SegEnds_NonXtal_Prot#'!$A:$AL,21,FALSE)</f>
        <v>147</v>
      </c>
      <c r="Y256" s="5">
        <f>VLOOKUP($A256,'SegEnds_NonXtal_Prot#'!$A:$AL,24,FALSE)</f>
        <v>192</v>
      </c>
      <c r="Z256" s="5">
        <f>VLOOKUP($A256,'SegEnds_NonXtal_Prot#'!$A:$AL,27,FALSE)</f>
        <v>196</v>
      </c>
      <c r="AA256" s="5">
        <f>VLOOKUP($A256,'SegEnds_NonXtal_Prot#'!$A:$AL,30,FALSE)</f>
        <v>239</v>
      </c>
      <c r="AB256" s="5">
        <f>VLOOKUP($A256,'SegEnds_NonXtal_Prot#'!$A:$AL,33,FALSE)</f>
        <v>283</v>
      </c>
      <c r="AC256" s="5">
        <f>VLOOKUP($A256,'SegEnds_NonXtal_Prot#'!$A:$AL,36,FALSE)</f>
        <v>309</v>
      </c>
      <c r="AD256" s="5">
        <f>VLOOKUP($A256,'SegEnds_NonXtal_Prot#'!$A:$AL,5,FALSE)</f>
        <v>62</v>
      </c>
      <c r="AE256" s="5">
        <f>VLOOKUP($A256,'SegEnds_NonXtal_Prot#'!$A:$AL,8,FALSE)</f>
        <v>66</v>
      </c>
      <c r="AF256" s="5">
        <f>VLOOKUP($A256,'SegEnds_NonXtal_Prot#'!$A:$AL,11,FALSE)</f>
        <v>98</v>
      </c>
      <c r="AG256" s="5">
        <f>VLOOKUP($A256,'SegEnds_NonXtal_Prot#'!$A:$AL,14,FALSE)</f>
        <v>102</v>
      </c>
      <c r="AH256" s="5">
        <f>VLOOKUP($A256,'SegEnds_NonXtal_Prot#'!$A:$AL,17,FALSE)</f>
        <v>138</v>
      </c>
      <c r="AI256" s="5">
        <f>VLOOKUP($A256,'SegEnds_NonXtal_Prot#'!$A:$AL,20,FALSE)</f>
        <v>146</v>
      </c>
      <c r="AJ256" s="5">
        <f>VLOOKUP($A256,'SegEnds_NonXtal_Prot#'!$A:$AL,23,FALSE)</f>
        <v>172</v>
      </c>
      <c r="AK256" s="5">
        <f>VLOOKUP($A256,'SegEnds_NonXtal_Prot#'!$A:$AL,26,FALSE)</f>
        <v>194</v>
      </c>
      <c r="AL256" s="5">
        <f>VLOOKUP($A256,'SegEnds_NonXtal_Prot#'!$A:$AL,29,FALSE)</f>
        <v>234</v>
      </c>
      <c r="AM256" s="5">
        <f>VLOOKUP($A256,'SegEnds_NonXtal_Prot#'!$A:$AL,32,FALSE)</f>
        <v>278</v>
      </c>
      <c r="AN256" s="5">
        <f>VLOOKUP($A256,'SegEnds_NonXtal_Prot#'!$A:$AL,35,FALSE)</f>
        <v>308</v>
      </c>
      <c r="AO256" s="5">
        <f>VLOOKUP($A256,'SegEnds_NonXtal_Prot#'!$A:$AL,38,FALSE)</f>
        <v>320</v>
      </c>
      <c r="AP256" s="5">
        <f t="shared" si="88"/>
        <v>32</v>
      </c>
      <c r="AQ256" s="4">
        <f t="shared" si="89"/>
        <v>3</v>
      </c>
      <c r="AR256" s="4">
        <f t="shared" si="90"/>
        <v>31</v>
      </c>
      <c r="AS256" s="4">
        <f t="shared" si="91"/>
        <v>3</v>
      </c>
      <c r="AT256" s="4">
        <f t="shared" si="92"/>
        <v>35</v>
      </c>
      <c r="AU256" s="4">
        <f t="shared" si="93"/>
        <v>7</v>
      </c>
      <c r="AV256" s="4">
        <f t="shared" si="94"/>
        <v>25</v>
      </c>
      <c r="AW256" s="4">
        <f t="shared" si="95"/>
        <v>2</v>
      </c>
      <c r="AX256" s="4">
        <f t="shared" si="96"/>
        <v>38</v>
      </c>
      <c r="AY256" s="4">
        <f t="shared" si="97"/>
        <v>39</v>
      </c>
      <c r="AZ256" s="4">
        <f t="shared" si="98"/>
        <v>25</v>
      </c>
      <c r="BA256" s="4">
        <f t="shared" si="99"/>
        <v>11</v>
      </c>
    </row>
    <row r="257" spans="1:53" x14ac:dyDescent="0.2">
      <c r="A257" s="1" t="str">
        <f>'SegEnds_NonXtal_Prot#'!A246</f>
        <v>taar6_human</v>
      </c>
      <c r="B257" s="1" t="str">
        <f t="shared" si="75"/>
        <v>SPGSRVILYIVFGFGAVLAVFGNLLVMISILHFSPTNFLVASLACADFLVGVTVMPFSMVRTVESGRSFCTFHTCCDVAFCYSSLFHLCFISIDRYIAVTDTVSVSGICISVSWILPLMYSGAVFYTVNQNWVLTDFLSFFIPTFIMIILYGNIFLVARRQAKKIENSYKARVARRERKAAKTLGVTVVAFMISWLPYSIDSLIDAFMPACIYEICCWCAYYNSAMNPLIYALFYPWFRKAIKVIV</v>
      </c>
      <c r="C257" s="29" t="str">
        <f>IF(ISERROR(MATCH(A257,'SegEnds_Xtal_Prot#'!B:B, 0)), "NoXtal", "Xtal")</f>
        <v>NoXtal</v>
      </c>
      <c r="D257" s="4" t="str">
        <f>VLOOKUP(A257,Classification!A:D,2,FALSE)</f>
        <v>A</v>
      </c>
      <c r="E257" s="5" t="str">
        <f>VLOOKUP(A257,Seqs!A:B,2,FALSE)</f>
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</c>
      <c r="F257" s="5" t="str">
        <f t="shared" si="76"/>
        <v>SPGSRVILYIVFGFGAVLAVFGNLLVMISILHF</v>
      </c>
      <c r="G257" s="4" t="str">
        <f t="shared" si="77"/>
        <v>KQLH</v>
      </c>
      <c r="H257" s="4" t="str">
        <f t="shared" si="78"/>
        <v>SPTNFLVASLACADFLVGVTVMPFSMVRTVES</v>
      </c>
      <c r="I257" s="4" t="str">
        <f t="shared" si="79"/>
        <v>CWYF</v>
      </c>
      <c r="J257" s="4" t="str">
        <f t="shared" si="80"/>
        <v>GRSFCTFHTCCDVAFCYSSLFHLCFISIDRYIAVTD</v>
      </c>
      <c r="K257" s="4" t="str">
        <f t="shared" si="81"/>
        <v>PLVYPTKF</v>
      </c>
      <c r="L257" s="4" t="str">
        <f t="shared" si="82"/>
        <v>TVSVSGICISVSWILPLMYSGAVFYT</v>
      </c>
      <c r="M257" s="4" t="str">
        <f t="shared" si="83"/>
        <v>CQT</v>
      </c>
      <c r="N257" s="4" t="str">
        <f t="shared" si="84"/>
        <v>VNQNWVLTDFLSFFIPTFIMIILYGNIFLVARRQAKKIEN</v>
      </c>
      <c r="O257" s="4" t="str">
        <f t="shared" si="85"/>
        <v>SYKARVARRERKAAKTLGVTVVAFMISWLPYSIDSLIDAFM</v>
      </c>
      <c r="P257" s="4" t="str">
        <f t="shared" si="86"/>
        <v>PACIYEICCWCAYYNSAMNPLIYALF</v>
      </c>
      <c r="Q257" s="4" t="str">
        <f t="shared" si="87"/>
        <v>YPWFRKAIKVIV</v>
      </c>
      <c r="R257" s="5">
        <f>VLOOKUP($A257,'SegEnds_NonXtal_Prot#'!$A:$AL,3,FALSE)</f>
        <v>28</v>
      </c>
      <c r="S257" s="5">
        <f>VLOOKUP($A257,'SegEnds_NonXtal_Prot#'!$A:$AL,6,FALSE)</f>
        <v>61</v>
      </c>
      <c r="T257" s="5">
        <f>VLOOKUP($A257,'SegEnds_NonXtal_Prot#'!$A:$AL,9,FALSE)</f>
        <v>65</v>
      </c>
      <c r="U257" s="5">
        <f>VLOOKUP($A257,'SegEnds_NonXtal_Prot#'!$A:$AL,12,FALSE)</f>
        <v>97</v>
      </c>
      <c r="V257" s="5">
        <f>VLOOKUP($A257,'SegEnds_NonXtal_Prot#'!$A:$AL,15,FALSE)</f>
        <v>101</v>
      </c>
      <c r="W257" s="5">
        <f>VLOOKUP($A257,'SegEnds_NonXtal_Prot#'!$A:$AL,18,FALSE)</f>
        <v>137</v>
      </c>
      <c r="X257" s="5">
        <f>VLOOKUP($A257,'SegEnds_NonXtal_Prot#'!$A:$AL,21,FALSE)</f>
        <v>145</v>
      </c>
      <c r="Y257" s="5">
        <f>VLOOKUP($A257,'SegEnds_NonXtal_Prot#'!$A:$AL,24,FALSE)</f>
        <v>190</v>
      </c>
      <c r="Z257" s="5">
        <f>VLOOKUP($A257,'SegEnds_NonXtal_Prot#'!$A:$AL,27,FALSE)</f>
        <v>194</v>
      </c>
      <c r="AA257" s="5">
        <f>VLOOKUP($A257,'SegEnds_NonXtal_Prot#'!$A:$AL,30,FALSE)</f>
        <v>244</v>
      </c>
      <c r="AB257" s="5">
        <f>VLOOKUP($A257,'SegEnds_NonXtal_Prot#'!$A:$AL,33,FALSE)</f>
        <v>289</v>
      </c>
      <c r="AC257" s="5">
        <f>VLOOKUP($A257,'SegEnds_NonXtal_Prot#'!$A:$AL,36,FALSE)</f>
        <v>315</v>
      </c>
      <c r="AD257" s="5">
        <f>VLOOKUP($A257,'SegEnds_NonXtal_Prot#'!$A:$AL,5,FALSE)</f>
        <v>60</v>
      </c>
      <c r="AE257" s="5">
        <f>VLOOKUP($A257,'SegEnds_NonXtal_Prot#'!$A:$AL,8,FALSE)</f>
        <v>64</v>
      </c>
      <c r="AF257" s="5">
        <f>VLOOKUP($A257,'SegEnds_NonXtal_Prot#'!$A:$AL,11,FALSE)</f>
        <v>96</v>
      </c>
      <c r="AG257" s="5">
        <f>VLOOKUP($A257,'SegEnds_NonXtal_Prot#'!$A:$AL,14,FALSE)</f>
        <v>100</v>
      </c>
      <c r="AH257" s="5">
        <f>VLOOKUP($A257,'SegEnds_NonXtal_Prot#'!$A:$AL,17,FALSE)</f>
        <v>136</v>
      </c>
      <c r="AI257" s="5">
        <f>VLOOKUP($A257,'SegEnds_NonXtal_Prot#'!$A:$AL,20,FALSE)</f>
        <v>144</v>
      </c>
      <c r="AJ257" s="5">
        <f>VLOOKUP($A257,'SegEnds_NonXtal_Prot#'!$A:$AL,23,FALSE)</f>
        <v>170</v>
      </c>
      <c r="AK257" s="5">
        <f>VLOOKUP($A257,'SegEnds_NonXtal_Prot#'!$A:$AL,26,FALSE)</f>
        <v>192</v>
      </c>
      <c r="AL257" s="5">
        <f>VLOOKUP($A257,'SegEnds_NonXtal_Prot#'!$A:$AL,29,FALSE)</f>
        <v>233</v>
      </c>
      <c r="AM257" s="5">
        <f>VLOOKUP($A257,'SegEnds_NonXtal_Prot#'!$A:$AL,32,FALSE)</f>
        <v>284</v>
      </c>
      <c r="AN257" s="5">
        <f>VLOOKUP($A257,'SegEnds_NonXtal_Prot#'!$A:$AL,35,FALSE)</f>
        <v>314</v>
      </c>
      <c r="AO257" s="5">
        <f>VLOOKUP($A257,'SegEnds_NonXtal_Prot#'!$A:$AL,38,FALSE)</f>
        <v>326</v>
      </c>
      <c r="AP257" s="5">
        <f t="shared" si="88"/>
        <v>32</v>
      </c>
      <c r="AQ257" s="4">
        <f t="shared" si="89"/>
        <v>3</v>
      </c>
      <c r="AR257" s="4">
        <f t="shared" si="90"/>
        <v>31</v>
      </c>
      <c r="AS257" s="4">
        <f t="shared" si="91"/>
        <v>3</v>
      </c>
      <c r="AT257" s="4">
        <f t="shared" si="92"/>
        <v>35</v>
      </c>
      <c r="AU257" s="4">
        <f t="shared" si="93"/>
        <v>7</v>
      </c>
      <c r="AV257" s="4">
        <f t="shared" si="94"/>
        <v>25</v>
      </c>
      <c r="AW257" s="4">
        <f t="shared" si="95"/>
        <v>2</v>
      </c>
      <c r="AX257" s="4">
        <f t="shared" si="96"/>
        <v>39</v>
      </c>
      <c r="AY257" s="4">
        <f t="shared" si="97"/>
        <v>40</v>
      </c>
      <c r="AZ257" s="4">
        <f t="shared" si="98"/>
        <v>25</v>
      </c>
      <c r="BA257" s="4">
        <f t="shared" si="99"/>
        <v>11</v>
      </c>
    </row>
    <row r="258" spans="1:53" x14ac:dyDescent="0.2">
      <c r="A258" s="1" t="str">
        <f>'SegEnds_NonXtal_Prot#'!A247</f>
        <v>taar8_human</v>
      </c>
      <c r="B258" s="1" t="str">
        <f t="shared" ref="B258:B321" si="100">F258&amp;H258&amp;J258&amp;L258&amp;N258&amp;O258&amp;P258&amp;Q258</f>
        <v>SPGSRVILYTAFSFGSLLAVFGNLLVMTSVLHFSPTNFLIASLACADFLVGVTVMLFSMVRTVESGAKFCTLHSCCDVAFCYSSVLHLCFICIDRYIVVTDTVSVSGICISVSWILPLTYSGAVFYTVSQGWVLIDFLLFFIPTLVMIILYSKIFLIAKQQAIKIETSYKIRVAKRERKAAKTLGVTVLAFVISWLPYTVDILIDAFMPAYIYEICCWSAYYNSAMNPLIYALFYPWFRKAIKLIL</v>
      </c>
      <c r="C258" s="29" t="str">
        <f>IF(ISERROR(MATCH(A258,'SegEnds_Xtal_Prot#'!B:B, 0)), "NoXtal", "Xtal")</f>
        <v>NoXtal</v>
      </c>
      <c r="D258" s="4" t="str">
        <f>VLOOKUP(A258,Classification!A:D,2,FALSE)</f>
        <v>A</v>
      </c>
      <c r="E258" s="5" t="str">
        <f>VLOOKUP(A258,Seqs!A:B,2,FALSE)</f>
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</c>
      <c r="F258" s="5" t="str">
        <f t="shared" ref="F258:F321" si="101">IFERROR(MID($E258,R258,(AP258+1)),"")</f>
        <v>SPGSRVILYTAFSFGSLLAVFGNLLVMTSVLHF</v>
      </c>
      <c r="G258" s="4" t="str">
        <f t="shared" ref="G258:G321" si="102">IFERROR(MID($E258,S258,(AQ258+1)),"")</f>
        <v>KQLH</v>
      </c>
      <c r="H258" s="4" t="str">
        <f t="shared" ref="H258:H321" si="103">IFERROR(MID($E258,T258,(AR258+1)),"")</f>
        <v>SPTNFLIASLACADFLVGVTVMLFSMVRTVES</v>
      </c>
      <c r="I258" s="4" t="str">
        <f t="shared" ref="I258:I321" si="104">IFERROR(MID($E258,U258,(AS258+1)),"")</f>
        <v>CWYF</v>
      </c>
      <c r="J258" s="4" t="str">
        <f t="shared" ref="J258:J321" si="105">IFERROR(MID($E258,V258,(AT258+1)),"")</f>
        <v>GAKFCTLHSCCDVAFCYSSVLHLCFICIDRYIVVTD</v>
      </c>
      <c r="K258" s="4" t="str">
        <f t="shared" ref="K258:K321" si="106">IFERROR(MID($E258,W258,(AU258+1)),"")</f>
        <v>PLVYATKF</v>
      </c>
      <c r="L258" s="4" t="str">
        <f t="shared" ref="L258:L321" si="107">IFERROR(MID($E258,X258,(AV258+1)),"")</f>
        <v>TVSVSGICISVSWILPLTYSGAVFYT</v>
      </c>
      <c r="M258" s="4" t="str">
        <f t="shared" ref="M258:M321" si="108">IFERROR(MID($E258,Y258,(AW258+1)),"")</f>
        <v>CQI</v>
      </c>
      <c r="N258" s="4" t="str">
        <f t="shared" ref="N258:N321" si="109">IFERROR(MID($E258,Z258,(AX258+1)),"")</f>
        <v>VSQGWVLIDFLLFFIPTLVMIILYSKIFLIAKQQAIKIET</v>
      </c>
      <c r="O258" s="4" t="str">
        <f t="shared" ref="O258:O321" si="110">IFERROR(MID($E258,AA258,(AY258+1)),"")</f>
        <v>SYKIRVAKRERKAAKTLGVTVLAFVISWLPYTVDILIDAFM</v>
      </c>
      <c r="P258" s="4" t="str">
        <f t="shared" ref="P258:P321" si="111">IFERROR(MID($E258,AB258,(AZ258+1)),"")</f>
        <v>PAYIYEICCWSAYYNSAMNPLIYALF</v>
      </c>
      <c r="Q258" s="4" t="str">
        <f t="shared" ref="Q258:Q321" si="112">IFERROR(MID($E258,AC258,(BA258+1)),"")</f>
        <v>YPWFRKAIKLIL</v>
      </c>
      <c r="R258" s="5">
        <f>VLOOKUP($A258,'SegEnds_NonXtal_Prot#'!$A:$AL,3,FALSE)</f>
        <v>27</v>
      </c>
      <c r="S258" s="5">
        <f>VLOOKUP($A258,'SegEnds_NonXtal_Prot#'!$A:$AL,6,FALSE)</f>
        <v>60</v>
      </c>
      <c r="T258" s="5">
        <f>VLOOKUP($A258,'SegEnds_NonXtal_Prot#'!$A:$AL,9,FALSE)</f>
        <v>64</v>
      </c>
      <c r="U258" s="5">
        <f>VLOOKUP($A258,'SegEnds_NonXtal_Prot#'!$A:$AL,12,FALSE)</f>
        <v>96</v>
      </c>
      <c r="V258" s="5">
        <f>VLOOKUP($A258,'SegEnds_NonXtal_Prot#'!$A:$AL,15,FALSE)</f>
        <v>100</v>
      </c>
      <c r="W258" s="5">
        <f>VLOOKUP($A258,'SegEnds_NonXtal_Prot#'!$A:$AL,18,FALSE)</f>
        <v>136</v>
      </c>
      <c r="X258" s="5">
        <f>VLOOKUP($A258,'SegEnds_NonXtal_Prot#'!$A:$AL,21,FALSE)</f>
        <v>144</v>
      </c>
      <c r="Y258" s="5">
        <f>VLOOKUP($A258,'SegEnds_NonXtal_Prot#'!$A:$AL,24,FALSE)</f>
        <v>189</v>
      </c>
      <c r="Z258" s="5">
        <f>VLOOKUP($A258,'SegEnds_NonXtal_Prot#'!$A:$AL,27,FALSE)</f>
        <v>193</v>
      </c>
      <c r="AA258" s="5">
        <f>VLOOKUP($A258,'SegEnds_NonXtal_Prot#'!$A:$AL,30,FALSE)</f>
        <v>243</v>
      </c>
      <c r="AB258" s="5">
        <f>VLOOKUP($A258,'SegEnds_NonXtal_Prot#'!$A:$AL,33,FALSE)</f>
        <v>288</v>
      </c>
      <c r="AC258" s="5">
        <f>VLOOKUP($A258,'SegEnds_NonXtal_Prot#'!$A:$AL,36,FALSE)</f>
        <v>314</v>
      </c>
      <c r="AD258" s="5">
        <f>VLOOKUP($A258,'SegEnds_NonXtal_Prot#'!$A:$AL,5,FALSE)</f>
        <v>59</v>
      </c>
      <c r="AE258" s="5">
        <f>VLOOKUP($A258,'SegEnds_NonXtal_Prot#'!$A:$AL,8,FALSE)</f>
        <v>63</v>
      </c>
      <c r="AF258" s="5">
        <f>VLOOKUP($A258,'SegEnds_NonXtal_Prot#'!$A:$AL,11,FALSE)</f>
        <v>95</v>
      </c>
      <c r="AG258" s="5">
        <f>VLOOKUP($A258,'SegEnds_NonXtal_Prot#'!$A:$AL,14,FALSE)</f>
        <v>99</v>
      </c>
      <c r="AH258" s="5">
        <f>VLOOKUP($A258,'SegEnds_NonXtal_Prot#'!$A:$AL,17,FALSE)</f>
        <v>135</v>
      </c>
      <c r="AI258" s="5">
        <f>VLOOKUP($A258,'SegEnds_NonXtal_Prot#'!$A:$AL,20,FALSE)</f>
        <v>143</v>
      </c>
      <c r="AJ258" s="5">
        <f>VLOOKUP($A258,'SegEnds_NonXtal_Prot#'!$A:$AL,23,FALSE)</f>
        <v>169</v>
      </c>
      <c r="AK258" s="5">
        <f>VLOOKUP($A258,'SegEnds_NonXtal_Prot#'!$A:$AL,26,FALSE)</f>
        <v>191</v>
      </c>
      <c r="AL258" s="5">
        <f>VLOOKUP($A258,'SegEnds_NonXtal_Prot#'!$A:$AL,29,FALSE)</f>
        <v>232</v>
      </c>
      <c r="AM258" s="5">
        <f>VLOOKUP($A258,'SegEnds_NonXtal_Prot#'!$A:$AL,32,FALSE)</f>
        <v>283</v>
      </c>
      <c r="AN258" s="5">
        <f>VLOOKUP($A258,'SegEnds_NonXtal_Prot#'!$A:$AL,35,FALSE)</f>
        <v>313</v>
      </c>
      <c r="AO258" s="5">
        <f>VLOOKUP($A258,'SegEnds_NonXtal_Prot#'!$A:$AL,38,FALSE)</f>
        <v>325</v>
      </c>
      <c r="AP258" s="5">
        <f t="shared" ref="AP258:AP321" si="113">IFERROR(AD258-R258,"-")</f>
        <v>32</v>
      </c>
      <c r="AQ258" s="4">
        <f t="shared" ref="AQ258:AQ321" si="114">IFERROR(AE258-S258,"-")</f>
        <v>3</v>
      </c>
      <c r="AR258" s="4">
        <f t="shared" ref="AR258:AR321" si="115">IFERROR(AF258-T258,"-")</f>
        <v>31</v>
      </c>
      <c r="AS258" s="4">
        <f t="shared" ref="AS258:AS321" si="116">IFERROR(AG258-U258,"-")</f>
        <v>3</v>
      </c>
      <c r="AT258" s="4">
        <f t="shared" ref="AT258:AT321" si="117">IFERROR(AH258-V258,"-")</f>
        <v>35</v>
      </c>
      <c r="AU258" s="4">
        <f t="shared" ref="AU258:AU321" si="118">IFERROR(AI258-W258,"-")</f>
        <v>7</v>
      </c>
      <c r="AV258" s="4">
        <f t="shared" ref="AV258:AV321" si="119">IFERROR(AJ258-X258,"-")</f>
        <v>25</v>
      </c>
      <c r="AW258" s="4">
        <f t="shared" ref="AW258:AW321" si="120">IFERROR(AK258-Y258,"-")</f>
        <v>2</v>
      </c>
      <c r="AX258" s="4">
        <f t="shared" ref="AX258:AX321" si="121">IFERROR(AL258-Z258,"-")</f>
        <v>39</v>
      </c>
      <c r="AY258" s="4">
        <f t="shared" ref="AY258:AY321" si="122">IFERROR(AM258-AA258,"-")</f>
        <v>40</v>
      </c>
      <c r="AZ258" s="4">
        <f t="shared" ref="AZ258:AZ321" si="123">IFERROR(AN258-AB258,"-")</f>
        <v>25</v>
      </c>
      <c r="BA258" s="4">
        <f t="shared" ref="BA258:BA321" si="124">IFERROR(AO258-AC258,"-")</f>
        <v>11</v>
      </c>
    </row>
    <row r="259" spans="1:53" x14ac:dyDescent="0.2">
      <c r="A259" s="1" t="str">
        <f>'SegEnds_NonXtal_Prot#'!A249</f>
        <v>trfr_human</v>
      </c>
      <c r="B259" s="1" t="str">
        <f t="shared" si="100"/>
        <v>LEYQVVTILLVLIICGLGIVGNIMVVLVVMRTTPTNCYLVSLAVADLMVLVAAGLPNITDSIGYVGCLCITYLQYLGINASSCSITAFTIERYIAICHTFSRAKKIIIFVWAFTSLYCMLWFFLLSRNYYSPIYLMDFGVFYVVPMILATVLYGFIARILFLNPIPSDPKENSTVSSRKQVTKMLAVVVILFALLWMPYRTLVVVNSFLENWFLLFCRICIYLNSAINPVIYNLMSQKFRAAFRKLCN</v>
      </c>
      <c r="C259" s="29" t="str">
        <f>IF(ISERROR(MATCH(A259,'SegEnds_Xtal_Prot#'!B:B, 0)), "NoXtal", "Xtal")</f>
        <v>NoXtal</v>
      </c>
      <c r="D259" s="4" t="str">
        <f>VLOOKUP(A259,Classification!A:D,2,FALSE)</f>
        <v>A</v>
      </c>
      <c r="E259" s="5" t="str">
        <f>VLOOKUP(A259,Seqs!A:B,2,FALSE)</f>
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</c>
      <c r="F259" s="5" t="str">
        <f t="shared" si="101"/>
        <v>LEYQVVTILLVLIICGLGIVGNIMVVLVVMRT</v>
      </c>
      <c r="G259" s="4" t="str">
        <f t="shared" si="102"/>
        <v>KHMR</v>
      </c>
      <c r="H259" s="4" t="str">
        <f t="shared" si="103"/>
        <v>TPTNCYLVSLAVADLMVLVAAGLPNITDSI</v>
      </c>
      <c r="I259" s="4" t="str">
        <f t="shared" si="104"/>
        <v>SWVY</v>
      </c>
      <c r="J259" s="4" t="str">
        <f t="shared" si="105"/>
        <v>GYVGCLCITYLQYLGINASSCSITAFTIERYIAICH</v>
      </c>
      <c r="K259" s="4" t="str">
        <f t="shared" si="106"/>
        <v>PIKAQFLC</v>
      </c>
      <c r="L259" s="4" t="str">
        <f t="shared" si="107"/>
        <v>TFSRAKKIIIFVWAFTSLYCMLWFFLL</v>
      </c>
      <c r="M259" s="4" t="str">
        <f t="shared" si="108"/>
        <v>CGY</v>
      </c>
      <c r="N259" s="4" t="str">
        <f t="shared" si="109"/>
        <v>SRNYYSPIYLMDFGVFYVVPMILATVLYGFIARILFLNPIPSDPKE</v>
      </c>
      <c r="O259" s="4" t="str">
        <f t="shared" si="110"/>
        <v>NSTVSSRKQVTKMLAVVVILFALLWMPYRTLVVVNSFL</v>
      </c>
      <c r="P259" s="4" t="str">
        <f t="shared" si="111"/>
        <v>ENWFLLFCRICIYLNSAINPVIYNLM</v>
      </c>
      <c r="Q259" s="4" t="str">
        <f t="shared" si="112"/>
        <v>SQKFRAAFRKLCN</v>
      </c>
      <c r="R259" s="5">
        <f>VLOOKUP($A259,'SegEnds_NonXtal_Prot#'!$A:$AL,3,FALSE)</f>
        <v>22</v>
      </c>
      <c r="S259" s="5">
        <f>VLOOKUP($A259,'SegEnds_NonXtal_Prot#'!$A:$AL,6,FALSE)</f>
        <v>54</v>
      </c>
      <c r="T259" s="5">
        <f>VLOOKUP($A259,'SegEnds_NonXtal_Prot#'!$A:$AL,9,FALSE)</f>
        <v>58</v>
      </c>
      <c r="U259" s="5">
        <f>VLOOKUP($A259,'SegEnds_NonXtal_Prot#'!$A:$AL,12,FALSE)</f>
        <v>90</v>
      </c>
      <c r="V259" s="5">
        <f>VLOOKUP($A259,'SegEnds_NonXtal_Prot#'!$A:$AL,15,FALSE)</f>
        <v>94</v>
      </c>
      <c r="W259" s="5">
        <f>VLOOKUP($A259,'SegEnds_NonXtal_Prot#'!$A:$AL,18,FALSE)</f>
        <v>130</v>
      </c>
      <c r="X259" s="5">
        <f>VLOOKUP($A259,'SegEnds_NonXtal_Prot#'!$A:$AL,21,FALSE)</f>
        <v>138</v>
      </c>
      <c r="Y259" s="5">
        <f>VLOOKUP($A259,'SegEnds_NonXtal_Prot#'!$A:$AL,24,FALSE)</f>
        <v>179</v>
      </c>
      <c r="Z259" s="5">
        <f>VLOOKUP($A259,'SegEnds_NonXtal_Prot#'!$A:$AL,27,FALSE)</f>
        <v>184</v>
      </c>
      <c r="AA259" s="5">
        <f>VLOOKUP($A259,'SegEnds_NonXtal_Prot#'!$A:$AL,30,FALSE)</f>
        <v>255</v>
      </c>
      <c r="AB259" s="5">
        <f>VLOOKUP($A259,'SegEnds_NonXtal_Prot#'!$A:$AL,33,FALSE)</f>
        <v>298</v>
      </c>
      <c r="AC259" s="5">
        <f>VLOOKUP($A259,'SegEnds_NonXtal_Prot#'!$A:$AL,36,FALSE)</f>
        <v>324</v>
      </c>
      <c r="AD259" s="5">
        <f>VLOOKUP($A259,'SegEnds_NonXtal_Prot#'!$A:$AL,5,FALSE)</f>
        <v>53</v>
      </c>
      <c r="AE259" s="5">
        <f>VLOOKUP($A259,'SegEnds_NonXtal_Prot#'!$A:$AL,8,FALSE)</f>
        <v>57</v>
      </c>
      <c r="AF259" s="5">
        <f>VLOOKUP($A259,'SegEnds_NonXtal_Prot#'!$A:$AL,11,FALSE)</f>
        <v>87</v>
      </c>
      <c r="AG259" s="5">
        <f>VLOOKUP($A259,'SegEnds_NonXtal_Prot#'!$A:$AL,14,FALSE)</f>
        <v>93</v>
      </c>
      <c r="AH259" s="5">
        <f>VLOOKUP($A259,'SegEnds_NonXtal_Prot#'!$A:$AL,17,FALSE)</f>
        <v>129</v>
      </c>
      <c r="AI259" s="5">
        <f>VLOOKUP($A259,'SegEnds_NonXtal_Prot#'!$A:$AL,20,FALSE)</f>
        <v>137</v>
      </c>
      <c r="AJ259" s="5">
        <f>VLOOKUP($A259,'SegEnds_NonXtal_Prot#'!$A:$AL,23,FALSE)</f>
        <v>164</v>
      </c>
      <c r="AK259" s="5">
        <f>VLOOKUP($A259,'SegEnds_NonXtal_Prot#'!$A:$AL,26,FALSE)</f>
        <v>181</v>
      </c>
      <c r="AL259" s="5">
        <f>VLOOKUP($A259,'SegEnds_NonXtal_Prot#'!$A:$AL,29,FALSE)</f>
        <v>229</v>
      </c>
      <c r="AM259" s="5">
        <f>VLOOKUP($A259,'SegEnds_NonXtal_Prot#'!$A:$AL,32,FALSE)</f>
        <v>292</v>
      </c>
      <c r="AN259" s="5">
        <f>VLOOKUP($A259,'SegEnds_NonXtal_Prot#'!$A:$AL,35,FALSE)</f>
        <v>323</v>
      </c>
      <c r="AO259" s="5">
        <f>VLOOKUP($A259,'SegEnds_NonXtal_Prot#'!$A:$AL,38,FALSE)</f>
        <v>336</v>
      </c>
      <c r="AP259" s="5">
        <f t="shared" si="113"/>
        <v>31</v>
      </c>
      <c r="AQ259" s="4">
        <f t="shared" si="114"/>
        <v>3</v>
      </c>
      <c r="AR259" s="4">
        <f t="shared" si="115"/>
        <v>29</v>
      </c>
      <c r="AS259" s="4">
        <f t="shared" si="116"/>
        <v>3</v>
      </c>
      <c r="AT259" s="4">
        <f t="shared" si="117"/>
        <v>35</v>
      </c>
      <c r="AU259" s="4">
        <f t="shared" si="118"/>
        <v>7</v>
      </c>
      <c r="AV259" s="4">
        <f t="shared" si="119"/>
        <v>26</v>
      </c>
      <c r="AW259" s="4">
        <f t="shared" si="120"/>
        <v>2</v>
      </c>
      <c r="AX259" s="4">
        <f t="shared" si="121"/>
        <v>45</v>
      </c>
      <c r="AY259" s="4">
        <f t="shared" si="122"/>
        <v>37</v>
      </c>
      <c r="AZ259" s="4">
        <f t="shared" si="123"/>
        <v>25</v>
      </c>
      <c r="BA259" s="4">
        <f t="shared" si="124"/>
        <v>12</v>
      </c>
    </row>
    <row r="260" spans="1:53" x14ac:dyDescent="0.2">
      <c r="A260" s="1" t="str">
        <f>'SegEnds_NonXtal_Prot#'!A250</f>
        <v>tshr_human</v>
      </c>
      <c r="B260" s="1" t="str">
        <f t="shared" si="100"/>
        <v>EDIMGYKFLRIVVWFVSLLALLGNVFVLLILLTSVPRFLMCNLAFADFCMGMYLLLIASVDLYTGPGCNTAGFFTVFASELSVYTLTVITLERWYAITFRLRHACAIMVGGWVCCFLLALLPLVGPLALAYIVFVLTLNIVAFVIVCCCYVKIYITVRNPGDKDTKIAKRMAVLIFTDFICMAPISFYALSAILNVSNSKILLVLFYPLNSCANPFLYAIFTKAFQRDVFILLSKFGICKRQAQ</v>
      </c>
      <c r="C260" s="29" t="str">
        <f>IF(ISERROR(MATCH(A260,'SegEnds_Xtal_Prot#'!B:B, 0)), "NoXtal", "Xtal")</f>
        <v>NoXtal</v>
      </c>
      <c r="D260" s="4" t="str">
        <f>VLOOKUP(A260,Classification!A:D,2,FALSE)</f>
        <v>A</v>
      </c>
      <c r="E260" s="5" t="str">
        <f>VLOOKUP(A260,Seqs!A:B,2,FALSE)</f>
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</c>
      <c r="F260" s="5" t="str">
        <f t="shared" si="101"/>
        <v>EDIMGYKFLRIVVWFVSLLALLGNVFVLLILLTS</v>
      </c>
      <c r="G260" s="4" t="str">
        <f t="shared" si="102"/>
        <v>YKLN</v>
      </c>
      <c r="H260" s="4" t="str">
        <f t="shared" si="103"/>
        <v>VPRFLMCNLAFADFCMGMYLLLIASVDLYT</v>
      </c>
      <c r="I260" s="4" t="str">
        <f t="shared" si="104"/>
        <v>DWQT</v>
      </c>
      <c r="J260" s="4" t="str">
        <f t="shared" si="105"/>
        <v>GPGCNTAGFFTVFASELSVYTLTVITLERWYAITF</v>
      </c>
      <c r="K260" s="4" t="str">
        <f t="shared" si="106"/>
        <v>AMRLDRKI</v>
      </c>
      <c r="L260" s="4" t="str">
        <f t="shared" si="107"/>
        <v>RLRHACAIMVGGWVCCFLLALLPLVG</v>
      </c>
      <c r="M260" s="4" t="str">
        <f t="shared" si="108"/>
        <v>CLP</v>
      </c>
      <c r="N260" s="4" t="str">
        <f t="shared" si="109"/>
        <v>PLALAYIVFVLTLNIVAFVIVCCCYVKIYITVRN</v>
      </c>
      <c r="O260" s="4" t="str">
        <f t="shared" si="110"/>
        <v>PGDKDTKIAKRMAVLIFTDFICMAPISFYALSAILN</v>
      </c>
      <c r="P260" s="4" t="str">
        <f t="shared" si="111"/>
        <v>VSNSKILLVLFYPLNSCANPFLYAIF</v>
      </c>
      <c r="Q260" s="4" t="str">
        <f t="shared" si="112"/>
        <v>TKAFQRDVFILLSKFGICKRQAQ</v>
      </c>
      <c r="R260" s="5">
        <f>VLOOKUP($A260,'SegEnds_NonXtal_Prot#'!$A:$AL,3,FALSE)</f>
        <v>409</v>
      </c>
      <c r="S260" s="5">
        <f>VLOOKUP($A260,'SegEnds_NonXtal_Prot#'!$A:$AL,6,FALSE)</f>
        <v>444</v>
      </c>
      <c r="T260" s="5">
        <f>VLOOKUP($A260,'SegEnds_NonXtal_Prot#'!$A:$AL,9,FALSE)</f>
        <v>448</v>
      </c>
      <c r="U260" s="5">
        <f>VLOOKUP($A260,'SegEnds_NonXtal_Prot#'!$A:$AL,12,FALSE)</f>
        <v>487</v>
      </c>
      <c r="V260" s="5">
        <f>VLOOKUP($A260,'SegEnds_NonXtal_Prot#'!$A:$AL,15,FALSE)</f>
        <v>491</v>
      </c>
      <c r="W260" s="5">
        <f>VLOOKUP($A260,'SegEnds_NonXtal_Prot#'!$A:$AL,18,FALSE)</f>
        <v>526</v>
      </c>
      <c r="X260" s="5">
        <f>VLOOKUP($A260,'SegEnds_NonXtal_Prot#'!$A:$AL,21,FALSE)</f>
        <v>534</v>
      </c>
      <c r="Y260" s="5">
        <f>VLOOKUP($A260,'SegEnds_NonXtal_Prot#'!$A:$AL,24,FALSE)</f>
        <v>569</v>
      </c>
      <c r="Z260" s="5">
        <f>VLOOKUP($A260,'SegEnds_NonXtal_Prot#'!$A:$AL,27,FALSE)</f>
        <v>577</v>
      </c>
      <c r="AA260" s="5">
        <f>VLOOKUP($A260,'SegEnds_NonXtal_Prot#'!$A:$AL,30,FALSE)</f>
        <v>615</v>
      </c>
      <c r="AB260" s="5">
        <f>VLOOKUP($A260,'SegEnds_NonXtal_Prot#'!$A:$AL,33,FALSE)</f>
        <v>656</v>
      </c>
      <c r="AC260" s="5">
        <f>VLOOKUP($A260,'SegEnds_NonXtal_Prot#'!$A:$AL,36,FALSE)</f>
        <v>682</v>
      </c>
      <c r="AD260" s="5">
        <f>VLOOKUP($A260,'SegEnds_NonXtal_Prot#'!$A:$AL,5,FALSE)</f>
        <v>442</v>
      </c>
      <c r="AE260" s="5">
        <f>VLOOKUP($A260,'SegEnds_NonXtal_Prot#'!$A:$AL,8,FALSE)</f>
        <v>447</v>
      </c>
      <c r="AF260" s="5">
        <f>VLOOKUP($A260,'SegEnds_NonXtal_Prot#'!$A:$AL,11,FALSE)</f>
        <v>477</v>
      </c>
      <c r="AG260" s="5">
        <f>VLOOKUP($A260,'SegEnds_NonXtal_Prot#'!$A:$AL,14,FALSE)</f>
        <v>490</v>
      </c>
      <c r="AH260" s="5">
        <f>VLOOKUP($A260,'SegEnds_NonXtal_Prot#'!$A:$AL,17,FALSE)</f>
        <v>525</v>
      </c>
      <c r="AI260" s="5">
        <f>VLOOKUP($A260,'SegEnds_NonXtal_Prot#'!$A:$AL,20,FALSE)</f>
        <v>533</v>
      </c>
      <c r="AJ260" s="5">
        <f>VLOOKUP($A260,'SegEnds_NonXtal_Prot#'!$A:$AL,23,FALSE)</f>
        <v>559</v>
      </c>
      <c r="AK260" s="5">
        <f>VLOOKUP($A260,'SegEnds_NonXtal_Prot#'!$A:$AL,26,FALSE)</f>
        <v>571</v>
      </c>
      <c r="AL260" s="5">
        <f>VLOOKUP($A260,'SegEnds_NonXtal_Prot#'!$A:$AL,29,FALSE)</f>
        <v>610</v>
      </c>
      <c r="AM260" s="5">
        <f>VLOOKUP($A260,'SegEnds_NonXtal_Prot#'!$A:$AL,32,FALSE)</f>
        <v>650</v>
      </c>
      <c r="AN260" s="5">
        <f>VLOOKUP($A260,'SegEnds_NonXtal_Prot#'!$A:$AL,35,FALSE)</f>
        <v>681</v>
      </c>
      <c r="AO260" s="5">
        <f>VLOOKUP($A260,'SegEnds_NonXtal_Prot#'!$A:$AL,38,FALSE)</f>
        <v>704</v>
      </c>
      <c r="AP260" s="5">
        <f t="shared" si="113"/>
        <v>33</v>
      </c>
      <c r="AQ260" s="4">
        <f t="shared" si="114"/>
        <v>3</v>
      </c>
      <c r="AR260" s="4">
        <f t="shared" si="115"/>
        <v>29</v>
      </c>
      <c r="AS260" s="4">
        <f t="shared" si="116"/>
        <v>3</v>
      </c>
      <c r="AT260" s="4">
        <f t="shared" si="117"/>
        <v>34</v>
      </c>
      <c r="AU260" s="4">
        <f t="shared" si="118"/>
        <v>7</v>
      </c>
      <c r="AV260" s="4">
        <f t="shared" si="119"/>
        <v>25</v>
      </c>
      <c r="AW260" s="4">
        <f t="shared" si="120"/>
        <v>2</v>
      </c>
      <c r="AX260" s="4">
        <f t="shared" si="121"/>
        <v>33</v>
      </c>
      <c r="AY260" s="4">
        <f t="shared" si="122"/>
        <v>35</v>
      </c>
      <c r="AZ260" s="4">
        <f t="shared" si="123"/>
        <v>25</v>
      </c>
      <c r="BA260" s="4">
        <f t="shared" si="124"/>
        <v>22</v>
      </c>
    </row>
    <row r="261" spans="1:53" x14ac:dyDescent="0.2">
      <c r="A261" s="1" t="str">
        <f>'SegEnds_NonXtal_Prot#'!A251</f>
        <v>v2r_human</v>
      </c>
      <c r="B261" s="1" t="str">
        <f t="shared" si="100"/>
        <v>LLARAELALLSIVFVAVALSNGLVLAALARRWAPIHVFIGHLCLADLAVALFQVLPQLAWKARGPDALCRAVKYLQMVGMYASSYMILAMTLDRHRAICRSGAHWNRPVLVAWAFSLLLSLPQLFIFRRTYVTWIALMVFVAPTLGIAACQVLIFREIHASLVPGPSERAHVSAAVAKTVRMTLVIVVVYVLCWAPFFLVQLWAAWDEGAPFVLLMLLASLNSCTNPWIYASFSSSVSSELRSLLCCARG</v>
      </c>
      <c r="C261" s="29" t="str">
        <f>IF(ISERROR(MATCH(A261,'SegEnds_Xtal_Prot#'!B:B, 0)), "NoXtal", "Xtal")</f>
        <v>NoXtal</v>
      </c>
      <c r="D261" s="4" t="str">
        <f>VLOOKUP(A261,Classification!A:D,2,FALSE)</f>
        <v>A</v>
      </c>
      <c r="E261" s="5" t="str">
        <f>VLOOKUP(A261,Seqs!A:B,2,FALSE)</f>
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</c>
      <c r="F261" s="5" t="str">
        <f t="shared" si="101"/>
        <v>LLARAELALLSIVFVAVALSNGLVLAALARR</v>
      </c>
      <c r="G261" s="4" t="str">
        <f t="shared" si="102"/>
        <v>RRGH</v>
      </c>
      <c r="H261" s="4" t="str">
        <f t="shared" si="103"/>
        <v>WAPIHVFIGHLCLADLAVALFQVLPQLAWKA</v>
      </c>
      <c r="I261" s="4" t="str">
        <f t="shared" si="104"/>
        <v>TDRF</v>
      </c>
      <c r="J261" s="4" t="str">
        <f t="shared" si="105"/>
        <v>RGPDALCRAVKYLQMVGMYASSYMILAMTLDRHRAICR</v>
      </c>
      <c r="K261" s="4" t="str">
        <f t="shared" si="106"/>
        <v>PMLAYRHG</v>
      </c>
      <c r="L261" s="4" t="str">
        <f t="shared" si="107"/>
        <v>SGAHWNRPVLVAWAFSLLLSLPQLFIF</v>
      </c>
      <c r="M261" s="4" t="str">
        <f t="shared" si="108"/>
        <v>CWA</v>
      </c>
      <c r="N261" s="4" t="str">
        <f t="shared" si="109"/>
        <v>RRTYVTWIALMVFVAPTLGIAACQVLIFREIHASLVPGPSER</v>
      </c>
      <c r="O261" s="4" t="str">
        <f t="shared" si="110"/>
        <v>AHVSAAVAKTVRMTLVIVVVYVLCWAPFFLVQLWAAWD</v>
      </c>
      <c r="P261" s="4" t="str">
        <f t="shared" si="111"/>
        <v>EGAPFVLLMLLASLNSCTNPWIYASF</v>
      </c>
      <c r="Q261" s="4" t="str">
        <f t="shared" si="112"/>
        <v>SSSVSSELRSLLCCARG</v>
      </c>
      <c r="R261" s="5">
        <f>VLOOKUP($A261,'SegEnds_NonXtal_Prot#'!$A:$AL,3,FALSE)</f>
        <v>35</v>
      </c>
      <c r="S261" s="5">
        <f>VLOOKUP($A261,'SegEnds_NonXtal_Prot#'!$A:$AL,6,FALSE)</f>
        <v>67</v>
      </c>
      <c r="T261" s="5">
        <f>VLOOKUP($A261,'SegEnds_NonXtal_Prot#'!$A:$AL,9,FALSE)</f>
        <v>71</v>
      </c>
      <c r="U261" s="5">
        <f>VLOOKUP($A261,'SegEnds_NonXtal_Prot#'!$A:$AL,12,FALSE)</f>
        <v>102</v>
      </c>
      <c r="V261" s="5">
        <f>VLOOKUP($A261,'SegEnds_NonXtal_Prot#'!$A:$AL,15,FALSE)</f>
        <v>106</v>
      </c>
      <c r="W261" s="5">
        <f>VLOOKUP($A261,'SegEnds_NonXtal_Prot#'!$A:$AL,18,FALSE)</f>
        <v>144</v>
      </c>
      <c r="X261" s="5">
        <f>VLOOKUP($A261,'SegEnds_NonXtal_Prot#'!$A:$AL,21,FALSE)</f>
        <v>152</v>
      </c>
      <c r="Y261" s="5">
        <f>VLOOKUP($A261,'SegEnds_NonXtal_Prot#'!$A:$AL,24,FALSE)</f>
        <v>192</v>
      </c>
      <c r="Z261" s="5">
        <f>VLOOKUP($A261,'SegEnds_NonXtal_Prot#'!$A:$AL,27,FALSE)</f>
        <v>202</v>
      </c>
      <c r="AA261" s="5">
        <f>VLOOKUP($A261,'SegEnds_NonXtal_Prot#'!$A:$AL,30,FALSE)</f>
        <v>260</v>
      </c>
      <c r="AB261" s="5">
        <f>VLOOKUP($A261,'SegEnds_NonXtal_Prot#'!$A:$AL,33,FALSE)</f>
        <v>303</v>
      </c>
      <c r="AC261" s="5">
        <f>VLOOKUP($A261,'SegEnds_NonXtal_Prot#'!$A:$AL,36,FALSE)</f>
        <v>329</v>
      </c>
      <c r="AD261" s="5">
        <f>VLOOKUP($A261,'SegEnds_NonXtal_Prot#'!$A:$AL,5,FALSE)</f>
        <v>65</v>
      </c>
      <c r="AE261" s="5">
        <f>VLOOKUP($A261,'SegEnds_NonXtal_Prot#'!$A:$AL,8,FALSE)</f>
        <v>70</v>
      </c>
      <c r="AF261" s="5">
        <f>VLOOKUP($A261,'SegEnds_NonXtal_Prot#'!$A:$AL,11,FALSE)</f>
        <v>101</v>
      </c>
      <c r="AG261" s="5">
        <f>VLOOKUP($A261,'SegEnds_NonXtal_Prot#'!$A:$AL,14,FALSE)</f>
        <v>105</v>
      </c>
      <c r="AH261" s="5">
        <f>VLOOKUP($A261,'SegEnds_NonXtal_Prot#'!$A:$AL,17,FALSE)</f>
        <v>143</v>
      </c>
      <c r="AI261" s="5">
        <f>VLOOKUP($A261,'SegEnds_NonXtal_Prot#'!$A:$AL,20,FALSE)</f>
        <v>151</v>
      </c>
      <c r="AJ261" s="5">
        <f>VLOOKUP($A261,'SegEnds_NonXtal_Prot#'!$A:$AL,23,FALSE)</f>
        <v>178</v>
      </c>
      <c r="AK261" s="5">
        <f>VLOOKUP($A261,'SegEnds_NonXtal_Prot#'!$A:$AL,26,FALSE)</f>
        <v>194</v>
      </c>
      <c r="AL261" s="5">
        <f>VLOOKUP($A261,'SegEnds_NonXtal_Prot#'!$A:$AL,29,FALSE)</f>
        <v>243</v>
      </c>
      <c r="AM261" s="5">
        <f>VLOOKUP($A261,'SegEnds_NonXtal_Prot#'!$A:$AL,32,FALSE)</f>
        <v>297</v>
      </c>
      <c r="AN261" s="5">
        <f>VLOOKUP($A261,'SegEnds_NonXtal_Prot#'!$A:$AL,35,FALSE)</f>
        <v>328</v>
      </c>
      <c r="AO261" s="5">
        <f>VLOOKUP($A261,'SegEnds_NonXtal_Prot#'!$A:$AL,38,FALSE)</f>
        <v>345</v>
      </c>
      <c r="AP261" s="5">
        <f t="shared" si="113"/>
        <v>30</v>
      </c>
      <c r="AQ261" s="4">
        <f t="shared" si="114"/>
        <v>3</v>
      </c>
      <c r="AR261" s="4">
        <f t="shared" si="115"/>
        <v>30</v>
      </c>
      <c r="AS261" s="4">
        <f t="shared" si="116"/>
        <v>3</v>
      </c>
      <c r="AT261" s="4">
        <f t="shared" si="117"/>
        <v>37</v>
      </c>
      <c r="AU261" s="4">
        <f t="shared" si="118"/>
        <v>7</v>
      </c>
      <c r="AV261" s="4">
        <f t="shared" si="119"/>
        <v>26</v>
      </c>
      <c r="AW261" s="4">
        <f t="shared" si="120"/>
        <v>2</v>
      </c>
      <c r="AX261" s="4">
        <f t="shared" si="121"/>
        <v>41</v>
      </c>
      <c r="AY261" s="4">
        <f t="shared" si="122"/>
        <v>37</v>
      </c>
      <c r="AZ261" s="4">
        <f t="shared" si="123"/>
        <v>25</v>
      </c>
      <c r="BA261" s="4">
        <f t="shared" si="124"/>
        <v>16</v>
      </c>
    </row>
    <row r="262" spans="1:53" x14ac:dyDescent="0.2">
      <c r="A262" s="1" t="str">
        <f>'SegEnds_NonXtal_Prot#'!A252</f>
        <v>xcr1_human</v>
      </c>
      <c r="B262" s="1" t="str">
        <f t="shared" si="100"/>
        <v>ENQAWVFATLATTVLYCLVFLLSLVGNSLVLWVLVKYSLTNIFILNLCLSDLVFACLLPVWISPYHWGDFLCKLLNMIFSISLYSSIFFLTIMTIHRYLSVVSTLRCRVLVTMAVWVASILSSILDTIFHWYLTSVYQHNLFFLLSLGIILFCYVEILRTLFRSRHRTVKLIFAIVVAYFLSWGPYNFTLFLQTLFRTQSCEAKQQLEYALLICRNLAFSHCCFNPVLYVFVGVKFRTHLKHVLR</v>
      </c>
      <c r="C262" s="29" t="str">
        <f>IF(ISERROR(MATCH(A262,'SegEnds_Xtal_Prot#'!B:B, 0)), "NoXtal", "Xtal")</f>
        <v>NoXtal</v>
      </c>
      <c r="D262" s="4" t="str">
        <f>VLOOKUP(A262,Classification!A:D,2,FALSE)</f>
        <v>A</v>
      </c>
      <c r="E262" s="5" t="str">
        <f>VLOOKUP(A262,Seqs!A:B,2,FALSE)</f>
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</c>
      <c r="F262" s="5" t="str">
        <f t="shared" si="101"/>
        <v>ENQAWVFATLATTVLYCLVFLLSLVGNSLVLWVLVKY</v>
      </c>
      <c r="G262" s="4" t="str">
        <f t="shared" si="102"/>
        <v>ESLE</v>
      </c>
      <c r="H262" s="4" t="str">
        <f t="shared" si="103"/>
        <v>SLTNIFILNLCLSDLVFACLLPVWISPYHW</v>
      </c>
      <c r="I262" s="4" t="str">
        <f t="shared" si="104"/>
        <v>GWVL</v>
      </c>
      <c r="J262" s="4" t="str">
        <f t="shared" si="105"/>
        <v>GDFLCKLLNMIFSISLYSSIFFLTIMTIHRYLSVVS</v>
      </c>
      <c r="K262" s="4" t="str">
        <f t="shared" si="106"/>
        <v>PLSTLRVP</v>
      </c>
      <c r="L262" s="4" t="str">
        <f t="shared" si="107"/>
        <v>TLRCRVLVTMAVWVASILSSILDTIFH</v>
      </c>
      <c r="M262" s="4" t="str">
        <f t="shared" si="108"/>
        <v>CDY</v>
      </c>
      <c r="N262" s="4" t="str">
        <f t="shared" si="109"/>
        <v>WYLTSVYQHNLFFLLSLGIILFCYVEILRTLFRS</v>
      </c>
      <c r="O262" s="4" t="str">
        <f t="shared" si="110"/>
        <v>RHRTVKLIFAIVVAYFLSWGPYNFTLFLQTLFRTQ</v>
      </c>
      <c r="P262" s="4" t="str">
        <f t="shared" si="111"/>
        <v>SCEAKQQLEYALLICRNLAFSHCCFNPVLYVFV</v>
      </c>
      <c r="Q262" s="4" t="str">
        <f t="shared" si="112"/>
        <v>GVKFRTHLKHVLR</v>
      </c>
      <c r="R262" s="5">
        <f>VLOOKUP($A262,'SegEnds_NonXtal_Prot#'!$A:$AL,3,FALSE)</f>
        <v>23</v>
      </c>
      <c r="S262" s="5">
        <f>VLOOKUP($A262,'SegEnds_NonXtal_Prot#'!$A:$AL,6,FALSE)</f>
        <v>60</v>
      </c>
      <c r="T262" s="5">
        <f>VLOOKUP($A262,'SegEnds_NonXtal_Prot#'!$A:$AL,9,FALSE)</f>
        <v>64</v>
      </c>
      <c r="U262" s="5">
        <f>VLOOKUP($A262,'SegEnds_NonXtal_Prot#'!$A:$AL,12,FALSE)</f>
        <v>94</v>
      </c>
      <c r="V262" s="5">
        <f>VLOOKUP($A262,'SegEnds_NonXtal_Prot#'!$A:$AL,15,FALSE)</f>
        <v>98</v>
      </c>
      <c r="W262" s="5">
        <f>VLOOKUP($A262,'SegEnds_NonXtal_Prot#'!$A:$AL,18,FALSE)</f>
        <v>134</v>
      </c>
      <c r="X262" s="5">
        <f>VLOOKUP($A262,'SegEnds_NonXtal_Prot#'!$A:$AL,21,FALSE)</f>
        <v>142</v>
      </c>
      <c r="Y262" s="5">
        <f>VLOOKUP($A262,'SegEnds_NonXtal_Prot#'!$A:$AL,24,FALSE)</f>
        <v>175</v>
      </c>
      <c r="Z262" s="5">
        <f>VLOOKUP($A262,'SegEnds_NonXtal_Prot#'!$A:$AL,27,FALSE)</f>
        <v>182</v>
      </c>
      <c r="AA262" s="5">
        <f>VLOOKUP($A262,'SegEnds_NonXtal_Prot#'!$A:$AL,30,FALSE)</f>
        <v>220</v>
      </c>
      <c r="AB262" s="5">
        <f>VLOOKUP($A262,'SegEnds_NonXtal_Prot#'!$A:$AL,33,FALSE)</f>
        <v>258</v>
      </c>
      <c r="AC262" s="5">
        <f>VLOOKUP($A262,'SegEnds_NonXtal_Prot#'!$A:$AL,36,FALSE)</f>
        <v>291</v>
      </c>
      <c r="AD262" s="5">
        <f>VLOOKUP($A262,'SegEnds_NonXtal_Prot#'!$A:$AL,5,FALSE)</f>
        <v>59</v>
      </c>
      <c r="AE262" s="5">
        <f>VLOOKUP($A262,'SegEnds_NonXtal_Prot#'!$A:$AL,8,FALSE)</f>
        <v>63</v>
      </c>
      <c r="AF262" s="5">
        <f>VLOOKUP($A262,'SegEnds_NonXtal_Prot#'!$A:$AL,11,FALSE)</f>
        <v>93</v>
      </c>
      <c r="AG262" s="5">
        <f>VLOOKUP($A262,'SegEnds_NonXtal_Prot#'!$A:$AL,14,FALSE)</f>
        <v>97</v>
      </c>
      <c r="AH262" s="5">
        <f>VLOOKUP($A262,'SegEnds_NonXtal_Prot#'!$A:$AL,17,FALSE)</f>
        <v>133</v>
      </c>
      <c r="AI262" s="5">
        <f>VLOOKUP($A262,'SegEnds_NonXtal_Prot#'!$A:$AL,20,FALSE)</f>
        <v>141</v>
      </c>
      <c r="AJ262" s="5">
        <f>VLOOKUP($A262,'SegEnds_NonXtal_Prot#'!$A:$AL,23,FALSE)</f>
        <v>168</v>
      </c>
      <c r="AK262" s="5">
        <f>VLOOKUP($A262,'SegEnds_NonXtal_Prot#'!$A:$AL,26,FALSE)</f>
        <v>177</v>
      </c>
      <c r="AL262" s="5">
        <f>VLOOKUP($A262,'SegEnds_NonXtal_Prot#'!$A:$AL,29,FALSE)</f>
        <v>215</v>
      </c>
      <c r="AM262" s="5">
        <f>VLOOKUP($A262,'SegEnds_NonXtal_Prot#'!$A:$AL,32,FALSE)</f>
        <v>254</v>
      </c>
      <c r="AN262" s="5">
        <f>VLOOKUP($A262,'SegEnds_NonXtal_Prot#'!$A:$AL,35,FALSE)</f>
        <v>290</v>
      </c>
      <c r="AO262" s="5">
        <f>VLOOKUP($A262,'SegEnds_NonXtal_Prot#'!$A:$AL,38,FALSE)</f>
        <v>303</v>
      </c>
      <c r="AP262" s="5">
        <f t="shared" si="113"/>
        <v>36</v>
      </c>
      <c r="AQ262" s="4">
        <f t="shared" si="114"/>
        <v>3</v>
      </c>
      <c r="AR262" s="4">
        <f t="shared" si="115"/>
        <v>29</v>
      </c>
      <c r="AS262" s="4">
        <f t="shared" si="116"/>
        <v>3</v>
      </c>
      <c r="AT262" s="4">
        <f t="shared" si="117"/>
        <v>35</v>
      </c>
      <c r="AU262" s="4">
        <f t="shared" si="118"/>
        <v>7</v>
      </c>
      <c r="AV262" s="4">
        <f t="shared" si="119"/>
        <v>26</v>
      </c>
      <c r="AW262" s="4">
        <f t="shared" si="120"/>
        <v>2</v>
      </c>
      <c r="AX262" s="4">
        <f t="shared" si="121"/>
        <v>33</v>
      </c>
      <c r="AY262" s="4">
        <f t="shared" si="122"/>
        <v>34</v>
      </c>
      <c r="AZ262" s="4">
        <f t="shared" si="123"/>
        <v>32</v>
      </c>
      <c r="BA262" s="4">
        <f t="shared" si="124"/>
        <v>12</v>
      </c>
    </row>
    <row r="263" spans="1:53" x14ac:dyDescent="0.2">
      <c r="A263" s="1" t="str">
        <f>'SegEnds_NonXtal_Prot#'!A253</f>
        <v>ccrl2_human</v>
      </c>
      <c r="B263" s="1" t="str">
        <f t="shared" si="100"/>
        <v>KYDAQALSAQLVPSLCSAVFVIGVLDNLLVVLILVKYRVENIYLLNLAVSNLCFLLTLPFWAHAMCKILIGLYFVGLYSETFFNCLLTVQRYLVFLHRVPCGIITSVLAWVTAILATLPEFVVYDETFWKHFLTLKMNISVLVLPLFIFTFLYVQMRKTLRFRYSLFKLVFAIMVVFLLMWAPYNIAFFLSTFKEHFDCKSSYNLDKSVHITKLIATTHCCINPLLYAFLDGTFSKYLCRCFH</v>
      </c>
      <c r="C263" s="29" t="str">
        <f>IF(ISERROR(MATCH(A263,'SegEnds_Xtal_Prot#'!B:B, 0)), "NoXtal", "Xtal")</f>
        <v>NoXtal</v>
      </c>
      <c r="D263" s="4" t="str">
        <f>VLOOKUP(A263,Classification!A:D,2,FALSE)</f>
        <v>A</v>
      </c>
      <c r="E263" s="5" t="str">
        <f>VLOOKUP(A263,Seqs!A:B,2,FALSE)</f>
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</c>
      <c r="F263" s="5" t="str">
        <f t="shared" si="101"/>
        <v>KYDAQALSAQLVPSLCSAVFVIGVLDNLLVVLILVKY</v>
      </c>
      <c r="G263" s="4" t="str">
        <f t="shared" si="102"/>
        <v>KGLK</v>
      </c>
      <c r="H263" s="4" t="str">
        <f t="shared" si="103"/>
        <v>RVENIYLLNLAVSNLCFLLTLPFWAHA</v>
      </c>
      <c r="I263" s="4" t="str">
        <f t="shared" si="104"/>
        <v/>
      </c>
      <c r="J263" s="4" t="str">
        <f t="shared" si="105"/>
        <v>MCKILIGLYFVGLYSETFFNCLLTVQRYLVFLH</v>
      </c>
      <c r="K263" s="4" t="str">
        <f t="shared" si="106"/>
        <v>KGNFFSARR</v>
      </c>
      <c r="L263" s="4" t="str">
        <f t="shared" si="107"/>
        <v>RVPCGIITSVLAWVTAILATLPEFVVY</v>
      </c>
      <c r="M263" s="4" t="str">
        <f t="shared" si="108"/>
        <v>CAF</v>
      </c>
      <c r="N263" s="4" t="str">
        <f t="shared" si="109"/>
        <v>DETFWKHFLTLKMNISVLVLPLFIFTFLYVQMRKTLRF</v>
      </c>
      <c r="O263" s="4" t="str">
        <f t="shared" si="110"/>
        <v>RYSLFKLVFAIMVVFLLMWAPYNIAFFLSTFKEHF</v>
      </c>
      <c r="P263" s="4" t="str">
        <f t="shared" si="111"/>
        <v>DCKSSYNLDKSVHITKLIATTHCCINPLLYAFL</v>
      </c>
      <c r="Q263" s="4" t="str">
        <f t="shared" si="112"/>
        <v>DGTFSKYLCRCFH</v>
      </c>
      <c r="R263" s="5">
        <f>VLOOKUP($A263,'SegEnds_NonXtal_Prot#'!$A:$AL,3,FALSE)</f>
        <v>30</v>
      </c>
      <c r="S263" s="5">
        <f>VLOOKUP($A263,'SegEnds_NonXtal_Prot#'!$A:$AL,6,FALSE)</f>
        <v>67</v>
      </c>
      <c r="T263" s="5">
        <f>VLOOKUP($A263,'SegEnds_NonXtal_Prot#'!$A:$AL,9,FALSE)</f>
        <v>71</v>
      </c>
      <c r="U263" s="5" t="str">
        <f>VLOOKUP($A263,'SegEnds_NonXtal_Prot#'!$A:$AL,12,FALSE)</f>
        <v>-</v>
      </c>
      <c r="V263" s="5">
        <f>VLOOKUP($A263,'SegEnds_NonXtal_Prot#'!$A:$AL,15,FALSE)</f>
        <v>102</v>
      </c>
      <c r="W263" s="5">
        <f>VLOOKUP($A263,'SegEnds_NonXtal_Prot#'!$A:$AL,18,FALSE)</f>
        <v>135</v>
      </c>
      <c r="X263" s="5">
        <f>VLOOKUP($A263,'SegEnds_NonXtal_Prot#'!$A:$AL,21,FALSE)</f>
        <v>144</v>
      </c>
      <c r="Y263" s="5">
        <f>VLOOKUP($A263,'SegEnds_NonXtal_Prot#'!$A:$AL,24,FALSE)</f>
        <v>181</v>
      </c>
      <c r="Z263" s="5">
        <f>VLOOKUP($A263,'SegEnds_NonXtal_Prot#'!$A:$AL,27,FALSE)</f>
        <v>192</v>
      </c>
      <c r="AA263" s="5">
        <f>VLOOKUP($A263,'SegEnds_NonXtal_Prot#'!$A:$AL,30,FALSE)</f>
        <v>233</v>
      </c>
      <c r="AB263" s="5">
        <f>VLOOKUP($A263,'SegEnds_NonXtal_Prot#'!$A:$AL,33,FALSE)</f>
        <v>271</v>
      </c>
      <c r="AC263" s="5">
        <f>VLOOKUP($A263,'SegEnds_NonXtal_Prot#'!$A:$AL,36,FALSE)</f>
        <v>304</v>
      </c>
      <c r="AD263" s="5">
        <f>VLOOKUP($A263,'SegEnds_NonXtal_Prot#'!$A:$AL,5,FALSE)</f>
        <v>66</v>
      </c>
      <c r="AE263" s="5">
        <f>VLOOKUP($A263,'SegEnds_NonXtal_Prot#'!$A:$AL,8,FALSE)</f>
        <v>70</v>
      </c>
      <c r="AF263" s="5">
        <f>VLOOKUP($A263,'SegEnds_NonXtal_Prot#'!$A:$AL,11,FALSE)</f>
        <v>97</v>
      </c>
      <c r="AG263" s="5" t="str">
        <f>VLOOKUP($A263,'SegEnds_NonXtal_Prot#'!$A:$AL,14,FALSE)</f>
        <v>-</v>
      </c>
      <c r="AH263" s="5">
        <f>VLOOKUP($A263,'SegEnds_NonXtal_Prot#'!$A:$AL,17,FALSE)</f>
        <v>134</v>
      </c>
      <c r="AI263" s="5">
        <f>VLOOKUP($A263,'SegEnds_NonXtal_Prot#'!$A:$AL,20,FALSE)</f>
        <v>143</v>
      </c>
      <c r="AJ263" s="5">
        <f>VLOOKUP($A263,'SegEnds_NonXtal_Prot#'!$A:$AL,23,FALSE)</f>
        <v>170</v>
      </c>
      <c r="AK263" s="5">
        <f>VLOOKUP($A263,'SegEnds_NonXtal_Prot#'!$A:$AL,26,FALSE)</f>
        <v>183</v>
      </c>
      <c r="AL263" s="5">
        <f>VLOOKUP($A263,'SegEnds_NonXtal_Prot#'!$A:$AL,29,FALSE)</f>
        <v>229</v>
      </c>
      <c r="AM263" s="5">
        <f>VLOOKUP($A263,'SegEnds_NonXtal_Prot#'!$A:$AL,32,FALSE)</f>
        <v>267</v>
      </c>
      <c r="AN263" s="5">
        <f>VLOOKUP($A263,'SegEnds_NonXtal_Prot#'!$A:$AL,35,FALSE)</f>
        <v>303</v>
      </c>
      <c r="AO263" s="5">
        <f>VLOOKUP($A263,'SegEnds_NonXtal_Prot#'!$A:$AL,38,FALSE)</f>
        <v>316</v>
      </c>
      <c r="AP263" s="5">
        <f t="shared" si="113"/>
        <v>36</v>
      </c>
      <c r="AQ263" s="4">
        <f t="shared" si="114"/>
        <v>3</v>
      </c>
      <c r="AR263" s="4">
        <f t="shared" si="115"/>
        <v>26</v>
      </c>
      <c r="AS263" s="4" t="str">
        <f t="shared" si="116"/>
        <v>-</v>
      </c>
      <c r="AT263" s="4">
        <f t="shared" si="117"/>
        <v>32</v>
      </c>
      <c r="AU263" s="4">
        <f t="shared" si="118"/>
        <v>8</v>
      </c>
      <c r="AV263" s="4">
        <f t="shared" si="119"/>
        <v>26</v>
      </c>
      <c r="AW263" s="4">
        <f t="shared" si="120"/>
        <v>2</v>
      </c>
      <c r="AX263" s="4">
        <f t="shared" si="121"/>
        <v>37</v>
      </c>
      <c r="AY263" s="4">
        <f t="shared" si="122"/>
        <v>34</v>
      </c>
      <c r="AZ263" s="4">
        <f t="shared" si="123"/>
        <v>32</v>
      </c>
      <c r="BA263" s="4">
        <f t="shared" si="124"/>
        <v>12</v>
      </c>
    </row>
    <row r="264" spans="1:53" x14ac:dyDescent="0.2">
      <c r="A264" s="1" t="str">
        <f>'SegEnds_NonXtal_Prot#'!A255</f>
        <v>gpr27_human</v>
      </c>
      <c r="B264" s="1" t="str">
        <f t="shared" si="100"/>
        <v>LGLKLATLSLLLCVSLAGNVLFALLIVRERAPYYLLLDLCLADGLRALACLPAVMLAARRAAPPGALGCKLLAFLAALFCFHAAFLLLGVGVTRYLAIAHGWPCAAMLVCAAWALALAAAFPPVLDGEQRPDGAPGALGFLLLLAVVVGATHLVYLRLLFFIHDRRKMRLEEFKTEKRLCKMFYAVTLLFLLLWGPYVVASYLRVLVPQAYLTASVWLTFAQAGINPVVCFLFNRELRDCFRAQFPCCQS</v>
      </c>
      <c r="C264" s="29" t="str">
        <f>IF(ISERROR(MATCH(A264,'SegEnds_Xtal_Prot#'!B:B, 0)), "NoXtal", "Xtal")</f>
        <v>NoXtal</v>
      </c>
      <c r="D264" s="4" t="str">
        <f>VLOOKUP(A264,Classification!A:D,2,FALSE)</f>
        <v>A</v>
      </c>
      <c r="E264" s="5" t="str">
        <f>VLOOKUP(A264,Seqs!A:B,2,FALSE)</f>
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</c>
      <c r="F264" s="5" t="str">
        <f t="shared" si="101"/>
        <v>LGLKLATLSLLLCVSLAGNVLFALLIVRE</v>
      </c>
      <c r="G264" s="4" t="str">
        <f t="shared" si="102"/>
        <v>RSLH</v>
      </c>
      <c r="H264" s="4" t="str">
        <f t="shared" si="103"/>
        <v>RAPYYLLLDLCLADGLRALACLPAVMLAARRA</v>
      </c>
      <c r="I264" s="4" t="str">
        <f t="shared" si="104"/>
        <v/>
      </c>
      <c r="J264" s="4" t="str">
        <f t="shared" si="105"/>
        <v>APPGALGCKLLAFLAALFCFHAAFLLLGVGVTRYLAIAH</v>
      </c>
      <c r="K264" s="4" t="str">
        <f t="shared" si="106"/>
        <v>HRFYAERLA</v>
      </c>
      <c r="L264" s="4" t="str">
        <f t="shared" si="107"/>
        <v>GWPCAAMLVCAAWALALAAAFPPVLDG</v>
      </c>
      <c r="M264" s="4" t="str">
        <f t="shared" si="108"/>
        <v>CAL</v>
      </c>
      <c r="N264" s="4" t="str">
        <f t="shared" si="109"/>
        <v>EQRPDGAPGALGFLLLLAVVVGATHLVYLRLLFFIHDRRKMR</v>
      </c>
      <c r="O264" s="4" t="str">
        <f t="shared" si="110"/>
        <v>LEEFKTEKRLCKMFYAVTLLFLLLWGPYVVASYLRVLV</v>
      </c>
      <c r="P264" s="4" t="str">
        <f t="shared" si="111"/>
        <v>PQAYLTASVWLTFAQAGINPVVCFLF</v>
      </c>
      <c r="Q264" s="4" t="str">
        <f t="shared" si="112"/>
        <v>NRELRDCFRAQFPCCQS</v>
      </c>
      <c r="R264" s="5">
        <f>VLOOKUP($A264,'SegEnds_NonXtal_Prot#'!$A:$AL,3,FALSE)</f>
        <v>18</v>
      </c>
      <c r="S264" s="5">
        <f>VLOOKUP($A264,'SegEnds_NonXtal_Prot#'!$A:$AL,6,FALSE)</f>
        <v>47</v>
      </c>
      <c r="T264" s="5">
        <f>VLOOKUP($A264,'SegEnds_NonXtal_Prot#'!$A:$AL,9,FALSE)</f>
        <v>51</v>
      </c>
      <c r="U264" s="5" t="str">
        <f>VLOOKUP($A264,'SegEnds_NonXtal_Prot#'!$A:$AL,12,FALSE)</f>
        <v>-</v>
      </c>
      <c r="V264" s="5">
        <f>VLOOKUP($A264,'SegEnds_NonXtal_Prot#'!$A:$AL,15,FALSE)</f>
        <v>88</v>
      </c>
      <c r="W264" s="5">
        <f>VLOOKUP($A264,'SegEnds_NonXtal_Prot#'!$A:$AL,18,FALSE)</f>
        <v>127</v>
      </c>
      <c r="X264" s="5">
        <f>VLOOKUP($A264,'SegEnds_NonXtal_Prot#'!$A:$AL,21,FALSE)</f>
        <v>136</v>
      </c>
      <c r="Y264" s="5">
        <f>VLOOKUP($A264,'SegEnds_NonXtal_Prot#'!$A:$AL,24,FALSE)</f>
        <v>171</v>
      </c>
      <c r="Z264" s="5">
        <f>VLOOKUP($A264,'SegEnds_NonXtal_Prot#'!$A:$AL,27,FALSE)</f>
        <v>174</v>
      </c>
      <c r="AA264" s="5">
        <f>VLOOKUP($A264,'SegEnds_NonXtal_Prot#'!$A:$AL,30,FALSE)</f>
        <v>273</v>
      </c>
      <c r="AB264" s="5">
        <f>VLOOKUP($A264,'SegEnds_NonXtal_Prot#'!$A:$AL,33,FALSE)</f>
        <v>316</v>
      </c>
      <c r="AC264" s="5">
        <f>VLOOKUP($A264,'SegEnds_NonXtal_Prot#'!$A:$AL,36,FALSE)</f>
        <v>342</v>
      </c>
      <c r="AD264" s="5">
        <f>VLOOKUP($A264,'SegEnds_NonXtal_Prot#'!$A:$AL,5,FALSE)</f>
        <v>46</v>
      </c>
      <c r="AE264" s="5">
        <f>VLOOKUP($A264,'SegEnds_NonXtal_Prot#'!$A:$AL,8,FALSE)</f>
        <v>50</v>
      </c>
      <c r="AF264" s="5">
        <f>VLOOKUP($A264,'SegEnds_NonXtal_Prot#'!$A:$AL,11,FALSE)</f>
        <v>82</v>
      </c>
      <c r="AG264" s="5" t="str">
        <f>VLOOKUP($A264,'SegEnds_NonXtal_Prot#'!$A:$AL,14,FALSE)</f>
        <v>-</v>
      </c>
      <c r="AH264" s="5">
        <f>VLOOKUP($A264,'SegEnds_NonXtal_Prot#'!$A:$AL,17,FALSE)</f>
        <v>126</v>
      </c>
      <c r="AI264" s="5">
        <f>VLOOKUP($A264,'SegEnds_NonXtal_Prot#'!$A:$AL,20,FALSE)</f>
        <v>135</v>
      </c>
      <c r="AJ264" s="5">
        <f>VLOOKUP($A264,'SegEnds_NonXtal_Prot#'!$A:$AL,23,FALSE)</f>
        <v>162</v>
      </c>
      <c r="AK264" s="5">
        <f>VLOOKUP($A264,'SegEnds_NonXtal_Prot#'!$A:$AL,26,FALSE)</f>
        <v>173</v>
      </c>
      <c r="AL264" s="5">
        <f>VLOOKUP($A264,'SegEnds_NonXtal_Prot#'!$A:$AL,29,FALSE)</f>
        <v>215</v>
      </c>
      <c r="AM264" s="5">
        <f>VLOOKUP($A264,'SegEnds_NonXtal_Prot#'!$A:$AL,32,FALSE)</f>
        <v>310</v>
      </c>
      <c r="AN264" s="5">
        <f>VLOOKUP($A264,'SegEnds_NonXtal_Prot#'!$A:$AL,35,FALSE)</f>
        <v>341</v>
      </c>
      <c r="AO264" s="5">
        <f>VLOOKUP($A264,'SegEnds_NonXtal_Prot#'!$A:$AL,38,FALSE)</f>
        <v>358</v>
      </c>
      <c r="AP264" s="5">
        <f t="shared" si="113"/>
        <v>28</v>
      </c>
      <c r="AQ264" s="4">
        <f t="shared" si="114"/>
        <v>3</v>
      </c>
      <c r="AR264" s="4">
        <f t="shared" si="115"/>
        <v>31</v>
      </c>
      <c r="AS264" s="4" t="str">
        <f t="shared" si="116"/>
        <v>-</v>
      </c>
      <c r="AT264" s="4">
        <f t="shared" si="117"/>
        <v>38</v>
      </c>
      <c r="AU264" s="4">
        <f t="shared" si="118"/>
        <v>8</v>
      </c>
      <c r="AV264" s="4">
        <f t="shared" si="119"/>
        <v>26</v>
      </c>
      <c r="AW264" s="4">
        <f t="shared" si="120"/>
        <v>2</v>
      </c>
      <c r="AX264" s="4">
        <f t="shared" si="121"/>
        <v>41</v>
      </c>
      <c r="AY264" s="4">
        <f t="shared" si="122"/>
        <v>37</v>
      </c>
      <c r="AZ264" s="4">
        <f t="shared" si="123"/>
        <v>25</v>
      </c>
      <c r="BA264" s="4">
        <f t="shared" si="124"/>
        <v>16</v>
      </c>
    </row>
    <row r="265" spans="1:53" x14ac:dyDescent="0.2">
      <c r="A265" s="1" t="str">
        <f>'SegEnds_NonXtal_Prot#'!A256</f>
        <v>hrh3_human</v>
      </c>
      <c r="B265" s="1" t="str">
        <f t="shared" si="100"/>
        <v>VLAALMALLIVATVLGNALVMLAFVADTQNNFFLLNLAISDFLVGAFCIPLYVPYVLTGRGLCKLWLVVDYLLCTSSAFNIVLISYDRFLSVTRDTRRAVRKMLLVWVLAFLLYGPAILSNWYFLITASTLEFFTPFLSVTFFNLSIYLNIQRRTRLRLDGRFRLSRDRKVAKSLAVIVSIFGLCWAPYTLLMIIRAACPDYWYETSFWLLWANSAVNPVLYPLCHHSFRRAFTKLLC</v>
      </c>
      <c r="C265" s="29" t="str">
        <f>IF(ISERROR(MATCH(A265,'SegEnds_Xtal_Prot#'!B:B, 0)), "NoXtal", "Xtal")</f>
        <v>NoXtal</v>
      </c>
      <c r="D265" s="4" t="str">
        <f>VLOOKUP(A265,Classification!A:D,2,FALSE)</f>
        <v>A</v>
      </c>
      <c r="E265" s="5" t="str">
        <f>VLOOKUP(A265,Seqs!A:B,2,FALSE)</f>
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</c>
      <c r="F265" s="5" t="str">
        <f t="shared" si="101"/>
        <v>VLAALMALLIVATVLGNALVMLAFVAD</v>
      </c>
      <c r="G265" s="4" t="str">
        <f t="shared" si="102"/>
        <v>SSLR</v>
      </c>
      <c r="H265" s="4" t="str">
        <f t="shared" si="103"/>
        <v>TQNNFFLLNLAISDFLVGAFCIPLYVPYVLT</v>
      </c>
      <c r="I265" s="4" t="str">
        <f t="shared" si="104"/>
        <v>RWTF</v>
      </c>
      <c r="J265" s="4" t="str">
        <f t="shared" si="105"/>
        <v>GRGLCKLWLVVDYLLCTSSAFNIVLISYDRFLSVTR</v>
      </c>
      <c r="K265" s="4" t="str">
        <f t="shared" si="106"/>
        <v>AVSYRAQQG</v>
      </c>
      <c r="L265" s="4" t="str">
        <f t="shared" si="107"/>
        <v>DTRRAVRKMLLVWVLAFLLYGPAILS</v>
      </c>
      <c r="M265" s="4" t="str">
        <f t="shared" si="108"/>
        <v>CYA</v>
      </c>
      <c r="N265" s="4" t="str">
        <f t="shared" si="109"/>
        <v>NWYFLITASTLEFFTPFLSVTFFNLSIYLNIQRRTRLRLDG</v>
      </c>
      <c r="O265" s="4" t="str">
        <f t="shared" si="110"/>
        <v>RFRLSRDRKVAKSLAVIVSIFGLCWAPYTLLMIIRAAC</v>
      </c>
      <c r="P265" s="4" t="str">
        <f t="shared" si="111"/>
        <v>PDYWYETSFWLLWANSAVNPVLYPLC</v>
      </c>
      <c r="Q265" s="4" t="str">
        <f t="shared" si="112"/>
        <v>HHSFRRAFTKLLC</v>
      </c>
      <c r="R265" s="5">
        <f>VLOOKUP($A265,'SegEnds_NonXtal_Prot#'!$A:$AL,3,FALSE)</f>
        <v>36</v>
      </c>
      <c r="S265" s="5">
        <f>VLOOKUP($A265,'SegEnds_NonXtal_Prot#'!$A:$AL,6,FALSE)</f>
        <v>63</v>
      </c>
      <c r="T265" s="5">
        <f>VLOOKUP($A265,'SegEnds_NonXtal_Prot#'!$A:$AL,9,FALSE)</f>
        <v>67</v>
      </c>
      <c r="U265" s="5">
        <f>VLOOKUP($A265,'SegEnds_NonXtal_Prot#'!$A:$AL,12,FALSE)</f>
        <v>99</v>
      </c>
      <c r="V265" s="5">
        <f>VLOOKUP($A265,'SegEnds_NonXtal_Prot#'!$A:$AL,15,FALSE)</f>
        <v>103</v>
      </c>
      <c r="W265" s="5">
        <f>VLOOKUP($A265,'SegEnds_NonXtal_Prot#'!$A:$AL,18,FALSE)</f>
        <v>139</v>
      </c>
      <c r="X265" s="5">
        <f>VLOOKUP($A265,'SegEnds_NonXtal_Prot#'!$A:$AL,21,FALSE)</f>
        <v>148</v>
      </c>
      <c r="Y265" s="5">
        <f>VLOOKUP($A265,'SegEnds_NonXtal_Prot#'!$A:$AL,24,FALSE)</f>
        <v>188</v>
      </c>
      <c r="Z265" s="5">
        <f>VLOOKUP($A265,'SegEnds_NonXtal_Prot#'!$A:$AL,27,FALSE)</f>
        <v>195</v>
      </c>
      <c r="AA265" s="5">
        <f>VLOOKUP($A265,'SegEnds_NonXtal_Prot#'!$A:$AL,30,FALSE)</f>
        <v>347</v>
      </c>
      <c r="AB265" s="5">
        <f>VLOOKUP($A265,'SegEnds_NonXtal_Prot#'!$A:$AL,33,FALSE)</f>
        <v>390</v>
      </c>
      <c r="AC265" s="5">
        <f>VLOOKUP($A265,'SegEnds_NonXtal_Prot#'!$A:$AL,36,FALSE)</f>
        <v>416</v>
      </c>
      <c r="AD265" s="5">
        <f>VLOOKUP($A265,'SegEnds_NonXtal_Prot#'!$A:$AL,5,FALSE)</f>
        <v>62</v>
      </c>
      <c r="AE265" s="5">
        <f>VLOOKUP($A265,'SegEnds_NonXtal_Prot#'!$A:$AL,8,FALSE)</f>
        <v>66</v>
      </c>
      <c r="AF265" s="5">
        <f>VLOOKUP($A265,'SegEnds_NonXtal_Prot#'!$A:$AL,11,FALSE)</f>
        <v>97</v>
      </c>
      <c r="AG265" s="5">
        <f>VLOOKUP($A265,'SegEnds_NonXtal_Prot#'!$A:$AL,14,FALSE)</f>
        <v>102</v>
      </c>
      <c r="AH265" s="5">
        <f>VLOOKUP($A265,'SegEnds_NonXtal_Prot#'!$A:$AL,17,FALSE)</f>
        <v>138</v>
      </c>
      <c r="AI265" s="5">
        <f>VLOOKUP($A265,'SegEnds_NonXtal_Prot#'!$A:$AL,20,FALSE)</f>
        <v>147</v>
      </c>
      <c r="AJ265" s="5">
        <f>VLOOKUP($A265,'SegEnds_NonXtal_Prot#'!$A:$AL,23,FALSE)</f>
        <v>173</v>
      </c>
      <c r="AK265" s="5">
        <f>VLOOKUP($A265,'SegEnds_NonXtal_Prot#'!$A:$AL,26,FALSE)</f>
        <v>190</v>
      </c>
      <c r="AL265" s="5">
        <f>VLOOKUP($A265,'SegEnds_NonXtal_Prot#'!$A:$AL,29,FALSE)</f>
        <v>235</v>
      </c>
      <c r="AM265" s="5">
        <f>VLOOKUP($A265,'SegEnds_NonXtal_Prot#'!$A:$AL,32,FALSE)</f>
        <v>384</v>
      </c>
      <c r="AN265" s="5">
        <f>VLOOKUP($A265,'SegEnds_NonXtal_Prot#'!$A:$AL,35,FALSE)</f>
        <v>415</v>
      </c>
      <c r="AO265" s="5">
        <f>VLOOKUP($A265,'SegEnds_NonXtal_Prot#'!$A:$AL,38,FALSE)</f>
        <v>428</v>
      </c>
      <c r="AP265" s="5">
        <f t="shared" si="113"/>
        <v>26</v>
      </c>
      <c r="AQ265" s="4">
        <f t="shared" si="114"/>
        <v>3</v>
      </c>
      <c r="AR265" s="4">
        <f t="shared" si="115"/>
        <v>30</v>
      </c>
      <c r="AS265" s="4">
        <f t="shared" si="116"/>
        <v>3</v>
      </c>
      <c r="AT265" s="4">
        <f t="shared" si="117"/>
        <v>35</v>
      </c>
      <c r="AU265" s="4">
        <f t="shared" si="118"/>
        <v>8</v>
      </c>
      <c r="AV265" s="4">
        <f t="shared" si="119"/>
        <v>25</v>
      </c>
      <c r="AW265" s="4">
        <f t="shared" si="120"/>
        <v>2</v>
      </c>
      <c r="AX265" s="4">
        <f t="shared" si="121"/>
        <v>40</v>
      </c>
      <c r="AY265" s="4">
        <f t="shared" si="122"/>
        <v>37</v>
      </c>
      <c r="AZ265" s="4">
        <f t="shared" si="123"/>
        <v>25</v>
      </c>
      <c r="BA265" s="4">
        <f t="shared" si="124"/>
        <v>12</v>
      </c>
    </row>
    <row r="266" spans="1:53" x14ac:dyDescent="0.2">
      <c r="A266" s="1" t="str">
        <f>'SegEnds_NonXtal_Prot#'!A257</f>
        <v>hrh4_human</v>
      </c>
      <c r="B266" s="1" t="str">
        <f t="shared" si="100"/>
        <v>SLSTRVTLAFFMSLVAFAIMLGNALVILAFVVDHRSSYFFLNLAISDFFVGVISIPLYIPHTLGKEICVFWLTTDYLLCTASVYNIVLISYDRYLSVSNGVLKIVTLMVAVWVLAFLVNGPMILVEWYILAITSFLEFVIPVILVAYFNMNIYWSLWKRDHLSRCQSHVELLRARRLAKSLAILLGVFAVCWAPYSLFTIVLSFYKSVWYRIAFWLQWFNSFVNPLLYPLCHKRFQKAFLKIFCI</v>
      </c>
      <c r="C266" s="29" t="str">
        <f>IF(ISERROR(MATCH(A266,'SegEnds_Xtal_Prot#'!B:B, 0)), "NoXtal", "Xtal")</f>
        <v>NoXtal</v>
      </c>
      <c r="D266" s="4" t="str">
        <f>VLOOKUP(A266,Classification!A:D,2,FALSE)</f>
        <v>A</v>
      </c>
      <c r="E266" s="5" t="str">
        <f>VLOOKUP(A266,Seqs!A:B,2,FALSE)</f>
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</c>
      <c r="F266" s="5" t="str">
        <f t="shared" si="101"/>
        <v>SLSTRVTLAFFMSLVAFAIMLGNALVILAFVVD</v>
      </c>
      <c r="G266" s="4" t="str">
        <f t="shared" si="102"/>
        <v>KNLR</v>
      </c>
      <c r="H266" s="4" t="str">
        <f t="shared" si="103"/>
        <v>HRSSYFFLNLAISDFFVGVISIPLYIPHTL</v>
      </c>
      <c r="I266" s="4" t="str">
        <f t="shared" si="104"/>
        <v>EWDF</v>
      </c>
      <c r="J266" s="4" t="str">
        <f t="shared" si="105"/>
        <v>GKEICVFWLTTDYLLCTASVYNIVLISYDRYLSVSN</v>
      </c>
      <c r="K266" s="4" t="str">
        <f t="shared" si="106"/>
        <v>AVSYRTQHT</v>
      </c>
      <c r="L266" s="4" t="str">
        <f t="shared" si="107"/>
        <v>GVLKIVTLMVAVWVLAFLVNGPMILV</v>
      </c>
      <c r="M266" s="4" t="str">
        <f t="shared" si="108"/>
        <v>CEP</v>
      </c>
      <c r="N266" s="4" t="str">
        <f t="shared" si="109"/>
        <v>EWYILAITSFLEFVIPVILVAYFNMNIYWSLWKRDHLSRCQS</v>
      </c>
      <c r="O266" s="4" t="str">
        <f t="shared" si="110"/>
        <v>HVELLRARRLAKSLAILLGVFAVCWAPYSLFTIVLSFY</v>
      </c>
      <c r="P266" s="4" t="str">
        <f t="shared" si="111"/>
        <v>KSVWYRIAFWLQWFNSFVNPLLYPLC</v>
      </c>
      <c r="Q266" s="4" t="str">
        <f t="shared" si="112"/>
        <v>HKRFQKAFLKIFCI</v>
      </c>
      <c r="R266" s="5">
        <f>VLOOKUP($A266,'SegEnds_NonXtal_Prot#'!$A:$AL,3,FALSE)</f>
        <v>11</v>
      </c>
      <c r="S266" s="5">
        <f>VLOOKUP($A266,'SegEnds_NonXtal_Prot#'!$A:$AL,6,FALSE)</f>
        <v>44</v>
      </c>
      <c r="T266" s="5">
        <f>VLOOKUP($A266,'SegEnds_NonXtal_Prot#'!$A:$AL,9,FALSE)</f>
        <v>48</v>
      </c>
      <c r="U266" s="5">
        <f>VLOOKUP($A266,'SegEnds_NonXtal_Prot#'!$A:$AL,12,FALSE)</f>
        <v>79</v>
      </c>
      <c r="V266" s="5">
        <f>VLOOKUP($A266,'SegEnds_NonXtal_Prot#'!$A:$AL,15,FALSE)</f>
        <v>83</v>
      </c>
      <c r="W266" s="5">
        <f>VLOOKUP($A266,'SegEnds_NonXtal_Prot#'!$A:$AL,18,FALSE)</f>
        <v>119</v>
      </c>
      <c r="X266" s="5">
        <f>VLOOKUP($A266,'SegEnds_NonXtal_Prot#'!$A:$AL,21,FALSE)</f>
        <v>128</v>
      </c>
      <c r="Y266" s="5">
        <f>VLOOKUP($A266,'SegEnds_NonXtal_Prot#'!$A:$AL,24,FALSE)</f>
        <v>164</v>
      </c>
      <c r="Z266" s="5">
        <f>VLOOKUP($A266,'SegEnds_NonXtal_Prot#'!$A:$AL,27,FALSE)</f>
        <v>171</v>
      </c>
      <c r="AA266" s="5">
        <f>VLOOKUP($A266,'SegEnds_NonXtal_Prot#'!$A:$AL,30,FALSE)</f>
        <v>292</v>
      </c>
      <c r="AB266" s="5">
        <f>VLOOKUP($A266,'SegEnds_NonXtal_Prot#'!$A:$AL,33,FALSE)</f>
        <v>336</v>
      </c>
      <c r="AC266" s="5">
        <f>VLOOKUP($A266,'SegEnds_NonXtal_Prot#'!$A:$AL,36,FALSE)</f>
        <v>362</v>
      </c>
      <c r="AD266" s="5">
        <f>VLOOKUP($A266,'SegEnds_NonXtal_Prot#'!$A:$AL,5,FALSE)</f>
        <v>43</v>
      </c>
      <c r="AE266" s="5">
        <f>VLOOKUP($A266,'SegEnds_NonXtal_Prot#'!$A:$AL,8,FALSE)</f>
        <v>47</v>
      </c>
      <c r="AF266" s="5">
        <f>VLOOKUP($A266,'SegEnds_NonXtal_Prot#'!$A:$AL,11,FALSE)</f>
        <v>77</v>
      </c>
      <c r="AG266" s="5">
        <f>VLOOKUP($A266,'SegEnds_NonXtal_Prot#'!$A:$AL,14,FALSE)</f>
        <v>82</v>
      </c>
      <c r="AH266" s="5">
        <f>VLOOKUP($A266,'SegEnds_NonXtal_Prot#'!$A:$AL,17,FALSE)</f>
        <v>118</v>
      </c>
      <c r="AI266" s="5">
        <f>VLOOKUP($A266,'SegEnds_NonXtal_Prot#'!$A:$AL,20,FALSE)</f>
        <v>127</v>
      </c>
      <c r="AJ266" s="5">
        <f>VLOOKUP($A266,'SegEnds_NonXtal_Prot#'!$A:$AL,23,FALSE)</f>
        <v>153</v>
      </c>
      <c r="AK266" s="5">
        <f>VLOOKUP($A266,'SegEnds_NonXtal_Prot#'!$A:$AL,26,FALSE)</f>
        <v>166</v>
      </c>
      <c r="AL266" s="5">
        <f>VLOOKUP($A266,'SegEnds_NonXtal_Prot#'!$A:$AL,29,FALSE)</f>
        <v>212</v>
      </c>
      <c r="AM266" s="5">
        <f>VLOOKUP($A266,'SegEnds_NonXtal_Prot#'!$A:$AL,32,FALSE)</f>
        <v>329</v>
      </c>
      <c r="AN266" s="5">
        <f>VLOOKUP($A266,'SegEnds_NonXtal_Prot#'!$A:$AL,35,FALSE)</f>
        <v>361</v>
      </c>
      <c r="AO266" s="5">
        <f>VLOOKUP($A266,'SegEnds_NonXtal_Prot#'!$A:$AL,38,FALSE)</f>
        <v>375</v>
      </c>
      <c r="AP266" s="5">
        <f t="shared" si="113"/>
        <v>32</v>
      </c>
      <c r="AQ266" s="4">
        <f t="shared" si="114"/>
        <v>3</v>
      </c>
      <c r="AR266" s="4">
        <f t="shared" si="115"/>
        <v>29</v>
      </c>
      <c r="AS266" s="4">
        <f t="shared" si="116"/>
        <v>3</v>
      </c>
      <c r="AT266" s="4">
        <f t="shared" si="117"/>
        <v>35</v>
      </c>
      <c r="AU266" s="4">
        <f t="shared" si="118"/>
        <v>8</v>
      </c>
      <c r="AV266" s="4">
        <f t="shared" si="119"/>
        <v>25</v>
      </c>
      <c r="AW266" s="4">
        <f t="shared" si="120"/>
        <v>2</v>
      </c>
      <c r="AX266" s="4">
        <f t="shared" si="121"/>
        <v>41</v>
      </c>
      <c r="AY266" s="4">
        <f t="shared" si="122"/>
        <v>37</v>
      </c>
      <c r="AZ266" s="4">
        <f t="shared" si="123"/>
        <v>25</v>
      </c>
      <c r="BA266" s="4">
        <f t="shared" si="124"/>
        <v>13</v>
      </c>
    </row>
    <row r="267" spans="1:53" x14ac:dyDescent="0.2">
      <c r="A267" s="1" t="str">
        <f>'SegEnds_NonXtal_Prot#'!A258</f>
        <v>p2ry6_human</v>
      </c>
      <c r="B267" s="1" t="str">
        <f t="shared" si="100"/>
        <v>FKQLLLPPVYSAVLAAGLPLNICVITQICTSTRTAVYTLNLALADLLYACSLPLLIYNYAQGDFACRLVRFLFYANLHGSILFLTCISFQRYLGICHGRRAAWLVCVAVWLAVTTQCLPTAIFAATHYMPYGMALTVIGFLLPFAALLACYCLLACRLCRQDGPARRGKAARMAVVVAAAFAISFLPFHITKTAYLAVRSTPCTVLEAFAAAYKGTRPFASANSVLDPILFYFTQKKFRRRPHELLQ</v>
      </c>
      <c r="C267" s="29" t="str">
        <f>IF(ISERROR(MATCH(A267,'SegEnds_Xtal_Prot#'!B:B, 0)), "NoXtal", "Xtal")</f>
        <v>NoXtal</v>
      </c>
      <c r="D267" s="4" t="str">
        <f>VLOOKUP(A267,Classification!A:D,2,FALSE)</f>
        <v>A</v>
      </c>
      <c r="E267" s="5" t="str">
        <f>VLOOKUP(A267,Seqs!A:B,2,FALSE)</f>
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</c>
      <c r="F267" s="5" t="str">
        <f t="shared" si="101"/>
        <v>FKQLLLPPVYSAVLAAGLPLNICVITQICTS</v>
      </c>
      <c r="G267" s="4" t="str">
        <f t="shared" si="102"/>
        <v>RRAL</v>
      </c>
      <c r="H267" s="4" t="str">
        <f t="shared" si="103"/>
        <v>TRTAVYTLNLALADLLYACSLPLLIYNYAQ</v>
      </c>
      <c r="I267" s="4" t="str">
        <f t="shared" si="104"/>
        <v>HWPF</v>
      </c>
      <c r="J267" s="4" t="str">
        <f t="shared" si="105"/>
        <v>GDFACRLVRFLFYANLHGSILFLTCISFQRYLGICH</v>
      </c>
      <c r="K267" s="4" t="str">
        <f t="shared" si="106"/>
        <v>PLAPWHKRG</v>
      </c>
      <c r="L267" s="4" t="str">
        <f t="shared" si="107"/>
        <v>GRRAAWLVCVAVWLAVTTQCLPTAIFA</v>
      </c>
      <c r="M267" s="4" t="str">
        <f t="shared" si="108"/>
        <v>CYD</v>
      </c>
      <c r="N267" s="4" t="str">
        <f t="shared" si="109"/>
        <v>ATHYMPYGMALTVIGFLLPFAALLACYCLLACRLCRQDGPA</v>
      </c>
      <c r="O267" s="4" t="str">
        <f t="shared" si="110"/>
        <v>RRGKAARMAVVVAAAFAISFLPFHITKTAYLAVRST</v>
      </c>
      <c r="P267" s="4" t="str">
        <f t="shared" si="111"/>
        <v>PCTVLEAFAAAYKGTRPFASANSVLDPILFYFT</v>
      </c>
      <c r="Q267" s="4" t="str">
        <f t="shared" si="112"/>
        <v>QKKFRRRPHELLQ</v>
      </c>
      <c r="R267" s="5">
        <f>VLOOKUP($A267,'SegEnds_NonXtal_Prot#'!$A:$AL,3,FALSE)</f>
        <v>24</v>
      </c>
      <c r="S267" s="5">
        <f>VLOOKUP($A267,'SegEnds_NonXtal_Prot#'!$A:$AL,6,FALSE)</f>
        <v>55</v>
      </c>
      <c r="T267" s="5">
        <f>VLOOKUP($A267,'SegEnds_NonXtal_Prot#'!$A:$AL,9,FALSE)</f>
        <v>59</v>
      </c>
      <c r="U267" s="5">
        <f>VLOOKUP($A267,'SegEnds_NonXtal_Prot#'!$A:$AL,12,FALSE)</f>
        <v>91</v>
      </c>
      <c r="V267" s="5">
        <f>VLOOKUP($A267,'SegEnds_NonXtal_Prot#'!$A:$AL,15,FALSE)</f>
        <v>95</v>
      </c>
      <c r="W267" s="5">
        <f>VLOOKUP($A267,'SegEnds_NonXtal_Prot#'!$A:$AL,18,FALSE)</f>
        <v>131</v>
      </c>
      <c r="X267" s="5">
        <f>VLOOKUP($A267,'SegEnds_NonXtal_Prot#'!$A:$AL,21,FALSE)</f>
        <v>140</v>
      </c>
      <c r="Y267" s="5">
        <f>VLOOKUP($A267,'SegEnds_NonXtal_Prot#'!$A:$AL,24,FALSE)</f>
        <v>177</v>
      </c>
      <c r="Z267" s="5">
        <f>VLOOKUP($A267,'SegEnds_NonXtal_Prot#'!$A:$AL,27,FALSE)</f>
        <v>186</v>
      </c>
      <c r="AA267" s="5">
        <f>VLOOKUP($A267,'SegEnds_NonXtal_Prot#'!$A:$AL,30,FALSE)</f>
        <v>233</v>
      </c>
      <c r="AB267" s="5">
        <f>VLOOKUP($A267,'SegEnds_NonXtal_Prot#'!$A:$AL,33,FALSE)</f>
        <v>272</v>
      </c>
      <c r="AC267" s="5">
        <f>VLOOKUP($A267,'SegEnds_NonXtal_Prot#'!$A:$AL,36,FALSE)</f>
        <v>305</v>
      </c>
      <c r="AD267" s="5">
        <f>VLOOKUP($A267,'SegEnds_NonXtal_Prot#'!$A:$AL,5,FALSE)</f>
        <v>54</v>
      </c>
      <c r="AE267" s="5">
        <f>VLOOKUP($A267,'SegEnds_NonXtal_Prot#'!$A:$AL,8,FALSE)</f>
        <v>58</v>
      </c>
      <c r="AF267" s="5">
        <f>VLOOKUP($A267,'SegEnds_NonXtal_Prot#'!$A:$AL,11,FALSE)</f>
        <v>88</v>
      </c>
      <c r="AG267" s="5">
        <f>VLOOKUP($A267,'SegEnds_NonXtal_Prot#'!$A:$AL,14,FALSE)</f>
        <v>94</v>
      </c>
      <c r="AH267" s="5">
        <f>VLOOKUP($A267,'SegEnds_NonXtal_Prot#'!$A:$AL,17,FALSE)</f>
        <v>130</v>
      </c>
      <c r="AI267" s="5">
        <f>VLOOKUP($A267,'SegEnds_NonXtal_Prot#'!$A:$AL,20,FALSE)</f>
        <v>139</v>
      </c>
      <c r="AJ267" s="5">
        <f>VLOOKUP($A267,'SegEnds_NonXtal_Prot#'!$A:$AL,23,FALSE)</f>
        <v>166</v>
      </c>
      <c r="AK267" s="5">
        <f>VLOOKUP($A267,'SegEnds_NonXtal_Prot#'!$A:$AL,26,FALSE)</f>
        <v>179</v>
      </c>
      <c r="AL267" s="5">
        <f>VLOOKUP($A267,'SegEnds_NonXtal_Prot#'!$A:$AL,29,FALSE)</f>
        <v>226</v>
      </c>
      <c r="AM267" s="5">
        <f>VLOOKUP($A267,'SegEnds_NonXtal_Prot#'!$A:$AL,32,FALSE)</f>
        <v>268</v>
      </c>
      <c r="AN267" s="5">
        <f>VLOOKUP($A267,'SegEnds_NonXtal_Prot#'!$A:$AL,35,FALSE)</f>
        <v>304</v>
      </c>
      <c r="AO267" s="5">
        <f>VLOOKUP($A267,'SegEnds_NonXtal_Prot#'!$A:$AL,38,FALSE)</f>
        <v>317</v>
      </c>
      <c r="AP267" s="5">
        <f t="shared" si="113"/>
        <v>30</v>
      </c>
      <c r="AQ267" s="4">
        <f t="shared" si="114"/>
        <v>3</v>
      </c>
      <c r="AR267" s="4">
        <f t="shared" si="115"/>
        <v>29</v>
      </c>
      <c r="AS267" s="4">
        <f t="shared" si="116"/>
        <v>3</v>
      </c>
      <c r="AT267" s="4">
        <f t="shared" si="117"/>
        <v>35</v>
      </c>
      <c r="AU267" s="4">
        <f t="shared" si="118"/>
        <v>8</v>
      </c>
      <c r="AV267" s="4">
        <f t="shared" si="119"/>
        <v>26</v>
      </c>
      <c r="AW267" s="4">
        <f t="shared" si="120"/>
        <v>2</v>
      </c>
      <c r="AX267" s="4">
        <f t="shared" si="121"/>
        <v>40</v>
      </c>
      <c r="AY267" s="4">
        <f t="shared" si="122"/>
        <v>35</v>
      </c>
      <c r="AZ267" s="4">
        <f t="shared" si="123"/>
        <v>32</v>
      </c>
      <c r="BA267" s="4">
        <f t="shared" si="124"/>
        <v>12</v>
      </c>
    </row>
    <row r="268" spans="1:53" x14ac:dyDescent="0.2">
      <c r="A268" s="1" t="str">
        <f>'SegEnds_NonXtal_Prot#'!A259</f>
        <v>ccr6_human</v>
      </c>
      <c r="B268" s="1" t="str">
        <f t="shared" si="100"/>
        <v>QFSRLFVPIAYSLICVFGLLGNILVVITFAFYSMTDVYLLNMAIADILFVLTLPFWAVSHATSNATCKLLKGIYAINFNCGMLLLTCISMDRYIAIVQTLPRSKIICLVVWGLSVIISSSTFVFNRWKLLMLGLELLFGFFIPLMFMIFCYTFIVKTLVQARHKAIRVIIAVVLVFLACQIPHNMVLLVTAANLGKMSCQSEKLIGYTKTVTEVLAFLHCCLNPVLYAFIGQKFRNYFLKILK</v>
      </c>
      <c r="C268" s="29" t="str">
        <f>IF(ISERROR(MATCH(A268,'SegEnds_Xtal_Prot#'!B:B, 0)), "NoXtal", "Xtal")</f>
        <v>NoXtal</v>
      </c>
      <c r="D268" s="4" t="str">
        <f>VLOOKUP(A268,Classification!A:D,2,FALSE)</f>
        <v>A</v>
      </c>
      <c r="E268" s="5" t="str">
        <f>VLOOKUP(A268,Seqs!A:B,2,FALSE)</f>
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</c>
      <c r="F268" s="5" t="str">
        <f t="shared" si="101"/>
        <v>QFSRLFVPIAYSLICVFGLLGNILVVITFAFY</v>
      </c>
      <c r="G268" s="4" t="str">
        <f t="shared" si="102"/>
        <v>KKAR</v>
      </c>
      <c r="H268" s="4" t="str">
        <f t="shared" si="103"/>
        <v>SMTDVYLLNMAIADILFVLTLPFWAVSHAT</v>
      </c>
      <c r="I268" s="4" t="str">
        <f t="shared" si="104"/>
        <v>AWVF</v>
      </c>
      <c r="J268" s="4" t="str">
        <f t="shared" si="105"/>
        <v>SNATCKLLKGIYAINFNCGMLLLTCISMDRYIAIVQ</v>
      </c>
      <c r="K268" s="4" t="str">
        <f t="shared" si="106"/>
        <v>ATKSFRLRS</v>
      </c>
      <c r="L268" s="4" t="str">
        <f t="shared" si="107"/>
        <v>TLPRSKIICLVVWGLSVIISSSTFVFN</v>
      </c>
      <c r="M268" s="4" t="str">
        <f t="shared" si="108"/>
        <v>CEP</v>
      </c>
      <c r="N268" s="4" t="str">
        <f t="shared" si="109"/>
        <v>RWKLLMLGLELLFGFFIPLMFMIFCYTFIVKTLVQA</v>
      </c>
      <c r="O268" s="4" t="str">
        <f t="shared" si="110"/>
        <v>RHKAIRVIIAVVLVFLACQIPHNMVLLVTAANLGKM</v>
      </c>
      <c r="P268" s="4" t="str">
        <f t="shared" si="111"/>
        <v>SCQSEKLIGYTKTVTEVLAFLHCCLNPVLYAFI</v>
      </c>
      <c r="Q268" s="4" t="str">
        <f t="shared" si="112"/>
        <v>GQKFRNYFLKILK</v>
      </c>
      <c r="R268" s="5">
        <f>VLOOKUP($A268,'SegEnds_NonXtal_Prot#'!$A:$AL,3,FALSE)</f>
        <v>43</v>
      </c>
      <c r="S268" s="5">
        <f>VLOOKUP($A268,'SegEnds_NonXtal_Prot#'!$A:$AL,6,FALSE)</f>
        <v>75</v>
      </c>
      <c r="T268" s="5">
        <f>VLOOKUP($A268,'SegEnds_NonXtal_Prot#'!$A:$AL,9,FALSE)</f>
        <v>79</v>
      </c>
      <c r="U268" s="5">
        <f>VLOOKUP($A268,'SegEnds_NonXtal_Prot#'!$A:$AL,12,FALSE)</f>
        <v>110</v>
      </c>
      <c r="V268" s="5">
        <f>VLOOKUP($A268,'SegEnds_NonXtal_Prot#'!$A:$AL,15,FALSE)</f>
        <v>114</v>
      </c>
      <c r="W268" s="5">
        <f>VLOOKUP($A268,'SegEnds_NonXtal_Prot#'!$A:$AL,18,FALSE)</f>
        <v>150</v>
      </c>
      <c r="X268" s="5">
        <f>VLOOKUP($A268,'SegEnds_NonXtal_Prot#'!$A:$AL,21,FALSE)</f>
        <v>160</v>
      </c>
      <c r="Y268" s="5">
        <f>VLOOKUP($A268,'SegEnds_NonXtal_Prot#'!$A:$AL,24,FALSE)</f>
        <v>197</v>
      </c>
      <c r="Z268" s="5">
        <f>VLOOKUP($A268,'SegEnds_NonXtal_Prot#'!$A:$AL,27,FALSE)</f>
        <v>209</v>
      </c>
      <c r="AA268" s="5">
        <f>VLOOKUP($A268,'SegEnds_NonXtal_Prot#'!$A:$AL,30,FALSE)</f>
        <v>249</v>
      </c>
      <c r="AB268" s="5">
        <f>VLOOKUP($A268,'SegEnds_NonXtal_Prot#'!$A:$AL,33,FALSE)</f>
        <v>287</v>
      </c>
      <c r="AC268" s="5">
        <f>VLOOKUP($A268,'SegEnds_NonXtal_Prot#'!$A:$AL,36,FALSE)</f>
        <v>320</v>
      </c>
      <c r="AD268" s="5">
        <f>VLOOKUP($A268,'SegEnds_NonXtal_Prot#'!$A:$AL,5,FALSE)</f>
        <v>74</v>
      </c>
      <c r="AE268" s="5">
        <f>VLOOKUP($A268,'SegEnds_NonXtal_Prot#'!$A:$AL,8,FALSE)</f>
        <v>78</v>
      </c>
      <c r="AF268" s="5">
        <f>VLOOKUP($A268,'SegEnds_NonXtal_Prot#'!$A:$AL,11,FALSE)</f>
        <v>108</v>
      </c>
      <c r="AG268" s="5">
        <f>VLOOKUP($A268,'SegEnds_NonXtal_Prot#'!$A:$AL,14,FALSE)</f>
        <v>113</v>
      </c>
      <c r="AH268" s="5">
        <f>VLOOKUP($A268,'SegEnds_NonXtal_Prot#'!$A:$AL,17,FALSE)</f>
        <v>149</v>
      </c>
      <c r="AI268" s="5">
        <f>VLOOKUP($A268,'SegEnds_NonXtal_Prot#'!$A:$AL,20,FALSE)</f>
        <v>158</v>
      </c>
      <c r="AJ268" s="5">
        <f>VLOOKUP($A268,'SegEnds_NonXtal_Prot#'!$A:$AL,23,FALSE)</f>
        <v>186</v>
      </c>
      <c r="AK268" s="5">
        <f>VLOOKUP($A268,'SegEnds_NonXtal_Prot#'!$A:$AL,26,FALSE)</f>
        <v>199</v>
      </c>
      <c r="AL268" s="5">
        <f>VLOOKUP($A268,'SegEnds_NonXtal_Prot#'!$A:$AL,29,FALSE)</f>
        <v>244</v>
      </c>
      <c r="AM268" s="5">
        <f>VLOOKUP($A268,'SegEnds_NonXtal_Prot#'!$A:$AL,32,FALSE)</f>
        <v>284</v>
      </c>
      <c r="AN268" s="5">
        <f>VLOOKUP($A268,'SegEnds_NonXtal_Prot#'!$A:$AL,35,FALSE)</f>
        <v>319</v>
      </c>
      <c r="AO268" s="5">
        <f>VLOOKUP($A268,'SegEnds_NonXtal_Prot#'!$A:$AL,38,FALSE)</f>
        <v>332</v>
      </c>
      <c r="AP268" s="5">
        <f t="shared" si="113"/>
        <v>31</v>
      </c>
      <c r="AQ268" s="4">
        <f t="shared" si="114"/>
        <v>3</v>
      </c>
      <c r="AR268" s="4">
        <f t="shared" si="115"/>
        <v>29</v>
      </c>
      <c r="AS268" s="4">
        <f t="shared" si="116"/>
        <v>3</v>
      </c>
      <c r="AT268" s="4">
        <f t="shared" si="117"/>
        <v>35</v>
      </c>
      <c r="AU268" s="4">
        <f t="shared" si="118"/>
        <v>8</v>
      </c>
      <c r="AV268" s="4">
        <f t="shared" si="119"/>
        <v>26</v>
      </c>
      <c r="AW268" s="4">
        <f t="shared" si="120"/>
        <v>2</v>
      </c>
      <c r="AX268" s="4">
        <f t="shared" si="121"/>
        <v>35</v>
      </c>
      <c r="AY268" s="4">
        <f t="shared" si="122"/>
        <v>35</v>
      </c>
      <c r="AZ268" s="4">
        <f t="shared" si="123"/>
        <v>32</v>
      </c>
      <c r="BA268" s="4">
        <f t="shared" si="124"/>
        <v>12</v>
      </c>
    </row>
    <row r="269" spans="1:53" x14ac:dyDescent="0.2">
      <c r="A269" s="1" t="str">
        <f>'SegEnds_NonXtal_Prot#'!A260</f>
        <v>ccr7_human</v>
      </c>
      <c r="B269" s="1" t="str">
        <f t="shared" si="100"/>
        <v>NFKAWFLPIMYSIICFVGLLGNGLVVLTYIYFTMTDTYLLNLAVADILFLLTLPFWAYSAAKGVHFCKLIFAIYKMSFFSGMLLLLCISIDRYVAIVQVLLISKLSCVGIWILATVLSIPELLYSEAFITIQVAQMVIGFLVPLLAMSFCYLVIIRTLLQARNKAIKVIIAVVVVFIVFQLPYNGVVLAQTVANFNITCELSKQLNIAYDVTYSLACVRCCVNPFLYAFIGVKFRNDLFKLFK</v>
      </c>
      <c r="C269" s="29" t="str">
        <f>IF(ISERROR(MATCH(A269,'SegEnds_Xtal_Prot#'!B:B, 0)), "NoXtal", "Xtal")</f>
        <v>Xtal</v>
      </c>
      <c r="D269" s="4" t="str">
        <f>VLOOKUP(A269,Classification!A:D,2,FALSE)</f>
        <v>A</v>
      </c>
      <c r="E269" s="5" t="str">
        <f>VLOOKUP(A269,Seqs!A:B,2,FALSE)</f>
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</c>
      <c r="F269" s="5" t="str">
        <f t="shared" si="101"/>
        <v>NFKAWFLPIMYSIICFVGLLGNGLVVLTYIYF</v>
      </c>
      <c r="G269" s="4" t="str">
        <f t="shared" si="102"/>
        <v>KRLK</v>
      </c>
      <c r="H269" s="4" t="str">
        <f t="shared" si="103"/>
        <v>TMTDTYLLNLAVADILFLLTLPFWAYSAAK</v>
      </c>
      <c r="I269" s="4" t="str">
        <f t="shared" si="104"/>
        <v>SWVF</v>
      </c>
      <c r="J269" s="4" t="str">
        <f t="shared" si="105"/>
        <v>GVHFCKLIFAIYKMSFFSGMLLLLCISIDRYVAIVQ</v>
      </c>
      <c r="K269" s="4" t="str">
        <f t="shared" si="106"/>
        <v>AVSAHRHRA</v>
      </c>
      <c r="L269" s="4" t="str">
        <f t="shared" si="107"/>
        <v>VLLISKLSCVGIWILATVLSIPELLYS</v>
      </c>
      <c r="M269" s="4" t="str">
        <f t="shared" si="108"/>
        <v>CSL</v>
      </c>
      <c r="N269" s="4" t="str">
        <f t="shared" si="109"/>
        <v>EAFITIQVAQMVIGFLVPLLAMSFCYLVIIRTLLQA</v>
      </c>
      <c r="O269" s="4" t="str">
        <f t="shared" si="110"/>
        <v>RNKAIKVIIAVVVVFIVFQLPYNGVVLAQTVANFNI</v>
      </c>
      <c r="P269" s="4" t="str">
        <f t="shared" si="111"/>
        <v>TCELSKQLNIAYDVTYSLACVRCCVNPFLYAFI</v>
      </c>
      <c r="Q269" s="4" t="str">
        <f t="shared" si="112"/>
        <v>GVKFRNDLFKLFK</v>
      </c>
      <c r="R269" s="5">
        <f>VLOOKUP($A269,'SegEnds_NonXtal_Prot#'!$A:$AL,3,FALSE)</f>
        <v>55</v>
      </c>
      <c r="S269" s="5">
        <f>VLOOKUP($A269,'SegEnds_NonXtal_Prot#'!$A:$AL,6,FALSE)</f>
        <v>87</v>
      </c>
      <c r="T269" s="5">
        <f>VLOOKUP($A269,'SegEnds_NonXtal_Prot#'!$A:$AL,9,FALSE)</f>
        <v>91</v>
      </c>
      <c r="U269" s="5">
        <f>VLOOKUP($A269,'SegEnds_NonXtal_Prot#'!$A:$AL,12,FALSE)</f>
        <v>121</v>
      </c>
      <c r="V269" s="5">
        <f>VLOOKUP($A269,'SegEnds_NonXtal_Prot#'!$A:$AL,15,FALSE)</f>
        <v>125</v>
      </c>
      <c r="W269" s="5">
        <f>VLOOKUP($A269,'SegEnds_NonXtal_Prot#'!$A:$AL,18,FALSE)</f>
        <v>161</v>
      </c>
      <c r="X269" s="5">
        <f>VLOOKUP($A269,'SegEnds_NonXtal_Prot#'!$A:$AL,21,FALSE)</f>
        <v>171</v>
      </c>
      <c r="Y269" s="5">
        <f>VLOOKUP($A269,'SegEnds_NonXtal_Prot#'!$A:$AL,24,FALSE)</f>
        <v>210</v>
      </c>
      <c r="Z269" s="5">
        <f>VLOOKUP($A269,'SegEnds_NonXtal_Prot#'!$A:$AL,27,FALSE)</f>
        <v>218</v>
      </c>
      <c r="AA269" s="5">
        <f>VLOOKUP($A269,'SegEnds_NonXtal_Prot#'!$A:$AL,30,FALSE)</f>
        <v>258</v>
      </c>
      <c r="AB269" s="5">
        <f>VLOOKUP($A269,'SegEnds_NonXtal_Prot#'!$A:$AL,33,FALSE)</f>
        <v>297</v>
      </c>
      <c r="AC269" s="5">
        <f>VLOOKUP($A269,'SegEnds_NonXtal_Prot#'!$A:$AL,36,FALSE)</f>
        <v>330</v>
      </c>
      <c r="AD269" s="5">
        <f>VLOOKUP($A269,'SegEnds_NonXtal_Prot#'!$A:$AL,5,FALSE)</f>
        <v>86</v>
      </c>
      <c r="AE269" s="5">
        <f>VLOOKUP($A269,'SegEnds_NonXtal_Prot#'!$A:$AL,8,FALSE)</f>
        <v>90</v>
      </c>
      <c r="AF269" s="5">
        <f>VLOOKUP($A269,'SegEnds_NonXtal_Prot#'!$A:$AL,11,FALSE)</f>
        <v>120</v>
      </c>
      <c r="AG269" s="5">
        <f>VLOOKUP($A269,'SegEnds_NonXtal_Prot#'!$A:$AL,14,FALSE)</f>
        <v>124</v>
      </c>
      <c r="AH269" s="5">
        <f>VLOOKUP($A269,'SegEnds_NonXtal_Prot#'!$A:$AL,17,FALSE)</f>
        <v>160</v>
      </c>
      <c r="AI269" s="5">
        <f>VLOOKUP($A269,'SegEnds_NonXtal_Prot#'!$A:$AL,20,FALSE)</f>
        <v>169</v>
      </c>
      <c r="AJ269" s="5">
        <f>VLOOKUP($A269,'SegEnds_NonXtal_Prot#'!$A:$AL,23,FALSE)</f>
        <v>197</v>
      </c>
      <c r="AK269" s="5">
        <f>VLOOKUP($A269,'SegEnds_NonXtal_Prot#'!$A:$AL,26,FALSE)</f>
        <v>212</v>
      </c>
      <c r="AL269" s="5">
        <f>VLOOKUP($A269,'SegEnds_NonXtal_Prot#'!$A:$AL,29,FALSE)</f>
        <v>253</v>
      </c>
      <c r="AM269" s="5">
        <f>VLOOKUP($A269,'SegEnds_NonXtal_Prot#'!$A:$AL,32,FALSE)</f>
        <v>293</v>
      </c>
      <c r="AN269" s="5">
        <f>VLOOKUP($A269,'SegEnds_NonXtal_Prot#'!$A:$AL,35,FALSE)</f>
        <v>329</v>
      </c>
      <c r="AO269" s="5">
        <f>VLOOKUP($A269,'SegEnds_NonXtal_Prot#'!$A:$AL,38,FALSE)</f>
        <v>342</v>
      </c>
      <c r="AP269" s="5">
        <f t="shared" si="113"/>
        <v>31</v>
      </c>
      <c r="AQ269" s="4">
        <f t="shared" si="114"/>
        <v>3</v>
      </c>
      <c r="AR269" s="4">
        <f t="shared" si="115"/>
        <v>29</v>
      </c>
      <c r="AS269" s="4">
        <f t="shared" si="116"/>
        <v>3</v>
      </c>
      <c r="AT269" s="4">
        <f t="shared" si="117"/>
        <v>35</v>
      </c>
      <c r="AU269" s="4">
        <f t="shared" si="118"/>
        <v>8</v>
      </c>
      <c r="AV269" s="4">
        <f t="shared" si="119"/>
        <v>26</v>
      </c>
      <c r="AW269" s="4">
        <f t="shared" si="120"/>
        <v>2</v>
      </c>
      <c r="AX269" s="4">
        <f t="shared" si="121"/>
        <v>35</v>
      </c>
      <c r="AY269" s="4">
        <f t="shared" si="122"/>
        <v>35</v>
      </c>
      <c r="AZ269" s="4">
        <f t="shared" si="123"/>
        <v>32</v>
      </c>
      <c r="BA269" s="4">
        <f t="shared" si="124"/>
        <v>12</v>
      </c>
    </row>
    <row r="270" spans="1:53" x14ac:dyDescent="0.2">
      <c r="A270" s="1" t="str">
        <f>'SegEnds_NonXtal_Prot#'!A261</f>
        <v>ccr9_human</v>
      </c>
      <c r="B270" s="1" t="str">
        <f t="shared" si="100"/>
        <v>VRQFASHFLPPLYWLVFIVGALGNSLVILVYWYCTMTDMFLLNLAIADLLFLVTLPFWAIAAADQTFMCKVVNSMYKMNFYSCVLLIMCISVDRYIAIAQREKRLLYSKMVCFTIWVLAAALCIPEILYSKLKSAVLTLKVILGFFLPFVVMACCYTIIIHTLIQAKHKALKVTITVLTVFVLSQFPYNCILLVQTIDAYAMNCAVSTNIDICFQVTQTIAFFHSCLNPVLYVFVGERFRRDLVKTLKNLGCISQA</v>
      </c>
      <c r="C270" s="29" t="str">
        <f>IF(ISERROR(MATCH(A270,'SegEnds_Xtal_Prot#'!B:B, 0)), "NoXtal", "Xtal")</f>
        <v>Xtal</v>
      </c>
      <c r="D270" s="4" t="str">
        <f>VLOOKUP(A270,Classification!A:D,2,FALSE)</f>
        <v>A</v>
      </c>
      <c r="E270" s="5" t="str">
        <f>VLOOKUP(A270,Seqs!A:B,2,FALSE)</f>
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</c>
      <c r="F270" s="5" t="str">
        <f t="shared" si="101"/>
        <v>VRQFASHFLPPLYWLVFIVGALGNSLVILVYWYC</v>
      </c>
      <c r="G270" s="4" t="str">
        <f t="shared" si="102"/>
        <v>TRVK</v>
      </c>
      <c r="H270" s="4" t="str">
        <f t="shared" si="103"/>
        <v>TMTDMFLLNLAIADLLFLVTLPFWAIAAAD</v>
      </c>
      <c r="I270" s="4" t="str">
        <f t="shared" si="104"/>
        <v>QWKF</v>
      </c>
      <c r="J270" s="4" t="str">
        <f t="shared" si="105"/>
        <v>QTFMCKVVNSMYKMNFYSCVLLIMCISVDRYIAIAQ</v>
      </c>
      <c r="K270" s="4" t="str">
        <f t="shared" si="106"/>
        <v>AMRAHTW</v>
      </c>
      <c r="L270" s="4" t="str">
        <f t="shared" si="107"/>
        <v>REKRLLYSKMVCFTIWVLAAALCIPEILYS</v>
      </c>
      <c r="M270" s="4" t="str">
        <f t="shared" si="108"/>
        <v>CTM</v>
      </c>
      <c r="N270" s="4" t="str">
        <f t="shared" si="109"/>
        <v>KLKSAVLTLKVILGFFLPFVVMACCYTIIIHTLIQA</v>
      </c>
      <c r="O270" s="4" t="str">
        <f t="shared" si="110"/>
        <v>KHKALKVTITVLTVFVLSQFPYNCILLVQTIDAYAM</v>
      </c>
      <c r="P270" s="4" t="str">
        <f t="shared" si="111"/>
        <v>NCAVSTNIDICFQVTQTIAFFHSCLNPVLYVFV</v>
      </c>
      <c r="Q270" s="4" t="str">
        <f t="shared" si="112"/>
        <v>GERFRRDLVKTLKNLGCISQA</v>
      </c>
      <c r="R270" s="5">
        <f>VLOOKUP($A270,'SegEnds_NonXtal_Prot#'!$A:$AL,3,FALSE)</f>
        <v>43</v>
      </c>
      <c r="S270" s="5">
        <f>VLOOKUP($A270,'SegEnds_NonXtal_Prot#'!$A:$AL,6,FALSE)</f>
        <v>77</v>
      </c>
      <c r="T270" s="5">
        <f>VLOOKUP($A270,'SegEnds_NonXtal_Prot#'!$A:$AL,9,FALSE)</f>
        <v>81</v>
      </c>
      <c r="U270" s="5">
        <f>VLOOKUP($A270,'SegEnds_NonXtal_Prot#'!$A:$AL,12,FALSE)</f>
        <v>111</v>
      </c>
      <c r="V270" s="5">
        <f>VLOOKUP($A270,'SegEnds_NonXtal_Prot#'!$A:$AL,15,FALSE)</f>
        <v>115</v>
      </c>
      <c r="W270" s="5">
        <f>VLOOKUP($A270,'SegEnds_NonXtal_Prot#'!$A:$AL,18,FALSE)</f>
        <v>151</v>
      </c>
      <c r="X270" s="5">
        <f>VLOOKUP($A270,'SegEnds_NonXtal_Prot#'!$A:$AL,21,FALSE)</f>
        <v>158</v>
      </c>
      <c r="Y270" s="5">
        <f>VLOOKUP($A270,'SegEnds_NonXtal_Prot#'!$A:$AL,24,FALSE)</f>
        <v>198</v>
      </c>
      <c r="Z270" s="5">
        <f>VLOOKUP($A270,'SegEnds_NonXtal_Prot#'!$A:$AL,27,FALSE)</f>
        <v>209</v>
      </c>
      <c r="AA270" s="5">
        <f>VLOOKUP($A270,'SegEnds_NonXtal_Prot#'!$A:$AL,30,FALSE)</f>
        <v>249</v>
      </c>
      <c r="AB270" s="5">
        <f>VLOOKUP($A270,'SegEnds_NonXtal_Prot#'!$A:$AL,33,FALSE)</f>
        <v>288</v>
      </c>
      <c r="AC270" s="5">
        <f>VLOOKUP($A270,'SegEnds_NonXtal_Prot#'!$A:$AL,36,FALSE)</f>
        <v>321</v>
      </c>
      <c r="AD270" s="5">
        <f>VLOOKUP($A270,'SegEnds_NonXtal_Prot#'!$A:$AL,5,FALSE)</f>
        <v>76</v>
      </c>
      <c r="AE270" s="5">
        <f>VLOOKUP($A270,'SegEnds_NonXtal_Prot#'!$A:$AL,8,FALSE)</f>
        <v>80</v>
      </c>
      <c r="AF270" s="5">
        <f>VLOOKUP($A270,'SegEnds_NonXtal_Prot#'!$A:$AL,11,FALSE)</f>
        <v>110</v>
      </c>
      <c r="AG270" s="5">
        <f>VLOOKUP($A270,'SegEnds_NonXtal_Prot#'!$A:$AL,14,FALSE)</f>
        <v>114</v>
      </c>
      <c r="AH270" s="5">
        <f>VLOOKUP($A270,'SegEnds_NonXtal_Prot#'!$A:$AL,17,FALSE)</f>
        <v>150</v>
      </c>
      <c r="AI270" s="5">
        <f>VLOOKUP($A270,'SegEnds_NonXtal_Prot#'!$A:$AL,20,FALSE)</f>
        <v>157</v>
      </c>
      <c r="AJ270" s="5">
        <f>VLOOKUP($A270,'SegEnds_NonXtal_Prot#'!$A:$AL,23,FALSE)</f>
        <v>187</v>
      </c>
      <c r="AK270" s="5">
        <f>VLOOKUP($A270,'SegEnds_NonXtal_Prot#'!$A:$AL,26,FALSE)</f>
        <v>200</v>
      </c>
      <c r="AL270" s="5">
        <f>VLOOKUP($A270,'SegEnds_NonXtal_Prot#'!$A:$AL,29,FALSE)</f>
        <v>244</v>
      </c>
      <c r="AM270" s="5">
        <f>VLOOKUP($A270,'SegEnds_NonXtal_Prot#'!$A:$AL,32,FALSE)</f>
        <v>284</v>
      </c>
      <c r="AN270" s="5">
        <f>VLOOKUP($A270,'SegEnds_NonXtal_Prot#'!$A:$AL,35,FALSE)</f>
        <v>320</v>
      </c>
      <c r="AO270" s="5">
        <f>VLOOKUP($A270,'SegEnds_NonXtal_Prot#'!$A:$AL,38,FALSE)</f>
        <v>341</v>
      </c>
      <c r="AP270" s="5">
        <f t="shared" si="113"/>
        <v>33</v>
      </c>
      <c r="AQ270" s="4">
        <f t="shared" si="114"/>
        <v>3</v>
      </c>
      <c r="AR270" s="4">
        <f t="shared" si="115"/>
        <v>29</v>
      </c>
      <c r="AS270" s="4">
        <f t="shared" si="116"/>
        <v>3</v>
      </c>
      <c r="AT270" s="4">
        <f t="shared" si="117"/>
        <v>35</v>
      </c>
      <c r="AU270" s="4">
        <f t="shared" si="118"/>
        <v>6</v>
      </c>
      <c r="AV270" s="4">
        <f t="shared" si="119"/>
        <v>29</v>
      </c>
      <c r="AW270" s="4">
        <f t="shared" si="120"/>
        <v>2</v>
      </c>
      <c r="AX270" s="4">
        <f t="shared" si="121"/>
        <v>35</v>
      </c>
      <c r="AY270" s="4">
        <f t="shared" si="122"/>
        <v>35</v>
      </c>
      <c r="AZ270" s="4">
        <f t="shared" si="123"/>
        <v>32</v>
      </c>
      <c r="BA270" s="4">
        <f t="shared" si="124"/>
        <v>20</v>
      </c>
    </row>
    <row r="271" spans="1:53" x14ac:dyDescent="0.2">
      <c r="A271" s="1" t="str">
        <f>'SegEnds_NonXtal_Prot#'!A262</f>
        <v>cxcr6_human</v>
      </c>
      <c r="B271" s="1" t="str">
        <f t="shared" si="100"/>
        <v>FLQFSKVFLPCMYLVVFVCGLVGNSLVLVISIFYSLTDVFLVNLPLADLVFVCTLPFWAYAGIHGQVMCKSLLGIYTINFYTSMLILTCITVDRFIVVVKRMTWGKVTSLLIWVISLLVSLPQIIYGAISTVVLATQMTLGFFLPLLTMIVCYSVIIKTLLHAKHRSLKIIFLVMAVFLLTQMPFNLMKFIRSTHEYYAMTSFHYTIMVTEAIAYLRACLNPVLYAFVSLKFRKNFWKLVKDIGCLPYL</v>
      </c>
      <c r="C271" s="29" t="str">
        <f>IF(ISERROR(MATCH(A271,'SegEnds_Xtal_Prot#'!B:B, 0)), "NoXtal", "Xtal")</f>
        <v>NoXtal</v>
      </c>
      <c r="D271" s="4" t="str">
        <f>VLOOKUP(A271,Classification!A:D,2,FALSE)</f>
        <v>A</v>
      </c>
      <c r="E271" s="5" t="str">
        <f>VLOOKUP(A271,Seqs!A:B,2,FALSE)</f>
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</c>
      <c r="F271" s="5" t="str">
        <f t="shared" si="101"/>
        <v>FLQFSKVFLPCMYLVVFVCGLVGNSLVLVISIFY</v>
      </c>
      <c r="G271" s="4" t="str">
        <f t="shared" si="102"/>
        <v>HKLQ</v>
      </c>
      <c r="H271" s="4" t="str">
        <f t="shared" si="103"/>
        <v>SLTDVFLVNLPLADLVFVCTLPFWAYAGIH</v>
      </c>
      <c r="I271" s="4" t="str">
        <f t="shared" si="104"/>
        <v>EWVF</v>
      </c>
      <c r="J271" s="4" t="str">
        <f t="shared" si="105"/>
        <v>GQVMCKSLLGIYTINFYTSMLILTCITVDRFIVVVK</v>
      </c>
      <c r="K271" s="4" t="str">
        <f t="shared" si="106"/>
        <v>ATKAYNQQA</v>
      </c>
      <c r="L271" s="4" t="str">
        <f t="shared" si="107"/>
        <v>RMTWGKVTSLLIWVISLLVSLPQIIYG</v>
      </c>
      <c r="M271" s="4" t="str">
        <f t="shared" si="108"/>
        <v>CGY</v>
      </c>
      <c r="N271" s="4" t="str">
        <f t="shared" si="109"/>
        <v>AISTVVLATQMTLGFFLPLLTMIVCYSVIIKTLLHA</v>
      </c>
      <c r="O271" s="4" t="str">
        <f t="shared" si="110"/>
        <v>KHRSLKIIFLVMAVFLLTQMPFNLMKFIRSTH</v>
      </c>
      <c r="P271" s="4" t="str">
        <f t="shared" si="111"/>
        <v>EYYAMTSFHYTIMVTEAIAYLRACLNPVLYAFV</v>
      </c>
      <c r="Q271" s="4" t="str">
        <f t="shared" si="112"/>
        <v>SLKFRKNFWKLVKDIGCLPYL</v>
      </c>
      <c r="R271" s="5">
        <f>VLOOKUP($A271,'SegEnds_NonXtal_Prot#'!$A:$AL,3,FALSE)</f>
        <v>26</v>
      </c>
      <c r="S271" s="5">
        <f>VLOOKUP($A271,'SegEnds_NonXtal_Prot#'!$A:$AL,6,FALSE)</f>
        <v>60</v>
      </c>
      <c r="T271" s="5">
        <f>VLOOKUP($A271,'SegEnds_NonXtal_Prot#'!$A:$AL,9,FALSE)</f>
        <v>64</v>
      </c>
      <c r="U271" s="5">
        <f>VLOOKUP($A271,'SegEnds_NonXtal_Prot#'!$A:$AL,12,FALSE)</f>
        <v>94</v>
      </c>
      <c r="V271" s="5">
        <f>VLOOKUP($A271,'SegEnds_NonXtal_Prot#'!$A:$AL,15,FALSE)</f>
        <v>98</v>
      </c>
      <c r="W271" s="5">
        <f>VLOOKUP($A271,'SegEnds_NonXtal_Prot#'!$A:$AL,18,FALSE)</f>
        <v>134</v>
      </c>
      <c r="X271" s="5">
        <f>VLOOKUP($A271,'SegEnds_NonXtal_Prot#'!$A:$AL,21,FALSE)</f>
        <v>144</v>
      </c>
      <c r="Y271" s="5">
        <f>VLOOKUP($A271,'SegEnds_NonXtal_Prot#'!$A:$AL,24,FALSE)</f>
        <v>180</v>
      </c>
      <c r="Z271" s="5">
        <f>VLOOKUP($A271,'SegEnds_NonXtal_Prot#'!$A:$AL,27,FALSE)</f>
        <v>186</v>
      </c>
      <c r="AA271" s="5">
        <f>VLOOKUP($A271,'SegEnds_NonXtal_Prot#'!$A:$AL,30,FALSE)</f>
        <v>226</v>
      </c>
      <c r="AB271" s="5">
        <f>VLOOKUP($A271,'SegEnds_NonXtal_Prot#'!$A:$AL,33,FALSE)</f>
        <v>259</v>
      </c>
      <c r="AC271" s="5">
        <f>VLOOKUP($A271,'SegEnds_NonXtal_Prot#'!$A:$AL,36,FALSE)</f>
        <v>292</v>
      </c>
      <c r="AD271" s="5">
        <f>VLOOKUP($A271,'SegEnds_NonXtal_Prot#'!$A:$AL,5,FALSE)</f>
        <v>59</v>
      </c>
      <c r="AE271" s="5">
        <f>VLOOKUP($A271,'SegEnds_NonXtal_Prot#'!$A:$AL,8,FALSE)</f>
        <v>63</v>
      </c>
      <c r="AF271" s="5">
        <f>VLOOKUP($A271,'SegEnds_NonXtal_Prot#'!$A:$AL,11,FALSE)</f>
        <v>93</v>
      </c>
      <c r="AG271" s="5">
        <f>VLOOKUP($A271,'SegEnds_NonXtal_Prot#'!$A:$AL,14,FALSE)</f>
        <v>97</v>
      </c>
      <c r="AH271" s="5">
        <f>VLOOKUP($A271,'SegEnds_NonXtal_Prot#'!$A:$AL,17,FALSE)</f>
        <v>133</v>
      </c>
      <c r="AI271" s="5">
        <f>VLOOKUP($A271,'SegEnds_NonXtal_Prot#'!$A:$AL,20,FALSE)</f>
        <v>142</v>
      </c>
      <c r="AJ271" s="5">
        <f>VLOOKUP($A271,'SegEnds_NonXtal_Prot#'!$A:$AL,23,FALSE)</f>
        <v>170</v>
      </c>
      <c r="AK271" s="5">
        <f>VLOOKUP($A271,'SegEnds_NonXtal_Prot#'!$A:$AL,26,FALSE)</f>
        <v>182</v>
      </c>
      <c r="AL271" s="5">
        <f>VLOOKUP($A271,'SegEnds_NonXtal_Prot#'!$A:$AL,29,FALSE)</f>
        <v>221</v>
      </c>
      <c r="AM271" s="5">
        <f>VLOOKUP($A271,'SegEnds_NonXtal_Prot#'!$A:$AL,32,FALSE)</f>
        <v>257</v>
      </c>
      <c r="AN271" s="5">
        <f>VLOOKUP($A271,'SegEnds_NonXtal_Prot#'!$A:$AL,35,FALSE)</f>
        <v>291</v>
      </c>
      <c r="AO271" s="5">
        <f>VLOOKUP($A271,'SegEnds_NonXtal_Prot#'!$A:$AL,38,FALSE)</f>
        <v>312</v>
      </c>
      <c r="AP271" s="5">
        <f t="shared" si="113"/>
        <v>33</v>
      </c>
      <c r="AQ271" s="4">
        <f t="shared" si="114"/>
        <v>3</v>
      </c>
      <c r="AR271" s="4">
        <f t="shared" si="115"/>
        <v>29</v>
      </c>
      <c r="AS271" s="4">
        <f t="shared" si="116"/>
        <v>3</v>
      </c>
      <c r="AT271" s="4">
        <f t="shared" si="117"/>
        <v>35</v>
      </c>
      <c r="AU271" s="4">
        <f t="shared" si="118"/>
        <v>8</v>
      </c>
      <c r="AV271" s="4">
        <f t="shared" si="119"/>
        <v>26</v>
      </c>
      <c r="AW271" s="4">
        <f t="shared" si="120"/>
        <v>2</v>
      </c>
      <c r="AX271" s="4">
        <f t="shared" si="121"/>
        <v>35</v>
      </c>
      <c r="AY271" s="4">
        <f t="shared" si="122"/>
        <v>31</v>
      </c>
      <c r="AZ271" s="4">
        <f t="shared" si="123"/>
        <v>32</v>
      </c>
      <c r="BA271" s="4">
        <f t="shared" si="124"/>
        <v>20</v>
      </c>
    </row>
    <row r="272" spans="1:53" x14ac:dyDescent="0.2">
      <c r="A272" s="1" t="str">
        <f>'SegEnds_NonXtal_Prot#'!A263</f>
        <v>drd3_human</v>
      </c>
      <c r="B272" s="1" t="str">
        <f t="shared" si="100"/>
        <v>ARPHAYYALSYCALILAIVFGNGLVCMAVLKETTTNYLVVSLAVADLLVATLVMPWVVYLEVTSRICCDVFVTLDVMMCTASILNLCAISIDRYTAVVMSCRRVALMITAVWVLAFAVSCPLLFGNPDFVIYSSVVSFYLPFGVTVLVYARIYVVLKQRRRKRILTRRGVPLREKKATQMVAIVLGAFIVCWLPFFLTHVLNTHSPELYSATTWLGYVNSALNPVIYTTFNIEFRKAFLKILS</v>
      </c>
      <c r="C272" s="29" t="str">
        <f>IF(ISERROR(MATCH(A272,'SegEnds_Xtal_Prot#'!B:B, 0)), "NoXtal", "Xtal")</f>
        <v>Xtal</v>
      </c>
      <c r="D272" s="4" t="str">
        <f>VLOOKUP(A272,Classification!A:D,2,FALSE)</f>
        <v>A</v>
      </c>
      <c r="E272" s="5" t="str">
        <f>VLOOKUP(A272,Seqs!A:B,2,FALSE)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F272" s="5" t="str">
        <f t="shared" si="101"/>
        <v>ARPHAYYALSYCALILAIVFGNGLVCMAVLKE</v>
      </c>
      <c r="G272" s="4" t="str">
        <f t="shared" si="102"/>
        <v>RALQ</v>
      </c>
      <c r="H272" s="4" t="str">
        <f t="shared" si="103"/>
        <v>TTTNYLVVSLAVADLLVATLVMPWVVYLEVT</v>
      </c>
      <c r="I272" s="4" t="str">
        <f t="shared" si="104"/>
        <v>VWNF</v>
      </c>
      <c r="J272" s="4" t="str">
        <f t="shared" si="105"/>
        <v>SRICCDVFVTLDVMMCTASILNLCAISIDRYTAVVM</v>
      </c>
      <c r="K272" s="4" t="str">
        <f t="shared" si="106"/>
        <v>PVHYQHGTG</v>
      </c>
      <c r="L272" s="4" t="str">
        <f t="shared" si="107"/>
        <v>SCRRVALMITAVWVLAFAVSCPLLFG</v>
      </c>
      <c r="M272" s="4" t="str">
        <f t="shared" si="108"/>
        <v>CSI</v>
      </c>
      <c r="N272" s="4" t="str">
        <f t="shared" si="109"/>
        <v>NPDFVIYSSVVSFYLPFGVTVLVYARIYVVLKQRRRKRILTR</v>
      </c>
      <c r="O272" s="4" t="str">
        <f t="shared" si="110"/>
        <v>RGVPLREKKATQMVAIVLGAFIVCWLPFFLTHVLNTH</v>
      </c>
      <c r="P272" s="4" t="str">
        <f t="shared" si="111"/>
        <v>SPELYSATTWLGYVNSALNPVIYTTF</v>
      </c>
      <c r="Q272" s="4" t="str">
        <f t="shared" si="112"/>
        <v>NIEFRKAFLKILS</v>
      </c>
      <c r="R272" s="5">
        <f>VLOOKUP($A272,'SegEnds_NonXtal_Prot#'!$A:$AL,3,FALSE)</f>
        <v>26</v>
      </c>
      <c r="S272" s="5">
        <f>VLOOKUP($A272,'SegEnds_NonXtal_Prot#'!$A:$AL,6,FALSE)</f>
        <v>58</v>
      </c>
      <c r="T272" s="5">
        <f>VLOOKUP($A272,'SegEnds_NonXtal_Prot#'!$A:$AL,9,FALSE)</f>
        <v>62</v>
      </c>
      <c r="U272" s="5">
        <f>VLOOKUP($A272,'SegEnds_NonXtal_Prot#'!$A:$AL,12,FALSE)</f>
        <v>95</v>
      </c>
      <c r="V272" s="5">
        <f>VLOOKUP($A272,'SegEnds_NonXtal_Prot#'!$A:$AL,15,FALSE)</f>
        <v>99</v>
      </c>
      <c r="W272" s="5">
        <f>VLOOKUP($A272,'SegEnds_NonXtal_Prot#'!$A:$AL,18,FALSE)</f>
        <v>135</v>
      </c>
      <c r="X272" s="5">
        <f>VLOOKUP($A272,'SegEnds_NonXtal_Prot#'!$A:$AL,21,FALSE)</f>
        <v>146</v>
      </c>
      <c r="Y272" s="5">
        <f>VLOOKUP($A272,'SegEnds_NonXtal_Prot#'!$A:$AL,24,FALSE)</f>
        <v>181</v>
      </c>
      <c r="Z272" s="5">
        <f>VLOOKUP($A272,'SegEnds_NonXtal_Prot#'!$A:$AL,27,FALSE)</f>
        <v>185</v>
      </c>
      <c r="AA272" s="5">
        <f>VLOOKUP($A272,'SegEnds_NonXtal_Prot#'!$A:$AL,30,FALSE)</f>
        <v>318</v>
      </c>
      <c r="AB272" s="5">
        <f>VLOOKUP($A272,'SegEnds_NonXtal_Prot#'!$A:$AL,33,FALSE)</f>
        <v>361</v>
      </c>
      <c r="AC272" s="5">
        <f>VLOOKUP($A272,'SegEnds_NonXtal_Prot#'!$A:$AL,36,FALSE)</f>
        <v>387</v>
      </c>
      <c r="AD272" s="5">
        <f>VLOOKUP($A272,'SegEnds_NonXtal_Prot#'!$A:$AL,5,FALSE)</f>
        <v>57</v>
      </c>
      <c r="AE272" s="5">
        <f>VLOOKUP($A272,'SegEnds_NonXtal_Prot#'!$A:$AL,8,FALSE)</f>
        <v>61</v>
      </c>
      <c r="AF272" s="5">
        <f>VLOOKUP($A272,'SegEnds_NonXtal_Prot#'!$A:$AL,11,FALSE)</f>
        <v>92</v>
      </c>
      <c r="AG272" s="5">
        <f>VLOOKUP($A272,'SegEnds_NonXtal_Prot#'!$A:$AL,14,FALSE)</f>
        <v>98</v>
      </c>
      <c r="AH272" s="5">
        <f>VLOOKUP($A272,'SegEnds_NonXtal_Prot#'!$A:$AL,17,FALSE)</f>
        <v>134</v>
      </c>
      <c r="AI272" s="5">
        <f>VLOOKUP($A272,'SegEnds_NonXtal_Prot#'!$A:$AL,20,FALSE)</f>
        <v>143</v>
      </c>
      <c r="AJ272" s="5">
        <f>VLOOKUP($A272,'SegEnds_NonXtal_Prot#'!$A:$AL,23,FALSE)</f>
        <v>171</v>
      </c>
      <c r="AK272" s="5">
        <f>VLOOKUP($A272,'SegEnds_NonXtal_Prot#'!$A:$AL,26,FALSE)</f>
        <v>183</v>
      </c>
      <c r="AL272" s="5">
        <f>VLOOKUP($A272,'SegEnds_NonXtal_Prot#'!$A:$AL,29,FALSE)</f>
        <v>226</v>
      </c>
      <c r="AM272" s="5">
        <f>VLOOKUP($A272,'SegEnds_NonXtal_Prot#'!$A:$AL,32,FALSE)</f>
        <v>354</v>
      </c>
      <c r="AN272" s="5">
        <f>VLOOKUP($A272,'SegEnds_NonXtal_Prot#'!$A:$AL,35,FALSE)</f>
        <v>386</v>
      </c>
      <c r="AO272" s="5">
        <f>VLOOKUP($A272,'SegEnds_NonXtal_Prot#'!$A:$AL,38,FALSE)</f>
        <v>399</v>
      </c>
      <c r="AP272" s="5">
        <f t="shared" si="113"/>
        <v>31</v>
      </c>
      <c r="AQ272" s="4">
        <f t="shared" si="114"/>
        <v>3</v>
      </c>
      <c r="AR272" s="4">
        <f t="shared" si="115"/>
        <v>30</v>
      </c>
      <c r="AS272" s="4">
        <f t="shared" si="116"/>
        <v>3</v>
      </c>
      <c r="AT272" s="4">
        <f t="shared" si="117"/>
        <v>35</v>
      </c>
      <c r="AU272" s="4">
        <f t="shared" si="118"/>
        <v>8</v>
      </c>
      <c r="AV272" s="4">
        <f t="shared" si="119"/>
        <v>25</v>
      </c>
      <c r="AW272" s="4">
        <f t="shared" si="120"/>
        <v>2</v>
      </c>
      <c r="AX272" s="4">
        <f t="shared" si="121"/>
        <v>41</v>
      </c>
      <c r="AY272" s="4">
        <f t="shared" si="122"/>
        <v>36</v>
      </c>
      <c r="AZ272" s="4">
        <f t="shared" si="123"/>
        <v>25</v>
      </c>
      <c r="BA272" s="4">
        <f t="shared" si="124"/>
        <v>12</v>
      </c>
    </row>
    <row r="273" spans="1:53" x14ac:dyDescent="0.2">
      <c r="A273" s="1" t="str">
        <f>'SegEnds_NonXtal_Prot#'!A264</f>
        <v>ackr1_human</v>
      </c>
      <c r="B273" s="1" t="str">
        <f t="shared" si="100"/>
        <v>CHSCNLLDDSALPFFILTSVLGILASSTVLFMLFRPLCPGWPVLAQLAVGSALFSIVVPVLAPGLGSLCSLGYCVWYGSAFAQALLLGCHASLGHRLGAGVPGLTLGLTVGIWGVAALLTLPVTLASLKALQATHTVACLAIFVLLPLGLFGAKGLKPGPWMNILWAWFIFWWPHGVVLGLDFLVRSKTCLAQQALDLLLNLAEALAILHCVATPLLLALFCHQATRTLLPSL</v>
      </c>
      <c r="C273" s="29" t="str">
        <f>IF(ISERROR(MATCH(A273,'SegEnds_Xtal_Prot#'!B:B, 0)), "NoXtal", "Xtal")</f>
        <v>NoXtal</v>
      </c>
      <c r="D273" s="4" t="str">
        <f>VLOOKUP(A273,Classification!A:D,2,FALSE)</f>
        <v>A</v>
      </c>
      <c r="E273" s="5" t="str">
        <f>VLOOKUP(A273,Seqs!A:B,2,FALSE)</f>
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</c>
      <c r="F273" s="5" t="str">
        <f t="shared" si="101"/>
        <v>CHSCNLLDDSALPFFILTSVLGILASSTVLFMLFRPL</v>
      </c>
      <c r="G273" s="4" t="str">
        <f t="shared" si="102"/>
        <v/>
      </c>
      <c r="H273" s="4" t="str">
        <f t="shared" si="103"/>
        <v>CPGWPVLAQLAVGSALFSIVVPVLAPGLGS</v>
      </c>
      <c r="I273" s="4" t="str">
        <f t="shared" si="104"/>
        <v/>
      </c>
      <c r="J273" s="4" t="str">
        <f t="shared" si="105"/>
        <v>LCSLGYCVWYGSAFAQALLLGCHASLGHRLGAG</v>
      </c>
      <c r="K273" s="4" t="str">
        <f t="shared" si="106"/>
        <v/>
      </c>
      <c r="L273" s="4" t="str">
        <f t="shared" si="107"/>
        <v>VPGLTLGLTVGIWGVAALLTLPVTLAS</v>
      </c>
      <c r="M273" s="4" t="str">
        <f t="shared" si="108"/>
        <v>CTL</v>
      </c>
      <c r="N273" s="4" t="str">
        <f t="shared" si="109"/>
        <v>LKALQATHTVACLAIFVLLPLGLFGAKGLK</v>
      </c>
      <c r="O273" s="4" t="str">
        <f t="shared" si="110"/>
        <v>PGPWMNILWAWFIFWWPHGVVLGLDFLVRSK</v>
      </c>
      <c r="P273" s="4" t="str">
        <f t="shared" si="111"/>
        <v>TCLAQQALDLLLNLAEALAILHCVATPLLLALF</v>
      </c>
      <c r="Q273" s="4" t="str">
        <f t="shared" si="112"/>
        <v>CHQATRTLLPSL</v>
      </c>
      <c r="R273" s="5">
        <f>VLOOKUP($A273,'SegEnds_NonXtal_Prot#'!$A:$AL,3,FALSE)</f>
        <v>51</v>
      </c>
      <c r="S273" s="5" t="str">
        <f>VLOOKUP($A273,'SegEnds_NonXtal_Prot#'!$A:$AL,6,FALSE)</f>
        <v>-</v>
      </c>
      <c r="T273" s="5">
        <f>VLOOKUP($A273,'SegEnds_NonXtal_Prot#'!$A:$AL,9,FALSE)</f>
        <v>93</v>
      </c>
      <c r="U273" s="5" t="str">
        <f>VLOOKUP($A273,'SegEnds_NonXtal_Prot#'!$A:$AL,12,FALSE)</f>
        <v>-</v>
      </c>
      <c r="V273" s="5">
        <f>VLOOKUP($A273,'SegEnds_NonXtal_Prot#'!$A:$AL,15,FALSE)</f>
        <v>128</v>
      </c>
      <c r="W273" s="5" t="str">
        <f>VLOOKUP($A273,'SegEnds_NonXtal_Prot#'!$A:$AL,18,FALSE)</f>
        <v>-</v>
      </c>
      <c r="X273" s="5">
        <f>VLOOKUP($A273,'SegEnds_NonXtal_Prot#'!$A:$AL,21,FALSE)</f>
        <v>162</v>
      </c>
      <c r="Y273" s="5">
        <f>VLOOKUP($A273,'SegEnds_NonXtal_Prot#'!$A:$AL,24,FALSE)</f>
        <v>195</v>
      </c>
      <c r="Z273" s="5">
        <f>VLOOKUP($A273,'SegEnds_NonXtal_Prot#'!$A:$AL,27,FALSE)</f>
        <v>203</v>
      </c>
      <c r="AA273" s="5">
        <f>VLOOKUP($A273,'SegEnds_NonXtal_Prot#'!$A:$AL,30,FALSE)</f>
        <v>239</v>
      </c>
      <c r="AB273" s="5">
        <f>VLOOKUP($A273,'SegEnds_NonXtal_Prot#'!$A:$AL,33,FALSE)</f>
        <v>275</v>
      </c>
      <c r="AC273" s="5">
        <f>VLOOKUP($A273,'SegEnds_NonXtal_Prot#'!$A:$AL,36,FALSE)</f>
        <v>308</v>
      </c>
      <c r="AD273" s="5">
        <f>VLOOKUP($A273,'SegEnds_NonXtal_Prot#'!$A:$AL,5,FALSE)</f>
        <v>87</v>
      </c>
      <c r="AE273" s="5" t="str">
        <f>VLOOKUP($A273,'SegEnds_NonXtal_Prot#'!$A:$AL,8,FALSE)</f>
        <v>-</v>
      </c>
      <c r="AF273" s="5">
        <f>VLOOKUP($A273,'SegEnds_NonXtal_Prot#'!$A:$AL,11,FALSE)</f>
        <v>122</v>
      </c>
      <c r="AG273" s="5" t="str">
        <f>VLOOKUP($A273,'SegEnds_NonXtal_Prot#'!$A:$AL,14,FALSE)</f>
        <v>-</v>
      </c>
      <c r="AH273" s="5">
        <f>VLOOKUP($A273,'SegEnds_NonXtal_Prot#'!$A:$AL,17,FALSE)</f>
        <v>160</v>
      </c>
      <c r="AI273" s="5" t="str">
        <f>VLOOKUP($A273,'SegEnds_NonXtal_Prot#'!$A:$AL,20,FALSE)</f>
        <v>-</v>
      </c>
      <c r="AJ273" s="5">
        <f>VLOOKUP($A273,'SegEnds_NonXtal_Prot#'!$A:$AL,23,FALSE)</f>
        <v>188</v>
      </c>
      <c r="AK273" s="5">
        <f>VLOOKUP($A273,'SegEnds_NonXtal_Prot#'!$A:$AL,26,FALSE)</f>
        <v>197</v>
      </c>
      <c r="AL273" s="5">
        <f>VLOOKUP($A273,'SegEnds_NonXtal_Prot#'!$A:$AL,29,FALSE)</f>
        <v>232</v>
      </c>
      <c r="AM273" s="5">
        <f>VLOOKUP($A273,'SegEnds_NonXtal_Prot#'!$A:$AL,32,FALSE)</f>
        <v>269</v>
      </c>
      <c r="AN273" s="5">
        <f>VLOOKUP($A273,'SegEnds_NonXtal_Prot#'!$A:$AL,35,FALSE)</f>
        <v>307</v>
      </c>
      <c r="AO273" s="5">
        <f>VLOOKUP($A273,'SegEnds_NonXtal_Prot#'!$A:$AL,38,FALSE)</f>
        <v>319</v>
      </c>
      <c r="AP273" s="5">
        <f t="shared" si="113"/>
        <v>36</v>
      </c>
      <c r="AQ273" s="4" t="str">
        <f t="shared" si="114"/>
        <v>-</v>
      </c>
      <c r="AR273" s="4">
        <f t="shared" si="115"/>
        <v>29</v>
      </c>
      <c r="AS273" s="4" t="str">
        <f t="shared" si="116"/>
        <v>-</v>
      </c>
      <c r="AT273" s="4">
        <f t="shared" si="117"/>
        <v>32</v>
      </c>
      <c r="AU273" s="4" t="str">
        <f t="shared" si="118"/>
        <v>-</v>
      </c>
      <c r="AV273" s="4">
        <f t="shared" si="119"/>
        <v>26</v>
      </c>
      <c r="AW273" s="4">
        <f t="shared" si="120"/>
        <v>2</v>
      </c>
      <c r="AX273" s="4">
        <f t="shared" si="121"/>
        <v>29</v>
      </c>
      <c r="AY273" s="4">
        <f t="shared" si="122"/>
        <v>30</v>
      </c>
      <c r="AZ273" s="4">
        <f t="shared" si="123"/>
        <v>32</v>
      </c>
      <c r="BA273" s="4">
        <f t="shared" si="124"/>
        <v>11</v>
      </c>
    </row>
    <row r="274" spans="1:53" x14ac:dyDescent="0.2">
      <c r="A274" s="1" t="str">
        <f>'SegEnds_NonXtal_Prot#'!A266</f>
        <v>ackr4_human</v>
      </c>
      <c r="B274" s="1" t="str">
        <f t="shared" si="100"/>
        <v>VREFAKVFLPVFLTIVFVIGLAGNSMVVAIYAYYTKTDVYILNLAVADLLLLFTLPFWAVNAVHGKIMCKITSALYTLNFVSGMQFLACISIDRYVAVTKVGKPCWIICFCVWMAAILLSIPQLVFYSMKALIQMLEICIGFVVPFLIMGVCYFITARTLMKMISRPLKVLLTVVIVFIVTQLPYNIVKFCRAIDIIYSCNMSKRMDIAIQVTESIALFHSCLNPILYVFMGASFKNYVMKVAKKYGSWRRQ</v>
      </c>
      <c r="C274" s="29" t="str">
        <f>IF(ISERROR(MATCH(A274,'SegEnds_Xtal_Prot#'!B:B, 0)), "NoXtal", "Xtal")</f>
        <v>NoXtal</v>
      </c>
      <c r="D274" s="4" t="str">
        <f>VLOOKUP(A274,Classification!A:D,2,FALSE)</f>
        <v>A</v>
      </c>
      <c r="E274" s="5" t="str">
        <f>VLOOKUP(A274,Seqs!A:B,2,FALSE)</f>
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</c>
      <c r="F274" s="5" t="str">
        <f t="shared" si="101"/>
        <v>VREFAKVFLPVFLTIVFVIGLAGNSMVVAIYAYY</v>
      </c>
      <c r="G274" s="4" t="str">
        <f t="shared" si="102"/>
        <v>KKQR</v>
      </c>
      <c r="H274" s="4" t="str">
        <f t="shared" si="103"/>
        <v>TKTDVYILNLAVADLLLLFTLPFWAVNAVH</v>
      </c>
      <c r="I274" s="4" t="str">
        <f t="shared" si="104"/>
        <v>GWVL</v>
      </c>
      <c r="J274" s="4" t="str">
        <f t="shared" si="105"/>
        <v>GKIMCKITSALYTLNFVSGMQFLACISIDRYVAVTK</v>
      </c>
      <c r="K274" s="4" t="str">
        <f t="shared" si="106"/>
        <v/>
      </c>
      <c r="L274" s="4" t="str">
        <f t="shared" si="107"/>
        <v>VGKPCWIICFCVWMAAILLSIPQLVFY</v>
      </c>
      <c r="M274" s="4" t="str">
        <f t="shared" si="108"/>
        <v>CIP</v>
      </c>
      <c r="N274" s="4" t="str">
        <f t="shared" si="109"/>
        <v>SMKALIQMLEICIGFVVPFLIMGVCYFITARTLMKM</v>
      </c>
      <c r="O274" s="4" t="str">
        <f t="shared" si="110"/>
        <v>ISRPLKVLLTVVIVFIVTQLPYNIVKFCRAIDIIY</v>
      </c>
      <c r="P274" s="4" t="str">
        <f t="shared" si="111"/>
        <v>SCNMSKRMDIAIQVTESIALFHSCLNPILYVFM</v>
      </c>
      <c r="Q274" s="4" t="str">
        <f t="shared" si="112"/>
        <v>GASFKNYVMKVAKKYGSWRRQ</v>
      </c>
      <c r="R274" s="5">
        <f>VLOOKUP($A274,'SegEnds_NonXtal_Prot#'!$A:$AL,3,FALSE)</f>
        <v>36</v>
      </c>
      <c r="S274" s="5">
        <f>VLOOKUP($A274,'SegEnds_NonXtal_Prot#'!$A:$AL,6,FALSE)</f>
        <v>70</v>
      </c>
      <c r="T274" s="5">
        <f>VLOOKUP($A274,'SegEnds_NonXtal_Prot#'!$A:$AL,9,FALSE)</f>
        <v>74</v>
      </c>
      <c r="U274" s="5">
        <f>VLOOKUP($A274,'SegEnds_NonXtal_Prot#'!$A:$AL,12,FALSE)</f>
        <v>104</v>
      </c>
      <c r="V274" s="5">
        <f>VLOOKUP($A274,'SegEnds_NonXtal_Prot#'!$A:$AL,15,FALSE)</f>
        <v>108</v>
      </c>
      <c r="W274" s="5" t="str">
        <f>VLOOKUP($A274,'SegEnds_NonXtal_Prot#'!$A:$AL,18,FALSE)</f>
        <v>-</v>
      </c>
      <c r="X274" s="5">
        <f>VLOOKUP($A274,'SegEnds_NonXtal_Prot#'!$A:$AL,21,FALSE)</f>
        <v>150</v>
      </c>
      <c r="Y274" s="5">
        <f>VLOOKUP($A274,'SegEnds_NonXtal_Prot#'!$A:$AL,24,FALSE)</f>
        <v>184</v>
      </c>
      <c r="Z274" s="5">
        <f>VLOOKUP($A274,'SegEnds_NonXtal_Prot#'!$A:$AL,27,FALSE)</f>
        <v>195</v>
      </c>
      <c r="AA274" s="5">
        <f>VLOOKUP($A274,'SegEnds_NonXtal_Prot#'!$A:$AL,30,FALSE)</f>
        <v>235</v>
      </c>
      <c r="AB274" s="5">
        <f>VLOOKUP($A274,'SegEnds_NonXtal_Prot#'!$A:$AL,33,FALSE)</f>
        <v>274</v>
      </c>
      <c r="AC274" s="5">
        <f>VLOOKUP($A274,'SegEnds_NonXtal_Prot#'!$A:$AL,36,FALSE)</f>
        <v>307</v>
      </c>
      <c r="AD274" s="5">
        <f>VLOOKUP($A274,'SegEnds_NonXtal_Prot#'!$A:$AL,5,FALSE)</f>
        <v>69</v>
      </c>
      <c r="AE274" s="5">
        <f>VLOOKUP($A274,'SegEnds_NonXtal_Prot#'!$A:$AL,8,FALSE)</f>
        <v>73</v>
      </c>
      <c r="AF274" s="5">
        <f>VLOOKUP($A274,'SegEnds_NonXtal_Prot#'!$A:$AL,11,FALSE)</f>
        <v>103</v>
      </c>
      <c r="AG274" s="5">
        <f>VLOOKUP($A274,'SegEnds_NonXtal_Prot#'!$A:$AL,14,FALSE)</f>
        <v>107</v>
      </c>
      <c r="AH274" s="5">
        <f>VLOOKUP($A274,'SegEnds_NonXtal_Prot#'!$A:$AL,17,FALSE)</f>
        <v>143</v>
      </c>
      <c r="AI274" s="5" t="str">
        <f>VLOOKUP($A274,'SegEnds_NonXtal_Prot#'!$A:$AL,20,FALSE)</f>
        <v>-</v>
      </c>
      <c r="AJ274" s="5">
        <f>VLOOKUP($A274,'SegEnds_NonXtal_Prot#'!$A:$AL,23,FALSE)</f>
        <v>176</v>
      </c>
      <c r="AK274" s="5">
        <f>VLOOKUP($A274,'SegEnds_NonXtal_Prot#'!$A:$AL,26,FALSE)</f>
        <v>186</v>
      </c>
      <c r="AL274" s="5">
        <f>VLOOKUP($A274,'SegEnds_NonXtal_Prot#'!$A:$AL,29,FALSE)</f>
        <v>230</v>
      </c>
      <c r="AM274" s="5">
        <f>VLOOKUP($A274,'SegEnds_NonXtal_Prot#'!$A:$AL,32,FALSE)</f>
        <v>269</v>
      </c>
      <c r="AN274" s="5">
        <f>VLOOKUP($A274,'SegEnds_NonXtal_Prot#'!$A:$AL,35,FALSE)</f>
        <v>306</v>
      </c>
      <c r="AO274" s="5">
        <f>VLOOKUP($A274,'SegEnds_NonXtal_Prot#'!$A:$AL,38,FALSE)</f>
        <v>327</v>
      </c>
      <c r="AP274" s="5">
        <f t="shared" si="113"/>
        <v>33</v>
      </c>
      <c r="AQ274" s="4">
        <f t="shared" si="114"/>
        <v>3</v>
      </c>
      <c r="AR274" s="4">
        <f t="shared" si="115"/>
        <v>29</v>
      </c>
      <c r="AS274" s="4">
        <f t="shared" si="116"/>
        <v>3</v>
      </c>
      <c r="AT274" s="4">
        <f t="shared" si="117"/>
        <v>35</v>
      </c>
      <c r="AU274" s="4" t="str">
        <f t="shared" si="118"/>
        <v>-</v>
      </c>
      <c r="AV274" s="4">
        <f t="shared" si="119"/>
        <v>26</v>
      </c>
      <c r="AW274" s="4">
        <f t="shared" si="120"/>
        <v>2</v>
      </c>
      <c r="AX274" s="4">
        <f t="shared" si="121"/>
        <v>35</v>
      </c>
      <c r="AY274" s="4">
        <f t="shared" si="122"/>
        <v>34</v>
      </c>
      <c r="AZ274" s="4">
        <f t="shared" si="123"/>
        <v>32</v>
      </c>
      <c r="BA274" s="4">
        <f t="shared" si="124"/>
        <v>20</v>
      </c>
    </row>
    <row r="275" spans="1:53" x14ac:dyDescent="0.2">
      <c r="A275" s="1" t="str">
        <f>'SegEnds_NonXtal_Prot#'!A267</f>
        <v>ccr10_human</v>
      </c>
      <c r="B275" s="1" t="str">
        <f t="shared" si="100"/>
        <v>AFSRAFQPSVSLTVAALGLAGNGLVLATHLAARSPTSAHLLQLALADLLLALTLPFAAAGALQGSATCRTISGLYSASFHAGFLFLACISADRYVAIARTPGRAHLVSVIVWLLSLLLALPALLFSTVKGASAVAQVALGFALPLGVMVACYALLGRTLLAARRRALRVVVALVAAFVVLQLPYSLALLLDTADLLAASCPASKRKDVALLVTSGLALARCGLNPVLYAFLGLRFRQDLRRLLR</v>
      </c>
      <c r="C275" s="29" t="str">
        <f>IF(ISERROR(MATCH(A275,'SegEnds_Xtal_Prot#'!B:B, 0)), "NoXtal", "Xtal")</f>
        <v>NoXtal</v>
      </c>
      <c r="D275" s="4" t="str">
        <f>VLOOKUP(A275,Classification!A:D,2,FALSE)</f>
        <v>A</v>
      </c>
      <c r="E275" s="5" t="str">
        <f>VLOOKUP(A275,Seqs!A:B,2,FALSE)</f>
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</c>
      <c r="F275" s="5" t="str">
        <f t="shared" si="101"/>
        <v>AFSRAFQPSVSLTVAALGLAGNGLVLATHLAA</v>
      </c>
      <c r="G275" s="4" t="str">
        <f t="shared" si="102"/>
        <v>RRAA</v>
      </c>
      <c r="H275" s="4" t="str">
        <f t="shared" si="103"/>
        <v>RSPTSAHLLQLALADLLLALTLPFAAAGALQ</v>
      </c>
      <c r="I275" s="4" t="str">
        <f t="shared" si="104"/>
        <v>GWSL</v>
      </c>
      <c r="J275" s="4" t="str">
        <f t="shared" si="105"/>
        <v>GSATCRTISGLYSASFHAGFLFLACISADRYVAIAR</v>
      </c>
      <c r="K275" s="4" t="str">
        <f t="shared" si="106"/>
        <v/>
      </c>
      <c r="L275" s="4" t="str">
        <f t="shared" si="107"/>
        <v>TPGRAHLVSVIVWLLSLLLALPALLFS</v>
      </c>
      <c r="M275" s="4" t="str">
        <f t="shared" si="108"/>
        <v>CRL</v>
      </c>
      <c r="N275" s="4" t="str">
        <f t="shared" si="109"/>
        <v>TVKGASAVAQVALGFALPLGVMVACYALLGRTLLAA</v>
      </c>
      <c r="O275" s="4" t="str">
        <f t="shared" si="110"/>
        <v>RRRALRVVVALVAAFVVLQLPYSLALLLDTADLLAA</v>
      </c>
      <c r="P275" s="4" t="str">
        <f t="shared" si="111"/>
        <v>SCPASKRKDVALLVTSGLALARCGLNPVLYAFL</v>
      </c>
      <c r="Q275" s="4" t="str">
        <f t="shared" si="112"/>
        <v>GLRFRQDLRRLLR</v>
      </c>
      <c r="R275" s="5">
        <f>VLOOKUP($A275,'SegEnds_NonXtal_Prot#'!$A:$AL,3,FALSE)</f>
        <v>38</v>
      </c>
      <c r="S275" s="5">
        <f>VLOOKUP($A275,'SegEnds_NonXtal_Prot#'!$A:$AL,6,FALSE)</f>
        <v>70</v>
      </c>
      <c r="T275" s="5">
        <f>VLOOKUP($A275,'SegEnds_NonXtal_Prot#'!$A:$AL,9,FALSE)</f>
        <v>74</v>
      </c>
      <c r="U275" s="5">
        <f>VLOOKUP($A275,'SegEnds_NonXtal_Prot#'!$A:$AL,12,FALSE)</f>
        <v>105</v>
      </c>
      <c r="V275" s="5">
        <f>VLOOKUP($A275,'SegEnds_NonXtal_Prot#'!$A:$AL,15,FALSE)</f>
        <v>109</v>
      </c>
      <c r="W275" s="5" t="str">
        <f>VLOOKUP($A275,'SegEnds_NonXtal_Prot#'!$A:$AL,18,FALSE)</f>
        <v>-</v>
      </c>
      <c r="X275" s="5">
        <f>VLOOKUP($A275,'SegEnds_NonXtal_Prot#'!$A:$AL,21,FALSE)</f>
        <v>154</v>
      </c>
      <c r="Y275" s="5">
        <f>VLOOKUP($A275,'SegEnds_NonXtal_Prot#'!$A:$AL,24,FALSE)</f>
        <v>191</v>
      </c>
      <c r="Z275" s="5">
        <f>VLOOKUP($A275,'SegEnds_NonXtal_Prot#'!$A:$AL,27,FALSE)</f>
        <v>202</v>
      </c>
      <c r="AA275" s="5">
        <f>VLOOKUP($A275,'SegEnds_NonXtal_Prot#'!$A:$AL,30,FALSE)</f>
        <v>242</v>
      </c>
      <c r="AB275" s="5">
        <f>VLOOKUP($A275,'SegEnds_NonXtal_Prot#'!$A:$AL,33,FALSE)</f>
        <v>281</v>
      </c>
      <c r="AC275" s="5">
        <f>VLOOKUP($A275,'SegEnds_NonXtal_Prot#'!$A:$AL,36,FALSE)</f>
        <v>314</v>
      </c>
      <c r="AD275" s="5">
        <f>VLOOKUP($A275,'SegEnds_NonXtal_Prot#'!$A:$AL,5,FALSE)</f>
        <v>69</v>
      </c>
      <c r="AE275" s="5">
        <f>VLOOKUP($A275,'SegEnds_NonXtal_Prot#'!$A:$AL,8,FALSE)</f>
        <v>73</v>
      </c>
      <c r="AF275" s="5">
        <f>VLOOKUP($A275,'SegEnds_NonXtal_Prot#'!$A:$AL,11,FALSE)</f>
        <v>104</v>
      </c>
      <c r="AG275" s="5">
        <f>VLOOKUP($A275,'SegEnds_NonXtal_Prot#'!$A:$AL,14,FALSE)</f>
        <v>108</v>
      </c>
      <c r="AH275" s="5">
        <f>VLOOKUP($A275,'SegEnds_NonXtal_Prot#'!$A:$AL,17,FALSE)</f>
        <v>144</v>
      </c>
      <c r="AI275" s="5" t="str">
        <f>VLOOKUP($A275,'SegEnds_NonXtal_Prot#'!$A:$AL,20,FALSE)</f>
        <v>-</v>
      </c>
      <c r="AJ275" s="5">
        <f>VLOOKUP($A275,'SegEnds_NonXtal_Prot#'!$A:$AL,23,FALSE)</f>
        <v>180</v>
      </c>
      <c r="AK275" s="5">
        <f>VLOOKUP($A275,'SegEnds_NonXtal_Prot#'!$A:$AL,26,FALSE)</f>
        <v>193</v>
      </c>
      <c r="AL275" s="5">
        <f>VLOOKUP($A275,'SegEnds_NonXtal_Prot#'!$A:$AL,29,FALSE)</f>
        <v>237</v>
      </c>
      <c r="AM275" s="5">
        <f>VLOOKUP($A275,'SegEnds_NonXtal_Prot#'!$A:$AL,32,FALSE)</f>
        <v>277</v>
      </c>
      <c r="AN275" s="5">
        <f>VLOOKUP($A275,'SegEnds_NonXtal_Prot#'!$A:$AL,35,FALSE)</f>
        <v>313</v>
      </c>
      <c r="AO275" s="5">
        <f>VLOOKUP($A275,'SegEnds_NonXtal_Prot#'!$A:$AL,38,FALSE)</f>
        <v>326</v>
      </c>
      <c r="AP275" s="5">
        <f t="shared" si="113"/>
        <v>31</v>
      </c>
      <c r="AQ275" s="4">
        <f t="shared" si="114"/>
        <v>3</v>
      </c>
      <c r="AR275" s="4">
        <f t="shared" si="115"/>
        <v>30</v>
      </c>
      <c r="AS275" s="4">
        <f t="shared" si="116"/>
        <v>3</v>
      </c>
      <c r="AT275" s="4">
        <f t="shared" si="117"/>
        <v>35</v>
      </c>
      <c r="AU275" s="4" t="str">
        <f t="shared" si="118"/>
        <v>-</v>
      </c>
      <c r="AV275" s="4">
        <f t="shared" si="119"/>
        <v>26</v>
      </c>
      <c r="AW275" s="4">
        <f t="shared" si="120"/>
        <v>2</v>
      </c>
      <c r="AX275" s="4">
        <f t="shared" si="121"/>
        <v>35</v>
      </c>
      <c r="AY275" s="4">
        <f t="shared" si="122"/>
        <v>35</v>
      </c>
      <c r="AZ275" s="4">
        <f t="shared" si="123"/>
        <v>32</v>
      </c>
      <c r="BA275" s="4">
        <f t="shared" si="124"/>
        <v>12</v>
      </c>
    </row>
    <row r="276" spans="1:53" x14ac:dyDescent="0.2">
      <c r="A276" s="1" t="str">
        <f>'SegEnds_NonXtal_Prot#'!A268</f>
        <v>gp132_human</v>
      </c>
      <c r="B276" s="1" t="str">
        <f t="shared" si="100"/>
        <v>FEESRIVLVVVYSAVCTLGVPANCLTAWLALLQNVLAVYLLCLALCELLYTGTLPLWVIYIRNGLLACKVTAYIFFCNIYVSILFLCCISCDRFVAVVYRRRTAILISACIFILVGIVHYPVFQMDSRIAGYYYARFTVGFAIPLSIIAFTNHRIFRSIKQSAAQKAKVKHSAIAVVVIFLVCFAPYHLVLLVKAAAFSYMCGLEERLYTASVVFLCLSTVNGVADPIIYVLATDHSRQEVSRIHKGW</v>
      </c>
      <c r="C276" s="29" t="str">
        <f>IF(ISERROR(MATCH(A276,'SegEnds_Xtal_Prot#'!B:B, 0)), "NoXtal", "Xtal")</f>
        <v>NoXtal</v>
      </c>
      <c r="D276" s="4" t="str">
        <f>VLOOKUP(A276,Classification!A:D,2,FALSE)</f>
        <v>A</v>
      </c>
      <c r="E276" s="5" t="str">
        <f>VLOOKUP(A276,Seqs!A:B,2,FALSE)</f>
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</c>
      <c r="F276" s="5" t="str">
        <f t="shared" si="101"/>
        <v>FEESRIVLVVVYSAVCTLGVPANCLTAWLALLQ</v>
      </c>
      <c r="G276" s="4" t="str">
        <f t="shared" si="102"/>
        <v/>
      </c>
      <c r="H276" s="4" t="str">
        <f t="shared" si="103"/>
        <v>NVLAVYLLCLALCELLYTGTLPLWVIYIRN</v>
      </c>
      <c r="I276" s="4" t="str">
        <f t="shared" si="104"/>
        <v>RWTL</v>
      </c>
      <c r="J276" s="4" t="str">
        <f t="shared" si="105"/>
        <v>GLLACKVTAYIFFCNIYVSILFLCCISCDRFVAVVY</v>
      </c>
      <c r="K276" s="4" t="str">
        <f t="shared" si="106"/>
        <v/>
      </c>
      <c r="L276" s="4" t="str">
        <f t="shared" si="107"/>
        <v>RRRTAILISACIFILVGIVHYPVFQ</v>
      </c>
      <c r="M276" s="4" t="str">
        <f t="shared" si="108"/>
        <v>CFD</v>
      </c>
      <c r="N276" s="4" t="str">
        <f t="shared" si="109"/>
        <v>MDSRIAGYYYARFTVGFAIPLSIIAFTNHRIFRSIKQ</v>
      </c>
      <c r="O276" s="4" t="str">
        <f t="shared" si="110"/>
        <v>SAAQKAKVKHSAIAVVVIFLVCFAPYHLVLLVKAAAFSY</v>
      </c>
      <c r="P276" s="4" t="str">
        <f t="shared" si="111"/>
        <v>MCGLEERLYTASVVFLCLSTVNGVADPIIYVLA</v>
      </c>
      <c r="Q276" s="4" t="str">
        <f t="shared" si="112"/>
        <v>TDHSRQEVSRIHKGW</v>
      </c>
      <c r="R276" s="5">
        <f>VLOOKUP($A276,'SegEnds_NonXtal_Prot#'!$A:$AL,3,FALSE)</f>
        <v>38</v>
      </c>
      <c r="S276" s="5" t="str">
        <f>VLOOKUP($A276,'SegEnds_NonXtal_Prot#'!$A:$AL,6,FALSE)</f>
        <v>-</v>
      </c>
      <c r="T276" s="5">
        <f>VLOOKUP($A276,'SegEnds_NonXtal_Prot#'!$A:$AL,9,FALSE)</f>
        <v>75</v>
      </c>
      <c r="U276" s="5">
        <f>VLOOKUP($A276,'SegEnds_NonXtal_Prot#'!$A:$AL,12,FALSE)</f>
        <v>107</v>
      </c>
      <c r="V276" s="5">
        <f>VLOOKUP($A276,'SegEnds_NonXtal_Prot#'!$A:$AL,15,FALSE)</f>
        <v>111</v>
      </c>
      <c r="W276" s="5" t="str">
        <f>VLOOKUP($A276,'SegEnds_NonXtal_Prot#'!$A:$AL,18,FALSE)</f>
        <v>-</v>
      </c>
      <c r="X276" s="5">
        <f>VLOOKUP($A276,'SegEnds_NonXtal_Prot#'!$A:$AL,21,FALSE)</f>
        <v>155</v>
      </c>
      <c r="Y276" s="5">
        <f>VLOOKUP($A276,'SegEnds_NonXtal_Prot#'!$A:$AL,24,FALSE)</f>
        <v>186</v>
      </c>
      <c r="Z276" s="5">
        <f>VLOOKUP($A276,'SegEnds_NonXtal_Prot#'!$A:$AL,27,FALSE)</f>
        <v>192</v>
      </c>
      <c r="AA276" s="5">
        <f>VLOOKUP($A276,'SegEnds_NonXtal_Prot#'!$A:$AL,30,FALSE)</f>
        <v>233</v>
      </c>
      <c r="AB276" s="5">
        <f>VLOOKUP($A276,'SegEnds_NonXtal_Prot#'!$A:$AL,33,FALSE)</f>
        <v>279</v>
      </c>
      <c r="AC276" s="5">
        <f>VLOOKUP($A276,'SegEnds_NonXtal_Prot#'!$A:$AL,36,FALSE)</f>
        <v>312</v>
      </c>
      <c r="AD276" s="5">
        <f>VLOOKUP($A276,'SegEnds_NonXtal_Prot#'!$A:$AL,5,FALSE)</f>
        <v>70</v>
      </c>
      <c r="AE276" s="5" t="str">
        <f>VLOOKUP($A276,'SegEnds_NonXtal_Prot#'!$A:$AL,8,FALSE)</f>
        <v>-</v>
      </c>
      <c r="AF276" s="5">
        <f>VLOOKUP($A276,'SegEnds_NonXtal_Prot#'!$A:$AL,11,FALSE)</f>
        <v>104</v>
      </c>
      <c r="AG276" s="5">
        <f>VLOOKUP($A276,'SegEnds_NonXtal_Prot#'!$A:$AL,14,FALSE)</f>
        <v>110</v>
      </c>
      <c r="AH276" s="5">
        <f>VLOOKUP($A276,'SegEnds_NonXtal_Prot#'!$A:$AL,17,FALSE)</f>
        <v>146</v>
      </c>
      <c r="AI276" s="5" t="str">
        <f>VLOOKUP($A276,'SegEnds_NonXtal_Prot#'!$A:$AL,20,FALSE)</f>
        <v>-</v>
      </c>
      <c r="AJ276" s="5">
        <f>VLOOKUP($A276,'SegEnds_NonXtal_Prot#'!$A:$AL,23,FALSE)</f>
        <v>179</v>
      </c>
      <c r="AK276" s="5">
        <f>VLOOKUP($A276,'SegEnds_NonXtal_Prot#'!$A:$AL,26,FALSE)</f>
        <v>188</v>
      </c>
      <c r="AL276" s="5">
        <f>VLOOKUP($A276,'SegEnds_NonXtal_Prot#'!$A:$AL,29,FALSE)</f>
        <v>228</v>
      </c>
      <c r="AM276" s="5">
        <f>VLOOKUP($A276,'SegEnds_NonXtal_Prot#'!$A:$AL,32,FALSE)</f>
        <v>271</v>
      </c>
      <c r="AN276" s="5">
        <f>VLOOKUP($A276,'SegEnds_NonXtal_Prot#'!$A:$AL,35,FALSE)</f>
        <v>311</v>
      </c>
      <c r="AO276" s="5">
        <f>VLOOKUP($A276,'SegEnds_NonXtal_Prot#'!$A:$AL,38,FALSE)</f>
        <v>326</v>
      </c>
      <c r="AP276" s="5">
        <f t="shared" si="113"/>
        <v>32</v>
      </c>
      <c r="AQ276" s="4" t="str">
        <f t="shared" si="114"/>
        <v>-</v>
      </c>
      <c r="AR276" s="4">
        <f t="shared" si="115"/>
        <v>29</v>
      </c>
      <c r="AS276" s="4">
        <f t="shared" si="116"/>
        <v>3</v>
      </c>
      <c r="AT276" s="4">
        <f t="shared" si="117"/>
        <v>35</v>
      </c>
      <c r="AU276" s="4" t="str">
        <f t="shared" si="118"/>
        <v>-</v>
      </c>
      <c r="AV276" s="4">
        <f t="shared" si="119"/>
        <v>24</v>
      </c>
      <c r="AW276" s="4">
        <f t="shared" si="120"/>
        <v>2</v>
      </c>
      <c r="AX276" s="4">
        <f t="shared" si="121"/>
        <v>36</v>
      </c>
      <c r="AY276" s="4">
        <f t="shared" si="122"/>
        <v>38</v>
      </c>
      <c r="AZ276" s="4">
        <f t="shared" si="123"/>
        <v>32</v>
      </c>
      <c r="BA276" s="4">
        <f t="shared" si="124"/>
        <v>14</v>
      </c>
    </row>
    <row r="277" spans="1:53" x14ac:dyDescent="0.2">
      <c r="A277" s="1" t="str">
        <f>'SegEnds_NonXtal_Prot#'!A269</f>
        <v>gp135_human</v>
      </c>
      <c r="B277" s="1" t="str">
        <f t="shared" si="100"/>
        <v>HGAAVAAQALVLLLIFLLSSLGNCAVMGVIVKHTVTNAFILSLSLSDLLTALLCLPAAFLDLFTPAGPWRGFCAASRFFSSCFGIVSTLSVALISLDRYCAIVRGRRRALQLLAGAWLTALGFSLPWELLGGAAFSVGLVVACYLLPFLLMCFCHYHICKTVRLSDVRVRARVLRFFSEVRTATTVLIMIVFVICCWGPYCFLVLLAAARPSLLSVVAVWLTWANGAINPVIYAIRNPNISMLLGRNREEGYR</v>
      </c>
      <c r="C277" s="29" t="str">
        <f>IF(ISERROR(MATCH(A277,'SegEnds_Xtal_Prot#'!B:B, 0)), "NoXtal", "Xtal")</f>
        <v>NoXtal</v>
      </c>
      <c r="D277" s="4" t="str">
        <f>VLOOKUP(A277,Classification!A:D,2,FALSE)</f>
        <v>A</v>
      </c>
      <c r="E277" s="5" t="str">
        <f>VLOOKUP(A277,Seqs!A:B,2,FALSE)</f>
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</c>
      <c r="F277" s="5" t="str">
        <f t="shared" si="101"/>
        <v>HGAAVAAQALVLLLIFLLSSLGNCAVMGVIVKH</v>
      </c>
      <c r="G277" s="4" t="str">
        <f t="shared" si="102"/>
        <v>RQLR</v>
      </c>
      <c r="H277" s="4" t="str">
        <f t="shared" si="103"/>
        <v>TVTNAFILSLSLSDLLTALLCLPAAFLDLFTP</v>
      </c>
      <c r="I277" s="4" t="str">
        <f t="shared" si="104"/>
        <v/>
      </c>
      <c r="J277" s="4" t="str">
        <f t="shared" si="105"/>
        <v>AGPWRGFCAASRFFSSCFGIVSTLSVALISLDRYCAIVR</v>
      </c>
      <c r="K277" s="4" t="str">
        <f t="shared" si="106"/>
        <v/>
      </c>
      <c r="L277" s="4" t="str">
        <f t="shared" si="107"/>
        <v>GRRRALQLLAGAWLTALGFSLPWELLG</v>
      </c>
      <c r="M277" s="4" t="str">
        <f t="shared" si="108"/>
        <v>CLY</v>
      </c>
      <c r="N277" s="4" t="str">
        <f t="shared" si="109"/>
        <v>GAAFSVGLVVACYLLPFLLMCFCHYHICKTVRLSDVRVR</v>
      </c>
      <c r="O277" s="4" t="str">
        <f t="shared" si="110"/>
        <v>ARVLRFFSEVRTATTVLIMIVFVICCWGPYCFLVLLAAAR</v>
      </c>
      <c r="P277" s="4" t="str">
        <f t="shared" si="111"/>
        <v>PSLLSVVAVWLTWANGAINPVIYAIR</v>
      </c>
      <c r="Q277" s="4" t="str">
        <f t="shared" si="112"/>
        <v>NPNISMLLGRNREEGYR</v>
      </c>
      <c r="R277" s="5">
        <f>VLOOKUP($A277,'SegEnds_NonXtal_Prot#'!$A:$AL,3,FALSE)</f>
        <v>99</v>
      </c>
      <c r="S277" s="5">
        <f>VLOOKUP($A277,'SegEnds_NonXtal_Prot#'!$A:$AL,6,FALSE)</f>
        <v>132</v>
      </c>
      <c r="T277" s="5">
        <f>VLOOKUP($A277,'SegEnds_NonXtal_Prot#'!$A:$AL,9,FALSE)</f>
        <v>136</v>
      </c>
      <c r="U277" s="5" t="str">
        <f>VLOOKUP($A277,'SegEnds_NonXtal_Prot#'!$A:$AL,12,FALSE)</f>
        <v>-</v>
      </c>
      <c r="V277" s="5">
        <f>VLOOKUP($A277,'SegEnds_NonXtal_Prot#'!$A:$AL,15,FALSE)</f>
        <v>177</v>
      </c>
      <c r="W277" s="5" t="str">
        <f>VLOOKUP($A277,'SegEnds_NonXtal_Prot#'!$A:$AL,18,FALSE)</f>
        <v>-</v>
      </c>
      <c r="X277" s="5">
        <f>VLOOKUP($A277,'SegEnds_NonXtal_Prot#'!$A:$AL,21,FALSE)</f>
        <v>222</v>
      </c>
      <c r="Y277" s="5">
        <f>VLOOKUP($A277,'SegEnds_NonXtal_Prot#'!$A:$AL,24,FALSE)</f>
        <v>262</v>
      </c>
      <c r="Z277" s="5">
        <f>VLOOKUP($A277,'SegEnds_NonXtal_Prot#'!$A:$AL,27,FALSE)</f>
        <v>274</v>
      </c>
      <c r="AA277" s="5">
        <f>VLOOKUP($A277,'SegEnds_NonXtal_Prot#'!$A:$AL,30,FALSE)</f>
        <v>318</v>
      </c>
      <c r="AB277" s="5">
        <f>VLOOKUP($A277,'SegEnds_NonXtal_Prot#'!$A:$AL,33,FALSE)</f>
        <v>365</v>
      </c>
      <c r="AC277" s="5">
        <f>VLOOKUP($A277,'SegEnds_NonXtal_Prot#'!$A:$AL,36,FALSE)</f>
        <v>391</v>
      </c>
      <c r="AD277" s="5">
        <f>VLOOKUP($A277,'SegEnds_NonXtal_Prot#'!$A:$AL,5,FALSE)</f>
        <v>131</v>
      </c>
      <c r="AE277" s="5">
        <f>VLOOKUP($A277,'SegEnds_NonXtal_Prot#'!$A:$AL,8,FALSE)</f>
        <v>135</v>
      </c>
      <c r="AF277" s="5">
        <f>VLOOKUP($A277,'SegEnds_NonXtal_Prot#'!$A:$AL,11,FALSE)</f>
        <v>167</v>
      </c>
      <c r="AG277" s="5" t="str">
        <f>VLOOKUP($A277,'SegEnds_NonXtal_Prot#'!$A:$AL,14,FALSE)</f>
        <v>-</v>
      </c>
      <c r="AH277" s="5">
        <f>VLOOKUP($A277,'SegEnds_NonXtal_Prot#'!$A:$AL,17,FALSE)</f>
        <v>215</v>
      </c>
      <c r="AI277" s="5" t="str">
        <f>VLOOKUP($A277,'SegEnds_NonXtal_Prot#'!$A:$AL,20,FALSE)</f>
        <v>-</v>
      </c>
      <c r="AJ277" s="5">
        <f>VLOOKUP($A277,'SegEnds_NonXtal_Prot#'!$A:$AL,23,FALSE)</f>
        <v>248</v>
      </c>
      <c r="AK277" s="5">
        <f>VLOOKUP($A277,'SegEnds_NonXtal_Prot#'!$A:$AL,26,FALSE)</f>
        <v>264</v>
      </c>
      <c r="AL277" s="5">
        <f>VLOOKUP($A277,'SegEnds_NonXtal_Prot#'!$A:$AL,29,FALSE)</f>
        <v>312</v>
      </c>
      <c r="AM277" s="5">
        <f>VLOOKUP($A277,'SegEnds_NonXtal_Prot#'!$A:$AL,32,FALSE)</f>
        <v>357</v>
      </c>
      <c r="AN277" s="5">
        <f>VLOOKUP($A277,'SegEnds_NonXtal_Prot#'!$A:$AL,35,FALSE)</f>
        <v>390</v>
      </c>
      <c r="AO277" s="5">
        <f>VLOOKUP($A277,'SegEnds_NonXtal_Prot#'!$A:$AL,38,FALSE)</f>
        <v>407</v>
      </c>
      <c r="AP277" s="5">
        <f t="shared" si="113"/>
        <v>32</v>
      </c>
      <c r="AQ277" s="4">
        <f t="shared" si="114"/>
        <v>3</v>
      </c>
      <c r="AR277" s="4">
        <f t="shared" si="115"/>
        <v>31</v>
      </c>
      <c r="AS277" s="4" t="str">
        <f t="shared" si="116"/>
        <v>-</v>
      </c>
      <c r="AT277" s="4">
        <f t="shared" si="117"/>
        <v>38</v>
      </c>
      <c r="AU277" s="4" t="str">
        <f t="shared" si="118"/>
        <v>-</v>
      </c>
      <c r="AV277" s="4">
        <f t="shared" si="119"/>
        <v>26</v>
      </c>
      <c r="AW277" s="4">
        <f t="shared" si="120"/>
        <v>2</v>
      </c>
      <c r="AX277" s="4">
        <f t="shared" si="121"/>
        <v>38</v>
      </c>
      <c r="AY277" s="4">
        <f t="shared" si="122"/>
        <v>39</v>
      </c>
      <c r="AZ277" s="4">
        <f t="shared" si="123"/>
        <v>25</v>
      </c>
      <c r="BA277" s="4">
        <f t="shared" si="124"/>
        <v>16</v>
      </c>
    </row>
    <row r="278" spans="1:53" x14ac:dyDescent="0.2">
      <c r="A278" s="1" t="str">
        <f>'SegEnds_NonXtal_Prot#'!A270</f>
        <v>gp146_human</v>
      </c>
      <c r="B278" s="1" t="str">
        <f t="shared" si="100"/>
        <v>QDLQLGLSLLSLLGLVVGVPVGLCYNALLVLANLHSKYFVNMAVAGLVLSALAPVHLLGPPSSRGGEVHVALQIPFNVSSLVAMYSTALLSLDHYIERALSVYNTRHVCGFVWGGALLTSFSSLLFYSTRALECAKMQNAEAADATLVFIGYVVPALATLYALVLLSRVRREDRDTGRLEPSAHRLLVATVCTQFGLWTPHYLILLGHTVIISRDAHYLGLLHFVKDFSKLLAFSSSFVTPLLYRYMNQSFPSKLQRLM</v>
      </c>
      <c r="C278" s="29" t="str">
        <f>IF(ISERROR(MATCH(A278,'SegEnds_Xtal_Prot#'!B:B, 0)), "NoXtal", "Xtal")</f>
        <v>NoXtal</v>
      </c>
      <c r="D278" s="4" t="str">
        <f>VLOOKUP(A278,Classification!A:D,2,FALSE)</f>
        <v>A</v>
      </c>
      <c r="E278" s="5" t="str">
        <f>VLOOKUP(A278,Seqs!A:B,2,FALSE)</f>
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</c>
      <c r="F278" s="5" t="str">
        <f t="shared" si="101"/>
        <v>QDLQLGLSLLSLLGLVVGVPVGLCYNALLVLANLHSK</v>
      </c>
      <c r="G278" s="4" t="str">
        <f t="shared" si="102"/>
        <v/>
      </c>
      <c r="H278" s="4" t="str">
        <f t="shared" si="103"/>
        <v>YFVNMAVAGLVLSALAPVHLLGPPSSR</v>
      </c>
      <c r="I278" s="4" t="str">
        <f t="shared" si="104"/>
        <v>LWSV</v>
      </c>
      <c r="J278" s="4" t="str">
        <f t="shared" si="105"/>
        <v>GGEVHVALQIPFNVSSLVAMYSTALLSLDHYIERAL</v>
      </c>
      <c r="K278" s="4" t="str">
        <f t="shared" si="106"/>
        <v/>
      </c>
      <c r="L278" s="4" t="str">
        <f t="shared" si="107"/>
        <v>SVYNTRHVCGFVWGGALLTSFSSLLFY</v>
      </c>
      <c r="M278" s="4" t="str">
        <f t="shared" si="108"/>
        <v/>
      </c>
      <c r="N278" s="4" t="str">
        <f t="shared" si="109"/>
        <v>STRALECAKMQNAEAADATLVFIGYVVPALATLYALVLLSRVRRED</v>
      </c>
      <c r="O278" s="4" t="str">
        <f t="shared" si="110"/>
        <v>RDTGRLEPSAHRLLVATVCTQFGLWTPHYLILLGHTVIISR</v>
      </c>
      <c r="P278" s="4" t="str">
        <f t="shared" si="111"/>
        <v>DAHYLGLLHFVKDFSKLLAFSSSFVTPLLYRYM</v>
      </c>
      <c r="Q278" s="4" t="str">
        <f t="shared" si="112"/>
        <v>NQSFPSKLQRLM</v>
      </c>
      <c r="R278" s="5">
        <f>VLOOKUP($A278,'SegEnds_NonXtal_Prot#'!$A:$AL,3,FALSE)</f>
        <v>20</v>
      </c>
      <c r="S278" s="5" t="str">
        <f>VLOOKUP($A278,'SegEnds_NonXtal_Prot#'!$A:$AL,6,FALSE)</f>
        <v>-</v>
      </c>
      <c r="T278" s="5">
        <f>VLOOKUP($A278,'SegEnds_NonXtal_Prot#'!$A:$AL,9,FALSE)</f>
        <v>65</v>
      </c>
      <c r="U278" s="5">
        <f>VLOOKUP($A278,'SegEnds_NonXtal_Prot#'!$A:$AL,12,FALSE)</f>
        <v>94</v>
      </c>
      <c r="V278" s="5">
        <f>VLOOKUP($A278,'SegEnds_NonXtal_Prot#'!$A:$AL,15,FALSE)</f>
        <v>98</v>
      </c>
      <c r="W278" s="5" t="str">
        <f>VLOOKUP($A278,'SegEnds_NonXtal_Prot#'!$A:$AL,18,FALSE)</f>
        <v>-</v>
      </c>
      <c r="X278" s="5">
        <f>VLOOKUP($A278,'SegEnds_NonXtal_Prot#'!$A:$AL,21,FALSE)</f>
        <v>140</v>
      </c>
      <c r="Y278" s="5" t="str">
        <f>VLOOKUP($A278,'SegEnds_NonXtal_Prot#'!$A:$AL,24,FALSE)</f>
        <v>-</v>
      </c>
      <c r="Z278" s="5">
        <f>VLOOKUP($A278,'SegEnds_NonXtal_Prot#'!$A:$AL,27,FALSE)</f>
        <v>172</v>
      </c>
      <c r="AA278" s="5">
        <f>VLOOKUP($A278,'SegEnds_NonXtal_Prot#'!$A:$AL,30,FALSE)</f>
        <v>222</v>
      </c>
      <c r="AB278" s="5">
        <f>VLOOKUP($A278,'SegEnds_NonXtal_Prot#'!$A:$AL,33,FALSE)</f>
        <v>267</v>
      </c>
      <c r="AC278" s="5">
        <f>VLOOKUP($A278,'SegEnds_NonXtal_Prot#'!$A:$AL,36,FALSE)</f>
        <v>300</v>
      </c>
      <c r="AD278" s="5">
        <f>VLOOKUP($A278,'SegEnds_NonXtal_Prot#'!$A:$AL,5,FALSE)</f>
        <v>56</v>
      </c>
      <c r="AE278" s="5" t="str">
        <f>VLOOKUP($A278,'SegEnds_NonXtal_Prot#'!$A:$AL,8,FALSE)</f>
        <v>-</v>
      </c>
      <c r="AF278" s="5">
        <f>VLOOKUP($A278,'SegEnds_NonXtal_Prot#'!$A:$AL,11,FALSE)</f>
        <v>91</v>
      </c>
      <c r="AG278" s="5">
        <f>VLOOKUP($A278,'SegEnds_NonXtal_Prot#'!$A:$AL,14,FALSE)</f>
        <v>97</v>
      </c>
      <c r="AH278" s="5">
        <f>VLOOKUP($A278,'SegEnds_NonXtal_Prot#'!$A:$AL,17,FALSE)</f>
        <v>133</v>
      </c>
      <c r="AI278" s="5" t="str">
        <f>VLOOKUP($A278,'SegEnds_NonXtal_Prot#'!$A:$AL,20,FALSE)</f>
        <v>-</v>
      </c>
      <c r="AJ278" s="5">
        <f>VLOOKUP($A278,'SegEnds_NonXtal_Prot#'!$A:$AL,23,FALSE)</f>
        <v>166</v>
      </c>
      <c r="AK278" s="5" t="str">
        <f>VLOOKUP($A278,'SegEnds_NonXtal_Prot#'!$A:$AL,26,FALSE)</f>
        <v>-</v>
      </c>
      <c r="AL278" s="5">
        <f>VLOOKUP($A278,'SegEnds_NonXtal_Prot#'!$A:$AL,29,FALSE)</f>
        <v>217</v>
      </c>
      <c r="AM278" s="5">
        <f>VLOOKUP($A278,'SegEnds_NonXtal_Prot#'!$A:$AL,32,FALSE)</f>
        <v>262</v>
      </c>
      <c r="AN278" s="5">
        <f>VLOOKUP($A278,'SegEnds_NonXtal_Prot#'!$A:$AL,35,FALSE)</f>
        <v>299</v>
      </c>
      <c r="AO278" s="5">
        <f>VLOOKUP($A278,'SegEnds_NonXtal_Prot#'!$A:$AL,38,FALSE)</f>
        <v>311</v>
      </c>
      <c r="AP278" s="5">
        <f t="shared" si="113"/>
        <v>36</v>
      </c>
      <c r="AQ278" s="4" t="str">
        <f t="shared" si="114"/>
        <v>-</v>
      </c>
      <c r="AR278" s="4">
        <f t="shared" si="115"/>
        <v>26</v>
      </c>
      <c r="AS278" s="4">
        <f t="shared" si="116"/>
        <v>3</v>
      </c>
      <c r="AT278" s="4">
        <f t="shared" si="117"/>
        <v>35</v>
      </c>
      <c r="AU278" s="4" t="str">
        <f t="shared" si="118"/>
        <v>-</v>
      </c>
      <c r="AV278" s="4">
        <f t="shared" si="119"/>
        <v>26</v>
      </c>
      <c r="AW278" s="4" t="str">
        <f t="shared" si="120"/>
        <v>-</v>
      </c>
      <c r="AX278" s="4">
        <f t="shared" si="121"/>
        <v>45</v>
      </c>
      <c r="AY278" s="4">
        <f t="shared" si="122"/>
        <v>40</v>
      </c>
      <c r="AZ278" s="4">
        <f t="shared" si="123"/>
        <v>32</v>
      </c>
      <c r="BA278" s="4">
        <f t="shared" si="124"/>
        <v>11</v>
      </c>
    </row>
    <row r="279" spans="1:53" x14ac:dyDescent="0.2">
      <c r="A279" s="1" t="str">
        <f>'SegEnds_NonXtal_Prot#'!A271</f>
        <v>gp149_human</v>
      </c>
      <c r="B279" s="1" t="str">
        <f t="shared" si="100"/>
        <v>DSSLWKENHNSTDLLNPPGTLNIYLFCLTCLMVGSIYSLISLLKMQNRTVVSMLVASWSVDDLLQWPNEVPGYFQFLCTTSALMYLCQGLSSNLKATLLVSYNFYTMHRGRSGQVLGVVLTVWAASLLLSALPLCGVYALAFGLLVGLSVPLTHRLLCSEEPPRLHSNYQEISRGASTRSFTVSVAQKRFALILALTKVVLWLPMMMHMVVQNVVLPLETFSFLLTLLATTVTPVFVLSKRWTHLPCGCIINC</v>
      </c>
      <c r="C279" s="29" t="str">
        <f>IF(ISERROR(MATCH(A279,'SegEnds_Xtal_Prot#'!B:B, 0)), "NoXtal", "Xtal")</f>
        <v>NoXtal</v>
      </c>
      <c r="D279" s="4" t="str">
        <f>VLOOKUP(A279,Classification!A:D,2,FALSE)</f>
        <v>A</v>
      </c>
      <c r="E279" s="5" t="str">
        <f>VLOOKUP(A279,Seqs!A:B,2,FALSE)</f>
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</c>
      <c r="F279" s="5" t="str">
        <f t="shared" si="101"/>
        <v>DSSLWKENHNSTDLLNPPGTLNIYLFCLTCLM</v>
      </c>
      <c r="G279" s="4" t="str">
        <f t="shared" si="102"/>
        <v/>
      </c>
      <c r="H279" s="4" t="str">
        <f t="shared" si="103"/>
        <v>VGSIYSLISLLKMQNRTVVSMLVASWSVDDL</v>
      </c>
      <c r="I279" s="4" t="str">
        <f t="shared" si="104"/>
        <v>IFMF</v>
      </c>
      <c r="J279" s="4" t="str">
        <f t="shared" si="105"/>
        <v>LQWPNEVPGYFQFLCTTSALMYLCQGLSSNLKATLLVSYNFYTMHRG</v>
      </c>
      <c r="K279" s="4" t="str">
        <f t="shared" si="106"/>
        <v/>
      </c>
      <c r="L279" s="4" t="str">
        <f t="shared" si="107"/>
        <v>RSGQVLGVVLTVWAASLLLSALPLCG</v>
      </c>
      <c r="M279" s="4" t="str">
        <f t="shared" si="108"/>
        <v/>
      </c>
      <c r="N279" s="4" t="str">
        <f t="shared" si="109"/>
        <v>VYALAFGLLVGLSVPLTHRLLCSEEPPRLHSNYQEISRGAS</v>
      </c>
      <c r="O279" s="4" t="str">
        <f t="shared" si="110"/>
        <v>TRSFTVSVAQKRFALILALTKVVLWLPMMMHMVVQNVV</v>
      </c>
      <c r="P279" s="4" t="str">
        <f t="shared" si="111"/>
        <v>LPLETFSFLLTLLATTVTPVFVLSK</v>
      </c>
      <c r="Q279" s="4" t="str">
        <f t="shared" si="112"/>
        <v>RWTHLPCGCIINC</v>
      </c>
      <c r="R279" s="5">
        <f>VLOOKUP($A279,'SegEnds_NonXtal_Prot#'!$A:$AL,3,FALSE)</f>
        <v>12</v>
      </c>
      <c r="S279" s="5" t="str">
        <f>VLOOKUP($A279,'SegEnds_NonXtal_Prot#'!$A:$AL,6,FALSE)</f>
        <v>-</v>
      </c>
      <c r="T279" s="5">
        <f>VLOOKUP($A279,'SegEnds_NonXtal_Prot#'!$A:$AL,9,FALSE)</f>
        <v>49</v>
      </c>
      <c r="U279" s="5">
        <f>VLOOKUP($A279,'SegEnds_NonXtal_Prot#'!$A:$AL,12,FALSE)</f>
        <v>87</v>
      </c>
      <c r="V279" s="5">
        <f>VLOOKUP($A279,'SegEnds_NonXtal_Prot#'!$A:$AL,15,FALSE)</f>
        <v>91</v>
      </c>
      <c r="W279" s="5" t="str">
        <f>VLOOKUP($A279,'SegEnds_NonXtal_Prot#'!$A:$AL,18,FALSE)</f>
        <v>-</v>
      </c>
      <c r="X279" s="5">
        <f>VLOOKUP($A279,'SegEnds_NonXtal_Prot#'!$A:$AL,21,FALSE)</f>
        <v>146</v>
      </c>
      <c r="Y279" s="5" t="str">
        <f>VLOOKUP($A279,'SegEnds_NonXtal_Prot#'!$A:$AL,24,FALSE)</f>
        <v>-</v>
      </c>
      <c r="Z279" s="5">
        <f>VLOOKUP($A279,'SegEnds_NonXtal_Prot#'!$A:$AL,27,FALSE)</f>
        <v>197</v>
      </c>
      <c r="AA279" s="5">
        <f>VLOOKUP($A279,'SegEnds_NonXtal_Prot#'!$A:$AL,30,FALSE)</f>
        <v>299</v>
      </c>
      <c r="AB279" s="5">
        <f>VLOOKUP($A279,'SegEnds_NonXtal_Prot#'!$A:$AL,33,FALSE)</f>
        <v>341</v>
      </c>
      <c r="AC279" s="5">
        <f>VLOOKUP($A279,'SegEnds_NonXtal_Prot#'!$A:$AL,36,FALSE)</f>
        <v>366</v>
      </c>
      <c r="AD279" s="5">
        <f>VLOOKUP($A279,'SegEnds_NonXtal_Prot#'!$A:$AL,5,FALSE)</f>
        <v>43</v>
      </c>
      <c r="AE279" s="5" t="str">
        <f>VLOOKUP($A279,'SegEnds_NonXtal_Prot#'!$A:$AL,8,FALSE)</f>
        <v>-</v>
      </c>
      <c r="AF279" s="5">
        <f>VLOOKUP($A279,'SegEnds_NonXtal_Prot#'!$A:$AL,11,FALSE)</f>
        <v>79</v>
      </c>
      <c r="AG279" s="5">
        <f>VLOOKUP($A279,'SegEnds_NonXtal_Prot#'!$A:$AL,14,FALSE)</f>
        <v>90</v>
      </c>
      <c r="AH279" s="5">
        <f>VLOOKUP($A279,'SegEnds_NonXtal_Prot#'!$A:$AL,17,FALSE)</f>
        <v>137</v>
      </c>
      <c r="AI279" s="5" t="str">
        <f>VLOOKUP($A279,'SegEnds_NonXtal_Prot#'!$A:$AL,20,FALSE)</f>
        <v>-</v>
      </c>
      <c r="AJ279" s="5">
        <f>VLOOKUP($A279,'SegEnds_NonXtal_Prot#'!$A:$AL,23,FALSE)</f>
        <v>171</v>
      </c>
      <c r="AK279" s="5" t="str">
        <f>VLOOKUP($A279,'SegEnds_NonXtal_Prot#'!$A:$AL,26,FALSE)</f>
        <v>-</v>
      </c>
      <c r="AL279" s="5">
        <f>VLOOKUP($A279,'SegEnds_NonXtal_Prot#'!$A:$AL,29,FALSE)</f>
        <v>237</v>
      </c>
      <c r="AM279" s="5">
        <f>VLOOKUP($A279,'SegEnds_NonXtal_Prot#'!$A:$AL,32,FALSE)</f>
        <v>336</v>
      </c>
      <c r="AN279" s="5">
        <f>VLOOKUP($A279,'SegEnds_NonXtal_Prot#'!$A:$AL,35,FALSE)</f>
        <v>365</v>
      </c>
      <c r="AO279" s="5">
        <f>VLOOKUP($A279,'SegEnds_NonXtal_Prot#'!$A:$AL,38,FALSE)</f>
        <v>378</v>
      </c>
      <c r="AP279" s="5">
        <f t="shared" si="113"/>
        <v>31</v>
      </c>
      <c r="AQ279" s="4" t="str">
        <f t="shared" si="114"/>
        <v>-</v>
      </c>
      <c r="AR279" s="4">
        <f t="shared" si="115"/>
        <v>30</v>
      </c>
      <c r="AS279" s="4">
        <f t="shared" si="116"/>
        <v>3</v>
      </c>
      <c r="AT279" s="4">
        <f t="shared" si="117"/>
        <v>46</v>
      </c>
      <c r="AU279" s="4" t="str">
        <f t="shared" si="118"/>
        <v>-</v>
      </c>
      <c r="AV279" s="4">
        <f t="shared" si="119"/>
        <v>25</v>
      </c>
      <c r="AW279" s="4" t="str">
        <f t="shared" si="120"/>
        <v>-</v>
      </c>
      <c r="AX279" s="4">
        <f t="shared" si="121"/>
        <v>40</v>
      </c>
      <c r="AY279" s="4">
        <f t="shared" si="122"/>
        <v>37</v>
      </c>
      <c r="AZ279" s="4">
        <f t="shared" si="123"/>
        <v>24</v>
      </c>
      <c r="BA279" s="4">
        <f t="shared" si="124"/>
        <v>12</v>
      </c>
    </row>
    <row r="280" spans="1:53" x14ac:dyDescent="0.2">
      <c r="A280" s="1" t="str">
        <f>'SegEnds_NonXtal_Prot#'!A272</f>
        <v>gp150_human</v>
      </c>
      <c r="B280" s="1" t="str">
        <f t="shared" si="100"/>
        <v>APASGPPSRRVRLVFLGVILVVAVAGNTTVLCRLCGGRKMDFLLVQLALADLYACGGTALSQLAWELAATGDLACRFLQLLQASGRGASAHLVVLIALERRRAVRLRPLPARALAALGWLLALLLALPPAFVVRWHLQVYAFYEAVAGFVAPVTVLGVACGHLLSVWWRHRPQAPAPAPSALPRAKVQSLKMSLLLALLFVGCELPYFAARLAAAWSGPAGDWEGEGLSAALRVVAMANSALNPFVYLFFQAGDCRLRRQLRK</v>
      </c>
      <c r="C280" s="29" t="str">
        <f>IF(ISERROR(MATCH(A280,'SegEnds_Xtal_Prot#'!B:B, 0)), "NoXtal", "Xtal")</f>
        <v>NoXtal</v>
      </c>
      <c r="D280" s="4" t="str">
        <f>VLOOKUP(A280,Classification!A:D,2,FALSE)</f>
        <v>A</v>
      </c>
      <c r="E280" s="5" t="str">
        <f>VLOOKUP(A280,Seqs!A:B,2,FALSE)</f>
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</c>
      <c r="F280" s="5" t="str">
        <f t="shared" si="101"/>
        <v>APASGPPSRRVRLVFLGVILVVAVAGNTTVLCRLCGG</v>
      </c>
      <c r="G280" s="4" t="str">
        <f t="shared" si="102"/>
        <v/>
      </c>
      <c r="H280" s="4" t="str">
        <f t="shared" si="103"/>
        <v>RKMDFLLVQLALADLYACGGTALSQLAWEL</v>
      </c>
      <c r="I280" s="4" t="str">
        <f t="shared" si="104"/>
        <v/>
      </c>
      <c r="J280" s="4" t="str">
        <f t="shared" si="105"/>
        <v>AATGDLACRFLQLLQASGRGASAHLVVLIALERRRAVRL</v>
      </c>
      <c r="K280" s="4" t="str">
        <f t="shared" si="106"/>
        <v/>
      </c>
      <c r="L280" s="4" t="str">
        <f t="shared" si="107"/>
        <v>RPLPARALAALGWLLALLLALPPAFVV</v>
      </c>
      <c r="M280" s="4" t="str">
        <f t="shared" si="108"/>
        <v>CHG</v>
      </c>
      <c r="N280" s="4" t="str">
        <f t="shared" si="109"/>
        <v>RWHLQVYAFYEAVAGFVAPVTVLGVACGHLLSVWWRHRPQAPA</v>
      </c>
      <c r="O280" s="4" t="str">
        <f t="shared" si="110"/>
        <v>PAPSALPRAKVQSLKMSLLLALLFVGCELPYFAARLAAAWS</v>
      </c>
      <c r="P280" s="4" t="str">
        <f t="shared" si="111"/>
        <v>GPAGDWEGEGLSAALRVVAMANSALNPFVYLFF</v>
      </c>
      <c r="Q280" s="4" t="str">
        <f t="shared" si="112"/>
        <v>QAGDCRLRRQLRK</v>
      </c>
      <c r="R280" s="5">
        <f>VLOOKUP($A280,'SegEnds_NonXtal_Prot#'!$A:$AL,3,FALSE)</f>
        <v>34</v>
      </c>
      <c r="S280" s="5" t="str">
        <f>VLOOKUP($A280,'SegEnds_NonXtal_Prot#'!$A:$AL,6,FALSE)</f>
        <v>-</v>
      </c>
      <c r="T280" s="5">
        <f>VLOOKUP($A280,'SegEnds_NonXtal_Prot#'!$A:$AL,9,FALSE)</f>
        <v>80</v>
      </c>
      <c r="U280" s="5" t="str">
        <f>VLOOKUP($A280,'SegEnds_NonXtal_Prot#'!$A:$AL,12,FALSE)</f>
        <v>-</v>
      </c>
      <c r="V280" s="5">
        <f>VLOOKUP($A280,'SegEnds_NonXtal_Prot#'!$A:$AL,15,FALSE)</f>
        <v>115</v>
      </c>
      <c r="W280" s="5" t="str">
        <f>VLOOKUP($A280,'SegEnds_NonXtal_Prot#'!$A:$AL,18,FALSE)</f>
        <v>-</v>
      </c>
      <c r="X280" s="5">
        <f>VLOOKUP($A280,'SegEnds_NonXtal_Prot#'!$A:$AL,21,FALSE)</f>
        <v>157</v>
      </c>
      <c r="Y280" s="5">
        <f>VLOOKUP($A280,'SegEnds_NonXtal_Prot#'!$A:$AL,24,FALSE)</f>
        <v>217</v>
      </c>
      <c r="Z280" s="5">
        <f>VLOOKUP($A280,'SegEnds_NonXtal_Prot#'!$A:$AL,27,FALSE)</f>
        <v>226</v>
      </c>
      <c r="AA280" s="5">
        <f>VLOOKUP($A280,'SegEnds_NonXtal_Prot#'!$A:$AL,30,FALSE)</f>
        <v>281</v>
      </c>
      <c r="AB280" s="5">
        <f>VLOOKUP($A280,'SegEnds_NonXtal_Prot#'!$A:$AL,33,FALSE)</f>
        <v>323</v>
      </c>
      <c r="AC280" s="5">
        <f>VLOOKUP($A280,'SegEnds_NonXtal_Prot#'!$A:$AL,36,FALSE)</f>
        <v>356</v>
      </c>
      <c r="AD280" s="5">
        <f>VLOOKUP($A280,'SegEnds_NonXtal_Prot#'!$A:$AL,5,FALSE)</f>
        <v>70</v>
      </c>
      <c r="AE280" s="5" t="str">
        <f>VLOOKUP($A280,'SegEnds_NonXtal_Prot#'!$A:$AL,8,FALSE)</f>
        <v>-</v>
      </c>
      <c r="AF280" s="5">
        <f>VLOOKUP($A280,'SegEnds_NonXtal_Prot#'!$A:$AL,11,FALSE)</f>
        <v>109</v>
      </c>
      <c r="AG280" s="5" t="str">
        <f>VLOOKUP($A280,'SegEnds_NonXtal_Prot#'!$A:$AL,14,FALSE)</f>
        <v>-</v>
      </c>
      <c r="AH280" s="5">
        <f>VLOOKUP($A280,'SegEnds_NonXtal_Prot#'!$A:$AL,17,FALSE)</f>
        <v>153</v>
      </c>
      <c r="AI280" s="5" t="str">
        <f>VLOOKUP($A280,'SegEnds_NonXtal_Prot#'!$A:$AL,20,FALSE)</f>
        <v>-</v>
      </c>
      <c r="AJ280" s="5">
        <f>VLOOKUP($A280,'SegEnds_NonXtal_Prot#'!$A:$AL,23,FALSE)</f>
        <v>183</v>
      </c>
      <c r="AK280" s="5">
        <f>VLOOKUP($A280,'SegEnds_NonXtal_Prot#'!$A:$AL,26,FALSE)</f>
        <v>219</v>
      </c>
      <c r="AL280" s="5">
        <f>VLOOKUP($A280,'SegEnds_NonXtal_Prot#'!$A:$AL,29,FALSE)</f>
        <v>268</v>
      </c>
      <c r="AM280" s="5">
        <f>VLOOKUP($A280,'SegEnds_NonXtal_Prot#'!$A:$AL,32,FALSE)</f>
        <v>321</v>
      </c>
      <c r="AN280" s="5">
        <f>VLOOKUP($A280,'SegEnds_NonXtal_Prot#'!$A:$AL,35,FALSE)</f>
        <v>355</v>
      </c>
      <c r="AO280" s="5">
        <f>VLOOKUP($A280,'SegEnds_NonXtal_Prot#'!$A:$AL,38,FALSE)</f>
        <v>368</v>
      </c>
      <c r="AP280" s="5">
        <f t="shared" si="113"/>
        <v>36</v>
      </c>
      <c r="AQ280" s="4" t="str">
        <f t="shared" si="114"/>
        <v>-</v>
      </c>
      <c r="AR280" s="4">
        <f t="shared" si="115"/>
        <v>29</v>
      </c>
      <c r="AS280" s="4" t="str">
        <f t="shared" si="116"/>
        <v>-</v>
      </c>
      <c r="AT280" s="4">
        <f t="shared" si="117"/>
        <v>38</v>
      </c>
      <c r="AU280" s="4" t="str">
        <f t="shared" si="118"/>
        <v>-</v>
      </c>
      <c r="AV280" s="4">
        <f t="shared" si="119"/>
        <v>26</v>
      </c>
      <c r="AW280" s="4">
        <f t="shared" si="120"/>
        <v>2</v>
      </c>
      <c r="AX280" s="4">
        <f t="shared" si="121"/>
        <v>42</v>
      </c>
      <c r="AY280" s="4">
        <f t="shared" si="122"/>
        <v>40</v>
      </c>
      <c r="AZ280" s="4">
        <f t="shared" si="123"/>
        <v>32</v>
      </c>
      <c r="BA280" s="4">
        <f t="shared" si="124"/>
        <v>12</v>
      </c>
    </row>
    <row r="281" spans="1:53" x14ac:dyDescent="0.2">
      <c r="A281" s="1" t="str">
        <f>'SegEnds_NonXtal_Prot#'!A273</f>
        <v>gp160_human</v>
      </c>
      <c r="B281" s="1" t="str">
        <f t="shared" si="100"/>
        <v>QTNQPLDVNYLLFLIILGKILLNILTLGMRRKNNFMEYFCISLAFVDLLLLVNISIILYFRDFRFTKYHICLFTQIISFTYGFLHYPVFLTACIDYCLNFSKQKLFYFFTVILIWISVLAYVLGDPAIQSYWLSFFMVMILFVAFITCWEEVTTLVQAIRITSYMNESHSSYTVRSKKIFLSKLIVCFLSTWLPFVLLQVIIVLLPAYIEMNIPWLYFVNSFLIATVYWFNCHKLNLKDIGL</v>
      </c>
      <c r="C281" s="29" t="str">
        <f>IF(ISERROR(MATCH(A281,'SegEnds_Xtal_Prot#'!B:B, 0)), "NoXtal", "Xtal")</f>
        <v>NoXtal</v>
      </c>
      <c r="D281" s="4" t="str">
        <f>VLOOKUP(A281,Classification!A:D,2,FALSE)</f>
        <v>A</v>
      </c>
      <c r="E281" s="5" t="str">
        <f>VLOOKUP(A281,Seqs!A:B,2,FALSE)</f>
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</c>
      <c r="F281" s="5" t="str">
        <f t="shared" si="101"/>
        <v>QTNQPLDVNYLLFLIILGKILLNILTLGMRRKN</v>
      </c>
      <c r="G281" s="4" t="str">
        <f t="shared" si="102"/>
        <v/>
      </c>
      <c r="H281" s="4" t="str">
        <f t="shared" si="103"/>
        <v>NFMEYFCISLAFVDLLLLVNISIILYFRDF</v>
      </c>
      <c r="I281" s="4" t="str">
        <f t="shared" si="104"/>
        <v/>
      </c>
      <c r="J281" s="4" t="str">
        <f t="shared" si="105"/>
        <v>RFTKYHICLFTQIISFTYGFLHYPVFLTACIDYCLNFSK</v>
      </c>
      <c r="K281" s="4" t="str">
        <f t="shared" si="106"/>
        <v/>
      </c>
      <c r="L281" s="4" t="str">
        <f t="shared" si="107"/>
        <v>QKLFYFFTVILIWISVLAYVLGDPAI</v>
      </c>
      <c r="M281" s="4" t="str">
        <f t="shared" si="108"/>
        <v>CPF</v>
      </c>
      <c r="N281" s="4" t="str">
        <f t="shared" si="109"/>
        <v>QSYWLSFFMVMILFVAFITCWEEVTTLVQAIRITSYMNE</v>
      </c>
      <c r="O281" s="4" t="str">
        <f t="shared" si="110"/>
        <v>SHSSYTVRSKKIFLSKLIVCFLSTWLPFVLLQVIIVLL</v>
      </c>
      <c r="P281" s="4" t="str">
        <f t="shared" si="111"/>
        <v>PAYIEMNIPWLYFVNSFLIATVYWFN</v>
      </c>
      <c r="Q281" s="4" t="str">
        <f t="shared" si="112"/>
        <v>CHKLNLKDIGL</v>
      </c>
      <c r="R281" s="5">
        <f>VLOOKUP($A281,'SegEnds_NonXtal_Prot#'!$A:$AL,3,FALSE)</f>
        <v>17</v>
      </c>
      <c r="S281" s="5" t="str">
        <f>VLOOKUP($A281,'SegEnds_NonXtal_Prot#'!$A:$AL,6,FALSE)</f>
        <v>-</v>
      </c>
      <c r="T281" s="5">
        <f>VLOOKUP($A281,'SegEnds_NonXtal_Prot#'!$A:$AL,9,FALSE)</f>
        <v>53</v>
      </c>
      <c r="U281" s="5" t="str">
        <f>VLOOKUP($A281,'SegEnds_NonXtal_Prot#'!$A:$AL,12,FALSE)</f>
        <v>-</v>
      </c>
      <c r="V281" s="5">
        <f>VLOOKUP($A281,'SegEnds_NonXtal_Prot#'!$A:$AL,15,FALSE)</f>
        <v>88</v>
      </c>
      <c r="W281" s="5" t="str">
        <f>VLOOKUP($A281,'SegEnds_NonXtal_Prot#'!$A:$AL,18,FALSE)</f>
        <v>-</v>
      </c>
      <c r="X281" s="5">
        <f>VLOOKUP($A281,'SegEnds_NonXtal_Prot#'!$A:$AL,21,FALSE)</f>
        <v>135</v>
      </c>
      <c r="Y281" s="5">
        <f>VLOOKUP($A281,'SegEnds_NonXtal_Prot#'!$A:$AL,24,FALSE)</f>
        <v>174</v>
      </c>
      <c r="Z281" s="5">
        <f>VLOOKUP($A281,'SegEnds_NonXtal_Prot#'!$A:$AL,27,FALSE)</f>
        <v>181</v>
      </c>
      <c r="AA281" s="5">
        <f>VLOOKUP($A281,'SegEnds_NonXtal_Prot#'!$A:$AL,30,FALSE)</f>
        <v>228</v>
      </c>
      <c r="AB281" s="5">
        <f>VLOOKUP($A281,'SegEnds_NonXtal_Prot#'!$A:$AL,33,FALSE)</f>
        <v>270</v>
      </c>
      <c r="AC281" s="5">
        <f>VLOOKUP($A281,'SegEnds_NonXtal_Prot#'!$A:$AL,36,FALSE)</f>
        <v>296</v>
      </c>
      <c r="AD281" s="5">
        <f>VLOOKUP($A281,'SegEnds_NonXtal_Prot#'!$A:$AL,5,FALSE)</f>
        <v>49</v>
      </c>
      <c r="AE281" s="5" t="str">
        <f>VLOOKUP($A281,'SegEnds_NonXtal_Prot#'!$A:$AL,8,FALSE)</f>
        <v>-</v>
      </c>
      <c r="AF281" s="5">
        <f>VLOOKUP($A281,'SegEnds_NonXtal_Prot#'!$A:$AL,11,FALSE)</f>
        <v>82</v>
      </c>
      <c r="AG281" s="5" t="str">
        <f>VLOOKUP($A281,'SegEnds_NonXtal_Prot#'!$A:$AL,14,FALSE)</f>
        <v>-</v>
      </c>
      <c r="AH281" s="5">
        <f>VLOOKUP($A281,'SegEnds_NonXtal_Prot#'!$A:$AL,17,FALSE)</f>
        <v>126</v>
      </c>
      <c r="AI281" s="5" t="str">
        <f>VLOOKUP($A281,'SegEnds_NonXtal_Prot#'!$A:$AL,20,FALSE)</f>
        <v>-</v>
      </c>
      <c r="AJ281" s="5">
        <f>VLOOKUP($A281,'SegEnds_NonXtal_Prot#'!$A:$AL,23,FALSE)</f>
        <v>160</v>
      </c>
      <c r="AK281" s="5">
        <f>VLOOKUP($A281,'SegEnds_NonXtal_Prot#'!$A:$AL,26,FALSE)</f>
        <v>176</v>
      </c>
      <c r="AL281" s="5">
        <f>VLOOKUP($A281,'SegEnds_NonXtal_Prot#'!$A:$AL,29,FALSE)</f>
        <v>219</v>
      </c>
      <c r="AM281" s="5">
        <f>VLOOKUP($A281,'SegEnds_NonXtal_Prot#'!$A:$AL,32,FALSE)</f>
        <v>265</v>
      </c>
      <c r="AN281" s="5">
        <f>VLOOKUP($A281,'SegEnds_NonXtal_Prot#'!$A:$AL,35,FALSE)</f>
        <v>295</v>
      </c>
      <c r="AO281" s="5">
        <f>VLOOKUP($A281,'SegEnds_NonXtal_Prot#'!$A:$AL,38,FALSE)</f>
        <v>306</v>
      </c>
      <c r="AP281" s="5">
        <f t="shared" si="113"/>
        <v>32</v>
      </c>
      <c r="AQ281" s="4" t="str">
        <f t="shared" si="114"/>
        <v>-</v>
      </c>
      <c r="AR281" s="4">
        <f t="shared" si="115"/>
        <v>29</v>
      </c>
      <c r="AS281" s="4" t="str">
        <f t="shared" si="116"/>
        <v>-</v>
      </c>
      <c r="AT281" s="4">
        <f t="shared" si="117"/>
        <v>38</v>
      </c>
      <c r="AU281" s="4" t="str">
        <f t="shared" si="118"/>
        <v>-</v>
      </c>
      <c r="AV281" s="4">
        <f t="shared" si="119"/>
        <v>25</v>
      </c>
      <c r="AW281" s="4">
        <f t="shared" si="120"/>
        <v>2</v>
      </c>
      <c r="AX281" s="4">
        <f t="shared" si="121"/>
        <v>38</v>
      </c>
      <c r="AY281" s="4">
        <f t="shared" si="122"/>
        <v>37</v>
      </c>
      <c r="AZ281" s="4">
        <f t="shared" si="123"/>
        <v>25</v>
      </c>
      <c r="BA281" s="4">
        <f t="shared" si="124"/>
        <v>10</v>
      </c>
    </row>
    <row r="282" spans="1:53" x14ac:dyDescent="0.2">
      <c r="A282" s="1" t="str">
        <f>'SegEnds_NonXtal_Prot#'!A274</f>
        <v>gp176_human</v>
      </c>
      <c r="B282" s="1" t="str">
        <f t="shared" si="100"/>
        <v>RQFTTTVQVVIFIGSLLGNFMVLWSTCRTSVTNRFIKNLACSGICASLVCVPFDIILSTSPYTMLFCKVVKFLHKVFCSVTILSFPAIALDRYYSVLYSDAKSRELVMYIWAHAVVASVPVFAVTLGHLVYVLVYNITTVIVPVVVVFLFLILIRRALSASQKKKVIISIPYASQREAELHATLLSMVMVFILCSVPYATLVVYQTVLSVFLLLTAVWLPKVSLLANPVLFLTVNKSVRKCLIGTLVQLHH</v>
      </c>
      <c r="C282" s="29" t="str">
        <f>IF(ISERROR(MATCH(A282,'SegEnds_Xtal_Prot#'!B:B, 0)), "NoXtal", "Xtal")</f>
        <v>NoXtal</v>
      </c>
      <c r="D282" s="4" t="str">
        <f>VLOOKUP(A282,Classification!A:D,2,FALSE)</f>
        <v>A</v>
      </c>
      <c r="E282" s="5" t="str">
        <f>VLOOKUP(A282,Seqs!A:B,2,FALSE)</f>
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</c>
      <c r="F282" s="5" t="str">
        <f t="shared" si="101"/>
        <v>RQFTTTVQVVIFIGSLLGNFMVLWSTCRT</v>
      </c>
      <c r="G282" s="4" t="str">
        <f t="shared" si="102"/>
        <v>TVFK</v>
      </c>
      <c r="H282" s="4" t="str">
        <f t="shared" si="103"/>
        <v>SVTNRFIKNLACSGICASLVCVPFDIILSTSP</v>
      </c>
      <c r="I282" s="4" t="str">
        <f t="shared" si="104"/>
        <v>CWWI</v>
      </c>
      <c r="J282" s="4" t="str">
        <f t="shared" si="105"/>
        <v>YTMLFCKVVKFLHKVFCSVTILSFPAIALDRYYSVLY</v>
      </c>
      <c r="K282" s="4" t="str">
        <f t="shared" si="106"/>
        <v/>
      </c>
      <c r="L282" s="4" t="str">
        <f t="shared" si="107"/>
        <v>SDAKSRELVMYIWAHAVVASVPVFAVT</v>
      </c>
      <c r="M282" s="4" t="str">
        <f t="shared" si="108"/>
        <v>CTE</v>
      </c>
      <c r="N282" s="4" t="str">
        <f t="shared" si="109"/>
        <v>LGHLVYVLVYNITTVIVPVVVVFLFLILIRRALSASQKKKVI</v>
      </c>
      <c r="O282" s="4" t="str">
        <f t="shared" si="110"/>
        <v>ISIPYASQREAELHATLLSMVMVFILCSVPYATLVVYQTVL</v>
      </c>
      <c r="P282" s="4" t="str">
        <f t="shared" si="111"/>
        <v>SVFLLLTAVWLPKVSLLANPVLFLTV</v>
      </c>
      <c r="Q282" s="4" t="str">
        <f t="shared" si="112"/>
        <v>NKSVRKCLIGTLVQLHH</v>
      </c>
      <c r="R282" s="5">
        <f>VLOOKUP($A282,'SegEnds_NonXtal_Prot#'!$A:$AL,3,FALSE)</f>
        <v>41</v>
      </c>
      <c r="S282" s="5">
        <f>VLOOKUP($A282,'SegEnds_NonXtal_Prot#'!$A:$AL,6,FALSE)</f>
        <v>70</v>
      </c>
      <c r="T282" s="5">
        <f>VLOOKUP($A282,'SegEnds_NonXtal_Prot#'!$A:$AL,9,FALSE)</f>
        <v>74</v>
      </c>
      <c r="U282" s="5">
        <f>VLOOKUP($A282,'SegEnds_NonXtal_Prot#'!$A:$AL,12,FALSE)</f>
        <v>108</v>
      </c>
      <c r="V282" s="5">
        <f>VLOOKUP($A282,'SegEnds_NonXtal_Prot#'!$A:$AL,15,FALSE)</f>
        <v>112</v>
      </c>
      <c r="W282" s="5" t="str">
        <f>VLOOKUP($A282,'SegEnds_NonXtal_Prot#'!$A:$AL,18,FALSE)</f>
        <v>-</v>
      </c>
      <c r="X282" s="5">
        <f>VLOOKUP($A282,'SegEnds_NonXtal_Prot#'!$A:$AL,21,FALSE)</f>
        <v>155</v>
      </c>
      <c r="Y282" s="5">
        <f>VLOOKUP($A282,'SegEnds_NonXtal_Prot#'!$A:$AL,24,FALSE)</f>
        <v>192</v>
      </c>
      <c r="Z282" s="5">
        <f>VLOOKUP($A282,'SegEnds_NonXtal_Prot#'!$A:$AL,27,FALSE)</f>
        <v>200</v>
      </c>
      <c r="AA282" s="5">
        <f>VLOOKUP($A282,'SegEnds_NonXtal_Prot#'!$A:$AL,30,FALSE)</f>
        <v>252</v>
      </c>
      <c r="AB282" s="5">
        <f>VLOOKUP($A282,'SegEnds_NonXtal_Prot#'!$A:$AL,33,FALSE)</f>
        <v>298</v>
      </c>
      <c r="AC282" s="5">
        <f>VLOOKUP($A282,'SegEnds_NonXtal_Prot#'!$A:$AL,36,FALSE)</f>
        <v>324</v>
      </c>
      <c r="AD282" s="5">
        <f>VLOOKUP($A282,'SegEnds_NonXtal_Prot#'!$A:$AL,5,FALSE)</f>
        <v>69</v>
      </c>
      <c r="AE282" s="5">
        <f>VLOOKUP($A282,'SegEnds_NonXtal_Prot#'!$A:$AL,8,FALSE)</f>
        <v>73</v>
      </c>
      <c r="AF282" s="5">
        <f>VLOOKUP($A282,'SegEnds_NonXtal_Prot#'!$A:$AL,11,FALSE)</f>
        <v>105</v>
      </c>
      <c r="AG282" s="5">
        <f>VLOOKUP($A282,'SegEnds_NonXtal_Prot#'!$A:$AL,14,FALSE)</f>
        <v>111</v>
      </c>
      <c r="AH282" s="5">
        <f>VLOOKUP($A282,'SegEnds_NonXtal_Prot#'!$A:$AL,17,FALSE)</f>
        <v>148</v>
      </c>
      <c r="AI282" s="5" t="str">
        <f>VLOOKUP($A282,'SegEnds_NonXtal_Prot#'!$A:$AL,20,FALSE)</f>
        <v>-</v>
      </c>
      <c r="AJ282" s="5">
        <f>VLOOKUP($A282,'SegEnds_NonXtal_Prot#'!$A:$AL,23,FALSE)</f>
        <v>181</v>
      </c>
      <c r="AK282" s="5">
        <f>VLOOKUP($A282,'SegEnds_NonXtal_Prot#'!$A:$AL,26,FALSE)</f>
        <v>194</v>
      </c>
      <c r="AL282" s="5">
        <f>VLOOKUP($A282,'SegEnds_NonXtal_Prot#'!$A:$AL,29,FALSE)</f>
        <v>241</v>
      </c>
      <c r="AM282" s="5">
        <f>VLOOKUP($A282,'SegEnds_NonXtal_Prot#'!$A:$AL,32,FALSE)</f>
        <v>292</v>
      </c>
      <c r="AN282" s="5">
        <f>VLOOKUP($A282,'SegEnds_NonXtal_Prot#'!$A:$AL,35,FALSE)</f>
        <v>323</v>
      </c>
      <c r="AO282" s="5">
        <f>VLOOKUP($A282,'SegEnds_NonXtal_Prot#'!$A:$AL,38,FALSE)</f>
        <v>340</v>
      </c>
      <c r="AP282" s="5">
        <f t="shared" si="113"/>
        <v>28</v>
      </c>
      <c r="AQ282" s="4">
        <f t="shared" si="114"/>
        <v>3</v>
      </c>
      <c r="AR282" s="4">
        <f t="shared" si="115"/>
        <v>31</v>
      </c>
      <c r="AS282" s="4">
        <f t="shared" si="116"/>
        <v>3</v>
      </c>
      <c r="AT282" s="4">
        <f t="shared" si="117"/>
        <v>36</v>
      </c>
      <c r="AU282" s="4" t="str">
        <f t="shared" si="118"/>
        <v>-</v>
      </c>
      <c r="AV282" s="4">
        <f t="shared" si="119"/>
        <v>26</v>
      </c>
      <c r="AW282" s="4">
        <f t="shared" si="120"/>
        <v>2</v>
      </c>
      <c r="AX282" s="4">
        <f t="shared" si="121"/>
        <v>41</v>
      </c>
      <c r="AY282" s="4">
        <f t="shared" si="122"/>
        <v>40</v>
      </c>
      <c r="AZ282" s="4">
        <f t="shared" si="123"/>
        <v>25</v>
      </c>
      <c r="BA282" s="4">
        <f t="shared" si="124"/>
        <v>16</v>
      </c>
    </row>
    <row r="283" spans="1:53" x14ac:dyDescent="0.2">
      <c r="A283" s="1" t="str">
        <f>'SegEnds_NonXtal_Prot#'!A275</f>
        <v>gpbar_human</v>
      </c>
      <c r="B283" s="1" t="str">
        <f t="shared" si="100"/>
        <v>PIPKGALGLSLALASLIITANLLLALGIAWDSPPAGCFFLSLLLAGLLTGLALPTLPGLWNQSCLLVYLAPNFSFLSLLANLLLVHGERYMAVLRPPGSIRLALLLTWAGPLLFASLPALGFPAPYLYLEVYGLLLPAVGAAAFLSVRVLATAHRQLQDICEPSALARALTWRQARAQAGAMLLFGLCWGPYVATLLLSVLALGPGTLLSLLSLGSASAAAVPVAMGLGDQRYTAPWRAAAQ</v>
      </c>
      <c r="C283" s="29" t="str">
        <f>IF(ISERROR(MATCH(A283,'SegEnds_Xtal_Prot#'!B:B, 0)), "NoXtal", "Xtal")</f>
        <v>NoXtal</v>
      </c>
      <c r="D283" s="4" t="str">
        <f>VLOOKUP(A283,Classification!A:D,2,FALSE)</f>
        <v>A</v>
      </c>
      <c r="E283" s="5" t="str">
        <f>VLOOKUP(A283,Seqs!A:B,2,FALSE)</f>
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</c>
      <c r="F283" s="5" t="str">
        <f t="shared" si="101"/>
        <v>PIPKGALGLSLALASLIITANLLLALGIAWD</v>
      </c>
      <c r="G283" s="4" t="str">
        <f t="shared" si="102"/>
        <v>RRLR</v>
      </c>
      <c r="H283" s="4" t="str">
        <f t="shared" si="103"/>
        <v>SPPAGCFFLSLLLAGLLTGLALPTLPGLWNQ</v>
      </c>
      <c r="I283" s="4" t="str">
        <f t="shared" si="104"/>
        <v/>
      </c>
      <c r="J283" s="4" t="str">
        <f t="shared" si="105"/>
        <v>SCLLVYLAPNFSFLSLLANLLLVHGERYMAVLR</v>
      </c>
      <c r="K283" s="4" t="str">
        <f t="shared" si="106"/>
        <v/>
      </c>
      <c r="L283" s="4" t="str">
        <f t="shared" si="107"/>
        <v>PPGSIRLALLLTWAGPLLFASLPALG</v>
      </c>
      <c r="M283" s="4" t="str">
        <f t="shared" si="108"/>
        <v>CSS</v>
      </c>
      <c r="N283" s="4" t="str">
        <f t="shared" si="109"/>
        <v>FPAPYLYLEVYGLLLPAVGAAAFLSVRVLATAHRQLQDIC</v>
      </c>
      <c r="O283" s="4" t="str">
        <f t="shared" si="110"/>
        <v>EPSALARALTWRQARAQAGAMLLFGLCWGPYVATLLLSVLA</v>
      </c>
      <c r="P283" s="4" t="str">
        <f t="shared" si="111"/>
        <v>LGPGTLLSLLSLGSASAAAVPVAMGLG</v>
      </c>
      <c r="Q283" s="4" t="str">
        <f t="shared" si="112"/>
        <v>DQRYTAPWRAAAQ</v>
      </c>
      <c r="R283" s="5">
        <f>VLOOKUP($A283,'SegEnds_NonXtal_Prot#'!$A:$AL,3,FALSE)</f>
        <v>12</v>
      </c>
      <c r="S283" s="5">
        <f>VLOOKUP($A283,'SegEnds_NonXtal_Prot#'!$A:$AL,6,FALSE)</f>
        <v>43</v>
      </c>
      <c r="T283" s="5">
        <f>VLOOKUP($A283,'SegEnds_NonXtal_Prot#'!$A:$AL,9,FALSE)</f>
        <v>47</v>
      </c>
      <c r="U283" s="5" t="str">
        <f>VLOOKUP($A283,'SegEnds_NonXtal_Prot#'!$A:$AL,12,FALSE)</f>
        <v>-</v>
      </c>
      <c r="V283" s="5">
        <f>VLOOKUP($A283,'SegEnds_NonXtal_Prot#'!$A:$AL,15,FALSE)</f>
        <v>84</v>
      </c>
      <c r="W283" s="5" t="str">
        <f>VLOOKUP($A283,'SegEnds_NonXtal_Prot#'!$A:$AL,18,FALSE)</f>
        <v>-</v>
      </c>
      <c r="X283" s="5">
        <f>VLOOKUP($A283,'SegEnds_NonXtal_Prot#'!$A:$AL,21,FALSE)</f>
        <v>120</v>
      </c>
      <c r="Y283" s="5">
        <f>VLOOKUP($A283,'SegEnds_NonXtal_Prot#'!$A:$AL,24,FALSE)</f>
        <v>155</v>
      </c>
      <c r="Z283" s="5">
        <f>VLOOKUP($A283,'SegEnds_NonXtal_Prot#'!$A:$AL,27,FALSE)</f>
        <v>161</v>
      </c>
      <c r="AA283" s="5">
        <f>VLOOKUP($A283,'SegEnds_NonXtal_Prot#'!$A:$AL,30,FALSE)</f>
        <v>210</v>
      </c>
      <c r="AB283" s="5">
        <f>VLOOKUP($A283,'SegEnds_NonXtal_Prot#'!$A:$AL,33,FALSE)</f>
        <v>257</v>
      </c>
      <c r="AC283" s="5">
        <f>VLOOKUP($A283,'SegEnds_NonXtal_Prot#'!$A:$AL,36,FALSE)</f>
        <v>284</v>
      </c>
      <c r="AD283" s="5">
        <f>VLOOKUP($A283,'SegEnds_NonXtal_Prot#'!$A:$AL,5,FALSE)</f>
        <v>42</v>
      </c>
      <c r="AE283" s="5">
        <f>VLOOKUP($A283,'SegEnds_NonXtal_Prot#'!$A:$AL,8,FALSE)</f>
        <v>46</v>
      </c>
      <c r="AF283" s="5">
        <f>VLOOKUP($A283,'SegEnds_NonXtal_Prot#'!$A:$AL,11,FALSE)</f>
        <v>77</v>
      </c>
      <c r="AG283" s="5" t="str">
        <f>VLOOKUP($A283,'SegEnds_NonXtal_Prot#'!$A:$AL,14,FALSE)</f>
        <v>-</v>
      </c>
      <c r="AH283" s="5">
        <f>VLOOKUP($A283,'SegEnds_NonXtal_Prot#'!$A:$AL,17,FALSE)</f>
        <v>116</v>
      </c>
      <c r="AI283" s="5" t="str">
        <f>VLOOKUP($A283,'SegEnds_NonXtal_Prot#'!$A:$AL,20,FALSE)</f>
        <v>-</v>
      </c>
      <c r="AJ283" s="5">
        <f>VLOOKUP($A283,'SegEnds_NonXtal_Prot#'!$A:$AL,23,FALSE)</f>
        <v>145</v>
      </c>
      <c r="AK283" s="5">
        <f>VLOOKUP($A283,'SegEnds_NonXtal_Prot#'!$A:$AL,26,FALSE)</f>
        <v>157</v>
      </c>
      <c r="AL283" s="5">
        <f>VLOOKUP($A283,'SegEnds_NonXtal_Prot#'!$A:$AL,29,FALSE)</f>
        <v>200</v>
      </c>
      <c r="AM283" s="5">
        <f>VLOOKUP($A283,'SegEnds_NonXtal_Prot#'!$A:$AL,32,FALSE)</f>
        <v>250</v>
      </c>
      <c r="AN283" s="5">
        <f>VLOOKUP($A283,'SegEnds_NonXtal_Prot#'!$A:$AL,35,FALSE)</f>
        <v>283</v>
      </c>
      <c r="AO283" s="5">
        <f>VLOOKUP($A283,'SegEnds_NonXtal_Prot#'!$A:$AL,38,FALSE)</f>
        <v>296</v>
      </c>
      <c r="AP283" s="5">
        <f t="shared" si="113"/>
        <v>30</v>
      </c>
      <c r="AQ283" s="4">
        <f t="shared" si="114"/>
        <v>3</v>
      </c>
      <c r="AR283" s="4">
        <f t="shared" si="115"/>
        <v>30</v>
      </c>
      <c r="AS283" s="4" t="str">
        <f t="shared" si="116"/>
        <v>-</v>
      </c>
      <c r="AT283" s="4">
        <f t="shared" si="117"/>
        <v>32</v>
      </c>
      <c r="AU283" s="4" t="str">
        <f t="shared" si="118"/>
        <v>-</v>
      </c>
      <c r="AV283" s="4">
        <f t="shared" si="119"/>
        <v>25</v>
      </c>
      <c r="AW283" s="4">
        <f t="shared" si="120"/>
        <v>2</v>
      </c>
      <c r="AX283" s="4">
        <f t="shared" si="121"/>
        <v>39</v>
      </c>
      <c r="AY283" s="4">
        <f t="shared" si="122"/>
        <v>40</v>
      </c>
      <c r="AZ283" s="4">
        <f t="shared" si="123"/>
        <v>26</v>
      </c>
      <c r="BA283" s="4">
        <f t="shared" si="124"/>
        <v>12</v>
      </c>
    </row>
    <row r="284" spans="1:53" x14ac:dyDescent="0.2">
      <c r="A284" s="1" t="str">
        <f>'SegEnds_NonXtal_Prot#'!A276</f>
        <v>gpr45_human</v>
      </c>
      <c r="B284" s="1" t="str">
        <f t="shared" si="100"/>
        <v>PAPLRISLAIVMLLMTVVGFLGNTVVCIIVYQRSAINLLLATLAFSDIMLSLCCMPFTAVTLITVGDHFCRLSATLYWFFVLEGVAILLIISVDRFLIIVQNPRRAKVIIAVSWVLSFCIAGPSLTGDRAYVVTLVVAVFFAPFGVMLCAYMCILNTVRKNAVRVHNQSSVDLSFKTKAFTTILILFVGFSLCWLPHSVYSLLSVFSFYATSTCVLWLSYLKSVFNPIVYCWRIKKFREACIELL</v>
      </c>
      <c r="C284" s="29" t="str">
        <f>IF(ISERROR(MATCH(A284,'SegEnds_Xtal_Prot#'!B:B, 0)), "NoXtal", "Xtal")</f>
        <v>NoXtal</v>
      </c>
      <c r="D284" s="4" t="str">
        <f>VLOOKUP(A284,Classification!A:D,2,FALSE)</f>
        <v>A</v>
      </c>
      <c r="E284" s="5" t="str">
        <f>VLOOKUP(A284,Seqs!A:B,2,FALSE)</f>
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</c>
      <c r="F284" s="5" t="str">
        <f t="shared" si="101"/>
        <v>PAPLRISLAIVMLLMTVVGFLGNTVVCIIVYQR</v>
      </c>
      <c r="G284" s="4" t="str">
        <f t="shared" si="102"/>
        <v>PAMR</v>
      </c>
      <c r="H284" s="4" t="str">
        <f t="shared" si="103"/>
        <v>SAINLLLATLAFSDIMLSLCCMPFTAVTLITV</v>
      </c>
      <c r="I284" s="4" t="str">
        <f t="shared" si="104"/>
        <v>RWHF</v>
      </c>
      <c r="J284" s="4" t="str">
        <f t="shared" si="105"/>
        <v>GDHFCRLSATLYWFFVLEGVAILLIISVDRFLIIVQ</v>
      </c>
      <c r="K284" s="4" t="str">
        <f t="shared" si="106"/>
        <v/>
      </c>
      <c r="L284" s="4" t="str">
        <f t="shared" si="107"/>
        <v>NPRRAKVIIAVSWVLSFCIAGPSLTG</v>
      </c>
      <c r="M284" s="4" t="str">
        <f t="shared" si="108"/>
        <v>CVL</v>
      </c>
      <c r="N284" s="4" t="str">
        <f t="shared" si="109"/>
        <v>DRAYVVTLVVAVFFAPFGVMLCAYMCILNTVRKNAVRVHNQS</v>
      </c>
      <c r="O284" s="4" t="str">
        <f t="shared" si="110"/>
        <v>SVDLSFKTKAFTTILILFVGFSLCWLPHSVYSLLSVFS</v>
      </c>
      <c r="P284" s="4" t="str">
        <f t="shared" si="111"/>
        <v>FYATSTCVLWLSYLKSVFNPIVYCWR</v>
      </c>
      <c r="Q284" s="4" t="str">
        <f t="shared" si="112"/>
        <v>IKKFREACIELL</v>
      </c>
      <c r="R284" s="5">
        <f>VLOOKUP($A284,'SegEnds_NonXtal_Prot#'!$A:$AL,3,FALSE)</f>
        <v>30</v>
      </c>
      <c r="S284" s="5">
        <f>VLOOKUP($A284,'SegEnds_NonXtal_Prot#'!$A:$AL,6,FALSE)</f>
        <v>63</v>
      </c>
      <c r="T284" s="5">
        <f>VLOOKUP($A284,'SegEnds_NonXtal_Prot#'!$A:$AL,9,FALSE)</f>
        <v>67</v>
      </c>
      <c r="U284" s="5">
        <f>VLOOKUP($A284,'SegEnds_NonXtal_Prot#'!$A:$AL,12,FALSE)</f>
        <v>99</v>
      </c>
      <c r="V284" s="5">
        <f>VLOOKUP($A284,'SegEnds_NonXtal_Prot#'!$A:$AL,15,FALSE)</f>
        <v>103</v>
      </c>
      <c r="W284" s="5" t="str">
        <f>VLOOKUP($A284,'SegEnds_NonXtal_Prot#'!$A:$AL,18,FALSE)</f>
        <v>-</v>
      </c>
      <c r="X284" s="5">
        <f>VLOOKUP($A284,'SegEnds_NonXtal_Prot#'!$A:$AL,21,FALSE)</f>
        <v>144</v>
      </c>
      <c r="Y284" s="5">
        <f>VLOOKUP($A284,'SegEnds_NonXtal_Prot#'!$A:$AL,24,FALSE)</f>
        <v>182</v>
      </c>
      <c r="Z284" s="5">
        <f>VLOOKUP($A284,'SegEnds_NonXtal_Prot#'!$A:$AL,27,FALSE)</f>
        <v>192</v>
      </c>
      <c r="AA284" s="5">
        <f>VLOOKUP($A284,'SegEnds_NonXtal_Prot#'!$A:$AL,30,FALSE)</f>
        <v>256</v>
      </c>
      <c r="AB284" s="5">
        <f>VLOOKUP($A284,'SegEnds_NonXtal_Prot#'!$A:$AL,33,FALSE)</f>
        <v>302</v>
      </c>
      <c r="AC284" s="5">
        <f>VLOOKUP($A284,'SegEnds_NonXtal_Prot#'!$A:$AL,36,FALSE)</f>
        <v>328</v>
      </c>
      <c r="AD284" s="5">
        <f>VLOOKUP($A284,'SegEnds_NonXtal_Prot#'!$A:$AL,5,FALSE)</f>
        <v>62</v>
      </c>
      <c r="AE284" s="5">
        <f>VLOOKUP($A284,'SegEnds_NonXtal_Prot#'!$A:$AL,8,FALSE)</f>
        <v>66</v>
      </c>
      <c r="AF284" s="5">
        <f>VLOOKUP($A284,'SegEnds_NonXtal_Prot#'!$A:$AL,11,FALSE)</f>
        <v>98</v>
      </c>
      <c r="AG284" s="5">
        <f>VLOOKUP($A284,'SegEnds_NonXtal_Prot#'!$A:$AL,14,FALSE)</f>
        <v>102</v>
      </c>
      <c r="AH284" s="5">
        <f>VLOOKUP($A284,'SegEnds_NonXtal_Prot#'!$A:$AL,17,FALSE)</f>
        <v>138</v>
      </c>
      <c r="AI284" s="5" t="str">
        <f>VLOOKUP($A284,'SegEnds_NonXtal_Prot#'!$A:$AL,20,FALSE)</f>
        <v>-</v>
      </c>
      <c r="AJ284" s="5">
        <f>VLOOKUP($A284,'SegEnds_NonXtal_Prot#'!$A:$AL,23,FALSE)</f>
        <v>169</v>
      </c>
      <c r="AK284" s="5">
        <f>VLOOKUP($A284,'SegEnds_NonXtal_Prot#'!$A:$AL,26,FALSE)</f>
        <v>184</v>
      </c>
      <c r="AL284" s="5">
        <f>VLOOKUP($A284,'SegEnds_NonXtal_Prot#'!$A:$AL,29,FALSE)</f>
        <v>233</v>
      </c>
      <c r="AM284" s="5">
        <f>VLOOKUP($A284,'SegEnds_NonXtal_Prot#'!$A:$AL,32,FALSE)</f>
        <v>293</v>
      </c>
      <c r="AN284" s="5">
        <f>VLOOKUP($A284,'SegEnds_NonXtal_Prot#'!$A:$AL,35,FALSE)</f>
        <v>327</v>
      </c>
      <c r="AO284" s="5">
        <f>VLOOKUP($A284,'SegEnds_NonXtal_Prot#'!$A:$AL,38,FALSE)</f>
        <v>339</v>
      </c>
      <c r="AP284" s="5">
        <f t="shared" si="113"/>
        <v>32</v>
      </c>
      <c r="AQ284" s="4">
        <f t="shared" si="114"/>
        <v>3</v>
      </c>
      <c r="AR284" s="4">
        <f t="shared" si="115"/>
        <v>31</v>
      </c>
      <c r="AS284" s="4">
        <f t="shared" si="116"/>
        <v>3</v>
      </c>
      <c r="AT284" s="4">
        <f t="shared" si="117"/>
        <v>35</v>
      </c>
      <c r="AU284" s="4" t="str">
        <f t="shared" si="118"/>
        <v>-</v>
      </c>
      <c r="AV284" s="4">
        <f t="shared" si="119"/>
        <v>25</v>
      </c>
      <c r="AW284" s="4">
        <f t="shared" si="120"/>
        <v>2</v>
      </c>
      <c r="AX284" s="4">
        <f t="shared" si="121"/>
        <v>41</v>
      </c>
      <c r="AY284" s="4">
        <f t="shared" si="122"/>
        <v>37</v>
      </c>
      <c r="AZ284" s="4">
        <f t="shared" si="123"/>
        <v>25</v>
      </c>
      <c r="BA284" s="4">
        <f t="shared" si="124"/>
        <v>11</v>
      </c>
    </row>
    <row r="285" spans="1:53" x14ac:dyDescent="0.2">
      <c r="A285" s="1" t="str">
        <f>'SegEnds_NonXtal_Prot#'!A277</f>
        <v>gpr62_human</v>
      </c>
      <c r="B285" s="1" t="str">
        <f t="shared" si="100"/>
        <v>EVAGSLGLILAAVVEVGALLGNGALLVVVLRTLRDALYLAHLCVVDLLAAASIMPLGLLAAPPVRLGPAPCRAARFLSAALLPACTLGVAALGLARYRLIVHSRPPPVLVLTAVWAAAGLLGALSLLGLGPFRPLWALLAFALPALLLLGAYGGIFVVARRAALRPPRPALRPRLPGGKAALAPALAVGQFAACWLPYGCACLAPEAAVTWVAYSAFAAHPFLYGLLQRPVRLALGRLSR</v>
      </c>
      <c r="C285" s="29" t="str">
        <f>IF(ISERROR(MATCH(A285,'SegEnds_Xtal_Prot#'!B:B, 0)), "NoXtal", "Xtal")</f>
        <v>NoXtal</v>
      </c>
      <c r="D285" s="4" t="str">
        <f>VLOOKUP(A285,Classification!A:D,2,FALSE)</f>
        <v>A</v>
      </c>
      <c r="E285" s="5" t="str">
        <f>VLOOKUP(A285,Seqs!A:B,2,FALSE)</f>
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</c>
      <c r="F285" s="5" t="str">
        <f t="shared" si="101"/>
        <v>EVAGSLGLILAAVVEVGALLGNGALLVVVLRT</v>
      </c>
      <c r="G285" s="4" t="str">
        <f t="shared" si="102"/>
        <v/>
      </c>
      <c r="H285" s="4" t="str">
        <f t="shared" si="103"/>
        <v>LRDALYLAHLCVVDLLAAASIMPLGLLAAPP</v>
      </c>
      <c r="I285" s="4" t="str">
        <f t="shared" si="104"/>
        <v/>
      </c>
      <c r="J285" s="4" t="str">
        <f t="shared" si="105"/>
        <v>VRLGPAPCRAARFLSAALLPACTLGVAALGLARYRLIVH</v>
      </c>
      <c r="K285" s="4" t="str">
        <f t="shared" si="106"/>
        <v/>
      </c>
      <c r="L285" s="4" t="str">
        <f t="shared" si="107"/>
        <v>SRPPPVLVLTAVWAAAGLLGALSLLG</v>
      </c>
      <c r="M285" s="4" t="str">
        <f t="shared" si="108"/>
        <v>CSV</v>
      </c>
      <c r="N285" s="4" t="str">
        <f t="shared" si="109"/>
        <v>LGPFRPLWALLAFALPALLLLGAYGGIFVVARRAALRPPRPA</v>
      </c>
      <c r="O285" s="4" t="str">
        <f t="shared" si="110"/>
        <v>LRPRLPGGKAALAPALAVGQFAACWLPYGCACLAP</v>
      </c>
      <c r="P285" s="4" t="str">
        <f t="shared" si="111"/>
        <v>EAAVTWVAYSAFAAHPFLYGLL</v>
      </c>
      <c r="Q285" s="4" t="str">
        <f t="shared" si="112"/>
        <v>QRPVRLALGRLSR</v>
      </c>
      <c r="R285" s="5">
        <f>VLOOKUP($A285,'SegEnds_NonXtal_Prot#'!$A:$AL,3,FALSE)</f>
        <v>11</v>
      </c>
      <c r="S285" s="5" t="str">
        <f>VLOOKUP($A285,'SegEnds_NonXtal_Prot#'!$A:$AL,6,FALSE)</f>
        <v>-</v>
      </c>
      <c r="T285" s="5">
        <f>VLOOKUP($A285,'SegEnds_NonXtal_Prot#'!$A:$AL,9,FALSE)</f>
        <v>45</v>
      </c>
      <c r="U285" s="5" t="str">
        <f>VLOOKUP($A285,'SegEnds_NonXtal_Prot#'!$A:$AL,12,FALSE)</f>
        <v>-</v>
      </c>
      <c r="V285" s="5">
        <f>VLOOKUP($A285,'SegEnds_NonXtal_Prot#'!$A:$AL,15,FALSE)</f>
        <v>81</v>
      </c>
      <c r="W285" s="5" t="str">
        <f>VLOOKUP($A285,'SegEnds_NonXtal_Prot#'!$A:$AL,18,FALSE)</f>
        <v>-</v>
      </c>
      <c r="X285" s="5">
        <f>VLOOKUP($A285,'SegEnds_NonXtal_Prot#'!$A:$AL,21,FALSE)</f>
        <v>125</v>
      </c>
      <c r="Y285" s="5">
        <f>VLOOKUP($A285,'SegEnds_NonXtal_Prot#'!$A:$AL,24,FALSE)</f>
        <v>162</v>
      </c>
      <c r="Z285" s="5">
        <f>VLOOKUP($A285,'SegEnds_NonXtal_Prot#'!$A:$AL,27,FALSE)</f>
        <v>169</v>
      </c>
      <c r="AA285" s="5">
        <f>VLOOKUP($A285,'SegEnds_NonXtal_Prot#'!$A:$AL,30,FALSE)</f>
        <v>230</v>
      </c>
      <c r="AB285" s="5">
        <f>VLOOKUP($A285,'SegEnds_NonXtal_Prot#'!$A:$AL,33,FALSE)</f>
        <v>272</v>
      </c>
      <c r="AC285" s="5">
        <f>VLOOKUP($A285,'SegEnds_NonXtal_Prot#'!$A:$AL,36,FALSE)</f>
        <v>294</v>
      </c>
      <c r="AD285" s="5">
        <f>VLOOKUP($A285,'SegEnds_NonXtal_Prot#'!$A:$AL,5,FALSE)</f>
        <v>42</v>
      </c>
      <c r="AE285" s="5" t="str">
        <f>VLOOKUP($A285,'SegEnds_NonXtal_Prot#'!$A:$AL,8,FALSE)</f>
        <v>-</v>
      </c>
      <c r="AF285" s="5">
        <f>VLOOKUP($A285,'SegEnds_NonXtal_Prot#'!$A:$AL,11,FALSE)</f>
        <v>75</v>
      </c>
      <c r="AG285" s="5" t="str">
        <f>VLOOKUP($A285,'SegEnds_NonXtal_Prot#'!$A:$AL,14,FALSE)</f>
        <v>-</v>
      </c>
      <c r="AH285" s="5">
        <f>VLOOKUP($A285,'SegEnds_NonXtal_Prot#'!$A:$AL,17,FALSE)</f>
        <v>119</v>
      </c>
      <c r="AI285" s="5" t="str">
        <f>VLOOKUP($A285,'SegEnds_NonXtal_Prot#'!$A:$AL,20,FALSE)</f>
        <v>-</v>
      </c>
      <c r="AJ285" s="5">
        <f>VLOOKUP($A285,'SegEnds_NonXtal_Prot#'!$A:$AL,23,FALSE)</f>
        <v>150</v>
      </c>
      <c r="AK285" s="5">
        <f>VLOOKUP($A285,'SegEnds_NonXtal_Prot#'!$A:$AL,26,FALSE)</f>
        <v>164</v>
      </c>
      <c r="AL285" s="5">
        <f>VLOOKUP($A285,'SegEnds_NonXtal_Prot#'!$A:$AL,29,FALSE)</f>
        <v>210</v>
      </c>
      <c r="AM285" s="5">
        <f>VLOOKUP($A285,'SegEnds_NonXtal_Prot#'!$A:$AL,32,FALSE)</f>
        <v>264</v>
      </c>
      <c r="AN285" s="5">
        <f>VLOOKUP($A285,'SegEnds_NonXtal_Prot#'!$A:$AL,35,FALSE)</f>
        <v>293</v>
      </c>
      <c r="AO285" s="5">
        <f>VLOOKUP($A285,'SegEnds_NonXtal_Prot#'!$A:$AL,38,FALSE)</f>
        <v>306</v>
      </c>
      <c r="AP285" s="5">
        <f t="shared" si="113"/>
        <v>31</v>
      </c>
      <c r="AQ285" s="4" t="str">
        <f t="shared" si="114"/>
        <v>-</v>
      </c>
      <c r="AR285" s="4">
        <f t="shared" si="115"/>
        <v>30</v>
      </c>
      <c r="AS285" s="4" t="str">
        <f t="shared" si="116"/>
        <v>-</v>
      </c>
      <c r="AT285" s="4">
        <f t="shared" si="117"/>
        <v>38</v>
      </c>
      <c r="AU285" s="4" t="str">
        <f t="shared" si="118"/>
        <v>-</v>
      </c>
      <c r="AV285" s="4">
        <f t="shared" si="119"/>
        <v>25</v>
      </c>
      <c r="AW285" s="4">
        <f t="shared" si="120"/>
        <v>2</v>
      </c>
      <c r="AX285" s="4">
        <f t="shared" si="121"/>
        <v>41</v>
      </c>
      <c r="AY285" s="4">
        <f t="shared" si="122"/>
        <v>34</v>
      </c>
      <c r="AZ285" s="4">
        <f t="shared" si="123"/>
        <v>21</v>
      </c>
      <c r="BA285" s="4">
        <f t="shared" si="124"/>
        <v>12</v>
      </c>
    </row>
    <row r="286" spans="1:53" x14ac:dyDescent="0.2">
      <c r="A286" s="1" t="str">
        <f>'SegEnds_NonXtal_Prot#'!A278</f>
        <v>gpr63_human</v>
      </c>
      <c r="B286" s="1" t="str">
        <f t="shared" si="100"/>
        <v>LPLQITLSAIMIFILFVSFLGNLVVCLMVYQKSAINILLASLAFADMLLAVLNMPFALVTILTTGKFFCRVSAMFFWLFVIEGVAILLIISIDRFLIIVQNPYRAKVLIAVSWATSFCVAFPLAVYQAYVILISLISFFIPFLVILYSFMGILNTLRHNALRIHSYPSIDMGFKTRAFTTILILFAVFIVCWAPFTTYSLVATFSFFEISTWLLWLCYLKSALNPLIYYWRIKKFHDACLDMMP</v>
      </c>
      <c r="C286" s="29" t="str">
        <f>IF(ISERROR(MATCH(A286,'SegEnds_Xtal_Prot#'!B:B, 0)), "NoXtal", "Xtal")</f>
        <v>NoXtal</v>
      </c>
      <c r="D286" s="4" t="str">
        <f>VLOOKUP(A286,Classification!A:D,2,FALSE)</f>
        <v>A</v>
      </c>
      <c r="E286" s="5" t="str">
        <f>VLOOKUP(A286,Seqs!A:B,2,FALSE)</f>
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</c>
      <c r="F286" s="5" t="str">
        <f t="shared" si="101"/>
        <v>LPLQITLSAIMIFILFVSFLGNLVVCLMVYQK</v>
      </c>
      <c r="G286" s="4" t="str">
        <f t="shared" si="102"/>
        <v>AAMR</v>
      </c>
      <c r="H286" s="4" t="str">
        <f t="shared" si="103"/>
        <v>SAINILLASLAFADMLLAVLNMPFALVTILTT</v>
      </c>
      <c r="I286" s="4" t="str">
        <f t="shared" si="104"/>
        <v>RWIF</v>
      </c>
      <c r="J286" s="4" t="str">
        <f t="shared" si="105"/>
        <v>GKFFCRVSAMFFWLFVIEGVAILLIISIDRFLIIVQ</v>
      </c>
      <c r="K286" s="4" t="str">
        <f t="shared" si="106"/>
        <v/>
      </c>
      <c r="L286" s="4" t="str">
        <f t="shared" si="107"/>
        <v>NPYRAKVLIAVSWATSFCVAFPLAV</v>
      </c>
      <c r="M286" s="4" t="str">
        <f t="shared" si="108"/>
        <v>CVF</v>
      </c>
      <c r="N286" s="4" t="str">
        <f t="shared" si="109"/>
        <v>YQAYVILISLISFFIPFLVILYSFMGILNTLRHNALRIHSYP</v>
      </c>
      <c r="O286" s="4" t="str">
        <f t="shared" si="110"/>
        <v>SIDMGFKTRAFTTILILFAVFIVCWAPFTTYSLVATFS</v>
      </c>
      <c r="P286" s="4" t="str">
        <f t="shared" si="111"/>
        <v>FFEISTWLLWLCYLKSALNPLIYYWR</v>
      </c>
      <c r="Q286" s="4" t="str">
        <f t="shared" si="112"/>
        <v>IKKFHDACLDMMP</v>
      </c>
      <c r="R286" s="5">
        <f>VLOOKUP($A286,'SegEnds_NonXtal_Prot#'!$A:$AL,3,FALSE)</f>
        <v>78</v>
      </c>
      <c r="S286" s="5">
        <f>VLOOKUP($A286,'SegEnds_NonXtal_Prot#'!$A:$AL,6,FALSE)</f>
        <v>110</v>
      </c>
      <c r="T286" s="5">
        <f>VLOOKUP($A286,'SegEnds_NonXtal_Prot#'!$A:$AL,9,FALSE)</f>
        <v>114</v>
      </c>
      <c r="U286" s="5">
        <f>VLOOKUP($A286,'SegEnds_NonXtal_Prot#'!$A:$AL,12,FALSE)</f>
        <v>146</v>
      </c>
      <c r="V286" s="5">
        <f>VLOOKUP($A286,'SegEnds_NonXtal_Prot#'!$A:$AL,15,FALSE)</f>
        <v>150</v>
      </c>
      <c r="W286" s="5" t="str">
        <f>VLOOKUP($A286,'SegEnds_NonXtal_Prot#'!$A:$AL,18,FALSE)</f>
        <v>-</v>
      </c>
      <c r="X286" s="5">
        <f>VLOOKUP($A286,'SegEnds_NonXtal_Prot#'!$A:$AL,21,FALSE)</f>
        <v>191</v>
      </c>
      <c r="Y286" s="5">
        <f>VLOOKUP($A286,'SegEnds_NonXtal_Prot#'!$A:$AL,24,FALSE)</f>
        <v>229</v>
      </c>
      <c r="Z286" s="5">
        <f>VLOOKUP($A286,'SegEnds_NonXtal_Prot#'!$A:$AL,27,FALSE)</f>
        <v>239</v>
      </c>
      <c r="AA286" s="5">
        <f>VLOOKUP($A286,'SegEnds_NonXtal_Prot#'!$A:$AL,30,FALSE)</f>
        <v>303</v>
      </c>
      <c r="AB286" s="5">
        <f>VLOOKUP($A286,'SegEnds_NonXtal_Prot#'!$A:$AL,33,FALSE)</f>
        <v>349</v>
      </c>
      <c r="AC286" s="5">
        <f>VLOOKUP($A286,'SegEnds_NonXtal_Prot#'!$A:$AL,36,FALSE)</f>
        <v>375</v>
      </c>
      <c r="AD286" s="5">
        <f>VLOOKUP($A286,'SegEnds_NonXtal_Prot#'!$A:$AL,5,FALSE)</f>
        <v>109</v>
      </c>
      <c r="AE286" s="5">
        <f>VLOOKUP($A286,'SegEnds_NonXtal_Prot#'!$A:$AL,8,FALSE)</f>
        <v>113</v>
      </c>
      <c r="AF286" s="5">
        <f>VLOOKUP($A286,'SegEnds_NonXtal_Prot#'!$A:$AL,11,FALSE)</f>
        <v>145</v>
      </c>
      <c r="AG286" s="5">
        <f>VLOOKUP($A286,'SegEnds_NonXtal_Prot#'!$A:$AL,14,FALSE)</f>
        <v>149</v>
      </c>
      <c r="AH286" s="5">
        <f>VLOOKUP($A286,'SegEnds_NonXtal_Prot#'!$A:$AL,17,FALSE)</f>
        <v>185</v>
      </c>
      <c r="AI286" s="5" t="str">
        <f>VLOOKUP($A286,'SegEnds_NonXtal_Prot#'!$A:$AL,20,FALSE)</f>
        <v>-</v>
      </c>
      <c r="AJ286" s="5">
        <f>VLOOKUP($A286,'SegEnds_NonXtal_Prot#'!$A:$AL,23,FALSE)</f>
        <v>215</v>
      </c>
      <c r="AK286" s="5">
        <f>VLOOKUP($A286,'SegEnds_NonXtal_Prot#'!$A:$AL,26,FALSE)</f>
        <v>231</v>
      </c>
      <c r="AL286" s="5">
        <f>VLOOKUP($A286,'SegEnds_NonXtal_Prot#'!$A:$AL,29,FALSE)</f>
        <v>280</v>
      </c>
      <c r="AM286" s="5">
        <f>VLOOKUP($A286,'SegEnds_NonXtal_Prot#'!$A:$AL,32,FALSE)</f>
        <v>340</v>
      </c>
      <c r="AN286" s="5">
        <f>VLOOKUP($A286,'SegEnds_NonXtal_Prot#'!$A:$AL,35,FALSE)</f>
        <v>374</v>
      </c>
      <c r="AO286" s="5">
        <f>VLOOKUP($A286,'SegEnds_NonXtal_Prot#'!$A:$AL,38,FALSE)</f>
        <v>387</v>
      </c>
      <c r="AP286" s="5">
        <f t="shared" si="113"/>
        <v>31</v>
      </c>
      <c r="AQ286" s="4">
        <f t="shared" si="114"/>
        <v>3</v>
      </c>
      <c r="AR286" s="4">
        <f t="shared" si="115"/>
        <v>31</v>
      </c>
      <c r="AS286" s="4">
        <f t="shared" si="116"/>
        <v>3</v>
      </c>
      <c r="AT286" s="4">
        <f t="shared" si="117"/>
        <v>35</v>
      </c>
      <c r="AU286" s="4" t="str">
        <f t="shared" si="118"/>
        <v>-</v>
      </c>
      <c r="AV286" s="4">
        <f t="shared" si="119"/>
        <v>24</v>
      </c>
      <c r="AW286" s="4">
        <f t="shared" si="120"/>
        <v>2</v>
      </c>
      <c r="AX286" s="4">
        <f t="shared" si="121"/>
        <v>41</v>
      </c>
      <c r="AY286" s="4">
        <f t="shared" si="122"/>
        <v>37</v>
      </c>
      <c r="AZ286" s="4">
        <f t="shared" si="123"/>
        <v>25</v>
      </c>
      <c r="BA286" s="4">
        <f t="shared" si="124"/>
        <v>12</v>
      </c>
    </row>
    <row r="287" spans="1:53" x14ac:dyDescent="0.2">
      <c r="A287" s="1" t="str">
        <f>'SegEnds_NonXtal_Prot#'!A280</f>
        <v>gpr83_human</v>
      </c>
      <c r="B287" s="1" t="str">
        <f t="shared" si="100"/>
        <v>VKALLIVAYSFIIVFSLFGNVLVCHVIFKNSATSLFIVNLAVADIMITLLNTPFTLVRFVNSGKGMCHVSRFAQYCSLHVSALTLTAIAVDRHQVIMHSITKGVIYIAVIWTMATFFSLPHAICQLFWKYLDLATFILLYILPLLIISVAYARVAKKLWLCNMIGDQYFALRRKKKKTIKMLMLVVVLFALCWFPLNCYVLLLSSKNNALYFAFHWFAMSSTCYNPFIYCWLNENFRIELKALLSMCQR</v>
      </c>
      <c r="C287" s="29" t="str">
        <f>IF(ISERROR(MATCH(A287,'SegEnds_Xtal_Prot#'!B:B, 0)), "NoXtal", "Xtal")</f>
        <v>NoXtal</v>
      </c>
      <c r="D287" s="4" t="str">
        <f>VLOOKUP(A287,Classification!A:D,2,FALSE)</f>
        <v>A</v>
      </c>
      <c r="E287" s="5" t="str">
        <f>VLOOKUP(A287,Seqs!A:B,2,FALSE)</f>
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</c>
      <c r="F287" s="5" t="str">
        <f t="shared" si="101"/>
        <v>VKALLIVAYSFIIVFSLFGNVLVCHVIFKN</v>
      </c>
      <c r="G287" s="4" t="str">
        <f t="shared" si="102"/>
        <v>QRMH</v>
      </c>
      <c r="H287" s="4" t="str">
        <f t="shared" si="103"/>
        <v>SATSLFIVNLAVADIMITLLNTPFTLVRFVNS</v>
      </c>
      <c r="I287" s="4" t="str">
        <f t="shared" si="104"/>
        <v>TWIF</v>
      </c>
      <c r="J287" s="4" t="str">
        <f t="shared" si="105"/>
        <v>GKGMCHVSRFAQYCSLHVSALTLTAIAVDRHQVIMH</v>
      </c>
      <c r="K287" s="4" t="str">
        <f t="shared" si="106"/>
        <v/>
      </c>
      <c r="L287" s="4" t="str">
        <f t="shared" si="107"/>
        <v>SITKGVIYIAVIWTMATFFSLPHAICQ</v>
      </c>
      <c r="M287" s="4" t="str">
        <f t="shared" si="108"/>
        <v>CLP</v>
      </c>
      <c r="N287" s="4" t="str">
        <f t="shared" si="109"/>
        <v>LFWKYLDLATFILLYILPLLIISVAYARVAKKLWLCNMIGD</v>
      </c>
      <c r="O287" s="4" t="str">
        <f t="shared" si="110"/>
        <v>QYFALRRKKKKTIKMLMLVVVLFALCWFPLNCYVLLLSSK</v>
      </c>
      <c r="P287" s="4" t="str">
        <f t="shared" si="111"/>
        <v>NNALYFAFHWFAMSSTCYNPFIYCWL</v>
      </c>
      <c r="Q287" s="4" t="str">
        <f t="shared" si="112"/>
        <v>NENFRIELKALLSMCQR</v>
      </c>
      <c r="R287" s="5">
        <f>VLOOKUP($A287,'SegEnds_NonXtal_Prot#'!$A:$AL,3,FALSE)</f>
        <v>70</v>
      </c>
      <c r="S287" s="5">
        <f>VLOOKUP($A287,'SegEnds_NonXtal_Prot#'!$A:$AL,6,FALSE)</f>
        <v>100</v>
      </c>
      <c r="T287" s="5">
        <f>VLOOKUP($A287,'SegEnds_NonXtal_Prot#'!$A:$AL,9,FALSE)</f>
        <v>104</v>
      </c>
      <c r="U287" s="5">
        <f>VLOOKUP($A287,'SegEnds_NonXtal_Prot#'!$A:$AL,12,FALSE)</f>
        <v>136</v>
      </c>
      <c r="V287" s="5">
        <f>VLOOKUP($A287,'SegEnds_NonXtal_Prot#'!$A:$AL,15,FALSE)</f>
        <v>140</v>
      </c>
      <c r="W287" s="5" t="str">
        <f>VLOOKUP($A287,'SegEnds_NonXtal_Prot#'!$A:$AL,18,FALSE)</f>
        <v>-</v>
      </c>
      <c r="X287" s="5">
        <f>VLOOKUP($A287,'SegEnds_NonXtal_Prot#'!$A:$AL,21,FALSE)</f>
        <v>182</v>
      </c>
      <c r="Y287" s="5">
        <f>VLOOKUP($A287,'SegEnds_NonXtal_Prot#'!$A:$AL,24,FALSE)</f>
        <v>224</v>
      </c>
      <c r="Z287" s="5">
        <f>VLOOKUP($A287,'SegEnds_NonXtal_Prot#'!$A:$AL,27,FALSE)</f>
        <v>234</v>
      </c>
      <c r="AA287" s="5">
        <f>VLOOKUP($A287,'SegEnds_NonXtal_Prot#'!$A:$AL,30,FALSE)</f>
        <v>279</v>
      </c>
      <c r="AB287" s="5">
        <f>VLOOKUP($A287,'SegEnds_NonXtal_Prot#'!$A:$AL,33,FALSE)</f>
        <v>323</v>
      </c>
      <c r="AC287" s="5">
        <f>VLOOKUP($A287,'SegEnds_NonXtal_Prot#'!$A:$AL,36,FALSE)</f>
        <v>349</v>
      </c>
      <c r="AD287" s="5">
        <f>VLOOKUP($A287,'SegEnds_NonXtal_Prot#'!$A:$AL,5,FALSE)</f>
        <v>99</v>
      </c>
      <c r="AE287" s="5">
        <f>VLOOKUP($A287,'SegEnds_NonXtal_Prot#'!$A:$AL,8,FALSE)</f>
        <v>103</v>
      </c>
      <c r="AF287" s="5">
        <f>VLOOKUP($A287,'SegEnds_NonXtal_Prot#'!$A:$AL,11,FALSE)</f>
        <v>135</v>
      </c>
      <c r="AG287" s="5">
        <f>VLOOKUP($A287,'SegEnds_NonXtal_Prot#'!$A:$AL,14,FALSE)</f>
        <v>139</v>
      </c>
      <c r="AH287" s="5">
        <f>VLOOKUP($A287,'SegEnds_NonXtal_Prot#'!$A:$AL,17,FALSE)</f>
        <v>175</v>
      </c>
      <c r="AI287" s="5" t="str">
        <f>VLOOKUP($A287,'SegEnds_NonXtal_Prot#'!$A:$AL,20,FALSE)</f>
        <v>-</v>
      </c>
      <c r="AJ287" s="5">
        <f>VLOOKUP($A287,'SegEnds_NonXtal_Prot#'!$A:$AL,23,FALSE)</f>
        <v>208</v>
      </c>
      <c r="AK287" s="5">
        <f>VLOOKUP($A287,'SegEnds_NonXtal_Prot#'!$A:$AL,26,FALSE)</f>
        <v>226</v>
      </c>
      <c r="AL287" s="5">
        <f>VLOOKUP($A287,'SegEnds_NonXtal_Prot#'!$A:$AL,29,FALSE)</f>
        <v>274</v>
      </c>
      <c r="AM287" s="5">
        <f>VLOOKUP($A287,'SegEnds_NonXtal_Prot#'!$A:$AL,32,FALSE)</f>
        <v>318</v>
      </c>
      <c r="AN287" s="5">
        <f>VLOOKUP($A287,'SegEnds_NonXtal_Prot#'!$A:$AL,35,FALSE)</f>
        <v>348</v>
      </c>
      <c r="AO287" s="5">
        <f>VLOOKUP($A287,'SegEnds_NonXtal_Prot#'!$A:$AL,38,FALSE)</f>
        <v>365</v>
      </c>
      <c r="AP287" s="5">
        <f t="shared" si="113"/>
        <v>29</v>
      </c>
      <c r="AQ287" s="4">
        <f t="shared" si="114"/>
        <v>3</v>
      </c>
      <c r="AR287" s="4">
        <f t="shared" si="115"/>
        <v>31</v>
      </c>
      <c r="AS287" s="4">
        <f t="shared" si="116"/>
        <v>3</v>
      </c>
      <c r="AT287" s="4">
        <f t="shared" si="117"/>
        <v>35</v>
      </c>
      <c r="AU287" s="4" t="str">
        <f t="shared" si="118"/>
        <v>-</v>
      </c>
      <c r="AV287" s="4">
        <f t="shared" si="119"/>
        <v>26</v>
      </c>
      <c r="AW287" s="4">
        <f t="shared" si="120"/>
        <v>2</v>
      </c>
      <c r="AX287" s="4">
        <f t="shared" si="121"/>
        <v>40</v>
      </c>
      <c r="AY287" s="4">
        <f t="shared" si="122"/>
        <v>39</v>
      </c>
      <c r="AZ287" s="4">
        <f t="shared" si="123"/>
        <v>25</v>
      </c>
      <c r="BA287" s="4">
        <f t="shared" si="124"/>
        <v>16</v>
      </c>
    </row>
    <row r="288" spans="1:53" x14ac:dyDescent="0.2">
      <c r="A288" s="1" t="str">
        <f>'SegEnds_NonXtal_Prot#'!A281</f>
        <v>nk1r_human</v>
      </c>
      <c r="B288" s="1" t="str">
        <f t="shared" si="100"/>
        <v>PAWQIVLWAAAYTVIVVTSVVGNVVVMWIILAHTVTNYFLVNLAFAEASMAAFNTVVNFTYAVHNGLFYCKFHNFFPIAAVFASIYSMTAVAFDRYMAIIHSATATKVVICVIWVLALLLAFPQGYYSPNKIYEKVYHICVTVLIYFLPLLVIGYAYTVVGITLWASEIPGDRYHEQVSAKRKVVKMMIVVVCTFAICWLPFHIFFLLPYINFIQQVYLAIMWLAMSSTMYNPIIYCCLNDRFRLGFKHAF</v>
      </c>
      <c r="C288" s="29" t="str">
        <f>IF(ISERROR(MATCH(A288,'SegEnds_Xtal_Prot#'!B:B, 0)), "NoXtal", "Xtal")</f>
        <v>Xtal</v>
      </c>
      <c r="D288" s="4" t="str">
        <f>VLOOKUP(A288,Classification!A:D,2,FALSE)</f>
        <v>A</v>
      </c>
      <c r="E288" s="5" t="str">
        <f>VLOOKUP(A288,Seqs!A:B,2,FALSE)</f>
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</c>
      <c r="F288" s="5" t="str">
        <f t="shared" si="101"/>
        <v>PAWQIVLWAAAYTVIVVTSVVGNVVVMWIILAH</v>
      </c>
      <c r="G288" s="4" t="str">
        <f t="shared" si="102"/>
        <v>KRMR</v>
      </c>
      <c r="H288" s="4" t="str">
        <f t="shared" si="103"/>
        <v>TVTNYFLVNLAFAEASMAAFNTVVNFTYAVHN</v>
      </c>
      <c r="I288" s="4" t="str">
        <f t="shared" si="104"/>
        <v>EWYY</v>
      </c>
      <c r="J288" s="4" t="str">
        <f t="shared" si="105"/>
        <v>GLFYCKFHNFFPIAAVFASIYSMTAVAFDRYMAIIH</v>
      </c>
      <c r="K288" s="4" t="str">
        <f t="shared" si="106"/>
        <v/>
      </c>
      <c r="L288" s="4" t="str">
        <f t="shared" si="107"/>
        <v>SATATKVVICVIWVLALLLAFPQGYYS</v>
      </c>
      <c r="M288" s="4" t="str">
        <f t="shared" si="108"/>
        <v>CMI</v>
      </c>
      <c r="N288" s="4" t="str">
        <f t="shared" si="109"/>
        <v>PNKIYEKVYHICVTVLIYFLPLLVIGYAYTVVGITLWASEIPGD</v>
      </c>
      <c r="O288" s="4" t="str">
        <f t="shared" si="110"/>
        <v>RYHEQVSAKRKVVKMMIVVVCTFAICWLPFHIFFLLPYIN</v>
      </c>
      <c r="P288" s="4" t="str">
        <f t="shared" si="111"/>
        <v>FIQQVYLAIMWLAMSSTMYNPIIYCCL</v>
      </c>
      <c r="Q288" s="4" t="str">
        <f t="shared" si="112"/>
        <v>NDRFRLGFKHAF</v>
      </c>
      <c r="R288" s="5">
        <f>VLOOKUP($A288,'SegEnds_NonXtal_Prot#'!$A:$AL,3,FALSE)</f>
        <v>28</v>
      </c>
      <c r="S288" s="5">
        <f>VLOOKUP($A288,'SegEnds_NonXtal_Prot#'!$A:$AL,6,FALSE)</f>
        <v>61</v>
      </c>
      <c r="T288" s="5">
        <f>VLOOKUP($A288,'SegEnds_NonXtal_Prot#'!$A:$AL,9,FALSE)</f>
        <v>65</v>
      </c>
      <c r="U288" s="5">
        <f>VLOOKUP($A288,'SegEnds_NonXtal_Prot#'!$A:$AL,12,FALSE)</f>
        <v>97</v>
      </c>
      <c r="V288" s="5">
        <f>VLOOKUP($A288,'SegEnds_NonXtal_Prot#'!$A:$AL,15,FALSE)</f>
        <v>101</v>
      </c>
      <c r="W288" s="5" t="str">
        <f>VLOOKUP($A288,'SegEnds_NonXtal_Prot#'!$A:$AL,18,FALSE)</f>
        <v>-</v>
      </c>
      <c r="X288" s="5">
        <f>VLOOKUP($A288,'SegEnds_NonXtal_Prot#'!$A:$AL,21,FALSE)</f>
        <v>143</v>
      </c>
      <c r="Y288" s="5">
        <f>VLOOKUP($A288,'SegEnds_NonXtal_Prot#'!$A:$AL,24,FALSE)</f>
        <v>180</v>
      </c>
      <c r="Z288" s="5">
        <f>VLOOKUP($A288,'SegEnds_NonXtal_Prot#'!$A:$AL,27,FALSE)</f>
        <v>188</v>
      </c>
      <c r="AA288" s="5">
        <f>VLOOKUP($A288,'SegEnds_NonXtal_Prot#'!$A:$AL,30,FALSE)</f>
        <v>235</v>
      </c>
      <c r="AB288" s="5">
        <f>VLOOKUP($A288,'SegEnds_NonXtal_Prot#'!$A:$AL,33,FALSE)</f>
        <v>282</v>
      </c>
      <c r="AC288" s="5">
        <f>VLOOKUP($A288,'SegEnds_NonXtal_Prot#'!$A:$AL,36,FALSE)</f>
        <v>309</v>
      </c>
      <c r="AD288" s="5">
        <f>VLOOKUP($A288,'SegEnds_NonXtal_Prot#'!$A:$AL,5,FALSE)</f>
        <v>60</v>
      </c>
      <c r="AE288" s="5">
        <f>VLOOKUP($A288,'SegEnds_NonXtal_Prot#'!$A:$AL,8,FALSE)</f>
        <v>64</v>
      </c>
      <c r="AF288" s="5">
        <f>VLOOKUP($A288,'SegEnds_NonXtal_Prot#'!$A:$AL,11,FALSE)</f>
        <v>96</v>
      </c>
      <c r="AG288" s="5">
        <f>VLOOKUP($A288,'SegEnds_NonXtal_Prot#'!$A:$AL,14,FALSE)</f>
        <v>100</v>
      </c>
      <c r="AH288" s="5">
        <f>VLOOKUP($A288,'SegEnds_NonXtal_Prot#'!$A:$AL,17,FALSE)</f>
        <v>136</v>
      </c>
      <c r="AI288" s="5" t="str">
        <f>VLOOKUP($A288,'SegEnds_NonXtal_Prot#'!$A:$AL,20,FALSE)</f>
        <v>-</v>
      </c>
      <c r="AJ288" s="5">
        <f>VLOOKUP($A288,'SegEnds_NonXtal_Prot#'!$A:$AL,23,FALSE)</f>
        <v>169</v>
      </c>
      <c r="AK288" s="5">
        <f>VLOOKUP($A288,'SegEnds_NonXtal_Prot#'!$A:$AL,26,FALSE)</f>
        <v>182</v>
      </c>
      <c r="AL288" s="5">
        <f>VLOOKUP($A288,'SegEnds_NonXtal_Prot#'!$A:$AL,29,FALSE)</f>
        <v>231</v>
      </c>
      <c r="AM288" s="5">
        <f>VLOOKUP($A288,'SegEnds_NonXtal_Prot#'!$A:$AL,32,FALSE)</f>
        <v>274</v>
      </c>
      <c r="AN288" s="5">
        <f>VLOOKUP($A288,'SegEnds_NonXtal_Prot#'!$A:$AL,35,FALSE)</f>
        <v>308</v>
      </c>
      <c r="AO288" s="5">
        <f>VLOOKUP($A288,'SegEnds_NonXtal_Prot#'!$A:$AL,38,FALSE)</f>
        <v>320</v>
      </c>
      <c r="AP288" s="5">
        <f t="shared" si="113"/>
        <v>32</v>
      </c>
      <c r="AQ288" s="4">
        <f t="shared" si="114"/>
        <v>3</v>
      </c>
      <c r="AR288" s="4">
        <f t="shared" si="115"/>
        <v>31</v>
      </c>
      <c r="AS288" s="4">
        <f t="shared" si="116"/>
        <v>3</v>
      </c>
      <c r="AT288" s="4">
        <f t="shared" si="117"/>
        <v>35</v>
      </c>
      <c r="AU288" s="4" t="str">
        <f t="shared" si="118"/>
        <v>-</v>
      </c>
      <c r="AV288" s="4">
        <f t="shared" si="119"/>
        <v>26</v>
      </c>
      <c r="AW288" s="4">
        <f t="shared" si="120"/>
        <v>2</v>
      </c>
      <c r="AX288" s="4">
        <f t="shared" si="121"/>
        <v>43</v>
      </c>
      <c r="AY288" s="4">
        <f t="shared" si="122"/>
        <v>39</v>
      </c>
      <c r="AZ288" s="4">
        <f t="shared" si="123"/>
        <v>26</v>
      </c>
      <c r="BA288" s="4">
        <f t="shared" si="124"/>
        <v>11</v>
      </c>
    </row>
    <row r="289" spans="1:53" x14ac:dyDescent="0.2">
      <c r="A289" s="1" t="str">
        <f>'SegEnds_NonXtal_Prot#'!A282</f>
        <v>nk2r_human</v>
      </c>
      <c r="B289" s="1" t="str">
        <f t="shared" si="100"/>
        <v>PSWQLALWATAYLALVLVAVTGNAIVIWIILAHTVTNYFIVNLALADLCMAAFNAAFNFVYASHNGRAFCYFQNLFPITAMFVSIYSMTAIAADRYMAIVHSAPSTKAVIAGIWLVALALASPQCFYSSGGKTLLLYHLVVIALIYFLPLAVMFVAYSVIGLTLWRRAVPGHANLRHLQAMKKFVKTMVLVVLTFAICWLPYHLYFILGSFQFIQQVYLALFWLAMSSTMYNPIIYCCLNHRFRSGFRLAF</v>
      </c>
      <c r="C289" s="29" t="str">
        <f>IF(ISERROR(MATCH(A289,'SegEnds_Xtal_Prot#'!B:B, 0)), "NoXtal", "Xtal")</f>
        <v>NoXtal</v>
      </c>
      <c r="D289" s="4" t="str">
        <f>VLOOKUP(A289,Classification!A:D,2,FALSE)</f>
        <v>A</v>
      </c>
      <c r="E289" s="5" t="str">
        <f>VLOOKUP(A289,Seqs!A:B,2,FALSE)</f>
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</c>
      <c r="F289" s="5" t="str">
        <f t="shared" si="101"/>
        <v>PSWQLALWATAYLALVLVAVTGNAIVIWIILAH</v>
      </c>
      <c r="G289" s="4" t="str">
        <f t="shared" si="102"/>
        <v>RRMR</v>
      </c>
      <c r="H289" s="4" t="str">
        <f t="shared" si="103"/>
        <v>TVTNYFIVNLALADLCMAAFNAAFNFVYASHN</v>
      </c>
      <c r="I289" s="4" t="str">
        <f t="shared" si="104"/>
        <v>IWYF</v>
      </c>
      <c r="J289" s="4" t="str">
        <f t="shared" si="105"/>
        <v>GRAFCYFQNLFPITAMFVSIYSMTAIAADRYMAIVH</v>
      </c>
      <c r="K289" s="4" t="str">
        <f t="shared" si="106"/>
        <v/>
      </c>
      <c r="L289" s="4" t="str">
        <f t="shared" si="107"/>
        <v>SAPSTKAVIAGIWLVALALASPQCFYS</v>
      </c>
      <c r="M289" s="4" t="str">
        <f t="shared" si="108"/>
        <v>CVV</v>
      </c>
      <c r="N289" s="4" t="str">
        <f t="shared" si="109"/>
        <v>SGGKTLLLYHLVVIALIYFLPLAVMFVAYSVIGLTLWRRAVPGH</v>
      </c>
      <c r="O289" s="4" t="str">
        <f t="shared" si="110"/>
        <v>ANLRHLQAMKKFVKTMVLVVLTFAICWLPYHLYFILGSFQ</v>
      </c>
      <c r="P289" s="4" t="str">
        <f t="shared" si="111"/>
        <v>FIQQVYLALFWLAMSSTMYNPIIYCCL</v>
      </c>
      <c r="Q289" s="4" t="str">
        <f t="shared" si="112"/>
        <v>NHRFRSGFRLAF</v>
      </c>
      <c r="R289" s="5">
        <f>VLOOKUP($A289,'SegEnds_NonXtal_Prot#'!$A:$AL,3,FALSE)</f>
        <v>29</v>
      </c>
      <c r="S289" s="5">
        <f>VLOOKUP($A289,'SegEnds_NonXtal_Prot#'!$A:$AL,6,FALSE)</f>
        <v>62</v>
      </c>
      <c r="T289" s="5">
        <f>VLOOKUP($A289,'SegEnds_NonXtal_Prot#'!$A:$AL,9,FALSE)</f>
        <v>66</v>
      </c>
      <c r="U289" s="5">
        <f>VLOOKUP($A289,'SegEnds_NonXtal_Prot#'!$A:$AL,12,FALSE)</f>
        <v>98</v>
      </c>
      <c r="V289" s="5">
        <f>VLOOKUP($A289,'SegEnds_NonXtal_Prot#'!$A:$AL,15,FALSE)</f>
        <v>102</v>
      </c>
      <c r="W289" s="5" t="str">
        <f>VLOOKUP($A289,'SegEnds_NonXtal_Prot#'!$A:$AL,18,FALSE)</f>
        <v>-</v>
      </c>
      <c r="X289" s="5">
        <f>VLOOKUP($A289,'SegEnds_NonXtal_Prot#'!$A:$AL,21,FALSE)</f>
        <v>144</v>
      </c>
      <c r="Y289" s="5">
        <f>VLOOKUP($A289,'SegEnds_NonXtal_Prot#'!$A:$AL,24,FALSE)</f>
        <v>181</v>
      </c>
      <c r="Z289" s="5">
        <f>VLOOKUP($A289,'SegEnds_NonXtal_Prot#'!$A:$AL,27,FALSE)</f>
        <v>189</v>
      </c>
      <c r="AA289" s="5">
        <f>VLOOKUP($A289,'SegEnds_NonXtal_Prot#'!$A:$AL,30,FALSE)</f>
        <v>237</v>
      </c>
      <c r="AB289" s="5">
        <f>VLOOKUP($A289,'SegEnds_NonXtal_Prot#'!$A:$AL,33,FALSE)</f>
        <v>284</v>
      </c>
      <c r="AC289" s="5">
        <f>VLOOKUP($A289,'SegEnds_NonXtal_Prot#'!$A:$AL,36,FALSE)</f>
        <v>311</v>
      </c>
      <c r="AD289" s="5">
        <f>VLOOKUP($A289,'SegEnds_NonXtal_Prot#'!$A:$AL,5,FALSE)</f>
        <v>61</v>
      </c>
      <c r="AE289" s="5">
        <f>VLOOKUP($A289,'SegEnds_NonXtal_Prot#'!$A:$AL,8,FALSE)</f>
        <v>65</v>
      </c>
      <c r="AF289" s="5">
        <f>VLOOKUP($A289,'SegEnds_NonXtal_Prot#'!$A:$AL,11,FALSE)</f>
        <v>97</v>
      </c>
      <c r="AG289" s="5">
        <f>VLOOKUP($A289,'SegEnds_NonXtal_Prot#'!$A:$AL,14,FALSE)</f>
        <v>101</v>
      </c>
      <c r="AH289" s="5">
        <f>VLOOKUP($A289,'SegEnds_NonXtal_Prot#'!$A:$AL,17,FALSE)</f>
        <v>137</v>
      </c>
      <c r="AI289" s="5" t="str">
        <f>VLOOKUP($A289,'SegEnds_NonXtal_Prot#'!$A:$AL,20,FALSE)</f>
        <v>-</v>
      </c>
      <c r="AJ289" s="5">
        <f>VLOOKUP($A289,'SegEnds_NonXtal_Prot#'!$A:$AL,23,FALSE)</f>
        <v>170</v>
      </c>
      <c r="AK289" s="5">
        <f>VLOOKUP($A289,'SegEnds_NonXtal_Prot#'!$A:$AL,26,FALSE)</f>
        <v>183</v>
      </c>
      <c r="AL289" s="5">
        <f>VLOOKUP($A289,'SegEnds_NonXtal_Prot#'!$A:$AL,29,FALSE)</f>
        <v>232</v>
      </c>
      <c r="AM289" s="5">
        <f>VLOOKUP($A289,'SegEnds_NonXtal_Prot#'!$A:$AL,32,FALSE)</f>
        <v>276</v>
      </c>
      <c r="AN289" s="5">
        <f>VLOOKUP($A289,'SegEnds_NonXtal_Prot#'!$A:$AL,35,FALSE)</f>
        <v>310</v>
      </c>
      <c r="AO289" s="5">
        <f>VLOOKUP($A289,'SegEnds_NonXtal_Prot#'!$A:$AL,38,FALSE)</f>
        <v>322</v>
      </c>
      <c r="AP289" s="5">
        <f t="shared" si="113"/>
        <v>32</v>
      </c>
      <c r="AQ289" s="4">
        <f t="shared" si="114"/>
        <v>3</v>
      </c>
      <c r="AR289" s="4">
        <f t="shared" si="115"/>
        <v>31</v>
      </c>
      <c r="AS289" s="4">
        <f t="shared" si="116"/>
        <v>3</v>
      </c>
      <c r="AT289" s="4">
        <f t="shared" si="117"/>
        <v>35</v>
      </c>
      <c r="AU289" s="4" t="str">
        <f t="shared" si="118"/>
        <v>-</v>
      </c>
      <c r="AV289" s="4">
        <f t="shared" si="119"/>
        <v>26</v>
      </c>
      <c r="AW289" s="4">
        <f t="shared" si="120"/>
        <v>2</v>
      </c>
      <c r="AX289" s="4">
        <f t="shared" si="121"/>
        <v>43</v>
      </c>
      <c r="AY289" s="4">
        <f t="shared" si="122"/>
        <v>39</v>
      </c>
      <c r="AZ289" s="4">
        <f t="shared" si="123"/>
        <v>26</v>
      </c>
      <c r="BA289" s="4">
        <f t="shared" si="124"/>
        <v>11</v>
      </c>
    </row>
    <row r="290" spans="1:53" x14ac:dyDescent="0.2">
      <c r="A290" s="1" t="str">
        <f>'SegEnds_NonXtal_Prot#'!A283</f>
        <v>nk3r_human</v>
      </c>
      <c r="B290" s="1" t="str">
        <f t="shared" si="100"/>
        <v>PSWRIALWSLAYGVVVAVAVLGNLIVIWIILAHTVTNYFLVNLAFSDASMAAFNTLVNFIYALHSGANYCRFQNFFPITAVFASIYSMTAIAVDRYMAIIDSATATKIVIGSIWILAFLLAFPQCLYSEGPKQHFTYHIIVIILVYCFPLLIMGITYTIVGITLWGGEIPGDKYHEQLKAKRKVVKMMIIVVMTFAICWLPYHIYFILTAIYYIQQVYLASFWLAMSSTMYNPIIYCCLNKRFRAGFKRAF</v>
      </c>
      <c r="C290" s="29" t="str">
        <f>IF(ISERROR(MATCH(A290,'SegEnds_Xtal_Prot#'!B:B, 0)), "NoXtal", "Xtal")</f>
        <v>NoXtal</v>
      </c>
      <c r="D290" s="4" t="str">
        <f>VLOOKUP(A290,Classification!A:D,2,FALSE)</f>
        <v>A</v>
      </c>
      <c r="E290" s="5" t="str">
        <f>VLOOKUP(A290,Seqs!A:B,2,FALSE)</f>
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</c>
      <c r="F290" s="5" t="str">
        <f t="shared" si="101"/>
        <v>PSWRIALWSLAYGVVVAVAVLGNLIVIWIILAH</v>
      </c>
      <c r="G290" s="4" t="str">
        <f t="shared" si="102"/>
        <v>KRMR</v>
      </c>
      <c r="H290" s="4" t="str">
        <f t="shared" si="103"/>
        <v>TVTNYFLVNLAFSDASMAAFNTLVNFIYALHS</v>
      </c>
      <c r="I290" s="4" t="str">
        <f t="shared" si="104"/>
        <v>EWYF</v>
      </c>
      <c r="J290" s="4" t="str">
        <f t="shared" si="105"/>
        <v>GANYCRFQNFFPITAVFASIYSMTAIAVDRYMAIID</v>
      </c>
      <c r="K290" s="4" t="str">
        <f t="shared" si="106"/>
        <v/>
      </c>
      <c r="L290" s="4" t="str">
        <f t="shared" si="107"/>
        <v>SATATKIVIGSIWILAFLLAFPQCLYS</v>
      </c>
      <c r="M290" s="4" t="str">
        <f t="shared" si="108"/>
        <v>CFV</v>
      </c>
      <c r="N290" s="4" t="str">
        <f t="shared" si="109"/>
        <v>EGPKQHFTYHIIVIILVYCFPLLIMGITYTIVGITLWGGEIPGD</v>
      </c>
      <c r="O290" s="4" t="str">
        <f t="shared" si="110"/>
        <v>KYHEQLKAKRKVVKMMIIVVMTFAICWLPYHIYFILTAIY</v>
      </c>
      <c r="P290" s="4" t="str">
        <f t="shared" si="111"/>
        <v>YIQQVYLASFWLAMSSTMYNPIIYCCL</v>
      </c>
      <c r="Q290" s="4" t="str">
        <f t="shared" si="112"/>
        <v>NKRFRAGFKRAF</v>
      </c>
      <c r="R290" s="5">
        <f>VLOOKUP($A290,'SegEnds_NonXtal_Prot#'!$A:$AL,3,FALSE)</f>
        <v>81</v>
      </c>
      <c r="S290" s="5">
        <f>VLOOKUP($A290,'SegEnds_NonXtal_Prot#'!$A:$AL,6,FALSE)</f>
        <v>114</v>
      </c>
      <c r="T290" s="5">
        <f>VLOOKUP($A290,'SegEnds_NonXtal_Prot#'!$A:$AL,9,FALSE)</f>
        <v>118</v>
      </c>
      <c r="U290" s="5">
        <f>VLOOKUP($A290,'SegEnds_NonXtal_Prot#'!$A:$AL,12,FALSE)</f>
        <v>150</v>
      </c>
      <c r="V290" s="5">
        <f>VLOOKUP($A290,'SegEnds_NonXtal_Prot#'!$A:$AL,15,FALSE)</f>
        <v>154</v>
      </c>
      <c r="W290" s="5" t="str">
        <f>VLOOKUP($A290,'SegEnds_NonXtal_Prot#'!$A:$AL,18,FALSE)</f>
        <v>-</v>
      </c>
      <c r="X290" s="5">
        <f>VLOOKUP($A290,'SegEnds_NonXtal_Prot#'!$A:$AL,21,FALSE)</f>
        <v>196</v>
      </c>
      <c r="Y290" s="5">
        <f>VLOOKUP($A290,'SegEnds_NonXtal_Prot#'!$A:$AL,24,FALSE)</f>
        <v>233</v>
      </c>
      <c r="Z290" s="5">
        <f>VLOOKUP($A290,'SegEnds_NonXtal_Prot#'!$A:$AL,27,FALSE)</f>
        <v>239</v>
      </c>
      <c r="AA290" s="5">
        <f>VLOOKUP($A290,'SegEnds_NonXtal_Prot#'!$A:$AL,30,FALSE)</f>
        <v>286</v>
      </c>
      <c r="AB290" s="5">
        <f>VLOOKUP($A290,'SegEnds_NonXtal_Prot#'!$A:$AL,33,FALSE)</f>
        <v>333</v>
      </c>
      <c r="AC290" s="5">
        <f>VLOOKUP($A290,'SegEnds_NonXtal_Prot#'!$A:$AL,36,FALSE)</f>
        <v>360</v>
      </c>
      <c r="AD290" s="5">
        <f>VLOOKUP($A290,'SegEnds_NonXtal_Prot#'!$A:$AL,5,FALSE)</f>
        <v>113</v>
      </c>
      <c r="AE290" s="5">
        <f>VLOOKUP($A290,'SegEnds_NonXtal_Prot#'!$A:$AL,8,FALSE)</f>
        <v>117</v>
      </c>
      <c r="AF290" s="5">
        <f>VLOOKUP($A290,'SegEnds_NonXtal_Prot#'!$A:$AL,11,FALSE)</f>
        <v>149</v>
      </c>
      <c r="AG290" s="5">
        <f>VLOOKUP($A290,'SegEnds_NonXtal_Prot#'!$A:$AL,14,FALSE)</f>
        <v>153</v>
      </c>
      <c r="AH290" s="5">
        <f>VLOOKUP($A290,'SegEnds_NonXtal_Prot#'!$A:$AL,17,FALSE)</f>
        <v>189</v>
      </c>
      <c r="AI290" s="5" t="str">
        <f>VLOOKUP($A290,'SegEnds_NonXtal_Prot#'!$A:$AL,20,FALSE)</f>
        <v>-</v>
      </c>
      <c r="AJ290" s="5">
        <f>VLOOKUP($A290,'SegEnds_NonXtal_Prot#'!$A:$AL,23,FALSE)</f>
        <v>222</v>
      </c>
      <c r="AK290" s="5">
        <f>VLOOKUP($A290,'SegEnds_NonXtal_Prot#'!$A:$AL,26,FALSE)</f>
        <v>235</v>
      </c>
      <c r="AL290" s="5">
        <f>VLOOKUP($A290,'SegEnds_NonXtal_Prot#'!$A:$AL,29,FALSE)</f>
        <v>282</v>
      </c>
      <c r="AM290" s="5">
        <f>VLOOKUP($A290,'SegEnds_NonXtal_Prot#'!$A:$AL,32,FALSE)</f>
        <v>325</v>
      </c>
      <c r="AN290" s="5">
        <f>VLOOKUP($A290,'SegEnds_NonXtal_Prot#'!$A:$AL,35,FALSE)</f>
        <v>359</v>
      </c>
      <c r="AO290" s="5">
        <f>VLOOKUP($A290,'SegEnds_NonXtal_Prot#'!$A:$AL,38,FALSE)</f>
        <v>371</v>
      </c>
      <c r="AP290" s="5">
        <f t="shared" si="113"/>
        <v>32</v>
      </c>
      <c r="AQ290" s="4">
        <f t="shared" si="114"/>
        <v>3</v>
      </c>
      <c r="AR290" s="4">
        <f t="shared" si="115"/>
        <v>31</v>
      </c>
      <c r="AS290" s="4">
        <f t="shared" si="116"/>
        <v>3</v>
      </c>
      <c r="AT290" s="4">
        <f t="shared" si="117"/>
        <v>35</v>
      </c>
      <c r="AU290" s="4" t="str">
        <f t="shared" si="118"/>
        <v>-</v>
      </c>
      <c r="AV290" s="4">
        <f t="shared" si="119"/>
        <v>26</v>
      </c>
      <c r="AW290" s="4">
        <f t="shared" si="120"/>
        <v>2</v>
      </c>
      <c r="AX290" s="4">
        <f t="shared" si="121"/>
        <v>43</v>
      </c>
      <c r="AY290" s="4">
        <f t="shared" si="122"/>
        <v>39</v>
      </c>
      <c r="AZ290" s="4">
        <f t="shared" si="123"/>
        <v>26</v>
      </c>
      <c r="BA290" s="4">
        <f t="shared" si="124"/>
        <v>11</v>
      </c>
    </row>
    <row r="291" spans="1:53" x14ac:dyDescent="0.2">
      <c r="A291" s="1" t="str">
        <f>'SegEnds_NonXtal_Prot#'!A284</f>
        <v>npbw1_human</v>
      </c>
      <c r="B291" s="1" t="str">
        <f t="shared" si="100"/>
        <v>STLAPLPAPLAVAVPVVYAVICAVGLAGNSAVLYVLLRATVTNLFILNLAIADELFTLVLPINIADFLLGELMCKLIVAIDQYNTFSSLYFLTVMSADRYLVVLATYSAARAVSLAVWGIVTLVVLPFAVFAEAFWWRASRLYTLVLGFAIPVSTICVLYTTLLCRLHAMAKALERAKKRVTFLVVAILAVCLLCWTPYHLSTVVALTTTPLVIAISYFITSLSYANSCLNPFLYAFLDASFRRNLRQLITC</v>
      </c>
      <c r="C291" s="29" t="str">
        <f>IF(ISERROR(MATCH(A291,'SegEnds_Xtal_Prot#'!B:B, 0)), "NoXtal", "Xtal")</f>
        <v>NoXtal</v>
      </c>
      <c r="D291" s="4" t="str">
        <f>VLOOKUP(A291,Classification!A:D,2,FALSE)</f>
        <v>A</v>
      </c>
      <c r="E291" s="5" t="str">
        <f>VLOOKUP(A291,Seqs!A:B,2,FALSE)</f>
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</c>
      <c r="F291" s="5" t="str">
        <f t="shared" si="101"/>
        <v>STLAPLPAPLAVAVPVVYAVICAVGLAGNSAVLYVLLRA</v>
      </c>
      <c r="G291" s="4" t="str">
        <f t="shared" si="102"/>
        <v>PRMK</v>
      </c>
      <c r="H291" s="4" t="str">
        <f t="shared" si="103"/>
        <v>TVTNLFILNLAIADELFTLVLPINIADFLL</v>
      </c>
      <c r="I291" s="4" t="str">
        <f t="shared" si="104"/>
        <v>QWPF</v>
      </c>
      <c r="J291" s="4" t="str">
        <f t="shared" si="105"/>
        <v>GELMCKLIVAIDQYNTFSSLYFLTVMSADRYLVVLA</v>
      </c>
      <c r="K291" s="4" t="str">
        <f t="shared" si="106"/>
        <v/>
      </c>
      <c r="L291" s="4" t="str">
        <f t="shared" si="107"/>
        <v>TYSAARAVSLAVWGIVTLVVLPFAVFA</v>
      </c>
      <c r="M291" s="4" t="str">
        <f t="shared" si="108"/>
        <v>CVL</v>
      </c>
      <c r="N291" s="4" t="str">
        <f t="shared" si="109"/>
        <v>EAFWWRASRLYTLVLGFAIPVSTICVLYTTLLCRLHAM</v>
      </c>
      <c r="O291" s="4" t="str">
        <f t="shared" si="110"/>
        <v>AKALERAKKRVTFLVVAILAVCLLCWTPYHLSTVVALTT</v>
      </c>
      <c r="P291" s="4" t="str">
        <f t="shared" si="111"/>
        <v>TPLVIAISYFITSLSYANSCLNPFLYAFL</v>
      </c>
      <c r="Q291" s="4" t="str">
        <f t="shared" si="112"/>
        <v>DASFRRNLRQLITC</v>
      </c>
      <c r="R291" s="5">
        <f>VLOOKUP($A291,'SegEnds_NonXtal_Prot#'!$A:$AL,3,FALSE)</f>
        <v>27</v>
      </c>
      <c r="S291" s="5">
        <f>VLOOKUP($A291,'SegEnds_NonXtal_Prot#'!$A:$AL,6,FALSE)</f>
        <v>66</v>
      </c>
      <c r="T291" s="5">
        <f>VLOOKUP($A291,'SegEnds_NonXtal_Prot#'!$A:$AL,9,FALSE)</f>
        <v>70</v>
      </c>
      <c r="U291" s="5">
        <f>VLOOKUP($A291,'SegEnds_NonXtal_Prot#'!$A:$AL,12,FALSE)</f>
        <v>101</v>
      </c>
      <c r="V291" s="5">
        <f>VLOOKUP($A291,'SegEnds_NonXtal_Prot#'!$A:$AL,15,FALSE)</f>
        <v>105</v>
      </c>
      <c r="W291" s="5" t="str">
        <f>VLOOKUP($A291,'SegEnds_NonXtal_Prot#'!$A:$AL,18,FALSE)</f>
        <v>-</v>
      </c>
      <c r="X291" s="5">
        <f>VLOOKUP($A291,'SegEnds_NonXtal_Prot#'!$A:$AL,21,FALSE)</f>
        <v>151</v>
      </c>
      <c r="Y291" s="5">
        <f>VLOOKUP($A291,'SegEnds_NonXtal_Prot#'!$A:$AL,24,FALSE)</f>
        <v>188</v>
      </c>
      <c r="Z291" s="5">
        <f>VLOOKUP($A291,'SegEnds_NonXtal_Prot#'!$A:$AL,27,FALSE)</f>
        <v>196</v>
      </c>
      <c r="AA291" s="5">
        <f>VLOOKUP($A291,'SegEnds_NonXtal_Prot#'!$A:$AL,30,FALSE)</f>
        <v>239</v>
      </c>
      <c r="AB291" s="5">
        <f>VLOOKUP($A291,'SegEnds_NonXtal_Prot#'!$A:$AL,33,FALSE)</f>
        <v>282</v>
      </c>
      <c r="AC291" s="5">
        <f>VLOOKUP($A291,'SegEnds_NonXtal_Prot#'!$A:$AL,36,FALSE)</f>
        <v>311</v>
      </c>
      <c r="AD291" s="5">
        <f>VLOOKUP($A291,'SegEnds_NonXtal_Prot#'!$A:$AL,5,FALSE)</f>
        <v>65</v>
      </c>
      <c r="AE291" s="5">
        <f>VLOOKUP($A291,'SegEnds_NonXtal_Prot#'!$A:$AL,8,FALSE)</f>
        <v>69</v>
      </c>
      <c r="AF291" s="5">
        <f>VLOOKUP($A291,'SegEnds_NonXtal_Prot#'!$A:$AL,11,FALSE)</f>
        <v>99</v>
      </c>
      <c r="AG291" s="5">
        <f>VLOOKUP($A291,'SegEnds_NonXtal_Prot#'!$A:$AL,14,FALSE)</f>
        <v>104</v>
      </c>
      <c r="AH291" s="5">
        <f>VLOOKUP($A291,'SegEnds_NonXtal_Prot#'!$A:$AL,17,FALSE)</f>
        <v>140</v>
      </c>
      <c r="AI291" s="5" t="str">
        <f>VLOOKUP($A291,'SegEnds_NonXtal_Prot#'!$A:$AL,20,FALSE)</f>
        <v>-</v>
      </c>
      <c r="AJ291" s="5">
        <f>VLOOKUP($A291,'SegEnds_NonXtal_Prot#'!$A:$AL,23,FALSE)</f>
        <v>177</v>
      </c>
      <c r="AK291" s="5">
        <f>VLOOKUP($A291,'SegEnds_NonXtal_Prot#'!$A:$AL,26,FALSE)</f>
        <v>190</v>
      </c>
      <c r="AL291" s="5">
        <f>VLOOKUP($A291,'SegEnds_NonXtal_Prot#'!$A:$AL,29,FALSE)</f>
        <v>233</v>
      </c>
      <c r="AM291" s="5">
        <f>VLOOKUP($A291,'SegEnds_NonXtal_Prot#'!$A:$AL,32,FALSE)</f>
        <v>277</v>
      </c>
      <c r="AN291" s="5">
        <f>VLOOKUP($A291,'SegEnds_NonXtal_Prot#'!$A:$AL,35,FALSE)</f>
        <v>310</v>
      </c>
      <c r="AO291" s="5">
        <f>VLOOKUP($A291,'SegEnds_NonXtal_Prot#'!$A:$AL,38,FALSE)</f>
        <v>324</v>
      </c>
      <c r="AP291" s="5">
        <f t="shared" si="113"/>
        <v>38</v>
      </c>
      <c r="AQ291" s="4">
        <f t="shared" si="114"/>
        <v>3</v>
      </c>
      <c r="AR291" s="4">
        <f t="shared" si="115"/>
        <v>29</v>
      </c>
      <c r="AS291" s="4">
        <f t="shared" si="116"/>
        <v>3</v>
      </c>
      <c r="AT291" s="4">
        <f t="shared" si="117"/>
        <v>35</v>
      </c>
      <c r="AU291" s="4" t="str">
        <f t="shared" si="118"/>
        <v>-</v>
      </c>
      <c r="AV291" s="4">
        <f t="shared" si="119"/>
        <v>26</v>
      </c>
      <c r="AW291" s="4">
        <f t="shared" si="120"/>
        <v>2</v>
      </c>
      <c r="AX291" s="4">
        <f t="shared" si="121"/>
        <v>37</v>
      </c>
      <c r="AY291" s="4">
        <f t="shared" si="122"/>
        <v>38</v>
      </c>
      <c r="AZ291" s="4">
        <f t="shared" si="123"/>
        <v>28</v>
      </c>
      <c r="BA291" s="4">
        <f t="shared" si="124"/>
        <v>13</v>
      </c>
    </row>
    <row r="292" spans="1:53" x14ac:dyDescent="0.2">
      <c r="A292" s="1" t="str">
        <f>'SegEnds_NonXtal_Prot#'!A285</f>
        <v>npbw2_human</v>
      </c>
      <c r="B292" s="1" t="str">
        <f t="shared" si="100"/>
        <v>ATFSEPLPFLYVLLPAVYSGICAVGLTGNTAVILVILRATVTNVFILNLAVADGLFTLVLPVNIAEHLLGELLCKLVLAVDHYNIFSSIYFLAVMSVDRYLVVLATYRGAKVASLCVWLGVTVLVLPFFSFAEQVWFKASRVYTLVLGFVLPVCTICVLYTDLLRRLRAVAKALGKARRKVTVLVLVVLAVCLLCWTPFHLASVVALTTTPLVISMSYVITSLSYANSCLNPFLYAFLDDNFRKNFRSILRC</v>
      </c>
      <c r="C292" s="29" t="str">
        <f>IF(ISERROR(MATCH(A292,'SegEnds_Xtal_Prot#'!B:B, 0)), "NoXtal", "Xtal")</f>
        <v>NoXtal</v>
      </c>
      <c r="D292" s="4" t="str">
        <f>VLOOKUP(A292,Classification!A:D,2,FALSE)</f>
        <v>A</v>
      </c>
      <c r="E292" s="5" t="str">
        <f>VLOOKUP(A292,Seqs!A:B,2,FALSE)</f>
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</c>
      <c r="F292" s="5" t="str">
        <f t="shared" si="101"/>
        <v>ATFSEPLPFLYVLLPAVYSGICAVGLTGNTAVILVILRA</v>
      </c>
      <c r="G292" s="4" t="str">
        <f t="shared" si="102"/>
        <v>PKMK</v>
      </c>
      <c r="H292" s="4" t="str">
        <f t="shared" si="103"/>
        <v>TVTNVFILNLAVADGLFTLVLPVNIAEHLL</v>
      </c>
      <c r="I292" s="4" t="str">
        <f t="shared" si="104"/>
        <v>YWPF</v>
      </c>
      <c r="J292" s="4" t="str">
        <f t="shared" si="105"/>
        <v>GELLCKLVLAVDHYNIFSSIYFLAVMSVDRYLVVLA</v>
      </c>
      <c r="K292" s="4" t="str">
        <f t="shared" si="106"/>
        <v/>
      </c>
      <c r="L292" s="4" t="str">
        <f t="shared" si="107"/>
        <v>TYRGAKVASLCVWLGVTVLVLPFFSFA</v>
      </c>
      <c r="M292" s="4" t="str">
        <f t="shared" si="108"/>
        <v>CGL</v>
      </c>
      <c r="N292" s="4" t="str">
        <f t="shared" si="109"/>
        <v>EQVWFKASRVYTLVLGFVLPVCTICVLYTDLLRRLRAV</v>
      </c>
      <c r="O292" s="4" t="str">
        <f t="shared" si="110"/>
        <v>AKALGKARRKVTVLVLVVLAVCLLCWTPFHLASVVALTT</v>
      </c>
      <c r="P292" s="4" t="str">
        <f t="shared" si="111"/>
        <v>TPLVISMSYVITSLSYANSCLNPFLYAFL</v>
      </c>
      <c r="Q292" s="4" t="str">
        <f t="shared" si="112"/>
        <v>DDNFRKNFRSILRC</v>
      </c>
      <c r="R292" s="5">
        <f>VLOOKUP($A292,'SegEnds_NonXtal_Prot#'!$A:$AL,3,FALSE)</f>
        <v>35</v>
      </c>
      <c r="S292" s="5">
        <f>VLOOKUP($A292,'SegEnds_NonXtal_Prot#'!$A:$AL,6,FALSE)</f>
        <v>74</v>
      </c>
      <c r="T292" s="5">
        <f>VLOOKUP($A292,'SegEnds_NonXtal_Prot#'!$A:$AL,9,FALSE)</f>
        <v>78</v>
      </c>
      <c r="U292" s="5">
        <f>VLOOKUP($A292,'SegEnds_NonXtal_Prot#'!$A:$AL,12,FALSE)</f>
        <v>109</v>
      </c>
      <c r="V292" s="5">
        <f>VLOOKUP($A292,'SegEnds_NonXtal_Prot#'!$A:$AL,15,FALSE)</f>
        <v>113</v>
      </c>
      <c r="W292" s="5" t="str">
        <f>VLOOKUP($A292,'SegEnds_NonXtal_Prot#'!$A:$AL,18,FALSE)</f>
        <v>-</v>
      </c>
      <c r="X292" s="5">
        <f>VLOOKUP($A292,'SegEnds_NonXtal_Prot#'!$A:$AL,21,FALSE)</f>
        <v>159</v>
      </c>
      <c r="Y292" s="5">
        <f>VLOOKUP($A292,'SegEnds_NonXtal_Prot#'!$A:$AL,24,FALSE)</f>
        <v>197</v>
      </c>
      <c r="Z292" s="5">
        <f>VLOOKUP($A292,'SegEnds_NonXtal_Prot#'!$A:$AL,27,FALSE)</f>
        <v>205</v>
      </c>
      <c r="AA292" s="5">
        <f>VLOOKUP($A292,'SegEnds_NonXtal_Prot#'!$A:$AL,30,FALSE)</f>
        <v>248</v>
      </c>
      <c r="AB292" s="5">
        <f>VLOOKUP($A292,'SegEnds_NonXtal_Prot#'!$A:$AL,33,FALSE)</f>
        <v>291</v>
      </c>
      <c r="AC292" s="5">
        <f>VLOOKUP($A292,'SegEnds_NonXtal_Prot#'!$A:$AL,36,FALSE)</f>
        <v>320</v>
      </c>
      <c r="AD292" s="5">
        <f>VLOOKUP($A292,'SegEnds_NonXtal_Prot#'!$A:$AL,5,FALSE)</f>
        <v>73</v>
      </c>
      <c r="AE292" s="5">
        <f>VLOOKUP($A292,'SegEnds_NonXtal_Prot#'!$A:$AL,8,FALSE)</f>
        <v>77</v>
      </c>
      <c r="AF292" s="5">
        <f>VLOOKUP($A292,'SegEnds_NonXtal_Prot#'!$A:$AL,11,FALSE)</f>
        <v>107</v>
      </c>
      <c r="AG292" s="5">
        <f>VLOOKUP($A292,'SegEnds_NonXtal_Prot#'!$A:$AL,14,FALSE)</f>
        <v>112</v>
      </c>
      <c r="AH292" s="5">
        <f>VLOOKUP($A292,'SegEnds_NonXtal_Prot#'!$A:$AL,17,FALSE)</f>
        <v>148</v>
      </c>
      <c r="AI292" s="5" t="str">
        <f>VLOOKUP($A292,'SegEnds_NonXtal_Prot#'!$A:$AL,20,FALSE)</f>
        <v>-</v>
      </c>
      <c r="AJ292" s="5">
        <f>VLOOKUP($A292,'SegEnds_NonXtal_Prot#'!$A:$AL,23,FALSE)</f>
        <v>185</v>
      </c>
      <c r="AK292" s="5">
        <f>VLOOKUP($A292,'SegEnds_NonXtal_Prot#'!$A:$AL,26,FALSE)</f>
        <v>199</v>
      </c>
      <c r="AL292" s="5">
        <f>VLOOKUP($A292,'SegEnds_NonXtal_Prot#'!$A:$AL,29,FALSE)</f>
        <v>242</v>
      </c>
      <c r="AM292" s="5">
        <f>VLOOKUP($A292,'SegEnds_NonXtal_Prot#'!$A:$AL,32,FALSE)</f>
        <v>286</v>
      </c>
      <c r="AN292" s="5">
        <f>VLOOKUP($A292,'SegEnds_NonXtal_Prot#'!$A:$AL,35,FALSE)</f>
        <v>319</v>
      </c>
      <c r="AO292" s="5">
        <f>VLOOKUP($A292,'SegEnds_NonXtal_Prot#'!$A:$AL,38,FALSE)</f>
        <v>333</v>
      </c>
      <c r="AP292" s="5">
        <f t="shared" si="113"/>
        <v>38</v>
      </c>
      <c r="AQ292" s="4">
        <f t="shared" si="114"/>
        <v>3</v>
      </c>
      <c r="AR292" s="4">
        <f t="shared" si="115"/>
        <v>29</v>
      </c>
      <c r="AS292" s="4">
        <f t="shared" si="116"/>
        <v>3</v>
      </c>
      <c r="AT292" s="4">
        <f t="shared" si="117"/>
        <v>35</v>
      </c>
      <c r="AU292" s="4" t="str">
        <f t="shared" si="118"/>
        <v>-</v>
      </c>
      <c r="AV292" s="4">
        <f t="shared" si="119"/>
        <v>26</v>
      </c>
      <c r="AW292" s="4">
        <f t="shared" si="120"/>
        <v>2</v>
      </c>
      <c r="AX292" s="4">
        <f t="shared" si="121"/>
        <v>37</v>
      </c>
      <c r="AY292" s="4">
        <f t="shared" si="122"/>
        <v>38</v>
      </c>
      <c r="AZ292" s="4">
        <f t="shared" si="123"/>
        <v>28</v>
      </c>
      <c r="BA292" s="4">
        <f t="shared" si="124"/>
        <v>13</v>
      </c>
    </row>
    <row r="293" spans="1:53" x14ac:dyDescent="0.2">
      <c r="A293" s="1" t="str">
        <f>'SegEnds_NonXtal_Prot#'!A286</f>
        <v>npff1_human</v>
      </c>
      <c r="B293" s="1" t="str">
        <f t="shared" si="100"/>
        <v>AAMFIVAYALIFLLCMVGNTLVCFIVLKNTVTNMFILNLAVSDLLVGIFCMPTTLVDNLITDNATCKMSGLVQGMSVSASVFTLVAIAVERFRCIVHTLRKALVTIAVIWALALLIMCPSAVTLGMRRVYTTVLFSHIYLAPLALIVVMYARIARKLCQAPGPAPADPRASRRRARVVHMLVMVALFFTLSWLPLWALLLLIDYGHLVTVYAFPFAHWLAFFNSSANPIIYGYFNENFRRGFQAAFRARLC</v>
      </c>
      <c r="C293" s="29" t="str">
        <f>IF(ISERROR(MATCH(A293,'SegEnds_Xtal_Prot#'!B:B, 0)), "NoXtal", "Xtal")</f>
        <v>NoXtal</v>
      </c>
      <c r="D293" s="4" t="str">
        <f>VLOOKUP(A293,Classification!A:D,2,FALSE)</f>
        <v>A</v>
      </c>
      <c r="E293" s="5" t="str">
        <f>VLOOKUP(A293,Seqs!A:B,2,FALSE)</f>
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</c>
      <c r="F293" s="5" t="str">
        <f t="shared" si="101"/>
        <v>AAMFIVAYALIFLLCMVGNTLVCFIVLKN</v>
      </c>
      <c r="G293" s="4" t="str">
        <f t="shared" si="102"/>
        <v>RHMH</v>
      </c>
      <c r="H293" s="4" t="str">
        <f t="shared" si="103"/>
        <v>TVTNMFILNLAVSDLLVGIFCMPTTLVDNLIT</v>
      </c>
      <c r="I293" s="4" t="str">
        <f t="shared" si="104"/>
        <v>GWPF</v>
      </c>
      <c r="J293" s="4" t="str">
        <f t="shared" si="105"/>
        <v>DNATCKMSGLVQGMSVSASVFTLVAIAVERFRCIVH</v>
      </c>
      <c r="K293" s="4" t="str">
        <f t="shared" si="106"/>
        <v/>
      </c>
      <c r="L293" s="4" t="str">
        <f t="shared" si="107"/>
        <v>TLRKALVTIAVIWALALLIMCPSAVTL</v>
      </c>
      <c r="M293" s="4" t="str">
        <f t="shared" si="108"/>
        <v>CWE</v>
      </c>
      <c r="N293" s="4" t="str">
        <f t="shared" si="109"/>
        <v>GMRRVYTTVLFSHIYLAPLALIVVMYARIARKLCQAPGPAP</v>
      </c>
      <c r="O293" s="4" t="str">
        <f t="shared" si="110"/>
        <v>ADPRASRRRARVVHMLVMVALFFTLSWLPLWALLLLIDYG</v>
      </c>
      <c r="P293" s="4" t="str">
        <f t="shared" si="111"/>
        <v>HLVTVYAFPFAHWLAFFNSSANPIIYGYF</v>
      </c>
      <c r="Q293" s="4" t="str">
        <f t="shared" si="112"/>
        <v>NENFRRGFQAAFRARLC</v>
      </c>
      <c r="R293" s="5">
        <f>VLOOKUP($A293,'SegEnds_NonXtal_Prot#'!$A:$AL,3,FALSE)</f>
        <v>43</v>
      </c>
      <c r="S293" s="5">
        <f>VLOOKUP($A293,'SegEnds_NonXtal_Prot#'!$A:$AL,6,FALSE)</f>
        <v>72</v>
      </c>
      <c r="T293" s="5">
        <f>VLOOKUP($A293,'SegEnds_NonXtal_Prot#'!$A:$AL,9,FALSE)</f>
        <v>76</v>
      </c>
      <c r="U293" s="5">
        <f>VLOOKUP($A293,'SegEnds_NonXtal_Prot#'!$A:$AL,12,FALSE)</f>
        <v>108</v>
      </c>
      <c r="V293" s="5">
        <f>VLOOKUP($A293,'SegEnds_NonXtal_Prot#'!$A:$AL,15,FALSE)</f>
        <v>112</v>
      </c>
      <c r="W293" s="5" t="str">
        <f>VLOOKUP($A293,'SegEnds_NonXtal_Prot#'!$A:$AL,18,FALSE)</f>
        <v>-</v>
      </c>
      <c r="X293" s="5">
        <f>VLOOKUP($A293,'SegEnds_NonXtal_Prot#'!$A:$AL,21,FALSE)</f>
        <v>154</v>
      </c>
      <c r="Y293" s="5">
        <f>VLOOKUP($A293,'SegEnds_NonXtal_Prot#'!$A:$AL,24,FALSE)</f>
        <v>203</v>
      </c>
      <c r="Z293" s="5">
        <f>VLOOKUP($A293,'SegEnds_NonXtal_Prot#'!$A:$AL,27,FALSE)</f>
        <v>211</v>
      </c>
      <c r="AA293" s="5">
        <f>VLOOKUP($A293,'SegEnds_NonXtal_Prot#'!$A:$AL,30,FALSE)</f>
        <v>257</v>
      </c>
      <c r="AB293" s="5">
        <f>VLOOKUP($A293,'SegEnds_NonXtal_Prot#'!$A:$AL,33,FALSE)</f>
        <v>304</v>
      </c>
      <c r="AC293" s="5">
        <f>VLOOKUP($A293,'SegEnds_NonXtal_Prot#'!$A:$AL,36,FALSE)</f>
        <v>333</v>
      </c>
      <c r="AD293" s="5">
        <f>VLOOKUP($A293,'SegEnds_NonXtal_Prot#'!$A:$AL,5,FALSE)</f>
        <v>71</v>
      </c>
      <c r="AE293" s="5">
        <f>VLOOKUP($A293,'SegEnds_NonXtal_Prot#'!$A:$AL,8,FALSE)</f>
        <v>75</v>
      </c>
      <c r="AF293" s="5">
        <f>VLOOKUP($A293,'SegEnds_NonXtal_Prot#'!$A:$AL,11,FALSE)</f>
        <v>107</v>
      </c>
      <c r="AG293" s="5">
        <f>VLOOKUP($A293,'SegEnds_NonXtal_Prot#'!$A:$AL,14,FALSE)</f>
        <v>111</v>
      </c>
      <c r="AH293" s="5">
        <f>VLOOKUP($A293,'SegEnds_NonXtal_Prot#'!$A:$AL,17,FALSE)</f>
        <v>147</v>
      </c>
      <c r="AI293" s="5" t="str">
        <f>VLOOKUP($A293,'SegEnds_NonXtal_Prot#'!$A:$AL,20,FALSE)</f>
        <v>-</v>
      </c>
      <c r="AJ293" s="5">
        <f>VLOOKUP($A293,'SegEnds_NonXtal_Prot#'!$A:$AL,23,FALSE)</f>
        <v>180</v>
      </c>
      <c r="AK293" s="5">
        <f>VLOOKUP($A293,'SegEnds_NonXtal_Prot#'!$A:$AL,26,FALSE)</f>
        <v>205</v>
      </c>
      <c r="AL293" s="5">
        <f>VLOOKUP($A293,'SegEnds_NonXtal_Prot#'!$A:$AL,29,FALSE)</f>
        <v>251</v>
      </c>
      <c r="AM293" s="5">
        <f>VLOOKUP($A293,'SegEnds_NonXtal_Prot#'!$A:$AL,32,FALSE)</f>
        <v>296</v>
      </c>
      <c r="AN293" s="5">
        <f>VLOOKUP($A293,'SegEnds_NonXtal_Prot#'!$A:$AL,35,FALSE)</f>
        <v>332</v>
      </c>
      <c r="AO293" s="5">
        <f>VLOOKUP($A293,'SegEnds_NonXtal_Prot#'!$A:$AL,38,FALSE)</f>
        <v>349</v>
      </c>
      <c r="AP293" s="5">
        <f t="shared" si="113"/>
        <v>28</v>
      </c>
      <c r="AQ293" s="4">
        <f t="shared" si="114"/>
        <v>3</v>
      </c>
      <c r="AR293" s="4">
        <f t="shared" si="115"/>
        <v>31</v>
      </c>
      <c r="AS293" s="4">
        <f t="shared" si="116"/>
        <v>3</v>
      </c>
      <c r="AT293" s="4">
        <f t="shared" si="117"/>
        <v>35</v>
      </c>
      <c r="AU293" s="4" t="str">
        <f t="shared" si="118"/>
        <v>-</v>
      </c>
      <c r="AV293" s="4">
        <f t="shared" si="119"/>
        <v>26</v>
      </c>
      <c r="AW293" s="4">
        <f t="shared" si="120"/>
        <v>2</v>
      </c>
      <c r="AX293" s="4">
        <f t="shared" si="121"/>
        <v>40</v>
      </c>
      <c r="AY293" s="4">
        <f t="shared" si="122"/>
        <v>39</v>
      </c>
      <c r="AZ293" s="4">
        <f t="shared" si="123"/>
        <v>28</v>
      </c>
      <c r="BA293" s="4">
        <f t="shared" si="124"/>
        <v>16</v>
      </c>
    </row>
    <row r="294" spans="1:53" x14ac:dyDescent="0.2">
      <c r="A294" s="1" t="str">
        <f>'SegEnds_NonXtal_Prot#'!A287</f>
        <v>npff2_human</v>
      </c>
      <c r="B294" s="1" t="str">
        <f t="shared" si="100"/>
        <v>AAIFIISYFLIFFLCMMGNTVVCFIVMRNTVTNLFILNLAISDLLVGIFCMPITLLDNIIAGNTMCKISGLVQGISVAASVFTLVAIAVDRFQCVVYTIKTAFVIIMIIWVLAITIMSPSAVMLEMRKIYTTVLFANIYLAPLSLIVIMYGRIGISLFRAAVPHTHVVSRKKQKIIKMLLIVALLFILSWLPLWTLMMLSDYAQIINIYIYPFAHWLAFGNSSVNPIIYGFFNENFRRGFQEAFQLQLC</v>
      </c>
      <c r="C294" s="29" t="str">
        <f>IF(ISERROR(MATCH(A294,'SegEnds_Xtal_Prot#'!B:B, 0)), "NoXtal", "Xtal")</f>
        <v>NoXtal</v>
      </c>
      <c r="D294" s="4" t="str">
        <f>VLOOKUP(A294,Classification!A:D,2,FALSE)</f>
        <v>A</v>
      </c>
      <c r="E294" s="5" t="str">
        <f>VLOOKUP(A294,Seqs!A:B,2,FALSE)</f>
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</c>
      <c r="F294" s="5" t="str">
        <f t="shared" si="101"/>
        <v>AAIFIISYFLIFFLCMMGNTVVCFIVMRN</v>
      </c>
      <c r="G294" s="4" t="str">
        <f t="shared" si="102"/>
        <v>KHMH</v>
      </c>
      <c r="H294" s="4" t="str">
        <f t="shared" si="103"/>
        <v>TVTNLFILNLAISDLLVGIFCMPITLLDNIIA</v>
      </c>
      <c r="I294" s="4" t="str">
        <f t="shared" si="104"/>
        <v>GWPF</v>
      </c>
      <c r="J294" s="4" t="str">
        <f t="shared" si="105"/>
        <v>GNTMCKISGLVQGISVAASVFTLVAIAVDRFQCVVY</v>
      </c>
      <c r="K294" s="4" t="str">
        <f t="shared" si="106"/>
        <v/>
      </c>
      <c r="L294" s="4" t="str">
        <f t="shared" si="107"/>
        <v>TIKTAFVIIMIIWVLAITIMSPSAVML</v>
      </c>
      <c r="M294" s="4" t="str">
        <f t="shared" si="108"/>
        <v>CRE</v>
      </c>
      <c r="N294" s="4" t="str">
        <f t="shared" si="109"/>
        <v>EMRKIYTTVLFANIYLAPLSLIVIMYGRIGISLFRAAVPHT</v>
      </c>
      <c r="O294" s="4" t="str">
        <f t="shared" si="110"/>
        <v>HVVSRKKQKIIKMLLIVALLFILSWLPLWTLMMLSDYA</v>
      </c>
      <c r="P294" s="4" t="str">
        <f t="shared" si="111"/>
        <v>QIINIYIYPFAHWLAFGNSSVNPIIYGFF</v>
      </c>
      <c r="Q294" s="4" t="str">
        <f t="shared" si="112"/>
        <v>NENFRRGFQEAFQLQLC</v>
      </c>
      <c r="R294" s="5">
        <f>VLOOKUP($A294,'SegEnds_NonXtal_Prot#'!$A:$AL,3,FALSE)</f>
        <v>147</v>
      </c>
      <c r="S294" s="5">
        <f>VLOOKUP($A294,'SegEnds_NonXtal_Prot#'!$A:$AL,6,FALSE)</f>
        <v>176</v>
      </c>
      <c r="T294" s="5">
        <f>VLOOKUP($A294,'SegEnds_NonXtal_Prot#'!$A:$AL,9,FALSE)</f>
        <v>180</v>
      </c>
      <c r="U294" s="5">
        <f>VLOOKUP($A294,'SegEnds_NonXtal_Prot#'!$A:$AL,12,FALSE)</f>
        <v>212</v>
      </c>
      <c r="V294" s="5">
        <f>VLOOKUP($A294,'SegEnds_NonXtal_Prot#'!$A:$AL,15,FALSE)</f>
        <v>216</v>
      </c>
      <c r="W294" s="5" t="str">
        <f>VLOOKUP($A294,'SegEnds_NonXtal_Prot#'!$A:$AL,18,FALSE)</f>
        <v>-</v>
      </c>
      <c r="X294" s="5">
        <f>VLOOKUP($A294,'SegEnds_NonXtal_Prot#'!$A:$AL,21,FALSE)</f>
        <v>258</v>
      </c>
      <c r="Y294" s="5">
        <f>VLOOKUP($A294,'SegEnds_NonXtal_Prot#'!$A:$AL,24,FALSE)</f>
        <v>308</v>
      </c>
      <c r="Z294" s="5">
        <f>VLOOKUP($A294,'SegEnds_NonXtal_Prot#'!$A:$AL,27,FALSE)</f>
        <v>316</v>
      </c>
      <c r="AA294" s="5">
        <f>VLOOKUP($A294,'SegEnds_NonXtal_Prot#'!$A:$AL,30,FALSE)</f>
        <v>365</v>
      </c>
      <c r="AB294" s="5">
        <f>VLOOKUP($A294,'SegEnds_NonXtal_Prot#'!$A:$AL,33,FALSE)</f>
        <v>410</v>
      </c>
      <c r="AC294" s="5">
        <f>VLOOKUP($A294,'SegEnds_NonXtal_Prot#'!$A:$AL,36,FALSE)</f>
        <v>439</v>
      </c>
      <c r="AD294" s="5">
        <f>VLOOKUP($A294,'SegEnds_NonXtal_Prot#'!$A:$AL,5,FALSE)</f>
        <v>175</v>
      </c>
      <c r="AE294" s="5">
        <f>VLOOKUP($A294,'SegEnds_NonXtal_Prot#'!$A:$AL,8,FALSE)</f>
        <v>179</v>
      </c>
      <c r="AF294" s="5">
        <f>VLOOKUP($A294,'SegEnds_NonXtal_Prot#'!$A:$AL,11,FALSE)</f>
        <v>211</v>
      </c>
      <c r="AG294" s="5">
        <f>VLOOKUP($A294,'SegEnds_NonXtal_Prot#'!$A:$AL,14,FALSE)</f>
        <v>215</v>
      </c>
      <c r="AH294" s="5">
        <f>VLOOKUP($A294,'SegEnds_NonXtal_Prot#'!$A:$AL,17,FALSE)</f>
        <v>251</v>
      </c>
      <c r="AI294" s="5" t="str">
        <f>VLOOKUP($A294,'SegEnds_NonXtal_Prot#'!$A:$AL,20,FALSE)</f>
        <v>-</v>
      </c>
      <c r="AJ294" s="5">
        <f>VLOOKUP($A294,'SegEnds_NonXtal_Prot#'!$A:$AL,23,FALSE)</f>
        <v>284</v>
      </c>
      <c r="AK294" s="5">
        <f>VLOOKUP($A294,'SegEnds_NonXtal_Prot#'!$A:$AL,26,FALSE)</f>
        <v>310</v>
      </c>
      <c r="AL294" s="5">
        <f>VLOOKUP($A294,'SegEnds_NonXtal_Prot#'!$A:$AL,29,FALSE)</f>
        <v>356</v>
      </c>
      <c r="AM294" s="5">
        <f>VLOOKUP($A294,'SegEnds_NonXtal_Prot#'!$A:$AL,32,FALSE)</f>
        <v>402</v>
      </c>
      <c r="AN294" s="5">
        <f>VLOOKUP($A294,'SegEnds_NonXtal_Prot#'!$A:$AL,35,FALSE)</f>
        <v>438</v>
      </c>
      <c r="AO294" s="5">
        <f>VLOOKUP($A294,'SegEnds_NonXtal_Prot#'!$A:$AL,38,FALSE)</f>
        <v>455</v>
      </c>
      <c r="AP294" s="5">
        <f t="shared" si="113"/>
        <v>28</v>
      </c>
      <c r="AQ294" s="4">
        <f t="shared" si="114"/>
        <v>3</v>
      </c>
      <c r="AR294" s="4">
        <f t="shared" si="115"/>
        <v>31</v>
      </c>
      <c r="AS294" s="4">
        <f t="shared" si="116"/>
        <v>3</v>
      </c>
      <c r="AT294" s="4">
        <f t="shared" si="117"/>
        <v>35</v>
      </c>
      <c r="AU294" s="4" t="str">
        <f t="shared" si="118"/>
        <v>-</v>
      </c>
      <c r="AV294" s="4">
        <f t="shared" si="119"/>
        <v>26</v>
      </c>
      <c r="AW294" s="4">
        <f t="shared" si="120"/>
        <v>2</v>
      </c>
      <c r="AX294" s="4">
        <f t="shared" si="121"/>
        <v>40</v>
      </c>
      <c r="AY294" s="4">
        <f t="shared" si="122"/>
        <v>37</v>
      </c>
      <c r="AZ294" s="4">
        <f t="shared" si="123"/>
        <v>28</v>
      </c>
      <c r="BA294" s="4">
        <f t="shared" si="124"/>
        <v>16</v>
      </c>
    </row>
    <row r="295" spans="1:53" x14ac:dyDescent="0.2">
      <c r="A295" s="1" t="str">
        <f>'SegEnds_NonXtal_Prot#'!A288</f>
        <v>npy1r_human</v>
      </c>
      <c r="B295" s="1" t="str">
        <f t="shared" si="100"/>
        <v>PLAMIFTLALAYGAVIILGVSGNLALIIIILKQNVTNILIVNLSFSDLLVAIMCLPFTFVYTLMDGEAMCKLNPFVQCVSITVSIFSLVLIAVERHQLIINNNRHAYVGIAVIWVLAVASSLPFLIYQSDSHRLSYTTLLLVLQYFGPLCFIFICYFKIYIRLKRRNNMMDDNKYRSSETKRINIMLLSIVVAFAVCWLPLTIFNTVFDWNTCNHNLLFLLCHLTAMISTCVNPIFYGFLNKNFQRDLQFFF</v>
      </c>
      <c r="C295" s="29" t="str">
        <f>IF(ISERROR(MATCH(A295,'SegEnds_Xtal_Prot#'!B:B, 0)), "NoXtal", "Xtal")</f>
        <v>Xtal</v>
      </c>
      <c r="D295" s="4" t="str">
        <f>VLOOKUP(A295,Classification!A:D,2,FALSE)</f>
        <v>A</v>
      </c>
      <c r="E295" s="5" t="str">
        <f>VLOOKUP(A295,Seqs!A:B,2,FALSE)</f>
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</c>
      <c r="F295" s="5" t="str">
        <f t="shared" si="101"/>
        <v>PLAMIFTLALAYGAVIILGVSGNLALIIIILKQ</v>
      </c>
      <c r="G295" s="4" t="str">
        <f t="shared" si="102"/>
        <v>KEMR</v>
      </c>
      <c r="H295" s="4" t="str">
        <f t="shared" si="103"/>
        <v>NVTNILIVNLSFSDLLVAIMCLPFTFVYTLMD</v>
      </c>
      <c r="I295" s="4" t="str">
        <f t="shared" si="104"/>
        <v>HWVF</v>
      </c>
      <c r="J295" s="4" t="str">
        <f t="shared" si="105"/>
        <v>GEAMCKLNPFVQCVSITVSIFSLVLIAVERHQLIIN</v>
      </c>
      <c r="K295" s="4" t="str">
        <f t="shared" si="106"/>
        <v/>
      </c>
      <c r="L295" s="4" t="str">
        <f t="shared" si="107"/>
        <v>NNRHAYVGIAVIWVLAVASSLPFLIYQ</v>
      </c>
      <c r="M295" s="4" t="str">
        <f t="shared" si="108"/>
        <v>CFD</v>
      </c>
      <c r="N295" s="4" t="str">
        <f t="shared" si="109"/>
        <v>SDSHRLSYTTLLLVLQYFGPLCFIFICYFKIYIRLKRRNNMMD</v>
      </c>
      <c r="O295" s="4" t="str">
        <f t="shared" si="110"/>
        <v>DNKYRSSETKRINIMLLSIVVAFAVCWLPLTIFNTVFDWN</v>
      </c>
      <c r="P295" s="4" t="str">
        <f t="shared" si="111"/>
        <v>TCNHNLLFLLCHLTAMISTCVNPIFYGFL</v>
      </c>
      <c r="Q295" s="4" t="str">
        <f t="shared" si="112"/>
        <v>NKNFQRDLQFFF</v>
      </c>
      <c r="R295" s="5">
        <f>VLOOKUP($A295,'SegEnds_NonXtal_Prot#'!$A:$AL,3,FALSE)</f>
        <v>36</v>
      </c>
      <c r="S295" s="5">
        <f>VLOOKUP($A295,'SegEnds_NonXtal_Prot#'!$A:$AL,6,FALSE)</f>
        <v>69</v>
      </c>
      <c r="T295" s="5">
        <f>VLOOKUP($A295,'SegEnds_NonXtal_Prot#'!$A:$AL,9,FALSE)</f>
        <v>73</v>
      </c>
      <c r="U295" s="5">
        <f>VLOOKUP($A295,'SegEnds_NonXtal_Prot#'!$A:$AL,12,FALSE)</f>
        <v>105</v>
      </c>
      <c r="V295" s="5">
        <f>VLOOKUP($A295,'SegEnds_NonXtal_Prot#'!$A:$AL,15,FALSE)</f>
        <v>109</v>
      </c>
      <c r="W295" s="5" t="str">
        <f>VLOOKUP($A295,'SegEnds_NonXtal_Prot#'!$A:$AL,18,FALSE)</f>
        <v>-</v>
      </c>
      <c r="X295" s="5">
        <f>VLOOKUP($A295,'SegEnds_NonXtal_Prot#'!$A:$AL,21,FALSE)</f>
        <v>151</v>
      </c>
      <c r="Y295" s="5">
        <f>VLOOKUP($A295,'SegEnds_NonXtal_Prot#'!$A:$AL,24,FALSE)</f>
        <v>198</v>
      </c>
      <c r="Z295" s="5">
        <f>VLOOKUP($A295,'SegEnds_NonXtal_Prot#'!$A:$AL,27,FALSE)</f>
        <v>204</v>
      </c>
      <c r="AA295" s="5">
        <f>VLOOKUP($A295,'SegEnds_NonXtal_Prot#'!$A:$AL,30,FALSE)</f>
        <v>250</v>
      </c>
      <c r="AB295" s="5">
        <f>VLOOKUP($A295,'SegEnds_NonXtal_Prot#'!$A:$AL,33,FALSE)</f>
        <v>295</v>
      </c>
      <c r="AC295" s="5">
        <f>VLOOKUP($A295,'SegEnds_NonXtal_Prot#'!$A:$AL,36,FALSE)</f>
        <v>324</v>
      </c>
      <c r="AD295" s="5">
        <f>VLOOKUP($A295,'SegEnds_NonXtal_Prot#'!$A:$AL,5,FALSE)</f>
        <v>68</v>
      </c>
      <c r="AE295" s="5">
        <f>VLOOKUP($A295,'SegEnds_NonXtal_Prot#'!$A:$AL,8,FALSE)</f>
        <v>72</v>
      </c>
      <c r="AF295" s="5">
        <f>VLOOKUP($A295,'SegEnds_NonXtal_Prot#'!$A:$AL,11,FALSE)</f>
        <v>104</v>
      </c>
      <c r="AG295" s="5">
        <f>VLOOKUP($A295,'SegEnds_NonXtal_Prot#'!$A:$AL,14,FALSE)</f>
        <v>108</v>
      </c>
      <c r="AH295" s="5">
        <f>VLOOKUP($A295,'SegEnds_NonXtal_Prot#'!$A:$AL,17,FALSE)</f>
        <v>144</v>
      </c>
      <c r="AI295" s="5" t="str">
        <f>VLOOKUP($A295,'SegEnds_NonXtal_Prot#'!$A:$AL,20,FALSE)</f>
        <v>-</v>
      </c>
      <c r="AJ295" s="5">
        <f>VLOOKUP($A295,'SegEnds_NonXtal_Prot#'!$A:$AL,23,FALSE)</f>
        <v>177</v>
      </c>
      <c r="AK295" s="5">
        <f>VLOOKUP($A295,'SegEnds_NonXtal_Prot#'!$A:$AL,26,FALSE)</f>
        <v>200</v>
      </c>
      <c r="AL295" s="5">
        <f>VLOOKUP($A295,'SegEnds_NonXtal_Prot#'!$A:$AL,29,FALSE)</f>
        <v>246</v>
      </c>
      <c r="AM295" s="5">
        <f>VLOOKUP($A295,'SegEnds_NonXtal_Prot#'!$A:$AL,32,FALSE)</f>
        <v>289</v>
      </c>
      <c r="AN295" s="5">
        <f>VLOOKUP($A295,'SegEnds_NonXtal_Prot#'!$A:$AL,35,FALSE)</f>
        <v>323</v>
      </c>
      <c r="AO295" s="5">
        <f>VLOOKUP($A295,'SegEnds_NonXtal_Prot#'!$A:$AL,38,FALSE)</f>
        <v>335</v>
      </c>
      <c r="AP295" s="5">
        <f t="shared" si="113"/>
        <v>32</v>
      </c>
      <c r="AQ295" s="4">
        <f t="shared" si="114"/>
        <v>3</v>
      </c>
      <c r="AR295" s="4">
        <f t="shared" si="115"/>
        <v>31</v>
      </c>
      <c r="AS295" s="4">
        <f t="shared" si="116"/>
        <v>3</v>
      </c>
      <c r="AT295" s="4">
        <f t="shared" si="117"/>
        <v>35</v>
      </c>
      <c r="AU295" s="4" t="str">
        <f t="shared" si="118"/>
        <v>-</v>
      </c>
      <c r="AV295" s="4">
        <f t="shared" si="119"/>
        <v>26</v>
      </c>
      <c r="AW295" s="4">
        <f t="shared" si="120"/>
        <v>2</v>
      </c>
      <c r="AX295" s="4">
        <f t="shared" si="121"/>
        <v>42</v>
      </c>
      <c r="AY295" s="4">
        <f t="shared" si="122"/>
        <v>39</v>
      </c>
      <c r="AZ295" s="4">
        <f t="shared" si="123"/>
        <v>28</v>
      </c>
      <c r="BA295" s="4">
        <f t="shared" si="124"/>
        <v>11</v>
      </c>
    </row>
    <row r="296" spans="1:53" x14ac:dyDescent="0.2">
      <c r="A296" s="1" t="str">
        <f>'SegEnds_NonXtal_Prot#'!A289</f>
        <v>npy2r_human</v>
      </c>
      <c r="B296" s="1" t="str">
        <f t="shared" si="100"/>
        <v>QVVLILAYCSIILLGVIGNSLVIHVVIKFTVTNFFIANLAVADLLVNTLCLPFTLTYTLMGGPVLCHLVPYAQGLAVQVSTITLTVIALDRHRCIVYSKRISFLIIGLAWGISALLASPLAIFRIYGTVYSLSSLLILYVLPLGIISFSYTRIWSKLKNHVSPGNDHYHQRRQKTTKMLVCVVVVFAVSWLPLHAFQLAVDIDDLKEYKLIFTVFHIIAMCSTFANPLLYGWMNSNYRKAFLSAFRCEQR</v>
      </c>
      <c r="C296" s="29" t="str">
        <f>IF(ISERROR(MATCH(A296,'SegEnds_Xtal_Prot#'!B:B, 0)), "NoXtal", "Xtal")</f>
        <v>NoXtal</v>
      </c>
      <c r="D296" s="4" t="str">
        <f>VLOOKUP(A296,Classification!A:D,2,FALSE)</f>
        <v>A</v>
      </c>
      <c r="E296" s="5" t="str">
        <f>VLOOKUP(A296,Seqs!A:B,2,FALSE)</f>
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</c>
      <c r="F296" s="5" t="str">
        <f t="shared" si="101"/>
        <v>QVVLILAYCSIILLGVIGNSLVIHVVIKF</v>
      </c>
      <c r="G296" s="4" t="str">
        <f t="shared" si="102"/>
        <v>KSMR</v>
      </c>
      <c r="H296" s="4" t="str">
        <f t="shared" si="103"/>
        <v>TVTNFFIANLAVADLLVNTLCLPFTLTYTLMG</v>
      </c>
      <c r="I296" s="4" t="str">
        <f t="shared" si="104"/>
        <v>EWKM</v>
      </c>
      <c r="J296" s="4" t="str">
        <f t="shared" si="105"/>
        <v>GPVLCHLVPYAQGLAVQVSTITLTVIALDRHRCIVY</v>
      </c>
      <c r="K296" s="4" t="str">
        <f t="shared" si="106"/>
        <v/>
      </c>
      <c r="L296" s="4" t="str">
        <f t="shared" si="107"/>
        <v>SKRISFLIIGLAWGISALLASPLAIFR</v>
      </c>
      <c r="M296" s="4" t="str">
        <f t="shared" si="108"/>
        <v>CTE</v>
      </c>
      <c r="N296" s="4" t="str">
        <f t="shared" si="109"/>
        <v>IYGTVYSLSSLLILYVLPLGIISFSYTRIWSKLKNHVSPG</v>
      </c>
      <c r="O296" s="4" t="str">
        <f t="shared" si="110"/>
        <v>NDHYHQRRQKTTKMLVCVVVVFAVSWLPLHAFQLAVDID</v>
      </c>
      <c r="P296" s="4" t="str">
        <f t="shared" si="111"/>
        <v>DLKEYKLIFTVFHIIAMCSTFANPLLYGWM</v>
      </c>
      <c r="Q296" s="4" t="str">
        <f t="shared" si="112"/>
        <v>NSNYRKAFLSAFRCEQR</v>
      </c>
      <c r="R296" s="5">
        <f>VLOOKUP($A296,'SegEnds_NonXtal_Prot#'!$A:$AL,3,FALSE)</f>
        <v>50</v>
      </c>
      <c r="S296" s="5">
        <f>VLOOKUP($A296,'SegEnds_NonXtal_Prot#'!$A:$AL,6,FALSE)</f>
        <v>79</v>
      </c>
      <c r="T296" s="5">
        <f>VLOOKUP($A296,'SegEnds_NonXtal_Prot#'!$A:$AL,9,FALSE)</f>
        <v>83</v>
      </c>
      <c r="U296" s="5">
        <f>VLOOKUP($A296,'SegEnds_NonXtal_Prot#'!$A:$AL,12,FALSE)</f>
        <v>115</v>
      </c>
      <c r="V296" s="5">
        <f>VLOOKUP($A296,'SegEnds_NonXtal_Prot#'!$A:$AL,15,FALSE)</f>
        <v>119</v>
      </c>
      <c r="W296" s="5" t="str">
        <f>VLOOKUP($A296,'SegEnds_NonXtal_Prot#'!$A:$AL,18,FALSE)</f>
        <v>-</v>
      </c>
      <c r="X296" s="5">
        <f>VLOOKUP($A296,'SegEnds_NonXtal_Prot#'!$A:$AL,21,FALSE)</f>
        <v>161</v>
      </c>
      <c r="Y296" s="5">
        <f>VLOOKUP($A296,'SegEnds_NonXtal_Prot#'!$A:$AL,24,FALSE)</f>
        <v>203</v>
      </c>
      <c r="Z296" s="5">
        <f>VLOOKUP($A296,'SegEnds_NonXtal_Prot#'!$A:$AL,27,FALSE)</f>
        <v>214</v>
      </c>
      <c r="AA296" s="5">
        <f>VLOOKUP($A296,'SegEnds_NonXtal_Prot#'!$A:$AL,30,FALSE)</f>
        <v>256</v>
      </c>
      <c r="AB296" s="5">
        <f>VLOOKUP($A296,'SegEnds_NonXtal_Prot#'!$A:$AL,33,FALSE)</f>
        <v>299</v>
      </c>
      <c r="AC296" s="5">
        <f>VLOOKUP($A296,'SegEnds_NonXtal_Prot#'!$A:$AL,36,FALSE)</f>
        <v>329</v>
      </c>
      <c r="AD296" s="5">
        <f>VLOOKUP($A296,'SegEnds_NonXtal_Prot#'!$A:$AL,5,FALSE)</f>
        <v>78</v>
      </c>
      <c r="AE296" s="5">
        <f>VLOOKUP($A296,'SegEnds_NonXtal_Prot#'!$A:$AL,8,FALSE)</f>
        <v>82</v>
      </c>
      <c r="AF296" s="5">
        <f>VLOOKUP($A296,'SegEnds_NonXtal_Prot#'!$A:$AL,11,FALSE)</f>
        <v>114</v>
      </c>
      <c r="AG296" s="5">
        <f>VLOOKUP($A296,'SegEnds_NonXtal_Prot#'!$A:$AL,14,FALSE)</f>
        <v>118</v>
      </c>
      <c r="AH296" s="5">
        <f>VLOOKUP($A296,'SegEnds_NonXtal_Prot#'!$A:$AL,17,FALSE)</f>
        <v>154</v>
      </c>
      <c r="AI296" s="5" t="str">
        <f>VLOOKUP($A296,'SegEnds_NonXtal_Prot#'!$A:$AL,20,FALSE)</f>
        <v>-</v>
      </c>
      <c r="AJ296" s="5">
        <f>VLOOKUP($A296,'SegEnds_NonXtal_Prot#'!$A:$AL,23,FALSE)</f>
        <v>187</v>
      </c>
      <c r="AK296" s="5">
        <f>VLOOKUP($A296,'SegEnds_NonXtal_Prot#'!$A:$AL,26,FALSE)</f>
        <v>205</v>
      </c>
      <c r="AL296" s="5">
        <f>VLOOKUP($A296,'SegEnds_NonXtal_Prot#'!$A:$AL,29,FALSE)</f>
        <v>253</v>
      </c>
      <c r="AM296" s="5">
        <f>VLOOKUP($A296,'SegEnds_NonXtal_Prot#'!$A:$AL,32,FALSE)</f>
        <v>294</v>
      </c>
      <c r="AN296" s="5">
        <f>VLOOKUP($A296,'SegEnds_NonXtal_Prot#'!$A:$AL,35,FALSE)</f>
        <v>328</v>
      </c>
      <c r="AO296" s="5">
        <f>VLOOKUP($A296,'SegEnds_NonXtal_Prot#'!$A:$AL,38,FALSE)</f>
        <v>345</v>
      </c>
      <c r="AP296" s="5">
        <f t="shared" si="113"/>
        <v>28</v>
      </c>
      <c r="AQ296" s="4">
        <f t="shared" si="114"/>
        <v>3</v>
      </c>
      <c r="AR296" s="4">
        <f t="shared" si="115"/>
        <v>31</v>
      </c>
      <c r="AS296" s="4">
        <f t="shared" si="116"/>
        <v>3</v>
      </c>
      <c r="AT296" s="4">
        <f t="shared" si="117"/>
        <v>35</v>
      </c>
      <c r="AU296" s="4" t="str">
        <f t="shared" si="118"/>
        <v>-</v>
      </c>
      <c r="AV296" s="4">
        <f t="shared" si="119"/>
        <v>26</v>
      </c>
      <c r="AW296" s="4">
        <f t="shared" si="120"/>
        <v>2</v>
      </c>
      <c r="AX296" s="4">
        <f t="shared" si="121"/>
        <v>39</v>
      </c>
      <c r="AY296" s="4">
        <f t="shared" si="122"/>
        <v>38</v>
      </c>
      <c r="AZ296" s="4">
        <f t="shared" si="123"/>
        <v>29</v>
      </c>
      <c r="BA296" s="4">
        <f t="shared" si="124"/>
        <v>16</v>
      </c>
    </row>
    <row r="297" spans="1:53" x14ac:dyDescent="0.2">
      <c r="A297" s="1" t="str">
        <f>'SegEnds_NonXtal_Prot#'!A290</f>
        <v>npy4r_human</v>
      </c>
      <c r="B297" s="1" t="str">
        <f t="shared" si="100"/>
        <v>SVDVMVFIVTSYSIETVVGVLGNLCLMCVTVRQNVTNLLIANLAFSDFLMCLLCQPLTAVYTIMDGETLCKMSAFIQCMSVTVSILSLVLVALERHQLIINSISQAYLGIVLIWVIACVLSLPFLANSLAHHRTIYTTFLLLFQYCLPLGFILVCYARIYRRLQRQGRVFSLRAGHMKQVNVVLVVMVVAFAVLWLPLHVFNSLEDWHICHGNLIFLVCHLLAMASTCVNPFIYGFLNTNFKKEIKALV</v>
      </c>
      <c r="C297" s="29" t="str">
        <f>IF(ISERROR(MATCH(A297,'SegEnds_Xtal_Prot#'!B:B, 0)), "NoXtal", "Xtal")</f>
        <v>NoXtal</v>
      </c>
      <c r="D297" s="4" t="str">
        <f>VLOOKUP(A297,Classification!A:D,2,FALSE)</f>
        <v>A</v>
      </c>
      <c r="E297" s="5" t="str">
        <f>VLOOKUP(A297,Seqs!A:B,2,FALSE)</f>
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</c>
      <c r="F297" s="5" t="str">
        <f t="shared" si="101"/>
        <v>SVDVMVFIVTSYSIETVVGVLGNLCLMCVTVRQ</v>
      </c>
      <c r="G297" s="4" t="str">
        <f t="shared" si="102"/>
        <v>KEKA</v>
      </c>
      <c r="H297" s="4" t="str">
        <f t="shared" si="103"/>
        <v>NVTNLLIANLAFSDFLMCLLCQPLTAVYTIMD</v>
      </c>
      <c r="I297" s="4" t="str">
        <f t="shared" si="104"/>
        <v>YWIF</v>
      </c>
      <c r="J297" s="4" t="str">
        <f t="shared" si="105"/>
        <v>GETLCKMSAFIQCMSVTVSILSLVLVALERHQLIIN</v>
      </c>
      <c r="K297" s="4" t="str">
        <f t="shared" si="106"/>
        <v/>
      </c>
      <c r="L297" s="4" t="str">
        <f t="shared" si="107"/>
        <v>SISQAYLGIVLIWVIACVLSLPFLANS</v>
      </c>
      <c r="M297" s="4" t="str">
        <f t="shared" si="108"/>
        <v>CTE</v>
      </c>
      <c r="N297" s="4" t="str">
        <f t="shared" si="109"/>
        <v>LAHHRTIYTTFLLLFQYCLPLGFILVCYARIYRRLQRQGRVF</v>
      </c>
      <c r="O297" s="4" t="str">
        <f t="shared" si="110"/>
        <v>SLRAGHMKQVNVVLVVMVVAFAVLWLPLHVFNSLEDWH</v>
      </c>
      <c r="P297" s="4" t="str">
        <f t="shared" si="111"/>
        <v>ICHGNLIFLVCHLLAMASTCVNPFIYGFL</v>
      </c>
      <c r="Q297" s="4" t="str">
        <f t="shared" si="112"/>
        <v>NTNFKKEIKALV</v>
      </c>
      <c r="R297" s="5">
        <f>VLOOKUP($A297,'SegEnds_NonXtal_Prot#'!$A:$AL,3,FALSE)</f>
        <v>37</v>
      </c>
      <c r="S297" s="5">
        <f>VLOOKUP($A297,'SegEnds_NonXtal_Prot#'!$A:$AL,6,FALSE)</f>
        <v>70</v>
      </c>
      <c r="T297" s="5">
        <f>VLOOKUP($A297,'SegEnds_NonXtal_Prot#'!$A:$AL,9,FALSE)</f>
        <v>74</v>
      </c>
      <c r="U297" s="5">
        <f>VLOOKUP($A297,'SegEnds_NonXtal_Prot#'!$A:$AL,12,FALSE)</f>
        <v>106</v>
      </c>
      <c r="V297" s="5">
        <f>VLOOKUP($A297,'SegEnds_NonXtal_Prot#'!$A:$AL,15,FALSE)</f>
        <v>110</v>
      </c>
      <c r="W297" s="5" t="str">
        <f>VLOOKUP($A297,'SegEnds_NonXtal_Prot#'!$A:$AL,18,FALSE)</f>
        <v>-</v>
      </c>
      <c r="X297" s="5">
        <f>VLOOKUP($A297,'SegEnds_NonXtal_Prot#'!$A:$AL,21,FALSE)</f>
        <v>152</v>
      </c>
      <c r="Y297" s="5">
        <f>VLOOKUP($A297,'SegEnds_NonXtal_Prot#'!$A:$AL,24,FALSE)</f>
        <v>201</v>
      </c>
      <c r="Z297" s="5">
        <f>VLOOKUP($A297,'SegEnds_NonXtal_Prot#'!$A:$AL,27,FALSE)</f>
        <v>207</v>
      </c>
      <c r="AA297" s="5">
        <f>VLOOKUP($A297,'SegEnds_NonXtal_Prot#'!$A:$AL,30,FALSE)</f>
        <v>254</v>
      </c>
      <c r="AB297" s="5">
        <f>VLOOKUP($A297,'SegEnds_NonXtal_Prot#'!$A:$AL,33,FALSE)</f>
        <v>297</v>
      </c>
      <c r="AC297" s="5">
        <f>VLOOKUP($A297,'SegEnds_NonXtal_Prot#'!$A:$AL,36,FALSE)</f>
        <v>326</v>
      </c>
      <c r="AD297" s="5">
        <f>VLOOKUP($A297,'SegEnds_NonXtal_Prot#'!$A:$AL,5,FALSE)</f>
        <v>69</v>
      </c>
      <c r="AE297" s="5">
        <f>VLOOKUP($A297,'SegEnds_NonXtal_Prot#'!$A:$AL,8,FALSE)</f>
        <v>73</v>
      </c>
      <c r="AF297" s="5">
        <f>VLOOKUP($A297,'SegEnds_NonXtal_Prot#'!$A:$AL,11,FALSE)</f>
        <v>105</v>
      </c>
      <c r="AG297" s="5">
        <f>VLOOKUP($A297,'SegEnds_NonXtal_Prot#'!$A:$AL,14,FALSE)</f>
        <v>109</v>
      </c>
      <c r="AH297" s="5">
        <f>VLOOKUP($A297,'SegEnds_NonXtal_Prot#'!$A:$AL,17,FALSE)</f>
        <v>145</v>
      </c>
      <c r="AI297" s="5" t="str">
        <f>VLOOKUP($A297,'SegEnds_NonXtal_Prot#'!$A:$AL,20,FALSE)</f>
        <v>-</v>
      </c>
      <c r="AJ297" s="5">
        <f>VLOOKUP($A297,'SegEnds_NonXtal_Prot#'!$A:$AL,23,FALSE)</f>
        <v>178</v>
      </c>
      <c r="AK297" s="5">
        <f>VLOOKUP($A297,'SegEnds_NonXtal_Prot#'!$A:$AL,26,FALSE)</f>
        <v>203</v>
      </c>
      <c r="AL297" s="5">
        <f>VLOOKUP($A297,'SegEnds_NonXtal_Prot#'!$A:$AL,29,FALSE)</f>
        <v>248</v>
      </c>
      <c r="AM297" s="5">
        <f>VLOOKUP($A297,'SegEnds_NonXtal_Prot#'!$A:$AL,32,FALSE)</f>
        <v>291</v>
      </c>
      <c r="AN297" s="5">
        <f>VLOOKUP($A297,'SegEnds_NonXtal_Prot#'!$A:$AL,35,FALSE)</f>
        <v>325</v>
      </c>
      <c r="AO297" s="5">
        <f>VLOOKUP($A297,'SegEnds_NonXtal_Prot#'!$A:$AL,38,FALSE)</f>
        <v>337</v>
      </c>
      <c r="AP297" s="5">
        <f t="shared" si="113"/>
        <v>32</v>
      </c>
      <c r="AQ297" s="4">
        <f t="shared" si="114"/>
        <v>3</v>
      </c>
      <c r="AR297" s="4">
        <f t="shared" si="115"/>
        <v>31</v>
      </c>
      <c r="AS297" s="4">
        <f t="shared" si="116"/>
        <v>3</v>
      </c>
      <c r="AT297" s="4">
        <f t="shared" si="117"/>
        <v>35</v>
      </c>
      <c r="AU297" s="4" t="str">
        <f t="shared" si="118"/>
        <v>-</v>
      </c>
      <c r="AV297" s="4">
        <f t="shared" si="119"/>
        <v>26</v>
      </c>
      <c r="AW297" s="4">
        <f t="shared" si="120"/>
        <v>2</v>
      </c>
      <c r="AX297" s="4">
        <f t="shared" si="121"/>
        <v>41</v>
      </c>
      <c r="AY297" s="4">
        <f t="shared" si="122"/>
        <v>37</v>
      </c>
      <c r="AZ297" s="4">
        <f t="shared" si="123"/>
        <v>28</v>
      </c>
      <c r="BA297" s="4">
        <f t="shared" si="124"/>
        <v>11</v>
      </c>
    </row>
    <row r="298" spans="1:53" x14ac:dyDescent="0.2">
      <c r="A298" s="1" t="str">
        <f>'SegEnds_NonXtal_Prot#'!A291</f>
        <v>npy5r_human</v>
      </c>
      <c r="B298" s="1" t="str">
        <f t="shared" si="100"/>
        <v>VDDLQYFLIGLYTFVSLLGFMGNLLILMALMKKTTVNFLIGNLAFSDILVVLFCSPFTLTSVLLDGKVMCHIMPFLQCVSVLVSTLILISIAIVRYHMIKHTANHGYFLIATVWTLGFAICSPLPVFHSDSYRIAFTISLLLVQYILPLVCLTVSHTSVCRSISCGLSNKENRLTRIKKRSRSVFYRLTILILVFAVSWMPLHLFHVVTDFNNRHFKLVYCICHLLGMMSCCLNPILYGFLNNGIKADLVSLI</v>
      </c>
      <c r="C298" s="29" t="str">
        <f>IF(ISERROR(MATCH(A298,'SegEnds_Xtal_Prot#'!B:B, 0)), "NoXtal", "Xtal")</f>
        <v>NoXtal</v>
      </c>
      <c r="D298" s="4" t="str">
        <f>VLOOKUP(A298,Classification!A:D,2,FALSE)</f>
        <v>A</v>
      </c>
      <c r="E298" s="5" t="str">
        <f>VLOOKUP(A298,Seqs!A:B,2,FALSE)</f>
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</c>
      <c r="F298" s="5" t="str">
        <f t="shared" si="101"/>
        <v>VDDLQYFLIGLYTFVSLLGFMGNLLILMALMKK</v>
      </c>
      <c r="G298" s="4" t="str">
        <f t="shared" si="102"/>
        <v>RNQK</v>
      </c>
      <c r="H298" s="4" t="str">
        <f t="shared" si="103"/>
        <v>TTVNFLIGNLAFSDILVVLFCSPFTLTSVLLD</v>
      </c>
      <c r="I298" s="4" t="str">
        <f t="shared" si="104"/>
        <v>QWMF</v>
      </c>
      <c r="J298" s="4" t="str">
        <f t="shared" si="105"/>
        <v>GKVMCHIMPFLQCVSVLVSTLILISIAIVRYHMIKH</v>
      </c>
      <c r="K298" s="4" t="str">
        <f t="shared" si="106"/>
        <v/>
      </c>
      <c r="L298" s="4" t="str">
        <f t="shared" si="107"/>
        <v>TANHGYFLIATVWTLGFAICSPLPVFH</v>
      </c>
      <c r="M298" s="4" t="str">
        <f t="shared" si="108"/>
        <v>CVE</v>
      </c>
      <c r="N298" s="4" t="str">
        <f t="shared" si="109"/>
        <v>SDSYRIAFTISLLLVQYILPLVCLTVSHTSVCRSISCGLSNKENRL</v>
      </c>
      <c r="O298" s="4" t="str">
        <f t="shared" si="110"/>
        <v>TRIKKRSRSVFYRLTILILVFAVSWMPLHLFHVVTDFN</v>
      </c>
      <c r="P298" s="4" t="str">
        <f t="shared" si="111"/>
        <v>NRHFKLVYCICHLLGMMSCCLNPILYGFL</v>
      </c>
      <c r="Q298" s="4" t="str">
        <f t="shared" si="112"/>
        <v>NNGIKADLVSLI</v>
      </c>
      <c r="R298" s="5">
        <f>VLOOKUP($A298,'SegEnds_NonXtal_Prot#'!$A:$AL,3,FALSE)</f>
        <v>37</v>
      </c>
      <c r="S298" s="5">
        <f>VLOOKUP($A298,'SegEnds_NonXtal_Prot#'!$A:$AL,6,FALSE)</f>
        <v>70</v>
      </c>
      <c r="T298" s="5">
        <f>VLOOKUP($A298,'SegEnds_NonXtal_Prot#'!$A:$AL,9,FALSE)</f>
        <v>74</v>
      </c>
      <c r="U298" s="5">
        <f>VLOOKUP($A298,'SegEnds_NonXtal_Prot#'!$A:$AL,12,FALSE)</f>
        <v>106</v>
      </c>
      <c r="V298" s="5">
        <f>VLOOKUP($A298,'SegEnds_NonXtal_Prot#'!$A:$AL,15,FALSE)</f>
        <v>110</v>
      </c>
      <c r="W298" s="5" t="str">
        <f>VLOOKUP($A298,'SegEnds_NonXtal_Prot#'!$A:$AL,18,FALSE)</f>
        <v>-</v>
      </c>
      <c r="X298" s="5">
        <f>VLOOKUP($A298,'SegEnds_NonXtal_Prot#'!$A:$AL,21,FALSE)</f>
        <v>152</v>
      </c>
      <c r="Y298" s="5">
        <f>VLOOKUP($A298,'SegEnds_NonXtal_Prot#'!$A:$AL,24,FALSE)</f>
        <v>198</v>
      </c>
      <c r="Z298" s="5">
        <f>VLOOKUP($A298,'SegEnds_NonXtal_Prot#'!$A:$AL,27,FALSE)</f>
        <v>204</v>
      </c>
      <c r="AA298" s="5">
        <f>VLOOKUP($A298,'SegEnds_NonXtal_Prot#'!$A:$AL,30,FALSE)</f>
        <v>357</v>
      </c>
      <c r="AB298" s="5">
        <f>VLOOKUP($A298,'SegEnds_NonXtal_Prot#'!$A:$AL,33,FALSE)</f>
        <v>400</v>
      </c>
      <c r="AC298" s="5">
        <f>VLOOKUP($A298,'SegEnds_NonXtal_Prot#'!$A:$AL,36,FALSE)</f>
        <v>429</v>
      </c>
      <c r="AD298" s="5">
        <f>VLOOKUP($A298,'SegEnds_NonXtal_Prot#'!$A:$AL,5,FALSE)</f>
        <v>69</v>
      </c>
      <c r="AE298" s="5">
        <f>VLOOKUP($A298,'SegEnds_NonXtal_Prot#'!$A:$AL,8,FALSE)</f>
        <v>73</v>
      </c>
      <c r="AF298" s="5">
        <f>VLOOKUP($A298,'SegEnds_NonXtal_Prot#'!$A:$AL,11,FALSE)</f>
        <v>105</v>
      </c>
      <c r="AG298" s="5">
        <f>VLOOKUP($A298,'SegEnds_NonXtal_Prot#'!$A:$AL,14,FALSE)</f>
        <v>109</v>
      </c>
      <c r="AH298" s="5">
        <f>VLOOKUP($A298,'SegEnds_NonXtal_Prot#'!$A:$AL,17,FALSE)</f>
        <v>145</v>
      </c>
      <c r="AI298" s="5" t="str">
        <f>VLOOKUP($A298,'SegEnds_NonXtal_Prot#'!$A:$AL,20,FALSE)</f>
        <v>-</v>
      </c>
      <c r="AJ298" s="5">
        <f>VLOOKUP($A298,'SegEnds_NonXtal_Prot#'!$A:$AL,23,FALSE)</f>
        <v>178</v>
      </c>
      <c r="AK298" s="5">
        <f>VLOOKUP($A298,'SegEnds_NonXtal_Prot#'!$A:$AL,26,FALSE)</f>
        <v>200</v>
      </c>
      <c r="AL298" s="5">
        <f>VLOOKUP($A298,'SegEnds_NonXtal_Prot#'!$A:$AL,29,FALSE)</f>
        <v>249</v>
      </c>
      <c r="AM298" s="5">
        <f>VLOOKUP($A298,'SegEnds_NonXtal_Prot#'!$A:$AL,32,FALSE)</f>
        <v>394</v>
      </c>
      <c r="AN298" s="5">
        <f>VLOOKUP($A298,'SegEnds_NonXtal_Prot#'!$A:$AL,35,FALSE)</f>
        <v>428</v>
      </c>
      <c r="AO298" s="5">
        <f>VLOOKUP($A298,'SegEnds_NonXtal_Prot#'!$A:$AL,38,FALSE)</f>
        <v>440</v>
      </c>
      <c r="AP298" s="5">
        <f t="shared" si="113"/>
        <v>32</v>
      </c>
      <c r="AQ298" s="4">
        <f t="shared" si="114"/>
        <v>3</v>
      </c>
      <c r="AR298" s="4">
        <f t="shared" si="115"/>
        <v>31</v>
      </c>
      <c r="AS298" s="4">
        <f t="shared" si="116"/>
        <v>3</v>
      </c>
      <c r="AT298" s="4">
        <f t="shared" si="117"/>
        <v>35</v>
      </c>
      <c r="AU298" s="4" t="str">
        <f t="shared" si="118"/>
        <v>-</v>
      </c>
      <c r="AV298" s="4">
        <f t="shared" si="119"/>
        <v>26</v>
      </c>
      <c r="AW298" s="4">
        <f t="shared" si="120"/>
        <v>2</v>
      </c>
      <c r="AX298" s="4">
        <f t="shared" si="121"/>
        <v>45</v>
      </c>
      <c r="AY298" s="4">
        <f t="shared" si="122"/>
        <v>37</v>
      </c>
      <c r="AZ298" s="4">
        <f t="shared" si="123"/>
        <v>28</v>
      </c>
      <c r="BA298" s="4">
        <f t="shared" si="124"/>
        <v>11</v>
      </c>
    </row>
    <row r="299" spans="1:53" x14ac:dyDescent="0.2">
      <c r="A299" s="1" t="str">
        <f>'SegEnds_NonXtal_Prot#'!A292</f>
        <v>npy6r_human</v>
      </c>
      <c r="B299" s="1" t="str">
        <f t="shared" si="100"/>
        <v>PSPALLLLCIAYTVVLIVGLFGNLSLIIIIFKKNFTSILIANLSLSDTLVCVMCIHFTIIYTLMDGDTMCRLTSYVQSVSISVSIFSLVFTAVERYQLIVNSVTHAYWGITLIWLFSLLLSIPFFLSYSKKDRLLFTTSLFLLQYFVPLGFILICYLKIVICLRRRNAKVDENEGRLNENKRINTMLISIVVTFGACWLPRISSMSSLTGI</v>
      </c>
      <c r="C299" s="29" t="str">
        <f>IF(ISERROR(MATCH(A299,'SegEnds_Xtal_Prot#'!B:B, 0)), "NoXtal", "Xtal")</f>
        <v>NoXtal</v>
      </c>
      <c r="D299" s="4" t="str">
        <f>VLOOKUP(A299,Classification!A:D,2,FALSE)</f>
        <v>A</v>
      </c>
      <c r="E299" s="5" t="str">
        <f>VLOOKUP(A299,Seqs!A:B,2,FALSE)</f>
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</c>
      <c r="F299" s="5" t="str">
        <f t="shared" si="101"/>
        <v>PSPALLLLCIAYTVVLIVGLFGNLSLIIIIFKK</v>
      </c>
      <c r="G299" s="4" t="str">
        <f t="shared" si="102"/>
        <v>RKAQ</v>
      </c>
      <c r="H299" s="4" t="str">
        <f t="shared" si="103"/>
        <v>NFTSILIANLSLSDTLVCVMCIHFTIIYTLMD</v>
      </c>
      <c r="I299" s="4" t="str">
        <f t="shared" si="104"/>
        <v>HWIF</v>
      </c>
      <c r="J299" s="4" t="str">
        <f t="shared" si="105"/>
        <v>GDTMCRLTSYVQSVSISVSIFSLVFTAVERYQLIVN</v>
      </c>
      <c r="K299" s="4" t="str">
        <f t="shared" si="106"/>
        <v/>
      </c>
      <c r="L299" s="4" t="str">
        <f t="shared" si="107"/>
        <v>SVTHAYWGITLIWLFSLLLSIPFFLSY</v>
      </c>
      <c r="M299" s="4" t="str">
        <f t="shared" si="108"/>
        <v/>
      </c>
      <c r="N299" s="4" t="str">
        <f t="shared" si="109"/>
        <v>SKKDRLLFTTSLFLLQYFVPLGFILICYLKIVICLRRRNAKVD</v>
      </c>
      <c r="O299" s="4" t="str">
        <f t="shared" si="110"/>
        <v>ENEGRLNENKRINTMLISIVVTFGACWLPRISSMSSLTGI</v>
      </c>
      <c r="P299" s="4" t="str">
        <f t="shared" si="111"/>
        <v/>
      </c>
      <c r="Q299" s="4" t="str">
        <f t="shared" si="112"/>
        <v/>
      </c>
      <c r="R299" s="5">
        <f>VLOOKUP($A299,'SegEnds_NonXtal_Prot#'!$A:$AL,3,FALSE)</f>
        <v>31</v>
      </c>
      <c r="S299" s="5">
        <f>VLOOKUP($A299,'SegEnds_NonXtal_Prot#'!$A:$AL,6,FALSE)</f>
        <v>65</v>
      </c>
      <c r="T299" s="5">
        <f>VLOOKUP($A299,'SegEnds_NonXtal_Prot#'!$A:$AL,9,FALSE)</f>
        <v>69</v>
      </c>
      <c r="U299" s="5">
        <f>VLOOKUP($A299,'SegEnds_NonXtal_Prot#'!$A:$AL,12,FALSE)</f>
        <v>101</v>
      </c>
      <c r="V299" s="5">
        <f>VLOOKUP($A299,'SegEnds_NonXtal_Prot#'!$A:$AL,15,FALSE)</f>
        <v>105</v>
      </c>
      <c r="W299" s="5" t="str">
        <f>VLOOKUP($A299,'SegEnds_NonXtal_Prot#'!$A:$AL,18,FALSE)</f>
        <v>-</v>
      </c>
      <c r="X299" s="5">
        <f>VLOOKUP($A299,'SegEnds_NonXtal_Prot#'!$A:$AL,21,FALSE)</f>
        <v>147</v>
      </c>
      <c r="Y299" s="5" t="str">
        <f>VLOOKUP($A299,'SegEnds_NonXtal_Prot#'!$A:$AL,24,FALSE)</f>
        <v>-</v>
      </c>
      <c r="Z299" s="5">
        <f>VLOOKUP($A299,'SegEnds_NonXtal_Prot#'!$A:$AL,27,FALSE)</f>
        <v>202</v>
      </c>
      <c r="AA299" s="5">
        <f>VLOOKUP($A299,'SegEnds_NonXtal_Prot#'!$A:$AL,30,FALSE)</f>
        <v>248</v>
      </c>
      <c r="AB299" s="5" t="str">
        <f>VLOOKUP($A299,'SegEnds_NonXtal_Prot#'!$A:$AL,33,FALSE)</f>
        <v>-</v>
      </c>
      <c r="AC299" s="5" t="str">
        <f>VLOOKUP($A299,'SegEnds_NonXtal_Prot#'!$A:$AL,36,FALSE)</f>
        <v>-</v>
      </c>
      <c r="AD299" s="5">
        <f>VLOOKUP($A299,'SegEnds_NonXtal_Prot#'!$A:$AL,5,FALSE)</f>
        <v>63</v>
      </c>
      <c r="AE299" s="5">
        <f>VLOOKUP($A299,'SegEnds_NonXtal_Prot#'!$A:$AL,8,FALSE)</f>
        <v>68</v>
      </c>
      <c r="AF299" s="5">
        <f>VLOOKUP($A299,'SegEnds_NonXtal_Prot#'!$A:$AL,11,FALSE)</f>
        <v>100</v>
      </c>
      <c r="AG299" s="5">
        <f>VLOOKUP($A299,'SegEnds_NonXtal_Prot#'!$A:$AL,14,FALSE)</f>
        <v>104</v>
      </c>
      <c r="AH299" s="5">
        <f>VLOOKUP($A299,'SegEnds_NonXtal_Prot#'!$A:$AL,17,FALSE)</f>
        <v>140</v>
      </c>
      <c r="AI299" s="5" t="str">
        <f>VLOOKUP($A299,'SegEnds_NonXtal_Prot#'!$A:$AL,20,FALSE)</f>
        <v>-</v>
      </c>
      <c r="AJ299" s="5">
        <f>VLOOKUP($A299,'SegEnds_NonXtal_Prot#'!$A:$AL,23,FALSE)</f>
        <v>173</v>
      </c>
      <c r="AK299" s="5" t="str">
        <f>VLOOKUP($A299,'SegEnds_NonXtal_Prot#'!$A:$AL,26,FALSE)</f>
        <v>-</v>
      </c>
      <c r="AL299" s="5">
        <f>VLOOKUP($A299,'SegEnds_NonXtal_Prot#'!$A:$AL,29,FALSE)</f>
        <v>244</v>
      </c>
      <c r="AM299" s="5">
        <f>VLOOKUP($A299,'SegEnds_NonXtal_Prot#'!$A:$AL,32,FALSE)</f>
        <v>287</v>
      </c>
      <c r="AN299" s="5" t="str">
        <f>VLOOKUP($A299,'SegEnds_NonXtal_Prot#'!$A:$AL,35,FALSE)</f>
        <v>-</v>
      </c>
      <c r="AO299" s="5" t="str">
        <f>VLOOKUP($A299,'SegEnds_NonXtal_Prot#'!$A:$AL,38,FALSE)</f>
        <v>-</v>
      </c>
      <c r="AP299" s="5">
        <f t="shared" si="113"/>
        <v>32</v>
      </c>
      <c r="AQ299" s="4">
        <f t="shared" si="114"/>
        <v>3</v>
      </c>
      <c r="AR299" s="4">
        <f t="shared" si="115"/>
        <v>31</v>
      </c>
      <c r="AS299" s="4">
        <f t="shared" si="116"/>
        <v>3</v>
      </c>
      <c r="AT299" s="4">
        <f t="shared" si="117"/>
        <v>35</v>
      </c>
      <c r="AU299" s="4" t="str">
        <f t="shared" si="118"/>
        <v>-</v>
      </c>
      <c r="AV299" s="4">
        <f t="shared" si="119"/>
        <v>26</v>
      </c>
      <c r="AW299" s="4" t="str">
        <f t="shared" si="120"/>
        <v>-</v>
      </c>
      <c r="AX299" s="4">
        <f t="shared" si="121"/>
        <v>42</v>
      </c>
      <c r="AY299" s="4">
        <f t="shared" si="122"/>
        <v>39</v>
      </c>
      <c r="AZ299" s="4" t="str">
        <f t="shared" si="123"/>
        <v>-</v>
      </c>
      <c r="BA299" s="4" t="str">
        <f t="shared" si="124"/>
        <v>-</v>
      </c>
    </row>
    <row r="300" spans="1:53" x14ac:dyDescent="0.2">
      <c r="A300" s="1" t="str">
        <f>'SegEnds_NonXtal_Prot#'!A293</f>
        <v>opn3_human</v>
      </c>
      <c r="B300" s="1" t="str">
        <f t="shared" si="100"/>
        <v>SPGTYERLALLLGSIGLLGVGNNLLVLVLYYKFTPTHLLLVNISLSDLLVSLFGVTFTFVSCLRDTVGCVWDGFSGSLFGIVSIATLTVLAYERYIRVVHNFSWAWRAITYIWLYSLAWAGAPLLNDSSFVLFLFLGCLVVPLGVIAHCYGHILYSIRMLRCVEDQVIKILKYEKKLAKMCFLMIFTFLVCWMPYIVICFLVVNGTPTISIVSYLFAKSNTVYNPVIYVFMIRKFRRSLLQLLC</v>
      </c>
      <c r="C300" s="29" t="str">
        <f>IF(ISERROR(MATCH(A300,'SegEnds_Xtal_Prot#'!B:B, 0)), "NoXtal", "Xtal")</f>
        <v>NoXtal</v>
      </c>
      <c r="D300" s="4" t="str">
        <f>VLOOKUP(A300,Classification!A:D,2,FALSE)</f>
        <v>A</v>
      </c>
      <c r="E300" s="5" t="str">
        <f>VLOOKUP(A300,Seqs!A:B,2,FALSE)</f>
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</c>
      <c r="F300" s="5" t="str">
        <f t="shared" si="101"/>
        <v>SPGTYERLALLLGSIGLLGVGNNLLVLVLYYKF</v>
      </c>
      <c r="G300" s="4" t="str">
        <f t="shared" si="102"/>
        <v>QRLR</v>
      </c>
      <c r="H300" s="4" t="str">
        <f t="shared" si="103"/>
        <v>TPTHLLLVNISLSDLLVSLFGVTFTFVSCLR</v>
      </c>
      <c r="I300" s="4" t="str">
        <f t="shared" si="104"/>
        <v>GWVW</v>
      </c>
      <c r="J300" s="4" t="str">
        <f t="shared" si="105"/>
        <v>DTVGCVWDGFSGSLFGIVSIATLTVLAYERYIRVVH</v>
      </c>
      <c r="K300" s="4" t="str">
        <f t="shared" si="106"/>
        <v/>
      </c>
      <c r="L300" s="4" t="str">
        <f t="shared" si="107"/>
        <v>NFSWAWRAITYIWLYSLAWAGAPLL</v>
      </c>
      <c r="M300" s="4" t="str">
        <f t="shared" si="108"/>
        <v>CTV</v>
      </c>
      <c r="N300" s="4" t="str">
        <f t="shared" si="109"/>
        <v>NDSSFVLFLFLGCLVVPLGVIAHCYGHILYSIRMLRCVED</v>
      </c>
      <c r="O300" s="4" t="str">
        <f t="shared" si="110"/>
        <v>QVIKILKYEKKLAKMCFLMIFTFLVCWMPYIVICFLVVNG</v>
      </c>
      <c r="P300" s="4" t="str">
        <f t="shared" si="111"/>
        <v>TPTISIVSYLFAKSNTVYNPVIYVFM</v>
      </c>
      <c r="Q300" s="4" t="str">
        <f t="shared" si="112"/>
        <v>IRKFRRSLLQLLC</v>
      </c>
      <c r="R300" s="5">
        <f>VLOOKUP($A300,'SegEnds_NonXtal_Prot#'!$A:$AL,3,FALSE)</f>
        <v>37</v>
      </c>
      <c r="S300" s="5">
        <f>VLOOKUP($A300,'SegEnds_NonXtal_Prot#'!$A:$AL,6,FALSE)</f>
        <v>70</v>
      </c>
      <c r="T300" s="5">
        <f>VLOOKUP($A300,'SegEnds_NonXtal_Prot#'!$A:$AL,9,FALSE)</f>
        <v>74</v>
      </c>
      <c r="U300" s="5">
        <f>VLOOKUP($A300,'SegEnds_NonXtal_Prot#'!$A:$AL,12,FALSE)</f>
        <v>106</v>
      </c>
      <c r="V300" s="5">
        <f>VLOOKUP($A300,'SegEnds_NonXtal_Prot#'!$A:$AL,15,FALSE)</f>
        <v>110</v>
      </c>
      <c r="W300" s="5" t="str">
        <f>VLOOKUP($A300,'SegEnds_NonXtal_Prot#'!$A:$AL,18,FALSE)</f>
        <v>-</v>
      </c>
      <c r="X300" s="5">
        <f>VLOOKUP($A300,'SegEnds_NonXtal_Prot#'!$A:$AL,21,FALSE)</f>
        <v>150</v>
      </c>
      <c r="Y300" s="5">
        <f>VLOOKUP($A300,'SegEnds_NonXtal_Prot#'!$A:$AL,24,FALSE)</f>
        <v>188</v>
      </c>
      <c r="Z300" s="5">
        <f>VLOOKUP($A300,'SegEnds_NonXtal_Prot#'!$A:$AL,27,FALSE)</f>
        <v>198</v>
      </c>
      <c r="AA300" s="5">
        <f>VLOOKUP($A300,'SegEnds_NonXtal_Prot#'!$A:$AL,30,FALSE)</f>
        <v>242</v>
      </c>
      <c r="AB300" s="5">
        <f>VLOOKUP($A300,'SegEnds_NonXtal_Prot#'!$A:$AL,33,FALSE)</f>
        <v>287</v>
      </c>
      <c r="AC300" s="5">
        <f>VLOOKUP($A300,'SegEnds_NonXtal_Prot#'!$A:$AL,36,FALSE)</f>
        <v>313</v>
      </c>
      <c r="AD300" s="5">
        <f>VLOOKUP($A300,'SegEnds_NonXtal_Prot#'!$A:$AL,5,FALSE)</f>
        <v>69</v>
      </c>
      <c r="AE300" s="5">
        <f>VLOOKUP($A300,'SegEnds_NonXtal_Prot#'!$A:$AL,8,FALSE)</f>
        <v>73</v>
      </c>
      <c r="AF300" s="5">
        <f>VLOOKUP($A300,'SegEnds_NonXtal_Prot#'!$A:$AL,11,FALSE)</f>
        <v>104</v>
      </c>
      <c r="AG300" s="5">
        <f>VLOOKUP($A300,'SegEnds_NonXtal_Prot#'!$A:$AL,14,FALSE)</f>
        <v>109</v>
      </c>
      <c r="AH300" s="5">
        <f>VLOOKUP($A300,'SegEnds_NonXtal_Prot#'!$A:$AL,17,FALSE)</f>
        <v>145</v>
      </c>
      <c r="AI300" s="5" t="str">
        <f>VLOOKUP($A300,'SegEnds_NonXtal_Prot#'!$A:$AL,20,FALSE)</f>
        <v>-</v>
      </c>
      <c r="AJ300" s="5">
        <f>VLOOKUP($A300,'SegEnds_NonXtal_Prot#'!$A:$AL,23,FALSE)</f>
        <v>174</v>
      </c>
      <c r="AK300" s="5">
        <f>VLOOKUP($A300,'SegEnds_NonXtal_Prot#'!$A:$AL,26,FALSE)</f>
        <v>190</v>
      </c>
      <c r="AL300" s="5">
        <f>VLOOKUP($A300,'SegEnds_NonXtal_Prot#'!$A:$AL,29,FALSE)</f>
        <v>237</v>
      </c>
      <c r="AM300" s="5">
        <f>VLOOKUP($A300,'SegEnds_NonXtal_Prot#'!$A:$AL,32,FALSE)</f>
        <v>281</v>
      </c>
      <c r="AN300" s="5">
        <f>VLOOKUP($A300,'SegEnds_NonXtal_Prot#'!$A:$AL,35,FALSE)</f>
        <v>312</v>
      </c>
      <c r="AO300" s="5">
        <f>VLOOKUP($A300,'SegEnds_NonXtal_Prot#'!$A:$AL,38,FALSE)</f>
        <v>325</v>
      </c>
      <c r="AP300" s="5">
        <f t="shared" si="113"/>
        <v>32</v>
      </c>
      <c r="AQ300" s="4">
        <f t="shared" si="114"/>
        <v>3</v>
      </c>
      <c r="AR300" s="4">
        <f t="shared" si="115"/>
        <v>30</v>
      </c>
      <c r="AS300" s="4">
        <f t="shared" si="116"/>
        <v>3</v>
      </c>
      <c r="AT300" s="4">
        <f t="shared" si="117"/>
        <v>35</v>
      </c>
      <c r="AU300" s="4" t="str">
        <f t="shared" si="118"/>
        <v>-</v>
      </c>
      <c r="AV300" s="4">
        <f t="shared" si="119"/>
        <v>24</v>
      </c>
      <c r="AW300" s="4">
        <f t="shared" si="120"/>
        <v>2</v>
      </c>
      <c r="AX300" s="4">
        <f t="shared" si="121"/>
        <v>39</v>
      </c>
      <c r="AY300" s="4">
        <f t="shared" si="122"/>
        <v>39</v>
      </c>
      <c r="AZ300" s="4">
        <f t="shared" si="123"/>
        <v>25</v>
      </c>
      <c r="BA300" s="4">
        <f t="shared" si="124"/>
        <v>12</v>
      </c>
    </row>
    <row r="301" spans="1:53" x14ac:dyDescent="0.2">
      <c r="A301" s="1" t="str">
        <f>'SegEnds_NonXtal_Prot#'!A294</f>
        <v>oxyr_human</v>
      </c>
      <c r="B301" s="1" t="str">
        <f t="shared" si="100"/>
        <v>ARVEVAVLCLILLLALSGNACVLLALRTTSRLFFFMKHLSIADLVVAVFQVLPQLLWDIYGPDLLCRLVKYLQVVGMFASTYLLLLMSLDRCLAICQRRRTDRLAVLATWLGCLVASAPQVHIFWGPKAYITWITLAVYIVPVIVLAACYGLISFKIWQNLRLKTAAAKLISKAKIRTVKMTFIIVLAFIVCWTPFFFVQMWSVWDEASAFIIVMLLASLNSCCNPWIYMLFTGHLFHELVQRFLCCSA</v>
      </c>
      <c r="C301" s="29" t="str">
        <f>IF(ISERROR(MATCH(A301,'SegEnds_Xtal_Prot#'!B:B, 0)), "NoXtal", "Xtal")</f>
        <v>NoXtal</v>
      </c>
      <c r="D301" s="4" t="str">
        <f>VLOOKUP(A301,Classification!A:D,2,FALSE)</f>
        <v>A</v>
      </c>
      <c r="E301" s="5" t="str">
        <f>VLOOKUP(A301,Seqs!A:B,2,FALSE)</f>
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</c>
      <c r="F301" s="5" t="str">
        <f t="shared" si="101"/>
        <v>ARVEVAVLCLILLLALSGNACVLLALRTT</v>
      </c>
      <c r="G301" s="4" t="str">
        <f t="shared" si="102"/>
        <v>RQKH</v>
      </c>
      <c r="H301" s="4" t="str">
        <f t="shared" si="103"/>
        <v>SRLFFFMKHLSIADLVVAVFQVLPQLLWDI</v>
      </c>
      <c r="I301" s="4" t="str">
        <f t="shared" si="104"/>
        <v>TFRF</v>
      </c>
      <c r="J301" s="4" t="str">
        <f t="shared" si="105"/>
        <v>YGPDLLCRLVKYLQVVGMFASTYLLLLMSLDRCLAICQ</v>
      </c>
      <c r="K301" s="4" t="str">
        <f t="shared" si="106"/>
        <v/>
      </c>
      <c r="L301" s="4" t="str">
        <f t="shared" si="107"/>
        <v>RRRTDRLAVLATWLGCLVASAPQVHIF</v>
      </c>
      <c r="M301" s="4" t="str">
        <f t="shared" si="108"/>
        <v>CWA</v>
      </c>
      <c r="N301" s="4" t="str">
        <f t="shared" si="109"/>
        <v>WGPKAYITWITLAVYIVPVIVLAACYGLISFKIWQNLRLKTAAA</v>
      </c>
      <c r="O301" s="4" t="str">
        <f t="shared" si="110"/>
        <v>KLISKAKIRTVKMTFIIVLAFIVCWTPFFFVQMWSVWD</v>
      </c>
      <c r="P301" s="4" t="str">
        <f t="shared" si="111"/>
        <v>EASAFIIVMLLASLNSCCNPWIYMLF</v>
      </c>
      <c r="Q301" s="4" t="str">
        <f t="shared" si="112"/>
        <v>TGHLFHELVQRFLCCSA</v>
      </c>
      <c r="R301" s="5">
        <f>VLOOKUP($A301,'SegEnds_NonXtal_Prot#'!$A:$AL,3,FALSE)</f>
        <v>39</v>
      </c>
      <c r="S301" s="5">
        <f>VLOOKUP($A301,'SegEnds_NonXtal_Prot#'!$A:$AL,6,FALSE)</f>
        <v>68</v>
      </c>
      <c r="T301" s="5">
        <f>VLOOKUP($A301,'SegEnds_NonXtal_Prot#'!$A:$AL,9,FALSE)</f>
        <v>72</v>
      </c>
      <c r="U301" s="5">
        <f>VLOOKUP($A301,'SegEnds_NonXtal_Prot#'!$A:$AL,12,FALSE)</f>
        <v>102</v>
      </c>
      <c r="V301" s="5">
        <f>VLOOKUP($A301,'SegEnds_NonXtal_Prot#'!$A:$AL,15,FALSE)</f>
        <v>106</v>
      </c>
      <c r="W301" s="5" t="str">
        <f>VLOOKUP($A301,'SegEnds_NonXtal_Prot#'!$A:$AL,18,FALSE)</f>
        <v>-</v>
      </c>
      <c r="X301" s="5">
        <f>VLOOKUP($A301,'SegEnds_NonXtal_Prot#'!$A:$AL,21,FALSE)</f>
        <v>149</v>
      </c>
      <c r="Y301" s="5">
        <f>VLOOKUP($A301,'SegEnds_NonXtal_Prot#'!$A:$AL,24,FALSE)</f>
        <v>187</v>
      </c>
      <c r="Z301" s="5">
        <f>VLOOKUP($A301,'SegEnds_NonXtal_Prot#'!$A:$AL,27,FALSE)</f>
        <v>195</v>
      </c>
      <c r="AA301" s="5">
        <f>VLOOKUP($A301,'SegEnds_NonXtal_Prot#'!$A:$AL,30,FALSE)</f>
        <v>264</v>
      </c>
      <c r="AB301" s="5">
        <f>VLOOKUP($A301,'SegEnds_NonXtal_Prot#'!$A:$AL,33,FALSE)</f>
        <v>307</v>
      </c>
      <c r="AC301" s="5">
        <f>VLOOKUP($A301,'SegEnds_NonXtal_Prot#'!$A:$AL,36,FALSE)</f>
        <v>333</v>
      </c>
      <c r="AD301" s="5">
        <f>VLOOKUP($A301,'SegEnds_NonXtal_Prot#'!$A:$AL,5,FALSE)</f>
        <v>67</v>
      </c>
      <c r="AE301" s="5">
        <f>VLOOKUP($A301,'SegEnds_NonXtal_Prot#'!$A:$AL,8,FALSE)</f>
        <v>71</v>
      </c>
      <c r="AF301" s="5">
        <f>VLOOKUP($A301,'SegEnds_NonXtal_Prot#'!$A:$AL,11,FALSE)</f>
        <v>101</v>
      </c>
      <c r="AG301" s="5">
        <f>VLOOKUP($A301,'SegEnds_NonXtal_Prot#'!$A:$AL,14,FALSE)</f>
        <v>105</v>
      </c>
      <c r="AH301" s="5">
        <f>VLOOKUP($A301,'SegEnds_NonXtal_Prot#'!$A:$AL,17,FALSE)</f>
        <v>143</v>
      </c>
      <c r="AI301" s="5" t="str">
        <f>VLOOKUP($A301,'SegEnds_NonXtal_Prot#'!$A:$AL,20,FALSE)</f>
        <v>-</v>
      </c>
      <c r="AJ301" s="5">
        <f>VLOOKUP($A301,'SegEnds_NonXtal_Prot#'!$A:$AL,23,FALSE)</f>
        <v>175</v>
      </c>
      <c r="AK301" s="5">
        <f>VLOOKUP($A301,'SegEnds_NonXtal_Prot#'!$A:$AL,26,FALSE)</f>
        <v>189</v>
      </c>
      <c r="AL301" s="5">
        <f>VLOOKUP($A301,'SegEnds_NonXtal_Prot#'!$A:$AL,29,FALSE)</f>
        <v>238</v>
      </c>
      <c r="AM301" s="5">
        <f>VLOOKUP($A301,'SegEnds_NonXtal_Prot#'!$A:$AL,32,FALSE)</f>
        <v>301</v>
      </c>
      <c r="AN301" s="5">
        <f>VLOOKUP($A301,'SegEnds_NonXtal_Prot#'!$A:$AL,35,FALSE)</f>
        <v>332</v>
      </c>
      <c r="AO301" s="5">
        <f>VLOOKUP($A301,'SegEnds_NonXtal_Prot#'!$A:$AL,38,FALSE)</f>
        <v>349</v>
      </c>
      <c r="AP301" s="5">
        <f t="shared" si="113"/>
        <v>28</v>
      </c>
      <c r="AQ301" s="4">
        <f t="shared" si="114"/>
        <v>3</v>
      </c>
      <c r="AR301" s="4">
        <f t="shared" si="115"/>
        <v>29</v>
      </c>
      <c r="AS301" s="4">
        <f t="shared" si="116"/>
        <v>3</v>
      </c>
      <c r="AT301" s="4">
        <f t="shared" si="117"/>
        <v>37</v>
      </c>
      <c r="AU301" s="4" t="str">
        <f t="shared" si="118"/>
        <v>-</v>
      </c>
      <c r="AV301" s="4">
        <f t="shared" si="119"/>
        <v>26</v>
      </c>
      <c r="AW301" s="4">
        <f t="shared" si="120"/>
        <v>2</v>
      </c>
      <c r="AX301" s="4">
        <f t="shared" si="121"/>
        <v>43</v>
      </c>
      <c r="AY301" s="4">
        <f t="shared" si="122"/>
        <v>37</v>
      </c>
      <c r="AZ301" s="4">
        <f t="shared" si="123"/>
        <v>25</v>
      </c>
      <c r="BA301" s="4">
        <f t="shared" si="124"/>
        <v>16</v>
      </c>
    </row>
    <row r="302" spans="1:53" x14ac:dyDescent="0.2">
      <c r="A302" s="1" t="str">
        <f>'SegEnds_NonXtal_Prot#'!A295</f>
        <v>pkr1_human</v>
      </c>
      <c r="B302" s="1" t="str">
        <f t="shared" si="100"/>
        <v>FFAAKIVIGMALVGIMLVCGIGNFIFIAALVRYNLTNLLIANLAISDFLVAIVCCPFEMDYYVVRGHVLCTSVNYLRTVSLYVSTNALLAIAIDRYLAIVHKCQTATGLIALVWTVSILIAIPSAYFTQQLYYKSYFLFIFGIEFVGPVVTMTLCYARISRELWFKAVPGFQIRKRLRCRRKTVLVLMCILTAYVLCWAPFYGFTIVRDFFEKHYLTAFYIVECIAMSNSMINTLCFVTVNDTVKYFKKIML</v>
      </c>
      <c r="C302" s="29" t="str">
        <f>IF(ISERROR(MATCH(A302,'SegEnds_Xtal_Prot#'!B:B, 0)), "NoXtal", "Xtal")</f>
        <v>NoXtal</v>
      </c>
      <c r="D302" s="4" t="str">
        <f>VLOOKUP(A302,Classification!A:D,2,FALSE)</f>
        <v>A</v>
      </c>
      <c r="E302" s="5" t="str">
        <f>VLOOKUP(A302,Seqs!A:B,2,FALSE)</f>
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</c>
      <c r="F302" s="5" t="str">
        <f t="shared" si="101"/>
        <v>FFAAKIVIGMALVGIMLVCGIGNFIFIAALVRY</v>
      </c>
      <c r="G302" s="4" t="str">
        <f t="shared" si="102"/>
        <v>KKLR</v>
      </c>
      <c r="H302" s="4" t="str">
        <f t="shared" si="103"/>
        <v>NLTNLLIANLAISDFLVAIVCCPFEMDYYVVR</v>
      </c>
      <c r="I302" s="4" t="str">
        <f t="shared" si="104"/>
        <v>SWEH</v>
      </c>
      <c r="J302" s="4" t="str">
        <f t="shared" si="105"/>
        <v>GHVLCTSVNYLRTVSLYVSTNALLAIAIDRYLAIVH</v>
      </c>
      <c r="K302" s="4" t="str">
        <f t="shared" si="106"/>
        <v/>
      </c>
      <c r="L302" s="4" t="str">
        <f t="shared" si="107"/>
        <v>KCQTATGLIALVWTVSILIAIPSAYFT</v>
      </c>
      <c r="M302" s="4" t="str">
        <f t="shared" si="108"/>
        <v>CGQ</v>
      </c>
      <c r="N302" s="4" t="str">
        <f t="shared" si="109"/>
        <v>QQLYYKSYFLFIFGIEFVGPVVTMTLCYARISRELWFKAVPGF</v>
      </c>
      <c r="O302" s="4" t="str">
        <f t="shared" si="110"/>
        <v>QIRKRLRCRRKTVLVLMCILTAYVLCWAPFYGFTIVRDFF</v>
      </c>
      <c r="P302" s="4" t="str">
        <f t="shared" si="111"/>
        <v>EKHYLTAFYIVECIAMSNSMINTLCFVTV</v>
      </c>
      <c r="Q302" s="4" t="str">
        <f t="shared" si="112"/>
        <v>NDTVKYFKKIML</v>
      </c>
      <c r="R302" s="5">
        <f>VLOOKUP($A302,'SegEnds_NonXtal_Prot#'!$A:$AL,3,FALSE)</f>
        <v>58</v>
      </c>
      <c r="S302" s="5">
        <f>VLOOKUP($A302,'SegEnds_NonXtal_Prot#'!$A:$AL,6,FALSE)</f>
        <v>91</v>
      </c>
      <c r="T302" s="5">
        <f>VLOOKUP($A302,'SegEnds_NonXtal_Prot#'!$A:$AL,9,FALSE)</f>
        <v>95</v>
      </c>
      <c r="U302" s="5">
        <f>VLOOKUP($A302,'SegEnds_NonXtal_Prot#'!$A:$AL,12,FALSE)</f>
        <v>129</v>
      </c>
      <c r="V302" s="5">
        <f>VLOOKUP($A302,'SegEnds_NonXtal_Prot#'!$A:$AL,15,FALSE)</f>
        <v>133</v>
      </c>
      <c r="W302" s="5" t="str">
        <f>VLOOKUP($A302,'SegEnds_NonXtal_Prot#'!$A:$AL,18,FALSE)</f>
        <v>-</v>
      </c>
      <c r="X302" s="5">
        <f>VLOOKUP($A302,'SegEnds_NonXtal_Prot#'!$A:$AL,21,FALSE)</f>
        <v>175</v>
      </c>
      <c r="Y302" s="5">
        <f>VLOOKUP($A302,'SegEnds_NonXtal_Prot#'!$A:$AL,24,FALSE)</f>
        <v>217</v>
      </c>
      <c r="Z302" s="5">
        <f>VLOOKUP($A302,'SegEnds_NonXtal_Prot#'!$A:$AL,27,FALSE)</f>
        <v>225</v>
      </c>
      <c r="AA302" s="5">
        <f>VLOOKUP($A302,'SegEnds_NonXtal_Prot#'!$A:$AL,30,FALSE)</f>
        <v>271</v>
      </c>
      <c r="AB302" s="5">
        <f>VLOOKUP($A302,'SegEnds_NonXtal_Prot#'!$A:$AL,33,FALSE)</f>
        <v>317</v>
      </c>
      <c r="AC302" s="5">
        <f>VLOOKUP($A302,'SegEnds_NonXtal_Prot#'!$A:$AL,36,FALSE)</f>
        <v>347</v>
      </c>
      <c r="AD302" s="5">
        <f>VLOOKUP($A302,'SegEnds_NonXtal_Prot#'!$A:$AL,5,FALSE)</f>
        <v>90</v>
      </c>
      <c r="AE302" s="5">
        <f>VLOOKUP($A302,'SegEnds_NonXtal_Prot#'!$A:$AL,8,FALSE)</f>
        <v>94</v>
      </c>
      <c r="AF302" s="5">
        <f>VLOOKUP($A302,'SegEnds_NonXtal_Prot#'!$A:$AL,11,FALSE)</f>
        <v>126</v>
      </c>
      <c r="AG302" s="5">
        <f>VLOOKUP($A302,'SegEnds_NonXtal_Prot#'!$A:$AL,14,FALSE)</f>
        <v>132</v>
      </c>
      <c r="AH302" s="5">
        <f>VLOOKUP($A302,'SegEnds_NonXtal_Prot#'!$A:$AL,17,FALSE)</f>
        <v>168</v>
      </c>
      <c r="AI302" s="5" t="str">
        <f>VLOOKUP($A302,'SegEnds_NonXtal_Prot#'!$A:$AL,20,FALSE)</f>
        <v>-</v>
      </c>
      <c r="AJ302" s="5">
        <f>VLOOKUP($A302,'SegEnds_NonXtal_Prot#'!$A:$AL,23,FALSE)</f>
        <v>201</v>
      </c>
      <c r="AK302" s="5">
        <f>VLOOKUP($A302,'SegEnds_NonXtal_Prot#'!$A:$AL,26,FALSE)</f>
        <v>219</v>
      </c>
      <c r="AL302" s="5">
        <f>VLOOKUP($A302,'SegEnds_NonXtal_Prot#'!$A:$AL,29,FALSE)</f>
        <v>267</v>
      </c>
      <c r="AM302" s="5">
        <f>VLOOKUP($A302,'SegEnds_NonXtal_Prot#'!$A:$AL,32,FALSE)</f>
        <v>310</v>
      </c>
      <c r="AN302" s="5">
        <f>VLOOKUP($A302,'SegEnds_NonXtal_Prot#'!$A:$AL,35,FALSE)</f>
        <v>345</v>
      </c>
      <c r="AO302" s="5">
        <f>VLOOKUP($A302,'SegEnds_NonXtal_Prot#'!$A:$AL,38,FALSE)</f>
        <v>358</v>
      </c>
      <c r="AP302" s="5">
        <f t="shared" si="113"/>
        <v>32</v>
      </c>
      <c r="AQ302" s="4">
        <f t="shared" si="114"/>
        <v>3</v>
      </c>
      <c r="AR302" s="4">
        <f t="shared" si="115"/>
        <v>31</v>
      </c>
      <c r="AS302" s="4">
        <f t="shared" si="116"/>
        <v>3</v>
      </c>
      <c r="AT302" s="4">
        <f t="shared" si="117"/>
        <v>35</v>
      </c>
      <c r="AU302" s="4" t="str">
        <f t="shared" si="118"/>
        <v>-</v>
      </c>
      <c r="AV302" s="4">
        <f t="shared" si="119"/>
        <v>26</v>
      </c>
      <c r="AW302" s="4">
        <f t="shared" si="120"/>
        <v>2</v>
      </c>
      <c r="AX302" s="4">
        <f t="shared" si="121"/>
        <v>42</v>
      </c>
      <c r="AY302" s="4">
        <f t="shared" si="122"/>
        <v>39</v>
      </c>
      <c r="AZ302" s="4">
        <f t="shared" si="123"/>
        <v>28</v>
      </c>
      <c r="BA302" s="4">
        <f t="shared" si="124"/>
        <v>11</v>
      </c>
    </row>
    <row r="303" spans="1:53" x14ac:dyDescent="0.2">
      <c r="A303" s="1" t="str">
        <f>'SegEnds_NonXtal_Prot#'!A297</f>
        <v>rl3r1_human</v>
      </c>
      <c r="B303" s="1" t="str">
        <f t="shared" si="100"/>
        <v>EARVRILISVVYWVVCALGLAGNLLVLYLMKSMKSSINLFVTNLALTDFQFVLTLPFWAVENALDGKAMCKIVSMVTSMNMYASVFFLTAMSVTRYHSVASCCFSAKALCVWIWALAALASLPSAIFSWLGLYHSQKVLLGFVLPLGIIILCYLLLVRFIADRRAAGTKRPTGASARRLSKVTKSVTIVVLSFFLCWLPNQALTTWSILIKFNSQEYFLCQVYAFPVSVCLAHSNSCLNPVLYCLVRREFRKALKSLLWRI</v>
      </c>
      <c r="C303" s="29" t="str">
        <f>IF(ISERROR(MATCH(A303,'SegEnds_Xtal_Prot#'!B:B, 0)), "NoXtal", "Xtal")</f>
        <v>NoXtal</v>
      </c>
      <c r="D303" s="4" t="str">
        <f>VLOOKUP(A303,Classification!A:D,2,FALSE)</f>
        <v>A</v>
      </c>
      <c r="E303" s="5" t="str">
        <f>VLOOKUP(A303,Seqs!A:B,2,FALSE)</f>
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</c>
      <c r="F303" s="5" t="str">
        <f t="shared" si="101"/>
        <v>EARVRILISVVYWVVCALGLAGNLLVLYLMKSM</v>
      </c>
      <c r="G303" s="4" t="str">
        <f t="shared" si="102"/>
        <v>QGWR</v>
      </c>
      <c r="H303" s="4" t="str">
        <f t="shared" si="103"/>
        <v>KSSINLFVTNLALTDFQFVLTLPFWAVENALD</v>
      </c>
      <c r="I303" s="4" t="str">
        <f t="shared" si="104"/>
        <v>KWPF</v>
      </c>
      <c r="J303" s="4" t="str">
        <f t="shared" si="105"/>
        <v>GKAMCKIVSMVTSMNMYASVFFLTAMSVTRYHSVAS</v>
      </c>
      <c r="K303" s="4" t="str">
        <f t="shared" si="106"/>
        <v/>
      </c>
      <c r="L303" s="4" t="str">
        <f t="shared" si="107"/>
        <v>CCFSAKALCVWIWALAALASLPSAIFS</v>
      </c>
      <c r="M303" s="4" t="str">
        <f t="shared" si="108"/>
        <v>CLV</v>
      </c>
      <c r="N303" s="4" t="str">
        <f t="shared" si="109"/>
        <v>WLGLYHSQKVLLGFVLPLGIIILCYLLLVRFIADRRAAGTK</v>
      </c>
      <c r="O303" s="4" t="str">
        <f t="shared" si="110"/>
        <v>RPTGASARRLSKVTKSVTIVVLSFFLCWLPNQALTTWSILIKFN</v>
      </c>
      <c r="P303" s="4" t="str">
        <f t="shared" si="111"/>
        <v>SQEYFLCQVYAFPVSVCLAHSNSCLNPVLYCLV</v>
      </c>
      <c r="Q303" s="4" t="str">
        <f t="shared" si="112"/>
        <v>RREFRKALKSLLWRI</v>
      </c>
      <c r="R303" s="5">
        <f>VLOOKUP($A303,'SegEnds_NonXtal_Prot#'!$A:$AL,3,FALSE)</f>
        <v>77</v>
      </c>
      <c r="S303" s="5">
        <f>VLOOKUP($A303,'SegEnds_NonXtal_Prot#'!$A:$AL,6,FALSE)</f>
        <v>110</v>
      </c>
      <c r="T303" s="5">
        <f>VLOOKUP($A303,'SegEnds_NonXtal_Prot#'!$A:$AL,9,FALSE)</f>
        <v>114</v>
      </c>
      <c r="U303" s="5">
        <f>VLOOKUP($A303,'SegEnds_NonXtal_Prot#'!$A:$AL,12,FALSE)</f>
        <v>147</v>
      </c>
      <c r="V303" s="5">
        <f>VLOOKUP($A303,'SegEnds_NonXtal_Prot#'!$A:$AL,15,FALSE)</f>
        <v>151</v>
      </c>
      <c r="W303" s="5" t="str">
        <f>VLOOKUP($A303,'SegEnds_NonXtal_Prot#'!$A:$AL,18,FALSE)</f>
        <v>-</v>
      </c>
      <c r="X303" s="5">
        <f>VLOOKUP($A303,'SegEnds_NonXtal_Prot#'!$A:$AL,21,FALSE)</f>
        <v>210</v>
      </c>
      <c r="Y303" s="5">
        <f>VLOOKUP($A303,'SegEnds_NonXtal_Prot#'!$A:$AL,24,FALSE)</f>
        <v>247</v>
      </c>
      <c r="Z303" s="5">
        <f>VLOOKUP($A303,'SegEnds_NonXtal_Prot#'!$A:$AL,27,FALSE)</f>
        <v>263</v>
      </c>
      <c r="AA303" s="5">
        <f>VLOOKUP($A303,'SegEnds_NonXtal_Prot#'!$A:$AL,30,FALSE)</f>
        <v>312</v>
      </c>
      <c r="AB303" s="5">
        <f>VLOOKUP($A303,'SegEnds_NonXtal_Prot#'!$A:$AL,33,FALSE)</f>
        <v>360</v>
      </c>
      <c r="AC303" s="5">
        <f>VLOOKUP($A303,'SegEnds_NonXtal_Prot#'!$A:$AL,36,FALSE)</f>
        <v>393</v>
      </c>
      <c r="AD303" s="5">
        <f>VLOOKUP($A303,'SegEnds_NonXtal_Prot#'!$A:$AL,5,FALSE)</f>
        <v>109</v>
      </c>
      <c r="AE303" s="5">
        <f>VLOOKUP($A303,'SegEnds_NonXtal_Prot#'!$A:$AL,8,FALSE)</f>
        <v>113</v>
      </c>
      <c r="AF303" s="5">
        <f>VLOOKUP($A303,'SegEnds_NonXtal_Prot#'!$A:$AL,11,FALSE)</f>
        <v>145</v>
      </c>
      <c r="AG303" s="5">
        <f>VLOOKUP($A303,'SegEnds_NonXtal_Prot#'!$A:$AL,14,FALSE)</f>
        <v>150</v>
      </c>
      <c r="AH303" s="5">
        <f>VLOOKUP($A303,'SegEnds_NonXtal_Prot#'!$A:$AL,17,FALSE)</f>
        <v>186</v>
      </c>
      <c r="AI303" s="5" t="str">
        <f>VLOOKUP($A303,'SegEnds_NonXtal_Prot#'!$A:$AL,20,FALSE)</f>
        <v>-</v>
      </c>
      <c r="AJ303" s="5">
        <f>VLOOKUP($A303,'SegEnds_NonXtal_Prot#'!$A:$AL,23,FALSE)</f>
        <v>236</v>
      </c>
      <c r="AK303" s="5">
        <f>VLOOKUP($A303,'SegEnds_NonXtal_Prot#'!$A:$AL,26,FALSE)</f>
        <v>249</v>
      </c>
      <c r="AL303" s="5">
        <f>VLOOKUP($A303,'SegEnds_NonXtal_Prot#'!$A:$AL,29,FALSE)</f>
        <v>303</v>
      </c>
      <c r="AM303" s="5">
        <f>VLOOKUP($A303,'SegEnds_NonXtal_Prot#'!$A:$AL,32,FALSE)</f>
        <v>355</v>
      </c>
      <c r="AN303" s="5">
        <f>VLOOKUP($A303,'SegEnds_NonXtal_Prot#'!$A:$AL,35,FALSE)</f>
        <v>392</v>
      </c>
      <c r="AO303" s="5">
        <f>VLOOKUP($A303,'SegEnds_NonXtal_Prot#'!$A:$AL,38,FALSE)</f>
        <v>407</v>
      </c>
      <c r="AP303" s="5">
        <f t="shared" si="113"/>
        <v>32</v>
      </c>
      <c r="AQ303" s="4">
        <f t="shared" si="114"/>
        <v>3</v>
      </c>
      <c r="AR303" s="4">
        <f t="shared" si="115"/>
        <v>31</v>
      </c>
      <c r="AS303" s="4">
        <f t="shared" si="116"/>
        <v>3</v>
      </c>
      <c r="AT303" s="4">
        <f t="shared" si="117"/>
        <v>35</v>
      </c>
      <c r="AU303" s="4" t="str">
        <f t="shared" si="118"/>
        <v>-</v>
      </c>
      <c r="AV303" s="4">
        <f t="shared" si="119"/>
        <v>26</v>
      </c>
      <c r="AW303" s="4">
        <f t="shared" si="120"/>
        <v>2</v>
      </c>
      <c r="AX303" s="4">
        <f t="shared" si="121"/>
        <v>40</v>
      </c>
      <c r="AY303" s="4">
        <f t="shared" si="122"/>
        <v>43</v>
      </c>
      <c r="AZ303" s="4">
        <f t="shared" si="123"/>
        <v>32</v>
      </c>
      <c r="BA303" s="4">
        <f t="shared" si="124"/>
        <v>14</v>
      </c>
    </row>
    <row r="304" spans="1:53" x14ac:dyDescent="0.2">
      <c r="A304" s="1" t="str">
        <f>'SegEnds_NonXtal_Prot#'!A298</f>
        <v>us28_hcmva</v>
      </c>
      <c r="B304" s="1" t="str">
        <f t="shared" si="100"/>
        <v>FTDVLNQSKPVTLFLYGVVFLFGSIGNFLVIFTITWRCSGDVYFINLAAADLLFVCTLPLWMQYLLDASVPCTLLTACFYVAMFASLCFITEIALDRYYAIVPVKQACLFSIFWWIFAVIIAIPHFMSYPIILNVELMLGAFVIPLSVISYCYYRISRIVAVSHKGRIVRVLIAVVLVFIIFWLPYHLTLFVDTLKLLKSCEFERSLKRALILTESLAFCHCCLNPLLYVFVGTKFRQELHCLLAEFR</v>
      </c>
      <c r="C304" s="29" t="str">
        <f>IF(ISERROR(MATCH(A304,'SegEnds_Xtal_Prot#'!B:B, 0)), "NoXtal", "Xtal")</f>
        <v>Xtal</v>
      </c>
      <c r="D304" s="4" t="str">
        <f>VLOOKUP(A304,Classification!A:D,2,FALSE)</f>
        <v>A</v>
      </c>
      <c r="E304" s="5" t="str">
        <f>VLOOKUP(A304,Seqs!A:B,2,FALSE)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F304" s="5" t="str">
        <f t="shared" si="101"/>
        <v>FTDVLNQSKPVTLFLYGVVFLFGSIGNFLVIFTITWR</v>
      </c>
      <c r="G304" s="4" t="str">
        <f t="shared" si="102"/>
        <v>RRIQ</v>
      </c>
      <c r="H304" s="4" t="str">
        <f t="shared" si="103"/>
        <v>CSGDVYFINLAAADLLFVCTLPLWMQYLLD</v>
      </c>
      <c r="I304" s="4" t="str">
        <f t="shared" si="104"/>
        <v/>
      </c>
      <c r="J304" s="4" t="str">
        <f t="shared" si="105"/>
        <v>ASVPCTLLTACFYVAMFASLCFITEIALDRYYAIV</v>
      </c>
      <c r="K304" s="4" t="str">
        <f t="shared" si="106"/>
        <v/>
      </c>
      <c r="L304" s="4" t="str">
        <f t="shared" si="107"/>
        <v>PVKQACLFSIFWWIFAVIIAIPHFM</v>
      </c>
      <c r="M304" s="4" t="str">
        <f t="shared" si="108"/>
        <v>CMT</v>
      </c>
      <c r="N304" s="4" t="str">
        <f t="shared" si="109"/>
        <v>SYPIILNVELMLGAFVIPLSVISYCYYRISRIVAVS</v>
      </c>
      <c r="O304" s="4" t="str">
        <f t="shared" si="110"/>
        <v>HKGRIVRVLIAVVLVFIIFWLPYHLTLFVDTLKLLK</v>
      </c>
      <c r="P304" s="4" t="str">
        <f t="shared" si="111"/>
        <v>SCEFERSLKRALILTESLAFCHCCLNPLLYVFV</v>
      </c>
      <c r="Q304" s="4" t="str">
        <f t="shared" si="112"/>
        <v>GTKFRQELHCLLAEFR</v>
      </c>
      <c r="R304" s="5">
        <f>VLOOKUP($A304,'SegEnds_NonXtal_Prot#'!$A:$AL,3,FALSE)</f>
        <v>25</v>
      </c>
      <c r="S304" s="5">
        <f>VLOOKUP($A304,'SegEnds_NonXtal_Prot#'!$A:$AL,6,FALSE)</f>
        <v>62</v>
      </c>
      <c r="T304" s="5">
        <f>VLOOKUP($A304,'SegEnds_NonXtal_Prot#'!$A:$AL,9,FALSE)</f>
        <v>66</v>
      </c>
      <c r="U304" s="5" t="str">
        <f>VLOOKUP($A304,'SegEnds_NonXtal_Prot#'!$A:$AL,12,FALSE)</f>
        <v>-</v>
      </c>
      <c r="V304" s="5">
        <f>VLOOKUP($A304,'SegEnds_NonXtal_Prot#'!$A:$AL,15,FALSE)</f>
        <v>100</v>
      </c>
      <c r="W304" s="5" t="str">
        <f>VLOOKUP($A304,'SegEnds_NonXtal_Prot#'!$A:$AL,18,FALSE)</f>
        <v>-</v>
      </c>
      <c r="X304" s="5">
        <f>VLOOKUP($A304,'SegEnds_NonXtal_Prot#'!$A:$AL,21,FALSE)</f>
        <v>140</v>
      </c>
      <c r="Y304" s="5">
        <f>VLOOKUP($A304,'SegEnds_NonXtal_Prot#'!$A:$AL,24,FALSE)</f>
        <v>173</v>
      </c>
      <c r="Z304" s="5">
        <f>VLOOKUP($A304,'SegEnds_NonXtal_Prot#'!$A:$AL,27,FALSE)</f>
        <v>183</v>
      </c>
      <c r="AA304" s="5">
        <f>VLOOKUP($A304,'SegEnds_NonXtal_Prot#'!$A:$AL,30,FALSE)</f>
        <v>222</v>
      </c>
      <c r="AB304" s="5">
        <f>VLOOKUP($A304,'SegEnds_NonXtal_Prot#'!$A:$AL,33,FALSE)</f>
        <v>262</v>
      </c>
      <c r="AC304" s="5">
        <f>VLOOKUP($A304,'SegEnds_NonXtal_Prot#'!$A:$AL,36,FALSE)</f>
        <v>295</v>
      </c>
      <c r="AD304" s="5">
        <f>VLOOKUP($A304,'SegEnds_NonXtal_Prot#'!$A:$AL,5,FALSE)</f>
        <v>61</v>
      </c>
      <c r="AE304" s="5">
        <f>VLOOKUP($A304,'SegEnds_NonXtal_Prot#'!$A:$AL,8,FALSE)</f>
        <v>65</v>
      </c>
      <c r="AF304" s="5">
        <f>VLOOKUP($A304,'SegEnds_NonXtal_Prot#'!$A:$AL,11,FALSE)</f>
        <v>95</v>
      </c>
      <c r="AG304" s="5" t="str">
        <f>VLOOKUP($A304,'SegEnds_NonXtal_Prot#'!$A:$AL,14,FALSE)</f>
        <v>-</v>
      </c>
      <c r="AH304" s="5">
        <f>VLOOKUP($A304,'SegEnds_NonXtal_Prot#'!$A:$AL,17,FALSE)</f>
        <v>134</v>
      </c>
      <c r="AI304" s="5" t="str">
        <f>VLOOKUP($A304,'SegEnds_NonXtal_Prot#'!$A:$AL,20,FALSE)</f>
        <v>-</v>
      </c>
      <c r="AJ304" s="5">
        <f>VLOOKUP($A304,'SegEnds_NonXtal_Prot#'!$A:$AL,23,FALSE)</f>
        <v>164</v>
      </c>
      <c r="AK304" s="5">
        <f>VLOOKUP($A304,'SegEnds_NonXtal_Prot#'!$A:$AL,26,FALSE)</f>
        <v>175</v>
      </c>
      <c r="AL304" s="5">
        <f>VLOOKUP($A304,'SegEnds_NonXtal_Prot#'!$A:$AL,29,FALSE)</f>
        <v>218</v>
      </c>
      <c r="AM304" s="5">
        <f>VLOOKUP($A304,'SegEnds_NonXtal_Prot#'!$A:$AL,32,FALSE)</f>
        <v>257</v>
      </c>
      <c r="AN304" s="5">
        <f>VLOOKUP($A304,'SegEnds_NonXtal_Prot#'!$A:$AL,35,FALSE)</f>
        <v>294</v>
      </c>
      <c r="AO304" s="5">
        <f>VLOOKUP($A304,'SegEnds_NonXtal_Prot#'!$A:$AL,38,FALSE)</f>
        <v>310</v>
      </c>
      <c r="AP304" s="5">
        <f t="shared" si="113"/>
        <v>36</v>
      </c>
      <c r="AQ304" s="4">
        <f t="shared" si="114"/>
        <v>3</v>
      </c>
      <c r="AR304" s="4">
        <f t="shared" si="115"/>
        <v>29</v>
      </c>
      <c r="AS304" s="4" t="str">
        <f t="shared" si="116"/>
        <v>-</v>
      </c>
      <c r="AT304" s="4">
        <f t="shared" si="117"/>
        <v>34</v>
      </c>
      <c r="AU304" s="4" t="str">
        <f t="shared" si="118"/>
        <v>-</v>
      </c>
      <c r="AV304" s="4">
        <f t="shared" si="119"/>
        <v>24</v>
      </c>
      <c r="AW304" s="4">
        <f t="shared" si="120"/>
        <v>2</v>
      </c>
      <c r="AX304" s="4">
        <f t="shared" si="121"/>
        <v>35</v>
      </c>
      <c r="AY304" s="4">
        <f t="shared" si="122"/>
        <v>35</v>
      </c>
      <c r="AZ304" s="4">
        <f t="shared" si="123"/>
        <v>32</v>
      </c>
      <c r="BA304" s="4">
        <f t="shared" si="124"/>
        <v>15</v>
      </c>
    </row>
    <row r="305" spans="1:53" x14ac:dyDescent="0.2">
      <c r="A305" s="1" t="str">
        <f>'SegEnds_NonXtal_Prot#'!A303</f>
        <v>calcr_human</v>
      </c>
      <c r="B305" s="1" t="str">
        <f t="shared" si="100"/>
        <v>TMCNAFTPEKLKNAYVLYYLAIVGHSLSIFTLVISLGIFVFFCQRVTLHKNMFLTYILNSMIIIIHLVEVVSCKILHFFHQYMMACNYFWMLCEGIYLHTLIVVRLRWYYLLGWGFPLVPTTIHAITRAVYFLYIIHGPVMAALVVNFFFLLNIVRVLVTKMRYLKAVKATMILVPLLGIQFVVFPWKMLGKIYDYVMHSLIHFQGFFVATIYCFCNNEVQTTVKRQWAQFKIQWNQRWGRR</v>
      </c>
      <c r="C305" s="29" t="str">
        <f>IF(ISERROR(MATCH(A305,'SegEnds_Xtal_Prot#'!B:B, 0)), "NoXtal", "Xtal")</f>
        <v>Xtal</v>
      </c>
      <c r="D305" s="4" t="str">
        <f>VLOOKUP(A305,Classification!A:D,2,FALSE)</f>
        <v>B1</v>
      </c>
      <c r="E305" s="5" t="str">
        <f>VLOOKUP(A305,Seqs!A:B,2,FALSE)</f>
        <v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</c>
      <c r="F305" s="5" t="str">
        <f t="shared" si="101"/>
        <v>TMCNAFTPEKLKNAYVLYYLAIVGHSLSIFTLVISLGIFVFF</v>
      </c>
      <c r="G305" s="4" t="str">
        <f t="shared" si="102"/>
        <v>RSLG</v>
      </c>
      <c r="H305" s="4" t="str">
        <f t="shared" si="103"/>
        <v>CQRVTLHKNMFLTYILNSMIIIIHLVEV</v>
      </c>
      <c r="I305" s="4" t="str">
        <f t="shared" si="104"/>
        <v/>
      </c>
      <c r="J305" s="4" t="str">
        <f t="shared" si="105"/>
        <v>VSCKILHFFHQYMMACNYFWMLCEGIYLHTLIVV</v>
      </c>
      <c r="K305" s="4" t="str">
        <f t="shared" si="106"/>
        <v/>
      </c>
      <c r="L305" s="4" t="str">
        <f t="shared" si="107"/>
        <v>RLRWYYLLGWGFPLVPTTIHAITRAVYF</v>
      </c>
      <c r="M305" s="4" t="str">
        <f t="shared" si="108"/>
        <v>CWL</v>
      </c>
      <c r="N305" s="4" t="str">
        <f t="shared" si="109"/>
        <v>LYIIHGPVMAALVVNFFFLLNIVRVLVTKMR</v>
      </c>
      <c r="O305" s="4" t="str">
        <f t="shared" si="110"/>
        <v>YLKAVKATMILVPLLGIQFVVFPW</v>
      </c>
      <c r="P305" s="4" t="str">
        <f t="shared" si="111"/>
        <v>KMLGKIYDYVMHSLIHFQGFFVATIYCFC</v>
      </c>
      <c r="Q305" s="4" t="str">
        <f t="shared" si="112"/>
        <v>NNEVQTTVKRQWAQFKIQWNQRWGRR</v>
      </c>
      <c r="R305" s="5">
        <f>VLOOKUP($A305,'SegEnds_NonXtal_Prot#'!$A:$AL,3,FALSE)</f>
        <v>132</v>
      </c>
      <c r="S305" s="5">
        <f>VLOOKUP($A305,'SegEnds_NonXtal_Prot#'!$A:$AL,6,FALSE)</f>
        <v>174</v>
      </c>
      <c r="T305" s="5">
        <f>VLOOKUP($A305,'SegEnds_NonXtal_Prot#'!$A:$AL,9,FALSE)</f>
        <v>178</v>
      </c>
      <c r="U305" s="5" t="str">
        <f>VLOOKUP($A305,'SegEnds_NonXtal_Prot#'!$A:$AL,12,FALSE)</f>
        <v>-</v>
      </c>
      <c r="V305" s="5">
        <f>VLOOKUP($A305,'SegEnds_NonXtal_Prot#'!$A:$AL,15,FALSE)</f>
        <v>217</v>
      </c>
      <c r="W305" s="5" t="str">
        <f>VLOOKUP($A305,'SegEnds_NonXtal_Prot#'!$A:$AL,18,FALSE)</f>
        <v>-</v>
      </c>
      <c r="X305" s="5">
        <f>VLOOKUP($A305,'SegEnds_NonXtal_Prot#'!$A:$AL,21,FALSE)</f>
        <v>258</v>
      </c>
      <c r="Y305" s="5">
        <f>VLOOKUP($A305,'SegEnds_NonXtal_Prot#'!$A:$AL,24,FALSE)</f>
        <v>289</v>
      </c>
      <c r="Z305" s="5">
        <f>VLOOKUP($A305,'SegEnds_NonXtal_Prot#'!$A:$AL,27,FALSE)</f>
        <v>298</v>
      </c>
      <c r="AA305" s="5">
        <f>VLOOKUP($A305,'SegEnds_NonXtal_Prot#'!$A:$AL,30,FALSE)</f>
        <v>338</v>
      </c>
      <c r="AB305" s="5">
        <f>VLOOKUP($A305,'SegEnds_NonXtal_Prot#'!$A:$AL,33,FALSE)</f>
        <v>366</v>
      </c>
      <c r="AC305" s="5">
        <f>VLOOKUP($A305,'SegEnds_NonXtal_Prot#'!$A:$AL,36,FALSE)</f>
        <v>395</v>
      </c>
      <c r="AD305" s="5">
        <f>VLOOKUP($A305,'SegEnds_NonXtal_Prot#'!$A:$AL,5,FALSE)</f>
        <v>173</v>
      </c>
      <c r="AE305" s="5">
        <f>VLOOKUP($A305,'SegEnds_NonXtal_Prot#'!$A:$AL,8,FALSE)</f>
        <v>177</v>
      </c>
      <c r="AF305" s="5">
        <f>VLOOKUP($A305,'SegEnds_NonXtal_Prot#'!$A:$AL,11,FALSE)</f>
        <v>205</v>
      </c>
      <c r="AG305" s="5" t="str">
        <f>VLOOKUP($A305,'SegEnds_NonXtal_Prot#'!$A:$AL,14,FALSE)</f>
        <v>-</v>
      </c>
      <c r="AH305" s="5">
        <f>VLOOKUP($A305,'SegEnds_NonXtal_Prot#'!$A:$AL,17,FALSE)</f>
        <v>250</v>
      </c>
      <c r="AI305" s="5" t="str">
        <f>VLOOKUP($A305,'SegEnds_NonXtal_Prot#'!$A:$AL,20,FALSE)</f>
        <v>-</v>
      </c>
      <c r="AJ305" s="5">
        <f>VLOOKUP($A305,'SegEnds_NonXtal_Prot#'!$A:$AL,23,FALSE)</f>
        <v>285</v>
      </c>
      <c r="AK305" s="5">
        <f>VLOOKUP($A305,'SegEnds_NonXtal_Prot#'!$A:$AL,26,FALSE)</f>
        <v>291</v>
      </c>
      <c r="AL305" s="5">
        <f>VLOOKUP($A305,'SegEnds_NonXtal_Prot#'!$A:$AL,29,FALSE)</f>
        <v>328</v>
      </c>
      <c r="AM305" s="5">
        <f>VLOOKUP($A305,'SegEnds_NonXtal_Prot#'!$A:$AL,32,FALSE)</f>
        <v>361</v>
      </c>
      <c r="AN305" s="5">
        <f>VLOOKUP($A305,'SegEnds_NonXtal_Prot#'!$A:$AL,35,FALSE)</f>
        <v>394</v>
      </c>
      <c r="AO305" s="5">
        <f>VLOOKUP($A305,'SegEnds_NonXtal_Prot#'!$A:$AL,38,FALSE)</f>
        <v>420</v>
      </c>
      <c r="AP305" s="5">
        <f t="shared" si="113"/>
        <v>41</v>
      </c>
      <c r="AQ305" s="4">
        <f t="shared" si="114"/>
        <v>3</v>
      </c>
      <c r="AR305" s="4">
        <f t="shared" si="115"/>
        <v>27</v>
      </c>
      <c r="AS305" s="4" t="str">
        <f t="shared" si="116"/>
        <v>-</v>
      </c>
      <c r="AT305" s="4">
        <f t="shared" si="117"/>
        <v>33</v>
      </c>
      <c r="AU305" s="4" t="str">
        <f t="shared" si="118"/>
        <v>-</v>
      </c>
      <c r="AV305" s="4">
        <f t="shared" si="119"/>
        <v>27</v>
      </c>
      <c r="AW305" s="4">
        <f t="shared" si="120"/>
        <v>2</v>
      </c>
      <c r="AX305" s="4">
        <f t="shared" si="121"/>
        <v>30</v>
      </c>
      <c r="AY305" s="4">
        <f t="shared" si="122"/>
        <v>23</v>
      </c>
      <c r="AZ305" s="4">
        <f t="shared" si="123"/>
        <v>28</v>
      </c>
      <c r="BA305" s="4">
        <f t="shared" si="124"/>
        <v>25</v>
      </c>
    </row>
    <row r="306" spans="1:53" x14ac:dyDescent="0.2">
      <c r="A306" s="1" t="str">
        <f>'SegEnds_NonXtal_Prot#'!A304</f>
        <v>calrl_human</v>
      </c>
      <c r="B306" s="1" t="str">
        <f t="shared" si="100"/>
        <v>NTHEKVKTALNLFYLTIIGHGLSIASLLISLGIFFYFCQRITLHKNLFFSFVCNSVVTIIHLTAVVSCKVSQFIHLYLMGCNYFWMLCEGIYLHTLIVVHLMWYYFLGWGFPLIPACIHAIARSLYLLYIIHGPICAALLVNLFFLLNIVRVLITKLKYMKAVRATLILVPLLGIEFVLIPWKIAEEVYDYIMHILMHFQGLLVSTIFCFFNGEVQAILRRNWNQYKIQFGNSFSNS</v>
      </c>
      <c r="C306" s="29" t="str">
        <f>IF(ISERROR(MATCH(A306,'SegEnds_Xtal_Prot#'!B:B, 0)), "NoXtal", "Xtal")</f>
        <v>Xtal</v>
      </c>
      <c r="D306" s="4" t="str">
        <f>VLOOKUP(A306,Classification!A:D,2,FALSE)</f>
        <v>B1</v>
      </c>
      <c r="E306" s="5" t="str">
        <f>VLOOKUP(A306,Seqs!A:B,2,FALSE)</f>
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</c>
      <c r="F306" s="5" t="str">
        <f t="shared" si="101"/>
        <v>NTHEKVKTALNLFYLTIIGHGLSIASLLISLGIFFYF</v>
      </c>
      <c r="G306" s="4" t="str">
        <f t="shared" si="102"/>
        <v>KSLS</v>
      </c>
      <c r="H306" s="4" t="str">
        <f t="shared" si="103"/>
        <v>CQRITLHKNLFFSFVCNSVVTIIHLTAV</v>
      </c>
      <c r="I306" s="4" t="str">
        <f t="shared" si="104"/>
        <v/>
      </c>
      <c r="J306" s="4" t="str">
        <f t="shared" si="105"/>
        <v>VSCKVSQFIHLYLMGCNYFWMLCEGIYLHTLIVV</v>
      </c>
      <c r="K306" s="4" t="str">
        <f t="shared" si="106"/>
        <v/>
      </c>
      <c r="L306" s="4" t="str">
        <f t="shared" si="107"/>
        <v>HLMWYYFLGWGFPLIPACIHAIARSLY</v>
      </c>
      <c r="M306" s="4" t="str">
        <f t="shared" si="108"/>
        <v>CWI</v>
      </c>
      <c r="N306" s="4" t="str">
        <f t="shared" si="109"/>
        <v>LLYIIHGPICAALLVNLFFLLNIVRVLITKLK</v>
      </c>
      <c r="O306" s="4" t="str">
        <f t="shared" si="110"/>
        <v>YMKAVRATLILVPLLGIEFVLIPW</v>
      </c>
      <c r="P306" s="4" t="str">
        <f t="shared" si="111"/>
        <v>KIAEEVYDYIMHILMHFQGLLVSTIFCFF</v>
      </c>
      <c r="Q306" s="4" t="str">
        <f t="shared" si="112"/>
        <v>NGEVQAILRRNWNQYKIQFGNSFSNS</v>
      </c>
      <c r="R306" s="5">
        <f>VLOOKUP($A306,'SegEnds_NonXtal_Prot#'!$A:$AL,3,FALSE)</f>
        <v>130</v>
      </c>
      <c r="S306" s="5">
        <f>VLOOKUP($A306,'SegEnds_NonXtal_Prot#'!$A:$AL,6,FALSE)</f>
        <v>167</v>
      </c>
      <c r="T306" s="5">
        <f>VLOOKUP($A306,'SegEnds_NonXtal_Prot#'!$A:$AL,9,FALSE)</f>
        <v>171</v>
      </c>
      <c r="U306" s="5" t="str">
        <f>VLOOKUP($A306,'SegEnds_NonXtal_Prot#'!$A:$AL,12,FALSE)</f>
        <v>-</v>
      </c>
      <c r="V306" s="5">
        <f>VLOOKUP($A306,'SegEnds_NonXtal_Prot#'!$A:$AL,15,FALSE)</f>
        <v>210</v>
      </c>
      <c r="W306" s="5" t="str">
        <f>VLOOKUP($A306,'SegEnds_NonXtal_Prot#'!$A:$AL,18,FALSE)</f>
        <v>-</v>
      </c>
      <c r="X306" s="5">
        <f>VLOOKUP($A306,'SegEnds_NonXtal_Prot#'!$A:$AL,21,FALSE)</f>
        <v>251</v>
      </c>
      <c r="Y306" s="5">
        <f>VLOOKUP($A306,'SegEnds_NonXtal_Prot#'!$A:$AL,24,FALSE)</f>
        <v>282</v>
      </c>
      <c r="Z306" s="5">
        <f>VLOOKUP($A306,'SegEnds_NonXtal_Prot#'!$A:$AL,27,FALSE)</f>
        <v>290</v>
      </c>
      <c r="AA306" s="5">
        <f>VLOOKUP($A306,'SegEnds_NonXtal_Prot#'!$A:$AL,30,FALSE)</f>
        <v>331</v>
      </c>
      <c r="AB306" s="5">
        <f>VLOOKUP($A306,'SegEnds_NonXtal_Prot#'!$A:$AL,33,FALSE)</f>
        <v>359</v>
      </c>
      <c r="AC306" s="5">
        <f>VLOOKUP($A306,'SegEnds_NonXtal_Prot#'!$A:$AL,36,FALSE)</f>
        <v>388</v>
      </c>
      <c r="AD306" s="5">
        <f>VLOOKUP($A306,'SegEnds_NonXtal_Prot#'!$A:$AL,5,FALSE)</f>
        <v>166</v>
      </c>
      <c r="AE306" s="5">
        <f>VLOOKUP($A306,'SegEnds_NonXtal_Prot#'!$A:$AL,8,FALSE)</f>
        <v>170</v>
      </c>
      <c r="AF306" s="5">
        <f>VLOOKUP($A306,'SegEnds_NonXtal_Prot#'!$A:$AL,11,FALSE)</f>
        <v>198</v>
      </c>
      <c r="AG306" s="5" t="str">
        <f>VLOOKUP($A306,'SegEnds_NonXtal_Prot#'!$A:$AL,14,FALSE)</f>
        <v>-</v>
      </c>
      <c r="AH306" s="5">
        <f>VLOOKUP($A306,'SegEnds_NonXtal_Prot#'!$A:$AL,17,FALSE)</f>
        <v>243</v>
      </c>
      <c r="AI306" s="5" t="str">
        <f>VLOOKUP($A306,'SegEnds_NonXtal_Prot#'!$A:$AL,20,FALSE)</f>
        <v>-</v>
      </c>
      <c r="AJ306" s="5">
        <f>VLOOKUP($A306,'SegEnds_NonXtal_Prot#'!$A:$AL,23,FALSE)</f>
        <v>277</v>
      </c>
      <c r="AK306" s="5">
        <f>VLOOKUP($A306,'SegEnds_NonXtal_Prot#'!$A:$AL,26,FALSE)</f>
        <v>284</v>
      </c>
      <c r="AL306" s="5">
        <f>VLOOKUP($A306,'SegEnds_NonXtal_Prot#'!$A:$AL,29,FALSE)</f>
        <v>321</v>
      </c>
      <c r="AM306" s="5">
        <f>VLOOKUP($A306,'SegEnds_NonXtal_Prot#'!$A:$AL,32,FALSE)</f>
        <v>354</v>
      </c>
      <c r="AN306" s="5">
        <f>VLOOKUP($A306,'SegEnds_NonXtal_Prot#'!$A:$AL,35,FALSE)</f>
        <v>387</v>
      </c>
      <c r="AO306" s="5">
        <f>VLOOKUP($A306,'SegEnds_NonXtal_Prot#'!$A:$AL,38,FALSE)</f>
        <v>413</v>
      </c>
      <c r="AP306" s="5">
        <f t="shared" si="113"/>
        <v>36</v>
      </c>
      <c r="AQ306" s="4">
        <f t="shared" si="114"/>
        <v>3</v>
      </c>
      <c r="AR306" s="4">
        <f t="shared" si="115"/>
        <v>27</v>
      </c>
      <c r="AS306" s="4" t="str">
        <f t="shared" si="116"/>
        <v>-</v>
      </c>
      <c r="AT306" s="4">
        <f t="shared" si="117"/>
        <v>33</v>
      </c>
      <c r="AU306" s="4" t="str">
        <f t="shared" si="118"/>
        <v>-</v>
      </c>
      <c r="AV306" s="4">
        <f t="shared" si="119"/>
        <v>26</v>
      </c>
      <c r="AW306" s="4">
        <f t="shared" si="120"/>
        <v>2</v>
      </c>
      <c r="AX306" s="4">
        <f t="shared" si="121"/>
        <v>31</v>
      </c>
      <c r="AY306" s="4">
        <f t="shared" si="122"/>
        <v>23</v>
      </c>
      <c r="AZ306" s="4">
        <f t="shared" si="123"/>
        <v>28</v>
      </c>
      <c r="BA306" s="4">
        <f t="shared" si="124"/>
        <v>25</v>
      </c>
    </row>
    <row r="307" spans="1:53" x14ac:dyDescent="0.2">
      <c r="A307" s="1" t="str">
        <f>'SegEnds_NonXtal_Prot#'!A305</f>
        <v>crfr1_human</v>
      </c>
      <c r="B307" s="1" t="str">
        <f t="shared" si="100"/>
        <v>QEILNEEKKSKVHYHVAVIINYLGHCISLVALLVAFVLFLRLCLRNIIHWNLISAFILRNATWFVVQLTVGWCRLVTAAYNYFHVTNFFWMFGEGCYLHTAIVLLRKWMFICIGWGVPFPIIVAWAIGKLYYDTDYIYQGPMILVLLINFIFLFNIVRILMTKLSETIQYRKAVKATLVLLPLLGITYMLFFVEVSRVVFIYFNSFLESFQGFFVSVFYCFLNSEVRSAIRKRWHRWQDKHSIRARVA</v>
      </c>
      <c r="C307" s="29" t="str">
        <f>IF(ISERROR(MATCH(A307,'SegEnds_Xtal_Prot#'!B:B, 0)), "NoXtal", "Xtal")</f>
        <v>Xtal</v>
      </c>
      <c r="D307" s="4" t="str">
        <f>VLOOKUP(A307,Classification!A:D,2,FALSE)</f>
        <v>B1</v>
      </c>
      <c r="E307" s="5" t="str">
        <f>VLOOKUP(A307,Seqs!A:B,2,FALSE)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F307" s="5" t="str">
        <f t="shared" si="101"/>
        <v>QEILNEEKKSKVHYHVAVIINYLGHCISLVALLVAFVLFLRL</v>
      </c>
      <c r="G307" s="4" t="str">
        <f t="shared" si="102"/>
        <v>RSIR</v>
      </c>
      <c r="H307" s="4" t="str">
        <f t="shared" si="103"/>
        <v>CLRNIIHWNLISAFILRNATWFVVQLT</v>
      </c>
      <c r="I307" s="4" t="str">
        <f t="shared" si="104"/>
        <v/>
      </c>
      <c r="J307" s="4" t="str">
        <f t="shared" si="105"/>
        <v>VGWCRLVTAAYNYFHVTNFFWMFGEGCYLHTAIVL</v>
      </c>
      <c r="K307" s="4" t="str">
        <f t="shared" si="106"/>
        <v/>
      </c>
      <c r="L307" s="4" t="str">
        <f t="shared" si="107"/>
        <v>LRKWMFICIGWGVPFPIIVAWAIGKLYYD</v>
      </c>
      <c r="M307" s="4" t="str">
        <f t="shared" si="108"/>
        <v>CWF</v>
      </c>
      <c r="N307" s="4" t="str">
        <f t="shared" si="109"/>
        <v>TDYIYQGPMILVLLINFIFLFNIVRILMTKL</v>
      </c>
      <c r="O307" s="4" t="str">
        <f t="shared" si="110"/>
        <v>SETIQYRKAVKATLVLLPLLGITYMLFFV</v>
      </c>
      <c r="P307" s="4" t="str">
        <f t="shared" si="111"/>
        <v>EVSRVVFIYFNSFLESFQGFFVSVFYCFL</v>
      </c>
      <c r="Q307" s="4" t="str">
        <f t="shared" si="112"/>
        <v>NSEVRSAIRKRWHRWQDKHSIRARVA</v>
      </c>
      <c r="R307" s="5">
        <f>VLOOKUP($A307,'SegEnds_NonXtal_Prot#'!$A:$AL,3,FALSE)</f>
        <v>103</v>
      </c>
      <c r="S307" s="5">
        <f>VLOOKUP($A307,'SegEnds_NonXtal_Prot#'!$A:$AL,6,FALSE)</f>
        <v>145</v>
      </c>
      <c r="T307" s="5">
        <f>VLOOKUP($A307,'SegEnds_NonXtal_Prot#'!$A:$AL,9,FALSE)</f>
        <v>149</v>
      </c>
      <c r="U307" s="5" t="str">
        <f>VLOOKUP($A307,'SegEnds_NonXtal_Prot#'!$A:$AL,12,FALSE)</f>
        <v>-</v>
      </c>
      <c r="V307" s="5">
        <f>VLOOKUP($A307,'SegEnds_NonXtal_Prot#'!$A:$AL,15,FALSE)</f>
        <v>185</v>
      </c>
      <c r="W307" s="5" t="str">
        <f>VLOOKUP($A307,'SegEnds_NonXtal_Prot#'!$A:$AL,18,FALSE)</f>
        <v>-</v>
      </c>
      <c r="X307" s="5">
        <f>VLOOKUP($A307,'SegEnds_NonXtal_Prot#'!$A:$AL,21,FALSE)</f>
        <v>226</v>
      </c>
      <c r="Y307" s="5">
        <f>VLOOKUP($A307,'SegEnds_NonXtal_Prot#'!$A:$AL,24,FALSE)</f>
        <v>258</v>
      </c>
      <c r="Z307" s="5">
        <f>VLOOKUP($A307,'SegEnds_NonXtal_Prot#'!$A:$AL,27,FALSE)</f>
        <v>268</v>
      </c>
      <c r="AA307" s="5">
        <f>VLOOKUP($A307,'SegEnds_NonXtal_Prot#'!$A:$AL,30,FALSE)</f>
        <v>304</v>
      </c>
      <c r="AB307" s="5">
        <f>VLOOKUP($A307,'SegEnds_NonXtal_Prot#'!$A:$AL,33,FALSE)</f>
        <v>338</v>
      </c>
      <c r="AC307" s="5">
        <f>VLOOKUP($A307,'SegEnds_NonXtal_Prot#'!$A:$AL,36,FALSE)</f>
        <v>367</v>
      </c>
      <c r="AD307" s="5">
        <f>VLOOKUP($A307,'SegEnds_NonXtal_Prot#'!$A:$AL,5,FALSE)</f>
        <v>144</v>
      </c>
      <c r="AE307" s="5">
        <f>VLOOKUP($A307,'SegEnds_NonXtal_Prot#'!$A:$AL,8,FALSE)</f>
        <v>148</v>
      </c>
      <c r="AF307" s="5">
        <f>VLOOKUP($A307,'SegEnds_NonXtal_Prot#'!$A:$AL,11,FALSE)</f>
        <v>175</v>
      </c>
      <c r="AG307" s="5" t="str">
        <f>VLOOKUP($A307,'SegEnds_NonXtal_Prot#'!$A:$AL,14,FALSE)</f>
        <v>-</v>
      </c>
      <c r="AH307" s="5">
        <f>VLOOKUP($A307,'SegEnds_NonXtal_Prot#'!$A:$AL,17,FALSE)</f>
        <v>219</v>
      </c>
      <c r="AI307" s="5" t="str">
        <f>VLOOKUP($A307,'SegEnds_NonXtal_Prot#'!$A:$AL,20,FALSE)</f>
        <v>-</v>
      </c>
      <c r="AJ307" s="5">
        <f>VLOOKUP($A307,'SegEnds_NonXtal_Prot#'!$A:$AL,23,FALSE)</f>
        <v>254</v>
      </c>
      <c r="AK307" s="5">
        <f>VLOOKUP($A307,'SegEnds_NonXtal_Prot#'!$A:$AL,26,FALSE)</f>
        <v>260</v>
      </c>
      <c r="AL307" s="5">
        <f>VLOOKUP($A307,'SegEnds_NonXtal_Prot#'!$A:$AL,29,FALSE)</f>
        <v>298</v>
      </c>
      <c r="AM307" s="5">
        <f>VLOOKUP($A307,'SegEnds_NonXtal_Prot#'!$A:$AL,32,FALSE)</f>
        <v>332</v>
      </c>
      <c r="AN307" s="5">
        <f>VLOOKUP($A307,'SegEnds_NonXtal_Prot#'!$A:$AL,35,FALSE)</f>
        <v>366</v>
      </c>
      <c r="AO307" s="5">
        <f>VLOOKUP($A307,'SegEnds_NonXtal_Prot#'!$A:$AL,38,FALSE)</f>
        <v>392</v>
      </c>
      <c r="AP307" s="5">
        <f t="shared" si="113"/>
        <v>41</v>
      </c>
      <c r="AQ307" s="4">
        <f t="shared" si="114"/>
        <v>3</v>
      </c>
      <c r="AR307" s="4">
        <f t="shared" si="115"/>
        <v>26</v>
      </c>
      <c r="AS307" s="4" t="str">
        <f t="shared" si="116"/>
        <v>-</v>
      </c>
      <c r="AT307" s="4">
        <f t="shared" si="117"/>
        <v>34</v>
      </c>
      <c r="AU307" s="4" t="str">
        <f t="shared" si="118"/>
        <v>-</v>
      </c>
      <c r="AV307" s="4">
        <f t="shared" si="119"/>
        <v>28</v>
      </c>
      <c r="AW307" s="4">
        <f t="shared" si="120"/>
        <v>2</v>
      </c>
      <c r="AX307" s="4">
        <f t="shared" si="121"/>
        <v>30</v>
      </c>
      <c r="AY307" s="4">
        <f t="shared" si="122"/>
        <v>28</v>
      </c>
      <c r="AZ307" s="4">
        <f t="shared" si="123"/>
        <v>28</v>
      </c>
      <c r="BA307" s="4">
        <f t="shared" si="124"/>
        <v>25</v>
      </c>
    </row>
    <row r="308" spans="1:53" x14ac:dyDescent="0.2">
      <c r="A308" s="1" t="str">
        <f>'SegEnds_NonXtal_Prot#'!A306</f>
        <v>crfr2_human</v>
      </c>
      <c r="B308" s="1" t="str">
        <f t="shared" si="100"/>
        <v>PILDDKQRKYDLHYRIALVVNYLGHCVSVAALVAAFLLFLALCLRNVIHWNLITTFILRNVMWFLLQLVEVWCRCITTIFNYFVVTNFFWMFVEGCYLHTAIVMRKCLFLFIGWCIPFPIIVAWAIGKLYYEVDYIYQGPIILVLLINFVFLFNIVRILMTKLRASETIQYRKAVKATLVLLPLLGITYMLFFVDLSQIMFIYFNSFLQSFQGFFVSVFYCFFNGEVRSAVRKRWHRWQDHHSLRVPMA</v>
      </c>
      <c r="C308" s="29" t="str">
        <f>IF(ISERROR(MATCH(A308,'SegEnds_Xtal_Prot#'!B:B, 0)), "NoXtal", "Xtal")</f>
        <v>Xtal</v>
      </c>
      <c r="D308" s="4" t="str">
        <f>VLOOKUP(A308,Classification!A:D,2,FALSE)</f>
        <v>B1</v>
      </c>
      <c r="E308" s="5" t="str">
        <f>VLOOKUP(A308,Seqs!A:B,2,FALSE)</f>
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</c>
      <c r="F308" s="5" t="str">
        <f t="shared" si="101"/>
        <v>PILDDKQRKYDLHYRIALVVNYLGHCVSVAALVAAFLLFLAL</v>
      </c>
      <c r="G308" s="4" t="str">
        <f t="shared" si="102"/>
        <v>RSIR</v>
      </c>
      <c r="H308" s="4" t="str">
        <f t="shared" si="103"/>
        <v>CLRNVIHWNLITTFILRNVMWFLLQLV</v>
      </c>
      <c r="I308" s="4" t="str">
        <f t="shared" si="104"/>
        <v/>
      </c>
      <c r="J308" s="4" t="str">
        <f t="shared" si="105"/>
        <v>EVWCRCITTIFNYFVVTNFFWMFVEGCYLHTAIVM</v>
      </c>
      <c r="K308" s="4" t="str">
        <f t="shared" si="106"/>
        <v/>
      </c>
      <c r="L308" s="4" t="str">
        <f t="shared" si="107"/>
        <v>RKCLFLFIGWCIPFPIIVAWAIGKLYYE</v>
      </c>
      <c r="M308" s="4" t="str">
        <f t="shared" si="108"/>
        <v>CWF</v>
      </c>
      <c r="N308" s="4" t="str">
        <f t="shared" si="109"/>
        <v>VDYIYQGPIILVLLINFVFLFNIVRILMTKLRA</v>
      </c>
      <c r="O308" s="4" t="str">
        <f t="shared" si="110"/>
        <v>SETIQYRKAVKATLVLLPLLGITYMLFFV</v>
      </c>
      <c r="P308" s="4" t="str">
        <f t="shared" si="111"/>
        <v>DLSQIMFIYFNSFLQSFQGFFVSVFYCFF</v>
      </c>
      <c r="Q308" s="4" t="str">
        <f t="shared" si="112"/>
        <v>NGEVRSAVRKRWHRWQDHHSLRVPMA</v>
      </c>
      <c r="R308" s="5">
        <f>VLOOKUP($A308,'SegEnds_NonXtal_Prot#'!$A:$AL,3,FALSE)</f>
        <v>100</v>
      </c>
      <c r="S308" s="5">
        <f>VLOOKUP($A308,'SegEnds_NonXtal_Prot#'!$A:$AL,6,FALSE)</f>
        <v>142</v>
      </c>
      <c r="T308" s="5">
        <f>VLOOKUP($A308,'SegEnds_NonXtal_Prot#'!$A:$AL,9,FALSE)</f>
        <v>146</v>
      </c>
      <c r="U308" s="5" t="str">
        <f>VLOOKUP($A308,'SegEnds_NonXtal_Prot#'!$A:$AL,12,FALSE)</f>
        <v>-</v>
      </c>
      <c r="V308" s="5">
        <f>VLOOKUP($A308,'SegEnds_NonXtal_Prot#'!$A:$AL,15,FALSE)</f>
        <v>181</v>
      </c>
      <c r="W308" s="5" t="str">
        <f>VLOOKUP($A308,'SegEnds_NonXtal_Prot#'!$A:$AL,18,FALSE)</f>
        <v>-</v>
      </c>
      <c r="X308" s="5">
        <f>VLOOKUP($A308,'SegEnds_NonXtal_Prot#'!$A:$AL,21,FALSE)</f>
        <v>223</v>
      </c>
      <c r="Y308" s="5">
        <f>VLOOKUP($A308,'SegEnds_NonXtal_Prot#'!$A:$AL,24,FALSE)</f>
        <v>254</v>
      </c>
      <c r="Z308" s="5">
        <f>VLOOKUP($A308,'SegEnds_NonXtal_Prot#'!$A:$AL,27,FALSE)</f>
        <v>264</v>
      </c>
      <c r="AA308" s="5">
        <f>VLOOKUP($A308,'SegEnds_NonXtal_Prot#'!$A:$AL,30,FALSE)</f>
        <v>300</v>
      </c>
      <c r="AB308" s="5">
        <f>VLOOKUP($A308,'SegEnds_NonXtal_Prot#'!$A:$AL,33,FALSE)</f>
        <v>334</v>
      </c>
      <c r="AC308" s="5">
        <f>VLOOKUP($A308,'SegEnds_NonXtal_Prot#'!$A:$AL,36,FALSE)</f>
        <v>363</v>
      </c>
      <c r="AD308" s="5">
        <f>VLOOKUP($A308,'SegEnds_NonXtal_Prot#'!$A:$AL,5,FALSE)</f>
        <v>141</v>
      </c>
      <c r="AE308" s="5">
        <f>VLOOKUP($A308,'SegEnds_NonXtal_Prot#'!$A:$AL,8,FALSE)</f>
        <v>145</v>
      </c>
      <c r="AF308" s="5">
        <f>VLOOKUP($A308,'SegEnds_NonXtal_Prot#'!$A:$AL,11,FALSE)</f>
        <v>172</v>
      </c>
      <c r="AG308" s="5" t="str">
        <f>VLOOKUP($A308,'SegEnds_NonXtal_Prot#'!$A:$AL,14,FALSE)</f>
        <v>-</v>
      </c>
      <c r="AH308" s="5">
        <f>VLOOKUP($A308,'SegEnds_NonXtal_Prot#'!$A:$AL,17,FALSE)</f>
        <v>215</v>
      </c>
      <c r="AI308" s="5" t="str">
        <f>VLOOKUP($A308,'SegEnds_NonXtal_Prot#'!$A:$AL,20,FALSE)</f>
        <v>-</v>
      </c>
      <c r="AJ308" s="5">
        <f>VLOOKUP($A308,'SegEnds_NonXtal_Prot#'!$A:$AL,23,FALSE)</f>
        <v>250</v>
      </c>
      <c r="AK308" s="5">
        <f>VLOOKUP($A308,'SegEnds_NonXtal_Prot#'!$A:$AL,26,FALSE)</f>
        <v>256</v>
      </c>
      <c r="AL308" s="5">
        <f>VLOOKUP($A308,'SegEnds_NonXtal_Prot#'!$A:$AL,29,FALSE)</f>
        <v>296</v>
      </c>
      <c r="AM308" s="5">
        <f>VLOOKUP($A308,'SegEnds_NonXtal_Prot#'!$A:$AL,32,FALSE)</f>
        <v>328</v>
      </c>
      <c r="AN308" s="5">
        <f>VLOOKUP($A308,'SegEnds_NonXtal_Prot#'!$A:$AL,35,FALSE)</f>
        <v>362</v>
      </c>
      <c r="AO308" s="5">
        <f>VLOOKUP($A308,'SegEnds_NonXtal_Prot#'!$A:$AL,38,FALSE)</f>
        <v>388</v>
      </c>
      <c r="AP308" s="5">
        <f t="shared" si="113"/>
        <v>41</v>
      </c>
      <c r="AQ308" s="4">
        <f t="shared" si="114"/>
        <v>3</v>
      </c>
      <c r="AR308" s="4">
        <f t="shared" si="115"/>
        <v>26</v>
      </c>
      <c r="AS308" s="4" t="str">
        <f t="shared" si="116"/>
        <v>-</v>
      </c>
      <c r="AT308" s="4">
        <f t="shared" si="117"/>
        <v>34</v>
      </c>
      <c r="AU308" s="4" t="str">
        <f t="shared" si="118"/>
        <v>-</v>
      </c>
      <c r="AV308" s="4">
        <f t="shared" si="119"/>
        <v>27</v>
      </c>
      <c r="AW308" s="4">
        <f t="shared" si="120"/>
        <v>2</v>
      </c>
      <c r="AX308" s="4">
        <f t="shared" si="121"/>
        <v>32</v>
      </c>
      <c r="AY308" s="4">
        <f t="shared" si="122"/>
        <v>28</v>
      </c>
      <c r="AZ308" s="4">
        <f t="shared" si="123"/>
        <v>28</v>
      </c>
      <c r="BA308" s="4">
        <f t="shared" si="124"/>
        <v>25</v>
      </c>
    </row>
    <row r="309" spans="1:53" x14ac:dyDescent="0.2">
      <c r="A309" s="1" t="str">
        <f>'SegEnds_NonXtal_Prot#'!A307</f>
        <v>g1sgd4_rabit</v>
      </c>
      <c r="B309" s="1" t="str">
        <f t="shared" si="100"/>
        <v>PEEQLLSLYIIYTVGYALSFSALVIASAILLGFCTRNYIHLNLFASFILRALSVFIKDAALKWMYSTAAQQLGCRLVFLLMQYCVAANYYWLLVEGAYLYTLLAFSEQRIFKLYLSIGWGVPLLFVIPWGIVKYLYENMNYWLIIRLPILFAIGVNFLIFIRVICIVVSKLKAKCRLAKSTLTLIPLLGTHEVIFAFLRFVKLFTELSFTSFQGLMVAILYCFVNNEVQMEFRKSWERWRLEHLRVQRDS</v>
      </c>
      <c r="C309" s="29" t="str">
        <f>IF(ISERROR(MATCH(A309,'SegEnds_Xtal_Prot#'!B:B, 0)), "NoXtal", "Xtal")</f>
        <v>Xtal</v>
      </c>
      <c r="D309" s="4" t="str">
        <f>VLOOKUP(A309,Classification!A:D,2,FALSE)</f>
        <v>B1</v>
      </c>
      <c r="E309" s="5" t="str">
        <f>VLOOKUP(A309,Seqs!A:B,2,FALSE)</f>
        <v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v>
      </c>
      <c r="F309" s="5" t="str">
        <f t="shared" si="101"/>
        <v>PEEQLLSLYIIYTVGYALSFSALVIASAILLGF</v>
      </c>
      <c r="G309" s="4" t="str">
        <f t="shared" si="102"/>
        <v>RHLH</v>
      </c>
      <c r="H309" s="4" t="str">
        <f t="shared" si="103"/>
        <v>CTRNYIHLNLFASFILRALSVFIKDAALKWMYSTAAQQ</v>
      </c>
      <c r="I309" s="4" t="str">
        <f t="shared" si="104"/>
        <v/>
      </c>
      <c r="J309" s="4" t="str">
        <f t="shared" si="105"/>
        <v>LGCRLVFLLMQYCVAANYYWLLVEGAYLYTLLAF</v>
      </c>
      <c r="K309" s="4" t="str">
        <f t="shared" si="106"/>
        <v/>
      </c>
      <c r="L309" s="4" t="str">
        <f t="shared" si="107"/>
        <v>SEQRIFKLYLSIGWGVPLLFVIPWGIVKYLYE</v>
      </c>
      <c r="M309" s="4" t="str">
        <f t="shared" si="108"/>
        <v>CWT</v>
      </c>
      <c r="N309" s="4" t="str">
        <f t="shared" si="109"/>
        <v>NMNYWLIIRLPILFAIGVNFLIFIRVICIVVSKLKA</v>
      </c>
      <c r="O309" s="4" t="str">
        <f t="shared" si="110"/>
        <v>KCRLAKSTLTLIPLLGTHEVIFAF</v>
      </c>
      <c r="P309" s="4" t="str">
        <f t="shared" si="111"/>
        <v>LRFVKLFTELSFTSFQGLMVAILYCFV</v>
      </c>
      <c r="Q309" s="4" t="str">
        <f t="shared" si="112"/>
        <v>NNEVQMEFRKSWERWRLEHLRVQRDS</v>
      </c>
      <c r="R309" s="5">
        <f>VLOOKUP($A309,'SegEnds_NonXtal_Prot#'!$A:$AL,3,FALSE)</f>
        <v>137</v>
      </c>
      <c r="S309" s="5">
        <f>VLOOKUP($A309,'SegEnds_NonXtal_Prot#'!$A:$AL,6,FALSE)</f>
        <v>170</v>
      </c>
      <c r="T309" s="5">
        <f>VLOOKUP($A309,'SegEnds_NonXtal_Prot#'!$A:$AL,9,FALSE)</f>
        <v>174</v>
      </c>
      <c r="U309" s="5" t="str">
        <f>VLOOKUP($A309,'SegEnds_NonXtal_Prot#'!$A:$AL,12,FALSE)</f>
        <v>-</v>
      </c>
      <c r="V309" s="5">
        <f>VLOOKUP($A309,'SegEnds_NonXtal_Prot#'!$A:$AL,15,FALSE)</f>
        <v>224</v>
      </c>
      <c r="W309" s="5" t="str">
        <f>VLOOKUP($A309,'SegEnds_NonXtal_Prot#'!$A:$AL,18,FALSE)</f>
        <v>-</v>
      </c>
      <c r="X309" s="5">
        <f>VLOOKUP($A309,'SegEnds_NonXtal_Prot#'!$A:$AL,21,FALSE)</f>
        <v>261</v>
      </c>
      <c r="Y309" s="5">
        <f>VLOOKUP($A309,'SegEnds_NonXtal_Prot#'!$A:$AL,24,FALSE)</f>
        <v>296</v>
      </c>
      <c r="Z309" s="5">
        <f>VLOOKUP($A309,'SegEnds_NonXtal_Prot#'!$A:$AL,27,FALSE)</f>
        <v>302</v>
      </c>
      <c r="AA309" s="5">
        <f>VLOOKUP($A309,'SegEnds_NonXtal_Prot#'!$A:$AL,30,FALSE)</f>
        <v>346</v>
      </c>
      <c r="AB309" s="5">
        <f>VLOOKUP($A309,'SegEnds_NonXtal_Prot#'!$A:$AL,33,FALSE)</f>
        <v>379</v>
      </c>
      <c r="AC309" s="5">
        <f>VLOOKUP($A309,'SegEnds_NonXtal_Prot#'!$A:$AL,36,FALSE)</f>
        <v>406</v>
      </c>
      <c r="AD309" s="5">
        <f>VLOOKUP($A309,'SegEnds_NonXtal_Prot#'!$A:$AL,5,FALSE)</f>
        <v>169</v>
      </c>
      <c r="AE309" s="5">
        <f>VLOOKUP($A309,'SegEnds_NonXtal_Prot#'!$A:$AL,8,FALSE)</f>
        <v>173</v>
      </c>
      <c r="AF309" s="5">
        <f>VLOOKUP($A309,'SegEnds_NonXtal_Prot#'!$A:$AL,11,FALSE)</f>
        <v>211</v>
      </c>
      <c r="AG309" s="5" t="str">
        <f>VLOOKUP($A309,'SegEnds_NonXtal_Prot#'!$A:$AL,14,FALSE)</f>
        <v>-</v>
      </c>
      <c r="AH309" s="5">
        <f>VLOOKUP($A309,'SegEnds_NonXtal_Prot#'!$A:$AL,17,FALSE)</f>
        <v>257</v>
      </c>
      <c r="AI309" s="5" t="str">
        <f>VLOOKUP($A309,'SegEnds_NonXtal_Prot#'!$A:$AL,20,FALSE)</f>
        <v>-</v>
      </c>
      <c r="AJ309" s="5">
        <f>VLOOKUP($A309,'SegEnds_NonXtal_Prot#'!$A:$AL,23,FALSE)</f>
        <v>292</v>
      </c>
      <c r="AK309" s="5">
        <f>VLOOKUP($A309,'SegEnds_NonXtal_Prot#'!$A:$AL,26,FALSE)</f>
        <v>298</v>
      </c>
      <c r="AL309" s="5">
        <f>VLOOKUP($A309,'SegEnds_NonXtal_Prot#'!$A:$AL,29,FALSE)</f>
        <v>337</v>
      </c>
      <c r="AM309" s="5">
        <f>VLOOKUP($A309,'SegEnds_NonXtal_Prot#'!$A:$AL,32,FALSE)</f>
        <v>369</v>
      </c>
      <c r="AN309" s="5">
        <f>VLOOKUP($A309,'SegEnds_NonXtal_Prot#'!$A:$AL,35,FALSE)</f>
        <v>405</v>
      </c>
      <c r="AO309" s="5">
        <f>VLOOKUP($A309,'SegEnds_NonXtal_Prot#'!$A:$AL,38,FALSE)</f>
        <v>431</v>
      </c>
      <c r="AP309" s="5">
        <f t="shared" si="113"/>
        <v>32</v>
      </c>
      <c r="AQ309" s="4">
        <f t="shared" si="114"/>
        <v>3</v>
      </c>
      <c r="AR309" s="4">
        <f t="shared" si="115"/>
        <v>37</v>
      </c>
      <c r="AS309" s="4" t="str">
        <f t="shared" si="116"/>
        <v>-</v>
      </c>
      <c r="AT309" s="4">
        <f t="shared" si="117"/>
        <v>33</v>
      </c>
      <c r="AU309" s="4" t="str">
        <f t="shared" si="118"/>
        <v>-</v>
      </c>
      <c r="AV309" s="4">
        <f t="shared" si="119"/>
        <v>31</v>
      </c>
      <c r="AW309" s="4">
        <f t="shared" si="120"/>
        <v>2</v>
      </c>
      <c r="AX309" s="4">
        <f t="shared" si="121"/>
        <v>35</v>
      </c>
      <c r="AY309" s="4">
        <f t="shared" si="122"/>
        <v>23</v>
      </c>
      <c r="AZ309" s="4">
        <f t="shared" si="123"/>
        <v>26</v>
      </c>
      <c r="BA309" s="4">
        <f t="shared" si="124"/>
        <v>25</v>
      </c>
    </row>
    <row r="310" spans="1:53" x14ac:dyDescent="0.2">
      <c r="A310" s="1" t="str">
        <f>'SegEnds_NonXtal_Prot#'!A308</f>
        <v>ghrhr_human</v>
      </c>
      <c r="B310" s="1" t="str">
        <f t="shared" si="100"/>
        <v>PLELLAEEESYFSTVKIIYTVGHSISIVALFVAITILVALCPRNYVHTQLFTTFILKAGAVFLKDAALTVLCKVSVAASHFATMTNFSWLLAEAVYLNCLLASRAFWWLVLAGWGLPVLFTGTWVSCKLAFETSPYWWIIKGPIVLSVGVNFGLFLNIIRILVRKLHTQSQYWRLSKSTLFLIPLFGIHYIIFNFLLGIRLPLELGLGSFQGFIVAILYCFLNQEVRTEISRKWHGHDPELLPAWRTR</v>
      </c>
      <c r="C310" s="29" t="str">
        <f>IF(ISERROR(MATCH(A310,'SegEnds_Xtal_Prot#'!B:B, 0)), "NoXtal", "Xtal")</f>
        <v>NoXtal</v>
      </c>
      <c r="D310" s="4" t="str">
        <f>VLOOKUP(A310,Classification!A:D,2,FALSE)</f>
        <v>B1</v>
      </c>
      <c r="E310" s="5" t="str">
        <f>VLOOKUP(A310,Seqs!A:B,2,FALSE)</f>
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</c>
      <c r="F310" s="5" t="str">
        <f t="shared" si="101"/>
        <v>PLELLAEEESYFSTVKIIYTVGHSISIVALFVAITILVAL</v>
      </c>
      <c r="G310" s="4" t="str">
        <f t="shared" si="102"/>
        <v>RRLH</v>
      </c>
      <c r="H310" s="4" t="str">
        <f t="shared" si="103"/>
        <v>CPRNYVHTQLFTTFILKAGAVFLKDAAL</v>
      </c>
      <c r="I310" s="4" t="str">
        <f t="shared" si="104"/>
        <v/>
      </c>
      <c r="J310" s="4" t="str">
        <f t="shared" si="105"/>
        <v>TVLCKVSVAASHFATMTNFSWLLAEAVYLNCLLAS</v>
      </c>
      <c r="K310" s="4" t="str">
        <f t="shared" si="106"/>
        <v/>
      </c>
      <c r="L310" s="4" t="str">
        <f t="shared" si="107"/>
        <v>RAFWWLVLAGWGLPVLFTGTWVSCKLAFE</v>
      </c>
      <c r="M310" s="4" t="str">
        <f t="shared" si="108"/>
        <v>CWD</v>
      </c>
      <c r="N310" s="4" t="str">
        <f t="shared" si="109"/>
        <v>TSPYWWIIKGPIVLSVGVNFGLFLNIIRILVRKL</v>
      </c>
      <c r="O310" s="4" t="str">
        <f t="shared" si="110"/>
        <v>HTQSQYWRLSKSTLFLIPLFGIHYIIFNFL</v>
      </c>
      <c r="P310" s="4" t="str">
        <f t="shared" si="111"/>
        <v>LGIRLPLELGLGSFQGFIVAILYCFL</v>
      </c>
      <c r="Q310" s="4" t="str">
        <f t="shared" si="112"/>
        <v>NQEVRTEISRKWHGHDPELLPAWRTR</v>
      </c>
      <c r="R310" s="5">
        <f>VLOOKUP($A310,'SegEnds_NonXtal_Prot#'!$A:$AL,3,FALSE)</f>
        <v>115</v>
      </c>
      <c r="S310" s="5">
        <f>VLOOKUP($A310,'SegEnds_NonXtal_Prot#'!$A:$AL,6,FALSE)</f>
        <v>155</v>
      </c>
      <c r="T310" s="5">
        <f>VLOOKUP($A310,'SegEnds_NonXtal_Prot#'!$A:$AL,9,FALSE)</f>
        <v>159</v>
      </c>
      <c r="U310" s="5" t="str">
        <f>VLOOKUP($A310,'SegEnds_NonXtal_Prot#'!$A:$AL,12,FALSE)</f>
        <v>-</v>
      </c>
      <c r="V310" s="5">
        <f>VLOOKUP($A310,'SegEnds_NonXtal_Prot#'!$A:$AL,15,FALSE)</f>
        <v>199</v>
      </c>
      <c r="W310" s="5" t="str">
        <f>VLOOKUP($A310,'SegEnds_NonXtal_Prot#'!$A:$AL,18,FALSE)</f>
        <v>-</v>
      </c>
      <c r="X310" s="5">
        <f>VLOOKUP($A310,'SegEnds_NonXtal_Prot#'!$A:$AL,21,FALSE)</f>
        <v>240</v>
      </c>
      <c r="Y310" s="5">
        <f>VLOOKUP($A310,'SegEnds_NonXtal_Prot#'!$A:$AL,24,FALSE)</f>
        <v>272</v>
      </c>
      <c r="Z310" s="5">
        <f>VLOOKUP($A310,'SegEnds_NonXtal_Prot#'!$A:$AL,27,FALSE)</f>
        <v>278</v>
      </c>
      <c r="AA310" s="5">
        <f>VLOOKUP($A310,'SegEnds_NonXtal_Prot#'!$A:$AL,30,FALSE)</f>
        <v>319</v>
      </c>
      <c r="AB310" s="5">
        <f>VLOOKUP($A310,'SegEnds_NonXtal_Prot#'!$A:$AL,33,FALSE)</f>
        <v>354</v>
      </c>
      <c r="AC310" s="5">
        <f>VLOOKUP($A310,'SegEnds_NonXtal_Prot#'!$A:$AL,36,FALSE)</f>
        <v>380</v>
      </c>
      <c r="AD310" s="5">
        <f>VLOOKUP($A310,'SegEnds_NonXtal_Prot#'!$A:$AL,5,FALSE)</f>
        <v>154</v>
      </c>
      <c r="AE310" s="5">
        <f>VLOOKUP($A310,'SegEnds_NonXtal_Prot#'!$A:$AL,8,FALSE)</f>
        <v>158</v>
      </c>
      <c r="AF310" s="5">
        <f>VLOOKUP($A310,'SegEnds_NonXtal_Prot#'!$A:$AL,11,FALSE)</f>
        <v>186</v>
      </c>
      <c r="AG310" s="5" t="str">
        <f>VLOOKUP($A310,'SegEnds_NonXtal_Prot#'!$A:$AL,14,FALSE)</f>
        <v>-</v>
      </c>
      <c r="AH310" s="5">
        <f>VLOOKUP($A310,'SegEnds_NonXtal_Prot#'!$A:$AL,17,FALSE)</f>
        <v>233</v>
      </c>
      <c r="AI310" s="5" t="str">
        <f>VLOOKUP($A310,'SegEnds_NonXtal_Prot#'!$A:$AL,20,FALSE)</f>
        <v>-</v>
      </c>
      <c r="AJ310" s="5">
        <f>VLOOKUP($A310,'SegEnds_NonXtal_Prot#'!$A:$AL,23,FALSE)</f>
        <v>268</v>
      </c>
      <c r="AK310" s="5">
        <f>VLOOKUP($A310,'SegEnds_NonXtal_Prot#'!$A:$AL,26,FALSE)</f>
        <v>274</v>
      </c>
      <c r="AL310" s="5">
        <f>VLOOKUP($A310,'SegEnds_NonXtal_Prot#'!$A:$AL,29,FALSE)</f>
        <v>311</v>
      </c>
      <c r="AM310" s="5">
        <f>VLOOKUP($A310,'SegEnds_NonXtal_Prot#'!$A:$AL,32,FALSE)</f>
        <v>348</v>
      </c>
      <c r="AN310" s="5">
        <f>VLOOKUP($A310,'SegEnds_NonXtal_Prot#'!$A:$AL,35,FALSE)</f>
        <v>379</v>
      </c>
      <c r="AO310" s="5">
        <f>VLOOKUP($A310,'SegEnds_NonXtal_Prot#'!$A:$AL,38,FALSE)</f>
        <v>405</v>
      </c>
      <c r="AP310" s="5">
        <f t="shared" si="113"/>
        <v>39</v>
      </c>
      <c r="AQ310" s="4">
        <f t="shared" si="114"/>
        <v>3</v>
      </c>
      <c r="AR310" s="4">
        <f t="shared" si="115"/>
        <v>27</v>
      </c>
      <c r="AS310" s="4" t="str">
        <f t="shared" si="116"/>
        <v>-</v>
      </c>
      <c r="AT310" s="4">
        <f t="shared" si="117"/>
        <v>34</v>
      </c>
      <c r="AU310" s="4" t="str">
        <f t="shared" si="118"/>
        <v>-</v>
      </c>
      <c r="AV310" s="4">
        <f t="shared" si="119"/>
        <v>28</v>
      </c>
      <c r="AW310" s="4">
        <f t="shared" si="120"/>
        <v>2</v>
      </c>
      <c r="AX310" s="4">
        <f t="shared" si="121"/>
        <v>33</v>
      </c>
      <c r="AY310" s="4">
        <f t="shared" si="122"/>
        <v>29</v>
      </c>
      <c r="AZ310" s="4">
        <f t="shared" si="123"/>
        <v>25</v>
      </c>
      <c r="BA310" s="4">
        <f t="shared" si="124"/>
        <v>25</v>
      </c>
    </row>
    <row r="311" spans="1:53" x14ac:dyDescent="0.2">
      <c r="A311" s="1" t="str">
        <f>'SegEnds_NonXtal_Prot#'!A309</f>
        <v>gipr_human</v>
      </c>
      <c r="B311" s="1" t="str">
        <f t="shared" si="100"/>
        <v>FLDQRLILERLQVMYTVGYSLSLATLLLALLILSLFCTRNYIHINLFTSFMLRAAAILSRDRLLAACRTAQIVTQYCVGANYTWLLVEGVYLHSLLVLGHFRYYLLLGWGAPALFVIPWVIVRYLYEEVKAIWWIIRTPILMTILINFLIFIRILGILLSKLRTDYRLRLARSTLTLVPLLGVHEVVFAPGALRFAKLGFEIFLSSFQGFLVSVLYCFINKEVQSEIRRGWHHCRLRRSLGEEQR</v>
      </c>
      <c r="C311" s="29" t="str">
        <f>IF(ISERROR(MATCH(A311,'SegEnds_Xtal_Prot#'!B:B, 0)), "NoXtal", "Xtal")</f>
        <v>NoXtal</v>
      </c>
      <c r="D311" s="4" t="str">
        <f>VLOOKUP(A311,Classification!A:D,2,FALSE)</f>
        <v>B1</v>
      </c>
      <c r="E311" s="5" t="str">
        <f>VLOOKUP(A311,Seqs!A:B,2,FALSE)</f>
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</c>
      <c r="F311" s="5" t="str">
        <f t="shared" si="101"/>
        <v>FLDQRLILERLQVMYTVGYSLSLATLLLALLILSLF</v>
      </c>
      <c r="G311" s="4" t="str">
        <f t="shared" si="102"/>
        <v>RRLH</v>
      </c>
      <c r="H311" s="4" t="str">
        <f t="shared" si="103"/>
        <v>CTRNYIHINLFTSFMLRAAAILSRDRLL</v>
      </c>
      <c r="I311" s="4" t="str">
        <f t="shared" si="104"/>
        <v/>
      </c>
      <c r="J311" s="4" t="str">
        <f t="shared" si="105"/>
        <v>AACRTAQIVTQYCVGANYTWLLVEGVYLHSLLVL</v>
      </c>
      <c r="K311" s="4" t="str">
        <f t="shared" si="106"/>
        <v/>
      </c>
      <c r="L311" s="4" t="str">
        <f t="shared" si="107"/>
        <v>GHFRYYLLLGWGAPALFVIPWVIVRYLYE</v>
      </c>
      <c r="M311" s="4" t="str">
        <f t="shared" si="108"/>
        <v>CWE</v>
      </c>
      <c r="N311" s="4" t="str">
        <f t="shared" si="109"/>
        <v>EVKAIWWIIRTPILMTILINFLIFIRILGILLSKLRT</v>
      </c>
      <c r="O311" s="4" t="str">
        <f t="shared" si="110"/>
        <v>DYRLRLARSTLTLVPLLGVHEVVFAP</v>
      </c>
      <c r="P311" s="4" t="str">
        <f t="shared" si="111"/>
        <v>GALRFAKLGFEIFLSSFQGFLVSVLYCFI</v>
      </c>
      <c r="Q311" s="4" t="str">
        <f t="shared" si="112"/>
        <v>NKEVQSEIRRGWHHCRLRRSLGEEQR</v>
      </c>
      <c r="R311" s="5">
        <f>VLOOKUP($A311,'SegEnds_NonXtal_Prot#'!$A:$AL,3,FALSE)</f>
        <v>127</v>
      </c>
      <c r="S311" s="5">
        <f>VLOOKUP($A311,'SegEnds_NonXtal_Prot#'!$A:$AL,6,FALSE)</f>
        <v>163</v>
      </c>
      <c r="T311" s="5">
        <f>VLOOKUP($A311,'SegEnds_NonXtal_Prot#'!$A:$AL,9,FALSE)</f>
        <v>167</v>
      </c>
      <c r="U311" s="5" t="str">
        <f>VLOOKUP($A311,'SegEnds_NonXtal_Prot#'!$A:$AL,12,FALSE)</f>
        <v>-</v>
      </c>
      <c r="V311" s="5">
        <f>VLOOKUP($A311,'SegEnds_NonXtal_Prot#'!$A:$AL,15,FALSE)</f>
        <v>214</v>
      </c>
      <c r="W311" s="5" t="str">
        <f>VLOOKUP($A311,'SegEnds_NonXtal_Prot#'!$A:$AL,18,FALSE)</f>
        <v>-</v>
      </c>
      <c r="X311" s="5">
        <f>VLOOKUP($A311,'SegEnds_NonXtal_Prot#'!$A:$AL,21,FALSE)</f>
        <v>254</v>
      </c>
      <c r="Y311" s="5">
        <f>VLOOKUP($A311,'SegEnds_NonXtal_Prot#'!$A:$AL,24,FALSE)</f>
        <v>286</v>
      </c>
      <c r="Z311" s="5">
        <f>VLOOKUP($A311,'SegEnds_NonXtal_Prot#'!$A:$AL,27,FALSE)</f>
        <v>291</v>
      </c>
      <c r="AA311" s="5">
        <f>VLOOKUP($A311,'SegEnds_NonXtal_Prot#'!$A:$AL,30,FALSE)</f>
        <v>334</v>
      </c>
      <c r="AB311" s="5">
        <f>VLOOKUP($A311,'SegEnds_NonXtal_Prot#'!$A:$AL,33,FALSE)</f>
        <v>367</v>
      </c>
      <c r="AC311" s="5">
        <f>VLOOKUP($A311,'SegEnds_NonXtal_Prot#'!$A:$AL,36,FALSE)</f>
        <v>396</v>
      </c>
      <c r="AD311" s="5">
        <f>VLOOKUP($A311,'SegEnds_NonXtal_Prot#'!$A:$AL,5,FALSE)</f>
        <v>162</v>
      </c>
      <c r="AE311" s="5">
        <f>VLOOKUP($A311,'SegEnds_NonXtal_Prot#'!$A:$AL,8,FALSE)</f>
        <v>166</v>
      </c>
      <c r="AF311" s="5">
        <f>VLOOKUP($A311,'SegEnds_NonXtal_Prot#'!$A:$AL,11,FALSE)</f>
        <v>194</v>
      </c>
      <c r="AG311" s="5" t="str">
        <f>VLOOKUP($A311,'SegEnds_NonXtal_Prot#'!$A:$AL,14,FALSE)</f>
        <v>-</v>
      </c>
      <c r="AH311" s="5">
        <f>VLOOKUP($A311,'SegEnds_NonXtal_Prot#'!$A:$AL,17,FALSE)</f>
        <v>247</v>
      </c>
      <c r="AI311" s="5" t="str">
        <f>VLOOKUP($A311,'SegEnds_NonXtal_Prot#'!$A:$AL,20,FALSE)</f>
        <v>-</v>
      </c>
      <c r="AJ311" s="5">
        <f>VLOOKUP($A311,'SegEnds_NonXtal_Prot#'!$A:$AL,23,FALSE)</f>
        <v>282</v>
      </c>
      <c r="AK311" s="5">
        <f>VLOOKUP($A311,'SegEnds_NonXtal_Prot#'!$A:$AL,26,FALSE)</f>
        <v>288</v>
      </c>
      <c r="AL311" s="5">
        <f>VLOOKUP($A311,'SegEnds_NonXtal_Prot#'!$A:$AL,29,FALSE)</f>
        <v>327</v>
      </c>
      <c r="AM311" s="5">
        <f>VLOOKUP($A311,'SegEnds_NonXtal_Prot#'!$A:$AL,32,FALSE)</f>
        <v>359</v>
      </c>
      <c r="AN311" s="5">
        <f>VLOOKUP($A311,'SegEnds_NonXtal_Prot#'!$A:$AL,35,FALSE)</f>
        <v>395</v>
      </c>
      <c r="AO311" s="5">
        <f>VLOOKUP($A311,'SegEnds_NonXtal_Prot#'!$A:$AL,38,FALSE)</f>
        <v>421</v>
      </c>
      <c r="AP311" s="5">
        <f t="shared" si="113"/>
        <v>35</v>
      </c>
      <c r="AQ311" s="4">
        <f t="shared" si="114"/>
        <v>3</v>
      </c>
      <c r="AR311" s="4">
        <f t="shared" si="115"/>
        <v>27</v>
      </c>
      <c r="AS311" s="4" t="str">
        <f t="shared" si="116"/>
        <v>-</v>
      </c>
      <c r="AT311" s="4">
        <f t="shared" si="117"/>
        <v>33</v>
      </c>
      <c r="AU311" s="4" t="str">
        <f t="shared" si="118"/>
        <v>-</v>
      </c>
      <c r="AV311" s="4">
        <f t="shared" si="119"/>
        <v>28</v>
      </c>
      <c r="AW311" s="4">
        <f t="shared" si="120"/>
        <v>2</v>
      </c>
      <c r="AX311" s="4">
        <f t="shared" si="121"/>
        <v>36</v>
      </c>
      <c r="AY311" s="4">
        <f t="shared" si="122"/>
        <v>25</v>
      </c>
      <c r="AZ311" s="4">
        <f t="shared" si="123"/>
        <v>28</v>
      </c>
      <c r="BA311" s="4">
        <f t="shared" si="124"/>
        <v>25</v>
      </c>
    </row>
    <row r="312" spans="1:53" x14ac:dyDescent="0.2">
      <c r="A312" s="1" t="str">
        <f>'SegEnds_NonXtal_Prot#'!A310</f>
        <v>glp1r_human</v>
      </c>
      <c r="B312" s="1" t="str">
        <f t="shared" si="100"/>
        <v>EEQLLFLYIIYTVGYALSFSALVIASAILLGFCTRNYIHLNLFASFILRALSVFIKDAALLSCRLVFLLMQYCVAANYYWLLVEGVYLYTLLAFEQWIFRLYVSIGWGVPLLFVVPWGIVKYLYENMNYWLIIRLPILFAIGVNFLIFVRVICIVVSKLKADIKCRLAKSTLTLIPLLGTHEVIFAFGTLRFIKLFTELSFTSFQGLMVAILYCFVNNEVQLEFRKSWERWRLEHLHIQRDS</v>
      </c>
      <c r="C312" s="29" t="str">
        <f>IF(ISERROR(MATCH(A312,'SegEnds_Xtal_Prot#'!B:B, 0)), "NoXtal", "Xtal")</f>
        <v>Xtal</v>
      </c>
      <c r="D312" s="4" t="str">
        <f>VLOOKUP(A312,Classification!A:D,2,FALSE)</f>
        <v>B1</v>
      </c>
      <c r="E312" s="5" t="str">
        <f>VLOOKUP(A312,Seqs!A:B,2,FALSE)</f>
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</c>
      <c r="F312" s="5" t="str">
        <f t="shared" si="101"/>
        <v>EEQLLFLYIIYTVGYALSFSALVIASAILLGF</v>
      </c>
      <c r="G312" s="4" t="str">
        <f t="shared" si="102"/>
        <v>RHLH</v>
      </c>
      <c r="H312" s="4" t="str">
        <f t="shared" si="103"/>
        <v>CTRNYIHLNLFASFILRALSVFIKDAAL</v>
      </c>
      <c r="I312" s="4" t="str">
        <f t="shared" si="104"/>
        <v/>
      </c>
      <c r="J312" s="4" t="str">
        <f t="shared" si="105"/>
        <v>LSCRLVFLLMQYCVAANYYWLLVEGVYLYTLLAF</v>
      </c>
      <c r="K312" s="4" t="str">
        <f t="shared" si="106"/>
        <v/>
      </c>
      <c r="L312" s="4" t="str">
        <f t="shared" si="107"/>
        <v>EQWIFRLYVSIGWGVPLLFVVPWGIVKYLYE</v>
      </c>
      <c r="M312" s="4" t="str">
        <f t="shared" si="108"/>
        <v>CWT</v>
      </c>
      <c r="N312" s="4" t="str">
        <f t="shared" si="109"/>
        <v>NMNYWLIIRLPILFAIGVNFLIFVRVICIVVSKLKA</v>
      </c>
      <c r="O312" s="4" t="str">
        <f t="shared" si="110"/>
        <v>DIKCRLAKSTLTLIPLLGTHEVIFAF</v>
      </c>
      <c r="P312" s="4" t="str">
        <f t="shared" si="111"/>
        <v>GTLRFIKLFTELSFTSFQGLMVAILYCFV</v>
      </c>
      <c r="Q312" s="4" t="str">
        <f t="shared" si="112"/>
        <v>NNEVQLEFRKSWERWRLEHLHIQRDS</v>
      </c>
      <c r="R312" s="5">
        <f>VLOOKUP($A312,'SegEnds_NonXtal_Prot#'!$A:$AL,3,FALSE)</f>
        <v>138</v>
      </c>
      <c r="S312" s="5">
        <f>VLOOKUP($A312,'SegEnds_NonXtal_Prot#'!$A:$AL,6,FALSE)</f>
        <v>170</v>
      </c>
      <c r="T312" s="5">
        <f>VLOOKUP($A312,'SegEnds_NonXtal_Prot#'!$A:$AL,9,FALSE)</f>
        <v>174</v>
      </c>
      <c r="U312" s="5" t="str">
        <f>VLOOKUP($A312,'SegEnds_NonXtal_Prot#'!$A:$AL,12,FALSE)</f>
        <v>-</v>
      </c>
      <c r="V312" s="5">
        <f>VLOOKUP($A312,'SegEnds_NonXtal_Prot#'!$A:$AL,15,FALSE)</f>
        <v>224</v>
      </c>
      <c r="W312" s="5" t="str">
        <f>VLOOKUP($A312,'SegEnds_NonXtal_Prot#'!$A:$AL,18,FALSE)</f>
        <v>-</v>
      </c>
      <c r="X312" s="5">
        <f>VLOOKUP($A312,'SegEnds_NonXtal_Prot#'!$A:$AL,21,FALSE)</f>
        <v>262</v>
      </c>
      <c r="Y312" s="5">
        <f>VLOOKUP($A312,'SegEnds_NonXtal_Prot#'!$A:$AL,24,FALSE)</f>
        <v>296</v>
      </c>
      <c r="Z312" s="5">
        <f>VLOOKUP($A312,'SegEnds_NonXtal_Prot#'!$A:$AL,27,FALSE)</f>
        <v>302</v>
      </c>
      <c r="AA312" s="5">
        <f>VLOOKUP($A312,'SegEnds_NonXtal_Prot#'!$A:$AL,30,FALSE)</f>
        <v>344</v>
      </c>
      <c r="AB312" s="5">
        <f>VLOOKUP($A312,'SegEnds_NonXtal_Prot#'!$A:$AL,33,FALSE)</f>
        <v>377</v>
      </c>
      <c r="AC312" s="5">
        <f>VLOOKUP($A312,'SegEnds_NonXtal_Prot#'!$A:$AL,36,FALSE)</f>
        <v>406</v>
      </c>
      <c r="AD312" s="5">
        <f>VLOOKUP($A312,'SegEnds_NonXtal_Prot#'!$A:$AL,5,FALSE)</f>
        <v>169</v>
      </c>
      <c r="AE312" s="5">
        <f>VLOOKUP($A312,'SegEnds_NonXtal_Prot#'!$A:$AL,8,FALSE)</f>
        <v>173</v>
      </c>
      <c r="AF312" s="5">
        <f>VLOOKUP($A312,'SegEnds_NonXtal_Prot#'!$A:$AL,11,FALSE)</f>
        <v>201</v>
      </c>
      <c r="AG312" s="5" t="str">
        <f>VLOOKUP($A312,'SegEnds_NonXtal_Prot#'!$A:$AL,14,FALSE)</f>
        <v>-</v>
      </c>
      <c r="AH312" s="5">
        <f>VLOOKUP($A312,'SegEnds_NonXtal_Prot#'!$A:$AL,17,FALSE)</f>
        <v>257</v>
      </c>
      <c r="AI312" s="5" t="str">
        <f>VLOOKUP($A312,'SegEnds_NonXtal_Prot#'!$A:$AL,20,FALSE)</f>
        <v>-</v>
      </c>
      <c r="AJ312" s="5">
        <f>VLOOKUP($A312,'SegEnds_NonXtal_Prot#'!$A:$AL,23,FALSE)</f>
        <v>292</v>
      </c>
      <c r="AK312" s="5">
        <f>VLOOKUP($A312,'SegEnds_NonXtal_Prot#'!$A:$AL,26,FALSE)</f>
        <v>298</v>
      </c>
      <c r="AL312" s="5">
        <f>VLOOKUP($A312,'SegEnds_NonXtal_Prot#'!$A:$AL,29,FALSE)</f>
        <v>337</v>
      </c>
      <c r="AM312" s="5">
        <f>VLOOKUP($A312,'SegEnds_NonXtal_Prot#'!$A:$AL,32,FALSE)</f>
        <v>369</v>
      </c>
      <c r="AN312" s="5">
        <f>VLOOKUP($A312,'SegEnds_NonXtal_Prot#'!$A:$AL,35,FALSE)</f>
        <v>405</v>
      </c>
      <c r="AO312" s="5">
        <f>VLOOKUP($A312,'SegEnds_NonXtal_Prot#'!$A:$AL,38,FALSE)</f>
        <v>431</v>
      </c>
      <c r="AP312" s="5">
        <f t="shared" si="113"/>
        <v>31</v>
      </c>
      <c r="AQ312" s="4">
        <f t="shared" si="114"/>
        <v>3</v>
      </c>
      <c r="AR312" s="4">
        <f t="shared" si="115"/>
        <v>27</v>
      </c>
      <c r="AS312" s="4" t="str">
        <f t="shared" si="116"/>
        <v>-</v>
      </c>
      <c r="AT312" s="4">
        <f t="shared" si="117"/>
        <v>33</v>
      </c>
      <c r="AU312" s="4" t="str">
        <f t="shared" si="118"/>
        <v>-</v>
      </c>
      <c r="AV312" s="4">
        <f t="shared" si="119"/>
        <v>30</v>
      </c>
      <c r="AW312" s="4">
        <f t="shared" si="120"/>
        <v>2</v>
      </c>
      <c r="AX312" s="4">
        <f t="shared" si="121"/>
        <v>35</v>
      </c>
      <c r="AY312" s="4">
        <f t="shared" si="122"/>
        <v>25</v>
      </c>
      <c r="AZ312" s="4">
        <f t="shared" si="123"/>
        <v>28</v>
      </c>
      <c r="BA312" s="4">
        <f t="shared" si="124"/>
        <v>25</v>
      </c>
    </row>
    <row r="313" spans="1:53" x14ac:dyDescent="0.2">
      <c r="A313" s="1" t="str">
        <f>'SegEnds_NonXtal_Prot#'!A311</f>
        <v>glp2r_human</v>
      </c>
      <c r="B313" s="1" t="str">
        <f t="shared" si="100"/>
        <v>NVDRYALLSTLQLMYTVGYSFSLISLFLALTLLLFLCTRNYIHMNLFASFILRTLAVLVKDVVFTSCRSVQVLLHYFVGANYLWLLVEGLYLHTLLEPRLWPRYLLLGWAFPVLFVVPWGFARAHLEGNKKIWWIIRGPMMLCVTVNFFIFLKILKLLISKLKADYKYRLAKSTLVLIPLLGVHEILFSFGFAKLIRLFIQLTLSSFHGFLVALQYGFANGEVKAELRKYWVRFLLARHSGCRAC</v>
      </c>
      <c r="C313" s="29" t="str">
        <f>IF(ISERROR(MATCH(A313,'SegEnds_Xtal_Prot#'!B:B, 0)), "NoXtal", "Xtal")</f>
        <v>NoXtal</v>
      </c>
      <c r="D313" s="4" t="str">
        <f>VLOOKUP(A313,Classification!A:D,2,FALSE)</f>
        <v>B1</v>
      </c>
      <c r="E313" s="5" t="str">
        <f>VLOOKUP(A313,Seqs!A:B,2,FALSE)</f>
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</c>
      <c r="F313" s="5" t="str">
        <f t="shared" si="101"/>
        <v>NVDRYALLSTLQLMYTVGYSFSLISLFLALTLLLFL</v>
      </c>
      <c r="G313" s="4" t="str">
        <f t="shared" si="102"/>
        <v>RKLH</v>
      </c>
      <c r="H313" s="4" t="str">
        <f t="shared" si="103"/>
        <v>CTRNYIHMNLFASFILRTLAVLVKDVVF</v>
      </c>
      <c r="I313" s="4" t="str">
        <f t="shared" si="104"/>
        <v/>
      </c>
      <c r="J313" s="4" t="str">
        <f t="shared" si="105"/>
        <v>TSCRSVQVLLHYFVGANYLWLLVEGLYLHTLLEP</v>
      </c>
      <c r="K313" s="4" t="str">
        <f t="shared" si="106"/>
        <v/>
      </c>
      <c r="L313" s="4" t="str">
        <f t="shared" si="107"/>
        <v>RLWPRYLLLGWAFPVLFVVPWGFARAHLE</v>
      </c>
      <c r="M313" s="4" t="str">
        <f t="shared" si="108"/>
        <v>CWT</v>
      </c>
      <c r="N313" s="4" t="str">
        <f t="shared" si="109"/>
        <v>GNKKIWWIIRGPMMLCVTVNFFIFLKILKLLISKLKA</v>
      </c>
      <c r="O313" s="4" t="str">
        <f t="shared" si="110"/>
        <v>DYKYRLAKSTLVLIPLLGVHEILFSF</v>
      </c>
      <c r="P313" s="4" t="str">
        <f t="shared" si="111"/>
        <v>GFAKLIRLFIQLTLSSFHGFLVALQYGFA</v>
      </c>
      <c r="Q313" s="4" t="str">
        <f t="shared" si="112"/>
        <v>NGEVKAELRKYWVRFLLARHSGCRAC</v>
      </c>
      <c r="R313" s="5">
        <f>VLOOKUP($A313,'SegEnds_NonXtal_Prot#'!$A:$AL,3,FALSE)</f>
        <v>168</v>
      </c>
      <c r="S313" s="5">
        <f>VLOOKUP($A313,'SegEnds_NonXtal_Prot#'!$A:$AL,6,FALSE)</f>
        <v>204</v>
      </c>
      <c r="T313" s="5">
        <f>VLOOKUP($A313,'SegEnds_NonXtal_Prot#'!$A:$AL,9,FALSE)</f>
        <v>208</v>
      </c>
      <c r="U313" s="5" t="str">
        <f>VLOOKUP($A313,'SegEnds_NonXtal_Prot#'!$A:$AL,12,FALSE)</f>
        <v>-</v>
      </c>
      <c r="V313" s="5">
        <f>VLOOKUP($A313,'SegEnds_NonXtal_Prot#'!$A:$AL,15,FALSE)</f>
        <v>258</v>
      </c>
      <c r="W313" s="5" t="str">
        <f>VLOOKUP($A313,'SegEnds_NonXtal_Prot#'!$A:$AL,18,FALSE)</f>
        <v>-</v>
      </c>
      <c r="X313" s="5">
        <f>VLOOKUP($A313,'SegEnds_NonXtal_Prot#'!$A:$AL,21,FALSE)</f>
        <v>298</v>
      </c>
      <c r="Y313" s="5">
        <f>VLOOKUP($A313,'SegEnds_NonXtal_Prot#'!$A:$AL,24,FALSE)</f>
        <v>330</v>
      </c>
      <c r="Z313" s="5">
        <f>VLOOKUP($A313,'SegEnds_NonXtal_Prot#'!$A:$AL,27,FALSE)</f>
        <v>335</v>
      </c>
      <c r="AA313" s="5">
        <f>VLOOKUP($A313,'SegEnds_NonXtal_Prot#'!$A:$AL,30,FALSE)</f>
        <v>378</v>
      </c>
      <c r="AB313" s="5">
        <f>VLOOKUP($A313,'SegEnds_NonXtal_Prot#'!$A:$AL,33,FALSE)</f>
        <v>411</v>
      </c>
      <c r="AC313" s="5">
        <f>VLOOKUP($A313,'SegEnds_NonXtal_Prot#'!$A:$AL,36,FALSE)</f>
        <v>440</v>
      </c>
      <c r="AD313" s="5">
        <f>VLOOKUP($A313,'SegEnds_NonXtal_Prot#'!$A:$AL,5,FALSE)</f>
        <v>203</v>
      </c>
      <c r="AE313" s="5">
        <f>VLOOKUP($A313,'SegEnds_NonXtal_Prot#'!$A:$AL,8,FALSE)</f>
        <v>207</v>
      </c>
      <c r="AF313" s="5">
        <f>VLOOKUP($A313,'SegEnds_NonXtal_Prot#'!$A:$AL,11,FALSE)</f>
        <v>235</v>
      </c>
      <c r="AG313" s="5" t="str">
        <f>VLOOKUP($A313,'SegEnds_NonXtal_Prot#'!$A:$AL,14,FALSE)</f>
        <v>-</v>
      </c>
      <c r="AH313" s="5">
        <f>VLOOKUP($A313,'SegEnds_NonXtal_Prot#'!$A:$AL,17,FALSE)</f>
        <v>291</v>
      </c>
      <c r="AI313" s="5" t="str">
        <f>VLOOKUP($A313,'SegEnds_NonXtal_Prot#'!$A:$AL,20,FALSE)</f>
        <v>-</v>
      </c>
      <c r="AJ313" s="5">
        <f>VLOOKUP($A313,'SegEnds_NonXtal_Prot#'!$A:$AL,23,FALSE)</f>
        <v>326</v>
      </c>
      <c r="AK313" s="5">
        <f>VLOOKUP($A313,'SegEnds_NonXtal_Prot#'!$A:$AL,26,FALSE)</f>
        <v>332</v>
      </c>
      <c r="AL313" s="5">
        <f>VLOOKUP($A313,'SegEnds_NonXtal_Prot#'!$A:$AL,29,FALSE)</f>
        <v>371</v>
      </c>
      <c r="AM313" s="5">
        <f>VLOOKUP($A313,'SegEnds_NonXtal_Prot#'!$A:$AL,32,FALSE)</f>
        <v>403</v>
      </c>
      <c r="AN313" s="5">
        <f>VLOOKUP($A313,'SegEnds_NonXtal_Prot#'!$A:$AL,35,FALSE)</f>
        <v>439</v>
      </c>
      <c r="AO313" s="5">
        <f>VLOOKUP($A313,'SegEnds_NonXtal_Prot#'!$A:$AL,38,FALSE)</f>
        <v>465</v>
      </c>
      <c r="AP313" s="5">
        <f t="shared" si="113"/>
        <v>35</v>
      </c>
      <c r="AQ313" s="4">
        <f t="shared" si="114"/>
        <v>3</v>
      </c>
      <c r="AR313" s="4">
        <f t="shared" si="115"/>
        <v>27</v>
      </c>
      <c r="AS313" s="4" t="str">
        <f t="shared" si="116"/>
        <v>-</v>
      </c>
      <c r="AT313" s="4">
        <f t="shared" si="117"/>
        <v>33</v>
      </c>
      <c r="AU313" s="4" t="str">
        <f t="shared" si="118"/>
        <v>-</v>
      </c>
      <c r="AV313" s="4">
        <f t="shared" si="119"/>
        <v>28</v>
      </c>
      <c r="AW313" s="4">
        <f t="shared" si="120"/>
        <v>2</v>
      </c>
      <c r="AX313" s="4">
        <f t="shared" si="121"/>
        <v>36</v>
      </c>
      <c r="AY313" s="4">
        <f t="shared" si="122"/>
        <v>25</v>
      </c>
      <c r="AZ313" s="4">
        <f t="shared" si="123"/>
        <v>28</v>
      </c>
      <c r="BA313" s="4">
        <f t="shared" si="124"/>
        <v>25</v>
      </c>
    </row>
    <row r="314" spans="1:53" x14ac:dyDescent="0.2">
      <c r="A314" s="1" t="str">
        <f>'SegEnds_NonXtal_Prot#'!A312</f>
        <v>glr_human</v>
      </c>
      <c r="B314" s="1" t="str">
        <f t="shared" si="100"/>
        <v>QKEVAKMYSSFQVMYTVGYSLSLGALLLALAILGGLCTRNAIHANLFASFVLKASSVLVIDGLLRTRYSAVAGCRVAAVFMQYGIVANYCWLLVEGLYLHNLLGLSFFSLYLGIGWGAPMLFVVPWAVVKCLFEDNMGFWWILRFPVFLAILINFFIFVRIVQLLVAKLRADYKFRLAKSTLTLIPLLGVHEVVFAFQGTLRSAKLFFDLFLSSFQGLLVAVLYCFLNKEVQSELRRRWHRWRLGKVLWEERN</v>
      </c>
      <c r="C314" s="29" t="str">
        <f>IF(ISERROR(MATCH(A314,'SegEnds_Xtal_Prot#'!B:B, 0)), "NoXtal", "Xtal")</f>
        <v>Xtal</v>
      </c>
      <c r="D314" s="4" t="str">
        <f>VLOOKUP(A314,Classification!A:D,2,FALSE)</f>
        <v>B1</v>
      </c>
      <c r="E314" s="5" t="str">
        <f>VLOOKUP(A314,Seqs!A:B,2,FALSE)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F314" s="5" t="str">
        <f t="shared" si="101"/>
        <v>QKEVAKMYSSFQVMYTVGYSLSLGALLLALAILGGL</v>
      </c>
      <c r="G314" s="4" t="str">
        <f t="shared" si="102"/>
        <v>SKLH</v>
      </c>
      <c r="H314" s="4" t="str">
        <f t="shared" si="103"/>
        <v>CTRNAIHANLFASFVLKASSVLVIDGLLRTRYS</v>
      </c>
      <c r="I314" s="4" t="str">
        <f t="shared" si="104"/>
        <v/>
      </c>
      <c r="J314" s="4" t="str">
        <f t="shared" si="105"/>
        <v>AVAGCRVAAVFMQYGIVANYCWLLVEGLYLHNLLGL</v>
      </c>
      <c r="K314" s="4" t="str">
        <f t="shared" si="106"/>
        <v/>
      </c>
      <c r="L314" s="4" t="str">
        <f t="shared" si="107"/>
        <v>SFFSLYLGIGWGAPMLFVVPWAVVKCLFE</v>
      </c>
      <c r="M314" s="4" t="str">
        <f t="shared" si="108"/>
        <v>CWT</v>
      </c>
      <c r="N314" s="4" t="str">
        <f t="shared" si="109"/>
        <v>DNMGFWWILRFPVFLAILINFFIFVRIVQLLVAKLRA</v>
      </c>
      <c r="O314" s="4" t="str">
        <f t="shared" si="110"/>
        <v>DYKFRLAKSTLTLIPLLGVHEVVFAF</v>
      </c>
      <c r="P314" s="4" t="str">
        <f t="shared" si="111"/>
        <v>QGTLRSAKLFFDLFLSSFQGLLVAVLYCFL</v>
      </c>
      <c r="Q314" s="4" t="str">
        <f t="shared" si="112"/>
        <v>NKEVQSELRRRWHRWRLGKVLWEERN</v>
      </c>
      <c r="R314" s="5">
        <f>VLOOKUP($A314,'SegEnds_NonXtal_Prot#'!$A:$AL,3,FALSE)</f>
        <v>131</v>
      </c>
      <c r="S314" s="5">
        <f>VLOOKUP($A314,'SegEnds_NonXtal_Prot#'!$A:$AL,6,FALSE)</f>
        <v>167</v>
      </c>
      <c r="T314" s="5">
        <f>VLOOKUP($A314,'SegEnds_NonXtal_Prot#'!$A:$AL,9,FALSE)</f>
        <v>171</v>
      </c>
      <c r="U314" s="5" t="str">
        <f>VLOOKUP($A314,'SegEnds_NonXtal_Prot#'!$A:$AL,12,FALSE)</f>
        <v>-</v>
      </c>
      <c r="V314" s="5">
        <f>VLOOKUP($A314,'SegEnds_NonXtal_Prot#'!$A:$AL,15,FALSE)</f>
        <v>220</v>
      </c>
      <c r="W314" s="5" t="str">
        <f>VLOOKUP($A314,'SegEnds_NonXtal_Prot#'!$A:$AL,18,FALSE)</f>
        <v>-</v>
      </c>
      <c r="X314" s="5">
        <f>VLOOKUP($A314,'SegEnds_NonXtal_Prot#'!$A:$AL,21,FALSE)</f>
        <v>262</v>
      </c>
      <c r="Y314" s="5">
        <f>VLOOKUP($A314,'SegEnds_NonXtal_Prot#'!$A:$AL,24,FALSE)</f>
        <v>294</v>
      </c>
      <c r="Z314" s="5">
        <f>VLOOKUP($A314,'SegEnds_NonXtal_Prot#'!$A:$AL,27,FALSE)</f>
        <v>299</v>
      </c>
      <c r="AA314" s="5">
        <f>VLOOKUP($A314,'SegEnds_NonXtal_Prot#'!$A:$AL,30,FALSE)</f>
        <v>342</v>
      </c>
      <c r="AB314" s="5">
        <f>VLOOKUP($A314,'SegEnds_NonXtal_Prot#'!$A:$AL,33,FALSE)</f>
        <v>374</v>
      </c>
      <c r="AC314" s="5">
        <f>VLOOKUP($A314,'SegEnds_NonXtal_Prot#'!$A:$AL,36,FALSE)</f>
        <v>404</v>
      </c>
      <c r="AD314" s="5">
        <f>VLOOKUP($A314,'SegEnds_NonXtal_Prot#'!$A:$AL,5,FALSE)</f>
        <v>166</v>
      </c>
      <c r="AE314" s="5">
        <f>VLOOKUP($A314,'SegEnds_NonXtal_Prot#'!$A:$AL,8,FALSE)</f>
        <v>170</v>
      </c>
      <c r="AF314" s="5">
        <f>VLOOKUP($A314,'SegEnds_NonXtal_Prot#'!$A:$AL,11,FALSE)</f>
        <v>203</v>
      </c>
      <c r="AG314" s="5" t="str">
        <f>VLOOKUP($A314,'SegEnds_NonXtal_Prot#'!$A:$AL,14,FALSE)</f>
        <v>-</v>
      </c>
      <c r="AH314" s="5">
        <f>VLOOKUP($A314,'SegEnds_NonXtal_Prot#'!$A:$AL,17,FALSE)</f>
        <v>255</v>
      </c>
      <c r="AI314" s="5" t="str">
        <f>VLOOKUP($A314,'SegEnds_NonXtal_Prot#'!$A:$AL,20,FALSE)</f>
        <v>-</v>
      </c>
      <c r="AJ314" s="5">
        <f>VLOOKUP($A314,'SegEnds_NonXtal_Prot#'!$A:$AL,23,FALSE)</f>
        <v>290</v>
      </c>
      <c r="AK314" s="5">
        <f>VLOOKUP($A314,'SegEnds_NonXtal_Prot#'!$A:$AL,26,FALSE)</f>
        <v>296</v>
      </c>
      <c r="AL314" s="5">
        <f>VLOOKUP($A314,'SegEnds_NonXtal_Prot#'!$A:$AL,29,FALSE)</f>
        <v>335</v>
      </c>
      <c r="AM314" s="5">
        <f>VLOOKUP($A314,'SegEnds_NonXtal_Prot#'!$A:$AL,32,FALSE)</f>
        <v>367</v>
      </c>
      <c r="AN314" s="5">
        <f>VLOOKUP($A314,'SegEnds_NonXtal_Prot#'!$A:$AL,35,FALSE)</f>
        <v>403</v>
      </c>
      <c r="AO314" s="5">
        <f>VLOOKUP($A314,'SegEnds_NonXtal_Prot#'!$A:$AL,38,FALSE)</f>
        <v>429</v>
      </c>
      <c r="AP314" s="5">
        <f t="shared" si="113"/>
        <v>35</v>
      </c>
      <c r="AQ314" s="4">
        <f t="shared" si="114"/>
        <v>3</v>
      </c>
      <c r="AR314" s="4">
        <f t="shared" si="115"/>
        <v>32</v>
      </c>
      <c r="AS314" s="4" t="str">
        <f t="shared" si="116"/>
        <v>-</v>
      </c>
      <c r="AT314" s="4">
        <f t="shared" si="117"/>
        <v>35</v>
      </c>
      <c r="AU314" s="4" t="str">
        <f t="shared" si="118"/>
        <v>-</v>
      </c>
      <c r="AV314" s="4">
        <f t="shared" si="119"/>
        <v>28</v>
      </c>
      <c r="AW314" s="4">
        <f t="shared" si="120"/>
        <v>2</v>
      </c>
      <c r="AX314" s="4">
        <f t="shared" si="121"/>
        <v>36</v>
      </c>
      <c r="AY314" s="4">
        <f t="shared" si="122"/>
        <v>25</v>
      </c>
      <c r="AZ314" s="4">
        <f t="shared" si="123"/>
        <v>29</v>
      </c>
      <c r="BA314" s="4">
        <f t="shared" si="124"/>
        <v>25</v>
      </c>
    </row>
    <row r="315" spans="1:53" x14ac:dyDescent="0.2">
      <c r="A315" s="1" t="str">
        <f>'SegEnds_NonXtal_Prot#'!A313</f>
        <v>pacr_human</v>
      </c>
      <c r="B315" s="1" t="str">
        <f t="shared" si="100"/>
        <v>YESETGDQDYYYLSVKALYTVGYSTSLVTLTTAMVILCRFCTRNFIHMNLFVSFMLRAISVFIKDWILTVECKAVMVFFHYCVVSNYFWLFIEGLYLFTLLVERYFYWYTIIGWGTPTVCVTVWATLRLYFDSTALWWVIKGPVVGSIMVNFVLFIGIIVILVQKLNESSIYLRLARSTLLLIPLFGIHYTVFAFSKRERLVFELGLGSFQGFVVAVLYCFLNGEVQAEIKRKWRSWKVNRYFAVDFK</v>
      </c>
      <c r="C315" s="29" t="str">
        <f>IF(ISERROR(MATCH(A315,'SegEnds_Xtal_Prot#'!B:B, 0)), "NoXtal", "Xtal")</f>
        <v>Xtal</v>
      </c>
      <c r="D315" s="4" t="str">
        <f>VLOOKUP(A315,Classification!A:D,2,FALSE)</f>
        <v>B1</v>
      </c>
      <c r="E315" s="5" t="str">
        <f>VLOOKUP(A315,Seqs!A:B,2,FALSE)</f>
        <v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</c>
      <c r="F315" s="5" t="str">
        <f t="shared" si="101"/>
        <v>YESETGDQDYYYLSVKALYTVGYSTSLVTLTTAMVILCRF</v>
      </c>
      <c r="G315" s="4" t="str">
        <f t="shared" si="102"/>
        <v>RKLH</v>
      </c>
      <c r="H315" s="4" t="str">
        <f t="shared" si="103"/>
        <v>CTRNFIHMNLFVSFMLRAISVFIKDWIL</v>
      </c>
      <c r="I315" s="4" t="str">
        <f t="shared" si="104"/>
        <v/>
      </c>
      <c r="J315" s="4" t="str">
        <f t="shared" si="105"/>
        <v>TVECKAVMVFFHYCVVSNYFWLFIEGLYLFTLLVE</v>
      </c>
      <c r="K315" s="4" t="str">
        <f t="shared" si="106"/>
        <v/>
      </c>
      <c r="L315" s="4" t="str">
        <f t="shared" si="107"/>
        <v>RYFYWYTIIGWGTPTVCVTVWATLRLYFD</v>
      </c>
      <c r="M315" s="4" t="str">
        <f t="shared" si="108"/>
        <v>CWD</v>
      </c>
      <c r="N315" s="4" t="str">
        <f t="shared" si="109"/>
        <v>STALWWVIKGPVVGSIMVNFVLFIGIIVILVQKL</v>
      </c>
      <c r="O315" s="4" t="str">
        <f t="shared" si="110"/>
        <v>NESSIYLRLARSTLLLIPLFGIHYTVFAFS</v>
      </c>
      <c r="P315" s="4" t="str">
        <f t="shared" si="111"/>
        <v>KRERLVFELGLGSFQGFVVAVLYCFL</v>
      </c>
      <c r="Q315" s="4" t="str">
        <f t="shared" si="112"/>
        <v>NGEVQAEIKRKWRSWKVNRYFAVDFK</v>
      </c>
      <c r="R315" s="5">
        <f>VLOOKUP($A315,'SegEnds_NonXtal_Prot#'!$A:$AL,3,FALSE)</f>
        <v>139</v>
      </c>
      <c r="S315" s="5">
        <f>VLOOKUP($A315,'SegEnds_NonXtal_Prot#'!$A:$AL,6,FALSE)</f>
        <v>179</v>
      </c>
      <c r="T315" s="5">
        <f>VLOOKUP($A315,'SegEnds_NonXtal_Prot#'!$A:$AL,9,FALSE)</f>
        <v>183</v>
      </c>
      <c r="U315" s="5" t="str">
        <f>VLOOKUP($A315,'SegEnds_NonXtal_Prot#'!$A:$AL,12,FALSE)</f>
        <v>-</v>
      </c>
      <c r="V315" s="5">
        <f>VLOOKUP($A315,'SegEnds_NonXtal_Prot#'!$A:$AL,15,FALSE)</f>
        <v>223</v>
      </c>
      <c r="W315" s="5" t="str">
        <f>VLOOKUP($A315,'SegEnds_NonXtal_Prot#'!$A:$AL,18,FALSE)</f>
        <v>-</v>
      </c>
      <c r="X315" s="5">
        <f>VLOOKUP($A315,'SegEnds_NonXtal_Prot#'!$A:$AL,21,FALSE)</f>
        <v>264</v>
      </c>
      <c r="Y315" s="5">
        <f>VLOOKUP($A315,'SegEnds_NonXtal_Prot#'!$A:$AL,24,FALSE)</f>
        <v>296</v>
      </c>
      <c r="Z315" s="5">
        <f>VLOOKUP($A315,'SegEnds_NonXtal_Prot#'!$A:$AL,27,FALSE)</f>
        <v>302</v>
      </c>
      <c r="AA315" s="5">
        <f>VLOOKUP($A315,'SegEnds_NonXtal_Prot#'!$A:$AL,30,FALSE)</f>
        <v>343</v>
      </c>
      <c r="AB315" s="5">
        <f>VLOOKUP($A315,'SegEnds_NonXtal_Prot#'!$A:$AL,33,FALSE)</f>
        <v>378</v>
      </c>
      <c r="AC315" s="5">
        <f>VLOOKUP($A315,'SegEnds_NonXtal_Prot#'!$A:$AL,36,FALSE)</f>
        <v>404</v>
      </c>
      <c r="AD315" s="5">
        <f>VLOOKUP($A315,'SegEnds_NonXtal_Prot#'!$A:$AL,5,FALSE)</f>
        <v>178</v>
      </c>
      <c r="AE315" s="5">
        <f>VLOOKUP($A315,'SegEnds_NonXtal_Prot#'!$A:$AL,8,FALSE)</f>
        <v>182</v>
      </c>
      <c r="AF315" s="5">
        <f>VLOOKUP($A315,'SegEnds_NonXtal_Prot#'!$A:$AL,11,FALSE)</f>
        <v>210</v>
      </c>
      <c r="AG315" s="5" t="str">
        <f>VLOOKUP($A315,'SegEnds_NonXtal_Prot#'!$A:$AL,14,FALSE)</f>
        <v>-</v>
      </c>
      <c r="AH315" s="5">
        <f>VLOOKUP($A315,'SegEnds_NonXtal_Prot#'!$A:$AL,17,FALSE)</f>
        <v>257</v>
      </c>
      <c r="AI315" s="5" t="str">
        <f>VLOOKUP($A315,'SegEnds_NonXtal_Prot#'!$A:$AL,20,FALSE)</f>
        <v>-</v>
      </c>
      <c r="AJ315" s="5">
        <f>VLOOKUP($A315,'SegEnds_NonXtal_Prot#'!$A:$AL,23,FALSE)</f>
        <v>292</v>
      </c>
      <c r="AK315" s="5">
        <f>VLOOKUP($A315,'SegEnds_NonXtal_Prot#'!$A:$AL,26,FALSE)</f>
        <v>298</v>
      </c>
      <c r="AL315" s="5">
        <f>VLOOKUP($A315,'SegEnds_NonXtal_Prot#'!$A:$AL,29,FALSE)</f>
        <v>335</v>
      </c>
      <c r="AM315" s="5">
        <f>VLOOKUP($A315,'SegEnds_NonXtal_Prot#'!$A:$AL,32,FALSE)</f>
        <v>372</v>
      </c>
      <c r="AN315" s="5">
        <f>VLOOKUP($A315,'SegEnds_NonXtal_Prot#'!$A:$AL,35,FALSE)</f>
        <v>403</v>
      </c>
      <c r="AO315" s="5">
        <f>VLOOKUP($A315,'SegEnds_NonXtal_Prot#'!$A:$AL,38,FALSE)</f>
        <v>429</v>
      </c>
      <c r="AP315" s="5">
        <f t="shared" si="113"/>
        <v>39</v>
      </c>
      <c r="AQ315" s="4">
        <f t="shared" si="114"/>
        <v>3</v>
      </c>
      <c r="AR315" s="4">
        <f t="shared" si="115"/>
        <v>27</v>
      </c>
      <c r="AS315" s="4" t="str">
        <f t="shared" si="116"/>
        <v>-</v>
      </c>
      <c r="AT315" s="4">
        <f t="shared" si="117"/>
        <v>34</v>
      </c>
      <c r="AU315" s="4" t="str">
        <f t="shared" si="118"/>
        <v>-</v>
      </c>
      <c r="AV315" s="4">
        <f t="shared" si="119"/>
        <v>28</v>
      </c>
      <c r="AW315" s="4">
        <f t="shared" si="120"/>
        <v>2</v>
      </c>
      <c r="AX315" s="4">
        <f t="shared" si="121"/>
        <v>33</v>
      </c>
      <c r="AY315" s="4">
        <f t="shared" si="122"/>
        <v>29</v>
      </c>
      <c r="AZ315" s="4">
        <f t="shared" si="123"/>
        <v>25</v>
      </c>
      <c r="BA315" s="4">
        <f t="shared" si="124"/>
        <v>25</v>
      </c>
    </row>
    <row r="316" spans="1:53" x14ac:dyDescent="0.2">
      <c r="A316" s="1" t="str">
        <f>'SegEnds_NonXtal_Prot#'!A314</f>
        <v>pth1r_human</v>
      </c>
      <c r="B316" s="1" t="str">
        <f t="shared" si="100"/>
        <v>FLTNETREREVFDRLGMIYTVGYSVSLASLTVAVLILAYFCTRNYIHMHLFLSFMLRAVSIFVKDAVLYSGATGYAGCRVAVTFFLYFLATNYYWILVEGLYLHSLIFMSEKKYLWGFTVFGWGLPAVFVAVWVSVRATLAGNKKWIIQVPILASIVLNFILFINIVRVLATKLDTRQQYRKLLKSTLVLMPLFGVHYIVFMATGTLWQVQMHYEMLFNSFQGFFVAIIYCFCNGEVQAEIKKSWSRWTLALDFKRKAR</v>
      </c>
      <c r="C316" s="29" t="str">
        <f>IF(ISERROR(MATCH(A316,'SegEnds_Xtal_Prot#'!B:B, 0)), "NoXtal", "Xtal")</f>
        <v>Xtal</v>
      </c>
      <c r="D316" s="4" t="str">
        <f>VLOOKUP(A316,Classification!A:D,2,FALSE)</f>
        <v>B1</v>
      </c>
      <c r="E316" s="5" t="str">
        <f>VLOOKUP(A316,Seqs!A:B,2,FALSE)</f>
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</c>
      <c r="F316" s="5" t="str">
        <f t="shared" si="101"/>
        <v>FLTNETREREVFDRLGMIYTVGYSVSLASLTVAVLILAYF</v>
      </c>
      <c r="G316" s="4" t="str">
        <f t="shared" si="102"/>
        <v>RRLH</v>
      </c>
      <c r="H316" s="4" t="str">
        <f t="shared" si="103"/>
        <v>CTRNYIHMHLFLSFMLRAVSIFVKDAVLYSGAT</v>
      </c>
      <c r="I316" s="4" t="str">
        <f t="shared" si="104"/>
        <v/>
      </c>
      <c r="J316" s="4" t="str">
        <f t="shared" si="105"/>
        <v>GYAGCRVAVTFFLYFLATNYYWILVEGLYLHSLIFM</v>
      </c>
      <c r="K316" s="4" t="str">
        <f t="shared" si="106"/>
        <v/>
      </c>
      <c r="L316" s="4" t="str">
        <f t="shared" si="107"/>
        <v>SEKKYLWGFTVFGWGLPAVFVAVWVSVRATLA</v>
      </c>
      <c r="M316" s="4" t="str">
        <f t="shared" si="108"/>
        <v>CWD</v>
      </c>
      <c r="N316" s="4" t="str">
        <f t="shared" si="109"/>
        <v>GNKKWIIQVPILASIVLNFILFINIVRVLATKL</v>
      </c>
      <c r="O316" s="4" t="str">
        <f t="shared" si="110"/>
        <v>DTRQQYRKLLKSTLVLMPLFGVHYIVFMAT</v>
      </c>
      <c r="P316" s="4" t="str">
        <f t="shared" si="111"/>
        <v>GTLWQVQMHYEMLFNSFQGFFVAIIYCFC</v>
      </c>
      <c r="Q316" s="4" t="str">
        <f t="shared" si="112"/>
        <v>NGEVQAEIKKSWSRWTLALDFKRKAR</v>
      </c>
      <c r="R316" s="5">
        <f>VLOOKUP($A316,'SegEnds_NonXtal_Prot#'!$A:$AL,3,FALSE)</f>
        <v>173</v>
      </c>
      <c r="S316" s="5">
        <f>VLOOKUP($A316,'SegEnds_NonXtal_Prot#'!$A:$AL,6,FALSE)</f>
        <v>213</v>
      </c>
      <c r="T316" s="5">
        <f>VLOOKUP($A316,'SegEnds_NonXtal_Prot#'!$A:$AL,9,FALSE)</f>
        <v>217</v>
      </c>
      <c r="U316" s="5" t="str">
        <f>VLOOKUP($A316,'SegEnds_NonXtal_Prot#'!$A:$AL,12,FALSE)</f>
        <v>-</v>
      </c>
      <c r="V316" s="5">
        <f>VLOOKUP($A316,'SegEnds_NonXtal_Prot#'!$A:$AL,15,FALSE)</f>
        <v>277</v>
      </c>
      <c r="W316" s="5" t="str">
        <f>VLOOKUP($A316,'SegEnds_NonXtal_Prot#'!$A:$AL,18,FALSE)</f>
        <v>-</v>
      </c>
      <c r="X316" s="5">
        <f>VLOOKUP($A316,'SegEnds_NonXtal_Prot#'!$A:$AL,21,FALSE)</f>
        <v>316</v>
      </c>
      <c r="Y316" s="5">
        <f>VLOOKUP($A316,'SegEnds_NonXtal_Prot#'!$A:$AL,24,FALSE)</f>
        <v>351</v>
      </c>
      <c r="Z316" s="5">
        <f>VLOOKUP($A316,'SegEnds_NonXtal_Prot#'!$A:$AL,27,FALSE)</f>
        <v>357</v>
      </c>
      <c r="AA316" s="5">
        <f>VLOOKUP($A316,'SegEnds_NonXtal_Prot#'!$A:$AL,30,FALSE)</f>
        <v>398</v>
      </c>
      <c r="AB316" s="5">
        <f>VLOOKUP($A316,'SegEnds_NonXtal_Prot#'!$A:$AL,33,FALSE)</f>
        <v>434</v>
      </c>
      <c r="AC316" s="5">
        <f>VLOOKUP($A316,'SegEnds_NonXtal_Prot#'!$A:$AL,36,FALSE)</f>
        <v>463</v>
      </c>
      <c r="AD316" s="5">
        <f>VLOOKUP($A316,'SegEnds_NonXtal_Prot#'!$A:$AL,5,FALSE)</f>
        <v>212</v>
      </c>
      <c r="AE316" s="5">
        <f>VLOOKUP($A316,'SegEnds_NonXtal_Prot#'!$A:$AL,8,FALSE)</f>
        <v>216</v>
      </c>
      <c r="AF316" s="5">
        <f>VLOOKUP($A316,'SegEnds_NonXtal_Prot#'!$A:$AL,11,FALSE)</f>
        <v>249</v>
      </c>
      <c r="AG316" s="5" t="str">
        <f>VLOOKUP($A316,'SegEnds_NonXtal_Prot#'!$A:$AL,14,FALSE)</f>
        <v>-</v>
      </c>
      <c r="AH316" s="5">
        <f>VLOOKUP($A316,'SegEnds_NonXtal_Prot#'!$A:$AL,17,FALSE)</f>
        <v>312</v>
      </c>
      <c r="AI316" s="5" t="str">
        <f>VLOOKUP($A316,'SegEnds_NonXtal_Prot#'!$A:$AL,20,FALSE)</f>
        <v>-</v>
      </c>
      <c r="AJ316" s="5">
        <f>VLOOKUP($A316,'SegEnds_NonXtal_Prot#'!$A:$AL,23,FALSE)</f>
        <v>347</v>
      </c>
      <c r="AK316" s="5">
        <f>VLOOKUP($A316,'SegEnds_NonXtal_Prot#'!$A:$AL,26,FALSE)</f>
        <v>353</v>
      </c>
      <c r="AL316" s="5">
        <f>VLOOKUP($A316,'SegEnds_NonXtal_Prot#'!$A:$AL,29,FALSE)</f>
        <v>389</v>
      </c>
      <c r="AM316" s="5">
        <f>VLOOKUP($A316,'SegEnds_NonXtal_Prot#'!$A:$AL,32,FALSE)</f>
        <v>427</v>
      </c>
      <c r="AN316" s="5">
        <f>VLOOKUP($A316,'SegEnds_NonXtal_Prot#'!$A:$AL,35,FALSE)</f>
        <v>462</v>
      </c>
      <c r="AO316" s="5">
        <f>VLOOKUP($A316,'SegEnds_NonXtal_Prot#'!$A:$AL,38,FALSE)</f>
        <v>488</v>
      </c>
      <c r="AP316" s="5">
        <f t="shared" si="113"/>
        <v>39</v>
      </c>
      <c r="AQ316" s="4">
        <f t="shared" si="114"/>
        <v>3</v>
      </c>
      <c r="AR316" s="4">
        <f t="shared" si="115"/>
        <v>32</v>
      </c>
      <c r="AS316" s="4" t="str">
        <f t="shared" si="116"/>
        <v>-</v>
      </c>
      <c r="AT316" s="4">
        <f t="shared" si="117"/>
        <v>35</v>
      </c>
      <c r="AU316" s="4" t="str">
        <f t="shared" si="118"/>
        <v>-</v>
      </c>
      <c r="AV316" s="4">
        <f t="shared" si="119"/>
        <v>31</v>
      </c>
      <c r="AW316" s="4">
        <f t="shared" si="120"/>
        <v>2</v>
      </c>
      <c r="AX316" s="4">
        <f t="shared" si="121"/>
        <v>32</v>
      </c>
      <c r="AY316" s="4">
        <f t="shared" si="122"/>
        <v>29</v>
      </c>
      <c r="AZ316" s="4">
        <f t="shared" si="123"/>
        <v>28</v>
      </c>
      <c r="BA316" s="4">
        <f t="shared" si="124"/>
        <v>25</v>
      </c>
    </row>
    <row r="317" spans="1:53" x14ac:dyDescent="0.2">
      <c r="A317" s="1" t="str">
        <f>'SegEnds_NonXtal_Prot#'!A315</f>
        <v>pth2r_human</v>
      </c>
      <c r="B317" s="1" t="str">
        <f t="shared" si="100"/>
        <v>QPDISIGKQEFFERLYVMYTVGYSISFGSLAVAILIIGYFCTRNYIHMHLFVSFMLRATSIFVKDRVVHAHIGQYIGCKIAVVMFIYFLATNYYWILVEGLYLHNLIFVSDTKYLWGFILIGWGFPAAFVAAWAVARATLAGDIKWIYQAPILAAIGLNFILFLNTVRVLATKIDTRKQYRKLAKSTLVLVLVFGVHYIVFVCLGLGWEIRMHCELFFNSFQGFFVSIIYCYCNGEVQAEVKKMWSRWNLSVDWKRTPP</v>
      </c>
      <c r="C317" s="29" t="str">
        <f>IF(ISERROR(MATCH(A317,'SegEnds_Xtal_Prot#'!B:B, 0)), "NoXtal", "Xtal")</f>
        <v>NoXtal</v>
      </c>
      <c r="D317" s="4" t="str">
        <f>VLOOKUP(A317,Classification!A:D,2,FALSE)</f>
        <v>B1</v>
      </c>
      <c r="E317" s="5" t="str">
        <f>VLOOKUP(A317,Seqs!A:B,2,FALSE)</f>
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</c>
      <c r="F317" s="5" t="str">
        <f t="shared" si="101"/>
        <v>QPDISIGKQEFFERLYVMYTVGYSISFGSLAVAILIIGYF</v>
      </c>
      <c r="G317" s="4" t="str">
        <f t="shared" si="102"/>
        <v>RRLH</v>
      </c>
      <c r="H317" s="4" t="str">
        <f t="shared" si="103"/>
        <v>CTRNYIHMHLFVSFMLRATSIFVKDRVVHAHIG</v>
      </c>
      <c r="I317" s="4" t="str">
        <f t="shared" si="104"/>
        <v/>
      </c>
      <c r="J317" s="4" t="str">
        <f t="shared" si="105"/>
        <v>QYIGCKIAVVMFIYFLATNYYWILVEGLYLHNLIFV</v>
      </c>
      <c r="K317" s="4" t="str">
        <f t="shared" si="106"/>
        <v/>
      </c>
      <c r="L317" s="4" t="str">
        <f t="shared" si="107"/>
        <v>SDTKYLWGFILIGWGFPAAFVAAWAVARATLA</v>
      </c>
      <c r="M317" s="4" t="str">
        <f t="shared" si="108"/>
        <v>CWE</v>
      </c>
      <c r="N317" s="4" t="str">
        <f t="shared" si="109"/>
        <v>GDIKWIYQAPILAAIGLNFILFLNTVRVLATKI</v>
      </c>
      <c r="O317" s="4" t="str">
        <f t="shared" si="110"/>
        <v>DTRKQYRKLAKSTLVLVLVFGVHYIVFVCL</v>
      </c>
      <c r="P317" s="4" t="str">
        <f t="shared" si="111"/>
        <v>GLGWEIRMHCELFFNSFQGFFVSIIYCYC</v>
      </c>
      <c r="Q317" s="4" t="str">
        <f t="shared" si="112"/>
        <v>NGEVQAEVKKMWSRWNLSVDWKRTPP</v>
      </c>
      <c r="R317" s="5">
        <f>VLOOKUP($A317,'SegEnds_NonXtal_Prot#'!$A:$AL,3,FALSE)</f>
        <v>130</v>
      </c>
      <c r="S317" s="5">
        <f>VLOOKUP($A317,'SegEnds_NonXtal_Prot#'!$A:$AL,6,FALSE)</f>
        <v>170</v>
      </c>
      <c r="T317" s="5">
        <f>VLOOKUP($A317,'SegEnds_NonXtal_Prot#'!$A:$AL,9,FALSE)</f>
        <v>174</v>
      </c>
      <c r="U317" s="5" t="str">
        <f>VLOOKUP($A317,'SegEnds_NonXtal_Prot#'!$A:$AL,12,FALSE)</f>
        <v>-</v>
      </c>
      <c r="V317" s="5">
        <f>VLOOKUP($A317,'SegEnds_NonXtal_Prot#'!$A:$AL,15,FALSE)</f>
        <v>232</v>
      </c>
      <c r="W317" s="5" t="str">
        <f>VLOOKUP($A317,'SegEnds_NonXtal_Prot#'!$A:$AL,18,FALSE)</f>
        <v>-</v>
      </c>
      <c r="X317" s="5">
        <f>VLOOKUP($A317,'SegEnds_NonXtal_Prot#'!$A:$AL,21,FALSE)</f>
        <v>271</v>
      </c>
      <c r="Y317" s="5">
        <f>VLOOKUP($A317,'SegEnds_NonXtal_Prot#'!$A:$AL,24,FALSE)</f>
        <v>306</v>
      </c>
      <c r="Z317" s="5">
        <f>VLOOKUP($A317,'SegEnds_NonXtal_Prot#'!$A:$AL,27,FALSE)</f>
        <v>312</v>
      </c>
      <c r="AA317" s="5">
        <f>VLOOKUP($A317,'SegEnds_NonXtal_Prot#'!$A:$AL,30,FALSE)</f>
        <v>353</v>
      </c>
      <c r="AB317" s="5">
        <f>VLOOKUP($A317,'SegEnds_NonXtal_Prot#'!$A:$AL,33,FALSE)</f>
        <v>388</v>
      </c>
      <c r="AC317" s="5">
        <f>VLOOKUP($A317,'SegEnds_NonXtal_Prot#'!$A:$AL,36,FALSE)</f>
        <v>417</v>
      </c>
      <c r="AD317" s="5">
        <f>VLOOKUP($A317,'SegEnds_NonXtal_Prot#'!$A:$AL,5,FALSE)</f>
        <v>169</v>
      </c>
      <c r="AE317" s="5">
        <f>VLOOKUP($A317,'SegEnds_NonXtal_Prot#'!$A:$AL,8,FALSE)</f>
        <v>173</v>
      </c>
      <c r="AF317" s="5">
        <f>VLOOKUP($A317,'SegEnds_NonXtal_Prot#'!$A:$AL,11,FALSE)</f>
        <v>206</v>
      </c>
      <c r="AG317" s="5" t="str">
        <f>VLOOKUP($A317,'SegEnds_NonXtal_Prot#'!$A:$AL,14,FALSE)</f>
        <v>-</v>
      </c>
      <c r="AH317" s="5">
        <f>VLOOKUP($A317,'SegEnds_NonXtal_Prot#'!$A:$AL,17,FALSE)</f>
        <v>267</v>
      </c>
      <c r="AI317" s="5" t="str">
        <f>VLOOKUP($A317,'SegEnds_NonXtal_Prot#'!$A:$AL,20,FALSE)</f>
        <v>-</v>
      </c>
      <c r="AJ317" s="5">
        <f>VLOOKUP($A317,'SegEnds_NonXtal_Prot#'!$A:$AL,23,FALSE)</f>
        <v>302</v>
      </c>
      <c r="AK317" s="5">
        <f>VLOOKUP($A317,'SegEnds_NonXtal_Prot#'!$A:$AL,26,FALSE)</f>
        <v>308</v>
      </c>
      <c r="AL317" s="5">
        <f>VLOOKUP($A317,'SegEnds_NonXtal_Prot#'!$A:$AL,29,FALSE)</f>
        <v>344</v>
      </c>
      <c r="AM317" s="5">
        <f>VLOOKUP($A317,'SegEnds_NonXtal_Prot#'!$A:$AL,32,FALSE)</f>
        <v>382</v>
      </c>
      <c r="AN317" s="5">
        <f>VLOOKUP($A317,'SegEnds_NonXtal_Prot#'!$A:$AL,35,FALSE)</f>
        <v>416</v>
      </c>
      <c r="AO317" s="5">
        <f>VLOOKUP($A317,'SegEnds_NonXtal_Prot#'!$A:$AL,38,FALSE)</f>
        <v>442</v>
      </c>
      <c r="AP317" s="5">
        <f t="shared" si="113"/>
        <v>39</v>
      </c>
      <c r="AQ317" s="4">
        <f t="shared" si="114"/>
        <v>3</v>
      </c>
      <c r="AR317" s="4">
        <f t="shared" si="115"/>
        <v>32</v>
      </c>
      <c r="AS317" s="4" t="str">
        <f t="shared" si="116"/>
        <v>-</v>
      </c>
      <c r="AT317" s="4">
        <f t="shared" si="117"/>
        <v>35</v>
      </c>
      <c r="AU317" s="4" t="str">
        <f t="shared" si="118"/>
        <v>-</v>
      </c>
      <c r="AV317" s="4">
        <f t="shared" si="119"/>
        <v>31</v>
      </c>
      <c r="AW317" s="4">
        <f t="shared" si="120"/>
        <v>2</v>
      </c>
      <c r="AX317" s="4">
        <f t="shared" si="121"/>
        <v>32</v>
      </c>
      <c r="AY317" s="4">
        <f t="shared" si="122"/>
        <v>29</v>
      </c>
      <c r="AZ317" s="4">
        <f t="shared" si="123"/>
        <v>28</v>
      </c>
      <c r="BA317" s="4">
        <f t="shared" si="124"/>
        <v>25</v>
      </c>
    </row>
    <row r="318" spans="1:53" x14ac:dyDescent="0.2">
      <c r="A318" s="1" t="str">
        <f>'SegEnds_NonXtal_Prot#'!A316</f>
        <v>sctr_human</v>
      </c>
      <c r="B318" s="1" t="str">
        <f t="shared" si="100"/>
        <v>NDSSNEKRHSYLLKLKVMYTVGYSSSLVMLLVALGILCAFCTRNYIHMHLFVSFILRALSNFIKDAVLRAGCKLVMVLFQYCIMANYSWLLVEGLYLHTLLAIKYLQGFVAFGWGSPAIFVALWAIARHFLENASIWWIIRGPVILSILINFILFINILRILMRKLNEVSHYKRLARSTLLLIPLFGIHYIVFAFSMEIQLFFELALGSFQGLVVAVLYCFLNGEVQLEVQKKWQQWHLREFPLHPVA</v>
      </c>
      <c r="C318" s="29" t="str">
        <f>IF(ISERROR(MATCH(A318,'SegEnds_Xtal_Prot#'!B:B, 0)), "NoXtal", "Xtal")</f>
        <v>NoXtal</v>
      </c>
      <c r="D318" s="4" t="str">
        <f>VLOOKUP(A318,Classification!A:D,2,FALSE)</f>
        <v>B1</v>
      </c>
      <c r="E318" s="5" t="str">
        <f>VLOOKUP(A318,Seqs!A:B,2,FALSE)</f>
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</c>
      <c r="F318" s="5" t="str">
        <f t="shared" si="101"/>
        <v>NDSSNEKRHSYLLKLKVMYTVGYSSSLVMLLVALGILCAF</v>
      </c>
      <c r="G318" s="4" t="str">
        <f t="shared" si="102"/>
        <v>RRLH</v>
      </c>
      <c r="H318" s="4" t="str">
        <f t="shared" si="103"/>
        <v>CTRNYIHMHLFVSFILRALSNFIKDAVL</v>
      </c>
      <c r="I318" s="4" t="str">
        <f t="shared" si="104"/>
        <v/>
      </c>
      <c r="J318" s="4" t="str">
        <f t="shared" si="105"/>
        <v>RAGCKLVMVLFQYCIMANYSWLLVEGLYLHTLLAI</v>
      </c>
      <c r="K318" s="4" t="str">
        <f t="shared" si="106"/>
        <v/>
      </c>
      <c r="L318" s="4" t="str">
        <f t="shared" si="107"/>
        <v>KYLQGFVAFGWGSPAIFVALWAIARHFLE</v>
      </c>
      <c r="M318" s="4" t="str">
        <f t="shared" si="108"/>
        <v>CWD</v>
      </c>
      <c r="N318" s="4" t="str">
        <f t="shared" si="109"/>
        <v>NASIWWIIRGPVILSILINFILFINILRILMRKL</v>
      </c>
      <c r="O318" s="4" t="str">
        <f t="shared" si="110"/>
        <v>NEVSHYKRLARSTLLLIPLFGIHYIVFAFS</v>
      </c>
      <c r="P318" s="4" t="str">
        <f t="shared" si="111"/>
        <v>MEIQLFFELALGSFQGLVVAVLYCFL</v>
      </c>
      <c r="Q318" s="4" t="str">
        <f t="shared" si="112"/>
        <v>NGEVQLEVQKKWQQWHLREFPLHPVA</v>
      </c>
      <c r="R318" s="5">
        <f>VLOOKUP($A318,'SegEnds_NonXtal_Prot#'!$A:$AL,3,FALSE)</f>
        <v>128</v>
      </c>
      <c r="S318" s="5">
        <f>VLOOKUP($A318,'SegEnds_NonXtal_Prot#'!$A:$AL,6,FALSE)</f>
        <v>168</v>
      </c>
      <c r="T318" s="5">
        <f>VLOOKUP($A318,'SegEnds_NonXtal_Prot#'!$A:$AL,9,FALSE)</f>
        <v>172</v>
      </c>
      <c r="U318" s="5" t="str">
        <f>VLOOKUP($A318,'SegEnds_NonXtal_Prot#'!$A:$AL,12,FALSE)</f>
        <v>-</v>
      </c>
      <c r="V318" s="5">
        <f>VLOOKUP($A318,'SegEnds_NonXtal_Prot#'!$A:$AL,15,FALSE)</f>
        <v>212</v>
      </c>
      <c r="W318" s="5" t="str">
        <f>VLOOKUP($A318,'SegEnds_NonXtal_Prot#'!$A:$AL,18,FALSE)</f>
        <v>-</v>
      </c>
      <c r="X318" s="5">
        <f>VLOOKUP($A318,'SegEnds_NonXtal_Prot#'!$A:$AL,21,FALSE)</f>
        <v>253</v>
      </c>
      <c r="Y318" s="5">
        <f>VLOOKUP($A318,'SegEnds_NonXtal_Prot#'!$A:$AL,24,FALSE)</f>
        <v>285</v>
      </c>
      <c r="Z318" s="5">
        <f>VLOOKUP($A318,'SegEnds_NonXtal_Prot#'!$A:$AL,27,FALSE)</f>
        <v>291</v>
      </c>
      <c r="AA318" s="5">
        <f>VLOOKUP($A318,'SegEnds_NonXtal_Prot#'!$A:$AL,30,FALSE)</f>
        <v>332</v>
      </c>
      <c r="AB318" s="5">
        <f>VLOOKUP($A318,'SegEnds_NonXtal_Prot#'!$A:$AL,33,FALSE)</f>
        <v>366</v>
      </c>
      <c r="AC318" s="5">
        <f>VLOOKUP($A318,'SegEnds_NonXtal_Prot#'!$A:$AL,36,FALSE)</f>
        <v>392</v>
      </c>
      <c r="AD318" s="5">
        <f>VLOOKUP($A318,'SegEnds_NonXtal_Prot#'!$A:$AL,5,FALSE)</f>
        <v>167</v>
      </c>
      <c r="AE318" s="5">
        <f>VLOOKUP($A318,'SegEnds_NonXtal_Prot#'!$A:$AL,8,FALSE)</f>
        <v>171</v>
      </c>
      <c r="AF318" s="5">
        <f>VLOOKUP($A318,'SegEnds_NonXtal_Prot#'!$A:$AL,11,FALSE)</f>
        <v>199</v>
      </c>
      <c r="AG318" s="5" t="str">
        <f>VLOOKUP($A318,'SegEnds_NonXtal_Prot#'!$A:$AL,14,FALSE)</f>
        <v>-</v>
      </c>
      <c r="AH318" s="5">
        <f>VLOOKUP($A318,'SegEnds_NonXtal_Prot#'!$A:$AL,17,FALSE)</f>
        <v>246</v>
      </c>
      <c r="AI318" s="5" t="str">
        <f>VLOOKUP($A318,'SegEnds_NonXtal_Prot#'!$A:$AL,20,FALSE)</f>
        <v>-</v>
      </c>
      <c r="AJ318" s="5">
        <f>VLOOKUP($A318,'SegEnds_NonXtal_Prot#'!$A:$AL,23,FALSE)</f>
        <v>281</v>
      </c>
      <c r="AK318" s="5">
        <f>VLOOKUP($A318,'SegEnds_NonXtal_Prot#'!$A:$AL,26,FALSE)</f>
        <v>287</v>
      </c>
      <c r="AL318" s="5">
        <f>VLOOKUP($A318,'SegEnds_NonXtal_Prot#'!$A:$AL,29,FALSE)</f>
        <v>324</v>
      </c>
      <c r="AM318" s="5">
        <f>VLOOKUP($A318,'SegEnds_NonXtal_Prot#'!$A:$AL,32,FALSE)</f>
        <v>361</v>
      </c>
      <c r="AN318" s="5">
        <f>VLOOKUP($A318,'SegEnds_NonXtal_Prot#'!$A:$AL,35,FALSE)</f>
        <v>391</v>
      </c>
      <c r="AO318" s="5">
        <f>VLOOKUP($A318,'SegEnds_NonXtal_Prot#'!$A:$AL,38,FALSE)</f>
        <v>417</v>
      </c>
      <c r="AP318" s="5">
        <f t="shared" si="113"/>
        <v>39</v>
      </c>
      <c r="AQ318" s="4">
        <f t="shared" si="114"/>
        <v>3</v>
      </c>
      <c r="AR318" s="4">
        <f t="shared" si="115"/>
        <v>27</v>
      </c>
      <c r="AS318" s="4" t="str">
        <f t="shared" si="116"/>
        <v>-</v>
      </c>
      <c r="AT318" s="4">
        <f t="shared" si="117"/>
        <v>34</v>
      </c>
      <c r="AU318" s="4" t="str">
        <f t="shared" si="118"/>
        <v>-</v>
      </c>
      <c r="AV318" s="4">
        <f t="shared" si="119"/>
        <v>28</v>
      </c>
      <c r="AW318" s="4">
        <f t="shared" si="120"/>
        <v>2</v>
      </c>
      <c r="AX318" s="4">
        <f t="shared" si="121"/>
        <v>33</v>
      </c>
      <c r="AY318" s="4">
        <f t="shared" si="122"/>
        <v>29</v>
      </c>
      <c r="AZ318" s="4">
        <f t="shared" si="123"/>
        <v>25</v>
      </c>
      <c r="BA318" s="4">
        <f t="shared" si="124"/>
        <v>25</v>
      </c>
    </row>
    <row r="319" spans="1:53" x14ac:dyDescent="0.2">
      <c r="A319" s="1" t="str">
        <f>'SegEnds_NonXtal_Prot#'!A317</f>
        <v>vipr1_human</v>
      </c>
      <c r="B319" s="1" t="str">
        <f t="shared" si="100"/>
        <v>AASLDEQQTMFYGSVKTGYTIGYGLSLATLLVATAILSLFCTRNYIHMHLFISFILRAAAVFIKDLALSVGCKAAMVFFQYCVMANFFWLLVEGLYLYTLLAVKYFWGYILIGWGVPSTFTMVWTIARIHFENSSLWWIIKGPILTSILVNFILFICIIRILLQKLSDSSPYSRLARSTLLLIPLFGVHYIMFAFFPEVKMVFELVVGSFQGFVVAILYCFLNGEVQAELRRKWRRWHLQGVLGWNPK</v>
      </c>
      <c r="C319" s="29" t="str">
        <f>IF(ISERROR(MATCH(A319,'SegEnds_Xtal_Prot#'!B:B, 0)), "NoXtal", "Xtal")</f>
        <v>NoXtal</v>
      </c>
      <c r="D319" s="4" t="str">
        <f>VLOOKUP(A319,Classification!A:D,2,FALSE)</f>
        <v>B1</v>
      </c>
      <c r="E319" s="5" t="str">
        <f>VLOOKUP(A319,Seqs!A:B,2,FALSE)</f>
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</c>
      <c r="F319" s="5" t="str">
        <f t="shared" si="101"/>
        <v>AASLDEQQTMFYGSVKTGYTIGYGLSLATLLVATAILSLF</v>
      </c>
      <c r="G319" s="4" t="str">
        <f t="shared" si="102"/>
        <v>RKLH</v>
      </c>
      <c r="H319" s="4" t="str">
        <f t="shared" si="103"/>
        <v>CTRNYIHMHLFISFILRAAAVFIKDLAL</v>
      </c>
      <c r="I319" s="4" t="str">
        <f t="shared" si="104"/>
        <v/>
      </c>
      <c r="J319" s="4" t="str">
        <f t="shared" si="105"/>
        <v>SVGCKAAMVFFQYCVMANFFWLLVEGLYLYTLLAV</v>
      </c>
      <c r="K319" s="4" t="str">
        <f t="shared" si="106"/>
        <v/>
      </c>
      <c r="L319" s="4" t="str">
        <f t="shared" si="107"/>
        <v>KYFWGYILIGWGVPSTFTMVWTIARIHFE</v>
      </c>
      <c r="M319" s="4" t="str">
        <f t="shared" si="108"/>
        <v>CWD</v>
      </c>
      <c r="N319" s="4" t="str">
        <f t="shared" si="109"/>
        <v>NSSLWWIIKGPILTSILVNFILFICIIRILLQKL</v>
      </c>
      <c r="O319" s="4" t="str">
        <f t="shared" si="110"/>
        <v>SDSSPYSRLARSTLLLIPLFGVHYIMFAFF</v>
      </c>
      <c r="P319" s="4" t="str">
        <f t="shared" si="111"/>
        <v>PEVKMVFELVVGSFQGFVVAILYCFL</v>
      </c>
      <c r="Q319" s="4" t="str">
        <f t="shared" si="112"/>
        <v>NGEVQAELRRKWRRWHLQGVLGWNPK</v>
      </c>
      <c r="R319" s="5">
        <f>VLOOKUP($A319,'SegEnds_NonXtal_Prot#'!$A:$AL,3,FALSE)</f>
        <v>128</v>
      </c>
      <c r="S319" s="5">
        <f>VLOOKUP($A319,'SegEnds_NonXtal_Prot#'!$A:$AL,6,FALSE)</f>
        <v>168</v>
      </c>
      <c r="T319" s="5">
        <f>VLOOKUP($A319,'SegEnds_NonXtal_Prot#'!$A:$AL,9,FALSE)</f>
        <v>172</v>
      </c>
      <c r="U319" s="5" t="str">
        <f>VLOOKUP($A319,'SegEnds_NonXtal_Prot#'!$A:$AL,12,FALSE)</f>
        <v>-</v>
      </c>
      <c r="V319" s="5">
        <f>VLOOKUP($A319,'SegEnds_NonXtal_Prot#'!$A:$AL,15,FALSE)</f>
        <v>212</v>
      </c>
      <c r="W319" s="5" t="str">
        <f>VLOOKUP($A319,'SegEnds_NonXtal_Prot#'!$A:$AL,18,FALSE)</f>
        <v>-</v>
      </c>
      <c r="X319" s="5">
        <f>VLOOKUP($A319,'SegEnds_NonXtal_Prot#'!$A:$AL,21,FALSE)</f>
        <v>253</v>
      </c>
      <c r="Y319" s="5">
        <f>VLOOKUP($A319,'SegEnds_NonXtal_Prot#'!$A:$AL,24,FALSE)</f>
        <v>285</v>
      </c>
      <c r="Z319" s="5">
        <f>VLOOKUP($A319,'SegEnds_NonXtal_Prot#'!$A:$AL,27,FALSE)</f>
        <v>290</v>
      </c>
      <c r="AA319" s="5">
        <f>VLOOKUP($A319,'SegEnds_NonXtal_Prot#'!$A:$AL,30,FALSE)</f>
        <v>331</v>
      </c>
      <c r="AB319" s="5">
        <f>VLOOKUP($A319,'SegEnds_NonXtal_Prot#'!$A:$AL,33,FALSE)</f>
        <v>366</v>
      </c>
      <c r="AC319" s="5">
        <f>VLOOKUP($A319,'SegEnds_NonXtal_Prot#'!$A:$AL,36,FALSE)</f>
        <v>392</v>
      </c>
      <c r="AD319" s="5">
        <f>VLOOKUP($A319,'SegEnds_NonXtal_Prot#'!$A:$AL,5,FALSE)</f>
        <v>167</v>
      </c>
      <c r="AE319" s="5">
        <f>VLOOKUP($A319,'SegEnds_NonXtal_Prot#'!$A:$AL,8,FALSE)</f>
        <v>171</v>
      </c>
      <c r="AF319" s="5">
        <f>VLOOKUP($A319,'SegEnds_NonXtal_Prot#'!$A:$AL,11,FALSE)</f>
        <v>199</v>
      </c>
      <c r="AG319" s="5" t="str">
        <f>VLOOKUP($A319,'SegEnds_NonXtal_Prot#'!$A:$AL,14,FALSE)</f>
        <v>-</v>
      </c>
      <c r="AH319" s="5">
        <f>VLOOKUP($A319,'SegEnds_NonXtal_Prot#'!$A:$AL,17,FALSE)</f>
        <v>246</v>
      </c>
      <c r="AI319" s="5" t="str">
        <f>VLOOKUP($A319,'SegEnds_NonXtal_Prot#'!$A:$AL,20,FALSE)</f>
        <v>-</v>
      </c>
      <c r="AJ319" s="5">
        <f>VLOOKUP($A319,'SegEnds_NonXtal_Prot#'!$A:$AL,23,FALSE)</f>
        <v>281</v>
      </c>
      <c r="AK319" s="5">
        <f>VLOOKUP($A319,'SegEnds_NonXtal_Prot#'!$A:$AL,26,FALSE)</f>
        <v>287</v>
      </c>
      <c r="AL319" s="5">
        <f>VLOOKUP($A319,'SegEnds_NonXtal_Prot#'!$A:$AL,29,FALSE)</f>
        <v>323</v>
      </c>
      <c r="AM319" s="5">
        <f>VLOOKUP($A319,'SegEnds_NonXtal_Prot#'!$A:$AL,32,FALSE)</f>
        <v>360</v>
      </c>
      <c r="AN319" s="5">
        <f>VLOOKUP($A319,'SegEnds_NonXtal_Prot#'!$A:$AL,35,FALSE)</f>
        <v>391</v>
      </c>
      <c r="AO319" s="5">
        <f>VLOOKUP($A319,'SegEnds_NonXtal_Prot#'!$A:$AL,38,FALSE)</f>
        <v>417</v>
      </c>
      <c r="AP319" s="5">
        <f t="shared" si="113"/>
        <v>39</v>
      </c>
      <c r="AQ319" s="4">
        <f t="shared" si="114"/>
        <v>3</v>
      </c>
      <c r="AR319" s="4">
        <f t="shared" si="115"/>
        <v>27</v>
      </c>
      <c r="AS319" s="4" t="str">
        <f t="shared" si="116"/>
        <v>-</v>
      </c>
      <c r="AT319" s="4">
        <f t="shared" si="117"/>
        <v>34</v>
      </c>
      <c r="AU319" s="4" t="str">
        <f t="shared" si="118"/>
        <v>-</v>
      </c>
      <c r="AV319" s="4">
        <f t="shared" si="119"/>
        <v>28</v>
      </c>
      <c r="AW319" s="4">
        <f t="shared" si="120"/>
        <v>2</v>
      </c>
      <c r="AX319" s="4">
        <f t="shared" si="121"/>
        <v>33</v>
      </c>
      <c r="AY319" s="4">
        <f t="shared" si="122"/>
        <v>29</v>
      </c>
      <c r="AZ319" s="4">
        <f t="shared" si="123"/>
        <v>25</v>
      </c>
      <c r="BA319" s="4">
        <f t="shared" si="124"/>
        <v>25</v>
      </c>
    </row>
    <row r="320" spans="1:53" x14ac:dyDescent="0.2">
      <c r="A320" s="1" t="str">
        <f>'SegEnds_NonXtal_Prot#'!A318</f>
        <v>vipr2_human</v>
      </c>
      <c r="B320" s="1" t="str">
        <f t="shared" si="100"/>
        <v>SDPEDESKITFYILVKAIYTLGYSVSLMSLATGSIILCLFCTRNYIHLNLFLSFILRAISVLVKDDVLWVGCKLSLVFLQYCIMANFFWLLVEGLYLHTLLVARCFLAYLLIGWGLPTVCIGAWTAARLYLEHSVPWWVIRIPILISIIVNFVLFISIIRILLQKLNDQSQYKRLAKSTLLLIPLFGVHYMVFAVFSKYQILFELCLGSFQGLVVAVLYCFLNSEVQCELKRKWRSRCPTPSASRDYR</v>
      </c>
      <c r="C320" s="29" t="str">
        <f>IF(ISERROR(MATCH(A320,'SegEnds_Xtal_Prot#'!B:B, 0)), "NoXtal", "Xtal")</f>
        <v>NoXtal</v>
      </c>
      <c r="D320" s="4" t="str">
        <f>VLOOKUP(A320,Classification!A:D,2,FALSE)</f>
        <v>B1</v>
      </c>
      <c r="E320" s="5" t="str">
        <f>VLOOKUP(A320,Seqs!A:B,2,FALSE)</f>
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</c>
      <c r="F320" s="5" t="str">
        <f t="shared" si="101"/>
        <v>SDPEDESKITFYILVKAIYTLGYSVSLMSLATGSIILCLF</v>
      </c>
      <c r="G320" s="4" t="str">
        <f t="shared" si="102"/>
        <v>RKLH</v>
      </c>
      <c r="H320" s="4" t="str">
        <f t="shared" si="103"/>
        <v>CTRNYIHLNLFLSFILRAISVLVKDDVL</v>
      </c>
      <c r="I320" s="4" t="str">
        <f t="shared" si="104"/>
        <v/>
      </c>
      <c r="J320" s="4" t="str">
        <f t="shared" si="105"/>
        <v>WVGCKLSLVFLQYCIMANFFWLLVEGLYLHTLLVA</v>
      </c>
      <c r="K320" s="4" t="str">
        <f t="shared" si="106"/>
        <v/>
      </c>
      <c r="L320" s="4" t="str">
        <f t="shared" si="107"/>
        <v>RCFLAYLLIGWGLPTVCIGAWTAARLYLE</v>
      </c>
      <c r="M320" s="4" t="str">
        <f t="shared" si="108"/>
        <v>CWD</v>
      </c>
      <c r="N320" s="4" t="str">
        <f t="shared" si="109"/>
        <v>HSVPWWVIRIPILISIIVNFVLFISIIRILLQKL</v>
      </c>
      <c r="O320" s="4" t="str">
        <f t="shared" si="110"/>
        <v>NDQSQYKRLAKSTLLLIPLFGVHYMVFAVF</v>
      </c>
      <c r="P320" s="4" t="str">
        <f t="shared" si="111"/>
        <v>SKYQILFELCLGSFQGLVVAVLYCFL</v>
      </c>
      <c r="Q320" s="4" t="str">
        <f t="shared" si="112"/>
        <v>NSEVQCELKRKWRSRCPTPSASRDYR</v>
      </c>
      <c r="R320" s="5">
        <f>VLOOKUP($A320,'SegEnds_NonXtal_Prot#'!$A:$AL,3,FALSE)</f>
        <v>112</v>
      </c>
      <c r="S320" s="5">
        <f>VLOOKUP($A320,'SegEnds_NonXtal_Prot#'!$A:$AL,6,FALSE)</f>
        <v>152</v>
      </c>
      <c r="T320" s="5">
        <f>VLOOKUP($A320,'SegEnds_NonXtal_Prot#'!$A:$AL,9,FALSE)</f>
        <v>156</v>
      </c>
      <c r="U320" s="5" t="str">
        <f>VLOOKUP($A320,'SegEnds_NonXtal_Prot#'!$A:$AL,12,FALSE)</f>
        <v>-</v>
      </c>
      <c r="V320" s="5">
        <f>VLOOKUP($A320,'SegEnds_NonXtal_Prot#'!$A:$AL,15,FALSE)</f>
        <v>199</v>
      </c>
      <c r="W320" s="5" t="str">
        <f>VLOOKUP($A320,'SegEnds_NonXtal_Prot#'!$A:$AL,18,FALSE)</f>
        <v>-</v>
      </c>
      <c r="X320" s="5">
        <f>VLOOKUP($A320,'SegEnds_NonXtal_Prot#'!$A:$AL,21,FALSE)</f>
        <v>239</v>
      </c>
      <c r="Y320" s="5">
        <f>VLOOKUP($A320,'SegEnds_NonXtal_Prot#'!$A:$AL,24,FALSE)</f>
        <v>271</v>
      </c>
      <c r="Z320" s="5">
        <f>VLOOKUP($A320,'SegEnds_NonXtal_Prot#'!$A:$AL,27,FALSE)</f>
        <v>277</v>
      </c>
      <c r="AA320" s="5">
        <f>VLOOKUP($A320,'SegEnds_NonXtal_Prot#'!$A:$AL,30,FALSE)</f>
        <v>318</v>
      </c>
      <c r="AB320" s="5">
        <f>VLOOKUP($A320,'SegEnds_NonXtal_Prot#'!$A:$AL,33,FALSE)</f>
        <v>353</v>
      </c>
      <c r="AC320" s="5">
        <f>VLOOKUP($A320,'SegEnds_NonXtal_Prot#'!$A:$AL,36,FALSE)</f>
        <v>379</v>
      </c>
      <c r="AD320" s="5">
        <f>VLOOKUP($A320,'SegEnds_NonXtal_Prot#'!$A:$AL,5,FALSE)</f>
        <v>151</v>
      </c>
      <c r="AE320" s="5">
        <f>VLOOKUP($A320,'SegEnds_NonXtal_Prot#'!$A:$AL,8,FALSE)</f>
        <v>155</v>
      </c>
      <c r="AF320" s="5">
        <f>VLOOKUP($A320,'SegEnds_NonXtal_Prot#'!$A:$AL,11,FALSE)</f>
        <v>183</v>
      </c>
      <c r="AG320" s="5" t="str">
        <f>VLOOKUP($A320,'SegEnds_NonXtal_Prot#'!$A:$AL,14,FALSE)</f>
        <v>-</v>
      </c>
      <c r="AH320" s="5">
        <f>VLOOKUP($A320,'SegEnds_NonXtal_Prot#'!$A:$AL,17,FALSE)</f>
        <v>233</v>
      </c>
      <c r="AI320" s="5" t="str">
        <f>VLOOKUP($A320,'SegEnds_NonXtal_Prot#'!$A:$AL,20,FALSE)</f>
        <v>-</v>
      </c>
      <c r="AJ320" s="5">
        <f>VLOOKUP($A320,'SegEnds_NonXtal_Prot#'!$A:$AL,23,FALSE)</f>
        <v>267</v>
      </c>
      <c r="AK320" s="5">
        <f>VLOOKUP($A320,'SegEnds_NonXtal_Prot#'!$A:$AL,26,FALSE)</f>
        <v>273</v>
      </c>
      <c r="AL320" s="5">
        <f>VLOOKUP($A320,'SegEnds_NonXtal_Prot#'!$A:$AL,29,FALSE)</f>
        <v>310</v>
      </c>
      <c r="AM320" s="5">
        <f>VLOOKUP($A320,'SegEnds_NonXtal_Prot#'!$A:$AL,32,FALSE)</f>
        <v>347</v>
      </c>
      <c r="AN320" s="5">
        <f>VLOOKUP($A320,'SegEnds_NonXtal_Prot#'!$A:$AL,35,FALSE)</f>
        <v>378</v>
      </c>
      <c r="AO320" s="5">
        <f>VLOOKUP($A320,'SegEnds_NonXtal_Prot#'!$A:$AL,38,FALSE)</f>
        <v>404</v>
      </c>
      <c r="AP320" s="5">
        <f t="shared" si="113"/>
        <v>39</v>
      </c>
      <c r="AQ320" s="4">
        <f t="shared" si="114"/>
        <v>3</v>
      </c>
      <c r="AR320" s="4">
        <f t="shared" si="115"/>
        <v>27</v>
      </c>
      <c r="AS320" s="4" t="str">
        <f t="shared" si="116"/>
        <v>-</v>
      </c>
      <c r="AT320" s="4">
        <f t="shared" si="117"/>
        <v>34</v>
      </c>
      <c r="AU320" s="4" t="str">
        <f t="shared" si="118"/>
        <v>-</v>
      </c>
      <c r="AV320" s="4">
        <f t="shared" si="119"/>
        <v>28</v>
      </c>
      <c r="AW320" s="4">
        <f t="shared" si="120"/>
        <v>2</v>
      </c>
      <c r="AX320" s="4">
        <f t="shared" si="121"/>
        <v>33</v>
      </c>
      <c r="AY320" s="4">
        <f t="shared" si="122"/>
        <v>29</v>
      </c>
      <c r="AZ320" s="4">
        <f t="shared" si="123"/>
        <v>25</v>
      </c>
      <c r="BA320" s="4">
        <f t="shared" si="124"/>
        <v>25</v>
      </c>
    </row>
    <row r="321" spans="1:53" x14ac:dyDescent="0.2">
      <c r="A321" s="1" t="str">
        <f>'SegEnds_NonXtal_Prot#'!A319</f>
        <v>agra1_human</v>
      </c>
      <c r="B321" s="1" t="str">
        <f t="shared" si="100"/>
        <v>SLPRYPGEFLHPVVYACTAVMLLCLLASFVTYIVHQSAISRKGRHTLLNFCFHAALTFTVFAGGIILCQAVGIVLHYSTLSTMLWIGVTARNIYKQVTKQPLLRFYLVSGGVPFIICGVTAATNIRNYWEPSLGAFYGPAAIITLVTCVYFLGTYVQLRRHPSFQAQLRAAAFTLFLFTATWAFGALAFLDMVFSCLYGAFCVTLGLFVLIHHCAKREDVWQCWWACCPPRKD</v>
      </c>
      <c r="C321" s="29" t="str">
        <f>IF(ISERROR(MATCH(A321,'SegEnds_Xtal_Prot#'!B:B, 0)), "NoXtal", "Xtal")</f>
        <v>NoXtal</v>
      </c>
      <c r="D321" s="4" t="str">
        <f>VLOOKUP(A321,Classification!A:D,2,FALSE)</f>
        <v>B2</v>
      </c>
      <c r="E321" s="5" t="str">
        <f>VLOOKUP(A321,Seqs!A:B,2,FALSE)</f>
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</c>
      <c r="F321" s="5" t="str">
        <f t="shared" si="101"/>
        <v>SLPRYPGEFLHPVVYACTAVMLLCLLASFVTYIVHQSA</v>
      </c>
      <c r="G321" s="4" t="str">
        <f t="shared" si="102"/>
        <v/>
      </c>
      <c r="H321" s="4" t="str">
        <f t="shared" si="103"/>
        <v>ISRKGRHTLLNFCFHAALTFTVFAGGI</v>
      </c>
      <c r="I321" s="4" t="str">
        <f t="shared" si="104"/>
        <v/>
      </c>
      <c r="J321" s="4" t="str">
        <f t="shared" si="105"/>
        <v>ILCQAVGIVLHYSTLSTMLWIGVTARNIYKQVTK</v>
      </c>
      <c r="K321" s="4" t="str">
        <f t="shared" si="106"/>
        <v/>
      </c>
      <c r="L321" s="4" t="str">
        <f t="shared" si="107"/>
        <v>QPLLRFYLVSGGVPFIICGVTAATNIRNY</v>
      </c>
      <c r="M321" s="4" t="str">
        <f t="shared" si="108"/>
        <v>CWM</v>
      </c>
      <c r="N321" s="4" t="str">
        <f t="shared" si="109"/>
        <v>WEPSLGAFYGPAAIITLVTCVYFLGTYVQLRRHP</v>
      </c>
      <c r="O321" s="4" t="str">
        <f t="shared" si="110"/>
        <v>SFQAQLRAAAFTLFLFTATWAFGALA</v>
      </c>
      <c r="P321" s="4" t="str">
        <f t="shared" si="111"/>
        <v>FLDMVFSCLYGAFCVTLGLFVLIHHCAK</v>
      </c>
      <c r="Q321" s="4" t="str">
        <f t="shared" si="112"/>
        <v>REDVWQCWWACCPPRKD</v>
      </c>
      <c r="R321" s="5">
        <f>VLOOKUP($A321,'SegEnds_NonXtal_Prot#'!$A:$AL,3,FALSE)</f>
        <v>8</v>
      </c>
      <c r="S321" s="5" t="str">
        <f>VLOOKUP($A321,'SegEnds_NonXtal_Prot#'!$A:$AL,6,FALSE)</f>
        <v>-</v>
      </c>
      <c r="T321" s="5">
        <f>VLOOKUP($A321,'SegEnds_NonXtal_Prot#'!$A:$AL,9,FALSE)</f>
        <v>48</v>
      </c>
      <c r="U321" s="5" t="str">
        <f>VLOOKUP($A321,'SegEnds_NonXtal_Prot#'!$A:$AL,12,FALSE)</f>
        <v>-</v>
      </c>
      <c r="V321" s="5">
        <f>VLOOKUP($A321,'SegEnds_NonXtal_Prot#'!$A:$AL,15,FALSE)</f>
        <v>81</v>
      </c>
      <c r="W321" s="5" t="str">
        <f>VLOOKUP($A321,'SegEnds_NonXtal_Prot#'!$A:$AL,18,FALSE)</f>
        <v>-</v>
      </c>
      <c r="X321" s="5">
        <f>VLOOKUP($A321,'SegEnds_NonXtal_Prot#'!$A:$AL,21,FALSE)</f>
        <v>130</v>
      </c>
      <c r="Y321" s="5">
        <f>VLOOKUP($A321,'SegEnds_NonXtal_Prot#'!$A:$AL,24,FALSE)</f>
        <v>168</v>
      </c>
      <c r="Z321" s="5">
        <f>VLOOKUP($A321,'SegEnds_NonXtal_Prot#'!$A:$AL,27,FALSE)</f>
        <v>172</v>
      </c>
      <c r="AA321" s="5">
        <f>VLOOKUP($A321,'SegEnds_NonXtal_Prot#'!$A:$AL,30,FALSE)</f>
        <v>251</v>
      </c>
      <c r="AB321" s="5">
        <f>VLOOKUP($A321,'SegEnds_NonXtal_Prot#'!$A:$AL,33,FALSE)</f>
        <v>282</v>
      </c>
      <c r="AC321" s="5">
        <f>VLOOKUP($A321,'SegEnds_NonXtal_Prot#'!$A:$AL,36,FALSE)</f>
        <v>310</v>
      </c>
      <c r="AD321" s="5">
        <f>VLOOKUP($A321,'SegEnds_NonXtal_Prot#'!$A:$AL,5,FALSE)</f>
        <v>45</v>
      </c>
      <c r="AE321" s="5" t="str">
        <f>VLOOKUP($A321,'SegEnds_NonXtal_Prot#'!$A:$AL,8,FALSE)</f>
        <v>-</v>
      </c>
      <c r="AF321" s="5">
        <f>VLOOKUP($A321,'SegEnds_NonXtal_Prot#'!$A:$AL,11,FALSE)</f>
        <v>74</v>
      </c>
      <c r="AG321" s="5" t="str">
        <f>VLOOKUP($A321,'SegEnds_NonXtal_Prot#'!$A:$AL,14,FALSE)</f>
        <v>-</v>
      </c>
      <c r="AH321" s="5">
        <f>VLOOKUP($A321,'SegEnds_NonXtal_Prot#'!$A:$AL,17,FALSE)</f>
        <v>114</v>
      </c>
      <c r="AI321" s="5" t="str">
        <f>VLOOKUP($A321,'SegEnds_NonXtal_Prot#'!$A:$AL,20,FALSE)</f>
        <v>-</v>
      </c>
      <c r="AJ321" s="5">
        <f>VLOOKUP($A321,'SegEnds_NonXtal_Prot#'!$A:$AL,23,FALSE)</f>
        <v>158</v>
      </c>
      <c r="AK321" s="5">
        <f>VLOOKUP($A321,'SegEnds_NonXtal_Prot#'!$A:$AL,26,FALSE)</f>
        <v>170</v>
      </c>
      <c r="AL321" s="5">
        <f>VLOOKUP($A321,'SegEnds_NonXtal_Prot#'!$A:$AL,29,FALSE)</f>
        <v>205</v>
      </c>
      <c r="AM321" s="5">
        <f>VLOOKUP($A321,'SegEnds_NonXtal_Prot#'!$A:$AL,32,FALSE)</f>
        <v>276</v>
      </c>
      <c r="AN321" s="5">
        <f>VLOOKUP($A321,'SegEnds_NonXtal_Prot#'!$A:$AL,35,FALSE)</f>
        <v>309</v>
      </c>
      <c r="AO321" s="5">
        <f>VLOOKUP($A321,'SegEnds_NonXtal_Prot#'!$A:$AL,38,FALSE)</f>
        <v>326</v>
      </c>
      <c r="AP321" s="5">
        <f t="shared" si="113"/>
        <v>37</v>
      </c>
      <c r="AQ321" s="4" t="str">
        <f t="shared" si="114"/>
        <v>-</v>
      </c>
      <c r="AR321" s="4">
        <f t="shared" si="115"/>
        <v>26</v>
      </c>
      <c r="AS321" s="4" t="str">
        <f t="shared" si="116"/>
        <v>-</v>
      </c>
      <c r="AT321" s="4">
        <f t="shared" si="117"/>
        <v>33</v>
      </c>
      <c r="AU321" s="4" t="str">
        <f t="shared" si="118"/>
        <v>-</v>
      </c>
      <c r="AV321" s="4">
        <f t="shared" si="119"/>
        <v>28</v>
      </c>
      <c r="AW321" s="4">
        <f t="shared" si="120"/>
        <v>2</v>
      </c>
      <c r="AX321" s="4">
        <f t="shared" si="121"/>
        <v>33</v>
      </c>
      <c r="AY321" s="4">
        <f t="shared" si="122"/>
        <v>25</v>
      </c>
      <c r="AZ321" s="4">
        <f t="shared" si="123"/>
        <v>27</v>
      </c>
      <c r="BA321" s="4">
        <f t="shared" si="124"/>
        <v>16</v>
      </c>
    </row>
    <row r="322" spans="1:53" x14ac:dyDescent="0.2">
      <c r="A322" s="1" t="str">
        <f>'SegEnds_NonXtal_Prot#'!A320</f>
        <v>agra2_human</v>
      </c>
      <c r="B322" s="1" t="str">
        <f t="shared" ref="B322:B385" si="125">F322&amp;H322&amp;J322&amp;L322&amp;N322&amp;O322&amp;P322&amp;Q322</f>
        <v>REVGGAGAGLHPVVYPCTALLLLCLFATIITYILNHSSVSRKGWHMLLNLCFHIAMTSAVFAGGIMVCQAVGITLHYSSLSTLLWMGVKARVLHKELTWSPMLRFYLIAGGIPLIICGITAAVNIHNYWRPSLGAFYIPVALILLITWIYFLCAGLRLRGPLSPGVQLGALVTTHFLYLAMWACGALLPRVVCSCLYGVAASALGLFVFTHHCARRRDVRASWRACCPPASP</v>
      </c>
      <c r="C322" s="29" t="str">
        <f>IF(ISERROR(MATCH(A322,'SegEnds_Xtal_Prot#'!B:B, 0)), "NoXtal", "Xtal")</f>
        <v>NoXtal</v>
      </c>
      <c r="D322" s="4" t="str">
        <f>VLOOKUP(A322,Classification!A:D,2,FALSE)</f>
        <v>B2</v>
      </c>
      <c r="E322" s="5" t="str">
        <f>VLOOKUP(A322,Seqs!A:B,2,FALSE)</f>
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</c>
      <c r="F322" s="5" t="str">
        <f t="shared" ref="F322:F385" si="126">IFERROR(MID($E322,R322,(AP322+1)),"")</f>
        <v>REVGGAGAGLHPVVYPCTALLLLCLFATIITYILNHSS</v>
      </c>
      <c r="G322" s="4" t="str">
        <f t="shared" ref="G322:G385" si="127">IFERROR(MID($E322,S322,(AQ322+1)),"")</f>
        <v/>
      </c>
      <c r="H322" s="4" t="str">
        <f t="shared" ref="H322:H385" si="128">IFERROR(MID($E322,T322,(AR322+1)),"")</f>
        <v>VSRKGWHMLLNLCFHIAMTSAVFAGGI</v>
      </c>
      <c r="I322" s="4" t="str">
        <f t="shared" ref="I322:I385" si="129">IFERROR(MID($E322,U322,(AS322+1)),"")</f>
        <v/>
      </c>
      <c r="J322" s="4" t="str">
        <f t="shared" ref="J322:J385" si="130">IFERROR(MID($E322,V322,(AT322+1)),"")</f>
        <v>MVCQAVGITLHYSSLSTLLWMGVKARVLHKELTW</v>
      </c>
      <c r="K322" s="4" t="str">
        <f t="shared" ref="K322:K385" si="131">IFERROR(MID($E322,W322,(AU322+1)),"")</f>
        <v/>
      </c>
      <c r="L322" s="4" t="str">
        <f t="shared" ref="L322:L385" si="132">IFERROR(MID($E322,X322,(AV322+1)),"")</f>
        <v>SPMLRFYLIAGGIPLIICGITAAVNIHNY</v>
      </c>
      <c r="M322" s="4" t="str">
        <f t="shared" ref="M322:M385" si="133">IFERROR(MID($E322,Y322,(AW322+1)),"")</f>
        <v>CWL</v>
      </c>
      <c r="N322" s="4" t="str">
        <f t="shared" ref="N322:N385" si="134">IFERROR(MID($E322,Z322,(AX322+1)),"")</f>
        <v>WRPSLGAFYIPVALILLITWIYFLCAGLRLRGPL</v>
      </c>
      <c r="O322" s="4" t="str">
        <f t="shared" ref="O322:O385" si="135">IFERROR(MID($E322,AA322,(AY322+1)),"")</f>
        <v>SPGVQLGALVTTHFLYLAMWACGAL</v>
      </c>
      <c r="P322" s="4" t="str">
        <f t="shared" ref="P322:P385" si="136">IFERROR(MID($E322,AB322,(AZ322+1)),"")</f>
        <v>LPRVVCSCLYGVAASALGLFVFTHHCAR</v>
      </c>
      <c r="Q322" s="4" t="str">
        <f t="shared" ref="Q322:Q385" si="137">IFERROR(MID($E322,AC322,(BA322+1)),"")</f>
        <v>RRDVRASWRACCPPASP</v>
      </c>
      <c r="R322" s="5">
        <f>VLOOKUP($A322,'SegEnds_NonXtal_Prot#'!$A:$AL,3,FALSE)</f>
        <v>760</v>
      </c>
      <c r="S322" s="5" t="str">
        <f>VLOOKUP($A322,'SegEnds_NonXtal_Prot#'!$A:$AL,6,FALSE)</f>
        <v>-</v>
      </c>
      <c r="T322" s="5">
        <f>VLOOKUP($A322,'SegEnds_NonXtal_Prot#'!$A:$AL,9,FALSE)</f>
        <v>800</v>
      </c>
      <c r="U322" s="5" t="str">
        <f>VLOOKUP($A322,'SegEnds_NonXtal_Prot#'!$A:$AL,12,FALSE)</f>
        <v>-</v>
      </c>
      <c r="V322" s="5">
        <f>VLOOKUP($A322,'SegEnds_NonXtal_Prot#'!$A:$AL,15,FALSE)</f>
        <v>833</v>
      </c>
      <c r="W322" s="5" t="str">
        <f>VLOOKUP($A322,'SegEnds_NonXtal_Prot#'!$A:$AL,18,FALSE)</f>
        <v>-</v>
      </c>
      <c r="X322" s="5">
        <f>VLOOKUP($A322,'SegEnds_NonXtal_Prot#'!$A:$AL,21,FALSE)</f>
        <v>882</v>
      </c>
      <c r="Y322" s="5">
        <f>VLOOKUP($A322,'SegEnds_NonXtal_Prot#'!$A:$AL,24,FALSE)</f>
        <v>917</v>
      </c>
      <c r="Z322" s="5">
        <f>VLOOKUP($A322,'SegEnds_NonXtal_Prot#'!$A:$AL,27,FALSE)</f>
        <v>921</v>
      </c>
      <c r="AA322" s="5">
        <f>VLOOKUP($A322,'SegEnds_NonXtal_Prot#'!$A:$AL,30,FALSE)</f>
        <v>1014</v>
      </c>
      <c r="AB322" s="5">
        <f>VLOOKUP($A322,'SegEnds_NonXtal_Prot#'!$A:$AL,33,FALSE)</f>
        <v>1045</v>
      </c>
      <c r="AC322" s="5">
        <f>VLOOKUP($A322,'SegEnds_NonXtal_Prot#'!$A:$AL,36,FALSE)</f>
        <v>1073</v>
      </c>
      <c r="AD322" s="5">
        <f>VLOOKUP($A322,'SegEnds_NonXtal_Prot#'!$A:$AL,5,FALSE)</f>
        <v>797</v>
      </c>
      <c r="AE322" s="5" t="str">
        <f>VLOOKUP($A322,'SegEnds_NonXtal_Prot#'!$A:$AL,8,FALSE)</f>
        <v>-</v>
      </c>
      <c r="AF322" s="5">
        <f>VLOOKUP($A322,'SegEnds_NonXtal_Prot#'!$A:$AL,11,FALSE)</f>
        <v>826</v>
      </c>
      <c r="AG322" s="5" t="str">
        <f>VLOOKUP($A322,'SegEnds_NonXtal_Prot#'!$A:$AL,14,FALSE)</f>
        <v>-</v>
      </c>
      <c r="AH322" s="5">
        <f>VLOOKUP($A322,'SegEnds_NonXtal_Prot#'!$A:$AL,17,FALSE)</f>
        <v>866</v>
      </c>
      <c r="AI322" s="5" t="str">
        <f>VLOOKUP($A322,'SegEnds_NonXtal_Prot#'!$A:$AL,20,FALSE)</f>
        <v>-</v>
      </c>
      <c r="AJ322" s="5">
        <f>VLOOKUP($A322,'SegEnds_NonXtal_Prot#'!$A:$AL,23,FALSE)</f>
        <v>910</v>
      </c>
      <c r="AK322" s="5">
        <f>VLOOKUP($A322,'SegEnds_NonXtal_Prot#'!$A:$AL,26,FALSE)</f>
        <v>919</v>
      </c>
      <c r="AL322" s="5">
        <f>VLOOKUP($A322,'SegEnds_NonXtal_Prot#'!$A:$AL,29,FALSE)</f>
        <v>954</v>
      </c>
      <c r="AM322" s="5">
        <f>VLOOKUP($A322,'SegEnds_NonXtal_Prot#'!$A:$AL,32,FALSE)</f>
        <v>1038</v>
      </c>
      <c r="AN322" s="5">
        <f>VLOOKUP($A322,'SegEnds_NonXtal_Prot#'!$A:$AL,35,FALSE)</f>
        <v>1072</v>
      </c>
      <c r="AO322" s="5">
        <f>VLOOKUP($A322,'SegEnds_NonXtal_Prot#'!$A:$AL,38,FALSE)</f>
        <v>1089</v>
      </c>
      <c r="AP322" s="5">
        <f t="shared" ref="AP322:AP385" si="138">IFERROR(AD322-R322,"-")</f>
        <v>37</v>
      </c>
      <c r="AQ322" s="4" t="str">
        <f t="shared" ref="AQ322:AQ385" si="139">IFERROR(AE322-S322,"-")</f>
        <v>-</v>
      </c>
      <c r="AR322" s="4">
        <f t="shared" ref="AR322:AR385" si="140">IFERROR(AF322-T322,"-")</f>
        <v>26</v>
      </c>
      <c r="AS322" s="4" t="str">
        <f t="shared" ref="AS322:AS385" si="141">IFERROR(AG322-U322,"-")</f>
        <v>-</v>
      </c>
      <c r="AT322" s="4">
        <f t="shared" ref="AT322:AT385" si="142">IFERROR(AH322-V322,"-")</f>
        <v>33</v>
      </c>
      <c r="AU322" s="4" t="str">
        <f t="shared" ref="AU322:AU385" si="143">IFERROR(AI322-W322,"-")</f>
        <v>-</v>
      </c>
      <c r="AV322" s="4">
        <f t="shared" ref="AV322:AV385" si="144">IFERROR(AJ322-X322,"-")</f>
        <v>28</v>
      </c>
      <c r="AW322" s="4">
        <f t="shared" ref="AW322:AW385" si="145">IFERROR(AK322-Y322,"-")</f>
        <v>2</v>
      </c>
      <c r="AX322" s="4">
        <f t="shared" ref="AX322:AX385" si="146">IFERROR(AL322-Z322,"-")</f>
        <v>33</v>
      </c>
      <c r="AY322" s="4">
        <f t="shared" ref="AY322:AY385" si="147">IFERROR(AM322-AA322,"-")</f>
        <v>24</v>
      </c>
      <c r="AZ322" s="4">
        <f t="shared" ref="AZ322:AZ385" si="148">IFERROR(AN322-AB322,"-")</f>
        <v>27</v>
      </c>
      <c r="BA322" s="4">
        <f t="shared" ref="BA322:BA385" si="149">IFERROR(AO322-AC322,"-")</f>
        <v>16</v>
      </c>
    </row>
    <row r="323" spans="1:53" x14ac:dyDescent="0.2">
      <c r="A323" s="1" t="str">
        <f>'SegEnds_NonXtal_Prot#'!A321</f>
        <v>agra3_human</v>
      </c>
      <c r="B323" s="1" t="str">
        <f t="shared" si="125"/>
        <v>ELYTQAASLLHPVVYTTAIILLLCLLAVIVSYIYHHSLISLKSWHMLVNLCFHIFLTCVVFVGGISICQAVGIILHYSTLATVLWVGVTARNIYKQVTKPMLRFYLIGGGIPIIVCGITAAANIKNYWEPSLGAFYGPASFITFVNCMYFLSIFIQLKRHPTFHSQLLGASLTLLLYVALWMFGALPLDLVFSFVFGATSLSFSAFFVVHHCVNREDVRLAWIMTCCPGRS</v>
      </c>
      <c r="C323" s="29" t="str">
        <f>IF(ISERROR(MATCH(A323,'SegEnds_Xtal_Prot#'!B:B, 0)), "NoXtal", "Xtal")</f>
        <v>NoXtal</v>
      </c>
      <c r="D323" s="4" t="str">
        <f>VLOOKUP(A323,Classification!A:D,2,FALSE)</f>
        <v>B2</v>
      </c>
      <c r="E323" s="5" t="str">
        <f>VLOOKUP(A323,Seqs!A:B,2,FALSE)</f>
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</c>
      <c r="F323" s="5" t="str">
        <f t="shared" si="126"/>
        <v>ELYTQAASLLHPVVYTTAIILLLCLLAVIVSYIYHHSL</v>
      </c>
      <c r="G323" s="4" t="str">
        <f t="shared" si="127"/>
        <v/>
      </c>
      <c r="H323" s="4" t="str">
        <f t="shared" si="128"/>
        <v>ISLKSWHMLVNLCFHIFLTCVVFVGGI</v>
      </c>
      <c r="I323" s="4" t="str">
        <f t="shared" si="129"/>
        <v/>
      </c>
      <c r="J323" s="4" t="str">
        <f t="shared" si="130"/>
        <v>SICQAVGIILHYSTLATVLWVGVTARNIYKQVTK</v>
      </c>
      <c r="K323" s="4" t="str">
        <f t="shared" si="131"/>
        <v/>
      </c>
      <c r="L323" s="4" t="str">
        <f t="shared" si="132"/>
        <v>PMLRFYLIGGGIPIIVCGITAAANIKNY</v>
      </c>
      <c r="M323" s="4" t="str">
        <f t="shared" si="133"/>
        <v>CWM</v>
      </c>
      <c r="N323" s="4" t="str">
        <f t="shared" si="134"/>
        <v>WEPSLGAFYGPASFITFVNCMYFLSIFIQLKRHP</v>
      </c>
      <c r="O323" s="4" t="str">
        <f t="shared" si="135"/>
        <v>TFHSQLLGASLTLLLYVALWMFGAL</v>
      </c>
      <c r="P323" s="4" t="str">
        <f t="shared" si="136"/>
        <v>PLDLVFSFVFGATSLSFSAFFVVHHCVN</v>
      </c>
      <c r="Q323" s="4" t="str">
        <f t="shared" si="137"/>
        <v>REDVRLAWIMTCCPGRS</v>
      </c>
      <c r="R323" s="5">
        <f>VLOOKUP($A323,'SegEnds_NonXtal_Prot#'!$A:$AL,3,FALSE)</f>
        <v>750</v>
      </c>
      <c r="S323" s="5" t="str">
        <f>VLOOKUP($A323,'SegEnds_NonXtal_Prot#'!$A:$AL,6,FALSE)</f>
        <v>-</v>
      </c>
      <c r="T323" s="5">
        <f>VLOOKUP($A323,'SegEnds_NonXtal_Prot#'!$A:$AL,9,FALSE)</f>
        <v>790</v>
      </c>
      <c r="U323" s="5" t="str">
        <f>VLOOKUP($A323,'SegEnds_NonXtal_Prot#'!$A:$AL,12,FALSE)</f>
        <v>-</v>
      </c>
      <c r="V323" s="5">
        <f>VLOOKUP($A323,'SegEnds_NonXtal_Prot#'!$A:$AL,15,FALSE)</f>
        <v>823</v>
      </c>
      <c r="W323" s="5" t="str">
        <f>VLOOKUP($A323,'SegEnds_NonXtal_Prot#'!$A:$AL,18,FALSE)</f>
        <v>-</v>
      </c>
      <c r="X323" s="5">
        <f>VLOOKUP($A323,'SegEnds_NonXtal_Prot#'!$A:$AL,21,FALSE)</f>
        <v>873</v>
      </c>
      <c r="Y323" s="5">
        <f>VLOOKUP($A323,'SegEnds_NonXtal_Prot#'!$A:$AL,24,FALSE)</f>
        <v>909</v>
      </c>
      <c r="Z323" s="5">
        <f>VLOOKUP($A323,'SegEnds_NonXtal_Prot#'!$A:$AL,27,FALSE)</f>
        <v>913</v>
      </c>
      <c r="AA323" s="5">
        <f>VLOOKUP($A323,'SegEnds_NonXtal_Prot#'!$A:$AL,30,FALSE)</f>
        <v>991</v>
      </c>
      <c r="AB323" s="5">
        <f>VLOOKUP($A323,'SegEnds_NonXtal_Prot#'!$A:$AL,33,FALSE)</f>
        <v>1022</v>
      </c>
      <c r="AC323" s="5">
        <f>VLOOKUP($A323,'SegEnds_NonXtal_Prot#'!$A:$AL,36,FALSE)</f>
        <v>1050</v>
      </c>
      <c r="AD323" s="5">
        <f>VLOOKUP($A323,'SegEnds_NonXtal_Prot#'!$A:$AL,5,FALSE)</f>
        <v>787</v>
      </c>
      <c r="AE323" s="5" t="str">
        <f>VLOOKUP($A323,'SegEnds_NonXtal_Prot#'!$A:$AL,8,FALSE)</f>
        <v>-</v>
      </c>
      <c r="AF323" s="5">
        <f>VLOOKUP($A323,'SegEnds_NonXtal_Prot#'!$A:$AL,11,FALSE)</f>
        <v>816</v>
      </c>
      <c r="AG323" s="5" t="str">
        <f>VLOOKUP($A323,'SegEnds_NonXtal_Prot#'!$A:$AL,14,FALSE)</f>
        <v>-</v>
      </c>
      <c r="AH323" s="5">
        <f>VLOOKUP($A323,'SegEnds_NonXtal_Prot#'!$A:$AL,17,FALSE)</f>
        <v>856</v>
      </c>
      <c r="AI323" s="5" t="str">
        <f>VLOOKUP($A323,'SegEnds_NonXtal_Prot#'!$A:$AL,20,FALSE)</f>
        <v>-</v>
      </c>
      <c r="AJ323" s="5">
        <f>VLOOKUP($A323,'SegEnds_NonXtal_Prot#'!$A:$AL,23,FALSE)</f>
        <v>900</v>
      </c>
      <c r="AK323" s="5">
        <f>VLOOKUP($A323,'SegEnds_NonXtal_Prot#'!$A:$AL,26,FALSE)</f>
        <v>911</v>
      </c>
      <c r="AL323" s="5">
        <f>VLOOKUP($A323,'SegEnds_NonXtal_Prot#'!$A:$AL,29,FALSE)</f>
        <v>946</v>
      </c>
      <c r="AM323" s="5">
        <f>VLOOKUP($A323,'SegEnds_NonXtal_Prot#'!$A:$AL,32,FALSE)</f>
        <v>1015</v>
      </c>
      <c r="AN323" s="5">
        <f>VLOOKUP($A323,'SegEnds_NonXtal_Prot#'!$A:$AL,35,FALSE)</f>
        <v>1049</v>
      </c>
      <c r="AO323" s="5">
        <f>VLOOKUP($A323,'SegEnds_NonXtal_Prot#'!$A:$AL,38,FALSE)</f>
        <v>1066</v>
      </c>
      <c r="AP323" s="5">
        <f t="shared" si="138"/>
        <v>37</v>
      </c>
      <c r="AQ323" s="4" t="str">
        <f t="shared" si="139"/>
        <v>-</v>
      </c>
      <c r="AR323" s="4">
        <f t="shared" si="140"/>
        <v>26</v>
      </c>
      <c r="AS323" s="4" t="str">
        <f t="shared" si="141"/>
        <v>-</v>
      </c>
      <c r="AT323" s="4">
        <f t="shared" si="142"/>
        <v>33</v>
      </c>
      <c r="AU323" s="4" t="str">
        <f t="shared" si="143"/>
        <v>-</v>
      </c>
      <c r="AV323" s="4">
        <f t="shared" si="144"/>
        <v>27</v>
      </c>
      <c r="AW323" s="4">
        <f t="shared" si="145"/>
        <v>2</v>
      </c>
      <c r="AX323" s="4">
        <f t="shared" si="146"/>
        <v>33</v>
      </c>
      <c r="AY323" s="4">
        <f t="shared" si="147"/>
        <v>24</v>
      </c>
      <c r="AZ323" s="4">
        <f t="shared" si="148"/>
        <v>27</v>
      </c>
      <c r="BA323" s="4">
        <f t="shared" si="149"/>
        <v>16</v>
      </c>
    </row>
    <row r="324" spans="1:53" x14ac:dyDescent="0.2">
      <c r="A324" s="1" t="str">
        <f>'SegEnds_NonXtal_Prot#'!A322</f>
        <v>agrb2_human</v>
      </c>
      <c r="B324" s="1" t="str">
        <f t="shared" si="125"/>
        <v>PPKDLTLELAGSPSVPLVIGCAVSCMALLTLLAIYAAFSERSIILLNFCLSILASNILILVGQSRGVCTMTAAFLHFFFLSSFCWVLTEAWQSYLAVIGLVRKRFLCLGWGLPALVVAVSVGFTRTKGEGGLLYAFVGPAAVIVLVNMLIGIIVFNKLMARDNAMASLWSSCVVLPLLALTWMSAVLSVLFQALFAVFNSAQGFVITAVHCFLRREVQDVVKCQMGVCRA</v>
      </c>
      <c r="C324" s="29" t="str">
        <f>IF(ISERROR(MATCH(A324,'SegEnds_Xtal_Prot#'!B:B, 0)), "NoXtal", "Xtal")</f>
        <v>NoXtal</v>
      </c>
      <c r="D324" s="4" t="str">
        <f>VLOOKUP(A324,Classification!A:D,2,FALSE)</f>
        <v>B2</v>
      </c>
      <c r="E324" s="5" t="str">
        <f>VLOOKUP(A324,Seqs!A:B,2,FALSE)</f>
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</c>
      <c r="F324" s="5" t="str">
        <f t="shared" si="126"/>
        <v>PPKDLTLELAGSPSVPLVIGCAVSCMALLTLLAIYAAF</v>
      </c>
      <c r="G324" s="4" t="str">
        <f t="shared" si="127"/>
        <v/>
      </c>
      <c r="H324" s="4" t="str">
        <f t="shared" si="128"/>
        <v>SERSIILLNFCLSILASNILILVGQSR</v>
      </c>
      <c r="I324" s="4" t="str">
        <f t="shared" si="129"/>
        <v/>
      </c>
      <c r="J324" s="4" t="str">
        <f t="shared" si="130"/>
        <v>GVCTMTAAFLHFFFLSSFCWVLTEAWQSYLAVIG</v>
      </c>
      <c r="K324" s="4" t="str">
        <f t="shared" si="131"/>
        <v/>
      </c>
      <c r="L324" s="4" t="str">
        <f t="shared" si="132"/>
        <v>LVRKRFLCLGWGLPALVVAVSVGFTRTKG</v>
      </c>
      <c r="M324" s="4" t="str">
        <f t="shared" si="133"/>
        <v>CWL</v>
      </c>
      <c r="N324" s="4" t="str">
        <f t="shared" si="134"/>
        <v>EGGLLYAFVGPAAVIVLVNMLIGIIVFNKLMARD</v>
      </c>
      <c r="O324" s="4" t="str">
        <f t="shared" si="135"/>
        <v>NAMASLWSSCVVLPLLALTWMSAVL</v>
      </c>
      <c r="P324" s="4" t="str">
        <f t="shared" si="136"/>
        <v>SVLFQALFAVFNSAQGFVITAVHCFL</v>
      </c>
      <c r="Q324" s="4" t="str">
        <f t="shared" si="137"/>
        <v>RREVQDVVKCQMGVCRA</v>
      </c>
      <c r="R324" s="5">
        <f>VLOOKUP($A324,'SegEnds_NonXtal_Prot#'!$A:$AL,3,FALSE)</f>
        <v>920</v>
      </c>
      <c r="S324" s="5" t="str">
        <f>VLOOKUP($A324,'SegEnds_NonXtal_Prot#'!$A:$AL,6,FALSE)</f>
        <v>-</v>
      </c>
      <c r="T324" s="5">
        <f>VLOOKUP($A324,'SegEnds_NonXtal_Prot#'!$A:$AL,9,FALSE)</f>
        <v>963</v>
      </c>
      <c r="U324" s="5" t="str">
        <f>VLOOKUP($A324,'SegEnds_NonXtal_Prot#'!$A:$AL,12,FALSE)</f>
        <v>-</v>
      </c>
      <c r="V324" s="5">
        <f>VLOOKUP($A324,'SegEnds_NonXtal_Prot#'!$A:$AL,15,FALSE)</f>
        <v>994</v>
      </c>
      <c r="W324" s="5" t="str">
        <f>VLOOKUP($A324,'SegEnds_NonXtal_Prot#'!$A:$AL,18,FALSE)</f>
        <v>-</v>
      </c>
      <c r="X324" s="5">
        <f>VLOOKUP($A324,'SegEnds_NonXtal_Prot#'!$A:$AL,21,FALSE)</f>
        <v>1033</v>
      </c>
      <c r="Y324" s="5">
        <f>VLOOKUP($A324,'SegEnds_NonXtal_Prot#'!$A:$AL,24,FALSE)</f>
        <v>1068</v>
      </c>
      <c r="Z324" s="5">
        <f>VLOOKUP($A324,'SegEnds_NonXtal_Prot#'!$A:$AL,27,FALSE)</f>
        <v>1073</v>
      </c>
      <c r="AA324" s="5">
        <f>VLOOKUP($A324,'SegEnds_NonXtal_Prot#'!$A:$AL,30,FALSE)</f>
        <v>1149</v>
      </c>
      <c r="AB324" s="5">
        <f>VLOOKUP($A324,'SegEnds_NonXtal_Prot#'!$A:$AL,33,FALSE)</f>
        <v>1180</v>
      </c>
      <c r="AC324" s="5">
        <f>VLOOKUP($A324,'SegEnds_NonXtal_Prot#'!$A:$AL,36,FALSE)</f>
        <v>1206</v>
      </c>
      <c r="AD324" s="5">
        <f>VLOOKUP($A324,'SegEnds_NonXtal_Prot#'!$A:$AL,5,FALSE)</f>
        <v>957</v>
      </c>
      <c r="AE324" s="5" t="str">
        <f>VLOOKUP($A324,'SegEnds_NonXtal_Prot#'!$A:$AL,8,FALSE)</f>
        <v>-</v>
      </c>
      <c r="AF324" s="5">
        <f>VLOOKUP($A324,'SegEnds_NonXtal_Prot#'!$A:$AL,11,FALSE)</f>
        <v>989</v>
      </c>
      <c r="AG324" s="5" t="str">
        <f>VLOOKUP($A324,'SegEnds_NonXtal_Prot#'!$A:$AL,14,FALSE)</f>
        <v>-</v>
      </c>
      <c r="AH324" s="5">
        <f>VLOOKUP($A324,'SegEnds_NonXtal_Prot#'!$A:$AL,17,FALSE)</f>
        <v>1027</v>
      </c>
      <c r="AI324" s="5" t="str">
        <f>VLOOKUP($A324,'SegEnds_NonXtal_Prot#'!$A:$AL,20,FALSE)</f>
        <v>-</v>
      </c>
      <c r="AJ324" s="5">
        <f>VLOOKUP($A324,'SegEnds_NonXtal_Prot#'!$A:$AL,23,FALSE)</f>
        <v>1061</v>
      </c>
      <c r="AK324" s="5">
        <f>VLOOKUP($A324,'SegEnds_NonXtal_Prot#'!$A:$AL,26,FALSE)</f>
        <v>1070</v>
      </c>
      <c r="AL324" s="5">
        <f>VLOOKUP($A324,'SegEnds_NonXtal_Prot#'!$A:$AL,29,FALSE)</f>
        <v>1106</v>
      </c>
      <c r="AM324" s="5">
        <f>VLOOKUP($A324,'SegEnds_NonXtal_Prot#'!$A:$AL,32,FALSE)</f>
        <v>1173</v>
      </c>
      <c r="AN324" s="5">
        <f>VLOOKUP($A324,'SegEnds_NonXtal_Prot#'!$A:$AL,35,FALSE)</f>
        <v>1205</v>
      </c>
      <c r="AO324" s="5">
        <f>VLOOKUP($A324,'SegEnds_NonXtal_Prot#'!$A:$AL,38,FALSE)</f>
        <v>1222</v>
      </c>
      <c r="AP324" s="5">
        <f t="shared" si="138"/>
        <v>37</v>
      </c>
      <c r="AQ324" s="4" t="str">
        <f t="shared" si="139"/>
        <v>-</v>
      </c>
      <c r="AR324" s="4">
        <f t="shared" si="140"/>
        <v>26</v>
      </c>
      <c r="AS324" s="4" t="str">
        <f t="shared" si="141"/>
        <v>-</v>
      </c>
      <c r="AT324" s="4">
        <f t="shared" si="142"/>
        <v>33</v>
      </c>
      <c r="AU324" s="4" t="str">
        <f t="shared" si="143"/>
        <v>-</v>
      </c>
      <c r="AV324" s="4">
        <f t="shared" si="144"/>
        <v>28</v>
      </c>
      <c r="AW324" s="4">
        <f t="shared" si="145"/>
        <v>2</v>
      </c>
      <c r="AX324" s="4">
        <f t="shared" si="146"/>
        <v>33</v>
      </c>
      <c r="AY324" s="4">
        <f t="shared" si="147"/>
        <v>24</v>
      </c>
      <c r="AZ324" s="4">
        <f t="shared" si="148"/>
        <v>25</v>
      </c>
      <c r="BA324" s="4">
        <f t="shared" si="149"/>
        <v>16</v>
      </c>
    </row>
    <row r="325" spans="1:53" x14ac:dyDescent="0.2">
      <c r="A325" s="1" t="str">
        <f>'SegEnds_NonXtal_Prot#'!A323</f>
        <v>agrb3_human</v>
      </c>
      <c r="B325" s="1" t="str">
        <f t="shared" si="125"/>
        <v>QPREIIMESSGTPSVTLIVGSGLSCLALITLAVVYAALSERSIILINFCLSIISSNILILVGQTQSICTTTTAFLHFFFLASFCWVLTEAWQSYMAVTGLIRKRFLCLGWGLPALVVATSVGFTRTKGEGGLLYAFVGPAAAVVLVNMVIGILVFNKLVSRDNAMASLWSSCVVLPLLALTWMSAVLSILFQILFAVFDSLQGFVIVMVHCILRREVQDAFRCRLRNCQD</v>
      </c>
      <c r="C325" s="29" t="str">
        <f>IF(ISERROR(MATCH(A325,'SegEnds_Xtal_Prot#'!B:B, 0)), "NoXtal", "Xtal")</f>
        <v>NoXtal</v>
      </c>
      <c r="D325" s="4" t="str">
        <f>VLOOKUP(A325,Classification!A:D,2,FALSE)</f>
        <v>B2</v>
      </c>
      <c r="E325" s="5" t="str">
        <f>VLOOKUP(A325,Seqs!A:B,2,FALSE)</f>
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</c>
      <c r="F325" s="5" t="str">
        <f t="shared" si="126"/>
        <v>QPREIIMESSGTPSVTLIVGSGLSCLALITLAVVYAAL</v>
      </c>
      <c r="G325" s="4" t="str">
        <f t="shared" si="127"/>
        <v/>
      </c>
      <c r="H325" s="4" t="str">
        <f t="shared" si="128"/>
        <v>SERSIILINFCLSIISSNILILVGQTQ</v>
      </c>
      <c r="I325" s="4" t="str">
        <f t="shared" si="129"/>
        <v/>
      </c>
      <c r="J325" s="4" t="str">
        <f t="shared" si="130"/>
        <v>SICTTTTAFLHFFFLASFCWVLTEAWQSYMAVTG</v>
      </c>
      <c r="K325" s="4" t="str">
        <f t="shared" si="131"/>
        <v/>
      </c>
      <c r="L325" s="4" t="str">
        <f t="shared" si="132"/>
        <v>LIRKRFLCLGWGLPALVVATSVGFTRTKG</v>
      </c>
      <c r="M325" s="4" t="str">
        <f t="shared" si="133"/>
        <v>CWL</v>
      </c>
      <c r="N325" s="4" t="str">
        <f t="shared" si="134"/>
        <v>EGGLLYAFVGPAAAVVLVNMVIGILVFNKLVSRD</v>
      </c>
      <c r="O325" s="4" t="str">
        <f t="shared" si="135"/>
        <v>NAMASLWSSCVVLPLLALTWMSAVL</v>
      </c>
      <c r="P325" s="4" t="str">
        <f t="shared" si="136"/>
        <v>SILFQILFAVFDSLQGFVIVMVHCIL</v>
      </c>
      <c r="Q325" s="4" t="str">
        <f t="shared" si="137"/>
        <v>RREVQDAFRCRLRNCQD</v>
      </c>
      <c r="R325" s="5">
        <f>VLOOKUP($A325,'SegEnds_NonXtal_Prot#'!$A:$AL,3,FALSE)</f>
        <v>865</v>
      </c>
      <c r="S325" s="5" t="str">
        <f>VLOOKUP($A325,'SegEnds_NonXtal_Prot#'!$A:$AL,6,FALSE)</f>
        <v>-</v>
      </c>
      <c r="T325" s="5">
        <f>VLOOKUP($A325,'SegEnds_NonXtal_Prot#'!$A:$AL,9,FALSE)</f>
        <v>908</v>
      </c>
      <c r="U325" s="5" t="str">
        <f>VLOOKUP($A325,'SegEnds_NonXtal_Prot#'!$A:$AL,12,FALSE)</f>
        <v>-</v>
      </c>
      <c r="V325" s="5">
        <f>VLOOKUP($A325,'SegEnds_NonXtal_Prot#'!$A:$AL,15,FALSE)</f>
        <v>939</v>
      </c>
      <c r="W325" s="5" t="str">
        <f>VLOOKUP($A325,'SegEnds_NonXtal_Prot#'!$A:$AL,18,FALSE)</f>
        <v>-</v>
      </c>
      <c r="X325" s="5">
        <f>VLOOKUP($A325,'SegEnds_NonXtal_Prot#'!$A:$AL,21,FALSE)</f>
        <v>978</v>
      </c>
      <c r="Y325" s="5">
        <f>VLOOKUP($A325,'SegEnds_NonXtal_Prot#'!$A:$AL,24,FALSE)</f>
        <v>1013</v>
      </c>
      <c r="Z325" s="5">
        <f>VLOOKUP($A325,'SegEnds_NonXtal_Prot#'!$A:$AL,27,FALSE)</f>
        <v>1018</v>
      </c>
      <c r="AA325" s="5">
        <f>VLOOKUP($A325,'SegEnds_NonXtal_Prot#'!$A:$AL,30,FALSE)</f>
        <v>1094</v>
      </c>
      <c r="AB325" s="5">
        <f>VLOOKUP($A325,'SegEnds_NonXtal_Prot#'!$A:$AL,33,FALSE)</f>
        <v>1125</v>
      </c>
      <c r="AC325" s="5">
        <f>VLOOKUP($A325,'SegEnds_NonXtal_Prot#'!$A:$AL,36,FALSE)</f>
        <v>1151</v>
      </c>
      <c r="AD325" s="5">
        <f>VLOOKUP($A325,'SegEnds_NonXtal_Prot#'!$A:$AL,5,FALSE)</f>
        <v>902</v>
      </c>
      <c r="AE325" s="5" t="str">
        <f>VLOOKUP($A325,'SegEnds_NonXtal_Prot#'!$A:$AL,8,FALSE)</f>
        <v>-</v>
      </c>
      <c r="AF325" s="5">
        <f>VLOOKUP($A325,'SegEnds_NonXtal_Prot#'!$A:$AL,11,FALSE)</f>
        <v>934</v>
      </c>
      <c r="AG325" s="5" t="str">
        <f>VLOOKUP($A325,'SegEnds_NonXtal_Prot#'!$A:$AL,14,FALSE)</f>
        <v>-</v>
      </c>
      <c r="AH325" s="5">
        <f>VLOOKUP($A325,'SegEnds_NonXtal_Prot#'!$A:$AL,17,FALSE)</f>
        <v>972</v>
      </c>
      <c r="AI325" s="5" t="str">
        <f>VLOOKUP($A325,'SegEnds_NonXtal_Prot#'!$A:$AL,20,FALSE)</f>
        <v>-</v>
      </c>
      <c r="AJ325" s="5">
        <f>VLOOKUP($A325,'SegEnds_NonXtal_Prot#'!$A:$AL,23,FALSE)</f>
        <v>1006</v>
      </c>
      <c r="AK325" s="5">
        <f>VLOOKUP($A325,'SegEnds_NonXtal_Prot#'!$A:$AL,26,FALSE)</f>
        <v>1015</v>
      </c>
      <c r="AL325" s="5">
        <f>VLOOKUP($A325,'SegEnds_NonXtal_Prot#'!$A:$AL,29,FALSE)</f>
        <v>1051</v>
      </c>
      <c r="AM325" s="5">
        <f>VLOOKUP($A325,'SegEnds_NonXtal_Prot#'!$A:$AL,32,FALSE)</f>
        <v>1118</v>
      </c>
      <c r="AN325" s="5">
        <f>VLOOKUP($A325,'SegEnds_NonXtal_Prot#'!$A:$AL,35,FALSE)</f>
        <v>1150</v>
      </c>
      <c r="AO325" s="5">
        <f>VLOOKUP($A325,'SegEnds_NonXtal_Prot#'!$A:$AL,38,FALSE)</f>
        <v>1167</v>
      </c>
      <c r="AP325" s="5">
        <f t="shared" si="138"/>
        <v>37</v>
      </c>
      <c r="AQ325" s="4" t="str">
        <f t="shared" si="139"/>
        <v>-</v>
      </c>
      <c r="AR325" s="4">
        <f t="shared" si="140"/>
        <v>26</v>
      </c>
      <c r="AS325" s="4" t="str">
        <f t="shared" si="141"/>
        <v>-</v>
      </c>
      <c r="AT325" s="4">
        <f t="shared" si="142"/>
        <v>33</v>
      </c>
      <c r="AU325" s="4" t="str">
        <f t="shared" si="143"/>
        <v>-</v>
      </c>
      <c r="AV325" s="4">
        <f t="shared" si="144"/>
        <v>28</v>
      </c>
      <c r="AW325" s="4">
        <f t="shared" si="145"/>
        <v>2</v>
      </c>
      <c r="AX325" s="4">
        <f t="shared" si="146"/>
        <v>33</v>
      </c>
      <c r="AY325" s="4">
        <f t="shared" si="147"/>
        <v>24</v>
      </c>
      <c r="AZ325" s="4">
        <f t="shared" si="148"/>
        <v>25</v>
      </c>
      <c r="BA325" s="4">
        <f t="shared" si="149"/>
        <v>16</v>
      </c>
    </row>
    <row r="326" spans="1:53" x14ac:dyDescent="0.2">
      <c r="A326" s="1" t="str">
        <f>'SegEnds_NonXtal_Prot#'!A324</f>
        <v>agrd1_human</v>
      </c>
      <c r="B326" s="1" t="str">
        <f t="shared" si="125"/>
        <v>VPLELARGHQVALSSISYVGCSLSVLCLVATLVTFAVLTIRNQRYHIHANLSFAVLVAQVLLLISFRLTPCQVMAVLLHYFFLSAFAWMLVEGLHLYSMVIKSKHRYYYGMGWGFPLLICIISLSFAMDSYASGAIWAFVAPALFVIVVNIGILIAVTRVISQISAFKLTAKAVAVLLPILGTSWVFGVLAVVFQYMFATLNSLQGLFIFLFHCLLNSEVRAAFKHKTKVWSL</v>
      </c>
      <c r="C326" s="29" t="str">
        <f>IF(ISERROR(MATCH(A326,'SegEnds_Xtal_Prot#'!B:B, 0)), "NoXtal", "Xtal")</f>
        <v>NoXtal</v>
      </c>
      <c r="D326" s="4" t="str">
        <f>VLOOKUP(A326,Classification!A:D,2,FALSE)</f>
        <v>B2</v>
      </c>
      <c r="E326" s="5" t="str">
        <f>VLOOKUP(A326,Seqs!A:B,2,FALSE)</f>
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</c>
      <c r="F326" s="5" t="str">
        <f t="shared" si="126"/>
        <v>VPLELARGHQVALSSISYVGCSLSVLCLVATLVTFAVL</v>
      </c>
      <c r="G326" s="4" t="str">
        <f t="shared" si="127"/>
        <v>SSVS</v>
      </c>
      <c r="H326" s="4" t="str">
        <f t="shared" si="128"/>
        <v>TIRNQRYHIHANLSFAVLVAQVLLLISFRL</v>
      </c>
      <c r="I326" s="4" t="str">
        <f t="shared" si="129"/>
        <v/>
      </c>
      <c r="J326" s="4" t="str">
        <f t="shared" si="130"/>
        <v>TPCQVMAVLLHYFFLSAFAWMLVEGLHLYSMVIK</v>
      </c>
      <c r="K326" s="4" t="str">
        <f t="shared" si="131"/>
        <v/>
      </c>
      <c r="L326" s="4" t="str">
        <f t="shared" si="132"/>
        <v>SKHRYYYGMGWGFPLLICIISLSFAMDSY</v>
      </c>
      <c r="M326" s="4" t="str">
        <f t="shared" si="133"/>
        <v>CWL</v>
      </c>
      <c r="N326" s="4" t="str">
        <f t="shared" si="134"/>
        <v>ASGAIWAFVAPALFVIVVNIGILIAVTRVISQIS</v>
      </c>
      <c r="O326" s="4" t="str">
        <f t="shared" si="135"/>
        <v>AFKLTAKAVAVLLPILGTSWVFGVL</v>
      </c>
      <c r="P326" s="4" t="str">
        <f t="shared" si="136"/>
        <v>AVVFQYMFATLNSLQGLFIFLFHCLL</v>
      </c>
      <c r="Q326" s="4" t="str">
        <f t="shared" si="137"/>
        <v>NSEVRAAFKHKTKVWSL</v>
      </c>
      <c r="R326" s="5">
        <f>VLOOKUP($A326,'SegEnds_NonXtal_Prot#'!$A:$AL,3,FALSE)</f>
        <v>554</v>
      </c>
      <c r="S326" s="5">
        <f>VLOOKUP($A326,'SegEnds_NonXtal_Prot#'!$A:$AL,6,FALSE)</f>
        <v>592</v>
      </c>
      <c r="T326" s="5">
        <f>VLOOKUP($A326,'SegEnds_NonXtal_Prot#'!$A:$AL,9,FALSE)</f>
        <v>596</v>
      </c>
      <c r="U326" s="5" t="str">
        <f>VLOOKUP($A326,'SegEnds_NonXtal_Prot#'!$A:$AL,12,FALSE)</f>
        <v>-</v>
      </c>
      <c r="V326" s="5">
        <f>VLOOKUP($A326,'SegEnds_NonXtal_Prot#'!$A:$AL,15,FALSE)</f>
        <v>630</v>
      </c>
      <c r="W326" s="5" t="str">
        <f>VLOOKUP($A326,'SegEnds_NonXtal_Prot#'!$A:$AL,18,FALSE)</f>
        <v>-</v>
      </c>
      <c r="X326" s="5">
        <f>VLOOKUP($A326,'SegEnds_NonXtal_Prot#'!$A:$AL,21,FALSE)</f>
        <v>670</v>
      </c>
      <c r="Y326" s="5">
        <f>VLOOKUP($A326,'SegEnds_NonXtal_Prot#'!$A:$AL,24,FALSE)</f>
        <v>704</v>
      </c>
      <c r="Z326" s="5">
        <f>VLOOKUP($A326,'SegEnds_NonXtal_Prot#'!$A:$AL,27,FALSE)</f>
        <v>709</v>
      </c>
      <c r="AA326" s="5">
        <f>VLOOKUP($A326,'SegEnds_NonXtal_Prot#'!$A:$AL,30,FALSE)</f>
        <v>754</v>
      </c>
      <c r="AB326" s="5">
        <f>VLOOKUP($A326,'SegEnds_NonXtal_Prot#'!$A:$AL,33,FALSE)</f>
        <v>784</v>
      </c>
      <c r="AC326" s="5">
        <f>VLOOKUP($A326,'SegEnds_NonXtal_Prot#'!$A:$AL,36,FALSE)</f>
        <v>810</v>
      </c>
      <c r="AD326" s="5">
        <f>VLOOKUP($A326,'SegEnds_NonXtal_Prot#'!$A:$AL,5,FALSE)</f>
        <v>591</v>
      </c>
      <c r="AE326" s="5">
        <f>VLOOKUP($A326,'SegEnds_NonXtal_Prot#'!$A:$AL,8,FALSE)</f>
        <v>595</v>
      </c>
      <c r="AF326" s="5">
        <f>VLOOKUP($A326,'SegEnds_NonXtal_Prot#'!$A:$AL,11,FALSE)</f>
        <v>625</v>
      </c>
      <c r="AG326" s="5" t="str">
        <f>VLOOKUP($A326,'SegEnds_NonXtal_Prot#'!$A:$AL,14,FALSE)</f>
        <v>-</v>
      </c>
      <c r="AH326" s="5">
        <f>VLOOKUP($A326,'SegEnds_NonXtal_Prot#'!$A:$AL,17,FALSE)</f>
        <v>663</v>
      </c>
      <c r="AI326" s="5" t="str">
        <f>VLOOKUP($A326,'SegEnds_NonXtal_Prot#'!$A:$AL,20,FALSE)</f>
        <v>-</v>
      </c>
      <c r="AJ326" s="5">
        <f>VLOOKUP($A326,'SegEnds_NonXtal_Prot#'!$A:$AL,23,FALSE)</f>
        <v>698</v>
      </c>
      <c r="AK326" s="5">
        <f>VLOOKUP($A326,'SegEnds_NonXtal_Prot#'!$A:$AL,26,FALSE)</f>
        <v>706</v>
      </c>
      <c r="AL326" s="5">
        <f>VLOOKUP($A326,'SegEnds_NonXtal_Prot#'!$A:$AL,29,FALSE)</f>
        <v>742</v>
      </c>
      <c r="AM326" s="5">
        <f>VLOOKUP($A326,'SegEnds_NonXtal_Prot#'!$A:$AL,32,FALSE)</f>
        <v>778</v>
      </c>
      <c r="AN326" s="5">
        <f>VLOOKUP($A326,'SegEnds_NonXtal_Prot#'!$A:$AL,35,FALSE)</f>
        <v>809</v>
      </c>
      <c r="AO326" s="5">
        <f>VLOOKUP($A326,'SegEnds_NonXtal_Prot#'!$A:$AL,38,FALSE)</f>
        <v>826</v>
      </c>
      <c r="AP326" s="5">
        <f t="shared" si="138"/>
        <v>37</v>
      </c>
      <c r="AQ326" s="4">
        <f t="shared" si="139"/>
        <v>3</v>
      </c>
      <c r="AR326" s="4">
        <f t="shared" si="140"/>
        <v>29</v>
      </c>
      <c r="AS326" s="4" t="str">
        <f t="shared" si="141"/>
        <v>-</v>
      </c>
      <c r="AT326" s="4">
        <f t="shared" si="142"/>
        <v>33</v>
      </c>
      <c r="AU326" s="4" t="str">
        <f t="shared" si="143"/>
        <v>-</v>
      </c>
      <c r="AV326" s="4">
        <f t="shared" si="144"/>
        <v>28</v>
      </c>
      <c r="AW326" s="4">
        <f t="shared" si="145"/>
        <v>2</v>
      </c>
      <c r="AX326" s="4">
        <f t="shared" si="146"/>
        <v>33</v>
      </c>
      <c r="AY326" s="4">
        <f t="shared" si="147"/>
        <v>24</v>
      </c>
      <c r="AZ326" s="4">
        <f t="shared" si="148"/>
        <v>25</v>
      </c>
      <c r="BA326" s="4">
        <f t="shared" si="149"/>
        <v>16</v>
      </c>
    </row>
    <row r="327" spans="1:53" x14ac:dyDescent="0.2">
      <c r="A327" s="1" t="str">
        <f>'SegEnds_NonXtal_Prot#'!A326</f>
        <v>agre1_human</v>
      </c>
      <c r="B327" s="1" t="str">
        <f t="shared" si="125"/>
        <v>IMASGELTMDFSLYIISHVGIIISLVCLVLAIATFLLCNHNTYLHLHLCVCLLLAKTLFLAGIHKMGCAIIAGFLHYLFLACFFWMLVEAVILFLMVRNSRNIKMLHICAFGYGLPMLVVVISASVQPQGYETGFIWSFLGPVCTVIVINSLLLTWTLWILRQRLDTRLLTFKAFAQLFILGCSWVLGIFQAGVMAYLFTIINSLQGAFIFLIHCLLNGQVREEYKRWITGKTK</v>
      </c>
      <c r="C327" s="29" t="str">
        <f>IF(ISERROR(MATCH(A327,'SegEnds_Xtal_Prot#'!B:B, 0)), "NoXtal", "Xtal")</f>
        <v>NoXtal</v>
      </c>
      <c r="D327" s="4" t="str">
        <f>VLOOKUP(A327,Classification!A:D,2,FALSE)</f>
        <v>B2</v>
      </c>
      <c r="E327" s="5" t="str">
        <f>VLOOKUP(A327,Seqs!A:B,2,FALSE)</f>
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</c>
      <c r="F327" s="5" t="str">
        <f t="shared" si="126"/>
        <v>IMASGELTMDFSLYIISHVGIIISLVCLVLAIATFLLC</v>
      </c>
      <c r="G327" s="4" t="str">
        <f t="shared" si="127"/>
        <v/>
      </c>
      <c r="H327" s="4" t="str">
        <f t="shared" si="128"/>
        <v>NHNTYLHLHLCVCLLLAKTLFLAGIHK</v>
      </c>
      <c r="I327" s="4" t="str">
        <f t="shared" si="129"/>
        <v/>
      </c>
      <c r="J327" s="4" t="str">
        <f t="shared" si="130"/>
        <v>MGCAIIAGFLHYLFLACFFWMLVEAVILFLMVRN</v>
      </c>
      <c r="K327" s="4" t="str">
        <f t="shared" si="131"/>
        <v/>
      </c>
      <c r="L327" s="4" t="str">
        <f t="shared" si="132"/>
        <v>SRNIKMLHICAFGYGLPMLVVVISASVQPQGY</v>
      </c>
      <c r="M327" s="4" t="str">
        <f t="shared" si="133"/>
        <v>CWL</v>
      </c>
      <c r="N327" s="4" t="str">
        <f t="shared" si="134"/>
        <v>ETGFIWSFLGPVCTVIVINSLLLTWTLWILRQRL</v>
      </c>
      <c r="O327" s="4" t="str">
        <f t="shared" si="135"/>
        <v>DTRLLTFKAFAQLFILGCSWVLGIFQ</v>
      </c>
      <c r="P327" s="4" t="str">
        <f t="shared" si="136"/>
        <v>AGVMAYLFTIINSLQGAFIFLIHCLL</v>
      </c>
      <c r="Q327" s="4" t="str">
        <f t="shared" si="137"/>
        <v>NGQVREEYKRWITGKTK</v>
      </c>
      <c r="R327" s="5">
        <f>VLOOKUP($A327,'SegEnds_NonXtal_Prot#'!$A:$AL,3,FALSE)</f>
        <v>590</v>
      </c>
      <c r="S327" s="5" t="str">
        <f>VLOOKUP($A327,'SegEnds_NonXtal_Prot#'!$A:$AL,6,FALSE)</f>
        <v>-</v>
      </c>
      <c r="T327" s="5">
        <f>VLOOKUP($A327,'SegEnds_NonXtal_Prot#'!$A:$AL,9,FALSE)</f>
        <v>632</v>
      </c>
      <c r="U327" s="5" t="str">
        <f>VLOOKUP($A327,'SegEnds_NonXtal_Prot#'!$A:$AL,12,FALSE)</f>
        <v>-</v>
      </c>
      <c r="V327" s="5">
        <f>VLOOKUP($A327,'SegEnds_NonXtal_Prot#'!$A:$AL,15,FALSE)</f>
        <v>663</v>
      </c>
      <c r="W327" s="5" t="str">
        <f>VLOOKUP($A327,'SegEnds_NonXtal_Prot#'!$A:$AL,18,FALSE)</f>
        <v>-</v>
      </c>
      <c r="X327" s="5">
        <f>VLOOKUP($A327,'SegEnds_NonXtal_Prot#'!$A:$AL,21,FALSE)</f>
        <v>705</v>
      </c>
      <c r="Y327" s="5">
        <f>VLOOKUP($A327,'SegEnds_NonXtal_Prot#'!$A:$AL,24,FALSE)</f>
        <v>742</v>
      </c>
      <c r="Z327" s="5">
        <f>VLOOKUP($A327,'SegEnds_NonXtal_Prot#'!$A:$AL,27,FALSE)</f>
        <v>747</v>
      </c>
      <c r="AA327" s="5">
        <f>VLOOKUP($A327,'SegEnds_NonXtal_Prot#'!$A:$AL,30,FALSE)</f>
        <v>792</v>
      </c>
      <c r="AB327" s="5">
        <f>VLOOKUP($A327,'SegEnds_NonXtal_Prot#'!$A:$AL,33,FALSE)</f>
        <v>822</v>
      </c>
      <c r="AC327" s="5">
        <f>VLOOKUP($A327,'SegEnds_NonXtal_Prot#'!$A:$AL,36,FALSE)</f>
        <v>848</v>
      </c>
      <c r="AD327" s="5">
        <f>VLOOKUP($A327,'SegEnds_NonXtal_Prot#'!$A:$AL,5,FALSE)</f>
        <v>627</v>
      </c>
      <c r="AE327" s="5" t="str">
        <f>VLOOKUP($A327,'SegEnds_NonXtal_Prot#'!$A:$AL,8,FALSE)</f>
        <v>-</v>
      </c>
      <c r="AF327" s="5">
        <f>VLOOKUP($A327,'SegEnds_NonXtal_Prot#'!$A:$AL,11,FALSE)</f>
        <v>658</v>
      </c>
      <c r="AG327" s="5" t="str">
        <f>VLOOKUP($A327,'SegEnds_NonXtal_Prot#'!$A:$AL,14,FALSE)</f>
        <v>-</v>
      </c>
      <c r="AH327" s="5">
        <f>VLOOKUP($A327,'SegEnds_NonXtal_Prot#'!$A:$AL,17,FALSE)</f>
        <v>696</v>
      </c>
      <c r="AI327" s="5" t="str">
        <f>VLOOKUP($A327,'SegEnds_NonXtal_Prot#'!$A:$AL,20,FALSE)</f>
        <v>-</v>
      </c>
      <c r="AJ327" s="5">
        <f>VLOOKUP($A327,'SegEnds_NonXtal_Prot#'!$A:$AL,23,FALSE)</f>
        <v>736</v>
      </c>
      <c r="AK327" s="5">
        <f>VLOOKUP($A327,'SegEnds_NonXtal_Prot#'!$A:$AL,26,FALSE)</f>
        <v>744</v>
      </c>
      <c r="AL327" s="5">
        <f>VLOOKUP($A327,'SegEnds_NonXtal_Prot#'!$A:$AL,29,FALSE)</f>
        <v>780</v>
      </c>
      <c r="AM327" s="5">
        <f>VLOOKUP($A327,'SegEnds_NonXtal_Prot#'!$A:$AL,32,FALSE)</f>
        <v>817</v>
      </c>
      <c r="AN327" s="5">
        <f>VLOOKUP($A327,'SegEnds_NonXtal_Prot#'!$A:$AL,35,FALSE)</f>
        <v>847</v>
      </c>
      <c r="AO327" s="5">
        <f>VLOOKUP($A327,'SegEnds_NonXtal_Prot#'!$A:$AL,38,FALSE)</f>
        <v>864</v>
      </c>
      <c r="AP327" s="5">
        <f t="shared" si="138"/>
        <v>37</v>
      </c>
      <c r="AQ327" s="4" t="str">
        <f t="shared" si="139"/>
        <v>-</v>
      </c>
      <c r="AR327" s="4">
        <f t="shared" si="140"/>
        <v>26</v>
      </c>
      <c r="AS327" s="4" t="str">
        <f t="shared" si="141"/>
        <v>-</v>
      </c>
      <c r="AT327" s="4">
        <f t="shared" si="142"/>
        <v>33</v>
      </c>
      <c r="AU327" s="4" t="str">
        <f t="shared" si="143"/>
        <v>-</v>
      </c>
      <c r="AV327" s="4">
        <f t="shared" si="144"/>
        <v>31</v>
      </c>
      <c r="AW327" s="4">
        <f t="shared" si="145"/>
        <v>2</v>
      </c>
      <c r="AX327" s="4">
        <f t="shared" si="146"/>
        <v>33</v>
      </c>
      <c r="AY327" s="4">
        <f t="shared" si="147"/>
        <v>25</v>
      </c>
      <c r="AZ327" s="4">
        <f t="shared" si="148"/>
        <v>25</v>
      </c>
      <c r="BA327" s="4">
        <f t="shared" si="149"/>
        <v>16</v>
      </c>
    </row>
    <row r="328" spans="1:53" x14ac:dyDescent="0.2">
      <c r="A328" s="1" t="str">
        <f>'SegEnds_NonXtal_Prot#'!A327</f>
        <v>agre2_human</v>
      </c>
      <c r="B328" s="1" t="str">
        <f t="shared" si="125"/>
        <v>MAHYDVQEEDPVLTVITYMGLSVSLLCLLLAALTFLLCNTSTSLHLQLSLCLFLAHLLFLVAIDQVLCSIIAGTLHYLYLATLTWMLLEALYLFLTARNNRFMKKLMFPVGYGVPAVTVAISAASRPHLYEKGFIWGFLGPVCAIFSVNLVLFLVTLWILKNRLNTRMLAFKATAQLFILGCTWCLGILARVMAYLFTIINSLQGVFIFLVYCLLSQQVREQYGKWSKGIRK</v>
      </c>
      <c r="C328" s="29" t="str">
        <f>IF(ISERROR(MATCH(A328,'SegEnds_Xtal_Prot#'!B:B, 0)), "NoXtal", "Xtal")</f>
        <v>NoXtal</v>
      </c>
      <c r="D328" s="4" t="str">
        <f>VLOOKUP(A328,Classification!A:D,2,FALSE)</f>
        <v>B2</v>
      </c>
      <c r="E328" s="5" t="str">
        <f>VLOOKUP(A328,Seqs!A:B,2,FALSE)</f>
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</c>
      <c r="F328" s="5" t="str">
        <f t="shared" si="126"/>
        <v>MAHYDVQEEDPVLTVITYMGLSVSLLCLLLAALTFLLC</v>
      </c>
      <c r="G328" s="4" t="str">
        <f t="shared" si="127"/>
        <v>KAIQ</v>
      </c>
      <c r="H328" s="4" t="str">
        <f t="shared" si="128"/>
        <v>NTSTSLHLQLSLCLFLAHLLFLVAIDQ</v>
      </c>
      <c r="I328" s="4" t="str">
        <f t="shared" si="129"/>
        <v/>
      </c>
      <c r="J328" s="4" t="str">
        <f t="shared" si="130"/>
        <v>VLCSIIAGTLHYLYLATLTWMLLEALYLFLTARN</v>
      </c>
      <c r="K328" s="4" t="str">
        <f t="shared" si="131"/>
        <v/>
      </c>
      <c r="L328" s="4" t="str">
        <f t="shared" si="132"/>
        <v>NRFMKKLMFPVGYGVPAVTVAISAASRPHLY</v>
      </c>
      <c r="M328" s="4" t="str">
        <f t="shared" si="133"/>
        <v>CWL</v>
      </c>
      <c r="N328" s="4" t="str">
        <f t="shared" si="134"/>
        <v>EKGFIWGFLGPVCAIFSVNLVLFLVTLWILKNRL</v>
      </c>
      <c r="O328" s="4" t="str">
        <f t="shared" si="135"/>
        <v>NTRMLAFKATAQLFILGCTWCLGIL</v>
      </c>
      <c r="P328" s="4" t="str">
        <f t="shared" si="136"/>
        <v>ARVMAYLFTIINSLQGVFIFLVYCLL</v>
      </c>
      <c r="Q328" s="4" t="str">
        <f t="shared" si="137"/>
        <v>SQQVREQYGKWSKGIRK</v>
      </c>
      <c r="R328" s="5">
        <f>VLOOKUP($A328,'SegEnds_NonXtal_Prot#'!$A:$AL,3,FALSE)</f>
        <v>524</v>
      </c>
      <c r="S328" s="5">
        <f>VLOOKUP($A328,'SegEnds_NonXtal_Prot#'!$A:$AL,6,FALSE)</f>
        <v>562</v>
      </c>
      <c r="T328" s="5">
        <f>VLOOKUP($A328,'SegEnds_NonXtal_Prot#'!$A:$AL,9,FALSE)</f>
        <v>566</v>
      </c>
      <c r="U328" s="5" t="str">
        <f>VLOOKUP($A328,'SegEnds_NonXtal_Prot#'!$A:$AL,12,FALSE)</f>
        <v>-</v>
      </c>
      <c r="V328" s="5">
        <f>VLOOKUP($A328,'SegEnds_NonXtal_Prot#'!$A:$AL,15,FALSE)</f>
        <v>597</v>
      </c>
      <c r="W328" s="5" t="str">
        <f>VLOOKUP($A328,'SegEnds_NonXtal_Prot#'!$A:$AL,18,FALSE)</f>
        <v>-</v>
      </c>
      <c r="X328" s="5">
        <f>VLOOKUP($A328,'SegEnds_NonXtal_Prot#'!$A:$AL,21,FALSE)</f>
        <v>640</v>
      </c>
      <c r="Y328" s="5">
        <f>VLOOKUP($A328,'SegEnds_NonXtal_Prot#'!$A:$AL,24,FALSE)</f>
        <v>676</v>
      </c>
      <c r="Z328" s="5">
        <f>VLOOKUP($A328,'SegEnds_NonXtal_Prot#'!$A:$AL,27,FALSE)</f>
        <v>681</v>
      </c>
      <c r="AA328" s="5">
        <f>VLOOKUP($A328,'SegEnds_NonXtal_Prot#'!$A:$AL,30,FALSE)</f>
        <v>726</v>
      </c>
      <c r="AB328" s="5">
        <f>VLOOKUP($A328,'SegEnds_NonXtal_Prot#'!$A:$AL,33,FALSE)</f>
        <v>756</v>
      </c>
      <c r="AC328" s="5">
        <f>VLOOKUP($A328,'SegEnds_NonXtal_Prot#'!$A:$AL,36,FALSE)</f>
        <v>782</v>
      </c>
      <c r="AD328" s="5">
        <f>VLOOKUP($A328,'SegEnds_NonXtal_Prot#'!$A:$AL,5,FALSE)</f>
        <v>561</v>
      </c>
      <c r="AE328" s="5">
        <f>VLOOKUP($A328,'SegEnds_NonXtal_Prot#'!$A:$AL,8,FALSE)</f>
        <v>565</v>
      </c>
      <c r="AF328" s="5">
        <f>VLOOKUP($A328,'SegEnds_NonXtal_Prot#'!$A:$AL,11,FALSE)</f>
        <v>592</v>
      </c>
      <c r="AG328" s="5" t="str">
        <f>VLOOKUP($A328,'SegEnds_NonXtal_Prot#'!$A:$AL,14,FALSE)</f>
        <v>-</v>
      </c>
      <c r="AH328" s="5">
        <f>VLOOKUP($A328,'SegEnds_NonXtal_Prot#'!$A:$AL,17,FALSE)</f>
        <v>630</v>
      </c>
      <c r="AI328" s="5" t="str">
        <f>VLOOKUP($A328,'SegEnds_NonXtal_Prot#'!$A:$AL,20,FALSE)</f>
        <v>-</v>
      </c>
      <c r="AJ328" s="5">
        <f>VLOOKUP($A328,'SegEnds_NonXtal_Prot#'!$A:$AL,23,FALSE)</f>
        <v>670</v>
      </c>
      <c r="AK328" s="5">
        <f>VLOOKUP($A328,'SegEnds_NonXtal_Prot#'!$A:$AL,26,FALSE)</f>
        <v>678</v>
      </c>
      <c r="AL328" s="5">
        <f>VLOOKUP($A328,'SegEnds_NonXtal_Prot#'!$A:$AL,29,FALSE)</f>
        <v>714</v>
      </c>
      <c r="AM328" s="5">
        <f>VLOOKUP($A328,'SegEnds_NonXtal_Prot#'!$A:$AL,32,FALSE)</f>
        <v>750</v>
      </c>
      <c r="AN328" s="5">
        <f>VLOOKUP($A328,'SegEnds_NonXtal_Prot#'!$A:$AL,35,FALSE)</f>
        <v>781</v>
      </c>
      <c r="AO328" s="5">
        <f>VLOOKUP($A328,'SegEnds_NonXtal_Prot#'!$A:$AL,38,FALSE)</f>
        <v>798</v>
      </c>
      <c r="AP328" s="5">
        <f t="shared" si="138"/>
        <v>37</v>
      </c>
      <c r="AQ328" s="4">
        <f t="shared" si="139"/>
        <v>3</v>
      </c>
      <c r="AR328" s="4">
        <f t="shared" si="140"/>
        <v>26</v>
      </c>
      <c r="AS328" s="4" t="str">
        <f t="shared" si="141"/>
        <v>-</v>
      </c>
      <c r="AT328" s="4">
        <f t="shared" si="142"/>
        <v>33</v>
      </c>
      <c r="AU328" s="4" t="str">
        <f t="shared" si="143"/>
        <v>-</v>
      </c>
      <c r="AV328" s="4">
        <f t="shared" si="144"/>
        <v>30</v>
      </c>
      <c r="AW328" s="4">
        <f t="shared" si="145"/>
        <v>2</v>
      </c>
      <c r="AX328" s="4">
        <f t="shared" si="146"/>
        <v>33</v>
      </c>
      <c r="AY328" s="4">
        <f t="shared" si="147"/>
        <v>24</v>
      </c>
      <c r="AZ328" s="4">
        <f t="shared" si="148"/>
        <v>25</v>
      </c>
      <c r="BA328" s="4">
        <f t="shared" si="149"/>
        <v>16</v>
      </c>
    </row>
    <row r="329" spans="1:53" x14ac:dyDescent="0.2">
      <c r="A329" s="1" t="str">
        <f>'SegEnds_NonXtal_Prot#'!A328</f>
        <v>agre3_human</v>
      </c>
      <c r="B329" s="1" t="str">
        <f t="shared" si="125"/>
        <v>LMALTSQEEDPVLTVITYVGLSVSLLCLLLAALTFLLCNTSTSLHLQLSLCLFLAHLLFLVGIDRVLCSIIAGALHYLYLAAFTWMLLEGVHLFLTARNLMKWIMFPVGYGVPAVTVAISAASWPHLYDQGFMWSFLGPVCAIFSANLVLFILVFWILKRKLNTRMLAFKATAQLFILGCTWCLGLLAQVMAYLFTIINSLQGFFIFLVYCLLSQQVQKQYQKWFREIVK</v>
      </c>
      <c r="C329" s="29" t="str">
        <f>IF(ISERROR(MATCH(A329,'SegEnds_Xtal_Prot#'!B:B, 0)), "NoXtal", "Xtal")</f>
        <v>NoXtal</v>
      </c>
      <c r="D329" s="4" t="str">
        <f>VLOOKUP(A329,Classification!A:D,2,FALSE)</f>
        <v>B2</v>
      </c>
      <c r="E329" s="5" t="str">
        <f>VLOOKUP(A329,Seqs!A:B,2,FALSE)</f>
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</c>
      <c r="F329" s="5" t="str">
        <f t="shared" si="126"/>
        <v>LMALTSQEEDPVLTVITYVGLSVSLLCLLLAALTFLLC</v>
      </c>
      <c r="G329" s="4" t="str">
        <f t="shared" si="127"/>
        <v>KAIR</v>
      </c>
      <c r="H329" s="4" t="str">
        <f t="shared" si="128"/>
        <v>NTSTSLHLQLSLCLFLAHLLFLVGIDR</v>
      </c>
      <c r="I329" s="4" t="str">
        <f t="shared" si="129"/>
        <v/>
      </c>
      <c r="J329" s="4" t="str">
        <f t="shared" si="130"/>
        <v>VLCSIIAGALHYLYLAAFTWMLLEGVHLFLTARN</v>
      </c>
      <c r="K329" s="4" t="str">
        <f t="shared" si="131"/>
        <v/>
      </c>
      <c r="L329" s="4" t="str">
        <f t="shared" si="132"/>
        <v>LMKWIMFPVGYGVPAVTVAISAASWPHLY</v>
      </c>
      <c r="M329" s="4" t="str">
        <f t="shared" si="133"/>
        <v>CWL</v>
      </c>
      <c r="N329" s="4" t="str">
        <f t="shared" si="134"/>
        <v>DQGFMWSFLGPVCAIFSANLVLFILVFWILKRKL</v>
      </c>
      <c r="O329" s="4" t="str">
        <f t="shared" si="135"/>
        <v>NTRMLAFKATAQLFILGCTWCLGLL</v>
      </c>
      <c r="P329" s="4" t="str">
        <f t="shared" si="136"/>
        <v>AQVMAYLFTIINSLQGFFIFLVYCLL</v>
      </c>
      <c r="Q329" s="4" t="str">
        <f t="shared" si="137"/>
        <v>SQQVQKQYQKWFREIVK</v>
      </c>
      <c r="R329" s="5">
        <f>VLOOKUP($A329,'SegEnds_NonXtal_Prot#'!$A:$AL,3,FALSE)</f>
        <v>344</v>
      </c>
      <c r="S329" s="5">
        <f>VLOOKUP($A329,'SegEnds_NonXtal_Prot#'!$A:$AL,6,FALSE)</f>
        <v>382</v>
      </c>
      <c r="T329" s="5">
        <f>VLOOKUP($A329,'SegEnds_NonXtal_Prot#'!$A:$AL,9,FALSE)</f>
        <v>386</v>
      </c>
      <c r="U329" s="5" t="str">
        <f>VLOOKUP($A329,'SegEnds_NonXtal_Prot#'!$A:$AL,12,FALSE)</f>
        <v>-</v>
      </c>
      <c r="V329" s="5">
        <f>VLOOKUP($A329,'SegEnds_NonXtal_Prot#'!$A:$AL,15,FALSE)</f>
        <v>417</v>
      </c>
      <c r="W329" s="5" t="str">
        <f>VLOOKUP($A329,'SegEnds_NonXtal_Prot#'!$A:$AL,18,FALSE)</f>
        <v>-</v>
      </c>
      <c r="X329" s="5">
        <f>VLOOKUP($A329,'SegEnds_NonXtal_Prot#'!$A:$AL,21,FALSE)</f>
        <v>462</v>
      </c>
      <c r="Y329" s="5">
        <f>VLOOKUP($A329,'SegEnds_NonXtal_Prot#'!$A:$AL,24,FALSE)</f>
        <v>496</v>
      </c>
      <c r="Z329" s="5">
        <f>VLOOKUP($A329,'SegEnds_NonXtal_Prot#'!$A:$AL,27,FALSE)</f>
        <v>501</v>
      </c>
      <c r="AA329" s="5">
        <f>VLOOKUP($A329,'SegEnds_NonXtal_Prot#'!$A:$AL,30,FALSE)</f>
        <v>546</v>
      </c>
      <c r="AB329" s="5">
        <f>VLOOKUP($A329,'SegEnds_NonXtal_Prot#'!$A:$AL,33,FALSE)</f>
        <v>576</v>
      </c>
      <c r="AC329" s="5">
        <f>VLOOKUP($A329,'SegEnds_NonXtal_Prot#'!$A:$AL,36,FALSE)</f>
        <v>602</v>
      </c>
      <c r="AD329" s="5">
        <f>VLOOKUP($A329,'SegEnds_NonXtal_Prot#'!$A:$AL,5,FALSE)</f>
        <v>381</v>
      </c>
      <c r="AE329" s="5">
        <f>VLOOKUP($A329,'SegEnds_NonXtal_Prot#'!$A:$AL,8,FALSE)</f>
        <v>385</v>
      </c>
      <c r="AF329" s="5">
        <f>VLOOKUP($A329,'SegEnds_NonXtal_Prot#'!$A:$AL,11,FALSE)</f>
        <v>412</v>
      </c>
      <c r="AG329" s="5" t="str">
        <f>VLOOKUP($A329,'SegEnds_NonXtal_Prot#'!$A:$AL,14,FALSE)</f>
        <v>-</v>
      </c>
      <c r="AH329" s="5">
        <f>VLOOKUP($A329,'SegEnds_NonXtal_Prot#'!$A:$AL,17,FALSE)</f>
        <v>450</v>
      </c>
      <c r="AI329" s="5" t="str">
        <f>VLOOKUP($A329,'SegEnds_NonXtal_Prot#'!$A:$AL,20,FALSE)</f>
        <v>-</v>
      </c>
      <c r="AJ329" s="5">
        <f>VLOOKUP($A329,'SegEnds_NonXtal_Prot#'!$A:$AL,23,FALSE)</f>
        <v>490</v>
      </c>
      <c r="AK329" s="5">
        <f>VLOOKUP($A329,'SegEnds_NonXtal_Prot#'!$A:$AL,26,FALSE)</f>
        <v>498</v>
      </c>
      <c r="AL329" s="5">
        <f>VLOOKUP($A329,'SegEnds_NonXtal_Prot#'!$A:$AL,29,FALSE)</f>
        <v>534</v>
      </c>
      <c r="AM329" s="5">
        <f>VLOOKUP($A329,'SegEnds_NonXtal_Prot#'!$A:$AL,32,FALSE)</f>
        <v>570</v>
      </c>
      <c r="AN329" s="5">
        <f>VLOOKUP($A329,'SegEnds_NonXtal_Prot#'!$A:$AL,35,FALSE)</f>
        <v>601</v>
      </c>
      <c r="AO329" s="5">
        <f>VLOOKUP($A329,'SegEnds_NonXtal_Prot#'!$A:$AL,38,FALSE)</f>
        <v>618</v>
      </c>
      <c r="AP329" s="5">
        <f t="shared" si="138"/>
        <v>37</v>
      </c>
      <c r="AQ329" s="4">
        <f t="shared" si="139"/>
        <v>3</v>
      </c>
      <c r="AR329" s="4">
        <f t="shared" si="140"/>
        <v>26</v>
      </c>
      <c r="AS329" s="4" t="str">
        <f t="shared" si="141"/>
        <v>-</v>
      </c>
      <c r="AT329" s="4">
        <f t="shared" si="142"/>
        <v>33</v>
      </c>
      <c r="AU329" s="4" t="str">
        <f t="shared" si="143"/>
        <v>-</v>
      </c>
      <c r="AV329" s="4">
        <f t="shared" si="144"/>
        <v>28</v>
      </c>
      <c r="AW329" s="4">
        <f t="shared" si="145"/>
        <v>2</v>
      </c>
      <c r="AX329" s="4">
        <f t="shared" si="146"/>
        <v>33</v>
      </c>
      <c r="AY329" s="4">
        <f t="shared" si="147"/>
        <v>24</v>
      </c>
      <c r="AZ329" s="4">
        <f t="shared" si="148"/>
        <v>25</v>
      </c>
      <c r="BA329" s="4">
        <f t="shared" si="149"/>
        <v>16</v>
      </c>
    </row>
    <row r="330" spans="1:53" x14ac:dyDescent="0.2">
      <c r="A330" s="1" t="str">
        <f>'SegEnds_NonXtal_Prot#'!A329</f>
        <v>agre4_human</v>
      </c>
      <c r="B330" s="1" t="str">
        <f t="shared" si="125"/>
        <v>VLVALAPKEDPVLTVITQVGLTISLLCLFLAILTFLLCNTSTSLHLELSLCLFLAHLLFLTGINRVLCSIIAGLLHFLYLACFTWMLLEGLHLFLTVRNFKKRFMYPVGYGIPAVIIAVSAIVGPQNYDKGFIWSFMGPVAVIILINLVFYFQVLWILRSKLDTRVMTFKAISQLFILGCSWGLGFFKTIGSIIAYSFTIINTLQGVLLFVVHCLLNRQVRLIILSVISLVPK</v>
      </c>
      <c r="C330" s="29" t="str">
        <f>IF(ISERROR(MATCH(A330,'SegEnds_Xtal_Prot#'!B:B, 0)), "NoXtal", "Xtal")</f>
        <v>NoXtal</v>
      </c>
      <c r="D330" s="4" t="str">
        <f>VLOOKUP(A330,Classification!A:D,2,FALSE)</f>
        <v>B2</v>
      </c>
      <c r="E330" s="5" t="str">
        <f>VLOOKUP(A330,Seqs!A:B,2,FALSE)</f>
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</c>
      <c r="F330" s="5" t="str">
        <f t="shared" si="126"/>
        <v>VLVALAPKEDPVLTVITQVGLTISLLCLFLAILTFLLC</v>
      </c>
      <c r="G330" s="4" t="str">
        <f t="shared" si="127"/>
        <v>RPIQ</v>
      </c>
      <c r="H330" s="4" t="str">
        <f t="shared" si="128"/>
        <v>NTSTSLHLELSLCLFLAHLLFLTGINR</v>
      </c>
      <c r="I330" s="4" t="str">
        <f t="shared" si="129"/>
        <v/>
      </c>
      <c r="J330" s="4" t="str">
        <f t="shared" si="130"/>
        <v>VLCSIIAGLLHFLYLACFTWMLLEGLHLFLTVRN</v>
      </c>
      <c r="K330" s="4" t="str">
        <f t="shared" si="131"/>
        <v/>
      </c>
      <c r="L330" s="4" t="str">
        <f t="shared" si="132"/>
        <v>FKKRFMYPVGYGIPAVIIAVSAIVGPQNY</v>
      </c>
      <c r="M330" s="4" t="str">
        <f t="shared" si="133"/>
        <v>CWL</v>
      </c>
      <c r="N330" s="4" t="str">
        <f t="shared" si="134"/>
        <v>DKGFIWSFMGPVAVIILINLVFYFQVLWILRSKL</v>
      </c>
      <c r="O330" s="4" t="str">
        <f t="shared" si="135"/>
        <v>DTRVMTFKAISQLFILGCSWGLGFF</v>
      </c>
      <c r="P330" s="4" t="str">
        <f t="shared" si="136"/>
        <v>KTIGSIIAYSFTIINTLQGVLLFVVHCLL</v>
      </c>
      <c r="Q330" s="4" t="str">
        <f t="shared" si="137"/>
        <v>NRQVRLIILSVISLVPK</v>
      </c>
      <c r="R330" s="5">
        <f>VLOOKUP($A330,'SegEnds_NonXtal_Prot#'!$A:$AL,3,FALSE)</f>
        <v>178</v>
      </c>
      <c r="S330" s="5">
        <f>VLOOKUP($A330,'SegEnds_NonXtal_Prot#'!$A:$AL,6,FALSE)</f>
        <v>216</v>
      </c>
      <c r="T330" s="5">
        <f>VLOOKUP($A330,'SegEnds_NonXtal_Prot#'!$A:$AL,9,FALSE)</f>
        <v>220</v>
      </c>
      <c r="U330" s="5" t="str">
        <f>VLOOKUP($A330,'SegEnds_NonXtal_Prot#'!$A:$AL,12,FALSE)</f>
        <v>-</v>
      </c>
      <c r="V330" s="5">
        <f>VLOOKUP($A330,'SegEnds_NonXtal_Prot#'!$A:$AL,15,FALSE)</f>
        <v>251</v>
      </c>
      <c r="W330" s="5" t="str">
        <f>VLOOKUP($A330,'SegEnds_NonXtal_Prot#'!$A:$AL,18,FALSE)</f>
        <v>-</v>
      </c>
      <c r="X330" s="5">
        <f>VLOOKUP($A330,'SegEnds_NonXtal_Prot#'!$A:$AL,21,FALSE)</f>
        <v>296</v>
      </c>
      <c r="Y330" s="5">
        <f>VLOOKUP($A330,'SegEnds_NonXtal_Prot#'!$A:$AL,24,FALSE)</f>
        <v>329</v>
      </c>
      <c r="Z330" s="5">
        <f>VLOOKUP($A330,'SegEnds_NonXtal_Prot#'!$A:$AL,27,FALSE)</f>
        <v>334</v>
      </c>
      <c r="AA330" s="5">
        <f>VLOOKUP($A330,'SegEnds_NonXtal_Prot#'!$A:$AL,30,FALSE)</f>
        <v>379</v>
      </c>
      <c r="AB330" s="5">
        <f>VLOOKUP($A330,'SegEnds_NonXtal_Prot#'!$A:$AL,33,FALSE)</f>
        <v>410</v>
      </c>
      <c r="AC330" s="5">
        <f>VLOOKUP($A330,'SegEnds_NonXtal_Prot#'!$A:$AL,36,FALSE)</f>
        <v>439</v>
      </c>
      <c r="AD330" s="5">
        <f>VLOOKUP($A330,'SegEnds_NonXtal_Prot#'!$A:$AL,5,FALSE)</f>
        <v>215</v>
      </c>
      <c r="AE330" s="5">
        <f>VLOOKUP($A330,'SegEnds_NonXtal_Prot#'!$A:$AL,8,FALSE)</f>
        <v>219</v>
      </c>
      <c r="AF330" s="5">
        <f>VLOOKUP($A330,'SegEnds_NonXtal_Prot#'!$A:$AL,11,FALSE)</f>
        <v>246</v>
      </c>
      <c r="AG330" s="5" t="str">
        <f>VLOOKUP($A330,'SegEnds_NonXtal_Prot#'!$A:$AL,14,FALSE)</f>
        <v>-</v>
      </c>
      <c r="AH330" s="5">
        <f>VLOOKUP($A330,'SegEnds_NonXtal_Prot#'!$A:$AL,17,FALSE)</f>
        <v>284</v>
      </c>
      <c r="AI330" s="5" t="str">
        <f>VLOOKUP($A330,'SegEnds_NonXtal_Prot#'!$A:$AL,20,FALSE)</f>
        <v>-</v>
      </c>
      <c r="AJ330" s="5">
        <f>VLOOKUP($A330,'SegEnds_NonXtal_Prot#'!$A:$AL,23,FALSE)</f>
        <v>324</v>
      </c>
      <c r="AK330" s="5">
        <f>VLOOKUP($A330,'SegEnds_NonXtal_Prot#'!$A:$AL,26,FALSE)</f>
        <v>331</v>
      </c>
      <c r="AL330" s="5">
        <f>VLOOKUP($A330,'SegEnds_NonXtal_Prot#'!$A:$AL,29,FALSE)</f>
        <v>367</v>
      </c>
      <c r="AM330" s="5">
        <f>VLOOKUP($A330,'SegEnds_NonXtal_Prot#'!$A:$AL,32,FALSE)</f>
        <v>403</v>
      </c>
      <c r="AN330" s="5">
        <f>VLOOKUP($A330,'SegEnds_NonXtal_Prot#'!$A:$AL,35,FALSE)</f>
        <v>438</v>
      </c>
      <c r="AO330" s="5">
        <f>VLOOKUP($A330,'SegEnds_NonXtal_Prot#'!$A:$AL,38,FALSE)</f>
        <v>455</v>
      </c>
      <c r="AP330" s="5">
        <f t="shared" si="138"/>
        <v>37</v>
      </c>
      <c r="AQ330" s="4">
        <f t="shared" si="139"/>
        <v>3</v>
      </c>
      <c r="AR330" s="4">
        <f t="shared" si="140"/>
        <v>26</v>
      </c>
      <c r="AS330" s="4" t="str">
        <f t="shared" si="141"/>
        <v>-</v>
      </c>
      <c r="AT330" s="4">
        <f t="shared" si="142"/>
        <v>33</v>
      </c>
      <c r="AU330" s="4" t="str">
        <f t="shared" si="143"/>
        <v>-</v>
      </c>
      <c r="AV330" s="4">
        <f t="shared" si="144"/>
        <v>28</v>
      </c>
      <c r="AW330" s="4">
        <f t="shared" si="145"/>
        <v>2</v>
      </c>
      <c r="AX330" s="4">
        <f t="shared" si="146"/>
        <v>33</v>
      </c>
      <c r="AY330" s="4">
        <f t="shared" si="147"/>
        <v>24</v>
      </c>
      <c r="AZ330" s="4">
        <f t="shared" si="148"/>
        <v>28</v>
      </c>
      <c r="BA330" s="4">
        <f t="shared" si="149"/>
        <v>16</v>
      </c>
    </row>
    <row r="331" spans="1:53" x14ac:dyDescent="0.2">
      <c r="A331" s="1" t="str">
        <f>'SegEnds_NonXtal_Prot#'!A330</f>
        <v>agrf1_human</v>
      </c>
      <c r="B331" s="1" t="str">
        <f t="shared" si="125"/>
        <v>MSPFVPSTIFPVVKWITYVGLGISIGSLILCLIIEALFQTSHTRRICMVNIALSLLIADVWFIVGGVCTAAVFFTHFFYLSLFFWMLMLGILLAYRIILAQHLMMAVGFCLGYGCPLIISVITIAVTQPSNGSKPLLAFVVPALAIVAVNFVVVLLVLTKLWRPTTIIRVGKSLLILTPLLGLTWGFGIGTNLAWHVIFALLNAFQGFFILCFGILLDSKLRQLLFNKLSALSS</v>
      </c>
      <c r="C331" s="29" t="str">
        <f>IF(ISERROR(MATCH(A331,'SegEnds_Xtal_Prot#'!B:B, 0)), "NoXtal", "Xtal")</f>
        <v>NoXtal</v>
      </c>
      <c r="D331" s="4" t="str">
        <f>VLOOKUP(A331,Classification!A:D,2,FALSE)</f>
        <v>B2</v>
      </c>
      <c r="E331" s="5" t="str">
        <f>VLOOKUP(A331,Seqs!A:B,2,FALSE)</f>
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</c>
      <c r="F331" s="5" t="str">
        <f t="shared" si="126"/>
        <v>MSPFVPSTIFPVVKWITYVGLGISIGSLILCLIIEALF</v>
      </c>
      <c r="G331" s="4" t="str">
        <f t="shared" si="127"/>
        <v/>
      </c>
      <c r="H331" s="4" t="str">
        <f t="shared" si="128"/>
        <v>QTSHTRRICMVNIALSLLIADVWFIVG</v>
      </c>
      <c r="I331" s="4" t="str">
        <f t="shared" si="129"/>
        <v/>
      </c>
      <c r="J331" s="4" t="str">
        <f t="shared" si="130"/>
        <v>GVCTAAVFFTHFFYLSLFFWMLMLGILLAYRIIL</v>
      </c>
      <c r="K331" s="4" t="str">
        <f t="shared" si="131"/>
        <v/>
      </c>
      <c r="L331" s="4" t="str">
        <f t="shared" si="132"/>
        <v>AQHLMMAVGFCLGYGCPLIISVITIAVTQPSN</v>
      </c>
      <c r="M331" s="4" t="str">
        <f t="shared" si="133"/>
        <v>CWL</v>
      </c>
      <c r="N331" s="4" t="str">
        <f t="shared" si="134"/>
        <v>GSKPLLAFVVPALAIVAVNFVVVLLVLTKLWRPT</v>
      </c>
      <c r="O331" s="4" t="str">
        <f t="shared" si="135"/>
        <v>TIIRVGKSLLILTPLLGLTWGFGIGT</v>
      </c>
      <c r="P331" s="4" t="str">
        <f t="shared" si="136"/>
        <v>NLAWHVIFALLNAFQGFFILCFGILL</v>
      </c>
      <c r="Q331" s="4" t="str">
        <f t="shared" si="137"/>
        <v>DSKLRQLLFNKLSALSS</v>
      </c>
      <c r="R331" s="5">
        <f>VLOOKUP($A331,'SegEnds_NonXtal_Prot#'!$A:$AL,3,FALSE)</f>
        <v>573</v>
      </c>
      <c r="S331" s="5" t="str">
        <f>VLOOKUP($A331,'SegEnds_NonXtal_Prot#'!$A:$AL,6,FALSE)</f>
        <v>-</v>
      </c>
      <c r="T331" s="5">
        <f>VLOOKUP($A331,'SegEnds_NonXtal_Prot#'!$A:$AL,9,FALSE)</f>
        <v>618</v>
      </c>
      <c r="U331" s="5" t="str">
        <f>VLOOKUP($A331,'SegEnds_NonXtal_Prot#'!$A:$AL,12,FALSE)</f>
        <v>-</v>
      </c>
      <c r="V331" s="5">
        <f>VLOOKUP($A331,'SegEnds_NonXtal_Prot#'!$A:$AL,15,FALSE)</f>
        <v>655</v>
      </c>
      <c r="W331" s="5" t="str">
        <f>VLOOKUP($A331,'SegEnds_NonXtal_Prot#'!$A:$AL,18,FALSE)</f>
        <v>-</v>
      </c>
      <c r="X331" s="5">
        <f>VLOOKUP($A331,'SegEnds_NonXtal_Prot#'!$A:$AL,21,FALSE)</f>
        <v>694</v>
      </c>
      <c r="Y331" s="5">
        <f>VLOOKUP($A331,'SegEnds_NonXtal_Prot#'!$A:$AL,24,FALSE)</f>
        <v>733</v>
      </c>
      <c r="Z331" s="5">
        <f>VLOOKUP($A331,'SegEnds_NonXtal_Prot#'!$A:$AL,27,FALSE)</f>
        <v>740</v>
      </c>
      <c r="AA331" s="5">
        <f>VLOOKUP($A331,'SegEnds_NonXtal_Prot#'!$A:$AL,30,FALSE)</f>
        <v>785</v>
      </c>
      <c r="AB331" s="5">
        <f>VLOOKUP($A331,'SegEnds_NonXtal_Prot#'!$A:$AL,33,FALSE)</f>
        <v>816</v>
      </c>
      <c r="AC331" s="5">
        <f>VLOOKUP($A331,'SegEnds_NonXtal_Prot#'!$A:$AL,36,FALSE)</f>
        <v>842</v>
      </c>
      <c r="AD331" s="5">
        <f>VLOOKUP($A331,'SegEnds_NonXtal_Prot#'!$A:$AL,5,FALSE)</f>
        <v>610</v>
      </c>
      <c r="AE331" s="5" t="str">
        <f>VLOOKUP($A331,'SegEnds_NonXtal_Prot#'!$A:$AL,8,FALSE)</f>
        <v>-</v>
      </c>
      <c r="AF331" s="5">
        <f>VLOOKUP($A331,'SegEnds_NonXtal_Prot#'!$A:$AL,11,FALSE)</f>
        <v>644</v>
      </c>
      <c r="AG331" s="5" t="str">
        <f>VLOOKUP($A331,'SegEnds_NonXtal_Prot#'!$A:$AL,14,FALSE)</f>
        <v>-</v>
      </c>
      <c r="AH331" s="5">
        <f>VLOOKUP($A331,'SegEnds_NonXtal_Prot#'!$A:$AL,17,FALSE)</f>
        <v>688</v>
      </c>
      <c r="AI331" s="5" t="str">
        <f>VLOOKUP($A331,'SegEnds_NonXtal_Prot#'!$A:$AL,20,FALSE)</f>
        <v>-</v>
      </c>
      <c r="AJ331" s="5">
        <f>VLOOKUP($A331,'SegEnds_NonXtal_Prot#'!$A:$AL,23,FALSE)</f>
        <v>725</v>
      </c>
      <c r="AK331" s="5">
        <f>VLOOKUP($A331,'SegEnds_NonXtal_Prot#'!$A:$AL,26,FALSE)</f>
        <v>735</v>
      </c>
      <c r="AL331" s="5">
        <f>VLOOKUP($A331,'SegEnds_NonXtal_Prot#'!$A:$AL,29,FALSE)</f>
        <v>773</v>
      </c>
      <c r="AM331" s="5">
        <f>VLOOKUP($A331,'SegEnds_NonXtal_Prot#'!$A:$AL,32,FALSE)</f>
        <v>810</v>
      </c>
      <c r="AN331" s="5">
        <f>VLOOKUP($A331,'SegEnds_NonXtal_Prot#'!$A:$AL,35,FALSE)</f>
        <v>841</v>
      </c>
      <c r="AO331" s="5">
        <f>VLOOKUP($A331,'SegEnds_NonXtal_Prot#'!$A:$AL,38,FALSE)</f>
        <v>858</v>
      </c>
      <c r="AP331" s="5">
        <f t="shared" si="138"/>
        <v>37</v>
      </c>
      <c r="AQ331" s="4" t="str">
        <f t="shared" si="139"/>
        <v>-</v>
      </c>
      <c r="AR331" s="4">
        <f t="shared" si="140"/>
        <v>26</v>
      </c>
      <c r="AS331" s="4" t="str">
        <f t="shared" si="141"/>
        <v>-</v>
      </c>
      <c r="AT331" s="4">
        <f t="shared" si="142"/>
        <v>33</v>
      </c>
      <c r="AU331" s="4" t="str">
        <f t="shared" si="143"/>
        <v>-</v>
      </c>
      <c r="AV331" s="4">
        <f t="shared" si="144"/>
        <v>31</v>
      </c>
      <c r="AW331" s="4">
        <f t="shared" si="145"/>
        <v>2</v>
      </c>
      <c r="AX331" s="4">
        <f t="shared" si="146"/>
        <v>33</v>
      </c>
      <c r="AY331" s="4">
        <f t="shared" si="147"/>
        <v>25</v>
      </c>
      <c r="AZ331" s="4">
        <f t="shared" si="148"/>
        <v>25</v>
      </c>
      <c r="BA331" s="4">
        <f t="shared" si="149"/>
        <v>16</v>
      </c>
    </row>
    <row r="332" spans="1:53" x14ac:dyDescent="0.2">
      <c r="A332" s="1" t="str">
        <f>'SegEnds_NonXtal_Prot#'!A332</f>
        <v>agrf3_human</v>
      </c>
      <c r="B332" s="1" t="str">
        <f t="shared" si="125"/>
        <v>LMSPHTVPEEPALALLTQVGLGASILALLVCLGVYWLVKISYFRHAALLNMVFCLLAADTCFLGAPLCLAAAFLCHFLYLATFFWMLAQALVLAHQLLFVLPLMVLLGYLCPLGLAGVTLGLYLPQKGGALYTFVGPVLAIIGVNGLVLAMAMLKLLRPSALLGVIKALLILTPIFGLTWGLGLASTVPHYIFTILNTLQGVFILLFGCLMDRKIQEALRKRFCRAQA</v>
      </c>
      <c r="C332" s="29" t="str">
        <f>IF(ISERROR(MATCH(A332,'SegEnds_Xtal_Prot#'!B:B, 0)), "NoXtal", "Xtal")</f>
        <v>NoXtal</v>
      </c>
      <c r="D332" s="4" t="str">
        <f>VLOOKUP(A332,Classification!A:D,2,FALSE)</f>
        <v>B2</v>
      </c>
      <c r="E332" s="5" t="str">
        <f>VLOOKUP(A332,Seqs!A:B,2,FALSE)</f>
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</c>
      <c r="F332" s="5" t="str">
        <f t="shared" si="126"/>
        <v>LMSPHTVPEEPALALLTQVGLGASILALLVCLGVYWLV</v>
      </c>
      <c r="G332" s="4" t="str">
        <f t="shared" si="127"/>
        <v/>
      </c>
      <c r="H332" s="4" t="str">
        <f t="shared" si="128"/>
        <v>KISYFRHAALLNMVFCLLAADTCFLGA</v>
      </c>
      <c r="I332" s="4" t="str">
        <f t="shared" si="129"/>
        <v/>
      </c>
      <c r="J332" s="4" t="str">
        <f t="shared" si="130"/>
        <v>PLCLAAAFLCHFLYLATFFWMLAQALVLAHQLLF</v>
      </c>
      <c r="K332" s="4" t="str">
        <f t="shared" si="131"/>
        <v/>
      </c>
      <c r="L332" s="4" t="str">
        <f t="shared" si="132"/>
        <v>VLPLMVLLGYLCPLGLAGVTLGLYLPQ</v>
      </c>
      <c r="M332" s="4" t="str">
        <f t="shared" si="133"/>
        <v>CWL</v>
      </c>
      <c r="N332" s="4" t="str">
        <f t="shared" si="134"/>
        <v>KGGALYTFVGPVLAIIGVNGLVLAMAMLKLLRPS</v>
      </c>
      <c r="O332" s="4" t="str">
        <f t="shared" si="135"/>
        <v>ALLGVIKALLILTPIFGLTWGLGLA</v>
      </c>
      <c r="P332" s="4" t="str">
        <f t="shared" si="136"/>
        <v>STVPHYIFTILNTLQGVFILLFGCLM</v>
      </c>
      <c r="Q332" s="4" t="str">
        <f t="shared" si="137"/>
        <v>DRKIQEALRKRFCRAQA</v>
      </c>
      <c r="R332" s="5">
        <f>VLOOKUP($A332,'SegEnds_NonXtal_Prot#'!$A:$AL,3,FALSE)</f>
        <v>758</v>
      </c>
      <c r="S332" s="5" t="str">
        <f>VLOOKUP($A332,'SegEnds_NonXtal_Prot#'!$A:$AL,6,FALSE)</f>
        <v>-</v>
      </c>
      <c r="T332" s="5">
        <f>VLOOKUP($A332,'SegEnds_NonXtal_Prot#'!$A:$AL,9,FALSE)</f>
        <v>803</v>
      </c>
      <c r="U332" s="5" t="str">
        <f>VLOOKUP($A332,'SegEnds_NonXtal_Prot#'!$A:$AL,12,FALSE)</f>
        <v>-</v>
      </c>
      <c r="V332" s="5">
        <f>VLOOKUP($A332,'SegEnds_NonXtal_Prot#'!$A:$AL,15,FALSE)</f>
        <v>839</v>
      </c>
      <c r="W332" s="5" t="str">
        <f>VLOOKUP($A332,'SegEnds_NonXtal_Prot#'!$A:$AL,18,FALSE)</f>
        <v>-</v>
      </c>
      <c r="X332" s="5">
        <f>VLOOKUP($A332,'SegEnds_NonXtal_Prot#'!$A:$AL,21,FALSE)</f>
        <v>882</v>
      </c>
      <c r="Y332" s="5">
        <f>VLOOKUP($A332,'SegEnds_NonXtal_Prot#'!$A:$AL,24,FALSE)</f>
        <v>917</v>
      </c>
      <c r="Z332" s="5">
        <f>VLOOKUP($A332,'SegEnds_NonXtal_Prot#'!$A:$AL,27,FALSE)</f>
        <v>922</v>
      </c>
      <c r="AA332" s="5">
        <f>VLOOKUP($A332,'SegEnds_NonXtal_Prot#'!$A:$AL,30,FALSE)</f>
        <v>967</v>
      </c>
      <c r="AB332" s="5">
        <f>VLOOKUP($A332,'SegEnds_NonXtal_Prot#'!$A:$AL,33,FALSE)</f>
        <v>998</v>
      </c>
      <c r="AC332" s="5">
        <f>VLOOKUP($A332,'SegEnds_NonXtal_Prot#'!$A:$AL,36,FALSE)</f>
        <v>1024</v>
      </c>
      <c r="AD332" s="5">
        <f>VLOOKUP($A332,'SegEnds_NonXtal_Prot#'!$A:$AL,5,FALSE)</f>
        <v>795</v>
      </c>
      <c r="AE332" s="5" t="str">
        <f>VLOOKUP($A332,'SegEnds_NonXtal_Prot#'!$A:$AL,8,FALSE)</f>
        <v>-</v>
      </c>
      <c r="AF332" s="5">
        <f>VLOOKUP($A332,'SegEnds_NonXtal_Prot#'!$A:$AL,11,FALSE)</f>
        <v>829</v>
      </c>
      <c r="AG332" s="5" t="str">
        <f>VLOOKUP($A332,'SegEnds_NonXtal_Prot#'!$A:$AL,14,FALSE)</f>
        <v>-</v>
      </c>
      <c r="AH332" s="5">
        <f>VLOOKUP($A332,'SegEnds_NonXtal_Prot#'!$A:$AL,17,FALSE)</f>
        <v>872</v>
      </c>
      <c r="AI332" s="5" t="str">
        <f>VLOOKUP($A332,'SegEnds_NonXtal_Prot#'!$A:$AL,20,FALSE)</f>
        <v>-</v>
      </c>
      <c r="AJ332" s="5">
        <f>VLOOKUP($A332,'SegEnds_NonXtal_Prot#'!$A:$AL,23,FALSE)</f>
        <v>908</v>
      </c>
      <c r="AK332" s="5">
        <f>VLOOKUP($A332,'SegEnds_NonXtal_Prot#'!$A:$AL,26,FALSE)</f>
        <v>919</v>
      </c>
      <c r="AL332" s="5">
        <f>VLOOKUP($A332,'SegEnds_NonXtal_Prot#'!$A:$AL,29,FALSE)</f>
        <v>955</v>
      </c>
      <c r="AM332" s="5">
        <f>VLOOKUP($A332,'SegEnds_NonXtal_Prot#'!$A:$AL,32,FALSE)</f>
        <v>991</v>
      </c>
      <c r="AN332" s="5">
        <f>VLOOKUP($A332,'SegEnds_NonXtal_Prot#'!$A:$AL,35,FALSE)</f>
        <v>1023</v>
      </c>
      <c r="AO332" s="5">
        <f>VLOOKUP($A332,'SegEnds_NonXtal_Prot#'!$A:$AL,38,FALSE)</f>
        <v>1040</v>
      </c>
      <c r="AP332" s="5">
        <f t="shared" si="138"/>
        <v>37</v>
      </c>
      <c r="AQ332" s="4" t="str">
        <f t="shared" si="139"/>
        <v>-</v>
      </c>
      <c r="AR332" s="4">
        <f t="shared" si="140"/>
        <v>26</v>
      </c>
      <c r="AS332" s="4" t="str">
        <f t="shared" si="141"/>
        <v>-</v>
      </c>
      <c r="AT332" s="4">
        <f t="shared" si="142"/>
        <v>33</v>
      </c>
      <c r="AU332" s="4" t="str">
        <f t="shared" si="143"/>
        <v>-</v>
      </c>
      <c r="AV332" s="4">
        <f t="shared" si="144"/>
        <v>26</v>
      </c>
      <c r="AW332" s="4">
        <f t="shared" si="145"/>
        <v>2</v>
      </c>
      <c r="AX332" s="4">
        <f t="shared" si="146"/>
        <v>33</v>
      </c>
      <c r="AY332" s="4">
        <f t="shared" si="147"/>
        <v>24</v>
      </c>
      <c r="AZ332" s="4">
        <f t="shared" si="148"/>
        <v>25</v>
      </c>
      <c r="BA332" s="4">
        <f t="shared" si="149"/>
        <v>16</v>
      </c>
    </row>
    <row r="333" spans="1:53" x14ac:dyDescent="0.2">
      <c r="A333" s="1" t="str">
        <f>'SegEnds_NonXtal_Prot#'!A333</f>
        <v>agrf4_human</v>
      </c>
      <c r="B333" s="1" t="str">
        <f t="shared" si="125"/>
        <v>ILMSSKSMTDKVLDYITCIGLSVSILSLVLCLIIEATVEISYMRHVCIVNIAVSLLTANVWFIIGNMCVAVTFFSHFFYLSLFFWMLFKALLIIYGILVRMMVIGFAIGYGCPLIIAVTTVAITEPEKNTKALLAFAIPAFVIVAVNLIVVLVVAVNTQRPSIIMRISKNVAILTPLLGLTWGFGIASLTFHIIFALLNAFQGFFILLFGTIMDHKIRDALRMRMSSLKG</v>
      </c>
      <c r="C333" s="29" t="str">
        <f>IF(ISERROR(MATCH(A333,'SegEnds_Xtal_Prot#'!B:B, 0)), "NoXtal", "Xtal")</f>
        <v>NoXtal</v>
      </c>
      <c r="D333" s="4" t="str">
        <f>VLOOKUP(A333,Classification!A:D,2,FALSE)</f>
        <v>B2</v>
      </c>
      <c r="E333" s="5" t="str">
        <f>VLOOKUP(A333,Seqs!A:B,2,FALSE)</f>
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</c>
      <c r="F333" s="5" t="str">
        <f t="shared" si="126"/>
        <v>ILMSSKSMTDKVLDYITCIGLSVSILSLVLCLIIEATV</v>
      </c>
      <c r="G333" s="4" t="str">
        <f t="shared" si="127"/>
        <v/>
      </c>
      <c r="H333" s="4" t="str">
        <f t="shared" si="128"/>
        <v>EISYMRHVCIVNIAVSLLTANVWFIIG</v>
      </c>
      <c r="I333" s="4" t="str">
        <f t="shared" si="129"/>
        <v/>
      </c>
      <c r="J333" s="4" t="str">
        <f t="shared" si="130"/>
        <v>NMCVAVTFFSHFFYLSLFFWMLFKALLIIYGILV</v>
      </c>
      <c r="K333" s="4" t="str">
        <f t="shared" si="131"/>
        <v/>
      </c>
      <c r="L333" s="4" t="str">
        <f t="shared" si="132"/>
        <v>RMMVIGFAIGYGCPLIIAVTTVAITEPEK</v>
      </c>
      <c r="M333" s="4" t="str">
        <f t="shared" si="133"/>
        <v>CWL</v>
      </c>
      <c r="N333" s="4" t="str">
        <f t="shared" si="134"/>
        <v>NTKALLAFAIPAFVIVAVNLIVVLVVAVNTQRPS</v>
      </c>
      <c r="O333" s="4" t="str">
        <f t="shared" si="135"/>
        <v>IIMRISKNVAILTPLLGLTWGFGIA</v>
      </c>
      <c r="P333" s="4" t="str">
        <f t="shared" si="136"/>
        <v>SLTFHIIFALLNAFQGFFILLFGTIM</v>
      </c>
      <c r="Q333" s="4" t="str">
        <f t="shared" si="137"/>
        <v>DHKIRDALRMRMSSLKG</v>
      </c>
      <c r="R333" s="5">
        <f>VLOOKUP($A333,'SegEnds_NonXtal_Prot#'!$A:$AL,3,FALSE)</f>
        <v>389</v>
      </c>
      <c r="S333" s="5" t="str">
        <f>VLOOKUP($A333,'SegEnds_NonXtal_Prot#'!$A:$AL,6,FALSE)</f>
        <v>-</v>
      </c>
      <c r="T333" s="5">
        <f>VLOOKUP($A333,'SegEnds_NonXtal_Prot#'!$A:$AL,9,FALSE)</f>
        <v>434</v>
      </c>
      <c r="U333" s="5" t="str">
        <f>VLOOKUP($A333,'SegEnds_NonXtal_Prot#'!$A:$AL,12,FALSE)</f>
        <v>-</v>
      </c>
      <c r="V333" s="5">
        <f>VLOOKUP($A333,'SegEnds_NonXtal_Prot#'!$A:$AL,15,FALSE)</f>
        <v>471</v>
      </c>
      <c r="W333" s="5" t="str">
        <f>VLOOKUP($A333,'SegEnds_NonXtal_Prot#'!$A:$AL,18,FALSE)</f>
        <v>-</v>
      </c>
      <c r="X333" s="5">
        <f>VLOOKUP($A333,'SegEnds_NonXtal_Prot#'!$A:$AL,21,FALSE)</f>
        <v>513</v>
      </c>
      <c r="Y333" s="5">
        <f>VLOOKUP($A333,'SegEnds_NonXtal_Prot#'!$A:$AL,24,FALSE)</f>
        <v>549</v>
      </c>
      <c r="Z333" s="5">
        <f>VLOOKUP($A333,'SegEnds_NonXtal_Prot#'!$A:$AL,27,FALSE)</f>
        <v>555</v>
      </c>
      <c r="AA333" s="5">
        <f>VLOOKUP($A333,'SegEnds_NonXtal_Prot#'!$A:$AL,30,FALSE)</f>
        <v>599</v>
      </c>
      <c r="AB333" s="5">
        <f>VLOOKUP($A333,'SegEnds_NonXtal_Prot#'!$A:$AL,33,FALSE)</f>
        <v>630</v>
      </c>
      <c r="AC333" s="5">
        <f>VLOOKUP($A333,'SegEnds_NonXtal_Prot#'!$A:$AL,36,FALSE)</f>
        <v>656</v>
      </c>
      <c r="AD333" s="5">
        <f>VLOOKUP($A333,'SegEnds_NonXtal_Prot#'!$A:$AL,5,FALSE)</f>
        <v>426</v>
      </c>
      <c r="AE333" s="5" t="str">
        <f>VLOOKUP($A333,'SegEnds_NonXtal_Prot#'!$A:$AL,8,FALSE)</f>
        <v>-</v>
      </c>
      <c r="AF333" s="5">
        <f>VLOOKUP($A333,'SegEnds_NonXtal_Prot#'!$A:$AL,11,FALSE)</f>
        <v>460</v>
      </c>
      <c r="AG333" s="5" t="str">
        <f>VLOOKUP($A333,'SegEnds_NonXtal_Prot#'!$A:$AL,14,FALSE)</f>
        <v>-</v>
      </c>
      <c r="AH333" s="5">
        <f>VLOOKUP($A333,'SegEnds_NonXtal_Prot#'!$A:$AL,17,FALSE)</f>
        <v>504</v>
      </c>
      <c r="AI333" s="5" t="str">
        <f>VLOOKUP($A333,'SegEnds_NonXtal_Prot#'!$A:$AL,20,FALSE)</f>
        <v>-</v>
      </c>
      <c r="AJ333" s="5">
        <f>VLOOKUP($A333,'SegEnds_NonXtal_Prot#'!$A:$AL,23,FALSE)</f>
        <v>541</v>
      </c>
      <c r="AK333" s="5">
        <f>VLOOKUP($A333,'SegEnds_NonXtal_Prot#'!$A:$AL,26,FALSE)</f>
        <v>551</v>
      </c>
      <c r="AL333" s="5">
        <f>VLOOKUP($A333,'SegEnds_NonXtal_Prot#'!$A:$AL,29,FALSE)</f>
        <v>588</v>
      </c>
      <c r="AM333" s="5">
        <f>VLOOKUP($A333,'SegEnds_NonXtal_Prot#'!$A:$AL,32,FALSE)</f>
        <v>623</v>
      </c>
      <c r="AN333" s="5">
        <f>VLOOKUP($A333,'SegEnds_NonXtal_Prot#'!$A:$AL,35,FALSE)</f>
        <v>655</v>
      </c>
      <c r="AO333" s="5">
        <f>VLOOKUP($A333,'SegEnds_NonXtal_Prot#'!$A:$AL,38,FALSE)</f>
        <v>672</v>
      </c>
      <c r="AP333" s="5">
        <f t="shared" si="138"/>
        <v>37</v>
      </c>
      <c r="AQ333" s="4" t="str">
        <f t="shared" si="139"/>
        <v>-</v>
      </c>
      <c r="AR333" s="4">
        <f t="shared" si="140"/>
        <v>26</v>
      </c>
      <c r="AS333" s="4" t="str">
        <f t="shared" si="141"/>
        <v>-</v>
      </c>
      <c r="AT333" s="4">
        <f t="shared" si="142"/>
        <v>33</v>
      </c>
      <c r="AU333" s="4" t="str">
        <f t="shared" si="143"/>
        <v>-</v>
      </c>
      <c r="AV333" s="4">
        <f t="shared" si="144"/>
        <v>28</v>
      </c>
      <c r="AW333" s="4">
        <f t="shared" si="145"/>
        <v>2</v>
      </c>
      <c r="AX333" s="4">
        <f t="shared" si="146"/>
        <v>33</v>
      </c>
      <c r="AY333" s="4">
        <f t="shared" si="147"/>
        <v>24</v>
      </c>
      <c r="AZ333" s="4">
        <f t="shared" si="148"/>
        <v>25</v>
      </c>
      <c r="BA333" s="4">
        <f t="shared" si="149"/>
        <v>16</v>
      </c>
    </row>
    <row r="334" spans="1:53" x14ac:dyDescent="0.2">
      <c r="A334" s="1" t="str">
        <f>'SegEnds_NonXtal_Prot#'!A334</f>
        <v>agrf5_human</v>
      </c>
      <c r="B334" s="1" t="str">
        <f t="shared" si="125"/>
        <v>DSPDPSSLLGILLDIISYVGVGFSILSLAACLVVEAVVKNRTSYMRHTCIVNIAASLLVANTWFIVVTACVAATFFIHFFYLSVFFWMLTLGLMLFYRLVFTQKAIAFCLGYGCPLAISVITLGATQPREDTKALLAFAIPALIIVVVNITITIVVITKILRPSSLFQISKSIGVLTPLLGLTWGFGLTNLVFHIIFAILNVFQGLFILLFGCLWDLKVQEALLNKFSLSRW</v>
      </c>
      <c r="C334" s="29" t="str">
        <f>IF(ISERROR(MATCH(A334,'SegEnds_Xtal_Prot#'!B:B, 0)), "NoXtal", "Xtal")</f>
        <v>NoXtal</v>
      </c>
      <c r="D334" s="4" t="str">
        <f>VLOOKUP(A334,Classification!A:D,2,FALSE)</f>
        <v>B2</v>
      </c>
      <c r="E334" s="5" t="str">
        <f>VLOOKUP(A334,Seqs!A:B,2,FALSE)</f>
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</c>
      <c r="F334" s="5" t="str">
        <f t="shared" si="126"/>
        <v>DSPDPSSLLGILLDIISYVGVGFSILSLAACLVVEAVV</v>
      </c>
      <c r="G334" s="4" t="str">
        <f t="shared" si="127"/>
        <v>KSVT</v>
      </c>
      <c r="H334" s="4" t="str">
        <f t="shared" si="128"/>
        <v>KNRTSYMRHTCIVNIAASLLVANTWFIVV</v>
      </c>
      <c r="I334" s="4" t="str">
        <f t="shared" si="129"/>
        <v/>
      </c>
      <c r="J334" s="4" t="str">
        <f t="shared" si="130"/>
        <v>TACVAATFFIHFFYLSVFFWMLTLGLMLFYRLVF</v>
      </c>
      <c r="K334" s="4" t="str">
        <f t="shared" si="131"/>
        <v/>
      </c>
      <c r="L334" s="4" t="str">
        <f t="shared" si="132"/>
        <v>TQKAIAFCLGYGCPLAISVITLGATQPRE</v>
      </c>
      <c r="M334" s="4" t="str">
        <f t="shared" si="133"/>
        <v>CWL</v>
      </c>
      <c r="N334" s="4" t="str">
        <f t="shared" si="134"/>
        <v>DTKALLAFAIPALIIVVVNITITIVVITKILRPS</v>
      </c>
      <c r="O334" s="4" t="str">
        <f t="shared" si="135"/>
        <v>SLFQISKSIGVLTPLLGLTWGFGLT</v>
      </c>
      <c r="P334" s="4" t="str">
        <f t="shared" si="136"/>
        <v>NLVFHIIFAILNVFQGLFILLFGCLW</v>
      </c>
      <c r="Q334" s="4" t="str">
        <f t="shared" si="137"/>
        <v>DLKVQEALLNKFSLSRW</v>
      </c>
      <c r="R334" s="5">
        <f>VLOOKUP($A334,'SegEnds_NonXtal_Prot#'!$A:$AL,3,FALSE)</f>
        <v>1000</v>
      </c>
      <c r="S334" s="5">
        <f>VLOOKUP($A334,'SegEnds_NonXtal_Prot#'!$A:$AL,6,FALSE)</f>
        <v>1039</v>
      </c>
      <c r="T334" s="5">
        <f>VLOOKUP($A334,'SegEnds_NonXtal_Prot#'!$A:$AL,9,FALSE)</f>
        <v>1043</v>
      </c>
      <c r="U334" s="5" t="str">
        <f>VLOOKUP($A334,'SegEnds_NonXtal_Prot#'!$A:$AL,12,FALSE)</f>
        <v>-</v>
      </c>
      <c r="V334" s="5">
        <f>VLOOKUP($A334,'SegEnds_NonXtal_Prot#'!$A:$AL,15,FALSE)</f>
        <v>1084</v>
      </c>
      <c r="W334" s="5" t="str">
        <f>VLOOKUP($A334,'SegEnds_NonXtal_Prot#'!$A:$AL,18,FALSE)</f>
        <v>-</v>
      </c>
      <c r="X334" s="5">
        <f>VLOOKUP($A334,'SegEnds_NonXtal_Prot#'!$A:$AL,21,FALSE)</f>
        <v>1126</v>
      </c>
      <c r="Y334" s="5">
        <f>VLOOKUP($A334,'SegEnds_NonXtal_Prot#'!$A:$AL,24,FALSE)</f>
        <v>1162</v>
      </c>
      <c r="Z334" s="5">
        <f>VLOOKUP($A334,'SegEnds_NonXtal_Prot#'!$A:$AL,27,FALSE)</f>
        <v>1168</v>
      </c>
      <c r="AA334" s="5">
        <f>VLOOKUP($A334,'SegEnds_NonXtal_Prot#'!$A:$AL,30,FALSE)</f>
        <v>1213</v>
      </c>
      <c r="AB334" s="5">
        <f>VLOOKUP($A334,'SegEnds_NonXtal_Prot#'!$A:$AL,33,FALSE)</f>
        <v>1244</v>
      </c>
      <c r="AC334" s="5">
        <f>VLOOKUP($A334,'SegEnds_NonXtal_Prot#'!$A:$AL,36,FALSE)</f>
        <v>1270</v>
      </c>
      <c r="AD334" s="5">
        <f>VLOOKUP($A334,'SegEnds_NonXtal_Prot#'!$A:$AL,5,FALSE)</f>
        <v>1037</v>
      </c>
      <c r="AE334" s="5">
        <f>VLOOKUP($A334,'SegEnds_NonXtal_Prot#'!$A:$AL,8,FALSE)</f>
        <v>1042</v>
      </c>
      <c r="AF334" s="5">
        <f>VLOOKUP($A334,'SegEnds_NonXtal_Prot#'!$A:$AL,11,FALSE)</f>
        <v>1071</v>
      </c>
      <c r="AG334" s="5" t="str">
        <f>VLOOKUP($A334,'SegEnds_NonXtal_Prot#'!$A:$AL,14,FALSE)</f>
        <v>-</v>
      </c>
      <c r="AH334" s="5">
        <f>VLOOKUP($A334,'SegEnds_NonXtal_Prot#'!$A:$AL,17,FALSE)</f>
        <v>1117</v>
      </c>
      <c r="AI334" s="5" t="str">
        <f>VLOOKUP($A334,'SegEnds_NonXtal_Prot#'!$A:$AL,20,FALSE)</f>
        <v>-</v>
      </c>
      <c r="AJ334" s="5">
        <f>VLOOKUP($A334,'SegEnds_NonXtal_Prot#'!$A:$AL,23,FALSE)</f>
        <v>1154</v>
      </c>
      <c r="AK334" s="5">
        <f>VLOOKUP($A334,'SegEnds_NonXtal_Prot#'!$A:$AL,26,FALSE)</f>
        <v>1164</v>
      </c>
      <c r="AL334" s="5">
        <f>VLOOKUP($A334,'SegEnds_NonXtal_Prot#'!$A:$AL,29,FALSE)</f>
        <v>1201</v>
      </c>
      <c r="AM334" s="5">
        <f>VLOOKUP($A334,'SegEnds_NonXtal_Prot#'!$A:$AL,32,FALSE)</f>
        <v>1237</v>
      </c>
      <c r="AN334" s="5">
        <f>VLOOKUP($A334,'SegEnds_NonXtal_Prot#'!$A:$AL,35,FALSE)</f>
        <v>1269</v>
      </c>
      <c r="AO334" s="5">
        <f>VLOOKUP($A334,'SegEnds_NonXtal_Prot#'!$A:$AL,38,FALSE)</f>
        <v>1286</v>
      </c>
      <c r="AP334" s="5">
        <f t="shared" si="138"/>
        <v>37</v>
      </c>
      <c r="AQ334" s="4">
        <f t="shared" si="139"/>
        <v>3</v>
      </c>
      <c r="AR334" s="4">
        <f t="shared" si="140"/>
        <v>28</v>
      </c>
      <c r="AS334" s="4" t="str">
        <f t="shared" si="141"/>
        <v>-</v>
      </c>
      <c r="AT334" s="4">
        <f t="shared" si="142"/>
        <v>33</v>
      </c>
      <c r="AU334" s="4" t="str">
        <f t="shared" si="143"/>
        <v>-</v>
      </c>
      <c r="AV334" s="4">
        <f t="shared" si="144"/>
        <v>28</v>
      </c>
      <c r="AW334" s="4">
        <f t="shared" si="145"/>
        <v>2</v>
      </c>
      <c r="AX334" s="4">
        <f t="shared" si="146"/>
        <v>33</v>
      </c>
      <c r="AY334" s="4">
        <f t="shared" si="147"/>
        <v>24</v>
      </c>
      <c r="AZ334" s="4">
        <f t="shared" si="148"/>
        <v>25</v>
      </c>
      <c r="BA334" s="4">
        <f t="shared" si="149"/>
        <v>16</v>
      </c>
    </row>
    <row r="335" spans="1:53" x14ac:dyDescent="0.2">
      <c r="A335" s="1" t="str">
        <f>'SegEnds_NonXtal_Prot#'!A335</f>
        <v>agrg1_human</v>
      </c>
      <c r="B335" s="1" t="str">
        <f t="shared" si="125"/>
        <v>SSVEVDAVHKHYLSLLSYVGCVVSALACLVTIAAYLCSCRRKPRDYTIKVHMNLLLAVFLLDTSFLLSEPVAGCRASAIFLHFSLLTCLSWMGLEGYNLYRLVVEGYLLKLSAMGWGFPIFLVTLVALVDVDNYSLVSYITNLGLFSLVFLFNMAMLATMVVQILRLRQKWSHVLTLLGLSLVLGLPWALIFFGTFQLVVLYLFSIITSFQGFLIFIWYWSMRLQARGGPSPLKSNSDS</v>
      </c>
      <c r="C335" s="29" t="str">
        <f>IF(ISERROR(MATCH(A335,'SegEnds_Xtal_Prot#'!B:B, 0)), "NoXtal", "Xtal")</f>
        <v>NoXtal</v>
      </c>
      <c r="D335" s="4" t="str">
        <f>VLOOKUP(A335,Classification!A:D,2,FALSE)</f>
        <v>B2</v>
      </c>
      <c r="E335" s="5" t="str">
        <f>VLOOKUP(A335,Seqs!A:B,2,FALSE)</f>
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</c>
      <c r="F335" s="5" t="str">
        <f t="shared" si="126"/>
        <v>SSVEVDAVHKHYLSLLSYVGCVVSALACLVTIAAYLCS</v>
      </c>
      <c r="G335" s="4" t="str">
        <f t="shared" si="127"/>
        <v>VPLP</v>
      </c>
      <c r="H335" s="4" t="str">
        <f t="shared" si="128"/>
        <v>CRRKPRDYTIKVHMNLLLAVFLLDTSFLLSEPV</v>
      </c>
      <c r="I335" s="4" t="str">
        <f t="shared" si="129"/>
        <v/>
      </c>
      <c r="J335" s="4" t="str">
        <f t="shared" si="130"/>
        <v>AGCRASAIFLHFSLLTCLSWMGLEGYNLYRLVVE</v>
      </c>
      <c r="K335" s="4" t="str">
        <f t="shared" si="131"/>
        <v/>
      </c>
      <c r="L335" s="4" t="str">
        <f t="shared" si="132"/>
        <v>GYLLKLSAMGWGFPIFLVTLVALVDVDNY</v>
      </c>
      <c r="M335" s="4" t="str">
        <f t="shared" si="133"/>
        <v>CWI</v>
      </c>
      <c r="N335" s="4" t="str">
        <f t="shared" si="134"/>
        <v>SLVSYITNLGLFSLVFLFNMAMLATMVVQILRLR</v>
      </c>
      <c r="O335" s="4" t="str">
        <f t="shared" si="135"/>
        <v>QKWSHVLTLLGLSLVLGLPWALIFF</v>
      </c>
      <c r="P335" s="4" t="str">
        <f t="shared" si="136"/>
        <v>GTFQLVVLYLFSIITSFQGFLIFIWYWSM</v>
      </c>
      <c r="Q335" s="4" t="str">
        <f t="shared" si="137"/>
        <v>RLQARGGPSPLKSNSDS</v>
      </c>
      <c r="R335" s="5">
        <f>VLOOKUP($A335,'SegEnds_NonXtal_Prot#'!$A:$AL,3,FALSE)</f>
        <v>391</v>
      </c>
      <c r="S335" s="5">
        <f>VLOOKUP($A335,'SegEnds_NonXtal_Prot#'!$A:$AL,6,FALSE)</f>
        <v>430</v>
      </c>
      <c r="T335" s="5">
        <f>VLOOKUP($A335,'SegEnds_NonXtal_Prot#'!$A:$AL,9,FALSE)</f>
        <v>434</v>
      </c>
      <c r="U335" s="5" t="str">
        <f>VLOOKUP($A335,'SegEnds_NonXtal_Prot#'!$A:$AL,12,FALSE)</f>
        <v>-</v>
      </c>
      <c r="V335" s="5">
        <f>VLOOKUP($A335,'SegEnds_NonXtal_Prot#'!$A:$AL,15,FALSE)</f>
        <v>473</v>
      </c>
      <c r="W335" s="5" t="str">
        <f>VLOOKUP($A335,'SegEnds_NonXtal_Prot#'!$A:$AL,18,FALSE)</f>
        <v>-</v>
      </c>
      <c r="X335" s="5">
        <f>VLOOKUP($A335,'SegEnds_NonXtal_Prot#'!$A:$AL,21,FALSE)</f>
        <v>514</v>
      </c>
      <c r="Y335" s="5">
        <f>VLOOKUP($A335,'SegEnds_NonXtal_Prot#'!$A:$AL,24,FALSE)</f>
        <v>562</v>
      </c>
      <c r="Z335" s="5">
        <f>VLOOKUP($A335,'SegEnds_NonXtal_Prot#'!$A:$AL,27,FALSE)</f>
        <v>567</v>
      </c>
      <c r="AA335" s="5">
        <f>VLOOKUP($A335,'SegEnds_NonXtal_Prot#'!$A:$AL,30,FALSE)</f>
        <v>604</v>
      </c>
      <c r="AB335" s="5">
        <f>VLOOKUP($A335,'SegEnds_NonXtal_Prot#'!$A:$AL,33,FALSE)</f>
        <v>633</v>
      </c>
      <c r="AC335" s="5">
        <f>VLOOKUP($A335,'SegEnds_NonXtal_Prot#'!$A:$AL,36,FALSE)</f>
        <v>662</v>
      </c>
      <c r="AD335" s="5">
        <f>VLOOKUP($A335,'SegEnds_NonXtal_Prot#'!$A:$AL,5,FALSE)</f>
        <v>428</v>
      </c>
      <c r="AE335" s="5">
        <f>VLOOKUP($A335,'SegEnds_NonXtal_Prot#'!$A:$AL,8,FALSE)</f>
        <v>433</v>
      </c>
      <c r="AF335" s="5">
        <f>VLOOKUP($A335,'SegEnds_NonXtal_Prot#'!$A:$AL,11,FALSE)</f>
        <v>466</v>
      </c>
      <c r="AG335" s="5" t="str">
        <f>VLOOKUP($A335,'SegEnds_NonXtal_Prot#'!$A:$AL,14,FALSE)</f>
        <v>-</v>
      </c>
      <c r="AH335" s="5">
        <f>VLOOKUP($A335,'SegEnds_NonXtal_Prot#'!$A:$AL,17,FALSE)</f>
        <v>506</v>
      </c>
      <c r="AI335" s="5" t="str">
        <f>VLOOKUP($A335,'SegEnds_NonXtal_Prot#'!$A:$AL,20,FALSE)</f>
        <v>-</v>
      </c>
      <c r="AJ335" s="5">
        <f>VLOOKUP($A335,'SegEnds_NonXtal_Prot#'!$A:$AL,23,FALSE)</f>
        <v>542</v>
      </c>
      <c r="AK335" s="5">
        <f>VLOOKUP($A335,'SegEnds_NonXtal_Prot#'!$A:$AL,26,FALSE)</f>
        <v>564</v>
      </c>
      <c r="AL335" s="5">
        <f>VLOOKUP($A335,'SegEnds_NonXtal_Prot#'!$A:$AL,29,FALSE)</f>
        <v>600</v>
      </c>
      <c r="AM335" s="5">
        <f>VLOOKUP($A335,'SegEnds_NonXtal_Prot#'!$A:$AL,32,FALSE)</f>
        <v>628</v>
      </c>
      <c r="AN335" s="5">
        <f>VLOOKUP($A335,'SegEnds_NonXtal_Prot#'!$A:$AL,35,FALSE)</f>
        <v>661</v>
      </c>
      <c r="AO335" s="5">
        <f>VLOOKUP($A335,'SegEnds_NonXtal_Prot#'!$A:$AL,38,FALSE)</f>
        <v>678</v>
      </c>
      <c r="AP335" s="5">
        <f t="shared" si="138"/>
        <v>37</v>
      </c>
      <c r="AQ335" s="4">
        <f t="shared" si="139"/>
        <v>3</v>
      </c>
      <c r="AR335" s="4">
        <f t="shared" si="140"/>
        <v>32</v>
      </c>
      <c r="AS335" s="4" t="str">
        <f t="shared" si="141"/>
        <v>-</v>
      </c>
      <c r="AT335" s="4">
        <f t="shared" si="142"/>
        <v>33</v>
      </c>
      <c r="AU335" s="4" t="str">
        <f t="shared" si="143"/>
        <v>-</v>
      </c>
      <c r="AV335" s="4">
        <f t="shared" si="144"/>
        <v>28</v>
      </c>
      <c r="AW335" s="4">
        <f t="shared" si="145"/>
        <v>2</v>
      </c>
      <c r="AX335" s="4">
        <f t="shared" si="146"/>
        <v>33</v>
      </c>
      <c r="AY335" s="4">
        <f t="shared" si="147"/>
        <v>24</v>
      </c>
      <c r="AZ335" s="4">
        <f t="shared" si="148"/>
        <v>28</v>
      </c>
      <c r="BA335" s="4">
        <f t="shared" si="149"/>
        <v>16</v>
      </c>
    </row>
    <row r="336" spans="1:53" x14ac:dyDescent="0.2">
      <c r="A336" s="1" t="str">
        <f>'SegEnds_NonXtal_Prot#'!A336</f>
        <v>agrg2_human</v>
      </c>
      <c r="B336" s="1" t="str">
        <f t="shared" si="125"/>
        <v>SRTSVLPAQMMALTFITYIGCGLSSIFLSVTLVTYIAFDYPSKILIQLCAALLLLNLVFLLDSWIGLCISVAVFLHYFLLVSFTWMGLEAFHMYLALVKKYILKFCIVGWGVPAVVVTIILTISPDNYNAVFYITVVGYFCVIFLLNVSMFIVVLVQLCRIKTSIQDLRSIAGLTFLLGITWGFAFFANVTFMYLFAIFNTLQGFFIFIFYCVAKENVRKQWRRYLCCGKL</v>
      </c>
      <c r="C336" s="29" t="str">
        <f>IF(ISERROR(MATCH(A336,'SegEnds_Xtal_Prot#'!B:B, 0)), "NoXtal", "Xtal")</f>
        <v>NoXtal</v>
      </c>
      <c r="D336" s="4" t="str">
        <f>VLOOKUP(A336,Classification!A:D,2,FALSE)</f>
        <v>B2</v>
      </c>
      <c r="E336" s="5" t="str">
        <f>VLOOKUP(A336,Seqs!A:B,2,FALSE)</f>
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</c>
      <c r="F336" s="5" t="str">
        <f t="shared" si="126"/>
        <v>SRTSVLPAQMMALTFITYIGCGLSSIFLSVTLVTYIAF</v>
      </c>
      <c r="G336" s="4" t="str">
        <f t="shared" si="127"/>
        <v/>
      </c>
      <c r="H336" s="4" t="str">
        <f t="shared" si="128"/>
        <v>DYPSKILIQLCAALLLLNLVFLLDSWI</v>
      </c>
      <c r="I336" s="4" t="str">
        <f t="shared" si="129"/>
        <v/>
      </c>
      <c r="J336" s="4" t="str">
        <f t="shared" si="130"/>
        <v>GLCISVAVFLHYFLLVSFTWMGLEAFHMYLALVK</v>
      </c>
      <c r="K336" s="4" t="str">
        <f t="shared" si="131"/>
        <v/>
      </c>
      <c r="L336" s="4" t="str">
        <f t="shared" si="132"/>
        <v>KYILKFCIVGWGVPAVVVTIILTISPDNY</v>
      </c>
      <c r="M336" s="4" t="str">
        <f t="shared" si="133"/>
        <v>CWI</v>
      </c>
      <c r="N336" s="4" t="str">
        <f t="shared" si="134"/>
        <v>NAVFYITVVGYFCVIFLLNVSMFIVVLVQLCRIK</v>
      </c>
      <c r="O336" s="4" t="str">
        <f t="shared" si="135"/>
        <v>TSIQDLRSIAGLTFLLGITWGFAFFA</v>
      </c>
      <c r="P336" s="4" t="str">
        <f t="shared" si="136"/>
        <v>NVTFMYLFAIFNTLQGFFIFIFYCVA</v>
      </c>
      <c r="Q336" s="4" t="str">
        <f t="shared" si="137"/>
        <v>KENVRKQWRRYLCCGKL</v>
      </c>
      <c r="R336" s="5">
        <f>VLOOKUP($A336,'SegEnds_NonXtal_Prot#'!$A:$AL,3,FALSE)</f>
        <v>616</v>
      </c>
      <c r="S336" s="5" t="str">
        <f>VLOOKUP($A336,'SegEnds_NonXtal_Prot#'!$A:$AL,6,FALSE)</f>
        <v>-</v>
      </c>
      <c r="T336" s="5">
        <f>VLOOKUP($A336,'SegEnds_NonXtal_Prot#'!$A:$AL,9,FALSE)</f>
        <v>659</v>
      </c>
      <c r="U336" s="5" t="str">
        <f>VLOOKUP($A336,'SegEnds_NonXtal_Prot#'!$A:$AL,12,FALSE)</f>
        <v>-</v>
      </c>
      <c r="V336" s="5">
        <f>VLOOKUP($A336,'SegEnds_NonXtal_Prot#'!$A:$AL,15,FALSE)</f>
        <v>692</v>
      </c>
      <c r="W336" s="5" t="str">
        <f>VLOOKUP($A336,'SegEnds_NonXtal_Prot#'!$A:$AL,18,FALSE)</f>
        <v>-</v>
      </c>
      <c r="X336" s="5">
        <f>VLOOKUP($A336,'SegEnds_NonXtal_Prot#'!$A:$AL,21,FALSE)</f>
        <v>733</v>
      </c>
      <c r="Y336" s="5">
        <f>VLOOKUP($A336,'SegEnds_NonXtal_Prot#'!$A:$AL,24,FALSE)</f>
        <v>778</v>
      </c>
      <c r="Z336" s="5">
        <f>VLOOKUP($A336,'SegEnds_NonXtal_Prot#'!$A:$AL,27,FALSE)</f>
        <v>783</v>
      </c>
      <c r="AA336" s="5">
        <f>VLOOKUP($A336,'SegEnds_NonXtal_Prot#'!$A:$AL,30,FALSE)</f>
        <v>827</v>
      </c>
      <c r="AB336" s="5">
        <f>VLOOKUP($A336,'SegEnds_NonXtal_Prot#'!$A:$AL,33,FALSE)</f>
        <v>857</v>
      </c>
      <c r="AC336" s="5">
        <f>VLOOKUP($A336,'SegEnds_NonXtal_Prot#'!$A:$AL,36,FALSE)</f>
        <v>883</v>
      </c>
      <c r="AD336" s="5">
        <f>VLOOKUP($A336,'SegEnds_NonXtal_Prot#'!$A:$AL,5,FALSE)</f>
        <v>653</v>
      </c>
      <c r="AE336" s="5" t="str">
        <f>VLOOKUP($A336,'SegEnds_NonXtal_Prot#'!$A:$AL,8,FALSE)</f>
        <v>-</v>
      </c>
      <c r="AF336" s="5">
        <f>VLOOKUP($A336,'SegEnds_NonXtal_Prot#'!$A:$AL,11,FALSE)</f>
        <v>685</v>
      </c>
      <c r="AG336" s="5" t="str">
        <f>VLOOKUP($A336,'SegEnds_NonXtal_Prot#'!$A:$AL,14,FALSE)</f>
        <v>-</v>
      </c>
      <c r="AH336" s="5">
        <f>VLOOKUP($A336,'SegEnds_NonXtal_Prot#'!$A:$AL,17,FALSE)</f>
        <v>725</v>
      </c>
      <c r="AI336" s="5" t="str">
        <f>VLOOKUP($A336,'SegEnds_NonXtal_Prot#'!$A:$AL,20,FALSE)</f>
        <v>-</v>
      </c>
      <c r="AJ336" s="5">
        <f>VLOOKUP($A336,'SegEnds_NonXtal_Prot#'!$A:$AL,23,FALSE)</f>
        <v>761</v>
      </c>
      <c r="AK336" s="5">
        <f>VLOOKUP($A336,'SegEnds_NonXtal_Prot#'!$A:$AL,26,FALSE)</f>
        <v>780</v>
      </c>
      <c r="AL336" s="5">
        <f>VLOOKUP($A336,'SegEnds_NonXtal_Prot#'!$A:$AL,29,FALSE)</f>
        <v>816</v>
      </c>
      <c r="AM336" s="5">
        <f>VLOOKUP($A336,'SegEnds_NonXtal_Prot#'!$A:$AL,32,FALSE)</f>
        <v>852</v>
      </c>
      <c r="AN336" s="5">
        <f>VLOOKUP($A336,'SegEnds_NonXtal_Prot#'!$A:$AL,35,FALSE)</f>
        <v>882</v>
      </c>
      <c r="AO336" s="5">
        <f>VLOOKUP($A336,'SegEnds_NonXtal_Prot#'!$A:$AL,38,FALSE)</f>
        <v>899</v>
      </c>
      <c r="AP336" s="5">
        <f t="shared" si="138"/>
        <v>37</v>
      </c>
      <c r="AQ336" s="4" t="str">
        <f t="shared" si="139"/>
        <v>-</v>
      </c>
      <c r="AR336" s="4">
        <f t="shared" si="140"/>
        <v>26</v>
      </c>
      <c r="AS336" s="4" t="str">
        <f t="shared" si="141"/>
        <v>-</v>
      </c>
      <c r="AT336" s="4">
        <f t="shared" si="142"/>
        <v>33</v>
      </c>
      <c r="AU336" s="4" t="str">
        <f t="shared" si="143"/>
        <v>-</v>
      </c>
      <c r="AV336" s="4">
        <f t="shared" si="144"/>
        <v>28</v>
      </c>
      <c r="AW336" s="4">
        <f t="shared" si="145"/>
        <v>2</v>
      </c>
      <c r="AX336" s="4">
        <f t="shared" si="146"/>
        <v>33</v>
      </c>
      <c r="AY336" s="4">
        <f t="shared" si="147"/>
        <v>25</v>
      </c>
      <c r="AZ336" s="4">
        <f t="shared" si="148"/>
        <v>25</v>
      </c>
      <c r="BA336" s="4">
        <f t="shared" si="149"/>
        <v>16</v>
      </c>
    </row>
    <row r="337" spans="1:53" x14ac:dyDescent="0.2">
      <c r="A337" s="1" t="str">
        <f>'SegEnds_NonXtal_Prot#'!A337</f>
        <v>agrg3_human</v>
      </c>
      <c r="B337" s="1" t="str">
        <f t="shared" si="125"/>
        <v>LRPTLDQSTVHILTRISQAGCGVSMIFLAFTIILYAFLEDAPKIHVALGGSLFLLNLAFLVNVGSAACWARGAVFHYFLLCAFTWMGLEAFHLYLLAVRYFGHYFLKLSLVGWGLPALMVIGTGSANSYGLEGTTMYALYITVHGYFLITFLFGMVVLALVVWKIKNRKKVLTLLGLSSLVGVTWGLGLSTVYIFALFNSLQGVFICCWFTILYLPSQSTTVSSSTARLD</v>
      </c>
      <c r="C337" s="29" t="str">
        <f>IF(ISERROR(MATCH(A337,'SegEnds_Xtal_Prot#'!B:B, 0)), "NoXtal", "Xtal")</f>
        <v>NoXtal</v>
      </c>
      <c r="D337" s="4" t="str">
        <f>VLOOKUP(A337,Classification!A:D,2,FALSE)</f>
        <v>B2</v>
      </c>
      <c r="E337" s="5" t="str">
        <f>VLOOKUP(A337,Seqs!A:B,2,FALSE)</f>
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</c>
      <c r="F337" s="5" t="str">
        <f t="shared" si="126"/>
        <v>LRPTLDQSTVHILTRISQAGCGVSMIFLAFTIILYAFL</v>
      </c>
      <c r="G337" s="4" t="str">
        <f t="shared" si="127"/>
        <v/>
      </c>
      <c r="H337" s="4" t="str">
        <f t="shared" si="128"/>
        <v>EDAPKIHVALGGSLFLLNLAFLVNVGS</v>
      </c>
      <c r="I337" s="4" t="str">
        <f t="shared" si="129"/>
        <v/>
      </c>
      <c r="J337" s="4" t="str">
        <f t="shared" si="130"/>
        <v>AACWARGAVFHYFLLCAFTWMGLEAFHLYLLAVR</v>
      </c>
      <c r="K337" s="4" t="str">
        <f t="shared" si="131"/>
        <v/>
      </c>
      <c r="L337" s="4" t="str">
        <f t="shared" si="132"/>
        <v>YFGHYFLKLSLVGWGLPALMVIGTGSANSYGL</v>
      </c>
      <c r="M337" s="4" t="str">
        <f t="shared" si="133"/>
        <v>CWF</v>
      </c>
      <c r="N337" s="4" t="str">
        <f t="shared" si="134"/>
        <v>EGTTMYALYITVHGYFLITFLFGMVVLALVVWKI</v>
      </c>
      <c r="O337" s="4" t="str">
        <f t="shared" si="135"/>
        <v>KNRKKVLTLLGLSSLVGVTWGL</v>
      </c>
      <c r="P337" s="4" t="str">
        <f t="shared" si="136"/>
        <v>GLSTVYIFALFNSLQGVFICCWFTIL</v>
      </c>
      <c r="Q337" s="4" t="str">
        <f t="shared" si="137"/>
        <v>YLPSQSTTVSSSTARLD</v>
      </c>
      <c r="R337" s="5">
        <f>VLOOKUP($A337,'SegEnds_NonXtal_Prot#'!$A:$AL,3,FALSE)</f>
        <v>256</v>
      </c>
      <c r="S337" s="5" t="str">
        <f>VLOOKUP($A337,'SegEnds_NonXtal_Prot#'!$A:$AL,6,FALSE)</f>
        <v>-</v>
      </c>
      <c r="T337" s="5">
        <f>VLOOKUP($A337,'SegEnds_NonXtal_Prot#'!$A:$AL,9,FALSE)</f>
        <v>303</v>
      </c>
      <c r="U337" s="5" t="str">
        <f>VLOOKUP($A337,'SegEnds_NonXtal_Prot#'!$A:$AL,12,FALSE)</f>
        <v>-</v>
      </c>
      <c r="V337" s="5">
        <f>VLOOKUP($A337,'SegEnds_NonXtal_Prot#'!$A:$AL,15,FALSE)</f>
        <v>336</v>
      </c>
      <c r="W337" s="5" t="str">
        <f>VLOOKUP($A337,'SegEnds_NonXtal_Prot#'!$A:$AL,18,FALSE)</f>
        <v>-</v>
      </c>
      <c r="X337" s="5">
        <f>VLOOKUP($A337,'SegEnds_NonXtal_Prot#'!$A:$AL,21,FALSE)</f>
        <v>374</v>
      </c>
      <c r="Y337" s="5">
        <f>VLOOKUP($A337,'SegEnds_NonXtal_Prot#'!$A:$AL,24,FALSE)</f>
        <v>420</v>
      </c>
      <c r="Z337" s="5">
        <f>VLOOKUP($A337,'SegEnds_NonXtal_Prot#'!$A:$AL,27,FALSE)</f>
        <v>424</v>
      </c>
      <c r="AA337" s="5">
        <f>VLOOKUP($A337,'SegEnds_NonXtal_Prot#'!$A:$AL,30,FALSE)</f>
        <v>471</v>
      </c>
      <c r="AB337" s="5">
        <f>VLOOKUP($A337,'SegEnds_NonXtal_Prot#'!$A:$AL,33,FALSE)</f>
        <v>499</v>
      </c>
      <c r="AC337" s="5">
        <f>VLOOKUP($A337,'SegEnds_NonXtal_Prot#'!$A:$AL,36,FALSE)</f>
        <v>525</v>
      </c>
      <c r="AD337" s="5">
        <f>VLOOKUP($A337,'SegEnds_NonXtal_Prot#'!$A:$AL,5,FALSE)</f>
        <v>293</v>
      </c>
      <c r="AE337" s="5" t="str">
        <f>VLOOKUP($A337,'SegEnds_NonXtal_Prot#'!$A:$AL,8,FALSE)</f>
        <v>-</v>
      </c>
      <c r="AF337" s="5">
        <f>VLOOKUP($A337,'SegEnds_NonXtal_Prot#'!$A:$AL,11,FALSE)</f>
        <v>329</v>
      </c>
      <c r="AG337" s="5" t="str">
        <f>VLOOKUP($A337,'SegEnds_NonXtal_Prot#'!$A:$AL,14,FALSE)</f>
        <v>-</v>
      </c>
      <c r="AH337" s="5">
        <f>VLOOKUP($A337,'SegEnds_NonXtal_Prot#'!$A:$AL,17,FALSE)</f>
        <v>369</v>
      </c>
      <c r="AI337" s="5" t="str">
        <f>VLOOKUP($A337,'SegEnds_NonXtal_Prot#'!$A:$AL,20,FALSE)</f>
        <v>-</v>
      </c>
      <c r="AJ337" s="5">
        <f>VLOOKUP($A337,'SegEnds_NonXtal_Prot#'!$A:$AL,23,FALSE)</f>
        <v>405</v>
      </c>
      <c r="AK337" s="5">
        <f>VLOOKUP($A337,'SegEnds_NonXtal_Prot#'!$A:$AL,26,FALSE)</f>
        <v>422</v>
      </c>
      <c r="AL337" s="5">
        <f>VLOOKUP($A337,'SegEnds_NonXtal_Prot#'!$A:$AL,29,FALSE)</f>
        <v>457</v>
      </c>
      <c r="AM337" s="5">
        <f>VLOOKUP($A337,'SegEnds_NonXtal_Prot#'!$A:$AL,32,FALSE)</f>
        <v>492</v>
      </c>
      <c r="AN337" s="5">
        <f>VLOOKUP($A337,'SegEnds_NonXtal_Prot#'!$A:$AL,35,FALSE)</f>
        <v>524</v>
      </c>
      <c r="AO337" s="5">
        <f>VLOOKUP($A337,'SegEnds_NonXtal_Prot#'!$A:$AL,38,FALSE)</f>
        <v>541</v>
      </c>
      <c r="AP337" s="5">
        <f t="shared" si="138"/>
        <v>37</v>
      </c>
      <c r="AQ337" s="4" t="str">
        <f t="shared" si="139"/>
        <v>-</v>
      </c>
      <c r="AR337" s="4">
        <f t="shared" si="140"/>
        <v>26</v>
      </c>
      <c r="AS337" s="4" t="str">
        <f t="shared" si="141"/>
        <v>-</v>
      </c>
      <c r="AT337" s="4">
        <f t="shared" si="142"/>
        <v>33</v>
      </c>
      <c r="AU337" s="4" t="str">
        <f t="shared" si="143"/>
        <v>-</v>
      </c>
      <c r="AV337" s="4">
        <f t="shared" si="144"/>
        <v>31</v>
      </c>
      <c r="AW337" s="4">
        <f t="shared" si="145"/>
        <v>2</v>
      </c>
      <c r="AX337" s="4">
        <f t="shared" si="146"/>
        <v>33</v>
      </c>
      <c r="AY337" s="4">
        <f t="shared" si="147"/>
        <v>21</v>
      </c>
      <c r="AZ337" s="4">
        <f t="shared" si="148"/>
        <v>25</v>
      </c>
      <c r="BA337" s="4">
        <f t="shared" si="149"/>
        <v>16</v>
      </c>
    </row>
    <row r="338" spans="1:53" x14ac:dyDescent="0.2">
      <c r="A338" s="1" t="str">
        <f>'SegEnds_NonXtal_Prot#'!A338</f>
        <v>agrg4_human</v>
      </c>
      <c r="B338" s="1" t="str">
        <f t="shared" si="125"/>
        <v>SRSTVDSVNEQILALITYTGCGISSIFLGVAVVTYIAFDYPAKILINLCTALLMLNLVFLINSWLGVCITAAVALHYFLLVSFTWMGLEAVHMYLALVKYIPNYILKFCLVGWGIPAIMVAITVSVKKDLYDSIFYISVVAYFCLIFLMNLSMFCTVLVQLNSVKMILHDLKGTMSLTFLLGLTWGFAFFARNFFLYLFAIFNTLQGFFIFVFHCVMKESVREQWQIHLCCGWL</v>
      </c>
      <c r="C338" s="29" t="str">
        <f>IF(ISERROR(MATCH(A338,'SegEnds_Xtal_Prot#'!B:B, 0)), "NoXtal", "Xtal")</f>
        <v>NoXtal</v>
      </c>
      <c r="D338" s="4" t="str">
        <f>VLOOKUP(A338,Classification!A:D,2,FALSE)</f>
        <v>B2</v>
      </c>
      <c r="E338" s="5" t="str">
        <f>VLOOKUP(A338,Seqs!A:B,2,FALSE)</f>
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</c>
      <c r="F338" s="5" t="str">
        <f t="shared" si="126"/>
        <v>SRSTVDSVNEQILALITYTGCGISSIFLGVAVVTYIAF</v>
      </c>
      <c r="G338" s="4" t="str">
        <f t="shared" si="127"/>
        <v/>
      </c>
      <c r="H338" s="4" t="str">
        <f t="shared" si="128"/>
        <v>DYPAKILINLCTALLMLNLVFLINSWL</v>
      </c>
      <c r="I338" s="4" t="str">
        <f t="shared" si="129"/>
        <v/>
      </c>
      <c r="J338" s="4" t="str">
        <f t="shared" si="130"/>
        <v>GVCITAAVALHYFLLVSFTWMGLEAVHMYLALVK</v>
      </c>
      <c r="K338" s="4" t="str">
        <f t="shared" si="131"/>
        <v/>
      </c>
      <c r="L338" s="4" t="str">
        <f t="shared" si="132"/>
        <v>YIPNYILKFCLVGWGIPAIMVAITVSVKKDLY</v>
      </c>
      <c r="M338" s="4" t="str">
        <f t="shared" si="133"/>
        <v>CWI</v>
      </c>
      <c r="N338" s="4" t="str">
        <f t="shared" si="134"/>
        <v>DSIFYISVVAYFCLIFLMNLSMFCTVLVQLNSVK</v>
      </c>
      <c r="O338" s="4" t="str">
        <f t="shared" si="135"/>
        <v>MILHDLKGTMSLTFLLGLTWGFAFFA</v>
      </c>
      <c r="P338" s="4" t="str">
        <f t="shared" si="136"/>
        <v>RNFFLYLFAIFNTLQGFFIFVFHCVM</v>
      </c>
      <c r="Q338" s="4" t="str">
        <f t="shared" si="137"/>
        <v>KESVREQWQIHLCCGWL</v>
      </c>
      <c r="R338" s="5">
        <f>VLOOKUP($A338,'SegEnds_NonXtal_Prot#'!$A:$AL,3,FALSE)</f>
        <v>2731</v>
      </c>
      <c r="S338" s="5" t="str">
        <f>VLOOKUP($A338,'SegEnds_NonXtal_Prot#'!$A:$AL,6,FALSE)</f>
        <v>-</v>
      </c>
      <c r="T338" s="5">
        <f>VLOOKUP($A338,'SegEnds_NonXtal_Prot#'!$A:$AL,9,FALSE)</f>
        <v>2774</v>
      </c>
      <c r="U338" s="5" t="str">
        <f>VLOOKUP($A338,'SegEnds_NonXtal_Prot#'!$A:$AL,12,FALSE)</f>
        <v>-</v>
      </c>
      <c r="V338" s="5">
        <f>VLOOKUP($A338,'SegEnds_NonXtal_Prot#'!$A:$AL,15,FALSE)</f>
        <v>2807</v>
      </c>
      <c r="W338" s="5" t="str">
        <f>VLOOKUP($A338,'SegEnds_NonXtal_Prot#'!$A:$AL,18,FALSE)</f>
        <v>-</v>
      </c>
      <c r="X338" s="5">
        <f>VLOOKUP($A338,'SegEnds_NonXtal_Prot#'!$A:$AL,21,FALSE)</f>
        <v>2845</v>
      </c>
      <c r="Y338" s="5">
        <f>VLOOKUP($A338,'SegEnds_NonXtal_Prot#'!$A:$AL,24,FALSE)</f>
        <v>2886</v>
      </c>
      <c r="Z338" s="5">
        <f>VLOOKUP($A338,'SegEnds_NonXtal_Prot#'!$A:$AL,27,FALSE)</f>
        <v>2891</v>
      </c>
      <c r="AA338" s="5">
        <f>VLOOKUP($A338,'SegEnds_NonXtal_Prot#'!$A:$AL,30,FALSE)</f>
        <v>2934</v>
      </c>
      <c r="AB338" s="5">
        <f>VLOOKUP($A338,'SegEnds_NonXtal_Prot#'!$A:$AL,33,FALSE)</f>
        <v>2964</v>
      </c>
      <c r="AC338" s="5">
        <f>VLOOKUP($A338,'SegEnds_NonXtal_Prot#'!$A:$AL,36,FALSE)</f>
        <v>2990</v>
      </c>
      <c r="AD338" s="5">
        <f>VLOOKUP($A338,'SegEnds_NonXtal_Prot#'!$A:$AL,5,FALSE)</f>
        <v>2768</v>
      </c>
      <c r="AE338" s="5" t="str">
        <f>VLOOKUP($A338,'SegEnds_NonXtal_Prot#'!$A:$AL,8,FALSE)</f>
        <v>-</v>
      </c>
      <c r="AF338" s="5">
        <f>VLOOKUP($A338,'SegEnds_NonXtal_Prot#'!$A:$AL,11,FALSE)</f>
        <v>2800</v>
      </c>
      <c r="AG338" s="5" t="str">
        <f>VLOOKUP($A338,'SegEnds_NonXtal_Prot#'!$A:$AL,14,FALSE)</f>
        <v>-</v>
      </c>
      <c r="AH338" s="5">
        <f>VLOOKUP($A338,'SegEnds_NonXtal_Prot#'!$A:$AL,17,FALSE)</f>
        <v>2840</v>
      </c>
      <c r="AI338" s="5" t="str">
        <f>VLOOKUP($A338,'SegEnds_NonXtal_Prot#'!$A:$AL,20,FALSE)</f>
        <v>-</v>
      </c>
      <c r="AJ338" s="5">
        <f>VLOOKUP($A338,'SegEnds_NonXtal_Prot#'!$A:$AL,23,FALSE)</f>
        <v>2876</v>
      </c>
      <c r="AK338" s="5">
        <f>VLOOKUP($A338,'SegEnds_NonXtal_Prot#'!$A:$AL,26,FALSE)</f>
        <v>2888</v>
      </c>
      <c r="AL338" s="5">
        <f>VLOOKUP($A338,'SegEnds_NonXtal_Prot#'!$A:$AL,29,FALSE)</f>
        <v>2924</v>
      </c>
      <c r="AM338" s="5">
        <f>VLOOKUP($A338,'SegEnds_NonXtal_Prot#'!$A:$AL,32,FALSE)</f>
        <v>2959</v>
      </c>
      <c r="AN338" s="5">
        <f>VLOOKUP($A338,'SegEnds_NonXtal_Prot#'!$A:$AL,35,FALSE)</f>
        <v>2989</v>
      </c>
      <c r="AO338" s="5">
        <f>VLOOKUP($A338,'SegEnds_NonXtal_Prot#'!$A:$AL,38,FALSE)</f>
        <v>3006</v>
      </c>
      <c r="AP338" s="5">
        <f t="shared" si="138"/>
        <v>37</v>
      </c>
      <c r="AQ338" s="4" t="str">
        <f t="shared" si="139"/>
        <v>-</v>
      </c>
      <c r="AR338" s="4">
        <f t="shared" si="140"/>
        <v>26</v>
      </c>
      <c r="AS338" s="4" t="str">
        <f t="shared" si="141"/>
        <v>-</v>
      </c>
      <c r="AT338" s="4">
        <f t="shared" si="142"/>
        <v>33</v>
      </c>
      <c r="AU338" s="4" t="str">
        <f t="shared" si="143"/>
        <v>-</v>
      </c>
      <c r="AV338" s="4">
        <f t="shared" si="144"/>
        <v>31</v>
      </c>
      <c r="AW338" s="4">
        <f t="shared" si="145"/>
        <v>2</v>
      </c>
      <c r="AX338" s="4">
        <f t="shared" si="146"/>
        <v>33</v>
      </c>
      <c r="AY338" s="4">
        <f t="shared" si="147"/>
        <v>25</v>
      </c>
      <c r="AZ338" s="4">
        <f t="shared" si="148"/>
        <v>25</v>
      </c>
      <c r="BA338" s="4">
        <f t="shared" si="149"/>
        <v>16</v>
      </c>
    </row>
    <row r="339" spans="1:53" x14ac:dyDescent="0.2">
      <c r="A339" s="1" t="str">
        <f>'SegEnds_NonXtal_Prot#'!A339</f>
        <v>agrg5_human</v>
      </c>
      <c r="B339" s="1" t="str">
        <f t="shared" si="125"/>
        <v>SPALVPAELLAPLTYISLVGCSISIVASLITVLLHFHFDSLTRIHMNLHASVLLLNIAFLLSPAFSACTALAAALHYALLSCLTWMAIEGFNLYLLLGRYIRRYVFKLGVLGWGAPALLVLLSLSVKSSVYPVVHSVLVMGYGGLTSLFNLVVLAWALWTLRRLRRACHDTVTVLGLTVLLGTTWALAFFSLLPQLFLFTILNSLYGFFLFLWFCSQRCRSEAEAKAQIEAFSS</v>
      </c>
      <c r="C339" s="29" t="str">
        <f>IF(ISERROR(MATCH(A339,'SegEnds_Xtal_Prot#'!B:B, 0)), "NoXtal", "Xtal")</f>
        <v>NoXtal</v>
      </c>
      <c r="D339" s="4" t="str">
        <f>VLOOKUP(A339,Classification!A:D,2,FALSE)</f>
        <v>B2</v>
      </c>
      <c r="E339" s="5" t="str">
        <f>VLOOKUP(A339,Seqs!A:B,2,FALSE)</f>
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</c>
      <c r="F339" s="5" t="str">
        <f t="shared" si="126"/>
        <v>SPALVPAELLAPLTYISLVGCSISIVASLITVLLHFHF</v>
      </c>
      <c r="G339" s="4" t="str">
        <f t="shared" si="127"/>
        <v/>
      </c>
      <c r="H339" s="4" t="str">
        <f t="shared" si="128"/>
        <v>DSLTRIHMNLHASVLLLNIAFLLSPAF</v>
      </c>
      <c r="I339" s="4" t="str">
        <f t="shared" si="129"/>
        <v/>
      </c>
      <c r="J339" s="4" t="str">
        <f t="shared" si="130"/>
        <v>SACTALAAALHYALLSCLTWMAIEGFNLYLLLGR</v>
      </c>
      <c r="K339" s="4" t="str">
        <f t="shared" si="131"/>
        <v/>
      </c>
      <c r="L339" s="4" t="str">
        <f t="shared" si="132"/>
        <v>YIRRYVFKLGVLGWGAPALLVLLSLSVKSSVY</v>
      </c>
      <c r="M339" s="4" t="str">
        <f t="shared" si="133"/>
        <v>CWV</v>
      </c>
      <c r="N339" s="4" t="str">
        <f t="shared" si="134"/>
        <v>PVVHSVLVMGYGGLTSLFNLVVLAWALWTLRRLR</v>
      </c>
      <c r="O339" s="4" t="str">
        <f t="shared" si="135"/>
        <v>RACHDTVTVLGLTVLLGTTWALAFFS</v>
      </c>
      <c r="P339" s="4" t="str">
        <f t="shared" si="136"/>
        <v>LLPQLFLFTILNSLYGFFLFLWFCSQ</v>
      </c>
      <c r="Q339" s="4" t="str">
        <f t="shared" si="137"/>
        <v>RCRSEAEAKAQIEAFSS</v>
      </c>
      <c r="R339" s="5">
        <f>VLOOKUP($A339,'SegEnds_NonXtal_Prot#'!$A:$AL,3,FALSE)</f>
        <v>236</v>
      </c>
      <c r="S339" s="5" t="str">
        <f>VLOOKUP($A339,'SegEnds_NonXtal_Prot#'!$A:$AL,6,FALSE)</f>
        <v>-</v>
      </c>
      <c r="T339" s="5">
        <f>VLOOKUP($A339,'SegEnds_NonXtal_Prot#'!$A:$AL,9,FALSE)</f>
        <v>278</v>
      </c>
      <c r="U339" s="5" t="str">
        <f>VLOOKUP($A339,'SegEnds_NonXtal_Prot#'!$A:$AL,12,FALSE)</f>
        <v>-</v>
      </c>
      <c r="V339" s="5">
        <f>VLOOKUP($A339,'SegEnds_NonXtal_Prot#'!$A:$AL,15,FALSE)</f>
        <v>312</v>
      </c>
      <c r="W339" s="5" t="str">
        <f>VLOOKUP($A339,'SegEnds_NonXtal_Prot#'!$A:$AL,18,FALSE)</f>
        <v>-</v>
      </c>
      <c r="X339" s="5">
        <f>VLOOKUP($A339,'SegEnds_NonXtal_Prot#'!$A:$AL,21,FALSE)</f>
        <v>350</v>
      </c>
      <c r="Y339" s="5">
        <f>VLOOKUP($A339,'SegEnds_NonXtal_Prot#'!$A:$AL,24,FALSE)</f>
        <v>404</v>
      </c>
      <c r="Z339" s="5">
        <f>VLOOKUP($A339,'SegEnds_NonXtal_Prot#'!$A:$AL,27,FALSE)</f>
        <v>409</v>
      </c>
      <c r="AA339" s="5">
        <f>VLOOKUP($A339,'SegEnds_NonXtal_Prot#'!$A:$AL,30,FALSE)</f>
        <v>451</v>
      </c>
      <c r="AB339" s="5">
        <f>VLOOKUP($A339,'SegEnds_NonXtal_Prot#'!$A:$AL,33,FALSE)</f>
        <v>481</v>
      </c>
      <c r="AC339" s="5">
        <f>VLOOKUP($A339,'SegEnds_NonXtal_Prot#'!$A:$AL,36,FALSE)</f>
        <v>507</v>
      </c>
      <c r="AD339" s="5">
        <f>VLOOKUP($A339,'SegEnds_NonXtal_Prot#'!$A:$AL,5,FALSE)</f>
        <v>273</v>
      </c>
      <c r="AE339" s="5" t="str">
        <f>VLOOKUP($A339,'SegEnds_NonXtal_Prot#'!$A:$AL,8,FALSE)</f>
        <v>-</v>
      </c>
      <c r="AF339" s="5">
        <f>VLOOKUP($A339,'SegEnds_NonXtal_Prot#'!$A:$AL,11,FALSE)</f>
        <v>304</v>
      </c>
      <c r="AG339" s="5" t="str">
        <f>VLOOKUP($A339,'SegEnds_NonXtal_Prot#'!$A:$AL,14,FALSE)</f>
        <v>-</v>
      </c>
      <c r="AH339" s="5">
        <f>VLOOKUP($A339,'SegEnds_NonXtal_Prot#'!$A:$AL,17,FALSE)</f>
        <v>345</v>
      </c>
      <c r="AI339" s="5" t="str">
        <f>VLOOKUP($A339,'SegEnds_NonXtal_Prot#'!$A:$AL,20,FALSE)</f>
        <v>-</v>
      </c>
      <c r="AJ339" s="5">
        <f>VLOOKUP($A339,'SegEnds_NonXtal_Prot#'!$A:$AL,23,FALSE)</f>
        <v>381</v>
      </c>
      <c r="AK339" s="5">
        <f>VLOOKUP($A339,'SegEnds_NonXtal_Prot#'!$A:$AL,26,FALSE)</f>
        <v>406</v>
      </c>
      <c r="AL339" s="5">
        <f>VLOOKUP($A339,'SegEnds_NonXtal_Prot#'!$A:$AL,29,FALSE)</f>
        <v>442</v>
      </c>
      <c r="AM339" s="5">
        <f>VLOOKUP($A339,'SegEnds_NonXtal_Prot#'!$A:$AL,32,FALSE)</f>
        <v>476</v>
      </c>
      <c r="AN339" s="5">
        <f>VLOOKUP($A339,'SegEnds_NonXtal_Prot#'!$A:$AL,35,FALSE)</f>
        <v>506</v>
      </c>
      <c r="AO339" s="5">
        <f>VLOOKUP($A339,'SegEnds_NonXtal_Prot#'!$A:$AL,38,FALSE)</f>
        <v>523</v>
      </c>
      <c r="AP339" s="5">
        <f t="shared" si="138"/>
        <v>37</v>
      </c>
      <c r="AQ339" s="4" t="str">
        <f t="shared" si="139"/>
        <v>-</v>
      </c>
      <c r="AR339" s="4">
        <f t="shared" si="140"/>
        <v>26</v>
      </c>
      <c r="AS339" s="4" t="str">
        <f t="shared" si="141"/>
        <v>-</v>
      </c>
      <c r="AT339" s="4">
        <f t="shared" si="142"/>
        <v>33</v>
      </c>
      <c r="AU339" s="4" t="str">
        <f t="shared" si="143"/>
        <v>-</v>
      </c>
      <c r="AV339" s="4">
        <f t="shared" si="144"/>
        <v>31</v>
      </c>
      <c r="AW339" s="4">
        <f t="shared" si="145"/>
        <v>2</v>
      </c>
      <c r="AX339" s="4">
        <f t="shared" si="146"/>
        <v>33</v>
      </c>
      <c r="AY339" s="4">
        <f t="shared" si="147"/>
        <v>25</v>
      </c>
      <c r="AZ339" s="4">
        <f t="shared" si="148"/>
        <v>25</v>
      </c>
      <c r="BA339" s="4">
        <f t="shared" si="149"/>
        <v>16</v>
      </c>
    </row>
    <row r="340" spans="1:53" x14ac:dyDescent="0.2">
      <c r="A340" s="1" t="str">
        <f>'SegEnds_NonXtal_Prot#'!A340</f>
        <v>agrg6_human</v>
      </c>
      <c r="B340" s="1" t="str">
        <f t="shared" si="125"/>
        <v>SASQLDARNTKVLTFISYIGCGISAIFSAATLLTYVAFRDYPSKILMNLSTALLFLNLLFLLDGWIGLCIAVAVLLHFFLLATFTWMGLEAIHMYIALVKYILKFCIIGWGLPALVVSVVLASRNNNEPVIFYVTCAGYFGVMFFLNIAMFIVVMVQICGRNEVLRNLRSVVSLTFLLGMTWGFAFFNIPFMYLFSIFNSLQGLFIFIFHCAMKENVQKQWRQHLCCGRF</v>
      </c>
      <c r="C340" s="29" t="str">
        <f>IF(ISERROR(MATCH(A340,'SegEnds_Xtal_Prot#'!B:B, 0)), "NoXtal", "Xtal")</f>
        <v>NoXtal</v>
      </c>
      <c r="D340" s="4" t="str">
        <f>VLOOKUP(A340,Classification!A:D,2,FALSE)</f>
        <v>B2</v>
      </c>
      <c r="E340" s="5" t="str">
        <f>VLOOKUP(A340,Seqs!A:B,2,FALSE)</f>
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</c>
      <c r="F340" s="5" t="str">
        <f t="shared" si="126"/>
        <v>SASQLDARNTKVLTFISYIGCGISAIFSAATLLTYVAF</v>
      </c>
      <c r="G340" s="4" t="str">
        <f t="shared" si="127"/>
        <v>EKLR</v>
      </c>
      <c r="H340" s="4" t="str">
        <f t="shared" si="128"/>
        <v>RDYPSKILMNLSTALLFLNLLFLLDGWI</v>
      </c>
      <c r="I340" s="4" t="str">
        <f t="shared" si="129"/>
        <v/>
      </c>
      <c r="J340" s="4" t="str">
        <f t="shared" si="130"/>
        <v>GLCIAVAVLLHFFLLATFTWMGLEAIHMYIALVK</v>
      </c>
      <c r="K340" s="4" t="str">
        <f t="shared" si="131"/>
        <v/>
      </c>
      <c r="L340" s="4" t="str">
        <f t="shared" si="132"/>
        <v>YILKFCIIGWGLPALVVSVVLASRNNNE</v>
      </c>
      <c r="M340" s="4" t="str">
        <f t="shared" si="133"/>
        <v>CWI</v>
      </c>
      <c r="N340" s="4" t="str">
        <f t="shared" si="134"/>
        <v>PVIFYVTCAGYFGVMFFLNIAMFIVVMVQICGRN</v>
      </c>
      <c r="O340" s="4" t="str">
        <f t="shared" si="135"/>
        <v>EVLRNLRSVVSLTFLLGMTWGFAFF</v>
      </c>
      <c r="P340" s="4" t="str">
        <f t="shared" si="136"/>
        <v>NIPFMYLFSIFNSLQGLFIFIFHCAM</v>
      </c>
      <c r="Q340" s="4" t="str">
        <f t="shared" si="137"/>
        <v>KENVQKQWRQHLCCGRF</v>
      </c>
      <c r="R340" s="5">
        <f>VLOOKUP($A340,'SegEnds_NonXtal_Prot#'!$A:$AL,3,FALSE)</f>
        <v>852</v>
      </c>
      <c r="S340" s="5">
        <f>VLOOKUP($A340,'SegEnds_NonXtal_Prot#'!$A:$AL,6,FALSE)</f>
        <v>890</v>
      </c>
      <c r="T340" s="5">
        <f>VLOOKUP($A340,'SegEnds_NonXtal_Prot#'!$A:$AL,9,FALSE)</f>
        <v>894</v>
      </c>
      <c r="U340" s="5" t="str">
        <f>VLOOKUP($A340,'SegEnds_NonXtal_Prot#'!$A:$AL,12,FALSE)</f>
        <v>-</v>
      </c>
      <c r="V340" s="5">
        <f>VLOOKUP($A340,'SegEnds_NonXtal_Prot#'!$A:$AL,15,FALSE)</f>
        <v>928</v>
      </c>
      <c r="W340" s="5" t="str">
        <f>VLOOKUP($A340,'SegEnds_NonXtal_Prot#'!$A:$AL,18,FALSE)</f>
        <v>-</v>
      </c>
      <c r="X340" s="5">
        <f>VLOOKUP($A340,'SegEnds_NonXtal_Prot#'!$A:$AL,21,FALSE)</f>
        <v>970</v>
      </c>
      <c r="Y340" s="5">
        <f>VLOOKUP($A340,'SegEnds_NonXtal_Prot#'!$A:$AL,24,FALSE)</f>
        <v>1013</v>
      </c>
      <c r="Z340" s="5">
        <f>VLOOKUP($A340,'SegEnds_NonXtal_Prot#'!$A:$AL,27,FALSE)</f>
        <v>1018</v>
      </c>
      <c r="AA340" s="5">
        <f>VLOOKUP($A340,'SegEnds_NonXtal_Prot#'!$A:$AL,30,FALSE)</f>
        <v>1062</v>
      </c>
      <c r="AB340" s="5">
        <f>VLOOKUP($A340,'SegEnds_NonXtal_Prot#'!$A:$AL,33,FALSE)</f>
        <v>1092</v>
      </c>
      <c r="AC340" s="5">
        <f>VLOOKUP($A340,'SegEnds_NonXtal_Prot#'!$A:$AL,36,FALSE)</f>
        <v>1118</v>
      </c>
      <c r="AD340" s="5">
        <f>VLOOKUP($A340,'SegEnds_NonXtal_Prot#'!$A:$AL,5,FALSE)</f>
        <v>889</v>
      </c>
      <c r="AE340" s="5">
        <f>VLOOKUP($A340,'SegEnds_NonXtal_Prot#'!$A:$AL,8,FALSE)</f>
        <v>893</v>
      </c>
      <c r="AF340" s="5">
        <f>VLOOKUP($A340,'SegEnds_NonXtal_Prot#'!$A:$AL,11,FALSE)</f>
        <v>921</v>
      </c>
      <c r="AG340" s="5" t="str">
        <f>VLOOKUP($A340,'SegEnds_NonXtal_Prot#'!$A:$AL,14,FALSE)</f>
        <v>-</v>
      </c>
      <c r="AH340" s="5">
        <f>VLOOKUP($A340,'SegEnds_NonXtal_Prot#'!$A:$AL,17,FALSE)</f>
        <v>961</v>
      </c>
      <c r="AI340" s="5" t="str">
        <f>VLOOKUP($A340,'SegEnds_NonXtal_Prot#'!$A:$AL,20,FALSE)</f>
        <v>-</v>
      </c>
      <c r="AJ340" s="5">
        <f>VLOOKUP($A340,'SegEnds_NonXtal_Prot#'!$A:$AL,23,FALSE)</f>
        <v>997</v>
      </c>
      <c r="AK340" s="5">
        <f>VLOOKUP($A340,'SegEnds_NonXtal_Prot#'!$A:$AL,26,FALSE)</f>
        <v>1015</v>
      </c>
      <c r="AL340" s="5">
        <f>VLOOKUP($A340,'SegEnds_NonXtal_Prot#'!$A:$AL,29,FALSE)</f>
        <v>1051</v>
      </c>
      <c r="AM340" s="5">
        <f>VLOOKUP($A340,'SegEnds_NonXtal_Prot#'!$A:$AL,32,FALSE)</f>
        <v>1086</v>
      </c>
      <c r="AN340" s="5">
        <f>VLOOKUP($A340,'SegEnds_NonXtal_Prot#'!$A:$AL,35,FALSE)</f>
        <v>1117</v>
      </c>
      <c r="AO340" s="5">
        <f>VLOOKUP($A340,'SegEnds_NonXtal_Prot#'!$A:$AL,38,FALSE)</f>
        <v>1134</v>
      </c>
      <c r="AP340" s="5">
        <f t="shared" si="138"/>
        <v>37</v>
      </c>
      <c r="AQ340" s="4">
        <f t="shared" si="139"/>
        <v>3</v>
      </c>
      <c r="AR340" s="4">
        <f t="shared" si="140"/>
        <v>27</v>
      </c>
      <c r="AS340" s="4" t="str">
        <f t="shared" si="141"/>
        <v>-</v>
      </c>
      <c r="AT340" s="4">
        <f t="shared" si="142"/>
        <v>33</v>
      </c>
      <c r="AU340" s="4" t="str">
        <f t="shared" si="143"/>
        <v>-</v>
      </c>
      <c r="AV340" s="4">
        <f t="shared" si="144"/>
        <v>27</v>
      </c>
      <c r="AW340" s="4">
        <f t="shared" si="145"/>
        <v>2</v>
      </c>
      <c r="AX340" s="4">
        <f t="shared" si="146"/>
        <v>33</v>
      </c>
      <c r="AY340" s="4">
        <f t="shared" si="147"/>
        <v>24</v>
      </c>
      <c r="AZ340" s="4">
        <f t="shared" si="148"/>
        <v>25</v>
      </c>
      <c r="BA340" s="4">
        <f t="shared" si="149"/>
        <v>16</v>
      </c>
    </row>
    <row r="341" spans="1:53" x14ac:dyDescent="0.2">
      <c r="A341" s="1" t="str">
        <f>'SegEnds_NonXtal_Prot#'!A341</f>
        <v>agrg7_human</v>
      </c>
      <c r="B341" s="1" t="str">
        <f t="shared" si="125"/>
        <v>MTFKKDYQYPKSLDILSNVGCALSVTGLALTVIFQIVTTSVTWVLVNLCISMLIFNLLFVFGIENSNINIPNPMCTAIAALLHYFLLVTFTWNALSAAQLYYLLIRLPRHFILFISLIGWGVPAIVVAITVGVIYSQNKSPLLWSFIVPVTIILISNVVMFITISIKVLWKNSSMKKIVSTLSVAVVFGITWILAYLMSIRIVFSYIFCLFNTTQGLQIFILYTVRTKVFQSEASKVLMLLSS</v>
      </c>
      <c r="C341" s="29" t="str">
        <f>IF(ISERROR(MATCH(A341,'SegEnds_Xtal_Prot#'!B:B, 0)), "NoXtal", "Xtal")</f>
        <v>NoXtal</v>
      </c>
      <c r="D341" s="4" t="str">
        <f>VLOOKUP(A341,Classification!A:D,2,FALSE)</f>
        <v>B2</v>
      </c>
      <c r="E341" s="5" t="str">
        <f>VLOOKUP(A341,Seqs!A:B,2,FALSE)</f>
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</c>
      <c r="F341" s="5" t="str">
        <f t="shared" si="126"/>
        <v>MTFKKDYQYPKSLDILSNVGCALSVTGLALTVIFQIVT</v>
      </c>
      <c r="G341" s="4" t="str">
        <f t="shared" si="127"/>
        <v/>
      </c>
      <c r="H341" s="4" t="str">
        <f t="shared" si="128"/>
        <v>TSVTWVLVNLCISMLIFNLLFVFGIENSN</v>
      </c>
      <c r="I341" s="4" t="str">
        <f t="shared" si="129"/>
        <v/>
      </c>
      <c r="J341" s="4" t="str">
        <f t="shared" si="130"/>
        <v>INIPNPMCTAIAALLHYFLLVTFTWNALSAAQLYYLLIR</v>
      </c>
      <c r="K341" s="4" t="str">
        <f t="shared" si="131"/>
        <v/>
      </c>
      <c r="L341" s="4" t="str">
        <f t="shared" si="132"/>
        <v>LPRHFILFISLIGWGVPAIVVAITVGVIYSQN</v>
      </c>
      <c r="M341" s="4" t="str">
        <f t="shared" si="133"/>
        <v>CWL</v>
      </c>
      <c r="N341" s="4" t="str">
        <f t="shared" si="134"/>
        <v>KSPLLWSFIVPVTIILISNVVMFITISIKVLWKN</v>
      </c>
      <c r="O341" s="4" t="str">
        <f t="shared" si="135"/>
        <v>SSMKKIVSTLSVAVVFGITWILAYLM</v>
      </c>
      <c r="P341" s="4" t="str">
        <f t="shared" si="136"/>
        <v>SIRIVFSYIFCLFNTTQGLQIFILYTVR</v>
      </c>
      <c r="Q341" s="4" t="str">
        <f t="shared" si="137"/>
        <v>TKVFQSEASKVLMLLSS</v>
      </c>
      <c r="R341" s="5">
        <f>VLOOKUP($A341,'SegEnds_NonXtal_Prot#'!$A:$AL,3,FALSE)</f>
        <v>422</v>
      </c>
      <c r="S341" s="5" t="str">
        <f>VLOOKUP($A341,'SegEnds_NonXtal_Prot#'!$A:$AL,6,FALSE)</f>
        <v>-</v>
      </c>
      <c r="T341" s="5">
        <f>VLOOKUP($A341,'SegEnds_NonXtal_Prot#'!$A:$AL,9,FALSE)</f>
        <v>465</v>
      </c>
      <c r="U341" s="5" t="str">
        <f>VLOOKUP($A341,'SegEnds_NonXtal_Prot#'!$A:$AL,12,FALSE)</f>
        <v>-</v>
      </c>
      <c r="V341" s="5">
        <f>VLOOKUP($A341,'SegEnds_NonXtal_Prot#'!$A:$AL,15,FALSE)</f>
        <v>519</v>
      </c>
      <c r="W341" s="5" t="str">
        <f>VLOOKUP($A341,'SegEnds_NonXtal_Prot#'!$A:$AL,18,FALSE)</f>
        <v>-</v>
      </c>
      <c r="X341" s="5">
        <f>VLOOKUP($A341,'SegEnds_NonXtal_Prot#'!$A:$AL,21,FALSE)</f>
        <v>562</v>
      </c>
      <c r="Y341" s="5">
        <f>VLOOKUP($A341,'SegEnds_NonXtal_Prot#'!$A:$AL,24,FALSE)</f>
        <v>609</v>
      </c>
      <c r="Z341" s="5">
        <f>VLOOKUP($A341,'SegEnds_NonXtal_Prot#'!$A:$AL,27,FALSE)</f>
        <v>621</v>
      </c>
      <c r="AA341" s="5">
        <f>VLOOKUP($A341,'SegEnds_NonXtal_Prot#'!$A:$AL,30,FALSE)</f>
        <v>665</v>
      </c>
      <c r="AB341" s="5">
        <f>VLOOKUP($A341,'SegEnds_NonXtal_Prot#'!$A:$AL,33,FALSE)</f>
        <v>696</v>
      </c>
      <c r="AC341" s="5">
        <f>VLOOKUP($A341,'SegEnds_NonXtal_Prot#'!$A:$AL,36,FALSE)</f>
        <v>724</v>
      </c>
      <c r="AD341" s="5">
        <f>VLOOKUP($A341,'SegEnds_NonXtal_Prot#'!$A:$AL,5,FALSE)</f>
        <v>459</v>
      </c>
      <c r="AE341" s="5" t="str">
        <f>VLOOKUP($A341,'SegEnds_NonXtal_Prot#'!$A:$AL,8,FALSE)</f>
        <v>-</v>
      </c>
      <c r="AF341" s="5">
        <f>VLOOKUP($A341,'SegEnds_NonXtal_Prot#'!$A:$AL,11,FALSE)</f>
        <v>493</v>
      </c>
      <c r="AG341" s="5" t="str">
        <f>VLOOKUP($A341,'SegEnds_NonXtal_Prot#'!$A:$AL,14,FALSE)</f>
        <v>-</v>
      </c>
      <c r="AH341" s="5">
        <f>VLOOKUP($A341,'SegEnds_NonXtal_Prot#'!$A:$AL,17,FALSE)</f>
        <v>557</v>
      </c>
      <c r="AI341" s="5" t="str">
        <f>VLOOKUP($A341,'SegEnds_NonXtal_Prot#'!$A:$AL,20,FALSE)</f>
        <v>-</v>
      </c>
      <c r="AJ341" s="5">
        <f>VLOOKUP($A341,'SegEnds_NonXtal_Prot#'!$A:$AL,23,FALSE)</f>
        <v>593</v>
      </c>
      <c r="AK341" s="5">
        <f>VLOOKUP($A341,'SegEnds_NonXtal_Prot#'!$A:$AL,26,FALSE)</f>
        <v>611</v>
      </c>
      <c r="AL341" s="5">
        <f>VLOOKUP($A341,'SegEnds_NonXtal_Prot#'!$A:$AL,29,FALSE)</f>
        <v>654</v>
      </c>
      <c r="AM341" s="5">
        <f>VLOOKUP($A341,'SegEnds_NonXtal_Prot#'!$A:$AL,32,FALSE)</f>
        <v>690</v>
      </c>
      <c r="AN341" s="5">
        <f>VLOOKUP($A341,'SegEnds_NonXtal_Prot#'!$A:$AL,35,FALSE)</f>
        <v>723</v>
      </c>
      <c r="AO341" s="5">
        <f>VLOOKUP($A341,'SegEnds_NonXtal_Prot#'!$A:$AL,38,FALSE)</f>
        <v>740</v>
      </c>
      <c r="AP341" s="5">
        <f t="shared" si="138"/>
        <v>37</v>
      </c>
      <c r="AQ341" s="4" t="str">
        <f t="shared" si="139"/>
        <v>-</v>
      </c>
      <c r="AR341" s="4">
        <f t="shared" si="140"/>
        <v>28</v>
      </c>
      <c r="AS341" s="4" t="str">
        <f t="shared" si="141"/>
        <v>-</v>
      </c>
      <c r="AT341" s="4">
        <f t="shared" si="142"/>
        <v>38</v>
      </c>
      <c r="AU341" s="4" t="str">
        <f t="shared" si="143"/>
        <v>-</v>
      </c>
      <c r="AV341" s="4">
        <f t="shared" si="144"/>
        <v>31</v>
      </c>
      <c r="AW341" s="4">
        <f t="shared" si="145"/>
        <v>2</v>
      </c>
      <c r="AX341" s="4">
        <f t="shared" si="146"/>
        <v>33</v>
      </c>
      <c r="AY341" s="4">
        <f t="shared" si="147"/>
        <v>25</v>
      </c>
      <c r="AZ341" s="4">
        <f t="shared" si="148"/>
        <v>27</v>
      </c>
      <c r="BA341" s="4">
        <f t="shared" si="149"/>
        <v>16</v>
      </c>
    </row>
    <row r="342" spans="1:53" x14ac:dyDescent="0.2">
      <c r="A342" s="1" t="str">
        <f>'SegEnds_NonXtal_Prot#'!A342</f>
        <v>agrl1_human</v>
      </c>
      <c r="B342" s="1" t="str">
        <f t="shared" si="125"/>
        <v>REIYQGRINELLLSVITWVGIVISLVCLAICISTFCFLTDRNTIHKNLCINLFLAELLFLVGIDKIACPIFAGLLHYFFLAAFSWLCLEGVHLYLLLVERTKYYYLGGYCFPALVVGIAAAIDYRSYDNYFIWSFIGPVSFVIVVNLVFLMVTLHKMIRSSNIKSWALGAIALLFLLGLTWAFGLLSVVMAYLFTTFNAFQGVFIFVFHCALQKKVHKEYSKCLRHSYC</v>
      </c>
      <c r="C342" s="29" t="str">
        <f>IF(ISERROR(MATCH(A342,'SegEnds_Xtal_Prot#'!B:B, 0)), "NoXtal", "Xtal")</f>
        <v>NoXtal</v>
      </c>
      <c r="D342" s="4" t="str">
        <f>VLOOKUP(A342,Classification!A:D,2,FALSE)</f>
        <v>B2</v>
      </c>
      <c r="E342" s="5" t="str">
        <f>VLOOKUP(A342,Seqs!A:B,2,FALSE)</f>
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</c>
      <c r="F342" s="5" t="str">
        <f t="shared" si="126"/>
        <v>REIYQGRINELLLSVITWVGIVISLVCLAICISTFCFL</v>
      </c>
      <c r="G342" s="4" t="str">
        <f t="shared" si="127"/>
        <v>RGLQ</v>
      </c>
      <c r="H342" s="4" t="str">
        <f t="shared" si="128"/>
        <v>TDRNTIHKNLCINLFLAELLFLVGIDK</v>
      </c>
      <c r="I342" s="4" t="str">
        <f t="shared" si="129"/>
        <v/>
      </c>
      <c r="J342" s="4" t="str">
        <f t="shared" si="130"/>
        <v>IACPIFAGLLHYFFLAAFSWLCLEGVHLYLLLVE</v>
      </c>
      <c r="K342" s="4" t="str">
        <f t="shared" si="131"/>
        <v/>
      </c>
      <c r="L342" s="4" t="str">
        <f t="shared" si="132"/>
        <v>RTKYYYLGGYCFPALVVGIAAAIDYRSY</v>
      </c>
      <c r="M342" s="4" t="str">
        <f t="shared" si="133"/>
        <v>CWL</v>
      </c>
      <c r="N342" s="4" t="str">
        <f t="shared" si="134"/>
        <v>DNYFIWSFIGPVSFVIVVNLVFLMVTLHKMIRSS</v>
      </c>
      <c r="O342" s="4" t="str">
        <f t="shared" si="135"/>
        <v>NIKSWALGAIALLFLLGLTWAFGLL</v>
      </c>
      <c r="P342" s="4" t="str">
        <f t="shared" si="136"/>
        <v>SVVMAYLFTTFNAFQGVFIFVFHCAL</v>
      </c>
      <c r="Q342" s="4" t="str">
        <f t="shared" si="137"/>
        <v>QKKVHKEYSKCLRHSYC</v>
      </c>
      <c r="R342" s="5">
        <f>VLOOKUP($A342,'SegEnds_NonXtal_Prot#'!$A:$AL,3,FALSE)</f>
        <v>848</v>
      </c>
      <c r="S342" s="5">
        <f>VLOOKUP($A342,'SegEnds_NonXtal_Prot#'!$A:$AL,6,FALSE)</f>
        <v>886</v>
      </c>
      <c r="T342" s="5">
        <f>VLOOKUP($A342,'SegEnds_NonXtal_Prot#'!$A:$AL,9,FALSE)</f>
        <v>890</v>
      </c>
      <c r="U342" s="5" t="str">
        <f>VLOOKUP($A342,'SegEnds_NonXtal_Prot#'!$A:$AL,12,FALSE)</f>
        <v>-</v>
      </c>
      <c r="V342" s="5">
        <f>VLOOKUP($A342,'SegEnds_NonXtal_Prot#'!$A:$AL,15,FALSE)</f>
        <v>921</v>
      </c>
      <c r="W342" s="5" t="str">
        <f>VLOOKUP($A342,'SegEnds_NonXtal_Prot#'!$A:$AL,18,FALSE)</f>
        <v>-</v>
      </c>
      <c r="X342" s="5">
        <f>VLOOKUP($A342,'SegEnds_NonXtal_Prot#'!$A:$AL,21,FALSE)</f>
        <v>962</v>
      </c>
      <c r="Y342" s="5">
        <f>VLOOKUP($A342,'SegEnds_NonXtal_Prot#'!$A:$AL,24,FALSE)</f>
        <v>995</v>
      </c>
      <c r="Z342" s="5">
        <f>VLOOKUP($A342,'SegEnds_NonXtal_Prot#'!$A:$AL,27,FALSE)</f>
        <v>1000</v>
      </c>
      <c r="AA342" s="5">
        <f>VLOOKUP($A342,'SegEnds_NonXtal_Prot#'!$A:$AL,30,FALSE)</f>
        <v>1045</v>
      </c>
      <c r="AB342" s="5">
        <f>VLOOKUP($A342,'SegEnds_NonXtal_Prot#'!$A:$AL,33,FALSE)</f>
        <v>1075</v>
      </c>
      <c r="AC342" s="5">
        <f>VLOOKUP($A342,'SegEnds_NonXtal_Prot#'!$A:$AL,36,FALSE)</f>
        <v>1101</v>
      </c>
      <c r="AD342" s="5">
        <f>VLOOKUP($A342,'SegEnds_NonXtal_Prot#'!$A:$AL,5,FALSE)</f>
        <v>885</v>
      </c>
      <c r="AE342" s="5">
        <f>VLOOKUP($A342,'SegEnds_NonXtal_Prot#'!$A:$AL,8,FALSE)</f>
        <v>889</v>
      </c>
      <c r="AF342" s="5">
        <f>VLOOKUP($A342,'SegEnds_NonXtal_Prot#'!$A:$AL,11,FALSE)</f>
        <v>916</v>
      </c>
      <c r="AG342" s="5" t="str">
        <f>VLOOKUP($A342,'SegEnds_NonXtal_Prot#'!$A:$AL,14,FALSE)</f>
        <v>-</v>
      </c>
      <c r="AH342" s="5">
        <f>VLOOKUP($A342,'SegEnds_NonXtal_Prot#'!$A:$AL,17,FALSE)</f>
        <v>954</v>
      </c>
      <c r="AI342" s="5" t="str">
        <f>VLOOKUP($A342,'SegEnds_NonXtal_Prot#'!$A:$AL,20,FALSE)</f>
        <v>-</v>
      </c>
      <c r="AJ342" s="5">
        <f>VLOOKUP($A342,'SegEnds_NonXtal_Prot#'!$A:$AL,23,FALSE)</f>
        <v>989</v>
      </c>
      <c r="AK342" s="5">
        <f>VLOOKUP($A342,'SegEnds_NonXtal_Prot#'!$A:$AL,26,FALSE)</f>
        <v>997</v>
      </c>
      <c r="AL342" s="5">
        <f>VLOOKUP($A342,'SegEnds_NonXtal_Prot#'!$A:$AL,29,FALSE)</f>
        <v>1033</v>
      </c>
      <c r="AM342" s="5">
        <f>VLOOKUP($A342,'SegEnds_NonXtal_Prot#'!$A:$AL,32,FALSE)</f>
        <v>1069</v>
      </c>
      <c r="AN342" s="5">
        <f>VLOOKUP($A342,'SegEnds_NonXtal_Prot#'!$A:$AL,35,FALSE)</f>
        <v>1100</v>
      </c>
      <c r="AO342" s="5">
        <f>VLOOKUP($A342,'SegEnds_NonXtal_Prot#'!$A:$AL,38,FALSE)</f>
        <v>1117</v>
      </c>
      <c r="AP342" s="5">
        <f t="shared" si="138"/>
        <v>37</v>
      </c>
      <c r="AQ342" s="4">
        <f t="shared" si="139"/>
        <v>3</v>
      </c>
      <c r="AR342" s="4">
        <f t="shared" si="140"/>
        <v>26</v>
      </c>
      <c r="AS342" s="4" t="str">
        <f t="shared" si="141"/>
        <v>-</v>
      </c>
      <c r="AT342" s="4">
        <f t="shared" si="142"/>
        <v>33</v>
      </c>
      <c r="AU342" s="4" t="str">
        <f t="shared" si="143"/>
        <v>-</v>
      </c>
      <c r="AV342" s="4">
        <f t="shared" si="144"/>
        <v>27</v>
      </c>
      <c r="AW342" s="4">
        <f t="shared" si="145"/>
        <v>2</v>
      </c>
      <c r="AX342" s="4">
        <f t="shared" si="146"/>
        <v>33</v>
      </c>
      <c r="AY342" s="4">
        <f t="shared" si="147"/>
        <v>24</v>
      </c>
      <c r="AZ342" s="4">
        <f t="shared" si="148"/>
        <v>25</v>
      </c>
      <c r="BA342" s="4">
        <f t="shared" si="149"/>
        <v>16</v>
      </c>
    </row>
    <row r="343" spans="1:53" x14ac:dyDescent="0.2">
      <c r="A343" s="1" t="str">
        <f>'SegEnds_NonXtal_Prot#'!A343</f>
        <v>agrl2_human</v>
      </c>
      <c r="B343" s="1" t="str">
        <f t="shared" si="125"/>
        <v>EIAYKDGVHELLLTVITWVGIVISLVCLAICIFTFCFFSDRNTIHKNLCINLFIAEFIFLIGIDKIACPIFAGLLHFFFLAAFAWMCLEGVQLYLMLVERKKYYYVAGYLFPATVVGVSAAIDYKSYDNYFIWSFIGPVTFIILLNIIFLVITLCKMVKHSNIKSWVLGAFALLCLLGLTWSFGLLTIVMAYLFTIFNAFQGVFIFIFHCALQKKVRKEYGKCFRHSYC</v>
      </c>
      <c r="C343" s="29" t="str">
        <f>IF(ISERROR(MATCH(A343,'SegEnds_Xtal_Prot#'!B:B, 0)), "NoXtal", "Xtal")</f>
        <v>NoXtal</v>
      </c>
      <c r="D343" s="4" t="str">
        <f>VLOOKUP(A343,Classification!A:D,2,FALSE)</f>
        <v>B2</v>
      </c>
      <c r="E343" s="5" t="str">
        <f>VLOOKUP(A343,Seqs!A:B,2,FALSE)</f>
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</c>
      <c r="F343" s="5" t="str">
        <f t="shared" si="126"/>
        <v>EIAYKDGVHELLLTVITWVGIVISLVCLAICIFTFCFF</v>
      </c>
      <c r="G343" s="4" t="str">
        <f t="shared" si="127"/>
        <v/>
      </c>
      <c r="H343" s="4" t="str">
        <f t="shared" si="128"/>
        <v>SDRNTIHKNLCINLFIAEFIFLIGIDK</v>
      </c>
      <c r="I343" s="4" t="str">
        <f t="shared" si="129"/>
        <v/>
      </c>
      <c r="J343" s="4" t="str">
        <f t="shared" si="130"/>
        <v>IACPIFAGLLHFFFLAAFAWMCLEGVQLYLMLVE</v>
      </c>
      <c r="K343" s="4" t="str">
        <f t="shared" si="131"/>
        <v/>
      </c>
      <c r="L343" s="4" t="str">
        <f t="shared" si="132"/>
        <v>RKKYYYVAGYLFPATVVGVSAAIDYKSY</v>
      </c>
      <c r="M343" s="4" t="str">
        <f t="shared" si="133"/>
        <v>CWL</v>
      </c>
      <c r="N343" s="4" t="str">
        <f t="shared" si="134"/>
        <v>DNYFIWSFIGPVTFIILLNIIFLVITLCKMVKHS</v>
      </c>
      <c r="O343" s="4" t="str">
        <f t="shared" si="135"/>
        <v>NIKSWVLGAFALLCLLGLTWSFGLL</v>
      </c>
      <c r="P343" s="4" t="str">
        <f t="shared" si="136"/>
        <v>TIVMAYLFTIFNAFQGVFIFIFHCAL</v>
      </c>
      <c r="Q343" s="4" t="str">
        <f t="shared" si="137"/>
        <v>QKKVRKEYGKCFRHSYC</v>
      </c>
      <c r="R343" s="5">
        <f>VLOOKUP($A343,'SegEnds_NonXtal_Prot#'!$A:$AL,3,FALSE)</f>
        <v>835</v>
      </c>
      <c r="S343" s="5" t="str">
        <f>VLOOKUP($A343,'SegEnds_NonXtal_Prot#'!$A:$AL,6,FALSE)</f>
        <v>-</v>
      </c>
      <c r="T343" s="5">
        <f>VLOOKUP($A343,'SegEnds_NonXtal_Prot#'!$A:$AL,9,FALSE)</f>
        <v>877</v>
      </c>
      <c r="U343" s="5" t="str">
        <f>VLOOKUP($A343,'SegEnds_NonXtal_Prot#'!$A:$AL,12,FALSE)</f>
        <v>-</v>
      </c>
      <c r="V343" s="5">
        <f>VLOOKUP($A343,'SegEnds_NonXtal_Prot#'!$A:$AL,15,FALSE)</f>
        <v>908</v>
      </c>
      <c r="W343" s="5" t="str">
        <f>VLOOKUP($A343,'SegEnds_NonXtal_Prot#'!$A:$AL,18,FALSE)</f>
        <v>-</v>
      </c>
      <c r="X343" s="5">
        <f>VLOOKUP($A343,'SegEnds_NonXtal_Prot#'!$A:$AL,21,FALSE)</f>
        <v>949</v>
      </c>
      <c r="Y343" s="5">
        <f>VLOOKUP($A343,'SegEnds_NonXtal_Prot#'!$A:$AL,24,FALSE)</f>
        <v>982</v>
      </c>
      <c r="Z343" s="5">
        <f>VLOOKUP($A343,'SegEnds_NonXtal_Prot#'!$A:$AL,27,FALSE)</f>
        <v>987</v>
      </c>
      <c r="AA343" s="5">
        <f>VLOOKUP($A343,'SegEnds_NonXtal_Prot#'!$A:$AL,30,FALSE)</f>
        <v>1032</v>
      </c>
      <c r="AB343" s="5">
        <f>VLOOKUP($A343,'SegEnds_NonXtal_Prot#'!$A:$AL,33,FALSE)</f>
        <v>1062</v>
      </c>
      <c r="AC343" s="5">
        <f>VLOOKUP($A343,'SegEnds_NonXtal_Prot#'!$A:$AL,36,FALSE)</f>
        <v>1088</v>
      </c>
      <c r="AD343" s="5">
        <f>VLOOKUP($A343,'SegEnds_NonXtal_Prot#'!$A:$AL,5,FALSE)</f>
        <v>872</v>
      </c>
      <c r="AE343" s="5" t="str">
        <f>VLOOKUP($A343,'SegEnds_NonXtal_Prot#'!$A:$AL,8,FALSE)</f>
        <v>-</v>
      </c>
      <c r="AF343" s="5">
        <f>VLOOKUP($A343,'SegEnds_NonXtal_Prot#'!$A:$AL,11,FALSE)</f>
        <v>903</v>
      </c>
      <c r="AG343" s="5" t="str">
        <f>VLOOKUP($A343,'SegEnds_NonXtal_Prot#'!$A:$AL,14,FALSE)</f>
        <v>-</v>
      </c>
      <c r="AH343" s="5">
        <f>VLOOKUP($A343,'SegEnds_NonXtal_Prot#'!$A:$AL,17,FALSE)</f>
        <v>941</v>
      </c>
      <c r="AI343" s="5" t="str">
        <f>VLOOKUP($A343,'SegEnds_NonXtal_Prot#'!$A:$AL,20,FALSE)</f>
        <v>-</v>
      </c>
      <c r="AJ343" s="5">
        <f>VLOOKUP($A343,'SegEnds_NonXtal_Prot#'!$A:$AL,23,FALSE)</f>
        <v>976</v>
      </c>
      <c r="AK343" s="5">
        <f>VLOOKUP($A343,'SegEnds_NonXtal_Prot#'!$A:$AL,26,FALSE)</f>
        <v>984</v>
      </c>
      <c r="AL343" s="5">
        <f>VLOOKUP($A343,'SegEnds_NonXtal_Prot#'!$A:$AL,29,FALSE)</f>
        <v>1020</v>
      </c>
      <c r="AM343" s="5">
        <f>VLOOKUP($A343,'SegEnds_NonXtal_Prot#'!$A:$AL,32,FALSE)</f>
        <v>1056</v>
      </c>
      <c r="AN343" s="5">
        <f>VLOOKUP($A343,'SegEnds_NonXtal_Prot#'!$A:$AL,35,FALSE)</f>
        <v>1087</v>
      </c>
      <c r="AO343" s="5">
        <f>VLOOKUP($A343,'SegEnds_NonXtal_Prot#'!$A:$AL,38,FALSE)</f>
        <v>1104</v>
      </c>
      <c r="AP343" s="5">
        <f t="shared" si="138"/>
        <v>37</v>
      </c>
      <c r="AQ343" s="4" t="str">
        <f t="shared" si="139"/>
        <v>-</v>
      </c>
      <c r="AR343" s="4">
        <f t="shared" si="140"/>
        <v>26</v>
      </c>
      <c r="AS343" s="4" t="str">
        <f t="shared" si="141"/>
        <v>-</v>
      </c>
      <c r="AT343" s="4">
        <f t="shared" si="142"/>
        <v>33</v>
      </c>
      <c r="AU343" s="4" t="str">
        <f t="shared" si="143"/>
        <v>-</v>
      </c>
      <c r="AV343" s="4">
        <f t="shared" si="144"/>
        <v>27</v>
      </c>
      <c r="AW343" s="4">
        <f t="shared" si="145"/>
        <v>2</v>
      </c>
      <c r="AX343" s="4">
        <f t="shared" si="146"/>
        <v>33</v>
      </c>
      <c r="AY343" s="4">
        <f t="shared" si="147"/>
        <v>24</v>
      </c>
      <c r="AZ343" s="4">
        <f t="shared" si="148"/>
        <v>25</v>
      </c>
      <c r="BA343" s="4">
        <f t="shared" si="149"/>
        <v>16</v>
      </c>
    </row>
    <row r="344" spans="1:53" x14ac:dyDescent="0.2">
      <c r="A344" s="1" t="str">
        <f>'SegEnds_NonXtal_Prot#'!A344</f>
        <v>agrl3_human</v>
      </c>
      <c r="B344" s="1" t="str">
        <f t="shared" si="125"/>
        <v>EVKHSDAVHDLLLDVITWVGILLSLVCLLICIFTFCFFSDRNTIHKNLCISLFVAELLFLIGINRIACAVFAALLHFFFLAAFTWMFLEGVQLYIMLVERRKYFYLVGYGMPALIVAVSAAVDYRSYDTYFIWSFIGPATLIIMLNVIFLGIALYKMFHHTNIKSWVIGAIALLCLLGLTWAFGLMTVIMAYLFTIFNSLQGMFIFIFHCVLQKKVRKEYGKCLRTHCC</v>
      </c>
      <c r="C344" s="29" t="str">
        <f>IF(ISERROR(MATCH(A344,'SegEnds_Xtal_Prot#'!B:B, 0)), "NoXtal", "Xtal")</f>
        <v>NoXtal</v>
      </c>
      <c r="D344" s="4" t="str">
        <f>VLOOKUP(A344,Classification!A:D,2,FALSE)</f>
        <v>B2</v>
      </c>
      <c r="E344" s="5" t="str">
        <f>VLOOKUP(A344,Seqs!A:B,2,FALSE)</f>
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</c>
      <c r="F344" s="5" t="str">
        <f t="shared" si="126"/>
        <v>EVKHSDAVHDLLLDVITWVGILLSLVCLLICIFTFCFF</v>
      </c>
      <c r="G344" s="4" t="str">
        <f t="shared" si="127"/>
        <v>RGLQ</v>
      </c>
      <c r="H344" s="4" t="str">
        <f t="shared" si="128"/>
        <v>SDRNTIHKNLCISLFVAELLFLIGINR</v>
      </c>
      <c r="I344" s="4" t="str">
        <f t="shared" si="129"/>
        <v/>
      </c>
      <c r="J344" s="4" t="str">
        <f t="shared" si="130"/>
        <v>IACAVFAALLHFFFLAAFTWMFLEGVQLYIMLVE</v>
      </c>
      <c r="K344" s="4" t="str">
        <f t="shared" si="131"/>
        <v/>
      </c>
      <c r="L344" s="4" t="str">
        <f t="shared" si="132"/>
        <v>RRKYFYLVGYGMPALIVAVSAAVDYRSY</v>
      </c>
      <c r="M344" s="4" t="str">
        <f t="shared" si="133"/>
        <v>CWL</v>
      </c>
      <c r="N344" s="4" t="str">
        <f t="shared" si="134"/>
        <v>DTYFIWSFIGPATLIIMLNVIFLGIALYKMFHHT</v>
      </c>
      <c r="O344" s="4" t="str">
        <f t="shared" si="135"/>
        <v>NIKSWVIGAIALLCLLGLTWAFGLM</v>
      </c>
      <c r="P344" s="4" t="str">
        <f t="shared" si="136"/>
        <v>TVIMAYLFTIFNSLQGMFIFIFHCVL</v>
      </c>
      <c r="Q344" s="4" t="str">
        <f t="shared" si="137"/>
        <v>QKKVRKEYGKCLRTHCC</v>
      </c>
      <c r="R344" s="5">
        <f>VLOOKUP($A344,'SegEnds_NonXtal_Prot#'!$A:$AL,3,FALSE)</f>
        <v>852</v>
      </c>
      <c r="S344" s="5">
        <f>VLOOKUP($A344,'SegEnds_NonXtal_Prot#'!$A:$AL,6,FALSE)</f>
        <v>890</v>
      </c>
      <c r="T344" s="5">
        <f>VLOOKUP($A344,'SegEnds_NonXtal_Prot#'!$A:$AL,9,FALSE)</f>
        <v>894</v>
      </c>
      <c r="U344" s="5" t="str">
        <f>VLOOKUP($A344,'SegEnds_NonXtal_Prot#'!$A:$AL,12,FALSE)</f>
        <v>-</v>
      </c>
      <c r="V344" s="5">
        <f>VLOOKUP($A344,'SegEnds_NonXtal_Prot#'!$A:$AL,15,FALSE)</f>
        <v>925</v>
      </c>
      <c r="W344" s="5" t="str">
        <f>VLOOKUP($A344,'SegEnds_NonXtal_Prot#'!$A:$AL,18,FALSE)</f>
        <v>-</v>
      </c>
      <c r="X344" s="5">
        <f>VLOOKUP($A344,'SegEnds_NonXtal_Prot#'!$A:$AL,21,FALSE)</f>
        <v>966</v>
      </c>
      <c r="Y344" s="5">
        <f>VLOOKUP($A344,'SegEnds_NonXtal_Prot#'!$A:$AL,24,FALSE)</f>
        <v>999</v>
      </c>
      <c r="Z344" s="5">
        <f>VLOOKUP($A344,'SegEnds_NonXtal_Prot#'!$A:$AL,27,FALSE)</f>
        <v>1004</v>
      </c>
      <c r="AA344" s="5">
        <f>VLOOKUP($A344,'SegEnds_NonXtal_Prot#'!$A:$AL,30,FALSE)</f>
        <v>1049</v>
      </c>
      <c r="AB344" s="5">
        <f>VLOOKUP($A344,'SegEnds_NonXtal_Prot#'!$A:$AL,33,FALSE)</f>
        <v>1079</v>
      </c>
      <c r="AC344" s="5">
        <f>VLOOKUP($A344,'SegEnds_NonXtal_Prot#'!$A:$AL,36,FALSE)</f>
        <v>1105</v>
      </c>
      <c r="AD344" s="5">
        <f>VLOOKUP($A344,'SegEnds_NonXtal_Prot#'!$A:$AL,5,FALSE)</f>
        <v>889</v>
      </c>
      <c r="AE344" s="5">
        <f>VLOOKUP($A344,'SegEnds_NonXtal_Prot#'!$A:$AL,8,FALSE)</f>
        <v>893</v>
      </c>
      <c r="AF344" s="5">
        <f>VLOOKUP($A344,'SegEnds_NonXtal_Prot#'!$A:$AL,11,FALSE)</f>
        <v>920</v>
      </c>
      <c r="AG344" s="5" t="str">
        <f>VLOOKUP($A344,'SegEnds_NonXtal_Prot#'!$A:$AL,14,FALSE)</f>
        <v>-</v>
      </c>
      <c r="AH344" s="5">
        <f>VLOOKUP($A344,'SegEnds_NonXtal_Prot#'!$A:$AL,17,FALSE)</f>
        <v>958</v>
      </c>
      <c r="AI344" s="5" t="str">
        <f>VLOOKUP($A344,'SegEnds_NonXtal_Prot#'!$A:$AL,20,FALSE)</f>
        <v>-</v>
      </c>
      <c r="AJ344" s="5">
        <f>VLOOKUP($A344,'SegEnds_NonXtal_Prot#'!$A:$AL,23,FALSE)</f>
        <v>993</v>
      </c>
      <c r="AK344" s="5">
        <f>VLOOKUP($A344,'SegEnds_NonXtal_Prot#'!$A:$AL,26,FALSE)</f>
        <v>1001</v>
      </c>
      <c r="AL344" s="5">
        <f>VLOOKUP($A344,'SegEnds_NonXtal_Prot#'!$A:$AL,29,FALSE)</f>
        <v>1037</v>
      </c>
      <c r="AM344" s="5">
        <f>VLOOKUP($A344,'SegEnds_NonXtal_Prot#'!$A:$AL,32,FALSE)</f>
        <v>1073</v>
      </c>
      <c r="AN344" s="5">
        <f>VLOOKUP($A344,'SegEnds_NonXtal_Prot#'!$A:$AL,35,FALSE)</f>
        <v>1104</v>
      </c>
      <c r="AO344" s="5">
        <f>VLOOKUP($A344,'SegEnds_NonXtal_Prot#'!$A:$AL,38,FALSE)</f>
        <v>1121</v>
      </c>
      <c r="AP344" s="5">
        <f t="shared" si="138"/>
        <v>37</v>
      </c>
      <c r="AQ344" s="4">
        <f t="shared" si="139"/>
        <v>3</v>
      </c>
      <c r="AR344" s="4">
        <f t="shared" si="140"/>
        <v>26</v>
      </c>
      <c r="AS344" s="4" t="str">
        <f t="shared" si="141"/>
        <v>-</v>
      </c>
      <c r="AT344" s="4">
        <f t="shared" si="142"/>
        <v>33</v>
      </c>
      <c r="AU344" s="4" t="str">
        <f t="shared" si="143"/>
        <v>-</v>
      </c>
      <c r="AV344" s="4">
        <f t="shared" si="144"/>
        <v>27</v>
      </c>
      <c r="AW344" s="4">
        <f t="shared" si="145"/>
        <v>2</v>
      </c>
      <c r="AX344" s="4">
        <f t="shared" si="146"/>
        <v>33</v>
      </c>
      <c r="AY344" s="4">
        <f t="shared" si="147"/>
        <v>24</v>
      </c>
      <c r="AZ344" s="4">
        <f t="shared" si="148"/>
        <v>25</v>
      </c>
      <c r="BA344" s="4">
        <f t="shared" si="149"/>
        <v>16</v>
      </c>
    </row>
    <row r="345" spans="1:53" x14ac:dyDescent="0.2">
      <c r="A345" s="1" t="str">
        <f>'SegEnds_NonXtal_Prot#'!A345</f>
        <v>agrl4_human</v>
      </c>
      <c r="B345" s="1" t="str">
        <f t="shared" si="125"/>
        <v>SGPSIGIKDYNILTRITQLGIIISLICLAICIFTFWFFSTRTTIHKNLCCSLFLAELVFLVGINTLFCSIIAGLLHYFFLAAFAWMCIEGIHLYLIVVGFLHKNFYIFGYLSPAVVVGFSAALGYRYYENNFIWSFIGPACLIILVNLLAFGVIIYKVFRHTNIRSCARGALALLFLLGTTWIFGVLSVVTAYLFTVSNAFQGMFIFLFLCVLSRKIQEEYYRLFKNVPC</v>
      </c>
      <c r="C345" s="29" t="str">
        <f>IF(ISERROR(MATCH(A345,'SegEnds_Xtal_Prot#'!B:B, 0)), "NoXtal", "Xtal")</f>
        <v>NoXtal</v>
      </c>
      <c r="D345" s="4" t="str">
        <f>VLOOKUP(A345,Classification!A:D,2,FALSE)</f>
        <v>B2</v>
      </c>
      <c r="E345" s="5" t="str">
        <f>VLOOKUP(A345,Seqs!A:B,2,FALSE)</f>
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</c>
      <c r="F345" s="5" t="str">
        <f t="shared" si="126"/>
        <v>SGPSIGIKDYNILTRITQLGIIISLICLAICIFTFWFF</v>
      </c>
      <c r="G345" s="4" t="str">
        <f t="shared" si="127"/>
        <v/>
      </c>
      <c r="H345" s="4" t="str">
        <f t="shared" si="128"/>
        <v>STRTTIHKNLCCSLFLAELVFLVGINT</v>
      </c>
      <c r="I345" s="4" t="str">
        <f t="shared" si="129"/>
        <v/>
      </c>
      <c r="J345" s="4" t="str">
        <f t="shared" si="130"/>
        <v>LFCSIIAGLLHYFFLAAFAWMCIEGIHLYLIVVG</v>
      </c>
      <c r="K345" s="4" t="str">
        <f t="shared" si="131"/>
        <v/>
      </c>
      <c r="L345" s="4" t="str">
        <f t="shared" si="132"/>
        <v>FLHKNFYIFGYLSPAVVVGFSAALGYRYY</v>
      </c>
      <c r="M345" s="4" t="str">
        <f t="shared" si="133"/>
        <v>CWL</v>
      </c>
      <c r="N345" s="4" t="str">
        <f t="shared" si="134"/>
        <v>ENNFIWSFIGPACLIILVNLLAFGVIIYKVFRHT</v>
      </c>
      <c r="O345" s="4" t="str">
        <f t="shared" si="135"/>
        <v>NIRSCARGALALLFLLGTTWIFGVL</v>
      </c>
      <c r="P345" s="4" t="str">
        <f t="shared" si="136"/>
        <v>SVVTAYLFTVSNAFQGMFIFLFLCVL</v>
      </c>
      <c r="Q345" s="4" t="str">
        <f t="shared" si="137"/>
        <v>SRKIQEEYYRLFKNVPC</v>
      </c>
      <c r="R345" s="5">
        <f>VLOOKUP($A345,'SegEnds_NonXtal_Prot#'!$A:$AL,3,FALSE)</f>
        <v>415</v>
      </c>
      <c r="S345" s="5" t="str">
        <f>VLOOKUP($A345,'SegEnds_NonXtal_Prot#'!$A:$AL,6,FALSE)</f>
        <v>-</v>
      </c>
      <c r="T345" s="5">
        <f>VLOOKUP($A345,'SegEnds_NonXtal_Prot#'!$A:$AL,9,FALSE)</f>
        <v>457</v>
      </c>
      <c r="U345" s="5" t="str">
        <f>VLOOKUP($A345,'SegEnds_NonXtal_Prot#'!$A:$AL,12,FALSE)</f>
        <v>-</v>
      </c>
      <c r="V345" s="5">
        <f>VLOOKUP($A345,'SegEnds_NonXtal_Prot#'!$A:$AL,15,FALSE)</f>
        <v>488</v>
      </c>
      <c r="W345" s="5" t="str">
        <f>VLOOKUP($A345,'SegEnds_NonXtal_Prot#'!$A:$AL,18,FALSE)</f>
        <v>-</v>
      </c>
      <c r="X345" s="5">
        <f>VLOOKUP($A345,'SegEnds_NonXtal_Prot#'!$A:$AL,21,FALSE)</f>
        <v>528</v>
      </c>
      <c r="Y345" s="5">
        <f>VLOOKUP($A345,'SegEnds_NonXtal_Prot#'!$A:$AL,24,FALSE)</f>
        <v>562</v>
      </c>
      <c r="Z345" s="5">
        <f>VLOOKUP($A345,'SegEnds_NonXtal_Prot#'!$A:$AL,27,FALSE)</f>
        <v>567</v>
      </c>
      <c r="AA345" s="5">
        <f>VLOOKUP($A345,'SegEnds_NonXtal_Prot#'!$A:$AL,30,FALSE)</f>
        <v>612</v>
      </c>
      <c r="AB345" s="5">
        <f>VLOOKUP($A345,'SegEnds_NonXtal_Prot#'!$A:$AL,33,FALSE)</f>
        <v>642</v>
      </c>
      <c r="AC345" s="5">
        <f>VLOOKUP($A345,'SegEnds_NonXtal_Prot#'!$A:$AL,36,FALSE)</f>
        <v>668</v>
      </c>
      <c r="AD345" s="5">
        <f>VLOOKUP($A345,'SegEnds_NonXtal_Prot#'!$A:$AL,5,FALSE)</f>
        <v>452</v>
      </c>
      <c r="AE345" s="5" t="str">
        <f>VLOOKUP($A345,'SegEnds_NonXtal_Prot#'!$A:$AL,8,FALSE)</f>
        <v>-</v>
      </c>
      <c r="AF345" s="5">
        <f>VLOOKUP($A345,'SegEnds_NonXtal_Prot#'!$A:$AL,11,FALSE)</f>
        <v>483</v>
      </c>
      <c r="AG345" s="5" t="str">
        <f>VLOOKUP($A345,'SegEnds_NonXtal_Prot#'!$A:$AL,14,FALSE)</f>
        <v>-</v>
      </c>
      <c r="AH345" s="5">
        <f>VLOOKUP($A345,'SegEnds_NonXtal_Prot#'!$A:$AL,17,FALSE)</f>
        <v>521</v>
      </c>
      <c r="AI345" s="5" t="str">
        <f>VLOOKUP($A345,'SegEnds_NonXtal_Prot#'!$A:$AL,20,FALSE)</f>
        <v>-</v>
      </c>
      <c r="AJ345" s="5">
        <f>VLOOKUP($A345,'SegEnds_NonXtal_Prot#'!$A:$AL,23,FALSE)</f>
        <v>556</v>
      </c>
      <c r="AK345" s="5">
        <f>VLOOKUP($A345,'SegEnds_NonXtal_Prot#'!$A:$AL,26,FALSE)</f>
        <v>564</v>
      </c>
      <c r="AL345" s="5">
        <f>VLOOKUP($A345,'SegEnds_NonXtal_Prot#'!$A:$AL,29,FALSE)</f>
        <v>600</v>
      </c>
      <c r="AM345" s="5">
        <f>VLOOKUP($A345,'SegEnds_NonXtal_Prot#'!$A:$AL,32,FALSE)</f>
        <v>636</v>
      </c>
      <c r="AN345" s="5">
        <f>VLOOKUP($A345,'SegEnds_NonXtal_Prot#'!$A:$AL,35,FALSE)</f>
        <v>667</v>
      </c>
      <c r="AO345" s="5">
        <f>VLOOKUP($A345,'SegEnds_NonXtal_Prot#'!$A:$AL,38,FALSE)</f>
        <v>684</v>
      </c>
      <c r="AP345" s="5">
        <f t="shared" si="138"/>
        <v>37</v>
      </c>
      <c r="AQ345" s="4" t="str">
        <f t="shared" si="139"/>
        <v>-</v>
      </c>
      <c r="AR345" s="4">
        <f t="shared" si="140"/>
        <v>26</v>
      </c>
      <c r="AS345" s="4" t="str">
        <f t="shared" si="141"/>
        <v>-</v>
      </c>
      <c r="AT345" s="4">
        <f t="shared" si="142"/>
        <v>33</v>
      </c>
      <c r="AU345" s="4" t="str">
        <f t="shared" si="143"/>
        <v>-</v>
      </c>
      <c r="AV345" s="4">
        <f t="shared" si="144"/>
        <v>28</v>
      </c>
      <c r="AW345" s="4">
        <f t="shared" si="145"/>
        <v>2</v>
      </c>
      <c r="AX345" s="4">
        <f t="shared" si="146"/>
        <v>33</v>
      </c>
      <c r="AY345" s="4">
        <f t="shared" si="147"/>
        <v>24</v>
      </c>
      <c r="AZ345" s="4">
        <f t="shared" si="148"/>
        <v>25</v>
      </c>
      <c r="BA345" s="4">
        <f t="shared" si="149"/>
        <v>16</v>
      </c>
    </row>
    <row r="346" spans="1:53" x14ac:dyDescent="0.2">
      <c r="A346" s="1" t="str">
        <f>'SegEnds_NonXtal_Prot#'!A346</f>
        <v>agrb1_human</v>
      </c>
      <c r="B346" s="1" t="str">
        <f t="shared" si="125"/>
        <v>LSADANMEKATLPSVTLIVGCGVSSLTLLMLVIIYVSVSERSVILINFCLSIISSNALILIGQTQVVCTLVAAFLHFFFLSSFCWVLTEAWQSYMAVTGLIRKRFLCLGWGLPALVVAISVGFTKAKGEGGLLYAFVGPAAAVVLVNMVIGILVFNKLVSKDRAGASLWSSCVVLPLLALTWMSAVLSALFQILFAVFDSLEGFVIVMVHCILRREVQDAVKCRVVDRQE</v>
      </c>
      <c r="C346" s="29" t="str">
        <f>IF(ISERROR(MATCH(A346,'SegEnds_Xtal_Prot#'!B:B, 0)), "NoXtal", "Xtal")</f>
        <v>NoXtal</v>
      </c>
      <c r="D346" s="4" t="str">
        <f>VLOOKUP(A346,Classification!A:D,2,FALSE)</f>
        <v>B2</v>
      </c>
      <c r="E346" s="5" t="str">
        <f>VLOOKUP(A346,Seqs!A:B,2,FALSE)</f>
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</c>
      <c r="F346" s="5" t="str">
        <f t="shared" si="126"/>
        <v>LSADANMEKATLPSVTLIVGCGVSSLTLLMLVIIYVSV</v>
      </c>
      <c r="G346" s="4" t="str">
        <f t="shared" si="127"/>
        <v/>
      </c>
      <c r="H346" s="4" t="str">
        <f t="shared" si="128"/>
        <v>SERSVILINFCLSIISSNALILIGQTQ</v>
      </c>
      <c r="I346" s="4" t="str">
        <f t="shared" si="129"/>
        <v/>
      </c>
      <c r="J346" s="4" t="str">
        <f t="shared" si="130"/>
        <v>VVCTLVAAFLHFFFLSSFCWVLTEAWQSYMAVTG</v>
      </c>
      <c r="K346" s="4" t="str">
        <f t="shared" si="131"/>
        <v/>
      </c>
      <c r="L346" s="4" t="str">
        <f t="shared" si="132"/>
        <v>LIRKRFLCLGWGLPALVVAISVGFTKAKG</v>
      </c>
      <c r="M346" s="4" t="str">
        <f t="shared" si="133"/>
        <v>CWL</v>
      </c>
      <c r="N346" s="4" t="str">
        <f t="shared" si="134"/>
        <v>EGGLLYAFVGPAAAVVLVNMVIGILVFNKLVSKD</v>
      </c>
      <c r="O346" s="4" t="str">
        <f t="shared" si="135"/>
        <v>RAGASLWSSCVVLPLLALTWMSAVL</v>
      </c>
      <c r="P346" s="4" t="str">
        <f t="shared" si="136"/>
        <v>SALFQILFAVFDSLEGFVIVMVHCIL</v>
      </c>
      <c r="Q346" s="4" t="str">
        <f t="shared" si="137"/>
        <v>RREVQDAVKCRVVDRQE</v>
      </c>
      <c r="R346" s="5">
        <f>VLOOKUP($A346,'SegEnds_NonXtal_Prot#'!$A:$AL,3,FALSE)</f>
        <v>935</v>
      </c>
      <c r="S346" s="5" t="str">
        <f>VLOOKUP($A346,'SegEnds_NonXtal_Prot#'!$A:$AL,6,FALSE)</f>
        <v>-</v>
      </c>
      <c r="T346" s="5">
        <f>VLOOKUP($A346,'SegEnds_NonXtal_Prot#'!$A:$AL,9,FALSE)</f>
        <v>978</v>
      </c>
      <c r="U346" s="5" t="str">
        <f>VLOOKUP($A346,'SegEnds_NonXtal_Prot#'!$A:$AL,12,FALSE)</f>
        <v>-</v>
      </c>
      <c r="V346" s="5">
        <f>VLOOKUP($A346,'SegEnds_NonXtal_Prot#'!$A:$AL,15,FALSE)</f>
        <v>1009</v>
      </c>
      <c r="W346" s="5" t="str">
        <f>VLOOKUP($A346,'SegEnds_NonXtal_Prot#'!$A:$AL,18,FALSE)</f>
        <v>-</v>
      </c>
      <c r="X346" s="5">
        <f>VLOOKUP($A346,'SegEnds_NonXtal_Prot#'!$A:$AL,21,FALSE)</f>
        <v>1048</v>
      </c>
      <c r="Y346" s="5">
        <f>VLOOKUP($A346,'SegEnds_NonXtal_Prot#'!$A:$AL,24,FALSE)</f>
        <v>1083</v>
      </c>
      <c r="Z346" s="5">
        <f>VLOOKUP($A346,'SegEnds_NonXtal_Prot#'!$A:$AL,27,FALSE)</f>
        <v>1088</v>
      </c>
      <c r="AA346" s="5">
        <f>VLOOKUP($A346,'SegEnds_NonXtal_Prot#'!$A:$AL,30,FALSE)</f>
        <v>1131</v>
      </c>
      <c r="AB346" s="5">
        <f>VLOOKUP($A346,'SegEnds_NonXtal_Prot#'!$A:$AL,33,FALSE)</f>
        <v>1162</v>
      </c>
      <c r="AC346" s="5">
        <f>VLOOKUP($A346,'SegEnds_NonXtal_Prot#'!$A:$AL,36,FALSE)</f>
        <v>1188</v>
      </c>
      <c r="AD346" s="5">
        <f>VLOOKUP($A346,'SegEnds_NonXtal_Prot#'!$A:$AL,5,FALSE)</f>
        <v>972</v>
      </c>
      <c r="AE346" s="5" t="str">
        <f>VLOOKUP($A346,'SegEnds_NonXtal_Prot#'!$A:$AL,8,FALSE)</f>
        <v>-</v>
      </c>
      <c r="AF346" s="5">
        <f>VLOOKUP($A346,'SegEnds_NonXtal_Prot#'!$A:$AL,11,FALSE)</f>
        <v>1004</v>
      </c>
      <c r="AG346" s="5" t="str">
        <f>VLOOKUP($A346,'SegEnds_NonXtal_Prot#'!$A:$AL,14,FALSE)</f>
        <v>-</v>
      </c>
      <c r="AH346" s="5">
        <f>VLOOKUP($A346,'SegEnds_NonXtal_Prot#'!$A:$AL,17,FALSE)</f>
        <v>1042</v>
      </c>
      <c r="AI346" s="5" t="str">
        <f>VLOOKUP($A346,'SegEnds_NonXtal_Prot#'!$A:$AL,20,FALSE)</f>
        <v>-</v>
      </c>
      <c r="AJ346" s="5">
        <f>VLOOKUP($A346,'SegEnds_NonXtal_Prot#'!$A:$AL,23,FALSE)</f>
        <v>1076</v>
      </c>
      <c r="AK346" s="5">
        <f>VLOOKUP($A346,'SegEnds_NonXtal_Prot#'!$A:$AL,26,FALSE)</f>
        <v>1085</v>
      </c>
      <c r="AL346" s="5">
        <f>VLOOKUP($A346,'SegEnds_NonXtal_Prot#'!$A:$AL,29,FALSE)</f>
        <v>1121</v>
      </c>
      <c r="AM346" s="5">
        <f>VLOOKUP($A346,'SegEnds_NonXtal_Prot#'!$A:$AL,32,FALSE)</f>
        <v>1155</v>
      </c>
      <c r="AN346" s="5">
        <f>VLOOKUP($A346,'SegEnds_NonXtal_Prot#'!$A:$AL,35,FALSE)</f>
        <v>1187</v>
      </c>
      <c r="AO346" s="5">
        <f>VLOOKUP($A346,'SegEnds_NonXtal_Prot#'!$A:$AL,38,FALSE)</f>
        <v>1204</v>
      </c>
      <c r="AP346" s="5">
        <f t="shared" si="138"/>
        <v>37</v>
      </c>
      <c r="AQ346" s="4" t="str">
        <f t="shared" si="139"/>
        <v>-</v>
      </c>
      <c r="AR346" s="4">
        <f t="shared" si="140"/>
        <v>26</v>
      </c>
      <c r="AS346" s="4" t="str">
        <f t="shared" si="141"/>
        <v>-</v>
      </c>
      <c r="AT346" s="4">
        <f t="shared" si="142"/>
        <v>33</v>
      </c>
      <c r="AU346" s="4" t="str">
        <f t="shared" si="143"/>
        <v>-</v>
      </c>
      <c r="AV346" s="4">
        <f t="shared" si="144"/>
        <v>28</v>
      </c>
      <c r="AW346" s="4">
        <f t="shared" si="145"/>
        <v>2</v>
      </c>
      <c r="AX346" s="4">
        <f t="shared" si="146"/>
        <v>33</v>
      </c>
      <c r="AY346" s="4">
        <f t="shared" si="147"/>
        <v>24</v>
      </c>
      <c r="AZ346" s="4">
        <f t="shared" si="148"/>
        <v>25</v>
      </c>
      <c r="BA346" s="4">
        <f t="shared" si="149"/>
        <v>16</v>
      </c>
    </row>
    <row r="347" spans="1:53" x14ac:dyDescent="0.2">
      <c r="A347" s="1" t="str">
        <f>'SegEnds_NonXtal_Prot#'!A347</f>
        <v>agre5_human</v>
      </c>
      <c r="B347" s="1" t="str">
        <f t="shared" si="125"/>
        <v>ILMAHYDVEDWKLTLITRVGLALSLFCLLLCILTFLLVGSRTTIHLHLCICLFVGSTIFLAGIENLRCRLVAGLLHYCFLAAFCWMSLEGLELYFLVVRQGLSTRWLCLIGYGVPLLIVGVSAAIYSKGYEQGFLWSFLGPVTFIILCNAVIFVTTVWKLTQKFKARALTITAIAQLFLLGCTWVFGLFSLVLTYVFTILNCLQGAFLYLLHCLLNKKVREEYRKWACLVAG</v>
      </c>
      <c r="C347" s="29" t="str">
        <f>IF(ISERROR(MATCH(A347,'SegEnds_Xtal_Prot#'!B:B, 0)), "NoXtal", "Xtal")</f>
        <v>NoXtal</v>
      </c>
      <c r="D347" s="4" t="str">
        <f>VLOOKUP(A347,Classification!A:D,2,FALSE)</f>
        <v>B2</v>
      </c>
      <c r="E347" s="5" t="str">
        <f>VLOOKUP(A347,Seqs!A:B,2,FALSE)</f>
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</c>
      <c r="F347" s="5" t="str">
        <f t="shared" si="126"/>
        <v>ILMAHYDVEDWKLTLITRVGLALSLFCLLLCILTFLLV</v>
      </c>
      <c r="G347" s="4" t="str">
        <f t="shared" si="127"/>
        <v/>
      </c>
      <c r="H347" s="4" t="str">
        <f t="shared" si="128"/>
        <v>GSRTTIHLHLCICLFVGSTIFLAGIEN</v>
      </c>
      <c r="I347" s="4" t="str">
        <f t="shared" si="129"/>
        <v/>
      </c>
      <c r="J347" s="4" t="str">
        <f t="shared" si="130"/>
        <v>LRCRLVAGLLHYCFLAAFCWMSLEGLELYFLVVR</v>
      </c>
      <c r="K347" s="4" t="str">
        <f t="shared" si="131"/>
        <v/>
      </c>
      <c r="L347" s="4" t="str">
        <f t="shared" si="132"/>
        <v>QGLSTRWLCLIGYGVPLLIVGVSAAIYSKGY</v>
      </c>
      <c r="M347" s="4" t="str">
        <f t="shared" si="133"/>
        <v>CWL</v>
      </c>
      <c r="N347" s="4" t="str">
        <f t="shared" si="134"/>
        <v>EQGFLWSFLGPVTFIILCNAVIFVTTVWKLTQKF</v>
      </c>
      <c r="O347" s="4" t="str">
        <f t="shared" si="135"/>
        <v>KARALTITAIAQLFLLGCTWVFGLF</v>
      </c>
      <c r="P347" s="4" t="str">
        <f t="shared" si="136"/>
        <v>SLVLTYVFTILNCLQGAFLYLLHCLL</v>
      </c>
      <c r="Q347" s="4" t="str">
        <f t="shared" si="137"/>
        <v>NKKVREEYRKWACLVAG</v>
      </c>
      <c r="R347" s="5">
        <f>VLOOKUP($A347,'SegEnds_NonXtal_Prot#'!$A:$AL,3,FALSE)</f>
        <v>535</v>
      </c>
      <c r="S347" s="5" t="str">
        <f>VLOOKUP($A347,'SegEnds_NonXtal_Prot#'!$A:$AL,6,FALSE)</f>
        <v>-</v>
      </c>
      <c r="T347" s="5">
        <f>VLOOKUP($A347,'SegEnds_NonXtal_Prot#'!$A:$AL,9,FALSE)</f>
        <v>577</v>
      </c>
      <c r="U347" s="5" t="str">
        <f>VLOOKUP($A347,'SegEnds_NonXtal_Prot#'!$A:$AL,12,FALSE)</f>
        <v>-</v>
      </c>
      <c r="V347" s="5">
        <f>VLOOKUP($A347,'SegEnds_NonXtal_Prot#'!$A:$AL,15,FALSE)</f>
        <v>610</v>
      </c>
      <c r="W347" s="5" t="str">
        <f>VLOOKUP($A347,'SegEnds_NonXtal_Prot#'!$A:$AL,18,FALSE)</f>
        <v>-</v>
      </c>
      <c r="X347" s="5">
        <f>VLOOKUP($A347,'SegEnds_NonXtal_Prot#'!$A:$AL,21,FALSE)</f>
        <v>648</v>
      </c>
      <c r="Y347" s="5">
        <f>VLOOKUP($A347,'SegEnds_NonXtal_Prot#'!$A:$AL,24,FALSE)</f>
        <v>684</v>
      </c>
      <c r="Z347" s="5">
        <f>VLOOKUP($A347,'SegEnds_NonXtal_Prot#'!$A:$AL,27,FALSE)</f>
        <v>689</v>
      </c>
      <c r="AA347" s="5">
        <f>VLOOKUP($A347,'SegEnds_NonXtal_Prot#'!$A:$AL,30,FALSE)</f>
        <v>734</v>
      </c>
      <c r="AB347" s="5">
        <f>VLOOKUP($A347,'SegEnds_NonXtal_Prot#'!$A:$AL,33,FALSE)</f>
        <v>764</v>
      </c>
      <c r="AC347" s="5">
        <f>VLOOKUP($A347,'SegEnds_NonXtal_Prot#'!$A:$AL,36,FALSE)</f>
        <v>790</v>
      </c>
      <c r="AD347" s="5">
        <f>VLOOKUP($A347,'SegEnds_NonXtal_Prot#'!$A:$AL,5,FALSE)</f>
        <v>572</v>
      </c>
      <c r="AE347" s="5" t="str">
        <f>VLOOKUP($A347,'SegEnds_NonXtal_Prot#'!$A:$AL,8,FALSE)</f>
        <v>-</v>
      </c>
      <c r="AF347" s="5">
        <f>VLOOKUP($A347,'SegEnds_NonXtal_Prot#'!$A:$AL,11,FALSE)</f>
        <v>603</v>
      </c>
      <c r="AG347" s="5" t="str">
        <f>VLOOKUP($A347,'SegEnds_NonXtal_Prot#'!$A:$AL,14,FALSE)</f>
        <v>-</v>
      </c>
      <c r="AH347" s="5">
        <f>VLOOKUP($A347,'SegEnds_NonXtal_Prot#'!$A:$AL,17,FALSE)</f>
        <v>643</v>
      </c>
      <c r="AI347" s="5" t="str">
        <f>VLOOKUP($A347,'SegEnds_NonXtal_Prot#'!$A:$AL,20,FALSE)</f>
        <v>-</v>
      </c>
      <c r="AJ347" s="5">
        <f>VLOOKUP($A347,'SegEnds_NonXtal_Prot#'!$A:$AL,23,FALSE)</f>
        <v>678</v>
      </c>
      <c r="AK347" s="5">
        <f>VLOOKUP($A347,'SegEnds_NonXtal_Prot#'!$A:$AL,26,FALSE)</f>
        <v>686</v>
      </c>
      <c r="AL347" s="5">
        <f>VLOOKUP($A347,'SegEnds_NonXtal_Prot#'!$A:$AL,29,FALSE)</f>
        <v>722</v>
      </c>
      <c r="AM347" s="5">
        <f>VLOOKUP($A347,'SegEnds_NonXtal_Prot#'!$A:$AL,32,FALSE)</f>
        <v>758</v>
      </c>
      <c r="AN347" s="5">
        <f>VLOOKUP($A347,'SegEnds_NonXtal_Prot#'!$A:$AL,35,FALSE)</f>
        <v>789</v>
      </c>
      <c r="AO347" s="5">
        <f>VLOOKUP($A347,'SegEnds_NonXtal_Prot#'!$A:$AL,38,FALSE)</f>
        <v>806</v>
      </c>
      <c r="AP347" s="5">
        <f t="shared" si="138"/>
        <v>37</v>
      </c>
      <c r="AQ347" s="4" t="str">
        <f t="shared" si="139"/>
        <v>-</v>
      </c>
      <c r="AR347" s="4">
        <f t="shared" si="140"/>
        <v>26</v>
      </c>
      <c r="AS347" s="4" t="str">
        <f t="shared" si="141"/>
        <v>-</v>
      </c>
      <c r="AT347" s="4">
        <f t="shared" si="142"/>
        <v>33</v>
      </c>
      <c r="AU347" s="4" t="str">
        <f t="shared" si="143"/>
        <v>-</v>
      </c>
      <c r="AV347" s="4">
        <f t="shared" si="144"/>
        <v>30</v>
      </c>
      <c r="AW347" s="4">
        <f t="shared" si="145"/>
        <v>2</v>
      </c>
      <c r="AX347" s="4">
        <f t="shared" si="146"/>
        <v>33</v>
      </c>
      <c r="AY347" s="4">
        <f t="shared" si="147"/>
        <v>24</v>
      </c>
      <c r="AZ347" s="4">
        <f t="shared" si="148"/>
        <v>25</v>
      </c>
      <c r="BA347" s="4">
        <f t="shared" si="149"/>
        <v>16</v>
      </c>
    </row>
    <row r="348" spans="1:53" x14ac:dyDescent="0.2">
      <c r="A348" s="1" t="str">
        <f>'SegEnds_NonXtal_Prot#'!A348</f>
        <v>celr1_human</v>
      </c>
      <c r="B348" s="1" t="str">
        <f t="shared" si="125"/>
        <v>DISRRENGEVLPLKIVTYAAVSLSLAALLVAFVLLSLVSNLHSIHKHLAVALFLSQLVFVIGINQFLCTVVAILLHYIYMSTFAWTLVESLHVYRMLTEPMRFYYVVGWGIPAIVTGLAVGLDPQGYQDTLIWSFAGPIGAVIIINTVTSVLSAKVSCQRKGIVSLLRTAFLLLLLISATWLLGLLALSFHYLFAIFSGLQGPFVLLFHCVLNQEVRKHLKGVLGGRKL</v>
      </c>
      <c r="C348" s="29" t="str">
        <f>IF(ISERROR(MATCH(A348,'SegEnds_Xtal_Prot#'!B:B, 0)), "NoXtal", "Xtal")</f>
        <v>NoXtal</v>
      </c>
      <c r="D348" s="4" t="str">
        <f>VLOOKUP(A348,Classification!A:D,2,FALSE)</f>
        <v>B2</v>
      </c>
      <c r="E348" s="5" t="str">
        <f>VLOOKUP(A348,Seqs!A:B,2,FALSE)</f>
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</c>
      <c r="F348" s="5" t="str">
        <f t="shared" si="126"/>
        <v>DISRRENGEVLPLKIVTYAAVSLSLAALLVAFVLLSLV</v>
      </c>
      <c r="G348" s="4" t="str">
        <f t="shared" si="127"/>
        <v>RMLR</v>
      </c>
      <c r="H348" s="4" t="str">
        <f t="shared" si="128"/>
        <v>SNLHSIHKHLAVALFLSQLVFVIGINQ</v>
      </c>
      <c r="I348" s="4" t="str">
        <f t="shared" si="129"/>
        <v/>
      </c>
      <c r="J348" s="4" t="str">
        <f t="shared" si="130"/>
        <v>FLCTVVAILLHYIYMSTFAWTLVESLHVYRMLTE</v>
      </c>
      <c r="K348" s="4" t="str">
        <f t="shared" si="131"/>
        <v/>
      </c>
      <c r="L348" s="4" t="str">
        <f t="shared" si="132"/>
        <v>PMRFYYVVGWGIPAIVTGLAVGLDPQGY</v>
      </c>
      <c r="M348" s="4" t="str">
        <f t="shared" si="133"/>
        <v>CWL</v>
      </c>
      <c r="N348" s="4" t="str">
        <f t="shared" si="134"/>
        <v>QDTLIWSFAGPIGAVIIINTVTSVLSAKVSCQRK</v>
      </c>
      <c r="O348" s="4" t="str">
        <f t="shared" si="135"/>
        <v>GIVSLLRTAFLLLLLISATWLLGLL</v>
      </c>
      <c r="P348" s="4" t="str">
        <f t="shared" si="136"/>
        <v>ALSFHYLFAIFSGLQGPFVLLFHCVL</v>
      </c>
      <c r="Q348" s="4" t="str">
        <f t="shared" si="137"/>
        <v>NQEVRKHLKGVLGGRKL</v>
      </c>
      <c r="R348" s="5">
        <f>VLOOKUP($A348,'SegEnds_NonXtal_Prot#'!$A:$AL,3,FALSE)</f>
        <v>2456</v>
      </c>
      <c r="S348" s="5">
        <f>VLOOKUP($A348,'SegEnds_NonXtal_Prot#'!$A:$AL,6,FALSE)</f>
        <v>2494</v>
      </c>
      <c r="T348" s="5">
        <f>VLOOKUP($A348,'SegEnds_NonXtal_Prot#'!$A:$AL,9,FALSE)</f>
        <v>2498</v>
      </c>
      <c r="U348" s="5" t="str">
        <f>VLOOKUP($A348,'SegEnds_NonXtal_Prot#'!$A:$AL,12,FALSE)</f>
        <v>-</v>
      </c>
      <c r="V348" s="5">
        <f>VLOOKUP($A348,'SegEnds_NonXtal_Prot#'!$A:$AL,15,FALSE)</f>
        <v>2529</v>
      </c>
      <c r="W348" s="5" t="str">
        <f>VLOOKUP($A348,'SegEnds_NonXtal_Prot#'!$A:$AL,18,FALSE)</f>
        <v>-</v>
      </c>
      <c r="X348" s="5">
        <f>VLOOKUP($A348,'SegEnds_NonXtal_Prot#'!$A:$AL,21,FALSE)</f>
        <v>2570</v>
      </c>
      <c r="Y348" s="5">
        <f>VLOOKUP($A348,'SegEnds_NonXtal_Prot#'!$A:$AL,24,FALSE)</f>
        <v>2603</v>
      </c>
      <c r="Z348" s="5">
        <f>VLOOKUP($A348,'SegEnds_NonXtal_Prot#'!$A:$AL,27,FALSE)</f>
        <v>2608</v>
      </c>
      <c r="AA348" s="5">
        <f>VLOOKUP($A348,'SegEnds_NonXtal_Prot#'!$A:$AL,30,FALSE)</f>
        <v>2649</v>
      </c>
      <c r="AB348" s="5">
        <f>VLOOKUP($A348,'SegEnds_NonXtal_Prot#'!$A:$AL,33,FALSE)</f>
        <v>2679</v>
      </c>
      <c r="AC348" s="5">
        <f>VLOOKUP($A348,'SegEnds_NonXtal_Prot#'!$A:$AL,36,FALSE)</f>
        <v>2705</v>
      </c>
      <c r="AD348" s="5">
        <f>VLOOKUP($A348,'SegEnds_NonXtal_Prot#'!$A:$AL,5,FALSE)</f>
        <v>2493</v>
      </c>
      <c r="AE348" s="5">
        <f>VLOOKUP($A348,'SegEnds_NonXtal_Prot#'!$A:$AL,8,FALSE)</f>
        <v>2497</v>
      </c>
      <c r="AF348" s="5">
        <f>VLOOKUP($A348,'SegEnds_NonXtal_Prot#'!$A:$AL,11,FALSE)</f>
        <v>2524</v>
      </c>
      <c r="AG348" s="5" t="str">
        <f>VLOOKUP($A348,'SegEnds_NonXtal_Prot#'!$A:$AL,14,FALSE)</f>
        <v>-</v>
      </c>
      <c r="AH348" s="5">
        <f>VLOOKUP($A348,'SegEnds_NonXtal_Prot#'!$A:$AL,17,FALSE)</f>
        <v>2562</v>
      </c>
      <c r="AI348" s="5" t="str">
        <f>VLOOKUP($A348,'SegEnds_NonXtal_Prot#'!$A:$AL,20,FALSE)</f>
        <v>-</v>
      </c>
      <c r="AJ348" s="5">
        <f>VLOOKUP($A348,'SegEnds_NonXtal_Prot#'!$A:$AL,23,FALSE)</f>
        <v>2597</v>
      </c>
      <c r="AK348" s="5">
        <f>VLOOKUP($A348,'SegEnds_NonXtal_Prot#'!$A:$AL,26,FALSE)</f>
        <v>2605</v>
      </c>
      <c r="AL348" s="5">
        <f>VLOOKUP($A348,'SegEnds_NonXtal_Prot#'!$A:$AL,29,FALSE)</f>
        <v>2641</v>
      </c>
      <c r="AM348" s="5">
        <f>VLOOKUP($A348,'SegEnds_NonXtal_Prot#'!$A:$AL,32,FALSE)</f>
        <v>2673</v>
      </c>
      <c r="AN348" s="5">
        <f>VLOOKUP($A348,'SegEnds_NonXtal_Prot#'!$A:$AL,35,FALSE)</f>
        <v>2704</v>
      </c>
      <c r="AO348" s="5">
        <f>VLOOKUP($A348,'SegEnds_NonXtal_Prot#'!$A:$AL,38,FALSE)</f>
        <v>2721</v>
      </c>
      <c r="AP348" s="5">
        <f t="shared" si="138"/>
        <v>37</v>
      </c>
      <c r="AQ348" s="4">
        <f t="shared" si="139"/>
        <v>3</v>
      </c>
      <c r="AR348" s="4">
        <f t="shared" si="140"/>
        <v>26</v>
      </c>
      <c r="AS348" s="4" t="str">
        <f t="shared" si="141"/>
        <v>-</v>
      </c>
      <c r="AT348" s="4">
        <f t="shared" si="142"/>
        <v>33</v>
      </c>
      <c r="AU348" s="4" t="str">
        <f t="shared" si="143"/>
        <v>-</v>
      </c>
      <c r="AV348" s="4">
        <f t="shared" si="144"/>
        <v>27</v>
      </c>
      <c r="AW348" s="4">
        <f t="shared" si="145"/>
        <v>2</v>
      </c>
      <c r="AX348" s="4">
        <f t="shared" si="146"/>
        <v>33</v>
      </c>
      <c r="AY348" s="4">
        <f t="shared" si="147"/>
        <v>24</v>
      </c>
      <c r="AZ348" s="4">
        <f t="shared" si="148"/>
        <v>25</v>
      </c>
      <c r="BA348" s="4">
        <f t="shared" si="149"/>
        <v>16</v>
      </c>
    </row>
    <row r="349" spans="1:53" x14ac:dyDescent="0.2">
      <c r="A349" s="1" t="str">
        <f>'SegEnds_NonXtal_Prot#'!A349</f>
        <v>celr2_human</v>
      </c>
      <c r="B349" s="1" t="str">
        <f t="shared" si="125"/>
        <v>DVSRRENGEILPLKTLTYVALGVTLAALLLTFFFLTLLSNQHGIRRNLTAALGLAQLVFLLGINQFACTVIAILLHFLYLCTFSWALLEALHLYRALTEPMRFYYMLGWGVPAFITGLAVGLDPEGYDTLIWSFAGPVAFAVSMSVFLYILAARASCAAQGPVSGLQPSFAVLLLLSATWLLALLTLLFHYLFATCNCIQGPFIFLSYVVLSKEVRKALKLACSRKPS</v>
      </c>
      <c r="C349" s="29" t="str">
        <f>IF(ISERROR(MATCH(A349,'SegEnds_Xtal_Prot#'!B:B, 0)), "NoXtal", "Xtal")</f>
        <v>NoXtal</v>
      </c>
      <c r="D349" s="4" t="str">
        <f>VLOOKUP(A349,Classification!A:D,2,FALSE)</f>
        <v>B2</v>
      </c>
      <c r="E349" s="5" t="str">
        <f>VLOOKUP(A349,Seqs!A:B,2,FALSE)</f>
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</c>
      <c r="F349" s="5" t="str">
        <f t="shared" si="126"/>
        <v>DVSRRENGEILPLKTLTYVALGVTLAALLLTFFFLTLL</v>
      </c>
      <c r="G349" s="4" t="str">
        <f t="shared" si="127"/>
        <v>RILR</v>
      </c>
      <c r="H349" s="4" t="str">
        <f t="shared" si="128"/>
        <v>SNQHGIRRNLTAALGLAQLVFLLGINQ</v>
      </c>
      <c r="I349" s="4" t="str">
        <f t="shared" si="129"/>
        <v/>
      </c>
      <c r="J349" s="4" t="str">
        <f t="shared" si="130"/>
        <v>FACTVIAILLHFLYLCTFSWALLEALHLYRALTE</v>
      </c>
      <c r="K349" s="4" t="str">
        <f t="shared" si="131"/>
        <v/>
      </c>
      <c r="L349" s="4" t="str">
        <f t="shared" si="132"/>
        <v>PMRFYYMLGWGVPAFITGLAVGLDPEG</v>
      </c>
      <c r="M349" s="4" t="str">
        <f t="shared" si="133"/>
        <v>CWL</v>
      </c>
      <c r="N349" s="4" t="str">
        <f t="shared" si="134"/>
        <v>YDTLIWSFAGPVAFAVSMSVFLYILAARASCAAQ</v>
      </c>
      <c r="O349" s="4" t="str">
        <f t="shared" si="135"/>
        <v>GPVSGLQPSFAVLLLLSATWLLALL</v>
      </c>
      <c r="P349" s="4" t="str">
        <f t="shared" si="136"/>
        <v>TLLFHYLFATCNCIQGPFIFLSYVVL</v>
      </c>
      <c r="Q349" s="4" t="str">
        <f t="shared" si="137"/>
        <v>SKEVRKALKLACSRKPS</v>
      </c>
      <c r="R349" s="5">
        <f>VLOOKUP($A349,'SegEnds_NonXtal_Prot#'!$A:$AL,3,FALSE)</f>
        <v>2364</v>
      </c>
      <c r="S349" s="5">
        <f>VLOOKUP($A349,'SegEnds_NonXtal_Prot#'!$A:$AL,6,FALSE)</f>
        <v>2402</v>
      </c>
      <c r="T349" s="5">
        <f>VLOOKUP($A349,'SegEnds_NonXtal_Prot#'!$A:$AL,9,FALSE)</f>
        <v>2406</v>
      </c>
      <c r="U349" s="5" t="str">
        <f>VLOOKUP($A349,'SegEnds_NonXtal_Prot#'!$A:$AL,12,FALSE)</f>
        <v>-</v>
      </c>
      <c r="V349" s="5">
        <f>VLOOKUP($A349,'SegEnds_NonXtal_Prot#'!$A:$AL,15,FALSE)</f>
        <v>2437</v>
      </c>
      <c r="W349" s="5" t="str">
        <f>VLOOKUP($A349,'SegEnds_NonXtal_Prot#'!$A:$AL,18,FALSE)</f>
        <v>-</v>
      </c>
      <c r="X349" s="5">
        <f>VLOOKUP($A349,'SegEnds_NonXtal_Prot#'!$A:$AL,21,FALSE)</f>
        <v>2478</v>
      </c>
      <c r="Y349" s="5">
        <f>VLOOKUP($A349,'SegEnds_NonXtal_Prot#'!$A:$AL,24,FALSE)</f>
        <v>2511</v>
      </c>
      <c r="Z349" s="5">
        <f>VLOOKUP($A349,'SegEnds_NonXtal_Prot#'!$A:$AL,27,FALSE)</f>
        <v>2516</v>
      </c>
      <c r="AA349" s="5">
        <f>VLOOKUP($A349,'SegEnds_NonXtal_Prot#'!$A:$AL,30,FALSE)</f>
        <v>2557</v>
      </c>
      <c r="AB349" s="5">
        <f>VLOOKUP($A349,'SegEnds_NonXtal_Prot#'!$A:$AL,33,FALSE)</f>
        <v>2587</v>
      </c>
      <c r="AC349" s="5">
        <f>VLOOKUP($A349,'SegEnds_NonXtal_Prot#'!$A:$AL,36,FALSE)</f>
        <v>2613</v>
      </c>
      <c r="AD349" s="5">
        <f>VLOOKUP($A349,'SegEnds_NonXtal_Prot#'!$A:$AL,5,FALSE)</f>
        <v>2401</v>
      </c>
      <c r="AE349" s="5">
        <f>VLOOKUP($A349,'SegEnds_NonXtal_Prot#'!$A:$AL,8,FALSE)</f>
        <v>2405</v>
      </c>
      <c r="AF349" s="5">
        <f>VLOOKUP($A349,'SegEnds_NonXtal_Prot#'!$A:$AL,11,FALSE)</f>
        <v>2432</v>
      </c>
      <c r="AG349" s="5" t="str">
        <f>VLOOKUP($A349,'SegEnds_NonXtal_Prot#'!$A:$AL,14,FALSE)</f>
        <v>-</v>
      </c>
      <c r="AH349" s="5">
        <f>VLOOKUP($A349,'SegEnds_NonXtal_Prot#'!$A:$AL,17,FALSE)</f>
        <v>2470</v>
      </c>
      <c r="AI349" s="5" t="str">
        <f>VLOOKUP($A349,'SegEnds_NonXtal_Prot#'!$A:$AL,20,FALSE)</f>
        <v>-</v>
      </c>
      <c r="AJ349" s="5">
        <f>VLOOKUP($A349,'SegEnds_NonXtal_Prot#'!$A:$AL,23,FALSE)</f>
        <v>2504</v>
      </c>
      <c r="AK349" s="5">
        <f>VLOOKUP($A349,'SegEnds_NonXtal_Prot#'!$A:$AL,26,FALSE)</f>
        <v>2513</v>
      </c>
      <c r="AL349" s="5">
        <f>VLOOKUP($A349,'SegEnds_NonXtal_Prot#'!$A:$AL,29,FALSE)</f>
        <v>2549</v>
      </c>
      <c r="AM349" s="5">
        <f>VLOOKUP($A349,'SegEnds_NonXtal_Prot#'!$A:$AL,32,FALSE)</f>
        <v>2581</v>
      </c>
      <c r="AN349" s="5">
        <f>VLOOKUP($A349,'SegEnds_NonXtal_Prot#'!$A:$AL,35,FALSE)</f>
        <v>2612</v>
      </c>
      <c r="AO349" s="5">
        <f>VLOOKUP($A349,'SegEnds_NonXtal_Prot#'!$A:$AL,38,FALSE)</f>
        <v>2629</v>
      </c>
      <c r="AP349" s="5">
        <f t="shared" si="138"/>
        <v>37</v>
      </c>
      <c r="AQ349" s="4">
        <f t="shared" si="139"/>
        <v>3</v>
      </c>
      <c r="AR349" s="4">
        <f t="shared" si="140"/>
        <v>26</v>
      </c>
      <c r="AS349" s="4" t="str">
        <f t="shared" si="141"/>
        <v>-</v>
      </c>
      <c r="AT349" s="4">
        <f t="shared" si="142"/>
        <v>33</v>
      </c>
      <c r="AU349" s="4" t="str">
        <f t="shared" si="143"/>
        <v>-</v>
      </c>
      <c r="AV349" s="4">
        <f t="shared" si="144"/>
        <v>26</v>
      </c>
      <c r="AW349" s="4">
        <f t="shared" si="145"/>
        <v>2</v>
      </c>
      <c r="AX349" s="4">
        <f t="shared" si="146"/>
        <v>33</v>
      </c>
      <c r="AY349" s="4">
        <f t="shared" si="147"/>
        <v>24</v>
      </c>
      <c r="AZ349" s="4">
        <f t="shared" si="148"/>
        <v>25</v>
      </c>
      <c r="BA349" s="4">
        <f t="shared" si="149"/>
        <v>16</v>
      </c>
    </row>
    <row r="350" spans="1:53" x14ac:dyDescent="0.2">
      <c r="A350" s="1" t="str">
        <f>'SegEnds_NonXtal_Prot#'!A350</f>
        <v>celr3_human</v>
      </c>
      <c r="B350" s="1" t="str">
        <f t="shared" si="125"/>
        <v>SPRERLEGDLELLAVFTHVVVAVSVAALVLTAAILLSLSNVRGIHANVAAALGVAELLFLLGIHRLVCTAVAILLHYFFLSTFAWLFVQGLHLYRMQVEAMRFYHALGWGVPAVLLGLAVGLDPEGYHEPLIWSFAGPVVLVIVMNGTMFLLAARTSCSTGTSALTLRSSFLLLLLVSASWLFGLLILAFHYLHAGLCGLQGLAVLLLFCVLNADARAAWMPACLGRKA</v>
      </c>
      <c r="C350" s="29" t="str">
        <f>IF(ISERROR(MATCH(A350,'SegEnds_Xtal_Prot#'!B:B, 0)), "NoXtal", "Xtal")</f>
        <v>NoXtal</v>
      </c>
      <c r="D350" s="4" t="str">
        <f>VLOOKUP(A350,Classification!A:D,2,FALSE)</f>
        <v>B2</v>
      </c>
      <c r="E350" s="5" t="str">
        <f>VLOOKUP(A350,Seqs!A:B,2,FALSE)</f>
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</c>
      <c r="F350" s="5" t="str">
        <f t="shared" si="126"/>
        <v>SPRERLEGDLELLAVFTHVVVAVSVAALVLTAAILLSL</v>
      </c>
      <c r="G350" s="4" t="str">
        <f t="shared" si="127"/>
        <v>RSLK</v>
      </c>
      <c r="H350" s="4" t="str">
        <f t="shared" si="128"/>
        <v>SNVRGIHANVAAALGVAELLFLLGIHR</v>
      </c>
      <c r="I350" s="4" t="str">
        <f t="shared" si="129"/>
        <v/>
      </c>
      <c r="J350" s="4" t="str">
        <f t="shared" si="130"/>
        <v>LVCTAVAILLHYFFLSTFAWLFVQGLHLYRMQVE</v>
      </c>
      <c r="K350" s="4" t="str">
        <f t="shared" si="131"/>
        <v/>
      </c>
      <c r="L350" s="4" t="str">
        <f t="shared" si="132"/>
        <v>AMRFYHALGWGVPAVLLGLAVGLDPEGY</v>
      </c>
      <c r="M350" s="4" t="str">
        <f t="shared" si="133"/>
        <v>CWI</v>
      </c>
      <c r="N350" s="4" t="str">
        <f t="shared" si="134"/>
        <v>HEPLIWSFAGPVVLVIVMNGTMFLLAARTSCSTG</v>
      </c>
      <c r="O350" s="4" t="str">
        <f t="shared" si="135"/>
        <v>TSALTLRSSFLLLLLVSASWLFGLL</v>
      </c>
      <c r="P350" s="4" t="str">
        <f t="shared" si="136"/>
        <v>ILAFHYLHAGLCGLQGLAVLLLFCVL</v>
      </c>
      <c r="Q350" s="4" t="str">
        <f t="shared" si="137"/>
        <v>NADARAAWMPACLGRKA</v>
      </c>
      <c r="R350" s="5">
        <f>VLOOKUP($A350,'SegEnds_NonXtal_Prot#'!$A:$AL,3,FALSE)</f>
        <v>2527</v>
      </c>
      <c r="S350" s="5">
        <f>VLOOKUP($A350,'SegEnds_NonXtal_Prot#'!$A:$AL,6,FALSE)</f>
        <v>2565</v>
      </c>
      <c r="T350" s="5">
        <f>VLOOKUP($A350,'SegEnds_NonXtal_Prot#'!$A:$AL,9,FALSE)</f>
        <v>2569</v>
      </c>
      <c r="U350" s="5" t="str">
        <f>VLOOKUP($A350,'SegEnds_NonXtal_Prot#'!$A:$AL,12,FALSE)</f>
        <v>-</v>
      </c>
      <c r="V350" s="5">
        <f>VLOOKUP($A350,'SegEnds_NonXtal_Prot#'!$A:$AL,15,FALSE)</f>
        <v>2600</v>
      </c>
      <c r="W350" s="5" t="str">
        <f>VLOOKUP($A350,'SegEnds_NonXtal_Prot#'!$A:$AL,18,FALSE)</f>
        <v>-</v>
      </c>
      <c r="X350" s="5">
        <f>VLOOKUP($A350,'SegEnds_NonXtal_Prot#'!$A:$AL,21,FALSE)</f>
        <v>2641</v>
      </c>
      <c r="Y350" s="5">
        <f>VLOOKUP($A350,'SegEnds_NonXtal_Prot#'!$A:$AL,24,FALSE)</f>
        <v>2674</v>
      </c>
      <c r="Z350" s="5">
        <f>VLOOKUP($A350,'SegEnds_NonXtal_Prot#'!$A:$AL,27,FALSE)</f>
        <v>2679</v>
      </c>
      <c r="AA350" s="5">
        <f>VLOOKUP($A350,'SegEnds_NonXtal_Prot#'!$A:$AL,30,FALSE)</f>
        <v>2719</v>
      </c>
      <c r="AB350" s="5">
        <f>VLOOKUP($A350,'SegEnds_NonXtal_Prot#'!$A:$AL,33,FALSE)</f>
        <v>2749</v>
      </c>
      <c r="AC350" s="5">
        <f>VLOOKUP($A350,'SegEnds_NonXtal_Prot#'!$A:$AL,36,FALSE)</f>
        <v>2775</v>
      </c>
      <c r="AD350" s="5">
        <f>VLOOKUP($A350,'SegEnds_NonXtal_Prot#'!$A:$AL,5,FALSE)</f>
        <v>2564</v>
      </c>
      <c r="AE350" s="5">
        <f>VLOOKUP($A350,'SegEnds_NonXtal_Prot#'!$A:$AL,8,FALSE)</f>
        <v>2568</v>
      </c>
      <c r="AF350" s="5">
        <f>VLOOKUP($A350,'SegEnds_NonXtal_Prot#'!$A:$AL,11,FALSE)</f>
        <v>2595</v>
      </c>
      <c r="AG350" s="5" t="str">
        <f>VLOOKUP($A350,'SegEnds_NonXtal_Prot#'!$A:$AL,14,FALSE)</f>
        <v>-</v>
      </c>
      <c r="AH350" s="5">
        <f>VLOOKUP($A350,'SegEnds_NonXtal_Prot#'!$A:$AL,17,FALSE)</f>
        <v>2633</v>
      </c>
      <c r="AI350" s="5" t="str">
        <f>VLOOKUP($A350,'SegEnds_NonXtal_Prot#'!$A:$AL,20,FALSE)</f>
        <v>-</v>
      </c>
      <c r="AJ350" s="5">
        <f>VLOOKUP($A350,'SegEnds_NonXtal_Prot#'!$A:$AL,23,FALSE)</f>
        <v>2668</v>
      </c>
      <c r="AK350" s="5">
        <f>VLOOKUP($A350,'SegEnds_NonXtal_Prot#'!$A:$AL,26,FALSE)</f>
        <v>2676</v>
      </c>
      <c r="AL350" s="5">
        <f>VLOOKUP($A350,'SegEnds_NonXtal_Prot#'!$A:$AL,29,FALSE)</f>
        <v>2712</v>
      </c>
      <c r="AM350" s="5">
        <f>VLOOKUP($A350,'SegEnds_NonXtal_Prot#'!$A:$AL,32,FALSE)</f>
        <v>2743</v>
      </c>
      <c r="AN350" s="5">
        <f>VLOOKUP($A350,'SegEnds_NonXtal_Prot#'!$A:$AL,35,FALSE)</f>
        <v>2774</v>
      </c>
      <c r="AO350" s="5">
        <f>VLOOKUP($A350,'SegEnds_NonXtal_Prot#'!$A:$AL,38,FALSE)</f>
        <v>2791</v>
      </c>
      <c r="AP350" s="5">
        <f t="shared" si="138"/>
        <v>37</v>
      </c>
      <c r="AQ350" s="4">
        <f t="shared" si="139"/>
        <v>3</v>
      </c>
      <c r="AR350" s="4">
        <f t="shared" si="140"/>
        <v>26</v>
      </c>
      <c r="AS350" s="4" t="str">
        <f t="shared" si="141"/>
        <v>-</v>
      </c>
      <c r="AT350" s="4">
        <f t="shared" si="142"/>
        <v>33</v>
      </c>
      <c r="AU350" s="4" t="str">
        <f t="shared" si="143"/>
        <v>-</v>
      </c>
      <c r="AV350" s="4">
        <f t="shared" si="144"/>
        <v>27</v>
      </c>
      <c r="AW350" s="4">
        <f t="shared" si="145"/>
        <v>2</v>
      </c>
      <c r="AX350" s="4">
        <f t="shared" si="146"/>
        <v>33</v>
      </c>
      <c r="AY350" s="4">
        <f t="shared" si="147"/>
        <v>24</v>
      </c>
      <c r="AZ350" s="4">
        <f t="shared" si="148"/>
        <v>25</v>
      </c>
      <c r="BA350" s="4">
        <f t="shared" si="149"/>
        <v>16</v>
      </c>
    </row>
    <row r="351" spans="1:53" x14ac:dyDescent="0.2">
      <c r="A351" s="1" t="str">
        <f>'SegEnds_NonXtal_Prot#'!A352</f>
        <v>casr_human</v>
      </c>
      <c r="B351" s="1" t="str">
        <f t="shared" si="125"/>
        <v>PFGIALTLFAVLGIFLTAFVLGVFIKFNRELSYLLLFSLLCCFSSSLFFIQDWTCRLRQPAFGISFVLCISCILVKTNRVLLVFGLNLQFLLVFLCTFMQIVICVIWLYTASLMALGFLIGYTCLLAAICFFFAFKSEAKFITFSMLIFFIVWISFIPAYASFVSAVEVIAILAASFGLLACIFFNKIYIILFKPSRNTIEEVRCS</v>
      </c>
      <c r="C351" s="29" t="str">
        <f>IF(ISERROR(MATCH(A351,'SegEnds_Xtal_Prot#'!B:B, 0)), "NoXtal", "Xtal")</f>
        <v>NoXtal</v>
      </c>
      <c r="D351" s="4" t="str">
        <f>VLOOKUP(A351,Classification!A:D,2,FALSE)</f>
        <v>C</v>
      </c>
      <c r="E351" s="5" t="str">
        <f>VLOOKUP(A351,Seqs!A:B,2,FALSE)</f>
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</c>
      <c r="F351" s="5" t="str">
        <f t="shared" si="126"/>
        <v>PFGIALTLFAVLGIFLTAFVLGVFIKF</v>
      </c>
      <c r="G351" s="4" t="str">
        <f t="shared" si="127"/>
        <v>TPIVKAT</v>
      </c>
      <c r="H351" s="4" t="str">
        <f t="shared" si="128"/>
        <v>NRELSYLLLFSLLCCFSSSLFFI</v>
      </c>
      <c r="I351" s="4" t="str">
        <f t="shared" si="129"/>
        <v/>
      </c>
      <c r="J351" s="4" t="str">
        <f t="shared" si="130"/>
        <v>QDWTCRLRQPAFGISFVLCISCILVKTNRVLLVF</v>
      </c>
      <c r="K351" s="4" t="str">
        <f t="shared" si="131"/>
        <v/>
      </c>
      <c r="L351" s="4" t="str">
        <f t="shared" si="132"/>
        <v>GLNLQFLLVFLCTFMQIVICVIWLYTA</v>
      </c>
      <c r="M351" s="4" t="str">
        <f t="shared" si="133"/>
        <v>CHE</v>
      </c>
      <c r="N351" s="4" t="str">
        <f t="shared" si="134"/>
        <v>SLMALGFLIGYTCLLAAICFFFAFKS</v>
      </c>
      <c r="O351" s="4" t="str">
        <f t="shared" si="135"/>
        <v>EAKFITFSMLIFFIVWISFIPAYAS</v>
      </c>
      <c r="P351" s="4" t="str">
        <f t="shared" si="136"/>
        <v>FVSAVEVIAILAASFGLLACIFFNKIYIILFK</v>
      </c>
      <c r="Q351" s="4" t="str">
        <f t="shared" si="137"/>
        <v>PSRNTIEEVRCS</v>
      </c>
      <c r="R351" s="5">
        <f>VLOOKUP($A351,'SegEnds_NonXtal_Prot#'!$A:$AL,3,FALSE)</f>
        <v>611</v>
      </c>
      <c r="S351" s="5">
        <f>VLOOKUP($A351,'SegEnds_NonXtal_Prot#'!$A:$AL,6,FALSE)</f>
        <v>640</v>
      </c>
      <c r="T351" s="5">
        <f>VLOOKUP($A351,'SegEnds_NonXtal_Prot#'!$A:$AL,9,FALSE)</f>
        <v>647</v>
      </c>
      <c r="U351" s="5" t="str">
        <f>VLOOKUP($A351,'SegEnds_NonXtal_Prot#'!$A:$AL,12,FALSE)</f>
        <v>-</v>
      </c>
      <c r="V351" s="5">
        <f>VLOOKUP($A351,'SegEnds_NonXtal_Prot#'!$A:$AL,15,FALSE)</f>
        <v>673</v>
      </c>
      <c r="W351" s="5" t="str">
        <f>VLOOKUP($A351,'SegEnds_NonXtal_Prot#'!$A:$AL,18,FALSE)</f>
        <v>-</v>
      </c>
      <c r="X351" s="5">
        <f>VLOOKUP($A351,'SegEnds_NonXtal_Prot#'!$A:$AL,21,FALSE)</f>
        <v>720</v>
      </c>
      <c r="Y351" s="5">
        <f>VLOOKUP($A351,'SegEnds_NonXtal_Prot#'!$A:$AL,24,FALSE)</f>
        <v>765</v>
      </c>
      <c r="Z351" s="5">
        <f>VLOOKUP($A351,'SegEnds_NonXtal_Prot#'!$A:$AL,27,FALSE)</f>
        <v>769</v>
      </c>
      <c r="AA351" s="5">
        <f>VLOOKUP($A351,'SegEnds_NonXtal_Prot#'!$A:$AL,30,FALSE)</f>
        <v>803</v>
      </c>
      <c r="AB351" s="5">
        <f>VLOOKUP($A351,'SegEnds_NonXtal_Prot#'!$A:$AL,33,FALSE)</f>
        <v>832</v>
      </c>
      <c r="AC351" s="5">
        <f>VLOOKUP($A351,'SegEnds_NonXtal_Prot#'!$A:$AL,36,FALSE)</f>
        <v>864</v>
      </c>
      <c r="AD351" s="5">
        <f>VLOOKUP($A351,'SegEnds_NonXtal_Prot#'!$A:$AL,5,FALSE)</f>
        <v>637</v>
      </c>
      <c r="AE351" s="5">
        <f>VLOOKUP($A351,'SegEnds_NonXtal_Prot#'!$A:$AL,8,FALSE)</f>
        <v>646</v>
      </c>
      <c r="AF351" s="5">
        <f>VLOOKUP($A351,'SegEnds_NonXtal_Prot#'!$A:$AL,11,FALSE)</f>
        <v>669</v>
      </c>
      <c r="AG351" s="5" t="str">
        <f>VLOOKUP($A351,'SegEnds_NonXtal_Prot#'!$A:$AL,14,FALSE)</f>
        <v>-</v>
      </c>
      <c r="AH351" s="5">
        <f>VLOOKUP($A351,'SegEnds_NonXtal_Prot#'!$A:$AL,17,FALSE)</f>
        <v>706</v>
      </c>
      <c r="AI351" s="5" t="str">
        <f>VLOOKUP($A351,'SegEnds_NonXtal_Prot#'!$A:$AL,20,FALSE)</f>
        <v>-</v>
      </c>
      <c r="AJ351" s="5">
        <f>VLOOKUP($A351,'SegEnds_NonXtal_Prot#'!$A:$AL,23,FALSE)</f>
        <v>746</v>
      </c>
      <c r="AK351" s="5">
        <f>VLOOKUP($A351,'SegEnds_NonXtal_Prot#'!$A:$AL,26,FALSE)</f>
        <v>767</v>
      </c>
      <c r="AL351" s="5">
        <f>VLOOKUP($A351,'SegEnds_NonXtal_Prot#'!$A:$AL,29,FALSE)</f>
        <v>794</v>
      </c>
      <c r="AM351" s="5">
        <f>VLOOKUP($A351,'SegEnds_NonXtal_Prot#'!$A:$AL,32,FALSE)</f>
        <v>827</v>
      </c>
      <c r="AN351" s="5">
        <f>VLOOKUP($A351,'SegEnds_NonXtal_Prot#'!$A:$AL,35,FALSE)</f>
        <v>863</v>
      </c>
      <c r="AO351" s="5">
        <f>VLOOKUP($A351,'SegEnds_NonXtal_Prot#'!$A:$AL,38,FALSE)</f>
        <v>875</v>
      </c>
      <c r="AP351" s="5">
        <f t="shared" si="138"/>
        <v>26</v>
      </c>
      <c r="AQ351" s="4">
        <f t="shared" si="139"/>
        <v>6</v>
      </c>
      <c r="AR351" s="4">
        <f t="shared" si="140"/>
        <v>22</v>
      </c>
      <c r="AS351" s="4" t="str">
        <f t="shared" si="141"/>
        <v>-</v>
      </c>
      <c r="AT351" s="4">
        <f t="shared" si="142"/>
        <v>33</v>
      </c>
      <c r="AU351" s="4" t="str">
        <f t="shared" si="143"/>
        <v>-</v>
      </c>
      <c r="AV351" s="4">
        <f t="shared" si="144"/>
        <v>26</v>
      </c>
      <c r="AW351" s="4">
        <f t="shared" si="145"/>
        <v>2</v>
      </c>
      <c r="AX351" s="4">
        <f t="shared" si="146"/>
        <v>25</v>
      </c>
      <c r="AY351" s="4">
        <f t="shared" si="147"/>
        <v>24</v>
      </c>
      <c r="AZ351" s="4">
        <f t="shared" si="148"/>
        <v>31</v>
      </c>
      <c r="BA351" s="4">
        <f t="shared" si="149"/>
        <v>11</v>
      </c>
    </row>
    <row r="352" spans="1:53" x14ac:dyDescent="0.2">
      <c r="A352" s="1" t="str">
        <f>'SegEnds_NonXtal_Prot#'!A353</f>
        <v>gabr1_human</v>
      </c>
      <c r="B352" s="1" t="str">
        <f t="shared" si="125"/>
        <v>KLFISVSVLSSLGIVLAVVCLSFNIYNQPNLNNLTAVGCSLALAAVFPLGFPFVCQARLWLLGLGFSLGYGSMFTKIWWVHTVFEPWKLYATVGLLVGMDVLTLAIWQIVDMNTWLGIFYGYKGLLLLLGIFLAYETDHRAVGMAIYNVAVLCLITAPVTMIAAFAFASLAIVFSSYITLVVLFVPKMRRLITRGEWQSEAQDTMK</v>
      </c>
      <c r="C352" s="29" t="str">
        <f>IF(ISERROR(MATCH(A352,'SegEnds_Xtal_Prot#'!B:B, 0)), "NoXtal", "Xtal")</f>
        <v>NoXtal</v>
      </c>
      <c r="D352" s="4" t="str">
        <f>VLOOKUP(A352,Classification!A:D,2,FALSE)</f>
        <v>C</v>
      </c>
      <c r="E352" s="5" t="str">
        <f>VLOOKUP(A352,Seqs!A:B,2,FALSE)</f>
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</c>
      <c r="F352" s="5" t="str">
        <f t="shared" si="126"/>
        <v>KLFISVSVLSSLGIVLAVVCLSFNIYN</v>
      </c>
      <c r="G352" s="4" t="str">
        <f t="shared" si="127"/>
        <v>VRYIQNS</v>
      </c>
      <c r="H352" s="4" t="str">
        <f t="shared" si="128"/>
        <v>QPNLNNLTAVGCSLALAAVFPLG</v>
      </c>
      <c r="I352" s="4" t="str">
        <f t="shared" si="129"/>
        <v/>
      </c>
      <c r="J352" s="4" t="str">
        <f t="shared" si="130"/>
        <v>FPFVCQARLWLLGLGFSLGYGSMFTKIWWVHTVF</v>
      </c>
      <c r="K352" s="4" t="str">
        <f t="shared" si="131"/>
        <v/>
      </c>
      <c r="L352" s="4" t="str">
        <f t="shared" si="132"/>
        <v>EPWKLYATVGLLVGMDVLTLAIWQIVD</v>
      </c>
      <c r="M352" s="4" t="str">
        <f t="shared" si="133"/>
        <v>CSS</v>
      </c>
      <c r="N352" s="4" t="str">
        <f t="shared" si="134"/>
        <v>MNTWLGIFYGYKGLLLLLGIFLAYET</v>
      </c>
      <c r="O352" s="4" t="str">
        <f t="shared" si="135"/>
        <v>DHRAVGMAIYNVAVLCLITAPVTMI</v>
      </c>
      <c r="P352" s="4" t="str">
        <f t="shared" si="136"/>
        <v>AAFAFASLAIVFSSYITLVVLFVPKMRRLITR</v>
      </c>
      <c r="Q352" s="4" t="str">
        <f t="shared" si="137"/>
        <v>GEWQSEAQDTMK</v>
      </c>
      <c r="R352" s="5">
        <f>VLOOKUP($A352,'SegEnds_NonXtal_Prot#'!$A:$AL,3,FALSE)</f>
        <v>590</v>
      </c>
      <c r="S352" s="5">
        <f>VLOOKUP($A352,'SegEnds_NonXtal_Prot#'!$A:$AL,6,FALSE)</f>
        <v>619</v>
      </c>
      <c r="T352" s="5">
        <f>VLOOKUP($A352,'SegEnds_NonXtal_Prot#'!$A:$AL,9,FALSE)</f>
        <v>626</v>
      </c>
      <c r="U352" s="5" t="str">
        <f>VLOOKUP($A352,'SegEnds_NonXtal_Prot#'!$A:$AL,12,FALSE)</f>
        <v>-</v>
      </c>
      <c r="V352" s="5">
        <f>VLOOKUP($A352,'SegEnds_NonXtal_Prot#'!$A:$AL,15,FALSE)</f>
        <v>659</v>
      </c>
      <c r="W352" s="5" t="str">
        <f>VLOOKUP($A352,'SegEnds_NonXtal_Prot#'!$A:$AL,18,FALSE)</f>
        <v>-</v>
      </c>
      <c r="X352" s="5">
        <f>VLOOKUP($A352,'SegEnds_NonXtal_Prot#'!$A:$AL,21,FALSE)</f>
        <v>706</v>
      </c>
      <c r="Y352" s="5">
        <f>VLOOKUP($A352,'SegEnds_NonXtal_Prot#'!$A:$AL,24,FALSE)</f>
        <v>761</v>
      </c>
      <c r="Z352" s="5">
        <f>VLOOKUP($A352,'SegEnds_NonXtal_Prot#'!$A:$AL,27,FALSE)</f>
        <v>766</v>
      </c>
      <c r="AA352" s="5">
        <f>VLOOKUP($A352,'SegEnds_NonXtal_Prot#'!$A:$AL,30,FALSE)</f>
        <v>801</v>
      </c>
      <c r="AB352" s="5">
        <f>VLOOKUP($A352,'SegEnds_NonXtal_Prot#'!$A:$AL,33,FALSE)</f>
        <v>832</v>
      </c>
      <c r="AC352" s="5">
        <f>VLOOKUP($A352,'SegEnds_NonXtal_Prot#'!$A:$AL,36,FALSE)</f>
        <v>864</v>
      </c>
      <c r="AD352" s="5">
        <f>VLOOKUP($A352,'SegEnds_NonXtal_Prot#'!$A:$AL,5,FALSE)</f>
        <v>616</v>
      </c>
      <c r="AE352" s="5">
        <f>VLOOKUP($A352,'SegEnds_NonXtal_Prot#'!$A:$AL,8,FALSE)</f>
        <v>625</v>
      </c>
      <c r="AF352" s="5">
        <f>VLOOKUP($A352,'SegEnds_NonXtal_Prot#'!$A:$AL,11,FALSE)</f>
        <v>648</v>
      </c>
      <c r="AG352" s="5" t="str">
        <f>VLOOKUP($A352,'SegEnds_NonXtal_Prot#'!$A:$AL,14,FALSE)</f>
        <v>-</v>
      </c>
      <c r="AH352" s="5">
        <f>VLOOKUP($A352,'SegEnds_NonXtal_Prot#'!$A:$AL,17,FALSE)</f>
        <v>692</v>
      </c>
      <c r="AI352" s="5" t="str">
        <f>VLOOKUP($A352,'SegEnds_NonXtal_Prot#'!$A:$AL,20,FALSE)</f>
        <v>-</v>
      </c>
      <c r="AJ352" s="5">
        <f>VLOOKUP($A352,'SegEnds_NonXtal_Prot#'!$A:$AL,23,FALSE)</f>
        <v>732</v>
      </c>
      <c r="AK352" s="5">
        <f>VLOOKUP($A352,'SegEnds_NonXtal_Prot#'!$A:$AL,26,FALSE)</f>
        <v>763</v>
      </c>
      <c r="AL352" s="5">
        <f>VLOOKUP($A352,'SegEnds_NonXtal_Prot#'!$A:$AL,29,FALSE)</f>
        <v>791</v>
      </c>
      <c r="AM352" s="5">
        <f>VLOOKUP($A352,'SegEnds_NonXtal_Prot#'!$A:$AL,32,FALSE)</f>
        <v>825</v>
      </c>
      <c r="AN352" s="5">
        <f>VLOOKUP($A352,'SegEnds_NonXtal_Prot#'!$A:$AL,35,FALSE)</f>
        <v>863</v>
      </c>
      <c r="AO352" s="5">
        <f>VLOOKUP($A352,'SegEnds_NonXtal_Prot#'!$A:$AL,38,FALSE)</f>
        <v>875</v>
      </c>
      <c r="AP352" s="5">
        <f t="shared" si="138"/>
        <v>26</v>
      </c>
      <c r="AQ352" s="4">
        <f t="shared" si="139"/>
        <v>6</v>
      </c>
      <c r="AR352" s="4">
        <f t="shared" si="140"/>
        <v>22</v>
      </c>
      <c r="AS352" s="4" t="str">
        <f t="shared" si="141"/>
        <v>-</v>
      </c>
      <c r="AT352" s="4">
        <f t="shared" si="142"/>
        <v>33</v>
      </c>
      <c r="AU352" s="4" t="str">
        <f t="shared" si="143"/>
        <v>-</v>
      </c>
      <c r="AV352" s="4">
        <f t="shared" si="144"/>
        <v>26</v>
      </c>
      <c r="AW352" s="4">
        <f t="shared" si="145"/>
        <v>2</v>
      </c>
      <c r="AX352" s="4">
        <f t="shared" si="146"/>
        <v>25</v>
      </c>
      <c r="AY352" s="4">
        <f t="shared" si="147"/>
        <v>24</v>
      </c>
      <c r="AZ352" s="4">
        <f t="shared" si="148"/>
        <v>31</v>
      </c>
      <c r="BA352" s="4">
        <f t="shared" si="149"/>
        <v>11</v>
      </c>
    </row>
    <row r="353" spans="1:53" x14ac:dyDescent="0.2">
      <c r="A353" s="1" t="str">
        <f>'SegEnds_NonXtal_Prot#'!A354</f>
        <v>gabr2_human</v>
      </c>
      <c r="B353" s="1" t="str">
        <f t="shared" si="125"/>
        <v>PLYSILSALTILGMIMASAFLFFNIKNSPYMNNLIILGGMLSYASIFLFGFETLCTVRTWILTVGYTTAFGAMFAKTWRVHAIFKDQKLLVIVGGMLLIDLCILICWQAVDMTIWLGIVYAYKGLLMLFGCFLAWETDSKYIGMSVYNVGIMCIIGAAVSFLVQFCIVALVIIFCSTITLCLVFVPKLITLRTNPDAATQNRRFQF</v>
      </c>
      <c r="C353" s="29" t="str">
        <f>IF(ISERROR(MATCH(A353,'SegEnds_Xtal_Prot#'!B:B, 0)), "NoXtal", "Xtal")</f>
        <v>NoXtal</v>
      </c>
      <c r="D353" s="4" t="str">
        <f>VLOOKUP(A353,Classification!A:D,2,FALSE)</f>
        <v>C</v>
      </c>
      <c r="E353" s="5" t="str">
        <f>VLOOKUP(A353,Seqs!A:B,2,FALSE)</f>
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</c>
      <c r="F353" s="5" t="str">
        <f t="shared" si="126"/>
        <v>PLYSILSALTILGMIMASAFLFFNIKN</v>
      </c>
      <c r="G353" s="4" t="str">
        <f t="shared" si="127"/>
        <v>QKLIKMS</v>
      </c>
      <c r="H353" s="4" t="str">
        <f t="shared" si="128"/>
        <v>SPYMNNLIILGGMLSYASIFLFG</v>
      </c>
      <c r="I353" s="4" t="str">
        <f t="shared" si="129"/>
        <v/>
      </c>
      <c r="J353" s="4" t="str">
        <f t="shared" si="130"/>
        <v>FETLCTVRTWILTVGYTTAFGAMFAKTWRVHAIF</v>
      </c>
      <c r="K353" s="4" t="str">
        <f t="shared" si="131"/>
        <v/>
      </c>
      <c r="L353" s="4" t="str">
        <f t="shared" si="132"/>
        <v>KDQKLLVIVGGMLLIDLCILICWQAVD</v>
      </c>
      <c r="M353" s="4" t="str">
        <f t="shared" si="133"/>
        <v>CEN</v>
      </c>
      <c r="N353" s="4" t="str">
        <f t="shared" si="134"/>
        <v>MTIWLGIVYAYKGLLMLFGCFLAWET</v>
      </c>
      <c r="O353" s="4" t="str">
        <f t="shared" si="135"/>
        <v>DSKYIGMSVYNVGIMCIIGAAVSFL</v>
      </c>
      <c r="P353" s="4" t="str">
        <f t="shared" si="136"/>
        <v>VQFCIVALVIIFCSTITLCLVFVPKLITLRTN</v>
      </c>
      <c r="Q353" s="4" t="str">
        <f t="shared" si="137"/>
        <v>PDAATQNRRFQF</v>
      </c>
      <c r="R353" s="5">
        <f>VLOOKUP($A353,'SegEnds_NonXtal_Prot#'!$A:$AL,3,FALSE)</f>
        <v>480</v>
      </c>
      <c r="S353" s="5">
        <f>VLOOKUP($A353,'SegEnds_NonXtal_Prot#'!$A:$AL,6,FALSE)</f>
        <v>509</v>
      </c>
      <c r="T353" s="5">
        <f>VLOOKUP($A353,'SegEnds_NonXtal_Prot#'!$A:$AL,9,FALSE)</f>
        <v>516</v>
      </c>
      <c r="U353" s="5" t="str">
        <f>VLOOKUP($A353,'SegEnds_NonXtal_Prot#'!$A:$AL,12,FALSE)</f>
        <v>-</v>
      </c>
      <c r="V353" s="5">
        <f>VLOOKUP($A353,'SegEnds_NonXtal_Prot#'!$A:$AL,15,FALSE)</f>
        <v>549</v>
      </c>
      <c r="W353" s="5" t="str">
        <f>VLOOKUP($A353,'SegEnds_NonXtal_Prot#'!$A:$AL,18,FALSE)</f>
        <v>-</v>
      </c>
      <c r="X353" s="5">
        <f>VLOOKUP($A353,'SegEnds_NonXtal_Prot#'!$A:$AL,21,FALSE)</f>
        <v>593</v>
      </c>
      <c r="Y353" s="5">
        <f>VLOOKUP($A353,'SegEnds_NonXtal_Prot#'!$A:$AL,24,FALSE)</f>
        <v>648</v>
      </c>
      <c r="Z353" s="5">
        <f>VLOOKUP($A353,'SegEnds_NonXtal_Prot#'!$A:$AL,27,FALSE)</f>
        <v>653</v>
      </c>
      <c r="AA353" s="5">
        <f>VLOOKUP($A353,'SegEnds_NonXtal_Prot#'!$A:$AL,30,FALSE)</f>
        <v>688</v>
      </c>
      <c r="AB353" s="5">
        <f>VLOOKUP($A353,'SegEnds_NonXtal_Prot#'!$A:$AL,33,FALSE)</f>
        <v>719</v>
      </c>
      <c r="AC353" s="5">
        <f>VLOOKUP($A353,'SegEnds_NonXtal_Prot#'!$A:$AL,36,FALSE)</f>
        <v>751</v>
      </c>
      <c r="AD353" s="5">
        <f>VLOOKUP($A353,'SegEnds_NonXtal_Prot#'!$A:$AL,5,FALSE)</f>
        <v>506</v>
      </c>
      <c r="AE353" s="5">
        <f>VLOOKUP($A353,'SegEnds_NonXtal_Prot#'!$A:$AL,8,FALSE)</f>
        <v>515</v>
      </c>
      <c r="AF353" s="5">
        <f>VLOOKUP($A353,'SegEnds_NonXtal_Prot#'!$A:$AL,11,FALSE)</f>
        <v>538</v>
      </c>
      <c r="AG353" s="5" t="str">
        <f>VLOOKUP($A353,'SegEnds_NonXtal_Prot#'!$A:$AL,14,FALSE)</f>
        <v>-</v>
      </c>
      <c r="AH353" s="5">
        <f>VLOOKUP($A353,'SegEnds_NonXtal_Prot#'!$A:$AL,17,FALSE)</f>
        <v>582</v>
      </c>
      <c r="AI353" s="5" t="str">
        <f>VLOOKUP($A353,'SegEnds_NonXtal_Prot#'!$A:$AL,20,FALSE)</f>
        <v>-</v>
      </c>
      <c r="AJ353" s="5">
        <f>VLOOKUP($A353,'SegEnds_NonXtal_Prot#'!$A:$AL,23,FALSE)</f>
        <v>619</v>
      </c>
      <c r="AK353" s="5">
        <f>VLOOKUP($A353,'SegEnds_NonXtal_Prot#'!$A:$AL,26,FALSE)</f>
        <v>650</v>
      </c>
      <c r="AL353" s="5">
        <f>VLOOKUP($A353,'SegEnds_NonXtal_Prot#'!$A:$AL,29,FALSE)</f>
        <v>678</v>
      </c>
      <c r="AM353" s="5">
        <f>VLOOKUP($A353,'SegEnds_NonXtal_Prot#'!$A:$AL,32,FALSE)</f>
        <v>712</v>
      </c>
      <c r="AN353" s="5">
        <f>VLOOKUP($A353,'SegEnds_NonXtal_Prot#'!$A:$AL,35,FALSE)</f>
        <v>750</v>
      </c>
      <c r="AO353" s="5">
        <f>VLOOKUP($A353,'SegEnds_NonXtal_Prot#'!$A:$AL,38,FALSE)</f>
        <v>762</v>
      </c>
      <c r="AP353" s="5">
        <f t="shared" si="138"/>
        <v>26</v>
      </c>
      <c r="AQ353" s="4">
        <f t="shared" si="139"/>
        <v>6</v>
      </c>
      <c r="AR353" s="4">
        <f t="shared" si="140"/>
        <v>22</v>
      </c>
      <c r="AS353" s="4" t="str">
        <f t="shared" si="141"/>
        <v>-</v>
      </c>
      <c r="AT353" s="4">
        <f t="shared" si="142"/>
        <v>33</v>
      </c>
      <c r="AU353" s="4" t="str">
        <f t="shared" si="143"/>
        <v>-</v>
      </c>
      <c r="AV353" s="4">
        <f t="shared" si="144"/>
        <v>26</v>
      </c>
      <c r="AW353" s="4">
        <f t="shared" si="145"/>
        <v>2</v>
      </c>
      <c r="AX353" s="4">
        <f t="shared" si="146"/>
        <v>25</v>
      </c>
      <c r="AY353" s="4">
        <f t="shared" si="147"/>
        <v>24</v>
      </c>
      <c r="AZ353" s="4">
        <f t="shared" si="148"/>
        <v>31</v>
      </c>
      <c r="BA353" s="4">
        <f t="shared" si="149"/>
        <v>11</v>
      </c>
    </row>
    <row r="354" spans="1:53" x14ac:dyDescent="0.2">
      <c r="A354" s="1" t="str">
        <f>'SegEnds_NonXtal_Prot#'!A355</f>
        <v>gp156_human</v>
      </c>
      <c r="B354" s="1" t="str">
        <f t="shared" si="125"/>
        <v>VLLGIVWTFLSCGLLLILFFLAFTIHCSPNLNIVTLLGSCLTYSSAYLFGETLIQTRLSMLCIGTSLVFGPILGKSWRLYKVFKDLQLLGLVAALLMADVILLMTWVLTDSDVWIALIWGCKGLLLLYGAYLAGLTSLTIMVGVNLLVLAAGLLFVVTRYLLVFGLTSGGIFVCTTTINCFIFIPQLKQWKAFEEENQTIRRMAK</v>
      </c>
      <c r="C354" s="29" t="str">
        <f>IF(ISERROR(MATCH(A354,'SegEnds_Xtal_Prot#'!B:B, 0)), "NoXtal", "Xtal")</f>
        <v>NoXtal</v>
      </c>
      <c r="D354" s="4" t="str">
        <f>VLOOKUP(A354,Classification!A:D,2,FALSE)</f>
        <v>C</v>
      </c>
      <c r="E354" s="5" t="str">
        <f>VLOOKUP(A354,Seqs!A:B,2,FALSE)</f>
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</c>
      <c r="F354" s="5" t="str">
        <f t="shared" si="126"/>
        <v>VLLGIVWTFLSCGLLLILFFLAFTIHC</v>
      </c>
      <c r="G354" s="4" t="str">
        <f t="shared" si="127"/>
        <v>NRIVKMS</v>
      </c>
      <c r="H354" s="4" t="str">
        <f t="shared" si="128"/>
        <v>SPNLNIVTLLGSCLTYSSAYLFG</v>
      </c>
      <c r="I354" s="4" t="str">
        <f t="shared" si="129"/>
        <v/>
      </c>
      <c r="J354" s="4" t="str">
        <f t="shared" si="130"/>
        <v>ETLIQTRLSMLCIGTSLVFGPILGKSWRLYKVF</v>
      </c>
      <c r="K354" s="4" t="str">
        <f t="shared" si="131"/>
        <v/>
      </c>
      <c r="L354" s="4" t="str">
        <f t="shared" si="132"/>
        <v>KDLQLLGLVAALLMADVILLMTWVLTD</v>
      </c>
      <c r="M354" s="4" t="str">
        <f t="shared" si="133"/>
        <v>CAS</v>
      </c>
      <c r="N354" s="4" t="str">
        <f t="shared" si="134"/>
        <v>SDVWIALIWGCKGLLLLYGAYLAGLT</v>
      </c>
      <c r="O354" s="4" t="str">
        <f t="shared" si="135"/>
        <v>SLTIMVGVNLLVLAAGLLFVVTRYL</v>
      </c>
      <c r="P354" s="4" t="str">
        <f t="shared" si="136"/>
        <v>LVFGLTSGGIFVCTTTINCFIFIPQLKQWKAF</v>
      </c>
      <c r="Q354" s="4" t="str">
        <f t="shared" si="137"/>
        <v>EEENQTIRRMAK</v>
      </c>
      <c r="R354" s="5">
        <f>VLOOKUP($A354,'SegEnds_NonXtal_Prot#'!$A:$AL,3,FALSE)</f>
        <v>48</v>
      </c>
      <c r="S354" s="5">
        <f>VLOOKUP($A354,'SegEnds_NonXtal_Prot#'!$A:$AL,6,FALSE)</f>
        <v>77</v>
      </c>
      <c r="T354" s="5">
        <f>VLOOKUP($A354,'SegEnds_NonXtal_Prot#'!$A:$AL,9,FALSE)</f>
        <v>84</v>
      </c>
      <c r="U354" s="5" t="str">
        <f>VLOOKUP($A354,'SegEnds_NonXtal_Prot#'!$A:$AL,12,FALSE)</f>
        <v>-</v>
      </c>
      <c r="V354" s="5">
        <f>VLOOKUP($A354,'SegEnds_NonXtal_Prot#'!$A:$AL,15,FALSE)</f>
        <v>117</v>
      </c>
      <c r="W354" s="5" t="str">
        <f>VLOOKUP($A354,'SegEnds_NonXtal_Prot#'!$A:$AL,18,FALSE)</f>
        <v>-</v>
      </c>
      <c r="X354" s="5">
        <f>VLOOKUP($A354,'SegEnds_NonXtal_Prot#'!$A:$AL,21,FALSE)</f>
        <v>161</v>
      </c>
      <c r="Y354" s="5">
        <f>VLOOKUP($A354,'SegEnds_NonXtal_Prot#'!$A:$AL,24,FALSE)</f>
        <v>216</v>
      </c>
      <c r="Z354" s="5">
        <f>VLOOKUP($A354,'SegEnds_NonXtal_Prot#'!$A:$AL,27,FALSE)</f>
        <v>221</v>
      </c>
      <c r="AA354" s="5">
        <f>VLOOKUP($A354,'SegEnds_NonXtal_Prot#'!$A:$AL,30,FALSE)</f>
        <v>257</v>
      </c>
      <c r="AB354" s="5">
        <f>VLOOKUP($A354,'SegEnds_NonXtal_Prot#'!$A:$AL,33,FALSE)</f>
        <v>287</v>
      </c>
      <c r="AC354" s="5">
        <f>VLOOKUP($A354,'SegEnds_NonXtal_Prot#'!$A:$AL,36,FALSE)</f>
        <v>319</v>
      </c>
      <c r="AD354" s="5">
        <f>VLOOKUP($A354,'SegEnds_NonXtal_Prot#'!$A:$AL,5,FALSE)</f>
        <v>74</v>
      </c>
      <c r="AE354" s="5">
        <f>VLOOKUP($A354,'SegEnds_NonXtal_Prot#'!$A:$AL,8,FALSE)</f>
        <v>83</v>
      </c>
      <c r="AF354" s="5">
        <f>VLOOKUP($A354,'SegEnds_NonXtal_Prot#'!$A:$AL,11,FALSE)</f>
        <v>106</v>
      </c>
      <c r="AG354" s="5" t="str">
        <f>VLOOKUP($A354,'SegEnds_NonXtal_Prot#'!$A:$AL,14,FALSE)</f>
        <v>-</v>
      </c>
      <c r="AH354" s="5">
        <f>VLOOKUP($A354,'SegEnds_NonXtal_Prot#'!$A:$AL,17,FALSE)</f>
        <v>149</v>
      </c>
      <c r="AI354" s="5" t="str">
        <f>VLOOKUP($A354,'SegEnds_NonXtal_Prot#'!$A:$AL,20,FALSE)</f>
        <v>-</v>
      </c>
      <c r="AJ354" s="5">
        <f>VLOOKUP($A354,'SegEnds_NonXtal_Prot#'!$A:$AL,23,FALSE)</f>
        <v>187</v>
      </c>
      <c r="AK354" s="5">
        <f>VLOOKUP($A354,'SegEnds_NonXtal_Prot#'!$A:$AL,26,FALSE)</f>
        <v>218</v>
      </c>
      <c r="AL354" s="5">
        <f>VLOOKUP($A354,'SegEnds_NonXtal_Prot#'!$A:$AL,29,FALSE)</f>
        <v>246</v>
      </c>
      <c r="AM354" s="5">
        <f>VLOOKUP($A354,'SegEnds_NonXtal_Prot#'!$A:$AL,32,FALSE)</f>
        <v>281</v>
      </c>
      <c r="AN354" s="5">
        <f>VLOOKUP($A354,'SegEnds_NonXtal_Prot#'!$A:$AL,35,FALSE)</f>
        <v>318</v>
      </c>
      <c r="AO354" s="5">
        <f>VLOOKUP($A354,'SegEnds_NonXtal_Prot#'!$A:$AL,38,FALSE)</f>
        <v>330</v>
      </c>
      <c r="AP354" s="5">
        <f t="shared" si="138"/>
        <v>26</v>
      </c>
      <c r="AQ354" s="4">
        <f t="shared" si="139"/>
        <v>6</v>
      </c>
      <c r="AR354" s="4">
        <f t="shared" si="140"/>
        <v>22</v>
      </c>
      <c r="AS354" s="4" t="str">
        <f t="shared" si="141"/>
        <v>-</v>
      </c>
      <c r="AT354" s="4">
        <f t="shared" si="142"/>
        <v>32</v>
      </c>
      <c r="AU354" s="4" t="str">
        <f t="shared" si="143"/>
        <v>-</v>
      </c>
      <c r="AV354" s="4">
        <f t="shared" si="144"/>
        <v>26</v>
      </c>
      <c r="AW354" s="4">
        <f t="shared" si="145"/>
        <v>2</v>
      </c>
      <c r="AX354" s="4">
        <f t="shared" si="146"/>
        <v>25</v>
      </c>
      <c r="AY354" s="4">
        <f t="shared" si="147"/>
        <v>24</v>
      </c>
      <c r="AZ354" s="4">
        <f t="shared" si="148"/>
        <v>31</v>
      </c>
      <c r="BA354" s="4">
        <f t="shared" si="149"/>
        <v>11</v>
      </c>
    </row>
    <row r="355" spans="1:53" x14ac:dyDescent="0.2">
      <c r="A355" s="1" t="str">
        <f>'SegEnds_NonXtal_Prot#'!A356</f>
        <v>gp158_human</v>
      </c>
      <c r="B355" s="1" t="str">
        <f t="shared" si="125"/>
        <v>YLRLAIISFQALCMLLDFVSMLVVYHFGLILLETILFGSLLLYFPVVILYTFRCILLRWARLLGFATVYGTVTLKLHRVLKVFSRTAQRIPYMTGGRVMRMLAVILLVVFDRWDYMTAVAEFLFLLWGVYLCYAVEPRYMAVAVHNELIISAIFHTIRFVWMLMLYFAHTHLTVTVTIGLLLIPKFSHSSNNPRDDIATEAYED</v>
      </c>
      <c r="C355" s="29" t="str">
        <f>IF(ISERROR(MATCH(A355,'SegEnds_Xtal_Prot#'!B:B, 0)), "NoXtal", "Xtal")</f>
        <v>NoXtal</v>
      </c>
      <c r="D355" s="4" t="str">
        <f>VLOOKUP(A355,Classification!A:D,2,FALSE)</f>
        <v>C</v>
      </c>
      <c r="E355" s="5" t="str">
        <f>VLOOKUP(A355,Seqs!A:B,2,FALSE)</f>
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</c>
      <c r="F355" s="5" t="str">
        <f t="shared" si="126"/>
        <v>YLRLAIISFQALCMLLDFVSMLVVYHF</v>
      </c>
      <c r="G355" s="4" t="str">
        <f t="shared" si="127"/>
        <v>AKSIRAS</v>
      </c>
      <c r="H355" s="4" t="str">
        <f t="shared" si="128"/>
        <v>GLILLETILFGSLLLYFPVVILY</v>
      </c>
      <c r="I355" s="4" t="str">
        <f t="shared" si="129"/>
        <v/>
      </c>
      <c r="J355" s="4" t="str">
        <f t="shared" si="130"/>
        <v>TFRCILLRWARLLGFATVYGTVTLKLHRVLKVF</v>
      </c>
      <c r="K355" s="4" t="str">
        <f t="shared" si="131"/>
        <v/>
      </c>
      <c r="L355" s="4" t="str">
        <f t="shared" si="132"/>
        <v>SRTAQRIPYMTGGRVMRMLAVILLVVF</v>
      </c>
      <c r="M355" s="4" t="str">
        <f t="shared" si="133"/>
        <v>CLI</v>
      </c>
      <c r="N355" s="4" t="str">
        <f t="shared" si="134"/>
        <v>DRWDYMTAVAEFLFLLWGVYLCYAV</v>
      </c>
      <c r="O355" s="4" t="str">
        <f t="shared" si="135"/>
        <v>EPRYMAVAVHNELIISAIFHTIRFV</v>
      </c>
      <c r="P355" s="4" t="str">
        <f t="shared" si="136"/>
        <v>WMLMLYFAHTHLTVTVTIGLLLIPKFSHSSNN</v>
      </c>
      <c r="Q355" s="4" t="str">
        <f t="shared" si="137"/>
        <v>PRDDIATEAYED</v>
      </c>
      <c r="R355" s="5">
        <f>VLOOKUP($A355,'SegEnds_NonXtal_Prot#'!$A:$AL,3,FALSE)</f>
        <v>415</v>
      </c>
      <c r="S355" s="5">
        <f>VLOOKUP($A355,'SegEnds_NonXtal_Prot#'!$A:$AL,6,FALSE)</f>
        <v>444</v>
      </c>
      <c r="T355" s="5">
        <f>VLOOKUP($A355,'SegEnds_NonXtal_Prot#'!$A:$AL,9,FALSE)</f>
        <v>451</v>
      </c>
      <c r="U355" s="5" t="str">
        <f>VLOOKUP($A355,'SegEnds_NonXtal_Prot#'!$A:$AL,12,FALSE)</f>
        <v>-</v>
      </c>
      <c r="V355" s="5">
        <f>VLOOKUP($A355,'SegEnds_NonXtal_Prot#'!$A:$AL,15,FALSE)</f>
        <v>478</v>
      </c>
      <c r="W355" s="5" t="str">
        <f>VLOOKUP($A355,'SegEnds_NonXtal_Prot#'!$A:$AL,18,FALSE)</f>
        <v>-</v>
      </c>
      <c r="X355" s="5">
        <f>VLOOKUP($A355,'SegEnds_NonXtal_Prot#'!$A:$AL,21,FALSE)</f>
        <v>512</v>
      </c>
      <c r="Y355" s="5">
        <f>VLOOKUP($A355,'SegEnds_NonXtal_Prot#'!$A:$AL,24,FALSE)</f>
        <v>573</v>
      </c>
      <c r="Z355" s="5">
        <f>VLOOKUP($A355,'SegEnds_NonXtal_Prot#'!$A:$AL,27,FALSE)</f>
        <v>576</v>
      </c>
      <c r="AA355" s="5">
        <f>VLOOKUP($A355,'SegEnds_NonXtal_Prot#'!$A:$AL,30,FALSE)</f>
        <v>609</v>
      </c>
      <c r="AB355" s="5">
        <f>VLOOKUP($A355,'SegEnds_NonXtal_Prot#'!$A:$AL,33,FALSE)</f>
        <v>642</v>
      </c>
      <c r="AC355" s="5">
        <f>VLOOKUP($A355,'SegEnds_NonXtal_Prot#'!$A:$AL,36,FALSE)</f>
        <v>674</v>
      </c>
      <c r="AD355" s="5">
        <f>VLOOKUP($A355,'SegEnds_NonXtal_Prot#'!$A:$AL,5,FALSE)</f>
        <v>441</v>
      </c>
      <c r="AE355" s="5">
        <f>VLOOKUP($A355,'SegEnds_NonXtal_Prot#'!$A:$AL,8,FALSE)</f>
        <v>450</v>
      </c>
      <c r="AF355" s="5">
        <f>VLOOKUP($A355,'SegEnds_NonXtal_Prot#'!$A:$AL,11,FALSE)</f>
        <v>473</v>
      </c>
      <c r="AG355" s="5" t="str">
        <f>VLOOKUP($A355,'SegEnds_NonXtal_Prot#'!$A:$AL,14,FALSE)</f>
        <v>-</v>
      </c>
      <c r="AH355" s="5">
        <f>VLOOKUP($A355,'SegEnds_NonXtal_Prot#'!$A:$AL,17,FALSE)</f>
        <v>510</v>
      </c>
      <c r="AI355" s="5" t="str">
        <f>VLOOKUP($A355,'SegEnds_NonXtal_Prot#'!$A:$AL,20,FALSE)</f>
        <v>-</v>
      </c>
      <c r="AJ355" s="5">
        <f>VLOOKUP($A355,'SegEnds_NonXtal_Prot#'!$A:$AL,23,FALSE)</f>
        <v>538</v>
      </c>
      <c r="AK355" s="5">
        <f>VLOOKUP($A355,'SegEnds_NonXtal_Prot#'!$A:$AL,26,FALSE)</f>
        <v>575</v>
      </c>
      <c r="AL355" s="5">
        <f>VLOOKUP($A355,'SegEnds_NonXtal_Prot#'!$A:$AL,29,FALSE)</f>
        <v>600</v>
      </c>
      <c r="AM355" s="5">
        <f>VLOOKUP($A355,'SegEnds_NonXtal_Prot#'!$A:$AL,32,FALSE)</f>
        <v>633</v>
      </c>
      <c r="AN355" s="5">
        <f>VLOOKUP($A355,'SegEnds_NonXtal_Prot#'!$A:$AL,35,FALSE)</f>
        <v>673</v>
      </c>
      <c r="AO355" s="5">
        <f>VLOOKUP($A355,'SegEnds_NonXtal_Prot#'!$A:$AL,38,FALSE)</f>
        <v>685</v>
      </c>
      <c r="AP355" s="5">
        <f t="shared" si="138"/>
        <v>26</v>
      </c>
      <c r="AQ355" s="4">
        <f t="shared" si="139"/>
        <v>6</v>
      </c>
      <c r="AR355" s="4">
        <f t="shared" si="140"/>
        <v>22</v>
      </c>
      <c r="AS355" s="4" t="str">
        <f t="shared" si="141"/>
        <v>-</v>
      </c>
      <c r="AT355" s="4">
        <f t="shared" si="142"/>
        <v>32</v>
      </c>
      <c r="AU355" s="4" t="str">
        <f t="shared" si="143"/>
        <v>-</v>
      </c>
      <c r="AV355" s="4">
        <f t="shared" si="144"/>
        <v>26</v>
      </c>
      <c r="AW355" s="4">
        <f t="shared" si="145"/>
        <v>2</v>
      </c>
      <c r="AX355" s="4">
        <f t="shared" si="146"/>
        <v>24</v>
      </c>
      <c r="AY355" s="4">
        <f t="shared" si="147"/>
        <v>24</v>
      </c>
      <c r="AZ355" s="4">
        <f t="shared" si="148"/>
        <v>31</v>
      </c>
      <c r="BA355" s="4">
        <f t="shared" si="149"/>
        <v>11</v>
      </c>
    </row>
    <row r="356" spans="1:53" x14ac:dyDescent="0.2">
      <c r="A356" s="1" t="str">
        <f>'SegEnds_NonXtal_Prot#'!A357</f>
        <v>gp179_human</v>
      </c>
      <c r="B356" s="1" t="str">
        <f t="shared" si="125"/>
        <v>VLRAAVLACQACCMLAIFLSMLVSYRCGVVLLETVLFGFLLLYFPVFILYVFRCIALRWVRLLGFAIVYGTIILKLYRVLQLFSRTAQRSALLSSGRLLRRLGLLLLPVLDRWDYIMVVAELLLLCWGSFLCYATEPRYMGIALHNELLLSAAFHTARFVWTLLLFFFHTHSTVTTTLALIFIPKFWKLGAPPREEMVDEVCED</v>
      </c>
      <c r="C356" s="29" t="str">
        <f>IF(ISERROR(MATCH(A356,'SegEnds_Xtal_Prot#'!B:B, 0)), "NoXtal", "Xtal")</f>
        <v>NoXtal</v>
      </c>
      <c r="D356" s="4" t="str">
        <f>VLOOKUP(A356,Classification!A:D,2,FALSE)</f>
        <v>C</v>
      </c>
      <c r="E356" s="5" t="str">
        <f>VLOOKUP(A356,Seqs!A:B,2,FALSE)</f>
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</c>
      <c r="F356" s="5" t="str">
        <f t="shared" si="126"/>
        <v>VLRAAVLACQACCMLAIFLSMLVSYRC</v>
      </c>
      <c r="G356" s="4" t="str">
        <f t="shared" si="127"/>
        <v>NKRIWAS</v>
      </c>
      <c r="H356" s="4" t="str">
        <f t="shared" si="128"/>
        <v>GVVLLETVLFGFLLLYFPVFILY</v>
      </c>
      <c r="I356" s="4" t="str">
        <f t="shared" si="129"/>
        <v/>
      </c>
      <c r="J356" s="4" t="str">
        <f t="shared" si="130"/>
        <v>VFRCIALRWVRLLGFAIVYGTIILKLYRVLQLF</v>
      </c>
      <c r="K356" s="4" t="str">
        <f t="shared" si="131"/>
        <v/>
      </c>
      <c r="L356" s="4" t="str">
        <f t="shared" si="132"/>
        <v>SRTAQRSALLSSGRLLRRLGLLLLPVL</v>
      </c>
      <c r="M356" s="4" t="str">
        <f t="shared" si="133"/>
        <v>CHH</v>
      </c>
      <c r="N356" s="4" t="str">
        <f t="shared" si="134"/>
        <v>DRWDYIMVVAELLLLCWGSFLCYAT</v>
      </c>
      <c r="O356" s="4" t="str">
        <f t="shared" si="135"/>
        <v>EPRYMGIALHNELLLSAAFHTARFV</v>
      </c>
      <c r="P356" s="4" t="str">
        <f t="shared" si="136"/>
        <v>WTLLLFFFHTHSTVTTTLALIFIPKFWKLGAP</v>
      </c>
      <c r="Q356" s="4" t="str">
        <f t="shared" si="137"/>
        <v>PREEMVDEVCED</v>
      </c>
      <c r="R356" s="5">
        <f>VLOOKUP($A356,'SegEnds_NonXtal_Prot#'!$A:$AL,3,FALSE)</f>
        <v>379</v>
      </c>
      <c r="S356" s="5">
        <f>VLOOKUP($A356,'SegEnds_NonXtal_Prot#'!$A:$AL,6,FALSE)</f>
        <v>408</v>
      </c>
      <c r="T356" s="5">
        <f>VLOOKUP($A356,'SegEnds_NonXtal_Prot#'!$A:$AL,9,FALSE)</f>
        <v>415</v>
      </c>
      <c r="U356" s="5" t="str">
        <f>VLOOKUP($A356,'SegEnds_NonXtal_Prot#'!$A:$AL,12,FALSE)</f>
        <v>-</v>
      </c>
      <c r="V356" s="5">
        <f>VLOOKUP($A356,'SegEnds_NonXtal_Prot#'!$A:$AL,15,FALSE)</f>
        <v>442</v>
      </c>
      <c r="W356" s="5" t="str">
        <f>VLOOKUP($A356,'SegEnds_NonXtal_Prot#'!$A:$AL,18,FALSE)</f>
        <v>-</v>
      </c>
      <c r="X356" s="5">
        <f>VLOOKUP($A356,'SegEnds_NonXtal_Prot#'!$A:$AL,21,FALSE)</f>
        <v>476</v>
      </c>
      <c r="Y356" s="5">
        <f>VLOOKUP($A356,'SegEnds_NonXtal_Prot#'!$A:$AL,24,FALSE)</f>
        <v>537</v>
      </c>
      <c r="Z356" s="5">
        <f>VLOOKUP($A356,'SegEnds_NonXtal_Prot#'!$A:$AL,27,FALSE)</f>
        <v>540</v>
      </c>
      <c r="AA356" s="5">
        <f>VLOOKUP($A356,'SegEnds_NonXtal_Prot#'!$A:$AL,30,FALSE)</f>
        <v>573</v>
      </c>
      <c r="AB356" s="5">
        <f>VLOOKUP($A356,'SegEnds_NonXtal_Prot#'!$A:$AL,33,FALSE)</f>
        <v>606</v>
      </c>
      <c r="AC356" s="5">
        <f>VLOOKUP($A356,'SegEnds_NonXtal_Prot#'!$A:$AL,36,FALSE)</f>
        <v>638</v>
      </c>
      <c r="AD356" s="5">
        <f>VLOOKUP($A356,'SegEnds_NonXtal_Prot#'!$A:$AL,5,FALSE)</f>
        <v>405</v>
      </c>
      <c r="AE356" s="5">
        <f>VLOOKUP($A356,'SegEnds_NonXtal_Prot#'!$A:$AL,8,FALSE)</f>
        <v>414</v>
      </c>
      <c r="AF356" s="5">
        <f>VLOOKUP($A356,'SegEnds_NonXtal_Prot#'!$A:$AL,11,FALSE)</f>
        <v>437</v>
      </c>
      <c r="AG356" s="5" t="str">
        <f>VLOOKUP($A356,'SegEnds_NonXtal_Prot#'!$A:$AL,14,FALSE)</f>
        <v>-</v>
      </c>
      <c r="AH356" s="5">
        <f>VLOOKUP($A356,'SegEnds_NonXtal_Prot#'!$A:$AL,17,FALSE)</f>
        <v>474</v>
      </c>
      <c r="AI356" s="5" t="str">
        <f>VLOOKUP($A356,'SegEnds_NonXtal_Prot#'!$A:$AL,20,FALSE)</f>
        <v>-</v>
      </c>
      <c r="AJ356" s="5">
        <f>VLOOKUP($A356,'SegEnds_NonXtal_Prot#'!$A:$AL,23,FALSE)</f>
        <v>502</v>
      </c>
      <c r="AK356" s="5">
        <f>VLOOKUP($A356,'SegEnds_NonXtal_Prot#'!$A:$AL,26,FALSE)</f>
        <v>539</v>
      </c>
      <c r="AL356" s="5">
        <f>VLOOKUP($A356,'SegEnds_NonXtal_Prot#'!$A:$AL,29,FALSE)</f>
        <v>564</v>
      </c>
      <c r="AM356" s="5">
        <f>VLOOKUP($A356,'SegEnds_NonXtal_Prot#'!$A:$AL,32,FALSE)</f>
        <v>597</v>
      </c>
      <c r="AN356" s="5">
        <f>VLOOKUP($A356,'SegEnds_NonXtal_Prot#'!$A:$AL,35,FALSE)</f>
        <v>637</v>
      </c>
      <c r="AO356" s="5">
        <f>VLOOKUP($A356,'SegEnds_NonXtal_Prot#'!$A:$AL,38,FALSE)</f>
        <v>649</v>
      </c>
      <c r="AP356" s="5">
        <f t="shared" si="138"/>
        <v>26</v>
      </c>
      <c r="AQ356" s="4">
        <f t="shared" si="139"/>
        <v>6</v>
      </c>
      <c r="AR356" s="4">
        <f t="shared" si="140"/>
        <v>22</v>
      </c>
      <c r="AS356" s="4" t="str">
        <f t="shared" si="141"/>
        <v>-</v>
      </c>
      <c r="AT356" s="4">
        <f t="shared" si="142"/>
        <v>32</v>
      </c>
      <c r="AU356" s="4" t="str">
        <f t="shared" si="143"/>
        <v>-</v>
      </c>
      <c r="AV356" s="4">
        <f t="shared" si="144"/>
        <v>26</v>
      </c>
      <c r="AW356" s="4">
        <f t="shared" si="145"/>
        <v>2</v>
      </c>
      <c r="AX356" s="4">
        <f t="shared" si="146"/>
        <v>24</v>
      </c>
      <c r="AY356" s="4">
        <f t="shared" si="147"/>
        <v>24</v>
      </c>
      <c r="AZ356" s="4">
        <f t="shared" si="148"/>
        <v>31</v>
      </c>
      <c r="BA356" s="4">
        <f t="shared" si="149"/>
        <v>11</v>
      </c>
    </row>
    <row r="357" spans="1:53" x14ac:dyDescent="0.2">
      <c r="A357" s="1" t="str">
        <f>'SegEnds_NonXtal_Prot#'!A358</f>
        <v>gpc5b_human</v>
      </c>
      <c r="B357" s="1" t="str">
        <f t="shared" si="125"/>
        <v>IWGIVVEAVAGAGALITLLLMLILLVREKKSPVGLHFLFLLGTLGLFGLTFAFIETICSVRRFLWGVLFALCFSCLLSQAWRVRRLVAGWQLVGLALCLMLVQVIIAVEWLVLTEPMDFVMALIYDMVLLVVTLGLALFTNGAFLLITAFLSVLIWVAWMTMYLFWNDPTLAITLAASGWVFVIFHAIPEIHCTLLPLQENTPNYFDTS</v>
      </c>
      <c r="C357" s="29" t="str">
        <f>IF(ISERROR(MATCH(A357,'SegEnds_Xtal_Prot#'!B:B, 0)), "NoXtal", "Xtal")</f>
        <v>NoXtal</v>
      </c>
      <c r="D357" s="4" t="str">
        <f>VLOOKUP(A357,Classification!A:D,2,FALSE)</f>
        <v>C</v>
      </c>
      <c r="E357" s="5" t="str">
        <f>VLOOKUP(A357,Seqs!A:B,2,FALSE)</f>
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</c>
      <c r="F357" s="5" t="str">
        <f t="shared" si="126"/>
        <v>IWGIVVEAVAGAGALITLLLMLILLVR</v>
      </c>
      <c r="G357" s="4" t="str">
        <f t="shared" si="127"/>
        <v>LPFIKEK</v>
      </c>
      <c r="H357" s="4" t="str">
        <f t="shared" si="128"/>
        <v>EKKSPVGLHFLFLLGTLGLFGLTFAFI</v>
      </c>
      <c r="I357" s="4" t="str">
        <f t="shared" si="129"/>
        <v/>
      </c>
      <c r="J357" s="4" t="str">
        <f t="shared" si="130"/>
        <v>ETICSVRRFLWGVLFALCFSCLLSQAWRVRRLV</v>
      </c>
      <c r="K357" s="4" t="str">
        <f t="shared" si="131"/>
        <v/>
      </c>
      <c r="L357" s="4" t="str">
        <f t="shared" si="132"/>
        <v>AGWQLVGLALCLMLVQVIIAVEWLVLT</v>
      </c>
      <c r="M357" s="4" t="str">
        <f t="shared" si="133"/>
        <v>CAY</v>
      </c>
      <c r="N357" s="4" t="str">
        <f t="shared" si="134"/>
        <v>EPMDFVMALIYDMVLLVVTLGLALFT</v>
      </c>
      <c r="O357" s="4" t="str">
        <f t="shared" si="135"/>
        <v>NGAFLLITAFLSVLIWVAWMTMYLF</v>
      </c>
      <c r="P357" s="4" t="str">
        <f t="shared" si="136"/>
        <v>WNDPTLAITLAASGWVFVIFHAIPEIHCTLLP</v>
      </c>
      <c r="Q357" s="4" t="str">
        <f t="shared" si="137"/>
        <v>LQENTPNYFDTS</v>
      </c>
      <c r="R357" s="5">
        <f>VLOOKUP($A357,'SegEnds_NonXtal_Prot#'!$A:$AL,3,FALSE)</f>
        <v>54</v>
      </c>
      <c r="S357" s="5">
        <f>VLOOKUP($A357,'SegEnds_NonXtal_Prot#'!$A:$AL,6,FALSE)</f>
        <v>81</v>
      </c>
      <c r="T357" s="5">
        <f>VLOOKUP($A357,'SegEnds_NonXtal_Prot#'!$A:$AL,9,FALSE)</f>
        <v>88</v>
      </c>
      <c r="U357" s="5" t="str">
        <f>VLOOKUP($A357,'SegEnds_NonXtal_Prot#'!$A:$AL,12,FALSE)</f>
        <v>-</v>
      </c>
      <c r="V357" s="5">
        <f>VLOOKUP($A357,'SegEnds_NonXtal_Prot#'!$A:$AL,15,FALSE)</f>
        <v>119</v>
      </c>
      <c r="W357" s="5" t="str">
        <f>VLOOKUP($A357,'SegEnds_NonXtal_Prot#'!$A:$AL,18,FALSE)</f>
        <v>-</v>
      </c>
      <c r="X357" s="5">
        <f>VLOOKUP($A357,'SegEnds_NonXtal_Prot#'!$A:$AL,21,FALSE)</f>
        <v>158</v>
      </c>
      <c r="Y357" s="5">
        <f>VLOOKUP($A357,'SegEnds_NonXtal_Prot#'!$A:$AL,24,FALSE)</f>
        <v>193</v>
      </c>
      <c r="Z357" s="5">
        <f>VLOOKUP($A357,'SegEnds_NonXtal_Prot#'!$A:$AL,27,FALSE)</f>
        <v>196</v>
      </c>
      <c r="AA357" s="5">
        <f>VLOOKUP($A357,'SegEnds_NonXtal_Prot#'!$A:$AL,30,FALSE)</f>
        <v>232</v>
      </c>
      <c r="AB357" s="5">
        <f>VLOOKUP($A357,'SegEnds_NonXtal_Prot#'!$A:$AL,33,FALSE)</f>
        <v>267</v>
      </c>
      <c r="AC357" s="5">
        <f>VLOOKUP($A357,'SegEnds_NonXtal_Prot#'!$A:$AL,36,FALSE)</f>
        <v>300</v>
      </c>
      <c r="AD357" s="5">
        <f>VLOOKUP($A357,'SegEnds_NonXtal_Prot#'!$A:$AL,5,FALSE)</f>
        <v>80</v>
      </c>
      <c r="AE357" s="5">
        <f>VLOOKUP($A357,'SegEnds_NonXtal_Prot#'!$A:$AL,8,FALSE)</f>
        <v>87</v>
      </c>
      <c r="AF357" s="5">
        <f>VLOOKUP($A357,'SegEnds_NonXtal_Prot#'!$A:$AL,11,FALSE)</f>
        <v>114</v>
      </c>
      <c r="AG357" s="5" t="str">
        <f>VLOOKUP($A357,'SegEnds_NonXtal_Prot#'!$A:$AL,14,FALSE)</f>
        <v>-</v>
      </c>
      <c r="AH357" s="5">
        <f>VLOOKUP($A357,'SegEnds_NonXtal_Prot#'!$A:$AL,17,FALSE)</f>
        <v>151</v>
      </c>
      <c r="AI357" s="5" t="str">
        <f>VLOOKUP($A357,'SegEnds_NonXtal_Prot#'!$A:$AL,20,FALSE)</f>
        <v>-</v>
      </c>
      <c r="AJ357" s="5">
        <f>VLOOKUP($A357,'SegEnds_NonXtal_Prot#'!$A:$AL,23,FALSE)</f>
        <v>184</v>
      </c>
      <c r="AK357" s="5">
        <f>VLOOKUP($A357,'SegEnds_NonXtal_Prot#'!$A:$AL,26,FALSE)</f>
        <v>195</v>
      </c>
      <c r="AL357" s="5">
        <f>VLOOKUP($A357,'SegEnds_NonXtal_Prot#'!$A:$AL,29,FALSE)</f>
        <v>221</v>
      </c>
      <c r="AM357" s="5">
        <f>VLOOKUP($A357,'SegEnds_NonXtal_Prot#'!$A:$AL,32,FALSE)</f>
        <v>256</v>
      </c>
      <c r="AN357" s="5">
        <f>VLOOKUP($A357,'SegEnds_NonXtal_Prot#'!$A:$AL,35,FALSE)</f>
        <v>298</v>
      </c>
      <c r="AO357" s="5">
        <f>VLOOKUP($A357,'SegEnds_NonXtal_Prot#'!$A:$AL,38,FALSE)</f>
        <v>311</v>
      </c>
      <c r="AP357" s="5">
        <f t="shared" si="138"/>
        <v>26</v>
      </c>
      <c r="AQ357" s="4">
        <f t="shared" si="139"/>
        <v>6</v>
      </c>
      <c r="AR357" s="4">
        <f t="shared" si="140"/>
        <v>26</v>
      </c>
      <c r="AS357" s="4" t="str">
        <f t="shared" si="141"/>
        <v>-</v>
      </c>
      <c r="AT357" s="4">
        <f t="shared" si="142"/>
        <v>32</v>
      </c>
      <c r="AU357" s="4" t="str">
        <f t="shared" si="143"/>
        <v>-</v>
      </c>
      <c r="AV357" s="4">
        <f t="shared" si="144"/>
        <v>26</v>
      </c>
      <c r="AW357" s="4">
        <f t="shared" si="145"/>
        <v>2</v>
      </c>
      <c r="AX357" s="4">
        <f t="shared" si="146"/>
        <v>25</v>
      </c>
      <c r="AY357" s="4">
        <f t="shared" si="147"/>
        <v>24</v>
      </c>
      <c r="AZ357" s="4">
        <f t="shared" si="148"/>
        <v>31</v>
      </c>
      <c r="BA357" s="4">
        <f t="shared" si="149"/>
        <v>11</v>
      </c>
    </row>
    <row r="358" spans="1:53" x14ac:dyDescent="0.2">
      <c r="A358" s="1" t="str">
        <f>'SegEnds_NonXtal_Prot#'!A359</f>
        <v>gpc5c_human</v>
      </c>
      <c r="B358" s="1" t="str">
        <f t="shared" si="125"/>
        <v>AWGIVLEAVAGAGIVTTFVLTIILVASKKRSLLGTQVFFLLGTLGLFCLVFACVFSTCASRRFLFGVLFAICFSCLAAHVFALNFLARGWVIFTVALLLTLVEVIINTEWLIITANMDFVMALIYVMLLLLGAFLGAWPAHGVFVLLTTATSVAIWVVWIVMYTYWDDPTLAIALAANAWAFVLFYVIPEVSQVTKSPEQSYQGDMYPT</v>
      </c>
      <c r="C358" s="29" t="str">
        <f>IF(ISERROR(MATCH(A358,'SegEnds_Xtal_Prot#'!B:B, 0)), "NoXtal", "Xtal")</f>
        <v>NoXtal</v>
      </c>
      <c r="D358" s="4" t="str">
        <f>VLOOKUP(A358,Classification!A:D,2,FALSE)</f>
        <v>C</v>
      </c>
      <c r="E358" s="5" t="str">
        <f>VLOOKUP(A358,Seqs!A:B,2,FALSE)</f>
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</c>
      <c r="F358" s="5" t="str">
        <f t="shared" si="126"/>
        <v>AWGIVLEAVAGAGIVTTFVLTIILVAS</v>
      </c>
      <c r="G358" s="4" t="str">
        <f t="shared" si="127"/>
        <v>LPFVQDT</v>
      </c>
      <c r="H358" s="4" t="str">
        <f t="shared" si="128"/>
        <v>KKRSLLGTQVFFLLGTLGLFCLVFACV</v>
      </c>
      <c r="I358" s="4" t="str">
        <f t="shared" si="129"/>
        <v/>
      </c>
      <c r="J358" s="4" t="str">
        <f t="shared" si="130"/>
        <v>FSTCASRRFLFGVLFAICFSCLAAHVFALNFLA</v>
      </c>
      <c r="K358" s="4" t="str">
        <f t="shared" si="131"/>
        <v/>
      </c>
      <c r="L358" s="4" t="str">
        <f t="shared" si="132"/>
        <v>RGWVIFTVALLLTLVEVIINTEWLIIT</v>
      </c>
      <c r="M358" s="4" t="str">
        <f t="shared" si="133"/>
        <v>CAI</v>
      </c>
      <c r="N358" s="4" t="str">
        <f t="shared" si="134"/>
        <v>ANMDFVMALIYVMLLLLGAFLGAWPA</v>
      </c>
      <c r="O358" s="4" t="str">
        <f t="shared" si="135"/>
        <v>HGVFVLLTTATSVAIWVVWIVMYTY</v>
      </c>
      <c r="P358" s="4" t="str">
        <f t="shared" si="136"/>
        <v>WDDPTLAIALAANAWAFVLFYVIPEVSQVTKS</v>
      </c>
      <c r="Q358" s="4" t="str">
        <f t="shared" si="137"/>
        <v>PEQSYQGDMYPT</v>
      </c>
      <c r="R358" s="5">
        <f>VLOOKUP($A358,'SegEnds_NonXtal_Prot#'!$A:$AL,3,FALSE)</f>
        <v>48</v>
      </c>
      <c r="S358" s="5">
        <f>VLOOKUP($A358,'SegEnds_NonXtal_Prot#'!$A:$AL,6,FALSE)</f>
        <v>75</v>
      </c>
      <c r="T358" s="5">
        <f>VLOOKUP($A358,'SegEnds_NonXtal_Prot#'!$A:$AL,9,FALSE)</f>
        <v>82</v>
      </c>
      <c r="U358" s="5" t="str">
        <f>VLOOKUP($A358,'SegEnds_NonXtal_Prot#'!$A:$AL,12,FALSE)</f>
        <v>-</v>
      </c>
      <c r="V358" s="5">
        <f>VLOOKUP($A358,'SegEnds_NonXtal_Prot#'!$A:$AL,15,FALSE)</f>
        <v>113</v>
      </c>
      <c r="W358" s="5" t="str">
        <f>VLOOKUP($A358,'SegEnds_NonXtal_Prot#'!$A:$AL,18,FALSE)</f>
        <v>-</v>
      </c>
      <c r="X358" s="5">
        <f>VLOOKUP($A358,'SegEnds_NonXtal_Prot#'!$A:$AL,21,FALSE)</f>
        <v>152</v>
      </c>
      <c r="Y358" s="5">
        <f>VLOOKUP($A358,'SegEnds_NonXtal_Prot#'!$A:$AL,24,FALSE)</f>
        <v>202</v>
      </c>
      <c r="Z358" s="5">
        <f>VLOOKUP($A358,'SegEnds_NonXtal_Prot#'!$A:$AL,27,FALSE)</f>
        <v>205</v>
      </c>
      <c r="AA358" s="5">
        <f>VLOOKUP($A358,'SegEnds_NonXtal_Prot#'!$A:$AL,30,FALSE)</f>
        <v>241</v>
      </c>
      <c r="AB358" s="5">
        <f>VLOOKUP($A358,'SegEnds_NonXtal_Prot#'!$A:$AL,33,FALSE)</f>
        <v>275</v>
      </c>
      <c r="AC358" s="5">
        <f>VLOOKUP($A358,'SegEnds_NonXtal_Prot#'!$A:$AL,36,FALSE)</f>
        <v>308</v>
      </c>
      <c r="AD358" s="5">
        <f>VLOOKUP($A358,'SegEnds_NonXtal_Prot#'!$A:$AL,5,FALSE)</f>
        <v>74</v>
      </c>
      <c r="AE358" s="5">
        <f>VLOOKUP($A358,'SegEnds_NonXtal_Prot#'!$A:$AL,8,FALSE)</f>
        <v>81</v>
      </c>
      <c r="AF358" s="5">
        <f>VLOOKUP($A358,'SegEnds_NonXtal_Prot#'!$A:$AL,11,FALSE)</f>
        <v>108</v>
      </c>
      <c r="AG358" s="5" t="str">
        <f>VLOOKUP($A358,'SegEnds_NonXtal_Prot#'!$A:$AL,14,FALSE)</f>
        <v>-</v>
      </c>
      <c r="AH358" s="5">
        <f>VLOOKUP($A358,'SegEnds_NonXtal_Prot#'!$A:$AL,17,FALSE)</f>
        <v>145</v>
      </c>
      <c r="AI358" s="5" t="str">
        <f>VLOOKUP($A358,'SegEnds_NonXtal_Prot#'!$A:$AL,20,FALSE)</f>
        <v>-</v>
      </c>
      <c r="AJ358" s="5">
        <f>VLOOKUP($A358,'SegEnds_NonXtal_Prot#'!$A:$AL,23,FALSE)</f>
        <v>178</v>
      </c>
      <c r="AK358" s="5">
        <f>VLOOKUP($A358,'SegEnds_NonXtal_Prot#'!$A:$AL,26,FALSE)</f>
        <v>204</v>
      </c>
      <c r="AL358" s="5">
        <f>VLOOKUP($A358,'SegEnds_NonXtal_Prot#'!$A:$AL,29,FALSE)</f>
        <v>230</v>
      </c>
      <c r="AM358" s="5">
        <f>VLOOKUP($A358,'SegEnds_NonXtal_Prot#'!$A:$AL,32,FALSE)</f>
        <v>265</v>
      </c>
      <c r="AN358" s="5">
        <f>VLOOKUP($A358,'SegEnds_NonXtal_Prot#'!$A:$AL,35,FALSE)</f>
        <v>306</v>
      </c>
      <c r="AO358" s="5">
        <f>VLOOKUP($A358,'SegEnds_NonXtal_Prot#'!$A:$AL,38,FALSE)</f>
        <v>319</v>
      </c>
      <c r="AP358" s="5">
        <f t="shared" si="138"/>
        <v>26</v>
      </c>
      <c r="AQ358" s="4">
        <f t="shared" si="139"/>
        <v>6</v>
      </c>
      <c r="AR358" s="4">
        <f t="shared" si="140"/>
        <v>26</v>
      </c>
      <c r="AS358" s="4" t="str">
        <f t="shared" si="141"/>
        <v>-</v>
      </c>
      <c r="AT358" s="4">
        <f t="shared" si="142"/>
        <v>32</v>
      </c>
      <c r="AU358" s="4" t="str">
        <f t="shared" si="143"/>
        <v>-</v>
      </c>
      <c r="AV358" s="4">
        <f t="shared" si="144"/>
        <v>26</v>
      </c>
      <c r="AW358" s="4">
        <f t="shared" si="145"/>
        <v>2</v>
      </c>
      <c r="AX358" s="4">
        <f t="shared" si="146"/>
        <v>25</v>
      </c>
      <c r="AY358" s="4">
        <f t="shared" si="147"/>
        <v>24</v>
      </c>
      <c r="AZ358" s="4">
        <f t="shared" si="148"/>
        <v>31</v>
      </c>
      <c r="BA358" s="4">
        <f t="shared" si="149"/>
        <v>11</v>
      </c>
    </row>
    <row r="359" spans="1:53" x14ac:dyDescent="0.2">
      <c r="A359" s="1" t="str">
        <f>'SegEnds_NonXtal_Prot#'!A360</f>
        <v>gpc5d_human</v>
      </c>
      <c r="B359" s="1" t="str">
        <f t="shared" si="125"/>
        <v>PWGIILESLAILGIVVTILLLLAFLFLSQWNVLPTQLLFLLSVLGLFGLAFAFIQQTAPVRYFLFGVLFALCFSCLLAHASNLVKLVSWTTILCIAIGCSLLQIIIATEYVTLINVDFVVLLVYVLFLMALTFFVSKATHGRLIFITVLFSIIIWVVWISMLLRWDDPVVCIALVTNAWVFLLLYIVPELCILYRSQECPLQGNACP</v>
      </c>
      <c r="C359" s="29" t="str">
        <f>IF(ISERROR(MATCH(A359,'SegEnds_Xtal_Prot#'!B:B, 0)), "NoXtal", "Xtal")</f>
        <v>NoXtal</v>
      </c>
      <c r="D359" s="4" t="str">
        <f>VLOOKUP(A359,Classification!A:D,2,FALSE)</f>
        <v>C</v>
      </c>
      <c r="E359" s="5" t="str">
        <f>VLOOKUP(A359,Seqs!A:B,2,FALSE)</f>
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</c>
      <c r="F359" s="5" t="str">
        <f t="shared" si="126"/>
        <v>PWGIILESLAILGIVVTILLLLAFLFL</v>
      </c>
      <c r="G359" s="4" t="str">
        <f t="shared" si="127"/>
        <v>MRKIQDC</v>
      </c>
      <c r="H359" s="4" t="str">
        <f t="shared" si="128"/>
        <v>SQWNVLPTQLLFLLSVLGLFGLAFAFI</v>
      </c>
      <c r="I359" s="4" t="str">
        <f t="shared" si="129"/>
        <v/>
      </c>
      <c r="J359" s="4" t="str">
        <f t="shared" si="130"/>
        <v>QQTAPVRYFLFGVLFALCFSCLLAHASNLVKLV</v>
      </c>
      <c r="K359" s="4" t="str">
        <f t="shared" si="131"/>
        <v/>
      </c>
      <c r="L359" s="4" t="str">
        <f t="shared" si="132"/>
        <v>SWTTILCIAIGCSLLQIIIATEYVTLI</v>
      </c>
      <c r="M359" s="4" t="str">
        <f t="shared" si="133"/>
        <v>CQL</v>
      </c>
      <c r="N359" s="4" t="str">
        <f t="shared" si="134"/>
        <v>NVDFVVLLVYVLFLMALTFFVSKAT</v>
      </c>
      <c r="O359" s="4" t="str">
        <f t="shared" si="135"/>
        <v>HGRLIFITVLFSIIIWVVWISMLLR</v>
      </c>
      <c r="P359" s="4" t="str">
        <f t="shared" si="136"/>
        <v>WDDPVVCIALVTNAWVFLLLYIVPELCILYRS</v>
      </c>
      <c r="Q359" s="4" t="str">
        <f t="shared" si="137"/>
        <v>QECPLQGNACP</v>
      </c>
      <c r="R359" s="5">
        <f>VLOOKUP($A359,'SegEnds_NonXtal_Prot#'!$A:$AL,3,FALSE)</f>
        <v>21</v>
      </c>
      <c r="S359" s="5">
        <f>VLOOKUP($A359,'SegEnds_NonXtal_Prot#'!$A:$AL,6,FALSE)</f>
        <v>48</v>
      </c>
      <c r="T359" s="5">
        <f>VLOOKUP($A359,'SegEnds_NonXtal_Prot#'!$A:$AL,9,FALSE)</f>
        <v>55</v>
      </c>
      <c r="U359" s="5" t="str">
        <f>VLOOKUP($A359,'SegEnds_NonXtal_Prot#'!$A:$AL,12,FALSE)</f>
        <v>-</v>
      </c>
      <c r="V359" s="5">
        <f>VLOOKUP($A359,'SegEnds_NonXtal_Prot#'!$A:$AL,15,FALSE)</f>
        <v>86</v>
      </c>
      <c r="W359" s="5" t="str">
        <f>VLOOKUP($A359,'SegEnds_NonXtal_Prot#'!$A:$AL,18,FALSE)</f>
        <v>-</v>
      </c>
      <c r="X359" s="5">
        <f>VLOOKUP($A359,'SegEnds_NonXtal_Prot#'!$A:$AL,21,FALSE)</f>
        <v>125</v>
      </c>
      <c r="Y359" s="5">
        <f>VLOOKUP($A359,'SegEnds_NonXtal_Prot#'!$A:$AL,24,FALSE)</f>
        <v>164</v>
      </c>
      <c r="Z359" s="5">
        <f>VLOOKUP($A359,'SegEnds_NonXtal_Prot#'!$A:$AL,27,FALSE)</f>
        <v>167</v>
      </c>
      <c r="AA359" s="5">
        <f>VLOOKUP($A359,'SegEnds_NonXtal_Prot#'!$A:$AL,30,FALSE)</f>
        <v>202</v>
      </c>
      <c r="AB359" s="5">
        <f>VLOOKUP($A359,'SegEnds_NonXtal_Prot#'!$A:$AL,33,FALSE)</f>
        <v>237</v>
      </c>
      <c r="AC359" s="5">
        <f>VLOOKUP($A359,'SegEnds_NonXtal_Prot#'!$A:$AL,36,FALSE)</f>
        <v>271</v>
      </c>
      <c r="AD359" s="5">
        <f>VLOOKUP($A359,'SegEnds_NonXtal_Prot#'!$A:$AL,5,FALSE)</f>
        <v>47</v>
      </c>
      <c r="AE359" s="5">
        <f>VLOOKUP($A359,'SegEnds_NonXtal_Prot#'!$A:$AL,8,FALSE)</f>
        <v>54</v>
      </c>
      <c r="AF359" s="5">
        <f>VLOOKUP($A359,'SegEnds_NonXtal_Prot#'!$A:$AL,11,FALSE)</f>
        <v>81</v>
      </c>
      <c r="AG359" s="5" t="str">
        <f>VLOOKUP($A359,'SegEnds_NonXtal_Prot#'!$A:$AL,14,FALSE)</f>
        <v>-</v>
      </c>
      <c r="AH359" s="5">
        <f>VLOOKUP($A359,'SegEnds_NonXtal_Prot#'!$A:$AL,17,FALSE)</f>
        <v>118</v>
      </c>
      <c r="AI359" s="5" t="str">
        <f>VLOOKUP($A359,'SegEnds_NonXtal_Prot#'!$A:$AL,20,FALSE)</f>
        <v>-</v>
      </c>
      <c r="AJ359" s="5">
        <f>VLOOKUP($A359,'SegEnds_NonXtal_Prot#'!$A:$AL,23,FALSE)</f>
        <v>151</v>
      </c>
      <c r="AK359" s="5">
        <f>VLOOKUP($A359,'SegEnds_NonXtal_Prot#'!$A:$AL,26,FALSE)</f>
        <v>166</v>
      </c>
      <c r="AL359" s="5">
        <f>VLOOKUP($A359,'SegEnds_NonXtal_Prot#'!$A:$AL,29,FALSE)</f>
        <v>191</v>
      </c>
      <c r="AM359" s="5">
        <f>VLOOKUP($A359,'SegEnds_NonXtal_Prot#'!$A:$AL,32,FALSE)</f>
        <v>226</v>
      </c>
      <c r="AN359" s="5">
        <f>VLOOKUP($A359,'SegEnds_NonXtal_Prot#'!$A:$AL,35,FALSE)</f>
        <v>268</v>
      </c>
      <c r="AO359" s="5">
        <f>VLOOKUP($A359,'SegEnds_NonXtal_Prot#'!$A:$AL,38,FALSE)</f>
        <v>281</v>
      </c>
      <c r="AP359" s="5">
        <f t="shared" si="138"/>
        <v>26</v>
      </c>
      <c r="AQ359" s="4">
        <f t="shared" si="139"/>
        <v>6</v>
      </c>
      <c r="AR359" s="4">
        <f t="shared" si="140"/>
        <v>26</v>
      </c>
      <c r="AS359" s="4" t="str">
        <f t="shared" si="141"/>
        <v>-</v>
      </c>
      <c r="AT359" s="4">
        <f t="shared" si="142"/>
        <v>32</v>
      </c>
      <c r="AU359" s="4" t="str">
        <f t="shared" si="143"/>
        <v>-</v>
      </c>
      <c r="AV359" s="4">
        <f t="shared" si="144"/>
        <v>26</v>
      </c>
      <c r="AW359" s="4">
        <f t="shared" si="145"/>
        <v>2</v>
      </c>
      <c r="AX359" s="4">
        <f t="shared" si="146"/>
        <v>24</v>
      </c>
      <c r="AY359" s="4">
        <f t="shared" si="147"/>
        <v>24</v>
      </c>
      <c r="AZ359" s="4">
        <f t="shared" si="148"/>
        <v>31</v>
      </c>
      <c r="BA359" s="4">
        <f t="shared" si="149"/>
        <v>10</v>
      </c>
    </row>
    <row r="360" spans="1:53" x14ac:dyDescent="0.2">
      <c r="A360" s="1" t="str">
        <f>'SegEnds_NonXtal_Prot#'!A361</f>
        <v>gpc6a_human</v>
      </c>
      <c r="B360" s="1" t="str">
        <f t="shared" si="125"/>
        <v>SLAILLLILSLLGIIFVLVVGIIFTRNGGLRVCYVILLCHFLNFASTSFFIDFTCKTRQTMFGVSFTLCISCILTKSLKILLAFCLYRPILIIFTCTGIQVVICTLWLIFASILAFGTMLGYIAILAFICFIFAFKGEAKFITFGMLIYFIAWITFIPIYATYVPAVEIIVILISNYGILYCTFIPKCYVIICKQEINTKSAFLKM</v>
      </c>
      <c r="C360" s="29" t="str">
        <f>IF(ISERROR(MATCH(A360,'SegEnds_Xtal_Prot#'!B:B, 0)), "NoXtal", "Xtal")</f>
        <v>NoXtal</v>
      </c>
      <c r="D360" s="4" t="str">
        <f>VLOOKUP(A360,Classification!A:D,2,FALSE)</f>
        <v>C</v>
      </c>
      <c r="E360" s="5" t="str">
        <f>VLOOKUP(A360,Seqs!A:B,2,FALSE)</f>
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</c>
      <c r="F360" s="5" t="str">
        <f t="shared" si="126"/>
        <v>SLAILLLILSLLGIIFVLVVGIIFTRN</v>
      </c>
      <c r="G360" s="4" t="str">
        <f t="shared" si="127"/>
        <v>TPVVKSS</v>
      </c>
      <c r="H360" s="4" t="str">
        <f t="shared" si="128"/>
        <v>GGLRVCYVILLCHFLNFASTSFFI</v>
      </c>
      <c r="I360" s="4" t="str">
        <f t="shared" si="129"/>
        <v/>
      </c>
      <c r="J360" s="4" t="str">
        <f t="shared" si="130"/>
        <v>DFTCKTRQTMFGVSFTLCISCILTKSLKILLAF</v>
      </c>
      <c r="K360" s="4" t="str">
        <f t="shared" si="131"/>
        <v/>
      </c>
      <c r="L360" s="4" t="str">
        <f t="shared" si="132"/>
        <v>CLYRPILIIFTCTGIQVVICTLWLIFA</v>
      </c>
      <c r="M360" s="4" t="str">
        <f t="shared" si="133"/>
        <v>CEE</v>
      </c>
      <c r="N360" s="4" t="str">
        <f t="shared" si="134"/>
        <v>SILAFGTMLGYIAILAFICFIFAFKG</v>
      </c>
      <c r="O360" s="4" t="str">
        <f t="shared" si="135"/>
        <v>EAKFITFGMLIYFIAWITFIPIYAT</v>
      </c>
      <c r="P360" s="4" t="str">
        <f t="shared" si="136"/>
        <v>YVPAVEIIVILISNYGILYCTFIPKCYVIICK</v>
      </c>
      <c r="Q360" s="4" t="str">
        <f t="shared" si="137"/>
        <v>QEINTKSAFLKM</v>
      </c>
      <c r="R360" s="5">
        <f>VLOOKUP($A360,'SegEnds_NonXtal_Prot#'!$A:$AL,3,FALSE)</f>
        <v>592</v>
      </c>
      <c r="S360" s="5">
        <f>VLOOKUP($A360,'SegEnds_NonXtal_Prot#'!$A:$AL,6,FALSE)</f>
        <v>621</v>
      </c>
      <c r="T360" s="5">
        <f>VLOOKUP($A360,'SegEnds_NonXtal_Prot#'!$A:$AL,9,FALSE)</f>
        <v>628</v>
      </c>
      <c r="U360" s="5" t="str">
        <f>VLOOKUP($A360,'SegEnds_NonXtal_Prot#'!$A:$AL,12,FALSE)</f>
        <v>-</v>
      </c>
      <c r="V360" s="5">
        <f>VLOOKUP($A360,'SegEnds_NonXtal_Prot#'!$A:$AL,15,FALSE)</f>
        <v>656</v>
      </c>
      <c r="W360" s="5" t="str">
        <f>VLOOKUP($A360,'SegEnds_NonXtal_Prot#'!$A:$AL,18,FALSE)</f>
        <v>-</v>
      </c>
      <c r="X360" s="5">
        <f>VLOOKUP($A360,'SegEnds_NonXtal_Prot#'!$A:$AL,21,FALSE)</f>
        <v>700</v>
      </c>
      <c r="Y360" s="5">
        <f>VLOOKUP($A360,'SegEnds_NonXtal_Prot#'!$A:$AL,24,FALSE)</f>
        <v>744</v>
      </c>
      <c r="Z360" s="5">
        <f>VLOOKUP($A360,'SegEnds_NonXtal_Prot#'!$A:$AL,27,FALSE)</f>
        <v>748</v>
      </c>
      <c r="AA360" s="5">
        <f>VLOOKUP($A360,'SegEnds_NonXtal_Prot#'!$A:$AL,30,FALSE)</f>
        <v>780</v>
      </c>
      <c r="AB360" s="5">
        <f>VLOOKUP($A360,'SegEnds_NonXtal_Prot#'!$A:$AL,33,FALSE)</f>
        <v>809</v>
      </c>
      <c r="AC360" s="5">
        <f>VLOOKUP($A360,'SegEnds_NonXtal_Prot#'!$A:$AL,36,FALSE)</f>
        <v>841</v>
      </c>
      <c r="AD360" s="5">
        <f>VLOOKUP($A360,'SegEnds_NonXtal_Prot#'!$A:$AL,5,FALSE)</f>
        <v>618</v>
      </c>
      <c r="AE360" s="5">
        <f>VLOOKUP($A360,'SegEnds_NonXtal_Prot#'!$A:$AL,8,FALSE)</f>
        <v>627</v>
      </c>
      <c r="AF360" s="5">
        <f>VLOOKUP($A360,'SegEnds_NonXtal_Prot#'!$A:$AL,11,FALSE)</f>
        <v>651</v>
      </c>
      <c r="AG360" s="5" t="str">
        <f>VLOOKUP($A360,'SegEnds_NonXtal_Prot#'!$A:$AL,14,FALSE)</f>
        <v>-</v>
      </c>
      <c r="AH360" s="5">
        <f>VLOOKUP($A360,'SegEnds_NonXtal_Prot#'!$A:$AL,17,FALSE)</f>
        <v>688</v>
      </c>
      <c r="AI360" s="5" t="str">
        <f>VLOOKUP($A360,'SegEnds_NonXtal_Prot#'!$A:$AL,20,FALSE)</f>
        <v>-</v>
      </c>
      <c r="AJ360" s="5">
        <f>VLOOKUP($A360,'SegEnds_NonXtal_Prot#'!$A:$AL,23,FALSE)</f>
        <v>726</v>
      </c>
      <c r="AK360" s="5">
        <f>VLOOKUP($A360,'SegEnds_NonXtal_Prot#'!$A:$AL,26,FALSE)</f>
        <v>746</v>
      </c>
      <c r="AL360" s="5">
        <f>VLOOKUP($A360,'SegEnds_NonXtal_Prot#'!$A:$AL,29,FALSE)</f>
        <v>773</v>
      </c>
      <c r="AM360" s="5">
        <f>VLOOKUP($A360,'SegEnds_NonXtal_Prot#'!$A:$AL,32,FALSE)</f>
        <v>804</v>
      </c>
      <c r="AN360" s="5">
        <f>VLOOKUP($A360,'SegEnds_NonXtal_Prot#'!$A:$AL,35,FALSE)</f>
        <v>840</v>
      </c>
      <c r="AO360" s="5">
        <f>VLOOKUP($A360,'SegEnds_NonXtal_Prot#'!$A:$AL,38,FALSE)</f>
        <v>852</v>
      </c>
      <c r="AP360" s="5">
        <f t="shared" si="138"/>
        <v>26</v>
      </c>
      <c r="AQ360" s="4">
        <f t="shared" si="139"/>
        <v>6</v>
      </c>
      <c r="AR360" s="4">
        <f t="shared" si="140"/>
        <v>23</v>
      </c>
      <c r="AS360" s="4" t="str">
        <f t="shared" si="141"/>
        <v>-</v>
      </c>
      <c r="AT360" s="4">
        <f t="shared" si="142"/>
        <v>32</v>
      </c>
      <c r="AU360" s="4" t="str">
        <f t="shared" si="143"/>
        <v>-</v>
      </c>
      <c r="AV360" s="4">
        <f t="shared" si="144"/>
        <v>26</v>
      </c>
      <c r="AW360" s="4">
        <f t="shared" si="145"/>
        <v>2</v>
      </c>
      <c r="AX360" s="4">
        <f t="shared" si="146"/>
        <v>25</v>
      </c>
      <c r="AY360" s="4">
        <f t="shared" si="147"/>
        <v>24</v>
      </c>
      <c r="AZ360" s="4">
        <f t="shared" si="148"/>
        <v>31</v>
      </c>
      <c r="BA360" s="4">
        <f t="shared" si="149"/>
        <v>11</v>
      </c>
    </row>
    <row r="361" spans="1:53" x14ac:dyDescent="0.2">
      <c r="A361" s="1" t="str">
        <f>'SegEnds_NonXtal_Prot#'!A363</f>
        <v>grm2_human</v>
      </c>
      <c r="B361" s="1" t="str">
        <f t="shared" si="125"/>
        <v>AWAVGPVTIACLGALATLFVLGVFVRHGRELCYILLGGVFLCYCMTFIFITAVCTLRRLGLGTAFSVCYSALLTKTNRIARIFSPASQVAICLALISGQLLIVVAWLVVERDASMLGSLAYNVLLIALCTLYAFKTEAKFIGFTMYTTCIIWLAFLPIFYVVQTTTMCVSVSLSGSVVLGCLFAPKLHIILFQPQKNVVSHRAPT</v>
      </c>
      <c r="C361" s="29" t="str">
        <f>IF(ISERROR(MATCH(A361,'SegEnds_Xtal_Prot#'!B:B, 0)), "NoXtal", "Xtal")</f>
        <v>NoXtal</v>
      </c>
      <c r="D361" s="4" t="str">
        <f>VLOOKUP(A361,Classification!A:D,2,FALSE)</f>
        <v>C</v>
      </c>
      <c r="E361" s="5" t="str">
        <f>VLOOKUP(A361,Seqs!A:B,2,FALSE)</f>
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</c>
      <c r="F361" s="5" t="str">
        <f t="shared" si="126"/>
        <v>AWAVGPVTIACLGALATLFVLGVFVRH</v>
      </c>
      <c r="G361" s="4" t="str">
        <f t="shared" si="127"/>
        <v>TPVVKAS</v>
      </c>
      <c r="H361" s="4" t="str">
        <f t="shared" si="128"/>
        <v>GRELCYILLGGVFLCYCMTFIFI</v>
      </c>
      <c r="I361" s="4" t="str">
        <f t="shared" si="129"/>
        <v/>
      </c>
      <c r="J361" s="4" t="str">
        <f t="shared" si="130"/>
        <v>TAVCTLRRLGLGTAFSVCYSALLTKTNRIARIF</v>
      </c>
      <c r="K361" s="4" t="str">
        <f t="shared" si="131"/>
        <v/>
      </c>
      <c r="L361" s="4" t="str">
        <f t="shared" si="132"/>
        <v>SPASQVAICLALISGQLLIVVAWLVVE</v>
      </c>
      <c r="M361" s="4" t="str">
        <f t="shared" si="133"/>
        <v>CNH</v>
      </c>
      <c r="N361" s="4" t="str">
        <f t="shared" si="134"/>
        <v>RDASMLGSLAYNVLLIALCTLYAFKT</v>
      </c>
      <c r="O361" s="4" t="str">
        <f t="shared" si="135"/>
        <v>EAKFIGFTMYTTCIIWLAFLPIFYV</v>
      </c>
      <c r="P361" s="4" t="str">
        <f t="shared" si="136"/>
        <v>VQTTTMCVSVSLSGSVVLGCLFAPKLHIILFQ</v>
      </c>
      <c r="Q361" s="4" t="str">
        <f t="shared" si="137"/>
        <v>PQKNVVSHRAPT</v>
      </c>
      <c r="R361" s="5">
        <f>VLOOKUP($A361,'SegEnds_NonXtal_Prot#'!$A:$AL,3,FALSE)</f>
        <v>566</v>
      </c>
      <c r="S361" s="5">
        <f>VLOOKUP($A361,'SegEnds_NonXtal_Prot#'!$A:$AL,6,FALSE)</f>
        <v>595</v>
      </c>
      <c r="T361" s="5">
        <f>VLOOKUP($A361,'SegEnds_NonXtal_Prot#'!$A:$AL,9,FALSE)</f>
        <v>602</v>
      </c>
      <c r="U361" s="5" t="str">
        <f>VLOOKUP($A361,'SegEnds_NonXtal_Prot#'!$A:$AL,12,FALSE)</f>
        <v>-</v>
      </c>
      <c r="V361" s="5">
        <f>VLOOKUP($A361,'SegEnds_NonXtal_Prot#'!$A:$AL,15,FALSE)</f>
        <v>629</v>
      </c>
      <c r="W361" s="5" t="str">
        <f>VLOOKUP($A361,'SegEnds_NonXtal_Prot#'!$A:$AL,18,FALSE)</f>
        <v>-</v>
      </c>
      <c r="X361" s="5">
        <f>VLOOKUP($A361,'SegEnds_NonXtal_Prot#'!$A:$AL,21,FALSE)</f>
        <v>675</v>
      </c>
      <c r="Y361" s="5">
        <f>VLOOKUP($A361,'SegEnds_NonXtal_Prot#'!$A:$AL,24,FALSE)</f>
        <v>721</v>
      </c>
      <c r="Z361" s="5">
        <f>VLOOKUP($A361,'SegEnds_NonXtal_Prot#'!$A:$AL,27,FALSE)</f>
        <v>724</v>
      </c>
      <c r="AA361" s="5">
        <f>VLOOKUP($A361,'SegEnds_NonXtal_Prot#'!$A:$AL,30,FALSE)</f>
        <v>758</v>
      </c>
      <c r="AB361" s="5">
        <f>VLOOKUP($A361,'SegEnds_NonXtal_Prot#'!$A:$AL,33,FALSE)</f>
        <v>789</v>
      </c>
      <c r="AC361" s="5">
        <f>VLOOKUP($A361,'SegEnds_NonXtal_Prot#'!$A:$AL,36,FALSE)</f>
        <v>821</v>
      </c>
      <c r="AD361" s="5">
        <f>VLOOKUP($A361,'SegEnds_NonXtal_Prot#'!$A:$AL,5,FALSE)</f>
        <v>592</v>
      </c>
      <c r="AE361" s="5">
        <f>VLOOKUP($A361,'SegEnds_NonXtal_Prot#'!$A:$AL,8,FALSE)</f>
        <v>601</v>
      </c>
      <c r="AF361" s="5">
        <f>VLOOKUP($A361,'SegEnds_NonXtal_Prot#'!$A:$AL,11,FALSE)</f>
        <v>624</v>
      </c>
      <c r="AG361" s="5" t="str">
        <f>VLOOKUP($A361,'SegEnds_NonXtal_Prot#'!$A:$AL,14,FALSE)</f>
        <v>-</v>
      </c>
      <c r="AH361" s="5">
        <f>VLOOKUP($A361,'SegEnds_NonXtal_Prot#'!$A:$AL,17,FALSE)</f>
        <v>661</v>
      </c>
      <c r="AI361" s="5" t="str">
        <f>VLOOKUP($A361,'SegEnds_NonXtal_Prot#'!$A:$AL,20,FALSE)</f>
        <v>-</v>
      </c>
      <c r="AJ361" s="5">
        <f>VLOOKUP($A361,'SegEnds_NonXtal_Prot#'!$A:$AL,23,FALSE)</f>
        <v>701</v>
      </c>
      <c r="AK361" s="5">
        <f>VLOOKUP($A361,'SegEnds_NonXtal_Prot#'!$A:$AL,26,FALSE)</f>
        <v>723</v>
      </c>
      <c r="AL361" s="5">
        <f>VLOOKUP($A361,'SegEnds_NonXtal_Prot#'!$A:$AL,29,FALSE)</f>
        <v>749</v>
      </c>
      <c r="AM361" s="5">
        <f>VLOOKUP($A361,'SegEnds_NonXtal_Prot#'!$A:$AL,32,FALSE)</f>
        <v>782</v>
      </c>
      <c r="AN361" s="5">
        <f>VLOOKUP($A361,'SegEnds_NonXtal_Prot#'!$A:$AL,35,FALSE)</f>
        <v>820</v>
      </c>
      <c r="AO361" s="5">
        <f>VLOOKUP($A361,'SegEnds_NonXtal_Prot#'!$A:$AL,38,FALSE)</f>
        <v>832</v>
      </c>
      <c r="AP361" s="5">
        <f t="shared" si="138"/>
        <v>26</v>
      </c>
      <c r="AQ361" s="4">
        <f t="shared" si="139"/>
        <v>6</v>
      </c>
      <c r="AR361" s="4">
        <f t="shared" si="140"/>
        <v>22</v>
      </c>
      <c r="AS361" s="4" t="str">
        <f t="shared" si="141"/>
        <v>-</v>
      </c>
      <c r="AT361" s="4">
        <f t="shared" si="142"/>
        <v>32</v>
      </c>
      <c r="AU361" s="4" t="str">
        <f t="shared" si="143"/>
        <v>-</v>
      </c>
      <c r="AV361" s="4">
        <f t="shared" si="144"/>
        <v>26</v>
      </c>
      <c r="AW361" s="4">
        <f t="shared" si="145"/>
        <v>2</v>
      </c>
      <c r="AX361" s="4">
        <f t="shared" si="146"/>
        <v>25</v>
      </c>
      <c r="AY361" s="4">
        <f t="shared" si="147"/>
        <v>24</v>
      </c>
      <c r="AZ361" s="4">
        <f t="shared" si="148"/>
        <v>31</v>
      </c>
      <c r="BA361" s="4">
        <f t="shared" si="149"/>
        <v>11</v>
      </c>
    </row>
    <row r="362" spans="1:53" x14ac:dyDescent="0.2">
      <c r="A362" s="1" t="str">
        <f>'SegEnds_NonXtal_Prot#'!A364</f>
        <v>grm3_human</v>
      </c>
      <c r="B362" s="1" t="str">
        <f t="shared" si="125"/>
        <v>AWAIGPVTIACLGFMCTCMVVTVFIKHGRELCYILLFGVGLSYCMTFFFISPVICALRRLGLGSSFAICYSALLTKTNCIARIFSPSSQVFICLGLILVQIVMVSVWLILEKDSSMLISLTYDVILVILCTVYAFKTEAKFIGFTMYTTCIIWLAFLPIFYVVQTTTMCISVSLSGFVVLGCLFAPKVHIILFQPQKNVVTHRLHL</v>
      </c>
      <c r="C362" s="29" t="str">
        <f>IF(ISERROR(MATCH(A362,'SegEnds_Xtal_Prot#'!B:B, 0)), "NoXtal", "Xtal")</f>
        <v>NoXtal</v>
      </c>
      <c r="D362" s="4" t="str">
        <f>VLOOKUP(A362,Classification!A:D,2,FALSE)</f>
        <v>C</v>
      </c>
      <c r="E362" s="5" t="str">
        <f>VLOOKUP(A362,Seqs!A:B,2,FALSE)</f>
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</c>
      <c r="F362" s="5" t="str">
        <f t="shared" si="126"/>
        <v>AWAIGPVTIACLGFMCTCMVVTVFIKH</v>
      </c>
      <c r="G362" s="4" t="str">
        <f t="shared" si="127"/>
        <v>TPLVKAS</v>
      </c>
      <c r="H362" s="4" t="str">
        <f t="shared" si="128"/>
        <v>GRELCYILLFGVGLSYCMTFFFI</v>
      </c>
      <c r="I362" s="4" t="str">
        <f t="shared" si="129"/>
        <v/>
      </c>
      <c r="J362" s="4" t="str">
        <f t="shared" si="130"/>
        <v>SPVICALRRLGLGSSFAICYSALLTKTNCIARIF</v>
      </c>
      <c r="K362" s="4" t="str">
        <f t="shared" si="131"/>
        <v/>
      </c>
      <c r="L362" s="4" t="str">
        <f t="shared" si="132"/>
        <v>SPSSQVFICLGLILVQIVMVSVWLILE</v>
      </c>
      <c r="M362" s="4" t="str">
        <f t="shared" si="133"/>
        <v>CNV</v>
      </c>
      <c r="N362" s="4" t="str">
        <f t="shared" si="134"/>
        <v>KDSSMLISLTYDVILVILCTVYAFKT</v>
      </c>
      <c r="O362" s="4" t="str">
        <f t="shared" si="135"/>
        <v>EAKFIGFTMYTTCIIWLAFLPIFYV</v>
      </c>
      <c r="P362" s="4" t="str">
        <f t="shared" si="136"/>
        <v>VQTTTMCISVSLSGFVVLGCLFAPKVHIILFQ</v>
      </c>
      <c r="Q362" s="4" t="str">
        <f t="shared" si="137"/>
        <v>PQKNVVTHRLHL</v>
      </c>
      <c r="R362" s="5">
        <f>VLOOKUP($A362,'SegEnds_NonXtal_Prot#'!$A:$AL,3,FALSE)</f>
        <v>575</v>
      </c>
      <c r="S362" s="5">
        <f>VLOOKUP($A362,'SegEnds_NonXtal_Prot#'!$A:$AL,6,FALSE)</f>
        <v>604</v>
      </c>
      <c r="T362" s="5">
        <f>VLOOKUP($A362,'SegEnds_NonXtal_Prot#'!$A:$AL,9,FALSE)</f>
        <v>611</v>
      </c>
      <c r="U362" s="5" t="str">
        <f>VLOOKUP($A362,'SegEnds_NonXtal_Prot#'!$A:$AL,12,FALSE)</f>
        <v>-</v>
      </c>
      <c r="V362" s="5">
        <f>VLOOKUP($A362,'SegEnds_NonXtal_Prot#'!$A:$AL,15,FALSE)</f>
        <v>637</v>
      </c>
      <c r="W362" s="5" t="str">
        <f>VLOOKUP($A362,'SegEnds_NonXtal_Prot#'!$A:$AL,18,FALSE)</f>
        <v>-</v>
      </c>
      <c r="X362" s="5">
        <f>VLOOKUP($A362,'SegEnds_NonXtal_Prot#'!$A:$AL,21,FALSE)</f>
        <v>684</v>
      </c>
      <c r="Y362" s="5">
        <f>VLOOKUP($A362,'SegEnds_NonXtal_Prot#'!$A:$AL,24,FALSE)</f>
        <v>730</v>
      </c>
      <c r="Z362" s="5">
        <f>VLOOKUP($A362,'SegEnds_NonXtal_Prot#'!$A:$AL,27,FALSE)</f>
        <v>733</v>
      </c>
      <c r="AA362" s="5">
        <f>VLOOKUP($A362,'SegEnds_NonXtal_Prot#'!$A:$AL,30,FALSE)</f>
        <v>767</v>
      </c>
      <c r="AB362" s="5">
        <f>VLOOKUP($A362,'SegEnds_NonXtal_Prot#'!$A:$AL,33,FALSE)</f>
        <v>798</v>
      </c>
      <c r="AC362" s="5">
        <f>VLOOKUP($A362,'SegEnds_NonXtal_Prot#'!$A:$AL,36,FALSE)</f>
        <v>830</v>
      </c>
      <c r="AD362" s="5">
        <f>VLOOKUP($A362,'SegEnds_NonXtal_Prot#'!$A:$AL,5,FALSE)</f>
        <v>601</v>
      </c>
      <c r="AE362" s="5">
        <f>VLOOKUP($A362,'SegEnds_NonXtal_Prot#'!$A:$AL,8,FALSE)</f>
        <v>610</v>
      </c>
      <c r="AF362" s="5">
        <f>VLOOKUP($A362,'SegEnds_NonXtal_Prot#'!$A:$AL,11,FALSE)</f>
        <v>633</v>
      </c>
      <c r="AG362" s="5" t="str">
        <f>VLOOKUP($A362,'SegEnds_NonXtal_Prot#'!$A:$AL,14,FALSE)</f>
        <v>-</v>
      </c>
      <c r="AH362" s="5">
        <f>VLOOKUP($A362,'SegEnds_NonXtal_Prot#'!$A:$AL,17,FALSE)</f>
        <v>670</v>
      </c>
      <c r="AI362" s="5" t="str">
        <f>VLOOKUP($A362,'SegEnds_NonXtal_Prot#'!$A:$AL,20,FALSE)</f>
        <v>-</v>
      </c>
      <c r="AJ362" s="5">
        <f>VLOOKUP($A362,'SegEnds_NonXtal_Prot#'!$A:$AL,23,FALSE)</f>
        <v>710</v>
      </c>
      <c r="AK362" s="5">
        <f>VLOOKUP($A362,'SegEnds_NonXtal_Prot#'!$A:$AL,26,FALSE)</f>
        <v>732</v>
      </c>
      <c r="AL362" s="5">
        <f>VLOOKUP($A362,'SegEnds_NonXtal_Prot#'!$A:$AL,29,FALSE)</f>
        <v>758</v>
      </c>
      <c r="AM362" s="5">
        <f>VLOOKUP($A362,'SegEnds_NonXtal_Prot#'!$A:$AL,32,FALSE)</f>
        <v>791</v>
      </c>
      <c r="AN362" s="5">
        <f>VLOOKUP($A362,'SegEnds_NonXtal_Prot#'!$A:$AL,35,FALSE)</f>
        <v>829</v>
      </c>
      <c r="AO362" s="5">
        <f>VLOOKUP($A362,'SegEnds_NonXtal_Prot#'!$A:$AL,38,FALSE)</f>
        <v>841</v>
      </c>
      <c r="AP362" s="5">
        <f t="shared" si="138"/>
        <v>26</v>
      </c>
      <c r="AQ362" s="4">
        <f t="shared" si="139"/>
        <v>6</v>
      </c>
      <c r="AR362" s="4">
        <f t="shared" si="140"/>
        <v>22</v>
      </c>
      <c r="AS362" s="4" t="str">
        <f t="shared" si="141"/>
        <v>-</v>
      </c>
      <c r="AT362" s="4">
        <f t="shared" si="142"/>
        <v>33</v>
      </c>
      <c r="AU362" s="4" t="str">
        <f t="shared" si="143"/>
        <v>-</v>
      </c>
      <c r="AV362" s="4">
        <f t="shared" si="144"/>
        <v>26</v>
      </c>
      <c r="AW362" s="4">
        <f t="shared" si="145"/>
        <v>2</v>
      </c>
      <c r="AX362" s="4">
        <f t="shared" si="146"/>
        <v>25</v>
      </c>
      <c r="AY362" s="4">
        <f t="shared" si="147"/>
        <v>24</v>
      </c>
      <c r="AZ362" s="4">
        <f t="shared" si="148"/>
        <v>31</v>
      </c>
      <c r="BA362" s="4">
        <f t="shared" si="149"/>
        <v>11</v>
      </c>
    </row>
    <row r="363" spans="1:53" x14ac:dyDescent="0.2">
      <c r="A363" s="1" t="str">
        <f>'SegEnds_NonXtal_Prot#'!A365</f>
        <v>grm4_human</v>
      </c>
      <c r="B363" s="1" t="str">
        <f t="shared" si="125"/>
        <v>PWAVLPLFLAVVGIAATLFVVITFVRYGRELSYVLLAGIFLCYATTFLMIDLGTCSLRRIFLGLGMSISYAALLTKTNRIYRIFSPASQLAITFSLISLQLLGICVWFVVDSDLSLICLLGYSMLLMVTCTVYAIKTEAKPIGFTMYTTCIVWLAFIPIFFGIQTTTLTVSVSLSASVSLGMLYMPKVYIILFHPEQNVPKRKRSL</v>
      </c>
      <c r="C363" s="29" t="str">
        <f>IF(ISERROR(MATCH(A363,'SegEnds_Xtal_Prot#'!B:B, 0)), "NoXtal", "Xtal")</f>
        <v>NoXtal</v>
      </c>
      <c r="D363" s="4" t="str">
        <f>VLOOKUP(A363,Classification!A:D,2,FALSE)</f>
        <v>C</v>
      </c>
      <c r="E363" s="5" t="str">
        <f>VLOOKUP(A363,Seqs!A:B,2,FALSE)</f>
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</c>
      <c r="F363" s="5" t="str">
        <f t="shared" si="126"/>
        <v>PWAVLPLFLAVVGIAATLFVVITFVRY</v>
      </c>
      <c r="G363" s="4" t="str">
        <f t="shared" si="127"/>
        <v>TPIVKAS</v>
      </c>
      <c r="H363" s="4" t="str">
        <f t="shared" si="128"/>
        <v>GRELSYVLLAGIFLCYATTFLMI</v>
      </c>
      <c r="I363" s="4" t="str">
        <f t="shared" si="129"/>
        <v/>
      </c>
      <c r="J363" s="4" t="str">
        <f t="shared" si="130"/>
        <v>DLGTCSLRRIFLGLGMSISYAALLTKTNRIYRIF</v>
      </c>
      <c r="K363" s="4" t="str">
        <f t="shared" si="131"/>
        <v/>
      </c>
      <c r="L363" s="4" t="str">
        <f t="shared" si="132"/>
        <v>SPASQLAITFSLISLQLLGICVWFVVD</v>
      </c>
      <c r="M363" s="4" t="str">
        <f t="shared" si="133"/>
        <v>CDI</v>
      </c>
      <c r="N363" s="4" t="str">
        <f t="shared" si="134"/>
        <v>SDLSLICLLGYSMLLMVTCTVYAIKT</v>
      </c>
      <c r="O363" s="4" t="str">
        <f t="shared" si="135"/>
        <v>EAKPIGFTMYTTCIVWLAFIPIFFG</v>
      </c>
      <c r="P363" s="4" t="str">
        <f t="shared" si="136"/>
        <v>IQTTTLTVSVSLSASVSLGMLYMPKVYIILFH</v>
      </c>
      <c r="Q363" s="4" t="str">
        <f t="shared" si="137"/>
        <v>PEQNVPKRKRSL</v>
      </c>
      <c r="R363" s="5">
        <f>VLOOKUP($A363,'SegEnds_NonXtal_Prot#'!$A:$AL,3,FALSE)</f>
        <v>586</v>
      </c>
      <c r="S363" s="5">
        <f>VLOOKUP($A363,'SegEnds_NonXtal_Prot#'!$A:$AL,6,FALSE)</f>
        <v>615</v>
      </c>
      <c r="T363" s="5">
        <f>VLOOKUP($A363,'SegEnds_NonXtal_Prot#'!$A:$AL,9,FALSE)</f>
        <v>622</v>
      </c>
      <c r="U363" s="5" t="str">
        <f>VLOOKUP($A363,'SegEnds_NonXtal_Prot#'!$A:$AL,12,FALSE)</f>
        <v>-</v>
      </c>
      <c r="V363" s="5">
        <f>VLOOKUP($A363,'SegEnds_NonXtal_Prot#'!$A:$AL,15,FALSE)</f>
        <v>648</v>
      </c>
      <c r="W363" s="5" t="str">
        <f>VLOOKUP($A363,'SegEnds_NonXtal_Prot#'!$A:$AL,18,FALSE)</f>
        <v>-</v>
      </c>
      <c r="X363" s="5">
        <f>VLOOKUP($A363,'SegEnds_NonXtal_Prot#'!$A:$AL,21,FALSE)</f>
        <v>695</v>
      </c>
      <c r="Y363" s="5">
        <f>VLOOKUP($A363,'SegEnds_NonXtal_Prot#'!$A:$AL,24,FALSE)</f>
        <v>746</v>
      </c>
      <c r="Z363" s="5">
        <f>VLOOKUP($A363,'SegEnds_NonXtal_Prot#'!$A:$AL,27,FALSE)</f>
        <v>749</v>
      </c>
      <c r="AA363" s="5">
        <f>VLOOKUP($A363,'SegEnds_NonXtal_Prot#'!$A:$AL,30,FALSE)</f>
        <v>783</v>
      </c>
      <c r="AB363" s="5">
        <f>VLOOKUP($A363,'SegEnds_NonXtal_Prot#'!$A:$AL,33,FALSE)</f>
        <v>817</v>
      </c>
      <c r="AC363" s="5">
        <f>VLOOKUP($A363,'SegEnds_NonXtal_Prot#'!$A:$AL,36,FALSE)</f>
        <v>849</v>
      </c>
      <c r="AD363" s="5">
        <f>VLOOKUP($A363,'SegEnds_NonXtal_Prot#'!$A:$AL,5,FALSE)</f>
        <v>612</v>
      </c>
      <c r="AE363" s="5">
        <f>VLOOKUP($A363,'SegEnds_NonXtal_Prot#'!$A:$AL,8,FALSE)</f>
        <v>621</v>
      </c>
      <c r="AF363" s="5">
        <f>VLOOKUP($A363,'SegEnds_NonXtal_Prot#'!$A:$AL,11,FALSE)</f>
        <v>644</v>
      </c>
      <c r="AG363" s="5" t="str">
        <f>VLOOKUP($A363,'SegEnds_NonXtal_Prot#'!$A:$AL,14,FALSE)</f>
        <v>-</v>
      </c>
      <c r="AH363" s="5">
        <f>VLOOKUP($A363,'SegEnds_NonXtal_Prot#'!$A:$AL,17,FALSE)</f>
        <v>681</v>
      </c>
      <c r="AI363" s="5" t="str">
        <f>VLOOKUP($A363,'SegEnds_NonXtal_Prot#'!$A:$AL,20,FALSE)</f>
        <v>-</v>
      </c>
      <c r="AJ363" s="5">
        <f>VLOOKUP($A363,'SegEnds_NonXtal_Prot#'!$A:$AL,23,FALSE)</f>
        <v>721</v>
      </c>
      <c r="AK363" s="5">
        <f>VLOOKUP($A363,'SegEnds_NonXtal_Prot#'!$A:$AL,26,FALSE)</f>
        <v>748</v>
      </c>
      <c r="AL363" s="5">
        <f>VLOOKUP($A363,'SegEnds_NonXtal_Prot#'!$A:$AL,29,FALSE)</f>
        <v>774</v>
      </c>
      <c r="AM363" s="5">
        <f>VLOOKUP($A363,'SegEnds_NonXtal_Prot#'!$A:$AL,32,FALSE)</f>
        <v>807</v>
      </c>
      <c r="AN363" s="5">
        <f>VLOOKUP($A363,'SegEnds_NonXtal_Prot#'!$A:$AL,35,FALSE)</f>
        <v>848</v>
      </c>
      <c r="AO363" s="5">
        <f>VLOOKUP($A363,'SegEnds_NonXtal_Prot#'!$A:$AL,38,FALSE)</f>
        <v>860</v>
      </c>
      <c r="AP363" s="5">
        <f t="shared" si="138"/>
        <v>26</v>
      </c>
      <c r="AQ363" s="4">
        <f t="shared" si="139"/>
        <v>6</v>
      </c>
      <c r="AR363" s="4">
        <f t="shared" si="140"/>
        <v>22</v>
      </c>
      <c r="AS363" s="4" t="str">
        <f t="shared" si="141"/>
        <v>-</v>
      </c>
      <c r="AT363" s="4">
        <f t="shared" si="142"/>
        <v>33</v>
      </c>
      <c r="AU363" s="4" t="str">
        <f t="shared" si="143"/>
        <v>-</v>
      </c>
      <c r="AV363" s="4">
        <f t="shared" si="144"/>
        <v>26</v>
      </c>
      <c r="AW363" s="4">
        <f t="shared" si="145"/>
        <v>2</v>
      </c>
      <c r="AX363" s="4">
        <f t="shared" si="146"/>
        <v>25</v>
      </c>
      <c r="AY363" s="4">
        <f t="shared" si="147"/>
        <v>24</v>
      </c>
      <c r="AZ363" s="4">
        <f t="shared" si="148"/>
        <v>31</v>
      </c>
      <c r="BA363" s="4">
        <f t="shared" si="149"/>
        <v>11</v>
      </c>
    </row>
    <row r="364" spans="1:53" x14ac:dyDescent="0.2">
      <c r="A364" s="1" t="str">
        <f>'SegEnds_NonXtal_Prot#'!A366</f>
        <v>grm5_human</v>
      </c>
      <c r="B364" s="1" t="str">
        <f t="shared" si="125"/>
        <v>PEPIAAVVFACLGLLATLFVTVVFIIYSRELCYIILAGICLGYLCTFCLIKQIYCYLQRIGIGLSPAMSYSALVTKTNRIARILSACAQLVIAFILICIQLGIIVALFIMETNLGVVTPLGYNGLLILSCTFYAFKTEAKYIAFTMYTTCIIWLAFVPIYFGYKIITMCFSVSLSATVALGCMFVPKVYIILAKPERNVRSAFTTS</v>
      </c>
      <c r="C364" s="29" t="str">
        <f>IF(ISERROR(MATCH(A364,'SegEnds_Xtal_Prot#'!B:B, 0)), "NoXtal", "Xtal")</f>
        <v>Xtal</v>
      </c>
      <c r="D364" s="4" t="str">
        <f>VLOOKUP(A364,Classification!A:D,2,FALSE)</f>
        <v>C</v>
      </c>
      <c r="E364" s="5" t="str">
        <f>VLOOKUP(A364,Seqs!A:B,2,FALSE)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F364" s="5" t="str">
        <f t="shared" si="126"/>
        <v>PEPIAAVVFACLGLLATLFVTVVFIIY</v>
      </c>
      <c r="G364" s="4" t="str">
        <f t="shared" si="127"/>
        <v>TPVVKSS</v>
      </c>
      <c r="H364" s="4" t="str">
        <f t="shared" si="128"/>
        <v>SRELCYIILAGICLGYLCTFCLI</v>
      </c>
      <c r="I364" s="4" t="str">
        <f t="shared" si="129"/>
        <v/>
      </c>
      <c r="J364" s="4" t="str">
        <f t="shared" si="130"/>
        <v>KQIYCYLQRIGIGLSPAMSYSALVTKTNRIARIL</v>
      </c>
      <c r="K364" s="4" t="str">
        <f t="shared" si="131"/>
        <v/>
      </c>
      <c r="L364" s="4" t="str">
        <f t="shared" si="132"/>
        <v>SACAQLVIAFILICIQLGIIVALFIME</v>
      </c>
      <c r="M364" s="4" t="str">
        <f t="shared" si="133"/>
        <v>CNT</v>
      </c>
      <c r="N364" s="4" t="str">
        <f t="shared" si="134"/>
        <v>TNLGVVTPLGYNGLLILSCTFYAFKT</v>
      </c>
      <c r="O364" s="4" t="str">
        <f t="shared" si="135"/>
        <v>EAKYIAFTMYTTCIIWLAFVPIYFG</v>
      </c>
      <c r="P364" s="4" t="str">
        <f t="shared" si="136"/>
        <v>YKIITMCFSVSLSATVALGCMFVPKVYIILAK</v>
      </c>
      <c r="Q364" s="4" t="str">
        <f t="shared" si="137"/>
        <v>PERNVRSAFTTS</v>
      </c>
      <c r="R364" s="5">
        <f>VLOOKUP($A364,'SegEnds_NonXtal_Prot#'!$A:$AL,3,FALSE)</f>
        <v>578</v>
      </c>
      <c r="S364" s="5">
        <f>VLOOKUP($A364,'SegEnds_NonXtal_Prot#'!$A:$AL,6,FALSE)</f>
        <v>607</v>
      </c>
      <c r="T364" s="5">
        <f>VLOOKUP($A364,'SegEnds_NonXtal_Prot#'!$A:$AL,9,FALSE)</f>
        <v>614</v>
      </c>
      <c r="U364" s="5" t="str">
        <f>VLOOKUP($A364,'SegEnds_NonXtal_Prot#'!$A:$AL,12,FALSE)</f>
        <v>-</v>
      </c>
      <c r="V364" s="5">
        <f>VLOOKUP($A364,'SegEnds_NonXtal_Prot#'!$A:$AL,15,FALSE)</f>
        <v>640</v>
      </c>
      <c r="W364" s="5" t="str">
        <f>VLOOKUP($A364,'SegEnds_NonXtal_Prot#'!$A:$AL,18,FALSE)</f>
        <v>-</v>
      </c>
      <c r="X364" s="5">
        <f>VLOOKUP($A364,'SegEnds_NonXtal_Prot#'!$A:$AL,21,FALSE)</f>
        <v>689</v>
      </c>
      <c r="Y364" s="5">
        <f>VLOOKUP($A364,'SegEnds_NonXtal_Prot#'!$A:$AL,24,FALSE)</f>
        <v>733</v>
      </c>
      <c r="Z364" s="5">
        <f>VLOOKUP($A364,'SegEnds_NonXtal_Prot#'!$A:$AL,27,FALSE)</f>
        <v>736</v>
      </c>
      <c r="AA364" s="5">
        <f>VLOOKUP($A364,'SegEnds_NonXtal_Prot#'!$A:$AL,30,FALSE)</f>
        <v>770</v>
      </c>
      <c r="AB364" s="5">
        <f>VLOOKUP($A364,'SegEnds_NonXtal_Prot#'!$A:$AL,33,FALSE)</f>
        <v>797</v>
      </c>
      <c r="AC364" s="5">
        <f>VLOOKUP($A364,'SegEnds_NonXtal_Prot#'!$A:$AL,36,FALSE)</f>
        <v>829</v>
      </c>
      <c r="AD364" s="5">
        <f>VLOOKUP($A364,'SegEnds_NonXtal_Prot#'!$A:$AL,5,FALSE)</f>
        <v>604</v>
      </c>
      <c r="AE364" s="5">
        <f>VLOOKUP($A364,'SegEnds_NonXtal_Prot#'!$A:$AL,8,FALSE)</f>
        <v>613</v>
      </c>
      <c r="AF364" s="5">
        <f>VLOOKUP($A364,'SegEnds_NonXtal_Prot#'!$A:$AL,11,FALSE)</f>
        <v>636</v>
      </c>
      <c r="AG364" s="5" t="str">
        <f>VLOOKUP($A364,'SegEnds_NonXtal_Prot#'!$A:$AL,14,FALSE)</f>
        <v>-</v>
      </c>
      <c r="AH364" s="5">
        <f>VLOOKUP($A364,'SegEnds_NonXtal_Prot#'!$A:$AL,17,FALSE)</f>
        <v>673</v>
      </c>
      <c r="AI364" s="5" t="str">
        <f>VLOOKUP($A364,'SegEnds_NonXtal_Prot#'!$A:$AL,20,FALSE)</f>
        <v>-</v>
      </c>
      <c r="AJ364" s="5">
        <f>VLOOKUP($A364,'SegEnds_NonXtal_Prot#'!$A:$AL,23,FALSE)</f>
        <v>715</v>
      </c>
      <c r="AK364" s="5">
        <f>VLOOKUP($A364,'SegEnds_NonXtal_Prot#'!$A:$AL,26,FALSE)</f>
        <v>735</v>
      </c>
      <c r="AL364" s="5">
        <f>VLOOKUP($A364,'SegEnds_NonXtal_Prot#'!$A:$AL,29,FALSE)</f>
        <v>761</v>
      </c>
      <c r="AM364" s="5">
        <f>VLOOKUP($A364,'SegEnds_NonXtal_Prot#'!$A:$AL,32,FALSE)</f>
        <v>794</v>
      </c>
      <c r="AN364" s="5">
        <f>VLOOKUP($A364,'SegEnds_NonXtal_Prot#'!$A:$AL,35,FALSE)</f>
        <v>828</v>
      </c>
      <c r="AO364" s="5">
        <f>VLOOKUP($A364,'SegEnds_NonXtal_Prot#'!$A:$AL,38,FALSE)</f>
        <v>840</v>
      </c>
      <c r="AP364" s="5">
        <f t="shared" si="138"/>
        <v>26</v>
      </c>
      <c r="AQ364" s="4">
        <f t="shared" si="139"/>
        <v>6</v>
      </c>
      <c r="AR364" s="4">
        <f t="shared" si="140"/>
        <v>22</v>
      </c>
      <c r="AS364" s="4" t="str">
        <f t="shared" si="141"/>
        <v>-</v>
      </c>
      <c r="AT364" s="4">
        <f t="shared" si="142"/>
        <v>33</v>
      </c>
      <c r="AU364" s="4" t="str">
        <f t="shared" si="143"/>
        <v>-</v>
      </c>
      <c r="AV364" s="4">
        <f t="shared" si="144"/>
        <v>26</v>
      </c>
      <c r="AW364" s="4">
        <f t="shared" si="145"/>
        <v>2</v>
      </c>
      <c r="AX364" s="4">
        <f t="shared" si="146"/>
        <v>25</v>
      </c>
      <c r="AY364" s="4">
        <f t="shared" si="147"/>
        <v>24</v>
      </c>
      <c r="AZ364" s="4">
        <f t="shared" si="148"/>
        <v>31</v>
      </c>
      <c r="BA364" s="4">
        <f t="shared" si="149"/>
        <v>11</v>
      </c>
    </row>
    <row r="365" spans="1:53" x14ac:dyDescent="0.2">
      <c r="A365" s="1" t="str">
        <f>'SegEnds_NonXtal_Prot#'!A367</f>
        <v>grm6_human</v>
      </c>
      <c r="B365" s="1" t="str">
        <f t="shared" si="125"/>
        <v>PWAAPPLLLAVLGIVATTTVVATFVRYGRELSYVLLTGIFLIYAITFLMVGAAVCAARRLFLGLGTTLSYSALLTKTNRIYRIFSPTSQLVITFSLTSLQVVGMIAWLGARSDLSLIGCLGYSLLLMVTCTVYAIKAEAKPIGFTMYTTCIIWLAFVPIFFGIQTTTLTVSLSLSASVSLGMLYVPKTYVILFHPEQNVQKRKRSL</v>
      </c>
      <c r="C365" s="29" t="str">
        <f>IF(ISERROR(MATCH(A365,'SegEnds_Xtal_Prot#'!B:B, 0)), "NoXtal", "Xtal")</f>
        <v>NoXtal</v>
      </c>
      <c r="D365" s="4" t="str">
        <f>VLOOKUP(A365,Classification!A:D,2,FALSE)</f>
        <v>C</v>
      </c>
      <c r="E365" s="5" t="str">
        <f>VLOOKUP(A365,Seqs!A:B,2,FALSE)</f>
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</c>
      <c r="F365" s="5" t="str">
        <f t="shared" si="126"/>
        <v>PWAAPPLLLAVLGIVATTTVVATFVRY</v>
      </c>
      <c r="G365" s="4" t="str">
        <f t="shared" si="127"/>
        <v>TPIVRAS</v>
      </c>
      <c r="H365" s="4" t="str">
        <f t="shared" si="128"/>
        <v>GRELSYVLLTGIFLIYAITFLMV</v>
      </c>
      <c r="I365" s="4" t="str">
        <f t="shared" si="129"/>
        <v/>
      </c>
      <c r="J365" s="4" t="str">
        <f t="shared" si="130"/>
        <v>GAAVCAARRLFLGLGTTLSYSALLTKTNRIYRIF</v>
      </c>
      <c r="K365" s="4" t="str">
        <f t="shared" si="131"/>
        <v/>
      </c>
      <c r="L365" s="4" t="str">
        <f t="shared" si="132"/>
        <v>SPTSQLVITFSLTSLQVVGMIAWLGAR</v>
      </c>
      <c r="M365" s="4" t="str">
        <f t="shared" si="133"/>
        <v>CDM</v>
      </c>
      <c r="N365" s="4" t="str">
        <f t="shared" si="134"/>
        <v>SDLSLIGCLGYSLLLMVTCTVYAIKA</v>
      </c>
      <c r="O365" s="4" t="str">
        <f t="shared" si="135"/>
        <v>EAKPIGFTMYTTCIIWLAFVPIFFG</v>
      </c>
      <c r="P365" s="4" t="str">
        <f t="shared" si="136"/>
        <v>IQTTTLTVSLSLSASVSLGMLYVPKTYVILFH</v>
      </c>
      <c r="Q365" s="4" t="str">
        <f t="shared" si="137"/>
        <v>PEQNVQKRKRSL</v>
      </c>
      <c r="R365" s="5">
        <f>VLOOKUP($A365,'SegEnds_NonXtal_Prot#'!$A:$AL,3,FALSE)</f>
        <v>584</v>
      </c>
      <c r="S365" s="5">
        <f>VLOOKUP($A365,'SegEnds_NonXtal_Prot#'!$A:$AL,6,FALSE)</f>
        <v>613</v>
      </c>
      <c r="T365" s="5">
        <f>VLOOKUP($A365,'SegEnds_NonXtal_Prot#'!$A:$AL,9,FALSE)</f>
        <v>620</v>
      </c>
      <c r="U365" s="5" t="str">
        <f>VLOOKUP($A365,'SegEnds_NonXtal_Prot#'!$A:$AL,12,FALSE)</f>
        <v>-</v>
      </c>
      <c r="V365" s="5">
        <f>VLOOKUP($A365,'SegEnds_NonXtal_Prot#'!$A:$AL,15,FALSE)</f>
        <v>646</v>
      </c>
      <c r="W365" s="5" t="str">
        <f>VLOOKUP($A365,'SegEnds_NonXtal_Prot#'!$A:$AL,18,FALSE)</f>
        <v>-</v>
      </c>
      <c r="X365" s="5">
        <f>VLOOKUP($A365,'SegEnds_NonXtal_Prot#'!$A:$AL,21,FALSE)</f>
        <v>693</v>
      </c>
      <c r="Y365" s="5">
        <f>VLOOKUP($A365,'SegEnds_NonXtal_Prot#'!$A:$AL,24,FALSE)</f>
        <v>744</v>
      </c>
      <c r="Z365" s="5">
        <f>VLOOKUP($A365,'SegEnds_NonXtal_Prot#'!$A:$AL,27,FALSE)</f>
        <v>747</v>
      </c>
      <c r="AA365" s="5">
        <f>VLOOKUP($A365,'SegEnds_NonXtal_Prot#'!$A:$AL,30,FALSE)</f>
        <v>781</v>
      </c>
      <c r="AB365" s="5">
        <f>VLOOKUP($A365,'SegEnds_NonXtal_Prot#'!$A:$AL,33,FALSE)</f>
        <v>815</v>
      </c>
      <c r="AC365" s="5">
        <f>VLOOKUP($A365,'SegEnds_NonXtal_Prot#'!$A:$AL,36,FALSE)</f>
        <v>847</v>
      </c>
      <c r="AD365" s="5">
        <f>VLOOKUP($A365,'SegEnds_NonXtal_Prot#'!$A:$AL,5,FALSE)</f>
        <v>610</v>
      </c>
      <c r="AE365" s="5">
        <f>VLOOKUP($A365,'SegEnds_NonXtal_Prot#'!$A:$AL,8,FALSE)</f>
        <v>619</v>
      </c>
      <c r="AF365" s="5">
        <f>VLOOKUP($A365,'SegEnds_NonXtal_Prot#'!$A:$AL,11,FALSE)</f>
        <v>642</v>
      </c>
      <c r="AG365" s="5" t="str">
        <f>VLOOKUP($A365,'SegEnds_NonXtal_Prot#'!$A:$AL,14,FALSE)</f>
        <v>-</v>
      </c>
      <c r="AH365" s="5">
        <f>VLOOKUP($A365,'SegEnds_NonXtal_Prot#'!$A:$AL,17,FALSE)</f>
        <v>679</v>
      </c>
      <c r="AI365" s="5" t="str">
        <f>VLOOKUP($A365,'SegEnds_NonXtal_Prot#'!$A:$AL,20,FALSE)</f>
        <v>-</v>
      </c>
      <c r="AJ365" s="5">
        <f>VLOOKUP($A365,'SegEnds_NonXtal_Prot#'!$A:$AL,23,FALSE)</f>
        <v>719</v>
      </c>
      <c r="AK365" s="5">
        <f>VLOOKUP($A365,'SegEnds_NonXtal_Prot#'!$A:$AL,26,FALSE)</f>
        <v>746</v>
      </c>
      <c r="AL365" s="5">
        <f>VLOOKUP($A365,'SegEnds_NonXtal_Prot#'!$A:$AL,29,FALSE)</f>
        <v>772</v>
      </c>
      <c r="AM365" s="5">
        <f>VLOOKUP($A365,'SegEnds_NonXtal_Prot#'!$A:$AL,32,FALSE)</f>
        <v>805</v>
      </c>
      <c r="AN365" s="5">
        <f>VLOOKUP($A365,'SegEnds_NonXtal_Prot#'!$A:$AL,35,FALSE)</f>
        <v>846</v>
      </c>
      <c r="AO365" s="5">
        <f>VLOOKUP($A365,'SegEnds_NonXtal_Prot#'!$A:$AL,38,FALSE)</f>
        <v>858</v>
      </c>
      <c r="AP365" s="5">
        <f t="shared" si="138"/>
        <v>26</v>
      </c>
      <c r="AQ365" s="4">
        <f t="shared" si="139"/>
        <v>6</v>
      </c>
      <c r="AR365" s="4">
        <f t="shared" si="140"/>
        <v>22</v>
      </c>
      <c r="AS365" s="4" t="str">
        <f t="shared" si="141"/>
        <v>-</v>
      </c>
      <c r="AT365" s="4">
        <f t="shared" si="142"/>
        <v>33</v>
      </c>
      <c r="AU365" s="4" t="str">
        <f t="shared" si="143"/>
        <v>-</v>
      </c>
      <c r="AV365" s="4">
        <f t="shared" si="144"/>
        <v>26</v>
      </c>
      <c r="AW365" s="4">
        <f t="shared" si="145"/>
        <v>2</v>
      </c>
      <c r="AX365" s="4">
        <f t="shared" si="146"/>
        <v>25</v>
      </c>
      <c r="AY365" s="4">
        <f t="shared" si="147"/>
        <v>24</v>
      </c>
      <c r="AZ365" s="4">
        <f t="shared" si="148"/>
        <v>31</v>
      </c>
      <c r="BA365" s="4">
        <f t="shared" si="149"/>
        <v>11</v>
      </c>
    </row>
    <row r="366" spans="1:53" x14ac:dyDescent="0.2">
      <c r="A366" s="1" t="str">
        <f>'SegEnds_NonXtal_Prot#'!A368</f>
        <v>grm7_human</v>
      </c>
      <c r="B366" s="1" t="str">
        <f t="shared" si="125"/>
        <v>PWAVIPVFLAMLGIIATIFVMATFIRYGRELSYVLLTGIFLCYIITFLMIDVAVCSFRRVFLGLGMCISYAALLTKTNRIYRIFSPTSQLAITSSLISVQLLGVFIWFGVDTDLQIICSLGYSILLMVTCTVYAIKTEAKPIGFTMYTTCIVWLAFIPIFFGIQTTTLTISMNLSASVALGMLYMPKVYIIIFHPELNVQKRKRSF</v>
      </c>
      <c r="C366" s="29" t="str">
        <f>IF(ISERROR(MATCH(A366,'SegEnds_Xtal_Prot#'!B:B, 0)), "NoXtal", "Xtal")</f>
        <v>NoXtal</v>
      </c>
      <c r="D366" s="4" t="str">
        <f>VLOOKUP(A366,Classification!A:D,2,FALSE)</f>
        <v>C</v>
      </c>
      <c r="E366" s="5" t="str">
        <f>VLOOKUP(A366,Seqs!A:B,2,FALSE)</f>
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</c>
      <c r="F366" s="5" t="str">
        <f t="shared" si="126"/>
        <v>PWAVIPVFLAMLGIIATIFVMATFIRY</v>
      </c>
      <c r="G366" s="4" t="str">
        <f t="shared" si="127"/>
        <v>TPIVRAS</v>
      </c>
      <c r="H366" s="4" t="str">
        <f t="shared" si="128"/>
        <v>GRELSYVLLTGIFLCYIITFLMI</v>
      </c>
      <c r="I366" s="4" t="str">
        <f t="shared" si="129"/>
        <v/>
      </c>
      <c r="J366" s="4" t="str">
        <f t="shared" si="130"/>
        <v>DVAVCSFRRVFLGLGMCISYAALLTKTNRIYRIF</v>
      </c>
      <c r="K366" s="4" t="str">
        <f t="shared" si="131"/>
        <v/>
      </c>
      <c r="L366" s="4" t="str">
        <f t="shared" si="132"/>
        <v>SPTSQLAITSSLISVQLLGVFIWFGVD</v>
      </c>
      <c r="M366" s="4" t="str">
        <f t="shared" si="133"/>
        <v>CDI</v>
      </c>
      <c r="N366" s="4" t="str">
        <f t="shared" si="134"/>
        <v>TDLQIICSLGYSILLMVTCTVYAIKT</v>
      </c>
      <c r="O366" s="4" t="str">
        <f t="shared" si="135"/>
        <v>EAKPIGFTMYTTCIVWLAFIPIFFG</v>
      </c>
      <c r="P366" s="4" t="str">
        <f t="shared" si="136"/>
        <v>IQTTTLTISMNLSASVALGMLYMPKVYIIIFH</v>
      </c>
      <c r="Q366" s="4" t="str">
        <f t="shared" si="137"/>
        <v>PELNVQKRKRSF</v>
      </c>
      <c r="R366" s="5">
        <f>VLOOKUP($A366,'SegEnds_NonXtal_Prot#'!$A:$AL,3,FALSE)</f>
        <v>589</v>
      </c>
      <c r="S366" s="5">
        <f>VLOOKUP($A366,'SegEnds_NonXtal_Prot#'!$A:$AL,6,FALSE)</f>
        <v>618</v>
      </c>
      <c r="T366" s="5">
        <f>VLOOKUP($A366,'SegEnds_NonXtal_Prot#'!$A:$AL,9,FALSE)</f>
        <v>625</v>
      </c>
      <c r="U366" s="5" t="str">
        <f>VLOOKUP($A366,'SegEnds_NonXtal_Prot#'!$A:$AL,12,FALSE)</f>
        <v>-</v>
      </c>
      <c r="V366" s="5">
        <f>VLOOKUP($A366,'SegEnds_NonXtal_Prot#'!$A:$AL,15,FALSE)</f>
        <v>651</v>
      </c>
      <c r="W366" s="5" t="str">
        <f>VLOOKUP($A366,'SegEnds_NonXtal_Prot#'!$A:$AL,18,FALSE)</f>
        <v>-</v>
      </c>
      <c r="X366" s="5">
        <f>VLOOKUP($A366,'SegEnds_NonXtal_Prot#'!$A:$AL,21,FALSE)</f>
        <v>698</v>
      </c>
      <c r="Y366" s="5">
        <f>VLOOKUP($A366,'SegEnds_NonXtal_Prot#'!$A:$AL,24,FALSE)</f>
        <v>749</v>
      </c>
      <c r="Z366" s="5">
        <f>VLOOKUP($A366,'SegEnds_NonXtal_Prot#'!$A:$AL,27,FALSE)</f>
        <v>752</v>
      </c>
      <c r="AA366" s="5">
        <f>VLOOKUP($A366,'SegEnds_NonXtal_Prot#'!$A:$AL,30,FALSE)</f>
        <v>786</v>
      </c>
      <c r="AB366" s="5">
        <f>VLOOKUP($A366,'SegEnds_NonXtal_Prot#'!$A:$AL,33,FALSE)</f>
        <v>820</v>
      </c>
      <c r="AC366" s="5">
        <f>VLOOKUP($A366,'SegEnds_NonXtal_Prot#'!$A:$AL,36,FALSE)</f>
        <v>852</v>
      </c>
      <c r="AD366" s="5">
        <f>VLOOKUP($A366,'SegEnds_NonXtal_Prot#'!$A:$AL,5,FALSE)</f>
        <v>615</v>
      </c>
      <c r="AE366" s="5">
        <f>VLOOKUP($A366,'SegEnds_NonXtal_Prot#'!$A:$AL,8,FALSE)</f>
        <v>624</v>
      </c>
      <c r="AF366" s="5">
        <f>VLOOKUP($A366,'SegEnds_NonXtal_Prot#'!$A:$AL,11,FALSE)</f>
        <v>647</v>
      </c>
      <c r="AG366" s="5" t="str">
        <f>VLOOKUP($A366,'SegEnds_NonXtal_Prot#'!$A:$AL,14,FALSE)</f>
        <v>-</v>
      </c>
      <c r="AH366" s="5">
        <f>VLOOKUP($A366,'SegEnds_NonXtal_Prot#'!$A:$AL,17,FALSE)</f>
        <v>684</v>
      </c>
      <c r="AI366" s="5" t="str">
        <f>VLOOKUP($A366,'SegEnds_NonXtal_Prot#'!$A:$AL,20,FALSE)</f>
        <v>-</v>
      </c>
      <c r="AJ366" s="5">
        <f>VLOOKUP($A366,'SegEnds_NonXtal_Prot#'!$A:$AL,23,FALSE)</f>
        <v>724</v>
      </c>
      <c r="AK366" s="5">
        <f>VLOOKUP($A366,'SegEnds_NonXtal_Prot#'!$A:$AL,26,FALSE)</f>
        <v>751</v>
      </c>
      <c r="AL366" s="5">
        <f>VLOOKUP($A366,'SegEnds_NonXtal_Prot#'!$A:$AL,29,FALSE)</f>
        <v>777</v>
      </c>
      <c r="AM366" s="5">
        <f>VLOOKUP($A366,'SegEnds_NonXtal_Prot#'!$A:$AL,32,FALSE)</f>
        <v>810</v>
      </c>
      <c r="AN366" s="5">
        <f>VLOOKUP($A366,'SegEnds_NonXtal_Prot#'!$A:$AL,35,FALSE)</f>
        <v>851</v>
      </c>
      <c r="AO366" s="5">
        <f>VLOOKUP($A366,'SegEnds_NonXtal_Prot#'!$A:$AL,38,FALSE)</f>
        <v>863</v>
      </c>
      <c r="AP366" s="5">
        <f t="shared" si="138"/>
        <v>26</v>
      </c>
      <c r="AQ366" s="4">
        <f t="shared" si="139"/>
        <v>6</v>
      </c>
      <c r="AR366" s="4">
        <f t="shared" si="140"/>
        <v>22</v>
      </c>
      <c r="AS366" s="4" t="str">
        <f t="shared" si="141"/>
        <v>-</v>
      </c>
      <c r="AT366" s="4">
        <f t="shared" si="142"/>
        <v>33</v>
      </c>
      <c r="AU366" s="4" t="str">
        <f t="shared" si="143"/>
        <v>-</v>
      </c>
      <c r="AV366" s="4">
        <f t="shared" si="144"/>
        <v>26</v>
      </c>
      <c r="AW366" s="4">
        <f t="shared" si="145"/>
        <v>2</v>
      </c>
      <c r="AX366" s="4">
        <f t="shared" si="146"/>
        <v>25</v>
      </c>
      <c r="AY366" s="4">
        <f t="shared" si="147"/>
        <v>24</v>
      </c>
      <c r="AZ366" s="4">
        <f t="shared" si="148"/>
        <v>31</v>
      </c>
      <c r="BA366" s="4">
        <f t="shared" si="149"/>
        <v>11</v>
      </c>
    </row>
    <row r="367" spans="1:53" x14ac:dyDescent="0.2">
      <c r="A367" s="1" t="str">
        <f>'SegEnds_NonXtal_Prot#'!A369</f>
        <v>grm8_human</v>
      </c>
      <c r="B367" s="1" t="str">
        <f t="shared" si="125"/>
        <v>PWAVVPVFVAILGIIATTFVIVTFVRYGRELSYVLLTGIFLCYSITFLMIDTIICSFRRVFLGLGMCFSYAALLTKTNRIHRIFSPASQLVITFSLISVQLLGVFVWFVVDSDLSLICSLGYSILLMVTCTVYAIKTEAKPIGFTMYTTCIIWLAFIPIFFGIQTTTLTVSMSLSASVSLGMLYMPKVYIIIFHPEQNVQKRKRSF</v>
      </c>
      <c r="C367" s="29" t="str">
        <f>IF(ISERROR(MATCH(A367,'SegEnds_Xtal_Prot#'!B:B, 0)), "NoXtal", "Xtal")</f>
        <v>NoXtal</v>
      </c>
      <c r="D367" s="4" t="str">
        <f>VLOOKUP(A367,Classification!A:D,2,FALSE)</f>
        <v>C</v>
      </c>
      <c r="E367" s="5" t="str">
        <f>VLOOKUP(A367,Seqs!A:B,2,FALSE)</f>
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</c>
      <c r="F367" s="5" t="str">
        <f t="shared" si="126"/>
        <v>PWAVVPVFVAILGIIATTFVIVTFVRY</v>
      </c>
      <c r="G367" s="4" t="str">
        <f t="shared" si="127"/>
        <v>TPIVRAS</v>
      </c>
      <c r="H367" s="4" t="str">
        <f t="shared" si="128"/>
        <v>GRELSYVLLTGIFLCYSITFLMI</v>
      </c>
      <c r="I367" s="4" t="str">
        <f t="shared" si="129"/>
        <v/>
      </c>
      <c r="J367" s="4" t="str">
        <f t="shared" si="130"/>
        <v>DTIICSFRRVFLGLGMCFSYAALLTKTNRIHRIF</v>
      </c>
      <c r="K367" s="4" t="str">
        <f t="shared" si="131"/>
        <v/>
      </c>
      <c r="L367" s="4" t="str">
        <f t="shared" si="132"/>
        <v>SPASQLVITFSLISVQLLGVFVWFVVD</v>
      </c>
      <c r="M367" s="4" t="str">
        <f t="shared" si="133"/>
        <v>CDI</v>
      </c>
      <c r="N367" s="4" t="str">
        <f t="shared" si="134"/>
        <v>SDLSLICSLGYSILLMVTCTVYAIKT</v>
      </c>
      <c r="O367" s="4" t="str">
        <f t="shared" si="135"/>
        <v>EAKPIGFTMYTTCIIWLAFIPIFFG</v>
      </c>
      <c r="P367" s="4" t="str">
        <f t="shared" si="136"/>
        <v>IQTTTLTVSMSLSASVSLGMLYMPKVYIIIFH</v>
      </c>
      <c r="Q367" s="4" t="str">
        <f t="shared" si="137"/>
        <v>PEQNVQKRKRSF</v>
      </c>
      <c r="R367" s="5">
        <f>VLOOKUP($A367,'SegEnds_NonXtal_Prot#'!$A:$AL,3,FALSE)</f>
        <v>582</v>
      </c>
      <c r="S367" s="5">
        <f>VLOOKUP($A367,'SegEnds_NonXtal_Prot#'!$A:$AL,6,FALSE)</f>
        <v>611</v>
      </c>
      <c r="T367" s="5">
        <f>VLOOKUP($A367,'SegEnds_NonXtal_Prot#'!$A:$AL,9,FALSE)</f>
        <v>618</v>
      </c>
      <c r="U367" s="5" t="str">
        <f>VLOOKUP($A367,'SegEnds_NonXtal_Prot#'!$A:$AL,12,FALSE)</f>
        <v>-</v>
      </c>
      <c r="V367" s="5">
        <f>VLOOKUP($A367,'SegEnds_NonXtal_Prot#'!$A:$AL,15,FALSE)</f>
        <v>644</v>
      </c>
      <c r="W367" s="5" t="str">
        <f>VLOOKUP($A367,'SegEnds_NonXtal_Prot#'!$A:$AL,18,FALSE)</f>
        <v>-</v>
      </c>
      <c r="X367" s="5">
        <f>VLOOKUP($A367,'SegEnds_NonXtal_Prot#'!$A:$AL,21,FALSE)</f>
        <v>691</v>
      </c>
      <c r="Y367" s="5">
        <f>VLOOKUP($A367,'SegEnds_NonXtal_Prot#'!$A:$AL,24,FALSE)</f>
        <v>742</v>
      </c>
      <c r="Z367" s="5">
        <f>VLOOKUP($A367,'SegEnds_NonXtal_Prot#'!$A:$AL,27,FALSE)</f>
        <v>745</v>
      </c>
      <c r="AA367" s="5">
        <f>VLOOKUP($A367,'SegEnds_NonXtal_Prot#'!$A:$AL,30,FALSE)</f>
        <v>779</v>
      </c>
      <c r="AB367" s="5">
        <f>VLOOKUP($A367,'SegEnds_NonXtal_Prot#'!$A:$AL,33,FALSE)</f>
        <v>813</v>
      </c>
      <c r="AC367" s="5">
        <f>VLOOKUP($A367,'SegEnds_NonXtal_Prot#'!$A:$AL,36,FALSE)</f>
        <v>845</v>
      </c>
      <c r="AD367" s="5">
        <f>VLOOKUP($A367,'SegEnds_NonXtal_Prot#'!$A:$AL,5,FALSE)</f>
        <v>608</v>
      </c>
      <c r="AE367" s="5">
        <f>VLOOKUP($A367,'SegEnds_NonXtal_Prot#'!$A:$AL,8,FALSE)</f>
        <v>617</v>
      </c>
      <c r="AF367" s="5">
        <f>VLOOKUP($A367,'SegEnds_NonXtal_Prot#'!$A:$AL,11,FALSE)</f>
        <v>640</v>
      </c>
      <c r="AG367" s="5" t="str">
        <f>VLOOKUP($A367,'SegEnds_NonXtal_Prot#'!$A:$AL,14,FALSE)</f>
        <v>-</v>
      </c>
      <c r="AH367" s="5">
        <f>VLOOKUP($A367,'SegEnds_NonXtal_Prot#'!$A:$AL,17,FALSE)</f>
        <v>677</v>
      </c>
      <c r="AI367" s="5" t="str">
        <f>VLOOKUP($A367,'SegEnds_NonXtal_Prot#'!$A:$AL,20,FALSE)</f>
        <v>-</v>
      </c>
      <c r="AJ367" s="5">
        <f>VLOOKUP($A367,'SegEnds_NonXtal_Prot#'!$A:$AL,23,FALSE)</f>
        <v>717</v>
      </c>
      <c r="AK367" s="5">
        <f>VLOOKUP($A367,'SegEnds_NonXtal_Prot#'!$A:$AL,26,FALSE)</f>
        <v>744</v>
      </c>
      <c r="AL367" s="5">
        <f>VLOOKUP($A367,'SegEnds_NonXtal_Prot#'!$A:$AL,29,FALSE)</f>
        <v>770</v>
      </c>
      <c r="AM367" s="5">
        <f>VLOOKUP($A367,'SegEnds_NonXtal_Prot#'!$A:$AL,32,FALSE)</f>
        <v>803</v>
      </c>
      <c r="AN367" s="5">
        <f>VLOOKUP($A367,'SegEnds_NonXtal_Prot#'!$A:$AL,35,FALSE)</f>
        <v>844</v>
      </c>
      <c r="AO367" s="5">
        <f>VLOOKUP($A367,'SegEnds_NonXtal_Prot#'!$A:$AL,38,FALSE)</f>
        <v>856</v>
      </c>
      <c r="AP367" s="5">
        <f t="shared" si="138"/>
        <v>26</v>
      </c>
      <c r="AQ367" s="4">
        <f t="shared" si="139"/>
        <v>6</v>
      </c>
      <c r="AR367" s="4">
        <f t="shared" si="140"/>
        <v>22</v>
      </c>
      <c r="AS367" s="4" t="str">
        <f t="shared" si="141"/>
        <v>-</v>
      </c>
      <c r="AT367" s="4">
        <f t="shared" si="142"/>
        <v>33</v>
      </c>
      <c r="AU367" s="4" t="str">
        <f t="shared" si="143"/>
        <v>-</v>
      </c>
      <c r="AV367" s="4">
        <f t="shared" si="144"/>
        <v>26</v>
      </c>
      <c r="AW367" s="4">
        <f t="shared" si="145"/>
        <v>2</v>
      </c>
      <c r="AX367" s="4">
        <f t="shared" si="146"/>
        <v>25</v>
      </c>
      <c r="AY367" s="4">
        <f t="shared" si="147"/>
        <v>24</v>
      </c>
      <c r="AZ367" s="4">
        <f t="shared" si="148"/>
        <v>31</v>
      </c>
      <c r="BA367" s="4">
        <f t="shared" si="149"/>
        <v>11</v>
      </c>
    </row>
    <row r="368" spans="1:53" x14ac:dyDescent="0.2">
      <c r="A368" s="1" t="str">
        <f>'SegEnds_NonXtal_Prot#'!A371</f>
        <v>ts1r1_human</v>
      </c>
      <c r="B368" s="1" t="str">
        <f t="shared" si="125"/>
        <v>HTSWVLLAANTLLLLLLLGTAGLFAWHGGRLCFLMLGSLAAGSGSLYGFFRPACLLRQALFALGFTIFLSCLTVRSFQLIIIFQNHGAGLFVMISSAAQLLICLTWLVVWNSLGFILAFLYNGLLSISAFACSYLGEAKCVTFSLLFNFVSWIAFFTTASVYLPAANMMAGLSSLSSGFGGYFLPKCYVILCRPDLNSTEHFQAS</v>
      </c>
      <c r="C368" s="29" t="str">
        <f>IF(ISERROR(MATCH(A368,'SegEnds_Xtal_Prot#'!B:B, 0)), "NoXtal", "Xtal")</f>
        <v>NoXtal</v>
      </c>
      <c r="D368" s="4" t="str">
        <f>VLOOKUP(A368,Classification!A:D,2,FALSE)</f>
        <v>C</v>
      </c>
      <c r="E368" s="5" t="str">
        <f>VLOOKUP(A368,Seqs!A:B,2,FALSE)</f>
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</c>
      <c r="F368" s="5" t="str">
        <f t="shared" si="126"/>
        <v>HTSWVLLAANTLLLLLLLGTAGLFAWH</v>
      </c>
      <c r="G368" s="4" t="str">
        <f t="shared" si="127"/>
        <v>TPVVRSA</v>
      </c>
      <c r="H368" s="4" t="str">
        <f t="shared" si="128"/>
        <v>GGRLCFLMLGSLAAGSGSLYGFF</v>
      </c>
      <c r="I368" s="4" t="str">
        <f t="shared" si="129"/>
        <v/>
      </c>
      <c r="J368" s="4" t="str">
        <f t="shared" si="130"/>
        <v>RPACLLRQALFALGFTIFLSCLTVRSFQLIIIF</v>
      </c>
      <c r="K368" s="4" t="str">
        <f t="shared" si="131"/>
        <v/>
      </c>
      <c r="L368" s="4" t="str">
        <f t="shared" si="132"/>
        <v>QNHGAGLFVMISSAAQLLICLTWLVVW</v>
      </c>
      <c r="M368" s="4" t="str">
        <f t="shared" si="133"/>
        <v>CTE</v>
      </c>
      <c r="N368" s="4" t="str">
        <f t="shared" si="134"/>
        <v>NSLGFILAFLYNGLLSISAFACSYLG</v>
      </c>
      <c r="O368" s="4" t="str">
        <f t="shared" si="135"/>
        <v>EAKCVTFSLLFNFVSWIAFFTTASV</v>
      </c>
      <c r="P368" s="4" t="str">
        <f t="shared" si="136"/>
        <v>YLPAANMMAGLSSLSSGFGGYFLPKCYVILCR</v>
      </c>
      <c r="Q368" s="4" t="str">
        <f t="shared" si="137"/>
        <v>PDLNSTEHFQAS</v>
      </c>
      <c r="R368" s="5">
        <f>VLOOKUP($A368,'SegEnds_NonXtal_Prot#'!$A:$AL,3,FALSE)</f>
        <v>565</v>
      </c>
      <c r="S368" s="5">
        <f>VLOOKUP($A368,'SegEnds_NonXtal_Prot#'!$A:$AL,6,FALSE)</f>
        <v>594</v>
      </c>
      <c r="T368" s="5">
        <f>VLOOKUP($A368,'SegEnds_NonXtal_Prot#'!$A:$AL,9,FALSE)</f>
        <v>601</v>
      </c>
      <c r="U368" s="5" t="str">
        <f>VLOOKUP($A368,'SegEnds_NonXtal_Prot#'!$A:$AL,12,FALSE)</f>
        <v>-</v>
      </c>
      <c r="V368" s="5">
        <f>VLOOKUP($A368,'SegEnds_NonXtal_Prot#'!$A:$AL,15,FALSE)</f>
        <v>628</v>
      </c>
      <c r="W368" s="5" t="str">
        <f>VLOOKUP($A368,'SegEnds_NonXtal_Prot#'!$A:$AL,18,FALSE)</f>
        <v>-</v>
      </c>
      <c r="X368" s="5">
        <f>VLOOKUP($A368,'SegEnds_NonXtal_Prot#'!$A:$AL,21,FALSE)</f>
        <v>675</v>
      </c>
      <c r="Y368" s="5">
        <f>VLOOKUP($A368,'SegEnds_NonXtal_Prot#'!$A:$AL,24,FALSE)</f>
        <v>720</v>
      </c>
      <c r="Z368" s="5">
        <f>VLOOKUP($A368,'SegEnds_NonXtal_Prot#'!$A:$AL,27,FALSE)</f>
        <v>724</v>
      </c>
      <c r="AA368" s="5">
        <f>VLOOKUP($A368,'SegEnds_NonXtal_Prot#'!$A:$AL,30,FALSE)</f>
        <v>758</v>
      </c>
      <c r="AB368" s="5">
        <f>VLOOKUP($A368,'SegEnds_NonXtal_Prot#'!$A:$AL,33,FALSE)</f>
        <v>787</v>
      </c>
      <c r="AC368" s="5">
        <f>VLOOKUP($A368,'SegEnds_NonXtal_Prot#'!$A:$AL,36,FALSE)</f>
        <v>819</v>
      </c>
      <c r="AD368" s="5">
        <f>VLOOKUP($A368,'SegEnds_NonXtal_Prot#'!$A:$AL,5,FALSE)</f>
        <v>591</v>
      </c>
      <c r="AE368" s="5">
        <f>VLOOKUP($A368,'SegEnds_NonXtal_Prot#'!$A:$AL,8,FALSE)</f>
        <v>600</v>
      </c>
      <c r="AF368" s="5">
        <f>VLOOKUP($A368,'SegEnds_NonXtal_Prot#'!$A:$AL,11,FALSE)</f>
        <v>623</v>
      </c>
      <c r="AG368" s="5" t="str">
        <f>VLOOKUP($A368,'SegEnds_NonXtal_Prot#'!$A:$AL,14,FALSE)</f>
        <v>-</v>
      </c>
      <c r="AH368" s="5">
        <f>VLOOKUP($A368,'SegEnds_NonXtal_Prot#'!$A:$AL,17,FALSE)</f>
        <v>660</v>
      </c>
      <c r="AI368" s="5" t="str">
        <f>VLOOKUP($A368,'SegEnds_NonXtal_Prot#'!$A:$AL,20,FALSE)</f>
        <v>-</v>
      </c>
      <c r="AJ368" s="5">
        <f>VLOOKUP($A368,'SegEnds_NonXtal_Prot#'!$A:$AL,23,FALSE)</f>
        <v>701</v>
      </c>
      <c r="AK368" s="5">
        <f>VLOOKUP($A368,'SegEnds_NonXtal_Prot#'!$A:$AL,26,FALSE)</f>
        <v>722</v>
      </c>
      <c r="AL368" s="5">
        <f>VLOOKUP($A368,'SegEnds_NonXtal_Prot#'!$A:$AL,29,FALSE)</f>
        <v>749</v>
      </c>
      <c r="AM368" s="5">
        <f>VLOOKUP($A368,'SegEnds_NonXtal_Prot#'!$A:$AL,32,FALSE)</f>
        <v>782</v>
      </c>
      <c r="AN368" s="5">
        <f>VLOOKUP($A368,'SegEnds_NonXtal_Prot#'!$A:$AL,35,FALSE)</f>
        <v>818</v>
      </c>
      <c r="AO368" s="5">
        <f>VLOOKUP($A368,'SegEnds_NonXtal_Prot#'!$A:$AL,38,FALSE)</f>
        <v>830</v>
      </c>
      <c r="AP368" s="5">
        <f t="shared" si="138"/>
        <v>26</v>
      </c>
      <c r="AQ368" s="4">
        <f t="shared" si="139"/>
        <v>6</v>
      </c>
      <c r="AR368" s="4">
        <f t="shared" si="140"/>
        <v>22</v>
      </c>
      <c r="AS368" s="4" t="str">
        <f t="shared" si="141"/>
        <v>-</v>
      </c>
      <c r="AT368" s="4">
        <f t="shared" si="142"/>
        <v>32</v>
      </c>
      <c r="AU368" s="4" t="str">
        <f t="shared" si="143"/>
        <v>-</v>
      </c>
      <c r="AV368" s="4">
        <f t="shared" si="144"/>
        <v>26</v>
      </c>
      <c r="AW368" s="4">
        <f t="shared" si="145"/>
        <v>2</v>
      </c>
      <c r="AX368" s="4">
        <f t="shared" si="146"/>
        <v>25</v>
      </c>
      <c r="AY368" s="4">
        <f t="shared" si="147"/>
        <v>24</v>
      </c>
      <c r="AZ368" s="4">
        <f t="shared" si="148"/>
        <v>31</v>
      </c>
      <c r="BA368" s="4">
        <f t="shared" si="149"/>
        <v>11</v>
      </c>
    </row>
    <row r="369" spans="1:53" x14ac:dyDescent="0.2">
      <c r="A369" s="1" t="str">
        <f>'SegEnds_NonXtal_Prot#'!A372</f>
        <v>ts1r2_human</v>
      </c>
      <c r="B369" s="1" t="str">
        <f t="shared" si="125"/>
        <v>APTIAVALLAALGFLSTLAILVIFWRHGGPMCFLMLTLLLVAYMVVPVYVVSTCLCRQALFPLCFTICISCIAVRSFQIVCAFRYQGPYVSMAFITVLKMVIVVIGMLATYRNSLLFNTSLDLLLSVVGFSFAYMGEAKFITLSMTFYFTSSVSLCTFMSALVTIVDLLVTVLNLLAISLGYFGPKCYMILFYPERNTPAYFNSM</v>
      </c>
      <c r="C369" s="29" t="str">
        <f>IF(ISERROR(MATCH(A369,'SegEnds_Xtal_Prot#'!B:B, 0)), "NoXtal", "Xtal")</f>
        <v>NoXtal</v>
      </c>
      <c r="D369" s="4" t="str">
        <f>VLOOKUP(A369,Classification!A:D,2,FALSE)</f>
        <v>C</v>
      </c>
      <c r="E369" s="5" t="str">
        <f>VLOOKUP(A369,Seqs!A:B,2,FALSE)</f>
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</c>
      <c r="F369" s="5" t="str">
        <f t="shared" si="126"/>
        <v>APTIAVALLAALGFLSTLAILVIFWRH</v>
      </c>
      <c r="G369" s="4" t="str">
        <f t="shared" si="127"/>
        <v>TPIVRSA</v>
      </c>
      <c r="H369" s="4" t="str">
        <f t="shared" si="128"/>
        <v>GGPMCFLMLTLLLVAYMVVPVYV</v>
      </c>
      <c r="I369" s="4" t="str">
        <f t="shared" si="129"/>
        <v/>
      </c>
      <c r="J369" s="4" t="str">
        <f t="shared" si="130"/>
        <v>VSTCLCRQALFPLCFTICISCIAVRSFQIVCAF</v>
      </c>
      <c r="K369" s="4" t="str">
        <f t="shared" si="131"/>
        <v/>
      </c>
      <c r="L369" s="4" t="str">
        <f t="shared" si="132"/>
        <v>RYQGPYVSMAFITVLKMVIVVIGMLAT</v>
      </c>
      <c r="M369" s="4" t="str">
        <f t="shared" si="133"/>
        <v>CNP</v>
      </c>
      <c r="N369" s="4" t="str">
        <f t="shared" si="134"/>
        <v>YRNSLLFNTSLDLLLSVVGFSFAYMG</v>
      </c>
      <c r="O369" s="4" t="str">
        <f t="shared" si="135"/>
        <v>EAKFITLSMTFYFTSSVSLCTFMSA</v>
      </c>
      <c r="P369" s="4" t="str">
        <f t="shared" si="136"/>
        <v>LVTIVDLLVTVLNLLAISLGYFGPKCYMILFY</v>
      </c>
      <c r="Q369" s="4" t="str">
        <f t="shared" si="137"/>
        <v>PERNTPAYFNSM</v>
      </c>
      <c r="R369" s="5">
        <f>VLOOKUP($A369,'SegEnds_NonXtal_Prot#'!$A:$AL,3,FALSE)</f>
        <v>564</v>
      </c>
      <c r="S369" s="5">
        <f>VLOOKUP($A369,'SegEnds_NonXtal_Prot#'!$A:$AL,6,FALSE)</f>
        <v>593</v>
      </c>
      <c r="T369" s="5">
        <f>VLOOKUP($A369,'SegEnds_NonXtal_Prot#'!$A:$AL,9,FALSE)</f>
        <v>600</v>
      </c>
      <c r="U369" s="5" t="str">
        <f>VLOOKUP($A369,'SegEnds_NonXtal_Prot#'!$A:$AL,12,FALSE)</f>
        <v>-</v>
      </c>
      <c r="V369" s="5">
        <f>VLOOKUP($A369,'SegEnds_NonXtal_Prot#'!$A:$AL,15,FALSE)</f>
        <v>627</v>
      </c>
      <c r="W369" s="5" t="str">
        <f>VLOOKUP($A369,'SegEnds_NonXtal_Prot#'!$A:$AL,18,FALSE)</f>
        <v>-</v>
      </c>
      <c r="X369" s="5">
        <f>VLOOKUP($A369,'SegEnds_NonXtal_Prot#'!$A:$AL,21,FALSE)</f>
        <v>674</v>
      </c>
      <c r="Y369" s="5">
        <f>VLOOKUP($A369,'SegEnds_NonXtal_Prot#'!$A:$AL,24,FALSE)</f>
        <v>720</v>
      </c>
      <c r="Z369" s="5">
        <f>VLOOKUP($A369,'SegEnds_NonXtal_Prot#'!$A:$AL,27,FALSE)</f>
        <v>724</v>
      </c>
      <c r="AA369" s="5">
        <f>VLOOKUP($A369,'SegEnds_NonXtal_Prot#'!$A:$AL,30,FALSE)</f>
        <v>758</v>
      </c>
      <c r="AB369" s="5">
        <f>VLOOKUP($A369,'SegEnds_NonXtal_Prot#'!$A:$AL,33,FALSE)</f>
        <v>787</v>
      </c>
      <c r="AC369" s="5">
        <f>VLOOKUP($A369,'SegEnds_NonXtal_Prot#'!$A:$AL,36,FALSE)</f>
        <v>819</v>
      </c>
      <c r="AD369" s="5">
        <f>VLOOKUP($A369,'SegEnds_NonXtal_Prot#'!$A:$AL,5,FALSE)</f>
        <v>590</v>
      </c>
      <c r="AE369" s="5">
        <f>VLOOKUP($A369,'SegEnds_NonXtal_Prot#'!$A:$AL,8,FALSE)</f>
        <v>599</v>
      </c>
      <c r="AF369" s="5">
        <f>VLOOKUP($A369,'SegEnds_NonXtal_Prot#'!$A:$AL,11,FALSE)</f>
        <v>622</v>
      </c>
      <c r="AG369" s="5" t="str">
        <f>VLOOKUP($A369,'SegEnds_NonXtal_Prot#'!$A:$AL,14,FALSE)</f>
        <v>-</v>
      </c>
      <c r="AH369" s="5">
        <f>VLOOKUP($A369,'SegEnds_NonXtal_Prot#'!$A:$AL,17,FALSE)</f>
        <v>659</v>
      </c>
      <c r="AI369" s="5" t="str">
        <f>VLOOKUP($A369,'SegEnds_NonXtal_Prot#'!$A:$AL,20,FALSE)</f>
        <v>-</v>
      </c>
      <c r="AJ369" s="5">
        <f>VLOOKUP($A369,'SegEnds_NonXtal_Prot#'!$A:$AL,23,FALSE)</f>
        <v>700</v>
      </c>
      <c r="AK369" s="5">
        <f>VLOOKUP($A369,'SegEnds_NonXtal_Prot#'!$A:$AL,26,FALSE)</f>
        <v>722</v>
      </c>
      <c r="AL369" s="5">
        <f>VLOOKUP($A369,'SegEnds_NonXtal_Prot#'!$A:$AL,29,FALSE)</f>
        <v>749</v>
      </c>
      <c r="AM369" s="5">
        <f>VLOOKUP($A369,'SegEnds_NonXtal_Prot#'!$A:$AL,32,FALSE)</f>
        <v>782</v>
      </c>
      <c r="AN369" s="5">
        <f>VLOOKUP($A369,'SegEnds_NonXtal_Prot#'!$A:$AL,35,FALSE)</f>
        <v>818</v>
      </c>
      <c r="AO369" s="5">
        <f>VLOOKUP($A369,'SegEnds_NonXtal_Prot#'!$A:$AL,38,FALSE)</f>
        <v>830</v>
      </c>
      <c r="AP369" s="5">
        <f t="shared" si="138"/>
        <v>26</v>
      </c>
      <c r="AQ369" s="4">
        <f t="shared" si="139"/>
        <v>6</v>
      </c>
      <c r="AR369" s="4">
        <f t="shared" si="140"/>
        <v>22</v>
      </c>
      <c r="AS369" s="4" t="str">
        <f t="shared" si="141"/>
        <v>-</v>
      </c>
      <c r="AT369" s="4">
        <f t="shared" si="142"/>
        <v>32</v>
      </c>
      <c r="AU369" s="4" t="str">
        <f t="shared" si="143"/>
        <v>-</v>
      </c>
      <c r="AV369" s="4">
        <f t="shared" si="144"/>
        <v>26</v>
      </c>
      <c r="AW369" s="4">
        <f t="shared" si="145"/>
        <v>2</v>
      </c>
      <c r="AX369" s="4">
        <f t="shared" si="146"/>
        <v>25</v>
      </c>
      <c r="AY369" s="4">
        <f t="shared" si="147"/>
        <v>24</v>
      </c>
      <c r="AZ369" s="4">
        <f t="shared" si="148"/>
        <v>31</v>
      </c>
      <c r="BA369" s="4">
        <f t="shared" si="149"/>
        <v>11</v>
      </c>
    </row>
    <row r="370" spans="1:53" x14ac:dyDescent="0.2">
      <c r="A370" s="1" t="str">
        <f>'SegEnds_NonXtal_Prot#'!A373</f>
        <v>ts1r3_human</v>
      </c>
      <c r="B370" s="1" t="str">
        <f t="shared" si="125"/>
        <v>PAVLLLLLLLSLALGLVLAALGLFVHHGGPLACFGLVCLGLVCLSVLLFPPARCLAQQPLSHLPLTGCLSTLFLQAAEIFVESRGPWAWLVVLLAMLVEVALCTWYLVAFSWVSFGLAHATNATLAFLCFLGTFLVRARGLTFAMLAYFITWVSFVPLLANLRPAVQMGALLLCVLGILAAFHLPRCYLLMRQPGLNTPEFFLGG</v>
      </c>
      <c r="C370" s="29" t="str">
        <f>IF(ISERROR(MATCH(A370,'SegEnds_Xtal_Prot#'!B:B, 0)), "NoXtal", "Xtal")</f>
        <v>NoXtal</v>
      </c>
      <c r="D370" s="4" t="str">
        <f>VLOOKUP(A370,Classification!A:D,2,FALSE)</f>
        <v>C</v>
      </c>
      <c r="E370" s="5" t="str">
        <f>VLOOKUP(A370,Seqs!A:B,2,FALSE)</f>
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</c>
      <c r="F370" s="5" t="str">
        <f t="shared" si="126"/>
        <v>PAVLLLLLLLSLALGLVLAALGLFVHH</v>
      </c>
      <c r="G370" s="4" t="str">
        <f t="shared" si="127"/>
        <v>SPLVQAS</v>
      </c>
      <c r="H370" s="4" t="str">
        <f t="shared" si="128"/>
        <v>GGPLACFGLVCLGLVCLSVLLFP</v>
      </c>
      <c r="I370" s="4" t="str">
        <f t="shared" si="129"/>
        <v/>
      </c>
      <c r="J370" s="4" t="str">
        <f t="shared" si="130"/>
        <v>PARCLAQQPLSHLPLTGCLSTLFLQAAEIFVES</v>
      </c>
      <c r="K370" s="4" t="str">
        <f t="shared" si="131"/>
        <v/>
      </c>
      <c r="L370" s="4" t="str">
        <f t="shared" si="132"/>
        <v>RGPWAWLVVLLAMLVEVALCTWYLVAF</v>
      </c>
      <c r="M370" s="4" t="str">
        <f t="shared" si="133"/>
        <v>CRT</v>
      </c>
      <c r="N370" s="4" t="str">
        <f t="shared" si="134"/>
        <v>SWVSFGLAHATNATLAFLCFLGTFLV</v>
      </c>
      <c r="O370" s="4" t="str">
        <f t="shared" si="135"/>
        <v>RARGLTFAMLAYFITWVSFVPLLAN</v>
      </c>
      <c r="P370" s="4" t="str">
        <f t="shared" si="136"/>
        <v>LRPAVQMGALLLCVLGILAAFHLPRCYLLMRQ</v>
      </c>
      <c r="Q370" s="4" t="str">
        <f t="shared" si="137"/>
        <v>PGLNTPEFFLGG</v>
      </c>
      <c r="R370" s="5">
        <f>VLOOKUP($A370,'SegEnds_NonXtal_Prot#'!$A:$AL,3,FALSE)</f>
        <v>567</v>
      </c>
      <c r="S370" s="5">
        <f>VLOOKUP($A370,'SegEnds_NonXtal_Prot#'!$A:$AL,6,FALSE)</f>
        <v>596</v>
      </c>
      <c r="T370" s="5">
        <f>VLOOKUP($A370,'SegEnds_NonXtal_Prot#'!$A:$AL,9,FALSE)</f>
        <v>603</v>
      </c>
      <c r="U370" s="5" t="str">
        <f>VLOOKUP($A370,'SegEnds_NonXtal_Prot#'!$A:$AL,12,FALSE)</f>
        <v>-</v>
      </c>
      <c r="V370" s="5">
        <f>VLOOKUP($A370,'SegEnds_NonXtal_Prot#'!$A:$AL,15,FALSE)</f>
        <v>630</v>
      </c>
      <c r="W370" s="5" t="str">
        <f>VLOOKUP($A370,'SegEnds_NonXtal_Prot#'!$A:$AL,18,FALSE)</f>
        <v>-</v>
      </c>
      <c r="X370" s="5">
        <f>VLOOKUP($A370,'SegEnds_NonXtal_Prot#'!$A:$AL,21,FALSE)</f>
        <v>677</v>
      </c>
      <c r="Y370" s="5">
        <f>VLOOKUP($A370,'SegEnds_NonXtal_Prot#'!$A:$AL,24,FALSE)</f>
        <v>722</v>
      </c>
      <c r="Z370" s="5">
        <f>VLOOKUP($A370,'SegEnds_NonXtal_Prot#'!$A:$AL,27,FALSE)</f>
        <v>726</v>
      </c>
      <c r="AA370" s="5">
        <f>VLOOKUP($A370,'SegEnds_NonXtal_Prot#'!$A:$AL,30,FALSE)</f>
        <v>760</v>
      </c>
      <c r="AB370" s="5">
        <f>VLOOKUP($A370,'SegEnds_NonXtal_Prot#'!$A:$AL,33,FALSE)</f>
        <v>789</v>
      </c>
      <c r="AC370" s="5">
        <f>VLOOKUP($A370,'SegEnds_NonXtal_Prot#'!$A:$AL,36,FALSE)</f>
        <v>821</v>
      </c>
      <c r="AD370" s="5">
        <f>VLOOKUP($A370,'SegEnds_NonXtal_Prot#'!$A:$AL,5,FALSE)</f>
        <v>593</v>
      </c>
      <c r="AE370" s="5">
        <f>VLOOKUP($A370,'SegEnds_NonXtal_Prot#'!$A:$AL,8,FALSE)</f>
        <v>602</v>
      </c>
      <c r="AF370" s="5">
        <f>VLOOKUP($A370,'SegEnds_NonXtal_Prot#'!$A:$AL,11,FALSE)</f>
        <v>625</v>
      </c>
      <c r="AG370" s="5" t="str">
        <f>VLOOKUP($A370,'SegEnds_NonXtal_Prot#'!$A:$AL,14,FALSE)</f>
        <v>-</v>
      </c>
      <c r="AH370" s="5">
        <f>VLOOKUP($A370,'SegEnds_NonXtal_Prot#'!$A:$AL,17,FALSE)</f>
        <v>662</v>
      </c>
      <c r="AI370" s="5" t="str">
        <f>VLOOKUP($A370,'SegEnds_NonXtal_Prot#'!$A:$AL,20,FALSE)</f>
        <v>-</v>
      </c>
      <c r="AJ370" s="5">
        <f>VLOOKUP($A370,'SegEnds_NonXtal_Prot#'!$A:$AL,23,FALSE)</f>
        <v>703</v>
      </c>
      <c r="AK370" s="5">
        <f>VLOOKUP($A370,'SegEnds_NonXtal_Prot#'!$A:$AL,26,FALSE)</f>
        <v>724</v>
      </c>
      <c r="AL370" s="5">
        <f>VLOOKUP($A370,'SegEnds_NonXtal_Prot#'!$A:$AL,29,FALSE)</f>
        <v>751</v>
      </c>
      <c r="AM370" s="5">
        <f>VLOOKUP($A370,'SegEnds_NonXtal_Prot#'!$A:$AL,32,FALSE)</f>
        <v>784</v>
      </c>
      <c r="AN370" s="5">
        <f>VLOOKUP($A370,'SegEnds_NonXtal_Prot#'!$A:$AL,35,FALSE)</f>
        <v>820</v>
      </c>
      <c r="AO370" s="5">
        <f>VLOOKUP($A370,'SegEnds_NonXtal_Prot#'!$A:$AL,38,FALSE)</f>
        <v>832</v>
      </c>
      <c r="AP370" s="5">
        <f t="shared" si="138"/>
        <v>26</v>
      </c>
      <c r="AQ370" s="4">
        <f t="shared" si="139"/>
        <v>6</v>
      </c>
      <c r="AR370" s="4">
        <f t="shared" si="140"/>
        <v>22</v>
      </c>
      <c r="AS370" s="4" t="str">
        <f t="shared" si="141"/>
        <v>-</v>
      </c>
      <c r="AT370" s="4">
        <f t="shared" si="142"/>
        <v>32</v>
      </c>
      <c r="AU370" s="4" t="str">
        <f t="shared" si="143"/>
        <v>-</v>
      </c>
      <c r="AV370" s="4">
        <f t="shared" si="144"/>
        <v>26</v>
      </c>
      <c r="AW370" s="4">
        <f t="shared" si="145"/>
        <v>2</v>
      </c>
      <c r="AX370" s="4">
        <f t="shared" si="146"/>
        <v>25</v>
      </c>
      <c r="AY370" s="4">
        <f t="shared" si="147"/>
        <v>24</v>
      </c>
      <c r="AZ370" s="4">
        <f t="shared" si="148"/>
        <v>31</v>
      </c>
      <c r="BA370" s="4">
        <f t="shared" si="149"/>
        <v>11</v>
      </c>
    </row>
    <row r="371" spans="1:53" x14ac:dyDescent="0.2">
      <c r="A371" s="1" t="str">
        <f>'SegEnds_NonXtal_Prot#'!A375</f>
        <v>fzd10_human</v>
      </c>
      <c r="B371" s="1" t="str">
        <f t="shared" si="125"/>
        <v>SREDKRFAVVWLAIWAVLCFFSSAFTVLTFLIDYPERPIIFLSMCYCVYSVGYLIRLFAGSTGCTLVFLVLYYFGMASSLWWVVLTLTWFLAAGNSSYFHLAAWAIPAVKTILILVMRDVNALTGFVLIPLACYLVIGTSFILSGFVALFHIRRVMEKLMVRIGLFSVLYTVPATCVIACYFYERLNMDYWKILAAQHKCKMNNQTKAVEIFMVKIFMLLVVGITSGMWIWTSKTLQSWQQVCSRRL</v>
      </c>
      <c r="C371" s="29" t="str">
        <f>IF(ISERROR(MATCH(A371,'SegEnds_Xtal_Prot#'!B:B, 0)), "NoXtal", "Xtal")</f>
        <v>NoXtal</v>
      </c>
      <c r="D371" s="4" t="str">
        <f>VLOOKUP(A371,Classification!A:D,2,FALSE)</f>
        <v>F</v>
      </c>
      <c r="E371" s="5" t="str">
        <f>VLOOKUP(A371,Seqs!A:B,2,FALSE)</f>
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</c>
      <c r="F371" s="5" t="str">
        <f t="shared" si="126"/>
        <v>SREDKRFAVVWLAIWAVLCFFSSAFTVLTFLID</v>
      </c>
      <c r="G371" s="4" t="str">
        <f t="shared" si="127"/>
        <v>PARFR</v>
      </c>
      <c r="H371" s="4" t="str">
        <f t="shared" si="128"/>
        <v>YPERPIIFLSMCYCVYSVGYLIRLFAG</v>
      </c>
      <c r="I371" s="4" t="str">
        <f t="shared" si="129"/>
        <v/>
      </c>
      <c r="J371" s="4" t="str">
        <f t="shared" si="130"/>
        <v>STGCTLVFLVLYYFGMASSLWWVVLTLTWFLAAG</v>
      </c>
      <c r="K371" s="4" t="str">
        <f t="shared" si="131"/>
        <v/>
      </c>
      <c r="L371" s="4" t="str">
        <f t="shared" si="132"/>
        <v>NSSYFHLAAWAIPAVKTILILVMR</v>
      </c>
      <c r="M371" s="4" t="str">
        <f t="shared" si="133"/>
        <v>CYV</v>
      </c>
      <c r="N371" s="4" t="str">
        <f t="shared" si="134"/>
        <v>DVNALTGFVLIPLACYLVIGTSFILSGFVALFHIRRVM</v>
      </c>
      <c r="O371" s="4" t="str">
        <f t="shared" si="135"/>
        <v>EKLMVRIGLFSVLYTVPATCVIACYFYERLNMDYWKILAAQHKCKMNNQTK</v>
      </c>
      <c r="P371" s="4" t="str">
        <f t="shared" si="136"/>
        <v>AVEIFMVKIFMLLVVGITSGMWIW</v>
      </c>
      <c r="Q371" s="4" t="str">
        <f t="shared" si="137"/>
        <v>TSKTLQSWQQVCSRRL</v>
      </c>
      <c r="R371" s="5">
        <f>VLOOKUP($A371,'SegEnds_NonXtal_Prot#'!$A:$AL,3,FALSE)</f>
        <v>220</v>
      </c>
      <c r="S371" s="5">
        <f>VLOOKUP($A371,'SegEnds_NonXtal_Prot#'!$A:$AL,6,FALSE)</f>
        <v>253</v>
      </c>
      <c r="T371" s="5">
        <f>VLOOKUP($A371,'SegEnds_NonXtal_Prot#'!$A:$AL,9,FALSE)</f>
        <v>258</v>
      </c>
      <c r="U371" s="5" t="str">
        <f>VLOOKUP($A371,'SegEnds_NonXtal_Prot#'!$A:$AL,12,FALSE)</f>
        <v>-</v>
      </c>
      <c r="V371" s="5">
        <f>VLOOKUP($A371,'SegEnds_NonXtal_Prot#'!$A:$AL,15,FALSE)</f>
        <v>306</v>
      </c>
      <c r="W371" s="5" t="str">
        <f>VLOOKUP($A371,'SegEnds_NonXtal_Prot#'!$A:$AL,18,FALSE)</f>
        <v>-</v>
      </c>
      <c r="X371" s="5">
        <f>VLOOKUP($A371,'SegEnds_NonXtal_Prot#'!$A:$AL,21,FALSE)</f>
        <v>350</v>
      </c>
      <c r="Y371" s="5">
        <f>VLOOKUP($A371,'SegEnds_NonXtal_Prot#'!$A:$AL,24,FALSE)</f>
        <v>384</v>
      </c>
      <c r="Z371" s="5">
        <f>VLOOKUP($A371,'SegEnds_NonXtal_Prot#'!$A:$AL,27,FALSE)</f>
        <v>390</v>
      </c>
      <c r="AA371" s="5">
        <f>VLOOKUP($A371,'SegEnds_NonXtal_Prot#'!$A:$AL,30,FALSE)</f>
        <v>438</v>
      </c>
      <c r="AB371" s="5">
        <f>VLOOKUP($A371,'SegEnds_NonXtal_Prot#'!$A:$AL,33,FALSE)</f>
        <v>500</v>
      </c>
      <c r="AC371" s="5">
        <f>VLOOKUP($A371,'SegEnds_NonXtal_Prot#'!$A:$AL,36,FALSE)</f>
        <v>524</v>
      </c>
      <c r="AD371" s="5">
        <f>VLOOKUP($A371,'SegEnds_NonXtal_Prot#'!$A:$AL,5,FALSE)</f>
        <v>252</v>
      </c>
      <c r="AE371" s="5">
        <f>VLOOKUP($A371,'SegEnds_NonXtal_Prot#'!$A:$AL,8,FALSE)</f>
        <v>257</v>
      </c>
      <c r="AF371" s="5">
        <f>VLOOKUP($A371,'SegEnds_NonXtal_Prot#'!$A:$AL,11,FALSE)</f>
        <v>284</v>
      </c>
      <c r="AG371" s="5" t="str">
        <f>VLOOKUP($A371,'SegEnds_NonXtal_Prot#'!$A:$AL,14,FALSE)</f>
        <v>-</v>
      </c>
      <c r="AH371" s="5">
        <f>VLOOKUP($A371,'SegEnds_NonXtal_Prot#'!$A:$AL,17,FALSE)</f>
        <v>339</v>
      </c>
      <c r="AI371" s="5" t="str">
        <f>VLOOKUP($A371,'SegEnds_NonXtal_Prot#'!$A:$AL,20,FALSE)</f>
        <v>-</v>
      </c>
      <c r="AJ371" s="5">
        <f>VLOOKUP($A371,'SegEnds_NonXtal_Prot#'!$A:$AL,23,FALSE)</f>
        <v>373</v>
      </c>
      <c r="AK371" s="5">
        <f>VLOOKUP($A371,'SegEnds_NonXtal_Prot#'!$A:$AL,26,FALSE)</f>
        <v>386</v>
      </c>
      <c r="AL371" s="5">
        <f>VLOOKUP($A371,'SegEnds_NonXtal_Prot#'!$A:$AL,29,FALSE)</f>
        <v>427</v>
      </c>
      <c r="AM371" s="5">
        <f>VLOOKUP($A371,'SegEnds_NonXtal_Prot#'!$A:$AL,32,FALSE)</f>
        <v>488</v>
      </c>
      <c r="AN371" s="5">
        <f>VLOOKUP($A371,'SegEnds_NonXtal_Prot#'!$A:$AL,35,FALSE)</f>
        <v>523</v>
      </c>
      <c r="AO371" s="5">
        <f>VLOOKUP($A371,'SegEnds_NonXtal_Prot#'!$A:$AL,38,FALSE)</f>
        <v>539</v>
      </c>
      <c r="AP371" s="5">
        <f t="shared" si="138"/>
        <v>32</v>
      </c>
      <c r="AQ371" s="4">
        <f t="shared" si="139"/>
        <v>4</v>
      </c>
      <c r="AR371" s="4">
        <f t="shared" si="140"/>
        <v>26</v>
      </c>
      <c r="AS371" s="4" t="str">
        <f t="shared" si="141"/>
        <v>-</v>
      </c>
      <c r="AT371" s="4">
        <f t="shared" si="142"/>
        <v>33</v>
      </c>
      <c r="AU371" s="4" t="str">
        <f t="shared" si="143"/>
        <v>-</v>
      </c>
      <c r="AV371" s="4">
        <f t="shared" si="144"/>
        <v>23</v>
      </c>
      <c r="AW371" s="4">
        <f t="shared" si="145"/>
        <v>2</v>
      </c>
      <c r="AX371" s="4">
        <f t="shared" si="146"/>
        <v>37</v>
      </c>
      <c r="AY371" s="4">
        <f t="shared" si="147"/>
        <v>50</v>
      </c>
      <c r="AZ371" s="4">
        <f t="shared" si="148"/>
        <v>23</v>
      </c>
      <c r="BA371" s="4">
        <f t="shared" si="149"/>
        <v>15</v>
      </c>
    </row>
    <row r="372" spans="1:53" x14ac:dyDescent="0.2">
      <c r="A372" s="1" t="str">
        <f>'SegEnds_NonXtal_Prot#'!A376</f>
        <v>fzd2_human</v>
      </c>
      <c r="B372" s="1" t="str">
        <f t="shared" si="125"/>
        <v>SQEETRFARLWILTWSVLCCASTFFTVTTYLVDYPERPIIFLSGCYTMVSVAYIAGFVLQKEGCTILFMMLYFFSMASSIWWVILSLTWFLAAGNSQYFHLAAWAVPAVKTITILAMGSLDPLRGFVLAPLFVYLFIGTSFLLAGFVSLFRIRTIMERLMVRIGVFSVLYTVPATIVIACYFYEQAFREHWERSWVSQHCKSLAIPCDFTVYMIKYLMTLIVGITSGFWIWSGKTLHSWRKFYTRLT</v>
      </c>
      <c r="C372" s="29" t="str">
        <f>IF(ISERROR(MATCH(A372,'SegEnds_Xtal_Prot#'!B:B, 0)), "NoXtal", "Xtal")</f>
        <v>NoXtal</v>
      </c>
      <c r="D372" s="4" t="str">
        <f>VLOOKUP(A372,Classification!A:D,2,FALSE)</f>
        <v>F</v>
      </c>
      <c r="E372" s="5" t="str">
        <f>VLOOKUP(A372,Seqs!A:B,2,FALSE)</f>
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</c>
      <c r="F372" s="5" t="str">
        <f t="shared" si="126"/>
        <v>SQEETRFARLWILTWSVLCCASTFFTVTTYLVD</v>
      </c>
      <c r="G372" s="4" t="str">
        <f t="shared" si="127"/>
        <v>MQRFR</v>
      </c>
      <c r="H372" s="4" t="str">
        <f t="shared" si="128"/>
        <v>YPERPIIFLSGCYTMVSVAYIAGFVLQ</v>
      </c>
      <c r="I372" s="4" t="str">
        <f t="shared" si="129"/>
        <v/>
      </c>
      <c r="J372" s="4" t="str">
        <f t="shared" si="130"/>
        <v>KEGCTILFMMLYFFSMASSIWWVILSLTWFLAAG</v>
      </c>
      <c r="K372" s="4" t="str">
        <f t="shared" si="131"/>
        <v/>
      </c>
      <c r="L372" s="4" t="str">
        <f t="shared" si="132"/>
        <v>NSQYFHLAAWAVPAVKTITILAMG</v>
      </c>
      <c r="M372" s="4" t="str">
        <f t="shared" si="133"/>
        <v>CFV</v>
      </c>
      <c r="N372" s="4" t="str">
        <f t="shared" si="134"/>
        <v>SLDPLRGFVLAPLFVYLFIGTSFLLAGFVSLFRIRTIM</v>
      </c>
      <c r="O372" s="4" t="str">
        <f t="shared" si="135"/>
        <v>ERLMVRIGVFSVLYTVPATIVIACYFYEQAFREHWERSWVSQHCKSLAIPC</v>
      </c>
      <c r="P372" s="4" t="str">
        <f t="shared" si="136"/>
        <v>DFTVYMIKYLMTLIVGITSGFWIW</v>
      </c>
      <c r="Q372" s="4" t="str">
        <f t="shared" si="137"/>
        <v>SGKTLHSWRKFYTRLT</v>
      </c>
      <c r="R372" s="5">
        <f>VLOOKUP($A372,'SegEnds_NonXtal_Prot#'!$A:$AL,3,FALSE)</f>
        <v>237</v>
      </c>
      <c r="S372" s="5">
        <f>VLOOKUP($A372,'SegEnds_NonXtal_Prot#'!$A:$AL,6,FALSE)</f>
        <v>270</v>
      </c>
      <c r="T372" s="5">
        <f>VLOOKUP($A372,'SegEnds_NonXtal_Prot#'!$A:$AL,9,FALSE)</f>
        <v>275</v>
      </c>
      <c r="U372" s="5" t="str">
        <f>VLOOKUP($A372,'SegEnds_NonXtal_Prot#'!$A:$AL,12,FALSE)</f>
        <v>-</v>
      </c>
      <c r="V372" s="5">
        <f>VLOOKUP($A372,'SegEnds_NonXtal_Prot#'!$A:$AL,15,FALSE)</f>
        <v>324</v>
      </c>
      <c r="W372" s="5" t="str">
        <f>VLOOKUP($A372,'SegEnds_NonXtal_Prot#'!$A:$AL,18,FALSE)</f>
        <v>-</v>
      </c>
      <c r="X372" s="5">
        <f>VLOOKUP($A372,'SegEnds_NonXtal_Prot#'!$A:$AL,21,FALSE)</f>
        <v>368</v>
      </c>
      <c r="Y372" s="5">
        <f>VLOOKUP($A372,'SegEnds_NonXtal_Prot#'!$A:$AL,24,FALSE)</f>
        <v>402</v>
      </c>
      <c r="Z372" s="5">
        <f>VLOOKUP($A372,'SegEnds_NonXtal_Prot#'!$A:$AL,27,FALSE)</f>
        <v>408</v>
      </c>
      <c r="AA372" s="5">
        <f>VLOOKUP($A372,'SegEnds_NonXtal_Prot#'!$A:$AL,30,FALSE)</f>
        <v>456</v>
      </c>
      <c r="AB372" s="5">
        <f>VLOOKUP($A372,'SegEnds_NonXtal_Prot#'!$A:$AL,33,FALSE)</f>
        <v>517</v>
      </c>
      <c r="AC372" s="5">
        <f>VLOOKUP($A372,'SegEnds_NonXtal_Prot#'!$A:$AL,36,FALSE)</f>
        <v>541</v>
      </c>
      <c r="AD372" s="5">
        <f>VLOOKUP($A372,'SegEnds_NonXtal_Prot#'!$A:$AL,5,FALSE)</f>
        <v>269</v>
      </c>
      <c r="AE372" s="5">
        <f>VLOOKUP($A372,'SegEnds_NonXtal_Prot#'!$A:$AL,8,FALSE)</f>
        <v>274</v>
      </c>
      <c r="AF372" s="5">
        <f>VLOOKUP($A372,'SegEnds_NonXtal_Prot#'!$A:$AL,11,FALSE)</f>
        <v>301</v>
      </c>
      <c r="AG372" s="5" t="str">
        <f>VLOOKUP($A372,'SegEnds_NonXtal_Prot#'!$A:$AL,14,FALSE)</f>
        <v>-</v>
      </c>
      <c r="AH372" s="5">
        <f>VLOOKUP($A372,'SegEnds_NonXtal_Prot#'!$A:$AL,17,FALSE)</f>
        <v>357</v>
      </c>
      <c r="AI372" s="5" t="str">
        <f>VLOOKUP($A372,'SegEnds_NonXtal_Prot#'!$A:$AL,20,FALSE)</f>
        <v>-</v>
      </c>
      <c r="AJ372" s="5">
        <f>VLOOKUP($A372,'SegEnds_NonXtal_Prot#'!$A:$AL,23,FALSE)</f>
        <v>391</v>
      </c>
      <c r="AK372" s="5">
        <f>VLOOKUP($A372,'SegEnds_NonXtal_Prot#'!$A:$AL,26,FALSE)</f>
        <v>404</v>
      </c>
      <c r="AL372" s="5">
        <f>VLOOKUP($A372,'SegEnds_NonXtal_Prot#'!$A:$AL,29,FALSE)</f>
        <v>445</v>
      </c>
      <c r="AM372" s="5">
        <f>VLOOKUP($A372,'SegEnds_NonXtal_Prot#'!$A:$AL,32,FALSE)</f>
        <v>506</v>
      </c>
      <c r="AN372" s="5">
        <f>VLOOKUP($A372,'SegEnds_NonXtal_Prot#'!$A:$AL,35,FALSE)</f>
        <v>540</v>
      </c>
      <c r="AO372" s="5">
        <f>VLOOKUP($A372,'SegEnds_NonXtal_Prot#'!$A:$AL,38,FALSE)</f>
        <v>556</v>
      </c>
      <c r="AP372" s="5">
        <f t="shared" si="138"/>
        <v>32</v>
      </c>
      <c r="AQ372" s="4">
        <f t="shared" si="139"/>
        <v>4</v>
      </c>
      <c r="AR372" s="4">
        <f t="shared" si="140"/>
        <v>26</v>
      </c>
      <c r="AS372" s="4" t="str">
        <f t="shared" si="141"/>
        <v>-</v>
      </c>
      <c r="AT372" s="4">
        <f t="shared" si="142"/>
        <v>33</v>
      </c>
      <c r="AU372" s="4" t="str">
        <f t="shared" si="143"/>
        <v>-</v>
      </c>
      <c r="AV372" s="4">
        <f t="shared" si="144"/>
        <v>23</v>
      </c>
      <c r="AW372" s="4">
        <f t="shared" si="145"/>
        <v>2</v>
      </c>
      <c r="AX372" s="4">
        <f t="shared" si="146"/>
        <v>37</v>
      </c>
      <c r="AY372" s="4">
        <f t="shared" si="147"/>
        <v>50</v>
      </c>
      <c r="AZ372" s="4">
        <f t="shared" si="148"/>
        <v>23</v>
      </c>
      <c r="BA372" s="4">
        <f t="shared" si="149"/>
        <v>15</v>
      </c>
    </row>
    <row r="373" spans="1:53" x14ac:dyDescent="0.2">
      <c r="A373" s="1" t="str">
        <f>'SegEnds_NonXtal_Prot#'!A377</f>
        <v>fzd3_human</v>
      </c>
      <c r="B373" s="1" t="str">
        <f t="shared" si="125"/>
        <v>RREELSFARYFIGLISIICLSATLFTFLTFLIDYPERPIIFYAVCYMMVSLIFFIGFLLENKACTMLFMILYFFTMAGSVWWVILTITWFLAAVKALLFHASAWGIPGTLTIILLAMNDVDALRYFVLAPLCLYVVVGVSLLLAGIISLNRVRIEIVKFMIRIGVFSILYLVPLLVVIGCYFYEQAYRGIWETTWIQERCREYHIPCDLILFLMKYLMALIVGIPSVFWVGSKKTCFEWASFFHGRR</v>
      </c>
      <c r="C373" s="29" t="str">
        <f>IF(ISERROR(MATCH(A373,'SegEnds_Xtal_Prot#'!B:B, 0)), "NoXtal", "Xtal")</f>
        <v>NoXtal</v>
      </c>
      <c r="D373" s="4" t="str">
        <f>VLOOKUP(A373,Classification!A:D,2,FALSE)</f>
        <v>F</v>
      </c>
      <c r="E373" s="5" t="str">
        <f>VLOOKUP(A373,Seqs!A:B,2,FALSE)</f>
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</c>
      <c r="F373" s="5" t="str">
        <f t="shared" si="126"/>
        <v>RREELSFARYFIGLISIICLSATLFTFLTFLID</v>
      </c>
      <c r="G373" s="4" t="str">
        <f t="shared" si="127"/>
        <v>VTRFR</v>
      </c>
      <c r="H373" s="4" t="str">
        <f t="shared" si="128"/>
        <v>YPERPIIFYAVCYMMVSLIFFIGFLLE</v>
      </c>
      <c r="I373" s="4" t="str">
        <f t="shared" si="129"/>
        <v/>
      </c>
      <c r="J373" s="4" t="str">
        <f t="shared" si="130"/>
        <v>NKACTMLFMILYFFTMAGSVWWVILTITWFLAAV</v>
      </c>
      <c r="K373" s="4" t="str">
        <f t="shared" si="131"/>
        <v/>
      </c>
      <c r="L373" s="4" t="str">
        <f t="shared" si="132"/>
        <v>KALLFHASAWGIPGTLTIILLAMN</v>
      </c>
      <c r="M373" s="4" t="str">
        <f t="shared" si="133"/>
        <v>CFV</v>
      </c>
      <c r="N373" s="4" t="str">
        <f t="shared" si="134"/>
        <v>DVDALRYFVLAPLCLYVVVGVSLLLAGIISLNRVRIEI</v>
      </c>
      <c r="O373" s="4" t="str">
        <f t="shared" si="135"/>
        <v>VKFMIRIGVFSILYLVPLLVVIGCYFYEQAYRGIWETTWIQERCREYHIPC</v>
      </c>
      <c r="P373" s="4" t="str">
        <f t="shared" si="136"/>
        <v>DLILFLMKYLMALIVGIPSVFWVG</v>
      </c>
      <c r="Q373" s="4" t="str">
        <f t="shared" si="137"/>
        <v>SKKTCFEWASFFHGRR</v>
      </c>
      <c r="R373" s="5">
        <f>VLOOKUP($A373,'SegEnds_NonXtal_Prot#'!$A:$AL,3,FALSE)</f>
        <v>195</v>
      </c>
      <c r="S373" s="5">
        <f>VLOOKUP($A373,'SegEnds_NonXtal_Prot#'!$A:$AL,6,FALSE)</f>
        <v>228</v>
      </c>
      <c r="T373" s="5">
        <f>VLOOKUP($A373,'SegEnds_NonXtal_Prot#'!$A:$AL,9,FALSE)</f>
        <v>233</v>
      </c>
      <c r="U373" s="5" t="str">
        <f>VLOOKUP($A373,'SegEnds_NonXtal_Prot#'!$A:$AL,12,FALSE)</f>
        <v>-</v>
      </c>
      <c r="V373" s="5">
        <f>VLOOKUP($A373,'SegEnds_NonXtal_Prot#'!$A:$AL,15,FALSE)</f>
        <v>283</v>
      </c>
      <c r="W373" s="5" t="str">
        <f>VLOOKUP($A373,'SegEnds_NonXtal_Prot#'!$A:$AL,18,FALSE)</f>
        <v>-</v>
      </c>
      <c r="X373" s="5">
        <f>VLOOKUP($A373,'SegEnds_NonXtal_Prot#'!$A:$AL,21,FALSE)</f>
        <v>327</v>
      </c>
      <c r="Y373" s="5">
        <f>VLOOKUP($A373,'SegEnds_NonXtal_Prot#'!$A:$AL,24,FALSE)</f>
        <v>361</v>
      </c>
      <c r="Z373" s="5">
        <f>VLOOKUP($A373,'SegEnds_NonXtal_Prot#'!$A:$AL,27,FALSE)</f>
        <v>367</v>
      </c>
      <c r="AA373" s="5">
        <f>VLOOKUP($A373,'SegEnds_NonXtal_Prot#'!$A:$AL,30,FALSE)</f>
        <v>415</v>
      </c>
      <c r="AB373" s="5">
        <f>VLOOKUP($A373,'SegEnds_NonXtal_Prot#'!$A:$AL,33,FALSE)</f>
        <v>476</v>
      </c>
      <c r="AC373" s="5">
        <f>VLOOKUP($A373,'SegEnds_NonXtal_Prot#'!$A:$AL,36,FALSE)</f>
        <v>500</v>
      </c>
      <c r="AD373" s="5">
        <f>VLOOKUP($A373,'SegEnds_NonXtal_Prot#'!$A:$AL,5,FALSE)</f>
        <v>227</v>
      </c>
      <c r="AE373" s="5">
        <f>VLOOKUP($A373,'SegEnds_NonXtal_Prot#'!$A:$AL,8,FALSE)</f>
        <v>232</v>
      </c>
      <c r="AF373" s="5">
        <f>VLOOKUP($A373,'SegEnds_NonXtal_Prot#'!$A:$AL,11,FALSE)</f>
        <v>259</v>
      </c>
      <c r="AG373" s="5" t="str">
        <f>VLOOKUP($A373,'SegEnds_NonXtal_Prot#'!$A:$AL,14,FALSE)</f>
        <v>-</v>
      </c>
      <c r="AH373" s="5">
        <f>VLOOKUP($A373,'SegEnds_NonXtal_Prot#'!$A:$AL,17,FALSE)</f>
        <v>316</v>
      </c>
      <c r="AI373" s="5" t="str">
        <f>VLOOKUP($A373,'SegEnds_NonXtal_Prot#'!$A:$AL,20,FALSE)</f>
        <v>-</v>
      </c>
      <c r="AJ373" s="5">
        <f>VLOOKUP($A373,'SegEnds_NonXtal_Prot#'!$A:$AL,23,FALSE)</f>
        <v>350</v>
      </c>
      <c r="AK373" s="5">
        <f>VLOOKUP($A373,'SegEnds_NonXtal_Prot#'!$A:$AL,26,FALSE)</f>
        <v>363</v>
      </c>
      <c r="AL373" s="5">
        <f>VLOOKUP($A373,'SegEnds_NonXtal_Prot#'!$A:$AL,29,FALSE)</f>
        <v>404</v>
      </c>
      <c r="AM373" s="5">
        <f>VLOOKUP($A373,'SegEnds_NonXtal_Prot#'!$A:$AL,32,FALSE)</f>
        <v>465</v>
      </c>
      <c r="AN373" s="5">
        <f>VLOOKUP($A373,'SegEnds_NonXtal_Prot#'!$A:$AL,35,FALSE)</f>
        <v>499</v>
      </c>
      <c r="AO373" s="5">
        <f>VLOOKUP($A373,'SegEnds_NonXtal_Prot#'!$A:$AL,38,FALSE)</f>
        <v>515</v>
      </c>
      <c r="AP373" s="5">
        <f t="shared" si="138"/>
        <v>32</v>
      </c>
      <c r="AQ373" s="4">
        <f t="shared" si="139"/>
        <v>4</v>
      </c>
      <c r="AR373" s="4">
        <f t="shared" si="140"/>
        <v>26</v>
      </c>
      <c r="AS373" s="4" t="str">
        <f t="shared" si="141"/>
        <v>-</v>
      </c>
      <c r="AT373" s="4">
        <f t="shared" si="142"/>
        <v>33</v>
      </c>
      <c r="AU373" s="4" t="str">
        <f t="shared" si="143"/>
        <v>-</v>
      </c>
      <c r="AV373" s="4">
        <f t="shared" si="144"/>
        <v>23</v>
      </c>
      <c r="AW373" s="4">
        <f t="shared" si="145"/>
        <v>2</v>
      </c>
      <c r="AX373" s="4">
        <f t="shared" si="146"/>
        <v>37</v>
      </c>
      <c r="AY373" s="4">
        <f t="shared" si="147"/>
        <v>50</v>
      </c>
      <c r="AZ373" s="4">
        <f t="shared" si="148"/>
        <v>23</v>
      </c>
      <c r="BA373" s="4">
        <f t="shared" si="149"/>
        <v>15</v>
      </c>
    </row>
    <row r="374" spans="1:53" x14ac:dyDescent="0.2">
      <c r="A374" s="1" t="str">
        <f>'SegEnds_NonXtal_Prot#'!A378</f>
        <v>fzd4_human</v>
      </c>
      <c r="B374" s="1" t="str">
        <f t="shared" si="125"/>
        <v>SRSAKEFTDIWMAVWASLCFISTAFTVLTFLIDYPERPIIFLSMCYNIYSIAYIVRLTVGNTGCAIIFLLMYFFGMASSIWWVILTLTWFLAAGHSSYFHIAAWAIPAVKTIVILIMRNLDALTGFVVAPLFTYLVIGTLFIAAGLVALFKIRSNLERLMVKIGVFSVLYTVPATCVIACYFYEISNNMAVEMLKIFMSLLVGITSGMWIWSAKTLHTWQKCSNRLV</v>
      </c>
      <c r="C374" s="29" t="str">
        <f>IF(ISERROR(MATCH(A374,'SegEnds_Xtal_Prot#'!B:B, 0)), "NoXtal", "Xtal")</f>
        <v>Xtal</v>
      </c>
      <c r="D374" s="4" t="str">
        <f>VLOOKUP(A374,Classification!A:D,2,FALSE)</f>
        <v>F</v>
      </c>
      <c r="E374" s="5" t="str">
        <f>VLOOKUP(A374,Seqs!A:B,2,FALSE)</f>
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</c>
      <c r="F374" s="5" t="str">
        <f t="shared" si="126"/>
        <v>SRSAKEFTDIWMAVWASLCFISTAFTVLTFLID</v>
      </c>
      <c r="G374" s="4" t="str">
        <f t="shared" si="127"/>
        <v>SSRFS</v>
      </c>
      <c r="H374" s="4" t="str">
        <f t="shared" si="128"/>
        <v>YPERPIIFLSMCYNIYSIAYIVRLTVG</v>
      </c>
      <c r="I374" s="4" t="str">
        <f t="shared" si="129"/>
        <v/>
      </c>
      <c r="J374" s="4" t="str">
        <f t="shared" si="130"/>
        <v>NTGCAIIFLLMYFFGMASSIWWVILTLTWFLAAG</v>
      </c>
      <c r="K374" s="4" t="str">
        <f t="shared" si="131"/>
        <v/>
      </c>
      <c r="L374" s="4" t="str">
        <f t="shared" si="132"/>
        <v>HSSYFHIAAWAIPAVKTIVILIMR</v>
      </c>
      <c r="M374" s="4" t="str">
        <f t="shared" si="133"/>
        <v>CYV</v>
      </c>
      <c r="N374" s="4" t="str">
        <f t="shared" si="134"/>
        <v>NLDALTGFVVAPLFTYLVIGTLFIAAGLVALFKIRSNL</v>
      </c>
      <c r="O374" s="4" t="str">
        <f t="shared" si="135"/>
        <v>ERLMVKIGVFSVLYTVPATCVIACYFYEISN</v>
      </c>
      <c r="P374" s="4" t="str">
        <f t="shared" si="136"/>
        <v>NMAVEMLKIFMSLLVGITSGMWIW</v>
      </c>
      <c r="Q374" s="4" t="str">
        <f t="shared" si="137"/>
        <v>SAKTLHTWQKCSNRLV</v>
      </c>
      <c r="R374" s="5">
        <f>VLOOKUP($A374,'SegEnds_NonXtal_Prot#'!$A:$AL,3,FALSE)</f>
        <v>212</v>
      </c>
      <c r="S374" s="5">
        <f>VLOOKUP($A374,'SegEnds_NonXtal_Prot#'!$A:$AL,6,FALSE)</f>
        <v>245</v>
      </c>
      <c r="T374" s="5">
        <f>VLOOKUP($A374,'SegEnds_NonXtal_Prot#'!$A:$AL,9,FALSE)</f>
        <v>250</v>
      </c>
      <c r="U374" s="5" t="str">
        <f>VLOOKUP($A374,'SegEnds_NonXtal_Prot#'!$A:$AL,12,FALSE)</f>
        <v>-</v>
      </c>
      <c r="V374" s="5">
        <f>VLOOKUP($A374,'SegEnds_NonXtal_Prot#'!$A:$AL,15,FALSE)</f>
        <v>299</v>
      </c>
      <c r="W374" s="5" t="str">
        <f>VLOOKUP($A374,'SegEnds_NonXtal_Prot#'!$A:$AL,18,FALSE)</f>
        <v>-</v>
      </c>
      <c r="X374" s="5">
        <f>VLOOKUP($A374,'SegEnds_NonXtal_Prot#'!$A:$AL,21,FALSE)</f>
        <v>343</v>
      </c>
      <c r="Y374" s="5">
        <f>VLOOKUP($A374,'SegEnds_NonXtal_Prot#'!$A:$AL,24,FALSE)</f>
        <v>377</v>
      </c>
      <c r="Z374" s="5">
        <f>VLOOKUP($A374,'SegEnds_NonXtal_Prot#'!$A:$AL,27,FALSE)</f>
        <v>383</v>
      </c>
      <c r="AA374" s="5">
        <f>VLOOKUP($A374,'SegEnds_NonXtal_Prot#'!$A:$AL,30,FALSE)</f>
        <v>431</v>
      </c>
      <c r="AB374" s="5">
        <f>VLOOKUP($A374,'SegEnds_NonXtal_Prot#'!$A:$AL,33,FALSE)</f>
        <v>473</v>
      </c>
      <c r="AC374" s="5">
        <f>VLOOKUP($A374,'SegEnds_NonXtal_Prot#'!$A:$AL,36,FALSE)</f>
        <v>497</v>
      </c>
      <c r="AD374" s="5">
        <f>VLOOKUP($A374,'SegEnds_NonXtal_Prot#'!$A:$AL,5,FALSE)</f>
        <v>244</v>
      </c>
      <c r="AE374" s="5">
        <f>VLOOKUP($A374,'SegEnds_NonXtal_Prot#'!$A:$AL,8,FALSE)</f>
        <v>249</v>
      </c>
      <c r="AF374" s="5">
        <f>VLOOKUP($A374,'SegEnds_NonXtal_Prot#'!$A:$AL,11,FALSE)</f>
        <v>276</v>
      </c>
      <c r="AG374" s="5" t="str">
        <f>VLOOKUP($A374,'SegEnds_NonXtal_Prot#'!$A:$AL,14,FALSE)</f>
        <v>-</v>
      </c>
      <c r="AH374" s="5">
        <f>VLOOKUP($A374,'SegEnds_NonXtal_Prot#'!$A:$AL,17,FALSE)</f>
        <v>332</v>
      </c>
      <c r="AI374" s="5" t="str">
        <f>VLOOKUP($A374,'SegEnds_NonXtal_Prot#'!$A:$AL,20,FALSE)</f>
        <v>-</v>
      </c>
      <c r="AJ374" s="5">
        <f>VLOOKUP($A374,'SegEnds_NonXtal_Prot#'!$A:$AL,23,FALSE)</f>
        <v>366</v>
      </c>
      <c r="AK374" s="5">
        <f>VLOOKUP($A374,'SegEnds_NonXtal_Prot#'!$A:$AL,26,FALSE)</f>
        <v>379</v>
      </c>
      <c r="AL374" s="5">
        <f>VLOOKUP($A374,'SegEnds_NonXtal_Prot#'!$A:$AL,29,FALSE)</f>
        <v>420</v>
      </c>
      <c r="AM374" s="5">
        <f>VLOOKUP($A374,'SegEnds_NonXtal_Prot#'!$A:$AL,32,FALSE)</f>
        <v>461</v>
      </c>
      <c r="AN374" s="5">
        <f>VLOOKUP($A374,'SegEnds_NonXtal_Prot#'!$A:$AL,35,FALSE)</f>
        <v>496</v>
      </c>
      <c r="AO374" s="5">
        <f>VLOOKUP($A374,'SegEnds_NonXtal_Prot#'!$A:$AL,38,FALSE)</f>
        <v>512</v>
      </c>
      <c r="AP374" s="5">
        <f t="shared" si="138"/>
        <v>32</v>
      </c>
      <c r="AQ374" s="4">
        <f t="shared" si="139"/>
        <v>4</v>
      </c>
      <c r="AR374" s="4">
        <f t="shared" si="140"/>
        <v>26</v>
      </c>
      <c r="AS374" s="4" t="str">
        <f t="shared" si="141"/>
        <v>-</v>
      </c>
      <c r="AT374" s="4">
        <f t="shared" si="142"/>
        <v>33</v>
      </c>
      <c r="AU374" s="4" t="str">
        <f t="shared" si="143"/>
        <v>-</v>
      </c>
      <c r="AV374" s="4">
        <f t="shared" si="144"/>
        <v>23</v>
      </c>
      <c r="AW374" s="4">
        <f t="shared" si="145"/>
        <v>2</v>
      </c>
      <c r="AX374" s="4">
        <f t="shared" si="146"/>
        <v>37</v>
      </c>
      <c r="AY374" s="4">
        <f t="shared" si="147"/>
        <v>30</v>
      </c>
      <c r="AZ374" s="4">
        <f t="shared" si="148"/>
        <v>23</v>
      </c>
      <c r="BA374" s="4">
        <f t="shared" si="149"/>
        <v>15</v>
      </c>
    </row>
    <row r="375" spans="1:53" x14ac:dyDescent="0.2">
      <c r="A375" s="1" t="str">
        <f>'SegEnds_NonXtal_Prot#'!A379</f>
        <v>fzd5_human</v>
      </c>
      <c r="B375" s="1" t="str">
        <f t="shared" si="125"/>
        <v>SADERTFATFWIGLWSVLCFISTSTTVATFLIDYPERPIIFLSACYLCVSLGFLVRLVVGPALCTIVFLLVYFFGMASSIWWVILSLTWFLAAGYAQYFHLAAWLIPSVKSITALALSNLNSLRGFVLGPLVLYLLVGTLFLLAGFVSLFRIRSVIEKLMIRIGIFTLLYTVPASIVVACYLYEQHYRESWEAALTCACPGHDTGQPEYWVLMLKYFMCLVVGITSGVWIWSGKTVESWRRFTSRCC</v>
      </c>
      <c r="C375" s="29" t="str">
        <f>IF(ISERROR(MATCH(A375,'SegEnds_Xtal_Prot#'!B:B, 0)), "NoXtal", "Xtal")</f>
        <v>NoXtal</v>
      </c>
      <c r="D375" s="4" t="str">
        <f>VLOOKUP(A375,Classification!A:D,2,FALSE)</f>
        <v>F</v>
      </c>
      <c r="E375" s="5" t="str">
        <f>VLOOKUP(A375,Seqs!A:B,2,FALSE)</f>
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</c>
      <c r="F375" s="5" t="str">
        <f t="shared" si="126"/>
        <v>SADERTFATFWIGLWSVLCFISTSTTVATFLID</v>
      </c>
      <c r="G375" s="4" t="str">
        <f t="shared" si="127"/>
        <v>MERFR</v>
      </c>
      <c r="H375" s="4" t="str">
        <f t="shared" si="128"/>
        <v>YPERPIIFLSACYLCVSLGFLVRLVVG</v>
      </c>
      <c r="I375" s="4" t="str">
        <f t="shared" si="129"/>
        <v/>
      </c>
      <c r="J375" s="4" t="str">
        <f t="shared" si="130"/>
        <v>PALCTIVFLLVYFFGMASSIWWVILSLTWFLAAG</v>
      </c>
      <c r="K375" s="4" t="str">
        <f t="shared" si="131"/>
        <v/>
      </c>
      <c r="L375" s="4" t="str">
        <f t="shared" si="132"/>
        <v>YAQYFHLAAWLIPSVKSITALALS</v>
      </c>
      <c r="M375" s="4" t="str">
        <f t="shared" si="133"/>
        <v>CYV</v>
      </c>
      <c r="N375" s="4" t="str">
        <f t="shared" si="134"/>
        <v>NLNSLRGFVLGPLVLYLLVGTLFLLAGFVSLFRIRSVI</v>
      </c>
      <c r="O375" s="4" t="str">
        <f t="shared" si="135"/>
        <v>EKLMIRIGIFTLLYTVPASIVVACYLYEQHYRESWEAALTCACPGHDTGQP</v>
      </c>
      <c r="P375" s="4" t="str">
        <f t="shared" si="136"/>
        <v>EYWVLMLKYFMCLVVGITSGVWIW</v>
      </c>
      <c r="Q375" s="4" t="str">
        <f t="shared" si="137"/>
        <v>SGKTVESWRRFTSRCC</v>
      </c>
      <c r="R375" s="5">
        <f>VLOOKUP($A375,'SegEnds_NonXtal_Prot#'!$A:$AL,3,FALSE)</f>
        <v>228</v>
      </c>
      <c r="S375" s="5">
        <f>VLOOKUP($A375,'SegEnds_NonXtal_Prot#'!$A:$AL,6,FALSE)</f>
        <v>261</v>
      </c>
      <c r="T375" s="5">
        <f>VLOOKUP($A375,'SegEnds_NonXtal_Prot#'!$A:$AL,9,FALSE)</f>
        <v>266</v>
      </c>
      <c r="U375" s="5" t="str">
        <f>VLOOKUP($A375,'SegEnds_NonXtal_Prot#'!$A:$AL,12,FALSE)</f>
        <v>-</v>
      </c>
      <c r="V375" s="5">
        <f>VLOOKUP($A375,'SegEnds_NonXtal_Prot#'!$A:$AL,15,FALSE)</f>
        <v>312</v>
      </c>
      <c r="W375" s="5" t="str">
        <f>VLOOKUP($A375,'SegEnds_NonXtal_Prot#'!$A:$AL,18,FALSE)</f>
        <v>-</v>
      </c>
      <c r="X375" s="5">
        <f>VLOOKUP($A375,'SegEnds_NonXtal_Prot#'!$A:$AL,21,FALSE)</f>
        <v>356</v>
      </c>
      <c r="Y375" s="5">
        <f>VLOOKUP($A375,'SegEnds_NonXtal_Prot#'!$A:$AL,24,FALSE)</f>
        <v>390</v>
      </c>
      <c r="Z375" s="5">
        <f>VLOOKUP($A375,'SegEnds_NonXtal_Prot#'!$A:$AL,27,FALSE)</f>
        <v>396</v>
      </c>
      <c r="AA375" s="5">
        <f>VLOOKUP($A375,'SegEnds_NonXtal_Prot#'!$A:$AL,30,FALSE)</f>
        <v>444</v>
      </c>
      <c r="AB375" s="5">
        <f>VLOOKUP($A375,'SegEnds_NonXtal_Prot#'!$A:$AL,33,FALSE)</f>
        <v>499</v>
      </c>
      <c r="AC375" s="5">
        <f>VLOOKUP($A375,'SegEnds_NonXtal_Prot#'!$A:$AL,36,FALSE)</f>
        <v>523</v>
      </c>
      <c r="AD375" s="5">
        <f>VLOOKUP($A375,'SegEnds_NonXtal_Prot#'!$A:$AL,5,FALSE)</f>
        <v>260</v>
      </c>
      <c r="AE375" s="5">
        <f>VLOOKUP($A375,'SegEnds_NonXtal_Prot#'!$A:$AL,8,FALSE)</f>
        <v>265</v>
      </c>
      <c r="AF375" s="5">
        <f>VLOOKUP($A375,'SegEnds_NonXtal_Prot#'!$A:$AL,11,FALSE)</f>
        <v>292</v>
      </c>
      <c r="AG375" s="5" t="str">
        <f>VLOOKUP($A375,'SegEnds_NonXtal_Prot#'!$A:$AL,14,FALSE)</f>
        <v>-</v>
      </c>
      <c r="AH375" s="5">
        <f>VLOOKUP($A375,'SegEnds_NonXtal_Prot#'!$A:$AL,17,FALSE)</f>
        <v>345</v>
      </c>
      <c r="AI375" s="5" t="str">
        <f>VLOOKUP($A375,'SegEnds_NonXtal_Prot#'!$A:$AL,20,FALSE)</f>
        <v>-</v>
      </c>
      <c r="AJ375" s="5">
        <f>VLOOKUP($A375,'SegEnds_NonXtal_Prot#'!$A:$AL,23,FALSE)</f>
        <v>379</v>
      </c>
      <c r="AK375" s="5">
        <f>VLOOKUP($A375,'SegEnds_NonXtal_Prot#'!$A:$AL,26,FALSE)</f>
        <v>392</v>
      </c>
      <c r="AL375" s="5">
        <f>VLOOKUP($A375,'SegEnds_NonXtal_Prot#'!$A:$AL,29,FALSE)</f>
        <v>433</v>
      </c>
      <c r="AM375" s="5">
        <f>VLOOKUP($A375,'SegEnds_NonXtal_Prot#'!$A:$AL,32,FALSE)</f>
        <v>494</v>
      </c>
      <c r="AN375" s="5">
        <f>VLOOKUP($A375,'SegEnds_NonXtal_Prot#'!$A:$AL,35,FALSE)</f>
        <v>522</v>
      </c>
      <c r="AO375" s="5">
        <f>VLOOKUP($A375,'SegEnds_NonXtal_Prot#'!$A:$AL,38,FALSE)</f>
        <v>538</v>
      </c>
      <c r="AP375" s="5">
        <f t="shared" si="138"/>
        <v>32</v>
      </c>
      <c r="AQ375" s="4">
        <f t="shared" si="139"/>
        <v>4</v>
      </c>
      <c r="AR375" s="4">
        <f t="shared" si="140"/>
        <v>26</v>
      </c>
      <c r="AS375" s="4" t="str">
        <f t="shared" si="141"/>
        <v>-</v>
      </c>
      <c r="AT375" s="4">
        <f t="shared" si="142"/>
        <v>33</v>
      </c>
      <c r="AU375" s="4" t="str">
        <f t="shared" si="143"/>
        <v>-</v>
      </c>
      <c r="AV375" s="4">
        <f t="shared" si="144"/>
        <v>23</v>
      </c>
      <c r="AW375" s="4">
        <f t="shared" si="145"/>
        <v>2</v>
      </c>
      <c r="AX375" s="4">
        <f t="shared" si="146"/>
        <v>37</v>
      </c>
      <c r="AY375" s="4">
        <f t="shared" si="147"/>
        <v>50</v>
      </c>
      <c r="AZ375" s="4">
        <f t="shared" si="148"/>
        <v>23</v>
      </c>
      <c r="BA375" s="4">
        <f t="shared" si="149"/>
        <v>15</v>
      </c>
    </row>
    <row r="376" spans="1:53" x14ac:dyDescent="0.2">
      <c r="A376" s="1" t="str">
        <f>'SegEnds_NonXtal_Prot#'!A380</f>
        <v>fzd6_human</v>
      </c>
      <c r="B376" s="1" t="str">
        <f t="shared" si="125"/>
        <v>KSDELEFAKSFIGTVSIFCLCATLFTFLTFLIDYPERPIIYYSVCYSIVSLMYFIGFLLGNKACTVLFMLLYFFTMAGTVWWVILTITWFLAAGKAVWFHAVAWGTPGFLTVMLLAMNDLDASRYFVLLPLCLCVFVGLSLLLAGIISLNHVRQVIKKFMIRIGVFSGLYLVPLVTLLGCYVYEQVNRITWEITWVSDHCRQYHIPCELALFMIKYLMTLIVGISAVFWVGSKKTCTEWAGFFKRNR</v>
      </c>
      <c r="C376" s="29" t="str">
        <f>IF(ISERROR(MATCH(A376,'SegEnds_Xtal_Prot#'!B:B, 0)), "NoXtal", "Xtal")</f>
        <v>NoXtal</v>
      </c>
      <c r="D376" s="4" t="str">
        <f>VLOOKUP(A376,Classification!A:D,2,FALSE)</f>
        <v>F</v>
      </c>
      <c r="E376" s="5" t="str">
        <f>VLOOKUP(A376,Seqs!A:B,2,FALSE)</f>
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</c>
      <c r="F376" s="5" t="str">
        <f t="shared" si="126"/>
        <v>KSDELEFAKSFIGTVSIFCLCATLFTFLTFLID</v>
      </c>
      <c r="G376" s="4" t="str">
        <f t="shared" si="127"/>
        <v>VRRFR</v>
      </c>
      <c r="H376" s="4" t="str">
        <f t="shared" si="128"/>
        <v>YPERPIIYYSVCYSIVSLMYFIGFLLG</v>
      </c>
      <c r="I376" s="4" t="str">
        <f t="shared" si="129"/>
        <v/>
      </c>
      <c r="J376" s="4" t="str">
        <f t="shared" si="130"/>
        <v>NKACTVLFMLLYFFTMAGTVWWVILTITWFLAAG</v>
      </c>
      <c r="K376" s="4" t="str">
        <f t="shared" si="131"/>
        <v/>
      </c>
      <c r="L376" s="4" t="str">
        <f t="shared" si="132"/>
        <v>KAVWFHAVAWGTPGFLTVMLLAMN</v>
      </c>
      <c r="M376" s="4" t="str">
        <f t="shared" si="133"/>
        <v>CFV</v>
      </c>
      <c r="N376" s="4" t="str">
        <f t="shared" si="134"/>
        <v>DLDASRYFVLLPLCLCVFVGLSLLLAGIISLNHVRQVI</v>
      </c>
      <c r="O376" s="4" t="str">
        <f t="shared" si="135"/>
        <v>KKFMIRIGVFSGLYLVPLVTLLGCYVYEQVNRITWEITWVSDHCRQYHIPC</v>
      </c>
      <c r="P376" s="4" t="str">
        <f t="shared" si="136"/>
        <v>ELALFMIKYLMTLIVGISAVFWVG</v>
      </c>
      <c r="Q376" s="4" t="str">
        <f t="shared" si="137"/>
        <v>SKKTCTEWAGFFKRNR</v>
      </c>
      <c r="R376" s="5">
        <f>VLOOKUP($A376,'SegEnds_NonXtal_Prot#'!$A:$AL,3,FALSE)</f>
        <v>191</v>
      </c>
      <c r="S376" s="5">
        <f>VLOOKUP($A376,'SegEnds_NonXtal_Prot#'!$A:$AL,6,FALSE)</f>
        <v>224</v>
      </c>
      <c r="T376" s="5">
        <f>VLOOKUP($A376,'SegEnds_NonXtal_Prot#'!$A:$AL,9,FALSE)</f>
        <v>229</v>
      </c>
      <c r="U376" s="5" t="str">
        <f>VLOOKUP($A376,'SegEnds_NonXtal_Prot#'!$A:$AL,12,FALSE)</f>
        <v>-</v>
      </c>
      <c r="V376" s="5">
        <f>VLOOKUP($A376,'SegEnds_NonXtal_Prot#'!$A:$AL,15,FALSE)</f>
        <v>279</v>
      </c>
      <c r="W376" s="5" t="str">
        <f>VLOOKUP($A376,'SegEnds_NonXtal_Prot#'!$A:$AL,18,FALSE)</f>
        <v>-</v>
      </c>
      <c r="X376" s="5">
        <f>VLOOKUP($A376,'SegEnds_NonXtal_Prot#'!$A:$AL,21,FALSE)</f>
        <v>323</v>
      </c>
      <c r="Y376" s="5">
        <f>VLOOKUP($A376,'SegEnds_NonXtal_Prot#'!$A:$AL,24,FALSE)</f>
        <v>357</v>
      </c>
      <c r="Z376" s="5">
        <f>VLOOKUP($A376,'SegEnds_NonXtal_Prot#'!$A:$AL,27,FALSE)</f>
        <v>363</v>
      </c>
      <c r="AA376" s="5">
        <f>VLOOKUP($A376,'SegEnds_NonXtal_Prot#'!$A:$AL,30,FALSE)</f>
        <v>411</v>
      </c>
      <c r="AB376" s="5">
        <f>VLOOKUP($A376,'SegEnds_NonXtal_Prot#'!$A:$AL,33,FALSE)</f>
        <v>472</v>
      </c>
      <c r="AC376" s="5">
        <f>VLOOKUP($A376,'SegEnds_NonXtal_Prot#'!$A:$AL,36,FALSE)</f>
        <v>496</v>
      </c>
      <c r="AD376" s="5">
        <f>VLOOKUP($A376,'SegEnds_NonXtal_Prot#'!$A:$AL,5,FALSE)</f>
        <v>223</v>
      </c>
      <c r="AE376" s="5">
        <f>VLOOKUP($A376,'SegEnds_NonXtal_Prot#'!$A:$AL,8,FALSE)</f>
        <v>228</v>
      </c>
      <c r="AF376" s="5">
        <f>VLOOKUP($A376,'SegEnds_NonXtal_Prot#'!$A:$AL,11,FALSE)</f>
        <v>255</v>
      </c>
      <c r="AG376" s="5" t="str">
        <f>VLOOKUP($A376,'SegEnds_NonXtal_Prot#'!$A:$AL,14,FALSE)</f>
        <v>-</v>
      </c>
      <c r="AH376" s="5">
        <f>VLOOKUP($A376,'SegEnds_NonXtal_Prot#'!$A:$AL,17,FALSE)</f>
        <v>312</v>
      </c>
      <c r="AI376" s="5" t="str">
        <f>VLOOKUP($A376,'SegEnds_NonXtal_Prot#'!$A:$AL,20,FALSE)</f>
        <v>-</v>
      </c>
      <c r="AJ376" s="5">
        <f>VLOOKUP($A376,'SegEnds_NonXtal_Prot#'!$A:$AL,23,FALSE)</f>
        <v>346</v>
      </c>
      <c r="AK376" s="5">
        <f>VLOOKUP($A376,'SegEnds_NonXtal_Prot#'!$A:$AL,26,FALSE)</f>
        <v>359</v>
      </c>
      <c r="AL376" s="5">
        <f>VLOOKUP($A376,'SegEnds_NonXtal_Prot#'!$A:$AL,29,FALSE)</f>
        <v>400</v>
      </c>
      <c r="AM376" s="5">
        <f>VLOOKUP($A376,'SegEnds_NonXtal_Prot#'!$A:$AL,32,FALSE)</f>
        <v>461</v>
      </c>
      <c r="AN376" s="5">
        <f>VLOOKUP($A376,'SegEnds_NonXtal_Prot#'!$A:$AL,35,FALSE)</f>
        <v>495</v>
      </c>
      <c r="AO376" s="5">
        <f>VLOOKUP($A376,'SegEnds_NonXtal_Prot#'!$A:$AL,38,FALSE)</f>
        <v>511</v>
      </c>
      <c r="AP376" s="5">
        <f t="shared" si="138"/>
        <v>32</v>
      </c>
      <c r="AQ376" s="4">
        <f t="shared" si="139"/>
        <v>4</v>
      </c>
      <c r="AR376" s="4">
        <f t="shared" si="140"/>
        <v>26</v>
      </c>
      <c r="AS376" s="4" t="str">
        <f t="shared" si="141"/>
        <v>-</v>
      </c>
      <c r="AT376" s="4">
        <f t="shared" si="142"/>
        <v>33</v>
      </c>
      <c r="AU376" s="4" t="str">
        <f t="shared" si="143"/>
        <v>-</v>
      </c>
      <c r="AV376" s="4">
        <f t="shared" si="144"/>
        <v>23</v>
      </c>
      <c r="AW376" s="4">
        <f t="shared" si="145"/>
        <v>2</v>
      </c>
      <c r="AX376" s="4">
        <f t="shared" si="146"/>
        <v>37</v>
      </c>
      <c r="AY376" s="4">
        <f t="shared" si="147"/>
        <v>50</v>
      </c>
      <c r="AZ376" s="4">
        <f t="shared" si="148"/>
        <v>23</v>
      </c>
      <c r="BA376" s="4">
        <f t="shared" si="149"/>
        <v>15</v>
      </c>
    </row>
    <row r="377" spans="1:53" x14ac:dyDescent="0.2">
      <c r="A377" s="1" t="str">
        <f>'SegEnds_NonXtal_Prot#'!A381</f>
        <v>fzd7_human</v>
      </c>
      <c r="B377" s="1" t="str">
        <f t="shared" si="125"/>
        <v>KEEERRFARLWVGVWSVLCCASTLFTVLTYLVDYPERPIIFLSGCYFMVAVAHVAGFLLEKEGCTILFMVLYFFGMASSIWWVILSLTWFLAAGNSQYFHLAAWAVPAVKTITILAMGSVDALRGFVLAPLFVYLFIGTSFLLAGFVSLFRIRTIMEKLMVRIGVFSVLYTVPATIVLACYFYEQAFREHWERTWLLQTCKSYAVPCDFTVFMIKYLMTMIVGITTGFWIWSGKTLQSWRRFYHRLS</v>
      </c>
      <c r="C377" s="29" t="str">
        <f>IF(ISERROR(MATCH(A377,'SegEnds_Xtal_Prot#'!B:B, 0)), "NoXtal", "Xtal")</f>
        <v>NoXtal</v>
      </c>
      <c r="D377" s="4" t="str">
        <f>VLOOKUP(A377,Classification!A:D,2,FALSE)</f>
        <v>F</v>
      </c>
      <c r="E377" s="5" t="str">
        <f>VLOOKUP(A377,Seqs!A:B,2,FALSE)</f>
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</c>
      <c r="F377" s="5" t="str">
        <f t="shared" si="126"/>
        <v>KEEERRFARLWVGVWSVLCCASTLFTVLTYLVD</v>
      </c>
      <c r="G377" s="4" t="str">
        <f t="shared" si="127"/>
        <v>MRRFS</v>
      </c>
      <c r="H377" s="4" t="str">
        <f t="shared" si="128"/>
        <v>YPERPIIFLSGCYFMVAVAHVAGFLLE</v>
      </c>
      <c r="I377" s="4" t="str">
        <f t="shared" si="129"/>
        <v/>
      </c>
      <c r="J377" s="4" t="str">
        <f t="shared" si="130"/>
        <v>KEGCTILFMVLYFFGMASSIWWVILSLTWFLAAG</v>
      </c>
      <c r="K377" s="4" t="str">
        <f t="shared" si="131"/>
        <v/>
      </c>
      <c r="L377" s="4" t="str">
        <f t="shared" si="132"/>
        <v>NSQYFHLAAWAVPAVKTITILAMG</v>
      </c>
      <c r="M377" s="4" t="str">
        <f t="shared" si="133"/>
        <v>CYV</v>
      </c>
      <c r="N377" s="4" t="str">
        <f t="shared" si="134"/>
        <v>SVDALRGFVLAPLFVYLFIGTSFLLAGFVSLFRIRTIM</v>
      </c>
      <c r="O377" s="4" t="str">
        <f t="shared" si="135"/>
        <v>EKLMVRIGVFSVLYTVPATIVLACYFYEQAFREHWERTWLLQTCKSYAVPC</v>
      </c>
      <c r="P377" s="4" t="str">
        <f t="shared" si="136"/>
        <v>DFTVFMIKYLMTMIVGITTGFWIW</v>
      </c>
      <c r="Q377" s="4" t="str">
        <f t="shared" si="137"/>
        <v>SGKTLQSWRRFYHRLS</v>
      </c>
      <c r="R377" s="5">
        <f>VLOOKUP($A377,'SegEnds_NonXtal_Prot#'!$A:$AL,3,FALSE)</f>
        <v>246</v>
      </c>
      <c r="S377" s="5">
        <f>VLOOKUP($A377,'SegEnds_NonXtal_Prot#'!$A:$AL,6,FALSE)</f>
        <v>279</v>
      </c>
      <c r="T377" s="5">
        <f>VLOOKUP($A377,'SegEnds_NonXtal_Prot#'!$A:$AL,9,FALSE)</f>
        <v>284</v>
      </c>
      <c r="U377" s="5" t="str">
        <f>VLOOKUP($A377,'SegEnds_NonXtal_Prot#'!$A:$AL,12,FALSE)</f>
        <v>-</v>
      </c>
      <c r="V377" s="5">
        <f>VLOOKUP($A377,'SegEnds_NonXtal_Prot#'!$A:$AL,15,FALSE)</f>
        <v>333</v>
      </c>
      <c r="W377" s="5" t="str">
        <f>VLOOKUP($A377,'SegEnds_NonXtal_Prot#'!$A:$AL,18,FALSE)</f>
        <v>-</v>
      </c>
      <c r="X377" s="5">
        <f>VLOOKUP($A377,'SegEnds_NonXtal_Prot#'!$A:$AL,21,FALSE)</f>
        <v>377</v>
      </c>
      <c r="Y377" s="5">
        <f>VLOOKUP($A377,'SegEnds_NonXtal_Prot#'!$A:$AL,24,FALSE)</f>
        <v>411</v>
      </c>
      <c r="Z377" s="5">
        <f>VLOOKUP($A377,'SegEnds_NonXtal_Prot#'!$A:$AL,27,FALSE)</f>
        <v>417</v>
      </c>
      <c r="AA377" s="5">
        <f>VLOOKUP($A377,'SegEnds_NonXtal_Prot#'!$A:$AL,30,FALSE)</f>
        <v>465</v>
      </c>
      <c r="AB377" s="5">
        <f>VLOOKUP($A377,'SegEnds_NonXtal_Prot#'!$A:$AL,33,FALSE)</f>
        <v>526</v>
      </c>
      <c r="AC377" s="5">
        <f>VLOOKUP($A377,'SegEnds_NonXtal_Prot#'!$A:$AL,36,FALSE)</f>
        <v>550</v>
      </c>
      <c r="AD377" s="5">
        <f>VLOOKUP($A377,'SegEnds_NonXtal_Prot#'!$A:$AL,5,FALSE)</f>
        <v>278</v>
      </c>
      <c r="AE377" s="5">
        <f>VLOOKUP($A377,'SegEnds_NonXtal_Prot#'!$A:$AL,8,FALSE)</f>
        <v>283</v>
      </c>
      <c r="AF377" s="5">
        <f>VLOOKUP($A377,'SegEnds_NonXtal_Prot#'!$A:$AL,11,FALSE)</f>
        <v>310</v>
      </c>
      <c r="AG377" s="5" t="str">
        <f>VLOOKUP($A377,'SegEnds_NonXtal_Prot#'!$A:$AL,14,FALSE)</f>
        <v>-</v>
      </c>
      <c r="AH377" s="5">
        <f>VLOOKUP($A377,'SegEnds_NonXtal_Prot#'!$A:$AL,17,FALSE)</f>
        <v>366</v>
      </c>
      <c r="AI377" s="5" t="str">
        <f>VLOOKUP($A377,'SegEnds_NonXtal_Prot#'!$A:$AL,20,FALSE)</f>
        <v>-</v>
      </c>
      <c r="AJ377" s="5">
        <f>VLOOKUP($A377,'SegEnds_NonXtal_Prot#'!$A:$AL,23,FALSE)</f>
        <v>400</v>
      </c>
      <c r="AK377" s="5">
        <f>VLOOKUP($A377,'SegEnds_NonXtal_Prot#'!$A:$AL,26,FALSE)</f>
        <v>413</v>
      </c>
      <c r="AL377" s="5">
        <f>VLOOKUP($A377,'SegEnds_NonXtal_Prot#'!$A:$AL,29,FALSE)</f>
        <v>454</v>
      </c>
      <c r="AM377" s="5">
        <f>VLOOKUP($A377,'SegEnds_NonXtal_Prot#'!$A:$AL,32,FALSE)</f>
        <v>515</v>
      </c>
      <c r="AN377" s="5">
        <f>VLOOKUP($A377,'SegEnds_NonXtal_Prot#'!$A:$AL,35,FALSE)</f>
        <v>549</v>
      </c>
      <c r="AO377" s="5">
        <f>VLOOKUP($A377,'SegEnds_NonXtal_Prot#'!$A:$AL,38,FALSE)</f>
        <v>565</v>
      </c>
      <c r="AP377" s="5">
        <f t="shared" si="138"/>
        <v>32</v>
      </c>
      <c r="AQ377" s="4">
        <f t="shared" si="139"/>
        <v>4</v>
      </c>
      <c r="AR377" s="4">
        <f t="shared" si="140"/>
        <v>26</v>
      </c>
      <c r="AS377" s="4" t="str">
        <f t="shared" si="141"/>
        <v>-</v>
      </c>
      <c r="AT377" s="4">
        <f t="shared" si="142"/>
        <v>33</v>
      </c>
      <c r="AU377" s="4" t="str">
        <f t="shared" si="143"/>
        <v>-</v>
      </c>
      <c r="AV377" s="4">
        <f t="shared" si="144"/>
        <v>23</v>
      </c>
      <c r="AW377" s="4">
        <f t="shared" si="145"/>
        <v>2</v>
      </c>
      <c r="AX377" s="4">
        <f t="shared" si="146"/>
        <v>37</v>
      </c>
      <c r="AY377" s="4">
        <f t="shared" si="147"/>
        <v>50</v>
      </c>
      <c r="AZ377" s="4">
        <f t="shared" si="148"/>
        <v>23</v>
      </c>
      <c r="BA377" s="4">
        <f t="shared" si="149"/>
        <v>15</v>
      </c>
    </row>
    <row r="378" spans="1:53" x14ac:dyDescent="0.2">
      <c r="A378" s="1" t="str">
        <f>'SegEnds_NonXtal_Prot#'!A382</f>
        <v>fzd8_human</v>
      </c>
      <c r="B378" s="1" t="str">
        <f t="shared" si="125"/>
        <v>SQDERAFTVFWIGLWSVLCFVSTFATVSTFLIDYPERPIIFLSACYLFVSVGYLVRLVAGPALCTVVFLLVYFFGMASSIWWVILSLTWFLAAGYSQYFHLAAWLVPSVKSIAVLALSSLDNLRGFVLAPLVIYLFIGTMFLLAGFVSLFRIRSVIEKLMIRLGLFTVLYTVPAAVVVACLFYEQHNRPRWEATHNCPCLRDLQPDQDYAVFMLKYFMCLVVGITSGVWVWSGKTLESWRSLCTRCC</v>
      </c>
      <c r="C378" s="29" t="str">
        <f>IF(ISERROR(MATCH(A378,'SegEnds_Xtal_Prot#'!B:B, 0)), "NoXtal", "Xtal")</f>
        <v>NoXtal</v>
      </c>
      <c r="D378" s="4" t="str">
        <f>VLOOKUP(A378,Classification!A:D,2,FALSE)</f>
        <v>F</v>
      </c>
      <c r="E378" s="5" t="str">
        <f>VLOOKUP(A378,Seqs!A:B,2,FALSE)</f>
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</c>
      <c r="F378" s="5" t="str">
        <f t="shared" si="126"/>
        <v>SQDERAFTVFWIGLWSVLCFVSTFATVSTFLID</v>
      </c>
      <c r="G378" s="4" t="str">
        <f t="shared" si="127"/>
        <v>MERFK</v>
      </c>
      <c r="H378" s="4" t="str">
        <f t="shared" si="128"/>
        <v>YPERPIIFLSACYLFVSVGYLVRLVAG</v>
      </c>
      <c r="I378" s="4" t="str">
        <f t="shared" si="129"/>
        <v/>
      </c>
      <c r="J378" s="4" t="str">
        <f t="shared" si="130"/>
        <v>PALCTVVFLLVYFFGMASSIWWVILSLTWFLAAG</v>
      </c>
      <c r="K378" s="4" t="str">
        <f t="shared" si="131"/>
        <v/>
      </c>
      <c r="L378" s="4" t="str">
        <f t="shared" si="132"/>
        <v>YSQYFHLAAWLVPSVKSIAVLALS</v>
      </c>
      <c r="M378" s="4" t="str">
        <f t="shared" si="133"/>
        <v>CYV</v>
      </c>
      <c r="N378" s="4" t="str">
        <f t="shared" si="134"/>
        <v>SLDNLRGFVLAPLVIYLFIGTMFLLAGFVSLFRIRSVI</v>
      </c>
      <c r="O378" s="4" t="str">
        <f t="shared" si="135"/>
        <v>EKLMIRLGLFTVLYTVPAAVVVACLFYEQHNRPRWEATHNCPCLRDLQPDQ</v>
      </c>
      <c r="P378" s="4" t="str">
        <f t="shared" si="136"/>
        <v>DYAVFMLKYFMCLVVGITSGVWVW</v>
      </c>
      <c r="Q378" s="4" t="str">
        <f t="shared" si="137"/>
        <v>SGKTLESWRSLCTRCC</v>
      </c>
      <c r="R378" s="5">
        <f>VLOOKUP($A378,'SegEnds_NonXtal_Prot#'!$A:$AL,3,FALSE)</f>
        <v>270</v>
      </c>
      <c r="S378" s="5">
        <f>VLOOKUP($A378,'SegEnds_NonXtal_Prot#'!$A:$AL,6,FALSE)</f>
        <v>303</v>
      </c>
      <c r="T378" s="5">
        <f>VLOOKUP($A378,'SegEnds_NonXtal_Prot#'!$A:$AL,9,FALSE)</f>
        <v>308</v>
      </c>
      <c r="U378" s="5" t="str">
        <f>VLOOKUP($A378,'SegEnds_NonXtal_Prot#'!$A:$AL,12,FALSE)</f>
        <v>-</v>
      </c>
      <c r="V378" s="5">
        <f>VLOOKUP($A378,'SegEnds_NonXtal_Prot#'!$A:$AL,15,FALSE)</f>
        <v>393</v>
      </c>
      <c r="W378" s="5" t="str">
        <f>VLOOKUP($A378,'SegEnds_NonXtal_Prot#'!$A:$AL,18,FALSE)</f>
        <v>-</v>
      </c>
      <c r="X378" s="5">
        <f>VLOOKUP($A378,'SegEnds_NonXtal_Prot#'!$A:$AL,21,FALSE)</f>
        <v>437</v>
      </c>
      <c r="Y378" s="5">
        <f>VLOOKUP($A378,'SegEnds_NonXtal_Prot#'!$A:$AL,24,FALSE)</f>
        <v>471</v>
      </c>
      <c r="Z378" s="5">
        <f>VLOOKUP($A378,'SegEnds_NonXtal_Prot#'!$A:$AL,27,FALSE)</f>
        <v>477</v>
      </c>
      <c r="AA378" s="5">
        <f>VLOOKUP($A378,'SegEnds_NonXtal_Prot#'!$A:$AL,30,FALSE)</f>
        <v>527</v>
      </c>
      <c r="AB378" s="5">
        <f>VLOOKUP($A378,'SegEnds_NonXtal_Prot#'!$A:$AL,33,FALSE)</f>
        <v>582</v>
      </c>
      <c r="AC378" s="5">
        <f>VLOOKUP($A378,'SegEnds_NonXtal_Prot#'!$A:$AL,36,FALSE)</f>
        <v>606</v>
      </c>
      <c r="AD378" s="5">
        <f>VLOOKUP($A378,'SegEnds_NonXtal_Prot#'!$A:$AL,5,FALSE)</f>
        <v>302</v>
      </c>
      <c r="AE378" s="5">
        <f>VLOOKUP($A378,'SegEnds_NonXtal_Prot#'!$A:$AL,8,FALSE)</f>
        <v>307</v>
      </c>
      <c r="AF378" s="5">
        <f>VLOOKUP($A378,'SegEnds_NonXtal_Prot#'!$A:$AL,11,FALSE)</f>
        <v>334</v>
      </c>
      <c r="AG378" s="5" t="str">
        <f>VLOOKUP($A378,'SegEnds_NonXtal_Prot#'!$A:$AL,14,FALSE)</f>
        <v>-</v>
      </c>
      <c r="AH378" s="5">
        <f>VLOOKUP($A378,'SegEnds_NonXtal_Prot#'!$A:$AL,17,FALSE)</f>
        <v>426</v>
      </c>
      <c r="AI378" s="5" t="str">
        <f>VLOOKUP($A378,'SegEnds_NonXtal_Prot#'!$A:$AL,20,FALSE)</f>
        <v>-</v>
      </c>
      <c r="AJ378" s="5">
        <f>VLOOKUP($A378,'SegEnds_NonXtal_Prot#'!$A:$AL,23,FALSE)</f>
        <v>460</v>
      </c>
      <c r="AK378" s="5">
        <f>VLOOKUP($A378,'SegEnds_NonXtal_Prot#'!$A:$AL,26,FALSE)</f>
        <v>473</v>
      </c>
      <c r="AL378" s="5">
        <f>VLOOKUP($A378,'SegEnds_NonXtal_Prot#'!$A:$AL,29,FALSE)</f>
        <v>514</v>
      </c>
      <c r="AM378" s="5">
        <f>VLOOKUP($A378,'SegEnds_NonXtal_Prot#'!$A:$AL,32,FALSE)</f>
        <v>577</v>
      </c>
      <c r="AN378" s="5">
        <f>VLOOKUP($A378,'SegEnds_NonXtal_Prot#'!$A:$AL,35,FALSE)</f>
        <v>605</v>
      </c>
      <c r="AO378" s="5">
        <f>VLOOKUP($A378,'SegEnds_NonXtal_Prot#'!$A:$AL,38,FALSE)</f>
        <v>621</v>
      </c>
      <c r="AP378" s="5">
        <f t="shared" si="138"/>
        <v>32</v>
      </c>
      <c r="AQ378" s="4">
        <f t="shared" si="139"/>
        <v>4</v>
      </c>
      <c r="AR378" s="4">
        <f t="shared" si="140"/>
        <v>26</v>
      </c>
      <c r="AS378" s="4" t="str">
        <f t="shared" si="141"/>
        <v>-</v>
      </c>
      <c r="AT378" s="4">
        <f t="shared" si="142"/>
        <v>33</v>
      </c>
      <c r="AU378" s="4" t="str">
        <f t="shared" si="143"/>
        <v>-</v>
      </c>
      <c r="AV378" s="4">
        <f t="shared" si="144"/>
        <v>23</v>
      </c>
      <c r="AW378" s="4">
        <f t="shared" si="145"/>
        <v>2</v>
      </c>
      <c r="AX378" s="4">
        <f t="shared" si="146"/>
        <v>37</v>
      </c>
      <c r="AY378" s="4">
        <f t="shared" si="147"/>
        <v>50</v>
      </c>
      <c r="AZ378" s="4">
        <f t="shared" si="148"/>
        <v>23</v>
      </c>
      <c r="BA378" s="4">
        <f t="shared" si="149"/>
        <v>15</v>
      </c>
    </row>
    <row r="379" spans="1:53" x14ac:dyDescent="0.2">
      <c r="A379" s="1" t="str">
        <f>'SegEnds_NonXtal_Prot#'!A383</f>
        <v>fzd9_human</v>
      </c>
      <c r="B379" s="1" t="str">
        <f t="shared" si="125"/>
        <v>SRRDKDFALVWMAVWSALCFFSTAFTVLTFLLEYPERPIIFLSMCYNVYSLAFLIRAVAGNTGCTLVFLLLYYFGMASSLWWVVLTLTWFLAAGHGSYFHMAAWGLPALKTIVILTLRDAAALTGFVLVPLSGYLVLGSSFLLTGFVALFHIRKIMEKLMVKIGVFSILYTVPATCVIVCYVYERLNMDFWRLRATEQPCAAAAGPGTVAVFMLKIFMSLVVGITSGVWVWSSKTFQTWQSLCYRKI</v>
      </c>
      <c r="C379" s="29" t="str">
        <f>IF(ISERROR(MATCH(A379,'SegEnds_Xtal_Prot#'!B:B, 0)), "NoXtal", "Xtal")</f>
        <v>NoXtal</v>
      </c>
      <c r="D379" s="4" t="str">
        <f>VLOOKUP(A379,Classification!A:D,2,FALSE)</f>
        <v>F</v>
      </c>
      <c r="E379" s="5" t="str">
        <f>VLOOKUP(A379,Seqs!A:B,2,FALSE)</f>
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</c>
      <c r="F379" s="5" t="str">
        <f t="shared" si="126"/>
        <v>SRRDKDFALVWMAVWSALCFFSTAFTVLTFLLE</v>
      </c>
      <c r="G379" s="4" t="str">
        <f t="shared" si="127"/>
        <v>PHRFQ</v>
      </c>
      <c r="H379" s="4" t="str">
        <f t="shared" si="128"/>
        <v>YPERPIIFLSMCYNVYSLAFLIRAVAG</v>
      </c>
      <c r="I379" s="4" t="str">
        <f t="shared" si="129"/>
        <v/>
      </c>
      <c r="J379" s="4" t="str">
        <f t="shared" si="130"/>
        <v>NTGCTLVFLLLYYFGMASSLWWVVLTLTWFLAAG</v>
      </c>
      <c r="K379" s="4" t="str">
        <f t="shared" si="131"/>
        <v/>
      </c>
      <c r="L379" s="4" t="str">
        <f t="shared" si="132"/>
        <v>HGSYFHMAAWGLPALKTIVILTLR</v>
      </c>
      <c r="M379" s="4" t="str">
        <f t="shared" si="133"/>
        <v>CYV</v>
      </c>
      <c r="N379" s="4" t="str">
        <f t="shared" si="134"/>
        <v>DAAALTGFVLVPLSGYLVLGSSFLLTGFVALFHIRKIM</v>
      </c>
      <c r="O379" s="4" t="str">
        <f t="shared" si="135"/>
        <v>EKLMVKIGVFSILYTVPATCVIVCYVYERLNMDFWRLRATEQPCAAAAGPG</v>
      </c>
      <c r="P379" s="4" t="str">
        <f t="shared" si="136"/>
        <v>TVAVFMLKIFMSLVVGITSGVWVW</v>
      </c>
      <c r="Q379" s="4" t="str">
        <f t="shared" si="137"/>
        <v>SSKTFQTWQSLCYRKI</v>
      </c>
      <c r="R379" s="5">
        <f>VLOOKUP($A379,'SegEnds_NonXtal_Prot#'!$A:$AL,3,FALSE)</f>
        <v>224</v>
      </c>
      <c r="S379" s="5">
        <f>VLOOKUP($A379,'SegEnds_NonXtal_Prot#'!$A:$AL,6,FALSE)</f>
        <v>257</v>
      </c>
      <c r="T379" s="5">
        <f>VLOOKUP($A379,'SegEnds_NonXtal_Prot#'!$A:$AL,9,FALSE)</f>
        <v>262</v>
      </c>
      <c r="U379" s="5" t="str">
        <f>VLOOKUP($A379,'SegEnds_NonXtal_Prot#'!$A:$AL,12,FALSE)</f>
        <v>-</v>
      </c>
      <c r="V379" s="5">
        <f>VLOOKUP($A379,'SegEnds_NonXtal_Prot#'!$A:$AL,15,FALSE)</f>
        <v>310</v>
      </c>
      <c r="W379" s="5" t="str">
        <f>VLOOKUP($A379,'SegEnds_NonXtal_Prot#'!$A:$AL,18,FALSE)</f>
        <v>-</v>
      </c>
      <c r="X379" s="5">
        <f>VLOOKUP($A379,'SegEnds_NonXtal_Prot#'!$A:$AL,21,FALSE)</f>
        <v>354</v>
      </c>
      <c r="Y379" s="5">
        <f>VLOOKUP($A379,'SegEnds_NonXtal_Prot#'!$A:$AL,24,FALSE)</f>
        <v>388</v>
      </c>
      <c r="Z379" s="5">
        <f>VLOOKUP($A379,'SegEnds_NonXtal_Prot#'!$A:$AL,27,FALSE)</f>
        <v>394</v>
      </c>
      <c r="AA379" s="5">
        <f>VLOOKUP($A379,'SegEnds_NonXtal_Prot#'!$A:$AL,30,FALSE)</f>
        <v>442</v>
      </c>
      <c r="AB379" s="5">
        <f>VLOOKUP($A379,'SegEnds_NonXtal_Prot#'!$A:$AL,33,FALSE)</f>
        <v>506</v>
      </c>
      <c r="AC379" s="5">
        <f>VLOOKUP($A379,'SegEnds_NonXtal_Prot#'!$A:$AL,36,FALSE)</f>
        <v>530</v>
      </c>
      <c r="AD379" s="5">
        <f>VLOOKUP($A379,'SegEnds_NonXtal_Prot#'!$A:$AL,5,FALSE)</f>
        <v>256</v>
      </c>
      <c r="AE379" s="5">
        <f>VLOOKUP($A379,'SegEnds_NonXtal_Prot#'!$A:$AL,8,FALSE)</f>
        <v>261</v>
      </c>
      <c r="AF379" s="5">
        <f>VLOOKUP($A379,'SegEnds_NonXtal_Prot#'!$A:$AL,11,FALSE)</f>
        <v>288</v>
      </c>
      <c r="AG379" s="5" t="str">
        <f>VLOOKUP($A379,'SegEnds_NonXtal_Prot#'!$A:$AL,14,FALSE)</f>
        <v>-</v>
      </c>
      <c r="AH379" s="5">
        <f>VLOOKUP($A379,'SegEnds_NonXtal_Prot#'!$A:$AL,17,FALSE)</f>
        <v>343</v>
      </c>
      <c r="AI379" s="5" t="str">
        <f>VLOOKUP($A379,'SegEnds_NonXtal_Prot#'!$A:$AL,20,FALSE)</f>
        <v>-</v>
      </c>
      <c r="AJ379" s="5">
        <f>VLOOKUP($A379,'SegEnds_NonXtal_Prot#'!$A:$AL,23,FALSE)</f>
        <v>377</v>
      </c>
      <c r="AK379" s="5">
        <f>VLOOKUP($A379,'SegEnds_NonXtal_Prot#'!$A:$AL,26,FALSE)</f>
        <v>390</v>
      </c>
      <c r="AL379" s="5">
        <f>VLOOKUP($A379,'SegEnds_NonXtal_Prot#'!$A:$AL,29,FALSE)</f>
        <v>431</v>
      </c>
      <c r="AM379" s="5">
        <f>VLOOKUP($A379,'SegEnds_NonXtal_Prot#'!$A:$AL,32,FALSE)</f>
        <v>492</v>
      </c>
      <c r="AN379" s="5">
        <f>VLOOKUP($A379,'SegEnds_NonXtal_Prot#'!$A:$AL,35,FALSE)</f>
        <v>529</v>
      </c>
      <c r="AO379" s="5">
        <f>VLOOKUP($A379,'SegEnds_NonXtal_Prot#'!$A:$AL,38,FALSE)</f>
        <v>545</v>
      </c>
      <c r="AP379" s="5">
        <f t="shared" si="138"/>
        <v>32</v>
      </c>
      <c r="AQ379" s="4">
        <f t="shared" si="139"/>
        <v>4</v>
      </c>
      <c r="AR379" s="4">
        <f t="shared" si="140"/>
        <v>26</v>
      </c>
      <c r="AS379" s="4" t="str">
        <f t="shared" si="141"/>
        <v>-</v>
      </c>
      <c r="AT379" s="4">
        <f t="shared" si="142"/>
        <v>33</v>
      </c>
      <c r="AU379" s="4" t="str">
        <f t="shared" si="143"/>
        <v>-</v>
      </c>
      <c r="AV379" s="4">
        <f t="shared" si="144"/>
        <v>23</v>
      </c>
      <c r="AW379" s="4">
        <f t="shared" si="145"/>
        <v>2</v>
      </c>
      <c r="AX379" s="4">
        <f t="shared" si="146"/>
        <v>37</v>
      </c>
      <c r="AY379" s="4">
        <f t="shared" si="147"/>
        <v>50</v>
      </c>
      <c r="AZ379" s="4">
        <f t="shared" si="148"/>
        <v>23</v>
      </c>
      <c r="BA379" s="4">
        <f t="shared" si="149"/>
        <v>15</v>
      </c>
    </row>
    <row r="380" spans="1:53" x14ac:dyDescent="0.2">
      <c r="A380" s="1" t="str">
        <f>'SegEnds_NonXtal_Prot#'!A387</f>
        <v>g137a_human</v>
      </c>
      <c r="B380" s="1" t="str">
        <f t="shared" si="125"/>
        <v>PAVTLGLTAAYTTLYALLFFSVYAQLWLVLLYGHKRLSYQTVFLTVFLALCLLWAALRTTLFSFYFRDTKVKRRPEMSRGLLAVRGAFVGASLLFLLVNVLCARVLVSDSLFVICALSLAACLCLVARNVSDQADLVNDLGNKGYLVFGLIGHCEDEGCSWEHSRGESTRCQDQAAPSPTEYPGPSPPHPRPLCQVCLPLLAQDPGGRG</v>
      </c>
      <c r="C380" s="29" t="str">
        <f>IF(ISERROR(MATCH(A380,'SegEnds_Xtal_Prot#'!B:B, 0)), "NoXtal", "Xtal")</f>
        <v>NoXtal</v>
      </c>
      <c r="D380" s="4" t="str">
        <f>VLOOKUP(A380,Classification!A:D,2,FALSE)</f>
        <v>O</v>
      </c>
      <c r="E380" s="5" t="str">
        <f>VLOOKUP(A380,Seqs!A:B,2,FALSE)</f>
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</c>
      <c r="F380" s="5" t="str">
        <f t="shared" si="126"/>
        <v>PAVTLGLTAAYTTLYALLFFSVYAQLWLVLLYGHKRLSYQTVFL</v>
      </c>
      <c r="G380" s="4" t="str">
        <f t="shared" si="127"/>
        <v/>
      </c>
      <c r="H380" s="4" t="str">
        <f t="shared" si="128"/>
        <v>TVFLALCLLWAALRTTLFSFYFRDT</v>
      </c>
      <c r="I380" s="4" t="str">
        <f t="shared" si="129"/>
        <v/>
      </c>
      <c r="J380" s="4" t="str">
        <f t="shared" si="130"/>
        <v>KVKRRPEMSRGLLAVRGAFVGASLLFLLVNVLCA</v>
      </c>
      <c r="K380" s="4" t="str">
        <f t="shared" si="131"/>
        <v/>
      </c>
      <c r="L380" s="4" t="str">
        <f t="shared" si="132"/>
        <v>RVLVSDSLFVICALSLAACLCLVAR</v>
      </c>
      <c r="M380" s="4" t="str">
        <f t="shared" si="133"/>
        <v/>
      </c>
      <c r="N380" s="4" t="str">
        <f t="shared" si="134"/>
        <v>NVSDQADLVNDLGNKGYLVFGLI</v>
      </c>
      <c r="O380" s="4" t="str">
        <f t="shared" si="135"/>
        <v>GHCEDEGCSWEHSRGESTRCQDQAA</v>
      </c>
      <c r="P380" s="4" t="str">
        <f t="shared" si="136"/>
        <v>PSPTEYPGPSPPHPRPLCQVCL</v>
      </c>
      <c r="Q380" s="4" t="str">
        <f t="shared" si="137"/>
        <v>PLLAQDPGGRG</v>
      </c>
      <c r="R380" s="5">
        <f>VLOOKUP($A380,'SegEnds_NonXtal_Prot#'!$A:$AL,3,FALSE)</f>
        <v>20</v>
      </c>
      <c r="S380" s="5" t="str">
        <f>VLOOKUP($A380,'SegEnds_NonXtal_Prot#'!$A:$AL,6,FALSE)</f>
        <v>-</v>
      </c>
      <c r="T380" s="5">
        <f>VLOOKUP($A380,'SegEnds_NonXtal_Prot#'!$A:$AL,9,FALSE)</f>
        <v>60</v>
      </c>
      <c r="U380" s="5" t="str">
        <f>VLOOKUP($A380,'SegEnds_NonXtal_Prot#'!$A:$AL,12,FALSE)</f>
        <v>-</v>
      </c>
      <c r="V380" s="5">
        <f>VLOOKUP($A380,'SegEnds_NonXtal_Prot#'!$A:$AL,15,FALSE)</f>
        <v>125</v>
      </c>
      <c r="W380" s="5" t="str">
        <f>VLOOKUP($A380,'SegEnds_NonXtal_Prot#'!$A:$AL,18,FALSE)</f>
        <v>-</v>
      </c>
      <c r="X380" s="5">
        <f>VLOOKUP($A380,'SegEnds_NonXtal_Prot#'!$A:$AL,21,FALSE)</f>
        <v>175</v>
      </c>
      <c r="Y380" s="5" t="str">
        <f>VLOOKUP($A380,'SegEnds_NonXtal_Prot#'!$A:$AL,24,FALSE)</f>
        <v>-</v>
      </c>
      <c r="Z380" s="5">
        <f>VLOOKUP($A380,'SegEnds_NonXtal_Prot#'!$A:$AL,27,FALSE)</f>
        <v>257</v>
      </c>
      <c r="AA380" s="5">
        <f>VLOOKUP($A380,'SegEnds_NonXtal_Prot#'!$A:$AL,30,FALSE)</f>
        <v>326</v>
      </c>
      <c r="AB380" s="5">
        <f>VLOOKUP($A380,'SegEnds_NonXtal_Prot#'!$A:$AL,33,FALSE)</f>
        <v>365</v>
      </c>
      <c r="AC380" s="5">
        <f>VLOOKUP($A380,'SegEnds_NonXtal_Prot#'!$A:$AL,36,FALSE)</f>
        <v>387</v>
      </c>
      <c r="AD380" s="5">
        <f>VLOOKUP($A380,'SegEnds_NonXtal_Prot#'!$A:$AL,5,FALSE)</f>
        <v>63</v>
      </c>
      <c r="AE380" s="5" t="str">
        <f>VLOOKUP($A380,'SegEnds_NonXtal_Prot#'!$A:$AL,8,FALSE)</f>
        <v>-</v>
      </c>
      <c r="AF380" s="5">
        <f>VLOOKUP($A380,'SegEnds_NonXtal_Prot#'!$A:$AL,11,FALSE)</f>
        <v>84</v>
      </c>
      <c r="AG380" s="5" t="str">
        <f>VLOOKUP($A380,'SegEnds_NonXtal_Prot#'!$A:$AL,14,FALSE)</f>
        <v>-</v>
      </c>
      <c r="AH380" s="5">
        <f>VLOOKUP($A380,'SegEnds_NonXtal_Prot#'!$A:$AL,17,FALSE)</f>
        <v>158</v>
      </c>
      <c r="AI380" s="5" t="str">
        <f>VLOOKUP($A380,'SegEnds_NonXtal_Prot#'!$A:$AL,20,FALSE)</f>
        <v>-</v>
      </c>
      <c r="AJ380" s="5">
        <f>VLOOKUP($A380,'SegEnds_NonXtal_Prot#'!$A:$AL,23,FALSE)</f>
        <v>199</v>
      </c>
      <c r="AK380" s="5" t="str">
        <f>VLOOKUP($A380,'SegEnds_NonXtal_Prot#'!$A:$AL,26,FALSE)</f>
        <v>-</v>
      </c>
      <c r="AL380" s="5">
        <f>VLOOKUP($A380,'SegEnds_NonXtal_Prot#'!$A:$AL,29,FALSE)</f>
        <v>279</v>
      </c>
      <c r="AM380" s="5">
        <f>VLOOKUP($A380,'SegEnds_NonXtal_Prot#'!$A:$AL,32,FALSE)</f>
        <v>350</v>
      </c>
      <c r="AN380" s="5">
        <f>VLOOKUP($A380,'SegEnds_NonXtal_Prot#'!$A:$AL,35,FALSE)</f>
        <v>386</v>
      </c>
      <c r="AO380" s="5">
        <f>VLOOKUP($A380,'SegEnds_NonXtal_Prot#'!$A:$AL,38,FALSE)</f>
        <v>397</v>
      </c>
      <c r="AP380" s="5">
        <f t="shared" si="138"/>
        <v>43</v>
      </c>
      <c r="AQ380" s="4" t="str">
        <f t="shared" si="139"/>
        <v>-</v>
      </c>
      <c r="AR380" s="4">
        <f t="shared" si="140"/>
        <v>24</v>
      </c>
      <c r="AS380" s="4" t="str">
        <f t="shared" si="141"/>
        <v>-</v>
      </c>
      <c r="AT380" s="4">
        <f t="shared" si="142"/>
        <v>33</v>
      </c>
      <c r="AU380" s="4" t="str">
        <f t="shared" si="143"/>
        <v>-</v>
      </c>
      <c r="AV380" s="4">
        <f t="shared" si="144"/>
        <v>24</v>
      </c>
      <c r="AW380" s="4" t="str">
        <f t="shared" si="145"/>
        <v>-</v>
      </c>
      <c r="AX380" s="4">
        <f t="shared" si="146"/>
        <v>22</v>
      </c>
      <c r="AY380" s="4">
        <f t="shared" si="147"/>
        <v>24</v>
      </c>
      <c r="AZ380" s="4">
        <f t="shared" si="148"/>
        <v>21</v>
      </c>
      <c r="BA380" s="4">
        <f t="shared" si="149"/>
        <v>10</v>
      </c>
    </row>
    <row r="381" spans="1:53" x14ac:dyDescent="0.2">
      <c r="A381" s="1" t="str">
        <f>'SegEnds_NonXtal_Prot#'!A384</f>
        <v>smo_human</v>
      </c>
      <c r="B381" s="1" t="str">
        <f t="shared" si="125"/>
        <v>TEAEHQDMHSYIAAFGAVTGLCTLFTLATFVADRYPAVILFYVNACFFVGSIGWLAQFLSCVIIFVIVYYALMAGVVWFVVLTYAWHTSFKAKTSYFHLLTWSLPFVLTVAILAVANYRYRAGFVLAPIGLVLIVGGYFLIRGVMTLFSIKSNHSEKAASKINETMLRLGIFGFLAFGFVLITFSCHFYDFFNQAEWERSFRDYVLCQANVTISLLVEKINLFAMFGTGIAMSTWVWTKATLLIWRRTWCRLT</v>
      </c>
      <c r="C381" s="29" t="str">
        <f>IF(ISERROR(MATCH(A381,'SegEnds_Xtal_Prot#'!B:B, 0)), "NoXtal", "Xtal")</f>
        <v>Xtal</v>
      </c>
      <c r="D381" s="4" t="str">
        <f>VLOOKUP(A381,Classification!A:D,2,FALSE)</f>
        <v>F</v>
      </c>
      <c r="E381" s="5" t="str">
        <f>VLOOKUP(A381,Seqs!A:B,2,FALSE)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F381" s="5" t="str">
        <f t="shared" si="126"/>
        <v>TEAEHQDMHSYIAAFGAVTGLCTLFTLATFVAD</v>
      </c>
      <c r="G381" s="4" t="str">
        <f t="shared" si="127"/>
        <v>WRNSN</v>
      </c>
      <c r="H381" s="4" t="str">
        <f t="shared" si="128"/>
        <v>RYPAVILFYVNACFFVGSIGWLAQF</v>
      </c>
      <c r="I381" s="4" t="str">
        <f t="shared" si="129"/>
        <v/>
      </c>
      <c r="J381" s="4" t="str">
        <f t="shared" si="130"/>
        <v>LSCVIIFVIVYYALMAGVVWFVVLTYAWHTSFKA</v>
      </c>
      <c r="K381" s="4" t="str">
        <f t="shared" si="131"/>
        <v/>
      </c>
      <c r="L381" s="4" t="str">
        <f t="shared" si="132"/>
        <v>KTSYFHLLTWSLPFVLTVAILAVA</v>
      </c>
      <c r="M381" s="4" t="str">
        <f t="shared" si="133"/>
        <v>CFV</v>
      </c>
      <c r="N381" s="4" t="str">
        <f t="shared" si="134"/>
        <v>NYRYRAGFVLAPIGLVLIVGGYFLIRGVMTLFSIKSNH</v>
      </c>
      <c r="O381" s="4" t="str">
        <f t="shared" si="135"/>
        <v>SEKAASKINETMLRLGIFGFLAFGFVLITFSCHFYDFFNQAEWERSFRDYVLCQANVTI</v>
      </c>
      <c r="P381" s="4" t="str">
        <f t="shared" si="136"/>
        <v>SLLVEKINLFAMFGTGIAMSTWVW</v>
      </c>
      <c r="Q381" s="4" t="str">
        <f t="shared" si="137"/>
        <v>TKATLLIWRRTWCRLT</v>
      </c>
      <c r="R381" s="5">
        <f>VLOOKUP($A381,'SegEnds_NonXtal_Prot#'!$A:$AL,3,FALSE)</f>
        <v>223</v>
      </c>
      <c r="S381" s="5">
        <f>VLOOKUP($A381,'SegEnds_NonXtal_Prot#'!$A:$AL,6,FALSE)</f>
        <v>256</v>
      </c>
      <c r="T381" s="5">
        <f>VLOOKUP($A381,'SegEnds_NonXtal_Prot#'!$A:$AL,9,FALSE)</f>
        <v>261</v>
      </c>
      <c r="U381" s="5" t="str">
        <f>VLOOKUP($A381,'SegEnds_NonXtal_Prot#'!$A:$AL,12,FALSE)</f>
        <v>-</v>
      </c>
      <c r="V381" s="5">
        <f>VLOOKUP($A381,'SegEnds_NonXtal_Prot#'!$A:$AL,15,FALSE)</f>
        <v>312</v>
      </c>
      <c r="W381" s="5" t="str">
        <f>VLOOKUP($A381,'SegEnds_NonXtal_Prot#'!$A:$AL,18,FALSE)</f>
        <v>-</v>
      </c>
      <c r="X381" s="5">
        <f>VLOOKUP($A381,'SegEnds_NonXtal_Prot#'!$A:$AL,21,FALSE)</f>
        <v>356</v>
      </c>
      <c r="Y381" s="5">
        <f>VLOOKUP($A381,'SegEnds_NonXtal_Prot#'!$A:$AL,24,FALSE)</f>
        <v>390</v>
      </c>
      <c r="Z381" s="5">
        <f>VLOOKUP($A381,'SegEnds_NonXtal_Prot#'!$A:$AL,27,FALSE)</f>
        <v>396</v>
      </c>
      <c r="AA381" s="5">
        <f>VLOOKUP($A381,'SegEnds_NonXtal_Prot#'!$A:$AL,30,FALSE)</f>
        <v>438</v>
      </c>
      <c r="AB381" s="5">
        <f>VLOOKUP($A381,'SegEnds_NonXtal_Prot#'!$A:$AL,33,FALSE)</f>
        <v>514</v>
      </c>
      <c r="AC381" s="5">
        <f>VLOOKUP($A381,'SegEnds_NonXtal_Prot#'!$A:$AL,36,FALSE)</f>
        <v>538</v>
      </c>
      <c r="AD381" s="5">
        <f>VLOOKUP($A381,'SegEnds_NonXtal_Prot#'!$A:$AL,5,FALSE)</f>
        <v>255</v>
      </c>
      <c r="AE381" s="5">
        <f>VLOOKUP($A381,'SegEnds_NonXtal_Prot#'!$A:$AL,8,FALSE)</f>
        <v>260</v>
      </c>
      <c r="AF381" s="5">
        <f>VLOOKUP($A381,'SegEnds_NonXtal_Prot#'!$A:$AL,11,FALSE)</f>
        <v>285</v>
      </c>
      <c r="AG381" s="5" t="str">
        <f>VLOOKUP($A381,'SegEnds_NonXtal_Prot#'!$A:$AL,14,FALSE)</f>
        <v>-</v>
      </c>
      <c r="AH381" s="5">
        <f>VLOOKUP($A381,'SegEnds_NonXtal_Prot#'!$A:$AL,17,FALSE)</f>
        <v>345</v>
      </c>
      <c r="AI381" s="5" t="str">
        <f>VLOOKUP($A381,'SegEnds_NonXtal_Prot#'!$A:$AL,20,FALSE)</f>
        <v>-</v>
      </c>
      <c r="AJ381" s="5">
        <f>VLOOKUP($A381,'SegEnds_NonXtal_Prot#'!$A:$AL,23,FALSE)</f>
        <v>379</v>
      </c>
      <c r="AK381" s="5">
        <f>VLOOKUP($A381,'SegEnds_NonXtal_Prot#'!$A:$AL,26,FALSE)</f>
        <v>392</v>
      </c>
      <c r="AL381" s="5">
        <f>VLOOKUP($A381,'SegEnds_NonXtal_Prot#'!$A:$AL,29,FALSE)</f>
        <v>433</v>
      </c>
      <c r="AM381" s="5">
        <f>VLOOKUP($A381,'SegEnds_NonXtal_Prot#'!$A:$AL,32,FALSE)</f>
        <v>496</v>
      </c>
      <c r="AN381" s="5">
        <f>VLOOKUP($A381,'SegEnds_NonXtal_Prot#'!$A:$AL,35,FALSE)</f>
        <v>537</v>
      </c>
      <c r="AO381" s="5">
        <f>VLOOKUP($A381,'SegEnds_NonXtal_Prot#'!$A:$AL,38,FALSE)</f>
        <v>553</v>
      </c>
      <c r="AP381" s="5">
        <f t="shared" si="138"/>
        <v>32</v>
      </c>
      <c r="AQ381" s="4">
        <f t="shared" si="139"/>
        <v>4</v>
      </c>
      <c r="AR381" s="4">
        <f t="shared" si="140"/>
        <v>24</v>
      </c>
      <c r="AS381" s="4" t="str">
        <f t="shared" si="141"/>
        <v>-</v>
      </c>
      <c r="AT381" s="4">
        <f t="shared" si="142"/>
        <v>33</v>
      </c>
      <c r="AU381" s="4" t="str">
        <f t="shared" si="143"/>
        <v>-</v>
      </c>
      <c r="AV381" s="4">
        <f t="shared" si="144"/>
        <v>23</v>
      </c>
      <c r="AW381" s="4">
        <f t="shared" si="145"/>
        <v>2</v>
      </c>
      <c r="AX381" s="4">
        <f t="shared" si="146"/>
        <v>37</v>
      </c>
      <c r="AY381" s="4">
        <f t="shared" si="147"/>
        <v>58</v>
      </c>
      <c r="AZ381" s="4">
        <f t="shared" si="148"/>
        <v>23</v>
      </c>
      <c r="BA381" s="4">
        <f t="shared" si="149"/>
        <v>15</v>
      </c>
    </row>
    <row r="382" spans="1:53" x14ac:dyDescent="0.2">
      <c r="A382" s="1" t="str">
        <f>'SegEnds_NonXtal_Prot#'!A389</f>
        <v>gp143_human</v>
      </c>
      <c r="B382" s="1" t="str">
        <f t="shared" si="125"/>
        <v>PTRDAATQLVLSFQPRAFHALCLGSGGLRLALGLLQLLPGRSVRILRAAAACDLLGCLGMVIRSTVAFCVGSAMWIQLLYSACFWWLFCYAVDAYLVIRRSTILLYHIMAWGLATLLCVEGAAMLHAIPHYVTMYLPLLLVLVANPILMGAVIKIRFFKIMLVLIICWLSNIIFIMGILNPAQGFLLSLAFYGWTGCSLGFQSPRK</v>
      </c>
      <c r="C382" s="29" t="str">
        <f>IF(ISERROR(MATCH(A382,'SegEnds_Xtal_Prot#'!B:B, 0)), "NoXtal", "Xtal")</f>
        <v>NoXtal</v>
      </c>
      <c r="D382" s="4" t="str">
        <f>VLOOKUP(A382,Classification!A:D,2,FALSE)</f>
        <v>O</v>
      </c>
      <c r="E382" s="5" t="str">
        <f>VLOOKUP(A382,Seqs!A:B,2,FALSE)</f>
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</c>
      <c r="F382" s="5" t="str">
        <f t="shared" si="126"/>
        <v>PTRDAATQLVLSFQPRAFHALCLGSGGLRLALGLLQLLPGR</v>
      </c>
      <c r="G382" s="4" t="str">
        <f t="shared" si="127"/>
        <v/>
      </c>
      <c r="H382" s="4" t="str">
        <f t="shared" si="128"/>
        <v>SVRILRAAAACDLLGCLGMVIRSTV</v>
      </c>
      <c r="I382" s="4" t="str">
        <f t="shared" si="129"/>
        <v/>
      </c>
      <c r="J382" s="4" t="str">
        <f t="shared" si="130"/>
        <v>AFCVGSAMWIQLLYSACFWWLFCYAVDAYLVIRR</v>
      </c>
      <c r="K382" s="4" t="str">
        <f t="shared" si="131"/>
        <v/>
      </c>
      <c r="L382" s="4" t="str">
        <f t="shared" si="132"/>
        <v>STILLYHIMAWGLATLLCVEGAAML</v>
      </c>
      <c r="M382" s="4" t="str">
        <f t="shared" si="133"/>
        <v/>
      </c>
      <c r="N382" s="4" t="str">
        <f t="shared" si="134"/>
        <v>HAIPHYVTMYLPLLLVLVANPIL</v>
      </c>
      <c r="O382" s="4" t="str">
        <f t="shared" si="135"/>
        <v>MGAVIKIRFFKIMLVLIICWLSNII</v>
      </c>
      <c r="P382" s="4" t="str">
        <f t="shared" si="136"/>
        <v>FIMGILNPAQGFLLSLAFYGWT</v>
      </c>
      <c r="Q382" s="4" t="str">
        <f t="shared" si="137"/>
        <v>GCSLGFQSPRK</v>
      </c>
      <c r="R382" s="5">
        <f>VLOOKUP($A382,'SegEnds_NonXtal_Prot#'!$A:$AL,3,FALSE)</f>
        <v>12</v>
      </c>
      <c r="S382" s="5" t="str">
        <f>VLOOKUP($A382,'SegEnds_NonXtal_Prot#'!$A:$AL,6,FALSE)</f>
        <v>-</v>
      </c>
      <c r="T382" s="5">
        <f>VLOOKUP($A382,'SegEnds_NonXtal_Prot#'!$A:$AL,9,FALSE)</f>
        <v>67</v>
      </c>
      <c r="U382" s="5" t="str">
        <f>VLOOKUP($A382,'SegEnds_NonXtal_Prot#'!$A:$AL,12,FALSE)</f>
        <v>-</v>
      </c>
      <c r="V382" s="5">
        <f>VLOOKUP($A382,'SegEnds_NonXtal_Prot#'!$A:$AL,15,FALSE)</f>
        <v>114</v>
      </c>
      <c r="W382" s="5" t="str">
        <f>VLOOKUP($A382,'SegEnds_NonXtal_Prot#'!$A:$AL,18,FALSE)</f>
        <v>-</v>
      </c>
      <c r="X382" s="5">
        <f>VLOOKUP($A382,'SegEnds_NonXtal_Prot#'!$A:$AL,21,FALSE)</f>
        <v>152</v>
      </c>
      <c r="Y382" s="5" t="str">
        <f>VLOOKUP($A382,'SegEnds_NonXtal_Prot#'!$A:$AL,24,FALSE)</f>
        <v>-</v>
      </c>
      <c r="Z382" s="5">
        <f>VLOOKUP($A382,'SegEnds_NonXtal_Prot#'!$A:$AL,27,FALSE)</f>
        <v>190</v>
      </c>
      <c r="AA382" s="5">
        <f>VLOOKUP($A382,'SegEnds_NonXtal_Prot#'!$A:$AL,30,FALSE)</f>
        <v>238</v>
      </c>
      <c r="AB382" s="5">
        <f>VLOOKUP($A382,'SegEnds_NonXtal_Prot#'!$A:$AL,33,FALSE)</f>
        <v>293</v>
      </c>
      <c r="AC382" s="5">
        <f>VLOOKUP($A382,'SegEnds_NonXtal_Prot#'!$A:$AL,36,FALSE)</f>
        <v>315</v>
      </c>
      <c r="AD382" s="5">
        <f>VLOOKUP($A382,'SegEnds_NonXtal_Prot#'!$A:$AL,5,FALSE)</f>
        <v>52</v>
      </c>
      <c r="AE382" s="5" t="str">
        <f>VLOOKUP($A382,'SegEnds_NonXtal_Prot#'!$A:$AL,8,FALSE)</f>
        <v>-</v>
      </c>
      <c r="AF382" s="5">
        <f>VLOOKUP($A382,'SegEnds_NonXtal_Prot#'!$A:$AL,11,FALSE)</f>
        <v>91</v>
      </c>
      <c r="AG382" s="5" t="str">
        <f>VLOOKUP($A382,'SegEnds_NonXtal_Prot#'!$A:$AL,14,FALSE)</f>
        <v>-</v>
      </c>
      <c r="AH382" s="5">
        <f>VLOOKUP($A382,'SegEnds_NonXtal_Prot#'!$A:$AL,17,FALSE)</f>
        <v>147</v>
      </c>
      <c r="AI382" s="5" t="str">
        <f>VLOOKUP($A382,'SegEnds_NonXtal_Prot#'!$A:$AL,20,FALSE)</f>
        <v>-</v>
      </c>
      <c r="AJ382" s="5">
        <f>VLOOKUP($A382,'SegEnds_NonXtal_Prot#'!$A:$AL,23,FALSE)</f>
        <v>176</v>
      </c>
      <c r="AK382" s="5" t="str">
        <f>VLOOKUP($A382,'SegEnds_NonXtal_Prot#'!$A:$AL,26,FALSE)</f>
        <v>-</v>
      </c>
      <c r="AL382" s="5">
        <f>VLOOKUP($A382,'SegEnds_NonXtal_Prot#'!$A:$AL,29,FALSE)</f>
        <v>212</v>
      </c>
      <c r="AM382" s="5">
        <f>VLOOKUP($A382,'SegEnds_NonXtal_Prot#'!$A:$AL,32,FALSE)</f>
        <v>262</v>
      </c>
      <c r="AN382" s="5">
        <f>VLOOKUP($A382,'SegEnds_NonXtal_Prot#'!$A:$AL,35,FALSE)</f>
        <v>314</v>
      </c>
      <c r="AO382" s="5">
        <f>VLOOKUP($A382,'SegEnds_NonXtal_Prot#'!$A:$AL,38,FALSE)</f>
        <v>325</v>
      </c>
      <c r="AP382" s="5">
        <f t="shared" si="138"/>
        <v>40</v>
      </c>
      <c r="AQ382" s="4" t="str">
        <f t="shared" si="139"/>
        <v>-</v>
      </c>
      <c r="AR382" s="4">
        <f t="shared" si="140"/>
        <v>24</v>
      </c>
      <c r="AS382" s="4" t="str">
        <f t="shared" si="141"/>
        <v>-</v>
      </c>
      <c r="AT382" s="4">
        <f t="shared" si="142"/>
        <v>33</v>
      </c>
      <c r="AU382" s="4" t="str">
        <f t="shared" si="143"/>
        <v>-</v>
      </c>
      <c r="AV382" s="4">
        <f t="shared" si="144"/>
        <v>24</v>
      </c>
      <c r="AW382" s="4" t="str">
        <f t="shared" si="145"/>
        <v>-</v>
      </c>
      <c r="AX382" s="4">
        <f t="shared" si="146"/>
        <v>22</v>
      </c>
      <c r="AY382" s="4">
        <f t="shared" si="147"/>
        <v>24</v>
      </c>
      <c r="AZ382" s="4">
        <f t="shared" si="148"/>
        <v>21</v>
      </c>
      <c r="BA382" s="4">
        <f t="shared" si="149"/>
        <v>10</v>
      </c>
    </row>
    <row r="383" spans="1:53" x14ac:dyDescent="0.2">
      <c r="A383" s="1" t="str">
        <f>'SegEnds_NonXtal_Prot#'!A390</f>
        <v>gp157_human</v>
      </c>
      <c r="B383" s="1" t="str">
        <f t="shared" si="125"/>
        <v>PSERAVVLLSCALSALGSGLLVATHALWARRLLLFLSLADLLSAASYFYGVLQWDCVLQGALSTFANTSSFFWTVAIALYLYLSIVRHVVSWGVPLVITVAAVALKKIGYDASVGWCWIDLEAKDHVLWMLLTGKLSQEHRLLRHSSMADKKLVLIPLIFVVLHGIGNTFQGGANCIMFVLCVRTRLFSLCCCCCSSQ</v>
      </c>
      <c r="C383" s="29" t="str">
        <f>IF(ISERROR(MATCH(A383,'SegEnds_Xtal_Prot#'!B:B, 0)), "NoXtal", "Xtal")</f>
        <v>NoXtal</v>
      </c>
      <c r="D383" s="4" t="str">
        <f>VLOOKUP(A383,Classification!A:D,2,FALSE)</f>
        <v>O</v>
      </c>
      <c r="E383" s="5" t="str">
        <f>VLOOKUP(A383,Seqs!A:B,2,FALSE)</f>
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</c>
      <c r="F383" s="5" t="str">
        <f t="shared" si="126"/>
        <v>PSERAVVLLSCALSALGSGLLVATHALW</v>
      </c>
      <c r="G383" s="4" t="str">
        <f t="shared" si="127"/>
        <v/>
      </c>
      <c r="H383" s="4" t="str">
        <f t="shared" si="128"/>
        <v>ARRLLLFLSLADLLSAASYFYGVLQ</v>
      </c>
      <c r="I383" s="4" t="str">
        <f t="shared" si="129"/>
        <v/>
      </c>
      <c r="J383" s="4" t="str">
        <f t="shared" si="130"/>
        <v>WDCVLQGALSTFANTSSFFWTVAIALYLYLSIVR</v>
      </c>
      <c r="K383" s="4" t="str">
        <f t="shared" si="131"/>
        <v/>
      </c>
      <c r="L383" s="4" t="str">
        <f t="shared" si="132"/>
        <v>HVVSWGVPLVITVAAVALKKIGYDA</v>
      </c>
      <c r="M383" s="4" t="str">
        <f t="shared" si="133"/>
        <v/>
      </c>
      <c r="N383" s="4" t="str">
        <f t="shared" si="134"/>
        <v>SVGWCWIDLEAKDHVLWMLLTGK</v>
      </c>
      <c r="O383" s="4" t="str">
        <f t="shared" si="135"/>
        <v>LSQEHRLLRHSSMADKKLVLIPLIF</v>
      </c>
      <c r="P383" s="4" t="str">
        <f t="shared" si="136"/>
        <v>VVLHGIGNTFQGGANCIMFVLC</v>
      </c>
      <c r="Q383" s="4" t="str">
        <f t="shared" si="137"/>
        <v>VRTRLFSLCCCCCSSQ</v>
      </c>
      <c r="R383" s="5">
        <f>VLOOKUP($A383,'SegEnds_NonXtal_Prot#'!$A:$AL,3,FALSE)</f>
        <v>12</v>
      </c>
      <c r="S383" s="5" t="str">
        <f>VLOOKUP($A383,'SegEnds_NonXtal_Prot#'!$A:$AL,6,FALSE)</f>
        <v>-</v>
      </c>
      <c r="T383" s="5">
        <f>VLOOKUP($A383,'SegEnds_NonXtal_Prot#'!$A:$AL,9,FALSE)</f>
        <v>46</v>
      </c>
      <c r="U383" s="5" t="str">
        <f>VLOOKUP($A383,'SegEnds_NonXtal_Prot#'!$A:$AL,12,FALSE)</f>
        <v>-</v>
      </c>
      <c r="V383" s="5">
        <f>VLOOKUP($A383,'SegEnds_NonXtal_Prot#'!$A:$AL,15,FALSE)</f>
        <v>77</v>
      </c>
      <c r="W383" s="5" t="str">
        <f>VLOOKUP($A383,'SegEnds_NonXtal_Prot#'!$A:$AL,18,FALSE)</f>
        <v>-</v>
      </c>
      <c r="X383" s="5">
        <f>VLOOKUP($A383,'SegEnds_NonXtal_Prot#'!$A:$AL,21,FALSE)</f>
        <v>125</v>
      </c>
      <c r="Y383" s="5" t="str">
        <f>VLOOKUP($A383,'SegEnds_NonXtal_Prot#'!$A:$AL,24,FALSE)</f>
        <v>-</v>
      </c>
      <c r="Z383" s="5">
        <f>VLOOKUP($A383,'SegEnds_NonXtal_Prot#'!$A:$AL,27,FALSE)</f>
        <v>153</v>
      </c>
      <c r="AA383" s="5">
        <f>VLOOKUP($A383,'SegEnds_NonXtal_Prot#'!$A:$AL,30,FALSE)</f>
        <v>210</v>
      </c>
      <c r="AB383" s="5">
        <f>VLOOKUP($A383,'SegEnds_NonXtal_Prot#'!$A:$AL,33,FALSE)</f>
        <v>261</v>
      </c>
      <c r="AC383" s="5">
        <f>VLOOKUP($A383,'SegEnds_NonXtal_Prot#'!$A:$AL,36,FALSE)</f>
        <v>286</v>
      </c>
      <c r="AD383" s="5">
        <f>VLOOKUP($A383,'SegEnds_NonXtal_Prot#'!$A:$AL,5,FALSE)</f>
        <v>39</v>
      </c>
      <c r="AE383" s="5" t="str">
        <f>VLOOKUP($A383,'SegEnds_NonXtal_Prot#'!$A:$AL,8,FALSE)</f>
        <v>-</v>
      </c>
      <c r="AF383" s="5">
        <f>VLOOKUP($A383,'SegEnds_NonXtal_Prot#'!$A:$AL,11,FALSE)</f>
        <v>70</v>
      </c>
      <c r="AG383" s="5" t="str">
        <f>VLOOKUP($A383,'SegEnds_NonXtal_Prot#'!$A:$AL,14,FALSE)</f>
        <v>-</v>
      </c>
      <c r="AH383" s="5">
        <f>VLOOKUP($A383,'SegEnds_NonXtal_Prot#'!$A:$AL,17,FALSE)</f>
        <v>110</v>
      </c>
      <c r="AI383" s="5" t="str">
        <f>VLOOKUP($A383,'SegEnds_NonXtal_Prot#'!$A:$AL,20,FALSE)</f>
        <v>-</v>
      </c>
      <c r="AJ383" s="5">
        <f>VLOOKUP($A383,'SegEnds_NonXtal_Prot#'!$A:$AL,23,FALSE)</f>
        <v>149</v>
      </c>
      <c r="AK383" s="5" t="str">
        <f>VLOOKUP($A383,'SegEnds_NonXtal_Prot#'!$A:$AL,26,FALSE)</f>
        <v>-</v>
      </c>
      <c r="AL383" s="5">
        <f>VLOOKUP($A383,'SegEnds_NonXtal_Prot#'!$A:$AL,29,FALSE)</f>
        <v>175</v>
      </c>
      <c r="AM383" s="5">
        <f>VLOOKUP($A383,'SegEnds_NonXtal_Prot#'!$A:$AL,32,FALSE)</f>
        <v>234</v>
      </c>
      <c r="AN383" s="5">
        <f>VLOOKUP($A383,'SegEnds_NonXtal_Prot#'!$A:$AL,35,FALSE)</f>
        <v>282</v>
      </c>
      <c r="AO383" s="5">
        <f>VLOOKUP($A383,'SegEnds_NonXtal_Prot#'!$A:$AL,38,FALSE)</f>
        <v>301</v>
      </c>
      <c r="AP383" s="5">
        <f t="shared" si="138"/>
        <v>27</v>
      </c>
      <c r="AQ383" s="4" t="str">
        <f t="shared" si="139"/>
        <v>-</v>
      </c>
      <c r="AR383" s="4">
        <f t="shared" si="140"/>
        <v>24</v>
      </c>
      <c r="AS383" s="4" t="str">
        <f t="shared" si="141"/>
        <v>-</v>
      </c>
      <c r="AT383" s="4">
        <f t="shared" si="142"/>
        <v>33</v>
      </c>
      <c r="AU383" s="4" t="str">
        <f t="shared" si="143"/>
        <v>-</v>
      </c>
      <c r="AV383" s="4">
        <f t="shared" si="144"/>
        <v>24</v>
      </c>
      <c r="AW383" s="4" t="str">
        <f t="shared" si="145"/>
        <v>-</v>
      </c>
      <c r="AX383" s="4">
        <f t="shared" si="146"/>
        <v>22</v>
      </c>
      <c r="AY383" s="4">
        <f t="shared" si="147"/>
        <v>24</v>
      </c>
      <c r="AZ383" s="4">
        <f t="shared" si="148"/>
        <v>21</v>
      </c>
      <c r="BA383" s="4">
        <f t="shared" si="149"/>
        <v>15</v>
      </c>
    </row>
    <row r="384" spans="1:53" x14ac:dyDescent="0.2">
      <c r="A384" s="1" t="str">
        <f>'SegEnds_NonXtal_Prot#'!A388</f>
        <v>gp107_human</v>
      </c>
      <c r="B384" s="1" t="str">
        <f t="shared" si="125"/>
        <v>GAVSFQFFFNISTDDQEGLYSLYFHKCLGKELPSDKFTFSMAFFFFLSGTIWIHILRKRRNDVFKEGWAVVYYITHLLKGALLFITIALIGTGWAFIKHNVAYIIIESTEEGTTEYGLWKDSLFQADLELLASSCPPASVSQRAGITLAKLKLFRHYYVLIVCYIYFTRIIAFFVLTGYKFRPASDNPYLQLSQEEDLEMESVVT</v>
      </c>
      <c r="C384" s="29" t="str">
        <f>IF(ISERROR(MATCH(A384,'SegEnds_Xtal_Prot#'!B:B, 0)), "NoXtal", "Xtal")</f>
        <v>NoXtal</v>
      </c>
      <c r="D384" s="4" t="str">
        <f>VLOOKUP(A384,Classification!A:D,2,FALSE)</f>
        <v>O</v>
      </c>
      <c r="E384" s="5" t="str">
        <f>VLOOKUP(A384,Seqs!A:B,2,FALSE)</f>
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</c>
      <c r="F384" s="5" t="str">
        <f t="shared" si="126"/>
        <v>GAVSFQFFFNISTDDQEGLYSLYFHKCLGKELPSDKFTFS</v>
      </c>
      <c r="G384" s="4" t="str">
        <f t="shared" si="127"/>
        <v/>
      </c>
      <c r="H384" s="4" t="str">
        <f t="shared" si="128"/>
        <v>MAFFFFLSGTIWIHILRKRRNDVFK</v>
      </c>
      <c r="I384" s="4" t="str">
        <f t="shared" si="129"/>
        <v/>
      </c>
      <c r="J384" s="4" t="str">
        <f t="shared" si="130"/>
        <v>EGWAVVYYITHLLKGALLFITIALIGTGWAFIKH</v>
      </c>
      <c r="K384" s="4" t="str">
        <f t="shared" si="131"/>
        <v/>
      </c>
      <c r="L384" s="4" t="str">
        <f t="shared" si="132"/>
        <v>NVAYIIIESTEEGTTEYGLWKDSLF</v>
      </c>
      <c r="M384" s="4" t="str">
        <f t="shared" si="133"/>
        <v/>
      </c>
      <c r="N384" s="4" t="str">
        <f t="shared" si="134"/>
        <v>QADLELLASSCPPASVSQRAGIT</v>
      </c>
      <c r="O384" s="4" t="str">
        <f t="shared" si="135"/>
        <v>LAKLKLFRHYYVLIVCYIYFTRIIA</v>
      </c>
      <c r="P384" s="4" t="str">
        <f t="shared" si="136"/>
        <v>FFVLTGYKFRPASDNPYLQLSQ</v>
      </c>
      <c r="Q384" s="4" t="str">
        <f t="shared" si="137"/>
        <v>EEDLEMESVVT</v>
      </c>
      <c r="R384" s="5">
        <f>VLOOKUP($A384,'SegEnds_NonXtal_Prot#'!$A:$AL,3,FALSE)</f>
        <v>202</v>
      </c>
      <c r="S384" s="5" t="str">
        <f>VLOOKUP($A384,'SegEnds_NonXtal_Prot#'!$A:$AL,6,FALSE)</f>
        <v>-</v>
      </c>
      <c r="T384" s="5">
        <f>VLOOKUP($A384,'SegEnds_NonXtal_Prot#'!$A:$AL,9,FALSE)</f>
        <v>269</v>
      </c>
      <c r="U384" s="5" t="str">
        <f>VLOOKUP($A384,'SegEnds_NonXtal_Prot#'!$A:$AL,12,FALSE)</f>
        <v>-</v>
      </c>
      <c r="V384" s="5">
        <f>VLOOKUP($A384,'SegEnds_NonXtal_Prot#'!$A:$AL,15,FALSE)</f>
        <v>327</v>
      </c>
      <c r="W384" s="5" t="str">
        <f>VLOOKUP($A384,'SegEnds_NonXtal_Prot#'!$A:$AL,18,FALSE)</f>
        <v>-</v>
      </c>
      <c r="X384" s="5">
        <f>VLOOKUP($A384,'SegEnds_NonXtal_Prot#'!$A:$AL,21,FALSE)</f>
        <v>381</v>
      </c>
      <c r="Y384" s="5" t="str">
        <f>VLOOKUP($A384,'SegEnds_NonXtal_Prot#'!$A:$AL,24,FALSE)</f>
        <v>-</v>
      </c>
      <c r="Z384" s="5">
        <f>VLOOKUP($A384,'SegEnds_NonXtal_Prot#'!$A:$AL,27,FALSE)</f>
        <v>461</v>
      </c>
      <c r="AA384" s="5">
        <f>VLOOKUP($A384,'SegEnds_NonXtal_Prot#'!$A:$AL,30,FALSE)</f>
        <v>488</v>
      </c>
      <c r="AB384" s="5">
        <f>VLOOKUP($A384,'SegEnds_NonXtal_Prot#'!$A:$AL,33,FALSE)</f>
        <v>538</v>
      </c>
      <c r="AC384" s="5">
        <f>VLOOKUP($A384,'SegEnds_NonXtal_Prot#'!$A:$AL,36,FALSE)</f>
        <v>561</v>
      </c>
      <c r="AD384" s="5">
        <f>VLOOKUP($A384,'SegEnds_NonXtal_Prot#'!$A:$AL,5,FALSE)</f>
        <v>241</v>
      </c>
      <c r="AE384" s="5" t="str">
        <f>VLOOKUP($A384,'SegEnds_NonXtal_Prot#'!$A:$AL,8,FALSE)</f>
        <v>-</v>
      </c>
      <c r="AF384" s="5">
        <f>VLOOKUP($A384,'SegEnds_NonXtal_Prot#'!$A:$AL,11,FALSE)</f>
        <v>293</v>
      </c>
      <c r="AG384" s="5" t="str">
        <f>VLOOKUP($A384,'SegEnds_NonXtal_Prot#'!$A:$AL,14,FALSE)</f>
        <v>-</v>
      </c>
      <c r="AH384" s="5">
        <f>VLOOKUP($A384,'SegEnds_NonXtal_Prot#'!$A:$AL,17,FALSE)</f>
        <v>360</v>
      </c>
      <c r="AI384" s="5" t="str">
        <f>VLOOKUP($A384,'SegEnds_NonXtal_Prot#'!$A:$AL,20,FALSE)</f>
        <v>-</v>
      </c>
      <c r="AJ384" s="5">
        <f>VLOOKUP($A384,'SegEnds_NonXtal_Prot#'!$A:$AL,23,FALSE)</f>
        <v>405</v>
      </c>
      <c r="AK384" s="5" t="str">
        <f>VLOOKUP($A384,'SegEnds_NonXtal_Prot#'!$A:$AL,26,FALSE)</f>
        <v>-</v>
      </c>
      <c r="AL384" s="5">
        <f>VLOOKUP($A384,'SegEnds_NonXtal_Prot#'!$A:$AL,29,FALSE)</f>
        <v>483</v>
      </c>
      <c r="AM384" s="5">
        <f>VLOOKUP($A384,'SegEnds_NonXtal_Prot#'!$A:$AL,32,FALSE)</f>
        <v>512</v>
      </c>
      <c r="AN384" s="5">
        <f>VLOOKUP($A384,'SegEnds_NonXtal_Prot#'!$A:$AL,35,FALSE)</f>
        <v>559</v>
      </c>
      <c r="AO384" s="5">
        <f>VLOOKUP($A384,'SegEnds_NonXtal_Prot#'!$A:$AL,38,FALSE)</f>
        <v>571</v>
      </c>
      <c r="AP384" s="5">
        <f t="shared" si="138"/>
        <v>39</v>
      </c>
      <c r="AQ384" s="4" t="str">
        <f t="shared" si="139"/>
        <v>-</v>
      </c>
      <c r="AR384" s="4">
        <f t="shared" si="140"/>
        <v>24</v>
      </c>
      <c r="AS384" s="4" t="str">
        <f t="shared" si="141"/>
        <v>-</v>
      </c>
      <c r="AT384" s="4">
        <f t="shared" si="142"/>
        <v>33</v>
      </c>
      <c r="AU384" s="4" t="str">
        <f t="shared" si="143"/>
        <v>-</v>
      </c>
      <c r="AV384" s="4">
        <f t="shared" si="144"/>
        <v>24</v>
      </c>
      <c r="AW384" s="4" t="str">
        <f t="shared" si="145"/>
        <v>-</v>
      </c>
      <c r="AX384" s="4">
        <f t="shared" si="146"/>
        <v>22</v>
      </c>
      <c r="AY384" s="4">
        <f t="shared" si="147"/>
        <v>24</v>
      </c>
      <c r="AZ384" s="4">
        <f t="shared" si="148"/>
        <v>21</v>
      </c>
      <c r="BA384" s="4">
        <f t="shared" si="149"/>
        <v>10</v>
      </c>
    </row>
    <row r="385" spans="1:53" x14ac:dyDescent="0.2">
      <c r="A385" s="1" t="str">
        <f>'SegEnds_NonXtal_Prot#'!A391</f>
        <v>tpra1_human</v>
      </c>
      <c r="B385" s="1" t="str">
        <f t="shared" si="125"/>
        <v>PHRCLLLLYEDIGTSRVRYWDLLLLIPNVLFLIFLLWKLPSARAKIRIILVFVVALVGIARAVVSMTVSTSNADKILWEITRFFLLAIELSVIILGLAFGHLESKSSYSVTQGTLEILYPDAHLSAEDFGHGGRQFWLVSSCFFFLVYSLVDIIEGLCCVDATTFLYFSFFAPLIYYKCQVDETEEPDVHLPQPYAVALEAAGAAGASAASYSSTQFDS</v>
      </c>
      <c r="C385" s="29" t="str">
        <f>IF(ISERROR(MATCH(A385,'SegEnds_Xtal_Prot#'!B:B, 0)), "NoXtal", "Xtal")</f>
        <v>NoXtal</v>
      </c>
      <c r="D385" s="4" t="str">
        <f>VLOOKUP(A385,Classification!A:D,2,FALSE)</f>
        <v>O</v>
      </c>
      <c r="E385" s="5" t="str">
        <f>VLOOKUP(A385,Seqs!A:B,2,FALSE)</f>
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</c>
      <c r="F385" s="5" t="str">
        <f t="shared" si="126"/>
        <v>PHRCLLLLYEDIGTSRVRYWDLLLLIPNVLFLIFLLWKLPSARAKIRI</v>
      </c>
      <c r="G385" s="4" t="str">
        <f t="shared" si="127"/>
        <v/>
      </c>
      <c r="H385" s="4" t="str">
        <f t="shared" si="128"/>
        <v>ILVFVVALVGIARAVVSMTVSTSNA</v>
      </c>
      <c r="I385" s="4" t="str">
        <f t="shared" si="129"/>
        <v/>
      </c>
      <c r="J385" s="4" t="str">
        <f t="shared" si="130"/>
        <v>DKILWEITRFFLLAIELSVIILGLAFGHLESKSS</v>
      </c>
      <c r="K385" s="4" t="str">
        <f t="shared" si="131"/>
        <v/>
      </c>
      <c r="L385" s="4" t="str">
        <f t="shared" si="132"/>
        <v>YSVTQGTLEILYPDAHLSAEDF</v>
      </c>
      <c r="M385" s="4" t="str">
        <f t="shared" si="133"/>
        <v/>
      </c>
      <c r="N385" s="4" t="str">
        <f t="shared" si="134"/>
        <v>GHGGRQFWLVSSCFFFLVYSLV</v>
      </c>
      <c r="O385" s="4" t="str">
        <f t="shared" si="135"/>
        <v>DIIEGLCCVDATTFLYFSFFAPLIY</v>
      </c>
      <c r="P385" s="4" t="str">
        <f t="shared" si="136"/>
        <v>YKCQVDETEEPDVHLPQPYAVA</v>
      </c>
      <c r="Q385" s="4" t="str">
        <f t="shared" si="137"/>
        <v>LEAAGAAGASAASYSSTQFDS</v>
      </c>
      <c r="R385" s="5">
        <f>VLOOKUP($A385,'SegEnds_NonXtal_Prot#'!$A:$AL,3,FALSE)</f>
        <v>27</v>
      </c>
      <c r="S385" s="5" t="str">
        <f>VLOOKUP($A385,'SegEnds_NonXtal_Prot#'!$A:$AL,6,FALSE)</f>
        <v>-</v>
      </c>
      <c r="T385" s="5">
        <f>VLOOKUP($A385,'SegEnds_NonXtal_Prot#'!$A:$AL,9,FALSE)</f>
        <v>85</v>
      </c>
      <c r="U385" s="5" t="str">
        <f>VLOOKUP($A385,'SegEnds_NonXtal_Prot#'!$A:$AL,12,FALSE)</f>
        <v>-</v>
      </c>
      <c r="V385" s="5">
        <f>VLOOKUP($A385,'SegEnds_NonXtal_Prot#'!$A:$AL,15,FALSE)</f>
        <v>114</v>
      </c>
      <c r="W385" s="5" t="str">
        <f>VLOOKUP($A385,'SegEnds_NonXtal_Prot#'!$A:$AL,18,FALSE)</f>
        <v>-</v>
      </c>
      <c r="X385" s="5">
        <f>VLOOKUP($A385,'SegEnds_NonXtal_Prot#'!$A:$AL,21,FALSE)</f>
        <v>162</v>
      </c>
      <c r="Y385" s="5" t="str">
        <f>VLOOKUP($A385,'SegEnds_NonXtal_Prot#'!$A:$AL,24,FALSE)</f>
        <v>-</v>
      </c>
      <c r="Z385" s="5">
        <f>VLOOKUP($A385,'SegEnds_NonXtal_Prot#'!$A:$AL,27,FALSE)</f>
        <v>187</v>
      </c>
      <c r="AA385" s="5">
        <f>VLOOKUP($A385,'SegEnds_NonXtal_Prot#'!$A:$AL,30,FALSE)</f>
        <v>252</v>
      </c>
      <c r="AB385" s="5">
        <f>VLOOKUP($A385,'SegEnds_NonXtal_Prot#'!$A:$AL,33,FALSE)</f>
        <v>294</v>
      </c>
      <c r="AC385" s="5">
        <f>VLOOKUP($A385,'SegEnds_NonXtal_Prot#'!$A:$AL,36,FALSE)</f>
        <v>320</v>
      </c>
      <c r="AD385" s="5">
        <f>VLOOKUP($A385,'SegEnds_NonXtal_Prot#'!$A:$AL,5,FALSE)</f>
        <v>74</v>
      </c>
      <c r="AE385" s="5" t="str">
        <f>VLOOKUP($A385,'SegEnds_NonXtal_Prot#'!$A:$AL,8,FALSE)</f>
        <v>-</v>
      </c>
      <c r="AF385" s="5">
        <f>VLOOKUP($A385,'SegEnds_NonXtal_Prot#'!$A:$AL,11,FALSE)</f>
        <v>109</v>
      </c>
      <c r="AG385" s="5" t="str">
        <f>VLOOKUP($A385,'SegEnds_NonXtal_Prot#'!$A:$AL,14,FALSE)</f>
        <v>-</v>
      </c>
      <c r="AH385" s="5">
        <f>VLOOKUP($A385,'SegEnds_NonXtal_Prot#'!$A:$AL,17,FALSE)</f>
        <v>147</v>
      </c>
      <c r="AI385" s="5" t="str">
        <f>VLOOKUP($A385,'SegEnds_NonXtal_Prot#'!$A:$AL,20,FALSE)</f>
        <v>-</v>
      </c>
      <c r="AJ385" s="5">
        <f>VLOOKUP($A385,'SegEnds_NonXtal_Prot#'!$A:$AL,23,FALSE)</f>
        <v>183</v>
      </c>
      <c r="AK385" s="5" t="str">
        <f>VLOOKUP($A385,'SegEnds_NonXtal_Prot#'!$A:$AL,26,FALSE)</f>
        <v>-</v>
      </c>
      <c r="AL385" s="5">
        <f>VLOOKUP($A385,'SegEnds_NonXtal_Prot#'!$A:$AL,29,FALSE)</f>
        <v>208</v>
      </c>
      <c r="AM385" s="5">
        <f>VLOOKUP($A385,'SegEnds_NonXtal_Prot#'!$A:$AL,32,FALSE)</f>
        <v>276</v>
      </c>
      <c r="AN385" s="5">
        <f>VLOOKUP($A385,'SegEnds_NonXtal_Prot#'!$A:$AL,35,FALSE)</f>
        <v>315</v>
      </c>
      <c r="AO385" s="5">
        <f>VLOOKUP($A385,'SegEnds_NonXtal_Prot#'!$A:$AL,38,FALSE)</f>
        <v>340</v>
      </c>
      <c r="AP385" s="5">
        <f t="shared" si="138"/>
        <v>47</v>
      </c>
      <c r="AQ385" s="4" t="str">
        <f t="shared" si="139"/>
        <v>-</v>
      </c>
      <c r="AR385" s="4">
        <f t="shared" si="140"/>
        <v>24</v>
      </c>
      <c r="AS385" s="4" t="str">
        <f t="shared" si="141"/>
        <v>-</v>
      </c>
      <c r="AT385" s="4">
        <f t="shared" si="142"/>
        <v>33</v>
      </c>
      <c r="AU385" s="4" t="str">
        <f t="shared" si="143"/>
        <v>-</v>
      </c>
      <c r="AV385" s="4">
        <f t="shared" si="144"/>
        <v>21</v>
      </c>
      <c r="AW385" s="4" t="str">
        <f t="shared" si="145"/>
        <v>-</v>
      </c>
      <c r="AX385" s="4">
        <f t="shared" si="146"/>
        <v>21</v>
      </c>
      <c r="AY385" s="4">
        <f t="shared" si="147"/>
        <v>24</v>
      </c>
      <c r="AZ385" s="4">
        <f t="shared" si="148"/>
        <v>21</v>
      </c>
      <c r="BA385" s="4">
        <f t="shared" si="149"/>
        <v>20</v>
      </c>
    </row>
    <row r="386" spans="1:53" x14ac:dyDescent="0.2">
      <c r="A386" s="1" t="str">
        <f>'SegEnds_NonXtal_Prot#'!A393</f>
        <v>t2r13_human</v>
      </c>
      <c r="B386" s="1" t="str">
        <f t="shared" ref="B386:B406" si="150">F386&amp;H386&amp;J386&amp;L386&amp;N386&amp;O386&amp;P386&amp;Q386</f>
        <v>PSIFTLVIIAEFIIGNLSNGFIVLINCIDWVLSSVDKLLIILAISRIGLIWEILVSWFLALHYSGTGLRIMIFSWIVSNHFNLWLATIFSIFYLLKIASWRVNKVILMILLGTLVFLFLNLIQINMHIKFETFSVSVKFTMTMFSLTPFTVAFISFLLLIFSLQKHLQKMPRTKVHTNALKIVISFLLFYASFFLCVLISWISNTVIYMLCETIGVFSPSSHSFLLILGNAKLRQAFLLVAAK</v>
      </c>
      <c r="C386" s="29" t="str">
        <f>IF(ISERROR(MATCH(A386,'SegEnds_Xtal_Prot#'!B:B, 0)), "NoXtal", "Xtal")</f>
        <v>NoXtal</v>
      </c>
      <c r="D386" s="4" t="str">
        <f>VLOOKUP(A386,Classification!A:D,2,FALSE)</f>
        <v>T</v>
      </c>
      <c r="E386" s="5" t="str">
        <f>VLOOKUP(A386,Seqs!A:B,2,FALSE)</f>
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</c>
      <c r="F386" s="5" t="str">
        <f t="shared" ref="F386:F406" si="151">IFERROR(MID($E386,R386,(AP386+1)),"")</f>
        <v>PSIFTLVIIAEFIIGNLSNGFIVLINCIDWV</v>
      </c>
      <c r="G386" s="4" t="str">
        <f t="shared" ref="G386:G406" si="152">IFERROR(MID($E386,S386,(AQ386+1)),"")</f>
        <v>SKRE</v>
      </c>
      <c r="H386" s="4" t="str">
        <f t="shared" ref="H386:H406" si="153">IFERROR(MID($E386,T386,(AR386+1)),"")</f>
        <v>LSSVDKLLIILAISRIGLIWEILVSWFLALHY</v>
      </c>
      <c r="I386" s="4" t="str">
        <f t="shared" ref="I386:I406" si="154">IFERROR(MID($E386,U386,(AS386+1)),"")</f>
        <v/>
      </c>
      <c r="J386" s="4" t="str">
        <f t="shared" ref="J386:J406" si="155">IFERROR(MID($E386,V386,(AT386+1)),"")</f>
        <v>SGTGLRIMIFSWIVSNHFNLWLATIFSIFYLLKIAS</v>
      </c>
      <c r="K386" s="4" t="str">
        <f t="shared" ref="K386:K406" si="156">IFERROR(MID($E386,W386,(AU386+1)),"")</f>
        <v>SPAFLYLK</v>
      </c>
      <c r="L386" s="4" t="str">
        <f t="shared" ref="L386:L406" si="157">IFERROR(MID($E386,X386,(AV386+1)),"")</f>
        <v>WRVNKVILMILLGTLVFLFLNLIQINMHIK</v>
      </c>
      <c r="M386" s="4" t="str">
        <f t="shared" ref="M386:M406" si="158">IFERROR(MID($E386,Y386,(AW386+1)),"")</f>
        <v/>
      </c>
      <c r="N386" s="4" t="str">
        <f t="shared" ref="N386:N406" si="159">IFERROR(MID($E386,Z386,(AX386+1)),"")</f>
        <v>FETFSVSVKFTMTMFSLTPFTVAFISFLLLIFSLQKHLQKM</v>
      </c>
      <c r="O386" s="4" t="str">
        <f t="shared" ref="O386:O406" si="160">IFERROR(MID($E386,AA386,(AY386+1)),"")</f>
        <v>PRTKVHTNALKIVISFLLFYASFFLCVLISWIS</v>
      </c>
      <c r="P386" s="4" t="str">
        <f t="shared" ref="P386:P406" si="161">IFERROR(MID($E386,AB386,(AZ386+1)),"")</f>
        <v>NTVIYMLCETIGVFSPSSHSFLLILG</v>
      </c>
      <c r="Q386" s="4" t="str">
        <f t="shared" ref="Q386:Q406" si="162">IFERROR(MID($E386,AC386,(BA386+1)),"")</f>
        <v>NAKLRQAFLLVAAK</v>
      </c>
      <c r="R386" s="5">
        <f>VLOOKUP($A386,'SegEnds_NonXtal_Prot#'!$A:$AL,3,FALSE)</f>
        <v>6</v>
      </c>
      <c r="S386" s="5">
        <f>VLOOKUP($A386,'SegEnds_NonXtal_Prot#'!$A:$AL,6,FALSE)</f>
        <v>37</v>
      </c>
      <c r="T386" s="5">
        <f>VLOOKUP($A386,'SegEnds_NonXtal_Prot#'!$A:$AL,9,FALSE)</f>
        <v>41</v>
      </c>
      <c r="U386" s="5" t="str">
        <f>VLOOKUP($A386,'SegEnds_NonXtal_Prot#'!$A:$AL,12,FALSE)</f>
        <v>-</v>
      </c>
      <c r="V386" s="5">
        <f>VLOOKUP($A386,'SegEnds_NonXtal_Prot#'!$A:$AL,15,FALSE)</f>
        <v>78</v>
      </c>
      <c r="W386" s="5">
        <f>VLOOKUP($A386,'SegEnds_NonXtal_Prot#'!$A:$AL,18,FALSE)</f>
        <v>116</v>
      </c>
      <c r="X386" s="5">
        <f>VLOOKUP($A386,'SegEnds_NonXtal_Prot#'!$A:$AL,21,FALSE)</f>
        <v>124</v>
      </c>
      <c r="Y386" s="5" t="str">
        <f>VLOOKUP($A386,'SegEnds_NonXtal_Prot#'!$A:$AL,24,FALSE)</f>
        <v>-</v>
      </c>
      <c r="Z386" s="5">
        <f>VLOOKUP($A386,'SegEnds_NonXtal_Prot#'!$A:$AL,27,FALSE)</f>
        <v>172</v>
      </c>
      <c r="AA386" s="5">
        <f>VLOOKUP($A386,'SegEnds_NonXtal_Prot#'!$A:$AL,30,FALSE)</f>
        <v>222</v>
      </c>
      <c r="AB386" s="5">
        <f>VLOOKUP($A386,'SegEnds_NonXtal_Prot#'!$A:$AL,33,FALSE)</f>
        <v>259</v>
      </c>
      <c r="AC386" s="5">
        <f>VLOOKUP($A386,'SegEnds_NonXtal_Prot#'!$A:$AL,36,FALSE)</f>
        <v>285</v>
      </c>
      <c r="AD386" s="5">
        <f>VLOOKUP($A386,'SegEnds_NonXtal_Prot#'!$A:$AL,5,FALSE)</f>
        <v>36</v>
      </c>
      <c r="AE386" s="5">
        <f>VLOOKUP($A386,'SegEnds_NonXtal_Prot#'!$A:$AL,8,FALSE)</f>
        <v>40</v>
      </c>
      <c r="AF386" s="5">
        <f>VLOOKUP($A386,'SegEnds_NonXtal_Prot#'!$A:$AL,11,FALSE)</f>
        <v>72</v>
      </c>
      <c r="AG386" s="5" t="str">
        <f>VLOOKUP($A386,'SegEnds_NonXtal_Prot#'!$A:$AL,14,FALSE)</f>
        <v>-</v>
      </c>
      <c r="AH386" s="5">
        <f>VLOOKUP($A386,'SegEnds_NonXtal_Prot#'!$A:$AL,17,FALSE)</f>
        <v>113</v>
      </c>
      <c r="AI386" s="5">
        <f>VLOOKUP($A386,'SegEnds_NonXtal_Prot#'!$A:$AL,20,FALSE)</f>
        <v>123</v>
      </c>
      <c r="AJ386" s="5">
        <f>VLOOKUP($A386,'SegEnds_NonXtal_Prot#'!$A:$AL,23,FALSE)</f>
        <v>153</v>
      </c>
      <c r="AK386" s="5" t="str">
        <f>VLOOKUP($A386,'SegEnds_NonXtal_Prot#'!$A:$AL,26,FALSE)</f>
        <v>-</v>
      </c>
      <c r="AL386" s="5">
        <f>VLOOKUP($A386,'SegEnds_NonXtal_Prot#'!$A:$AL,29,FALSE)</f>
        <v>212</v>
      </c>
      <c r="AM386" s="5">
        <f>VLOOKUP($A386,'SegEnds_NonXtal_Prot#'!$A:$AL,32,FALSE)</f>
        <v>254</v>
      </c>
      <c r="AN386" s="5">
        <f>VLOOKUP($A386,'SegEnds_NonXtal_Prot#'!$A:$AL,35,FALSE)</f>
        <v>284</v>
      </c>
      <c r="AO386" s="5">
        <f>VLOOKUP($A386,'SegEnds_NonXtal_Prot#'!$A:$AL,38,FALSE)</f>
        <v>298</v>
      </c>
      <c r="AP386" s="5">
        <f t="shared" ref="AP386:AP406" si="163">IFERROR(AD386-R386,"-")</f>
        <v>30</v>
      </c>
      <c r="AQ386" s="4">
        <f t="shared" ref="AQ386:AQ406" si="164">IFERROR(AE386-S386,"-")</f>
        <v>3</v>
      </c>
      <c r="AR386" s="4">
        <f t="shared" ref="AR386:AR406" si="165">IFERROR(AF386-T386,"-")</f>
        <v>31</v>
      </c>
      <c r="AS386" s="4" t="str">
        <f t="shared" ref="AS386:AS406" si="166">IFERROR(AG386-U386,"-")</f>
        <v>-</v>
      </c>
      <c r="AT386" s="4">
        <f t="shared" ref="AT386:AT406" si="167">IFERROR(AH386-V386,"-")</f>
        <v>35</v>
      </c>
      <c r="AU386" s="4">
        <f t="shared" ref="AU386:AU406" si="168">IFERROR(AI386-W386,"-")</f>
        <v>7</v>
      </c>
      <c r="AV386" s="4">
        <f t="shared" ref="AV386:AV406" si="169">IFERROR(AJ386-X386,"-")</f>
        <v>29</v>
      </c>
      <c r="AW386" s="4" t="str">
        <f t="shared" ref="AW386:AW406" si="170">IFERROR(AK386-Y386,"-")</f>
        <v>-</v>
      </c>
      <c r="AX386" s="4">
        <f t="shared" ref="AX386:AX406" si="171">IFERROR(AL386-Z386,"-")</f>
        <v>40</v>
      </c>
      <c r="AY386" s="4">
        <f t="shared" ref="AY386:AY406" si="172">IFERROR(AM386-AA386,"-")</f>
        <v>32</v>
      </c>
      <c r="AZ386" s="4">
        <f t="shared" ref="AZ386:AZ406" si="173">IFERROR(AN386-AB386,"-")</f>
        <v>25</v>
      </c>
      <c r="BA386" s="4">
        <f t="shared" ref="BA386:BA406" si="174">IFERROR(AO386-AC386,"-")</f>
        <v>13</v>
      </c>
    </row>
    <row r="387" spans="1:53" x14ac:dyDescent="0.2">
      <c r="A387" s="1" t="str">
        <f>'SegEnds_NonXtal_Prot#'!A394</f>
        <v>t2r14_human</v>
      </c>
      <c r="B387" s="1" t="str">
        <f t="shared" si="150"/>
        <v>KSIFTFVLIVEFIIGNLGNSFIALVNCIDWVISSVDRILTALAISRISLVWLIFGSWCVSVFFTEKMFRMLTNIWTVINHFSVWLATGLGTFYFLKIANWRVKKVVLVLLLVTSVFLFLNIALINIHINFTRFSSLIVLTSTVFIFIPFTLSLAMFLLLIFSMWKHRKKMDASTKAHRGVKSVITFFLLYAIFSLSFFISVWTEENLIILSQVMGMAYPSCHSCVLILGNKKLRQASLSVLLW</v>
      </c>
      <c r="C387" s="29" t="str">
        <f>IF(ISERROR(MATCH(A387,'SegEnds_Xtal_Prot#'!B:B, 0)), "NoXtal", "Xtal")</f>
        <v>NoXtal</v>
      </c>
      <c r="D387" s="4" t="str">
        <f>VLOOKUP(A387,Classification!A:D,2,FALSE)</f>
        <v>T</v>
      </c>
      <c r="E387" s="5" t="str">
        <f>VLOOKUP(A387,Seqs!A:B,2,FALSE)</f>
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</c>
      <c r="F387" s="5" t="str">
        <f t="shared" si="151"/>
        <v>KSIFTFVLIVEFIIGNLGNSFIALVNCIDWV</v>
      </c>
      <c r="G387" s="4" t="str">
        <f t="shared" si="152"/>
        <v>KGRK</v>
      </c>
      <c r="H387" s="4" t="str">
        <f t="shared" si="153"/>
        <v>ISSVDRILTALAISRISLVWLIFGSWCVSVFF</v>
      </c>
      <c r="I387" s="4" t="str">
        <f t="shared" si="154"/>
        <v/>
      </c>
      <c r="J387" s="4" t="str">
        <f t="shared" si="155"/>
        <v>TEKMFRMLTNIWTVINHFSVWLATGLGTFYFLKIAN</v>
      </c>
      <c r="K387" s="4" t="str">
        <f t="shared" si="156"/>
        <v>NSIFLYLK</v>
      </c>
      <c r="L387" s="4" t="str">
        <f t="shared" si="157"/>
        <v>WRVKKVVLVLLLVTSVFLFLNIALINIHIN</v>
      </c>
      <c r="M387" s="4" t="str">
        <f t="shared" si="158"/>
        <v/>
      </c>
      <c r="N387" s="4" t="str">
        <f t="shared" si="159"/>
        <v>FTRFSSLIVLTSTVFIFIPFTLSLAMFLLLIFSMWKHRKKM</v>
      </c>
      <c r="O387" s="4" t="str">
        <f t="shared" si="160"/>
        <v>DASTKAHRGVKSVITFFLLYAIFSLSFFISVWT</v>
      </c>
      <c r="P387" s="4" t="str">
        <f t="shared" si="161"/>
        <v>EENLIILSQVMGMAYPSCHSCVLILG</v>
      </c>
      <c r="Q387" s="4" t="str">
        <f t="shared" si="162"/>
        <v>NKKLRQASLSVLLW</v>
      </c>
      <c r="R387" s="5">
        <f>VLOOKUP($A387,'SegEnds_NonXtal_Prot#'!$A:$AL,3,FALSE)</f>
        <v>6</v>
      </c>
      <c r="S387" s="5">
        <f>VLOOKUP($A387,'SegEnds_NonXtal_Prot#'!$A:$AL,6,FALSE)</f>
        <v>37</v>
      </c>
      <c r="T387" s="5">
        <f>VLOOKUP($A387,'SegEnds_NonXtal_Prot#'!$A:$AL,9,FALSE)</f>
        <v>41</v>
      </c>
      <c r="U387" s="5" t="str">
        <f>VLOOKUP($A387,'SegEnds_NonXtal_Prot#'!$A:$AL,12,FALSE)</f>
        <v>-</v>
      </c>
      <c r="V387" s="5">
        <f>VLOOKUP($A387,'SegEnds_NonXtal_Prot#'!$A:$AL,15,FALSE)</f>
        <v>78</v>
      </c>
      <c r="W387" s="5">
        <f>VLOOKUP($A387,'SegEnds_NonXtal_Prot#'!$A:$AL,18,FALSE)</f>
        <v>116</v>
      </c>
      <c r="X387" s="5">
        <f>VLOOKUP($A387,'SegEnds_NonXtal_Prot#'!$A:$AL,21,FALSE)</f>
        <v>124</v>
      </c>
      <c r="Y387" s="5" t="str">
        <f>VLOOKUP($A387,'SegEnds_NonXtal_Prot#'!$A:$AL,24,FALSE)</f>
        <v>-</v>
      </c>
      <c r="Z387" s="5">
        <f>VLOOKUP($A387,'SegEnds_NonXtal_Prot#'!$A:$AL,27,FALSE)</f>
        <v>172</v>
      </c>
      <c r="AA387" s="5">
        <f>VLOOKUP($A387,'SegEnds_NonXtal_Prot#'!$A:$AL,30,FALSE)</f>
        <v>221</v>
      </c>
      <c r="AB387" s="5">
        <f>VLOOKUP($A387,'SegEnds_NonXtal_Prot#'!$A:$AL,33,FALSE)</f>
        <v>258</v>
      </c>
      <c r="AC387" s="5">
        <f>VLOOKUP($A387,'SegEnds_NonXtal_Prot#'!$A:$AL,36,FALSE)</f>
        <v>284</v>
      </c>
      <c r="AD387" s="5">
        <f>VLOOKUP($A387,'SegEnds_NonXtal_Prot#'!$A:$AL,5,FALSE)</f>
        <v>36</v>
      </c>
      <c r="AE387" s="5">
        <f>VLOOKUP($A387,'SegEnds_NonXtal_Prot#'!$A:$AL,8,FALSE)</f>
        <v>40</v>
      </c>
      <c r="AF387" s="5">
        <f>VLOOKUP($A387,'SegEnds_NonXtal_Prot#'!$A:$AL,11,FALSE)</f>
        <v>72</v>
      </c>
      <c r="AG387" s="5" t="str">
        <f>VLOOKUP($A387,'SegEnds_NonXtal_Prot#'!$A:$AL,14,FALSE)</f>
        <v>-</v>
      </c>
      <c r="AH387" s="5">
        <f>VLOOKUP($A387,'SegEnds_NonXtal_Prot#'!$A:$AL,17,FALSE)</f>
        <v>113</v>
      </c>
      <c r="AI387" s="5">
        <f>VLOOKUP($A387,'SegEnds_NonXtal_Prot#'!$A:$AL,20,FALSE)</f>
        <v>123</v>
      </c>
      <c r="AJ387" s="5">
        <f>VLOOKUP($A387,'SegEnds_NonXtal_Prot#'!$A:$AL,23,FALSE)</f>
        <v>153</v>
      </c>
      <c r="AK387" s="5" t="str">
        <f>VLOOKUP($A387,'SegEnds_NonXtal_Prot#'!$A:$AL,26,FALSE)</f>
        <v>-</v>
      </c>
      <c r="AL387" s="5">
        <f>VLOOKUP($A387,'SegEnds_NonXtal_Prot#'!$A:$AL,29,FALSE)</f>
        <v>212</v>
      </c>
      <c r="AM387" s="5">
        <f>VLOOKUP($A387,'SegEnds_NonXtal_Prot#'!$A:$AL,32,FALSE)</f>
        <v>253</v>
      </c>
      <c r="AN387" s="5">
        <f>VLOOKUP($A387,'SegEnds_NonXtal_Prot#'!$A:$AL,35,FALSE)</f>
        <v>283</v>
      </c>
      <c r="AO387" s="5">
        <f>VLOOKUP($A387,'SegEnds_NonXtal_Prot#'!$A:$AL,38,FALSE)</f>
        <v>297</v>
      </c>
      <c r="AP387" s="5">
        <f t="shared" si="163"/>
        <v>30</v>
      </c>
      <c r="AQ387" s="4">
        <f t="shared" si="164"/>
        <v>3</v>
      </c>
      <c r="AR387" s="4">
        <f t="shared" si="165"/>
        <v>31</v>
      </c>
      <c r="AS387" s="4" t="str">
        <f t="shared" si="166"/>
        <v>-</v>
      </c>
      <c r="AT387" s="4">
        <f t="shared" si="167"/>
        <v>35</v>
      </c>
      <c r="AU387" s="4">
        <f t="shared" si="168"/>
        <v>7</v>
      </c>
      <c r="AV387" s="4">
        <f t="shared" si="169"/>
        <v>29</v>
      </c>
      <c r="AW387" s="4" t="str">
        <f t="shared" si="170"/>
        <v>-</v>
      </c>
      <c r="AX387" s="4">
        <f t="shared" si="171"/>
        <v>40</v>
      </c>
      <c r="AY387" s="4">
        <f t="shared" si="172"/>
        <v>32</v>
      </c>
      <c r="AZ387" s="4">
        <f t="shared" si="173"/>
        <v>25</v>
      </c>
      <c r="BA387" s="4">
        <f t="shared" si="174"/>
        <v>13</v>
      </c>
    </row>
    <row r="388" spans="1:53" x14ac:dyDescent="0.2">
      <c r="A388" s="1" t="str">
        <f>'SegEnds_NonXtal_Prot#'!A395</f>
        <v>t2r16_human</v>
      </c>
      <c r="B388" s="1" t="str">
        <f t="shared" si="150"/>
        <v>TVFFMIIYVLESLTIIVQSSLIVAVLGREWLLMPVDMILISLGISRFCLQWASMLNNFCSYFVLCNLTITWEFFNILTFWLNSLLTVFYCIKVSSWRILRLFPWILLGSLMITCVTIIPSAILENFHQYQFQAHTVALVIPFILFLASTIFLMASLTKQIQHHPSMKARFTALRSLAVLFIVFTSYFLTILITIIGKRCWLWVWEAFVYAFILMHSTSLMLSSPTLKRILKGKC</v>
      </c>
      <c r="C388" s="29" t="str">
        <f>IF(ISERROR(MATCH(A388,'SegEnds_Xtal_Prot#'!B:B, 0)), "NoXtal", "Xtal")</f>
        <v>NoXtal</v>
      </c>
      <c r="D388" s="4" t="str">
        <f>VLOOKUP(A388,Classification!A:D,2,FALSE)</f>
        <v>T</v>
      </c>
      <c r="E388" s="5" t="str">
        <f>VLOOKUP(A388,Seqs!A:B,2,FALSE)</f>
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</c>
      <c r="F388" s="5" t="str">
        <f t="shared" si="151"/>
        <v>TVFFMIIYVLESLTIIVQSSLIVAVLGREWL</v>
      </c>
      <c r="G388" s="4" t="str">
        <f t="shared" si="152"/>
        <v>QVRR</v>
      </c>
      <c r="H388" s="4" t="str">
        <f t="shared" si="153"/>
        <v>LMPVDMILISLGISRFCLQWASMLNNFCSYF</v>
      </c>
      <c r="I388" s="4" t="str">
        <f t="shared" si="154"/>
        <v/>
      </c>
      <c r="J388" s="4" t="str">
        <f t="shared" si="155"/>
        <v>VLCNLTITWEFFNILTFWLNSLLTVFYCIKVSS</v>
      </c>
      <c r="K388" s="4" t="str">
        <f t="shared" si="156"/>
        <v>HHIFLWLR</v>
      </c>
      <c r="L388" s="4" t="str">
        <f t="shared" si="157"/>
        <v>WRILRLFPWILLGSLMITCVTIIPSAI</v>
      </c>
      <c r="M388" s="4" t="str">
        <f t="shared" si="158"/>
        <v/>
      </c>
      <c r="N388" s="4" t="str">
        <f t="shared" si="159"/>
        <v>LENFHQYQFQAHTVALVIPFILFLASTIFLMASLTKQIQHH</v>
      </c>
      <c r="O388" s="4" t="str">
        <f t="shared" si="160"/>
        <v>PSMKARFTALRSLAVLFIVFTSYFLTILITIIG</v>
      </c>
      <c r="P388" s="4" t="str">
        <f t="shared" si="161"/>
        <v>KRCWLWVWEAFVYAFILMHSTSLMLS</v>
      </c>
      <c r="Q388" s="4" t="str">
        <f t="shared" si="162"/>
        <v>SPTLKRILKGKC</v>
      </c>
      <c r="R388" s="5">
        <f>VLOOKUP($A388,'SegEnds_NonXtal_Prot#'!$A:$AL,3,FALSE)</f>
        <v>7</v>
      </c>
      <c r="S388" s="5">
        <f>VLOOKUP($A388,'SegEnds_NonXtal_Prot#'!$A:$AL,6,FALSE)</f>
        <v>38</v>
      </c>
      <c r="T388" s="5">
        <f>VLOOKUP($A388,'SegEnds_NonXtal_Prot#'!$A:$AL,9,FALSE)</f>
        <v>42</v>
      </c>
      <c r="U388" s="5" t="str">
        <f>VLOOKUP($A388,'SegEnds_NonXtal_Prot#'!$A:$AL,12,FALSE)</f>
        <v>-</v>
      </c>
      <c r="V388" s="5">
        <f>VLOOKUP($A388,'SegEnds_NonXtal_Prot#'!$A:$AL,15,FALSE)</f>
        <v>77</v>
      </c>
      <c r="W388" s="5">
        <f>VLOOKUP($A388,'SegEnds_NonXtal_Prot#'!$A:$AL,18,FALSE)</f>
        <v>112</v>
      </c>
      <c r="X388" s="5">
        <f>VLOOKUP($A388,'SegEnds_NonXtal_Prot#'!$A:$AL,21,FALSE)</f>
        <v>120</v>
      </c>
      <c r="Y388" s="5" t="str">
        <f>VLOOKUP($A388,'SegEnds_NonXtal_Prot#'!$A:$AL,24,FALSE)</f>
        <v>-</v>
      </c>
      <c r="Z388" s="5">
        <f>VLOOKUP($A388,'SegEnds_NonXtal_Prot#'!$A:$AL,27,FALSE)</f>
        <v>170</v>
      </c>
      <c r="AA388" s="5">
        <f>VLOOKUP($A388,'SegEnds_NonXtal_Prot#'!$A:$AL,30,FALSE)</f>
        <v>217</v>
      </c>
      <c r="AB388" s="5">
        <f>VLOOKUP($A388,'SegEnds_NonXtal_Prot#'!$A:$AL,33,FALSE)</f>
        <v>254</v>
      </c>
      <c r="AC388" s="5">
        <f>VLOOKUP($A388,'SegEnds_NonXtal_Prot#'!$A:$AL,36,FALSE)</f>
        <v>280</v>
      </c>
      <c r="AD388" s="5">
        <f>VLOOKUP($A388,'SegEnds_NonXtal_Prot#'!$A:$AL,5,FALSE)</f>
        <v>37</v>
      </c>
      <c r="AE388" s="5">
        <f>VLOOKUP($A388,'SegEnds_NonXtal_Prot#'!$A:$AL,8,FALSE)</f>
        <v>41</v>
      </c>
      <c r="AF388" s="5">
        <f>VLOOKUP($A388,'SegEnds_NonXtal_Prot#'!$A:$AL,11,FALSE)</f>
        <v>72</v>
      </c>
      <c r="AG388" s="5" t="str">
        <f>VLOOKUP($A388,'SegEnds_NonXtal_Prot#'!$A:$AL,14,FALSE)</f>
        <v>-</v>
      </c>
      <c r="AH388" s="5">
        <f>VLOOKUP($A388,'SegEnds_NonXtal_Prot#'!$A:$AL,17,FALSE)</f>
        <v>109</v>
      </c>
      <c r="AI388" s="5">
        <f>VLOOKUP($A388,'SegEnds_NonXtal_Prot#'!$A:$AL,20,FALSE)</f>
        <v>119</v>
      </c>
      <c r="AJ388" s="5">
        <f>VLOOKUP($A388,'SegEnds_NonXtal_Prot#'!$A:$AL,23,FALSE)</f>
        <v>146</v>
      </c>
      <c r="AK388" s="5" t="str">
        <f>VLOOKUP($A388,'SegEnds_NonXtal_Prot#'!$A:$AL,26,FALSE)</f>
        <v>-</v>
      </c>
      <c r="AL388" s="5">
        <f>VLOOKUP($A388,'SegEnds_NonXtal_Prot#'!$A:$AL,29,FALSE)</f>
        <v>210</v>
      </c>
      <c r="AM388" s="5">
        <f>VLOOKUP($A388,'SegEnds_NonXtal_Prot#'!$A:$AL,32,FALSE)</f>
        <v>249</v>
      </c>
      <c r="AN388" s="5">
        <f>VLOOKUP($A388,'SegEnds_NonXtal_Prot#'!$A:$AL,35,FALSE)</f>
        <v>279</v>
      </c>
      <c r="AO388" s="5">
        <f>VLOOKUP($A388,'SegEnds_NonXtal_Prot#'!$A:$AL,38,FALSE)</f>
        <v>291</v>
      </c>
      <c r="AP388" s="5">
        <f t="shared" si="163"/>
        <v>30</v>
      </c>
      <c r="AQ388" s="4">
        <f t="shared" si="164"/>
        <v>3</v>
      </c>
      <c r="AR388" s="4">
        <f t="shared" si="165"/>
        <v>30</v>
      </c>
      <c r="AS388" s="4" t="str">
        <f t="shared" si="166"/>
        <v>-</v>
      </c>
      <c r="AT388" s="4">
        <f t="shared" si="167"/>
        <v>32</v>
      </c>
      <c r="AU388" s="4">
        <f t="shared" si="168"/>
        <v>7</v>
      </c>
      <c r="AV388" s="4">
        <f t="shared" si="169"/>
        <v>26</v>
      </c>
      <c r="AW388" s="4" t="str">
        <f t="shared" si="170"/>
        <v>-</v>
      </c>
      <c r="AX388" s="4">
        <f t="shared" si="171"/>
        <v>40</v>
      </c>
      <c r="AY388" s="4">
        <f t="shared" si="172"/>
        <v>32</v>
      </c>
      <c r="AZ388" s="4">
        <f t="shared" si="173"/>
        <v>25</v>
      </c>
      <c r="BA388" s="4">
        <f t="shared" si="174"/>
        <v>11</v>
      </c>
    </row>
    <row r="389" spans="1:53" x14ac:dyDescent="0.2">
      <c r="A389" s="1" t="str">
        <f>'SegEnds_NonXtal_Prot#'!A396</f>
        <v>t2r19_human</v>
      </c>
      <c r="B389" s="1" t="str">
        <f t="shared" si="150"/>
        <v>LIISSILVVFAFVLGNVANGFIALVNVIDWVISSAEQILTALVVSRIGLLWVMLFLWYATVFGLEVRIVASNAWAVTNHFSMWLAASLSIFCLLKIANKRIKSVVLVILLGPLVFLICNLAVITMDERRNAIHLSSLTVTTLANLIPFTLSLICFLLLICSLCKHLKKMPSTKVHIKALQTVTSFLMLFAIYFLCIITSTWNSKLVLLLCQTVAIMYPSFHSFILIMGSRKLKQTFLSVLWQ</v>
      </c>
      <c r="C389" s="29" t="str">
        <f>IF(ISERROR(MATCH(A389,'SegEnds_Xtal_Prot#'!B:B, 0)), "NoXtal", "Xtal")</f>
        <v>NoXtal</v>
      </c>
      <c r="D389" s="4" t="str">
        <f>VLOOKUP(A389,Classification!A:D,2,FALSE)</f>
        <v>T</v>
      </c>
      <c r="E389" s="5" t="str">
        <f>VLOOKUP(A389,Seqs!A:B,2,FALSE)</f>
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</c>
      <c r="F389" s="5" t="str">
        <f t="shared" si="151"/>
        <v>LIISSILVVFAFVLGNVANGFIALVNVIDWV</v>
      </c>
      <c r="G389" s="4" t="str">
        <f t="shared" si="152"/>
        <v>NTRK</v>
      </c>
      <c r="H389" s="4" t="str">
        <f t="shared" si="153"/>
        <v>ISSAEQILTALVVSRIGLLWVMLFLWYATVF</v>
      </c>
      <c r="I389" s="4" t="str">
        <f t="shared" si="154"/>
        <v/>
      </c>
      <c r="J389" s="4" t="str">
        <f t="shared" si="155"/>
        <v>GLEVRIVASNAWAVTNHFSMWLAASLSIFCLLKIAN</v>
      </c>
      <c r="K389" s="4" t="str">
        <f t="shared" si="156"/>
        <v>NLISLHLK</v>
      </c>
      <c r="L389" s="4" t="str">
        <f t="shared" si="157"/>
        <v>KRIKSVVLVILLGPLVFLICNLAVITMDER</v>
      </c>
      <c r="M389" s="4" t="str">
        <f t="shared" si="158"/>
        <v/>
      </c>
      <c r="N389" s="4" t="str">
        <f t="shared" si="159"/>
        <v>RNAIHLSSLTVTTLANLIPFTLSLICFLLLICSLCKHLKKM</v>
      </c>
      <c r="O389" s="4" t="str">
        <f t="shared" si="160"/>
        <v>PSTKVHIKALQTVTSFLMLFAIYFLCIITSTWN</v>
      </c>
      <c r="P389" s="4" t="str">
        <f t="shared" si="161"/>
        <v>SKLVLLLCQTVAIMYPSFHSFILIMG</v>
      </c>
      <c r="Q389" s="4" t="str">
        <f t="shared" si="162"/>
        <v>SRKLKQTFLSVLWQ</v>
      </c>
      <c r="R389" s="5">
        <f>VLOOKUP($A389,'SegEnds_NonXtal_Prot#'!$A:$AL,3,FALSE)</f>
        <v>6</v>
      </c>
      <c r="S389" s="5">
        <f>VLOOKUP($A389,'SegEnds_NonXtal_Prot#'!$A:$AL,6,FALSE)</f>
        <v>37</v>
      </c>
      <c r="T389" s="5">
        <f>VLOOKUP($A389,'SegEnds_NonXtal_Prot#'!$A:$AL,9,FALSE)</f>
        <v>41</v>
      </c>
      <c r="U389" s="5" t="str">
        <f>VLOOKUP($A389,'SegEnds_NonXtal_Prot#'!$A:$AL,12,FALSE)</f>
        <v>-</v>
      </c>
      <c r="V389" s="5">
        <f>VLOOKUP($A389,'SegEnds_NonXtal_Prot#'!$A:$AL,15,FALSE)</f>
        <v>77</v>
      </c>
      <c r="W389" s="5">
        <f>VLOOKUP($A389,'SegEnds_NonXtal_Prot#'!$A:$AL,18,FALSE)</f>
        <v>115</v>
      </c>
      <c r="X389" s="5">
        <f>VLOOKUP($A389,'SegEnds_NonXtal_Prot#'!$A:$AL,21,FALSE)</f>
        <v>123</v>
      </c>
      <c r="Y389" s="5" t="str">
        <f>VLOOKUP($A389,'SegEnds_NonXtal_Prot#'!$A:$AL,24,FALSE)</f>
        <v>-</v>
      </c>
      <c r="Z389" s="5">
        <f>VLOOKUP($A389,'SegEnds_NonXtal_Prot#'!$A:$AL,27,FALSE)</f>
        <v>169</v>
      </c>
      <c r="AA389" s="5">
        <f>VLOOKUP($A389,'SegEnds_NonXtal_Prot#'!$A:$AL,30,FALSE)</f>
        <v>219</v>
      </c>
      <c r="AB389" s="5">
        <f>VLOOKUP($A389,'SegEnds_NonXtal_Prot#'!$A:$AL,33,FALSE)</f>
        <v>257</v>
      </c>
      <c r="AC389" s="5">
        <f>VLOOKUP($A389,'SegEnds_NonXtal_Prot#'!$A:$AL,36,FALSE)</f>
        <v>283</v>
      </c>
      <c r="AD389" s="5">
        <f>VLOOKUP($A389,'SegEnds_NonXtal_Prot#'!$A:$AL,5,FALSE)</f>
        <v>36</v>
      </c>
      <c r="AE389" s="5">
        <f>VLOOKUP($A389,'SegEnds_NonXtal_Prot#'!$A:$AL,8,FALSE)</f>
        <v>40</v>
      </c>
      <c r="AF389" s="5">
        <f>VLOOKUP($A389,'SegEnds_NonXtal_Prot#'!$A:$AL,11,FALSE)</f>
        <v>71</v>
      </c>
      <c r="AG389" s="5" t="str">
        <f>VLOOKUP($A389,'SegEnds_NonXtal_Prot#'!$A:$AL,14,FALSE)</f>
        <v>-</v>
      </c>
      <c r="AH389" s="5">
        <f>VLOOKUP($A389,'SegEnds_NonXtal_Prot#'!$A:$AL,17,FALSE)</f>
        <v>112</v>
      </c>
      <c r="AI389" s="5">
        <f>VLOOKUP($A389,'SegEnds_NonXtal_Prot#'!$A:$AL,20,FALSE)</f>
        <v>122</v>
      </c>
      <c r="AJ389" s="5">
        <f>VLOOKUP($A389,'SegEnds_NonXtal_Prot#'!$A:$AL,23,FALSE)</f>
        <v>152</v>
      </c>
      <c r="AK389" s="5" t="str">
        <f>VLOOKUP($A389,'SegEnds_NonXtal_Prot#'!$A:$AL,26,FALSE)</f>
        <v>-</v>
      </c>
      <c r="AL389" s="5">
        <f>VLOOKUP($A389,'SegEnds_NonXtal_Prot#'!$A:$AL,29,FALSE)</f>
        <v>209</v>
      </c>
      <c r="AM389" s="5">
        <f>VLOOKUP($A389,'SegEnds_NonXtal_Prot#'!$A:$AL,32,FALSE)</f>
        <v>251</v>
      </c>
      <c r="AN389" s="5">
        <f>VLOOKUP($A389,'SegEnds_NonXtal_Prot#'!$A:$AL,35,FALSE)</f>
        <v>282</v>
      </c>
      <c r="AO389" s="5">
        <f>VLOOKUP($A389,'SegEnds_NonXtal_Prot#'!$A:$AL,38,FALSE)</f>
        <v>296</v>
      </c>
      <c r="AP389" s="5">
        <f t="shared" si="163"/>
        <v>30</v>
      </c>
      <c r="AQ389" s="4">
        <f t="shared" si="164"/>
        <v>3</v>
      </c>
      <c r="AR389" s="4">
        <f t="shared" si="165"/>
        <v>30</v>
      </c>
      <c r="AS389" s="4" t="str">
        <f t="shared" si="166"/>
        <v>-</v>
      </c>
      <c r="AT389" s="4">
        <f t="shared" si="167"/>
        <v>35</v>
      </c>
      <c r="AU389" s="4">
        <f t="shared" si="168"/>
        <v>7</v>
      </c>
      <c r="AV389" s="4">
        <f t="shared" si="169"/>
        <v>29</v>
      </c>
      <c r="AW389" s="4" t="str">
        <f t="shared" si="170"/>
        <v>-</v>
      </c>
      <c r="AX389" s="4">
        <f t="shared" si="171"/>
        <v>40</v>
      </c>
      <c r="AY389" s="4">
        <f t="shared" si="172"/>
        <v>32</v>
      </c>
      <c r="AZ389" s="4">
        <f t="shared" si="173"/>
        <v>25</v>
      </c>
      <c r="BA389" s="4">
        <f t="shared" si="174"/>
        <v>13</v>
      </c>
    </row>
    <row r="390" spans="1:53" x14ac:dyDescent="0.2">
      <c r="A390" s="1" t="str">
        <f>'SegEnds_NonXtal_Prot#'!A397</f>
        <v>t2r20_human</v>
      </c>
      <c r="B390" s="1" t="str">
        <f t="shared" si="150"/>
        <v>HIVFSILVVVAFILGNFANGFIALINFIAWVISSADQIIAALAVSRVGLLWVILLHWYSTVLNLKVIIFISNAWAVTNHFSIWLATSLSIFYLLKIVNRKAKSVVLVIVLGSLFFLVCHLVMKHTYINRNAMHLSNLTVAMLANLIPFTLTLISFLLLIYSLCKHLKKMPSTKIHIKALQTVTSFLILLAIYFLCLIISFWNKEIVLMLCQAFGIIYPSFHSFILIWGNKTLKQTFLSVLWQ</v>
      </c>
      <c r="C390" s="29" t="str">
        <f>IF(ISERROR(MATCH(A390,'SegEnds_Xtal_Prot#'!B:B, 0)), "NoXtal", "Xtal")</f>
        <v>NoXtal</v>
      </c>
      <c r="D390" s="4" t="str">
        <f>VLOOKUP(A390,Classification!A:D,2,FALSE)</f>
        <v>T</v>
      </c>
      <c r="E390" s="5" t="str">
        <f>VLOOKUP(A390,Seqs!A:B,2,FALSE)</f>
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</c>
      <c r="F390" s="5" t="str">
        <f t="shared" si="151"/>
        <v>HIVFSILVVVAFILGNFANGFIALINFIAWV</v>
      </c>
      <c r="G390" s="4" t="str">
        <f t="shared" si="152"/>
        <v>KRQK</v>
      </c>
      <c r="H390" s="4" t="str">
        <f t="shared" si="153"/>
        <v>ISSADQIIAALAVSRVGLLWVILLHWYSTVL</v>
      </c>
      <c r="I390" s="4" t="str">
        <f t="shared" si="154"/>
        <v/>
      </c>
      <c r="J390" s="4" t="str">
        <f t="shared" si="155"/>
        <v>NLKVIIFISNAWAVTNHFSIWLATSLSIFYLLKIVN</v>
      </c>
      <c r="K390" s="4" t="str">
        <f t="shared" si="156"/>
        <v>RLIFHHLK</v>
      </c>
      <c r="L390" s="4" t="str">
        <f t="shared" si="157"/>
        <v>RKAKSVVLVIVLGSLFFLVCHLVMKHTYIN</v>
      </c>
      <c r="M390" s="4" t="str">
        <f t="shared" si="158"/>
        <v/>
      </c>
      <c r="N390" s="4" t="str">
        <f t="shared" si="159"/>
        <v>RNAMHLSNLTVAMLANLIPFTLTLISFLLLIYSLCKHLKKM</v>
      </c>
      <c r="O390" s="4" t="str">
        <f t="shared" si="160"/>
        <v>PSTKIHIKALQTVTSFLILLAIYFLCLIISFWN</v>
      </c>
      <c r="P390" s="4" t="str">
        <f t="shared" si="161"/>
        <v>KEIVLMLCQAFGIIYPSFHSFILIWG</v>
      </c>
      <c r="Q390" s="4" t="str">
        <f t="shared" si="162"/>
        <v>NKTLKQTFLSVLWQ</v>
      </c>
      <c r="R390" s="5">
        <f>VLOOKUP($A390,'SegEnds_NonXtal_Prot#'!$A:$AL,3,FALSE)</f>
        <v>6</v>
      </c>
      <c r="S390" s="5">
        <f>VLOOKUP($A390,'SegEnds_NonXtal_Prot#'!$A:$AL,6,FALSE)</f>
        <v>37</v>
      </c>
      <c r="T390" s="5">
        <f>VLOOKUP($A390,'SegEnds_NonXtal_Prot#'!$A:$AL,9,FALSE)</f>
        <v>41</v>
      </c>
      <c r="U390" s="5" t="str">
        <f>VLOOKUP($A390,'SegEnds_NonXtal_Prot#'!$A:$AL,12,FALSE)</f>
        <v>-</v>
      </c>
      <c r="V390" s="5">
        <f>VLOOKUP($A390,'SegEnds_NonXtal_Prot#'!$A:$AL,15,FALSE)</f>
        <v>77</v>
      </c>
      <c r="W390" s="5">
        <f>VLOOKUP($A390,'SegEnds_NonXtal_Prot#'!$A:$AL,18,FALSE)</f>
        <v>115</v>
      </c>
      <c r="X390" s="5">
        <f>VLOOKUP($A390,'SegEnds_NonXtal_Prot#'!$A:$AL,21,FALSE)</f>
        <v>123</v>
      </c>
      <c r="Y390" s="5" t="str">
        <f>VLOOKUP($A390,'SegEnds_NonXtal_Prot#'!$A:$AL,24,FALSE)</f>
        <v>-</v>
      </c>
      <c r="Z390" s="5">
        <f>VLOOKUP($A390,'SegEnds_NonXtal_Prot#'!$A:$AL,27,FALSE)</f>
        <v>169</v>
      </c>
      <c r="AA390" s="5">
        <f>VLOOKUP($A390,'SegEnds_NonXtal_Prot#'!$A:$AL,30,FALSE)</f>
        <v>219</v>
      </c>
      <c r="AB390" s="5">
        <f>VLOOKUP($A390,'SegEnds_NonXtal_Prot#'!$A:$AL,33,FALSE)</f>
        <v>257</v>
      </c>
      <c r="AC390" s="5">
        <f>VLOOKUP($A390,'SegEnds_NonXtal_Prot#'!$A:$AL,36,FALSE)</f>
        <v>283</v>
      </c>
      <c r="AD390" s="5">
        <f>VLOOKUP($A390,'SegEnds_NonXtal_Prot#'!$A:$AL,5,FALSE)</f>
        <v>36</v>
      </c>
      <c r="AE390" s="5">
        <f>VLOOKUP($A390,'SegEnds_NonXtal_Prot#'!$A:$AL,8,FALSE)</f>
        <v>40</v>
      </c>
      <c r="AF390" s="5">
        <f>VLOOKUP($A390,'SegEnds_NonXtal_Prot#'!$A:$AL,11,FALSE)</f>
        <v>71</v>
      </c>
      <c r="AG390" s="5" t="str">
        <f>VLOOKUP($A390,'SegEnds_NonXtal_Prot#'!$A:$AL,14,FALSE)</f>
        <v>-</v>
      </c>
      <c r="AH390" s="5">
        <f>VLOOKUP($A390,'SegEnds_NonXtal_Prot#'!$A:$AL,17,FALSE)</f>
        <v>112</v>
      </c>
      <c r="AI390" s="5">
        <f>VLOOKUP($A390,'SegEnds_NonXtal_Prot#'!$A:$AL,20,FALSE)</f>
        <v>122</v>
      </c>
      <c r="AJ390" s="5">
        <f>VLOOKUP($A390,'SegEnds_NonXtal_Prot#'!$A:$AL,23,FALSE)</f>
        <v>152</v>
      </c>
      <c r="AK390" s="5" t="str">
        <f>VLOOKUP($A390,'SegEnds_NonXtal_Prot#'!$A:$AL,26,FALSE)</f>
        <v>-</v>
      </c>
      <c r="AL390" s="5">
        <f>VLOOKUP($A390,'SegEnds_NonXtal_Prot#'!$A:$AL,29,FALSE)</f>
        <v>209</v>
      </c>
      <c r="AM390" s="5">
        <f>VLOOKUP($A390,'SegEnds_NonXtal_Prot#'!$A:$AL,32,FALSE)</f>
        <v>251</v>
      </c>
      <c r="AN390" s="5">
        <f>VLOOKUP($A390,'SegEnds_NonXtal_Prot#'!$A:$AL,35,FALSE)</f>
        <v>282</v>
      </c>
      <c r="AO390" s="5">
        <f>VLOOKUP($A390,'SegEnds_NonXtal_Prot#'!$A:$AL,38,FALSE)</f>
        <v>296</v>
      </c>
      <c r="AP390" s="5">
        <f t="shared" si="163"/>
        <v>30</v>
      </c>
      <c r="AQ390" s="4">
        <f t="shared" si="164"/>
        <v>3</v>
      </c>
      <c r="AR390" s="4">
        <f t="shared" si="165"/>
        <v>30</v>
      </c>
      <c r="AS390" s="4" t="str">
        <f t="shared" si="166"/>
        <v>-</v>
      </c>
      <c r="AT390" s="4">
        <f t="shared" si="167"/>
        <v>35</v>
      </c>
      <c r="AU390" s="4">
        <f t="shared" si="168"/>
        <v>7</v>
      </c>
      <c r="AV390" s="4">
        <f t="shared" si="169"/>
        <v>29</v>
      </c>
      <c r="AW390" s="4" t="str">
        <f t="shared" si="170"/>
        <v>-</v>
      </c>
      <c r="AX390" s="4">
        <f t="shared" si="171"/>
        <v>40</v>
      </c>
      <c r="AY390" s="4">
        <f t="shared" si="172"/>
        <v>32</v>
      </c>
      <c r="AZ390" s="4">
        <f t="shared" si="173"/>
        <v>25</v>
      </c>
      <c r="BA390" s="4">
        <f t="shared" si="174"/>
        <v>13</v>
      </c>
    </row>
    <row r="391" spans="1:53" x14ac:dyDescent="0.2">
      <c r="A391" s="1" t="str">
        <f>'SegEnds_NonXtal_Prot#'!A398</f>
        <v>t2r30_human</v>
      </c>
      <c r="B391" s="1" t="str">
        <f t="shared" si="150"/>
        <v>PIIFSILIVVIFVIGNFANGFIALVNSIEWVISFVDQILTALAVSRVGLLWVLLLHWYATQLSVEVRITAYNVWAVTNHFSSWLATSLSMFYLLRIANRRVKSVVLVILLGPLLFLVCHLFVINMDETRSAMYHSNMTLTMLANFVPLTLTLISFLLLICSLCKHLKKMPSTKVHIKALQTVTSFLLLCAIYFLSMIISVCNKQPVFMFCQAIIFSYPSTHPFILILGNKKLKQIFLSVLRH</v>
      </c>
      <c r="C391" s="29" t="str">
        <f>IF(ISERROR(MATCH(A391,'SegEnds_Xtal_Prot#'!B:B, 0)), "NoXtal", "Xtal")</f>
        <v>NoXtal</v>
      </c>
      <c r="D391" s="4" t="str">
        <f>VLOOKUP(A391,Classification!A:D,2,FALSE)</f>
        <v>T</v>
      </c>
      <c r="E391" s="5" t="str">
        <f>VLOOKUP(A391,Seqs!A:B,2,FALSE)</f>
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</c>
      <c r="F391" s="5" t="str">
        <f t="shared" si="151"/>
        <v>PIIFSILIVVIFVIGNFANGFIALVNSIEWV</v>
      </c>
      <c r="G391" s="4" t="str">
        <f t="shared" si="152"/>
        <v>KRQK</v>
      </c>
      <c r="H391" s="4" t="str">
        <f t="shared" si="153"/>
        <v>ISFVDQILTALAVSRVGLLWVLLLHWYATQL</v>
      </c>
      <c r="I391" s="4" t="str">
        <f t="shared" si="154"/>
        <v/>
      </c>
      <c r="J391" s="4" t="str">
        <f t="shared" si="155"/>
        <v>SVEVRITAYNVWAVTNHFSSWLATSLSMFYLLRIAN</v>
      </c>
      <c r="K391" s="4" t="str">
        <f t="shared" si="156"/>
        <v>NLIFLRIK</v>
      </c>
      <c r="L391" s="4" t="str">
        <f t="shared" si="157"/>
        <v>RRVKSVVLVILLGPLLFLVCHLFVINMDET</v>
      </c>
      <c r="M391" s="4" t="str">
        <f t="shared" si="158"/>
        <v/>
      </c>
      <c r="N391" s="4" t="str">
        <f t="shared" si="159"/>
        <v>RSAMYHSNMTLTMLANFVPLTLTLISFLLLICSLCKHLKKM</v>
      </c>
      <c r="O391" s="4" t="str">
        <f t="shared" si="160"/>
        <v>PSTKVHIKALQTVTSFLLLCAIYFLSMIISVCN</v>
      </c>
      <c r="P391" s="4" t="str">
        <f t="shared" si="161"/>
        <v>KQPVFMFCQAIIFSYPSTHPFILILG</v>
      </c>
      <c r="Q391" s="4" t="str">
        <f t="shared" si="162"/>
        <v>NKKLKQIFLSVLRH</v>
      </c>
      <c r="R391" s="5">
        <f>VLOOKUP($A391,'SegEnds_NonXtal_Prot#'!$A:$AL,3,FALSE)</f>
        <v>6</v>
      </c>
      <c r="S391" s="5">
        <f>VLOOKUP($A391,'SegEnds_NonXtal_Prot#'!$A:$AL,6,FALSE)</f>
        <v>37</v>
      </c>
      <c r="T391" s="5">
        <f>VLOOKUP($A391,'SegEnds_NonXtal_Prot#'!$A:$AL,9,FALSE)</f>
        <v>41</v>
      </c>
      <c r="U391" s="5" t="str">
        <f>VLOOKUP($A391,'SegEnds_NonXtal_Prot#'!$A:$AL,12,FALSE)</f>
        <v>-</v>
      </c>
      <c r="V391" s="5">
        <f>VLOOKUP($A391,'SegEnds_NonXtal_Prot#'!$A:$AL,15,FALSE)</f>
        <v>77</v>
      </c>
      <c r="W391" s="5">
        <f>VLOOKUP($A391,'SegEnds_NonXtal_Prot#'!$A:$AL,18,FALSE)</f>
        <v>115</v>
      </c>
      <c r="X391" s="5">
        <f>VLOOKUP($A391,'SegEnds_NonXtal_Prot#'!$A:$AL,21,FALSE)</f>
        <v>123</v>
      </c>
      <c r="Y391" s="5" t="str">
        <f>VLOOKUP($A391,'SegEnds_NonXtal_Prot#'!$A:$AL,24,FALSE)</f>
        <v>-</v>
      </c>
      <c r="Z391" s="5">
        <f>VLOOKUP($A391,'SegEnds_NonXtal_Prot#'!$A:$AL,27,FALSE)</f>
        <v>169</v>
      </c>
      <c r="AA391" s="5">
        <f>VLOOKUP($A391,'SegEnds_NonXtal_Prot#'!$A:$AL,30,FALSE)</f>
        <v>219</v>
      </c>
      <c r="AB391" s="5">
        <f>VLOOKUP($A391,'SegEnds_NonXtal_Prot#'!$A:$AL,33,FALSE)</f>
        <v>257</v>
      </c>
      <c r="AC391" s="5">
        <f>VLOOKUP($A391,'SegEnds_NonXtal_Prot#'!$A:$AL,36,FALSE)</f>
        <v>283</v>
      </c>
      <c r="AD391" s="5">
        <f>VLOOKUP($A391,'SegEnds_NonXtal_Prot#'!$A:$AL,5,FALSE)</f>
        <v>36</v>
      </c>
      <c r="AE391" s="5">
        <f>VLOOKUP($A391,'SegEnds_NonXtal_Prot#'!$A:$AL,8,FALSE)</f>
        <v>40</v>
      </c>
      <c r="AF391" s="5">
        <f>VLOOKUP($A391,'SegEnds_NonXtal_Prot#'!$A:$AL,11,FALSE)</f>
        <v>71</v>
      </c>
      <c r="AG391" s="5" t="str">
        <f>VLOOKUP($A391,'SegEnds_NonXtal_Prot#'!$A:$AL,14,FALSE)</f>
        <v>-</v>
      </c>
      <c r="AH391" s="5">
        <f>VLOOKUP($A391,'SegEnds_NonXtal_Prot#'!$A:$AL,17,FALSE)</f>
        <v>112</v>
      </c>
      <c r="AI391" s="5">
        <f>VLOOKUP($A391,'SegEnds_NonXtal_Prot#'!$A:$AL,20,FALSE)</f>
        <v>122</v>
      </c>
      <c r="AJ391" s="5">
        <f>VLOOKUP($A391,'SegEnds_NonXtal_Prot#'!$A:$AL,23,FALSE)</f>
        <v>152</v>
      </c>
      <c r="AK391" s="5" t="str">
        <f>VLOOKUP($A391,'SegEnds_NonXtal_Prot#'!$A:$AL,26,FALSE)</f>
        <v>-</v>
      </c>
      <c r="AL391" s="5">
        <f>VLOOKUP($A391,'SegEnds_NonXtal_Prot#'!$A:$AL,29,FALSE)</f>
        <v>209</v>
      </c>
      <c r="AM391" s="5">
        <f>VLOOKUP($A391,'SegEnds_NonXtal_Prot#'!$A:$AL,32,FALSE)</f>
        <v>251</v>
      </c>
      <c r="AN391" s="5">
        <f>VLOOKUP($A391,'SegEnds_NonXtal_Prot#'!$A:$AL,35,FALSE)</f>
        <v>282</v>
      </c>
      <c r="AO391" s="5">
        <f>VLOOKUP($A391,'SegEnds_NonXtal_Prot#'!$A:$AL,38,FALSE)</f>
        <v>296</v>
      </c>
      <c r="AP391" s="5">
        <f t="shared" si="163"/>
        <v>30</v>
      </c>
      <c r="AQ391" s="4">
        <f t="shared" si="164"/>
        <v>3</v>
      </c>
      <c r="AR391" s="4">
        <f t="shared" si="165"/>
        <v>30</v>
      </c>
      <c r="AS391" s="4" t="str">
        <f t="shared" si="166"/>
        <v>-</v>
      </c>
      <c r="AT391" s="4">
        <f t="shared" si="167"/>
        <v>35</v>
      </c>
      <c r="AU391" s="4">
        <f t="shared" si="168"/>
        <v>7</v>
      </c>
      <c r="AV391" s="4">
        <f t="shared" si="169"/>
        <v>29</v>
      </c>
      <c r="AW391" s="4" t="str">
        <f t="shared" si="170"/>
        <v>-</v>
      </c>
      <c r="AX391" s="4">
        <f t="shared" si="171"/>
        <v>40</v>
      </c>
      <c r="AY391" s="4">
        <f t="shared" si="172"/>
        <v>32</v>
      </c>
      <c r="AZ391" s="4">
        <f t="shared" si="173"/>
        <v>25</v>
      </c>
      <c r="BA391" s="4">
        <f t="shared" si="174"/>
        <v>13</v>
      </c>
    </row>
    <row r="392" spans="1:53" x14ac:dyDescent="0.2">
      <c r="A392" s="1" t="str">
        <f>'SegEnds_NonXtal_Prot#'!A399</f>
        <v>t2r31_human</v>
      </c>
      <c r="B392" s="1" t="str">
        <f t="shared" si="150"/>
        <v>PIIFSSVVVVLFVIGNFANGFIALVNSIERVISFADQILTALAVSRVGLLWVLLLNWYSTVFSVEVRTTAYNVWAVTGHFSNWLATSLSIFYLLKIANRRVKSVILVMLLGPLLFLACQLFVINMRSAVYLSDATVTTLGNLVPFTLTLLCFLLLICSLCKHLKKMPSTKVHIKALQTVIFFLLLCAVYFLSIMISVWSNKPVFMFCKAIRFSYPSIHPFILIWGNKKLKQTFLSVLRQ</v>
      </c>
      <c r="C392" s="29" t="str">
        <f>IF(ISERROR(MATCH(A392,'SegEnds_Xtal_Prot#'!B:B, 0)), "NoXtal", "Xtal")</f>
        <v>NoXtal</v>
      </c>
      <c r="D392" s="4" t="str">
        <f>VLOOKUP(A392,Classification!A:D,2,FALSE)</f>
        <v>T</v>
      </c>
      <c r="E392" s="5" t="str">
        <f>VLOOKUP(A392,Seqs!A:B,2,FALSE)</f>
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</c>
      <c r="F392" s="5" t="str">
        <f t="shared" si="151"/>
        <v>PIIFSSVVVVLFVIGNFANGFIALVNSIERV</v>
      </c>
      <c r="G392" s="4" t="str">
        <f t="shared" si="152"/>
        <v>KRQK</v>
      </c>
      <c r="H392" s="4" t="str">
        <f t="shared" si="153"/>
        <v>ISFADQILTALAVSRVGLLWVLLLNWYSTVF</v>
      </c>
      <c r="I392" s="4" t="str">
        <f t="shared" si="154"/>
        <v/>
      </c>
      <c r="J392" s="4" t="str">
        <f t="shared" si="155"/>
        <v>SVEVRTTAYNVWAVTGHFSNWLATSLSIFYLLKIAN</v>
      </c>
      <c r="K392" s="4" t="str">
        <f t="shared" si="156"/>
        <v>NLIFLHLK</v>
      </c>
      <c r="L392" s="4" t="str">
        <f t="shared" si="157"/>
        <v>RRVKSVILVMLLGPLLFLACQLFVINM</v>
      </c>
      <c r="M392" s="4" t="str">
        <f t="shared" si="158"/>
        <v/>
      </c>
      <c r="N392" s="4" t="str">
        <f t="shared" si="159"/>
        <v>RSAVYLSDATVTTLGNLVPFTLTLLCFLLLICSLCKHLKKM</v>
      </c>
      <c r="O392" s="4" t="str">
        <f t="shared" si="160"/>
        <v>PSTKVHIKALQTVIFFLLLCAVYFLSIMISVWS</v>
      </c>
      <c r="P392" s="4" t="str">
        <f t="shared" si="161"/>
        <v>NKPVFMFCKAIRFSYPSIHPFILIWG</v>
      </c>
      <c r="Q392" s="4" t="str">
        <f t="shared" si="162"/>
        <v>NKKLKQTFLSVLRQ</v>
      </c>
      <c r="R392" s="5">
        <f>VLOOKUP($A392,'SegEnds_NonXtal_Prot#'!$A:$AL,3,FALSE)</f>
        <v>6</v>
      </c>
      <c r="S392" s="5">
        <f>VLOOKUP($A392,'SegEnds_NonXtal_Prot#'!$A:$AL,6,FALSE)</f>
        <v>37</v>
      </c>
      <c r="T392" s="5">
        <f>VLOOKUP($A392,'SegEnds_NonXtal_Prot#'!$A:$AL,9,FALSE)</f>
        <v>41</v>
      </c>
      <c r="U392" s="5" t="str">
        <f>VLOOKUP($A392,'SegEnds_NonXtal_Prot#'!$A:$AL,12,FALSE)</f>
        <v>-</v>
      </c>
      <c r="V392" s="5">
        <f>VLOOKUP($A392,'SegEnds_NonXtal_Prot#'!$A:$AL,15,FALSE)</f>
        <v>77</v>
      </c>
      <c r="W392" s="5">
        <f>VLOOKUP($A392,'SegEnds_NonXtal_Prot#'!$A:$AL,18,FALSE)</f>
        <v>115</v>
      </c>
      <c r="X392" s="5">
        <f>VLOOKUP($A392,'SegEnds_NonXtal_Prot#'!$A:$AL,21,FALSE)</f>
        <v>123</v>
      </c>
      <c r="Y392" s="5" t="str">
        <f>VLOOKUP($A392,'SegEnds_NonXtal_Prot#'!$A:$AL,24,FALSE)</f>
        <v>-</v>
      </c>
      <c r="Z392" s="5">
        <f>VLOOKUP($A392,'SegEnds_NonXtal_Prot#'!$A:$AL,27,FALSE)</f>
        <v>169</v>
      </c>
      <c r="AA392" s="5">
        <f>VLOOKUP($A392,'SegEnds_NonXtal_Prot#'!$A:$AL,30,FALSE)</f>
        <v>219</v>
      </c>
      <c r="AB392" s="5">
        <f>VLOOKUP($A392,'SegEnds_NonXtal_Prot#'!$A:$AL,33,FALSE)</f>
        <v>257</v>
      </c>
      <c r="AC392" s="5">
        <f>VLOOKUP($A392,'SegEnds_NonXtal_Prot#'!$A:$AL,36,FALSE)</f>
        <v>283</v>
      </c>
      <c r="AD392" s="5">
        <f>VLOOKUP($A392,'SegEnds_NonXtal_Prot#'!$A:$AL,5,FALSE)</f>
        <v>36</v>
      </c>
      <c r="AE392" s="5">
        <f>VLOOKUP($A392,'SegEnds_NonXtal_Prot#'!$A:$AL,8,FALSE)</f>
        <v>40</v>
      </c>
      <c r="AF392" s="5">
        <f>VLOOKUP($A392,'SegEnds_NonXtal_Prot#'!$A:$AL,11,FALSE)</f>
        <v>71</v>
      </c>
      <c r="AG392" s="5" t="str">
        <f>VLOOKUP($A392,'SegEnds_NonXtal_Prot#'!$A:$AL,14,FALSE)</f>
        <v>-</v>
      </c>
      <c r="AH392" s="5">
        <f>VLOOKUP($A392,'SegEnds_NonXtal_Prot#'!$A:$AL,17,FALSE)</f>
        <v>112</v>
      </c>
      <c r="AI392" s="5">
        <f>VLOOKUP($A392,'SegEnds_NonXtal_Prot#'!$A:$AL,20,FALSE)</f>
        <v>122</v>
      </c>
      <c r="AJ392" s="5">
        <f>VLOOKUP($A392,'SegEnds_NonXtal_Prot#'!$A:$AL,23,FALSE)</f>
        <v>149</v>
      </c>
      <c r="AK392" s="5" t="str">
        <f>VLOOKUP($A392,'SegEnds_NonXtal_Prot#'!$A:$AL,26,FALSE)</f>
        <v>-</v>
      </c>
      <c r="AL392" s="5">
        <f>VLOOKUP($A392,'SegEnds_NonXtal_Prot#'!$A:$AL,29,FALSE)</f>
        <v>209</v>
      </c>
      <c r="AM392" s="5">
        <f>VLOOKUP($A392,'SegEnds_NonXtal_Prot#'!$A:$AL,32,FALSE)</f>
        <v>251</v>
      </c>
      <c r="AN392" s="5">
        <f>VLOOKUP($A392,'SegEnds_NonXtal_Prot#'!$A:$AL,35,FALSE)</f>
        <v>282</v>
      </c>
      <c r="AO392" s="5">
        <f>VLOOKUP($A392,'SegEnds_NonXtal_Prot#'!$A:$AL,38,FALSE)</f>
        <v>296</v>
      </c>
      <c r="AP392" s="5">
        <f t="shared" si="163"/>
        <v>30</v>
      </c>
      <c r="AQ392" s="4">
        <f t="shared" si="164"/>
        <v>3</v>
      </c>
      <c r="AR392" s="4">
        <f t="shared" si="165"/>
        <v>30</v>
      </c>
      <c r="AS392" s="4" t="str">
        <f t="shared" si="166"/>
        <v>-</v>
      </c>
      <c r="AT392" s="4">
        <f t="shared" si="167"/>
        <v>35</v>
      </c>
      <c r="AU392" s="4">
        <f t="shared" si="168"/>
        <v>7</v>
      </c>
      <c r="AV392" s="4">
        <f t="shared" si="169"/>
        <v>26</v>
      </c>
      <c r="AW392" s="4" t="str">
        <f t="shared" si="170"/>
        <v>-</v>
      </c>
      <c r="AX392" s="4">
        <f t="shared" si="171"/>
        <v>40</v>
      </c>
      <c r="AY392" s="4">
        <f t="shared" si="172"/>
        <v>32</v>
      </c>
      <c r="AZ392" s="4">
        <f t="shared" si="173"/>
        <v>25</v>
      </c>
      <c r="BA392" s="4">
        <f t="shared" si="174"/>
        <v>13</v>
      </c>
    </row>
    <row r="393" spans="1:53" x14ac:dyDescent="0.2">
      <c r="A393" s="1" t="str">
        <f>'SegEnds_NonXtal_Prot#'!A400</f>
        <v>t2r38_human</v>
      </c>
      <c r="B393" s="1" t="str">
        <f t="shared" si="150"/>
        <v>RSTFLFISVLEFAVGFLTNAFVFLVNFWDVVLSNSDCVLLCLSISRLFLHGLLFLSAIQLTHFSEPLNHSYQAIIMLWMIANQANLWLAACLSLLYCSKLIRSWVSRKISQMLLGIILCSCICTVLCVWKDLNLFYSFLFCYLWSVPPFLLFLVSSGMLTVSLGRHMRTMPSLEAHIKALKSLVSFFCFFVISSCAAFISVPLDKIGVMVCVGIMAACPSGHAAILISGNAKLRRAVMTILLW</v>
      </c>
      <c r="C393" s="29" t="str">
        <f>IF(ISERROR(MATCH(A393,'SegEnds_Xtal_Prot#'!B:B, 0)), "NoXtal", "Xtal")</f>
        <v>NoXtal</v>
      </c>
      <c r="D393" s="4" t="str">
        <f>VLOOKUP(A393,Classification!A:D,2,FALSE)</f>
        <v>T</v>
      </c>
      <c r="E393" s="5" t="str">
        <f>VLOOKUP(A393,Seqs!A:B,2,FALSE)</f>
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</c>
      <c r="F393" s="5" t="str">
        <f t="shared" si="151"/>
        <v>RSTFLFISVLEFAVGFLTNAFVFLVNFWDVV</v>
      </c>
      <c r="G393" s="4" t="str">
        <f t="shared" si="152"/>
        <v>KRQA</v>
      </c>
      <c r="H393" s="4" t="str">
        <f t="shared" si="153"/>
        <v>LSNSDCVLLCLSISRLFLHGLLFLSAIQLTHF</v>
      </c>
      <c r="I393" s="4" t="str">
        <f t="shared" si="154"/>
        <v/>
      </c>
      <c r="J393" s="4" t="str">
        <f t="shared" si="155"/>
        <v>SEPLNHSYQAIIMLWMIANQANLWLAACLSLLYCSKLIR</v>
      </c>
      <c r="K393" s="4" t="str">
        <f t="shared" si="156"/>
        <v>HTFLICLA</v>
      </c>
      <c r="L393" s="4" t="str">
        <f t="shared" si="157"/>
        <v>SWVSRKISQMLLGIILCSCICTVLCVW</v>
      </c>
      <c r="M393" s="4" t="str">
        <f t="shared" si="158"/>
        <v/>
      </c>
      <c r="N393" s="4" t="str">
        <f t="shared" si="159"/>
        <v>KDLNLFYSFLFCYLWSVPPFLLFLVSSGMLTVSLGRHMRTM</v>
      </c>
      <c r="O393" s="4" t="str">
        <f t="shared" si="160"/>
        <v>PSLEAHIKALKSLVSFFCFFVISSCAAFISVPL</v>
      </c>
      <c r="P393" s="4" t="str">
        <f t="shared" si="161"/>
        <v>DKIGVMVCVGIMAACPSGHAAILISG</v>
      </c>
      <c r="Q393" s="4" t="str">
        <f t="shared" si="162"/>
        <v>NAKLRRAVMTILLW</v>
      </c>
      <c r="R393" s="5">
        <f>VLOOKUP($A393,'SegEnds_NonXtal_Prot#'!$A:$AL,3,FALSE)</f>
        <v>15</v>
      </c>
      <c r="S393" s="5">
        <f>VLOOKUP($A393,'SegEnds_NonXtal_Prot#'!$A:$AL,6,FALSE)</f>
        <v>46</v>
      </c>
      <c r="T393" s="5">
        <f>VLOOKUP($A393,'SegEnds_NonXtal_Prot#'!$A:$AL,9,FALSE)</f>
        <v>50</v>
      </c>
      <c r="U393" s="5" t="str">
        <f>VLOOKUP($A393,'SegEnds_NonXtal_Prot#'!$A:$AL,12,FALSE)</f>
        <v>-</v>
      </c>
      <c r="V393" s="5">
        <f>VLOOKUP($A393,'SegEnds_NonXtal_Prot#'!$A:$AL,15,FALSE)</f>
        <v>85</v>
      </c>
      <c r="W393" s="5">
        <f>VLOOKUP($A393,'SegEnds_NonXtal_Prot#'!$A:$AL,18,FALSE)</f>
        <v>126</v>
      </c>
      <c r="X393" s="5">
        <f>VLOOKUP($A393,'SegEnds_NonXtal_Prot#'!$A:$AL,21,FALSE)</f>
        <v>134</v>
      </c>
      <c r="Y393" s="5" t="str">
        <f>VLOOKUP($A393,'SegEnds_NonXtal_Prot#'!$A:$AL,24,FALSE)</f>
        <v>-</v>
      </c>
      <c r="Z393" s="5">
        <f>VLOOKUP($A393,'SegEnds_NonXtal_Prot#'!$A:$AL,27,FALSE)</f>
        <v>187</v>
      </c>
      <c r="AA393" s="5">
        <f>VLOOKUP($A393,'SegEnds_NonXtal_Prot#'!$A:$AL,30,FALSE)</f>
        <v>237</v>
      </c>
      <c r="AB393" s="5">
        <f>VLOOKUP($A393,'SegEnds_NonXtal_Prot#'!$A:$AL,33,FALSE)</f>
        <v>275</v>
      </c>
      <c r="AC393" s="5">
        <f>VLOOKUP($A393,'SegEnds_NonXtal_Prot#'!$A:$AL,36,FALSE)</f>
        <v>301</v>
      </c>
      <c r="AD393" s="5">
        <f>VLOOKUP($A393,'SegEnds_NonXtal_Prot#'!$A:$AL,5,FALSE)</f>
        <v>45</v>
      </c>
      <c r="AE393" s="5">
        <f>VLOOKUP($A393,'SegEnds_NonXtal_Prot#'!$A:$AL,8,FALSE)</f>
        <v>49</v>
      </c>
      <c r="AF393" s="5">
        <f>VLOOKUP($A393,'SegEnds_NonXtal_Prot#'!$A:$AL,11,FALSE)</f>
        <v>81</v>
      </c>
      <c r="AG393" s="5" t="str">
        <f>VLOOKUP($A393,'SegEnds_NonXtal_Prot#'!$A:$AL,14,FALSE)</f>
        <v>-</v>
      </c>
      <c r="AH393" s="5">
        <f>VLOOKUP($A393,'SegEnds_NonXtal_Prot#'!$A:$AL,17,FALSE)</f>
        <v>123</v>
      </c>
      <c r="AI393" s="5">
        <f>VLOOKUP($A393,'SegEnds_NonXtal_Prot#'!$A:$AL,20,FALSE)</f>
        <v>133</v>
      </c>
      <c r="AJ393" s="5">
        <f>VLOOKUP($A393,'SegEnds_NonXtal_Prot#'!$A:$AL,23,FALSE)</f>
        <v>160</v>
      </c>
      <c r="AK393" s="5" t="str">
        <f>VLOOKUP($A393,'SegEnds_NonXtal_Prot#'!$A:$AL,26,FALSE)</f>
        <v>-</v>
      </c>
      <c r="AL393" s="5">
        <f>VLOOKUP($A393,'SegEnds_NonXtal_Prot#'!$A:$AL,29,FALSE)</f>
        <v>227</v>
      </c>
      <c r="AM393" s="5">
        <f>VLOOKUP($A393,'SegEnds_NonXtal_Prot#'!$A:$AL,32,FALSE)</f>
        <v>269</v>
      </c>
      <c r="AN393" s="5">
        <f>VLOOKUP($A393,'SegEnds_NonXtal_Prot#'!$A:$AL,35,FALSE)</f>
        <v>300</v>
      </c>
      <c r="AO393" s="5">
        <f>VLOOKUP($A393,'SegEnds_NonXtal_Prot#'!$A:$AL,38,FALSE)</f>
        <v>314</v>
      </c>
      <c r="AP393" s="5">
        <f t="shared" si="163"/>
        <v>30</v>
      </c>
      <c r="AQ393" s="4">
        <f t="shared" si="164"/>
        <v>3</v>
      </c>
      <c r="AR393" s="4">
        <f t="shared" si="165"/>
        <v>31</v>
      </c>
      <c r="AS393" s="4" t="str">
        <f t="shared" si="166"/>
        <v>-</v>
      </c>
      <c r="AT393" s="4">
        <f t="shared" si="167"/>
        <v>38</v>
      </c>
      <c r="AU393" s="4">
        <f t="shared" si="168"/>
        <v>7</v>
      </c>
      <c r="AV393" s="4">
        <f t="shared" si="169"/>
        <v>26</v>
      </c>
      <c r="AW393" s="4" t="str">
        <f t="shared" si="170"/>
        <v>-</v>
      </c>
      <c r="AX393" s="4">
        <f t="shared" si="171"/>
        <v>40</v>
      </c>
      <c r="AY393" s="4">
        <f t="shared" si="172"/>
        <v>32</v>
      </c>
      <c r="AZ393" s="4">
        <f t="shared" si="173"/>
        <v>25</v>
      </c>
      <c r="BA393" s="4">
        <f t="shared" si="174"/>
        <v>13</v>
      </c>
    </row>
    <row r="394" spans="1:53" x14ac:dyDescent="0.2">
      <c r="A394" s="1" t="str">
        <f>'SegEnds_NonXtal_Prot#'!A402</f>
        <v>t2r40_human</v>
      </c>
      <c r="B394" s="1" t="str">
        <f t="shared" si="150"/>
        <v>VTFTLVVSGIECITGILGSGFITAIYGAEWALPTGDRIMLMLSFSRLLLQIWMMLENIFSLLVYNQNSVYILFKVITVFLNHSNLWFAAWLKVFYCLRIANRKIIVLMPWLLRLSVLVSLSFSFPLSRDVFSETNMVNLVFFYNMGIFVPLIMFILAATLLILSLKRHTLHMPSMKAHIGAIKATSYFLILYIFNAIALFLSTSNYSSWNILCKIIMAAYPAGHSVQLILGNPGLRRAWKRFQHQ</v>
      </c>
      <c r="C394" s="29" t="str">
        <f>IF(ISERROR(MATCH(A394,'SegEnds_Xtal_Prot#'!B:B, 0)), "NoXtal", "Xtal")</f>
        <v>NoXtal</v>
      </c>
      <c r="D394" s="4" t="str">
        <f>VLOOKUP(A394,Classification!A:D,2,FALSE)</f>
        <v>T</v>
      </c>
      <c r="E394" s="5" t="str">
        <f>VLOOKUP(A394,Seqs!A:B,2,FALSE)</f>
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</c>
      <c r="F394" s="5" t="str">
        <f t="shared" si="151"/>
        <v>VTFTLVVSGIECITGILGSGFITAIYGAEWA</v>
      </c>
      <c r="G394" s="4" t="str">
        <f t="shared" si="152"/>
        <v>RGKT</v>
      </c>
      <c r="H394" s="4" t="str">
        <f t="shared" si="153"/>
        <v>LPTGDRIMLMLSFSRLLLQIWMMLENIFSLL</v>
      </c>
      <c r="I394" s="4" t="str">
        <f t="shared" si="154"/>
        <v/>
      </c>
      <c r="J394" s="4" t="str">
        <f t="shared" si="155"/>
        <v>VYNQNSVYILFKVITVFLNHSNLWFAAWLKVFYCLRIAN</v>
      </c>
      <c r="K394" s="4" t="str">
        <f t="shared" si="156"/>
        <v>HPLFFLMK</v>
      </c>
      <c r="L394" s="4" t="str">
        <f t="shared" si="157"/>
        <v>RKIIVLMPWLLRLSVLVSLSFSFPLSRDVF</v>
      </c>
      <c r="M394" s="4" t="str">
        <f t="shared" si="158"/>
        <v/>
      </c>
      <c r="N394" s="4" t="str">
        <f t="shared" si="159"/>
        <v>SETNMVNLVFFYNMGIFVPLIMFILAATLLILSLKRHTLHM</v>
      </c>
      <c r="O394" s="4" t="str">
        <f t="shared" si="160"/>
        <v>PSMKAHIGAIKATSYFLILYIFNAIALFLSTSN</v>
      </c>
      <c r="P394" s="4" t="str">
        <f t="shared" si="161"/>
        <v>YSSWNILCKIIMAAYPAGHSVQLILG</v>
      </c>
      <c r="Q394" s="4" t="str">
        <f t="shared" si="162"/>
        <v>NPGLRRAWKRFQHQ</v>
      </c>
      <c r="R394" s="5">
        <f>VLOOKUP($A394,'SegEnds_NonXtal_Prot#'!$A:$AL,3,FALSE)</f>
        <v>18</v>
      </c>
      <c r="S394" s="5">
        <f>VLOOKUP($A394,'SegEnds_NonXtal_Prot#'!$A:$AL,6,FALSE)</f>
        <v>49</v>
      </c>
      <c r="T394" s="5">
        <f>VLOOKUP($A394,'SegEnds_NonXtal_Prot#'!$A:$AL,9,FALSE)</f>
        <v>53</v>
      </c>
      <c r="U394" s="5" t="str">
        <f>VLOOKUP($A394,'SegEnds_NonXtal_Prot#'!$A:$AL,12,FALSE)</f>
        <v>-</v>
      </c>
      <c r="V394" s="5">
        <f>VLOOKUP($A394,'SegEnds_NonXtal_Prot#'!$A:$AL,15,FALSE)</f>
        <v>87</v>
      </c>
      <c r="W394" s="5">
        <f>VLOOKUP($A394,'SegEnds_NonXtal_Prot#'!$A:$AL,18,FALSE)</f>
        <v>128</v>
      </c>
      <c r="X394" s="5">
        <f>VLOOKUP($A394,'SegEnds_NonXtal_Prot#'!$A:$AL,21,FALSE)</f>
        <v>136</v>
      </c>
      <c r="Y394" s="5" t="str">
        <f>VLOOKUP($A394,'SegEnds_NonXtal_Prot#'!$A:$AL,24,FALSE)</f>
        <v>-</v>
      </c>
      <c r="Z394" s="5">
        <f>VLOOKUP($A394,'SegEnds_NonXtal_Prot#'!$A:$AL,27,FALSE)</f>
        <v>187</v>
      </c>
      <c r="AA394" s="5">
        <f>VLOOKUP($A394,'SegEnds_NonXtal_Prot#'!$A:$AL,30,FALSE)</f>
        <v>237</v>
      </c>
      <c r="AB394" s="5">
        <f>VLOOKUP($A394,'SegEnds_NonXtal_Prot#'!$A:$AL,33,FALSE)</f>
        <v>274</v>
      </c>
      <c r="AC394" s="5">
        <f>VLOOKUP($A394,'SegEnds_NonXtal_Prot#'!$A:$AL,36,FALSE)</f>
        <v>300</v>
      </c>
      <c r="AD394" s="5">
        <f>VLOOKUP($A394,'SegEnds_NonXtal_Prot#'!$A:$AL,5,FALSE)</f>
        <v>48</v>
      </c>
      <c r="AE394" s="5">
        <f>VLOOKUP($A394,'SegEnds_NonXtal_Prot#'!$A:$AL,8,FALSE)</f>
        <v>52</v>
      </c>
      <c r="AF394" s="5">
        <f>VLOOKUP($A394,'SegEnds_NonXtal_Prot#'!$A:$AL,11,FALSE)</f>
        <v>83</v>
      </c>
      <c r="AG394" s="5" t="str">
        <f>VLOOKUP($A394,'SegEnds_NonXtal_Prot#'!$A:$AL,14,FALSE)</f>
        <v>-</v>
      </c>
      <c r="AH394" s="5">
        <f>VLOOKUP($A394,'SegEnds_NonXtal_Prot#'!$A:$AL,17,FALSE)</f>
        <v>125</v>
      </c>
      <c r="AI394" s="5">
        <f>VLOOKUP($A394,'SegEnds_NonXtal_Prot#'!$A:$AL,20,FALSE)</f>
        <v>135</v>
      </c>
      <c r="AJ394" s="5">
        <f>VLOOKUP($A394,'SegEnds_NonXtal_Prot#'!$A:$AL,23,FALSE)</f>
        <v>165</v>
      </c>
      <c r="AK394" s="5" t="str">
        <f>VLOOKUP($A394,'SegEnds_NonXtal_Prot#'!$A:$AL,26,FALSE)</f>
        <v>-</v>
      </c>
      <c r="AL394" s="5">
        <f>VLOOKUP($A394,'SegEnds_NonXtal_Prot#'!$A:$AL,29,FALSE)</f>
        <v>227</v>
      </c>
      <c r="AM394" s="5">
        <f>VLOOKUP($A394,'SegEnds_NonXtal_Prot#'!$A:$AL,32,FALSE)</f>
        <v>269</v>
      </c>
      <c r="AN394" s="5">
        <f>VLOOKUP($A394,'SegEnds_NonXtal_Prot#'!$A:$AL,35,FALSE)</f>
        <v>299</v>
      </c>
      <c r="AO394" s="5">
        <f>VLOOKUP($A394,'SegEnds_NonXtal_Prot#'!$A:$AL,38,FALSE)</f>
        <v>313</v>
      </c>
      <c r="AP394" s="5">
        <f t="shared" si="163"/>
        <v>30</v>
      </c>
      <c r="AQ394" s="4">
        <f t="shared" si="164"/>
        <v>3</v>
      </c>
      <c r="AR394" s="4">
        <f t="shared" si="165"/>
        <v>30</v>
      </c>
      <c r="AS394" s="4" t="str">
        <f t="shared" si="166"/>
        <v>-</v>
      </c>
      <c r="AT394" s="4">
        <f t="shared" si="167"/>
        <v>38</v>
      </c>
      <c r="AU394" s="4">
        <f t="shared" si="168"/>
        <v>7</v>
      </c>
      <c r="AV394" s="4">
        <f t="shared" si="169"/>
        <v>29</v>
      </c>
      <c r="AW394" s="4" t="str">
        <f t="shared" si="170"/>
        <v>-</v>
      </c>
      <c r="AX394" s="4">
        <f t="shared" si="171"/>
        <v>40</v>
      </c>
      <c r="AY394" s="4">
        <f t="shared" si="172"/>
        <v>32</v>
      </c>
      <c r="AZ394" s="4">
        <f t="shared" si="173"/>
        <v>25</v>
      </c>
      <c r="BA394" s="4">
        <f t="shared" si="174"/>
        <v>13</v>
      </c>
    </row>
    <row r="395" spans="1:53" x14ac:dyDescent="0.2">
      <c r="A395" s="1" t="str">
        <f>'SegEnds_NonXtal_Prot#'!A403</f>
        <v>t2r41_human</v>
      </c>
      <c r="B395" s="1" t="str">
        <f t="shared" si="150"/>
        <v>TAFFVLLFSLLSLLGIAANGFIVLVLGREWLLLPLDMILISLGASRFCLQLVGTVHNFYYSAQGGLGRQFFHLHWHFLNSATFWFCSWLSVLFCVKIANWRFPGWVPWLLLGSVLISFIITLLFTRIETYYFPSLKLVIWSIPFSVFLVSIMLLINSLRRHTQRMPSTQAHTRALKSLISFLILYALSFLSLIIDAAKQNDFYWPWQIAVYLCISVHPFILIFSNLKLRSVFSQLLLL</v>
      </c>
      <c r="C395" s="29" t="str">
        <f>IF(ISERROR(MATCH(A395,'SegEnds_Xtal_Prot#'!B:B, 0)), "NoXtal", "Xtal")</f>
        <v>NoXtal</v>
      </c>
      <c r="D395" s="4" t="str">
        <f>VLOOKUP(A395,Classification!A:D,2,FALSE)</f>
        <v>T</v>
      </c>
      <c r="E395" s="5" t="str">
        <f>VLOOKUP(A395,Seqs!A:B,2,FALSE)</f>
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</c>
      <c r="F395" s="5" t="str">
        <f t="shared" si="151"/>
        <v>TAFFVLLFSLLSLLGIAANGFIVLVLGREWL</v>
      </c>
      <c r="G395" s="4" t="str">
        <f t="shared" si="152"/>
        <v>RYGR</v>
      </c>
      <c r="H395" s="4" t="str">
        <f t="shared" si="153"/>
        <v>LLPLDMILISLGASRFCLQLVGTVHNFYYSAQ</v>
      </c>
      <c r="I395" s="4" t="str">
        <f t="shared" si="154"/>
        <v/>
      </c>
      <c r="J395" s="4" t="str">
        <f t="shared" si="155"/>
        <v>GGLGRQFFHLHWHFLNSATFWFCSWLSVLFCVKIAN</v>
      </c>
      <c r="K395" s="4" t="str">
        <f t="shared" si="156"/>
        <v>HSTFLWLK</v>
      </c>
      <c r="L395" s="4" t="str">
        <f t="shared" si="157"/>
        <v>WRFPGWVPWLLLGSVLISFIITLLF</v>
      </c>
      <c r="M395" s="4" t="str">
        <f t="shared" si="158"/>
        <v/>
      </c>
      <c r="N395" s="4" t="str">
        <f t="shared" si="159"/>
        <v>TRIETYYFPSLKLVIWSIPFSVFLVSIMLLINSLRRHTQRM</v>
      </c>
      <c r="O395" s="4" t="str">
        <f t="shared" si="160"/>
        <v>PSTQAHTRALKSLISFLILYALSFLSLIIDAAK</v>
      </c>
      <c r="P395" s="4" t="str">
        <f t="shared" si="161"/>
        <v>QNDFYWPWQIAVYLCISVHPFILIFS</v>
      </c>
      <c r="Q395" s="4" t="str">
        <f t="shared" si="162"/>
        <v>NLKLRSVFSQLLLL</v>
      </c>
      <c r="R395" s="5">
        <f>VLOOKUP($A395,'SegEnds_NonXtal_Prot#'!$A:$AL,3,FALSE)</f>
        <v>6</v>
      </c>
      <c r="S395" s="5">
        <f>VLOOKUP($A395,'SegEnds_NonXtal_Prot#'!$A:$AL,6,FALSE)</f>
        <v>37</v>
      </c>
      <c r="T395" s="5">
        <f>VLOOKUP($A395,'SegEnds_NonXtal_Prot#'!$A:$AL,9,FALSE)</f>
        <v>41</v>
      </c>
      <c r="U395" s="5" t="str">
        <f>VLOOKUP($A395,'SegEnds_NonXtal_Prot#'!$A:$AL,12,FALSE)</f>
        <v>-</v>
      </c>
      <c r="V395" s="5">
        <f>VLOOKUP($A395,'SegEnds_NonXtal_Prot#'!$A:$AL,15,FALSE)</f>
        <v>78</v>
      </c>
      <c r="W395" s="5">
        <f>VLOOKUP($A395,'SegEnds_NonXtal_Prot#'!$A:$AL,18,FALSE)</f>
        <v>116</v>
      </c>
      <c r="X395" s="5">
        <f>VLOOKUP($A395,'SegEnds_NonXtal_Prot#'!$A:$AL,21,FALSE)</f>
        <v>124</v>
      </c>
      <c r="Y395" s="5" t="str">
        <f>VLOOKUP($A395,'SegEnds_NonXtal_Prot#'!$A:$AL,24,FALSE)</f>
        <v>-</v>
      </c>
      <c r="Z395" s="5">
        <f>VLOOKUP($A395,'SegEnds_NonXtal_Prot#'!$A:$AL,27,FALSE)</f>
        <v>174</v>
      </c>
      <c r="AA395" s="5">
        <f>VLOOKUP($A395,'SegEnds_NonXtal_Prot#'!$A:$AL,30,FALSE)</f>
        <v>224</v>
      </c>
      <c r="AB395" s="5">
        <f>VLOOKUP($A395,'SegEnds_NonXtal_Prot#'!$A:$AL,33,FALSE)</f>
        <v>261</v>
      </c>
      <c r="AC395" s="5">
        <f>VLOOKUP($A395,'SegEnds_NonXtal_Prot#'!$A:$AL,36,FALSE)</f>
        <v>287</v>
      </c>
      <c r="AD395" s="5">
        <f>VLOOKUP($A395,'SegEnds_NonXtal_Prot#'!$A:$AL,5,FALSE)</f>
        <v>36</v>
      </c>
      <c r="AE395" s="5">
        <f>VLOOKUP($A395,'SegEnds_NonXtal_Prot#'!$A:$AL,8,FALSE)</f>
        <v>40</v>
      </c>
      <c r="AF395" s="5">
        <f>VLOOKUP($A395,'SegEnds_NonXtal_Prot#'!$A:$AL,11,FALSE)</f>
        <v>72</v>
      </c>
      <c r="AG395" s="5" t="str">
        <f>VLOOKUP($A395,'SegEnds_NonXtal_Prot#'!$A:$AL,14,FALSE)</f>
        <v>-</v>
      </c>
      <c r="AH395" s="5">
        <f>VLOOKUP($A395,'SegEnds_NonXtal_Prot#'!$A:$AL,17,FALSE)</f>
        <v>113</v>
      </c>
      <c r="AI395" s="5">
        <f>VLOOKUP($A395,'SegEnds_NonXtal_Prot#'!$A:$AL,20,FALSE)</f>
        <v>123</v>
      </c>
      <c r="AJ395" s="5">
        <f>VLOOKUP($A395,'SegEnds_NonXtal_Prot#'!$A:$AL,23,FALSE)</f>
        <v>148</v>
      </c>
      <c r="AK395" s="5" t="str">
        <f>VLOOKUP($A395,'SegEnds_NonXtal_Prot#'!$A:$AL,26,FALSE)</f>
        <v>-</v>
      </c>
      <c r="AL395" s="5">
        <f>VLOOKUP($A395,'SegEnds_NonXtal_Prot#'!$A:$AL,29,FALSE)</f>
        <v>214</v>
      </c>
      <c r="AM395" s="5">
        <f>VLOOKUP($A395,'SegEnds_NonXtal_Prot#'!$A:$AL,32,FALSE)</f>
        <v>256</v>
      </c>
      <c r="AN395" s="5">
        <f>VLOOKUP($A395,'SegEnds_NonXtal_Prot#'!$A:$AL,35,FALSE)</f>
        <v>286</v>
      </c>
      <c r="AO395" s="5">
        <f>VLOOKUP($A395,'SegEnds_NonXtal_Prot#'!$A:$AL,38,FALSE)</f>
        <v>300</v>
      </c>
      <c r="AP395" s="5">
        <f t="shared" si="163"/>
        <v>30</v>
      </c>
      <c r="AQ395" s="4">
        <f t="shared" si="164"/>
        <v>3</v>
      </c>
      <c r="AR395" s="4">
        <f t="shared" si="165"/>
        <v>31</v>
      </c>
      <c r="AS395" s="4" t="str">
        <f t="shared" si="166"/>
        <v>-</v>
      </c>
      <c r="AT395" s="4">
        <f t="shared" si="167"/>
        <v>35</v>
      </c>
      <c r="AU395" s="4">
        <f t="shared" si="168"/>
        <v>7</v>
      </c>
      <c r="AV395" s="4">
        <f t="shared" si="169"/>
        <v>24</v>
      </c>
      <c r="AW395" s="4" t="str">
        <f t="shared" si="170"/>
        <v>-</v>
      </c>
      <c r="AX395" s="4">
        <f t="shared" si="171"/>
        <v>40</v>
      </c>
      <c r="AY395" s="4">
        <f t="shared" si="172"/>
        <v>32</v>
      </c>
      <c r="AZ395" s="4">
        <f t="shared" si="173"/>
        <v>25</v>
      </c>
      <c r="BA395" s="4">
        <f t="shared" si="174"/>
        <v>13</v>
      </c>
    </row>
    <row r="396" spans="1:53" x14ac:dyDescent="0.2">
      <c r="A396" s="1" t="str">
        <f>'SegEnds_NonXtal_Prot#'!A404</f>
        <v>t2r42_human</v>
      </c>
      <c r="B396" s="1" t="str">
        <f t="shared" si="150"/>
        <v>DKIFLILAIAEFIISMLGNVFIGLVNCSEGIVFSADFILTCLAISTIGQLLVILFDSFLVGLATYRLGKTVIMLWHMTNHLTTWLATCLSIFYFFKIAHWRMNGMIVMLLILSLFLLIFDSLVLLYDKLSILKTLLSLTSFIPFSLFLTSLLFLFLSLVRHTRNLSSTEAHRRAMKMVMSFLFLFIVHFFSLQVANGINNKYIKFVMLALNAFPSCHSFILILGNSKLRQTAVRLLWH</v>
      </c>
      <c r="C396" s="29" t="str">
        <f>IF(ISERROR(MATCH(A396,'SegEnds_Xtal_Prot#'!B:B, 0)), "NoXtal", "Xtal")</f>
        <v>NoXtal</v>
      </c>
      <c r="D396" s="4" t="str">
        <f>VLOOKUP(A396,Classification!A:D,2,FALSE)</f>
        <v>T</v>
      </c>
      <c r="E396" s="5" t="str">
        <f>VLOOKUP(A396,Seqs!A:B,2,FALSE)</f>
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</c>
      <c r="F396" s="5" t="str">
        <f t="shared" si="151"/>
        <v>DKIFLILAIAEFIISMLGNVFIGLVNCSEGI</v>
      </c>
      <c r="G396" s="4" t="str">
        <f t="shared" si="152"/>
        <v>KNQK</v>
      </c>
      <c r="H396" s="4" t="str">
        <f t="shared" si="153"/>
        <v>VFSADFILTCLAISTIGQLLVILFDSFLVGLA</v>
      </c>
      <c r="I396" s="4" t="str">
        <f t="shared" si="154"/>
        <v/>
      </c>
      <c r="J396" s="4" t="str">
        <f t="shared" si="155"/>
        <v>TYRLGKTVIMLWHMTNHLTTWLATCLSIFYFFKIAH</v>
      </c>
      <c r="K396" s="4" t="str">
        <f t="shared" si="156"/>
        <v>HSLFLWLR</v>
      </c>
      <c r="L396" s="4" t="str">
        <f t="shared" si="157"/>
        <v>WRMNGMIVMLLILSLFLLIFDSLVL</v>
      </c>
      <c r="M396" s="4" t="str">
        <f t="shared" si="158"/>
        <v/>
      </c>
      <c r="N396" s="4" t="str">
        <f t="shared" si="159"/>
        <v>LYDKLSILKTLLSLTSFIPFSLFLTSLLFLFLSLVRHTRNL</v>
      </c>
      <c r="O396" s="4" t="str">
        <f t="shared" si="160"/>
        <v>SSTEAHRRAMKMVMSFLFLFIVHFFSLQVANGI</v>
      </c>
      <c r="P396" s="4" t="str">
        <f t="shared" si="161"/>
        <v>NNKYIKFVMLALNAFPSCHSFILILG</v>
      </c>
      <c r="Q396" s="4" t="str">
        <f t="shared" si="162"/>
        <v>NSKLRQTAVRLLWH</v>
      </c>
      <c r="R396" s="5">
        <f>VLOOKUP($A396,'SegEnds_NonXtal_Prot#'!$A:$AL,3,FALSE)</f>
        <v>6</v>
      </c>
      <c r="S396" s="5">
        <f>VLOOKUP($A396,'SegEnds_NonXtal_Prot#'!$A:$AL,6,FALSE)</f>
        <v>37</v>
      </c>
      <c r="T396" s="5">
        <f>VLOOKUP($A396,'SegEnds_NonXtal_Prot#'!$A:$AL,9,FALSE)</f>
        <v>41</v>
      </c>
      <c r="U396" s="5" t="str">
        <f>VLOOKUP($A396,'SegEnds_NonXtal_Prot#'!$A:$AL,12,FALSE)</f>
        <v>-</v>
      </c>
      <c r="V396" s="5">
        <f>VLOOKUP($A396,'SegEnds_NonXtal_Prot#'!$A:$AL,15,FALSE)</f>
        <v>78</v>
      </c>
      <c r="W396" s="5">
        <f>VLOOKUP($A396,'SegEnds_NonXtal_Prot#'!$A:$AL,18,FALSE)</f>
        <v>116</v>
      </c>
      <c r="X396" s="5">
        <f>VLOOKUP($A396,'SegEnds_NonXtal_Prot#'!$A:$AL,21,FALSE)</f>
        <v>124</v>
      </c>
      <c r="Y396" s="5" t="str">
        <f>VLOOKUP($A396,'SegEnds_NonXtal_Prot#'!$A:$AL,24,FALSE)</f>
        <v>-</v>
      </c>
      <c r="Z396" s="5">
        <f>VLOOKUP($A396,'SegEnds_NonXtal_Prot#'!$A:$AL,27,FALSE)</f>
        <v>174</v>
      </c>
      <c r="AA396" s="5">
        <f>VLOOKUP($A396,'SegEnds_NonXtal_Prot#'!$A:$AL,30,FALSE)</f>
        <v>224</v>
      </c>
      <c r="AB396" s="5">
        <f>VLOOKUP($A396,'SegEnds_NonXtal_Prot#'!$A:$AL,33,FALSE)</f>
        <v>262</v>
      </c>
      <c r="AC396" s="5">
        <f>VLOOKUP($A396,'SegEnds_NonXtal_Prot#'!$A:$AL,36,FALSE)</f>
        <v>288</v>
      </c>
      <c r="AD396" s="5">
        <f>VLOOKUP($A396,'SegEnds_NonXtal_Prot#'!$A:$AL,5,FALSE)</f>
        <v>36</v>
      </c>
      <c r="AE396" s="5">
        <f>VLOOKUP($A396,'SegEnds_NonXtal_Prot#'!$A:$AL,8,FALSE)</f>
        <v>40</v>
      </c>
      <c r="AF396" s="5">
        <f>VLOOKUP($A396,'SegEnds_NonXtal_Prot#'!$A:$AL,11,FALSE)</f>
        <v>72</v>
      </c>
      <c r="AG396" s="5" t="str">
        <f>VLOOKUP($A396,'SegEnds_NonXtal_Prot#'!$A:$AL,14,FALSE)</f>
        <v>-</v>
      </c>
      <c r="AH396" s="5">
        <f>VLOOKUP($A396,'SegEnds_NonXtal_Prot#'!$A:$AL,17,FALSE)</f>
        <v>113</v>
      </c>
      <c r="AI396" s="5">
        <f>VLOOKUP($A396,'SegEnds_NonXtal_Prot#'!$A:$AL,20,FALSE)</f>
        <v>123</v>
      </c>
      <c r="AJ396" s="5">
        <f>VLOOKUP($A396,'SegEnds_NonXtal_Prot#'!$A:$AL,23,FALSE)</f>
        <v>148</v>
      </c>
      <c r="AK396" s="5" t="str">
        <f>VLOOKUP($A396,'SegEnds_NonXtal_Prot#'!$A:$AL,26,FALSE)</f>
        <v>-</v>
      </c>
      <c r="AL396" s="5">
        <f>VLOOKUP($A396,'SegEnds_NonXtal_Prot#'!$A:$AL,29,FALSE)</f>
        <v>214</v>
      </c>
      <c r="AM396" s="5">
        <f>VLOOKUP($A396,'SegEnds_NonXtal_Prot#'!$A:$AL,32,FALSE)</f>
        <v>256</v>
      </c>
      <c r="AN396" s="5">
        <f>VLOOKUP($A396,'SegEnds_NonXtal_Prot#'!$A:$AL,35,FALSE)</f>
        <v>287</v>
      </c>
      <c r="AO396" s="5">
        <f>VLOOKUP($A396,'SegEnds_NonXtal_Prot#'!$A:$AL,38,FALSE)</f>
        <v>301</v>
      </c>
      <c r="AP396" s="5">
        <f t="shared" si="163"/>
        <v>30</v>
      </c>
      <c r="AQ396" s="4">
        <f t="shared" si="164"/>
        <v>3</v>
      </c>
      <c r="AR396" s="4">
        <f t="shared" si="165"/>
        <v>31</v>
      </c>
      <c r="AS396" s="4" t="str">
        <f t="shared" si="166"/>
        <v>-</v>
      </c>
      <c r="AT396" s="4">
        <f t="shared" si="167"/>
        <v>35</v>
      </c>
      <c r="AU396" s="4">
        <f t="shared" si="168"/>
        <v>7</v>
      </c>
      <c r="AV396" s="4">
        <f t="shared" si="169"/>
        <v>24</v>
      </c>
      <c r="AW396" s="4" t="str">
        <f t="shared" si="170"/>
        <v>-</v>
      </c>
      <c r="AX396" s="4">
        <f t="shared" si="171"/>
        <v>40</v>
      </c>
      <c r="AY396" s="4">
        <f t="shared" si="172"/>
        <v>32</v>
      </c>
      <c r="AZ396" s="4">
        <f t="shared" si="173"/>
        <v>25</v>
      </c>
      <c r="BA396" s="4">
        <f t="shared" si="174"/>
        <v>13</v>
      </c>
    </row>
    <row r="397" spans="1:53" x14ac:dyDescent="0.2">
      <c r="A397" s="1" t="str">
        <f>'SegEnds_NonXtal_Prot#'!A405</f>
        <v>t2r43_human</v>
      </c>
      <c r="B397" s="1" t="str">
        <f t="shared" si="150"/>
        <v>PIIFSSLVVVTFVIGNFANGFIALVNSIEWFISFADQILTALAVSRVGLLWVLLLNWYSTVLSVEVRTTAYNIWAVINHFSNWLATTLSIFYLLKIANRRVKSVILVMLLGPLLFLACHLFVIKSAMYFSNMTVTMVANLVPFTLTLLSFMLLICSLCKHLKKMPSTKVHIKALQTVISFLLLCAIYFLSIMISVWSNKPVFMFCKAIRFSYPSIHPFILIWGNKKLKQTFLSVFWQ</v>
      </c>
      <c r="C397" s="29" t="str">
        <f>IF(ISERROR(MATCH(A397,'SegEnds_Xtal_Prot#'!B:B, 0)), "NoXtal", "Xtal")</f>
        <v>NoXtal</v>
      </c>
      <c r="D397" s="4" t="str">
        <f>VLOOKUP(A397,Classification!A:D,2,FALSE)</f>
        <v>T</v>
      </c>
      <c r="E397" s="5" t="str">
        <f>VLOOKUP(A397,Seqs!A:B,2,FALSE)</f>
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</c>
      <c r="F397" s="5" t="str">
        <f t="shared" si="151"/>
        <v>PIIFSSLVVVTFVIGNFANGFIALVNSIEWF</v>
      </c>
      <c r="G397" s="4" t="str">
        <f t="shared" si="152"/>
        <v>KRQK</v>
      </c>
      <c r="H397" s="4" t="str">
        <f t="shared" si="153"/>
        <v>ISFADQILTALAVSRVGLLWVLLLNWYSTVL</v>
      </c>
      <c r="I397" s="4" t="str">
        <f t="shared" si="154"/>
        <v/>
      </c>
      <c r="J397" s="4" t="str">
        <f t="shared" si="155"/>
        <v>SVEVRTTAYNIWAVINHFSNWLATTLSIFYLLKIAN</v>
      </c>
      <c r="K397" s="4" t="str">
        <f t="shared" si="156"/>
        <v>NFIFLHLK</v>
      </c>
      <c r="L397" s="4" t="str">
        <f t="shared" si="157"/>
        <v>RRVKSVILVMLLGPLLFLACHLFVI</v>
      </c>
      <c r="M397" s="4" t="str">
        <f t="shared" si="158"/>
        <v/>
      </c>
      <c r="N397" s="4" t="str">
        <f t="shared" si="159"/>
        <v>KSAMYFSNMTVTMVANLVPFTLTLLSFMLLICSLCKHLKKM</v>
      </c>
      <c r="O397" s="4" t="str">
        <f t="shared" si="160"/>
        <v>PSTKVHIKALQTVISFLLLCAIYFLSIMISVWS</v>
      </c>
      <c r="P397" s="4" t="str">
        <f t="shared" si="161"/>
        <v>NKPVFMFCKAIRFSYPSIHPFILIWG</v>
      </c>
      <c r="Q397" s="4" t="str">
        <f t="shared" si="162"/>
        <v>NKKLKQTFLSVFWQ</v>
      </c>
      <c r="R397" s="5">
        <f>VLOOKUP($A397,'SegEnds_NonXtal_Prot#'!$A:$AL,3,FALSE)</f>
        <v>6</v>
      </c>
      <c r="S397" s="5">
        <f>VLOOKUP($A397,'SegEnds_NonXtal_Prot#'!$A:$AL,6,FALSE)</f>
        <v>37</v>
      </c>
      <c r="T397" s="5">
        <f>VLOOKUP($A397,'SegEnds_NonXtal_Prot#'!$A:$AL,9,FALSE)</f>
        <v>41</v>
      </c>
      <c r="U397" s="5" t="str">
        <f>VLOOKUP($A397,'SegEnds_NonXtal_Prot#'!$A:$AL,12,FALSE)</f>
        <v>-</v>
      </c>
      <c r="V397" s="5">
        <f>VLOOKUP($A397,'SegEnds_NonXtal_Prot#'!$A:$AL,15,FALSE)</f>
        <v>77</v>
      </c>
      <c r="W397" s="5">
        <f>VLOOKUP($A397,'SegEnds_NonXtal_Prot#'!$A:$AL,18,FALSE)</f>
        <v>115</v>
      </c>
      <c r="X397" s="5">
        <f>VLOOKUP($A397,'SegEnds_NonXtal_Prot#'!$A:$AL,21,FALSE)</f>
        <v>123</v>
      </c>
      <c r="Y397" s="5" t="str">
        <f>VLOOKUP($A397,'SegEnds_NonXtal_Prot#'!$A:$AL,24,FALSE)</f>
        <v>-</v>
      </c>
      <c r="Z397" s="5">
        <f>VLOOKUP($A397,'SegEnds_NonXtal_Prot#'!$A:$AL,27,FALSE)</f>
        <v>169</v>
      </c>
      <c r="AA397" s="5">
        <f>VLOOKUP($A397,'SegEnds_NonXtal_Prot#'!$A:$AL,30,FALSE)</f>
        <v>219</v>
      </c>
      <c r="AB397" s="5">
        <f>VLOOKUP($A397,'SegEnds_NonXtal_Prot#'!$A:$AL,33,FALSE)</f>
        <v>257</v>
      </c>
      <c r="AC397" s="5">
        <f>VLOOKUP($A397,'SegEnds_NonXtal_Prot#'!$A:$AL,36,FALSE)</f>
        <v>283</v>
      </c>
      <c r="AD397" s="5">
        <f>VLOOKUP($A397,'SegEnds_NonXtal_Prot#'!$A:$AL,5,FALSE)</f>
        <v>36</v>
      </c>
      <c r="AE397" s="5">
        <f>VLOOKUP($A397,'SegEnds_NonXtal_Prot#'!$A:$AL,8,FALSE)</f>
        <v>40</v>
      </c>
      <c r="AF397" s="5">
        <f>VLOOKUP($A397,'SegEnds_NonXtal_Prot#'!$A:$AL,11,FALSE)</f>
        <v>71</v>
      </c>
      <c r="AG397" s="5" t="str">
        <f>VLOOKUP($A397,'SegEnds_NonXtal_Prot#'!$A:$AL,14,FALSE)</f>
        <v>-</v>
      </c>
      <c r="AH397" s="5">
        <f>VLOOKUP($A397,'SegEnds_NonXtal_Prot#'!$A:$AL,17,FALSE)</f>
        <v>112</v>
      </c>
      <c r="AI397" s="5">
        <f>VLOOKUP($A397,'SegEnds_NonXtal_Prot#'!$A:$AL,20,FALSE)</f>
        <v>122</v>
      </c>
      <c r="AJ397" s="5">
        <f>VLOOKUP($A397,'SegEnds_NonXtal_Prot#'!$A:$AL,23,FALSE)</f>
        <v>147</v>
      </c>
      <c r="AK397" s="5" t="str">
        <f>VLOOKUP($A397,'SegEnds_NonXtal_Prot#'!$A:$AL,26,FALSE)</f>
        <v>-</v>
      </c>
      <c r="AL397" s="5">
        <f>VLOOKUP($A397,'SegEnds_NonXtal_Prot#'!$A:$AL,29,FALSE)</f>
        <v>209</v>
      </c>
      <c r="AM397" s="5">
        <f>VLOOKUP($A397,'SegEnds_NonXtal_Prot#'!$A:$AL,32,FALSE)</f>
        <v>251</v>
      </c>
      <c r="AN397" s="5">
        <f>VLOOKUP($A397,'SegEnds_NonXtal_Prot#'!$A:$AL,35,FALSE)</f>
        <v>282</v>
      </c>
      <c r="AO397" s="5">
        <f>VLOOKUP($A397,'SegEnds_NonXtal_Prot#'!$A:$AL,38,FALSE)</f>
        <v>296</v>
      </c>
      <c r="AP397" s="5">
        <f t="shared" si="163"/>
        <v>30</v>
      </c>
      <c r="AQ397" s="4">
        <f t="shared" si="164"/>
        <v>3</v>
      </c>
      <c r="AR397" s="4">
        <f t="shared" si="165"/>
        <v>30</v>
      </c>
      <c r="AS397" s="4" t="str">
        <f t="shared" si="166"/>
        <v>-</v>
      </c>
      <c r="AT397" s="4">
        <f t="shared" si="167"/>
        <v>35</v>
      </c>
      <c r="AU397" s="4">
        <f t="shared" si="168"/>
        <v>7</v>
      </c>
      <c r="AV397" s="4">
        <f t="shared" si="169"/>
        <v>24</v>
      </c>
      <c r="AW397" s="4" t="str">
        <f t="shared" si="170"/>
        <v>-</v>
      </c>
      <c r="AX397" s="4">
        <f t="shared" si="171"/>
        <v>40</v>
      </c>
      <c r="AY397" s="4">
        <f t="shared" si="172"/>
        <v>32</v>
      </c>
      <c r="AZ397" s="4">
        <f t="shared" si="173"/>
        <v>25</v>
      </c>
      <c r="BA397" s="4">
        <f t="shared" si="174"/>
        <v>13</v>
      </c>
    </row>
    <row r="398" spans="1:53" x14ac:dyDescent="0.2">
      <c r="A398" s="1" t="str">
        <f>'SegEnds_NonXtal_Prot#'!A406</f>
        <v>t2r45_human</v>
      </c>
      <c r="B398" s="1" t="str">
        <f t="shared" si="150"/>
        <v>PIIFSILVVVTFVIGNFANGFIALVNSTEWVISFADQIVTALAVSRVGLLWVLLLNWYSTVLSVELRTTAYNIWAVTGHFSNWPATSLSIFYLLKIANRRVKSVILVVLLGPLLFLACHLFVVNMNQIRRAMYLSDTTVTMLANLVPFTVTLISFLLLVCSLCKHLKKMKVHIKVLQTVISFFLLRAIYFVSVIISVWSFKNPVFMFCQAIGFSCSSAHPFILIWGNKKLKQTYLSVLWQ</v>
      </c>
      <c r="C398" s="29" t="str">
        <f>IF(ISERROR(MATCH(A398,'SegEnds_Xtal_Prot#'!B:B, 0)), "NoXtal", "Xtal")</f>
        <v>NoXtal</v>
      </c>
      <c r="D398" s="4" t="str">
        <f>VLOOKUP(A398,Classification!A:D,2,FALSE)</f>
        <v>T</v>
      </c>
      <c r="E398" s="5" t="str">
        <f>VLOOKUP(A398,Seqs!A:B,2,FALSE)</f>
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</c>
      <c r="F398" s="5" t="str">
        <f t="shared" si="151"/>
        <v>PIIFSILVVVTFVIGNFANGFIALVNSTEWV</v>
      </c>
      <c r="G398" s="4" t="str">
        <f t="shared" si="152"/>
        <v>KRQK</v>
      </c>
      <c r="H398" s="4" t="str">
        <f t="shared" si="153"/>
        <v>ISFADQIVTALAVSRVGLLWVLLLNWYSTVL</v>
      </c>
      <c r="I398" s="4" t="str">
        <f t="shared" si="154"/>
        <v/>
      </c>
      <c r="J398" s="4" t="str">
        <f t="shared" si="155"/>
        <v>SVELRTTAYNIWAVTGHFSNWPATSLSIFYLLKIAN</v>
      </c>
      <c r="K398" s="4" t="str">
        <f t="shared" si="156"/>
        <v>NLIFLRLK</v>
      </c>
      <c r="L398" s="4" t="str">
        <f t="shared" si="157"/>
        <v>RRVKSVILVVLLGPLLFLACHLFVVNMNQI</v>
      </c>
      <c r="M398" s="4" t="str">
        <f t="shared" si="158"/>
        <v/>
      </c>
      <c r="N398" s="4" t="str">
        <f t="shared" si="159"/>
        <v>RRAMYLSDTTVTMLANLVPFTVTLISFLLLVCSLCKHLKKM</v>
      </c>
      <c r="O398" s="4" t="str">
        <f t="shared" si="160"/>
        <v>KVHIKVLQTVISFFLLRAIYFVSVIISVWSFKN</v>
      </c>
      <c r="P398" s="4" t="str">
        <f t="shared" si="161"/>
        <v>PVFMFCQAIGFSCSSAHPFILIWG</v>
      </c>
      <c r="Q398" s="4" t="str">
        <f t="shared" si="162"/>
        <v>NKKLKQTYLSVLWQ</v>
      </c>
      <c r="R398" s="5">
        <f>VLOOKUP($A398,'SegEnds_NonXtal_Prot#'!$A:$AL,3,FALSE)</f>
        <v>6</v>
      </c>
      <c r="S398" s="5">
        <f>VLOOKUP($A398,'SegEnds_NonXtal_Prot#'!$A:$AL,6,FALSE)</f>
        <v>37</v>
      </c>
      <c r="T398" s="5">
        <f>VLOOKUP($A398,'SegEnds_NonXtal_Prot#'!$A:$AL,9,FALSE)</f>
        <v>41</v>
      </c>
      <c r="U398" s="5" t="str">
        <f>VLOOKUP($A398,'SegEnds_NonXtal_Prot#'!$A:$AL,12,FALSE)</f>
        <v>-</v>
      </c>
      <c r="V398" s="5">
        <f>VLOOKUP($A398,'SegEnds_NonXtal_Prot#'!$A:$AL,15,FALSE)</f>
        <v>77</v>
      </c>
      <c r="W398" s="5">
        <f>VLOOKUP($A398,'SegEnds_NonXtal_Prot#'!$A:$AL,18,FALSE)</f>
        <v>115</v>
      </c>
      <c r="X398" s="5">
        <f>VLOOKUP($A398,'SegEnds_NonXtal_Prot#'!$A:$AL,21,FALSE)</f>
        <v>123</v>
      </c>
      <c r="Y398" s="5" t="str">
        <f>VLOOKUP($A398,'SegEnds_NonXtal_Prot#'!$A:$AL,24,FALSE)</f>
        <v>-</v>
      </c>
      <c r="Z398" s="5">
        <f>VLOOKUP($A398,'SegEnds_NonXtal_Prot#'!$A:$AL,27,FALSE)</f>
        <v>169</v>
      </c>
      <c r="AA398" s="5">
        <f>VLOOKUP($A398,'SegEnds_NonXtal_Prot#'!$A:$AL,30,FALSE)</f>
        <v>222</v>
      </c>
      <c r="AB398" s="5">
        <f>VLOOKUP($A398,'SegEnds_NonXtal_Prot#'!$A:$AL,33,FALSE)</f>
        <v>259</v>
      </c>
      <c r="AC398" s="5">
        <f>VLOOKUP($A398,'SegEnds_NonXtal_Prot#'!$A:$AL,36,FALSE)</f>
        <v>283</v>
      </c>
      <c r="AD398" s="5">
        <f>VLOOKUP($A398,'SegEnds_NonXtal_Prot#'!$A:$AL,5,FALSE)</f>
        <v>36</v>
      </c>
      <c r="AE398" s="5">
        <f>VLOOKUP($A398,'SegEnds_NonXtal_Prot#'!$A:$AL,8,FALSE)</f>
        <v>40</v>
      </c>
      <c r="AF398" s="5">
        <f>VLOOKUP($A398,'SegEnds_NonXtal_Prot#'!$A:$AL,11,FALSE)</f>
        <v>71</v>
      </c>
      <c r="AG398" s="5" t="str">
        <f>VLOOKUP($A398,'SegEnds_NonXtal_Prot#'!$A:$AL,14,FALSE)</f>
        <v>-</v>
      </c>
      <c r="AH398" s="5">
        <f>VLOOKUP($A398,'SegEnds_NonXtal_Prot#'!$A:$AL,17,FALSE)</f>
        <v>112</v>
      </c>
      <c r="AI398" s="5">
        <f>VLOOKUP($A398,'SegEnds_NonXtal_Prot#'!$A:$AL,20,FALSE)</f>
        <v>122</v>
      </c>
      <c r="AJ398" s="5">
        <f>VLOOKUP($A398,'SegEnds_NonXtal_Prot#'!$A:$AL,23,FALSE)</f>
        <v>152</v>
      </c>
      <c r="AK398" s="5" t="str">
        <f>VLOOKUP($A398,'SegEnds_NonXtal_Prot#'!$A:$AL,26,FALSE)</f>
        <v>-</v>
      </c>
      <c r="AL398" s="5">
        <f>VLOOKUP($A398,'SegEnds_NonXtal_Prot#'!$A:$AL,29,FALSE)</f>
        <v>209</v>
      </c>
      <c r="AM398" s="5">
        <f>VLOOKUP($A398,'SegEnds_NonXtal_Prot#'!$A:$AL,32,FALSE)</f>
        <v>254</v>
      </c>
      <c r="AN398" s="5">
        <f>VLOOKUP($A398,'SegEnds_NonXtal_Prot#'!$A:$AL,35,FALSE)</f>
        <v>282</v>
      </c>
      <c r="AO398" s="5">
        <f>VLOOKUP($A398,'SegEnds_NonXtal_Prot#'!$A:$AL,38,FALSE)</f>
        <v>296</v>
      </c>
      <c r="AP398" s="5">
        <f t="shared" si="163"/>
        <v>30</v>
      </c>
      <c r="AQ398" s="4">
        <f t="shared" si="164"/>
        <v>3</v>
      </c>
      <c r="AR398" s="4">
        <f t="shared" si="165"/>
        <v>30</v>
      </c>
      <c r="AS398" s="4" t="str">
        <f t="shared" si="166"/>
        <v>-</v>
      </c>
      <c r="AT398" s="4">
        <f t="shared" si="167"/>
        <v>35</v>
      </c>
      <c r="AU398" s="4">
        <f t="shared" si="168"/>
        <v>7</v>
      </c>
      <c r="AV398" s="4">
        <f t="shared" si="169"/>
        <v>29</v>
      </c>
      <c r="AW398" s="4" t="str">
        <f t="shared" si="170"/>
        <v>-</v>
      </c>
      <c r="AX398" s="4">
        <f t="shared" si="171"/>
        <v>40</v>
      </c>
      <c r="AY398" s="4">
        <f t="shared" si="172"/>
        <v>32</v>
      </c>
      <c r="AZ398" s="4">
        <f t="shared" si="173"/>
        <v>23</v>
      </c>
      <c r="BA398" s="4">
        <f t="shared" si="174"/>
        <v>13</v>
      </c>
    </row>
    <row r="399" spans="1:53" x14ac:dyDescent="0.2">
      <c r="A399" s="1" t="str">
        <f>'SegEnds_NonXtal_Prot#'!A408</f>
        <v>t2r50_human</v>
      </c>
      <c r="B399" s="1" t="str">
        <f t="shared" si="150"/>
        <v>YIFFSILIMVLFVLGNFANGFIALVNFIDWVISSADQILTALAVSRIGLLWALLLNWYLTVLSVELRITSYNAWVVTNHFSMWLAANLSIFYLLKIANRRVRSVILVILLGTLIFLVCHLLVARNTVHLSYLTVTTLWSFIPFTLSLISFLMLICSLCKHLKKMLSTKVHIKALQTLISFLLLCAIFFLFLIVSVWSNDPVVMVSKAVGNIYLAFDSFILIWRTKKLKHTFLLILCQ</v>
      </c>
      <c r="C399" s="29" t="str">
        <f>IF(ISERROR(MATCH(A399,'SegEnds_Xtal_Prot#'!B:B, 0)), "NoXtal", "Xtal")</f>
        <v>NoXtal</v>
      </c>
      <c r="D399" s="4" t="str">
        <f>VLOOKUP(A399,Classification!A:D,2,FALSE)</f>
        <v>T</v>
      </c>
      <c r="E399" s="5" t="str">
        <f>VLOOKUP(A399,Seqs!A:B,2,FALSE)</f>
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</c>
      <c r="F399" s="5" t="str">
        <f t="shared" si="151"/>
        <v>YIFFSILIMVLFVLGNFANGFIALVNFIDWV</v>
      </c>
      <c r="G399" s="4" t="str">
        <f t="shared" si="152"/>
        <v>KRKK</v>
      </c>
      <c r="H399" s="4" t="str">
        <f t="shared" si="153"/>
        <v>ISSADQILTALAVSRIGLLWALLLNWYLTVL</v>
      </c>
      <c r="I399" s="4" t="str">
        <f t="shared" si="154"/>
        <v/>
      </c>
      <c r="J399" s="4" t="str">
        <f t="shared" si="155"/>
        <v>SVELRITSYNAWVVTNHFSMWLAANLSIFYLLKIAN</v>
      </c>
      <c r="K399" s="4" t="str">
        <f t="shared" si="156"/>
        <v>NLLFLHLK</v>
      </c>
      <c r="L399" s="4" t="str">
        <f t="shared" si="157"/>
        <v>RRVRSVILVILLGTLIFLVCHLLVA</v>
      </c>
      <c r="M399" s="4" t="str">
        <f t="shared" si="158"/>
        <v/>
      </c>
      <c r="N399" s="4" t="str">
        <f t="shared" si="159"/>
        <v>RNTVHLSYLTVTTLWSFIPFTLSLISFLMLICSLCKHLKKM</v>
      </c>
      <c r="O399" s="4" t="str">
        <f t="shared" si="160"/>
        <v>LSTKVHIKALQTLISFLLLCAIFFLFLIVSVWS</v>
      </c>
      <c r="P399" s="4" t="str">
        <f t="shared" si="161"/>
        <v>NDPVVMVSKAVGNIYLAFDSFILIWR</v>
      </c>
      <c r="Q399" s="4" t="str">
        <f t="shared" si="162"/>
        <v>TKKLKHTFLLILCQ</v>
      </c>
      <c r="R399" s="5">
        <f>VLOOKUP($A399,'SegEnds_NonXtal_Prot#'!$A:$AL,3,FALSE)</f>
        <v>6</v>
      </c>
      <c r="S399" s="5">
        <f>VLOOKUP($A399,'SegEnds_NonXtal_Prot#'!$A:$AL,6,FALSE)</f>
        <v>37</v>
      </c>
      <c r="T399" s="5">
        <f>VLOOKUP($A399,'SegEnds_NonXtal_Prot#'!$A:$AL,9,FALSE)</f>
        <v>41</v>
      </c>
      <c r="U399" s="5" t="str">
        <f>VLOOKUP($A399,'SegEnds_NonXtal_Prot#'!$A:$AL,12,FALSE)</f>
        <v>-</v>
      </c>
      <c r="V399" s="5">
        <f>VLOOKUP($A399,'SegEnds_NonXtal_Prot#'!$A:$AL,15,FALSE)</f>
        <v>77</v>
      </c>
      <c r="W399" s="5">
        <f>VLOOKUP($A399,'SegEnds_NonXtal_Prot#'!$A:$AL,18,FALSE)</f>
        <v>115</v>
      </c>
      <c r="X399" s="5">
        <f>VLOOKUP($A399,'SegEnds_NonXtal_Prot#'!$A:$AL,21,FALSE)</f>
        <v>123</v>
      </c>
      <c r="Y399" s="5" t="str">
        <f>VLOOKUP($A399,'SegEnds_NonXtal_Prot#'!$A:$AL,24,FALSE)</f>
        <v>-</v>
      </c>
      <c r="Z399" s="5">
        <f>VLOOKUP($A399,'SegEnds_NonXtal_Prot#'!$A:$AL,27,FALSE)</f>
        <v>169</v>
      </c>
      <c r="AA399" s="5">
        <f>VLOOKUP($A399,'SegEnds_NonXtal_Prot#'!$A:$AL,30,FALSE)</f>
        <v>219</v>
      </c>
      <c r="AB399" s="5">
        <f>VLOOKUP($A399,'SegEnds_NonXtal_Prot#'!$A:$AL,33,FALSE)</f>
        <v>257</v>
      </c>
      <c r="AC399" s="5">
        <f>VLOOKUP($A399,'SegEnds_NonXtal_Prot#'!$A:$AL,36,FALSE)</f>
        <v>283</v>
      </c>
      <c r="AD399" s="5">
        <f>VLOOKUP($A399,'SegEnds_NonXtal_Prot#'!$A:$AL,5,FALSE)</f>
        <v>36</v>
      </c>
      <c r="AE399" s="5">
        <f>VLOOKUP($A399,'SegEnds_NonXtal_Prot#'!$A:$AL,8,FALSE)</f>
        <v>40</v>
      </c>
      <c r="AF399" s="5">
        <f>VLOOKUP($A399,'SegEnds_NonXtal_Prot#'!$A:$AL,11,FALSE)</f>
        <v>71</v>
      </c>
      <c r="AG399" s="5" t="str">
        <f>VLOOKUP($A399,'SegEnds_NonXtal_Prot#'!$A:$AL,14,FALSE)</f>
        <v>-</v>
      </c>
      <c r="AH399" s="5">
        <f>VLOOKUP($A399,'SegEnds_NonXtal_Prot#'!$A:$AL,17,FALSE)</f>
        <v>112</v>
      </c>
      <c r="AI399" s="5">
        <f>VLOOKUP($A399,'SegEnds_NonXtal_Prot#'!$A:$AL,20,FALSE)</f>
        <v>122</v>
      </c>
      <c r="AJ399" s="5">
        <f>VLOOKUP($A399,'SegEnds_NonXtal_Prot#'!$A:$AL,23,FALSE)</f>
        <v>147</v>
      </c>
      <c r="AK399" s="5" t="str">
        <f>VLOOKUP($A399,'SegEnds_NonXtal_Prot#'!$A:$AL,26,FALSE)</f>
        <v>-</v>
      </c>
      <c r="AL399" s="5">
        <f>VLOOKUP($A399,'SegEnds_NonXtal_Prot#'!$A:$AL,29,FALSE)</f>
        <v>209</v>
      </c>
      <c r="AM399" s="5">
        <f>VLOOKUP($A399,'SegEnds_NonXtal_Prot#'!$A:$AL,32,FALSE)</f>
        <v>251</v>
      </c>
      <c r="AN399" s="5">
        <f>VLOOKUP($A399,'SegEnds_NonXtal_Prot#'!$A:$AL,35,FALSE)</f>
        <v>282</v>
      </c>
      <c r="AO399" s="5">
        <f>VLOOKUP($A399,'SegEnds_NonXtal_Prot#'!$A:$AL,38,FALSE)</f>
        <v>296</v>
      </c>
      <c r="AP399" s="5">
        <f t="shared" si="163"/>
        <v>30</v>
      </c>
      <c r="AQ399" s="4">
        <f t="shared" si="164"/>
        <v>3</v>
      </c>
      <c r="AR399" s="4">
        <f t="shared" si="165"/>
        <v>30</v>
      </c>
      <c r="AS399" s="4" t="str">
        <f t="shared" si="166"/>
        <v>-</v>
      </c>
      <c r="AT399" s="4">
        <f t="shared" si="167"/>
        <v>35</v>
      </c>
      <c r="AU399" s="4">
        <f t="shared" si="168"/>
        <v>7</v>
      </c>
      <c r="AV399" s="4">
        <f t="shared" si="169"/>
        <v>24</v>
      </c>
      <c r="AW399" s="4" t="str">
        <f t="shared" si="170"/>
        <v>-</v>
      </c>
      <c r="AX399" s="4">
        <f t="shared" si="171"/>
        <v>40</v>
      </c>
      <c r="AY399" s="4">
        <f t="shared" si="172"/>
        <v>32</v>
      </c>
      <c r="AZ399" s="4">
        <f t="shared" si="173"/>
        <v>25</v>
      </c>
      <c r="BA399" s="4">
        <f t="shared" si="174"/>
        <v>13</v>
      </c>
    </row>
    <row r="400" spans="1:53" x14ac:dyDescent="0.2">
      <c r="A400" s="1" t="str">
        <f>'SegEnds_NonXtal_Prot#'!A409</f>
        <v>t2r60_human</v>
      </c>
      <c r="B400" s="1" t="str">
        <f t="shared" si="150"/>
        <v>AIILVTILLLLRLVAIAGNGFITAALGVEWVLLPCDKLLVSLGASRFCLQSVVMGKTIYVFLAFPYNPVLQFLAFQWDFLNAATLWSSTWLSVFYCVKIATHKLSGWLPWMLFSSVGLSSFTTILFFISYCEKFYLFPLKMITWTMPTAVFFICMILLITSLGRHRKKAPSVQAHIKALLALLSFAMLFISYFLSLVFSAAGLDFKFWVWESVIYLCAAVHPIILLFSNCRLRAVLKSRRSS</v>
      </c>
      <c r="C400" s="29" t="str">
        <f>IF(ISERROR(MATCH(A400,'SegEnds_Xtal_Prot#'!B:B, 0)), "NoXtal", "Xtal")</f>
        <v>NoXtal</v>
      </c>
      <c r="D400" s="4" t="str">
        <f>VLOOKUP(A400,Classification!A:D,2,FALSE)</f>
        <v>T</v>
      </c>
      <c r="E400" s="5" t="str">
        <f>VLOOKUP(A400,Seqs!A:B,2,FALSE)</f>
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</c>
      <c r="F400" s="5" t="str">
        <f t="shared" si="151"/>
        <v>AIILVTILLLLRLVAIAGNGFITAALGVEWV</v>
      </c>
      <c r="G400" s="4" t="str">
        <f t="shared" si="152"/>
        <v>LRRM</v>
      </c>
      <c r="H400" s="4" t="str">
        <f t="shared" si="153"/>
        <v>LLPCDKLLVSLGASRFCLQSVVMGKTIYVFL</v>
      </c>
      <c r="I400" s="4" t="str">
        <f t="shared" si="154"/>
        <v/>
      </c>
      <c r="J400" s="4" t="str">
        <f t="shared" si="155"/>
        <v>AFPYNPVLQFLAFQWDFLNAATLWSSTWLSVFYCVKIAT</v>
      </c>
      <c r="K400" s="4" t="str">
        <f t="shared" si="156"/>
        <v>HPVFFWLK</v>
      </c>
      <c r="L400" s="4" t="str">
        <f t="shared" si="157"/>
        <v>HKLSGWLPWMLFSSVGLSSFTTILFFI</v>
      </c>
      <c r="M400" s="4" t="str">
        <f t="shared" si="158"/>
        <v/>
      </c>
      <c r="N400" s="4" t="str">
        <f t="shared" si="159"/>
        <v>SYCEKFYLFPLKMITWTMPTAVFFICMILLITSLGRHRKKA</v>
      </c>
      <c r="O400" s="4" t="str">
        <f t="shared" si="160"/>
        <v>PSVQAHIKALLALLSFAMLFISYFLSLVFSAAG</v>
      </c>
      <c r="P400" s="4" t="str">
        <f t="shared" si="161"/>
        <v>LDFKFWVWESVIYLCAAVHPIILLFS</v>
      </c>
      <c r="Q400" s="4" t="str">
        <f t="shared" si="162"/>
        <v>NCRLRAVLKSRRSS</v>
      </c>
      <c r="R400" s="5">
        <f>VLOOKUP($A400,'SegEnds_NonXtal_Prot#'!$A:$AL,3,FALSE)</f>
        <v>17</v>
      </c>
      <c r="S400" s="5">
        <f>VLOOKUP($A400,'SegEnds_NonXtal_Prot#'!$A:$AL,6,FALSE)</f>
        <v>48</v>
      </c>
      <c r="T400" s="5">
        <f>VLOOKUP($A400,'SegEnds_NonXtal_Prot#'!$A:$AL,9,FALSE)</f>
        <v>52</v>
      </c>
      <c r="U400" s="5" t="str">
        <f>VLOOKUP($A400,'SegEnds_NonXtal_Prot#'!$A:$AL,12,FALSE)</f>
        <v>-</v>
      </c>
      <c r="V400" s="5">
        <f>VLOOKUP($A400,'SegEnds_NonXtal_Prot#'!$A:$AL,15,FALSE)</f>
        <v>86</v>
      </c>
      <c r="W400" s="5">
        <f>VLOOKUP($A400,'SegEnds_NonXtal_Prot#'!$A:$AL,18,FALSE)</f>
        <v>127</v>
      </c>
      <c r="X400" s="5">
        <f>VLOOKUP($A400,'SegEnds_NonXtal_Prot#'!$A:$AL,21,FALSE)</f>
        <v>135</v>
      </c>
      <c r="Y400" s="5" t="str">
        <f>VLOOKUP($A400,'SegEnds_NonXtal_Prot#'!$A:$AL,24,FALSE)</f>
        <v>-</v>
      </c>
      <c r="Z400" s="5">
        <f>VLOOKUP($A400,'SegEnds_NonXtal_Prot#'!$A:$AL,27,FALSE)</f>
        <v>187</v>
      </c>
      <c r="AA400" s="5">
        <f>VLOOKUP($A400,'SegEnds_NonXtal_Prot#'!$A:$AL,30,FALSE)</f>
        <v>237</v>
      </c>
      <c r="AB400" s="5">
        <f>VLOOKUP($A400,'SegEnds_NonXtal_Prot#'!$A:$AL,33,FALSE)</f>
        <v>274</v>
      </c>
      <c r="AC400" s="5">
        <f>VLOOKUP($A400,'SegEnds_NonXtal_Prot#'!$A:$AL,36,FALSE)</f>
        <v>300</v>
      </c>
      <c r="AD400" s="5">
        <f>VLOOKUP($A400,'SegEnds_NonXtal_Prot#'!$A:$AL,5,FALSE)</f>
        <v>47</v>
      </c>
      <c r="AE400" s="5">
        <f>VLOOKUP($A400,'SegEnds_NonXtal_Prot#'!$A:$AL,8,FALSE)</f>
        <v>51</v>
      </c>
      <c r="AF400" s="5">
        <f>VLOOKUP($A400,'SegEnds_NonXtal_Prot#'!$A:$AL,11,FALSE)</f>
        <v>82</v>
      </c>
      <c r="AG400" s="5" t="str">
        <f>VLOOKUP($A400,'SegEnds_NonXtal_Prot#'!$A:$AL,14,FALSE)</f>
        <v>-</v>
      </c>
      <c r="AH400" s="5">
        <f>VLOOKUP($A400,'SegEnds_NonXtal_Prot#'!$A:$AL,17,FALSE)</f>
        <v>124</v>
      </c>
      <c r="AI400" s="5">
        <f>VLOOKUP($A400,'SegEnds_NonXtal_Prot#'!$A:$AL,20,FALSE)</f>
        <v>134</v>
      </c>
      <c r="AJ400" s="5">
        <f>VLOOKUP($A400,'SegEnds_NonXtal_Prot#'!$A:$AL,23,FALSE)</f>
        <v>161</v>
      </c>
      <c r="AK400" s="5" t="str">
        <f>VLOOKUP($A400,'SegEnds_NonXtal_Prot#'!$A:$AL,26,FALSE)</f>
        <v>-</v>
      </c>
      <c r="AL400" s="5">
        <f>VLOOKUP($A400,'SegEnds_NonXtal_Prot#'!$A:$AL,29,FALSE)</f>
        <v>227</v>
      </c>
      <c r="AM400" s="5">
        <f>VLOOKUP($A400,'SegEnds_NonXtal_Prot#'!$A:$AL,32,FALSE)</f>
        <v>269</v>
      </c>
      <c r="AN400" s="5">
        <f>VLOOKUP($A400,'SegEnds_NonXtal_Prot#'!$A:$AL,35,FALSE)</f>
        <v>299</v>
      </c>
      <c r="AO400" s="5">
        <f>VLOOKUP($A400,'SegEnds_NonXtal_Prot#'!$A:$AL,38,FALSE)</f>
        <v>313</v>
      </c>
      <c r="AP400" s="5">
        <f t="shared" si="163"/>
        <v>30</v>
      </c>
      <c r="AQ400" s="4">
        <f t="shared" si="164"/>
        <v>3</v>
      </c>
      <c r="AR400" s="4">
        <f t="shared" si="165"/>
        <v>30</v>
      </c>
      <c r="AS400" s="4" t="str">
        <f t="shared" si="166"/>
        <v>-</v>
      </c>
      <c r="AT400" s="4">
        <f t="shared" si="167"/>
        <v>38</v>
      </c>
      <c r="AU400" s="4">
        <f t="shared" si="168"/>
        <v>7</v>
      </c>
      <c r="AV400" s="4">
        <f t="shared" si="169"/>
        <v>26</v>
      </c>
      <c r="AW400" s="4" t="str">
        <f t="shared" si="170"/>
        <v>-</v>
      </c>
      <c r="AX400" s="4">
        <f t="shared" si="171"/>
        <v>40</v>
      </c>
      <c r="AY400" s="4">
        <f t="shared" si="172"/>
        <v>32</v>
      </c>
      <c r="AZ400" s="4">
        <f t="shared" si="173"/>
        <v>25</v>
      </c>
      <c r="BA400" s="4">
        <f t="shared" si="174"/>
        <v>13</v>
      </c>
    </row>
    <row r="401" spans="1:53" x14ac:dyDescent="0.2">
      <c r="A401" s="1" t="str">
        <f>'SegEnds_NonXtal_Prot#'!A410</f>
        <v>ta2r1_human</v>
      </c>
      <c r="B401" s="1" t="str">
        <f t="shared" si="150"/>
        <v>LIIYFLLAVIQFLLGIFTNGIIVVVNGIDLIMAPLDLLLSCLAVSRIFLQLFIFYVNVIVIFMCSANCAILLFINELELWLATWLGVFYCAKVASMRISKLVPWMILGSLLYVSMICVFHSKKEDTLAIQIFSFVAEFSVPLLIFLFAVLLLIFSLGRHTRQMPGRGAPISALLSILSFLILYFSHCMIKVFLSSLRRFIFLFFILVIGIYPSGHSLILILGNPKLKQNAKKFLLH</v>
      </c>
      <c r="C401" s="29" t="str">
        <f>IF(ISERROR(MATCH(A401,'SegEnds_Xtal_Prot#'!B:B, 0)), "NoXtal", "Xtal")</f>
        <v>NoXtal</v>
      </c>
      <c r="D401" s="4" t="str">
        <f>VLOOKUP(A401,Classification!A:D,2,FALSE)</f>
        <v>T</v>
      </c>
      <c r="E401" s="5" t="str">
        <f>VLOOKUP(A401,Seqs!A:B,2,FALSE)</f>
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</c>
      <c r="F401" s="5" t="str">
        <f t="shared" si="151"/>
        <v>LIIYFLLAVIQFLLGIFTNGIIVVVNGIDLI</v>
      </c>
      <c r="G401" s="4" t="str">
        <f t="shared" si="152"/>
        <v>KHRK</v>
      </c>
      <c r="H401" s="4" t="str">
        <f t="shared" si="153"/>
        <v>MAPLDLLLSCLAVSRIFLQLFIFYVNVIVIF</v>
      </c>
      <c r="I401" s="4" t="str">
        <f t="shared" si="154"/>
        <v/>
      </c>
      <c r="J401" s="4" t="str">
        <f t="shared" si="155"/>
        <v>MCSANCAILLFINELELWLATWLGVFYCAKVAS</v>
      </c>
      <c r="K401" s="4" t="str">
        <f t="shared" si="156"/>
        <v>HPLFIWLK</v>
      </c>
      <c r="L401" s="4" t="str">
        <f t="shared" si="157"/>
        <v>MRISKLVPWMILGSLLYVSMICVFHSK</v>
      </c>
      <c r="M401" s="4" t="str">
        <f t="shared" si="158"/>
        <v/>
      </c>
      <c r="N401" s="4" t="str">
        <f t="shared" si="159"/>
        <v>KEDTLAIQIFSFVAEFSVPLLIFLFAVLLLIFSLGRHTRQM</v>
      </c>
      <c r="O401" s="4" t="str">
        <f t="shared" si="160"/>
        <v>PGRGAPISALLSILSFLILYFSHCMIKVFLSSL</v>
      </c>
      <c r="P401" s="4" t="str">
        <f t="shared" si="161"/>
        <v>RRFIFLFFILVIGIYPSGHSLILILG</v>
      </c>
      <c r="Q401" s="4" t="str">
        <f t="shared" si="162"/>
        <v>NPKLKQNAKKFLLH</v>
      </c>
      <c r="R401" s="5">
        <f>VLOOKUP($A401,'SegEnds_NonXtal_Prot#'!$A:$AL,3,FALSE)</f>
        <v>6</v>
      </c>
      <c r="S401" s="5">
        <f>VLOOKUP($A401,'SegEnds_NonXtal_Prot#'!$A:$AL,6,FALSE)</f>
        <v>37</v>
      </c>
      <c r="T401" s="5">
        <f>VLOOKUP($A401,'SegEnds_NonXtal_Prot#'!$A:$AL,9,FALSE)</f>
        <v>41</v>
      </c>
      <c r="U401" s="5" t="str">
        <f>VLOOKUP($A401,'SegEnds_NonXtal_Prot#'!$A:$AL,12,FALSE)</f>
        <v>-</v>
      </c>
      <c r="V401" s="5">
        <f>VLOOKUP($A401,'SegEnds_NonXtal_Prot#'!$A:$AL,15,FALSE)</f>
        <v>77</v>
      </c>
      <c r="W401" s="5">
        <f>VLOOKUP($A401,'SegEnds_NonXtal_Prot#'!$A:$AL,18,FALSE)</f>
        <v>112</v>
      </c>
      <c r="X401" s="5">
        <f>VLOOKUP($A401,'SegEnds_NonXtal_Prot#'!$A:$AL,21,FALSE)</f>
        <v>120</v>
      </c>
      <c r="Y401" s="5" t="str">
        <f>VLOOKUP($A401,'SegEnds_NonXtal_Prot#'!$A:$AL,24,FALSE)</f>
        <v>-</v>
      </c>
      <c r="Z401" s="5">
        <f>VLOOKUP($A401,'SegEnds_NonXtal_Prot#'!$A:$AL,27,FALSE)</f>
        <v>168</v>
      </c>
      <c r="AA401" s="5">
        <f>VLOOKUP($A401,'SegEnds_NonXtal_Prot#'!$A:$AL,30,FALSE)</f>
        <v>218</v>
      </c>
      <c r="AB401" s="5">
        <f>VLOOKUP($A401,'SegEnds_NonXtal_Prot#'!$A:$AL,33,FALSE)</f>
        <v>255</v>
      </c>
      <c r="AC401" s="5">
        <f>VLOOKUP($A401,'SegEnds_NonXtal_Prot#'!$A:$AL,36,FALSE)</f>
        <v>281</v>
      </c>
      <c r="AD401" s="5">
        <f>VLOOKUP($A401,'SegEnds_NonXtal_Prot#'!$A:$AL,5,FALSE)</f>
        <v>36</v>
      </c>
      <c r="AE401" s="5">
        <f>VLOOKUP($A401,'SegEnds_NonXtal_Prot#'!$A:$AL,8,FALSE)</f>
        <v>40</v>
      </c>
      <c r="AF401" s="5">
        <f>VLOOKUP($A401,'SegEnds_NonXtal_Prot#'!$A:$AL,11,FALSE)</f>
        <v>71</v>
      </c>
      <c r="AG401" s="5" t="str">
        <f>VLOOKUP($A401,'SegEnds_NonXtal_Prot#'!$A:$AL,14,FALSE)</f>
        <v>-</v>
      </c>
      <c r="AH401" s="5">
        <f>VLOOKUP($A401,'SegEnds_NonXtal_Prot#'!$A:$AL,17,FALSE)</f>
        <v>109</v>
      </c>
      <c r="AI401" s="5">
        <f>VLOOKUP($A401,'SegEnds_NonXtal_Prot#'!$A:$AL,20,FALSE)</f>
        <v>119</v>
      </c>
      <c r="AJ401" s="5">
        <f>VLOOKUP($A401,'SegEnds_NonXtal_Prot#'!$A:$AL,23,FALSE)</f>
        <v>146</v>
      </c>
      <c r="AK401" s="5" t="str">
        <f>VLOOKUP($A401,'SegEnds_NonXtal_Prot#'!$A:$AL,26,FALSE)</f>
        <v>-</v>
      </c>
      <c r="AL401" s="5">
        <f>VLOOKUP($A401,'SegEnds_NonXtal_Prot#'!$A:$AL,29,FALSE)</f>
        <v>208</v>
      </c>
      <c r="AM401" s="5">
        <f>VLOOKUP($A401,'SegEnds_NonXtal_Prot#'!$A:$AL,32,FALSE)</f>
        <v>250</v>
      </c>
      <c r="AN401" s="5">
        <f>VLOOKUP($A401,'SegEnds_NonXtal_Prot#'!$A:$AL,35,FALSE)</f>
        <v>280</v>
      </c>
      <c r="AO401" s="5">
        <f>VLOOKUP($A401,'SegEnds_NonXtal_Prot#'!$A:$AL,38,FALSE)</f>
        <v>294</v>
      </c>
      <c r="AP401" s="5">
        <f t="shared" si="163"/>
        <v>30</v>
      </c>
      <c r="AQ401" s="4">
        <f t="shared" si="164"/>
        <v>3</v>
      </c>
      <c r="AR401" s="4">
        <f t="shared" si="165"/>
        <v>30</v>
      </c>
      <c r="AS401" s="4" t="str">
        <f t="shared" si="166"/>
        <v>-</v>
      </c>
      <c r="AT401" s="4">
        <f t="shared" si="167"/>
        <v>32</v>
      </c>
      <c r="AU401" s="4">
        <f t="shared" si="168"/>
        <v>7</v>
      </c>
      <c r="AV401" s="4">
        <f t="shared" si="169"/>
        <v>26</v>
      </c>
      <c r="AW401" s="4" t="str">
        <f t="shared" si="170"/>
        <v>-</v>
      </c>
      <c r="AX401" s="4">
        <f t="shared" si="171"/>
        <v>40</v>
      </c>
      <c r="AY401" s="4">
        <f t="shared" si="172"/>
        <v>32</v>
      </c>
      <c r="AZ401" s="4">
        <f t="shared" si="173"/>
        <v>25</v>
      </c>
      <c r="BA401" s="4">
        <f t="shared" si="174"/>
        <v>13</v>
      </c>
    </row>
    <row r="402" spans="1:53" x14ac:dyDescent="0.2">
      <c r="A402" s="1" t="str">
        <f>'SegEnds_NonXtal_Prot#'!A411</f>
        <v>ta2r3_human</v>
      </c>
      <c r="B402" s="1" t="str">
        <f t="shared" si="150"/>
        <v>EGVFLILSGTQFTLGILVNCFIELVNGSSWFMSLSDFIITTLALLRIILLCIILTDSFLIEFSSGIIMQIIDVSWTFTNHLSIWLATCLGVLYCLKIASWRVSRVMVWMLLGALLLSCGSTASLINKRSEYYLIHVLGTLWYLPPLIVSLASYSLLIFSLGRHTRQMPTTEAHKRAIRIILSFFFLFLLYFLAFLIASFGTKMAKMIGEVMTMFYPAGHSFILILGNSKLKQTFVVMLRC</v>
      </c>
      <c r="C402" s="29" t="str">
        <f>IF(ISERROR(MATCH(A402,'SegEnds_Xtal_Prot#'!B:B, 0)), "NoXtal", "Xtal")</f>
        <v>NoXtal</v>
      </c>
      <c r="D402" s="4" t="str">
        <f>VLOOKUP(A402,Classification!A:D,2,FALSE)</f>
        <v>T</v>
      </c>
      <c r="E402" s="5" t="str">
        <f>VLOOKUP(A402,Seqs!A:B,2,FALSE)</f>
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</c>
      <c r="F402" s="5" t="str">
        <f t="shared" si="151"/>
        <v>EGVFLILSGTQFTLGILVNCFIELVNGSSWF</v>
      </c>
      <c r="G402" s="4" t="str">
        <f t="shared" si="152"/>
        <v>KTKR</v>
      </c>
      <c r="H402" s="4" t="str">
        <f t="shared" si="153"/>
        <v>MSLSDFIITTLALLRIILLCIILTDSFLIEFS</v>
      </c>
      <c r="I402" s="4" t="str">
        <f t="shared" si="154"/>
        <v/>
      </c>
      <c r="J402" s="4" t="str">
        <f t="shared" si="155"/>
        <v>SGIIMQIIDVSWTFTNHLSIWLATCLGVLYCLKIAS</v>
      </c>
      <c r="K402" s="4" t="str">
        <f t="shared" si="156"/>
        <v>HPTFLWLK</v>
      </c>
      <c r="L402" s="4" t="str">
        <f t="shared" si="157"/>
        <v>WRVSRVMVWMLLGALLLSCGSTASLIN</v>
      </c>
      <c r="M402" s="4" t="str">
        <f t="shared" si="158"/>
        <v/>
      </c>
      <c r="N402" s="4" t="str">
        <f t="shared" si="159"/>
        <v>KRSEYYLIHVLGTLWYLPPLIVSLASYSLLIFSLGRHTRQM</v>
      </c>
      <c r="O402" s="4" t="str">
        <f t="shared" si="160"/>
        <v>PTTEAHKRAIRIILSFFFLFLLYFLAFLIASFG</v>
      </c>
      <c r="P402" s="4" t="str">
        <f t="shared" si="161"/>
        <v>TKMAKMIGEVMTMFYPAGHSFILILG</v>
      </c>
      <c r="Q402" s="4" t="str">
        <f t="shared" si="162"/>
        <v>NSKLKQTFVVMLRC</v>
      </c>
      <c r="R402" s="5">
        <f>VLOOKUP($A402,'SegEnds_NonXtal_Prot#'!$A:$AL,3,FALSE)</f>
        <v>6</v>
      </c>
      <c r="S402" s="5">
        <f>VLOOKUP($A402,'SegEnds_NonXtal_Prot#'!$A:$AL,6,FALSE)</f>
        <v>37</v>
      </c>
      <c r="T402" s="5">
        <f>VLOOKUP($A402,'SegEnds_NonXtal_Prot#'!$A:$AL,9,FALSE)</f>
        <v>41</v>
      </c>
      <c r="U402" s="5" t="str">
        <f>VLOOKUP($A402,'SegEnds_NonXtal_Prot#'!$A:$AL,12,FALSE)</f>
        <v>-</v>
      </c>
      <c r="V402" s="5">
        <f>VLOOKUP($A402,'SegEnds_NonXtal_Prot#'!$A:$AL,15,FALSE)</f>
        <v>78</v>
      </c>
      <c r="W402" s="5">
        <f>VLOOKUP($A402,'SegEnds_NonXtal_Prot#'!$A:$AL,18,FALSE)</f>
        <v>116</v>
      </c>
      <c r="X402" s="5">
        <f>VLOOKUP($A402,'SegEnds_NonXtal_Prot#'!$A:$AL,21,FALSE)</f>
        <v>124</v>
      </c>
      <c r="Y402" s="5" t="str">
        <f>VLOOKUP($A402,'SegEnds_NonXtal_Prot#'!$A:$AL,24,FALSE)</f>
        <v>-</v>
      </c>
      <c r="Z402" s="5">
        <f>VLOOKUP($A402,'SegEnds_NonXtal_Prot#'!$A:$AL,27,FALSE)</f>
        <v>174</v>
      </c>
      <c r="AA402" s="5">
        <f>VLOOKUP($A402,'SegEnds_NonXtal_Prot#'!$A:$AL,30,FALSE)</f>
        <v>224</v>
      </c>
      <c r="AB402" s="5">
        <f>VLOOKUP($A402,'SegEnds_NonXtal_Prot#'!$A:$AL,33,FALSE)</f>
        <v>262</v>
      </c>
      <c r="AC402" s="5">
        <f>VLOOKUP($A402,'SegEnds_NonXtal_Prot#'!$A:$AL,36,FALSE)</f>
        <v>288</v>
      </c>
      <c r="AD402" s="5">
        <f>VLOOKUP($A402,'SegEnds_NonXtal_Prot#'!$A:$AL,5,FALSE)</f>
        <v>36</v>
      </c>
      <c r="AE402" s="5">
        <f>VLOOKUP($A402,'SegEnds_NonXtal_Prot#'!$A:$AL,8,FALSE)</f>
        <v>40</v>
      </c>
      <c r="AF402" s="5">
        <f>VLOOKUP($A402,'SegEnds_NonXtal_Prot#'!$A:$AL,11,FALSE)</f>
        <v>72</v>
      </c>
      <c r="AG402" s="5" t="str">
        <f>VLOOKUP($A402,'SegEnds_NonXtal_Prot#'!$A:$AL,14,FALSE)</f>
        <v>-</v>
      </c>
      <c r="AH402" s="5">
        <f>VLOOKUP($A402,'SegEnds_NonXtal_Prot#'!$A:$AL,17,FALSE)</f>
        <v>113</v>
      </c>
      <c r="AI402" s="5">
        <f>VLOOKUP($A402,'SegEnds_NonXtal_Prot#'!$A:$AL,20,FALSE)</f>
        <v>123</v>
      </c>
      <c r="AJ402" s="5">
        <f>VLOOKUP($A402,'SegEnds_NonXtal_Prot#'!$A:$AL,23,FALSE)</f>
        <v>150</v>
      </c>
      <c r="AK402" s="5" t="str">
        <f>VLOOKUP($A402,'SegEnds_NonXtal_Prot#'!$A:$AL,26,FALSE)</f>
        <v>-</v>
      </c>
      <c r="AL402" s="5">
        <f>VLOOKUP($A402,'SegEnds_NonXtal_Prot#'!$A:$AL,29,FALSE)</f>
        <v>214</v>
      </c>
      <c r="AM402" s="5">
        <f>VLOOKUP($A402,'SegEnds_NonXtal_Prot#'!$A:$AL,32,FALSE)</f>
        <v>256</v>
      </c>
      <c r="AN402" s="5">
        <f>VLOOKUP($A402,'SegEnds_NonXtal_Prot#'!$A:$AL,35,FALSE)</f>
        <v>287</v>
      </c>
      <c r="AO402" s="5">
        <f>VLOOKUP($A402,'SegEnds_NonXtal_Prot#'!$A:$AL,38,FALSE)</f>
        <v>301</v>
      </c>
      <c r="AP402" s="5">
        <f t="shared" si="163"/>
        <v>30</v>
      </c>
      <c r="AQ402" s="4">
        <f t="shared" si="164"/>
        <v>3</v>
      </c>
      <c r="AR402" s="4">
        <f t="shared" si="165"/>
        <v>31</v>
      </c>
      <c r="AS402" s="4" t="str">
        <f t="shared" si="166"/>
        <v>-</v>
      </c>
      <c r="AT402" s="4">
        <f t="shared" si="167"/>
        <v>35</v>
      </c>
      <c r="AU402" s="4">
        <f t="shared" si="168"/>
        <v>7</v>
      </c>
      <c r="AV402" s="4">
        <f t="shared" si="169"/>
        <v>26</v>
      </c>
      <c r="AW402" s="4" t="str">
        <f t="shared" si="170"/>
        <v>-</v>
      </c>
      <c r="AX402" s="4">
        <f t="shared" si="171"/>
        <v>40</v>
      </c>
      <c r="AY402" s="4">
        <f t="shared" si="172"/>
        <v>32</v>
      </c>
      <c r="AZ402" s="4">
        <f t="shared" si="173"/>
        <v>25</v>
      </c>
      <c r="BA402" s="4">
        <f t="shared" si="174"/>
        <v>13</v>
      </c>
    </row>
    <row r="403" spans="1:53" x14ac:dyDescent="0.2">
      <c r="A403" s="1" t="str">
        <f>'SegEnds_NonXtal_Prot#'!A412</f>
        <v>ta2r4_human</v>
      </c>
      <c r="B403" s="1" t="str">
        <f t="shared" si="150"/>
        <v>YFSAIIASVILNFVGIIMNLFITVVNCKTWVISSSDRILFSLGITRFLMLGLFLVNTIYFVSSVYLSAFFVLCFMFLDSSSVWFVTLLNILYCVKITNRNISPKIPRLLLACVLISAFTTCLYIISEGILSLVVSLVLSSSLQFIINVTSASLLIHSLRRHIQKMPQTEAHVGAMKLMVYFLILYIPYSVATLVQYLPDMGTKSICLIFATLYSPGHSVLIIITHPKLKTTAKKILCF</v>
      </c>
      <c r="C403" s="29" t="str">
        <f>IF(ISERROR(MATCH(A403,'SegEnds_Xtal_Prot#'!B:B, 0)), "NoXtal", "Xtal")</f>
        <v>NoXtal</v>
      </c>
      <c r="D403" s="4" t="str">
        <f>VLOOKUP(A403,Classification!A:D,2,FALSE)</f>
        <v>T</v>
      </c>
      <c r="E403" s="5" t="str">
        <f>VLOOKUP(A403,Seqs!A:B,2,FALSE)</f>
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</c>
      <c r="F403" s="5" t="str">
        <f t="shared" si="151"/>
        <v>YFSAIIASVILNFVGIIMNLFITVVNCKTWV</v>
      </c>
      <c r="G403" s="4" t="str">
        <f t="shared" si="152"/>
        <v>KSHR</v>
      </c>
      <c r="H403" s="4" t="str">
        <f t="shared" si="153"/>
        <v>ISSSDRILFSLGITRFLMLGLFLVNTIYFVS</v>
      </c>
      <c r="I403" s="4" t="str">
        <f t="shared" si="154"/>
        <v/>
      </c>
      <c r="J403" s="4" t="str">
        <f t="shared" si="155"/>
        <v>SVYLSAFFVLCFMFLDSSSVWFVTLLNILYCVKITN</v>
      </c>
      <c r="K403" s="4" t="str">
        <f t="shared" si="156"/>
        <v>HSVFLLLK</v>
      </c>
      <c r="L403" s="4" t="str">
        <f t="shared" si="157"/>
        <v>RNISPKIPRLLLACVLISAFTTCLYI</v>
      </c>
      <c r="M403" s="4" t="str">
        <f t="shared" si="158"/>
        <v/>
      </c>
      <c r="N403" s="4" t="str">
        <f t="shared" si="159"/>
        <v>ISEGILSLVVSLVLSSSLQFIINVTSASLLIHSLRRHIQKM</v>
      </c>
      <c r="O403" s="4" t="str">
        <f t="shared" si="160"/>
        <v>PQTEAHVGAMKLMVYFLILYIPYSVATLVQYLP</v>
      </c>
      <c r="P403" s="4" t="str">
        <f t="shared" si="161"/>
        <v>DMGTKSICLIFATLYSPGHSVLIIIT</v>
      </c>
      <c r="Q403" s="4" t="str">
        <f t="shared" si="162"/>
        <v>HPKLKTTAKKILCF</v>
      </c>
      <c r="R403" s="5">
        <f>VLOOKUP($A403,'SegEnds_NonXtal_Prot#'!$A:$AL,3,FALSE)</f>
        <v>6</v>
      </c>
      <c r="S403" s="5">
        <f>VLOOKUP($A403,'SegEnds_NonXtal_Prot#'!$A:$AL,6,FALSE)</f>
        <v>37</v>
      </c>
      <c r="T403" s="5">
        <f>VLOOKUP($A403,'SegEnds_NonXtal_Prot#'!$A:$AL,9,FALSE)</f>
        <v>41</v>
      </c>
      <c r="U403" s="5" t="str">
        <f>VLOOKUP($A403,'SegEnds_NonXtal_Prot#'!$A:$AL,12,FALSE)</f>
        <v>-</v>
      </c>
      <c r="V403" s="5">
        <f>VLOOKUP($A403,'SegEnds_NonXtal_Prot#'!$A:$AL,15,FALSE)</f>
        <v>77</v>
      </c>
      <c r="W403" s="5">
        <f>VLOOKUP($A403,'SegEnds_NonXtal_Prot#'!$A:$AL,18,FALSE)</f>
        <v>115</v>
      </c>
      <c r="X403" s="5">
        <f>VLOOKUP($A403,'SegEnds_NonXtal_Prot#'!$A:$AL,21,FALSE)</f>
        <v>123</v>
      </c>
      <c r="Y403" s="5" t="str">
        <f>VLOOKUP($A403,'SegEnds_NonXtal_Prot#'!$A:$AL,24,FALSE)</f>
        <v>-</v>
      </c>
      <c r="Z403" s="5">
        <f>VLOOKUP($A403,'SegEnds_NonXtal_Prot#'!$A:$AL,27,FALSE)</f>
        <v>170</v>
      </c>
      <c r="AA403" s="5">
        <f>VLOOKUP($A403,'SegEnds_NonXtal_Prot#'!$A:$AL,30,FALSE)</f>
        <v>220</v>
      </c>
      <c r="AB403" s="5">
        <f>VLOOKUP($A403,'SegEnds_NonXtal_Prot#'!$A:$AL,33,FALSE)</f>
        <v>258</v>
      </c>
      <c r="AC403" s="5">
        <f>VLOOKUP($A403,'SegEnds_NonXtal_Prot#'!$A:$AL,36,FALSE)</f>
        <v>284</v>
      </c>
      <c r="AD403" s="5">
        <f>VLOOKUP($A403,'SegEnds_NonXtal_Prot#'!$A:$AL,5,FALSE)</f>
        <v>36</v>
      </c>
      <c r="AE403" s="5">
        <f>VLOOKUP($A403,'SegEnds_NonXtal_Prot#'!$A:$AL,8,FALSE)</f>
        <v>40</v>
      </c>
      <c r="AF403" s="5">
        <f>VLOOKUP($A403,'SegEnds_NonXtal_Prot#'!$A:$AL,11,FALSE)</f>
        <v>71</v>
      </c>
      <c r="AG403" s="5" t="str">
        <f>VLOOKUP($A403,'SegEnds_NonXtal_Prot#'!$A:$AL,14,FALSE)</f>
        <v>-</v>
      </c>
      <c r="AH403" s="5">
        <f>VLOOKUP($A403,'SegEnds_NonXtal_Prot#'!$A:$AL,17,FALSE)</f>
        <v>112</v>
      </c>
      <c r="AI403" s="5">
        <f>VLOOKUP($A403,'SegEnds_NonXtal_Prot#'!$A:$AL,20,FALSE)</f>
        <v>122</v>
      </c>
      <c r="AJ403" s="5">
        <f>VLOOKUP($A403,'SegEnds_NonXtal_Prot#'!$A:$AL,23,FALSE)</f>
        <v>148</v>
      </c>
      <c r="AK403" s="5" t="str">
        <f>VLOOKUP($A403,'SegEnds_NonXtal_Prot#'!$A:$AL,26,FALSE)</f>
        <v>-</v>
      </c>
      <c r="AL403" s="5">
        <f>VLOOKUP($A403,'SegEnds_NonXtal_Prot#'!$A:$AL,29,FALSE)</f>
        <v>210</v>
      </c>
      <c r="AM403" s="5">
        <f>VLOOKUP($A403,'SegEnds_NonXtal_Prot#'!$A:$AL,32,FALSE)</f>
        <v>252</v>
      </c>
      <c r="AN403" s="5">
        <f>VLOOKUP($A403,'SegEnds_NonXtal_Prot#'!$A:$AL,35,FALSE)</f>
        <v>283</v>
      </c>
      <c r="AO403" s="5">
        <f>VLOOKUP($A403,'SegEnds_NonXtal_Prot#'!$A:$AL,38,FALSE)</f>
        <v>297</v>
      </c>
      <c r="AP403" s="5">
        <f t="shared" si="163"/>
        <v>30</v>
      </c>
      <c r="AQ403" s="4">
        <f t="shared" si="164"/>
        <v>3</v>
      </c>
      <c r="AR403" s="4">
        <f t="shared" si="165"/>
        <v>30</v>
      </c>
      <c r="AS403" s="4" t="str">
        <f t="shared" si="166"/>
        <v>-</v>
      </c>
      <c r="AT403" s="4">
        <f t="shared" si="167"/>
        <v>35</v>
      </c>
      <c r="AU403" s="4">
        <f t="shared" si="168"/>
        <v>7</v>
      </c>
      <c r="AV403" s="4">
        <f t="shared" si="169"/>
        <v>25</v>
      </c>
      <c r="AW403" s="4" t="str">
        <f t="shared" si="170"/>
        <v>-</v>
      </c>
      <c r="AX403" s="4">
        <f t="shared" si="171"/>
        <v>40</v>
      </c>
      <c r="AY403" s="4">
        <f t="shared" si="172"/>
        <v>32</v>
      </c>
      <c r="AZ403" s="4">
        <f t="shared" si="173"/>
        <v>25</v>
      </c>
      <c r="BA403" s="4">
        <f t="shared" si="174"/>
        <v>13</v>
      </c>
    </row>
    <row r="404" spans="1:53" x14ac:dyDescent="0.2">
      <c r="A404" s="1" t="str">
        <f>'SegEnds_NonXtal_Prot#'!A413</f>
        <v>ta2r5_human</v>
      </c>
      <c r="B404" s="1" t="str">
        <f t="shared" si="150"/>
        <v>LGLLMLVAVVEFLIGLIGNGSLVVWSFREWIWSSYNLIILGLAGCRFLLQWLIILDLSLFPLWLRYLSIFWVLVSQASLWFATFLSVFYCKKITTQRAYNLSLWCLLGYFIINLLLTVQIFESWQYLYAFQLNSGSYLPLVVFLVSSGMLIVSLYTHHKKMVRAKAHITALKSLGCFLLLHLVYIMASPFSITSDLTSVFIWETLMAAYPSLHSLILIMGIPRVKQTCQKILWK</v>
      </c>
      <c r="C404" s="29" t="str">
        <f>IF(ISERROR(MATCH(A404,'SegEnds_Xtal_Prot#'!B:B, 0)), "NoXtal", "Xtal")</f>
        <v>NoXtal</v>
      </c>
      <c r="D404" s="4" t="str">
        <f>VLOOKUP(A404,Classification!A:D,2,FALSE)</f>
        <v>T</v>
      </c>
      <c r="E404" s="5" t="str">
        <f>VLOOKUP(A404,Seqs!A:B,2,FALSE)</f>
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</c>
      <c r="F404" s="5" t="str">
        <f t="shared" si="151"/>
        <v>LGLLMLVAVVEFLIGLIGNGSLVVWSFREWI</v>
      </c>
      <c r="G404" s="4" t="str">
        <f t="shared" si="152"/>
        <v>RKFN</v>
      </c>
      <c r="H404" s="4" t="str">
        <f t="shared" si="153"/>
        <v>WSSYNLIILGLAGCRFLLQWLIILDLSLFPL</v>
      </c>
      <c r="I404" s="4" t="str">
        <f t="shared" si="154"/>
        <v/>
      </c>
      <c r="J404" s="4" t="str">
        <f t="shared" si="155"/>
        <v>WLRYLSIFWVLVSQASLWFATFLSVFYCKKITT</v>
      </c>
      <c r="K404" s="4" t="str">
        <f t="shared" si="156"/>
        <v>RPAYLWLK</v>
      </c>
      <c r="L404" s="4" t="str">
        <f t="shared" si="157"/>
        <v>QRAYNLSLWCLLGYFIINLLLTVQI</v>
      </c>
      <c r="M404" s="4" t="str">
        <f t="shared" si="158"/>
        <v/>
      </c>
      <c r="N404" s="4" t="str">
        <f t="shared" si="159"/>
        <v>FESWQYLYAFQLNSGSYLPLVVFLVSSGMLIVSLYTHHKKM</v>
      </c>
      <c r="O404" s="4" t="str">
        <f t="shared" si="160"/>
        <v>VRAKAHITALKSLGCFLLLHLVYIMASPFSITS</v>
      </c>
      <c r="P404" s="4" t="str">
        <f t="shared" si="161"/>
        <v>DLTSVFIWETLMAAYPSLHSLILIMG</v>
      </c>
      <c r="Q404" s="4" t="str">
        <f t="shared" si="162"/>
        <v>IPRVKQTCQKILWK</v>
      </c>
      <c r="R404" s="5">
        <f>VLOOKUP($A404,'SegEnds_NonXtal_Prot#'!$A:$AL,3,FALSE)</f>
        <v>6</v>
      </c>
      <c r="S404" s="5">
        <f>VLOOKUP($A404,'SegEnds_NonXtal_Prot#'!$A:$AL,6,FALSE)</f>
        <v>37</v>
      </c>
      <c r="T404" s="5">
        <f>VLOOKUP($A404,'SegEnds_NonXtal_Prot#'!$A:$AL,9,FALSE)</f>
        <v>41</v>
      </c>
      <c r="U404" s="5" t="str">
        <f>VLOOKUP($A404,'SegEnds_NonXtal_Prot#'!$A:$AL,12,FALSE)</f>
        <v>-</v>
      </c>
      <c r="V404" s="5">
        <f>VLOOKUP($A404,'SegEnds_NonXtal_Prot#'!$A:$AL,15,FALSE)</f>
        <v>77</v>
      </c>
      <c r="W404" s="5">
        <f>VLOOKUP($A404,'SegEnds_NonXtal_Prot#'!$A:$AL,18,FALSE)</f>
        <v>112</v>
      </c>
      <c r="X404" s="5">
        <f>VLOOKUP($A404,'SegEnds_NonXtal_Prot#'!$A:$AL,21,FALSE)</f>
        <v>120</v>
      </c>
      <c r="Y404" s="5" t="str">
        <f>VLOOKUP($A404,'SegEnds_NonXtal_Prot#'!$A:$AL,24,FALSE)</f>
        <v>-</v>
      </c>
      <c r="Z404" s="5">
        <f>VLOOKUP($A404,'SegEnds_NonXtal_Prot#'!$A:$AL,27,FALSE)</f>
        <v>162</v>
      </c>
      <c r="AA404" s="5">
        <f>VLOOKUP($A404,'SegEnds_NonXtal_Prot#'!$A:$AL,30,FALSE)</f>
        <v>212</v>
      </c>
      <c r="AB404" s="5">
        <f>VLOOKUP($A404,'SegEnds_NonXtal_Prot#'!$A:$AL,33,FALSE)</f>
        <v>250</v>
      </c>
      <c r="AC404" s="5">
        <f>VLOOKUP($A404,'SegEnds_NonXtal_Prot#'!$A:$AL,36,FALSE)</f>
        <v>276</v>
      </c>
      <c r="AD404" s="5">
        <f>VLOOKUP($A404,'SegEnds_NonXtal_Prot#'!$A:$AL,5,FALSE)</f>
        <v>36</v>
      </c>
      <c r="AE404" s="5">
        <f>VLOOKUP($A404,'SegEnds_NonXtal_Prot#'!$A:$AL,8,FALSE)</f>
        <v>40</v>
      </c>
      <c r="AF404" s="5">
        <f>VLOOKUP($A404,'SegEnds_NonXtal_Prot#'!$A:$AL,11,FALSE)</f>
        <v>71</v>
      </c>
      <c r="AG404" s="5" t="str">
        <f>VLOOKUP($A404,'SegEnds_NonXtal_Prot#'!$A:$AL,14,FALSE)</f>
        <v>-</v>
      </c>
      <c r="AH404" s="5">
        <f>VLOOKUP($A404,'SegEnds_NonXtal_Prot#'!$A:$AL,17,FALSE)</f>
        <v>109</v>
      </c>
      <c r="AI404" s="5">
        <f>VLOOKUP($A404,'SegEnds_NonXtal_Prot#'!$A:$AL,20,FALSE)</f>
        <v>119</v>
      </c>
      <c r="AJ404" s="5">
        <f>VLOOKUP($A404,'SegEnds_NonXtal_Prot#'!$A:$AL,23,FALSE)</f>
        <v>144</v>
      </c>
      <c r="AK404" s="5" t="str">
        <f>VLOOKUP($A404,'SegEnds_NonXtal_Prot#'!$A:$AL,26,FALSE)</f>
        <v>-</v>
      </c>
      <c r="AL404" s="5">
        <f>VLOOKUP($A404,'SegEnds_NonXtal_Prot#'!$A:$AL,29,FALSE)</f>
        <v>202</v>
      </c>
      <c r="AM404" s="5">
        <f>VLOOKUP($A404,'SegEnds_NonXtal_Prot#'!$A:$AL,32,FALSE)</f>
        <v>244</v>
      </c>
      <c r="AN404" s="5">
        <f>VLOOKUP($A404,'SegEnds_NonXtal_Prot#'!$A:$AL,35,FALSE)</f>
        <v>275</v>
      </c>
      <c r="AO404" s="5">
        <f>VLOOKUP($A404,'SegEnds_NonXtal_Prot#'!$A:$AL,38,FALSE)</f>
        <v>289</v>
      </c>
      <c r="AP404" s="5">
        <f t="shared" si="163"/>
        <v>30</v>
      </c>
      <c r="AQ404" s="4">
        <f t="shared" si="164"/>
        <v>3</v>
      </c>
      <c r="AR404" s="4">
        <f t="shared" si="165"/>
        <v>30</v>
      </c>
      <c r="AS404" s="4" t="str">
        <f t="shared" si="166"/>
        <v>-</v>
      </c>
      <c r="AT404" s="4">
        <f t="shared" si="167"/>
        <v>32</v>
      </c>
      <c r="AU404" s="4">
        <f t="shared" si="168"/>
        <v>7</v>
      </c>
      <c r="AV404" s="4">
        <f t="shared" si="169"/>
        <v>24</v>
      </c>
      <c r="AW404" s="4" t="str">
        <f t="shared" si="170"/>
        <v>-</v>
      </c>
      <c r="AX404" s="4">
        <f t="shared" si="171"/>
        <v>40</v>
      </c>
      <c r="AY404" s="4">
        <f t="shared" si="172"/>
        <v>32</v>
      </c>
      <c r="AZ404" s="4">
        <f t="shared" si="173"/>
        <v>25</v>
      </c>
      <c r="BA404" s="4">
        <f t="shared" si="174"/>
        <v>13</v>
      </c>
    </row>
    <row r="405" spans="1:53" x14ac:dyDescent="0.2">
      <c r="A405" s="1" t="str">
        <f>'SegEnds_NonXtal_Prot#'!A414</f>
        <v>ta2r7_human</v>
      </c>
      <c r="B405" s="1" t="str">
        <f t="shared" si="150"/>
        <v>QTTLLFLAVGEFSVGILGNAFIGLVNCMDWVIASIDLILTSLAISRICLLCVILLDCFILVLYTGKEMRIIDFFWTLTNHLSIWFATCLSIYYFFKIGNWRIDRVISWILLGCVVLSVFISLPANKTQHASTKLFLNLATLLPFCVCLMSFFLLILSLRRHIRRMPSTEAHVRALKAVISFLLLFIAYYLSFLIATSSTELAVIFGESIALIYPSSHSFILILGNNKLRHASLKVIWK</v>
      </c>
      <c r="C405" s="29" t="str">
        <f>IF(ISERROR(MATCH(A405,'SegEnds_Xtal_Prot#'!B:B, 0)), "NoXtal", "Xtal")</f>
        <v>NoXtal</v>
      </c>
      <c r="D405" s="4" t="str">
        <f>VLOOKUP(A405,Classification!A:D,2,FALSE)</f>
        <v>T</v>
      </c>
      <c r="E405" s="5" t="str">
        <f>VLOOKUP(A405,Seqs!A:B,2,FALSE)</f>
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</c>
      <c r="F405" s="5" t="str">
        <f t="shared" si="151"/>
        <v>QTTLLFLAVGEFSVGILGNAFIGLVNCMDWV</v>
      </c>
      <c r="G405" s="4" t="str">
        <f t="shared" si="152"/>
        <v>KKRK</v>
      </c>
      <c r="H405" s="4" t="str">
        <f t="shared" si="153"/>
        <v>IASIDLILTSLAISRICLLCVILLDCFILVLY</v>
      </c>
      <c r="I405" s="4" t="str">
        <f t="shared" si="154"/>
        <v/>
      </c>
      <c r="J405" s="4" t="str">
        <f t="shared" si="155"/>
        <v>TGKEMRIIDFFWTLTNHLSIWFATCLSIYYFFKIGN</v>
      </c>
      <c r="K405" s="4" t="str">
        <f t="shared" si="156"/>
        <v>HPLFLWMK</v>
      </c>
      <c r="L405" s="4" t="str">
        <f t="shared" si="157"/>
        <v>WRIDRVISWILLGCVVLSVFISLPA</v>
      </c>
      <c r="M405" s="4" t="str">
        <f t="shared" si="158"/>
        <v/>
      </c>
      <c r="N405" s="4" t="str">
        <f t="shared" si="159"/>
        <v>NKTQHASTKLFLNLATLLPFCVCLMSFFLLILSLRRHIRRM</v>
      </c>
      <c r="O405" s="4" t="str">
        <f t="shared" si="160"/>
        <v>PSTEAHVRALKAVISFLLLFIAYYLSFLIATSS</v>
      </c>
      <c r="P405" s="4" t="str">
        <f t="shared" si="161"/>
        <v>TELAVIFGESIALIYPSSHSFILILG</v>
      </c>
      <c r="Q405" s="4" t="str">
        <f t="shared" si="162"/>
        <v>NNKLRHASLKVIWK</v>
      </c>
      <c r="R405" s="5">
        <f>VLOOKUP($A405,'SegEnds_NonXtal_Prot#'!$A:$AL,3,FALSE)</f>
        <v>6</v>
      </c>
      <c r="S405" s="5">
        <f>VLOOKUP($A405,'SegEnds_NonXtal_Prot#'!$A:$AL,6,FALSE)</f>
        <v>37</v>
      </c>
      <c r="T405" s="5">
        <f>VLOOKUP($A405,'SegEnds_NonXtal_Prot#'!$A:$AL,9,FALSE)</f>
        <v>41</v>
      </c>
      <c r="U405" s="5" t="str">
        <f>VLOOKUP($A405,'SegEnds_NonXtal_Prot#'!$A:$AL,12,FALSE)</f>
        <v>-</v>
      </c>
      <c r="V405" s="5">
        <f>VLOOKUP($A405,'SegEnds_NonXtal_Prot#'!$A:$AL,15,FALSE)</f>
        <v>78</v>
      </c>
      <c r="W405" s="5">
        <f>VLOOKUP($A405,'SegEnds_NonXtal_Prot#'!$A:$AL,18,FALSE)</f>
        <v>116</v>
      </c>
      <c r="X405" s="5">
        <f>VLOOKUP($A405,'SegEnds_NonXtal_Prot#'!$A:$AL,21,FALSE)</f>
        <v>124</v>
      </c>
      <c r="Y405" s="5" t="str">
        <f>VLOOKUP($A405,'SegEnds_NonXtal_Prot#'!$A:$AL,24,FALSE)</f>
        <v>-</v>
      </c>
      <c r="Z405" s="5">
        <f>VLOOKUP($A405,'SegEnds_NonXtal_Prot#'!$A:$AL,27,FALSE)</f>
        <v>175</v>
      </c>
      <c r="AA405" s="5">
        <f>VLOOKUP($A405,'SegEnds_NonXtal_Prot#'!$A:$AL,30,FALSE)</f>
        <v>225</v>
      </c>
      <c r="AB405" s="5">
        <f>VLOOKUP($A405,'SegEnds_NonXtal_Prot#'!$A:$AL,33,FALSE)</f>
        <v>263</v>
      </c>
      <c r="AC405" s="5">
        <f>VLOOKUP($A405,'SegEnds_NonXtal_Prot#'!$A:$AL,36,FALSE)</f>
        <v>289</v>
      </c>
      <c r="AD405" s="5">
        <f>VLOOKUP($A405,'SegEnds_NonXtal_Prot#'!$A:$AL,5,FALSE)</f>
        <v>36</v>
      </c>
      <c r="AE405" s="5">
        <f>VLOOKUP($A405,'SegEnds_NonXtal_Prot#'!$A:$AL,8,FALSE)</f>
        <v>40</v>
      </c>
      <c r="AF405" s="5">
        <f>VLOOKUP($A405,'SegEnds_NonXtal_Prot#'!$A:$AL,11,FALSE)</f>
        <v>72</v>
      </c>
      <c r="AG405" s="5" t="str">
        <f>VLOOKUP($A405,'SegEnds_NonXtal_Prot#'!$A:$AL,14,FALSE)</f>
        <v>-</v>
      </c>
      <c r="AH405" s="5">
        <f>VLOOKUP($A405,'SegEnds_NonXtal_Prot#'!$A:$AL,17,FALSE)</f>
        <v>113</v>
      </c>
      <c r="AI405" s="5">
        <f>VLOOKUP($A405,'SegEnds_NonXtal_Prot#'!$A:$AL,20,FALSE)</f>
        <v>123</v>
      </c>
      <c r="AJ405" s="5">
        <f>VLOOKUP($A405,'SegEnds_NonXtal_Prot#'!$A:$AL,23,FALSE)</f>
        <v>148</v>
      </c>
      <c r="AK405" s="5" t="str">
        <f>VLOOKUP($A405,'SegEnds_NonXtal_Prot#'!$A:$AL,26,FALSE)</f>
        <v>-</v>
      </c>
      <c r="AL405" s="5">
        <f>VLOOKUP($A405,'SegEnds_NonXtal_Prot#'!$A:$AL,29,FALSE)</f>
        <v>215</v>
      </c>
      <c r="AM405" s="5">
        <f>VLOOKUP($A405,'SegEnds_NonXtal_Prot#'!$A:$AL,32,FALSE)</f>
        <v>257</v>
      </c>
      <c r="AN405" s="5">
        <f>VLOOKUP($A405,'SegEnds_NonXtal_Prot#'!$A:$AL,35,FALSE)</f>
        <v>288</v>
      </c>
      <c r="AO405" s="5">
        <f>VLOOKUP($A405,'SegEnds_NonXtal_Prot#'!$A:$AL,38,FALSE)</f>
        <v>302</v>
      </c>
      <c r="AP405" s="5">
        <f t="shared" si="163"/>
        <v>30</v>
      </c>
      <c r="AQ405" s="4">
        <f t="shared" si="164"/>
        <v>3</v>
      </c>
      <c r="AR405" s="4">
        <f t="shared" si="165"/>
        <v>31</v>
      </c>
      <c r="AS405" s="4" t="str">
        <f t="shared" si="166"/>
        <v>-</v>
      </c>
      <c r="AT405" s="4">
        <f t="shared" si="167"/>
        <v>35</v>
      </c>
      <c r="AU405" s="4">
        <f t="shared" si="168"/>
        <v>7</v>
      </c>
      <c r="AV405" s="4">
        <f t="shared" si="169"/>
        <v>24</v>
      </c>
      <c r="AW405" s="4" t="str">
        <f t="shared" si="170"/>
        <v>-</v>
      </c>
      <c r="AX405" s="4">
        <f t="shared" si="171"/>
        <v>40</v>
      </c>
      <c r="AY405" s="4">
        <f t="shared" si="172"/>
        <v>32</v>
      </c>
      <c r="AZ405" s="4">
        <f t="shared" si="173"/>
        <v>25</v>
      </c>
      <c r="BA405" s="4">
        <f t="shared" si="174"/>
        <v>13</v>
      </c>
    </row>
    <row r="406" spans="1:53" x14ac:dyDescent="0.2">
      <c r="A406" s="1" t="str">
        <f>'SegEnds_NonXtal_Prot#'!A415</f>
        <v>ta2r8_human</v>
      </c>
      <c r="B406" s="1" t="str">
        <f t="shared" si="150"/>
        <v>DNIFIILITGEFILGILGNGYIALVNWIDWIISTVDYILTNLVIARICLISVMVVNGIVIVLVYTKNKQQIVIFTFWTFANYLNMWITTCLNVFYFLKIASWKIDMVVHWILLGCFAISLLVSLIASKIPYFEPLTLFNLFAIVPFIVSLISFFLLVRSLWRHTKQIPSTEVHVRAIKTMTSFIFFFFLYYISSILMTFSYKLAVEFGEIAAILYPLGHSLILIVLNNKLRQTFVRMLTC</v>
      </c>
      <c r="C406" s="29" t="str">
        <f>IF(ISERROR(MATCH(A406,'SegEnds_Xtal_Prot#'!B:B, 0)), "NoXtal", "Xtal")</f>
        <v>NoXtal</v>
      </c>
      <c r="D406" s="4" t="str">
        <f>VLOOKUP(A406,Classification!A:D,2,FALSE)</f>
        <v>T</v>
      </c>
      <c r="E406" s="5" t="str">
        <f>VLOOKUP(A406,Seqs!A:B,2,FALSE)</f>
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</c>
      <c r="F406" s="5" t="str">
        <f t="shared" si="151"/>
        <v>DNIFIILITGEFILGILGNGYIALVNWIDWI</v>
      </c>
      <c r="G406" s="4" t="str">
        <f t="shared" si="152"/>
        <v>KKKK</v>
      </c>
      <c r="H406" s="4" t="str">
        <f t="shared" si="153"/>
        <v>ISTVDYILTNLVIARICLISVMVVNGIVIVL</v>
      </c>
      <c r="I406" s="4" t="str">
        <f t="shared" si="154"/>
        <v/>
      </c>
      <c r="J406" s="4" t="str">
        <f t="shared" si="155"/>
        <v>VYTKNKQQIVIFTFWTFANYLNMWITTCLNVFYFLKIAS</v>
      </c>
      <c r="K406" s="4" t="str">
        <f t="shared" si="156"/>
        <v>HPLFLWLK</v>
      </c>
      <c r="L406" s="4" t="str">
        <f t="shared" si="157"/>
        <v>WKIDMVVHWILLGCFAISLLVSLIA</v>
      </c>
      <c r="M406" s="4" t="str">
        <f t="shared" si="158"/>
        <v/>
      </c>
      <c r="N406" s="4" t="str">
        <f t="shared" si="159"/>
        <v>SKIPYFEPLTLFNLFAIVPFIVSLISFFLLVRSLWRHTKQI</v>
      </c>
      <c r="O406" s="4" t="str">
        <f t="shared" si="160"/>
        <v>PSTEVHVRAIKTMTSFIFFFFLYYISSILMTFS</v>
      </c>
      <c r="P406" s="4" t="str">
        <f t="shared" si="161"/>
        <v>YKLAVEFGEIAAILYPLGHSLILIVL</v>
      </c>
      <c r="Q406" s="4" t="str">
        <f t="shared" si="162"/>
        <v>NNKLRQTFVRMLTC</v>
      </c>
      <c r="R406" s="5">
        <f>VLOOKUP($A406,'SegEnds_NonXtal_Prot#'!$A:$AL,3,FALSE)</f>
        <v>6</v>
      </c>
      <c r="S406" s="5">
        <f>VLOOKUP($A406,'SegEnds_NonXtal_Prot#'!$A:$AL,6,FALSE)</f>
        <v>37</v>
      </c>
      <c r="T406" s="5">
        <f>VLOOKUP($A406,'SegEnds_NonXtal_Prot#'!$A:$AL,9,FALSE)</f>
        <v>41</v>
      </c>
      <c r="U406" s="5" t="str">
        <f>VLOOKUP($A406,'SegEnds_NonXtal_Prot#'!$A:$AL,12,FALSE)</f>
        <v>-</v>
      </c>
      <c r="V406" s="5">
        <f>VLOOKUP($A406,'SegEnds_NonXtal_Prot#'!$A:$AL,15,FALSE)</f>
        <v>75</v>
      </c>
      <c r="W406" s="5">
        <f>VLOOKUP($A406,'SegEnds_NonXtal_Prot#'!$A:$AL,18,FALSE)</f>
        <v>116</v>
      </c>
      <c r="X406" s="5">
        <f>VLOOKUP($A406,'SegEnds_NonXtal_Prot#'!$A:$AL,21,FALSE)</f>
        <v>124</v>
      </c>
      <c r="Y406" s="5" t="str">
        <f>VLOOKUP($A406,'SegEnds_NonXtal_Prot#'!$A:$AL,24,FALSE)</f>
        <v>-</v>
      </c>
      <c r="Z406" s="5">
        <f>VLOOKUP($A406,'SegEnds_NonXtal_Prot#'!$A:$AL,27,FALSE)</f>
        <v>175</v>
      </c>
      <c r="AA406" s="5">
        <f>VLOOKUP($A406,'SegEnds_NonXtal_Prot#'!$A:$AL,30,FALSE)</f>
        <v>225</v>
      </c>
      <c r="AB406" s="5">
        <f>VLOOKUP($A406,'SegEnds_NonXtal_Prot#'!$A:$AL,33,FALSE)</f>
        <v>263</v>
      </c>
      <c r="AC406" s="5">
        <f>VLOOKUP($A406,'SegEnds_NonXtal_Prot#'!$A:$AL,36,FALSE)</f>
        <v>289</v>
      </c>
      <c r="AD406" s="5">
        <f>VLOOKUP($A406,'SegEnds_NonXtal_Prot#'!$A:$AL,5,FALSE)</f>
        <v>36</v>
      </c>
      <c r="AE406" s="5">
        <f>VLOOKUP($A406,'SegEnds_NonXtal_Prot#'!$A:$AL,8,FALSE)</f>
        <v>40</v>
      </c>
      <c r="AF406" s="5">
        <f>VLOOKUP($A406,'SegEnds_NonXtal_Prot#'!$A:$AL,11,FALSE)</f>
        <v>71</v>
      </c>
      <c r="AG406" s="5" t="str">
        <f>VLOOKUP($A406,'SegEnds_NonXtal_Prot#'!$A:$AL,14,FALSE)</f>
        <v>-</v>
      </c>
      <c r="AH406" s="5">
        <f>VLOOKUP($A406,'SegEnds_NonXtal_Prot#'!$A:$AL,17,FALSE)</f>
        <v>113</v>
      </c>
      <c r="AI406" s="5">
        <f>VLOOKUP($A406,'SegEnds_NonXtal_Prot#'!$A:$AL,20,FALSE)</f>
        <v>123</v>
      </c>
      <c r="AJ406" s="5">
        <f>VLOOKUP($A406,'SegEnds_NonXtal_Prot#'!$A:$AL,23,FALSE)</f>
        <v>148</v>
      </c>
      <c r="AK406" s="5" t="str">
        <f>VLOOKUP($A406,'SegEnds_NonXtal_Prot#'!$A:$AL,26,FALSE)</f>
        <v>-</v>
      </c>
      <c r="AL406" s="5">
        <f>VLOOKUP($A406,'SegEnds_NonXtal_Prot#'!$A:$AL,29,FALSE)</f>
        <v>215</v>
      </c>
      <c r="AM406" s="5">
        <f>VLOOKUP($A406,'SegEnds_NonXtal_Prot#'!$A:$AL,32,FALSE)</f>
        <v>257</v>
      </c>
      <c r="AN406" s="5">
        <f>VLOOKUP($A406,'SegEnds_NonXtal_Prot#'!$A:$AL,35,FALSE)</f>
        <v>288</v>
      </c>
      <c r="AO406" s="5">
        <f>VLOOKUP($A406,'SegEnds_NonXtal_Prot#'!$A:$AL,38,FALSE)</f>
        <v>302</v>
      </c>
      <c r="AP406" s="5">
        <f t="shared" si="163"/>
        <v>30</v>
      </c>
      <c r="AQ406" s="4">
        <f t="shared" si="164"/>
        <v>3</v>
      </c>
      <c r="AR406" s="4">
        <f t="shared" si="165"/>
        <v>30</v>
      </c>
      <c r="AS406" s="4" t="str">
        <f t="shared" si="166"/>
        <v>-</v>
      </c>
      <c r="AT406" s="4">
        <f t="shared" si="167"/>
        <v>38</v>
      </c>
      <c r="AU406" s="4">
        <f t="shared" si="168"/>
        <v>7</v>
      </c>
      <c r="AV406" s="4">
        <f t="shared" si="169"/>
        <v>24</v>
      </c>
      <c r="AW406" s="4" t="str">
        <f t="shared" si="170"/>
        <v>-</v>
      </c>
      <c r="AX406" s="4">
        <f t="shared" si="171"/>
        <v>40</v>
      </c>
      <c r="AY406" s="4">
        <f t="shared" si="172"/>
        <v>32</v>
      </c>
      <c r="AZ406" s="4">
        <f t="shared" si="173"/>
        <v>25</v>
      </c>
      <c r="BA406" s="4">
        <f t="shared" si="174"/>
        <v>13</v>
      </c>
    </row>
  </sheetData>
  <sortState xmlns:xlrd2="http://schemas.microsoft.com/office/spreadsheetml/2017/richdata2" ref="A2:BA408">
    <sortCondition descending="1" ref="C2:C408"/>
  </sortState>
  <customSheetViews>
    <customSheetView guid="{3E3401AF-8459-8641-BD70-AD04F80E86ED}" scale="135">
      <pane ySplit="1" topLeftCell="A2" activePane="bottomLeft" state="frozenSplit"/>
      <selection pane="bottomLeft" activeCell="B2" sqref="B2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</sheetPr>
  <dimension ref="A1:L435"/>
  <sheetViews>
    <sheetView workbookViewId="0">
      <selection activeCell="A192" sqref="A192"/>
    </sheetView>
  </sheetViews>
  <sheetFormatPr baseColWidth="10" defaultColWidth="10.83203125" defaultRowHeight="16" x14ac:dyDescent="0.2"/>
  <cols>
    <col min="1" max="1" width="15.1640625" style="1" bestFit="1" customWidth="1"/>
    <col min="2" max="2" width="12.83203125" style="1" bestFit="1" customWidth="1"/>
    <col min="3" max="3" width="14.6640625" style="1" bestFit="1" customWidth="1"/>
    <col min="4" max="4" width="10.83203125" style="28"/>
    <col min="5" max="5" width="10.83203125" style="49"/>
    <col min="6" max="6" width="16.1640625" style="15" bestFit="1" customWidth="1"/>
    <col min="7" max="7" width="8.33203125" style="15" customWidth="1"/>
    <col min="8" max="8" width="10.83203125" style="1"/>
    <col min="9" max="9" width="13.33203125" style="1" bestFit="1" customWidth="1"/>
    <col min="10" max="10" width="13.33203125" style="1" customWidth="1"/>
    <col min="11" max="12" width="13" style="1" customWidth="1"/>
    <col min="13" max="13" width="12.83203125" style="1" bestFit="1" customWidth="1"/>
    <col min="14" max="16384" width="10.83203125" style="1"/>
  </cols>
  <sheetData>
    <row r="1" spans="1:12" s="32" customFormat="1" x14ac:dyDescent="0.2">
      <c r="A1" s="32" t="s">
        <v>1151</v>
      </c>
      <c r="B1" s="32" t="s">
        <v>1109</v>
      </c>
      <c r="C1" s="32" t="s">
        <v>1397</v>
      </c>
      <c r="D1" s="33" t="s">
        <v>1221</v>
      </c>
      <c r="E1" s="32" t="s">
        <v>1398</v>
      </c>
      <c r="F1" s="32" t="s">
        <v>1399</v>
      </c>
      <c r="G1" s="85" t="s">
        <v>1362</v>
      </c>
      <c r="H1" s="32" t="s">
        <v>1487</v>
      </c>
    </row>
    <row r="2" spans="1:12" s="10" customFormat="1" x14ac:dyDescent="0.2">
      <c r="A2" s="3" t="s">
        <v>466</v>
      </c>
      <c r="B2" s="3" t="s">
        <v>335</v>
      </c>
      <c r="C2" t="s">
        <v>34</v>
      </c>
      <c r="D2" s="28" t="str">
        <f>VLOOKUP(A2,Classification!$A:$D,2,FALSE)</f>
        <v>T</v>
      </c>
      <c r="E2" s="49" t="str">
        <f>VLOOKUP(B2,Classification!$A:$D,2,FALSE)</f>
        <v>A</v>
      </c>
      <c r="F2" s="15" t="str">
        <f>VLOOKUP(C2,Classification!$A:$D,2,FALSE)</f>
        <v>A</v>
      </c>
      <c r="G2" s="15" t="b">
        <f>OR(D2=F2,AND(D2="T",F2="A"),AND(D2="B2",F2="B1"),D2="O")</f>
        <v>1</v>
      </c>
      <c r="H2" s="10" t="str">
        <f>IF(ISERROR(MATCH(A2,'SegEnds_Xtal_Prot#'!B:B, 0)), "NoXtal", "Xtal")</f>
        <v>NoXtal</v>
      </c>
      <c r="I2" s="1"/>
      <c r="J2" s="3"/>
      <c r="K2" s="3"/>
      <c r="L2" s="3"/>
    </row>
    <row r="3" spans="1:12" x14ac:dyDescent="0.2">
      <c r="A3" s="3" t="s">
        <v>451</v>
      </c>
      <c r="B3" s="1" t="s">
        <v>132</v>
      </c>
      <c r="C3" t="s">
        <v>35</v>
      </c>
      <c r="D3" s="28" t="str">
        <f>VLOOKUP(A3,Classification!$A:$D,2,FALSE)</f>
        <v>T</v>
      </c>
      <c r="E3" s="49" t="str">
        <f>VLOOKUP(B3,Classification!$A:$D,2,FALSE)</f>
        <v>A</v>
      </c>
      <c r="F3" s="15" t="str">
        <f>VLOOKUP(C3,Classification!$A:$D,2,FALSE)</f>
        <v>A</v>
      </c>
      <c r="G3" s="15" t="b">
        <f t="shared" ref="G3:G66" si="0">OR(D3=F3,AND(D3="T",F3="A"),AND(D3="B2",F3="B1"),D3="O")</f>
        <v>1</v>
      </c>
      <c r="H3" s="10" t="str">
        <f>IF(ISERROR(MATCH(A3,'SegEnds_Xtal_Prot#'!B:B, 0)), "NoXtal", "Xtal")</f>
        <v>NoXtal</v>
      </c>
      <c r="J3" s="3"/>
    </row>
    <row r="4" spans="1:12" x14ac:dyDescent="0.2">
      <c r="A4" s="3" t="s">
        <v>470</v>
      </c>
      <c r="B4" s="1" t="s">
        <v>34</v>
      </c>
      <c r="C4" t="s">
        <v>147</v>
      </c>
      <c r="D4" s="28" t="str">
        <f>VLOOKUP(A4,Classification!$A:$D,2,FALSE)</f>
        <v>T</v>
      </c>
      <c r="E4" s="49" t="str">
        <f>VLOOKUP(B4,Classification!$A:$D,2,FALSE)</f>
        <v>A</v>
      </c>
      <c r="F4" s="15" t="str">
        <f>VLOOKUP(C4,Classification!$A:$D,2,FALSE)</f>
        <v>A</v>
      </c>
      <c r="G4" s="15" t="b">
        <f t="shared" si="0"/>
        <v>1</v>
      </c>
      <c r="H4" s="10" t="str">
        <f>IF(ISERROR(MATCH(A4,'SegEnds_Xtal_Prot#'!B:B, 0)), "NoXtal", "Xtal")</f>
        <v>NoXtal</v>
      </c>
      <c r="J4" s="3"/>
    </row>
    <row r="5" spans="1:12" x14ac:dyDescent="0.2">
      <c r="A5" s="3" t="s">
        <v>459</v>
      </c>
      <c r="B5" s="1" t="s">
        <v>158</v>
      </c>
      <c r="C5" t="s">
        <v>903</v>
      </c>
      <c r="D5" s="28" t="str">
        <f>VLOOKUP(A5,Classification!$A:$D,2,FALSE)</f>
        <v>T</v>
      </c>
      <c r="E5" s="49" t="str">
        <f>VLOOKUP(B5,Classification!$A:$D,2,FALSE)</f>
        <v>A</v>
      </c>
      <c r="F5" s="15" t="str">
        <f>VLOOKUP(C5,Classification!$A:$D,2,FALSE)</f>
        <v>A</v>
      </c>
      <c r="G5" s="15" t="b">
        <f t="shared" si="0"/>
        <v>1</v>
      </c>
      <c r="H5" s="10" t="str">
        <f>IF(ISERROR(MATCH(A5,'SegEnds_Xtal_Prot#'!B:B, 0)), "NoXtal", "Xtal")</f>
        <v>NoXtal</v>
      </c>
      <c r="J5" s="3"/>
    </row>
    <row r="6" spans="1:12" x14ac:dyDescent="0.2">
      <c r="A6" s="3" t="s">
        <v>479</v>
      </c>
      <c r="B6" s="1" t="s">
        <v>139</v>
      </c>
      <c r="C6" t="s">
        <v>158</v>
      </c>
      <c r="D6" s="28" t="str">
        <f>VLOOKUP(A6,Classification!$A:$D,2,FALSE)</f>
        <v>O</v>
      </c>
      <c r="E6" s="49" t="str">
        <f>VLOOKUP(B6,Classification!$A:$D,2,FALSE)</f>
        <v>A</v>
      </c>
      <c r="F6" s="15" t="str">
        <f>VLOOKUP(C6,Classification!$A:$D,2,FALSE)</f>
        <v>A</v>
      </c>
      <c r="G6" s="15" t="b">
        <f t="shared" si="0"/>
        <v>1</v>
      </c>
      <c r="H6" s="10" t="str">
        <f>IF(ISERROR(MATCH(A6,'SegEnds_Xtal_Prot#'!B:B, 0)), "NoXtal", "Xtal")</f>
        <v>NoXtal</v>
      </c>
      <c r="J6" s="3"/>
    </row>
    <row r="7" spans="1:12" x14ac:dyDescent="0.2">
      <c r="A7" s="3" t="s">
        <v>454</v>
      </c>
      <c r="B7" s="1" t="s">
        <v>133</v>
      </c>
      <c r="C7" t="s">
        <v>158</v>
      </c>
      <c r="D7" s="28" t="str">
        <f>VLOOKUP(A7,Classification!$A:$D,2,FALSE)</f>
        <v>T</v>
      </c>
      <c r="E7" s="49" t="str">
        <f>VLOOKUP(B7,Classification!$A:$D,2,FALSE)</f>
        <v>A</v>
      </c>
      <c r="F7" s="15" t="str">
        <f>VLOOKUP(C7,Classification!$A:$D,2,FALSE)</f>
        <v>A</v>
      </c>
      <c r="G7" s="15" t="b">
        <f t="shared" si="0"/>
        <v>1</v>
      </c>
      <c r="H7" s="10" t="str">
        <f>IF(ISERROR(MATCH(A7,'SegEnds_Xtal_Prot#'!B:B, 0)), "NoXtal", "Xtal")</f>
        <v>NoXtal</v>
      </c>
      <c r="J7" s="3"/>
    </row>
    <row r="8" spans="1:12" x14ac:dyDescent="0.2">
      <c r="A8" s="3" t="s">
        <v>923</v>
      </c>
      <c r="B8" s="1" t="s">
        <v>133</v>
      </c>
      <c r="C8" t="s">
        <v>158</v>
      </c>
      <c r="D8" s="28" t="str">
        <f>VLOOKUP(A8,Classification!$A:$D,2,FALSE)</f>
        <v>T</v>
      </c>
      <c r="E8" s="49" t="str">
        <f>VLOOKUP(B8,Classification!$A:$D,2,FALSE)</f>
        <v>A</v>
      </c>
      <c r="F8" s="15" t="str">
        <f>VLOOKUP(C8,Classification!$A:$D,2,FALSE)</f>
        <v>A</v>
      </c>
      <c r="G8" s="15" t="b">
        <f t="shared" si="0"/>
        <v>1</v>
      </c>
      <c r="H8" s="10" t="str">
        <f>IF(ISERROR(MATCH(A8,'SegEnds_Xtal_Prot#'!B:B, 0)), "NoXtal", "Xtal")</f>
        <v>NoXtal</v>
      </c>
      <c r="J8" s="3"/>
    </row>
    <row r="9" spans="1:12" x14ac:dyDescent="0.2">
      <c r="A9" s="3" t="s">
        <v>465</v>
      </c>
      <c r="B9" s="1" t="s">
        <v>191</v>
      </c>
      <c r="C9" t="s">
        <v>158</v>
      </c>
      <c r="D9" s="28" t="str">
        <f>VLOOKUP(A9,Classification!$A:$D,2,FALSE)</f>
        <v>T</v>
      </c>
      <c r="E9" s="49" t="str">
        <f>VLOOKUP(B9,Classification!$A:$D,2,FALSE)</f>
        <v>A</v>
      </c>
      <c r="F9" s="15" t="str">
        <f>VLOOKUP(C9,Classification!$A:$D,2,FALSE)</f>
        <v>A</v>
      </c>
      <c r="G9" s="15" t="b">
        <f t="shared" si="0"/>
        <v>1</v>
      </c>
      <c r="H9" s="10" t="str">
        <f>IF(ISERROR(MATCH(A9,'SegEnds_Xtal_Prot#'!B:B, 0)), "NoXtal", "Xtal")</f>
        <v>NoXtal</v>
      </c>
      <c r="J9" s="3"/>
    </row>
    <row r="10" spans="1:12" x14ac:dyDescent="0.2">
      <c r="A10" s="3" t="s">
        <v>461</v>
      </c>
      <c r="B10" s="1" t="s">
        <v>191</v>
      </c>
      <c r="C10" t="s">
        <v>158</v>
      </c>
      <c r="D10" s="28" t="str">
        <f>VLOOKUP(A10,Classification!$A:$D,2,FALSE)</f>
        <v>T</v>
      </c>
      <c r="E10" s="49" t="str">
        <f>VLOOKUP(B10,Classification!$A:$D,2,FALSE)</f>
        <v>A</v>
      </c>
      <c r="F10" s="15" t="str">
        <f>VLOOKUP(C10,Classification!$A:$D,2,FALSE)</f>
        <v>A</v>
      </c>
      <c r="G10" s="15" t="b">
        <f t="shared" si="0"/>
        <v>1</v>
      </c>
      <c r="H10" s="10" t="str">
        <f>IF(ISERROR(MATCH(A10,'SegEnds_Xtal_Prot#'!B:B, 0)), "NoXtal", "Xtal")</f>
        <v>NoXtal</v>
      </c>
      <c r="J10" s="3"/>
    </row>
    <row r="11" spans="1:12" x14ac:dyDescent="0.2">
      <c r="A11" s="3" t="s">
        <v>473</v>
      </c>
      <c r="B11" s="1" t="s">
        <v>191</v>
      </c>
      <c r="C11" t="s">
        <v>158</v>
      </c>
      <c r="D11" s="28" t="str">
        <f>VLOOKUP(A11,Classification!$A:$D,2,FALSE)</f>
        <v>T</v>
      </c>
      <c r="E11" s="49" t="str">
        <f>VLOOKUP(B11,Classification!$A:$D,2,FALSE)</f>
        <v>A</v>
      </c>
      <c r="F11" s="15" t="str">
        <f>VLOOKUP(C11,Classification!$A:$D,2,FALSE)</f>
        <v>A</v>
      </c>
      <c r="G11" s="15" t="b">
        <f t="shared" si="0"/>
        <v>1</v>
      </c>
      <c r="H11" s="10" t="str">
        <f>IF(ISERROR(MATCH(A11,'SegEnds_Xtal_Prot#'!B:B, 0)), "NoXtal", "Xtal")</f>
        <v>NoXtal</v>
      </c>
      <c r="J11" s="3"/>
    </row>
    <row r="12" spans="1:12" x14ac:dyDescent="0.2">
      <c r="A12" s="3" t="s">
        <v>455</v>
      </c>
      <c r="B12" s="1" t="s">
        <v>133</v>
      </c>
      <c r="C12" t="s">
        <v>158</v>
      </c>
      <c r="D12" s="28" t="str">
        <f>VLOOKUP(A12,Classification!$A:$D,2,FALSE)</f>
        <v>T</v>
      </c>
      <c r="E12" s="49" t="str">
        <f>VLOOKUP(B12,Classification!$A:$D,2,FALSE)</f>
        <v>A</v>
      </c>
      <c r="F12" s="15" t="str">
        <f>VLOOKUP(C12,Classification!$A:$D,2,FALSE)</f>
        <v>A</v>
      </c>
      <c r="G12" s="15" t="b">
        <f t="shared" si="0"/>
        <v>1</v>
      </c>
      <c r="H12" s="10" t="str">
        <f>IF(ISERROR(MATCH(A12,'SegEnds_Xtal_Prot#'!B:B, 0)), "NoXtal", "Xtal")</f>
        <v>NoXtal</v>
      </c>
      <c r="J12" s="3"/>
    </row>
    <row r="13" spans="1:12" x14ac:dyDescent="0.2">
      <c r="A13" s="3" t="s">
        <v>457</v>
      </c>
      <c r="B13" s="1" t="s">
        <v>158</v>
      </c>
      <c r="C13" t="s">
        <v>158</v>
      </c>
      <c r="D13" s="28" t="str">
        <f>VLOOKUP(A13,Classification!$A:$D,2,FALSE)</f>
        <v>T</v>
      </c>
      <c r="E13" s="49" t="str">
        <f>VLOOKUP(B13,Classification!$A:$D,2,FALSE)</f>
        <v>A</v>
      </c>
      <c r="F13" s="15" t="str">
        <f>VLOOKUP(C13,Classification!$A:$D,2,FALSE)</f>
        <v>A</v>
      </c>
      <c r="G13" s="15" t="b">
        <f t="shared" si="0"/>
        <v>1</v>
      </c>
      <c r="H13" s="10" t="str">
        <f>IF(ISERROR(MATCH(A13,'SegEnds_Xtal_Prot#'!B:B, 0)), "NoXtal", "Xtal")</f>
        <v>NoXtal</v>
      </c>
      <c r="J13" s="3"/>
    </row>
    <row r="14" spans="1:12" x14ac:dyDescent="0.2">
      <c r="A14" s="3" t="s">
        <v>462</v>
      </c>
      <c r="B14" s="1" t="s">
        <v>277</v>
      </c>
      <c r="C14" t="s">
        <v>158</v>
      </c>
      <c r="D14" s="28" t="str">
        <f>VLOOKUP(A14,Classification!$A:$D,2,FALSE)</f>
        <v>T</v>
      </c>
      <c r="E14" s="49" t="str">
        <f>VLOOKUP(B14,Classification!$A:$D,2,FALSE)</f>
        <v>A</v>
      </c>
      <c r="F14" s="15" t="str">
        <f>VLOOKUP(C14,Classification!$A:$D,2,FALSE)</f>
        <v>A</v>
      </c>
      <c r="G14" s="15" t="b">
        <f t="shared" si="0"/>
        <v>1</v>
      </c>
      <c r="H14" s="10" t="str">
        <f>IF(ISERROR(MATCH(A14,'SegEnds_Xtal_Prot#'!B:B, 0)), "NoXtal", "Xtal")</f>
        <v>NoXtal</v>
      </c>
      <c r="J14" s="3"/>
    </row>
    <row r="15" spans="1:12" x14ac:dyDescent="0.2">
      <c r="A15" s="3" t="s">
        <v>463</v>
      </c>
      <c r="B15" s="1" t="s">
        <v>191</v>
      </c>
      <c r="C15" t="s">
        <v>158</v>
      </c>
      <c r="D15" s="28" t="str">
        <f>VLOOKUP(A15,Classification!$A:$D,2,FALSE)</f>
        <v>T</v>
      </c>
      <c r="E15" s="49" t="str">
        <f>VLOOKUP(B15,Classification!$A:$D,2,FALSE)</f>
        <v>A</v>
      </c>
      <c r="F15" s="15" t="str">
        <f>VLOOKUP(C15,Classification!$A:$D,2,FALSE)</f>
        <v>A</v>
      </c>
      <c r="G15" s="15" t="b">
        <f t="shared" si="0"/>
        <v>1</v>
      </c>
      <c r="H15" s="10" t="str">
        <f>IF(ISERROR(MATCH(A15,'SegEnds_Xtal_Prot#'!B:B, 0)), "NoXtal", "Xtal")</f>
        <v>NoXtal</v>
      </c>
      <c r="J15" s="3"/>
    </row>
    <row r="16" spans="1:12" x14ac:dyDescent="0.2">
      <c r="A16" s="3" t="s">
        <v>464</v>
      </c>
      <c r="B16" s="1" t="s">
        <v>133</v>
      </c>
      <c r="C16" t="s">
        <v>158</v>
      </c>
      <c r="D16" s="28" t="str">
        <f>VLOOKUP(A16,Classification!$A:$D,2,FALSE)</f>
        <v>T</v>
      </c>
      <c r="E16" s="49" t="str">
        <f>VLOOKUP(B16,Classification!$A:$D,2,FALSE)</f>
        <v>A</v>
      </c>
      <c r="F16" s="15" t="str">
        <f>VLOOKUP(C16,Classification!$A:$D,2,FALSE)</f>
        <v>A</v>
      </c>
      <c r="G16" s="15" t="b">
        <f t="shared" si="0"/>
        <v>1</v>
      </c>
      <c r="H16" s="10" t="str">
        <f>IF(ISERROR(MATCH(A16,'SegEnds_Xtal_Prot#'!B:B, 0)), "NoXtal", "Xtal")</f>
        <v>NoXtal</v>
      </c>
      <c r="J16" s="3"/>
    </row>
    <row r="17" spans="1:10" x14ac:dyDescent="0.2">
      <c r="A17" s="3" t="s">
        <v>474</v>
      </c>
      <c r="B17" s="1" t="s">
        <v>158</v>
      </c>
      <c r="C17" t="s">
        <v>158</v>
      </c>
      <c r="D17" s="28" t="str">
        <f>VLOOKUP(A17,Classification!$A:$D,2,FALSE)</f>
        <v>T</v>
      </c>
      <c r="E17" s="49" t="str">
        <f>VLOOKUP(B17,Classification!$A:$D,2,FALSE)</f>
        <v>A</v>
      </c>
      <c r="F17" s="15" t="str">
        <f>VLOOKUP(C17,Classification!$A:$D,2,FALSE)</f>
        <v>A</v>
      </c>
      <c r="G17" s="15" t="b">
        <f t="shared" si="0"/>
        <v>1</v>
      </c>
      <c r="H17" s="10" t="str">
        <f>IF(ISERROR(MATCH(A17,'SegEnds_Xtal_Prot#'!B:B, 0)), "NoXtal", "Xtal")</f>
        <v>NoXtal</v>
      </c>
      <c r="J17" s="3"/>
    </row>
    <row r="18" spans="1:10" x14ac:dyDescent="0.2">
      <c r="A18" s="3" t="s">
        <v>469</v>
      </c>
      <c r="B18" s="1" t="s">
        <v>1165</v>
      </c>
      <c r="C18" t="s">
        <v>158</v>
      </c>
      <c r="D18" s="28" t="str">
        <f>VLOOKUP(A18,Classification!$A:$D,2,FALSE)</f>
        <v>T</v>
      </c>
      <c r="E18" s="49" t="str">
        <f>VLOOKUP(B18,Classification!$A:$D,2,FALSE)</f>
        <v>A</v>
      </c>
      <c r="F18" s="15" t="str">
        <f>VLOOKUP(C18,Classification!$A:$D,2,FALSE)</f>
        <v>A</v>
      </c>
      <c r="G18" s="15" t="b">
        <f t="shared" si="0"/>
        <v>1</v>
      </c>
      <c r="H18" s="10" t="str">
        <f>IF(ISERROR(MATCH(A18,'SegEnds_Xtal_Prot#'!B:B, 0)), "NoXtal", "Xtal")</f>
        <v>NoXtal</v>
      </c>
      <c r="J18" s="3"/>
    </row>
    <row r="19" spans="1:10" x14ac:dyDescent="0.2">
      <c r="A19" s="3" t="s">
        <v>472</v>
      </c>
      <c r="B19" s="1" t="s">
        <v>191</v>
      </c>
      <c r="C19" t="s">
        <v>158</v>
      </c>
      <c r="D19" s="28" t="str">
        <f>VLOOKUP(A19,Classification!$A:$D,2,FALSE)</f>
        <v>T</v>
      </c>
      <c r="E19" s="49" t="str">
        <f>VLOOKUP(B19,Classification!$A:$D,2,FALSE)</f>
        <v>A</v>
      </c>
      <c r="F19" s="15" t="str">
        <f>VLOOKUP(C19,Classification!$A:$D,2,FALSE)</f>
        <v>A</v>
      </c>
      <c r="G19" s="15" t="b">
        <f t="shared" si="0"/>
        <v>1</v>
      </c>
      <c r="H19" s="10" t="str">
        <f>IF(ISERROR(MATCH(A19,'SegEnds_Xtal_Prot#'!B:B, 0)), "NoXtal", "Xtal")</f>
        <v>NoXtal</v>
      </c>
      <c r="J19" s="3"/>
    </row>
    <row r="20" spans="1:10" x14ac:dyDescent="0.2">
      <c r="A20" s="3" t="s">
        <v>458</v>
      </c>
      <c r="B20" s="1" t="s">
        <v>158</v>
      </c>
      <c r="C20" t="s">
        <v>158</v>
      </c>
      <c r="D20" s="28" t="str">
        <f>VLOOKUP(A20,Classification!$A:$D,2,FALSE)</f>
        <v>T</v>
      </c>
      <c r="E20" s="49" t="str">
        <f>VLOOKUP(B20,Classification!$A:$D,2,FALSE)</f>
        <v>A</v>
      </c>
      <c r="F20" s="15" t="str">
        <f>VLOOKUP(C20,Classification!$A:$D,2,FALSE)</f>
        <v>A</v>
      </c>
      <c r="G20" s="15" t="b">
        <f t="shared" si="0"/>
        <v>1</v>
      </c>
      <c r="H20" s="10" t="str">
        <f>IF(ISERROR(MATCH(A20,'SegEnds_Xtal_Prot#'!B:B, 0)), "NoXtal", "Xtal")</f>
        <v>NoXtal</v>
      </c>
      <c r="J20" s="3"/>
    </row>
    <row r="21" spans="1:10" x14ac:dyDescent="0.2">
      <c r="A21" s="3" t="s">
        <v>456</v>
      </c>
      <c r="B21" s="1" t="s">
        <v>133</v>
      </c>
      <c r="C21" t="s">
        <v>158</v>
      </c>
      <c r="D21" s="28" t="str">
        <f>VLOOKUP(A21,Classification!$A:$D,2,FALSE)</f>
        <v>T</v>
      </c>
      <c r="E21" s="49" t="str">
        <f>VLOOKUP(B21,Classification!$A:$D,2,FALSE)</f>
        <v>A</v>
      </c>
      <c r="F21" s="15" t="str">
        <f>VLOOKUP(C21,Classification!$A:$D,2,FALSE)</f>
        <v>A</v>
      </c>
      <c r="G21" s="15" t="b">
        <f t="shared" si="0"/>
        <v>1</v>
      </c>
      <c r="H21" s="10" t="str">
        <f>IF(ISERROR(MATCH(A21,'SegEnds_Xtal_Prot#'!B:B, 0)), "NoXtal", "Xtal")</f>
        <v>NoXtal</v>
      </c>
      <c r="J21" s="3"/>
    </row>
    <row r="22" spans="1:10" x14ac:dyDescent="0.2">
      <c r="A22" s="3" t="s">
        <v>1180</v>
      </c>
      <c r="B22" s="1" t="s">
        <v>38</v>
      </c>
      <c r="C22" t="s">
        <v>38</v>
      </c>
      <c r="D22" s="28" t="str">
        <f>VLOOKUP(A22,Classification!$A:$D,2,FALSE)</f>
        <v>B2</v>
      </c>
      <c r="E22" s="49" t="str">
        <f>VLOOKUP(B22,Classification!$A:$D,2,FALSE)</f>
        <v>B1</v>
      </c>
      <c r="F22" s="15" t="str">
        <f>VLOOKUP(C22,Classification!$A:$D,2,FALSE)</f>
        <v>B1</v>
      </c>
      <c r="G22" s="15" t="b">
        <f t="shared" si="0"/>
        <v>1</v>
      </c>
      <c r="H22" s="10" t="str">
        <f>IF(ISERROR(MATCH(A22,'SegEnds_Xtal_Prot#'!B:B, 0)), "NoXtal", "Xtal")</f>
        <v>NoXtal</v>
      </c>
      <c r="J22" s="3"/>
    </row>
    <row r="23" spans="1:10" x14ac:dyDescent="0.2">
      <c r="A23" s="3" t="s">
        <v>1190</v>
      </c>
      <c r="B23" s="1" t="s">
        <v>408</v>
      </c>
      <c r="C23" t="s">
        <v>38</v>
      </c>
      <c r="D23" s="28" t="str">
        <f>VLOOKUP(A23,Classification!$A:$D,2,FALSE)</f>
        <v>B2</v>
      </c>
      <c r="E23" s="49" t="str">
        <f>VLOOKUP(B23,Classification!$A:$D,2,FALSE)</f>
        <v>B1</v>
      </c>
      <c r="F23" s="15" t="str">
        <f>VLOOKUP(C23,Classification!$A:$D,2,FALSE)</f>
        <v>B1</v>
      </c>
      <c r="G23" s="15" t="b">
        <f t="shared" si="0"/>
        <v>1</v>
      </c>
      <c r="H23" s="10" t="str">
        <f>IF(ISERROR(MATCH(A23,'SegEnds_Xtal_Prot#'!B:B, 0)), "NoXtal", "Xtal")</f>
        <v>NoXtal</v>
      </c>
      <c r="J23" s="3"/>
    </row>
    <row r="24" spans="1:10" x14ac:dyDescent="0.2">
      <c r="A24" s="3" t="s">
        <v>1195</v>
      </c>
      <c r="B24" s="1" t="s">
        <v>38</v>
      </c>
      <c r="C24" t="s">
        <v>38</v>
      </c>
      <c r="D24" s="28" t="str">
        <f>VLOOKUP(A24,Classification!$A:$D,2,FALSE)</f>
        <v>B2</v>
      </c>
      <c r="E24" s="49" t="str">
        <f>VLOOKUP(B24,Classification!$A:$D,2,FALSE)</f>
        <v>B1</v>
      </c>
      <c r="F24" s="15" t="str">
        <f>VLOOKUP(C24,Classification!$A:$D,2,FALSE)</f>
        <v>B1</v>
      </c>
      <c r="G24" s="15" t="b">
        <f t="shared" si="0"/>
        <v>1</v>
      </c>
      <c r="H24" s="10" t="str">
        <f>IF(ISERROR(MATCH(A24,'SegEnds_Xtal_Prot#'!B:B, 0)), "NoXtal", "Xtal")</f>
        <v>NoXtal</v>
      </c>
      <c r="J24" s="3"/>
    </row>
    <row r="25" spans="1:10" x14ac:dyDescent="0.2">
      <c r="A25" s="3" t="s">
        <v>1188</v>
      </c>
      <c r="B25" s="1" t="s">
        <v>408</v>
      </c>
      <c r="C25" t="s">
        <v>38</v>
      </c>
      <c r="D25" s="28" t="str">
        <f>VLOOKUP(A25,Classification!$A:$D,2,FALSE)</f>
        <v>B2</v>
      </c>
      <c r="E25" s="49" t="str">
        <f>VLOOKUP(B25,Classification!$A:$D,2,FALSE)</f>
        <v>B1</v>
      </c>
      <c r="F25" s="15" t="str">
        <f>VLOOKUP(C25,Classification!$A:$D,2,FALSE)</f>
        <v>B1</v>
      </c>
      <c r="G25" s="15" t="b">
        <f t="shared" si="0"/>
        <v>1</v>
      </c>
      <c r="H25" s="10" t="str">
        <f>IF(ISERROR(MATCH(A25,'SegEnds_Xtal_Prot#'!B:B, 0)), "NoXtal", "Xtal")</f>
        <v>NoXtal</v>
      </c>
      <c r="J25" s="3"/>
    </row>
    <row r="26" spans="1:10" x14ac:dyDescent="0.2">
      <c r="A26" s="3" t="s">
        <v>1186</v>
      </c>
      <c r="B26" s="1" t="s">
        <v>32</v>
      </c>
      <c r="C26" t="s">
        <v>38</v>
      </c>
      <c r="D26" s="28" t="str">
        <f>VLOOKUP(A26,Classification!$A:$D,2,FALSE)</f>
        <v>B2</v>
      </c>
      <c r="E26" s="49" t="str">
        <f>VLOOKUP(B26,Classification!$A:$D,2,FALSE)</f>
        <v>B1</v>
      </c>
      <c r="F26" s="15" t="str">
        <f>VLOOKUP(C26,Classification!$A:$D,2,FALSE)</f>
        <v>B1</v>
      </c>
      <c r="G26" s="15" t="b">
        <f t="shared" si="0"/>
        <v>1</v>
      </c>
      <c r="H26" s="10" t="str">
        <f>IF(ISERROR(MATCH(A26,'SegEnds_Xtal_Prot#'!B:B, 0)), "NoXtal", "Xtal")</f>
        <v>NoXtal</v>
      </c>
      <c r="J26" s="3"/>
    </row>
    <row r="27" spans="1:10" x14ac:dyDescent="0.2">
      <c r="A27" s="3" t="s">
        <v>1177</v>
      </c>
      <c r="B27" s="1" t="s">
        <v>408</v>
      </c>
      <c r="C27" t="s">
        <v>38</v>
      </c>
      <c r="D27" s="28" t="str">
        <f>VLOOKUP(A27,Classification!$A:$D,2,FALSE)</f>
        <v>B2</v>
      </c>
      <c r="E27" s="49" t="str">
        <f>VLOOKUP(B27,Classification!$A:$D,2,FALSE)</f>
        <v>B1</v>
      </c>
      <c r="F27" s="15" t="str">
        <f>VLOOKUP(C27,Classification!$A:$D,2,FALSE)</f>
        <v>B1</v>
      </c>
      <c r="G27" s="15" t="b">
        <f t="shared" si="0"/>
        <v>1</v>
      </c>
      <c r="H27" s="10" t="str">
        <f>IF(ISERROR(MATCH(A27,'SegEnds_Xtal_Prot#'!B:B, 0)), "NoXtal", "Xtal")</f>
        <v>NoXtal</v>
      </c>
      <c r="J27" s="3"/>
    </row>
    <row r="28" spans="1:10" x14ac:dyDescent="0.2">
      <c r="A28" s="3" t="s">
        <v>1184</v>
      </c>
      <c r="B28" s="1" t="s">
        <v>38</v>
      </c>
      <c r="C28" t="s">
        <v>38</v>
      </c>
      <c r="D28" s="28" t="str">
        <f>VLOOKUP(A28,Classification!$A:$D,2,FALSE)</f>
        <v>B2</v>
      </c>
      <c r="E28" s="49" t="str">
        <f>VLOOKUP(B28,Classification!$A:$D,2,FALSE)</f>
        <v>B1</v>
      </c>
      <c r="F28" s="15" t="str">
        <f>VLOOKUP(C28,Classification!$A:$D,2,FALSE)</f>
        <v>B1</v>
      </c>
      <c r="G28" s="15" t="b">
        <f t="shared" si="0"/>
        <v>1</v>
      </c>
      <c r="H28" s="10" t="str">
        <f>IF(ISERROR(MATCH(A28,'SegEnds_Xtal_Prot#'!B:B, 0)), "NoXtal", "Xtal")</f>
        <v>NoXtal</v>
      </c>
      <c r="J28" s="3"/>
    </row>
    <row r="29" spans="1:10" x14ac:dyDescent="0.2">
      <c r="A29" s="3" t="s">
        <v>1178</v>
      </c>
      <c r="B29" s="1" t="s">
        <v>405</v>
      </c>
      <c r="C29" t="s">
        <v>38</v>
      </c>
      <c r="D29" s="28" t="str">
        <f>VLOOKUP(A29,Classification!$A:$D,2,FALSE)</f>
        <v>B2</v>
      </c>
      <c r="E29" s="49" t="str">
        <f>VLOOKUP(B29,Classification!$A:$D,2,FALSE)</f>
        <v>B1</v>
      </c>
      <c r="F29" s="15" t="str">
        <f>VLOOKUP(C29,Classification!$A:$D,2,FALSE)</f>
        <v>B1</v>
      </c>
      <c r="G29" s="15" t="b">
        <f t="shared" si="0"/>
        <v>1</v>
      </c>
      <c r="H29" s="10" t="str">
        <f>IF(ISERROR(MATCH(A29,'SegEnds_Xtal_Prot#'!B:B, 0)), "NoXtal", "Xtal")</f>
        <v>NoXtal</v>
      </c>
      <c r="J29" s="3"/>
    </row>
    <row r="30" spans="1:10" x14ac:dyDescent="0.2">
      <c r="A30" s="3" t="s">
        <v>1179</v>
      </c>
      <c r="B30" s="1" t="s">
        <v>38</v>
      </c>
      <c r="C30" t="s">
        <v>38</v>
      </c>
      <c r="D30" s="28" t="str">
        <f>VLOOKUP(A30,Classification!$A:$D,2,FALSE)</f>
        <v>B2</v>
      </c>
      <c r="E30" s="49" t="str">
        <f>VLOOKUP(B30,Classification!$A:$D,2,FALSE)</f>
        <v>B1</v>
      </c>
      <c r="F30" s="15" t="str">
        <f>VLOOKUP(C30,Classification!$A:$D,2,FALSE)</f>
        <v>B1</v>
      </c>
      <c r="G30" s="15" t="b">
        <f t="shared" si="0"/>
        <v>1</v>
      </c>
      <c r="H30" s="10" t="str">
        <f>IF(ISERROR(MATCH(A30,'SegEnds_Xtal_Prot#'!B:B, 0)), "NoXtal", "Xtal")</f>
        <v>NoXtal</v>
      </c>
      <c r="J30" s="3"/>
    </row>
    <row r="31" spans="1:10" x14ac:dyDescent="0.2">
      <c r="A31" s="3" t="s">
        <v>1183</v>
      </c>
      <c r="B31" s="1" t="s">
        <v>401</v>
      </c>
      <c r="C31" t="s">
        <v>38</v>
      </c>
      <c r="D31" s="28" t="str">
        <f>VLOOKUP(A31,Classification!$A:$D,2,FALSE)</f>
        <v>B2</v>
      </c>
      <c r="E31" s="49" t="str">
        <f>VLOOKUP(B31,Classification!$A:$D,2,FALSE)</f>
        <v>B1</v>
      </c>
      <c r="F31" s="15" t="str">
        <f>VLOOKUP(C31,Classification!$A:$D,2,FALSE)</f>
        <v>B1</v>
      </c>
      <c r="G31" s="15" t="b">
        <f t="shared" si="0"/>
        <v>1</v>
      </c>
      <c r="H31" s="10" t="str">
        <f>IF(ISERROR(MATCH(A31,'SegEnds_Xtal_Prot#'!B:B, 0)), "NoXtal", "Xtal")</f>
        <v>NoXtal</v>
      </c>
      <c r="J31" s="3"/>
    </row>
    <row r="32" spans="1:10" x14ac:dyDescent="0.2">
      <c r="A32" s="3" t="s">
        <v>1176</v>
      </c>
      <c r="B32" s="1" t="s">
        <v>38</v>
      </c>
      <c r="C32" t="s">
        <v>38</v>
      </c>
      <c r="D32" s="28" t="str">
        <f>VLOOKUP(A32,Classification!$A:$D,2,FALSE)</f>
        <v>B2</v>
      </c>
      <c r="E32" s="49" t="str">
        <f>VLOOKUP(B32,Classification!$A:$D,2,FALSE)</f>
        <v>B1</v>
      </c>
      <c r="F32" s="15" t="str">
        <f>VLOOKUP(C32,Classification!$A:$D,2,FALSE)</f>
        <v>B1</v>
      </c>
      <c r="G32" s="15" t="b">
        <f t="shared" si="0"/>
        <v>1</v>
      </c>
      <c r="H32" s="10" t="str">
        <f>IF(ISERROR(MATCH(A32,'SegEnds_Xtal_Prot#'!B:B, 0)), "NoXtal", "Xtal")</f>
        <v>NoXtal</v>
      </c>
      <c r="J32" s="3"/>
    </row>
    <row r="33" spans="1:10" x14ac:dyDescent="0.2">
      <c r="A33" s="3" t="s">
        <v>1175</v>
      </c>
      <c r="B33" s="1" t="s">
        <v>38</v>
      </c>
      <c r="C33" t="s">
        <v>38</v>
      </c>
      <c r="D33" s="28" t="str">
        <f>VLOOKUP(A33,Classification!$A:$D,2,FALSE)</f>
        <v>B2</v>
      </c>
      <c r="E33" s="49" t="str">
        <f>VLOOKUP(B33,Classification!$A:$D,2,FALSE)</f>
        <v>B1</v>
      </c>
      <c r="F33" s="15" t="str">
        <f>VLOOKUP(C33,Classification!$A:$D,2,FALSE)</f>
        <v>B1</v>
      </c>
      <c r="G33" s="15" t="b">
        <f t="shared" si="0"/>
        <v>1</v>
      </c>
      <c r="H33" s="10" t="str">
        <f>IF(ISERROR(MATCH(A33,'SegEnds_Xtal_Prot#'!B:B, 0)), "NoXtal", "Xtal")</f>
        <v>NoXtal</v>
      </c>
      <c r="J33" s="3"/>
    </row>
    <row r="34" spans="1:10" x14ac:dyDescent="0.2">
      <c r="A34" s="3" t="s">
        <v>1181</v>
      </c>
      <c r="B34" s="1" t="s">
        <v>408</v>
      </c>
      <c r="C34" t="s">
        <v>38</v>
      </c>
      <c r="D34" s="28" t="str">
        <f>VLOOKUP(A34,Classification!$A:$D,2,FALSE)</f>
        <v>B2</v>
      </c>
      <c r="E34" s="49" t="str">
        <f>VLOOKUP(B34,Classification!$A:$D,2,FALSE)</f>
        <v>B1</v>
      </c>
      <c r="F34" s="15" t="str">
        <f>VLOOKUP(C34,Classification!$A:$D,2,FALSE)</f>
        <v>B1</v>
      </c>
      <c r="G34" s="15" t="b">
        <f t="shared" si="0"/>
        <v>1</v>
      </c>
      <c r="H34" s="10" t="str">
        <f>IF(ISERROR(MATCH(A34,'SegEnds_Xtal_Prot#'!B:B, 0)), "NoXtal", "Xtal")</f>
        <v>NoXtal</v>
      </c>
      <c r="J34" s="3"/>
    </row>
    <row r="35" spans="1:10" x14ac:dyDescent="0.2">
      <c r="A35" s="3" t="s">
        <v>1191</v>
      </c>
      <c r="B35" s="1" t="s">
        <v>408</v>
      </c>
      <c r="C35" t="s">
        <v>38</v>
      </c>
      <c r="D35" s="28" t="str">
        <f>VLOOKUP(A35,Classification!$A:$D,2,FALSE)</f>
        <v>B2</v>
      </c>
      <c r="E35" s="49" t="str">
        <f>VLOOKUP(B35,Classification!$A:$D,2,FALSE)</f>
        <v>B1</v>
      </c>
      <c r="F35" s="15" t="str">
        <f>VLOOKUP(C35,Classification!$A:$D,2,FALSE)</f>
        <v>B1</v>
      </c>
      <c r="G35" s="15" t="b">
        <f t="shared" si="0"/>
        <v>1</v>
      </c>
      <c r="H35" s="10" t="str">
        <f>IF(ISERROR(MATCH(A35,'SegEnds_Xtal_Prot#'!B:B, 0)), "NoXtal", "Xtal")</f>
        <v>NoXtal</v>
      </c>
      <c r="J35" s="3"/>
    </row>
    <row r="36" spans="1:10" x14ac:dyDescent="0.2">
      <c r="A36" s="3" t="s">
        <v>1185</v>
      </c>
      <c r="B36" s="1" t="s">
        <v>38</v>
      </c>
      <c r="C36" t="s">
        <v>38</v>
      </c>
      <c r="D36" s="28" t="str">
        <f>VLOOKUP(A36,Classification!$A:$D,2,FALSE)</f>
        <v>B2</v>
      </c>
      <c r="E36" s="49" t="str">
        <f>VLOOKUP(B36,Classification!$A:$D,2,FALSE)</f>
        <v>B1</v>
      </c>
      <c r="F36" s="15" t="str">
        <f>VLOOKUP(C36,Classification!$A:$D,2,FALSE)</f>
        <v>B1</v>
      </c>
      <c r="G36" s="15" t="b">
        <f t="shared" si="0"/>
        <v>1</v>
      </c>
      <c r="H36" s="10" t="str">
        <f>IF(ISERROR(MATCH(A36,'SegEnds_Xtal_Prot#'!B:B, 0)), "NoXtal", "Xtal")</f>
        <v>NoXtal</v>
      </c>
      <c r="J36" s="3"/>
    </row>
    <row r="37" spans="1:10" x14ac:dyDescent="0.2">
      <c r="A37" s="3" t="s">
        <v>1189</v>
      </c>
      <c r="B37" s="1" t="s">
        <v>408</v>
      </c>
      <c r="C37" t="s">
        <v>38</v>
      </c>
      <c r="D37" s="28" t="str">
        <f>VLOOKUP(A37,Classification!$A:$D,2,FALSE)</f>
        <v>B2</v>
      </c>
      <c r="E37" s="49" t="str">
        <f>VLOOKUP(B37,Classification!$A:$D,2,FALSE)</f>
        <v>B1</v>
      </c>
      <c r="F37" s="15" t="str">
        <f>VLOOKUP(C37,Classification!$A:$D,2,FALSE)</f>
        <v>B1</v>
      </c>
      <c r="G37" s="15" t="b">
        <f t="shared" si="0"/>
        <v>1</v>
      </c>
      <c r="H37" s="10" t="str">
        <f>IF(ISERROR(MATCH(A37,'SegEnds_Xtal_Prot#'!B:B, 0)), "NoXtal", "Xtal")</f>
        <v>NoXtal</v>
      </c>
      <c r="J37" s="3"/>
    </row>
    <row r="38" spans="1:10" x14ac:dyDescent="0.2">
      <c r="A38" s="3" t="s">
        <v>1407</v>
      </c>
      <c r="B38" s="1" t="s">
        <v>402</v>
      </c>
      <c r="C38" t="s">
        <v>38</v>
      </c>
      <c r="D38" s="28" t="str">
        <f>VLOOKUP(A38,Classification!$A:$D,2,FALSE)</f>
        <v>B2</v>
      </c>
      <c r="E38" s="49" t="str">
        <f>VLOOKUP(B38,Classification!$A:$D,2,FALSE)</f>
        <v>B1</v>
      </c>
      <c r="F38" s="15" t="str">
        <f>VLOOKUP(C38,Classification!$A:$D,2,FALSE)</f>
        <v>B1</v>
      </c>
      <c r="G38" s="15" t="b">
        <f t="shared" si="0"/>
        <v>1</v>
      </c>
      <c r="H38" s="10" t="str">
        <f>IF(ISERROR(MATCH(A38,'SegEnds_Xtal_Prot#'!B:B, 0)), "NoXtal", "Xtal")</f>
        <v>NoXtal</v>
      </c>
      <c r="J38" s="3"/>
    </row>
    <row r="39" spans="1:10" x14ac:dyDescent="0.2">
      <c r="A39" s="3" t="s">
        <v>1187</v>
      </c>
      <c r="B39" s="1" t="s">
        <v>407</v>
      </c>
      <c r="C39" t="s">
        <v>38</v>
      </c>
      <c r="D39" s="28" t="str">
        <f>VLOOKUP(A39,Classification!$A:$D,2,FALSE)</f>
        <v>B2</v>
      </c>
      <c r="E39" s="49" t="str">
        <f>VLOOKUP(B39,Classification!$A:$D,2,FALSE)</f>
        <v>B1</v>
      </c>
      <c r="F39" s="15" t="str">
        <f>VLOOKUP(C39,Classification!$A:$D,2,FALSE)</f>
        <v>B1</v>
      </c>
      <c r="G39" s="15" t="b">
        <f t="shared" si="0"/>
        <v>1</v>
      </c>
      <c r="H39" s="10" t="str">
        <f>IF(ISERROR(MATCH(A39,'SegEnds_Xtal_Prot#'!B:B, 0)), "NoXtal", "Xtal")</f>
        <v>NoXtal</v>
      </c>
      <c r="J39" s="3"/>
    </row>
    <row r="40" spans="1:10" x14ac:dyDescent="0.2">
      <c r="A40" s="3" t="s">
        <v>1674</v>
      </c>
      <c r="B40" s="1" t="s">
        <v>38</v>
      </c>
      <c r="C40" t="s">
        <v>38</v>
      </c>
      <c r="D40" s="28" t="str">
        <f>VLOOKUP(A40,Classification!$A:$D,2,FALSE)</f>
        <v>B2</v>
      </c>
      <c r="E40" s="49" t="str">
        <f>VLOOKUP(B40,Classification!$A:$D,2,FALSE)</f>
        <v>B1</v>
      </c>
      <c r="F40" s="15" t="str">
        <f>VLOOKUP(C40,Classification!$A:$D,2,FALSE)</f>
        <v>B1</v>
      </c>
      <c r="G40" s="15" t="b">
        <f t="shared" si="0"/>
        <v>1</v>
      </c>
      <c r="H40" s="10" t="str">
        <f>IF(ISERROR(MATCH(A40,'SegEnds_Xtal_Prot#'!B:B, 0)), "NoXtal", "Xtal")</f>
        <v>NoXtal</v>
      </c>
      <c r="J40" s="3"/>
    </row>
    <row r="41" spans="1:10" x14ac:dyDescent="0.2">
      <c r="A41" s="3" t="s">
        <v>1170</v>
      </c>
      <c r="B41" s="1" t="s">
        <v>407</v>
      </c>
      <c r="C41" t="s">
        <v>38</v>
      </c>
      <c r="D41" s="28" t="str">
        <f>VLOOKUP(A41,Classification!$A:$D,2,FALSE)</f>
        <v>B2</v>
      </c>
      <c r="E41" s="49" t="str">
        <f>VLOOKUP(B41,Classification!$A:$D,2,FALSE)</f>
        <v>B1</v>
      </c>
      <c r="F41" s="15" t="str">
        <f>VLOOKUP(C41,Classification!$A:$D,2,FALSE)</f>
        <v>B1</v>
      </c>
      <c r="G41" s="15" t="b">
        <f t="shared" si="0"/>
        <v>1</v>
      </c>
      <c r="H41" s="10" t="str">
        <f>IF(ISERROR(MATCH(A41,'SegEnds_Xtal_Prot#'!B:B, 0)), "NoXtal", "Xtal")</f>
        <v>NoXtal</v>
      </c>
      <c r="J41" s="3"/>
    </row>
    <row r="42" spans="1:10" x14ac:dyDescent="0.2">
      <c r="A42" s="3" t="s">
        <v>1171</v>
      </c>
      <c r="B42" s="1" t="s">
        <v>38</v>
      </c>
      <c r="C42" t="s">
        <v>38</v>
      </c>
      <c r="D42" s="28" t="str">
        <f>VLOOKUP(A42,Classification!$A:$D,2,FALSE)</f>
        <v>B2</v>
      </c>
      <c r="E42" s="49" t="str">
        <f>VLOOKUP(B42,Classification!$A:$D,2,FALSE)</f>
        <v>B1</v>
      </c>
      <c r="F42" s="15" t="str">
        <f>VLOOKUP(C42,Classification!$A:$D,2,FALSE)</f>
        <v>B1</v>
      </c>
      <c r="G42" s="15" t="b">
        <f t="shared" si="0"/>
        <v>1</v>
      </c>
      <c r="H42" s="10" t="str">
        <f>IF(ISERROR(MATCH(A42,'SegEnds_Xtal_Prot#'!B:B, 0)), "NoXtal", "Xtal")</f>
        <v>NoXtal</v>
      </c>
      <c r="J42" s="3"/>
    </row>
    <row r="43" spans="1:10" x14ac:dyDescent="0.2">
      <c r="A43" s="3" t="s">
        <v>1172</v>
      </c>
      <c r="B43" s="1" t="s">
        <v>402</v>
      </c>
      <c r="C43" t="s">
        <v>38</v>
      </c>
      <c r="D43" s="28" t="str">
        <f>VLOOKUP(A43,Classification!$A:$D,2,FALSE)</f>
        <v>B2</v>
      </c>
      <c r="E43" s="49" t="str">
        <f>VLOOKUP(B43,Classification!$A:$D,2,FALSE)</f>
        <v>B1</v>
      </c>
      <c r="F43" s="15" t="str">
        <f>VLOOKUP(C43,Classification!$A:$D,2,FALSE)</f>
        <v>B1</v>
      </c>
      <c r="G43" s="15" t="b">
        <f t="shared" si="0"/>
        <v>1</v>
      </c>
      <c r="H43" s="10" t="str">
        <f>IF(ISERROR(MATCH(A43,'SegEnds_Xtal_Prot#'!B:B, 0)), "NoXtal", "Xtal")</f>
        <v>NoXtal</v>
      </c>
      <c r="J43" s="3"/>
    </row>
    <row r="44" spans="1:10" x14ac:dyDescent="0.2">
      <c r="A44" s="3" t="s">
        <v>413</v>
      </c>
      <c r="B44" s="1" t="s">
        <v>400</v>
      </c>
      <c r="C44" t="s">
        <v>38</v>
      </c>
      <c r="D44" s="28" t="str">
        <f>VLOOKUP(A44,Classification!$A:$D,2,FALSE)</f>
        <v>B2</v>
      </c>
      <c r="E44" s="49" t="str">
        <f>VLOOKUP(B44,Classification!$A:$D,2,FALSE)</f>
        <v>B1</v>
      </c>
      <c r="F44" s="15" t="str">
        <f>VLOOKUP(C44,Classification!$A:$D,2,FALSE)</f>
        <v>B1</v>
      </c>
      <c r="G44" s="15" t="b">
        <f t="shared" si="0"/>
        <v>1</v>
      </c>
      <c r="H44" s="10" t="str">
        <f>IF(ISERROR(MATCH(A44,'SegEnds_Xtal_Prot#'!B:B, 0)), "NoXtal", "Xtal")</f>
        <v>NoXtal</v>
      </c>
      <c r="J44" s="3"/>
    </row>
    <row r="45" spans="1:10" x14ac:dyDescent="0.2">
      <c r="A45" s="3" t="s">
        <v>414</v>
      </c>
      <c r="B45" s="1" t="s">
        <v>401</v>
      </c>
      <c r="C45" t="s">
        <v>38</v>
      </c>
      <c r="D45" s="28" t="str">
        <f>VLOOKUP(A45,Classification!$A:$D,2,FALSE)</f>
        <v>B2</v>
      </c>
      <c r="E45" s="49" t="str">
        <f>VLOOKUP(B45,Classification!$A:$D,2,FALSE)</f>
        <v>B1</v>
      </c>
      <c r="F45" s="15" t="str">
        <f>VLOOKUP(C45,Classification!$A:$D,2,FALSE)</f>
        <v>B1</v>
      </c>
      <c r="G45" s="15" t="b">
        <f t="shared" si="0"/>
        <v>1</v>
      </c>
      <c r="H45" s="10" t="str">
        <f>IF(ISERROR(MATCH(A45,'SegEnds_Xtal_Prot#'!B:B, 0)), "NoXtal", "Xtal")</f>
        <v>NoXtal</v>
      </c>
      <c r="J45" s="3"/>
    </row>
    <row r="46" spans="1:10" x14ac:dyDescent="0.2">
      <c r="A46" s="3" t="s">
        <v>1194</v>
      </c>
      <c r="B46" s="1" t="s">
        <v>402</v>
      </c>
      <c r="C46" t="s">
        <v>38</v>
      </c>
      <c r="D46" s="28" t="str">
        <f>VLOOKUP(A46,Classification!$A:$D,2,FALSE)</f>
        <v>B2</v>
      </c>
      <c r="E46" s="49" t="str">
        <f>VLOOKUP(B46,Classification!$A:$D,2,FALSE)</f>
        <v>B1</v>
      </c>
      <c r="F46" s="15" t="str">
        <f>VLOOKUP(C46,Classification!$A:$D,2,FALSE)</f>
        <v>B1</v>
      </c>
      <c r="G46" s="15" t="b">
        <f t="shared" si="0"/>
        <v>1</v>
      </c>
      <c r="H46" s="10" t="str">
        <f>IF(ISERROR(MATCH(A46,'SegEnds_Xtal_Prot#'!B:B, 0)), "NoXtal", "Xtal")</f>
        <v>NoXtal</v>
      </c>
      <c r="J46" s="3"/>
    </row>
    <row r="47" spans="1:10" x14ac:dyDescent="0.2">
      <c r="A47" s="3" t="s">
        <v>1193</v>
      </c>
      <c r="B47" s="1" t="s">
        <v>402</v>
      </c>
      <c r="C47" t="s">
        <v>38</v>
      </c>
      <c r="D47" s="28" t="str">
        <f>VLOOKUP(A47,Classification!$A:$D,2,FALSE)</f>
        <v>B2</v>
      </c>
      <c r="E47" s="49" t="str">
        <f>VLOOKUP(B47,Classification!$A:$D,2,FALSE)</f>
        <v>B1</v>
      </c>
      <c r="F47" s="15" t="str">
        <f>VLOOKUP(C47,Classification!$A:$D,2,FALSE)</f>
        <v>B1</v>
      </c>
      <c r="G47" s="15" t="b">
        <f t="shared" si="0"/>
        <v>1</v>
      </c>
      <c r="H47" s="10" t="str">
        <f>IF(ISERROR(MATCH(A47,'SegEnds_Xtal_Prot#'!B:B, 0)), "NoXtal", "Xtal")</f>
        <v>NoXtal</v>
      </c>
      <c r="J47" s="3"/>
    </row>
    <row r="48" spans="1:10" x14ac:dyDescent="0.2">
      <c r="A48" s="3" t="s">
        <v>1174</v>
      </c>
      <c r="B48" s="1" t="s">
        <v>38</v>
      </c>
      <c r="C48" t="s">
        <v>38</v>
      </c>
      <c r="D48" s="28" t="str">
        <f>VLOOKUP(A48,Classification!$A:$D,2,FALSE)</f>
        <v>B2</v>
      </c>
      <c r="E48" s="49" t="str">
        <f>VLOOKUP(B48,Classification!$A:$D,2,FALSE)</f>
        <v>B1</v>
      </c>
      <c r="F48" s="15" t="str">
        <f>VLOOKUP(C48,Classification!$A:$D,2,FALSE)</f>
        <v>B1</v>
      </c>
      <c r="G48" s="15" t="b">
        <f t="shared" si="0"/>
        <v>1</v>
      </c>
      <c r="H48" s="10" t="str">
        <f>IF(ISERROR(MATCH(A48,'SegEnds_Xtal_Prot#'!B:B, 0)), "NoXtal", "Xtal")</f>
        <v>NoXtal</v>
      </c>
      <c r="J48" s="3"/>
    </row>
    <row r="49" spans="1:10" x14ac:dyDescent="0.2">
      <c r="A49" s="3" t="s">
        <v>1192</v>
      </c>
      <c r="B49" s="1" t="s">
        <v>402</v>
      </c>
      <c r="C49" t="s">
        <v>38</v>
      </c>
      <c r="D49" s="28" t="str">
        <f>VLOOKUP(A49,Classification!$A:$D,2,FALSE)</f>
        <v>B2</v>
      </c>
      <c r="E49" s="49" t="str">
        <f>VLOOKUP(B49,Classification!$A:$D,2,FALSE)</f>
        <v>B1</v>
      </c>
      <c r="F49" s="15" t="str">
        <f>VLOOKUP(C49,Classification!$A:$D,2,FALSE)</f>
        <v>B1</v>
      </c>
      <c r="G49" s="15" t="b">
        <f t="shared" si="0"/>
        <v>1</v>
      </c>
      <c r="H49" s="10" t="str">
        <f>IF(ISERROR(MATCH(A49,'SegEnds_Xtal_Prot#'!B:B, 0)), "NoXtal", "Xtal")</f>
        <v>NoXtal</v>
      </c>
      <c r="J49" s="3"/>
    </row>
    <row r="50" spans="1:10" x14ac:dyDescent="0.2">
      <c r="A50" s="3" t="s">
        <v>1173</v>
      </c>
      <c r="B50" s="1" t="s">
        <v>38</v>
      </c>
      <c r="C50" t="s">
        <v>38</v>
      </c>
      <c r="D50" s="28" t="str">
        <f>VLOOKUP(A50,Classification!$A:$D,2,FALSE)</f>
        <v>B2</v>
      </c>
      <c r="E50" s="49" t="str">
        <f>VLOOKUP(B50,Classification!$A:$D,2,FALSE)</f>
        <v>B1</v>
      </c>
      <c r="F50" s="15" t="str">
        <f>VLOOKUP(C50,Classification!$A:$D,2,FALSE)</f>
        <v>B1</v>
      </c>
      <c r="G50" s="15" t="b">
        <f t="shared" si="0"/>
        <v>1</v>
      </c>
      <c r="H50" s="10" t="str">
        <f>IF(ISERROR(MATCH(A50,'SegEnds_Xtal_Prot#'!B:B, 0)), "NoXtal", "Xtal")</f>
        <v>NoXtal</v>
      </c>
      <c r="J50" s="3"/>
    </row>
    <row r="51" spans="1:10" x14ac:dyDescent="0.2">
      <c r="A51" s="3" t="s">
        <v>1673</v>
      </c>
      <c r="B51" s="1" t="s">
        <v>38</v>
      </c>
      <c r="C51" t="s">
        <v>38</v>
      </c>
      <c r="D51" s="28" t="str">
        <f>VLOOKUP(A51,Classification!$A:$D,2,FALSE)</f>
        <v>B2</v>
      </c>
      <c r="E51" s="49" t="str">
        <f>VLOOKUP(B51,Classification!$A:$D,2,FALSE)</f>
        <v>B1</v>
      </c>
      <c r="F51" s="15" t="str">
        <f>VLOOKUP(C51,Classification!$A:$D,2,FALSE)</f>
        <v>B1</v>
      </c>
      <c r="G51" s="15" t="b">
        <f t="shared" si="0"/>
        <v>1</v>
      </c>
      <c r="H51" s="10" t="str">
        <f>IF(ISERROR(MATCH(A51,'SegEnds_Xtal_Prot#'!B:B, 0)), "NoXtal", "Xtal")</f>
        <v>NoXtal</v>
      </c>
      <c r="J51" s="3"/>
    </row>
    <row r="52" spans="1:10" x14ac:dyDescent="0.2">
      <c r="A52" s="3" t="s">
        <v>1182</v>
      </c>
      <c r="B52" s="1" t="s">
        <v>401</v>
      </c>
      <c r="C52" t="s">
        <v>38</v>
      </c>
      <c r="D52" s="28" t="str">
        <f>VLOOKUP(A52,Classification!$A:$D,2,FALSE)</f>
        <v>B2</v>
      </c>
      <c r="E52" s="49" t="str">
        <f>VLOOKUP(B52,Classification!$A:$D,2,FALSE)</f>
        <v>B1</v>
      </c>
      <c r="F52" s="15" t="str">
        <f>VLOOKUP(C52,Classification!$A:$D,2,FALSE)</f>
        <v>B1</v>
      </c>
      <c r="G52" s="15" t="b">
        <f t="shared" si="0"/>
        <v>1</v>
      </c>
      <c r="H52" s="10" t="str">
        <f>IF(ISERROR(MATCH(A52,'SegEnds_Xtal_Prot#'!B:B, 0)), "NoXtal", "Xtal")</f>
        <v>NoXtal</v>
      </c>
      <c r="J52" s="3"/>
    </row>
    <row r="53" spans="1:10" x14ac:dyDescent="0.2">
      <c r="A53" s="3" t="s">
        <v>475</v>
      </c>
      <c r="B53" s="1" t="s">
        <v>201</v>
      </c>
      <c r="C53" t="s">
        <v>1165</v>
      </c>
      <c r="D53" s="28" t="str">
        <f>VLOOKUP(A53,Classification!$A:$D,2,FALSE)</f>
        <v>O</v>
      </c>
      <c r="E53" s="49" t="str">
        <f>VLOOKUP(B53,Classification!$A:$D,2,FALSE)</f>
        <v>A</v>
      </c>
      <c r="F53" s="15" t="str">
        <f>VLOOKUP(C53,Classification!$A:$D,2,FALSE)</f>
        <v>A</v>
      </c>
      <c r="G53" s="15" t="b">
        <f t="shared" si="0"/>
        <v>1</v>
      </c>
      <c r="H53" s="10" t="str">
        <f>IF(ISERROR(MATCH(A53,'SegEnds_Xtal_Prot#'!B:B, 0)), "NoXtal", "Xtal")</f>
        <v>NoXtal</v>
      </c>
      <c r="J53" s="3"/>
    </row>
    <row r="54" spans="1:10" x14ac:dyDescent="0.2">
      <c r="A54" s="3" t="s">
        <v>478</v>
      </c>
      <c r="B54" s="1" t="s">
        <v>363</v>
      </c>
      <c r="C54" t="s">
        <v>1165</v>
      </c>
      <c r="D54" s="28" t="str">
        <f>VLOOKUP(A54,Classification!$A:$D,2,FALSE)</f>
        <v>O</v>
      </c>
      <c r="E54" s="49" t="str">
        <f>VLOOKUP(B54,Classification!$A:$D,2,FALSE)</f>
        <v>A</v>
      </c>
      <c r="F54" s="15" t="str">
        <f>VLOOKUP(C54,Classification!$A:$D,2,FALSE)</f>
        <v>A</v>
      </c>
      <c r="G54" s="15" t="b">
        <f t="shared" si="0"/>
        <v>1</v>
      </c>
      <c r="H54" s="10" t="str">
        <f>IF(ISERROR(MATCH(A54,'SegEnds_Xtal_Prot#'!B:B, 0)), "NoXtal", "Xtal")</f>
        <v>NoXtal</v>
      </c>
      <c r="J54" s="3"/>
    </row>
    <row r="55" spans="1:10" x14ac:dyDescent="0.2">
      <c r="A55" s="3" t="s">
        <v>1675</v>
      </c>
      <c r="B55" s="1" t="s">
        <v>405</v>
      </c>
      <c r="C55" t="s">
        <v>32</v>
      </c>
      <c r="D55" s="28" t="str">
        <f>VLOOKUP(A55,Classification!$A:$D,2,FALSE)</f>
        <v>B2</v>
      </c>
      <c r="E55" s="49" t="str">
        <f>VLOOKUP(B55,Classification!$A:$D,2,FALSE)</f>
        <v>B1</v>
      </c>
      <c r="F55" s="15" t="str">
        <f>VLOOKUP(C55,Classification!$A:$D,2,FALSE)</f>
        <v>B1</v>
      </c>
      <c r="G55" s="15" t="b">
        <f t="shared" si="0"/>
        <v>1</v>
      </c>
      <c r="H55" s="10" t="str">
        <f>IF(ISERROR(MATCH(A55,'SegEnds_Xtal_Prot#'!B:B, 0)), "NoXtal", "Xtal")</f>
        <v>NoXtal</v>
      </c>
      <c r="J55" s="3"/>
    </row>
    <row r="56" spans="1:10" x14ac:dyDescent="0.2">
      <c r="A56" s="3" t="s">
        <v>415</v>
      </c>
      <c r="B56" s="1" t="s">
        <v>402</v>
      </c>
      <c r="C56" t="s">
        <v>32</v>
      </c>
      <c r="D56" s="28" t="str">
        <f>VLOOKUP(A56,Classification!$A:$D,2,FALSE)</f>
        <v>B2</v>
      </c>
      <c r="E56" s="49" t="str">
        <f>VLOOKUP(B56,Classification!$A:$D,2,FALSE)</f>
        <v>B1</v>
      </c>
      <c r="F56" s="15" t="str">
        <f>VLOOKUP(C56,Classification!$A:$D,2,FALSE)</f>
        <v>B1</v>
      </c>
      <c r="G56" s="15" t="b">
        <f t="shared" si="0"/>
        <v>1</v>
      </c>
      <c r="H56" s="10" t="str">
        <f>IF(ISERROR(MATCH(A56,'SegEnds_Xtal_Prot#'!B:B, 0)), "NoXtal", "Xtal")</f>
        <v>NoXtal</v>
      </c>
      <c r="J56" s="3"/>
    </row>
    <row r="57" spans="1:10" x14ac:dyDescent="0.2">
      <c r="A57" s="3" t="s">
        <v>480</v>
      </c>
      <c r="B57" s="1" t="s">
        <v>133</v>
      </c>
      <c r="C57" t="s">
        <v>40</v>
      </c>
      <c r="D57" s="28" t="str">
        <f>VLOOKUP(A57,Classification!$A:$D,2,FALSE)</f>
        <v>O</v>
      </c>
      <c r="E57" s="49" t="str">
        <f>VLOOKUP(B57,Classification!$A:$D,2,FALSE)</f>
        <v>A</v>
      </c>
      <c r="F57" s="15" t="str">
        <f>VLOOKUP(C57,Classification!$A:$D,2,FALSE)</f>
        <v>C</v>
      </c>
      <c r="G57" s="15" t="b">
        <f t="shared" si="0"/>
        <v>1</v>
      </c>
      <c r="H57" s="10" t="str">
        <f>IF(ISERROR(MATCH(A57,'SegEnds_Xtal_Prot#'!B:B, 0)), "NoXtal", "Xtal")</f>
        <v>NoXtal</v>
      </c>
      <c r="J57" s="3"/>
    </row>
    <row r="58" spans="1:10" x14ac:dyDescent="0.2">
      <c r="A58" s="3" t="s">
        <v>460</v>
      </c>
      <c r="B58" s="1" t="s">
        <v>132</v>
      </c>
      <c r="C58" t="s">
        <v>911</v>
      </c>
      <c r="D58" s="28" t="str">
        <f>VLOOKUP(A58,Classification!$A:$D,2,FALSE)</f>
        <v>T</v>
      </c>
      <c r="E58" s="49" t="str">
        <f>VLOOKUP(B58,Classification!$A:$D,2,FALSE)</f>
        <v>A</v>
      </c>
      <c r="F58" s="15" t="str">
        <f>VLOOKUP(C58,Classification!$A:$D,2,FALSE)</f>
        <v>A</v>
      </c>
      <c r="G58" s="15" t="b">
        <f t="shared" si="0"/>
        <v>1</v>
      </c>
      <c r="H58" s="10" t="str">
        <f>IF(ISERROR(MATCH(A58,'SegEnds_Xtal_Prot#'!B:B, 0)), "NoXtal", "Xtal")</f>
        <v>NoXtal</v>
      </c>
      <c r="J58" s="3"/>
    </row>
    <row r="59" spans="1:10" x14ac:dyDescent="0.2">
      <c r="A59" s="3" t="s">
        <v>468</v>
      </c>
      <c r="B59" s="1" t="s">
        <v>1165</v>
      </c>
      <c r="C59" t="s">
        <v>338</v>
      </c>
      <c r="D59" s="28" t="str">
        <f>VLOOKUP(A59,Classification!$A:$D,2,FALSE)</f>
        <v>T</v>
      </c>
      <c r="E59" s="49" t="str">
        <f>VLOOKUP(B59,Classification!$A:$D,2,FALSE)</f>
        <v>A</v>
      </c>
      <c r="F59" s="15" t="str">
        <f>VLOOKUP(C59,Classification!$A:$D,2,FALSE)</f>
        <v>A</v>
      </c>
      <c r="G59" s="15" t="b">
        <f t="shared" si="0"/>
        <v>1</v>
      </c>
      <c r="H59" s="10" t="str">
        <f>IF(ISERROR(MATCH(A59,'SegEnds_Xtal_Prot#'!B:B, 0)), "NoXtal", "Xtal")</f>
        <v>NoXtal</v>
      </c>
      <c r="J59" s="3"/>
    </row>
    <row r="60" spans="1:10" x14ac:dyDescent="0.2">
      <c r="A60" s="3" t="s">
        <v>453</v>
      </c>
      <c r="B60" s="1" t="s">
        <v>359</v>
      </c>
      <c r="C60" t="s">
        <v>1169</v>
      </c>
      <c r="D60" s="28" t="str">
        <f>VLOOKUP(A60,Classification!$A:$D,2,FALSE)</f>
        <v>T</v>
      </c>
      <c r="E60" s="49" t="str">
        <f>VLOOKUP(B60,Classification!$A:$D,2,FALSE)</f>
        <v>A</v>
      </c>
      <c r="F60" s="15" t="str">
        <f>VLOOKUP(C60,Classification!$A:$D,2,FALSE)</f>
        <v>A</v>
      </c>
      <c r="G60" s="15" t="b">
        <f t="shared" si="0"/>
        <v>1</v>
      </c>
      <c r="H60" s="10" t="str">
        <f>IF(ISERROR(MATCH(A60,'SegEnds_Xtal_Prot#'!B:B, 0)), "NoXtal", "Xtal")</f>
        <v>NoXtal</v>
      </c>
      <c r="J60" s="3"/>
    </row>
    <row r="61" spans="1:10" x14ac:dyDescent="0.2">
      <c r="A61" s="3" t="s">
        <v>452</v>
      </c>
      <c r="B61" s="1" t="s">
        <v>133</v>
      </c>
      <c r="C61" t="s">
        <v>344</v>
      </c>
      <c r="D61" s="28" t="str">
        <f>VLOOKUP(A61,Classification!$A:$D,2,FALSE)</f>
        <v>T</v>
      </c>
      <c r="E61" s="49" t="str">
        <f>VLOOKUP(B61,Classification!$A:$D,2,FALSE)</f>
        <v>A</v>
      </c>
      <c r="F61" s="15" t="str">
        <f>VLOOKUP(C61,Classification!$A:$D,2,FALSE)</f>
        <v>A</v>
      </c>
      <c r="G61" s="15" t="b">
        <f t="shared" si="0"/>
        <v>1</v>
      </c>
      <c r="H61" s="10" t="str">
        <f>IF(ISERROR(MATCH(A61,'SegEnds_Xtal_Prot#'!B:B, 0)), "NoXtal", "Xtal")</f>
        <v>NoXtal</v>
      </c>
      <c r="J61" s="3"/>
    </row>
    <row r="62" spans="1:10" x14ac:dyDescent="0.2">
      <c r="A62" s="3" t="s">
        <v>476</v>
      </c>
      <c r="B62" s="1" t="s">
        <v>1672</v>
      </c>
      <c r="C62" t="s">
        <v>351</v>
      </c>
      <c r="D62" s="28" t="str">
        <f>VLOOKUP(A62,Classification!$A:$D,2,FALSE)</f>
        <v>O</v>
      </c>
      <c r="E62" s="49" t="e">
        <f>VLOOKUP(B62,Classification!$A:$D,2,FALSE)</f>
        <v>#N/A</v>
      </c>
      <c r="F62" s="15" t="str">
        <f>VLOOKUP(C62,Classification!$A:$D,2,FALSE)</f>
        <v>A</v>
      </c>
      <c r="G62" s="15" t="b">
        <f t="shared" si="0"/>
        <v>1</v>
      </c>
      <c r="H62" s="10" t="str">
        <f>IF(ISERROR(MATCH(A62,'SegEnds_Xtal_Prot#'!B:B, 0)), "NoXtal", "Xtal")</f>
        <v>NoXtal</v>
      </c>
      <c r="J62" s="3"/>
    </row>
    <row r="63" spans="1:10" x14ac:dyDescent="0.2">
      <c r="A63" s="3" t="s">
        <v>450</v>
      </c>
      <c r="B63" s="1" t="s">
        <v>191</v>
      </c>
      <c r="C63" t="s">
        <v>104</v>
      </c>
      <c r="D63" s="28" t="str">
        <f>VLOOKUP(A63,Classification!$A:$D,2,FALSE)</f>
        <v>T</v>
      </c>
      <c r="E63" s="49" t="str">
        <f>VLOOKUP(B63,Classification!$A:$D,2,FALSE)</f>
        <v>A</v>
      </c>
      <c r="F63" s="15" t="str">
        <f>VLOOKUP(C63,Classification!$A:$D,2,FALSE)</f>
        <v>A</v>
      </c>
      <c r="G63" s="15" t="b">
        <f t="shared" si="0"/>
        <v>1</v>
      </c>
      <c r="H63" s="10" t="str">
        <f>IF(ISERROR(MATCH(A63,'SegEnds_Xtal_Prot#'!B:B, 0)), "NoXtal", "Xtal")</f>
        <v>NoXtal</v>
      </c>
      <c r="J63" s="3"/>
    </row>
    <row r="64" spans="1:10" x14ac:dyDescent="0.2">
      <c r="A64" s="3" t="s">
        <v>471</v>
      </c>
      <c r="B64" s="1" t="s">
        <v>277</v>
      </c>
      <c r="C64" t="s">
        <v>917</v>
      </c>
      <c r="D64" s="28" t="str">
        <f>VLOOKUP(A64,Classification!$A:$D,2,FALSE)</f>
        <v>T</v>
      </c>
      <c r="E64" s="49" t="str">
        <f>VLOOKUP(B64,Classification!$A:$D,2,FALSE)</f>
        <v>A</v>
      </c>
      <c r="F64" s="15" t="str">
        <f>VLOOKUP(C64,Classification!$A:$D,2,FALSE)</f>
        <v>A</v>
      </c>
      <c r="G64" s="15" t="b">
        <f t="shared" si="0"/>
        <v>1</v>
      </c>
      <c r="H64" s="10" t="str">
        <f>IF(ISERROR(MATCH(A64,'SegEnds_Xtal_Prot#'!B:B, 0)), "NoXtal", "Xtal")</f>
        <v>NoXtal</v>
      </c>
      <c r="J64" s="3"/>
    </row>
    <row r="65" spans="1:10" x14ac:dyDescent="0.2">
      <c r="A65" s="3" t="s">
        <v>131</v>
      </c>
      <c r="B65" s="1" t="s">
        <v>34</v>
      </c>
      <c r="C65" t="s">
        <v>34</v>
      </c>
      <c r="D65" s="28" t="str">
        <f>VLOOKUP(A65,Classification!$A:$D,2,FALSE)</f>
        <v>A</v>
      </c>
      <c r="E65" s="49" t="str">
        <f>VLOOKUP(B65,Classification!$A:$D,2,FALSE)</f>
        <v>A</v>
      </c>
      <c r="F65" s="15" t="str">
        <f>VLOOKUP(C65,Classification!$A:$D,2,FALSE)</f>
        <v>A</v>
      </c>
      <c r="G65" s="15" t="b">
        <f t="shared" si="0"/>
        <v>1</v>
      </c>
      <c r="H65" s="10" t="str">
        <f>IF(ISERROR(MATCH(A65,'SegEnds_Xtal_Prot#'!B:B, 0)), "NoXtal", "Xtal")</f>
        <v>NoXtal</v>
      </c>
      <c r="J65" s="3"/>
    </row>
    <row r="66" spans="1:10" x14ac:dyDescent="0.2">
      <c r="A66" s="3" t="s">
        <v>135</v>
      </c>
      <c r="B66" s="1" t="s">
        <v>34</v>
      </c>
      <c r="C66" t="s">
        <v>34</v>
      </c>
      <c r="D66" s="28" t="str">
        <f>VLOOKUP(A66,Classification!$A:$D,2,FALSE)</f>
        <v>A</v>
      </c>
      <c r="E66" s="49" t="str">
        <f>VLOOKUP(B66,Classification!$A:$D,2,FALSE)</f>
        <v>A</v>
      </c>
      <c r="F66" s="15" t="str">
        <f>VLOOKUP(C66,Classification!$A:$D,2,FALSE)</f>
        <v>A</v>
      </c>
      <c r="G66" s="15" t="b">
        <f t="shared" si="0"/>
        <v>1</v>
      </c>
      <c r="H66" s="10" t="str">
        <f>IF(ISERROR(MATCH(A66,'SegEnds_Xtal_Prot#'!B:B, 0)), "NoXtal", "Xtal")</f>
        <v>NoXtal</v>
      </c>
      <c r="J66" s="3"/>
    </row>
    <row r="67" spans="1:10" x14ac:dyDescent="0.2">
      <c r="A67" s="3" t="s">
        <v>130</v>
      </c>
      <c r="B67" s="1" t="s">
        <v>34</v>
      </c>
      <c r="C67" t="s">
        <v>34</v>
      </c>
      <c r="D67" s="28" t="str">
        <f>VLOOKUP(A67,Classification!$A:$D,2,FALSE)</f>
        <v>A</v>
      </c>
      <c r="E67" s="49" t="str">
        <f>VLOOKUP(B67,Classification!$A:$D,2,FALSE)</f>
        <v>A</v>
      </c>
      <c r="F67" s="15" t="str">
        <f>VLOOKUP(C67,Classification!$A:$D,2,FALSE)</f>
        <v>A</v>
      </c>
      <c r="G67" s="15" t="b">
        <f t="shared" ref="G67:G130" si="1">OR(D67=F67,AND(D67="T",F67="A"),AND(D67="B2",F67="B1"),D67="O")</f>
        <v>1</v>
      </c>
      <c r="H67" s="10" t="str">
        <f>IF(ISERROR(MATCH(A67,'SegEnds_Xtal_Prot#'!B:B, 0)), "NoXtal", "Xtal")</f>
        <v>NoXtal</v>
      </c>
      <c r="J67" s="3"/>
    </row>
    <row r="68" spans="1:10" x14ac:dyDescent="0.2">
      <c r="A68" s="3" t="s">
        <v>129</v>
      </c>
      <c r="B68" s="1" t="s">
        <v>34</v>
      </c>
      <c r="C68" t="s">
        <v>34</v>
      </c>
      <c r="D68" s="28" t="str">
        <f>VLOOKUP(A68,Classification!$A:$D,2,FALSE)</f>
        <v>A</v>
      </c>
      <c r="E68" s="49" t="str">
        <f>VLOOKUP(B68,Classification!$A:$D,2,FALSE)</f>
        <v>A</v>
      </c>
      <c r="F68" s="15" t="str">
        <f>VLOOKUP(C68,Classification!$A:$D,2,FALSE)</f>
        <v>A</v>
      </c>
      <c r="G68" s="15" t="b">
        <f t="shared" si="1"/>
        <v>1</v>
      </c>
      <c r="H68" s="10" t="str">
        <f>IF(ISERROR(MATCH(A68,'SegEnds_Xtal_Prot#'!B:B, 0)), "NoXtal", "Xtal")</f>
        <v>NoXtal</v>
      </c>
      <c r="J68" s="3"/>
    </row>
    <row r="69" spans="1:10" x14ac:dyDescent="0.2">
      <c r="A69" s="3" t="s">
        <v>34</v>
      </c>
      <c r="B69" s="1" t="s">
        <v>34</v>
      </c>
      <c r="C69" t="s">
        <v>34</v>
      </c>
      <c r="D69" s="28" t="str">
        <f>VLOOKUP(A69,Classification!$A:$D,2,FALSE)</f>
        <v>A</v>
      </c>
      <c r="E69" s="49" t="str">
        <f>VLOOKUP(B69,Classification!$A:$D,2,FALSE)</f>
        <v>A</v>
      </c>
      <c r="F69" s="15" t="str">
        <f>VLOOKUP(C69,Classification!$A:$D,2,FALSE)</f>
        <v>A</v>
      </c>
      <c r="G69" s="15" t="b">
        <f t="shared" si="1"/>
        <v>1</v>
      </c>
      <c r="H69" s="10" t="str">
        <f>IF(ISERROR(MATCH(A69,'SegEnds_Xtal_Prot#'!B:B, 0)), "NoXtal", "Xtal")</f>
        <v>Xtal</v>
      </c>
      <c r="J69" s="3"/>
    </row>
    <row r="70" spans="1:10" x14ac:dyDescent="0.2">
      <c r="A70" s="3" t="s">
        <v>128</v>
      </c>
      <c r="B70" s="1" t="s">
        <v>34</v>
      </c>
      <c r="C70" t="s">
        <v>34</v>
      </c>
      <c r="D70" s="28" t="str">
        <f>VLOOKUP(A70,Classification!$A:$D,2,FALSE)</f>
        <v>A</v>
      </c>
      <c r="E70" s="49" t="str">
        <f>VLOOKUP(B70,Classification!$A:$D,2,FALSE)</f>
        <v>A</v>
      </c>
      <c r="F70" s="15" t="str">
        <f>VLOOKUP(C70,Classification!$A:$D,2,FALSE)</f>
        <v>A</v>
      </c>
      <c r="G70" s="15" t="b">
        <f t="shared" si="1"/>
        <v>1</v>
      </c>
      <c r="H70" s="10" t="str">
        <f>IF(ISERROR(MATCH(A70,'SegEnds_Xtal_Prot#'!B:B, 0)), "NoXtal", "Xtal")</f>
        <v>NoXtal</v>
      </c>
      <c r="J70" s="3"/>
    </row>
    <row r="71" spans="1:10" x14ac:dyDescent="0.2">
      <c r="A71" s="3" t="s">
        <v>155</v>
      </c>
      <c r="B71" s="1" t="s">
        <v>191</v>
      </c>
      <c r="C71" t="s">
        <v>34</v>
      </c>
      <c r="D71" s="28" t="str">
        <f>VLOOKUP(A71,Classification!$A:$D,2,FALSE)</f>
        <v>A</v>
      </c>
      <c r="E71" s="49" t="str">
        <f>VLOOKUP(B71,Classification!$A:$D,2,FALSE)</f>
        <v>A</v>
      </c>
      <c r="F71" s="15" t="str">
        <f>VLOOKUP(C71,Classification!$A:$D,2,FALSE)</f>
        <v>A</v>
      </c>
      <c r="G71" s="15" t="b">
        <f t="shared" si="1"/>
        <v>1</v>
      </c>
      <c r="H71" s="10" t="str">
        <f>IF(ISERROR(MATCH(A71,'SegEnds_Xtal_Prot#'!B:B, 0)), "NoXtal", "Xtal")</f>
        <v>NoXtal</v>
      </c>
      <c r="J71" s="3"/>
    </row>
    <row r="72" spans="1:10" x14ac:dyDescent="0.2">
      <c r="A72" s="3" t="s">
        <v>157</v>
      </c>
      <c r="B72" s="1" t="s">
        <v>191</v>
      </c>
      <c r="C72" t="s">
        <v>34</v>
      </c>
      <c r="D72" s="28" t="str">
        <f>VLOOKUP(A72,Classification!$A:$D,2,FALSE)</f>
        <v>A</v>
      </c>
      <c r="E72" s="49" t="str">
        <f>VLOOKUP(B72,Classification!$A:$D,2,FALSE)</f>
        <v>A</v>
      </c>
      <c r="F72" s="15" t="str">
        <f>VLOOKUP(C72,Classification!$A:$D,2,FALSE)</f>
        <v>A</v>
      </c>
      <c r="G72" s="15" t="b">
        <f t="shared" si="1"/>
        <v>1</v>
      </c>
      <c r="H72" s="10" t="str">
        <f>IF(ISERROR(MATCH(A72,'SegEnds_Xtal_Prot#'!B:B, 0)), "NoXtal", "Xtal")</f>
        <v>NoXtal</v>
      </c>
      <c r="J72" s="3"/>
    </row>
    <row r="73" spans="1:10" x14ac:dyDescent="0.2">
      <c r="A73" s="3" t="s">
        <v>391</v>
      </c>
      <c r="B73" s="1" t="s">
        <v>34</v>
      </c>
      <c r="C73" t="s">
        <v>34</v>
      </c>
      <c r="D73" s="28" t="str">
        <f>VLOOKUP(A73,Classification!$A:$D,2,FALSE)</f>
        <v>A</v>
      </c>
      <c r="E73" s="49" t="str">
        <f>VLOOKUP(B73,Classification!$A:$D,2,FALSE)</f>
        <v>A</v>
      </c>
      <c r="F73" s="15" t="str">
        <f>VLOOKUP(C73,Classification!$A:$D,2,FALSE)</f>
        <v>A</v>
      </c>
      <c r="G73" s="15" t="b">
        <f t="shared" si="1"/>
        <v>1</v>
      </c>
      <c r="H73" s="10" t="str">
        <f>IF(ISERROR(MATCH(A73,'SegEnds_Xtal_Prot#'!B:B, 0)), "NoXtal", "Xtal")</f>
        <v>NoXtal</v>
      </c>
      <c r="J73" s="3"/>
    </row>
    <row r="74" spans="1:10" x14ac:dyDescent="0.2">
      <c r="A74" s="3" t="s">
        <v>389</v>
      </c>
      <c r="B74" s="1" t="s">
        <v>34</v>
      </c>
      <c r="C74" t="s">
        <v>34</v>
      </c>
      <c r="D74" s="28" t="str">
        <f>VLOOKUP(A74,Classification!$A:$D,2,FALSE)</f>
        <v>A</v>
      </c>
      <c r="E74" s="49" t="str">
        <f>VLOOKUP(B74,Classification!$A:$D,2,FALSE)</f>
        <v>A</v>
      </c>
      <c r="F74" s="15" t="str">
        <f>VLOOKUP(C74,Classification!$A:$D,2,FALSE)</f>
        <v>A</v>
      </c>
      <c r="G74" s="15" t="b">
        <f t="shared" si="1"/>
        <v>1</v>
      </c>
      <c r="H74" s="10" t="str">
        <f>IF(ISERROR(MATCH(A74,'SegEnds_Xtal_Prot#'!B:B, 0)), "NoXtal", "Xtal")</f>
        <v>NoXtal</v>
      </c>
      <c r="J74" s="3"/>
    </row>
    <row r="75" spans="1:10" x14ac:dyDescent="0.2">
      <c r="A75" s="3" t="s">
        <v>388</v>
      </c>
      <c r="B75" s="1" t="s">
        <v>191</v>
      </c>
      <c r="C75" t="s">
        <v>34</v>
      </c>
      <c r="D75" s="28" t="str">
        <f>VLOOKUP(A75,Classification!$A:$D,2,FALSE)</f>
        <v>A</v>
      </c>
      <c r="E75" s="49" t="str">
        <f>VLOOKUP(B75,Classification!$A:$D,2,FALSE)</f>
        <v>A</v>
      </c>
      <c r="F75" s="15" t="str">
        <f>VLOOKUP(C75,Classification!$A:$D,2,FALSE)</f>
        <v>A</v>
      </c>
      <c r="G75" s="15" t="b">
        <f t="shared" si="1"/>
        <v>1</v>
      </c>
      <c r="H75" s="10" t="str">
        <f>IF(ISERROR(MATCH(A75,'SegEnds_Xtal_Prot#'!B:B, 0)), "NoXtal", "Xtal")</f>
        <v>NoXtal</v>
      </c>
      <c r="J75" s="3"/>
    </row>
    <row r="76" spans="1:10" x14ac:dyDescent="0.2">
      <c r="A76" s="3" t="s">
        <v>390</v>
      </c>
      <c r="B76" s="1" t="s">
        <v>34</v>
      </c>
      <c r="C76" t="s">
        <v>34</v>
      </c>
      <c r="D76" s="28" t="str">
        <f>VLOOKUP(A76,Classification!$A:$D,2,FALSE)</f>
        <v>A</v>
      </c>
      <c r="E76" s="49" t="str">
        <f>VLOOKUP(B76,Classification!$A:$D,2,FALSE)</f>
        <v>A</v>
      </c>
      <c r="F76" s="15" t="str">
        <f>VLOOKUP(C76,Classification!$A:$D,2,FALSE)</f>
        <v>A</v>
      </c>
      <c r="G76" s="15" t="b">
        <f t="shared" si="1"/>
        <v>1</v>
      </c>
      <c r="H76" s="10" t="str">
        <f>IF(ISERROR(MATCH(A76,'SegEnds_Xtal_Prot#'!B:B, 0)), "NoXtal", "Xtal")</f>
        <v>NoXtal</v>
      </c>
      <c r="J76" s="3"/>
    </row>
    <row r="77" spans="1:10" x14ac:dyDescent="0.2">
      <c r="A77" s="3" t="s">
        <v>219</v>
      </c>
      <c r="B77" s="1" t="s">
        <v>34</v>
      </c>
      <c r="C77" t="s">
        <v>34</v>
      </c>
      <c r="D77" s="28" t="str">
        <f>VLOOKUP(A77,Classification!$A:$D,2,FALSE)</f>
        <v>A</v>
      </c>
      <c r="E77" s="49" t="str">
        <f>VLOOKUP(B77,Classification!$A:$D,2,FALSE)</f>
        <v>A</v>
      </c>
      <c r="F77" s="15" t="str">
        <f>VLOOKUP(C77,Classification!$A:$D,2,FALSE)</f>
        <v>A</v>
      </c>
      <c r="G77" s="15" t="b">
        <f t="shared" si="1"/>
        <v>1</v>
      </c>
      <c r="H77" s="10" t="str">
        <f>IF(ISERROR(MATCH(A77,'SegEnds_Xtal_Prot#'!B:B, 0)), "NoXtal", "Xtal")</f>
        <v>NoXtal</v>
      </c>
      <c r="J77" s="3"/>
    </row>
    <row r="78" spans="1:10" x14ac:dyDescent="0.2">
      <c r="A78" s="3" t="s">
        <v>387</v>
      </c>
      <c r="B78" s="1" t="s">
        <v>126</v>
      </c>
      <c r="C78" t="s">
        <v>34</v>
      </c>
      <c r="D78" s="28" t="str">
        <f>VLOOKUP(A78,Classification!$A:$D,2,FALSE)</f>
        <v>A</v>
      </c>
      <c r="E78" s="49" t="str">
        <f>VLOOKUP(B78,Classification!$A:$D,2,FALSE)</f>
        <v>A</v>
      </c>
      <c r="F78" s="15" t="str">
        <f>VLOOKUP(C78,Classification!$A:$D,2,FALSE)</f>
        <v>A</v>
      </c>
      <c r="G78" s="15" t="b">
        <f t="shared" si="1"/>
        <v>1</v>
      </c>
      <c r="H78" s="10" t="str">
        <f>IF(ISERROR(MATCH(A78,'SegEnds_Xtal_Prot#'!B:B, 0)), "NoXtal", "Xtal")</f>
        <v>NoXtal</v>
      </c>
      <c r="J78" s="3"/>
    </row>
    <row r="79" spans="1:10" x14ac:dyDescent="0.2">
      <c r="A79" s="3" t="s">
        <v>392</v>
      </c>
      <c r="B79" s="1" t="s">
        <v>34</v>
      </c>
      <c r="C79" t="s">
        <v>34</v>
      </c>
      <c r="D79" s="28" t="str">
        <f>VLOOKUP(A79,Classification!$A:$D,2,FALSE)</f>
        <v>A</v>
      </c>
      <c r="E79" s="49" t="str">
        <f>VLOOKUP(B79,Classification!$A:$D,2,FALSE)</f>
        <v>A</v>
      </c>
      <c r="F79" s="15" t="str">
        <f>VLOOKUP(C79,Classification!$A:$D,2,FALSE)</f>
        <v>A</v>
      </c>
      <c r="G79" s="15" t="b">
        <f t="shared" si="1"/>
        <v>1</v>
      </c>
      <c r="H79" s="10" t="str">
        <f>IF(ISERROR(MATCH(A79,'SegEnds_Xtal_Prot#'!B:B, 0)), "NoXtal", "Xtal")</f>
        <v>NoXtal</v>
      </c>
      <c r="J79" s="3"/>
    </row>
    <row r="80" spans="1:10" x14ac:dyDescent="0.2">
      <c r="A80" s="3" t="s">
        <v>264</v>
      </c>
      <c r="B80" s="1" t="s">
        <v>191</v>
      </c>
      <c r="C80" t="s">
        <v>34</v>
      </c>
      <c r="D80" s="28" t="str">
        <f>VLOOKUP(A80,Classification!$A:$D,2,FALSE)</f>
        <v>A</v>
      </c>
      <c r="E80" s="49" t="str">
        <f>VLOOKUP(B80,Classification!$A:$D,2,FALSE)</f>
        <v>A</v>
      </c>
      <c r="F80" s="15" t="str">
        <f>VLOOKUP(C80,Classification!$A:$D,2,FALSE)</f>
        <v>A</v>
      </c>
      <c r="G80" s="15" t="b">
        <f t="shared" si="1"/>
        <v>1</v>
      </c>
      <c r="H80" s="10" t="str">
        <f>IF(ISERROR(MATCH(A80,'SegEnds_Xtal_Prot#'!B:B, 0)), "NoXtal", "Xtal")</f>
        <v>NoXtal</v>
      </c>
      <c r="J80" s="3"/>
    </row>
    <row r="81" spans="1:10" x14ac:dyDescent="0.2">
      <c r="A81" s="3" t="s">
        <v>137</v>
      </c>
      <c r="B81" s="1" t="s">
        <v>34</v>
      </c>
      <c r="C81" t="s">
        <v>34</v>
      </c>
      <c r="D81" s="28" t="str">
        <f>VLOOKUP(A81,Classification!$A:$D,2,FALSE)</f>
        <v>A</v>
      </c>
      <c r="E81" s="49" t="str">
        <f>VLOOKUP(B81,Classification!$A:$D,2,FALSE)</f>
        <v>A</v>
      </c>
      <c r="F81" s="15" t="str">
        <f>VLOOKUP(C81,Classification!$A:$D,2,FALSE)</f>
        <v>A</v>
      </c>
      <c r="G81" s="15" t="b">
        <f t="shared" si="1"/>
        <v>1</v>
      </c>
      <c r="H81" s="10" t="str">
        <f>IF(ISERROR(MATCH(A81,'SegEnds_Xtal_Prot#'!B:B, 0)), "NoXtal", "Xtal")</f>
        <v>NoXtal</v>
      </c>
      <c r="J81" s="3"/>
    </row>
    <row r="82" spans="1:10" x14ac:dyDescent="0.2">
      <c r="A82" s="3" t="s">
        <v>152</v>
      </c>
      <c r="B82" s="1" t="s">
        <v>126</v>
      </c>
      <c r="C82" t="s">
        <v>34</v>
      </c>
      <c r="D82" s="28" t="str">
        <f>VLOOKUP(A82,Classification!$A:$D,2,FALSE)</f>
        <v>A</v>
      </c>
      <c r="E82" s="49" t="str">
        <f>VLOOKUP(B82,Classification!$A:$D,2,FALSE)</f>
        <v>A</v>
      </c>
      <c r="F82" s="15" t="str">
        <f>VLOOKUP(C82,Classification!$A:$D,2,FALSE)</f>
        <v>A</v>
      </c>
      <c r="G82" s="15" t="b">
        <f t="shared" si="1"/>
        <v>1</v>
      </c>
      <c r="H82" s="10" t="str">
        <f>IF(ISERROR(MATCH(A82,'SegEnds_Xtal_Prot#'!B:B, 0)), "NoXtal", "Xtal")</f>
        <v>NoXtal</v>
      </c>
      <c r="J82" s="3"/>
    </row>
    <row r="83" spans="1:10" x14ac:dyDescent="0.2">
      <c r="A83" s="3" t="s">
        <v>226</v>
      </c>
      <c r="B83" s="1" t="s">
        <v>34</v>
      </c>
      <c r="C83" t="s">
        <v>34</v>
      </c>
      <c r="D83" s="28" t="str">
        <f>VLOOKUP(A83,Classification!$A:$D,2,FALSE)</f>
        <v>A</v>
      </c>
      <c r="E83" s="49" t="str">
        <f>VLOOKUP(B83,Classification!$A:$D,2,FALSE)</f>
        <v>A</v>
      </c>
      <c r="F83" s="15" t="str">
        <f>VLOOKUP(C83,Classification!$A:$D,2,FALSE)</f>
        <v>A</v>
      </c>
      <c r="G83" s="15" t="b">
        <f t="shared" si="1"/>
        <v>1</v>
      </c>
      <c r="H83" s="10" t="str">
        <f>IF(ISERROR(MATCH(A83,'SegEnds_Xtal_Prot#'!B:B, 0)), "NoXtal", "Xtal")</f>
        <v>NoXtal</v>
      </c>
      <c r="J83" s="3"/>
    </row>
    <row r="84" spans="1:10" x14ac:dyDescent="0.2">
      <c r="A84" s="3" t="s">
        <v>270</v>
      </c>
      <c r="B84" s="1" t="s">
        <v>133</v>
      </c>
      <c r="C84" t="s">
        <v>35</v>
      </c>
      <c r="D84" s="28" t="str">
        <f>VLOOKUP(A84,Classification!$A:$D,2,FALSE)</f>
        <v>A</v>
      </c>
      <c r="E84" s="49" t="str">
        <f>VLOOKUP(B84,Classification!$A:$D,2,FALSE)</f>
        <v>A</v>
      </c>
      <c r="F84" s="15" t="str">
        <f>VLOOKUP(C84,Classification!$A:$D,2,FALSE)</f>
        <v>A</v>
      </c>
      <c r="G84" s="15" t="b">
        <f t="shared" si="1"/>
        <v>1</v>
      </c>
      <c r="H84" s="10" t="str">
        <f>IF(ISERROR(MATCH(A84,'SegEnds_Xtal_Prot#'!B:B, 0)), "NoXtal", "Xtal")</f>
        <v>NoXtal</v>
      </c>
      <c r="J84" s="3"/>
    </row>
    <row r="85" spans="1:10" x14ac:dyDescent="0.2">
      <c r="A85" s="3" t="s">
        <v>229</v>
      </c>
      <c r="B85" s="1" t="s">
        <v>132</v>
      </c>
      <c r="C85" t="s">
        <v>35</v>
      </c>
      <c r="D85" s="28" t="str">
        <f>VLOOKUP(A85,Classification!$A:$D,2,FALSE)</f>
        <v>A</v>
      </c>
      <c r="E85" s="49" t="str">
        <f>VLOOKUP(B85,Classification!$A:$D,2,FALSE)</f>
        <v>A</v>
      </c>
      <c r="F85" s="15" t="str">
        <f>VLOOKUP(C85,Classification!$A:$D,2,FALSE)</f>
        <v>A</v>
      </c>
      <c r="G85" s="15" t="b">
        <f t="shared" si="1"/>
        <v>1</v>
      </c>
      <c r="H85" s="10" t="str">
        <f>IF(ISERROR(MATCH(A85,'SegEnds_Xtal_Prot#'!B:B, 0)), "NoXtal", "Xtal")</f>
        <v>NoXtal</v>
      </c>
      <c r="J85" s="3"/>
    </row>
    <row r="86" spans="1:10" x14ac:dyDescent="0.2">
      <c r="A86" s="3" t="s">
        <v>247</v>
      </c>
      <c r="B86" s="1" t="s">
        <v>1168</v>
      </c>
      <c r="C86" t="s">
        <v>35</v>
      </c>
      <c r="D86" s="28" t="str">
        <f>VLOOKUP(A86,Classification!$A:$D,2,FALSE)</f>
        <v>A</v>
      </c>
      <c r="E86" s="49" t="str">
        <f>VLOOKUP(B86,Classification!$A:$D,2,FALSE)</f>
        <v>A</v>
      </c>
      <c r="F86" s="15" t="str">
        <f>VLOOKUP(C86,Classification!$A:$D,2,FALSE)</f>
        <v>A</v>
      </c>
      <c r="G86" s="15" t="b">
        <f t="shared" si="1"/>
        <v>1</v>
      </c>
      <c r="H86" s="10" t="str">
        <f>IF(ISERROR(MATCH(A86,'SegEnds_Xtal_Prot#'!B:B, 0)), "NoXtal", "Xtal")</f>
        <v>NoXtal</v>
      </c>
      <c r="J86" s="3"/>
    </row>
    <row r="87" spans="1:10" x14ac:dyDescent="0.2">
      <c r="A87" s="3" t="s">
        <v>133</v>
      </c>
      <c r="B87" s="1" t="s">
        <v>133</v>
      </c>
      <c r="C87" t="s">
        <v>35</v>
      </c>
      <c r="D87" s="28" t="str">
        <f>VLOOKUP(A87,Classification!$A:$D,2,FALSE)</f>
        <v>A</v>
      </c>
      <c r="E87" s="49" t="str">
        <f>VLOOKUP(B87,Classification!$A:$D,2,FALSE)</f>
        <v>A</v>
      </c>
      <c r="F87" s="15" t="str">
        <f>VLOOKUP(C87,Classification!$A:$D,2,FALSE)</f>
        <v>A</v>
      </c>
      <c r="G87" s="15" t="b">
        <f t="shared" si="1"/>
        <v>1</v>
      </c>
      <c r="H87" s="10" t="str">
        <f>IF(ISERROR(MATCH(A87,'SegEnds_Xtal_Prot#'!B:B, 0)), "NoXtal", "Xtal")</f>
        <v>Xtal</v>
      </c>
      <c r="J87" s="3"/>
    </row>
    <row r="88" spans="1:10" x14ac:dyDescent="0.2">
      <c r="A88" s="3" t="s">
        <v>132</v>
      </c>
      <c r="B88" s="1" t="s">
        <v>132</v>
      </c>
      <c r="C88" t="s">
        <v>35</v>
      </c>
      <c r="D88" s="28" t="str">
        <f>VLOOKUP(A88,Classification!$A:$D,2,FALSE)</f>
        <v>A</v>
      </c>
      <c r="E88" s="49" t="str">
        <f>VLOOKUP(B88,Classification!$A:$D,2,FALSE)</f>
        <v>A</v>
      </c>
      <c r="F88" s="15" t="str">
        <f>VLOOKUP(C88,Classification!$A:$D,2,FALSE)</f>
        <v>A</v>
      </c>
      <c r="G88" s="15" t="b">
        <f t="shared" si="1"/>
        <v>1</v>
      </c>
      <c r="H88" s="10" t="str">
        <f>IF(ISERROR(MATCH(A88,'SegEnds_Xtal_Prot#'!B:B, 0)), "NoXtal", "Xtal")</f>
        <v>Xtal</v>
      </c>
      <c r="J88" s="3"/>
    </row>
    <row r="89" spans="1:10" x14ac:dyDescent="0.2">
      <c r="A89" s="3" t="s">
        <v>35</v>
      </c>
      <c r="B89" s="1" t="s">
        <v>35</v>
      </c>
      <c r="C89" t="s">
        <v>35</v>
      </c>
      <c r="D89" s="28" t="str">
        <f>VLOOKUP(A89,Classification!$A:$D,2,FALSE)</f>
        <v>A</v>
      </c>
      <c r="E89" s="49" t="str">
        <f>VLOOKUP(B89,Classification!$A:$D,2,FALSE)</f>
        <v>A</v>
      </c>
      <c r="F89" s="15" t="str">
        <f>VLOOKUP(C89,Classification!$A:$D,2,FALSE)</f>
        <v>A</v>
      </c>
      <c r="G89" s="15" t="b">
        <f t="shared" si="1"/>
        <v>1</v>
      </c>
      <c r="H89" s="10" t="str">
        <f>IF(ISERROR(MATCH(A89,'SegEnds_Xtal_Prot#'!B:B, 0)), "NoXtal", "Xtal")</f>
        <v>Xtal</v>
      </c>
      <c r="J89" s="3"/>
    </row>
    <row r="90" spans="1:10" x14ac:dyDescent="0.2">
      <c r="A90" s="3" t="s">
        <v>297</v>
      </c>
      <c r="B90" s="1" t="s">
        <v>103</v>
      </c>
      <c r="C90" t="s">
        <v>139</v>
      </c>
      <c r="D90" s="28" t="str">
        <f>VLOOKUP(A90,Classification!$A:$D,2,FALSE)</f>
        <v>A</v>
      </c>
      <c r="E90" s="49" t="str">
        <f>VLOOKUP(B90,Classification!$A:$D,2,FALSE)</f>
        <v>A</v>
      </c>
      <c r="F90" s="15" t="str">
        <f>VLOOKUP(C90,Classification!$A:$D,2,FALSE)</f>
        <v>A</v>
      </c>
      <c r="G90" s="15" t="b">
        <f t="shared" si="1"/>
        <v>1</v>
      </c>
      <c r="H90" s="10" t="str">
        <f>IF(ISERROR(MATCH(A90,'SegEnds_Xtal_Prot#'!B:B, 0)), "NoXtal", "Xtal")</f>
        <v>NoXtal</v>
      </c>
      <c r="J90" s="3"/>
    </row>
    <row r="91" spans="1:10" x14ac:dyDescent="0.2">
      <c r="A91" s="3" t="s">
        <v>141</v>
      </c>
      <c r="B91" s="1" t="s">
        <v>138</v>
      </c>
      <c r="C91" t="s">
        <v>138</v>
      </c>
      <c r="D91" s="28" t="str">
        <f>VLOOKUP(A91,Classification!$A:$D,2,FALSE)</f>
        <v>A</v>
      </c>
      <c r="E91" s="49" t="str">
        <f>VLOOKUP(B91,Classification!$A:$D,2,FALSE)</f>
        <v>A</v>
      </c>
      <c r="F91" s="15" t="str">
        <f>VLOOKUP(C91,Classification!$A:$D,2,FALSE)</f>
        <v>A</v>
      </c>
      <c r="G91" s="15" t="b">
        <f t="shared" si="1"/>
        <v>1</v>
      </c>
      <c r="H91" s="10" t="str">
        <f>IF(ISERROR(MATCH(A91,'SegEnds_Xtal_Prot#'!B:B, 0)), "NoXtal", "Xtal")</f>
        <v>NoXtal</v>
      </c>
      <c r="J91" s="3"/>
    </row>
    <row r="92" spans="1:10" x14ac:dyDescent="0.2">
      <c r="A92" s="3" t="s">
        <v>138</v>
      </c>
      <c r="B92" s="1" t="s">
        <v>138</v>
      </c>
      <c r="C92" t="s">
        <v>138</v>
      </c>
      <c r="D92" s="28" t="str">
        <f>VLOOKUP(A92,Classification!$A:$D,2,FALSE)</f>
        <v>A</v>
      </c>
      <c r="E92" s="49" t="str">
        <f>VLOOKUP(B92,Classification!$A:$D,2,FALSE)</f>
        <v>A</v>
      </c>
      <c r="F92" s="15" t="str">
        <f>VLOOKUP(C92,Classification!$A:$D,2,FALSE)</f>
        <v>A</v>
      </c>
      <c r="G92" s="15" t="b">
        <f t="shared" si="1"/>
        <v>1</v>
      </c>
      <c r="H92" s="10" t="str">
        <f>IF(ISERROR(MATCH(A92,'SegEnds_Xtal_Prot#'!B:B, 0)), "NoXtal", "Xtal")</f>
        <v>Xtal</v>
      </c>
      <c r="J92" s="3"/>
    </row>
    <row r="93" spans="1:10" x14ac:dyDescent="0.2">
      <c r="A93" s="3" t="s">
        <v>140</v>
      </c>
      <c r="B93" s="1" t="s">
        <v>139</v>
      </c>
      <c r="C93" t="s">
        <v>139</v>
      </c>
      <c r="D93" s="28" t="str">
        <f>VLOOKUP(A93,Classification!$A:$D,2,FALSE)</f>
        <v>A</v>
      </c>
      <c r="E93" s="49" t="str">
        <f>VLOOKUP(B93,Classification!$A:$D,2,FALSE)</f>
        <v>A</v>
      </c>
      <c r="F93" s="15" t="str">
        <f>VLOOKUP(C93,Classification!$A:$D,2,FALSE)</f>
        <v>A</v>
      </c>
      <c r="G93" s="15" t="b">
        <f t="shared" si="1"/>
        <v>1</v>
      </c>
      <c r="H93" s="10" t="str">
        <f>IF(ISERROR(MATCH(A93,'SegEnds_Xtal_Prot#'!B:B, 0)), "NoXtal", "Xtal")</f>
        <v>NoXtal</v>
      </c>
      <c r="J93" s="3"/>
    </row>
    <row r="94" spans="1:10" x14ac:dyDescent="0.2">
      <c r="A94" s="3" t="s">
        <v>360</v>
      </c>
      <c r="B94" s="1" t="s">
        <v>467</v>
      </c>
      <c r="C94" t="s">
        <v>139</v>
      </c>
      <c r="D94" s="28" t="str">
        <f>VLOOKUP(A94,Classification!$A:$D,2,FALSE)</f>
        <v>A</v>
      </c>
      <c r="E94" s="49" t="str">
        <f>VLOOKUP(B94,Classification!$A:$D,2,FALSE)</f>
        <v>A</v>
      </c>
      <c r="F94" s="15" t="str">
        <f>VLOOKUP(C94,Classification!$A:$D,2,FALSE)</f>
        <v>A</v>
      </c>
      <c r="G94" s="15" t="b">
        <f t="shared" si="1"/>
        <v>1</v>
      </c>
      <c r="H94" s="10" t="str">
        <f>IF(ISERROR(MATCH(A94,'SegEnds_Xtal_Prot#'!B:B, 0)), "NoXtal", "Xtal")</f>
        <v>NoXtal</v>
      </c>
      <c r="J94" s="3"/>
    </row>
    <row r="95" spans="1:10" x14ac:dyDescent="0.2">
      <c r="A95" s="3" t="s">
        <v>203</v>
      </c>
      <c r="B95" s="1" t="s">
        <v>139</v>
      </c>
      <c r="C95" t="s">
        <v>139</v>
      </c>
      <c r="D95" s="28" t="str">
        <f>VLOOKUP(A95,Classification!$A:$D,2,FALSE)</f>
        <v>A</v>
      </c>
      <c r="E95" s="49" t="str">
        <f>VLOOKUP(B95,Classification!$A:$D,2,FALSE)</f>
        <v>A</v>
      </c>
      <c r="F95" s="15" t="str">
        <f>VLOOKUP(C95,Classification!$A:$D,2,FALSE)</f>
        <v>A</v>
      </c>
      <c r="G95" s="15" t="b">
        <f t="shared" si="1"/>
        <v>1</v>
      </c>
      <c r="H95" s="10" t="str">
        <f>IF(ISERROR(MATCH(A95,'SegEnds_Xtal_Prot#'!B:B, 0)), "NoXtal", "Xtal")</f>
        <v>NoXtal</v>
      </c>
      <c r="J95" s="3"/>
    </row>
    <row r="96" spans="1:10" x14ac:dyDescent="0.2">
      <c r="A96" s="3" t="s">
        <v>290</v>
      </c>
      <c r="B96" s="1" t="s">
        <v>277</v>
      </c>
      <c r="C96" t="s">
        <v>139</v>
      </c>
      <c r="D96" s="28" t="str">
        <f>VLOOKUP(A96,Classification!$A:$D,2,FALSE)</f>
        <v>A</v>
      </c>
      <c r="E96" s="49" t="str">
        <f>VLOOKUP(B96,Classification!$A:$D,2,FALSE)</f>
        <v>A</v>
      </c>
      <c r="F96" s="15" t="str">
        <f>VLOOKUP(C96,Classification!$A:$D,2,FALSE)</f>
        <v>A</v>
      </c>
      <c r="G96" s="15" t="b">
        <f t="shared" si="1"/>
        <v>1</v>
      </c>
      <c r="H96" s="10" t="str">
        <f>IF(ISERROR(MATCH(A96,'SegEnds_Xtal_Prot#'!B:B, 0)), "NoXtal", "Xtal")</f>
        <v>NoXtal</v>
      </c>
      <c r="J96" s="3"/>
    </row>
    <row r="97" spans="1:10" x14ac:dyDescent="0.2">
      <c r="A97" s="3" t="s">
        <v>394</v>
      </c>
      <c r="B97" s="1" t="s">
        <v>139</v>
      </c>
      <c r="C97" t="s">
        <v>139</v>
      </c>
      <c r="D97" s="28" t="str">
        <f>VLOOKUP(A97,Classification!$A:$D,2,FALSE)</f>
        <v>A</v>
      </c>
      <c r="E97" s="49" t="str">
        <f>VLOOKUP(B97,Classification!$A:$D,2,FALSE)</f>
        <v>A</v>
      </c>
      <c r="F97" s="15" t="str">
        <f>VLOOKUP(C97,Classification!$A:$D,2,FALSE)</f>
        <v>A</v>
      </c>
      <c r="G97" s="15" t="b">
        <f t="shared" si="1"/>
        <v>1</v>
      </c>
      <c r="H97" s="10" t="str">
        <f>IF(ISERROR(MATCH(A97,'SegEnds_Xtal_Prot#'!B:B, 0)), "NoXtal", "Xtal")</f>
        <v>NoXtal</v>
      </c>
      <c r="J97" s="3"/>
    </row>
    <row r="98" spans="1:10" x14ac:dyDescent="0.2">
      <c r="A98" s="3" t="s">
        <v>283</v>
      </c>
      <c r="B98" s="1" t="s">
        <v>139</v>
      </c>
      <c r="C98" t="s">
        <v>139</v>
      </c>
      <c r="D98" s="28" t="str">
        <f>VLOOKUP(A98,Classification!$A:$D,2,FALSE)</f>
        <v>A</v>
      </c>
      <c r="E98" s="49" t="str">
        <f>VLOOKUP(B98,Classification!$A:$D,2,FALSE)</f>
        <v>A</v>
      </c>
      <c r="F98" s="15" t="str">
        <f>VLOOKUP(C98,Classification!$A:$D,2,FALSE)</f>
        <v>A</v>
      </c>
      <c r="G98" s="15" t="b">
        <f t="shared" si="1"/>
        <v>1</v>
      </c>
      <c r="H98" s="10" t="str">
        <f>IF(ISERROR(MATCH(A98,'SegEnds_Xtal_Prot#'!B:B, 0)), "NoXtal", "Xtal")</f>
        <v>NoXtal</v>
      </c>
      <c r="J98" s="3"/>
    </row>
    <row r="99" spans="1:10" x14ac:dyDescent="0.2">
      <c r="A99" s="3" t="s">
        <v>139</v>
      </c>
      <c r="B99" s="1" t="s">
        <v>139</v>
      </c>
      <c r="C99" t="s">
        <v>139</v>
      </c>
      <c r="D99" s="28" t="str">
        <f>VLOOKUP(A99,Classification!$A:$D,2,FALSE)</f>
        <v>A</v>
      </c>
      <c r="E99" s="49" t="str">
        <f>VLOOKUP(B99,Classification!$A:$D,2,FALSE)</f>
        <v>A</v>
      </c>
      <c r="F99" s="15" t="str">
        <f>VLOOKUP(C99,Classification!$A:$D,2,FALSE)</f>
        <v>A</v>
      </c>
      <c r="G99" s="15" t="b">
        <f t="shared" si="1"/>
        <v>1</v>
      </c>
      <c r="H99" s="10" t="str">
        <f>IF(ISERROR(MATCH(A99,'SegEnds_Xtal_Prot#'!B:B, 0)), "NoXtal", "Xtal")</f>
        <v>Xtal</v>
      </c>
      <c r="J99" s="3"/>
    </row>
    <row r="100" spans="1:10" x14ac:dyDescent="0.2">
      <c r="A100" s="3" t="s">
        <v>279</v>
      </c>
      <c r="B100" s="1" t="s">
        <v>277</v>
      </c>
      <c r="C100" t="s">
        <v>146</v>
      </c>
      <c r="D100" s="28" t="str">
        <f>VLOOKUP(A100,Classification!$A:$D,2,FALSE)</f>
        <v>A</v>
      </c>
      <c r="E100" s="49" t="str">
        <f>VLOOKUP(B100,Classification!$A:$D,2,FALSE)</f>
        <v>A</v>
      </c>
      <c r="F100" s="15" t="str">
        <f>VLOOKUP(C100,Classification!$A:$D,2,FALSE)</f>
        <v>A</v>
      </c>
      <c r="G100" s="15" t="b">
        <f t="shared" si="1"/>
        <v>1</v>
      </c>
      <c r="H100" s="10" t="str">
        <f>IF(ISERROR(MATCH(A100,'SegEnds_Xtal_Prot#'!B:B, 0)), "NoXtal", "Xtal")</f>
        <v>NoXtal</v>
      </c>
      <c r="J100" s="3"/>
    </row>
    <row r="101" spans="1:10" x14ac:dyDescent="0.2">
      <c r="A101" s="3" t="s">
        <v>146</v>
      </c>
      <c r="B101" s="1" t="s">
        <v>146</v>
      </c>
      <c r="C101" t="s">
        <v>146</v>
      </c>
      <c r="D101" s="28" t="str">
        <f>VLOOKUP(A101,Classification!$A:$D,2,FALSE)</f>
        <v>A</v>
      </c>
      <c r="E101" s="49" t="str">
        <f>VLOOKUP(B101,Classification!$A:$D,2,FALSE)</f>
        <v>A</v>
      </c>
      <c r="F101" s="15" t="str">
        <f>VLOOKUP(C101,Classification!$A:$D,2,FALSE)</f>
        <v>A</v>
      </c>
      <c r="G101" s="15" t="b">
        <f t="shared" si="1"/>
        <v>1</v>
      </c>
      <c r="H101" s="10" t="str">
        <f>IF(ISERROR(MATCH(A101,'SegEnds_Xtal_Prot#'!B:B, 0)), "NoXtal", "Xtal")</f>
        <v>Xtal</v>
      </c>
      <c r="J101" s="3"/>
    </row>
    <row r="102" spans="1:10" x14ac:dyDescent="0.2">
      <c r="A102" s="3" t="s">
        <v>234</v>
      </c>
      <c r="B102" s="1" t="s">
        <v>103</v>
      </c>
      <c r="C102" t="s">
        <v>146</v>
      </c>
      <c r="D102" s="28" t="str">
        <f>VLOOKUP(A102,Classification!$A:$D,2,FALSE)</f>
        <v>A</v>
      </c>
      <c r="E102" s="49" t="str">
        <f>VLOOKUP(B102,Classification!$A:$D,2,FALSE)</f>
        <v>A</v>
      </c>
      <c r="F102" s="15" t="str">
        <f>VLOOKUP(C102,Classification!$A:$D,2,FALSE)</f>
        <v>A</v>
      </c>
      <c r="G102" s="15" t="b">
        <f t="shared" si="1"/>
        <v>1</v>
      </c>
      <c r="H102" s="10" t="str">
        <f>IF(ISERROR(MATCH(A102,'SegEnds_Xtal_Prot#'!B:B, 0)), "NoXtal", "Xtal")</f>
        <v>NoXtal</v>
      </c>
      <c r="J102" s="3"/>
    </row>
    <row r="103" spans="1:10" x14ac:dyDescent="0.2">
      <c r="A103" s="3" t="s">
        <v>147</v>
      </c>
      <c r="B103" s="1" t="s">
        <v>147</v>
      </c>
      <c r="C103" t="s">
        <v>147</v>
      </c>
      <c r="D103" s="28" t="str">
        <f>VLOOKUP(A103,Classification!$A:$D,2,FALSE)</f>
        <v>A</v>
      </c>
      <c r="E103" s="49" t="str">
        <f>VLOOKUP(B103,Classification!$A:$D,2,FALSE)</f>
        <v>A</v>
      </c>
      <c r="F103" s="15" t="str">
        <f>VLOOKUP(C103,Classification!$A:$D,2,FALSE)</f>
        <v>A</v>
      </c>
      <c r="G103" s="15" t="b">
        <f t="shared" si="1"/>
        <v>1</v>
      </c>
      <c r="H103" s="10" t="str">
        <f>IF(ISERROR(MATCH(A103,'SegEnds_Xtal_Prot#'!B:B, 0)), "NoXtal", "Xtal")</f>
        <v>Xtal</v>
      </c>
      <c r="J103" s="3"/>
    </row>
    <row r="104" spans="1:10" x14ac:dyDescent="0.2">
      <c r="A104" s="3" t="s">
        <v>280</v>
      </c>
      <c r="B104" s="1" t="s">
        <v>903</v>
      </c>
      <c r="C104" t="s">
        <v>903</v>
      </c>
      <c r="D104" s="28" t="str">
        <f>VLOOKUP(A104,Classification!$A:$D,2,FALSE)</f>
        <v>A</v>
      </c>
      <c r="E104" s="49" t="str">
        <f>VLOOKUP(B104,Classification!$A:$D,2,FALSE)</f>
        <v>A</v>
      </c>
      <c r="F104" s="15" t="str">
        <f>VLOOKUP(C104,Classification!$A:$D,2,FALSE)</f>
        <v>A</v>
      </c>
      <c r="G104" s="15" t="b">
        <f t="shared" si="1"/>
        <v>1</v>
      </c>
      <c r="H104" s="10" t="str">
        <f>IF(ISERROR(MATCH(A104,'SegEnds_Xtal_Prot#'!B:B, 0)), "NoXtal", "Xtal")</f>
        <v>NoXtal</v>
      </c>
      <c r="J104" s="3"/>
    </row>
    <row r="105" spans="1:10" x14ac:dyDescent="0.2">
      <c r="A105" s="3" t="s">
        <v>150</v>
      </c>
      <c r="B105" s="1" t="s">
        <v>150</v>
      </c>
      <c r="C105" t="s">
        <v>903</v>
      </c>
      <c r="D105" s="28" t="str">
        <f>VLOOKUP(A105,Classification!$A:$D,2,FALSE)</f>
        <v>A</v>
      </c>
      <c r="E105" s="49" t="str">
        <f>VLOOKUP(B105,Classification!$A:$D,2,FALSE)</f>
        <v>A</v>
      </c>
      <c r="F105" s="15" t="str">
        <f>VLOOKUP(C105,Classification!$A:$D,2,FALSE)</f>
        <v>A</v>
      </c>
      <c r="G105" s="15" t="b">
        <f t="shared" si="1"/>
        <v>1</v>
      </c>
      <c r="H105" s="10" t="str">
        <f>IF(ISERROR(MATCH(A105,'SegEnds_Xtal_Prot#'!B:B, 0)), "NoXtal", "Xtal")</f>
        <v>Xtal</v>
      </c>
      <c r="J105" s="3"/>
    </row>
    <row r="106" spans="1:10" x14ac:dyDescent="0.2">
      <c r="A106" s="3" t="s">
        <v>903</v>
      </c>
      <c r="B106" s="1" t="s">
        <v>903</v>
      </c>
      <c r="C106" t="s">
        <v>903</v>
      </c>
      <c r="D106" s="28" t="str">
        <f>VLOOKUP(A106,Classification!$A:$D,2,FALSE)</f>
        <v>A</v>
      </c>
      <c r="E106" s="49" t="str">
        <f>VLOOKUP(B106,Classification!$A:$D,2,FALSE)</f>
        <v>A</v>
      </c>
      <c r="F106" s="15" t="str">
        <f>VLOOKUP(C106,Classification!$A:$D,2,FALSE)</f>
        <v>A</v>
      </c>
      <c r="G106" s="15" t="b">
        <f t="shared" si="1"/>
        <v>1</v>
      </c>
      <c r="H106" s="10" t="str">
        <f>IF(ISERROR(MATCH(A106,'SegEnds_Xtal_Prot#'!B:B, 0)), "NoXtal", "Xtal")</f>
        <v>Xtal</v>
      </c>
      <c r="J106" s="3"/>
    </row>
    <row r="107" spans="1:10" x14ac:dyDescent="0.2">
      <c r="A107" s="3" t="s">
        <v>148</v>
      </c>
      <c r="B107" s="1" t="s">
        <v>903</v>
      </c>
      <c r="C107" t="s">
        <v>903</v>
      </c>
      <c r="D107" s="28" t="str">
        <f>VLOOKUP(A107,Classification!$A:$D,2,FALSE)</f>
        <v>A</v>
      </c>
      <c r="E107" s="49" t="str">
        <f>VLOOKUP(B107,Classification!$A:$D,2,FALSE)</f>
        <v>A</v>
      </c>
      <c r="F107" s="15" t="str">
        <f>VLOOKUP(C107,Classification!$A:$D,2,FALSE)</f>
        <v>A</v>
      </c>
      <c r="G107" s="15" t="b">
        <f t="shared" si="1"/>
        <v>1</v>
      </c>
      <c r="H107" s="10" t="str">
        <f>IF(ISERROR(MATCH(A107,'SegEnds_Xtal_Prot#'!B:B, 0)), "NoXtal", "Xtal")</f>
        <v>NoXtal</v>
      </c>
      <c r="J107" s="3"/>
    </row>
    <row r="108" spans="1:10" x14ac:dyDescent="0.2">
      <c r="A108" s="3" t="s">
        <v>149</v>
      </c>
      <c r="B108" s="1" t="s">
        <v>149</v>
      </c>
      <c r="C108" t="s">
        <v>149</v>
      </c>
      <c r="D108" s="28" t="str">
        <f>VLOOKUP(A108,Classification!$A:$D,2,FALSE)</f>
        <v>A</v>
      </c>
      <c r="E108" s="49" t="str">
        <f>VLOOKUP(B108,Classification!$A:$D,2,FALSE)</f>
        <v>A</v>
      </c>
      <c r="F108" s="15" t="str">
        <f>VLOOKUP(C108,Classification!$A:$D,2,FALSE)</f>
        <v>A</v>
      </c>
      <c r="G108" s="15" t="b">
        <f t="shared" si="1"/>
        <v>1</v>
      </c>
      <c r="H108" s="10" t="str">
        <f>IF(ISERROR(MATCH(A108,'SegEnds_Xtal_Prot#'!B:B, 0)), "NoXtal", "Xtal")</f>
        <v>Xtal</v>
      </c>
      <c r="J108" s="3"/>
    </row>
    <row r="109" spans="1:10" x14ac:dyDescent="0.2">
      <c r="A109" s="3" t="s">
        <v>227</v>
      </c>
      <c r="B109" s="1" t="s">
        <v>324</v>
      </c>
      <c r="C109" t="s">
        <v>149</v>
      </c>
      <c r="D109" s="28" t="str">
        <f>VLOOKUP(A109,Classification!$A:$D,2,FALSE)</f>
        <v>A</v>
      </c>
      <c r="E109" s="49" t="str">
        <f>VLOOKUP(B109,Classification!$A:$D,2,FALSE)</f>
        <v>A</v>
      </c>
      <c r="F109" s="15" t="str">
        <f>VLOOKUP(C109,Classification!$A:$D,2,FALSE)</f>
        <v>A</v>
      </c>
      <c r="G109" s="15" t="b">
        <f t="shared" si="1"/>
        <v>1</v>
      </c>
      <c r="H109" s="10" t="str">
        <f>IF(ISERROR(MATCH(A109,'SegEnds_Xtal_Prot#'!B:B, 0)), "NoXtal", "Xtal")</f>
        <v>NoXtal</v>
      </c>
      <c r="J109" s="3"/>
    </row>
    <row r="110" spans="1:10" x14ac:dyDescent="0.2">
      <c r="A110" s="3" t="s">
        <v>386</v>
      </c>
      <c r="B110" s="1" t="s">
        <v>191</v>
      </c>
      <c r="C110" t="s">
        <v>905</v>
      </c>
      <c r="D110" s="28" t="str">
        <f>VLOOKUP(A110,Classification!$A:$D,2,FALSE)</f>
        <v>A</v>
      </c>
      <c r="E110" s="49" t="str">
        <f>VLOOKUP(B110,Classification!$A:$D,2,FALSE)</f>
        <v>A</v>
      </c>
      <c r="F110" s="15" t="str">
        <f>VLOOKUP(C110,Classification!$A:$D,2,FALSE)</f>
        <v>A</v>
      </c>
      <c r="G110" s="15" t="b">
        <f t="shared" si="1"/>
        <v>1</v>
      </c>
      <c r="H110" s="10" t="str">
        <f>IF(ISERROR(MATCH(A110,'SegEnds_Xtal_Prot#'!B:B, 0)), "NoXtal", "Xtal")</f>
        <v>NoXtal</v>
      </c>
      <c r="J110" s="3"/>
    </row>
    <row r="111" spans="1:10" x14ac:dyDescent="0.2">
      <c r="A111" s="3" t="s">
        <v>258</v>
      </c>
      <c r="B111" s="1" t="s">
        <v>34</v>
      </c>
      <c r="C111" t="s">
        <v>905</v>
      </c>
      <c r="D111" s="28" t="str">
        <f>VLOOKUP(A111,Classification!$A:$D,2,FALSE)</f>
        <v>A</v>
      </c>
      <c r="E111" s="49" t="str">
        <f>VLOOKUP(B111,Classification!$A:$D,2,FALSE)</f>
        <v>A</v>
      </c>
      <c r="F111" s="15" t="str">
        <f>VLOOKUP(C111,Classification!$A:$D,2,FALSE)</f>
        <v>A</v>
      </c>
      <c r="G111" s="15" t="b">
        <f t="shared" si="1"/>
        <v>1</v>
      </c>
      <c r="H111" s="10" t="str">
        <f>IF(ISERROR(MATCH(A111,'SegEnds_Xtal_Prot#'!B:B, 0)), "NoXtal", "Xtal")</f>
        <v>NoXtal</v>
      </c>
      <c r="J111" s="3"/>
    </row>
    <row r="112" spans="1:10" x14ac:dyDescent="0.2">
      <c r="A112" s="3" t="s">
        <v>211</v>
      </c>
      <c r="B112" s="1" t="s">
        <v>173</v>
      </c>
      <c r="C112" t="s">
        <v>905</v>
      </c>
      <c r="D112" s="28" t="str">
        <f>VLOOKUP(A112,Classification!$A:$D,2,FALSE)</f>
        <v>A</v>
      </c>
      <c r="E112" s="49" t="str">
        <f>VLOOKUP(B112,Classification!$A:$D,2,FALSE)</f>
        <v>A</v>
      </c>
      <c r="F112" s="15" t="str">
        <f>VLOOKUP(C112,Classification!$A:$D,2,FALSE)</f>
        <v>A</v>
      </c>
      <c r="G112" s="15" t="b">
        <f t="shared" si="1"/>
        <v>1</v>
      </c>
      <c r="H112" s="10" t="str">
        <f>IF(ISERROR(MATCH(A112,'SegEnds_Xtal_Prot#'!B:B, 0)), "NoXtal", "Xtal")</f>
        <v>NoXtal</v>
      </c>
      <c r="J112" s="3"/>
    </row>
    <row r="113" spans="1:10" x14ac:dyDescent="0.2">
      <c r="A113" s="3" t="s">
        <v>310</v>
      </c>
      <c r="B113" s="1" t="s">
        <v>310</v>
      </c>
      <c r="C113" t="s">
        <v>905</v>
      </c>
      <c r="D113" s="28" t="str">
        <f>VLOOKUP(A113,Classification!$A:$D,2,FALSE)</f>
        <v>A</v>
      </c>
      <c r="E113" s="49" t="str">
        <f>VLOOKUP(B113,Classification!$A:$D,2,FALSE)</f>
        <v>A</v>
      </c>
      <c r="F113" s="15" t="str">
        <f>VLOOKUP(C113,Classification!$A:$D,2,FALSE)</f>
        <v>A</v>
      </c>
      <c r="G113" s="15" t="b">
        <f t="shared" si="1"/>
        <v>1</v>
      </c>
      <c r="H113" s="10" t="str">
        <f>IF(ISERROR(MATCH(A113,'SegEnds_Xtal_Prot#'!B:B, 0)), "NoXtal", "Xtal")</f>
        <v>Xtal</v>
      </c>
      <c r="J113" s="3"/>
    </row>
    <row r="114" spans="1:10" x14ac:dyDescent="0.2">
      <c r="A114" s="3" t="s">
        <v>102</v>
      </c>
      <c r="B114" s="1" t="s">
        <v>126</v>
      </c>
      <c r="C114" t="s">
        <v>905</v>
      </c>
      <c r="D114" s="28" t="str">
        <f>VLOOKUP(A114,Classification!$A:$D,2,FALSE)</f>
        <v>A</v>
      </c>
      <c r="E114" s="49" t="str">
        <f>VLOOKUP(B114,Classification!$A:$D,2,FALSE)</f>
        <v>A</v>
      </c>
      <c r="F114" s="15" t="str">
        <f>VLOOKUP(C114,Classification!$A:$D,2,FALSE)</f>
        <v>A</v>
      </c>
      <c r="G114" s="15" t="b">
        <f t="shared" si="1"/>
        <v>1</v>
      </c>
      <c r="H114" s="10" t="str">
        <f>IF(ISERROR(MATCH(A114,'SegEnds_Xtal_Prot#'!B:B, 0)), "NoXtal", "Xtal")</f>
        <v>NoXtal</v>
      </c>
      <c r="J114" s="3"/>
    </row>
    <row r="115" spans="1:10" x14ac:dyDescent="0.2">
      <c r="A115" s="3" t="s">
        <v>375</v>
      </c>
      <c r="B115" s="1" t="s">
        <v>138</v>
      </c>
      <c r="C115" t="s">
        <v>905</v>
      </c>
      <c r="D115" s="28" t="str">
        <f>VLOOKUP(A115,Classification!$A:$D,2,FALSE)</f>
        <v>A</v>
      </c>
      <c r="E115" s="49" t="str">
        <f>VLOOKUP(B115,Classification!$A:$D,2,FALSE)</f>
        <v>A</v>
      </c>
      <c r="F115" s="15" t="str">
        <f>VLOOKUP(C115,Classification!$A:$D,2,FALSE)</f>
        <v>A</v>
      </c>
      <c r="G115" s="15" t="b">
        <f t="shared" si="1"/>
        <v>1</v>
      </c>
      <c r="H115" s="10" t="str">
        <f>IF(ISERROR(MATCH(A115,'SegEnds_Xtal_Prot#'!B:B, 0)), "NoXtal", "Xtal")</f>
        <v>NoXtal</v>
      </c>
      <c r="J115" s="3"/>
    </row>
    <row r="116" spans="1:10" x14ac:dyDescent="0.2">
      <c r="A116" s="3" t="s">
        <v>278</v>
      </c>
      <c r="B116" s="1" t="s">
        <v>126</v>
      </c>
      <c r="C116" t="s">
        <v>905</v>
      </c>
      <c r="D116" s="28" t="str">
        <f>VLOOKUP(A116,Classification!$A:$D,2,FALSE)</f>
        <v>A</v>
      </c>
      <c r="E116" s="49" t="str">
        <f>VLOOKUP(B116,Classification!$A:$D,2,FALSE)</f>
        <v>A</v>
      </c>
      <c r="F116" s="15" t="str">
        <f>VLOOKUP(C116,Classification!$A:$D,2,FALSE)</f>
        <v>A</v>
      </c>
      <c r="G116" s="15" t="b">
        <f t="shared" si="1"/>
        <v>1</v>
      </c>
      <c r="H116" s="10" t="str">
        <f>IF(ISERROR(MATCH(A116,'SegEnds_Xtal_Prot#'!B:B, 0)), "NoXtal", "Xtal")</f>
        <v>NoXtal</v>
      </c>
      <c r="J116" s="3"/>
    </row>
    <row r="117" spans="1:10" x14ac:dyDescent="0.2">
      <c r="A117" s="3" t="s">
        <v>134</v>
      </c>
      <c r="B117" s="1" t="s">
        <v>126</v>
      </c>
      <c r="C117" t="s">
        <v>905</v>
      </c>
      <c r="D117" s="28" t="str">
        <f>VLOOKUP(A117,Classification!$A:$D,2,FALSE)</f>
        <v>A</v>
      </c>
      <c r="E117" s="49" t="str">
        <f>VLOOKUP(B117,Classification!$A:$D,2,FALSE)</f>
        <v>A</v>
      </c>
      <c r="F117" s="15" t="str">
        <f>VLOOKUP(C117,Classification!$A:$D,2,FALSE)</f>
        <v>A</v>
      </c>
      <c r="G117" s="15" t="b">
        <f t="shared" si="1"/>
        <v>1</v>
      </c>
      <c r="H117" s="10" t="str">
        <f>IF(ISERROR(MATCH(A117,'SegEnds_Xtal_Prot#'!B:B, 0)), "NoXtal", "Xtal")</f>
        <v>NoXtal</v>
      </c>
      <c r="J117" s="3"/>
    </row>
    <row r="118" spans="1:10" x14ac:dyDescent="0.2">
      <c r="A118" s="3" t="s">
        <v>125</v>
      </c>
      <c r="B118" s="1" t="s">
        <v>126</v>
      </c>
      <c r="C118" t="s">
        <v>905</v>
      </c>
      <c r="D118" s="28" t="str">
        <f>VLOOKUP(A118,Classification!$A:$D,2,FALSE)</f>
        <v>A</v>
      </c>
      <c r="E118" s="49" t="str">
        <f>VLOOKUP(B118,Classification!$A:$D,2,FALSE)</f>
        <v>A</v>
      </c>
      <c r="F118" s="15" t="str">
        <f>VLOOKUP(C118,Classification!$A:$D,2,FALSE)</f>
        <v>A</v>
      </c>
      <c r="G118" s="15" t="b">
        <f t="shared" si="1"/>
        <v>1</v>
      </c>
      <c r="H118" s="10" t="str">
        <f>IF(ISERROR(MATCH(A118,'SegEnds_Xtal_Prot#'!B:B, 0)), "NoXtal", "Xtal")</f>
        <v>NoXtal</v>
      </c>
      <c r="J118" s="3"/>
    </row>
    <row r="119" spans="1:10" x14ac:dyDescent="0.2">
      <c r="A119" s="3" t="s">
        <v>190</v>
      </c>
      <c r="B119" s="1" t="s">
        <v>126</v>
      </c>
      <c r="C119" t="s">
        <v>905</v>
      </c>
      <c r="D119" s="28" t="str">
        <f>VLOOKUP(A119,Classification!$A:$D,2,FALSE)</f>
        <v>A</v>
      </c>
      <c r="E119" s="49" t="str">
        <f>VLOOKUP(B119,Classification!$A:$D,2,FALSE)</f>
        <v>A</v>
      </c>
      <c r="F119" s="15" t="str">
        <f>VLOOKUP(C119,Classification!$A:$D,2,FALSE)</f>
        <v>A</v>
      </c>
      <c r="G119" s="15" t="b">
        <f t="shared" si="1"/>
        <v>1</v>
      </c>
      <c r="H119" s="10" t="str">
        <f>IF(ISERROR(MATCH(A119,'SegEnds_Xtal_Prot#'!B:B, 0)), "NoXtal", "Xtal")</f>
        <v>NoXtal</v>
      </c>
      <c r="J119" s="3"/>
    </row>
    <row r="120" spans="1:10" x14ac:dyDescent="0.2">
      <c r="A120" s="3" t="s">
        <v>194</v>
      </c>
      <c r="B120" s="1" t="s">
        <v>126</v>
      </c>
      <c r="C120" t="s">
        <v>905</v>
      </c>
      <c r="D120" s="28" t="str">
        <f>VLOOKUP(A120,Classification!$A:$D,2,FALSE)</f>
        <v>A</v>
      </c>
      <c r="E120" s="49" t="str">
        <f>VLOOKUP(B120,Classification!$A:$D,2,FALSE)</f>
        <v>A</v>
      </c>
      <c r="F120" s="15" t="str">
        <f>VLOOKUP(C120,Classification!$A:$D,2,FALSE)</f>
        <v>A</v>
      </c>
      <c r="G120" s="15" t="b">
        <f t="shared" si="1"/>
        <v>1</v>
      </c>
      <c r="H120" s="10" t="str">
        <f>IF(ISERROR(MATCH(A120,'SegEnds_Xtal_Prot#'!B:B, 0)), "NoXtal", "Xtal")</f>
        <v>NoXtal</v>
      </c>
      <c r="J120" s="3"/>
    </row>
    <row r="121" spans="1:10" x14ac:dyDescent="0.2">
      <c r="A121" s="3" t="s">
        <v>136</v>
      </c>
      <c r="B121" s="1" t="s">
        <v>133</v>
      </c>
      <c r="C121" t="s">
        <v>905</v>
      </c>
      <c r="D121" s="28" t="str">
        <f>VLOOKUP(A121,Classification!$A:$D,2,FALSE)</f>
        <v>A</v>
      </c>
      <c r="E121" s="49" t="str">
        <f>VLOOKUP(B121,Classification!$A:$D,2,FALSE)</f>
        <v>A</v>
      </c>
      <c r="F121" s="15" t="str">
        <f>VLOOKUP(C121,Classification!$A:$D,2,FALSE)</f>
        <v>A</v>
      </c>
      <c r="G121" s="15" t="b">
        <f t="shared" si="1"/>
        <v>1</v>
      </c>
      <c r="H121" s="10" t="str">
        <f>IF(ISERROR(MATCH(A121,'SegEnds_Xtal_Prot#'!B:B, 0)), "NoXtal", "Xtal")</f>
        <v>NoXtal</v>
      </c>
      <c r="J121" s="3"/>
    </row>
    <row r="122" spans="1:10" x14ac:dyDescent="0.2">
      <c r="A122" s="3" t="s">
        <v>905</v>
      </c>
      <c r="B122" s="1" t="s">
        <v>905</v>
      </c>
      <c r="C122" t="s">
        <v>905</v>
      </c>
      <c r="D122" s="28" t="str">
        <f>VLOOKUP(A122,Classification!$A:$D,2,FALSE)</f>
        <v>A</v>
      </c>
      <c r="E122" s="49" t="str">
        <f>VLOOKUP(B122,Classification!$A:$D,2,FALSE)</f>
        <v>A</v>
      </c>
      <c r="F122" s="15" t="str">
        <f>VLOOKUP(C122,Classification!$A:$D,2,FALSE)</f>
        <v>A</v>
      </c>
      <c r="G122" s="15" t="b">
        <f t="shared" si="1"/>
        <v>1</v>
      </c>
      <c r="H122" s="10" t="str">
        <f>IF(ISERROR(MATCH(A122,'SegEnds_Xtal_Prot#'!B:B, 0)), "NoXtal", "Xtal")</f>
        <v>Xtal</v>
      </c>
      <c r="J122" s="3"/>
    </row>
    <row r="123" spans="1:10" x14ac:dyDescent="0.2">
      <c r="A123" s="3" t="s">
        <v>154</v>
      </c>
      <c r="B123" s="1" t="s">
        <v>126</v>
      </c>
      <c r="C123" t="s">
        <v>905</v>
      </c>
      <c r="D123" s="28" t="str">
        <f>VLOOKUP(A123,Classification!$A:$D,2,FALSE)</f>
        <v>A</v>
      </c>
      <c r="E123" s="49" t="str">
        <f>VLOOKUP(B123,Classification!$A:$D,2,FALSE)</f>
        <v>A</v>
      </c>
      <c r="F123" s="15" t="str">
        <f>VLOOKUP(C123,Classification!$A:$D,2,FALSE)</f>
        <v>A</v>
      </c>
      <c r="G123" s="15" t="b">
        <f t="shared" si="1"/>
        <v>1</v>
      </c>
      <c r="H123" s="10" t="str">
        <f>IF(ISERROR(MATCH(A123,'SegEnds_Xtal_Prot#'!B:B, 0)), "NoXtal", "Xtal")</f>
        <v>NoXtal</v>
      </c>
      <c r="J123" s="3"/>
    </row>
    <row r="124" spans="1:10" x14ac:dyDescent="0.2">
      <c r="A124" s="3" t="s">
        <v>153</v>
      </c>
      <c r="B124" s="1" t="s">
        <v>191</v>
      </c>
      <c r="C124" t="s">
        <v>905</v>
      </c>
      <c r="D124" s="28" t="str">
        <f>VLOOKUP(A124,Classification!$A:$D,2,FALSE)</f>
        <v>A</v>
      </c>
      <c r="E124" s="49" t="str">
        <f>VLOOKUP(B124,Classification!$A:$D,2,FALSE)</f>
        <v>A</v>
      </c>
      <c r="F124" s="15" t="str">
        <f>VLOOKUP(C124,Classification!$A:$D,2,FALSE)</f>
        <v>A</v>
      </c>
      <c r="G124" s="15" t="b">
        <f t="shared" si="1"/>
        <v>1</v>
      </c>
      <c r="H124" s="10" t="str">
        <f>IF(ISERROR(MATCH(A124,'SegEnds_Xtal_Prot#'!B:B, 0)), "NoXtal", "Xtal")</f>
        <v>NoXtal</v>
      </c>
      <c r="J124" s="3"/>
    </row>
    <row r="125" spans="1:10" x14ac:dyDescent="0.2">
      <c r="A125" s="3" t="s">
        <v>374</v>
      </c>
      <c r="B125" s="1" t="s">
        <v>138</v>
      </c>
      <c r="C125" t="s">
        <v>126</v>
      </c>
      <c r="D125" s="28" t="str">
        <f>VLOOKUP(A125,Classification!$A:$D,2,FALSE)</f>
        <v>A</v>
      </c>
      <c r="E125" s="49" t="str">
        <f>VLOOKUP(B125,Classification!$A:$D,2,FALSE)</f>
        <v>A</v>
      </c>
      <c r="F125" s="15" t="str">
        <f>VLOOKUP(C125,Classification!$A:$D,2,FALSE)</f>
        <v>A</v>
      </c>
      <c r="G125" s="15" t="b">
        <f t="shared" si="1"/>
        <v>1</v>
      </c>
      <c r="H125" s="10" t="str">
        <f>IF(ISERROR(MATCH(A125,'SegEnds_Xtal_Prot#'!B:B, 0)), "NoXtal", "Xtal")</f>
        <v>NoXtal</v>
      </c>
      <c r="J125" s="3"/>
    </row>
    <row r="126" spans="1:10" x14ac:dyDescent="0.2">
      <c r="A126" s="3" t="s">
        <v>126</v>
      </c>
      <c r="B126" s="1" t="s">
        <v>126</v>
      </c>
      <c r="C126" t="s">
        <v>126</v>
      </c>
      <c r="D126" s="28" t="str">
        <f>VLOOKUP(A126,Classification!$A:$D,2,FALSE)</f>
        <v>A</v>
      </c>
      <c r="E126" s="49" t="str">
        <f>VLOOKUP(B126,Classification!$A:$D,2,FALSE)</f>
        <v>A</v>
      </c>
      <c r="F126" s="15" t="str">
        <f>VLOOKUP(C126,Classification!$A:$D,2,FALSE)</f>
        <v>A</v>
      </c>
      <c r="G126" s="15" t="b">
        <f t="shared" si="1"/>
        <v>1</v>
      </c>
      <c r="H126" s="10" t="str">
        <f>IF(ISERROR(MATCH(A126,'SegEnds_Xtal_Prot#'!B:B, 0)), "NoXtal", "Xtal")</f>
        <v>Xtal</v>
      </c>
      <c r="J126" s="3"/>
    </row>
    <row r="127" spans="1:10" x14ac:dyDescent="0.2">
      <c r="A127" s="3" t="s">
        <v>251</v>
      </c>
      <c r="B127" s="1" t="s">
        <v>201</v>
      </c>
      <c r="C127" t="s">
        <v>158</v>
      </c>
      <c r="D127" s="28" t="str">
        <f>VLOOKUP(A127,Classification!$A:$D,2,FALSE)</f>
        <v>A</v>
      </c>
      <c r="E127" s="49" t="str">
        <f>VLOOKUP(B127,Classification!$A:$D,2,FALSE)</f>
        <v>A</v>
      </c>
      <c r="F127" s="15" t="str">
        <f>VLOOKUP(C127,Classification!$A:$D,2,FALSE)</f>
        <v>A</v>
      </c>
      <c r="G127" s="15" t="b">
        <f t="shared" si="1"/>
        <v>1</v>
      </c>
      <c r="H127" s="10" t="str">
        <f>IF(ISERROR(MATCH(A127,'SegEnds_Xtal_Prot#'!B:B, 0)), "NoXtal", "Xtal")</f>
        <v>NoXtal</v>
      </c>
      <c r="J127" s="3"/>
    </row>
    <row r="128" spans="1:10" x14ac:dyDescent="0.2">
      <c r="A128" s="3" t="s">
        <v>303</v>
      </c>
      <c r="B128" s="1" t="s">
        <v>158</v>
      </c>
      <c r="C128" t="s">
        <v>158</v>
      </c>
      <c r="D128" s="28" t="str">
        <f>VLOOKUP(A128,Classification!$A:$D,2,FALSE)</f>
        <v>A</v>
      </c>
      <c r="E128" s="49" t="str">
        <f>VLOOKUP(B128,Classification!$A:$D,2,FALSE)</f>
        <v>A</v>
      </c>
      <c r="F128" s="15" t="str">
        <f>VLOOKUP(C128,Classification!$A:$D,2,FALSE)</f>
        <v>A</v>
      </c>
      <c r="G128" s="15" t="b">
        <f t="shared" si="1"/>
        <v>1</v>
      </c>
      <c r="H128" s="10" t="str">
        <f>IF(ISERROR(MATCH(A128,'SegEnds_Xtal_Prot#'!B:B, 0)), "NoXtal", "Xtal")</f>
        <v>NoXtal</v>
      </c>
      <c r="J128" s="3"/>
    </row>
    <row r="129" spans="1:10" x14ac:dyDescent="0.2">
      <c r="A129" s="3" t="s">
        <v>161</v>
      </c>
      <c r="B129" s="1" t="s">
        <v>158</v>
      </c>
      <c r="C129" t="s">
        <v>158</v>
      </c>
      <c r="D129" s="28" t="str">
        <f>VLOOKUP(A129,Classification!$A:$D,2,FALSE)</f>
        <v>A</v>
      </c>
      <c r="E129" s="49" t="str">
        <f>VLOOKUP(B129,Classification!$A:$D,2,FALSE)</f>
        <v>A</v>
      </c>
      <c r="F129" s="15" t="str">
        <f>VLOOKUP(C129,Classification!$A:$D,2,FALSE)</f>
        <v>A</v>
      </c>
      <c r="G129" s="15" t="b">
        <f t="shared" si="1"/>
        <v>1</v>
      </c>
      <c r="H129" s="10" t="str">
        <f>IF(ISERROR(MATCH(A129,'SegEnds_Xtal_Prot#'!B:B, 0)), "NoXtal", "Xtal")</f>
        <v>NoXtal</v>
      </c>
      <c r="J129" s="3"/>
    </row>
    <row r="130" spans="1:10" x14ac:dyDescent="0.2">
      <c r="A130" s="3" t="s">
        <v>159</v>
      </c>
      <c r="B130" s="1" t="s">
        <v>159</v>
      </c>
      <c r="C130" t="s">
        <v>159</v>
      </c>
      <c r="D130" s="28" t="str">
        <f>VLOOKUP(A130,Classification!$A:$D,2,FALSE)</f>
        <v>A</v>
      </c>
      <c r="E130" s="49" t="str">
        <f>VLOOKUP(B130,Classification!$A:$D,2,FALSE)</f>
        <v>A</v>
      </c>
      <c r="F130" s="15" t="str">
        <f>VLOOKUP(C130,Classification!$A:$D,2,FALSE)</f>
        <v>A</v>
      </c>
      <c r="G130" s="15" t="b">
        <f t="shared" si="1"/>
        <v>1</v>
      </c>
      <c r="H130" s="10" t="str">
        <f>IF(ISERROR(MATCH(A130,'SegEnds_Xtal_Prot#'!B:B, 0)), "NoXtal", "Xtal")</f>
        <v>Xtal</v>
      </c>
      <c r="J130" s="3"/>
    </row>
    <row r="131" spans="1:10" x14ac:dyDescent="0.2">
      <c r="A131" s="3" t="s">
        <v>144</v>
      </c>
      <c r="B131" s="1" t="s">
        <v>175</v>
      </c>
      <c r="C131" t="s">
        <v>158</v>
      </c>
      <c r="D131" s="28" t="str">
        <f>VLOOKUP(A131,Classification!$A:$D,2,FALSE)</f>
        <v>A</v>
      </c>
      <c r="E131" s="49" t="str">
        <f>VLOOKUP(B131,Classification!$A:$D,2,FALSE)</f>
        <v>A</v>
      </c>
      <c r="F131" s="15" t="str">
        <f>VLOOKUP(C131,Classification!$A:$D,2,FALSE)</f>
        <v>A</v>
      </c>
      <c r="G131" s="15" t="b">
        <f t="shared" ref="G131:G194" si="2">OR(D131=F131,AND(D131="T",F131="A"),AND(D131="B2",F131="B1"),D131="O")</f>
        <v>1</v>
      </c>
      <c r="H131" s="10" t="str">
        <f>IF(ISERROR(MATCH(A131,'SegEnds_Xtal_Prot#'!B:B, 0)), "NoXtal", "Xtal")</f>
        <v>NoXtal</v>
      </c>
      <c r="J131" s="3"/>
    </row>
    <row r="132" spans="1:10" x14ac:dyDescent="0.2">
      <c r="A132" s="3" t="s">
        <v>165</v>
      </c>
      <c r="B132" s="1" t="s">
        <v>165</v>
      </c>
      <c r="C132" t="s">
        <v>158</v>
      </c>
      <c r="D132" s="28" t="str">
        <f>VLOOKUP(A132,Classification!$A:$D,2,FALSE)</f>
        <v>A</v>
      </c>
      <c r="E132" s="49" t="str">
        <f>VLOOKUP(B132,Classification!$A:$D,2,FALSE)</f>
        <v>A</v>
      </c>
      <c r="F132" s="15" t="str">
        <f>VLOOKUP(C132,Classification!$A:$D,2,FALSE)</f>
        <v>A</v>
      </c>
      <c r="G132" s="15" t="b">
        <f t="shared" si="2"/>
        <v>1</v>
      </c>
      <c r="H132" s="10" t="str">
        <f>IF(ISERROR(MATCH(A132,'SegEnds_Xtal_Prot#'!B:B, 0)), "NoXtal", "Xtal")</f>
        <v>Xtal</v>
      </c>
      <c r="J132" s="3"/>
    </row>
    <row r="133" spans="1:10" x14ac:dyDescent="0.2">
      <c r="A133" s="3" t="s">
        <v>305</v>
      </c>
      <c r="B133" s="1" t="s">
        <v>165</v>
      </c>
      <c r="C133" t="s">
        <v>158</v>
      </c>
      <c r="D133" s="28" t="str">
        <f>VLOOKUP(A133,Classification!$A:$D,2,FALSE)</f>
        <v>A</v>
      </c>
      <c r="E133" s="49" t="str">
        <f>VLOOKUP(B133,Classification!$A:$D,2,FALSE)</f>
        <v>A</v>
      </c>
      <c r="F133" s="15" t="str">
        <f>VLOOKUP(C133,Classification!$A:$D,2,FALSE)</f>
        <v>A</v>
      </c>
      <c r="G133" s="15" t="b">
        <f t="shared" si="2"/>
        <v>1</v>
      </c>
      <c r="H133" s="10" t="str">
        <f>IF(ISERROR(MATCH(A133,'SegEnds_Xtal_Prot#'!B:B, 0)), "NoXtal", "Xtal")</f>
        <v>NoXtal</v>
      </c>
      <c r="J133" s="3"/>
    </row>
    <row r="134" spans="1:10" x14ac:dyDescent="0.2">
      <c r="A134" s="3" t="s">
        <v>236</v>
      </c>
      <c r="B134" s="1" t="s">
        <v>201</v>
      </c>
      <c r="C134" t="s">
        <v>158</v>
      </c>
      <c r="D134" s="28" t="str">
        <f>VLOOKUP(A134,Classification!$A:$D,2,FALSE)</f>
        <v>A</v>
      </c>
      <c r="E134" s="49" t="str">
        <f>VLOOKUP(B134,Classification!$A:$D,2,FALSE)</f>
        <v>A</v>
      </c>
      <c r="F134" s="15" t="str">
        <f>VLOOKUP(C134,Classification!$A:$D,2,FALSE)</f>
        <v>A</v>
      </c>
      <c r="G134" s="15" t="b">
        <f t="shared" si="2"/>
        <v>1</v>
      </c>
      <c r="H134" s="10" t="str">
        <f>IF(ISERROR(MATCH(A134,'SegEnds_Xtal_Prot#'!B:B, 0)), "NoXtal", "Xtal")</f>
        <v>NoXtal</v>
      </c>
      <c r="J134" s="3"/>
    </row>
    <row r="135" spans="1:10" x14ac:dyDescent="0.2">
      <c r="A135" s="3" t="s">
        <v>235</v>
      </c>
      <c r="B135" s="1" t="s">
        <v>180</v>
      </c>
      <c r="C135" t="s">
        <v>158</v>
      </c>
      <c r="D135" s="28" t="str">
        <f>VLOOKUP(A135,Classification!$A:$D,2,FALSE)</f>
        <v>A</v>
      </c>
      <c r="E135" s="49" t="str">
        <f>VLOOKUP(B135,Classification!$A:$D,2,FALSE)</f>
        <v>A</v>
      </c>
      <c r="F135" s="15" t="str">
        <f>VLOOKUP(C135,Classification!$A:$D,2,FALSE)</f>
        <v>A</v>
      </c>
      <c r="G135" s="15" t="b">
        <f t="shared" si="2"/>
        <v>1</v>
      </c>
      <c r="H135" s="10" t="str">
        <f>IF(ISERROR(MATCH(A135,'SegEnds_Xtal_Prot#'!B:B, 0)), "NoXtal", "Xtal")</f>
        <v>NoXtal</v>
      </c>
      <c r="J135" s="3"/>
    </row>
    <row r="136" spans="1:10" x14ac:dyDescent="0.2">
      <c r="A136" s="3" t="s">
        <v>245</v>
      </c>
      <c r="B136" s="1" t="s">
        <v>158</v>
      </c>
      <c r="C136" t="s">
        <v>158</v>
      </c>
      <c r="D136" s="28" t="str">
        <f>VLOOKUP(A136,Classification!$A:$D,2,FALSE)</f>
        <v>A</v>
      </c>
      <c r="E136" s="49" t="str">
        <f>VLOOKUP(B136,Classification!$A:$D,2,FALSE)</f>
        <v>A</v>
      </c>
      <c r="F136" s="15" t="str">
        <f>VLOOKUP(C136,Classification!$A:$D,2,FALSE)</f>
        <v>A</v>
      </c>
      <c r="G136" s="15" t="b">
        <f t="shared" si="2"/>
        <v>1</v>
      </c>
      <c r="H136" s="10" t="str">
        <f>IF(ISERROR(MATCH(A136,'SegEnds_Xtal_Prot#'!B:B, 0)), "NoXtal", "Xtal")</f>
        <v>NoXtal</v>
      </c>
      <c r="J136" s="3"/>
    </row>
    <row r="137" spans="1:10" x14ac:dyDescent="0.2">
      <c r="A137" s="3" t="s">
        <v>158</v>
      </c>
      <c r="B137" s="1" t="s">
        <v>158</v>
      </c>
      <c r="C137" t="s">
        <v>158</v>
      </c>
      <c r="D137" s="28" t="str">
        <f>VLOOKUP(A137,Classification!$A:$D,2,FALSE)</f>
        <v>A</v>
      </c>
      <c r="E137" s="49" t="str">
        <f>VLOOKUP(B137,Classification!$A:$D,2,FALSE)</f>
        <v>A</v>
      </c>
      <c r="F137" s="15" t="str">
        <f>VLOOKUP(C137,Classification!$A:$D,2,FALSE)</f>
        <v>A</v>
      </c>
      <c r="G137" s="15" t="b">
        <f t="shared" si="2"/>
        <v>1</v>
      </c>
      <c r="H137" s="10" t="str">
        <f>IF(ISERROR(MATCH(A137,'SegEnds_Xtal_Prot#'!B:B, 0)), "NoXtal", "Xtal")</f>
        <v>Xtal</v>
      </c>
      <c r="J137" s="3"/>
    </row>
    <row r="138" spans="1:10" x14ac:dyDescent="0.2">
      <c r="A138" s="3" t="s">
        <v>181</v>
      </c>
      <c r="B138" s="1" t="s">
        <v>201</v>
      </c>
      <c r="C138" t="s">
        <v>158</v>
      </c>
      <c r="D138" s="28" t="str">
        <f>VLOOKUP(A138,Classification!$A:$D,2,FALSE)</f>
        <v>A</v>
      </c>
      <c r="E138" s="49" t="str">
        <f>VLOOKUP(B138,Classification!$A:$D,2,FALSE)</f>
        <v>A</v>
      </c>
      <c r="F138" s="15" t="str">
        <f>VLOOKUP(C138,Classification!$A:$D,2,FALSE)</f>
        <v>A</v>
      </c>
      <c r="G138" s="15" t="b">
        <f t="shared" si="2"/>
        <v>1</v>
      </c>
      <c r="H138" s="10" t="str">
        <f>IF(ISERROR(MATCH(A138,'SegEnds_Xtal_Prot#'!B:B, 0)), "NoXtal", "Xtal")</f>
        <v>NoXtal</v>
      </c>
      <c r="J138" s="3"/>
    </row>
    <row r="139" spans="1:10" x14ac:dyDescent="0.2">
      <c r="A139" s="3" t="s">
        <v>238</v>
      </c>
      <c r="B139" s="1" t="s">
        <v>160</v>
      </c>
      <c r="C139" t="s">
        <v>158</v>
      </c>
      <c r="D139" s="28" t="str">
        <f>VLOOKUP(A139,Classification!$A:$D,2,FALSE)</f>
        <v>A</v>
      </c>
      <c r="E139" s="49" t="str">
        <f>VLOOKUP(B139,Classification!$A:$D,2,FALSE)</f>
        <v>A</v>
      </c>
      <c r="F139" s="15" t="str">
        <f>VLOOKUP(C139,Classification!$A:$D,2,FALSE)</f>
        <v>A</v>
      </c>
      <c r="G139" s="15" t="b">
        <f t="shared" si="2"/>
        <v>1</v>
      </c>
      <c r="H139" s="10" t="str">
        <f>IF(ISERROR(MATCH(A139,'SegEnds_Xtal_Prot#'!B:B, 0)), "NoXtal", "Xtal")</f>
        <v>NoXtal</v>
      </c>
      <c r="J139" s="3"/>
    </row>
    <row r="140" spans="1:10" x14ac:dyDescent="0.2">
      <c r="A140" s="3" t="s">
        <v>162</v>
      </c>
      <c r="B140" s="1" t="s">
        <v>159</v>
      </c>
      <c r="C140" t="s">
        <v>158</v>
      </c>
      <c r="D140" s="28" t="str">
        <f>VLOOKUP(A140,Classification!$A:$D,2,FALSE)</f>
        <v>A</v>
      </c>
      <c r="E140" s="49" t="str">
        <f>VLOOKUP(B140,Classification!$A:$D,2,FALSE)</f>
        <v>A</v>
      </c>
      <c r="F140" s="15" t="str">
        <f>VLOOKUP(C140,Classification!$A:$D,2,FALSE)</f>
        <v>A</v>
      </c>
      <c r="G140" s="15" t="b">
        <f t="shared" si="2"/>
        <v>1</v>
      </c>
      <c r="H140" s="10" t="str">
        <f>IF(ISERROR(MATCH(A140,'SegEnds_Xtal_Prot#'!B:B, 0)), "NoXtal", "Xtal")</f>
        <v>NoXtal</v>
      </c>
      <c r="J140" s="3"/>
    </row>
    <row r="141" spans="1:10" x14ac:dyDescent="0.2">
      <c r="A141" s="3" t="s">
        <v>373</v>
      </c>
      <c r="B141" s="1" t="s">
        <v>334</v>
      </c>
      <c r="C141" t="s">
        <v>158</v>
      </c>
      <c r="D141" s="28" t="str">
        <f>VLOOKUP(A141,Classification!$A:$D,2,FALSE)</f>
        <v>A</v>
      </c>
      <c r="E141" s="49" t="str">
        <f>VLOOKUP(B141,Classification!$A:$D,2,FALSE)</f>
        <v>A</v>
      </c>
      <c r="F141" s="15" t="str">
        <f>VLOOKUP(C141,Classification!$A:$D,2,FALSE)</f>
        <v>A</v>
      </c>
      <c r="G141" s="15" t="b">
        <f t="shared" si="2"/>
        <v>1</v>
      </c>
      <c r="H141" s="10" t="str">
        <f>IF(ISERROR(MATCH(A141,'SegEnds_Xtal_Prot#'!B:B, 0)), "NoXtal", "Xtal")</f>
        <v>NoXtal</v>
      </c>
      <c r="J141" s="3"/>
    </row>
    <row r="142" spans="1:10" x14ac:dyDescent="0.2">
      <c r="A142" s="3" t="s">
        <v>291</v>
      </c>
      <c r="B142" s="1" t="s">
        <v>175</v>
      </c>
      <c r="C142" t="s">
        <v>158</v>
      </c>
      <c r="D142" s="28" t="str">
        <f>VLOOKUP(A142,Classification!$A:$D,2,FALSE)</f>
        <v>A</v>
      </c>
      <c r="E142" s="49" t="str">
        <f>VLOOKUP(B142,Classification!$A:$D,2,FALSE)</f>
        <v>A</v>
      </c>
      <c r="F142" s="15" t="str">
        <f>VLOOKUP(C142,Classification!$A:$D,2,FALSE)</f>
        <v>A</v>
      </c>
      <c r="G142" s="15" t="b">
        <f t="shared" si="2"/>
        <v>1</v>
      </c>
      <c r="H142" s="10" t="str">
        <f>IF(ISERROR(MATCH(A142,'SegEnds_Xtal_Prot#'!B:B, 0)), "NoXtal", "Xtal")</f>
        <v>NoXtal</v>
      </c>
      <c r="J142" s="3"/>
    </row>
    <row r="143" spans="1:10" x14ac:dyDescent="0.2">
      <c r="A143" s="3" t="s">
        <v>160</v>
      </c>
      <c r="B143" s="1" t="s">
        <v>160</v>
      </c>
      <c r="C143" t="s">
        <v>158</v>
      </c>
      <c r="D143" s="28" t="str">
        <f>VLOOKUP(A143,Classification!$A:$D,2,FALSE)</f>
        <v>A</v>
      </c>
      <c r="E143" s="49" t="str">
        <f>VLOOKUP(B143,Classification!$A:$D,2,FALSE)</f>
        <v>A</v>
      </c>
      <c r="F143" s="15" t="str">
        <f>VLOOKUP(C143,Classification!$A:$D,2,FALSE)</f>
        <v>A</v>
      </c>
      <c r="G143" s="15" t="b">
        <f t="shared" si="2"/>
        <v>1</v>
      </c>
      <c r="H143" s="10" t="str">
        <f>IF(ISERROR(MATCH(A143,'SegEnds_Xtal_Prot#'!B:B, 0)), "NoXtal", "Xtal")</f>
        <v>Xtal</v>
      </c>
      <c r="J143" s="3"/>
    </row>
    <row r="144" spans="1:10" x14ac:dyDescent="0.2">
      <c r="A144" s="3" t="s">
        <v>330</v>
      </c>
      <c r="B144" s="1" t="s">
        <v>370</v>
      </c>
      <c r="C144" t="s">
        <v>158</v>
      </c>
      <c r="D144" s="28" t="str">
        <f>VLOOKUP(A144,Classification!$A:$D,2,FALSE)</f>
        <v>A</v>
      </c>
      <c r="E144" s="49" t="str">
        <f>VLOOKUP(B144,Classification!$A:$D,2,FALSE)</f>
        <v>A</v>
      </c>
      <c r="F144" s="15" t="str">
        <f>VLOOKUP(C144,Classification!$A:$D,2,FALSE)</f>
        <v>A</v>
      </c>
      <c r="G144" s="15" t="b">
        <f t="shared" si="2"/>
        <v>1</v>
      </c>
      <c r="H144" s="10" t="str">
        <f>IF(ISERROR(MATCH(A144,'SegEnds_Xtal_Prot#'!B:B, 0)), "NoXtal", "Xtal")</f>
        <v>NoXtal</v>
      </c>
      <c r="J144" s="3"/>
    </row>
    <row r="145" spans="1:10" x14ac:dyDescent="0.2">
      <c r="A145" s="3" t="s">
        <v>372</v>
      </c>
      <c r="B145" s="1" t="s">
        <v>158</v>
      </c>
      <c r="C145" t="s">
        <v>158</v>
      </c>
      <c r="D145" s="28" t="str">
        <f>VLOOKUP(A145,Classification!$A:$D,2,FALSE)</f>
        <v>A</v>
      </c>
      <c r="E145" s="49" t="str">
        <f>VLOOKUP(B145,Classification!$A:$D,2,FALSE)</f>
        <v>A</v>
      </c>
      <c r="F145" s="15" t="str">
        <f>VLOOKUP(C145,Classification!$A:$D,2,FALSE)</f>
        <v>A</v>
      </c>
      <c r="G145" s="15" t="b">
        <f t="shared" si="2"/>
        <v>1</v>
      </c>
      <c r="H145" s="10" t="str">
        <f>IF(ISERROR(MATCH(A145,'SegEnds_Xtal_Prot#'!B:B, 0)), "NoXtal", "Xtal")</f>
        <v>NoXtal</v>
      </c>
      <c r="J145" s="3"/>
    </row>
    <row r="146" spans="1:10" x14ac:dyDescent="0.2">
      <c r="A146" s="3" t="s">
        <v>232</v>
      </c>
      <c r="B146" s="1" t="s">
        <v>160</v>
      </c>
      <c r="C146" t="s">
        <v>158</v>
      </c>
      <c r="D146" s="28" t="str">
        <f>VLOOKUP(A146,Classification!$A:$D,2,FALSE)</f>
        <v>A</v>
      </c>
      <c r="E146" s="49" t="str">
        <f>VLOOKUP(B146,Classification!$A:$D,2,FALSE)</f>
        <v>A</v>
      </c>
      <c r="F146" s="15" t="str">
        <f>VLOOKUP(C146,Classification!$A:$D,2,FALSE)</f>
        <v>A</v>
      </c>
      <c r="G146" s="15" t="b">
        <f t="shared" si="2"/>
        <v>1</v>
      </c>
      <c r="H146" s="10" t="str">
        <f>IF(ISERROR(MATCH(A146,'SegEnds_Xtal_Prot#'!B:B, 0)), "NoXtal", "Xtal")</f>
        <v>NoXtal</v>
      </c>
      <c r="J146" s="3"/>
    </row>
    <row r="147" spans="1:10" x14ac:dyDescent="0.2">
      <c r="A147" s="3" t="s">
        <v>282</v>
      </c>
      <c r="B147" s="1" t="s">
        <v>158</v>
      </c>
      <c r="C147" t="s">
        <v>158</v>
      </c>
      <c r="D147" s="28" t="str">
        <f>VLOOKUP(A147,Classification!$A:$D,2,FALSE)</f>
        <v>A</v>
      </c>
      <c r="E147" s="49" t="str">
        <f>VLOOKUP(B147,Classification!$A:$D,2,FALSE)</f>
        <v>A</v>
      </c>
      <c r="F147" s="15" t="str">
        <f>VLOOKUP(C147,Classification!$A:$D,2,FALSE)</f>
        <v>A</v>
      </c>
      <c r="G147" s="15" t="b">
        <f t="shared" si="2"/>
        <v>1</v>
      </c>
      <c r="H147" s="10" t="str">
        <f>IF(ISERROR(MATCH(A147,'SegEnds_Xtal_Prot#'!B:B, 0)), "NoXtal", "Xtal")</f>
        <v>NoXtal</v>
      </c>
      <c r="J147" s="3"/>
    </row>
    <row r="148" spans="1:10" x14ac:dyDescent="0.2">
      <c r="A148" s="3" t="s">
        <v>142</v>
      </c>
      <c r="B148" s="1" t="s">
        <v>201</v>
      </c>
      <c r="C148" t="s">
        <v>173</v>
      </c>
      <c r="D148" s="28" t="str">
        <f>VLOOKUP(A148,Classification!$A:$D,2,FALSE)</f>
        <v>A</v>
      </c>
      <c r="E148" s="49" t="str">
        <f>VLOOKUP(B148,Classification!$A:$D,2,FALSE)</f>
        <v>A</v>
      </c>
      <c r="F148" s="15" t="str">
        <f>VLOOKUP(C148,Classification!$A:$D,2,FALSE)</f>
        <v>A</v>
      </c>
      <c r="G148" s="15" t="b">
        <f t="shared" si="2"/>
        <v>1</v>
      </c>
      <c r="H148" s="10" t="str">
        <f>IF(ISERROR(MATCH(A148,'SegEnds_Xtal_Prot#'!B:B, 0)), "NoXtal", "Xtal")</f>
        <v>NoXtal</v>
      </c>
      <c r="J148" s="3"/>
    </row>
    <row r="149" spans="1:10" x14ac:dyDescent="0.2">
      <c r="A149" s="3" t="s">
        <v>178</v>
      </c>
      <c r="B149" s="1" t="s">
        <v>173</v>
      </c>
      <c r="C149" t="s">
        <v>173</v>
      </c>
      <c r="D149" s="28" t="str">
        <f>VLOOKUP(A149,Classification!$A:$D,2,FALSE)</f>
        <v>A</v>
      </c>
      <c r="E149" s="49" t="str">
        <f>VLOOKUP(B149,Classification!$A:$D,2,FALSE)</f>
        <v>A</v>
      </c>
      <c r="F149" s="15" t="str">
        <f>VLOOKUP(C149,Classification!$A:$D,2,FALSE)</f>
        <v>A</v>
      </c>
      <c r="G149" s="15" t="b">
        <f t="shared" si="2"/>
        <v>1</v>
      </c>
      <c r="H149" s="10" t="str">
        <f>IF(ISERROR(MATCH(A149,'SegEnds_Xtal_Prot#'!B:B, 0)), "NoXtal", "Xtal")</f>
        <v>NoXtal</v>
      </c>
      <c r="J149" s="3"/>
    </row>
    <row r="150" spans="1:10" x14ac:dyDescent="0.2">
      <c r="A150" s="3" t="s">
        <v>185</v>
      </c>
      <c r="B150" s="1" t="s">
        <v>175</v>
      </c>
      <c r="C150" t="s">
        <v>173</v>
      </c>
      <c r="D150" s="28" t="str">
        <f>VLOOKUP(A150,Classification!$A:$D,2,FALSE)</f>
        <v>A</v>
      </c>
      <c r="E150" s="49" t="str">
        <f>VLOOKUP(B150,Classification!$A:$D,2,FALSE)</f>
        <v>A</v>
      </c>
      <c r="F150" s="15" t="str">
        <f>VLOOKUP(C150,Classification!$A:$D,2,FALSE)</f>
        <v>A</v>
      </c>
      <c r="G150" s="15" t="b">
        <f t="shared" si="2"/>
        <v>1</v>
      </c>
      <c r="H150" s="10" t="str">
        <f>IF(ISERROR(MATCH(A150,'SegEnds_Xtal_Prot#'!B:B, 0)), "NoXtal", "Xtal")</f>
        <v>NoXtal</v>
      </c>
      <c r="J150" s="3"/>
    </row>
    <row r="151" spans="1:10" x14ac:dyDescent="0.2">
      <c r="A151" s="3" t="s">
        <v>399</v>
      </c>
      <c r="B151" s="1" t="s">
        <v>173</v>
      </c>
      <c r="C151" t="s">
        <v>173</v>
      </c>
      <c r="D151" s="28" t="str">
        <f>VLOOKUP(A151,Classification!$A:$D,2,FALSE)</f>
        <v>A</v>
      </c>
      <c r="E151" s="49" t="str">
        <f>VLOOKUP(B151,Classification!$A:$D,2,FALSE)</f>
        <v>A</v>
      </c>
      <c r="F151" s="15" t="str">
        <f>VLOOKUP(C151,Classification!$A:$D,2,FALSE)</f>
        <v>A</v>
      </c>
      <c r="G151" s="15" t="b">
        <f t="shared" si="2"/>
        <v>1</v>
      </c>
      <c r="H151" s="10" t="str">
        <f>IF(ISERROR(MATCH(A151,'SegEnds_Xtal_Prot#'!B:B, 0)), "NoXtal", "Xtal")</f>
        <v>NoXtal</v>
      </c>
      <c r="J151" s="3"/>
    </row>
    <row r="152" spans="1:10" x14ac:dyDescent="0.2">
      <c r="A152" s="3" t="s">
        <v>186</v>
      </c>
      <c r="B152" s="1" t="s">
        <v>175</v>
      </c>
      <c r="C152" t="s">
        <v>173</v>
      </c>
      <c r="D152" s="28" t="str">
        <f>VLOOKUP(A152,Classification!$A:$D,2,FALSE)</f>
        <v>A</v>
      </c>
      <c r="E152" s="49" t="str">
        <f>VLOOKUP(B152,Classification!$A:$D,2,FALSE)</f>
        <v>A</v>
      </c>
      <c r="F152" s="15" t="str">
        <f>VLOOKUP(C152,Classification!$A:$D,2,FALSE)</f>
        <v>A</v>
      </c>
      <c r="G152" s="15" t="b">
        <f t="shared" si="2"/>
        <v>1</v>
      </c>
      <c r="H152" s="10" t="str">
        <f>IF(ISERROR(MATCH(A152,'SegEnds_Xtal_Prot#'!B:B, 0)), "NoXtal", "Xtal")</f>
        <v>NoXtal</v>
      </c>
      <c r="J152" s="3"/>
    </row>
    <row r="153" spans="1:10" x14ac:dyDescent="0.2">
      <c r="A153" s="3" t="s">
        <v>145</v>
      </c>
      <c r="B153" s="1" t="s">
        <v>177</v>
      </c>
      <c r="C153" t="s">
        <v>173</v>
      </c>
      <c r="D153" s="28" t="str">
        <f>VLOOKUP(A153,Classification!$A:$D,2,FALSE)</f>
        <v>A</v>
      </c>
      <c r="E153" s="49" t="str">
        <f>VLOOKUP(B153,Classification!$A:$D,2,FALSE)</f>
        <v>A</v>
      </c>
      <c r="F153" s="15" t="str">
        <f>VLOOKUP(C153,Classification!$A:$D,2,FALSE)</f>
        <v>A</v>
      </c>
      <c r="G153" s="15" t="b">
        <f t="shared" si="2"/>
        <v>1</v>
      </c>
      <c r="H153" s="10" t="str">
        <f>IF(ISERROR(MATCH(A153,'SegEnds_Xtal_Prot#'!B:B, 0)), "NoXtal", "Xtal")</f>
        <v>NoXtal</v>
      </c>
      <c r="J153" s="3"/>
    </row>
    <row r="154" spans="1:10" x14ac:dyDescent="0.2">
      <c r="A154" s="3" t="s">
        <v>169</v>
      </c>
      <c r="B154" s="1" t="s">
        <v>175</v>
      </c>
      <c r="C154" t="s">
        <v>173</v>
      </c>
      <c r="D154" s="28" t="str">
        <f>VLOOKUP(A154,Classification!$A:$D,2,FALSE)</f>
        <v>A</v>
      </c>
      <c r="E154" s="49" t="str">
        <f>VLOOKUP(B154,Classification!$A:$D,2,FALSE)</f>
        <v>A</v>
      </c>
      <c r="F154" s="15" t="str">
        <f>VLOOKUP(C154,Classification!$A:$D,2,FALSE)</f>
        <v>A</v>
      </c>
      <c r="G154" s="15" t="b">
        <f t="shared" si="2"/>
        <v>1</v>
      </c>
      <c r="H154" s="10" t="str">
        <f>IF(ISERROR(MATCH(A154,'SegEnds_Xtal_Prot#'!B:B, 0)), "NoXtal", "Xtal")</f>
        <v>NoXtal</v>
      </c>
      <c r="J154" s="3"/>
    </row>
    <row r="155" spans="1:10" x14ac:dyDescent="0.2">
      <c r="A155" s="3" t="s">
        <v>177</v>
      </c>
      <c r="B155" s="1" t="s">
        <v>177</v>
      </c>
      <c r="C155" t="s">
        <v>177</v>
      </c>
      <c r="D155" s="28" t="str">
        <f>VLOOKUP(A155,Classification!$A:$D,2,FALSE)</f>
        <v>A</v>
      </c>
      <c r="E155" s="49" t="str">
        <f>VLOOKUP(B155,Classification!$A:$D,2,FALSE)</f>
        <v>A</v>
      </c>
      <c r="F155" s="15" t="str">
        <f>VLOOKUP(C155,Classification!$A:$D,2,FALSE)</f>
        <v>A</v>
      </c>
      <c r="G155" s="15" t="b">
        <f t="shared" si="2"/>
        <v>1</v>
      </c>
      <c r="H155" s="10" t="str">
        <f>IF(ISERROR(MATCH(A155,'SegEnds_Xtal_Prot#'!B:B, 0)), "NoXtal", "Xtal")</f>
        <v>Xtal</v>
      </c>
      <c r="J155" s="3"/>
    </row>
    <row r="156" spans="1:10" x14ac:dyDescent="0.2">
      <c r="A156" s="3" t="s">
        <v>175</v>
      </c>
      <c r="B156" s="1" t="s">
        <v>175</v>
      </c>
      <c r="C156" t="s">
        <v>173</v>
      </c>
      <c r="D156" s="28" t="str">
        <f>VLOOKUP(A156,Classification!$A:$D,2,FALSE)</f>
        <v>A</v>
      </c>
      <c r="E156" s="49" t="str">
        <f>VLOOKUP(B156,Classification!$A:$D,2,FALSE)</f>
        <v>A</v>
      </c>
      <c r="F156" s="15" t="str">
        <f>VLOOKUP(C156,Classification!$A:$D,2,FALSE)</f>
        <v>A</v>
      </c>
      <c r="G156" s="15" t="b">
        <f t="shared" si="2"/>
        <v>1</v>
      </c>
      <c r="H156" s="10" t="str">
        <f>IF(ISERROR(MATCH(A156,'SegEnds_Xtal_Prot#'!B:B, 0)), "NoXtal", "Xtal")</f>
        <v>Xtal</v>
      </c>
      <c r="J156" s="3"/>
    </row>
    <row r="157" spans="1:10" x14ac:dyDescent="0.2">
      <c r="A157" s="3" t="s">
        <v>189</v>
      </c>
      <c r="B157" s="1" t="s">
        <v>177</v>
      </c>
      <c r="C157" t="s">
        <v>173</v>
      </c>
      <c r="D157" s="28" t="str">
        <f>VLOOKUP(A157,Classification!$A:$D,2,FALSE)</f>
        <v>A</v>
      </c>
      <c r="E157" s="49" t="str">
        <f>VLOOKUP(B157,Classification!$A:$D,2,FALSE)</f>
        <v>A</v>
      </c>
      <c r="F157" s="15" t="str">
        <f>VLOOKUP(C157,Classification!$A:$D,2,FALSE)</f>
        <v>A</v>
      </c>
      <c r="G157" s="15" t="b">
        <f t="shared" si="2"/>
        <v>1</v>
      </c>
      <c r="H157" s="10" t="str">
        <f>IF(ISERROR(MATCH(A157,'SegEnds_Xtal_Prot#'!B:B, 0)), "NoXtal", "Xtal")</f>
        <v>NoXtal</v>
      </c>
      <c r="J157" s="3"/>
    </row>
    <row r="158" spans="1:10" x14ac:dyDescent="0.2">
      <c r="A158" s="3" t="s">
        <v>168</v>
      </c>
      <c r="B158" s="1" t="s">
        <v>173</v>
      </c>
      <c r="C158" t="s">
        <v>173</v>
      </c>
      <c r="D158" s="28" t="str">
        <f>VLOOKUP(A158,Classification!$A:$D,2,FALSE)</f>
        <v>A</v>
      </c>
      <c r="E158" s="49" t="str">
        <f>VLOOKUP(B158,Classification!$A:$D,2,FALSE)</f>
        <v>A</v>
      </c>
      <c r="F158" s="15" t="str">
        <f>VLOOKUP(C158,Classification!$A:$D,2,FALSE)</f>
        <v>A</v>
      </c>
      <c r="G158" s="15" t="b">
        <f t="shared" si="2"/>
        <v>1</v>
      </c>
      <c r="H158" s="10" t="str">
        <f>IF(ISERROR(MATCH(A158,'SegEnds_Xtal_Prot#'!B:B, 0)), "NoXtal", "Xtal")</f>
        <v>NoXtal</v>
      </c>
      <c r="J158" s="3"/>
    </row>
    <row r="159" spans="1:10" x14ac:dyDescent="0.2">
      <c r="A159" s="3" t="s">
        <v>171</v>
      </c>
      <c r="B159" s="1" t="s">
        <v>173</v>
      </c>
      <c r="C159" t="s">
        <v>173</v>
      </c>
      <c r="D159" s="28" t="str">
        <f>VLOOKUP(A159,Classification!$A:$D,2,FALSE)</f>
        <v>A</v>
      </c>
      <c r="E159" s="49" t="str">
        <f>VLOOKUP(B159,Classification!$A:$D,2,FALSE)</f>
        <v>A</v>
      </c>
      <c r="F159" s="15" t="str">
        <f>VLOOKUP(C159,Classification!$A:$D,2,FALSE)</f>
        <v>A</v>
      </c>
      <c r="G159" s="15" t="b">
        <f t="shared" si="2"/>
        <v>1</v>
      </c>
      <c r="H159" s="10" t="str">
        <f>IF(ISERROR(MATCH(A159,'SegEnds_Xtal_Prot#'!B:B, 0)), "NoXtal", "Xtal")</f>
        <v>NoXtal</v>
      </c>
      <c r="J159" s="3"/>
    </row>
    <row r="160" spans="1:10" x14ac:dyDescent="0.2">
      <c r="A160" s="3" t="s">
        <v>173</v>
      </c>
      <c r="B160" s="1" t="s">
        <v>173</v>
      </c>
      <c r="C160" t="s">
        <v>173</v>
      </c>
      <c r="D160" s="28" t="str">
        <f>VLOOKUP(A160,Classification!$A:$D,2,FALSE)</f>
        <v>A</v>
      </c>
      <c r="E160" s="49" t="str">
        <f>VLOOKUP(B160,Classification!$A:$D,2,FALSE)</f>
        <v>A</v>
      </c>
      <c r="F160" s="15" t="str">
        <f>VLOOKUP(C160,Classification!$A:$D,2,FALSE)</f>
        <v>A</v>
      </c>
      <c r="G160" s="15" t="b">
        <f t="shared" si="2"/>
        <v>1</v>
      </c>
      <c r="H160" s="10" t="str">
        <f>IF(ISERROR(MATCH(A160,'SegEnds_Xtal_Prot#'!B:B, 0)), "NoXtal", "Xtal")</f>
        <v>Xtal</v>
      </c>
      <c r="J160" s="3"/>
    </row>
    <row r="161" spans="1:10" x14ac:dyDescent="0.2">
      <c r="A161" s="3" t="s">
        <v>176</v>
      </c>
      <c r="B161" s="1" t="s">
        <v>173</v>
      </c>
      <c r="C161" t="s">
        <v>173</v>
      </c>
      <c r="D161" s="28" t="str">
        <f>VLOOKUP(A161,Classification!$A:$D,2,FALSE)</f>
        <v>A</v>
      </c>
      <c r="E161" s="49" t="str">
        <f>VLOOKUP(B161,Classification!$A:$D,2,FALSE)</f>
        <v>A</v>
      </c>
      <c r="F161" s="15" t="str">
        <f>VLOOKUP(C161,Classification!$A:$D,2,FALSE)</f>
        <v>A</v>
      </c>
      <c r="G161" s="15" t="b">
        <f t="shared" si="2"/>
        <v>1</v>
      </c>
      <c r="H161" s="10" t="str">
        <f>IF(ISERROR(MATCH(A161,'SegEnds_Xtal_Prot#'!B:B, 0)), "NoXtal", "Xtal")</f>
        <v>NoXtal</v>
      </c>
      <c r="J161" s="3"/>
    </row>
    <row r="162" spans="1:10" x14ac:dyDescent="0.2">
      <c r="A162" s="3" t="s">
        <v>172</v>
      </c>
      <c r="B162" s="1" t="s">
        <v>173</v>
      </c>
      <c r="C162" t="s">
        <v>173</v>
      </c>
      <c r="D162" s="28" t="str">
        <f>VLOOKUP(A162,Classification!$A:$D,2,FALSE)</f>
        <v>A</v>
      </c>
      <c r="E162" s="49" t="str">
        <f>VLOOKUP(B162,Classification!$A:$D,2,FALSE)</f>
        <v>A</v>
      </c>
      <c r="F162" s="15" t="str">
        <f>VLOOKUP(C162,Classification!$A:$D,2,FALSE)</f>
        <v>A</v>
      </c>
      <c r="G162" s="15" t="b">
        <f t="shared" si="2"/>
        <v>1</v>
      </c>
      <c r="H162" s="10" t="str">
        <f>IF(ISERROR(MATCH(A162,'SegEnds_Xtal_Prot#'!B:B, 0)), "NoXtal", "Xtal")</f>
        <v>NoXtal</v>
      </c>
      <c r="J162" s="3"/>
    </row>
    <row r="163" spans="1:10" x14ac:dyDescent="0.2">
      <c r="A163" s="3" t="s">
        <v>174</v>
      </c>
      <c r="B163" s="1" t="s">
        <v>175</v>
      </c>
      <c r="C163" t="s">
        <v>173</v>
      </c>
      <c r="D163" s="28" t="str">
        <f>VLOOKUP(A163,Classification!$A:$D,2,FALSE)</f>
        <v>A</v>
      </c>
      <c r="E163" s="49" t="str">
        <f>VLOOKUP(B163,Classification!$A:$D,2,FALSE)</f>
        <v>A</v>
      </c>
      <c r="F163" s="15" t="str">
        <f>VLOOKUP(C163,Classification!$A:$D,2,FALSE)</f>
        <v>A</v>
      </c>
      <c r="G163" s="15" t="b">
        <f t="shared" si="2"/>
        <v>1</v>
      </c>
      <c r="H163" s="10" t="str">
        <f>IF(ISERROR(MATCH(A163,'SegEnds_Xtal_Prot#'!B:B, 0)), "NoXtal", "Xtal")</f>
        <v>NoXtal</v>
      </c>
      <c r="J163" s="3"/>
    </row>
    <row r="164" spans="1:10" x14ac:dyDescent="0.2">
      <c r="A164" s="3" t="s">
        <v>184</v>
      </c>
      <c r="B164" s="1" t="s">
        <v>170</v>
      </c>
      <c r="C164" t="s">
        <v>173</v>
      </c>
      <c r="D164" s="28" t="str">
        <f>VLOOKUP(A164,Classification!$A:$D,2,FALSE)</f>
        <v>A</v>
      </c>
      <c r="E164" s="49" t="str">
        <f>VLOOKUP(B164,Classification!$A:$D,2,FALSE)</f>
        <v>A</v>
      </c>
      <c r="F164" s="15" t="str">
        <f>VLOOKUP(C164,Classification!$A:$D,2,FALSE)</f>
        <v>A</v>
      </c>
      <c r="G164" s="15" t="b">
        <f t="shared" si="2"/>
        <v>1</v>
      </c>
      <c r="H164" s="10" t="str">
        <f>IF(ISERROR(MATCH(A164,'SegEnds_Xtal_Prot#'!B:B, 0)), "NoXtal", "Xtal")</f>
        <v>NoXtal</v>
      </c>
      <c r="J164" s="3"/>
    </row>
    <row r="165" spans="1:10" x14ac:dyDescent="0.2">
      <c r="A165" s="3" t="s">
        <v>170</v>
      </c>
      <c r="B165" s="1" t="s">
        <v>170</v>
      </c>
      <c r="C165" t="s">
        <v>170</v>
      </c>
      <c r="D165" s="28" t="str">
        <f>VLOOKUP(A165,Classification!$A:$D,2,FALSE)</f>
        <v>A</v>
      </c>
      <c r="E165" s="49" t="str">
        <f>VLOOKUP(B165,Classification!$A:$D,2,FALSE)</f>
        <v>A</v>
      </c>
      <c r="F165" s="15" t="str">
        <f>VLOOKUP(C165,Classification!$A:$D,2,FALSE)</f>
        <v>A</v>
      </c>
      <c r="G165" s="15" t="b">
        <f t="shared" si="2"/>
        <v>1</v>
      </c>
      <c r="H165" s="10" t="str">
        <f>IF(ISERROR(MATCH(A165,'SegEnds_Xtal_Prot#'!B:B, 0)), "NoXtal", "Xtal")</f>
        <v>Xtal</v>
      </c>
      <c r="J165" s="3"/>
    </row>
    <row r="166" spans="1:10" x14ac:dyDescent="0.2">
      <c r="A166" s="3" t="s">
        <v>143</v>
      </c>
      <c r="B166" s="1" t="s">
        <v>170</v>
      </c>
      <c r="C166" t="s">
        <v>173</v>
      </c>
      <c r="D166" s="28" t="str">
        <f>VLOOKUP(A166,Classification!$A:$D,2,FALSE)</f>
        <v>A</v>
      </c>
      <c r="E166" s="49" t="str">
        <f>VLOOKUP(B166,Classification!$A:$D,2,FALSE)</f>
        <v>A</v>
      </c>
      <c r="F166" s="15" t="str">
        <f>VLOOKUP(C166,Classification!$A:$D,2,FALSE)</f>
        <v>A</v>
      </c>
      <c r="G166" s="15" t="b">
        <f t="shared" si="2"/>
        <v>1</v>
      </c>
      <c r="H166" s="10" t="str">
        <f>IF(ISERROR(MATCH(A166,'SegEnds_Xtal_Prot#'!B:B, 0)), "NoXtal", "Xtal")</f>
        <v>NoXtal</v>
      </c>
      <c r="J166" s="3"/>
    </row>
    <row r="167" spans="1:10" x14ac:dyDescent="0.2">
      <c r="A167" s="3" t="s">
        <v>402</v>
      </c>
      <c r="B167" s="1" t="s">
        <v>402</v>
      </c>
      <c r="C167" t="s">
        <v>38</v>
      </c>
      <c r="D167" s="28" t="str">
        <f>VLOOKUP(A167,Classification!$A:$D,2,FALSE)</f>
        <v>B1</v>
      </c>
      <c r="E167" s="49" t="str">
        <f>VLOOKUP(B167,Classification!$A:$D,2,FALSE)</f>
        <v>B1</v>
      </c>
      <c r="F167" s="15" t="str">
        <f>VLOOKUP(C167,Classification!$A:$D,2,FALSE)</f>
        <v>B1</v>
      </c>
      <c r="G167" s="15" t="b">
        <f t="shared" si="2"/>
        <v>1</v>
      </c>
      <c r="H167" s="10" t="str">
        <f>IF(ISERROR(MATCH(A167,'SegEnds_Xtal_Prot#'!B:B, 0)), "NoXtal", "Xtal")</f>
        <v>Xtal</v>
      </c>
      <c r="J167" s="3"/>
    </row>
    <row r="168" spans="1:10" x14ac:dyDescent="0.2">
      <c r="A168" s="3" t="s">
        <v>38</v>
      </c>
      <c r="B168" s="1" t="s">
        <v>38</v>
      </c>
      <c r="C168" t="s">
        <v>38</v>
      </c>
      <c r="D168" s="28" t="str">
        <f>VLOOKUP(A168,Classification!$A:$D,2,FALSE)</f>
        <v>B1</v>
      </c>
      <c r="E168" s="49" t="str">
        <f>VLOOKUP(B168,Classification!$A:$D,2,FALSE)</f>
        <v>B1</v>
      </c>
      <c r="F168" s="15" t="str">
        <f>VLOOKUP(C168,Classification!$A:$D,2,FALSE)</f>
        <v>B1</v>
      </c>
      <c r="G168" s="15" t="b">
        <f t="shared" si="2"/>
        <v>1</v>
      </c>
      <c r="H168" s="10" t="str">
        <f>IF(ISERROR(MATCH(A168,'SegEnds_Xtal_Prot#'!B:B, 0)), "NoXtal", "Xtal")</f>
        <v>Xtal</v>
      </c>
      <c r="J168" s="3"/>
    </row>
    <row r="169" spans="1:10" x14ac:dyDescent="0.2">
      <c r="A169" s="3" t="s">
        <v>401</v>
      </c>
      <c r="B169" s="1" t="s">
        <v>401</v>
      </c>
      <c r="C169" t="s">
        <v>400</v>
      </c>
      <c r="D169" s="28" t="str">
        <f>VLOOKUP(A169,Classification!$A:$D,2,FALSE)</f>
        <v>B1</v>
      </c>
      <c r="E169" s="49" t="str">
        <f>VLOOKUP(B169,Classification!$A:$D,2,FALSE)</f>
        <v>B1</v>
      </c>
      <c r="F169" s="15" t="str">
        <f>VLOOKUP(C169,Classification!$A:$D,2,FALSE)</f>
        <v>B1</v>
      </c>
      <c r="G169" s="15" t="b">
        <f t="shared" si="2"/>
        <v>1</v>
      </c>
      <c r="H169" s="10" t="str">
        <f>IF(ISERROR(MATCH(A169,'SegEnds_Xtal_Prot#'!B:B, 0)), "NoXtal", "Xtal")</f>
        <v>Xtal</v>
      </c>
      <c r="J169" s="3"/>
    </row>
    <row r="170" spans="1:10" x14ac:dyDescent="0.2">
      <c r="A170" s="3" t="s">
        <v>400</v>
      </c>
      <c r="B170" s="1" t="s">
        <v>400</v>
      </c>
      <c r="C170" t="s">
        <v>400</v>
      </c>
      <c r="D170" s="28" t="str">
        <f>VLOOKUP(A170,Classification!$A:$D,2,FALSE)</f>
        <v>B1</v>
      </c>
      <c r="E170" s="49" t="str">
        <f>VLOOKUP(B170,Classification!$A:$D,2,FALSE)</f>
        <v>B1</v>
      </c>
      <c r="F170" s="15" t="str">
        <f>VLOOKUP(C170,Classification!$A:$D,2,FALSE)</f>
        <v>B1</v>
      </c>
      <c r="G170" s="15" t="b">
        <f t="shared" si="2"/>
        <v>1</v>
      </c>
      <c r="H170" s="10" t="str">
        <f>IF(ISERROR(MATCH(A170,'SegEnds_Xtal_Prot#'!B:B, 0)), "NoXtal", "Xtal")</f>
        <v>Xtal</v>
      </c>
      <c r="J170" s="3"/>
    </row>
    <row r="171" spans="1:10" x14ac:dyDescent="0.2">
      <c r="A171" s="3" t="s">
        <v>166</v>
      </c>
      <c r="B171" s="1" t="s">
        <v>165</v>
      </c>
      <c r="C171" t="s">
        <v>1165</v>
      </c>
      <c r="D171" s="28" t="str">
        <f>VLOOKUP(A171,Classification!$A:$D,2,FALSE)</f>
        <v>A</v>
      </c>
      <c r="E171" s="49" t="str">
        <f>VLOOKUP(B171,Classification!$A:$D,2,FALSE)</f>
        <v>A</v>
      </c>
      <c r="F171" s="15" t="str">
        <f>VLOOKUP(C171,Classification!$A:$D,2,FALSE)</f>
        <v>A</v>
      </c>
      <c r="G171" s="15" t="b">
        <f t="shared" si="2"/>
        <v>1</v>
      </c>
      <c r="H171" s="10" t="str">
        <f>IF(ISERROR(MATCH(A171,'SegEnds_Xtal_Prot#'!B:B, 0)), "NoXtal", "Xtal")</f>
        <v>NoXtal</v>
      </c>
      <c r="J171" s="3"/>
    </row>
    <row r="172" spans="1:10" x14ac:dyDescent="0.2">
      <c r="A172" s="3" t="s">
        <v>200</v>
      </c>
      <c r="B172" s="1" t="s">
        <v>201</v>
      </c>
      <c r="C172" t="s">
        <v>1165</v>
      </c>
      <c r="D172" s="28" t="str">
        <f>VLOOKUP(A172,Classification!$A:$D,2,FALSE)</f>
        <v>A</v>
      </c>
      <c r="E172" s="49" t="str">
        <f>VLOOKUP(B172,Classification!$A:$D,2,FALSE)</f>
        <v>A</v>
      </c>
      <c r="F172" s="15" t="str">
        <f>VLOOKUP(C172,Classification!$A:$D,2,FALSE)</f>
        <v>A</v>
      </c>
      <c r="G172" s="15" t="b">
        <f t="shared" si="2"/>
        <v>1</v>
      </c>
      <c r="H172" s="10" t="str">
        <f>IF(ISERROR(MATCH(A172,'SegEnds_Xtal_Prot#'!B:B, 0)), "NoXtal", "Xtal")</f>
        <v>NoXtal</v>
      </c>
      <c r="J172" s="3"/>
    </row>
    <row r="173" spans="1:10" x14ac:dyDescent="0.2">
      <c r="A173" s="3" t="s">
        <v>201</v>
      </c>
      <c r="B173" s="1" t="s">
        <v>201</v>
      </c>
      <c r="C173" t="s">
        <v>1165</v>
      </c>
      <c r="D173" s="28" t="str">
        <f>VLOOKUP(A173,Classification!$A:$D,2,FALSE)</f>
        <v>A</v>
      </c>
      <c r="E173" s="49" t="str">
        <f>VLOOKUP(B173,Classification!$A:$D,2,FALSE)</f>
        <v>A</v>
      </c>
      <c r="F173" s="15" t="str">
        <f>VLOOKUP(C173,Classification!$A:$D,2,FALSE)</f>
        <v>A</v>
      </c>
      <c r="G173" s="15" t="b">
        <f t="shared" si="2"/>
        <v>1</v>
      </c>
      <c r="H173" s="10" t="str">
        <f>IF(ISERROR(MATCH(A173,'SegEnds_Xtal_Prot#'!B:B, 0)), "NoXtal", "Xtal")</f>
        <v>Xtal</v>
      </c>
      <c r="J173" s="3"/>
    </row>
    <row r="174" spans="1:10" x14ac:dyDescent="0.2">
      <c r="A174" s="3" t="s">
        <v>1165</v>
      </c>
      <c r="B174" s="1" t="s">
        <v>1165</v>
      </c>
      <c r="C174" t="s">
        <v>1165</v>
      </c>
      <c r="D174" s="28" t="str">
        <f>VLOOKUP(A174,Classification!$A:$D,2,FALSE)</f>
        <v>A</v>
      </c>
      <c r="E174" s="49" t="str">
        <f>VLOOKUP(B174,Classification!$A:$D,2,FALSE)</f>
        <v>A</v>
      </c>
      <c r="F174" s="15" t="str">
        <f>VLOOKUP(C174,Classification!$A:$D,2,FALSE)</f>
        <v>A</v>
      </c>
      <c r="G174" s="15" t="b">
        <f t="shared" si="2"/>
        <v>1</v>
      </c>
      <c r="H174" s="10" t="str">
        <f>IF(ISERROR(MATCH(A174,'SegEnds_Xtal_Prot#'!B:B, 0)), "NoXtal", "Xtal")</f>
        <v>Xtal</v>
      </c>
      <c r="J174" s="3"/>
    </row>
    <row r="175" spans="1:10" x14ac:dyDescent="0.2">
      <c r="A175" s="3" t="s">
        <v>188</v>
      </c>
      <c r="B175" s="1" t="s">
        <v>175</v>
      </c>
      <c r="C175" t="s">
        <v>1165</v>
      </c>
      <c r="D175" s="28" t="str">
        <f>VLOOKUP(A175,Classification!$A:$D,2,FALSE)</f>
        <v>A</v>
      </c>
      <c r="E175" s="49" t="str">
        <f>VLOOKUP(B175,Classification!$A:$D,2,FALSE)</f>
        <v>A</v>
      </c>
      <c r="F175" s="15" t="str">
        <f>VLOOKUP(C175,Classification!$A:$D,2,FALSE)</f>
        <v>A</v>
      </c>
      <c r="G175" s="15" t="b">
        <f t="shared" si="2"/>
        <v>1</v>
      </c>
      <c r="H175" s="10" t="str">
        <f>IF(ISERROR(MATCH(A175,'SegEnds_Xtal_Prot#'!B:B, 0)), "NoXtal", "Xtal")</f>
        <v>NoXtal</v>
      </c>
      <c r="J175" s="3"/>
    </row>
    <row r="176" spans="1:10" x14ac:dyDescent="0.2">
      <c r="A176" s="3" t="s">
        <v>187</v>
      </c>
      <c r="B176" s="1" t="s">
        <v>175</v>
      </c>
      <c r="C176" t="s">
        <v>1165</v>
      </c>
      <c r="D176" s="28" t="str">
        <f>VLOOKUP(A176,Classification!$A:$D,2,FALSE)</f>
        <v>A</v>
      </c>
      <c r="E176" s="49" t="str">
        <f>VLOOKUP(B176,Classification!$A:$D,2,FALSE)</f>
        <v>A</v>
      </c>
      <c r="F176" s="15" t="str">
        <f>VLOOKUP(C176,Classification!$A:$D,2,FALSE)</f>
        <v>A</v>
      </c>
      <c r="G176" s="15" t="b">
        <f t="shared" si="2"/>
        <v>1</v>
      </c>
      <c r="H176" s="10" t="str">
        <f>IF(ISERROR(MATCH(A176,'SegEnds_Xtal_Prot#'!B:B, 0)), "NoXtal", "Xtal")</f>
        <v>NoXtal</v>
      </c>
      <c r="J176" s="3"/>
    </row>
    <row r="177" spans="1:10" x14ac:dyDescent="0.2">
      <c r="A177" s="3" t="s">
        <v>202</v>
      </c>
      <c r="B177" s="1" t="s">
        <v>201</v>
      </c>
      <c r="C177" t="s">
        <v>1165</v>
      </c>
      <c r="D177" s="28" t="str">
        <f>VLOOKUP(A177,Classification!$A:$D,2,FALSE)</f>
        <v>A</v>
      </c>
      <c r="E177" s="49" t="str">
        <f>VLOOKUP(B177,Classification!$A:$D,2,FALSE)</f>
        <v>A</v>
      </c>
      <c r="F177" s="15" t="str">
        <f>VLOOKUP(C177,Classification!$A:$D,2,FALSE)</f>
        <v>A</v>
      </c>
      <c r="G177" s="15" t="b">
        <f t="shared" si="2"/>
        <v>1</v>
      </c>
      <c r="H177" s="10" t="str">
        <f>IF(ISERROR(MATCH(A177,'SegEnds_Xtal_Prot#'!B:B, 0)), "NoXtal", "Xtal")</f>
        <v>NoXtal</v>
      </c>
      <c r="J177" s="3"/>
    </row>
    <row r="178" spans="1:10" x14ac:dyDescent="0.2">
      <c r="A178" s="3" t="s">
        <v>292</v>
      </c>
      <c r="B178" s="1" t="s">
        <v>359</v>
      </c>
      <c r="C178" t="s">
        <v>1165</v>
      </c>
      <c r="D178" s="28" t="str">
        <f>VLOOKUP(A178,Classification!$A:$D,2,FALSE)</f>
        <v>A</v>
      </c>
      <c r="E178" s="49" t="str">
        <f>VLOOKUP(B178,Classification!$A:$D,2,FALSE)</f>
        <v>A</v>
      </c>
      <c r="F178" s="15" t="str">
        <f>VLOOKUP(C178,Classification!$A:$D,2,FALSE)</f>
        <v>A</v>
      </c>
      <c r="G178" s="15" t="b">
        <f t="shared" si="2"/>
        <v>1</v>
      </c>
      <c r="H178" s="10" t="str">
        <f>IF(ISERROR(MATCH(A178,'SegEnds_Xtal_Prot#'!B:B, 0)), "NoXtal", "Xtal")</f>
        <v>NoXtal</v>
      </c>
      <c r="J178" s="3"/>
    </row>
    <row r="179" spans="1:10" x14ac:dyDescent="0.2">
      <c r="A179" s="3" t="s">
        <v>192</v>
      </c>
      <c r="B179" s="1" t="s">
        <v>192</v>
      </c>
      <c r="C179" t="s">
        <v>192</v>
      </c>
      <c r="D179" s="28" t="str">
        <f>VLOOKUP(A179,Classification!$A:$D,2,FALSE)</f>
        <v>A</v>
      </c>
      <c r="E179" s="49" t="str">
        <f>VLOOKUP(B179,Classification!$A:$D,2,FALSE)</f>
        <v>A</v>
      </c>
      <c r="F179" s="15" t="str">
        <f>VLOOKUP(C179,Classification!$A:$D,2,FALSE)</f>
        <v>A</v>
      </c>
      <c r="G179" s="15" t="b">
        <f t="shared" si="2"/>
        <v>1</v>
      </c>
      <c r="H179" s="10" t="str">
        <f>IF(ISERROR(MATCH(A179,'SegEnds_Xtal_Prot#'!B:B, 0)), "NoXtal", "Xtal")</f>
        <v>Xtal</v>
      </c>
      <c r="J179" s="3"/>
    </row>
    <row r="180" spans="1:10" x14ac:dyDescent="0.2">
      <c r="A180" s="3" t="s">
        <v>191</v>
      </c>
      <c r="B180" s="1" t="s">
        <v>191</v>
      </c>
      <c r="C180" t="s">
        <v>192</v>
      </c>
      <c r="D180" s="28" t="str">
        <f>VLOOKUP(A180,Classification!$A:$D,2,FALSE)</f>
        <v>A</v>
      </c>
      <c r="E180" s="49" t="str">
        <f>VLOOKUP(B180,Classification!$A:$D,2,FALSE)</f>
        <v>A</v>
      </c>
      <c r="F180" s="15" t="str">
        <f>VLOOKUP(C180,Classification!$A:$D,2,FALSE)</f>
        <v>A</v>
      </c>
      <c r="G180" s="15" t="b">
        <f t="shared" si="2"/>
        <v>1</v>
      </c>
      <c r="H180" s="10" t="str">
        <f>IF(ISERROR(MATCH(A180,'SegEnds_Xtal_Prot#'!B:B, 0)), "NoXtal", "Xtal")</f>
        <v>Xtal</v>
      </c>
      <c r="J180" s="3"/>
    </row>
    <row r="181" spans="1:10" x14ac:dyDescent="0.2">
      <c r="A181" s="3" t="s">
        <v>193</v>
      </c>
      <c r="B181" s="1" t="s">
        <v>193</v>
      </c>
      <c r="C181" t="s">
        <v>193</v>
      </c>
      <c r="D181" s="28" t="str">
        <f>VLOOKUP(A181,Classification!$A:$D,2,FALSE)</f>
        <v>A</v>
      </c>
      <c r="E181" s="49" t="str">
        <f>VLOOKUP(B181,Classification!$A:$D,2,FALSE)</f>
        <v>A</v>
      </c>
      <c r="F181" s="15" t="str">
        <f>VLOOKUP(C181,Classification!$A:$D,2,FALSE)</f>
        <v>A</v>
      </c>
      <c r="G181" s="15" t="b">
        <f t="shared" si="2"/>
        <v>1</v>
      </c>
      <c r="H181" s="10" t="str">
        <f>IF(ISERROR(MATCH(A181,'SegEnds_Xtal_Prot#'!B:B, 0)), "NoXtal", "Xtal")</f>
        <v>Xtal</v>
      </c>
      <c r="J181" s="3"/>
    </row>
    <row r="182" spans="1:10" x14ac:dyDescent="0.2">
      <c r="A182" s="3" t="s">
        <v>156</v>
      </c>
      <c r="B182" s="1" t="s">
        <v>191</v>
      </c>
      <c r="C182" t="s">
        <v>192</v>
      </c>
      <c r="D182" s="28" t="str">
        <f>VLOOKUP(A182,Classification!$A:$D,2,FALSE)</f>
        <v>A</v>
      </c>
      <c r="E182" s="49" t="str">
        <f>VLOOKUP(B182,Classification!$A:$D,2,FALSE)</f>
        <v>A</v>
      </c>
      <c r="F182" s="15" t="str">
        <f>VLOOKUP(C182,Classification!$A:$D,2,FALSE)</f>
        <v>A</v>
      </c>
      <c r="G182" s="15" t="b">
        <f t="shared" si="2"/>
        <v>1</v>
      </c>
      <c r="H182" s="10" t="str">
        <f>IF(ISERROR(MATCH(A182,'SegEnds_Xtal_Prot#'!B:B, 0)), "NoXtal", "Xtal")</f>
        <v>NoXtal</v>
      </c>
      <c r="J182" s="3"/>
    </row>
    <row r="183" spans="1:10" x14ac:dyDescent="0.2">
      <c r="A183" s="3" t="s">
        <v>272</v>
      </c>
      <c r="B183" s="1" t="s">
        <v>1168</v>
      </c>
      <c r="C183" t="s">
        <v>192</v>
      </c>
      <c r="D183" s="28" t="str">
        <f>VLOOKUP(A183,Classification!$A:$D,2,FALSE)</f>
        <v>A</v>
      </c>
      <c r="E183" s="49" t="str">
        <f>VLOOKUP(B183,Classification!$A:$D,2,FALSE)</f>
        <v>A</v>
      </c>
      <c r="F183" s="15" t="str">
        <f>VLOOKUP(C183,Classification!$A:$D,2,FALSE)</f>
        <v>A</v>
      </c>
      <c r="G183" s="15" t="b">
        <f t="shared" si="2"/>
        <v>1</v>
      </c>
      <c r="H183" s="10" t="str">
        <f>IF(ISERROR(MATCH(A183,'SegEnds_Xtal_Prot#'!B:B, 0)), "NoXtal", "Xtal")</f>
        <v>NoXtal</v>
      </c>
      <c r="J183" s="3"/>
    </row>
    <row r="184" spans="1:10" x14ac:dyDescent="0.2">
      <c r="A184" s="3" t="s">
        <v>263</v>
      </c>
      <c r="B184" s="1" t="s">
        <v>192</v>
      </c>
      <c r="C184" t="s">
        <v>192</v>
      </c>
      <c r="D184" s="28" t="str">
        <f>VLOOKUP(A184,Classification!$A:$D,2,FALSE)</f>
        <v>A</v>
      </c>
      <c r="E184" s="49" t="str">
        <f>VLOOKUP(B184,Classification!$A:$D,2,FALSE)</f>
        <v>A</v>
      </c>
      <c r="F184" s="15" t="str">
        <f>VLOOKUP(C184,Classification!$A:$D,2,FALSE)</f>
        <v>A</v>
      </c>
      <c r="G184" s="15" t="b">
        <f t="shared" si="2"/>
        <v>1</v>
      </c>
      <c r="H184" s="10" t="str">
        <f>IF(ISERROR(MATCH(A184,'SegEnds_Xtal_Prot#'!B:B, 0)), "NoXtal", "Xtal")</f>
        <v>NoXtal</v>
      </c>
      <c r="J184" s="3"/>
    </row>
    <row r="185" spans="1:10" x14ac:dyDescent="0.2">
      <c r="A185" s="3" t="s">
        <v>365</v>
      </c>
      <c r="B185" s="1" t="s">
        <v>363</v>
      </c>
      <c r="C185" t="s">
        <v>192</v>
      </c>
      <c r="D185" s="28" t="str">
        <f>VLOOKUP(A185,Classification!$A:$D,2,FALSE)</f>
        <v>A</v>
      </c>
      <c r="E185" s="49" t="str">
        <f>VLOOKUP(B185,Classification!$A:$D,2,FALSE)</f>
        <v>A</v>
      </c>
      <c r="F185" s="15" t="str">
        <f>VLOOKUP(C185,Classification!$A:$D,2,FALSE)</f>
        <v>A</v>
      </c>
      <c r="G185" s="15" t="b">
        <f t="shared" si="2"/>
        <v>1</v>
      </c>
      <c r="H185" s="10" t="str">
        <f>IF(ISERROR(MATCH(A185,'SegEnds_Xtal_Prot#'!B:B, 0)), "NoXtal", "Xtal")</f>
        <v>NoXtal</v>
      </c>
      <c r="J185" s="3"/>
    </row>
    <row r="186" spans="1:10" x14ac:dyDescent="0.2">
      <c r="A186" s="3" t="s">
        <v>262</v>
      </c>
      <c r="B186" s="1" t="s">
        <v>1169</v>
      </c>
      <c r="C186" t="s">
        <v>192</v>
      </c>
      <c r="D186" s="28" t="str">
        <f>VLOOKUP(A186,Classification!$A:$D,2,FALSE)</f>
        <v>A</v>
      </c>
      <c r="E186" s="49" t="str">
        <f>VLOOKUP(B186,Classification!$A:$D,2,FALSE)</f>
        <v>A</v>
      </c>
      <c r="F186" s="15" t="str">
        <f>VLOOKUP(C186,Classification!$A:$D,2,FALSE)</f>
        <v>A</v>
      </c>
      <c r="G186" s="15" t="b">
        <f t="shared" si="2"/>
        <v>1</v>
      </c>
      <c r="H186" s="10" t="str">
        <f>IF(ISERROR(MATCH(A186,'SegEnds_Xtal_Prot#'!B:B, 0)), "NoXtal", "Xtal")</f>
        <v>NoXtal</v>
      </c>
      <c r="J186" s="3"/>
    </row>
    <row r="187" spans="1:10" x14ac:dyDescent="0.2">
      <c r="A187" s="3" t="s">
        <v>265</v>
      </c>
      <c r="B187" s="1" t="s">
        <v>126</v>
      </c>
      <c r="C187" t="s">
        <v>192</v>
      </c>
      <c r="D187" s="28" t="str">
        <f>VLOOKUP(A187,Classification!$A:$D,2,FALSE)</f>
        <v>A</v>
      </c>
      <c r="E187" s="49" t="str">
        <f>VLOOKUP(B187,Classification!$A:$D,2,FALSE)</f>
        <v>A</v>
      </c>
      <c r="F187" s="15" t="str">
        <f>VLOOKUP(C187,Classification!$A:$D,2,FALSE)</f>
        <v>A</v>
      </c>
      <c r="G187" s="15" t="b">
        <f t="shared" si="2"/>
        <v>1</v>
      </c>
      <c r="H187" s="10" t="str">
        <f>IF(ISERROR(MATCH(A187,'SegEnds_Xtal_Prot#'!B:B, 0)), "NoXtal", "Xtal")</f>
        <v>NoXtal</v>
      </c>
      <c r="J187" s="3"/>
    </row>
    <row r="188" spans="1:10" x14ac:dyDescent="0.2">
      <c r="A188" s="3" t="s">
        <v>196</v>
      </c>
      <c r="B188" s="1" t="s">
        <v>196</v>
      </c>
      <c r="C188" t="s">
        <v>196</v>
      </c>
      <c r="D188" s="28" t="str">
        <f>VLOOKUP(A188,Classification!$A:$D,2,FALSE)</f>
        <v>A</v>
      </c>
      <c r="E188" s="49" t="str">
        <f>VLOOKUP(B188,Classification!$A:$D,2,FALSE)</f>
        <v>A</v>
      </c>
      <c r="F188" s="15" t="str">
        <f>VLOOKUP(C188,Classification!$A:$D,2,FALSE)</f>
        <v>A</v>
      </c>
      <c r="G188" s="15" t="b">
        <f t="shared" si="2"/>
        <v>1</v>
      </c>
      <c r="H188" s="10" t="str">
        <f>IF(ISERROR(MATCH(A188,'SegEnds_Xtal_Prot#'!B:B, 0)), "NoXtal", "Xtal")</f>
        <v>Xtal</v>
      </c>
      <c r="J188" s="3"/>
    </row>
    <row r="189" spans="1:10" x14ac:dyDescent="0.2">
      <c r="A189" s="3" t="s">
        <v>195</v>
      </c>
      <c r="B189" s="1" t="s">
        <v>196</v>
      </c>
      <c r="C189" t="s">
        <v>196</v>
      </c>
      <c r="D189" s="28" t="str">
        <f>VLOOKUP(A189,Classification!$A:$D,2,FALSE)</f>
        <v>A</v>
      </c>
      <c r="E189" s="49" t="str">
        <f>VLOOKUP(B189,Classification!$A:$D,2,FALSE)</f>
        <v>A</v>
      </c>
      <c r="F189" s="15" t="str">
        <f>VLOOKUP(C189,Classification!$A:$D,2,FALSE)</f>
        <v>A</v>
      </c>
      <c r="G189" s="15" t="b">
        <f t="shared" si="2"/>
        <v>1</v>
      </c>
      <c r="H189" s="10" t="str">
        <f>IF(ISERROR(MATCH(A189,'SegEnds_Xtal_Prot#'!B:B, 0)), "NoXtal", "Xtal")</f>
        <v>NoXtal</v>
      </c>
      <c r="J189" s="3"/>
    </row>
    <row r="190" spans="1:10" x14ac:dyDescent="0.2">
      <c r="A190" s="3" t="s">
        <v>273</v>
      </c>
      <c r="B190" s="1" t="s">
        <v>196</v>
      </c>
      <c r="C190" t="s">
        <v>196</v>
      </c>
      <c r="D190" s="28" t="str">
        <f>VLOOKUP(A190,Classification!$A:$D,2,FALSE)</f>
        <v>A</v>
      </c>
      <c r="E190" s="49" t="str">
        <f>VLOOKUP(B190,Classification!$A:$D,2,FALSE)</f>
        <v>A</v>
      </c>
      <c r="F190" s="15" t="str">
        <f>VLOOKUP(C190,Classification!$A:$D,2,FALSE)</f>
        <v>A</v>
      </c>
      <c r="G190" s="15" t="b">
        <f t="shared" si="2"/>
        <v>1</v>
      </c>
      <c r="H190" s="10" t="str">
        <f>IF(ISERROR(MATCH(A190,'SegEnds_Xtal_Prot#'!B:B, 0)), "NoXtal", "Xtal")</f>
        <v>NoXtal</v>
      </c>
      <c r="J190" s="3"/>
    </row>
    <row r="191" spans="1:10" x14ac:dyDescent="0.2">
      <c r="A191" s="3" t="s">
        <v>254</v>
      </c>
      <c r="B191" s="1" t="s">
        <v>196</v>
      </c>
      <c r="C191" t="s">
        <v>196</v>
      </c>
      <c r="D191" s="28" t="str">
        <f>VLOOKUP(A191,Classification!$A:$D,2,FALSE)</f>
        <v>A</v>
      </c>
      <c r="E191" s="49" t="str">
        <f>VLOOKUP(B191,Classification!$A:$D,2,FALSE)</f>
        <v>A</v>
      </c>
      <c r="F191" s="15" t="str">
        <f>VLOOKUP(C191,Classification!$A:$D,2,FALSE)</f>
        <v>A</v>
      </c>
      <c r="G191" s="15" t="b">
        <f t="shared" si="2"/>
        <v>1</v>
      </c>
      <c r="H191" s="10" t="str">
        <f>IF(ISERROR(MATCH(A191,'SegEnds_Xtal_Prot#'!B:B, 0)), "NoXtal", "Xtal")</f>
        <v>NoXtal</v>
      </c>
      <c r="J191" s="3"/>
    </row>
    <row r="192" spans="1:10" x14ac:dyDescent="0.2">
      <c r="A192" s="3" t="s">
        <v>1676</v>
      </c>
      <c r="B192" s="1" t="s">
        <v>196</v>
      </c>
      <c r="C192" t="s">
        <v>196</v>
      </c>
      <c r="D192" s="28" t="str">
        <f>VLOOKUP(A192,Classification!$A:$D,2,FALSE)</f>
        <v>A</v>
      </c>
      <c r="E192" s="49" t="str">
        <f>VLOOKUP(B192,Classification!$A:$D,2,FALSE)</f>
        <v>A</v>
      </c>
      <c r="F192" s="15" t="str">
        <f>VLOOKUP(C192,Classification!$A:$D,2,FALSE)</f>
        <v>A</v>
      </c>
      <c r="G192" s="15" t="b">
        <f t="shared" si="2"/>
        <v>1</v>
      </c>
      <c r="H192" s="10" t="str">
        <f>IF(ISERROR(MATCH(A192,'SegEnds_Xtal_Prot#'!B:B, 0)), "NoXtal", "Xtal")</f>
        <v>NoXtal</v>
      </c>
      <c r="J192" s="3"/>
    </row>
    <row r="193" spans="1:10" x14ac:dyDescent="0.2">
      <c r="A193" s="3" t="s">
        <v>316</v>
      </c>
      <c r="B193" s="1" t="s">
        <v>196</v>
      </c>
      <c r="C193" t="s">
        <v>196</v>
      </c>
      <c r="D193" s="28" t="str">
        <f>VLOOKUP(A193,Classification!$A:$D,2,FALSE)</f>
        <v>A</v>
      </c>
      <c r="E193" s="49" t="str">
        <f>VLOOKUP(B193,Classification!$A:$D,2,FALSE)</f>
        <v>A</v>
      </c>
      <c r="F193" s="15" t="str">
        <f>VLOOKUP(C193,Classification!$A:$D,2,FALSE)</f>
        <v>A</v>
      </c>
      <c r="G193" s="15" t="b">
        <f t="shared" si="2"/>
        <v>1</v>
      </c>
      <c r="H193" s="10" t="str">
        <f>IF(ISERROR(MATCH(A193,'SegEnds_Xtal_Prot#'!B:B, 0)), "NoXtal", "Xtal")</f>
        <v>NoXtal</v>
      </c>
      <c r="J193" s="3"/>
    </row>
    <row r="194" spans="1:10" x14ac:dyDescent="0.2">
      <c r="A194" s="3" t="s">
        <v>1166</v>
      </c>
      <c r="B194" s="1" t="s">
        <v>1166</v>
      </c>
      <c r="C194" t="s">
        <v>1166</v>
      </c>
      <c r="D194" s="28" t="str">
        <f>VLOOKUP(A194,Classification!$A:$D,2,FALSE)</f>
        <v>A</v>
      </c>
      <c r="E194" s="49" t="str">
        <f>VLOOKUP(B194,Classification!$A:$D,2,FALSE)</f>
        <v>A</v>
      </c>
      <c r="F194" s="15" t="str">
        <f>VLOOKUP(C194,Classification!$A:$D,2,FALSE)</f>
        <v>A</v>
      </c>
      <c r="G194" s="15" t="b">
        <f t="shared" si="2"/>
        <v>1</v>
      </c>
      <c r="H194" s="10" t="str">
        <f>IF(ISERROR(MATCH(A194,'SegEnds_Xtal_Prot#'!B:B, 0)), "NoXtal", "Xtal")</f>
        <v>Xtal</v>
      </c>
      <c r="J194" s="3"/>
    </row>
    <row r="195" spans="1:10" x14ac:dyDescent="0.2">
      <c r="A195" s="3" t="s">
        <v>197</v>
      </c>
      <c r="B195" s="1" t="s">
        <v>355</v>
      </c>
      <c r="C195" t="s">
        <v>1166</v>
      </c>
      <c r="D195" s="28" t="str">
        <f>VLOOKUP(A195,Classification!$A:$D,2,FALSE)</f>
        <v>A</v>
      </c>
      <c r="E195" s="49" t="str">
        <f>VLOOKUP(B195,Classification!$A:$D,2,FALSE)</f>
        <v>A</v>
      </c>
      <c r="F195" s="15" t="str">
        <f>VLOOKUP(C195,Classification!$A:$D,2,FALSE)</f>
        <v>A</v>
      </c>
      <c r="G195" s="15" t="b">
        <f t="shared" ref="G195:G258" si="3">OR(D195=F195,AND(D195="T",F195="A"),AND(D195="B2",F195="B1"),D195="O")</f>
        <v>1</v>
      </c>
      <c r="H195" s="10" t="str">
        <f>IF(ISERROR(MATCH(A195,'SegEnds_Xtal_Prot#'!B:B, 0)), "NoXtal", "Xtal")</f>
        <v>NoXtal</v>
      </c>
      <c r="J195" s="3"/>
    </row>
    <row r="196" spans="1:10" x14ac:dyDescent="0.2">
      <c r="A196" s="3" t="s">
        <v>403</v>
      </c>
      <c r="B196" s="1" t="s">
        <v>407</v>
      </c>
      <c r="C196" t="s">
        <v>32</v>
      </c>
      <c r="D196" s="28" t="str">
        <f>VLOOKUP(A196,Classification!$A:$D,2,FALSE)</f>
        <v>B1</v>
      </c>
      <c r="E196" s="49" t="str">
        <f>VLOOKUP(B196,Classification!$A:$D,2,FALSE)</f>
        <v>B1</v>
      </c>
      <c r="F196" s="15" t="str">
        <f>VLOOKUP(C196,Classification!$A:$D,2,FALSE)</f>
        <v>B1</v>
      </c>
      <c r="G196" s="15" t="b">
        <f t="shared" si="3"/>
        <v>1</v>
      </c>
      <c r="H196" s="10" t="str">
        <f>IF(ISERROR(MATCH(A196,'SegEnds_Xtal_Prot#'!B:B, 0)), "NoXtal", "Xtal")</f>
        <v>NoXtal</v>
      </c>
      <c r="J196" s="3"/>
    </row>
    <row r="197" spans="1:10" x14ac:dyDescent="0.2">
      <c r="A197" s="3" t="s">
        <v>410</v>
      </c>
      <c r="B197" s="1" t="s">
        <v>407</v>
      </c>
      <c r="C197" t="s">
        <v>32</v>
      </c>
      <c r="D197" s="28" t="str">
        <f>VLOOKUP(A197,Classification!$A:$D,2,FALSE)</f>
        <v>B1</v>
      </c>
      <c r="E197" s="49" t="str">
        <f>VLOOKUP(B197,Classification!$A:$D,2,FALSE)</f>
        <v>B1</v>
      </c>
      <c r="F197" s="15" t="str">
        <f>VLOOKUP(C197,Classification!$A:$D,2,FALSE)</f>
        <v>B1</v>
      </c>
      <c r="G197" s="15" t="b">
        <f t="shared" si="3"/>
        <v>1</v>
      </c>
      <c r="H197" s="10" t="str">
        <f>IF(ISERROR(MATCH(A197,'SegEnds_Xtal_Prot#'!B:B, 0)), "NoXtal", "Xtal")</f>
        <v>NoXtal</v>
      </c>
      <c r="J197" s="3"/>
    </row>
    <row r="198" spans="1:10" x14ac:dyDescent="0.2">
      <c r="A198" s="3" t="s">
        <v>405</v>
      </c>
      <c r="B198" s="1" t="s">
        <v>405</v>
      </c>
      <c r="C198" t="s">
        <v>32</v>
      </c>
      <c r="D198" s="28" t="str">
        <f>VLOOKUP(A198,Classification!$A:$D,2,FALSE)</f>
        <v>B1</v>
      </c>
      <c r="E198" s="49" t="str">
        <f>VLOOKUP(B198,Classification!$A:$D,2,FALSE)</f>
        <v>B1</v>
      </c>
      <c r="F198" s="15" t="str">
        <f>VLOOKUP(C198,Classification!$A:$D,2,FALSE)</f>
        <v>B1</v>
      </c>
      <c r="G198" s="15" t="b">
        <f t="shared" si="3"/>
        <v>1</v>
      </c>
      <c r="H198" s="10" t="str">
        <f>IF(ISERROR(MATCH(A198,'SegEnds_Xtal_Prot#'!B:B, 0)), "NoXtal", "Xtal")</f>
        <v>Xtal</v>
      </c>
      <c r="J198" s="3"/>
    </row>
    <row r="199" spans="1:10" x14ac:dyDescent="0.2">
      <c r="A199" s="3" t="s">
        <v>412</v>
      </c>
      <c r="B199" s="1" t="s">
        <v>407</v>
      </c>
      <c r="C199" t="s">
        <v>32</v>
      </c>
      <c r="D199" s="28" t="str">
        <f>VLOOKUP(A199,Classification!$A:$D,2,FALSE)</f>
        <v>B1</v>
      </c>
      <c r="E199" s="49" t="str">
        <f>VLOOKUP(B199,Classification!$A:$D,2,FALSE)</f>
        <v>B1</v>
      </c>
      <c r="F199" s="15" t="str">
        <f>VLOOKUP(C199,Classification!$A:$D,2,FALSE)</f>
        <v>B1</v>
      </c>
      <c r="G199" s="15" t="b">
        <f t="shared" si="3"/>
        <v>1</v>
      </c>
      <c r="H199" s="10" t="str">
        <f>IF(ISERROR(MATCH(A199,'SegEnds_Xtal_Prot#'!B:B, 0)), "NoXtal", "Xtal")</f>
        <v>NoXtal</v>
      </c>
      <c r="J199" s="3"/>
    </row>
    <row r="200" spans="1:10" x14ac:dyDescent="0.2">
      <c r="A200" s="3" t="s">
        <v>407</v>
      </c>
      <c r="B200" s="1" t="s">
        <v>407</v>
      </c>
      <c r="C200" t="s">
        <v>32</v>
      </c>
      <c r="D200" s="28" t="str">
        <f>VLOOKUP(A200,Classification!$A:$D,2,FALSE)</f>
        <v>B1</v>
      </c>
      <c r="E200" s="49" t="str">
        <f>VLOOKUP(B200,Classification!$A:$D,2,FALSE)</f>
        <v>B1</v>
      </c>
      <c r="F200" s="15" t="str">
        <f>VLOOKUP(C200,Classification!$A:$D,2,FALSE)</f>
        <v>B1</v>
      </c>
      <c r="G200" s="15" t="b">
        <f t="shared" si="3"/>
        <v>1</v>
      </c>
      <c r="H200" s="10" t="str">
        <f>IF(ISERROR(MATCH(A200,'SegEnds_Xtal_Prot#'!B:B, 0)), "NoXtal", "Xtal")</f>
        <v>Xtal</v>
      </c>
      <c r="J200" s="3"/>
    </row>
    <row r="201" spans="1:10" x14ac:dyDescent="0.2">
      <c r="A201" s="3" t="s">
        <v>411</v>
      </c>
      <c r="B201" s="1" t="s">
        <v>407</v>
      </c>
      <c r="C201" t="s">
        <v>32</v>
      </c>
      <c r="D201" s="28" t="str">
        <f>VLOOKUP(A201,Classification!$A:$D,2,FALSE)</f>
        <v>B1</v>
      </c>
      <c r="E201" s="49" t="str">
        <f>VLOOKUP(B201,Classification!$A:$D,2,FALSE)</f>
        <v>B1</v>
      </c>
      <c r="F201" s="15" t="str">
        <f>VLOOKUP(C201,Classification!$A:$D,2,FALSE)</f>
        <v>B1</v>
      </c>
      <c r="G201" s="15" t="b">
        <f t="shared" si="3"/>
        <v>1</v>
      </c>
      <c r="H201" s="10" t="str">
        <f>IF(ISERROR(MATCH(A201,'SegEnds_Xtal_Prot#'!B:B, 0)), "NoXtal", "Xtal")</f>
        <v>NoXtal</v>
      </c>
      <c r="J201" s="3"/>
    </row>
    <row r="202" spans="1:10" x14ac:dyDescent="0.2">
      <c r="A202" s="3" t="s">
        <v>404</v>
      </c>
      <c r="B202" s="1" t="s">
        <v>32</v>
      </c>
      <c r="C202" t="s">
        <v>32</v>
      </c>
      <c r="D202" s="28" t="str">
        <f>VLOOKUP(A202,Classification!$A:$D,2,FALSE)</f>
        <v>B1</v>
      </c>
      <c r="E202" s="49" t="str">
        <f>VLOOKUP(B202,Classification!$A:$D,2,FALSE)</f>
        <v>B1</v>
      </c>
      <c r="F202" s="15" t="str">
        <f>VLOOKUP(C202,Classification!$A:$D,2,FALSE)</f>
        <v>B1</v>
      </c>
      <c r="G202" s="15" t="b">
        <f t="shared" si="3"/>
        <v>1</v>
      </c>
      <c r="H202" s="10" t="str">
        <f>IF(ISERROR(MATCH(A202,'SegEnds_Xtal_Prot#'!B:B, 0)), "NoXtal", "Xtal")</f>
        <v>NoXtal</v>
      </c>
      <c r="J202" s="3"/>
    </row>
    <row r="203" spans="1:10" x14ac:dyDescent="0.2">
      <c r="A203" s="3" t="s">
        <v>32</v>
      </c>
      <c r="B203" s="1" t="s">
        <v>32</v>
      </c>
      <c r="C203" t="s">
        <v>32</v>
      </c>
      <c r="D203" s="28" t="str">
        <f>VLOOKUP(A203,Classification!$A:$D,2,FALSE)</f>
        <v>B1</v>
      </c>
      <c r="E203" s="49" t="str">
        <f>VLOOKUP(B203,Classification!$A:$D,2,FALSE)</f>
        <v>B1</v>
      </c>
      <c r="F203" s="15" t="str">
        <f>VLOOKUP(C203,Classification!$A:$D,2,FALSE)</f>
        <v>B1</v>
      </c>
      <c r="G203" s="15" t="b">
        <f t="shared" si="3"/>
        <v>1</v>
      </c>
      <c r="H203" s="10" t="str">
        <f>IF(ISERROR(MATCH(A203,'SegEnds_Xtal_Prot#'!B:B, 0)), "NoXtal", "Xtal")</f>
        <v>Xtal</v>
      </c>
      <c r="J203" s="3"/>
    </row>
    <row r="204" spans="1:10" x14ac:dyDescent="0.2">
      <c r="A204" s="3" t="s">
        <v>406</v>
      </c>
      <c r="B204" s="1" t="s">
        <v>32</v>
      </c>
      <c r="C204" t="s">
        <v>32</v>
      </c>
      <c r="D204" s="28" t="str">
        <f>VLOOKUP(A204,Classification!$A:$D,2,FALSE)</f>
        <v>B1</v>
      </c>
      <c r="E204" s="49" t="str">
        <f>VLOOKUP(B204,Classification!$A:$D,2,FALSE)</f>
        <v>B1</v>
      </c>
      <c r="F204" s="15" t="str">
        <f>VLOOKUP(C204,Classification!$A:$D,2,FALSE)</f>
        <v>B1</v>
      </c>
      <c r="G204" s="15" t="b">
        <f t="shared" si="3"/>
        <v>1</v>
      </c>
      <c r="H204" s="10" t="str">
        <f>IF(ISERROR(MATCH(A204,'SegEnds_Xtal_Prot#'!B:B, 0)), "NoXtal", "Xtal")</f>
        <v>NoXtal</v>
      </c>
      <c r="J204" s="3"/>
    </row>
    <row r="205" spans="1:10" x14ac:dyDescent="0.2">
      <c r="A205" s="3" t="s">
        <v>408</v>
      </c>
      <c r="B205" s="1" t="s">
        <v>408</v>
      </c>
      <c r="C205" t="s">
        <v>32</v>
      </c>
      <c r="D205" s="28" t="str">
        <f>VLOOKUP(A205,Classification!$A:$D,2,FALSE)</f>
        <v>B1</v>
      </c>
      <c r="E205" s="49" t="str">
        <f>VLOOKUP(B205,Classification!$A:$D,2,FALSE)</f>
        <v>B1</v>
      </c>
      <c r="F205" s="15" t="str">
        <f>VLOOKUP(C205,Classification!$A:$D,2,FALSE)</f>
        <v>B1</v>
      </c>
      <c r="G205" s="15" t="b">
        <f t="shared" si="3"/>
        <v>1</v>
      </c>
      <c r="H205" s="10" t="str">
        <f>IF(ISERROR(MATCH(A205,'SegEnds_Xtal_Prot#'!B:B, 0)), "NoXtal", "Xtal")</f>
        <v>Xtal</v>
      </c>
      <c r="J205" s="3"/>
    </row>
    <row r="206" spans="1:10" x14ac:dyDescent="0.2">
      <c r="A206" s="3" t="s">
        <v>409</v>
      </c>
      <c r="B206" s="1" t="s">
        <v>408</v>
      </c>
      <c r="C206" t="s">
        <v>32</v>
      </c>
      <c r="D206" s="28" t="str">
        <f>VLOOKUP(A206,Classification!$A:$D,2,FALSE)</f>
        <v>B1</v>
      </c>
      <c r="E206" s="49" t="str">
        <f>VLOOKUP(B206,Classification!$A:$D,2,FALSE)</f>
        <v>B1</v>
      </c>
      <c r="F206" s="15" t="str">
        <f>VLOOKUP(C206,Classification!$A:$D,2,FALSE)</f>
        <v>B1</v>
      </c>
      <c r="G206" s="15" t="b">
        <f t="shared" si="3"/>
        <v>1</v>
      </c>
      <c r="H206" s="10" t="str">
        <f>IF(ISERROR(MATCH(A206,'SegEnds_Xtal_Prot#'!B:B, 0)), "NoXtal", "Xtal")</f>
        <v>NoXtal</v>
      </c>
      <c r="J206" s="3"/>
    </row>
    <row r="207" spans="1:10" x14ac:dyDescent="0.2">
      <c r="A207" s="3" t="s">
        <v>123</v>
      </c>
      <c r="B207" s="1" t="s">
        <v>40</v>
      </c>
      <c r="C207" t="s">
        <v>40</v>
      </c>
      <c r="D207" s="28" t="str">
        <f>VLOOKUP(A207,Classification!$A:$D,2,FALSE)</f>
        <v>C</v>
      </c>
      <c r="E207" s="49" t="str">
        <f>VLOOKUP(B207,Classification!$A:$D,2,FALSE)</f>
        <v>C</v>
      </c>
      <c r="F207" s="15" t="str">
        <f>VLOOKUP(C207,Classification!$A:$D,2,FALSE)</f>
        <v>C</v>
      </c>
      <c r="G207" s="15" t="b">
        <f t="shared" si="3"/>
        <v>1</v>
      </c>
      <c r="H207" s="10" t="str">
        <f>IF(ISERROR(MATCH(A207,'SegEnds_Xtal_Prot#'!B:B, 0)), "NoXtal", "Xtal")</f>
        <v>NoXtal</v>
      </c>
      <c r="J207" s="3"/>
    </row>
    <row r="208" spans="1:10" x14ac:dyDescent="0.2">
      <c r="A208" s="3" t="s">
        <v>122</v>
      </c>
      <c r="B208" s="1" t="s">
        <v>40</v>
      </c>
      <c r="C208" t="s">
        <v>40</v>
      </c>
      <c r="D208" s="28" t="str">
        <f>VLOOKUP(A208,Classification!$A:$D,2,FALSE)</f>
        <v>C</v>
      </c>
      <c r="E208" s="49" t="str">
        <f>VLOOKUP(B208,Classification!$A:$D,2,FALSE)</f>
        <v>C</v>
      </c>
      <c r="F208" s="15" t="str">
        <f>VLOOKUP(C208,Classification!$A:$D,2,FALSE)</f>
        <v>C</v>
      </c>
      <c r="G208" s="15" t="b">
        <f t="shared" si="3"/>
        <v>1</v>
      </c>
      <c r="H208" s="10" t="str">
        <f>IF(ISERROR(MATCH(A208,'SegEnds_Xtal_Prot#'!B:B, 0)), "NoXtal", "Xtal")</f>
        <v>NoXtal</v>
      </c>
      <c r="J208" s="3"/>
    </row>
    <row r="209" spans="1:10" x14ac:dyDescent="0.2">
      <c r="A209" s="3" t="s">
        <v>124</v>
      </c>
      <c r="B209" s="1" t="s">
        <v>40</v>
      </c>
      <c r="C209" t="s">
        <v>40</v>
      </c>
      <c r="D209" s="28" t="str">
        <f>VLOOKUP(A209,Classification!$A:$D,2,FALSE)</f>
        <v>C</v>
      </c>
      <c r="E209" s="49" t="str">
        <f>VLOOKUP(B209,Classification!$A:$D,2,FALSE)</f>
        <v>C</v>
      </c>
      <c r="F209" s="15" t="str">
        <f>VLOOKUP(C209,Classification!$A:$D,2,FALSE)</f>
        <v>C</v>
      </c>
      <c r="G209" s="15" t="b">
        <f t="shared" si="3"/>
        <v>1</v>
      </c>
      <c r="H209" s="10" t="str">
        <f>IF(ISERROR(MATCH(A209,'SegEnds_Xtal_Prot#'!B:B, 0)), "NoXtal", "Xtal")</f>
        <v>NoXtal</v>
      </c>
      <c r="J209" s="3"/>
    </row>
    <row r="210" spans="1:10" x14ac:dyDescent="0.2">
      <c r="A210" s="3" t="s">
        <v>113</v>
      </c>
      <c r="B210" s="1" t="s">
        <v>40</v>
      </c>
      <c r="C210" t="s">
        <v>40</v>
      </c>
      <c r="D210" s="28" t="str">
        <f>VLOOKUP(A210,Classification!$A:$D,2,FALSE)</f>
        <v>C</v>
      </c>
      <c r="E210" s="49" t="str">
        <f>VLOOKUP(B210,Classification!$A:$D,2,FALSE)</f>
        <v>C</v>
      </c>
      <c r="F210" s="15" t="str">
        <f>VLOOKUP(C210,Classification!$A:$D,2,FALSE)</f>
        <v>C</v>
      </c>
      <c r="G210" s="15" t="b">
        <f t="shared" si="3"/>
        <v>1</v>
      </c>
      <c r="H210" s="10" t="str">
        <f>IF(ISERROR(MATCH(A210,'SegEnds_Xtal_Prot#'!B:B, 0)), "NoXtal", "Xtal")</f>
        <v>NoXtal</v>
      </c>
      <c r="J210" s="3"/>
    </row>
    <row r="211" spans="1:10" x14ac:dyDescent="0.2">
      <c r="A211" s="3" t="s">
        <v>121</v>
      </c>
      <c r="B211" s="1" t="s">
        <v>40</v>
      </c>
      <c r="C211" t="s">
        <v>40</v>
      </c>
      <c r="D211" s="28" t="str">
        <f>VLOOKUP(A211,Classification!$A:$D,2,FALSE)</f>
        <v>C</v>
      </c>
      <c r="E211" s="49" t="str">
        <f>VLOOKUP(B211,Classification!$A:$D,2,FALSE)</f>
        <v>C</v>
      </c>
      <c r="F211" s="15" t="str">
        <f>VLOOKUP(C211,Classification!$A:$D,2,FALSE)</f>
        <v>C</v>
      </c>
      <c r="G211" s="15" t="b">
        <f t="shared" si="3"/>
        <v>1</v>
      </c>
      <c r="H211" s="10" t="str">
        <f>IF(ISERROR(MATCH(A211,'SegEnds_Xtal_Prot#'!B:B, 0)), "NoXtal", "Xtal")</f>
        <v>NoXtal</v>
      </c>
      <c r="J211" s="3"/>
    </row>
    <row r="212" spans="1:10" x14ac:dyDescent="0.2">
      <c r="A212" s="3" t="s">
        <v>114</v>
      </c>
      <c r="B212" s="1" t="s">
        <v>40</v>
      </c>
      <c r="C212" t="s">
        <v>40</v>
      </c>
      <c r="D212" s="28" t="str">
        <f>VLOOKUP(A212,Classification!$A:$D,2,FALSE)</f>
        <v>C</v>
      </c>
      <c r="E212" s="49" t="str">
        <f>VLOOKUP(B212,Classification!$A:$D,2,FALSE)</f>
        <v>C</v>
      </c>
      <c r="F212" s="15" t="str">
        <f>VLOOKUP(C212,Classification!$A:$D,2,FALSE)</f>
        <v>C</v>
      </c>
      <c r="G212" s="15" t="b">
        <f t="shared" si="3"/>
        <v>1</v>
      </c>
      <c r="H212" s="10" t="str">
        <f>IF(ISERROR(MATCH(A212,'SegEnds_Xtal_Prot#'!B:B, 0)), "NoXtal", "Xtal")</f>
        <v>NoXtal</v>
      </c>
      <c r="J212" s="3"/>
    </row>
    <row r="213" spans="1:10" x14ac:dyDescent="0.2">
      <c r="A213" s="3" t="s">
        <v>106</v>
      </c>
      <c r="B213" s="1" t="s">
        <v>41</v>
      </c>
      <c r="C213" t="s">
        <v>40</v>
      </c>
      <c r="D213" s="28" t="str">
        <f>VLOOKUP(A213,Classification!$A:$D,2,FALSE)</f>
        <v>C</v>
      </c>
      <c r="E213" s="49" t="str">
        <f>VLOOKUP(B213,Classification!$A:$D,2,FALSE)</f>
        <v>C</v>
      </c>
      <c r="F213" s="15" t="str">
        <f>VLOOKUP(C213,Classification!$A:$D,2,FALSE)</f>
        <v>C</v>
      </c>
      <c r="G213" s="15" t="b">
        <f t="shared" si="3"/>
        <v>1</v>
      </c>
      <c r="H213" s="10" t="str">
        <f>IF(ISERROR(MATCH(A213,'SegEnds_Xtal_Prot#'!B:B, 0)), "NoXtal", "Xtal")</f>
        <v>NoXtal</v>
      </c>
      <c r="J213" s="3"/>
    </row>
    <row r="214" spans="1:10" x14ac:dyDescent="0.2">
      <c r="A214" s="3" t="s">
        <v>111</v>
      </c>
      <c r="B214" s="1" t="s">
        <v>40</v>
      </c>
      <c r="C214" t="s">
        <v>40</v>
      </c>
      <c r="D214" s="28" t="str">
        <f>VLOOKUP(A214,Classification!$A:$D,2,FALSE)</f>
        <v>C</v>
      </c>
      <c r="E214" s="49" t="str">
        <f>VLOOKUP(B214,Classification!$A:$D,2,FALSE)</f>
        <v>C</v>
      </c>
      <c r="F214" s="15" t="str">
        <f>VLOOKUP(C214,Classification!$A:$D,2,FALSE)</f>
        <v>C</v>
      </c>
      <c r="G214" s="15" t="b">
        <f t="shared" si="3"/>
        <v>1</v>
      </c>
      <c r="H214" s="10" t="str">
        <f>IF(ISERROR(MATCH(A214,'SegEnds_Xtal_Prot#'!B:B, 0)), "NoXtal", "Xtal")</f>
        <v>NoXtal</v>
      </c>
      <c r="J214" s="3"/>
    </row>
    <row r="215" spans="1:10" x14ac:dyDescent="0.2">
      <c r="A215" s="3" t="s">
        <v>112</v>
      </c>
      <c r="B215" s="1" t="s">
        <v>40</v>
      </c>
      <c r="C215" t="s">
        <v>40</v>
      </c>
      <c r="D215" s="28" t="str">
        <f>VLOOKUP(A215,Classification!$A:$D,2,FALSE)</f>
        <v>C</v>
      </c>
      <c r="E215" s="49" t="str">
        <f>VLOOKUP(B215,Classification!$A:$D,2,FALSE)</f>
        <v>C</v>
      </c>
      <c r="F215" s="15" t="str">
        <f>VLOOKUP(C215,Classification!$A:$D,2,FALSE)</f>
        <v>C</v>
      </c>
      <c r="G215" s="15" t="b">
        <f t="shared" si="3"/>
        <v>1</v>
      </c>
      <c r="H215" s="10" t="str">
        <f>IF(ISERROR(MATCH(A215,'SegEnds_Xtal_Prot#'!B:B, 0)), "NoXtal", "Xtal")</f>
        <v>NoXtal</v>
      </c>
      <c r="J215" s="3"/>
    </row>
    <row r="216" spans="1:10" x14ac:dyDescent="0.2">
      <c r="A216" s="3" t="s">
        <v>40</v>
      </c>
      <c r="B216" s="1" t="s">
        <v>40</v>
      </c>
      <c r="C216" t="s">
        <v>40</v>
      </c>
      <c r="D216" s="28" t="str">
        <f>VLOOKUP(A216,Classification!$A:$D,2,FALSE)</f>
        <v>C</v>
      </c>
      <c r="E216" s="49" t="str">
        <f>VLOOKUP(B216,Classification!$A:$D,2,FALSE)</f>
        <v>C</v>
      </c>
      <c r="F216" s="15" t="str">
        <f>VLOOKUP(C216,Classification!$A:$D,2,FALSE)</f>
        <v>C</v>
      </c>
      <c r="G216" s="15" t="b">
        <f t="shared" si="3"/>
        <v>1</v>
      </c>
      <c r="H216" s="10" t="str">
        <f>IF(ISERROR(MATCH(A216,'SegEnds_Xtal_Prot#'!B:B, 0)), "NoXtal", "Xtal")</f>
        <v>Xtal</v>
      </c>
      <c r="J216" s="3"/>
    </row>
    <row r="217" spans="1:10" x14ac:dyDescent="0.2">
      <c r="A217" s="3" t="s">
        <v>108</v>
      </c>
      <c r="B217" s="1" t="s">
        <v>40</v>
      </c>
      <c r="C217" t="s">
        <v>40</v>
      </c>
      <c r="D217" s="28" t="str">
        <f>VLOOKUP(A217,Classification!$A:$D,2,FALSE)</f>
        <v>C</v>
      </c>
      <c r="E217" s="49" t="str">
        <f>VLOOKUP(B217,Classification!$A:$D,2,FALSE)</f>
        <v>C</v>
      </c>
      <c r="F217" s="15" t="str">
        <f>VLOOKUP(C217,Classification!$A:$D,2,FALSE)</f>
        <v>C</v>
      </c>
      <c r="G217" s="15" t="b">
        <f t="shared" si="3"/>
        <v>1</v>
      </c>
      <c r="H217" s="10" t="str">
        <f>IF(ISERROR(MATCH(A217,'SegEnds_Xtal_Prot#'!B:B, 0)), "NoXtal", "Xtal")</f>
        <v>NoXtal</v>
      </c>
      <c r="J217" s="3"/>
    </row>
    <row r="218" spans="1:10" x14ac:dyDescent="0.2">
      <c r="A218" s="3" t="s">
        <v>109</v>
      </c>
      <c r="B218" s="1" t="s">
        <v>40</v>
      </c>
      <c r="C218" t="s">
        <v>40</v>
      </c>
      <c r="D218" s="28" t="str">
        <f>VLOOKUP(A218,Classification!$A:$D,2,FALSE)</f>
        <v>C</v>
      </c>
      <c r="E218" s="49" t="str">
        <f>VLOOKUP(B218,Classification!$A:$D,2,FALSE)</f>
        <v>C</v>
      </c>
      <c r="F218" s="15" t="str">
        <f>VLOOKUP(C218,Classification!$A:$D,2,FALSE)</f>
        <v>C</v>
      </c>
      <c r="G218" s="15" t="b">
        <f t="shared" si="3"/>
        <v>1</v>
      </c>
      <c r="H218" s="10" t="str">
        <f>IF(ISERROR(MATCH(A218,'SegEnds_Xtal_Prot#'!B:B, 0)), "NoXtal", "Xtal")</f>
        <v>NoXtal</v>
      </c>
      <c r="J218" s="3"/>
    </row>
    <row r="219" spans="1:10" x14ac:dyDescent="0.2">
      <c r="A219" s="3" t="s">
        <v>110</v>
      </c>
      <c r="B219" s="1" t="s">
        <v>40</v>
      </c>
      <c r="C219" t="s">
        <v>40</v>
      </c>
      <c r="D219" s="28" t="str">
        <f>VLOOKUP(A219,Classification!$A:$D,2,FALSE)</f>
        <v>C</v>
      </c>
      <c r="E219" s="49" t="str">
        <f>VLOOKUP(B219,Classification!$A:$D,2,FALSE)</f>
        <v>C</v>
      </c>
      <c r="F219" s="15" t="str">
        <f>VLOOKUP(C219,Classification!$A:$D,2,FALSE)</f>
        <v>C</v>
      </c>
      <c r="G219" s="15" t="b">
        <f t="shared" si="3"/>
        <v>1</v>
      </c>
      <c r="H219" s="10" t="str">
        <f>IF(ISERROR(MATCH(A219,'SegEnds_Xtal_Prot#'!B:B, 0)), "NoXtal", "Xtal")</f>
        <v>NoXtal</v>
      </c>
      <c r="J219" s="3"/>
    </row>
    <row r="220" spans="1:10" x14ac:dyDescent="0.2">
      <c r="A220" s="3" t="s">
        <v>118</v>
      </c>
      <c r="B220" s="1" t="s">
        <v>41</v>
      </c>
      <c r="C220" t="s">
        <v>41</v>
      </c>
      <c r="D220" s="28" t="str">
        <f>VLOOKUP(A220,Classification!$A:$D,2,FALSE)</f>
        <v>C</v>
      </c>
      <c r="E220" s="49" t="str">
        <f>VLOOKUP(B220,Classification!$A:$D,2,FALSE)</f>
        <v>C</v>
      </c>
      <c r="F220" s="15" t="str">
        <f>VLOOKUP(C220,Classification!$A:$D,2,FALSE)</f>
        <v>C</v>
      </c>
      <c r="G220" s="15" t="b">
        <f t="shared" si="3"/>
        <v>1</v>
      </c>
      <c r="H220" s="10" t="str">
        <f>IF(ISERROR(MATCH(A220,'SegEnds_Xtal_Prot#'!B:B, 0)), "NoXtal", "Xtal")</f>
        <v>NoXtal</v>
      </c>
      <c r="J220" s="3"/>
    </row>
    <row r="221" spans="1:10" x14ac:dyDescent="0.2">
      <c r="A221" s="3" t="s">
        <v>116</v>
      </c>
      <c r="B221" s="1" t="s">
        <v>41</v>
      </c>
      <c r="C221" t="s">
        <v>41</v>
      </c>
      <c r="D221" s="28" t="str">
        <f>VLOOKUP(A221,Classification!$A:$D,2,FALSE)</f>
        <v>C</v>
      </c>
      <c r="E221" s="49" t="str">
        <f>VLOOKUP(B221,Classification!$A:$D,2,FALSE)</f>
        <v>C</v>
      </c>
      <c r="F221" s="15" t="str">
        <f>VLOOKUP(C221,Classification!$A:$D,2,FALSE)</f>
        <v>C</v>
      </c>
      <c r="G221" s="15" t="b">
        <f t="shared" si="3"/>
        <v>1</v>
      </c>
      <c r="H221" s="10" t="str">
        <f>IF(ISERROR(MATCH(A221,'SegEnds_Xtal_Prot#'!B:B, 0)), "NoXtal", "Xtal")</f>
        <v>NoXtal</v>
      </c>
      <c r="J221" s="3"/>
    </row>
    <row r="222" spans="1:10" x14ac:dyDescent="0.2">
      <c r="A222" s="3" t="s">
        <v>115</v>
      </c>
      <c r="B222" s="1" t="s">
        <v>40</v>
      </c>
      <c r="C222" t="s">
        <v>41</v>
      </c>
      <c r="D222" s="28" t="str">
        <f>VLOOKUP(A222,Classification!$A:$D,2,FALSE)</f>
        <v>C</v>
      </c>
      <c r="E222" s="49" t="str">
        <f>VLOOKUP(B222,Classification!$A:$D,2,FALSE)</f>
        <v>C</v>
      </c>
      <c r="F222" s="15" t="str">
        <f>VLOOKUP(C222,Classification!$A:$D,2,FALSE)</f>
        <v>C</v>
      </c>
      <c r="G222" s="15" t="b">
        <f t="shared" si="3"/>
        <v>1</v>
      </c>
      <c r="H222" s="10" t="str">
        <f>IF(ISERROR(MATCH(A222,'SegEnds_Xtal_Prot#'!B:B, 0)), "NoXtal", "Xtal")</f>
        <v>NoXtal</v>
      </c>
      <c r="J222" s="3"/>
    </row>
    <row r="223" spans="1:10" x14ac:dyDescent="0.2">
      <c r="A223" s="3" t="s">
        <v>120</v>
      </c>
      <c r="B223" s="1" t="s">
        <v>41</v>
      </c>
      <c r="C223" t="s">
        <v>41</v>
      </c>
      <c r="D223" s="28" t="str">
        <f>VLOOKUP(A223,Classification!$A:$D,2,FALSE)</f>
        <v>C</v>
      </c>
      <c r="E223" s="49" t="str">
        <f>VLOOKUP(B223,Classification!$A:$D,2,FALSE)</f>
        <v>C</v>
      </c>
      <c r="F223" s="15" t="str">
        <f>VLOOKUP(C223,Classification!$A:$D,2,FALSE)</f>
        <v>C</v>
      </c>
      <c r="G223" s="15" t="b">
        <f t="shared" si="3"/>
        <v>1</v>
      </c>
      <c r="H223" s="10" t="str">
        <f>IF(ISERROR(MATCH(A223,'SegEnds_Xtal_Prot#'!B:B, 0)), "NoXtal", "Xtal")</f>
        <v>NoXtal</v>
      </c>
      <c r="J223" s="3"/>
    </row>
    <row r="224" spans="1:10" x14ac:dyDescent="0.2">
      <c r="A224" s="3" t="s">
        <v>117</v>
      </c>
      <c r="B224" s="1" t="s">
        <v>41</v>
      </c>
      <c r="C224" t="s">
        <v>41</v>
      </c>
      <c r="D224" s="28" t="str">
        <f>VLOOKUP(A224,Classification!$A:$D,2,FALSE)</f>
        <v>C</v>
      </c>
      <c r="E224" s="49" t="str">
        <f>VLOOKUP(B224,Classification!$A:$D,2,FALSE)</f>
        <v>C</v>
      </c>
      <c r="F224" s="15" t="str">
        <f>VLOOKUP(C224,Classification!$A:$D,2,FALSE)</f>
        <v>C</v>
      </c>
      <c r="G224" s="15" t="b">
        <f t="shared" si="3"/>
        <v>1</v>
      </c>
      <c r="H224" s="10" t="str">
        <f>IF(ISERROR(MATCH(A224,'SegEnds_Xtal_Prot#'!B:B, 0)), "NoXtal", "Xtal")</f>
        <v>NoXtal</v>
      </c>
      <c r="J224" s="3"/>
    </row>
    <row r="225" spans="1:10" x14ac:dyDescent="0.2">
      <c r="A225" s="3" t="s">
        <v>119</v>
      </c>
      <c r="B225" s="1" t="s">
        <v>41</v>
      </c>
      <c r="C225" t="s">
        <v>41</v>
      </c>
      <c r="D225" s="28" t="str">
        <f>VLOOKUP(A225,Classification!$A:$D,2,FALSE)</f>
        <v>C</v>
      </c>
      <c r="E225" s="49" t="str">
        <f>VLOOKUP(B225,Classification!$A:$D,2,FALSE)</f>
        <v>C</v>
      </c>
      <c r="F225" s="15" t="str">
        <f>VLOOKUP(C225,Classification!$A:$D,2,FALSE)</f>
        <v>C</v>
      </c>
      <c r="G225" s="15" t="b">
        <f t="shared" si="3"/>
        <v>1</v>
      </c>
      <c r="H225" s="10" t="str">
        <f>IF(ISERROR(MATCH(A225,'SegEnds_Xtal_Prot#'!B:B, 0)), "NoXtal", "Xtal")</f>
        <v>NoXtal</v>
      </c>
      <c r="J225" s="3"/>
    </row>
    <row r="226" spans="1:10" x14ac:dyDescent="0.2">
      <c r="A226" s="3" t="s">
        <v>107</v>
      </c>
      <c r="B226" s="1" t="s">
        <v>41</v>
      </c>
      <c r="C226" t="s">
        <v>41</v>
      </c>
      <c r="D226" s="28" t="str">
        <f>VLOOKUP(A226,Classification!$A:$D,2,FALSE)</f>
        <v>C</v>
      </c>
      <c r="E226" s="49" t="str">
        <f>VLOOKUP(B226,Classification!$A:$D,2,FALSE)</f>
        <v>C</v>
      </c>
      <c r="F226" s="15" t="str">
        <f>VLOOKUP(C226,Classification!$A:$D,2,FALSE)</f>
        <v>C</v>
      </c>
      <c r="G226" s="15" t="b">
        <f t="shared" si="3"/>
        <v>1</v>
      </c>
      <c r="H226" s="10" t="str">
        <f>IF(ISERROR(MATCH(A226,'SegEnds_Xtal_Prot#'!B:B, 0)), "NoXtal", "Xtal")</f>
        <v>NoXtal</v>
      </c>
      <c r="J226" s="3"/>
    </row>
    <row r="227" spans="1:10" x14ac:dyDescent="0.2">
      <c r="A227" s="3" t="s">
        <v>105</v>
      </c>
      <c r="B227" s="1" t="s">
        <v>41</v>
      </c>
      <c r="C227" t="s">
        <v>41</v>
      </c>
      <c r="D227" s="28" t="str">
        <f>VLOOKUP(A227,Classification!$A:$D,2,FALSE)</f>
        <v>C</v>
      </c>
      <c r="E227" s="49" t="str">
        <f>VLOOKUP(B227,Classification!$A:$D,2,FALSE)</f>
        <v>C</v>
      </c>
      <c r="F227" s="15" t="str">
        <f>VLOOKUP(C227,Classification!$A:$D,2,FALSE)</f>
        <v>C</v>
      </c>
      <c r="G227" s="15" t="b">
        <f t="shared" si="3"/>
        <v>1</v>
      </c>
      <c r="H227" s="10" t="str">
        <f>IF(ISERROR(MATCH(A227,'SegEnds_Xtal_Prot#'!B:B, 0)), "NoXtal", "Xtal")</f>
        <v>NoXtal</v>
      </c>
      <c r="J227" s="3"/>
    </row>
    <row r="228" spans="1:10" x14ac:dyDescent="0.2">
      <c r="A228" s="3" t="s">
        <v>41</v>
      </c>
      <c r="B228" s="1" t="s">
        <v>41</v>
      </c>
      <c r="C228" t="s">
        <v>41</v>
      </c>
      <c r="D228" s="28" t="str">
        <f>VLOOKUP(A228,Classification!$A:$D,2,FALSE)</f>
        <v>C</v>
      </c>
      <c r="E228" s="49" t="str">
        <f>VLOOKUP(B228,Classification!$A:$D,2,FALSE)</f>
        <v>C</v>
      </c>
      <c r="F228" s="15" t="str">
        <f>VLOOKUP(C228,Classification!$A:$D,2,FALSE)</f>
        <v>C</v>
      </c>
      <c r="G228" s="15" t="b">
        <f t="shared" si="3"/>
        <v>1</v>
      </c>
      <c r="H228" s="10" t="str">
        <f>IF(ISERROR(MATCH(A228,'SegEnds_Xtal_Prot#'!B:B, 0)), "NoXtal", "Xtal")</f>
        <v>Xtal</v>
      </c>
      <c r="J228" s="3"/>
    </row>
    <row r="229" spans="1:10" x14ac:dyDescent="0.2">
      <c r="A229" s="3" t="s">
        <v>277</v>
      </c>
      <c r="B229" s="1" t="s">
        <v>277</v>
      </c>
      <c r="C229" t="s">
        <v>277</v>
      </c>
      <c r="D229" s="28" t="str">
        <f>VLOOKUP(A229,Classification!$A:$D,2,FALSE)</f>
        <v>A</v>
      </c>
      <c r="E229" s="49" t="str">
        <f>VLOOKUP(B229,Classification!$A:$D,2,FALSE)</f>
        <v>A</v>
      </c>
      <c r="F229" s="15" t="str">
        <f>VLOOKUP(C229,Classification!$A:$D,2,FALSE)</f>
        <v>A</v>
      </c>
      <c r="G229" s="15" t="b">
        <f t="shared" si="3"/>
        <v>1</v>
      </c>
      <c r="H229" s="10" t="str">
        <f>IF(ISERROR(MATCH(A229,'SegEnds_Xtal_Prot#'!B:B, 0)), "NoXtal", "Xtal")</f>
        <v>Xtal</v>
      </c>
      <c r="J229" s="3"/>
    </row>
    <row r="230" spans="1:10" x14ac:dyDescent="0.2">
      <c r="A230" s="3" t="s">
        <v>218</v>
      </c>
      <c r="B230" s="1" t="s">
        <v>201</v>
      </c>
      <c r="C230" t="s">
        <v>277</v>
      </c>
      <c r="D230" s="28" t="str">
        <f>VLOOKUP(A230,Classification!$A:$D,2,FALSE)</f>
        <v>A</v>
      </c>
      <c r="E230" s="49" t="str">
        <f>VLOOKUP(B230,Classification!$A:$D,2,FALSE)</f>
        <v>A</v>
      </c>
      <c r="F230" s="15" t="str">
        <f>VLOOKUP(C230,Classification!$A:$D,2,FALSE)</f>
        <v>A</v>
      </c>
      <c r="G230" s="15" t="b">
        <f t="shared" si="3"/>
        <v>1</v>
      </c>
      <c r="H230" s="10" t="str">
        <f>IF(ISERROR(MATCH(A230,'SegEnds_Xtal_Prot#'!B:B, 0)), "NoXtal", "Xtal")</f>
        <v>NoXtal</v>
      </c>
      <c r="J230" s="3"/>
    </row>
    <row r="231" spans="1:10" x14ac:dyDescent="0.2">
      <c r="A231" s="3" t="s">
        <v>225</v>
      </c>
      <c r="B231" s="1" t="s">
        <v>351</v>
      </c>
      <c r="C231" t="s">
        <v>277</v>
      </c>
      <c r="D231" s="28" t="str">
        <f>VLOOKUP(A231,Classification!$A:$D,2,FALSE)</f>
        <v>A</v>
      </c>
      <c r="E231" s="49" t="str">
        <f>VLOOKUP(B231,Classification!$A:$D,2,FALSE)</f>
        <v>A</v>
      </c>
      <c r="F231" s="15" t="str">
        <f>VLOOKUP(C231,Classification!$A:$D,2,FALSE)</f>
        <v>A</v>
      </c>
      <c r="G231" s="15" t="b">
        <f t="shared" si="3"/>
        <v>1</v>
      </c>
      <c r="H231" s="10" t="str">
        <f>IF(ISERROR(MATCH(A231,'SegEnds_Xtal_Prot#'!B:B, 0)), "NoXtal", "Xtal")</f>
        <v>NoXtal</v>
      </c>
      <c r="J231" s="3"/>
    </row>
    <row r="232" spans="1:10" x14ac:dyDescent="0.2">
      <c r="A232" s="3" t="s">
        <v>244</v>
      </c>
      <c r="B232" s="1" t="s">
        <v>133</v>
      </c>
      <c r="C232" t="s">
        <v>277</v>
      </c>
      <c r="D232" s="28" t="str">
        <f>VLOOKUP(A232,Classification!$A:$D,2,FALSE)</f>
        <v>A</v>
      </c>
      <c r="E232" s="49" t="str">
        <f>VLOOKUP(B232,Classification!$A:$D,2,FALSE)</f>
        <v>A</v>
      </c>
      <c r="F232" s="15" t="str">
        <f>VLOOKUP(C232,Classification!$A:$D,2,FALSE)</f>
        <v>A</v>
      </c>
      <c r="G232" s="15" t="b">
        <f t="shared" si="3"/>
        <v>1</v>
      </c>
      <c r="H232" s="10" t="str">
        <f>IF(ISERROR(MATCH(A232,'SegEnds_Xtal_Prot#'!B:B, 0)), "NoXtal", "Xtal")</f>
        <v>NoXtal</v>
      </c>
      <c r="J232" s="3"/>
    </row>
    <row r="233" spans="1:10" x14ac:dyDescent="0.2">
      <c r="A233" s="3" t="s">
        <v>248</v>
      </c>
      <c r="B233" s="1" t="s">
        <v>103</v>
      </c>
      <c r="C233" t="s">
        <v>103</v>
      </c>
      <c r="D233" s="28" t="str">
        <f>VLOOKUP(A233,Classification!$A:$D,2,FALSE)</f>
        <v>A</v>
      </c>
      <c r="E233" s="49" t="str">
        <f>VLOOKUP(B233,Classification!$A:$D,2,FALSE)</f>
        <v>A</v>
      </c>
      <c r="F233" s="15" t="str">
        <f>VLOOKUP(C233,Classification!$A:$D,2,FALSE)</f>
        <v>A</v>
      </c>
      <c r="G233" s="15" t="b">
        <f t="shared" si="3"/>
        <v>1</v>
      </c>
      <c r="H233" s="10" t="str">
        <f>IF(ISERROR(MATCH(A233,'SegEnds_Xtal_Prot#'!B:B, 0)), "NoXtal", "Xtal")</f>
        <v>NoXtal</v>
      </c>
      <c r="J233" s="3"/>
    </row>
    <row r="234" spans="1:10" x14ac:dyDescent="0.2">
      <c r="A234" s="3" t="s">
        <v>103</v>
      </c>
      <c r="B234" s="1" t="s">
        <v>103</v>
      </c>
      <c r="C234" t="s">
        <v>103</v>
      </c>
      <c r="D234" s="28" t="str">
        <f>VLOOKUP(A234,Classification!$A:$D,2,FALSE)</f>
        <v>A</v>
      </c>
      <c r="E234" s="49" t="str">
        <f>VLOOKUP(B234,Classification!$A:$D,2,FALSE)</f>
        <v>A</v>
      </c>
      <c r="F234" s="15" t="str">
        <f>VLOOKUP(C234,Classification!$A:$D,2,FALSE)</f>
        <v>A</v>
      </c>
      <c r="G234" s="15" t="b">
        <f t="shared" si="3"/>
        <v>1</v>
      </c>
      <c r="H234" s="10" t="str">
        <f>IF(ISERROR(MATCH(A234,'SegEnds_Xtal_Prot#'!B:B, 0)), "NoXtal", "Xtal")</f>
        <v>Xtal</v>
      </c>
      <c r="J234" s="3"/>
    </row>
    <row r="235" spans="1:10" x14ac:dyDescent="0.2">
      <c r="A235" s="3" t="s">
        <v>285</v>
      </c>
      <c r="B235" s="1" t="s">
        <v>103</v>
      </c>
      <c r="C235" t="s">
        <v>103</v>
      </c>
      <c r="D235" s="28" t="str">
        <f>VLOOKUP(A235,Classification!$A:$D,2,FALSE)</f>
        <v>A</v>
      </c>
      <c r="E235" s="49" t="str">
        <f>VLOOKUP(B235,Classification!$A:$D,2,FALSE)</f>
        <v>A</v>
      </c>
      <c r="F235" s="15" t="str">
        <f>VLOOKUP(C235,Classification!$A:$D,2,FALSE)</f>
        <v>A</v>
      </c>
      <c r="G235" s="15" t="b">
        <f t="shared" si="3"/>
        <v>1</v>
      </c>
      <c r="H235" s="10" t="str">
        <f>IF(ISERROR(MATCH(A235,'SegEnds_Xtal_Prot#'!B:B, 0)), "NoXtal", "Xtal")</f>
        <v>NoXtal</v>
      </c>
      <c r="J235" s="3"/>
    </row>
    <row r="236" spans="1:10" x14ac:dyDescent="0.2">
      <c r="A236" s="3" t="s">
        <v>286</v>
      </c>
      <c r="B236" s="1" t="s">
        <v>103</v>
      </c>
      <c r="C236" t="s">
        <v>103</v>
      </c>
      <c r="D236" s="28" t="str">
        <f>VLOOKUP(A236,Classification!$A:$D,2,FALSE)</f>
        <v>A</v>
      </c>
      <c r="E236" s="49" t="str">
        <f>VLOOKUP(B236,Classification!$A:$D,2,FALSE)</f>
        <v>A</v>
      </c>
      <c r="F236" s="15" t="str">
        <f>VLOOKUP(C236,Classification!$A:$D,2,FALSE)</f>
        <v>A</v>
      </c>
      <c r="G236" s="15" t="b">
        <f t="shared" si="3"/>
        <v>1</v>
      </c>
      <c r="H236" s="10" t="str">
        <f>IF(ISERROR(MATCH(A236,'SegEnds_Xtal_Prot#'!B:B, 0)), "NoXtal", "Xtal")</f>
        <v>NoXtal</v>
      </c>
      <c r="I236" s="10"/>
      <c r="J236" s="3"/>
    </row>
    <row r="237" spans="1:10" x14ac:dyDescent="0.2">
      <c r="A237" s="3" t="s">
        <v>183</v>
      </c>
      <c r="B237" s="1" t="s">
        <v>183</v>
      </c>
      <c r="C237" t="s">
        <v>182</v>
      </c>
      <c r="D237" s="28" t="str">
        <f>VLOOKUP(A237,Classification!$A:$D,2,FALSE)</f>
        <v>A</v>
      </c>
      <c r="E237" s="49" t="str">
        <f>VLOOKUP(B237,Classification!$A:$D,2,FALSE)</f>
        <v>A</v>
      </c>
      <c r="F237" s="15" t="str">
        <f>VLOOKUP(C237,Classification!$A:$D,2,FALSE)</f>
        <v>A</v>
      </c>
      <c r="G237" s="15" t="b">
        <f t="shared" si="3"/>
        <v>1</v>
      </c>
      <c r="H237" s="10" t="str">
        <f>IF(ISERROR(MATCH(A237,'SegEnds_Xtal_Prot#'!B:B, 0)), "NoXtal", "Xtal")</f>
        <v>Xtal</v>
      </c>
      <c r="J237" s="3"/>
    </row>
    <row r="238" spans="1:10" x14ac:dyDescent="0.2">
      <c r="A238" s="3" t="s">
        <v>182</v>
      </c>
      <c r="B238" s="1" t="s">
        <v>182</v>
      </c>
      <c r="C238" t="s">
        <v>182</v>
      </c>
      <c r="D238" s="28" t="str">
        <f>VLOOKUP(A238,Classification!$A:$D,2,FALSE)</f>
        <v>A</v>
      </c>
      <c r="E238" s="49" t="str">
        <f>VLOOKUP(B238,Classification!$A:$D,2,FALSE)</f>
        <v>A</v>
      </c>
      <c r="F238" s="15" t="str">
        <f>VLOOKUP(C238,Classification!$A:$D,2,FALSE)</f>
        <v>A</v>
      </c>
      <c r="G238" s="15" t="b">
        <f t="shared" si="3"/>
        <v>1</v>
      </c>
      <c r="H238" s="10" t="str">
        <f>IF(ISERROR(MATCH(A238,'SegEnds_Xtal_Prot#'!B:B, 0)), "NoXtal", "Xtal")</f>
        <v>Xtal</v>
      </c>
      <c r="J238" s="3"/>
    </row>
    <row r="239" spans="1:10" x14ac:dyDescent="0.2">
      <c r="A239" s="3" t="s">
        <v>361</v>
      </c>
      <c r="B239" s="1" t="s">
        <v>363</v>
      </c>
      <c r="C239" t="s">
        <v>907</v>
      </c>
      <c r="D239" s="28" t="str">
        <f>VLOOKUP(A239,Classification!$A:$D,2,FALSE)</f>
        <v>A</v>
      </c>
      <c r="E239" s="49" t="str">
        <f>VLOOKUP(B239,Classification!$A:$D,2,FALSE)</f>
        <v>A</v>
      </c>
      <c r="F239" s="15" t="str">
        <f>VLOOKUP(C239,Classification!$A:$D,2,FALSE)</f>
        <v>A</v>
      </c>
      <c r="G239" s="15" t="b">
        <f t="shared" si="3"/>
        <v>1</v>
      </c>
      <c r="H239" s="10" t="str">
        <f>IF(ISERROR(MATCH(A239,'SegEnds_Xtal_Prot#'!B:B, 0)), "NoXtal", "Xtal")</f>
        <v>NoXtal</v>
      </c>
      <c r="J239" s="3"/>
    </row>
    <row r="240" spans="1:10" x14ac:dyDescent="0.2">
      <c r="A240" s="3" t="s">
        <v>208</v>
      </c>
      <c r="B240" s="1" t="s">
        <v>127</v>
      </c>
      <c r="C240" t="s">
        <v>907</v>
      </c>
      <c r="D240" s="28" t="str">
        <f>VLOOKUP(A240,Classification!$A:$D,2,FALSE)</f>
        <v>A</v>
      </c>
      <c r="E240" s="49" t="str">
        <f>VLOOKUP(B240,Classification!$A:$D,2,FALSE)</f>
        <v>A</v>
      </c>
      <c r="F240" s="15" t="str">
        <f>VLOOKUP(C240,Classification!$A:$D,2,FALSE)</f>
        <v>A</v>
      </c>
      <c r="G240" s="15" t="b">
        <f t="shared" si="3"/>
        <v>1</v>
      </c>
      <c r="H240" s="10" t="str">
        <f>IF(ISERROR(MATCH(A240,'SegEnds_Xtal_Prot#'!B:B, 0)), "NoXtal", "Xtal")</f>
        <v>NoXtal</v>
      </c>
      <c r="J240" s="3"/>
    </row>
    <row r="241" spans="1:10" x14ac:dyDescent="0.2">
      <c r="A241" s="3" t="s">
        <v>329</v>
      </c>
      <c r="B241" s="1" t="s">
        <v>907</v>
      </c>
      <c r="C241" t="s">
        <v>907</v>
      </c>
      <c r="D241" s="28" t="str">
        <f>VLOOKUP(A241,Classification!$A:$D,2,FALSE)</f>
        <v>A</v>
      </c>
      <c r="E241" s="49" t="str">
        <f>VLOOKUP(B241,Classification!$A:$D,2,FALSE)</f>
        <v>A</v>
      </c>
      <c r="F241" s="15" t="str">
        <f>VLOOKUP(C241,Classification!$A:$D,2,FALSE)</f>
        <v>A</v>
      </c>
      <c r="G241" s="15" t="b">
        <f t="shared" si="3"/>
        <v>1</v>
      </c>
      <c r="H241" s="10" t="str">
        <f>IF(ISERROR(MATCH(A241,'SegEnds_Xtal_Prot#'!B:B, 0)), "NoXtal", "Xtal")</f>
        <v>NoXtal</v>
      </c>
      <c r="J241" s="3"/>
    </row>
    <row r="242" spans="1:10" x14ac:dyDescent="0.2">
      <c r="A242" s="3" t="s">
        <v>127</v>
      </c>
      <c r="B242" s="1" t="s">
        <v>127</v>
      </c>
      <c r="C242" t="s">
        <v>907</v>
      </c>
      <c r="D242" s="28" t="str">
        <f>VLOOKUP(A242,Classification!$A:$D,2,FALSE)</f>
        <v>A</v>
      </c>
      <c r="E242" s="49" t="str">
        <f>VLOOKUP(B242,Classification!$A:$D,2,FALSE)</f>
        <v>A</v>
      </c>
      <c r="F242" s="15" t="str">
        <f>VLOOKUP(C242,Classification!$A:$D,2,FALSE)</f>
        <v>A</v>
      </c>
      <c r="G242" s="15" t="b">
        <f t="shared" si="3"/>
        <v>1</v>
      </c>
      <c r="H242" s="10" t="str">
        <f>IF(ISERROR(MATCH(A242,'SegEnds_Xtal_Prot#'!B:B, 0)), "NoXtal", "Xtal")</f>
        <v>Xtal</v>
      </c>
      <c r="J242" s="3"/>
    </row>
    <row r="243" spans="1:10" x14ac:dyDescent="0.2">
      <c r="A243" s="3" t="s">
        <v>907</v>
      </c>
      <c r="B243" s="1" t="s">
        <v>907</v>
      </c>
      <c r="C243" t="s">
        <v>907</v>
      </c>
      <c r="D243" s="28" t="str">
        <f>VLOOKUP(A243,Classification!$A:$D,2,FALSE)</f>
        <v>A</v>
      </c>
      <c r="E243" s="49" t="str">
        <f>VLOOKUP(B243,Classification!$A:$D,2,FALSE)</f>
        <v>A</v>
      </c>
      <c r="F243" s="15" t="str">
        <f>VLOOKUP(C243,Classification!$A:$D,2,FALSE)</f>
        <v>A</v>
      </c>
      <c r="G243" s="15" t="b">
        <f t="shared" si="3"/>
        <v>1</v>
      </c>
      <c r="H243" s="10" t="str">
        <f>IF(ISERROR(MATCH(A243,'SegEnds_Xtal_Prot#'!B:B, 0)), "NoXtal", "Xtal")</f>
        <v>Xtal</v>
      </c>
      <c r="J243" s="3"/>
    </row>
    <row r="244" spans="1:10" x14ac:dyDescent="0.2">
      <c r="A244" s="3" t="s">
        <v>309</v>
      </c>
      <c r="B244" s="1" t="s">
        <v>907</v>
      </c>
      <c r="C244" t="s">
        <v>907</v>
      </c>
      <c r="D244" s="28" t="str">
        <f>VLOOKUP(A244,Classification!$A:$D,2,FALSE)</f>
        <v>A</v>
      </c>
      <c r="E244" s="49" t="str">
        <f>VLOOKUP(B244,Classification!$A:$D,2,FALSE)</f>
        <v>A</v>
      </c>
      <c r="F244" s="15" t="str">
        <f>VLOOKUP(C244,Classification!$A:$D,2,FALSE)</f>
        <v>A</v>
      </c>
      <c r="G244" s="15" t="b">
        <f t="shared" si="3"/>
        <v>1</v>
      </c>
      <c r="H244" s="10" t="str">
        <f>IF(ISERROR(MATCH(A244,'SegEnds_Xtal_Prot#'!B:B, 0)), "NoXtal", "Xtal")</f>
        <v>NoXtal</v>
      </c>
      <c r="J244" s="3"/>
    </row>
    <row r="245" spans="1:10" x14ac:dyDescent="0.2">
      <c r="A245" s="3" t="s">
        <v>215</v>
      </c>
      <c r="B245" s="1" t="s">
        <v>133</v>
      </c>
      <c r="C245" t="s">
        <v>907</v>
      </c>
      <c r="D245" s="28" t="str">
        <f>VLOOKUP(A245,Classification!$A:$D,2,FALSE)</f>
        <v>A</v>
      </c>
      <c r="E245" s="49" t="str">
        <f>VLOOKUP(B245,Classification!$A:$D,2,FALSE)</f>
        <v>A</v>
      </c>
      <c r="F245" s="15" t="str">
        <f>VLOOKUP(C245,Classification!$A:$D,2,FALSE)</f>
        <v>A</v>
      </c>
      <c r="G245" s="15" t="b">
        <f t="shared" si="3"/>
        <v>1</v>
      </c>
      <c r="H245" s="10" t="str">
        <f>IF(ISERROR(MATCH(A245,'SegEnds_Xtal_Prot#'!B:B, 0)), "NoXtal", "Xtal")</f>
        <v>NoXtal</v>
      </c>
      <c r="J245" s="3"/>
    </row>
    <row r="246" spans="1:10" x14ac:dyDescent="0.2">
      <c r="A246" s="3" t="s">
        <v>317</v>
      </c>
      <c r="B246" s="1" t="s">
        <v>907</v>
      </c>
      <c r="C246" t="s">
        <v>907</v>
      </c>
      <c r="D246" s="28" t="str">
        <f>VLOOKUP(A246,Classification!$A:$D,2,FALSE)</f>
        <v>A</v>
      </c>
      <c r="E246" s="49" t="str">
        <f>VLOOKUP(B246,Classification!$A:$D,2,FALSE)</f>
        <v>A</v>
      </c>
      <c r="F246" s="15" t="str">
        <f>VLOOKUP(C246,Classification!$A:$D,2,FALSE)</f>
        <v>A</v>
      </c>
      <c r="G246" s="15" t="b">
        <f t="shared" si="3"/>
        <v>1</v>
      </c>
      <c r="H246" s="10" t="str">
        <f>IF(ISERROR(MATCH(A246,'SegEnds_Xtal_Prot#'!B:B, 0)), "NoXtal", "Xtal")</f>
        <v>NoXtal</v>
      </c>
      <c r="J246" s="3"/>
    </row>
    <row r="247" spans="1:10" x14ac:dyDescent="0.2">
      <c r="A247" s="3" t="s">
        <v>318</v>
      </c>
      <c r="B247" s="1" t="s">
        <v>907</v>
      </c>
      <c r="C247" t="s">
        <v>907</v>
      </c>
      <c r="D247" s="28" t="str">
        <f>VLOOKUP(A247,Classification!$A:$D,2,FALSE)</f>
        <v>A</v>
      </c>
      <c r="E247" s="49" t="str">
        <f>VLOOKUP(B247,Classification!$A:$D,2,FALSE)</f>
        <v>A</v>
      </c>
      <c r="F247" s="15" t="str">
        <f>VLOOKUP(C247,Classification!$A:$D,2,FALSE)</f>
        <v>A</v>
      </c>
      <c r="G247" s="15" t="b">
        <f t="shared" si="3"/>
        <v>1</v>
      </c>
      <c r="H247" s="10" t="str">
        <f>IF(ISERROR(MATCH(A247,'SegEnds_Xtal_Prot#'!B:B, 0)), "NoXtal", "Xtal")</f>
        <v>NoXtal</v>
      </c>
      <c r="J247" s="3"/>
    </row>
    <row r="248" spans="1:10" x14ac:dyDescent="0.2">
      <c r="A248" s="3" t="s">
        <v>255</v>
      </c>
      <c r="B248" s="1" t="s">
        <v>907</v>
      </c>
      <c r="C248" t="s">
        <v>907</v>
      </c>
      <c r="D248" s="28" t="str">
        <f>VLOOKUP(A248,Classification!$A:$D,2,FALSE)</f>
        <v>A</v>
      </c>
      <c r="E248" s="49" t="str">
        <f>VLOOKUP(B248,Classification!$A:$D,2,FALSE)</f>
        <v>A</v>
      </c>
      <c r="F248" s="15" t="str">
        <f>VLOOKUP(C248,Classification!$A:$D,2,FALSE)</f>
        <v>A</v>
      </c>
      <c r="G248" s="15" t="b">
        <f t="shared" si="3"/>
        <v>1</v>
      </c>
      <c r="H248" s="10" t="str">
        <f>IF(ISERROR(MATCH(A248,'SegEnds_Xtal_Prot#'!B:B, 0)), "NoXtal", "Xtal")</f>
        <v>NoXtal</v>
      </c>
      <c r="J248" s="3"/>
    </row>
    <row r="249" spans="1:10" x14ac:dyDescent="0.2">
      <c r="A249" s="3" t="s">
        <v>223</v>
      </c>
      <c r="B249" s="1" t="s">
        <v>201</v>
      </c>
      <c r="C249" t="s">
        <v>907</v>
      </c>
      <c r="D249" s="28" t="str">
        <f>VLOOKUP(A249,Classification!$A:$D,2,FALSE)</f>
        <v>A</v>
      </c>
      <c r="E249" s="49" t="str">
        <f>VLOOKUP(B249,Classification!$A:$D,2,FALSE)</f>
        <v>A</v>
      </c>
      <c r="F249" s="15" t="str">
        <f>VLOOKUP(C249,Classification!$A:$D,2,FALSE)</f>
        <v>A</v>
      </c>
      <c r="G249" s="15" t="b">
        <f t="shared" si="3"/>
        <v>1</v>
      </c>
      <c r="H249" s="10" t="str">
        <f>IF(ISERROR(MATCH(A249,'SegEnds_Xtal_Prot#'!B:B, 0)), "NoXtal", "Xtal")</f>
        <v>NoXtal</v>
      </c>
      <c r="J249" s="3"/>
    </row>
    <row r="250" spans="1:10" x14ac:dyDescent="0.2">
      <c r="A250" s="3" t="s">
        <v>320</v>
      </c>
      <c r="B250" s="1" t="s">
        <v>334</v>
      </c>
      <c r="C250" t="s">
        <v>909</v>
      </c>
      <c r="D250" s="28" t="str">
        <f>VLOOKUP(A250,Classification!$A:$D,2,FALSE)</f>
        <v>A</v>
      </c>
      <c r="E250" s="49" t="str">
        <f>VLOOKUP(B250,Classification!$A:$D,2,FALSE)</f>
        <v>A</v>
      </c>
      <c r="F250" s="15" t="str">
        <f>VLOOKUP(C250,Classification!$A:$D,2,FALSE)</f>
        <v>A</v>
      </c>
      <c r="G250" s="15" t="b">
        <f t="shared" si="3"/>
        <v>1</v>
      </c>
      <c r="H250" s="10" t="str">
        <f>IF(ISERROR(MATCH(A250,'SegEnds_Xtal_Prot#'!B:B, 0)), "NoXtal", "Xtal")</f>
        <v>NoXtal</v>
      </c>
      <c r="J250" s="3"/>
    </row>
    <row r="251" spans="1:10" x14ac:dyDescent="0.2">
      <c r="A251" s="3" t="s">
        <v>267</v>
      </c>
      <c r="B251" s="1" t="s">
        <v>334</v>
      </c>
      <c r="C251" t="s">
        <v>909</v>
      </c>
      <c r="D251" s="28" t="str">
        <f>VLOOKUP(A251,Classification!$A:$D,2,FALSE)</f>
        <v>A</v>
      </c>
      <c r="E251" s="49" t="str">
        <f>VLOOKUP(B251,Classification!$A:$D,2,FALSE)</f>
        <v>A</v>
      </c>
      <c r="F251" s="15" t="str">
        <f>VLOOKUP(C251,Classification!$A:$D,2,FALSE)</f>
        <v>A</v>
      </c>
      <c r="G251" s="15" t="b">
        <f t="shared" si="3"/>
        <v>1</v>
      </c>
      <c r="H251" s="10" t="str">
        <f>IF(ISERROR(MATCH(A251,'SegEnds_Xtal_Prot#'!B:B, 0)), "NoXtal", "Xtal")</f>
        <v>NoXtal</v>
      </c>
      <c r="J251" s="3"/>
    </row>
    <row r="252" spans="1:10" x14ac:dyDescent="0.2">
      <c r="A252" s="3" t="s">
        <v>299</v>
      </c>
      <c r="B252" s="1" t="s">
        <v>334</v>
      </c>
      <c r="C252" t="s">
        <v>909</v>
      </c>
      <c r="D252" s="28" t="str">
        <f>VLOOKUP(A252,Classification!$A:$D,2,FALSE)</f>
        <v>A</v>
      </c>
      <c r="E252" s="49" t="str">
        <f>VLOOKUP(B252,Classification!$A:$D,2,FALSE)</f>
        <v>A</v>
      </c>
      <c r="F252" s="15" t="str">
        <f>VLOOKUP(C252,Classification!$A:$D,2,FALSE)</f>
        <v>A</v>
      </c>
      <c r="G252" s="15" t="b">
        <f t="shared" si="3"/>
        <v>1</v>
      </c>
      <c r="H252" s="10" t="str">
        <f>IF(ISERROR(MATCH(A252,'SegEnds_Xtal_Prot#'!B:B, 0)), "NoXtal", "Xtal")</f>
        <v>NoXtal</v>
      </c>
      <c r="J252" s="3"/>
    </row>
    <row r="253" spans="1:10" x14ac:dyDescent="0.2">
      <c r="A253" s="3" t="s">
        <v>334</v>
      </c>
      <c r="B253" s="1" t="s">
        <v>334</v>
      </c>
      <c r="C253" s="1" t="s">
        <v>334</v>
      </c>
      <c r="D253" s="28" t="str">
        <f>VLOOKUP(A253,Classification!$A:$D,2,FALSE)</f>
        <v>A</v>
      </c>
      <c r="E253" s="49" t="str">
        <f>VLOOKUP(B253,Classification!$A:$D,2,FALSE)</f>
        <v>A</v>
      </c>
      <c r="F253" s="15" t="str">
        <f>VLOOKUP(C253,Classification!$A:$D,2,FALSE)</f>
        <v>A</v>
      </c>
      <c r="G253" s="15" t="b">
        <f t="shared" si="3"/>
        <v>1</v>
      </c>
      <c r="H253" s="10" t="str">
        <f>IF(ISERROR(MATCH(A253,'SegEnds_Xtal_Prot#'!B:B, 0)), "NoXtal", "Xtal")</f>
        <v>Xtal</v>
      </c>
      <c r="J253" s="3"/>
    </row>
    <row r="254" spans="1:10" x14ac:dyDescent="0.2">
      <c r="A254" s="3" t="s">
        <v>909</v>
      </c>
      <c r="B254" s="1" t="s">
        <v>909</v>
      </c>
      <c r="C254" t="s">
        <v>909</v>
      </c>
      <c r="D254" s="28" t="str">
        <f>VLOOKUP(A254,Classification!$A:$D,2,FALSE)</f>
        <v>A</v>
      </c>
      <c r="E254" s="49" t="str">
        <f>VLOOKUP(B254,Classification!$A:$D,2,FALSE)</f>
        <v>A</v>
      </c>
      <c r="F254" s="15" t="str">
        <f>VLOOKUP(C254,Classification!$A:$D,2,FALSE)</f>
        <v>A</v>
      </c>
      <c r="G254" s="15" t="b">
        <f t="shared" si="3"/>
        <v>1</v>
      </c>
      <c r="H254" s="10" t="str">
        <f>IF(ISERROR(MATCH(A254,'SegEnds_Xtal_Prot#'!B:B, 0)), "NoXtal", "Xtal")</f>
        <v>Xtal</v>
      </c>
      <c r="J254" s="3"/>
    </row>
    <row r="255" spans="1:10" x14ac:dyDescent="0.2">
      <c r="A255" s="3" t="s">
        <v>383</v>
      </c>
      <c r="B255" s="1" t="s">
        <v>335</v>
      </c>
      <c r="C255" t="s">
        <v>909</v>
      </c>
      <c r="D255" s="28" t="str">
        <f>VLOOKUP(A255,Classification!$A:$D,2,FALSE)</f>
        <v>A</v>
      </c>
      <c r="E255" s="49" t="str">
        <f>VLOOKUP(B255,Classification!$A:$D,2,FALSE)</f>
        <v>A</v>
      </c>
      <c r="F255" s="15" t="str">
        <f>VLOOKUP(C255,Classification!$A:$D,2,FALSE)</f>
        <v>A</v>
      </c>
      <c r="G255" s="15" t="b">
        <f t="shared" si="3"/>
        <v>1</v>
      </c>
      <c r="H255" s="10" t="str">
        <f>IF(ISERROR(MATCH(A255,'SegEnds_Xtal_Prot#'!B:B, 0)), "NoXtal", "Xtal")</f>
        <v>NoXtal</v>
      </c>
      <c r="J255" s="3"/>
    </row>
    <row r="256" spans="1:10" x14ac:dyDescent="0.2">
      <c r="A256" s="3" t="s">
        <v>359</v>
      </c>
      <c r="B256" s="1" t="s">
        <v>359</v>
      </c>
      <c r="C256" t="s">
        <v>909</v>
      </c>
      <c r="D256" s="28" t="str">
        <f>VLOOKUP(A256,Classification!$A:$D,2,FALSE)</f>
        <v>A</v>
      </c>
      <c r="E256" s="49" t="str">
        <f>VLOOKUP(B256,Classification!$A:$D,2,FALSE)</f>
        <v>A</v>
      </c>
      <c r="F256" s="15" t="str">
        <f>VLOOKUP(C256,Classification!$A:$D,2,FALSE)</f>
        <v>A</v>
      </c>
      <c r="G256" s="15" t="b">
        <f t="shared" si="3"/>
        <v>1</v>
      </c>
      <c r="H256" s="10" t="str">
        <f>IF(ISERROR(MATCH(A256,'SegEnds_Xtal_Prot#'!B:B, 0)), "NoXtal", "Xtal")</f>
        <v>Xtal</v>
      </c>
      <c r="J256" s="3"/>
    </row>
    <row r="257" spans="1:10" x14ac:dyDescent="0.2">
      <c r="A257" s="3" t="s">
        <v>199</v>
      </c>
      <c r="B257" s="1" t="s">
        <v>1169</v>
      </c>
      <c r="C257" t="s">
        <v>335</v>
      </c>
      <c r="D257" s="28" t="str">
        <f>VLOOKUP(A257,Classification!$A:$D,2,FALSE)</f>
        <v>A</v>
      </c>
      <c r="E257" s="49" t="str">
        <f>VLOOKUP(B257,Classification!$A:$D,2,FALSE)</f>
        <v>A</v>
      </c>
      <c r="F257" s="15" t="str">
        <f>VLOOKUP(C257,Classification!$A:$D,2,FALSE)</f>
        <v>A</v>
      </c>
      <c r="G257" s="15" t="b">
        <f t="shared" si="3"/>
        <v>1</v>
      </c>
      <c r="H257" s="10" t="str">
        <f>IF(ISERROR(MATCH(A257,'SegEnds_Xtal_Prot#'!B:B, 0)), "NoXtal", "Xtal")</f>
        <v>NoXtal</v>
      </c>
      <c r="J257" s="3"/>
    </row>
    <row r="258" spans="1:10" x14ac:dyDescent="0.2">
      <c r="A258" s="3" t="s">
        <v>250</v>
      </c>
      <c r="B258" s="1" t="s">
        <v>201</v>
      </c>
      <c r="C258" t="s">
        <v>335</v>
      </c>
      <c r="D258" s="28" t="str">
        <f>VLOOKUP(A258,Classification!$A:$D,2,FALSE)</f>
        <v>A</v>
      </c>
      <c r="E258" s="49" t="str">
        <f>VLOOKUP(B258,Classification!$A:$D,2,FALSE)</f>
        <v>A</v>
      </c>
      <c r="F258" s="15" t="str">
        <f>VLOOKUP(C258,Classification!$A:$D,2,FALSE)</f>
        <v>A</v>
      </c>
      <c r="G258" s="15" t="b">
        <f t="shared" si="3"/>
        <v>1</v>
      </c>
      <c r="H258" s="10" t="str">
        <f>IF(ISERROR(MATCH(A258,'SegEnds_Xtal_Prot#'!B:B, 0)), "NoXtal", "Xtal")</f>
        <v>NoXtal</v>
      </c>
      <c r="J258" s="3"/>
    </row>
    <row r="259" spans="1:10" x14ac:dyDescent="0.2">
      <c r="A259" s="3" t="s">
        <v>164</v>
      </c>
      <c r="B259" s="1" t="s">
        <v>165</v>
      </c>
      <c r="C259" t="s">
        <v>335</v>
      </c>
      <c r="D259" s="28" t="str">
        <f>VLOOKUP(A259,Classification!$A:$D,2,FALSE)</f>
        <v>A</v>
      </c>
      <c r="E259" s="49" t="str">
        <f>VLOOKUP(B259,Classification!$A:$D,2,FALSE)</f>
        <v>A</v>
      </c>
      <c r="F259" s="15" t="str">
        <f>VLOOKUP(C259,Classification!$A:$D,2,FALSE)</f>
        <v>A</v>
      </c>
      <c r="G259" s="15" t="b">
        <f t="shared" ref="G259:G322" si="4">OR(D259=F259,AND(D259="T",F259="A"),AND(D259="B2",F259="B1"),D259="O")</f>
        <v>1</v>
      </c>
      <c r="H259" s="10" t="str">
        <f>IF(ISERROR(MATCH(A259,'SegEnds_Xtal_Prot#'!B:B, 0)), "NoXtal", "Xtal")</f>
        <v>NoXtal</v>
      </c>
      <c r="J259" s="3"/>
    </row>
    <row r="260" spans="1:10" x14ac:dyDescent="0.2">
      <c r="A260" s="3" t="s">
        <v>307</v>
      </c>
      <c r="B260" s="1" t="s">
        <v>355</v>
      </c>
      <c r="C260" t="s">
        <v>335</v>
      </c>
      <c r="D260" s="28" t="str">
        <f>VLOOKUP(A260,Classification!$A:$D,2,FALSE)</f>
        <v>A</v>
      </c>
      <c r="E260" s="49" t="str">
        <f>VLOOKUP(B260,Classification!$A:$D,2,FALSE)</f>
        <v>A</v>
      </c>
      <c r="F260" s="15" t="str">
        <f>VLOOKUP(C260,Classification!$A:$D,2,FALSE)</f>
        <v>A</v>
      </c>
      <c r="G260" s="15" t="b">
        <f t="shared" si="4"/>
        <v>1</v>
      </c>
      <c r="H260" s="10" t="str">
        <f>IF(ISERROR(MATCH(A260,'SegEnds_Xtal_Prot#'!B:B, 0)), "NoXtal", "Xtal")</f>
        <v>NoXtal</v>
      </c>
      <c r="J260" s="3"/>
    </row>
    <row r="261" spans="1:10" x14ac:dyDescent="0.2">
      <c r="A261" s="3" t="s">
        <v>335</v>
      </c>
      <c r="B261" s="1" t="s">
        <v>335</v>
      </c>
      <c r="C261" t="s">
        <v>335</v>
      </c>
      <c r="D261" s="28" t="str">
        <f>VLOOKUP(A261,Classification!$A:$D,2,FALSE)</f>
        <v>A</v>
      </c>
      <c r="E261" s="49" t="str">
        <f>VLOOKUP(B261,Classification!$A:$D,2,FALSE)</f>
        <v>A</v>
      </c>
      <c r="F261" s="15" t="str">
        <f>VLOOKUP(C261,Classification!$A:$D,2,FALSE)</f>
        <v>A</v>
      </c>
      <c r="G261" s="15" t="b">
        <f t="shared" si="4"/>
        <v>1</v>
      </c>
      <c r="H261" s="10" t="str">
        <f>IF(ISERROR(MATCH(A261,'SegEnds_Xtal_Prot#'!B:B, 0)), "NoXtal", "Xtal")</f>
        <v>Xtal</v>
      </c>
      <c r="J261" s="3"/>
    </row>
    <row r="262" spans="1:10" x14ac:dyDescent="0.2">
      <c r="A262" s="3" t="s">
        <v>341</v>
      </c>
      <c r="B262" s="1" t="s">
        <v>359</v>
      </c>
      <c r="C262" t="s">
        <v>335</v>
      </c>
      <c r="D262" s="28" t="str">
        <f>VLOOKUP(A262,Classification!$A:$D,2,FALSE)</f>
        <v>A</v>
      </c>
      <c r="E262" s="49" t="str">
        <f>VLOOKUP(B262,Classification!$A:$D,2,FALSE)</f>
        <v>A</v>
      </c>
      <c r="F262" s="15" t="str">
        <f>VLOOKUP(C262,Classification!$A:$D,2,FALSE)</f>
        <v>A</v>
      </c>
      <c r="G262" s="15" t="b">
        <f t="shared" si="4"/>
        <v>1</v>
      </c>
      <c r="H262" s="10" t="str">
        <f>IF(ISERROR(MATCH(A262,'SegEnds_Xtal_Prot#'!B:B, 0)), "NoXtal", "Xtal")</f>
        <v>NoXtal</v>
      </c>
      <c r="J262" s="3"/>
    </row>
    <row r="263" spans="1:10" x14ac:dyDescent="0.2">
      <c r="A263" s="3" t="s">
        <v>204</v>
      </c>
      <c r="B263" s="1" t="s">
        <v>335</v>
      </c>
      <c r="C263" t="s">
        <v>911</v>
      </c>
      <c r="D263" s="28" t="str">
        <f>VLOOKUP(A263,Classification!$A:$D,2,FALSE)</f>
        <v>A</v>
      </c>
      <c r="E263" s="49" t="str">
        <f>VLOOKUP(B263,Classification!$A:$D,2,FALSE)</f>
        <v>A</v>
      </c>
      <c r="F263" s="15" t="str">
        <f>VLOOKUP(C263,Classification!$A:$D,2,FALSE)</f>
        <v>A</v>
      </c>
      <c r="G263" s="15" t="b">
        <f t="shared" si="4"/>
        <v>1</v>
      </c>
      <c r="H263" s="10" t="str">
        <f>IF(ISERROR(MATCH(A263,'SegEnds_Xtal_Prot#'!B:B, 0)), "NoXtal", "Xtal")</f>
        <v>NoXtal</v>
      </c>
      <c r="J263" s="3"/>
    </row>
    <row r="264" spans="1:10" x14ac:dyDescent="0.2">
      <c r="A264" s="3" t="s">
        <v>381</v>
      </c>
      <c r="B264" s="1" t="s">
        <v>335</v>
      </c>
      <c r="C264" t="s">
        <v>911</v>
      </c>
      <c r="D264" s="28" t="str">
        <f>VLOOKUP(A264,Classification!$A:$D,2,FALSE)</f>
        <v>A</v>
      </c>
      <c r="E264" s="49" t="str">
        <f>VLOOKUP(B264,Classification!$A:$D,2,FALSE)</f>
        <v>A</v>
      </c>
      <c r="F264" s="15" t="str">
        <f>VLOOKUP(C264,Classification!$A:$D,2,FALSE)</f>
        <v>A</v>
      </c>
      <c r="G264" s="15" t="b">
        <f t="shared" si="4"/>
        <v>1</v>
      </c>
      <c r="H264" s="10" t="str">
        <f>IF(ISERROR(MATCH(A264,'SegEnds_Xtal_Prot#'!B:B, 0)), "NoXtal", "Xtal")</f>
        <v>NoXtal</v>
      </c>
      <c r="J264" s="3"/>
    </row>
    <row r="265" spans="1:10" x14ac:dyDescent="0.2">
      <c r="A265" s="3" t="s">
        <v>384</v>
      </c>
      <c r="B265" s="1" t="s">
        <v>335</v>
      </c>
      <c r="C265" t="s">
        <v>911</v>
      </c>
      <c r="D265" s="28" t="str">
        <f>VLOOKUP(A265,Classification!$A:$D,2,FALSE)</f>
        <v>A</v>
      </c>
      <c r="E265" s="49" t="str">
        <f>VLOOKUP(B265,Classification!$A:$D,2,FALSE)</f>
        <v>A</v>
      </c>
      <c r="F265" s="15" t="str">
        <f>VLOOKUP(C265,Classification!$A:$D,2,FALSE)</f>
        <v>A</v>
      </c>
      <c r="G265" s="15" t="b">
        <f t="shared" si="4"/>
        <v>1</v>
      </c>
      <c r="H265" s="10" t="str">
        <f>IF(ISERROR(MATCH(A265,'SegEnds_Xtal_Prot#'!B:B, 0)), "NoXtal", "Xtal")</f>
        <v>NoXtal</v>
      </c>
      <c r="J265" s="3"/>
    </row>
    <row r="266" spans="1:10" x14ac:dyDescent="0.2">
      <c r="A266" s="3" t="s">
        <v>911</v>
      </c>
      <c r="B266" s="1" t="s">
        <v>911</v>
      </c>
      <c r="C266" t="s">
        <v>911</v>
      </c>
      <c r="D266" s="28" t="str">
        <f>VLOOKUP(A266,Classification!$A:$D,2,FALSE)</f>
        <v>A</v>
      </c>
      <c r="E266" s="49" t="str">
        <f>VLOOKUP(B266,Classification!$A:$D,2,FALSE)</f>
        <v>A</v>
      </c>
      <c r="F266" s="15" t="str">
        <f>VLOOKUP(C266,Classification!$A:$D,2,FALSE)</f>
        <v>A</v>
      </c>
      <c r="G266" s="15" t="b">
        <f t="shared" si="4"/>
        <v>1</v>
      </c>
      <c r="H266" s="10" t="str">
        <f>IF(ISERROR(MATCH(A266,'SegEnds_Xtal_Prot#'!B:B, 0)), "NoXtal", "Xtal")</f>
        <v>Xtal</v>
      </c>
      <c r="J266" s="3"/>
    </row>
    <row r="267" spans="1:10" x14ac:dyDescent="0.2">
      <c r="A267" s="3" t="s">
        <v>336</v>
      </c>
      <c r="B267" s="1" t="s">
        <v>911</v>
      </c>
      <c r="C267" t="s">
        <v>911</v>
      </c>
      <c r="D267" s="28" t="str">
        <f>VLOOKUP(A267,Classification!$A:$D,2,FALSE)</f>
        <v>A</v>
      </c>
      <c r="E267" s="49" t="str">
        <f>VLOOKUP(B267,Classification!$A:$D,2,FALSE)</f>
        <v>A</v>
      </c>
      <c r="F267" s="15" t="str">
        <f>VLOOKUP(C267,Classification!$A:$D,2,FALSE)</f>
        <v>A</v>
      </c>
      <c r="G267" s="15" t="b">
        <f t="shared" si="4"/>
        <v>1</v>
      </c>
      <c r="H267" s="10" t="str">
        <f>IF(ISERROR(MATCH(A267,'SegEnds_Xtal_Prot#'!B:B, 0)), "NoXtal", "Xtal")</f>
        <v>NoXtal</v>
      </c>
      <c r="J267" s="3"/>
    </row>
    <row r="268" spans="1:10" x14ac:dyDescent="0.2">
      <c r="A268" s="3" t="s">
        <v>380</v>
      </c>
      <c r="B268" s="1" t="s">
        <v>335</v>
      </c>
      <c r="C268" t="s">
        <v>911</v>
      </c>
      <c r="D268" s="28" t="str">
        <f>VLOOKUP(A268,Classification!$A:$D,2,FALSE)</f>
        <v>A</v>
      </c>
      <c r="E268" s="49" t="str">
        <f>VLOOKUP(B268,Classification!$A:$D,2,FALSE)</f>
        <v>A</v>
      </c>
      <c r="F268" s="15" t="str">
        <f>VLOOKUP(C268,Classification!$A:$D,2,FALSE)</f>
        <v>A</v>
      </c>
      <c r="G268" s="15" t="b">
        <f t="shared" si="4"/>
        <v>1</v>
      </c>
      <c r="H268" s="10" t="str">
        <f>IF(ISERROR(MATCH(A268,'SegEnds_Xtal_Prot#'!B:B, 0)), "NoXtal", "Xtal")</f>
        <v>NoXtal</v>
      </c>
      <c r="J268" s="3"/>
    </row>
    <row r="269" spans="1:10" x14ac:dyDescent="0.2">
      <c r="A269" s="3" t="s">
        <v>396</v>
      </c>
      <c r="B269" s="1" t="s">
        <v>1169</v>
      </c>
      <c r="C269" t="s">
        <v>911</v>
      </c>
      <c r="D269" s="28" t="str">
        <f>VLOOKUP(A269,Classification!$A:$D,2,FALSE)</f>
        <v>A</v>
      </c>
      <c r="E269" s="49" t="str">
        <f>VLOOKUP(B269,Classification!$A:$D,2,FALSE)</f>
        <v>A</v>
      </c>
      <c r="F269" s="15" t="str">
        <f>VLOOKUP(C269,Classification!$A:$D,2,FALSE)</f>
        <v>A</v>
      </c>
      <c r="G269" s="15" t="b">
        <f t="shared" si="4"/>
        <v>1</v>
      </c>
      <c r="H269" s="10" t="str">
        <f>IF(ISERROR(MATCH(A269,'SegEnds_Xtal_Prot#'!B:B, 0)), "NoXtal", "Xtal")</f>
        <v>NoXtal</v>
      </c>
      <c r="J269" s="3"/>
    </row>
    <row r="270" spans="1:10" x14ac:dyDescent="0.2">
      <c r="A270" s="3" t="s">
        <v>206</v>
      </c>
      <c r="B270" s="1" t="s">
        <v>335</v>
      </c>
      <c r="C270" t="s">
        <v>911</v>
      </c>
      <c r="D270" s="28" t="str">
        <f>VLOOKUP(A270,Classification!$A:$D,2,FALSE)</f>
        <v>A</v>
      </c>
      <c r="E270" s="49" t="str">
        <f>VLOOKUP(B270,Classification!$A:$D,2,FALSE)</f>
        <v>A</v>
      </c>
      <c r="F270" s="15" t="str">
        <f>VLOOKUP(C270,Classification!$A:$D,2,FALSE)</f>
        <v>A</v>
      </c>
      <c r="G270" s="15" t="b">
        <f t="shared" si="4"/>
        <v>1</v>
      </c>
      <c r="H270" s="10" t="str">
        <f>IF(ISERROR(MATCH(A270,'SegEnds_Xtal_Prot#'!B:B, 0)), "NoXtal", "Xtal")</f>
        <v>NoXtal</v>
      </c>
      <c r="J270" s="3"/>
    </row>
    <row r="271" spans="1:10" x14ac:dyDescent="0.2">
      <c r="A271" s="3" t="s">
        <v>205</v>
      </c>
      <c r="B271" s="1" t="s">
        <v>335</v>
      </c>
      <c r="C271" t="s">
        <v>911</v>
      </c>
      <c r="D271" s="28" t="str">
        <f>VLOOKUP(A271,Classification!$A:$D,2,FALSE)</f>
        <v>A</v>
      </c>
      <c r="E271" s="49" t="str">
        <f>VLOOKUP(B271,Classification!$A:$D,2,FALSE)</f>
        <v>A</v>
      </c>
      <c r="F271" s="15" t="str">
        <f>VLOOKUP(C271,Classification!$A:$D,2,FALSE)</f>
        <v>A</v>
      </c>
      <c r="G271" s="15" t="b">
        <f t="shared" si="4"/>
        <v>1</v>
      </c>
      <c r="H271" s="10" t="str">
        <f>IF(ISERROR(MATCH(A271,'SegEnds_Xtal_Prot#'!B:B, 0)), "NoXtal", "Xtal")</f>
        <v>NoXtal</v>
      </c>
      <c r="J271" s="3"/>
    </row>
    <row r="272" spans="1:10" x14ac:dyDescent="0.2">
      <c r="A272" s="3" t="s">
        <v>209</v>
      </c>
      <c r="B272" s="1" t="s">
        <v>160</v>
      </c>
      <c r="C272" t="s">
        <v>911</v>
      </c>
      <c r="D272" s="28" t="str">
        <f>VLOOKUP(A272,Classification!$A:$D,2,FALSE)</f>
        <v>A</v>
      </c>
      <c r="E272" s="49" t="str">
        <f>VLOOKUP(B272,Classification!$A:$D,2,FALSE)</f>
        <v>A</v>
      </c>
      <c r="F272" s="15" t="str">
        <f>VLOOKUP(C272,Classification!$A:$D,2,FALSE)</f>
        <v>A</v>
      </c>
      <c r="G272" s="15" t="b">
        <f t="shared" si="4"/>
        <v>1</v>
      </c>
      <c r="H272" s="10" t="str">
        <f>IF(ISERROR(MATCH(A272,'SegEnds_Xtal_Prot#'!B:B, 0)), "NoXtal", "Xtal")</f>
        <v>NoXtal</v>
      </c>
      <c r="J272" s="3"/>
    </row>
    <row r="273" spans="1:10" x14ac:dyDescent="0.2">
      <c r="A273" s="3" t="s">
        <v>216</v>
      </c>
      <c r="B273" s="1" t="s">
        <v>175</v>
      </c>
      <c r="C273" t="s">
        <v>1167</v>
      </c>
      <c r="D273" s="28" t="str">
        <f>VLOOKUP(A273,Classification!$A:$D,2,FALSE)</f>
        <v>A</v>
      </c>
      <c r="E273" s="49" t="str">
        <f>VLOOKUP(B273,Classification!$A:$D,2,FALSE)</f>
        <v>A</v>
      </c>
      <c r="F273" s="15" t="str">
        <f>VLOOKUP(C273,Classification!$A:$D,2,FALSE)</f>
        <v>A</v>
      </c>
      <c r="G273" s="15" t="b">
        <f t="shared" si="4"/>
        <v>1</v>
      </c>
      <c r="H273" s="10" t="str">
        <f>IF(ISERROR(MATCH(A273,'SegEnds_Xtal_Prot#'!B:B, 0)), "NoXtal", "Xtal")</f>
        <v>NoXtal</v>
      </c>
      <c r="J273" s="3"/>
    </row>
    <row r="274" spans="1:10" x14ac:dyDescent="0.2">
      <c r="A274" s="3" t="s">
        <v>319</v>
      </c>
      <c r="B274" s="1" t="s">
        <v>334</v>
      </c>
      <c r="C274" t="s">
        <v>1167</v>
      </c>
      <c r="D274" s="28" t="str">
        <f>VLOOKUP(A274,Classification!$A:$D,2,FALSE)</f>
        <v>A</v>
      </c>
      <c r="E274" s="49" t="str">
        <f>VLOOKUP(B274,Classification!$A:$D,2,FALSE)</f>
        <v>A</v>
      </c>
      <c r="F274" s="15" t="str">
        <f>VLOOKUP(C274,Classification!$A:$D,2,FALSE)</f>
        <v>A</v>
      </c>
      <c r="G274" s="15" t="b">
        <f t="shared" si="4"/>
        <v>1</v>
      </c>
      <c r="H274" s="10" t="str">
        <f>IF(ISERROR(MATCH(A274,'SegEnds_Xtal_Prot#'!B:B, 0)), "NoXtal", "Xtal")</f>
        <v>NoXtal</v>
      </c>
      <c r="J274" s="3"/>
    </row>
    <row r="275" spans="1:10" x14ac:dyDescent="0.2">
      <c r="A275" s="3" t="s">
        <v>298</v>
      </c>
      <c r="B275" s="1" t="s">
        <v>335</v>
      </c>
      <c r="C275" t="s">
        <v>1167</v>
      </c>
      <c r="D275" s="28" t="str">
        <f>VLOOKUP(A275,Classification!$A:$D,2,FALSE)</f>
        <v>A</v>
      </c>
      <c r="E275" s="49" t="str">
        <f>VLOOKUP(B275,Classification!$A:$D,2,FALSE)</f>
        <v>A</v>
      </c>
      <c r="F275" s="15" t="str">
        <f>VLOOKUP(C275,Classification!$A:$D,2,FALSE)</f>
        <v>A</v>
      </c>
      <c r="G275" s="15" t="b">
        <f t="shared" si="4"/>
        <v>1</v>
      </c>
      <c r="H275" s="10" t="str">
        <f>IF(ISERROR(MATCH(A275,'SegEnds_Xtal_Prot#'!B:B, 0)), "NoXtal", "Xtal")</f>
        <v>NoXtal</v>
      </c>
      <c r="J275" s="3"/>
    </row>
    <row r="276" spans="1:10" x14ac:dyDescent="0.2">
      <c r="A276" s="3" t="s">
        <v>398</v>
      </c>
      <c r="B276" s="1" t="s">
        <v>311</v>
      </c>
      <c r="C276" t="s">
        <v>1167</v>
      </c>
      <c r="D276" s="28" t="str">
        <f>VLOOKUP(A276,Classification!$A:$D,2,FALSE)</f>
        <v>A</v>
      </c>
      <c r="E276" s="49" t="str">
        <f>VLOOKUP(B276,Classification!$A:$D,2,FALSE)</f>
        <v>A</v>
      </c>
      <c r="F276" s="15" t="str">
        <f>VLOOKUP(C276,Classification!$A:$D,2,FALSE)</f>
        <v>A</v>
      </c>
      <c r="G276" s="15" t="b">
        <f t="shared" si="4"/>
        <v>1</v>
      </c>
      <c r="H276" s="10" t="str">
        <f>IF(ISERROR(MATCH(A276,'SegEnds_Xtal_Prot#'!B:B, 0)), "NoXtal", "Xtal")</f>
        <v>NoXtal</v>
      </c>
      <c r="J276" s="3"/>
    </row>
    <row r="277" spans="1:10" x14ac:dyDescent="0.2">
      <c r="A277" s="3" t="s">
        <v>217</v>
      </c>
      <c r="B277" s="1" t="s">
        <v>132</v>
      </c>
      <c r="C277" t="s">
        <v>1167</v>
      </c>
      <c r="D277" s="28" t="str">
        <f>VLOOKUP(A277,Classification!$A:$D,2,FALSE)</f>
        <v>A</v>
      </c>
      <c r="E277" s="49" t="str">
        <f>VLOOKUP(B277,Classification!$A:$D,2,FALSE)</f>
        <v>A</v>
      </c>
      <c r="F277" s="15" t="str">
        <f>VLOOKUP(C277,Classification!$A:$D,2,FALSE)</f>
        <v>A</v>
      </c>
      <c r="G277" s="15" t="b">
        <f t="shared" si="4"/>
        <v>1</v>
      </c>
      <c r="H277" s="10" t="str">
        <f>IF(ISERROR(MATCH(A277,'SegEnds_Xtal_Prot#'!B:B, 0)), "NoXtal", "Xtal")</f>
        <v>NoXtal</v>
      </c>
      <c r="J277" s="3"/>
    </row>
    <row r="278" spans="1:10" x14ac:dyDescent="0.2">
      <c r="A278" s="3" t="s">
        <v>1167</v>
      </c>
      <c r="B278" s="1" t="s">
        <v>1167</v>
      </c>
      <c r="C278" t="s">
        <v>1167</v>
      </c>
      <c r="D278" s="28" t="str">
        <f>VLOOKUP(A278,Classification!$A:$D,2,FALSE)</f>
        <v>A</v>
      </c>
      <c r="E278" s="49" t="str">
        <f>VLOOKUP(B278,Classification!$A:$D,2,FALSE)</f>
        <v>A</v>
      </c>
      <c r="F278" s="15" t="str">
        <f>VLOOKUP(C278,Classification!$A:$D,2,FALSE)</f>
        <v>A</v>
      </c>
      <c r="G278" s="15" t="b">
        <f t="shared" si="4"/>
        <v>1</v>
      </c>
      <c r="H278" s="10" t="str">
        <f>IF(ISERROR(MATCH(A278,'SegEnds_Xtal_Prot#'!B:B, 0)), "NoXtal", "Xtal")</f>
        <v>Xtal</v>
      </c>
      <c r="J278" s="3"/>
    </row>
    <row r="279" spans="1:10" x14ac:dyDescent="0.2">
      <c r="A279" s="3" t="s">
        <v>395</v>
      </c>
      <c r="B279" s="1" t="s">
        <v>173</v>
      </c>
      <c r="C279" t="s">
        <v>1167</v>
      </c>
      <c r="D279" s="28" t="str">
        <f>VLOOKUP(A279,Classification!$A:$D,2,FALSE)</f>
        <v>A</v>
      </c>
      <c r="E279" s="49" t="str">
        <f>VLOOKUP(B279,Classification!$A:$D,2,FALSE)</f>
        <v>A</v>
      </c>
      <c r="F279" s="15" t="str">
        <f>VLOOKUP(C279,Classification!$A:$D,2,FALSE)</f>
        <v>A</v>
      </c>
      <c r="G279" s="15" t="b">
        <f t="shared" si="4"/>
        <v>1</v>
      </c>
      <c r="H279" s="10" t="str">
        <f>IF(ISERROR(MATCH(A279,'SegEnds_Xtal_Prot#'!B:B, 0)), "NoXtal", "Xtal")</f>
        <v>NoXtal</v>
      </c>
      <c r="J279" s="3"/>
    </row>
    <row r="280" spans="1:10" x14ac:dyDescent="0.2">
      <c r="A280" s="3" t="s">
        <v>281</v>
      </c>
      <c r="B280" s="1" t="s">
        <v>335</v>
      </c>
      <c r="C280" t="s">
        <v>1167</v>
      </c>
      <c r="D280" s="28" t="str">
        <f>VLOOKUP(A280,Classification!$A:$D,2,FALSE)</f>
        <v>A</v>
      </c>
      <c r="E280" s="49" t="str">
        <f>VLOOKUP(B280,Classification!$A:$D,2,FALSE)</f>
        <v>A</v>
      </c>
      <c r="F280" s="15" t="str">
        <f>VLOOKUP(C280,Classification!$A:$D,2,FALSE)</f>
        <v>A</v>
      </c>
      <c r="G280" s="15" t="b">
        <f t="shared" si="4"/>
        <v>1</v>
      </c>
      <c r="H280" s="10" t="str">
        <f>IF(ISERROR(MATCH(A280,'SegEnds_Xtal_Prot#'!B:B, 0)), "NoXtal", "Xtal")</f>
        <v>NoXtal</v>
      </c>
      <c r="J280" s="3"/>
    </row>
    <row r="281" spans="1:10" x14ac:dyDescent="0.2">
      <c r="A281" s="3" t="s">
        <v>393</v>
      </c>
      <c r="B281" s="1" t="s">
        <v>1167</v>
      </c>
      <c r="C281" t="s">
        <v>1167</v>
      </c>
      <c r="D281" s="28" t="str">
        <f>VLOOKUP(A281,Classification!$A:$D,2,FALSE)</f>
        <v>A</v>
      </c>
      <c r="E281" s="49" t="str">
        <f>VLOOKUP(B281,Classification!$A:$D,2,FALSE)</f>
        <v>A</v>
      </c>
      <c r="F281" s="15" t="str">
        <f>VLOOKUP(C281,Classification!$A:$D,2,FALSE)</f>
        <v>A</v>
      </c>
      <c r="G281" s="15" t="b">
        <f t="shared" si="4"/>
        <v>1</v>
      </c>
      <c r="H281" s="10" t="str">
        <f>IF(ISERROR(MATCH(A281,'SegEnds_Xtal_Prot#'!B:B, 0)), "NoXtal", "Xtal")</f>
        <v>NoXtal</v>
      </c>
      <c r="J281" s="3"/>
    </row>
    <row r="282" spans="1:10" x14ac:dyDescent="0.2">
      <c r="A282" s="3" t="s">
        <v>397</v>
      </c>
      <c r="B282" s="1" t="s">
        <v>127</v>
      </c>
      <c r="C282" t="s">
        <v>1167</v>
      </c>
      <c r="D282" s="28" t="str">
        <f>VLOOKUP(A282,Classification!$A:$D,2,FALSE)</f>
        <v>A</v>
      </c>
      <c r="E282" s="49" t="str">
        <f>VLOOKUP(B282,Classification!$A:$D,2,FALSE)</f>
        <v>A</v>
      </c>
      <c r="F282" s="15" t="str">
        <f>VLOOKUP(C282,Classification!$A:$D,2,FALSE)</f>
        <v>A</v>
      </c>
      <c r="G282" s="15" t="b">
        <f t="shared" si="4"/>
        <v>1</v>
      </c>
      <c r="H282" s="10" t="str">
        <f>IF(ISERROR(MATCH(A282,'SegEnds_Xtal_Prot#'!B:B, 0)), "NoXtal", "Xtal")</f>
        <v>NoXtal</v>
      </c>
      <c r="J282" s="3"/>
    </row>
    <row r="283" spans="1:10" x14ac:dyDescent="0.2">
      <c r="A283" s="3" t="s">
        <v>382</v>
      </c>
      <c r="B283" s="1" t="s">
        <v>335</v>
      </c>
      <c r="C283" t="s">
        <v>1167</v>
      </c>
      <c r="D283" s="28" t="str">
        <f>VLOOKUP(A283,Classification!$A:$D,2,FALSE)</f>
        <v>A</v>
      </c>
      <c r="E283" s="49" t="str">
        <f>VLOOKUP(B283,Classification!$A:$D,2,FALSE)</f>
        <v>A</v>
      </c>
      <c r="F283" s="15" t="str">
        <f>VLOOKUP(C283,Classification!$A:$D,2,FALSE)</f>
        <v>A</v>
      </c>
      <c r="G283" s="15" t="b">
        <f t="shared" si="4"/>
        <v>1</v>
      </c>
      <c r="H283" s="10" t="str">
        <f>IF(ISERROR(MATCH(A283,'SegEnds_Xtal_Prot#'!B:B, 0)), "NoXtal", "Xtal")</f>
        <v>NoXtal</v>
      </c>
      <c r="J283" s="3"/>
    </row>
    <row r="284" spans="1:10" x14ac:dyDescent="0.2">
      <c r="A284" s="3" t="s">
        <v>913</v>
      </c>
      <c r="B284" s="1" t="s">
        <v>913</v>
      </c>
      <c r="C284" t="s">
        <v>913</v>
      </c>
      <c r="D284" s="28" t="str">
        <f>VLOOKUP(A284,Classification!$A:$D,2,FALSE)</f>
        <v>A</v>
      </c>
      <c r="E284" s="49" t="str">
        <f>VLOOKUP(B284,Classification!$A:$D,2,FALSE)</f>
        <v>A</v>
      </c>
      <c r="F284" s="15" t="str">
        <f>VLOOKUP(C284,Classification!$A:$D,2,FALSE)</f>
        <v>A</v>
      </c>
      <c r="G284" s="15" t="b">
        <f t="shared" si="4"/>
        <v>1</v>
      </c>
      <c r="H284" s="10" t="str">
        <f>IF(ISERROR(MATCH(A284,'SegEnds_Xtal_Prot#'!B:B, 0)), "NoXtal", "Xtal")</f>
        <v>Xtal</v>
      </c>
      <c r="J284" s="3"/>
    </row>
    <row r="285" spans="1:10" x14ac:dyDescent="0.2">
      <c r="A285" s="3" t="s">
        <v>331</v>
      </c>
      <c r="B285" s="1" t="s">
        <v>913</v>
      </c>
      <c r="C285" t="s">
        <v>913</v>
      </c>
      <c r="D285" s="28" t="str">
        <f>VLOOKUP(A285,Classification!$A:$D,2,FALSE)</f>
        <v>A</v>
      </c>
      <c r="E285" s="49" t="str">
        <f>VLOOKUP(B285,Classification!$A:$D,2,FALSE)</f>
        <v>A</v>
      </c>
      <c r="F285" s="15" t="str">
        <f>VLOOKUP(C285,Classification!$A:$D,2,FALSE)</f>
        <v>A</v>
      </c>
      <c r="G285" s="15" t="b">
        <f t="shared" si="4"/>
        <v>1</v>
      </c>
      <c r="H285" s="10" t="str">
        <f>IF(ISERROR(MATCH(A285,'SegEnds_Xtal_Prot#'!B:B, 0)), "NoXtal", "Xtal")</f>
        <v>NoXtal</v>
      </c>
      <c r="J285" s="3"/>
    </row>
    <row r="286" spans="1:10" x14ac:dyDescent="0.2">
      <c r="A286" s="3" t="s">
        <v>338</v>
      </c>
      <c r="B286" s="1" t="s">
        <v>338</v>
      </c>
      <c r="C286" t="s">
        <v>338</v>
      </c>
      <c r="D286" s="28" t="str">
        <f>VLOOKUP(A286,Classification!$A:$D,2,FALSE)</f>
        <v>A</v>
      </c>
      <c r="E286" s="49" t="str">
        <f>VLOOKUP(B286,Classification!$A:$D,2,FALSE)</f>
        <v>A</v>
      </c>
      <c r="F286" s="15" t="str">
        <f>VLOOKUP(C286,Classification!$A:$D,2,FALSE)</f>
        <v>A</v>
      </c>
      <c r="G286" s="15" t="b">
        <f t="shared" si="4"/>
        <v>1</v>
      </c>
      <c r="H286" s="10" t="str">
        <f>IF(ISERROR(MATCH(A286,'SegEnds_Xtal_Prot#'!B:B, 0)), "NoXtal", "Xtal")</f>
        <v>Xtal</v>
      </c>
      <c r="J286" s="3"/>
    </row>
    <row r="287" spans="1:10" x14ac:dyDescent="0.2">
      <c r="A287" s="3" t="s">
        <v>339</v>
      </c>
      <c r="B287" s="1" t="s">
        <v>338</v>
      </c>
      <c r="C287" t="s">
        <v>338</v>
      </c>
      <c r="D287" s="28" t="str">
        <f>VLOOKUP(A287,Classification!$A:$D,2,FALSE)</f>
        <v>A</v>
      </c>
      <c r="E287" s="49" t="str">
        <f>VLOOKUP(B287,Classification!$A:$D,2,FALSE)</f>
        <v>A</v>
      </c>
      <c r="F287" s="15" t="str">
        <f>VLOOKUP(C287,Classification!$A:$D,2,FALSE)</f>
        <v>A</v>
      </c>
      <c r="G287" s="15" t="b">
        <f t="shared" si="4"/>
        <v>1</v>
      </c>
      <c r="H287" s="10" t="str">
        <f>IF(ISERROR(MATCH(A287,'SegEnds_Xtal_Prot#'!B:B, 0)), "NoXtal", "Xtal")</f>
        <v>NoXtal</v>
      </c>
      <c r="J287" s="3"/>
    </row>
    <row r="288" spans="1:10" x14ac:dyDescent="0.2">
      <c r="A288" s="3" t="s">
        <v>340</v>
      </c>
      <c r="B288" s="1" t="s">
        <v>338</v>
      </c>
      <c r="C288" t="s">
        <v>338</v>
      </c>
      <c r="D288" s="28" t="str">
        <f>VLOOKUP(A288,Classification!$A:$D,2,FALSE)</f>
        <v>A</v>
      </c>
      <c r="E288" s="49" t="str">
        <f>VLOOKUP(B288,Classification!$A:$D,2,FALSE)</f>
        <v>A</v>
      </c>
      <c r="F288" s="15" t="str">
        <f>VLOOKUP(C288,Classification!$A:$D,2,FALSE)</f>
        <v>A</v>
      </c>
      <c r="G288" s="15" t="b">
        <f t="shared" si="4"/>
        <v>1</v>
      </c>
      <c r="H288" s="10" t="str">
        <f>IF(ISERROR(MATCH(A288,'SegEnds_Xtal_Prot#'!B:B, 0)), "NoXtal", "Xtal")</f>
        <v>NoXtal</v>
      </c>
      <c r="J288" s="3"/>
    </row>
    <row r="289" spans="1:10" x14ac:dyDescent="0.2">
      <c r="A289" s="3" t="s">
        <v>337</v>
      </c>
      <c r="B289" s="1" t="s">
        <v>338</v>
      </c>
      <c r="C289" t="s">
        <v>338</v>
      </c>
      <c r="D289" s="28" t="str">
        <f>VLOOKUP(A289,Classification!$A:$D,2,FALSE)</f>
        <v>A</v>
      </c>
      <c r="E289" s="49" t="str">
        <f>VLOOKUP(B289,Classification!$A:$D,2,FALSE)</f>
        <v>A</v>
      </c>
      <c r="F289" s="15" t="str">
        <f>VLOOKUP(C289,Classification!$A:$D,2,FALSE)</f>
        <v>A</v>
      </c>
      <c r="G289" s="15" t="b">
        <f t="shared" si="4"/>
        <v>1</v>
      </c>
      <c r="H289" s="10" t="str">
        <f>IF(ISERROR(MATCH(A289,'SegEnds_Xtal_Prot#'!B:B, 0)), "NoXtal", "Xtal")</f>
        <v>NoXtal</v>
      </c>
      <c r="J289" s="3"/>
    </row>
    <row r="290" spans="1:10" x14ac:dyDescent="0.2">
      <c r="A290" s="3" t="s">
        <v>284</v>
      </c>
      <c r="B290" s="1" t="s">
        <v>310</v>
      </c>
      <c r="C290" t="s">
        <v>338</v>
      </c>
      <c r="D290" s="28" t="str">
        <f>VLOOKUP(A290,Classification!$A:$D,2,FALSE)</f>
        <v>A</v>
      </c>
      <c r="E290" s="49" t="str">
        <f>VLOOKUP(B290,Classification!$A:$D,2,FALSE)</f>
        <v>A</v>
      </c>
      <c r="F290" s="15" t="str">
        <f>VLOOKUP(C290,Classification!$A:$D,2,FALSE)</f>
        <v>A</v>
      </c>
      <c r="G290" s="15" t="b">
        <f t="shared" si="4"/>
        <v>1</v>
      </c>
      <c r="H290" s="10" t="str">
        <f>IF(ISERROR(MATCH(A290,'SegEnds_Xtal_Prot#'!B:B, 0)), "NoXtal", "Xtal")</f>
        <v>NoXtal</v>
      </c>
      <c r="J290" s="3"/>
    </row>
    <row r="291" spans="1:10" x14ac:dyDescent="0.2">
      <c r="A291" s="3" t="s">
        <v>333</v>
      </c>
      <c r="B291" s="1" t="s">
        <v>913</v>
      </c>
      <c r="C291" t="s">
        <v>915</v>
      </c>
      <c r="D291" s="28" t="str">
        <f>VLOOKUP(A291,Classification!$A:$D,2,FALSE)</f>
        <v>A</v>
      </c>
      <c r="E291" s="49" t="str">
        <f>VLOOKUP(B291,Classification!$A:$D,2,FALSE)</f>
        <v>A</v>
      </c>
      <c r="F291" s="15" t="str">
        <f>VLOOKUP(C291,Classification!$A:$D,2,FALSE)</f>
        <v>A</v>
      </c>
      <c r="G291" s="15" t="b">
        <f t="shared" si="4"/>
        <v>1</v>
      </c>
      <c r="H291" s="10" t="str">
        <f>IF(ISERROR(MATCH(A291,'SegEnds_Xtal_Prot#'!B:B, 0)), "NoXtal", "Xtal")</f>
        <v>NoXtal</v>
      </c>
      <c r="J291" s="3"/>
    </row>
    <row r="292" spans="1:10" x14ac:dyDescent="0.2">
      <c r="A292" s="3" t="s">
        <v>332</v>
      </c>
      <c r="B292" s="1" t="s">
        <v>913</v>
      </c>
      <c r="C292" t="s">
        <v>915</v>
      </c>
      <c r="D292" s="28" t="str">
        <f>VLOOKUP(A292,Classification!$A:$D,2,FALSE)</f>
        <v>A</v>
      </c>
      <c r="E292" s="49" t="str">
        <f>VLOOKUP(B292,Classification!$A:$D,2,FALSE)</f>
        <v>A</v>
      </c>
      <c r="F292" s="15" t="str">
        <f>VLOOKUP(C292,Classification!$A:$D,2,FALSE)</f>
        <v>A</v>
      </c>
      <c r="G292" s="15" t="b">
        <f t="shared" si="4"/>
        <v>1</v>
      </c>
      <c r="H292" s="10" t="str">
        <f>IF(ISERROR(MATCH(A292,'SegEnds_Xtal_Prot#'!B:B, 0)), "NoXtal", "Xtal")</f>
        <v>NoXtal</v>
      </c>
      <c r="J292" s="3"/>
    </row>
    <row r="293" spans="1:10" x14ac:dyDescent="0.2">
      <c r="A293" s="3" t="s">
        <v>915</v>
      </c>
      <c r="B293" s="1" t="s">
        <v>915</v>
      </c>
      <c r="C293" t="s">
        <v>915</v>
      </c>
      <c r="D293" s="28" t="str">
        <f>VLOOKUP(A293,Classification!$A:$D,2,FALSE)</f>
        <v>A</v>
      </c>
      <c r="E293" s="49" t="str">
        <f>VLOOKUP(B293,Classification!$A:$D,2,FALSE)</f>
        <v>A</v>
      </c>
      <c r="F293" s="15" t="str">
        <f>VLOOKUP(C293,Classification!$A:$D,2,FALSE)</f>
        <v>A</v>
      </c>
      <c r="G293" s="15" t="b">
        <f t="shared" si="4"/>
        <v>1</v>
      </c>
      <c r="H293" s="10" t="str">
        <f>IF(ISERROR(MATCH(A293,'SegEnds_Xtal_Prot#'!B:B, 0)), "NoXtal", "Xtal")</f>
        <v>Xtal</v>
      </c>
      <c r="J293" s="3"/>
    </row>
    <row r="294" spans="1:10" x14ac:dyDescent="0.2">
      <c r="A294" s="3" t="s">
        <v>269</v>
      </c>
      <c r="B294" s="1" t="s">
        <v>196</v>
      </c>
      <c r="C294" t="s">
        <v>1168</v>
      </c>
      <c r="D294" s="28" t="str">
        <f>VLOOKUP(A294,Classification!$A:$D,2,FALSE)</f>
        <v>A</v>
      </c>
      <c r="E294" s="49" t="str">
        <f>VLOOKUP(B294,Classification!$A:$D,2,FALSE)</f>
        <v>A</v>
      </c>
      <c r="F294" s="15" t="str">
        <f>VLOOKUP(C294,Classification!$A:$D,2,FALSE)</f>
        <v>A</v>
      </c>
      <c r="G294" s="15" t="b">
        <f t="shared" si="4"/>
        <v>1</v>
      </c>
      <c r="H294" s="10" t="str">
        <f>IF(ISERROR(MATCH(A294,'SegEnds_Xtal_Prot#'!B:B, 0)), "NoXtal", "Xtal")</f>
        <v>NoXtal</v>
      </c>
      <c r="J294" s="3"/>
    </row>
    <row r="295" spans="1:10" x14ac:dyDescent="0.2">
      <c r="A295" s="3" t="s">
        <v>325</v>
      </c>
      <c r="B295" s="1" t="s">
        <v>1168</v>
      </c>
      <c r="C295" t="s">
        <v>1168</v>
      </c>
      <c r="D295" s="28" t="str">
        <f>VLOOKUP(A295,Classification!$A:$D,2,FALSE)</f>
        <v>A</v>
      </c>
      <c r="E295" s="49" t="str">
        <f>VLOOKUP(B295,Classification!$A:$D,2,FALSE)</f>
        <v>A</v>
      </c>
      <c r="F295" s="15" t="str">
        <f>VLOOKUP(C295,Classification!$A:$D,2,FALSE)</f>
        <v>A</v>
      </c>
      <c r="G295" s="15" t="b">
        <f t="shared" si="4"/>
        <v>1</v>
      </c>
      <c r="H295" s="10" t="str">
        <f>IF(ISERROR(MATCH(A295,'SegEnds_Xtal_Prot#'!B:B, 0)), "NoXtal", "Xtal")</f>
        <v>NoXtal</v>
      </c>
      <c r="J295" s="3"/>
    </row>
    <row r="296" spans="1:10" x14ac:dyDescent="0.2">
      <c r="A296" s="3" t="s">
        <v>343</v>
      </c>
      <c r="B296" s="1" t="s">
        <v>1168</v>
      </c>
      <c r="C296" t="s">
        <v>1168</v>
      </c>
      <c r="D296" s="28" t="str">
        <f>VLOOKUP(A296,Classification!$A:$D,2,FALSE)</f>
        <v>A</v>
      </c>
      <c r="E296" s="49" t="str">
        <f>VLOOKUP(B296,Classification!$A:$D,2,FALSE)</f>
        <v>A</v>
      </c>
      <c r="F296" s="15" t="str">
        <f>VLOOKUP(C296,Classification!$A:$D,2,FALSE)</f>
        <v>A</v>
      </c>
      <c r="G296" s="15" t="b">
        <f t="shared" si="4"/>
        <v>1</v>
      </c>
      <c r="H296" s="10" t="str">
        <f>IF(ISERROR(MATCH(A296,'SegEnds_Xtal_Prot#'!B:B, 0)), "NoXtal", "Xtal")</f>
        <v>NoXtal</v>
      </c>
      <c r="J296" s="3"/>
    </row>
    <row r="297" spans="1:10" x14ac:dyDescent="0.2">
      <c r="A297" s="3" t="s">
        <v>1168</v>
      </c>
      <c r="B297" s="1" t="s">
        <v>1168</v>
      </c>
      <c r="C297" t="s">
        <v>1168</v>
      </c>
      <c r="D297" s="28" t="str">
        <f>VLOOKUP(A297,Classification!$A:$D,2,FALSE)</f>
        <v>A</v>
      </c>
      <c r="E297" s="49" t="str">
        <f>VLOOKUP(B297,Classification!$A:$D,2,FALSE)</f>
        <v>A</v>
      </c>
      <c r="F297" s="15" t="str">
        <f>VLOOKUP(C297,Classification!$A:$D,2,FALSE)</f>
        <v>A</v>
      </c>
      <c r="G297" s="15" t="b">
        <f t="shared" si="4"/>
        <v>1</v>
      </c>
      <c r="H297" s="10" t="str">
        <f>IF(ISERROR(MATCH(A297,'SegEnds_Xtal_Prot#'!B:B, 0)), "NoXtal", "Xtal")</f>
        <v>Xtal</v>
      </c>
      <c r="J297" s="3"/>
    </row>
    <row r="298" spans="1:10" x14ac:dyDescent="0.2">
      <c r="A298" s="3" t="s">
        <v>266</v>
      </c>
      <c r="B298" s="1" t="s">
        <v>191</v>
      </c>
      <c r="C298" t="s">
        <v>1168</v>
      </c>
      <c r="D298" s="28" t="str">
        <f>VLOOKUP(A298,Classification!$A:$D,2,FALSE)</f>
        <v>A</v>
      </c>
      <c r="E298" s="49" t="str">
        <f>VLOOKUP(B298,Classification!$A:$D,2,FALSE)</f>
        <v>A</v>
      </c>
      <c r="F298" s="15" t="str">
        <f>VLOOKUP(C298,Classification!$A:$D,2,FALSE)</f>
        <v>A</v>
      </c>
      <c r="G298" s="15" t="b">
        <f t="shared" si="4"/>
        <v>1</v>
      </c>
      <c r="H298" s="10" t="str">
        <f>IF(ISERROR(MATCH(A298,'SegEnds_Xtal_Prot#'!B:B, 0)), "NoXtal", "Xtal")</f>
        <v>NoXtal</v>
      </c>
      <c r="J298" s="3"/>
    </row>
    <row r="299" spans="1:10" x14ac:dyDescent="0.2">
      <c r="A299" s="3" t="s">
        <v>221</v>
      </c>
      <c r="B299" s="1" t="s">
        <v>1165</v>
      </c>
      <c r="C299" t="s">
        <v>1168</v>
      </c>
      <c r="D299" s="28" t="str">
        <f>VLOOKUP(A299,Classification!$A:$D,2,FALSE)</f>
        <v>A</v>
      </c>
      <c r="E299" s="49" t="str">
        <f>VLOOKUP(B299,Classification!$A:$D,2,FALSE)</f>
        <v>A</v>
      </c>
      <c r="F299" s="15" t="str">
        <f>VLOOKUP(C299,Classification!$A:$D,2,FALSE)</f>
        <v>A</v>
      </c>
      <c r="G299" s="15" t="b">
        <f t="shared" si="4"/>
        <v>1</v>
      </c>
      <c r="H299" s="10" t="str">
        <f>IF(ISERROR(MATCH(A299,'SegEnds_Xtal_Prot#'!B:B, 0)), "NoXtal", "Xtal")</f>
        <v>NoXtal</v>
      </c>
      <c r="J299" s="3"/>
    </row>
    <row r="300" spans="1:10" x14ac:dyDescent="0.2">
      <c r="A300" s="3" t="s">
        <v>322</v>
      </c>
      <c r="B300" s="1" t="s">
        <v>1168</v>
      </c>
      <c r="C300" t="s">
        <v>1168</v>
      </c>
      <c r="D300" s="28" t="str">
        <f>VLOOKUP(A300,Classification!$A:$D,2,FALSE)</f>
        <v>A</v>
      </c>
      <c r="E300" s="49" t="str">
        <f>VLOOKUP(B300,Classification!$A:$D,2,FALSE)</f>
        <v>A</v>
      </c>
      <c r="F300" s="15" t="str">
        <f>VLOOKUP(C300,Classification!$A:$D,2,FALSE)</f>
        <v>A</v>
      </c>
      <c r="G300" s="15" t="b">
        <f t="shared" si="4"/>
        <v>1</v>
      </c>
      <c r="H300" s="10" t="str">
        <f>IF(ISERROR(MATCH(A300,'SegEnds_Xtal_Prot#'!B:B, 0)), "NoXtal", "Xtal")</f>
        <v>NoXtal</v>
      </c>
      <c r="J300" s="3"/>
    </row>
    <row r="301" spans="1:10" x14ac:dyDescent="0.2">
      <c r="A301" s="3" t="s">
        <v>314</v>
      </c>
      <c r="B301" s="1" t="s">
        <v>313</v>
      </c>
      <c r="C301" t="s">
        <v>1168</v>
      </c>
      <c r="D301" s="28" t="str">
        <f>VLOOKUP(A301,Classification!$A:$D,2,FALSE)</f>
        <v>A</v>
      </c>
      <c r="E301" s="49" t="str">
        <f>VLOOKUP(B301,Classification!$A:$D,2,FALSE)</f>
        <v>A</v>
      </c>
      <c r="F301" s="15" t="str">
        <f>VLOOKUP(C301,Classification!$A:$D,2,FALSE)</f>
        <v>A</v>
      </c>
      <c r="G301" s="15" t="b">
        <f t="shared" si="4"/>
        <v>1</v>
      </c>
      <c r="H301" s="10" t="str">
        <f>IF(ISERROR(MATCH(A301,'SegEnds_Xtal_Prot#'!B:B, 0)), "NoXtal", "Xtal")</f>
        <v>NoXtal</v>
      </c>
      <c r="J301" s="3"/>
    </row>
    <row r="302" spans="1:10" x14ac:dyDescent="0.2">
      <c r="A302" s="3" t="s">
        <v>214</v>
      </c>
      <c r="B302" s="1" t="s">
        <v>310</v>
      </c>
      <c r="C302" t="s">
        <v>1168</v>
      </c>
      <c r="D302" s="28" t="str">
        <f>VLOOKUP(A302,Classification!$A:$D,2,FALSE)</f>
        <v>A</v>
      </c>
      <c r="E302" s="49" t="str">
        <f>VLOOKUP(B302,Classification!$A:$D,2,FALSE)</f>
        <v>A</v>
      </c>
      <c r="F302" s="15" t="str">
        <f>VLOOKUP(C302,Classification!$A:$D,2,FALSE)</f>
        <v>A</v>
      </c>
      <c r="G302" s="15" t="b">
        <f t="shared" si="4"/>
        <v>1</v>
      </c>
      <c r="H302" s="10" t="str">
        <f>IF(ISERROR(MATCH(A302,'SegEnds_Xtal_Prot#'!B:B, 0)), "NoXtal", "Xtal")</f>
        <v>NoXtal</v>
      </c>
      <c r="J302" s="3"/>
    </row>
    <row r="303" spans="1:10" x14ac:dyDescent="0.2">
      <c r="A303" s="3" t="s">
        <v>231</v>
      </c>
      <c r="B303" s="1" t="s">
        <v>1168</v>
      </c>
      <c r="C303" t="s">
        <v>1168</v>
      </c>
      <c r="D303" s="28" t="str">
        <f>VLOOKUP(A303,Classification!$A:$D,2,FALSE)</f>
        <v>A</v>
      </c>
      <c r="E303" s="49" t="str">
        <f>VLOOKUP(B303,Classification!$A:$D,2,FALSE)</f>
        <v>A</v>
      </c>
      <c r="F303" s="15" t="str">
        <f>VLOOKUP(C303,Classification!$A:$D,2,FALSE)</f>
        <v>A</v>
      </c>
      <c r="G303" s="15" t="b">
        <f t="shared" si="4"/>
        <v>1</v>
      </c>
      <c r="H303" s="10" t="str">
        <f>IF(ISERROR(MATCH(A303,'SegEnds_Xtal_Prot#'!B:B, 0)), "NoXtal", "Xtal")</f>
        <v>NoXtal</v>
      </c>
      <c r="J303" s="3"/>
    </row>
    <row r="304" spans="1:10" x14ac:dyDescent="0.2">
      <c r="A304" s="3" t="s">
        <v>327</v>
      </c>
      <c r="B304" s="1" t="s">
        <v>324</v>
      </c>
      <c r="C304" t="s">
        <v>1169</v>
      </c>
      <c r="D304" s="28" t="str">
        <f>VLOOKUP(A304,Classification!$A:$D,2,FALSE)</f>
        <v>A</v>
      </c>
      <c r="E304" s="49" t="str">
        <f>VLOOKUP(B304,Classification!$A:$D,2,FALSE)</f>
        <v>A</v>
      </c>
      <c r="F304" s="15" t="str">
        <f>VLOOKUP(C304,Classification!$A:$D,2,FALSE)</f>
        <v>A</v>
      </c>
      <c r="G304" s="15" t="b">
        <f t="shared" si="4"/>
        <v>1</v>
      </c>
      <c r="H304" s="10" t="str">
        <f>IF(ISERROR(MATCH(A304,'SegEnds_Xtal_Prot#'!B:B, 0)), "NoXtal", "Xtal")</f>
        <v>NoXtal</v>
      </c>
      <c r="J304" s="3"/>
    </row>
    <row r="305" spans="1:10" x14ac:dyDescent="0.2">
      <c r="A305" s="3" t="s">
        <v>368</v>
      </c>
      <c r="B305" s="1" t="s">
        <v>1169</v>
      </c>
      <c r="C305" t="s">
        <v>1169</v>
      </c>
      <c r="D305" s="28" t="str">
        <f>VLOOKUP(A305,Classification!$A:$D,2,FALSE)</f>
        <v>A</v>
      </c>
      <c r="E305" s="49" t="str">
        <f>VLOOKUP(B305,Classification!$A:$D,2,FALSE)</f>
        <v>A</v>
      </c>
      <c r="F305" s="15" t="str">
        <f>VLOOKUP(C305,Classification!$A:$D,2,FALSE)</f>
        <v>A</v>
      </c>
      <c r="G305" s="15" t="b">
        <f t="shared" si="4"/>
        <v>1</v>
      </c>
      <c r="H305" s="10" t="str">
        <f>IF(ISERROR(MATCH(A305,'SegEnds_Xtal_Prot#'!B:B, 0)), "NoXtal", "Xtal")</f>
        <v>NoXtal</v>
      </c>
      <c r="J305" s="3"/>
    </row>
    <row r="306" spans="1:10" x14ac:dyDescent="0.2">
      <c r="A306" s="3" t="s">
        <v>358</v>
      </c>
      <c r="B306" s="1" t="s">
        <v>363</v>
      </c>
      <c r="C306" t="s">
        <v>1169</v>
      </c>
      <c r="D306" s="28" t="str">
        <f>VLOOKUP(A306,Classification!$A:$D,2,FALSE)</f>
        <v>A</v>
      </c>
      <c r="E306" s="49" t="str">
        <f>VLOOKUP(B306,Classification!$A:$D,2,FALSE)</f>
        <v>A</v>
      </c>
      <c r="F306" s="15" t="str">
        <f>VLOOKUP(C306,Classification!$A:$D,2,FALSE)</f>
        <v>A</v>
      </c>
      <c r="G306" s="15" t="b">
        <f t="shared" si="4"/>
        <v>1</v>
      </c>
      <c r="H306" s="10" t="str">
        <f>IF(ISERROR(MATCH(A306,'SegEnds_Xtal_Prot#'!B:B, 0)), "NoXtal", "Xtal")</f>
        <v>NoXtal</v>
      </c>
      <c r="J306" s="3"/>
    </row>
    <row r="307" spans="1:10" x14ac:dyDescent="0.2">
      <c r="A307" s="3" t="s">
        <v>323</v>
      </c>
      <c r="B307" s="1" t="s">
        <v>133</v>
      </c>
      <c r="C307" t="s">
        <v>1169</v>
      </c>
      <c r="D307" s="28" t="str">
        <f>VLOOKUP(A307,Classification!$A:$D,2,FALSE)</f>
        <v>A</v>
      </c>
      <c r="E307" s="49" t="str">
        <f>VLOOKUP(B307,Classification!$A:$D,2,FALSE)</f>
        <v>A</v>
      </c>
      <c r="F307" s="15" t="str">
        <f>VLOOKUP(C307,Classification!$A:$D,2,FALSE)</f>
        <v>A</v>
      </c>
      <c r="G307" s="15" t="b">
        <f t="shared" si="4"/>
        <v>1</v>
      </c>
      <c r="H307" s="10" t="str">
        <f>IF(ISERROR(MATCH(A307,'SegEnds_Xtal_Prot#'!B:B, 0)), "NoXtal", "Xtal")</f>
        <v>NoXtal</v>
      </c>
      <c r="J307" s="3"/>
    </row>
    <row r="308" spans="1:10" x14ac:dyDescent="0.2">
      <c r="A308" s="3" t="s">
        <v>246</v>
      </c>
      <c r="B308" s="1" t="s">
        <v>191</v>
      </c>
      <c r="C308" t="s">
        <v>1169</v>
      </c>
      <c r="D308" s="28" t="str">
        <f>VLOOKUP(A308,Classification!$A:$D,2,FALSE)</f>
        <v>A</v>
      </c>
      <c r="E308" s="49" t="str">
        <f>VLOOKUP(B308,Classification!$A:$D,2,FALSE)</f>
        <v>A</v>
      </c>
      <c r="F308" s="15" t="str">
        <f>VLOOKUP(C308,Classification!$A:$D,2,FALSE)</f>
        <v>A</v>
      </c>
      <c r="G308" s="15" t="b">
        <f t="shared" si="4"/>
        <v>1</v>
      </c>
      <c r="H308" s="10" t="str">
        <f>IF(ISERROR(MATCH(A308,'SegEnds_Xtal_Prot#'!B:B, 0)), "NoXtal", "Xtal")</f>
        <v>NoXtal</v>
      </c>
      <c r="J308" s="3"/>
    </row>
    <row r="309" spans="1:10" x14ac:dyDescent="0.2">
      <c r="A309" s="3" t="s">
        <v>259</v>
      </c>
      <c r="B309" s="1" t="s">
        <v>259</v>
      </c>
      <c r="C309" t="s">
        <v>1169</v>
      </c>
      <c r="D309" s="28" t="str">
        <f>VLOOKUP(A309,Classification!$A:$D,2,FALSE)</f>
        <v>A</v>
      </c>
      <c r="E309" s="49" t="str">
        <f>VLOOKUP(B309,Classification!$A:$D,2,FALSE)</f>
        <v>A</v>
      </c>
      <c r="F309" s="15" t="str">
        <f>VLOOKUP(C309,Classification!$A:$D,2,FALSE)</f>
        <v>A</v>
      </c>
      <c r="G309" s="15" t="b">
        <f t="shared" si="4"/>
        <v>1</v>
      </c>
      <c r="H309" s="10" t="str">
        <f>IF(ISERROR(MATCH(A309,'SegEnds_Xtal_Prot#'!B:B, 0)), "NoXtal", "Xtal")</f>
        <v>Xtal</v>
      </c>
      <c r="J309" s="3"/>
    </row>
    <row r="310" spans="1:10" x14ac:dyDescent="0.2">
      <c r="A310" s="3" t="s">
        <v>243</v>
      </c>
      <c r="B310" s="1" t="s">
        <v>259</v>
      </c>
      <c r="C310" t="s">
        <v>1169</v>
      </c>
      <c r="D310" s="28" t="str">
        <f>VLOOKUP(A310,Classification!$A:$D,2,FALSE)</f>
        <v>A</v>
      </c>
      <c r="E310" s="49" t="str">
        <f>VLOOKUP(B310,Classification!$A:$D,2,FALSE)</f>
        <v>A</v>
      </c>
      <c r="F310" s="15" t="str">
        <f>VLOOKUP(C310,Classification!$A:$D,2,FALSE)</f>
        <v>A</v>
      </c>
      <c r="G310" s="15" t="b">
        <f t="shared" si="4"/>
        <v>1</v>
      </c>
      <c r="H310" s="10" t="str">
        <f>IF(ISERROR(MATCH(A310,'SegEnds_Xtal_Prot#'!B:B, 0)), "NoXtal", "Xtal")</f>
        <v>NoXtal</v>
      </c>
      <c r="J310" s="3"/>
    </row>
    <row r="311" spans="1:10" x14ac:dyDescent="0.2">
      <c r="A311" s="3" t="s">
        <v>367</v>
      </c>
      <c r="B311" s="1" t="s">
        <v>324</v>
      </c>
      <c r="C311" t="s">
        <v>1169</v>
      </c>
      <c r="D311" s="28" t="str">
        <f>VLOOKUP(A311,Classification!$A:$D,2,FALSE)</f>
        <v>A</v>
      </c>
      <c r="E311" s="49" t="str">
        <f>VLOOKUP(B311,Classification!$A:$D,2,FALSE)</f>
        <v>A</v>
      </c>
      <c r="F311" s="15" t="str">
        <f>VLOOKUP(C311,Classification!$A:$D,2,FALSE)</f>
        <v>A</v>
      </c>
      <c r="G311" s="15" t="b">
        <f t="shared" si="4"/>
        <v>1</v>
      </c>
      <c r="H311" s="10" t="str">
        <f>IF(ISERROR(MATCH(A311,'SegEnds_Xtal_Prot#'!B:B, 0)), "NoXtal", "Xtal")</f>
        <v>NoXtal</v>
      </c>
      <c r="J311" s="3"/>
    </row>
    <row r="312" spans="1:10" x14ac:dyDescent="0.2">
      <c r="A312" s="3" t="s">
        <v>366</v>
      </c>
      <c r="B312" s="1" t="s">
        <v>324</v>
      </c>
      <c r="C312" t="s">
        <v>1169</v>
      </c>
      <c r="D312" s="28" t="str">
        <f>VLOOKUP(A312,Classification!$A:$D,2,FALSE)</f>
        <v>A</v>
      </c>
      <c r="E312" s="49" t="str">
        <f>VLOOKUP(B312,Classification!$A:$D,2,FALSE)</f>
        <v>A</v>
      </c>
      <c r="F312" s="15" t="str">
        <f>VLOOKUP(C312,Classification!$A:$D,2,FALSE)</f>
        <v>A</v>
      </c>
      <c r="G312" s="15" t="b">
        <f t="shared" si="4"/>
        <v>1</v>
      </c>
      <c r="H312" s="10" t="str">
        <f>IF(ISERROR(MATCH(A312,'SegEnds_Xtal_Prot#'!B:B, 0)), "NoXtal", "Xtal")</f>
        <v>NoXtal</v>
      </c>
      <c r="J312" s="3"/>
    </row>
    <row r="313" spans="1:10" x14ac:dyDescent="0.2">
      <c r="A313" s="3" t="s">
        <v>326</v>
      </c>
      <c r="B313" s="1" t="s">
        <v>324</v>
      </c>
      <c r="C313" t="s">
        <v>1169</v>
      </c>
      <c r="D313" s="28" t="str">
        <f>VLOOKUP(A313,Classification!$A:$D,2,FALSE)</f>
        <v>A</v>
      </c>
      <c r="E313" s="49" t="str">
        <f>VLOOKUP(B313,Classification!$A:$D,2,FALSE)</f>
        <v>A</v>
      </c>
      <c r="F313" s="15" t="str">
        <f>VLOOKUP(C313,Classification!$A:$D,2,FALSE)</f>
        <v>A</v>
      </c>
      <c r="G313" s="15" t="b">
        <f t="shared" si="4"/>
        <v>1</v>
      </c>
      <c r="H313" s="10" t="str">
        <f>IF(ISERROR(MATCH(A313,'SegEnds_Xtal_Prot#'!B:B, 0)), "NoXtal", "Xtal")</f>
        <v>NoXtal</v>
      </c>
      <c r="J313" s="3"/>
    </row>
    <row r="314" spans="1:10" x14ac:dyDescent="0.2">
      <c r="A314" s="3" t="s">
        <v>311</v>
      </c>
      <c r="B314" s="1" t="s">
        <v>311</v>
      </c>
      <c r="C314" t="s">
        <v>1169</v>
      </c>
      <c r="D314" s="28" t="str">
        <f>VLOOKUP(A314,Classification!$A:$D,2,FALSE)</f>
        <v>A</v>
      </c>
      <c r="E314" s="49" t="str">
        <f>VLOOKUP(B314,Classification!$A:$D,2,FALSE)</f>
        <v>A</v>
      </c>
      <c r="F314" s="15" t="str">
        <f>VLOOKUP(C314,Classification!$A:$D,2,FALSE)</f>
        <v>A</v>
      </c>
      <c r="G314" s="15" t="b">
        <f t="shared" si="4"/>
        <v>1</v>
      </c>
      <c r="H314" s="10" t="str">
        <f>IF(ISERROR(MATCH(A314,'SegEnds_Xtal_Prot#'!B:B, 0)), "NoXtal", "Xtal")</f>
        <v>Xtal</v>
      </c>
      <c r="J314" s="3"/>
    </row>
    <row r="315" spans="1:10" x14ac:dyDescent="0.2">
      <c r="A315" s="3" t="s">
        <v>207</v>
      </c>
      <c r="B315" s="1" t="s">
        <v>1169</v>
      </c>
      <c r="C315" t="s">
        <v>1169</v>
      </c>
      <c r="D315" s="28" t="str">
        <f>VLOOKUP(A315,Classification!$A:$D,2,FALSE)</f>
        <v>A</v>
      </c>
      <c r="E315" s="49" t="str">
        <f>VLOOKUP(B315,Classification!$A:$D,2,FALSE)</f>
        <v>A</v>
      </c>
      <c r="F315" s="15" t="str">
        <f>VLOOKUP(C315,Classification!$A:$D,2,FALSE)</f>
        <v>A</v>
      </c>
      <c r="G315" s="15" t="b">
        <f t="shared" si="4"/>
        <v>1</v>
      </c>
      <c r="H315" s="10" t="str">
        <f>IF(ISERROR(MATCH(A315,'SegEnds_Xtal_Prot#'!B:B, 0)), "NoXtal", "Xtal")</f>
        <v>NoXtal</v>
      </c>
      <c r="J315" s="3"/>
    </row>
    <row r="316" spans="1:10" x14ac:dyDescent="0.2">
      <c r="A316" s="3" t="s">
        <v>167</v>
      </c>
      <c r="B316" s="1" t="s">
        <v>1168</v>
      </c>
      <c r="C316" t="s">
        <v>1169</v>
      </c>
      <c r="D316" s="28" t="str">
        <f>VLOOKUP(A316,Classification!$A:$D,2,FALSE)</f>
        <v>A</v>
      </c>
      <c r="E316" s="49" t="str">
        <f>VLOOKUP(B316,Classification!$A:$D,2,FALSE)</f>
        <v>A</v>
      </c>
      <c r="F316" s="15" t="str">
        <f>VLOOKUP(C316,Classification!$A:$D,2,FALSE)</f>
        <v>A</v>
      </c>
      <c r="G316" s="15" t="b">
        <f t="shared" si="4"/>
        <v>1</v>
      </c>
      <c r="H316" s="10" t="str">
        <f>IF(ISERROR(MATCH(A316,'SegEnds_Xtal_Prot#'!B:B, 0)), "NoXtal", "Xtal")</f>
        <v>NoXtal</v>
      </c>
      <c r="J316" s="3"/>
    </row>
    <row r="317" spans="1:10" x14ac:dyDescent="0.2">
      <c r="A317" s="3" t="s">
        <v>324</v>
      </c>
      <c r="B317" s="1" t="s">
        <v>324</v>
      </c>
      <c r="C317" t="s">
        <v>1169</v>
      </c>
      <c r="D317" s="28" t="str">
        <f>VLOOKUP(A317,Classification!$A:$D,2,FALSE)</f>
        <v>A</v>
      </c>
      <c r="E317" s="49" t="str">
        <f>VLOOKUP(B317,Classification!$A:$D,2,FALSE)</f>
        <v>A</v>
      </c>
      <c r="F317" s="15" t="str">
        <f>VLOOKUP(C317,Classification!$A:$D,2,FALSE)</f>
        <v>A</v>
      </c>
      <c r="G317" s="15" t="b">
        <f t="shared" si="4"/>
        <v>1</v>
      </c>
      <c r="H317" s="10" t="str">
        <f>IF(ISERROR(MATCH(A317,'SegEnds_Xtal_Prot#'!B:B, 0)), "NoXtal", "Xtal")</f>
        <v>Xtal</v>
      </c>
      <c r="J317" s="3"/>
    </row>
    <row r="318" spans="1:10" x14ac:dyDescent="0.2">
      <c r="A318" s="3" t="s">
        <v>163</v>
      </c>
      <c r="B318" s="1" t="s">
        <v>196</v>
      </c>
      <c r="C318" t="s">
        <v>1169</v>
      </c>
      <c r="D318" s="28" t="str">
        <f>VLOOKUP(A318,Classification!$A:$D,2,FALSE)</f>
        <v>A</v>
      </c>
      <c r="E318" s="49" t="str">
        <f>VLOOKUP(B318,Classification!$A:$D,2,FALSE)</f>
        <v>A</v>
      </c>
      <c r="F318" s="15" t="str">
        <f>VLOOKUP(C318,Classification!$A:$D,2,FALSE)</f>
        <v>A</v>
      </c>
      <c r="G318" s="15" t="b">
        <f t="shared" si="4"/>
        <v>1</v>
      </c>
      <c r="H318" s="10" t="str">
        <f>IF(ISERROR(MATCH(A318,'SegEnds_Xtal_Prot#'!B:B, 0)), "NoXtal", "Xtal")</f>
        <v>NoXtal</v>
      </c>
      <c r="J318" s="3"/>
    </row>
    <row r="319" spans="1:10" x14ac:dyDescent="0.2">
      <c r="A319" s="3" t="s">
        <v>268</v>
      </c>
      <c r="B319" s="1" t="s">
        <v>1169</v>
      </c>
      <c r="C319" t="s">
        <v>1169</v>
      </c>
      <c r="D319" s="28" t="str">
        <f>VLOOKUP(A319,Classification!$A:$D,2,FALSE)</f>
        <v>A</v>
      </c>
      <c r="E319" s="49" t="str">
        <f>VLOOKUP(B319,Classification!$A:$D,2,FALSE)</f>
        <v>A</v>
      </c>
      <c r="F319" s="15" t="str">
        <f>VLOOKUP(C319,Classification!$A:$D,2,FALSE)</f>
        <v>A</v>
      </c>
      <c r="G319" s="15" t="b">
        <f t="shared" si="4"/>
        <v>1</v>
      </c>
      <c r="H319" s="10" t="str">
        <f>IF(ISERROR(MATCH(A319,'SegEnds_Xtal_Prot#'!B:B, 0)), "NoXtal", "Xtal")</f>
        <v>NoXtal</v>
      </c>
      <c r="J319" s="3"/>
    </row>
    <row r="320" spans="1:10" x14ac:dyDescent="0.2">
      <c r="A320" s="3" t="s">
        <v>1169</v>
      </c>
      <c r="B320" s="1" t="s">
        <v>1169</v>
      </c>
      <c r="C320" t="s">
        <v>1169</v>
      </c>
      <c r="D320" s="28" t="str">
        <f>VLOOKUP(A320,Classification!$A:$D,2,FALSE)</f>
        <v>A</v>
      </c>
      <c r="E320" s="49" t="str">
        <f>VLOOKUP(B320,Classification!$A:$D,2,FALSE)</f>
        <v>A</v>
      </c>
      <c r="F320" s="15" t="str">
        <f>VLOOKUP(C320,Classification!$A:$D,2,FALSE)</f>
        <v>A</v>
      </c>
      <c r="G320" s="15" t="b">
        <f t="shared" si="4"/>
        <v>1</v>
      </c>
      <c r="H320" s="10" t="str">
        <f>IF(ISERROR(MATCH(A320,'SegEnds_Xtal_Prot#'!B:B, 0)), "NoXtal", "Xtal")</f>
        <v>Xtal</v>
      </c>
      <c r="J320" s="3"/>
    </row>
    <row r="321" spans="1:10" x14ac:dyDescent="0.2">
      <c r="A321" s="3" t="s">
        <v>241</v>
      </c>
      <c r="B321" s="1" t="s">
        <v>1169</v>
      </c>
      <c r="C321" t="s">
        <v>1169</v>
      </c>
      <c r="D321" s="28" t="str">
        <f>VLOOKUP(A321,Classification!$A:$D,2,FALSE)</f>
        <v>A</v>
      </c>
      <c r="E321" s="49" t="str">
        <f>VLOOKUP(B321,Classification!$A:$D,2,FALSE)</f>
        <v>A</v>
      </c>
      <c r="F321" s="15" t="str">
        <f>VLOOKUP(C321,Classification!$A:$D,2,FALSE)</f>
        <v>A</v>
      </c>
      <c r="G321" s="15" t="b">
        <f t="shared" si="4"/>
        <v>1</v>
      </c>
      <c r="H321" s="10" t="str">
        <f>IF(ISERROR(MATCH(A321,'SegEnds_Xtal_Prot#'!B:B, 0)), "NoXtal", "Xtal")</f>
        <v>NoXtal</v>
      </c>
      <c r="J321" s="3"/>
    </row>
    <row r="322" spans="1:10" x14ac:dyDescent="0.2">
      <c r="A322" s="3" t="s">
        <v>371</v>
      </c>
      <c r="B322" s="1" t="s">
        <v>1169</v>
      </c>
      <c r="C322" t="s">
        <v>1169</v>
      </c>
      <c r="D322" s="28" t="str">
        <f>VLOOKUP(A322,Classification!$A:$D,2,FALSE)</f>
        <v>A</v>
      </c>
      <c r="E322" s="49" t="str">
        <f>VLOOKUP(B322,Classification!$A:$D,2,FALSE)</f>
        <v>A</v>
      </c>
      <c r="F322" s="15" t="str">
        <f>VLOOKUP(C322,Classification!$A:$D,2,FALSE)</f>
        <v>A</v>
      </c>
      <c r="G322" s="15" t="b">
        <f t="shared" si="4"/>
        <v>1</v>
      </c>
      <c r="H322" s="10" t="str">
        <f>IF(ISERROR(MATCH(A322,'SegEnds_Xtal_Prot#'!B:B, 0)), "NoXtal", "Xtal")</f>
        <v>NoXtal</v>
      </c>
      <c r="J322" s="3"/>
    </row>
    <row r="323" spans="1:10" x14ac:dyDescent="0.2">
      <c r="A323" s="3" t="s">
        <v>321</v>
      </c>
      <c r="B323" s="1" t="s">
        <v>1168</v>
      </c>
      <c r="C323" t="s">
        <v>1169</v>
      </c>
      <c r="D323" s="28" t="str">
        <f>VLOOKUP(A323,Classification!$A:$D,2,FALSE)</f>
        <v>A</v>
      </c>
      <c r="E323" s="49" t="str">
        <f>VLOOKUP(B323,Classification!$A:$D,2,FALSE)</f>
        <v>A</v>
      </c>
      <c r="F323" s="15" t="str">
        <f>VLOOKUP(C323,Classification!$A:$D,2,FALSE)</f>
        <v>A</v>
      </c>
      <c r="G323" s="15" t="b">
        <f t="shared" ref="G323:G389" si="5">OR(D323=F323,AND(D323="T",F323="A"),AND(D323="B2",F323="B1"),D323="O")</f>
        <v>1</v>
      </c>
      <c r="H323" s="10" t="str">
        <f>IF(ISERROR(MATCH(A323,'SegEnds_Xtal_Prot#'!B:B, 0)), "NoXtal", "Xtal")</f>
        <v>NoXtal</v>
      </c>
      <c r="J323" s="3"/>
    </row>
    <row r="324" spans="1:10" x14ac:dyDescent="0.2">
      <c r="A324" s="3" t="s">
        <v>313</v>
      </c>
      <c r="B324" s="1" t="s">
        <v>313</v>
      </c>
      <c r="C324" t="s">
        <v>1169</v>
      </c>
      <c r="D324" s="28" t="str">
        <f>VLOOKUP(A324,Classification!$A:$D,2,FALSE)</f>
        <v>A</v>
      </c>
      <c r="E324" s="49" t="str">
        <f>VLOOKUP(B324,Classification!$A:$D,2,FALSE)</f>
        <v>A</v>
      </c>
      <c r="F324" s="15" t="str">
        <f>VLOOKUP(C324,Classification!$A:$D,2,FALSE)</f>
        <v>A</v>
      </c>
      <c r="G324" s="15" t="b">
        <f t="shared" si="5"/>
        <v>1</v>
      </c>
      <c r="H324" s="10" t="str">
        <f>IF(ISERROR(MATCH(A324,'SegEnds_Xtal_Prot#'!B:B, 0)), "NoXtal", "Xtal")</f>
        <v>Xtal</v>
      </c>
      <c r="J324" s="3"/>
    </row>
    <row r="325" spans="1:10" x14ac:dyDescent="0.2">
      <c r="A325" s="3" t="s">
        <v>315</v>
      </c>
      <c r="B325" s="1" t="s">
        <v>313</v>
      </c>
      <c r="C325" t="s">
        <v>1169</v>
      </c>
      <c r="D325" s="28" t="str">
        <f>VLOOKUP(A325,Classification!$A:$D,2,FALSE)</f>
        <v>A</v>
      </c>
      <c r="E325" s="49" t="str">
        <f>VLOOKUP(B325,Classification!$A:$D,2,FALSE)</f>
        <v>A</v>
      </c>
      <c r="F325" s="15" t="str">
        <f>VLOOKUP(C325,Classification!$A:$D,2,FALSE)</f>
        <v>A</v>
      </c>
      <c r="G325" s="15" t="b">
        <f t="shared" si="5"/>
        <v>1</v>
      </c>
      <c r="H325" s="10" t="str">
        <f>IF(ISERROR(MATCH(A325,'SegEnds_Xtal_Prot#'!B:B, 0)), "NoXtal", "Xtal")</f>
        <v>NoXtal</v>
      </c>
      <c r="J325" s="3"/>
    </row>
    <row r="326" spans="1:10" x14ac:dyDescent="0.2">
      <c r="A326" s="3" t="s">
        <v>222</v>
      </c>
      <c r="B326" s="1" t="s">
        <v>159</v>
      </c>
      <c r="C326" t="s">
        <v>1169</v>
      </c>
      <c r="D326" s="28" t="str">
        <f>VLOOKUP(A326,Classification!$A:$D,2,FALSE)</f>
        <v>A</v>
      </c>
      <c r="E326" s="49" t="str">
        <f>VLOOKUP(B326,Classification!$A:$D,2,FALSE)</f>
        <v>A</v>
      </c>
      <c r="F326" s="15" t="str">
        <f>VLOOKUP(C326,Classification!$A:$D,2,FALSE)</f>
        <v>A</v>
      </c>
      <c r="G326" s="15" t="b">
        <f t="shared" si="5"/>
        <v>1</v>
      </c>
      <c r="H326" s="10" t="str">
        <f>IF(ISERROR(MATCH(A326,'SegEnds_Xtal_Prot#'!B:B, 0)), "NoXtal", "Xtal")</f>
        <v>NoXtal</v>
      </c>
      <c r="J326" s="3"/>
    </row>
    <row r="327" spans="1:10" x14ac:dyDescent="0.2">
      <c r="A327" s="3" t="s">
        <v>224</v>
      </c>
      <c r="B327" s="1" t="s">
        <v>1169</v>
      </c>
      <c r="C327" t="s">
        <v>1169</v>
      </c>
      <c r="D327" s="28" t="str">
        <f>VLOOKUP(A327,Classification!$A:$D,2,FALSE)</f>
        <v>A</v>
      </c>
      <c r="E327" s="49" t="str">
        <f>VLOOKUP(B327,Classification!$A:$D,2,FALSE)</f>
        <v>A</v>
      </c>
      <c r="F327" s="15" t="str">
        <f>VLOOKUP(C327,Classification!$A:$D,2,FALSE)</f>
        <v>A</v>
      </c>
      <c r="G327" s="15" t="b">
        <f t="shared" si="5"/>
        <v>1</v>
      </c>
      <c r="H327" s="10" t="str">
        <f>IF(ISERROR(MATCH(A327,'SegEnds_Xtal_Prot#'!B:B, 0)), "NoXtal", "Xtal")</f>
        <v>NoXtal</v>
      </c>
      <c r="J327" s="3"/>
    </row>
    <row r="328" spans="1:10" x14ac:dyDescent="0.2">
      <c r="A328" s="3" t="s">
        <v>312</v>
      </c>
      <c r="B328" s="1" t="s">
        <v>310</v>
      </c>
      <c r="C328" t="s">
        <v>1169</v>
      </c>
      <c r="D328" s="28" t="str">
        <f>VLOOKUP(A328,Classification!$A:$D,2,FALSE)</f>
        <v>A</v>
      </c>
      <c r="E328" s="49" t="str">
        <f>VLOOKUP(B328,Classification!$A:$D,2,FALSE)</f>
        <v>A</v>
      </c>
      <c r="F328" s="15" t="str">
        <f>VLOOKUP(C328,Classification!$A:$D,2,FALSE)</f>
        <v>A</v>
      </c>
      <c r="G328" s="15" t="b">
        <f t="shared" si="5"/>
        <v>1</v>
      </c>
      <c r="H328" s="10" t="str">
        <f>IF(ISERROR(MATCH(A328,'SegEnds_Xtal_Prot#'!B:B, 0)), "NoXtal", "Xtal")</f>
        <v>NoXtal</v>
      </c>
      <c r="J328" s="3"/>
    </row>
    <row r="329" spans="1:10" x14ac:dyDescent="0.2">
      <c r="A329" s="3" t="s">
        <v>328</v>
      </c>
      <c r="B329" s="1" t="s">
        <v>324</v>
      </c>
      <c r="C329" t="s">
        <v>1169</v>
      </c>
      <c r="D329" s="28" t="str">
        <f>VLOOKUP(A329,Classification!$A:$D,2,FALSE)</f>
        <v>A</v>
      </c>
      <c r="E329" s="49" t="str">
        <f>VLOOKUP(B329,Classification!$A:$D,2,FALSE)</f>
        <v>A</v>
      </c>
      <c r="F329" s="15" t="str">
        <f>VLOOKUP(C329,Classification!$A:$D,2,FALSE)</f>
        <v>A</v>
      </c>
      <c r="G329" s="15" t="b">
        <f t="shared" si="5"/>
        <v>1</v>
      </c>
      <c r="H329" s="10" t="str">
        <f>IF(ISERROR(MATCH(A329,'SegEnds_Xtal_Prot#'!B:B, 0)), "NoXtal", "Xtal")</f>
        <v>NoXtal</v>
      </c>
      <c r="J329" s="3"/>
    </row>
    <row r="330" spans="1:10" x14ac:dyDescent="0.2">
      <c r="A330" s="3" t="s">
        <v>347</v>
      </c>
      <c r="B330" s="1" t="s">
        <v>344</v>
      </c>
      <c r="C330" t="s">
        <v>344</v>
      </c>
      <c r="D330" s="28" t="str">
        <f>VLOOKUP(A330,Classification!$A:$D,2,FALSE)</f>
        <v>A</v>
      </c>
      <c r="E330" s="49" t="str">
        <f>VLOOKUP(B330,Classification!$A:$D,2,FALSE)</f>
        <v>A</v>
      </c>
      <c r="F330" s="15" t="str">
        <f>VLOOKUP(C330,Classification!$A:$D,2,FALSE)</f>
        <v>A</v>
      </c>
      <c r="G330" s="15" t="b">
        <f t="shared" si="5"/>
        <v>1</v>
      </c>
      <c r="H330" s="10" t="str">
        <f>IF(ISERROR(MATCH(A330,'SegEnds_Xtal_Prot#'!B:B, 0)), "NoXtal", "Xtal")</f>
        <v>NoXtal</v>
      </c>
      <c r="J330" s="3"/>
    </row>
    <row r="331" spans="1:10" x14ac:dyDescent="0.2">
      <c r="A331" s="3" t="s">
        <v>349</v>
      </c>
      <c r="B331" s="1" t="s">
        <v>370</v>
      </c>
      <c r="C331" t="s">
        <v>344</v>
      </c>
      <c r="D331" s="28" t="str">
        <f>VLOOKUP(A331,Classification!$A:$D,2,FALSE)</f>
        <v>A</v>
      </c>
      <c r="E331" s="49" t="str">
        <f>VLOOKUP(B331,Classification!$A:$D,2,FALSE)</f>
        <v>A</v>
      </c>
      <c r="F331" s="15" t="str">
        <f>VLOOKUP(C331,Classification!$A:$D,2,FALSE)</f>
        <v>A</v>
      </c>
      <c r="G331" s="15" t="b">
        <f t="shared" si="5"/>
        <v>1</v>
      </c>
      <c r="H331" s="10" t="str">
        <f>IF(ISERROR(MATCH(A331,'SegEnds_Xtal_Prot#'!B:B, 0)), "NoXtal", "Xtal")</f>
        <v>NoXtal</v>
      </c>
      <c r="J331" s="3"/>
    </row>
    <row r="332" spans="1:10" x14ac:dyDescent="0.2">
      <c r="A332" s="3" t="s">
        <v>342</v>
      </c>
      <c r="B332" s="1" t="s">
        <v>344</v>
      </c>
      <c r="C332" t="s">
        <v>344</v>
      </c>
      <c r="D332" s="28" t="str">
        <f>VLOOKUP(A332,Classification!$A:$D,2,FALSE)</f>
        <v>A</v>
      </c>
      <c r="E332" s="49" t="str">
        <f>VLOOKUP(B332,Classification!$A:$D,2,FALSE)</f>
        <v>A</v>
      </c>
      <c r="F332" s="15" t="str">
        <f>VLOOKUP(C332,Classification!$A:$D,2,FALSE)</f>
        <v>A</v>
      </c>
      <c r="G332" s="15" t="b">
        <f t="shared" si="5"/>
        <v>1</v>
      </c>
      <c r="H332" s="10" t="str">
        <f>IF(ISERROR(MATCH(A332,'SegEnds_Xtal_Prot#'!B:B, 0)), "NoXtal", "Xtal")</f>
        <v>NoXtal</v>
      </c>
      <c r="J332" s="3"/>
    </row>
    <row r="333" spans="1:10" x14ac:dyDescent="0.2">
      <c r="A333" s="3" t="s">
        <v>249</v>
      </c>
      <c r="B333" s="1" t="s">
        <v>909</v>
      </c>
      <c r="C333" t="s">
        <v>344</v>
      </c>
      <c r="D333" s="28" t="str">
        <f>VLOOKUP(A333,Classification!$A:$D,2,FALSE)</f>
        <v>A</v>
      </c>
      <c r="E333" s="49" t="str">
        <f>VLOOKUP(B333,Classification!$A:$D,2,FALSE)</f>
        <v>A</v>
      </c>
      <c r="F333" s="15" t="str">
        <f>VLOOKUP(C333,Classification!$A:$D,2,FALSE)</f>
        <v>A</v>
      </c>
      <c r="G333" s="15" t="b">
        <f t="shared" si="5"/>
        <v>1</v>
      </c>
      <c r="H333" s="10" t="str">
        <f>IF(ISERROR(MATCH(A333,'SegEnds_Xtal_Prot#'!B:B, 0)), "NoXtal", "Xtal")</f>
        <v>NoXtal</v>
      </c>
      <c r="J333" s="3"/>
    </row>
    <row r="334" spans="1:10" x14ac:dyDescent="0.2">
      <c r="A334" s="3" t="s">
        <v>385</v>
      </c>
      <c r="B334" s="1" t="s">
        <v>1591</v>
      </c>
      <c r="C334" t="s">
        <v>344</v>
      </c>
      <c r="D334" s="28" t="str">
        <f>VLOOKUP(A334,Classification!$A:$D,2,FALSE)</f>
        <v>A</v>
      </c>
      <c r="E334" s="49" t="str">
        <f>VLOOKUP(B334,Classification!$A:$D,2,FALSE)</f>
        <v>A</v>
      </c>
      <c r="F334" s="15" t="str">
        <f>VLOOKUP(C334,Classification!$A:$D,2,FALSE)</f>
        <v>A</v>
      </c>
      <c r="G334" s="15" t="b">
        <f t="shared" si="5"/>
        <v>1</v>
      </c>
      <c r="H334" s="10" t="str">
        <f>IF(ISERROR(MATCH(A334,'SegEnds_Xtal_Prot#'!B:B, 0)), "NoXtal", "Xtal")</f>
        <v>NoXtal</v>
      </c>
      <c r="J334" s="3"/>
    </row>
    <row r="335" spans="1:10" x14ac:dyDescent="0.2">
      <c r="A335" s="3" t="s">
        <v>1591</v>
      </c>
      <c r="B335" s="1" t="s">
        <v>1591</v>
      </c>
      <c r="C335" t="s">
        <v>344</v>
      </c>
      <c r="D335" s="28" t="str">
        <f>VLOOKUP(A335,Classification!$A:$D,2,FALSE)</f>
        <v>A</v>
      </c>
      <c r="E335" s="49" t="str">
        <f>VLOOKUP(B335,Classification!$A:$D,2,FALSE)</f>
        <v>A</v>
      </c>
      <c r="F335" s="15" t="str">
        <f>VLOOKUP(C335,Classification!$A:$D,2,FALSE)</f>
        <v>A</v>
      </c>
      <c r="G335" s="15" t="b">
        <f t="shared" ref="G335" si="6">OR(D335=F335,AND(D335="T",F335="A"),AND(D335="B2",F335="B1"),D335="O")</f>
        <v>1</v>
      </c>
      <c r="H335" s="10" t="str">
        <f>IF(ISERROR(MATCH(A335,'SegEnds_Xtal_Prot#'!B:B, 0)), "NoXtal", "Xtal")</f>
        <v>Xtal</v>
      </c>
      <c r="J335" s="3"/>
    </row>
    <row r="336" spans="1:10" x14ac:dyDescent="0.2">
      <c r="A336" s="3" t="s">
        <v>230</v>
      </c>
      <c r="B336" s="1" t="s">
        <v>344</v>
      </c>
      <c r="C336" t="s">
        <v>344</v>
      </c>
      <c r="D336" s="28" t="str">
        <f>VLOOKUP(A336,Classification!$A:$D,2,FALSE)</f>
        <v>A</v>
      </c>
      <c r="E336" s="49" t="str">
        <f>VLOOKUP(B336,Classification!$A:$D,2,FALSE)</f>
        <v>A</v>
      </c>
      <c r="F336" s="15" t="str">
        <f>VLOOKUP(C336,Classification!$A:$D,2,FALSE)</f>
        <v>A</v>
      </c>
      <c r="G336" s="15" t="b">
        <f t="shared" si="5"/>
        <v>1</v>
      </c>
      <c r="H336" s="10" t="str">
        <f>IF(ISERROR(MATCH(A336,'SegEnds_Xtal_Prot#'!B:B, 0)), "NoXtal", "Xtal")</f>
        <v>NoXtal</v>
      </c>
      <c r="J336" s="3"/>
    </row>
    <row r="337" spans="1:10" x14ac:dyDescent="0.2">
      <c r="A337" s="3" t="s">
        <v>180</v>
      </c>
      <c r="B337" s="1" t="s">
        <v>180</v>
      </c>
      <c r="C337" t="s">
        <v>344</v>
      </c>
      <c r="D337" s="28" t="str">
        <f>VLOOKUP(A337,Classification!$A:$D,2,FALSE)</f>
        <v>A</v>
      </c>
      <c r="E337" s="49" t="str">
        <f>VLOOKUP(B337,Classification!$A:$D,2,FALSE)</f>
        <v>A</v>
      </c>
      <c r="F337" s="15" t="str">
        <f>VLOOKUP(C337,Classification!$A:$D,2,FALSE)</f>
        <v>A</v>
      </c>
      <c r="G337" s="15" t="b">
        <f t="shared" si="5"/>
        <v>1</v>
      </c>
      <c r="H337" s="10" t="str">
        <f>IF(ISERROR(MATCH(A337,'SegEnds_Xtal_Prot#'!B:B, 0)), "NoXtal", "Xtal")</f>
        <v>Xtal</v>
      </c>
      <c r="J337" s="3"/>
    </row>
    <row r="338" spans="1:10" x14ac:dyDescent="0.2">
      <c r="A338" s="3" t="s">
        <v>179</v>
      </c>
      <c r="B338" s="1" t="s">
        <v>179</v>
      </c>
      <c r="C338" t="s">
        <v>344</v>
      </c>
      <c r="D338" s="28" t="str">
        <f>VLOOKUP(A338,Classification!$A:$D,2,FALSE)</f>
        <v>A</v>
      </c>
      <c r="E338" s="49" t="str">
        <f>VLOOKUP(B338,Classification!$A:$D,2,FALSE)</f>
        <v>A</v>
      </c>
      <c r="F338" s="15" t="str">
        <f>VLOOKUP(C338,Classification!$A:$D,2,FALSE)</f>
        <v>A</v>
      </c>
      <c r="G338" s="15" t="b">
        <f t="shared" si="5"/>
        <v>1</v>
      </c>
      <c r="H338" s="10" t="str">
        <f>IF(ISERROR(MATCH(A338,'SegEnds_Xtal_Prot#'!B:B, 0)), "NoXtal", "Xtal")</f>
        <v>Xtal</v>
      </c>
      <c r="J338" s="3"/>
    </row>
    <row r="339" spans="1:10" x14ac:dyDescent="0.2">
      <c r="A339" s="3" t="s">
        <v>239</v>
      </c>
      <c r="B339" s="1" t="s">
        <v>180</v>
      </c>
      <c r="C339" t="s">
        <v>344</v>
      </c>
      <c r="D339" s="28" t="str">
        <f>VLOOKUP(A339,Classification!$A:$D,2,FALSE)</f>
        <v>A</v>
      </c>
      <c r="E339" s="49" t="str">
        <f>VLOOKUP(B339,Classification!$A:$D,2,FALSE)</f>
        <v>A</v>
      </c>
      <c r="F339" s="15" t="str">
        <f>VLOOKUP(C339,Classification!$A:$D,2,FALSE)</f>
        <v>A</v>
      </c>
      <c r="G339" s="15" t="b">
        <f t="shared" si="5"/>
        <v>1</v>
      </c>
      <c r="H339" s="10" t="str">
        <f>IF(ISERROR(MATCH(A339,'SegEnds_Xtal_Prot#'!B:B, 0)), "NoXtal", "Xtal")</f>
        <v>NoXtal</v>
      </c>
      <c r="J339" s="3"/>
    </row>
    <row r="340" spans="1:10" x14ac:dyDescent="0.2">
      <c r="A340" s="3" t="s">
        <v>300</v>
      </c>
      <c r="B340" s="1" t="s">
        <v>165</v>
      </c>
      <c r="C340" t="s">
        <v>344</v>
      </c>
      <c r="D340" s="28" t="str">
        <f>VLOOKUP(A340,Classification!$A:$D,2,FALSE)</f>
        <v>A</v>
      </c>
      <c r="E340" s="49" t="str">
        <f>VLOOKUP(B340,Classification!$A:$D,2,FALSE)</f>
        <v>A</v>
      </c>
      <c r="F340" s="15" t="str">
        <f>VLOOKUP(C340,Classification!$A:$D,2,FALSE)</f>
        <v>A</v>
      </c>
      <c r="G340" s="15" t="b">
        <f t="shared" si="5"/>
        <v>1</v>
      </c>
      <c r="H340" s="10" t="str">
        <f>IF(ISERROR(MATCH(A340,'SegEnds_Xtal_Prot#'!B:B, 0)), "NoXtal", "Xtal")</f>
        <v>NoXtal</v>
      </c>
      <c r="J340" s="3"/>
    </row>
    <row r="341" spans="1:10" x14ac:dyDescent="0.2">
      <c r="A341" s="3" t="s">
        <v>240</v>
      </c>
      <c r="B341" s="1" t="s">
        <v>175</v>
      </c>
      <c r="C341" t="s">
        <v>344</v>
      </c>
      <c r="D341" s="28" t="str">
        <f>VLOOKUP(A341,Classification!$A:$D,2,FALSE)</f>
        <v>A</v>
      </c>
      <c r="E341" s="49" t="str">
        <f>VLOOKUP(B341,Classification!$A:$D,2,FALSE)</f>
        <v>A</v>
      </c>
      <c r="F341" s="15" t="str">
        <f>VLOOKUP(C341,Classification!$A:$D,2,FALSE)</f>
        <v>A</v>
      </c>
      <c r="G341" s="15" t="b">
        <f t="shared" si="5"/>
        <v>1</v>
      </c>
      <c r="H341" s="10" t="str">
        <f>IF(ISERROR(MATCH(A341,'SegEnds_Xtal_Prot#'!B:B, 0)), "NoXtal", "Xtal")</f>
        <v>NoXtal</v>
      </c>
      <c r="J341" s="3"/>
    </row>
    <row r="342" spans="1:10" x14ac:dyDescent="0.2">
      <c r="A342" s="3" t="s">
        <v>293</v>
      </c>
      <c r="B342" s="1" t="s">
        <v>158</v>
      </c>
      <c r="C342" t="s">
        <v>344</v>
      </c>
      <c r="D342" s="28" t="str">
        <f>VLOOKUP(A342,Classification!$A:$D,2,FALSE)</f>
        <v>A</v>
      </c>
      <c r="E342" s="49" t="str">
        <f>VLOOKUP(B342,Classification!$A:$D,2,FALSE)</f>
        <v>A</v>
      </c>
      <c r="F342" s="15" t="str">
        <f>VLOOKUP(C342,Classification!$A:$D,2,FALSE)</f>
        <v>A</v>
      </c>
      <c r="G342" s="15" t="b">
        <f t="shared" si="5"/>
        <v>1</v>
      </c>
      <c r="H342" s="10" t="str">
        <f>IF(ISERROR(MATCH(A342,'SegEnds_Xtal_Prot#'!B:B, 0)), "NoXtal", "Xtal")</f>
        <v>NoXtal</v>
      </c>
      <c r="J342" s="3"/>
    </row>
    <row r="343" spans="1:10" x14ac:dyDescent="0.2">
      <c r="A343" s="3" t="s">
        <v>369</v>
      </c>
      <c r="B343" s="1" t="s">
        <v>370</v>
      </c>
      <c r="C343" t="s">
        <v>344</v>
      </c>
      <c r="D343" s="28" t="str">
        <f>VLOOKUP(A343,Classification!$A:$D,2,FALSE)</f>
        <v>A</v>
      </c>
      <c r="E343" s="49" t="str">
        <f>VLOOKUP(B343,Classification!$A:$D,2,FALSE)</f>
        <v>A</v>
      </c>
      <c r="F343" s="15" t="str">
        <f>VLOOKUP(C343,Classification!$A:$D,2,FALSE)</f>
        <v>A</v>
      </c>
      <c r="G343" s="15" t="b">
        <f t="shared" si="5"/>
        <v>1</v>
      </c>
      <c r="H343" s="10" t="str">
        <f>IF(ISERROR(MATCH(A343,'SegEnds_Xtal_Prot#'!B:B, 0)), "NoXtal", "Xtal")</f>
        <v>NoXtal</v>
      </c>
      <c r="J343" s="3"/>
    </row>
    <row r="344" spans="1:10" x14ac:dyDescent="0.2">
      <c r="A344" s="3" t="s">
        <v>344</v>
      </c>
      <c r="B344" s="1" t="s">
        <v>344</v>
      </c>
      <c r="C344" t="s">
        <v>344</v>
      </c>
      <c r="D344" s="28" t="str">
        <f>VLOOKUP(A344,Classification!$A:$D,2,FALSE)</f>
        <v>A</v>
      </c>
      <c r="E344" s="49" t="str">
        <f>VLOOKUP(B344,Classification!$A:$D,2,FALSE)</f>
        <v>A</v>
      </c>
      <c r="F344" s="15" t="str">
        <f>VLOOKUP(C344,Classification!$A:$D,2,FALSE)</f>
        <v>A</v>
      </c>
      <c r="G344" s="15" t="b">
        <f t="shared" si="5"/>
        <v>1</v>
      </c>
      <c r="H344" s="10" t="str">
        <f>IF(ISERROR(MATCH(A344,'SegEnds_Xtal_Prot#'!B:B, 0)), "NoXtal", "Xtal")</f>
        <v>Xtal</v>
      </c>
      <c r="J344" s="3"/>
    </row>
    <row r="345" spans="1:10" x14ac:dyDescent="0.2">
      <c r="A345" s="3" t="s">
        <v>304</v>
      </c>
      <c r="B345" s="1" t="s">
        <v>158</v>
      </c>
      <c r="C345" t="s">
        <v>344</v>
      </c>
      <c r="D345" s="28" t="str">
        <f>VLOOKUP(A345,Classification!$A:$D,2,FALSE)</f>
        <v>A</v>
      </c>
      <c r="E345" s="49" t="str">
        <f>VLOOKUP(B345,Classification!$A:$D,2,FALSE)</f>
        <v>A</v>
      </c>
      <c r="F345" s="15" t="str">
        <f>VLOOKUP(C345,Classification!$A:$D,2,FALSE)</f>
        <v>A</v>
      </c>
      <c r="G345" s="15" t="b">
        <f t="shared" si="5"/>
        <v>1</v>
      </c>
      <c r="H345" s="10" t="str">
        <f>IF(ISERROR(MATCH(A345,'SegEnds_Xtal_Prot#'!B:B, 0)), "NoXtal", "Xtal")</f>
        <v>NoXtal</v>
      </c>
      <c r="J345" s="3"/>
    </row>
    <row r="346" spans="1:10" x14ac:dyDescent="0.2">
      <c r="A346" s="3" t="s">
        <v>289</v>
      </c>
      <c r="B346" s="1" t="s">
        <v>179</v>
      </c>
      <c r="C346" t="s">
        <v>344</v>
      </c>
      <c r="D346" s="28" t="str">
        <f>VLOOKUP(A346,Classification!$A:$D,2,FALSE)</f>
        <v>A</v>
      </c>
      <c r="E346" s="49" t="str">
        <f>VLOOKUP(B346,Classification!$A:$D,2,FALSE)</f>
        <v>A</v>
      </c>
      <c r="F346" s="15" t="str">
        <f>VLOOKUP(C346,Classification!$A:$D,2,FALSE)</f>
        <v>A</v>
      </c>
      <c r="G346" s="15" t="b">
        <f t="shared" si="5"/>
        <v>1</v>
      </c>
      <c r="H346" s="10" t="str">
        <f>IF(ISERROR(MATCH(A346,'SegEnds_Xtal_Prot#'!B:B, 0)), "NoXtal", "Xtal")</f>
        <v>NoXtal</v>
      </c>
      <c r="J346" s="3"/>
    </row>
    <row r="347" spans="1:10" x14ac:dyDescent="0.2">
      <c r="A347" s="3" t="s">
        <v>1434</v>
      </c>
      <c r="B347" s="1" t="s">
        <v>1434</v>
      </c>
      <c r="C347" t="s">
        <v>1434</v>
      </c>
      <c r="D347" s="28" t="str">
        <f>VLOOKUP(A347,Classification!$A:$D,2,FALSE)</f>
        <v>A</v>
      </c>
      <c r="E347" s="49" t="str">
        <f>VLOOKUP(B347,Classification!$A:$D,2,FALSE)</f>
        <v>A</v>
      </c>
      <c r="F347" s="15" t="str">
        <f>VLOOKUP(C347,Classification!$A:$D,2,FALSE)</f>
        <v>A</v>
      </c>
      <c r="G347" s="15" t="b">
        <f>OR(D347=F347,AND(D347="T",F347="A"),AND(D347="B2",F347="B1"),D347="O")</f>
        <v>1</v>
      </c>
      <c r="H347" s="10" t="str">
        <f>IF(ISERROR(MATCH(A347,'SegEnds_Xtal_Prot#'!B:B, 0)), "NoXtal", "Xtal")</f>
        <v>Xtal</v>
      </c>
      <c r="J347" s="3"/>
    </row>
    <row r="348" spans="1:10" x14ac:dyDescent="0.2">
      <c r="A348" s="3" t="s">
        <v>1445</v>
      </c>
      <c r="B348" s="1" t="s">
        <v>1445</v>
      </c>
      <c r="C348" t="s">
        <v>1445</v>
      </c>
      <c r="D348" s="28" t="str">
        <f>VLOOKUP(A348,Classification!$A:$D,2,FALSE)</f>
        <v>A</v>
      </c>
      <c r="E348" s="49" t="str">
        <f>VLOOKUP(B348,Classification!$A:$D,2,FALSE)</f>
        <v>A</v>
      </c>
      <c r="F348" s="15" t="str">
        <f>VLOOKUP(C348,Classification!$A:$D,2,FALSE)</f>
        <v>A</v>
      </c>
      <c r="G348" s="15" t="b">
        <f>OR(D348=F348,AND(D348="T",F348="A"),AND(D348="B2",F348="B1"),D348="O")</f>
        <v>1</v>
      </c>
      <c r="H348" s="10" t="str">
        <f>IF(ISERROR(MATCH(A348,'SegEnds_Xtal_Prot#'!B:B, 0)), "NoXtal", "Xtal")</f>
        <v>Xtal</v>
      </c>
      <c r="J348" s="3"/>
    </row>
    <row r="349" spans="1:10" x14ac:dyDescent="0.2">
      <c r="A349" s="3" t="s">
        <v>302</v>
      </c>
      <c r="B349" s="1" t="s">
        <v>165</v>
      </c>
      <c r="C349" t="s">
        <v>344</v>
      </c>
      <c r="D349" s="28" t="str">
        <f>VLOOKUP(A349,Classification!$A:$D,2,FALSE)</f>
        <v>A</v>
      </c>
      <c r="E349" s="49" t="str">
        <f>VLOOKUP(B349,Classification!$A:$D,2,FALSE)</f>
        <v>A</v>
      </c>
      <c r="F349" s="15" t="str">
        <f>VLOOKUP(C349,Classification!$A:$D,2,FALSE)</f>
        <v>A</v>
      </c>
      <c r="G349" s="15" t="b">
        <f t="shared" si="5"/>
        <v>1</v>
      </c>
      <c r="H349" s="10" t="str">
        <f>IF(ISERROR(MATCH(A349,'SegEnds_Xtal_Prot#'!B:B, 0)), "NoXtal", "Xtal")</f>
        <v>NoXtal</v>
      </c>
      <c r="J349" s="3"/>
    </row>
    <row r="350" spans="1:10" x14ac:dyDescent="0.2">
      <c r="A350" s="3" t="s">
        <v>350</v>
      </c>
      <c r="B350" s="1" t="s">
        <v>344</v>
      </c>
      <c r="C350" t="s">
        <v>344</v>
      </c>
      <c r="D350" s="28" t="str">
        <f>VLOOKUP(A350,Classification!$A:$D,2,FALSE)</f>
        <v>A</v>
      </c>
      <c r="E350" s="49" t="str">
        <f>VLOOKUP(B350,Classification!$A:$D,2,FALSE)</f>
        <v>A</v>
      </c>
      <c r="F350" s="15" t="str">
        <f>VLOOKUP(C350,Classification!$A:$D,2,FALSE)</f>
        <v>A</v>
      </c>
      <c r="G350" s="15" t="b">
        <f t="shared" si="5"/>
        <v>1</v>
      </c>
      <c r="H350" s="10" t="str">
        <f>IF(ISERROR(MATCH(A350,'SegEnds_Xtal_Prot#'!B:B, 0)), "NoXtal", "Xtal")</f>
        <v>NoXtal</v>
      </c>
      <c r="J350" s="3"/>
    </row>
    <row r="351" spans="1:10" x14ac:dyDescent="0.2">
      <c r="A351" s="3" t="s">
        <v>287</v>
      </c>
      <c r="B351" s="1" t="s">
        <v>335</v>
      </c>
      <c r="C351" t="s">
        <v>344</v>
      </c>
      <c r="D351" s="28" t="str">
        <f>VLOOKUP(A351,Classification!$A:$D,2,FALSE)</f>
        <v>A</v>
      </c>
      <c r="E351" s="49" t="str">
        <f>VLOOKUP(B351,Classification!$A:$D,2,FALSE)</f>
        <v>A</v>
      </c>
      <c r="F351" s="15" t="str">
        <f>VLOOKUP(C351,Classification!$A:$D,2,FALSE)</f>
        <v>A</v>
      </c>
      <c r="G351" s="15" t="b">
        <f t="shared" si="5"/>
        <v>1</v>
      </c>
      <c r="H351" s="10" t="str">
        <f>IF(ISERROR(MATCH(A351,'SegEnds_Xtal_Prot#'!B:B, 0)), "NoXtal", "Xtal")</f>
        <v>NoXtal</v>
      </c>
      <c r="J351" s="3"/>
    </row>
    <row r="352" spans="1:10" x14ac:dyDescent="0.2">
      <c r="A352" s="3" t="s">
        <v>346</v>
      </c>
      <c r="B352" s="1" t="s">
        <v>344</v>
      </c>
      <c r="C352" t="s">
        <v>344</v>
      </c>
      <c r="D352" s="28" t="str">
        <f>VLOOKUP(A352,Classification!$A:$D,2,FALSE)</f>
        <v>A</v>
      </c>
      <c r="E352" s="49" t="str">
        <f>VLOOKUP(B352,Classification!$A:$D,2,FALSE)</f>
        <v>A</v>
      </c>
      <c r="F352" s="15" t="str">
        <f>VLOOKUP(C352,Classification!$A:$D,2,FALSE)</f>
        <v>A</v>
      </c>
      <c r="G352" s="15" t="b">
        <f t="shared" si="5"/>
        <v>1</v>
      </c>
      <c r="H352" s="10" t="str">
        <f>IF(ISERROR(MATCH(A352,'SegEnds_Xtal_Prot#'!B:B, 0)), "NoXtal", "Xtal")</f>
        <v>NoXtal</v>
      </c>
      <c r="J352" s="3"/>
    </row>
    <row r="353" spans="1:10" x14ac:dyDescent="0.2">
      <c r="A353" s="3" t="s">
        <v>294</v>
      </c>
      <c r="B353" s="1" t="s">
        <v>177</v>
      </c>
      <c r="C353" t="s">
        <v>344</v>
      </c>
      <c r="D353" s="28" t="str">
        <f>VLOOKUP(A353,Classification!$A:$D,2,FALSE)</f>
        <v>A</v>
      </c>
      <c r="E353" s="49" t="str">
        <f>VLOOKUP(B353,Classification!$A:$D,2,FALSE)</f>
        <v>A</v>
      </c>
      <c r="F353" s="15" t="str">
        <f>VLOOKUP(C353,Classification!$A:$D,2,FALSE)</f>
        <v>A</v>
      </c>
      <c r="G353" s="15" t="b">
        <f t="shared" si="5"/>
        <v>1</v>
      </c>
      <c r="H353" s="10" t="str">
        <f>IF(ISERROR(MATCH(A353,'SegEnds_Xtal_Prot#'!B:B, 0)), "NoXtal", "Xtal")</f>
        <v>NoXtal</v>
      </c>
      <c r="J353" s="3"/>
    </row>
    <row r="354" spans="1:10" x14ac:dyDescent="0.2">
      <c r="A354" s="3" t="s">
        <v>274</v>
      </c>
      <c r="B354" s="1" t="s">
        <v>344</v>
      </c>
      <c r="C354" t="s">
        <v>344</v>
      </c>
      <c r="D354" s="28" t="str">
        <f>VLOOKUP(A354,Classification!$A:$D,2,FALSE)</f>
        <v>A</v>
      </c>
      <c r="E354" s="49" t="str">
        <f>VLOOKUP(B354,Classification!$A:$D,2,FALSE)</f>
        <v>A</v>
      </c>
      <c r="F354" s="15" t="str">
        <f>VLOOKUP(C354,Classification!$A:$D,2,FALSE)</f>
        <v>A</v>
      </c>
      <c r="G354" s="15" t="b">
        <f t="shared" si="5"/>
        <v>1</v>
      </c>
      <c r="H354" s="10" t="str">
        <f>IF(ISERROR(MATCH(A354,'SegEnds_Xtal_Prot#'!B:B, 0)), "NoXtal", "Xtal")</f>
        <v>NoXtal</v>
      </c>
      <c r="J354" s="3"/>
    </row>
    <row r="355" spans="1:10" x14ac:dyDescent="0.2">
      <c r="A355" s="3" t="s">
        <v>275</v>
      </c>
      <c r="B355" s="1" t="s">
        <v>344</v>
      </c>
      <c r="C355" t="s">
        <v>344</v>
      </c>
      <c r="D355" s="28" t="str">
        <f>VLOOKUP(A355,Classification!$A:$D,2,FALSE)</f>
        <v>A</v>
      </c>
      <c r="E355" s="49" t="str">
        <f>VLOOKUP(B355,Classification!$A:$D,2,FALSE)</f>
        <v>A</v>
      </c>
      <c r="F355" s="15" t="str">
        <f>VLOOKUP(C355,Classification!$A:$D,2,FALSE)</f>
        <v>A</v>
      </c>
      <c r="G355" s="15" t="b">
        <f t="shared" si="5"/>
        <v>1</v>
      </c>
      <c r="H355" s="10" t="str">
        <f>IF(ISERROR(MATCH(A355,'SegEnds_Xtal_Prot#'!B:B, 0)), "NoXtal", "Xtal")</f>
        <v>NoXtal</v>
      </c>
      <c r="J355" s="3"/>
    </row>
    <row r="356" spans="1:10" x14ac:dyDescent="0.2">
      <c r="A356" s="3" t="s">
        <v>345</v>
      </c>
      <c r="B356" s="1" t="s">
        <v>344</v>
      </c>
      <c r="C356" t="s">
        <v>344</v>
      </c>
      <c r="D356" s="28" t="str">
        <f>VLOOKUP(A356,Classification!$A:$D,2,FALSE)</f>
        <v>A</v>
      </c>
      <c r="E356" s="49" t="str">
        <f>VLOOKUP(B356,Classification!$A:$D,2,FALSE)</f>
        <v>A</v>
      </c>
      <c r="F356" s="15" t="str">
        <f>VLOOKUP(C356,Classification!$A:$D,2,FALSE)</f>
        <v>A</v>
      </c>
      <c r="G356" s="15" t="b">
        <f t="shared" si="5"/>
        <v>1</v>
      </c>
      <c r="H356" s="10" t="str">
        <f>IF(ISERROR(MATCH(A356,'SegEnds_Xtal_Prot#'!B:B, 0)), "NoXtal", "Xtal")</f>
        <v>NoXtal</v>
      </c>
      <c r="J356" s="3"/>
    </row>
    <row r="357" spans="1:10" x14ac:dyDescent="0.2">
      <c r="A357" s="3" t="s">
        <v>213</v>
      </c>
      <c r="B357" s="1" t="s">
        <v>355</v>
      </c>
      <c r="C357" t="s">
        <v>344</v>
      </c>
      <c r="D357" s="28" t="str">
        <f>VLOOKUP(A357,Classification!$A:$D,2,FALSE)</f>
        <v>A</v>
      </c>
      <c r="E357" s="49" t="str">
        <f>VLOOKUP(B357,Classification!$A:$D,2,FALSE)</f>
        <v>A</v>
      </c>
      <c r="F357" s="15" t="str">
        <f>VLOOKUP(C357,Classification!$A:$D,2,FALSE)</f>
        <v>A</v>
      </c>
      <c r="G357" s="15" t="b">
        <f t="shared" si="5"/>
        <v>1</v>
      </c>
      <c r="H357" s="10" t="str">
        <f>IF(ISERROR(MATCH(A357,'SegEnds_Xtal_Prot#'!B:B, 0)), "NoXtal", "Xtal")</f>
        <v>NoXtal</v>
      </c>
      <c r="J357" s="3"/>
    </row>
    <row r="358" spans="1:10" x14ac:dyDescent="0.2">
      <c r="A358" s="3" t="s">
        <v>288</v>
      </c>
      <c r="B358" s="1" t="s">
        <v>180</v>
      </c>
      <c r="C358" t="s">
        <v>344</v>
      </c>
      <c r="D358" s="28" t="str">
        <f>VLOOKUP(A358,Classification!$A:$D,2,FALSE)</f>
        <v>A</v>
      </c>
      <c r="E358" s="49" t="str">
        <f>VLOOKUP(B358,Classification!$A:$D,2,FALSE)</f>
        <v>A</v>
      </c>
      <c r="F358" s="15" t="str">
        <f>VLOOKUP(C358,Classification!$A:$D,2,FALSE)</f>
        <v>A</v>
      </c>
      <c r="G358" s="15" t="b">
        <f t="shared" si="5"/>
        <v>1</v>
      </c>
      <c r="H358" s="10" t="str">
        <f>IF(ISERROR(MATCH(A358,'SegEnds_Xtal_Prot#'!B:B, 0)), "NoXtal", "Xtal")</f>
        <v>NoXtal</v>
      </c>
      <c r="J358" s="3"/>
    </row>
    <row r="359" spans="1:10" x14ac:dyDescent="0.2">
      <c r="A359" s="3" t="s">
        <v>256</v>
      </c>
      <c r="B359" s="1" t="s">
        <v>370</v>
      </c>
      <c r="C359" t="s">
        <v>344</v>
      </c>
      <c r="D359" s="28" t="str">
        <f>VLOOKUP(A359,Classification!$A:$D,2,FALSE)</f>
        <v>A</v>
      </c>
      <c r="E359" s="49" t="str">
        <f>VLOOKUP(B359,Classification!$A:$D,2,FALSE)</f>
        <v>A</v>
      </c>
      <c r="F359" s="15" t="str">
        <f>VLOOKUP(C359,Classification!$A:$D,2,FALSE)</f>
        <v>A</v>
      </c>
      <c r="G359" s="15" t="b">
        <f t="shared" si="5"/>
        <v>1</v>
      </c>
      <c r="H359" s="10" t="str">
        <f>IF(ISERROR(MATCH(A359,'SegEnds_Xtal_Prot#'!B:B, 0)), "NoXtal", "Xtal")</f>
        <v>NoXtal</v>
      </c>
      <c r="J359" s="3"/>
    </row>
    <row r="360" spans="1:10" x14ac:dyDescent="0.2">
      <c r="A360" s="3" t="s">
        <v>276</v>
      </c>
      <c r="B360" s="1" t="s">
        <v>344</v>
      </c>
      <c r="C360" t="s">
        <v>344</v>
      </c>
      <c r="D360" s="28" t="str">
        <f>VLOOKUP(A360,Classification!$A:$D,2,FALSE)</f>
        <v>A</v>
      </c>
      <c r="E360" s="49" t="str">
        <f>VLOOKUP(B360,Classification!$A:$D,2,FALSE)</f>
        <v>A</v>
      </c>
      <c r="F360" s="15" t="str">
        <f>VLOOKUP(C360,Classification!$A:$D,2,FALSE)</f>
        <v>A</v>
      </c>
      <c r="G360" s="15" t="b">
        <f t="shared" si="5"/>
        <v>1</v>
      </c>
      <c r="H360" s="10" t="str">
        <f>IF(ISERROR(MATCH(A360,'SegEnds_Xtal_Prot#'!B:B, 0)), "NoXtal", "Xtal")</f>
        <v>NoXtal</v>
      </c>
      <c r="J360" s="3"/>
    </row>
    <row r="361" spans="1:10" x14ac:dyDescent="0.2">
      <c r="A361" s="3" t="s">
        <v>228</v>
      </c>
      <c r="B361" s="1" t="s">
        <v>351</v>
      </c>
      <c r="C361" t="s">
        <v>351</v>
      </c>
      <c r="D361" s="28" t="str">
        <f>VLOOKUP(A361,Classification!$A:$D,2,FALSE)</f>
        <v>A</v>
      </c>
      <c r="E361" s="49" t="str">
        <f>VLOOKUP(B361,Classification!$A:$D,2,FALSE)</f>
        <v>A</v>
      </c>
      <c r="F361" s="15" t="str">
        <f>VLOOKUP(C361,Classification!$A:$D,2,FALSE)</f>
        <v>A</v>
      </c>
      <c r="G361" s="15" t="b">
        <f t="shared" si="5"/>
        <v>1</v>
      </c>
      <c r="H361" s="10" t="str">
        <f>IF(ISERROR(MATCH(A361,'SegEnds_Xtal_Prot#'!B:B, 0)), "NoXtal", "Xtal")</f>
        <v>NoXtal</v>
      </c>
      <c r="J361" s="3"/>
    </row>
    <row r="362" spans="1:10" x14ac:dyDescent="0.2">
      <c r="A362" s="3" t="s">
        <v>352</v>
      </c>
      <c r="B362" s="1" t="s">
        <v>351</v>
      </c>
      <c r="C362" t="s">
        <v>351</v>
      </c>
      <c r="D362" s="28" t="str">
        <f>VLOOKUP(A362,Classification!$A:$D,2,FALSE)</f>
        <v>A</v>
      </c>
      <c r="E362" s="49" t="str">
        <f>VLOOKUP(B362,Classification!$A:$D,2,FALSE)</f>
        <v>A</v>
      </c>
      <c r="F362" s="15" t="str">
        <f>VLOOKUP(C362,Classification!$A:$D,2,FALSE)</f>
        <v>A</v>
      </c>
      <c r="G362" s="15" t="b">
        <f t="shared" si="5"/>
        <v>1</v>
      </c>
      <c r="H362" s="10" t="str">
        <f>IF(ISERROR(MATCH(A362,'SegEnds_Xtal_Prot#'!B:B, 0)), "NoXtal", "Xtal")</f>
        <v>NoXtal</v>
      </c>
      <c r="J362" s="3"/>
    </row>
    <row r="363" spans="1:10" x14ac:dyDescent="0.2">
      <c r="A363" s="3" t="s">
        <v>353</v>
      </c>
      <c r="B363" s="1" t="s">
        <v>351</v>
      </c>
      <c r="C363" t="s">
        <v>351</v>
      </c>
      <c r="D363" s="28" t="str">
        <f>VLOOKUP(A363,Classification!$A:$D,2,FALSE)</f>
        <v>A</v>
      </c>
      <c r="E363" s="49" t="str">
        <f>VLOOKUP(B363,Classification!$A:$D,2,FALSE)</f>
        <v>A</v>
      </c>
      <c r="F363" s="15" t="str">
        <f>VLOOKUP(C363,Classification!$A:$D,2,FALSE)</f>
        <v>A</v>
      </c>
      <c r="G363" s="15" t="b">
        <f t="shared" si="5"/>
        <v>1</v>
      </c>
      <c r="H363" s="10" t="str">
        <f>IF(ISERROR(MATCH(A363,'SegEnds_Xtal_Prot#'!B:B, 0)), "NoXtal", "Xtal")</f>
        <v>NoXtal</v>
      </c>
      <c r="J363" s="3"/>
    </row>
    <row r="364" spans="1:10" x14ac:dyDescent="0.2">
      <c r="A364" s="3" t="s">
        <v>351</v>
      </c>
      <c r="B364" s="1" t="s">
        <v>351</v>
      </c>
      <c r="C364" t="s">
        <v>351</v>
      </c>
      <c r="D364" s="28" t="str">
        <f>VLOOKUP(A364,Classification!$A:$D,2,FALSE)</f>
        <v>A</v>
      </c>
      <c r="E364" s="49" t="str">
        <f>VLOOKUP(B364,Classification!$A:$D,2,FALSE)</f>
        <v>A</v>
      </c>
      <c r="F364" s="15" t="str">
        <f>VLOOKUP(C364,Classification!$A:$D,2,FALSE)</f>
        <v>A</v>
      </c>
      <c r="G364" s="15" t="b">
        <f t="shared" si="5"/>
        <v>1</v>
      </c>
      <c r="H364" s="10" t="str">
        <f>IF(ISERROR(MATCH(A364,'SegEnds_Xtal_Prot#'!B:B, 0)), "NoXtal", "Xtal")</f>
        <v>Xtal</v>
      </c>
      <c r="J364" s="3"/>
    </row>
    <row r="365" spans="1:10" x14ac:dyDescent="0.2">
      <c r="A365" s="3" t="s">
        <v>271</v>
      </c>
      <c r="B365" s="1" t="s">
        <v>351</v>
      </c>
      <c r="C365" t="s">
        <v>351</v>
      </c>
      <c r="D365" s="28" t="str">
        <f>VLOOKUP(A365,Classification!$A:$D,2,FALSE)</f>
        <v>A</v>
      </c>
      <c r="E365" s="49" t="str">
        <f>VLOOKUP(B365,Classification!$A:$D,2,FALSE)</f>
        <v>A</v>
      </c>
      <c r="F365" s="15" t="str">
        <f>VLOOKUP(C365,Classification!$A:$D,2,FALSE)</f>
        <v>A</v>
      </c>
      <c r="G365" s="15" t="b">
        <f t="shared" si="5"/>
        <v>1</v>
      </c>
      <c r="H365" s="10" t="str">
        <f>IF(ISERROR(MATCH(A365,'SegEnds_Xtal_Prot#'!B:B, 0)), "NoXtal", "Xtal")</f>
        <v>NoXtal</v>
      </c>
      <c r="J365" s="3"/>
    </row>
    <row r="366" spans="1:10" x14ac:dyDescent="0.2">
      <c r="A366" s="3" t="s">
        <v>306</v>
      </c>
      <c r="B366" s="1" t="s">
        <v>359</v>
      </c>
      <c r="C366" t="s">
        <v>351</v>
      </c>
      <c r="D366" s="28" t="str">
        <f>VLOOKUP(A366,Classification!$A:$D,2,FALSE)</f>
        <v>A</v>
      </c>
      <c r="E366" s="49" t="str">
        <f>VLOOKUP(B366,Classification!$A:$D,2,FALSE)</f>
        <v>A</v>
      </c>
      <c r="F366" s="15" t="str">
        <f>VLOOKUP(C366,Classification!$A:$D,2,FALSE)</f>
        <v>A</v>
      </c>
      <c r="G366" s="15" t="b">
        <f t="shared" si="5"/>
        <v>1</v>
      </c>
      <c r="H366" s="10" t="str">
        <f>IF(ISERROR(MATCH(A366,'SegEnds_Xtal_Prot#'!B:B, 0)), "NoXtal", "Xtal")</f>
        <v>NoXtal</v>
      </c>
      <c r="J366" s="3"/>
    </row>
    <row r="367" spans="1:10" x14ac:dyDescent="0.2">
      <c r="A367" s="3" t="s">
        <v>370</v>
      </c>
      <c r="B367" s="1" t="s">
        <v>370</v>
      </c>
      <c r="C367" t="s">
        <v>351</v>
      </c>
      <c r="D367" s="28" t="str">
        <f>VLOOKUP(A367,Classification!$A:$D,2,FALSE)</f>
        <v>A</v>
      </c>
      <c r="E367" s="49" t="str">
        <f>VLOOKUP(B367,Classification!$A:$D,2,FALSE)</f>
        <v>A</v>
      </c>
      <c r="F367" s="15" t="str">
        <f>VLOOKUP(C367,Classification!$A:$D,2,FALSE)</f>
        <v>A</v>
      </c>
      <c r="G367" s="15" t="b">
        <f t="shared" si="5"/>
        <v>1</v>
      </c>
      <c r="H367" s="10" t="str">
        <f>IF(ISERROR(MATCH(A367,'SegEnds_Xtal_Prot#'!B:B, 0)), "NoXtal", "Xtal")</f>
        <v>Xtal</v>
      </c>
      <c r="J367" s="3"/>
    </row>
    <row r="368" spans="1:10" x14ac:dyDescent="0.2">
      <c r="A368" s="3" t="s">
        <v>233</v>
      </c>
      <c r="B368" s="1" t="s">
        <v>335</v>
      </c>
      <c r="C368" t="s">
        <v>351</v>
      </c>
      <c r="D368" s="28" t="str">
        <f>VLOOKUP(A368,Classification!$A:$D,2,FALSE)</f>
        <v>A</v>
      </c>
      <c r="E368" s="49" t="str">
        <f>VLOOKUP(B368,Classification!$A:$D,2,FALSE)</f>
        <v>A</v>
      </c>
      <c r="F368" s="15" t="str">
        <f>VLOOKUP(C368,Classification!$A:$D,2,FALSE)</f>
        <v>A</v>
      </c>
      <c r="G368" s="15" t="b">
        <f t="shared" si="5"/>
        <v>1</v>
      </c>
      <c r="H368" s="10" t="str">
        <f>IF(ISERROR(MATCH(A368,'SegEnds_Xtal_Prot#'!B:B, 0)), "NoXtal", "Xtal")</f>
        <v>NoXtal</v>
      </c>
      <c r="J368" s="3"/>
    </row>
    <row r="369" spans="1:10" x14ac:dyDescent="0.2">
      <c r="A369" s="3" t="s">
        <v>364</v>
      </c>
      <c r="B369" s="1" t="s">
        <v>467</v>
      </c>
      <c r="C369" t="s">
        <v>351</v>
      </c>
      <c r="D369" s="28" t="str">
        <f>VLOOKUP(A369,Classification!$A:$D,2,FALSE)</f>
        <v>A</v>
      </c>
      <c r="E369" s="49" t="str">
        <f>VLOOKUP(B369,Classification!$A:$D,2,FALSE)</f>
        <v>A</v>
      </c>
      <c r="F369" s="15" t="str">
        <f>VLOOKUP(C369,Classification!$A:$D,2,FALSE)</f>
        <v>A</v>
      </c>
      <c r="G369" s="15" t="b">
        <f t="shared" si="5"/>
        <v>1</v>
      </c>
      <c r="H369" s="10" t="str">
        <f>IF(ISERROR(MATCH(A369,'SegEnds_Xtal_Prot#'!B:B, 0)), "NoXtal", "Xtal")</f>
        <v>NoXtal</v>
      </c>
      <c r="J369" s="3"/>
    </row>
    <row r="370" spans="1:10" x14ac:dyDescent="0.2">
      <c r="A370" s="3" t="s">
        <v>252</v>
      </c>
      <c r="B370" s="1" t="s">
        <v>370</v>
      </c>
      <c r="C370" t="s">
        <v>351</v>
      </c>
      <c r="D370" s="28" t="str">
        <f>VLOOKUP(A370,Classification!$A:$D,2,FALSE)</f>
        <v>A</v>
      </c>
      <c r="E370" s="49" t="str">
        <f>VLOOKUP(B370,Classification!$A:$D,2,FALSE)</f>
        <v>A</v>
      </c>
      <c r="F370" s="15" t="str">
        <f>VLOOKUP(C370,Classification!$A:$D,2,FALSE)</f>
        <v>A</v>
      </c>
      <c r="G370" s="15" t="b">
        <f t="shared" si="5"/>
        <v>1</v>
      </c>
      <c r="H370" s="10" t="str">
        <f>IF(ISERROR(MATCH(A370,'SegEnds_Xtal_Prot#'!B:B, 0)), "NoXtal", "Xtal")</f>
        <v>NoXtal</v>
      </c>
      <c r="J370" s="3"/>
    </row>
    <row r="371" spans="1:10" x14ac:dyDescent="0.2">
      <c r="A371" s="3" t="s">
        <v>363</v>
      </c>
      <c r="B371" s="1" t="s">
        <v>363</v>
      </c>
      <c r="C371" t="s">
        <v>351</v>
      </c>
      <c r="D371" s="28" t="str">
        <f>VLOOKUP(A371,Classification!$A:$D,2,FALSE)</f>
        <v>A</v>
      </c>
      <c r="E371" s="49" t="str">
        <f>VLOOKUP(B371,Classification!$A:$D,2,FALSE)</f>
        <v>A</v>
      </c>
      <c r="F371" s="15" t="str">
        <f>VLOOKUP(C371,Classification!$A:$D,2,FALSE)</f>
        <v>A</v>
      </c>
      <c r="G371" s="15" t="b">
        <f t="shared" si="5"/>
        <v>1</v>
      </c>
      <c r="H371" s="10" t="str">
        <f>IF(ISERROR(MATCH(A371,'SegEnds_Xtal_Prot#'!B:B, 0)), "NoXtal", "Xtal")</f>
        <v>Xtal</v>
      </c>
      <c r="J371" s="3"/>
    </row>
    <row r="372" spans="1:10" x14ac:dyDescent="0.2">
      <c r="A372" s="3" t="s">
        <v>356</v>
      </c>
      <c r="B372" s="1" t="s">
        <v>355</v>
      </c>
      <c r="C372" t="s">
        <v>354</v>
      </c>
      <c r="D372" s="28" t="str">
        <f>VLOOKUP(A372,Classification!$A:$D,2,FALSE)</f>
        <v>A</v>
      </c>
      <c r="E372" s="49" t="str">
        <f>VLOOKUP(B372,Classification!$A:$D,2,FALSE)</f>
        <v>A</v>
      </c>
      <c r="F372" s="15" t="str">
        <f>VLOOKUP(C372,Classification!$A:$D,2,FALSE)</f>
        <v>A</v>
      </c>
      <c r="G372" s="15" t="b">
        <f t="shared" si="5"/>
        <v>1</v>
      </c>
      <c r="H372" s="10" t="str">
        <f>IF(ISERROR(MATCH(A372,'SegEnds_Xtal_Prot#'!B:B, 0)), "NoXtal", "Xtal")</f>
        <v>NoXtal</v>
      </c>
      <c r="J372" s="3"/>
    </row>
    <row r="373" spans="1:10" x14ac:dyDescent="0.2">
      <c r="A373" s="3" t="s">
        <v>260</v>
      </c>
      <c r="B373" s="1" t="s">
        <v>335</v>
      </c>
      <c r="C373" t="s">
        <v>354</v>
      </c>
      <c r="D373" s="28" t="str">
        <f>VLOOKUP(A373,Classification!$A:$D,2,FALSE)</f>
        <v>A</v>
      </c>
      <c r="E373" s="49" t="str">
        <f>VLOOKUP(B373,Classification!$A:$D,2,FALSE)</f>
        <v>A</v>
      </c>
      <c r="F373" s="15" t="str">
        <f>VLOOKUP(C373,Classification!$A:$D,2,FALSE)</f>
        <v>A</v>
      </c>
      <c r="G373" s="15" t="b">
        <f t="shared" si="5"/>
        <v>1</v>
      </c>
      <c r="H373" s="10" t="str">
        <f>IF(ISERROR(MATCH(A373,'SegEnds_Xtal_Prot#'!B:B, 0)), "NoXtal", "Xtal")</f>
        <v>NoXtal</v>
      </c>
      <c r="J373" s="3"/>
    </row>
    <row r="374" spans="1:10" x14ac:dyDescent="0.2">
      <c r="A374" s="3" t="s">
        <v>253</v>
      </c>
      <c r="B374" s="1" t="s">
        <v>201</v>
      </c>
      <c r="C374" t="s">
        <v>354</v>
      </c>
      <c r="D374" s="28" t="str">
        <f>VLOOKUP(A374,Classification!$A:$D,2,FALSE)</f>
        <v>A</v>
      </c>
      <c r="E374" s="49" t="str">
        <f>VLOOKUP(B374,Classification!$A:$D,2,FALSE)</f>
        <v>A</v>
      </c>
      <c r="F374" s="15" t="str">
        <f>VLOOKUP(C374,Classification!$A:$D,2,FALSE)</f>
        <v>A</v>
      </c>
      <c r="G374" s="15" t="b">
        <f t="shared" si="5"/>
        <v>1</v>
      </c>
      <c r="H374" s="10" t="str">
        <f>IF(ISERROR(MATCH(A374,'SegEnds_Xtal_Prot#'!B:B, 0)), "NoXtal", "Xtal")</f>
        <v>NoXtal</v>
      </c>
      <c r="J374" s="3"/>
    </row>
    <row r="375" spans="1:10" x14ac:dyDescent="0.2">
      <c r="A375" s="3" t="s">
        <v>301</v>
      </c>
      <c r="B375" s="1" t="s">
        <v>1165</v>
      </c>
      <c r="C375" t="s">
        <v>354</v>
      </c>
      <c r="D375" s="28" t="str">
        <f>VLOOKUP(A375,Classification!$A:$D,2,FALSE)</f>
        <v>A</v>
      </c>
      <c r="E375" s="49" t="str">
        <f>VLOOKUP(B375,Classification!$A:$D,2,FALSE)</f>
        <v>A</v>
      </c>
      <c r="F375" s="15" t="str">
        <f>VLOOKUP(C375,Classification!$A:$D,2,FALSE)</f>
        <v>A</v>
      </c>
      <c r="G375" s="15" t="b">
        <f t="shared" si="5"/>
        <v>1</v>
      </c>
      <c r="H375" s="10" t="str">
        <f>IF(ISERROR(MATCH(A375,'SegEnds_Xtal_Prot#'!B:B, 0)), "NoXtal", "Xtal")</f>
        <v>NoXtal</v>
      </c>
      <c r="J375" s="3"/>
    </row>
    <row r="376" spans="1:10" x14ac:dyDescent="0.2">
      <c r="A376" s="3" t="s">
        <v>357</v>
      </c>
      <c r="B376" s="1" t="s">
        <v>355</v>
      </c>
      <c r="C376" t="s">
        <v>354</v>
      </c>
      <c r="D376" s="28" t="str">
        <f>VLOOKUP(A376,Classification!$A:$D,2,FALSE)</f>
        <v>A</v>
      </c>
      <c r="E376" s="49" t="str">
        <f>VLOOKUP(B376,Classification!$A:$D,2,FALSE)</f>
        <v>A</v>
      </c>
      <c r="F376" s="15" t="str">
        <f>VLOOKUP(C376,Classification!$A:$D,2,FALSE)</f>
        <v>A</v>
      </c>
      <c r="G376" s="15" t="b">
        <f t="shared" si="5"/>
        <v>1</v>
      </c>
      <c r="H376" s="10" t="str">
        <f>IF(ISERROR(MATCH(A376,'SegEnds_Xtal_Prot#'!B:B, 0)), "NoXtal", "Xtal")</f>
        <v>NoXtal</v>
      </c>
      <c r="J376" s="3"/>
    </row>
    <row r="377" spans="1:10" x14ac:dyDescent="0.2">
      <c r="A377" s="3" t="s">
        <v>355</v>
      </c>
      <c r="B377" s="1" t="s">
        <v>355</v>
      </c>
      <c r="C377" t="s">
        <v>355</v>
      </c>
      <c r="D377" s="28" t="str">
        <f>VLOOKUP(A377,Classification!$A:$D,2,FALSE)</f>
        <v>A</v>
      </c>
      <c r="E377" s="49" t="str">
        <f>VLOOKUP(B377,Classification!$A:$D,2,FALSE)</f>
        <v>A</v>
      </c>
      <c r="F377" s="15" t="str">
        <f>VLOOKUP(C377,Classification!$A:$D,2,FALSE)</f>
        <v>A</v>
      </c>
      <c r="G377" s="15" t="b">
        <f t="shared" si="5"/>
        <v>1</v>
      </c>
      <c r="H377" s="10" t="str">
        <f>IF(ISERROR(MATCH(A377,'SegEnds_Xtal_Prot#'!B:B, 0)), "NoXtal", "Xtal")</f>
        <v>Xtal</v>
      </c>
      <c r="J377" s="3"/>
    </row>
    <row r="378" spans="1:10" x14ac:dyDescent="0.2">
      <c r="A378" s="3" t="s">
        <v>354</v>
      </c>
      <c r="B378" s="1" t="s">
        <v>354</v>
      </c>
      <c r="C378" t="s">
        <v>354</v>
      </c>
      <c r="D378" s="28" t="str">
        <f>VLOOKUP(A378,Classification!$A:$D,2,FALSE)</f>
        <v>A</v>
      </c>
      <c r="E378" s="49" t="str">
        <f>VLOOKUP(B378,Classification!$A:$D,2,FALSE)</f>
        <v>A</v>
      </c>
      <c r="F378" s="15" t="str">
        <f>VLOOKUP(C378,Classification!$A:$D,2,FALSE)</f>
        <v>A</v>
      </c>
      <c r="G378" s="15" t="b">
        <f t="shared" si="5"/>
        <v>1</v>
      </c>
      <c r="H378" s="10" t="str">
        <f>IF(ISERROR(MATCH(A378,'SegEnds_Xtal_Prot#'!B:B, 0)), "NoXtal", "Xtal")</f>
        <v>Xtal</v>
      </c>
      <c r="J378" s="3"/>
    </row>
    <row r="379" spans="1:10" x14ac:dyDescent="0.2">
      <c r="A379" s="3" t="s">
        <v>242</v>
      </c>
      <c r="B379" s="1" t="s">
        <v>355</v>
      </c>
      <c r="C379" t="s">
        <v>354</v>
      </c>
      <c r="D379" s="28" t="str">
        <f>VLOOKUP(A379,Classification!$A:$D,2,FALSE)</f>
        <v>A</v>
      </c>
      <c r="E379" s="49" t="str">
        <f>VLOOKUP(B379,Classification!$A:$D,2,FALSE)</f>
        <v>A</v>
      </c>
      <c r="F379" s="15" t="str">
        <f>VLOOKUP(C379,Classification!$A:$D,2,FALSE)</f>
        <v>A</v>
      </c>
      <c r="G379" s="15" t="b">
        <f t="shared" si="5"/>
        <v>1</v>
      </c>
      <c r="H379" s="10" t="str">
        <f>IF(ISERROR(MATCH(A379,'SegEnds_Xtal_Prot#'!B:B, 0)), "NoXtal", "Xtal")</f>
        <v>NoXtal</v>
      </c>
      <c r="J379" s="3"/>
    </row>
    <row r="380" spans="1:10" x14ac:dyDescent="0.2">
      <c r="A380" s="3" t="s">
        <v>348</v>
      </c>
      <c r="B380" s="1" t="s">
        <v>355</v>
      </c>
      <c r="C380" t="s">
        <v>354</v>
      </c>
      <c r="D380" s="28" t="str">
        <f>VLOOKUP(A380,Classification!$A:$D,2,FALSE)</f>
        <v>A</v>
      </c>
      <c r="E380" s="49" t="str">
        <f>VLOOKUP(B380,Classification!$A:$D,2,FALSE)</f>
        <v>A</v>
      </c>
      <c r="F380" s="15" t="str">
        <f>VLOOKUP(C380,Classification!$A:$D,2,FALSE)</f>
        <v>A</v>
      </c>
      <c r="G380" s="15" t="b">
        <f t="shared" si="5"/>
        <v>1</v>
      </c>
      <c r="H380" s="10" t="str">
        <f>IF(ISERROR(MATCH(A380,'SegEnds_Xtal_Prot#'!B:B, 0)), "NoXtal", "Xtal")</f>
        <v>NoXtal</v>
      </c>
      <c r="J380" s="3"/>
    </row>
    <row r="381" spans="1:10" x14ac:dyDescent="0.2">
      <c r="A381" s="3" t="s">
        <v>198</v>
      </c>
      <c r="B381" s="1" t="s">
        <v>354</v>
      </c>
      <c r="C381" t="s">
        <v>354</v>
      </c>
      <c r="D381" s="28" t="str">
        <f>VLOOKUP(A381,Classification!$A:$D,2,FALSE)</f>
        <v>A</v>
      </c>
      <c r="E381" s="49" t="str">
        <f>VLOOKUP(B381,Classification!$A:$D,2,FALSE)</f>
        <v>A</v>
      </c>
      <c r="F381" s="15" t="str">
        <f>VLOOKUP(C381,Classification!$A:$D,2,FALSE)</f>
        <v>A</v>
      </c>
      <c r="G381" s="15" t="b">
        <f t="shared" si="5"/>
        <v>1</v>
      </c>
      <c r="H381" s="10" t="str">
        <f>IF(ISERROR(MATCH(A381,'SegEnds_Xtal_Prot#'!B:B, 0)), "NoXtal", "Xtal")</f>
        <v>NoXtal</v>
      </c>
      <c r="J381" s="3"/>
    </row>
    <row r="382" spans="1:10" x14ac:dyDescent="0.2">
      <c r="A382" s="3" t="s">
        <v>257</v>
      </c>
      <c r="B382" s="1" t="s">
        <v>354</v>
      </c>
      <c r="C382" t="s">
        <v>354</v>
      </c>
      <c r="D382" s="28" t="str">
        <f>VLOOKUP(A382,Classification!$A:$D,2,FALSE)</f>
        <v>A</v>
      </c>
      <c r="E382" s="49" t="str">
        <f>VLOOKUP(B382,Classification!$A:$D,2,FALSE)</f>
        <v>A</v>
      </c>
      <c r="F382" s="15" t="str">
        <f>VLOOKUP(C382,Classification!$A:$D,2,FALSE)</f>
        <v>A</v>
      </c>
      <c r="G382" s="15" t="b">
        <f t="shared" si="5"/>
        <v>1</v>
      </c>
      <c r="H382" s="10" t="str">
        <f>IF(ISERROR(MATCH(A382,'SegEnds_Xtal_Prot#'!B:B, 0)), "NoXtal", "Xtal")</f>
        <v>NoXtal</v>
      </c>
      <c r="J382" s="3"/>
    </row>
    <row r="383" spans="1:10" x14ac:dyDescent="0.2">
      <c r="A383" s="3" t="s">
        <v>308</v>
      </c>
      <c r="B383" s="1" t="s">
        <v>104</v>
      </c>
      <c r="C383" t="s">
        <v>104</v>
      </c>
      <c r="D383" s="28" t="str">
        <f>VLOOKUP(A383,Classification!$A:$D,2,FALSE)</f>
        <v>A</v>
      </c>
      <c r="E383" s="49" t="str">
        <f>VLOOKUP(B383,Classification!$A:$D,2,FALSE)</f>
        <v>A</v>
      </c>
      <c r="F383" s="15" t="str">
        <f>VLOOKUP(C383,Classification!$A:$D,2,FALSE)</f>
        <v>A</v>
      </c>
      <c r="G383" s="15" t="b">
        <f t="shared" si="5"/>
        <v>1</v>
      </c>
      <c r="H383" s="10" t="str">
        <f>IF(ISERROR(MATCH(A383,'SegEnds_Xtal_Prot#'!B:B, 0)), "NoXtal", "Xtal")</f>
        <v>NoXtal</v>
      </c>
      <c r="J383" s="3"/>
    </row>
    <row r="384" spans="1:10" x14ac:dyDescent="0.2">
      <c r="A384" s="3" t="s">
        <v>151</v>
      </c>
      <c r="B384" s="1" t="s">
        <v>104</v>
      </c>
      <c r="C384" t="s">
        <v>104</v>
      </c>
      <c r="D384" s="28" t="str">
        <f>VLOOKUP(A384,Classification!$A:$D,2,FALSE)</f>
        <v>A</v>
      </c>
      <c r="E384" s="49" t="str">
        <f>VLOOKUP(B384,Classification!$A:$D,2,FALSE)</f>
        <v>A</v>
      </c>
      <c r="F384" s="15" t="str">
        <f>VLOOKUP(C384,Classification!$A:$D,2,FALSE)</f>
        <v>A</v>
      </c>
      <c r="G384" s="15" t="b">
        <f t="shared" si="5"/>
        <v>1</v>
      </c>
      <c r="H384" s="10" t="str">
        <f>IF(ISERROR(MATCH(A384,'SegEnds_Xtal_Prot#'!B:B, 0)), "NoXtal", "Xtal")</f>
        <v>NoXtal</v>
      </c>
      <c r="J384" s="3"/>
    </row>
    <row r="385" spans="1:10" x14ac:dyDescent="0.2">
      <c r="A385" s="3" t="s">
        <v>295</v>
      </c>
      <c r="B385" s="1" t="s">
        <v>103</v>
      </c>
      <c r="C385" t="s">
        <v>104</v>
      </c>
      <c r="D385" s="28" t="str">
        <f>VLOOKUP(A385,Classification!$A:$D,2,FALSE)</f>
        <v>A</v>
      </c>
      <c r="E385" s="49" t="str">
        <f>VLOOKUP(B385,Classification!$A:$D,2,FALSE)</f>
        <v>A</v>
      </c>
      <c r="F385" s="15" t="str">
        <f>VLOOKUP(C385,Classification!$A:$D,2,FALSE)</f>
        <v>A</v>
      </c>
      <c r="G385" s="15" t="b">
        <f t="shared" si="5"/>
        <v>1</v>
      </c>
      <c r="H385" s="10" t="str">
        <f>IF(ISERROR(MATCH(A385,'SegEnds_Xtal_Prot#'!B:B, 0)), "NoXtal", "Xtal")</f>
        <v>NoXtal</v>
      </c>
      <c r="J385" s="3"/>
    </row>
    <row r="386" spans="1:10" x14ac:dyDescent="0.2">
      <c r="A386" s="3" t="s">
        <v>296</v>
      </c>
      <c r="B386" s="1" t="s">
        <v>104</v>
      </c>
      <c r="C386" t="s">
        <v>104</v>
      </c>
      <c r="D386" s="28" t="str">
        <f>VLOOKUP(A386,Classification!$A:$D,2,FALSE)</f>
        <v>A</v>
      </c>
      <c r="E386" s="49" t="str">
        <f>VLOOKUP(B386,Classification!$A:$D,2,FALSE)</f>
        <v>A</v>
      </c>
      <c r="F386" s="15" t="str">
        <f>VLOOKUP(C386,Classification!$A:$D,2,FALSE)</f>
        <v>A</v>
      </c>
      <c r="G386" s="15" t="b">
        <f t="shared" si="5"/>
        <v>1</v>
      </c>
      <c r="H386" s="10" t="str">
        <f>IF(ISERROR(MATCH(A386,'SegEnds_Xtal_Prot#'!B:B, 0)), "NoXtal", "Xtal")</f>
        <v>NoXtal</v>
      </c>
      <c r="J386" s="3"/>
    </row>
    <row r="387" spans="1:10" x14ac:dyDescent="0.2">
      <c r="A387" s="3" t="s">
        <v>237</v>
      </c>
      <c r="B387" s="1" t="s">
        <v>103</v>
      </c>
      <c r="C387" t="s">
        <v>104</v>
      </c>
      <c r="D387" s="28" t="str">
        <f>VLOOKUP(A387,Classification!$A:$D,2,FALSE)</f>
        <v>A</v>
      </c>
      <c r="E387" s="49" t="str">
        <f>VLOOKUP(B387,Classification!$A:$D,2,FALSE)</f>
        <v>A</v>
      </c>
      <c r="F387" s="15" t="str">
        <f>VLOOKUP(C387,Classification!$A:$D,2,FALSE)</f>
        <v>A</v>
      </c>
      <c r="G387" s="15" t="b">
        <f t="shared" si="5"/>
        <v>1</v>
      </c>
      <c r="H387" s="10" t="str">
        <f>IF(ISERROR(MATCH(A387,'SegEnds_Xtal_Prot#'!B:B, 0)), "NoXtal", "Xtal")</f>
        <v>NoXtal</v>
      </c>
      <c r="J387" s="3"/>
    </row>
    <row r="388" spans="1:10" x14ac:dyDescent="0.2">
      <c r="A388" s="3" t="s">
        <v>261</v>
      </c>
      <c r="B388" s="1" t="s">
        <v>104</v>
      </c>
      <c r="C388" t="s">
        <v>104</v>
      </c>
      <c r="D388" s="28" t="str">
        <f>VLOOKUP(A388,Classification!$A:$D,2,FALSE)</f>
        <v>A</v>
      </c>
      <c r="E388" s="49" t="str">
        <f>VLOOKUP(B388,Classification!$A:$D,2,FALSE)</f>
        <v>A</v>
      </c>
      <c r="F388" s="15" t="str">
        <f>VLOOKUP(C388,Classification!$A:$D,2,FALSE)</f>
        <v>A</v>
      </c>
      <c r="G388" s="15" t="b">
        <f t="shared" si="5"/>
        <v>1</v>
      </c>
      <c r="H388" s="10" t="str">
        <f>IF(ISERROR(MATCH(A388,'SegEnds_Xtal_Prot#'!B:B, 0)), "NoXtal", "Xtal")</f>
        <v>NoXtal</v>
      </c>
      <c r="J388" s="3"/>
    </row>
    <row r="389" spans="1:10" x14ac:dyDescent="0.2">
      <c r="A389" s="3" t="s">
        <v>362</v>
      </c>
      <c r="B389" s="1" t="s">
        <v>362</v>
      </c>
      <c r="C389" t="s">
        <v>104</v>
      </c>
      <c r="D389" s="28" t="str">
        <f>VLOOKUP(A389,Classification!$A:$D,2,FALSE)</f>
        <v>A</v>
      </c>
      <c r="E389" s="49" t="str">
        <f>VLOOKUP(B389,Classification!$A:$D,2,FALSE)</f>
        <v>A</v>
      </c>
      <c r="F389" s="15" t="str">
        <f>VLOOKUP(C389,Classification!$A:$D,2,FALSE)</f>
        <v>A</v>
      </c>
      <c r="G389" s="15" t="b">
        <f t="shared" si="5"/>
        <v>1</v>
      </c>
      <c r="H389" s="10" t="str">
        <f>IF(ISERROR(MATCH(A389,'SegEnds_Xtal_Prot#'!B:B, 0)), "NoXtal", "Xtal")</f>
        <v>Xtal</v>
      </c>
      <c r="J389" s="3"/>
    </row>
    <row r="390" spans="1:10" x14ac:dyDescent="0.2">
      <c r="A390" s="3" t="s">
        <v>467</v>
      </c>
      <c r="B390" s="1" t="s">
        <v>467</v>
      </c>
      <c r="C390" t="s">
        <v>104</v>
      </c>
      <c r="D390" s="28" t="str">
        <f>VLOOKUP(A390,Classification!$A:$D,2,FALSE)</f>
        <v>A</v>
      </c>
      <c r="E390" s="49" t="str">
        <f>VLOOKUP(B390,Classification!$A:$D,2,FALSE)</f>
        <v>A</v>
      </c>
      <c r="F390" s="15" t="str">
        <f>VLOOKUP(C390,Classification!$A:$D,2,FALSE)</f>
        <v>A</v>
      </c>
      <c r="G390" s="15" t="b">
        <f t="shared" ref="G390:G410" si="7">OR(D390=F390,AND(D390="T",F390="A"),AND(D390="B2",F390="B1"),D390="O")</f>
        <v>1</v>
      </c>
      <c r="H390" s="10" t="str">
        <f>IF(ISERROR(MATCH(A390,'SegEnds_Xtal_Prot#'!B:B, 0)), "NoXtal", "Xtal")</f>
        <v>Xtal</v>
      </c>
      <c r="J390" s="3"/>
    </row>
    <row r="391" spans="1:10" x14ac:dyDescent="0.2">
      <c r="A391" s="3" t="s">
        <v>212</v>
      </c>
      <c r="B391" s="1" t="s">
        <v>132</v>
      </c>
      <c r="C391" t="s">
        <v>104</v>
      </c>
      <c r="D391" s="28" t="str">
        <f>VLOOKUP(A391,Classification!$A:$D,2,FALSE)</f>
        <v>A</v>
      </c>
      <c r="E391" s="49" t="str">
        <f>VLOOKUP(B391,Classification!$A:$D,2,FALSE)</f>
        <v>A</v>
      </c>
      <c r="F391" s="15" t="str">
        <f>VLOOKUP(C391,Classification!$A:$D,2,FALSE)</f>
        <v>A</v>
      </c>
      <c r="G391" s="15" t="b">
        <f t="shared" si="7"/>
        <v>1</v>
      </c>
      <c r="H391" s="10" t="str">
        <f>IF(ISERROR(MATCH(A391,'SegEnds_Xtal_Prot#'!B:B, 0)), "NoXtal", "Xtal")</f>
        <v>NoXtal</v>
      </c>
      <c r="J391" s="3"/>
    </row>
    <row r="392" spans="1:10" x14ac:dyDescent="0.2">
      <c r="A392" s="3" t="s">
        <v>376</v>
      </c>
      <c r="B392" s="1" t="s">
        <v>104</v>
      </c>
      <c r="C392" t="s">
        <v>104</v>
      </c>
      <c r="D392" s="28" t="str">
        <f>VLOOKUP(A392,Classification!$A:$D,2,FALSE)</f>
        <v>A</v>
      </c>
      <c r="E392" s="49" t="str">
        <f>VLOOKUP(B392,Classification!$A:$D,2,FALSE)</f>
        <v>A</v>
      </c>
      <c r="F392" s="15" t="str">
        <f>VLOOKUP(C392,Classification!$A:$D,2,FALSE)</f>
        <v>A</v>
      </c>
      <c r="G392" s="15" t="b">
        <f t="shared" si="7"/>
        <v>1</v>
      </c>
      <c r="H392" s="10" t="str">
        <f>IF(ISERROR(MATCH(A392,'SegEnds_Xtal_Prot#'!B:B, 0)), "NoXtal", "Xtal")</f>
        <v>NoXtal</v>
      </c>
      <c r="J392" s="3"/>
    </row>
    <row r="393" spans="1:10" x14ac:dyDescent="0.2">
      <c r="A393" s="3" t="s">
        <v>104</v>
      </c>
      <c r="B393" s="1" t="s">
        <v>104</v>
      </c>
      <c r="C393" t="s">
        <v>104</v>
      </c>
      <c r="D393" s="28" t="str">
        <f>VLOOKUP(A393,Classification!$A:$D,2,FALSE)</f>
        <v>A</v>
      </c>
      <c r="E393" s="49" t="str">
        <f>VLOOKUP(B393,Classification!$A:$D,2,FALSE)</f>
        <v>A</v>
      </c>
      <c r="F393" s="15" t="str">
        <f>VLOOKUP(C393,Classification!$A:$D,2,FALSE)</f>
        <v>A</v>
      </c>
      <c r="G393" s="15" t="b">
        <f t="shared" si="7"/>
        <v>1</v>
      </c>
      <c r="H393" s="10" t="str">
        <f>IF(ISERROR(MATCH(A393,'SegEnds_Xtal_Prot#'!B:B, 0)), "NoXtal", "Xtal")</f>
        <v>Xtal</v>
      </c>
      <c r="J393" s="3"/>
    </row>
    <row r="394" spans="1:10" x14ac:dyDescent="0.2">
      <c r="A394" s="3" t="s">
        <v>378</v>
      </c>
      <c r="B394" s="1" t="s">
        <v>104</v>
      </c>
      <c r="C394" t="s">
        <v>104</v>
      </c>
      <c r="D394" s="28" t="str">
        <f>VLOOKUP(A394,Classification!$A:$D,2,FALSE)</f>
        <v>A</v>
      </c>
      <c r="E394" s="49" t="str">
        <f>VLOOKUP(B394,Classification!$A:$D,2,FALSE)</f>
        <v>A</v>
      </c>
      <c r="F394" s="15" t="str">
        <f>VLOOKUP(C394,Classification!$A:$D,2,FALSE)</f>
        <v>A</v>
      </c>
      <c r="G394" s="15" t="b">
        <f t="shared" si="7"/>
        <v>1</v>
      </c>
      <c r="H394" s="10" t="str">
        <f>IF(ISERROR(MATCH(A394,'SegEnds_Xtal_Prot#'!B:B, 0)), "NoXtal", "Xtal")</f>
        <v>NoXtal</v>
      </c>
      <c r="J394" s="3"/>
    </row>
    <row r="395" spans="1:10" x14ac:dyDescent="0.2">
      <c r="A395" s="3" t="s">
        <v>377</v>
      </c>
      <c r="B395" s="1" t="s">
        <v>104</v>
      </c>
      <c r="C395" t="s">
        <v>104</v>
      </c>
      <c r="D395" s="28" t="str">
        <f>VLOOKUP(A395,Classification!$A:$D,2,FALSE)</f>
        <v>A</v>
      </c>
      <c r="E395" s="49" t="str">
        <f>VLOOKUP(B395,Classification!$A:$D,2,FALSE)</f>
        <v>A</v>
      </c>
      <c r="F395" s="15" t="str">
        <f>VLOOKUP(C395,Classification!$A:$D,2,FALSE)</f>
        <v>A</v>
      </c>
      <c r="G395" s="15" t="b">
        <f t="shared" si="7"/>
        <v>1</v>
      </c>
      <c r="H395" s="10" t="str">
        <f>IF(ISERROR(MATCH(A395,'SegEnds_Xtal_Prot#'!B:B, 0)), "NoXtal", "Xtal")</f>
        <v>NoXtal</v>
      </c>
      <c r="J395" s="3"/>
    </row>
    <row r="396" spans="1:10" x14ac:dyDescent="0.2">
      <c r="A396" s="3" t="s">
        <v>379</v>
      </c>
      <c r="B396" s="1" t="s">
        <v>104</v>
      </c>
      <c r="C396" t="s">
        <v>104</v>
      </c>
      <c r="D396" s="28" t="str">
        <f>VLOOKUP(A396,Classification!$A:$D,2,FALSE)</f>
        <v>A</v>
      </c>
      <c r="E396" s="49" t="str">
        <f>VLOOKUP(B396,Classification!$A:$D,2,FALSE)</f>
        <v>A</v>
      </c>
      <c r="F396" s="15" t="str">
        <f>VLOOKUP(C396,Classification!$A:$D,2,FALSE)</f>
        <v>A</v>
      </c>
      <c r="G396" s="15" t="b">
        <f t="shared" si="7"/>
        <v>1</v>
      </c>
      <c r="H396" s="10" t="str">
        <f>IF(ISERROR(MATCH(A396,'SegEnds_Xtal_Prot#'!B:B, 0)), "NoXtal", "Xtal")</f>
        <v>NoXtal</v>
      </c>
      <c r="J396" s="3"/>
    </row>
    <row r="397" spans="1:10" x14ac:dyDescent="0.2">
      <c r="A397" s="3" t="s">
        <v>442</v>
      </c>
      <c r="B397" s="1" t="s">
        <v>444</v>
      </c>
      <c r="C397" t="s">
        <v>33</v>
      </c>
      <c r="D397" s="28" t="str">
        <f>VLOOKUP(A397,Classification!$A:$D,2,FALSE)</f>
        <v>F</v>
      </c>
      <c r="E397" s="49" t="str">
        <f>VLOOKUP(B397,Classification!$A:$D,2,FALSE)</f>
        <v>F</v>
      </c>
      <c r="F397" s="15" t="str">
        <f>VLOOKUP(C397,Classification!$A:$D,2,FALSE)</f>
        <v>F</v>
      </c>
      <c r="G397" s="15" t="b">
        <f t="shared" si="7"/>
        <v>1</v>
      </c>
      <c r="H397" s="10" t="str">
        <f>IF(ISERROR(MATCH(A397,'SegEnds_Xtal_Prot#'!B:B, 0)), "NoXtal", "Xtal")</f>
        <v>NoXtal</v>
      </c>
      <c r="J397" s="3"/>
    </row>
    <row r="398" spans="1:10" x14ac:dyDescent="0.2">
      <c r="A398" s="3" t="s">
        <v>447</v>
      </c>
      <c r="B398" s="1" t="s">
        <v>444</v>
      </c>
      <c r="C398" t="s">
        <v>33</v>
      </c>
      <c r="D398" s="28" t="str">
        <f>VLOOKUP(A398,Classification!$A:$D,2,FALSE)</f>
        <v>F</v>
      </c>
      <c r="E398" s="49" t="str">
        <f>VLOOKUP(B398,Classification!$A:$D,2,FALSE)</f>
        <v>F</v>
      </c>
      <c r="F398" s="15" t="str">
        <f>VLOOKUP(C398,Classification!$A:$D,2,FALSE)</f>
        <v>F</v>
      </c>
      <c r="G398" s="15" t="b">
        <f t="shared" si="7"/>
        <v>1</v>
      </c>
      <c r="H398" s="10" t="str">
        <f>IF(ISERROR(MATCH(A398,'SegEnds_Xtal_Prot#'!B:B, 0)), "NoXtal", "Xtal")</f>
        <v>NoXtal</v>
      </c>
      <c r="J398" s="3"/>
    </row>
    <row r="399" spans="1:10" x14ac:dyDescent="0.2">
      <c r="A399" s="3" t="s">
        <v>440</v>
      </c>
      <c r="B399" s="1" t="s">
        <v>444</v>
      </c>
      <c r="C399" t="s">
        <v>33</v>
      </c>
      <c r="D399" s="28" t="str">
        <f>VLOOKUP(A399,Classification!$A:$D,2,FALSE)</f>
        <v>F</v>
      </c>
      <c r="E399" s="49" t="str">
        <f>VLOOKUP(B399,Classification!$A:$D,2,FALSE)</f>
        <v>F</v>
      </c>
      <c r="F399" s="15" t="str">
        <f>VLOOKUP(C399,Classification!$A:$D,2,FALSE)</f>
        <v>F</v>
      </c>
      <c r="G399" s="15" t="b">
        <f t="shared" si="7"/>
        <v>1</v>
      </c>
      <c r="H399" s="10" t="str">
        <f>IF(ISERROR(MATCH(A399,'SegEnds_Xtal_Prot#'!B:B, 0)), "NoXtal", "Xtal")</f>
        <v>NoXtal</v>
      </c>
      <c r="J399" s="3"/>
    </row>
    <row r="400" spans="1:10" x14ac:dyDescent="0.2">
      <c r="A400" s="3" t="s">
        <v>444</v>
      </c>
      <c r="B400" s="1" t="s">
        <v>444</v>
      </c>
      <c r="C400" t="s">
        <v>33</v>
      </c>
      <c r="D400" s="28" t="str">
        <f>VLOOKUP(A400,Classification!$A:$D,2,FALSE)</f>
        <v>F</v>
      </c>
      <c r="E400" s="49" t="str">
        <f>VLOOKUP(B400,Classification!$A:$D,2,FALSE)</f>
        <v>F</v>
      </c>
      <c r="F400" s="15" t="str">
        <f>VLOOKUP(C400,Classification!$A:$D,2,FALSE)</f>
        <v>F</v>
      </c>
      <c r="G400" s="15" t="b">
        <f t="shared" si="7"/>
        <v>1</v>
      </c>
      <c r="H400" s="10" t="str">
        <f>IF(ISERROR(MATCH(A400,'SegEnds_Xtal_Prot#'!B:B, 0)), "NoXtal", "Xtal")</f>
        <v>Xtal</v>
      </c>
      <c r="J400" s="3"/>
    </row>
    <row r="401" spans="1:10" x14ac:dyDescent="0.2">
      <c r="A401" s="3" t="s">
        <v>441</v>
      </c>
      <c r="B401" s="1" t="s">
        <v>444</v>
      </c>
      <c r="C401" t="s">
        <v>33</v>
      </c>
      <c r="D401" s="28" t="str">
        <f>VLOOKUP(A401,Classification!$A:$D,2,FALSE)</f>
        <v>F</v>
      </c>
      <c r="E401" s="49" t="str">
        <f>VLOOKUP(B401,Classification!$A:$D,2,FALSE)</f>
        <v>F</v>
      </c>
      <c r="F401" s="15" t="str">
        <f>VLOOKUP(C401,Classification!$A:$D,2,FALSE)</f>
        <v>F</v>
      </c>
      <c r="G401" s="15" t="b">
        <f t="shared" si="7"/>
        <v>1</v>
      </c>
      <c r="H401" s="10" t="str">
        <f>IF(ISERROR(MATCH(A401,'SegEnds_Xtal_Prot#'!B:B, 0)), "NoXtal", "Xtal")</f>
        <v>NoXtal</v>
      </c>
      <c r="J401" s="3"/>
    </row>
    <row r="402" spans="1:10" x14ac:dyDescent="0.2">
      <c r="A402" s="3" t="s">
        <v>449</v>
      </c>
      <c r="B402" s="1" t="s">
        <v>444</v>
      </c>
      <c r="C402" t="s">
        <v>33</v>
      </c>
      <c r="D402" s="28" t="str">
        <f>VLOOKUP(A402,Classification!$A:$D,2,FALSE)</f>
        <v>F</v>
      </c>
      <c r="E402" s="49" t="str">
        <f>VLOOKUP(B402,Classification!$A:$D,2,FALSE)</f>
        <v>F</v>
      </c>
      <c r="F402" s="15" t="str">
        <f>VLOOKUP(C402,Classification!$A:$D,2,FALSE)</f>
        <v>F</v>
      </c>
      <c r="G402" s="15" t="b">
        <f t="shared" si="7"/>
        <v>1</v>
      </c>
      <c r="H402" s="10" t="str">
        <f>IF(ISERROR(MATCH(A402,'SegEnds_Xtal_Prot#'!B:B, 0)), "NoXtal", "Xtal")</f>
        <v>NoXtal</v>
      </c>
      <c r="J402" s="3"/>
    </row>
    <row r="403" spans="1:10" x14ac:dyDescent="0.2">
      <c r="A403" s="3" t="s">
        <v>445</v>
      </c>
      <c r="B403" s="1" t="s">
        <v>444</v>
      </c>
      <c r="C403" t="s">
        <v>33</v>
      </c>
      <c r="D403" s="28" t="str">
        <f>VLOOKUP(A403,Classification!$A:$D,2,FALSE)</f>
        <v>F</v>
      </c>
      <c r="E403" s="49" t="str">
        <f>VLOOKUP(B403,Classification!$A:$D,2,FALSE)</f>
        <v>F</v>
      </c>
      <c r="F403" s="15" t="str">
        <f>VLOOKUP(C403,Classification!$A:$D,2,FALSE)</f>
        <v>F</v>
      </c>
      <c r="G403" s="15" t="b">
        <f t="shared" si="7"/>
        <v>1</v>
      </c>
      <c r="H403" s="10" t="str">
        <f>IF(ISERROR(MATCH(A403,'SegEnds_Xtal_Prot#'!B:B, 0)), "NoXtal", "Xtal")</f>
        <v>NoXtal</v>
      </c>
      <c r="J403" s="3"/>
    </row>
    <row r="404" spans="1:10" x14ac:dyDescent="0.2">
      <c r="A404" s="3" t="s">
        <v>448</v>
      </c>
      <c r="B404" s="1" t="s">
        <v>444</v>
      </c>
      <c r="C404" t="s">
        <v>33</v>
      </c>
      <c r="D404" s="28" t="str">
        <f>VLOOKUP(A404,Classification!$A:$D,2,FALSE)</f>
        <v>F</v>
      </c>
      <c r="E404" s="49" t="str">
        <f>VLOOKUP(B404,Classification!$A:$D,2,FALSE)</f>
        <v>F</v>
      </c>
      <c r="F404" s="15" t="str">
        <f>VLOOKUP(C404,Classification!$A:$D,2,FALSE)</f>
        <v>F</v>
      </c>
      <c r="G404" s="15" t="b">
        <f t="shared" si="7"/>
        <v>1</v>
      </c>
      <c r="H404" s="10" t="str">
        <f>IF(ISERROR(MATCH(A404,'SegEnds_Xtal_Prot#'!B:B, 0)), "NoXtal", "Xtal")</f>
        <v>NoXtal</v>
      </c>
      <c r="J404" s="3"/>
    </row>
    <row r="405" spans="1:10" x14ac:dyDescent="0.2">
      <c r="A405" s="3" t="s">
        <v>443</v>
      </c>
      <c r="B405" s="1" t="s">
        <v>444</v>
      </c>
      <c r="C405" t="s">
        <v>33</v>
      </c>
      <c r="D405" s="28" t="str">
        <f>VLOOKUP(A405,Classification!$A:$D,2,FALSE)</f>
        <v>F</v>
      </c>
      <c r="E405" s="49" t="str">
        <f>VLOOKUP(B405,Classification!$A:$D,2,FALSE)</f>
        <v>F</v>
      </c>
      <c r="F405" s="15" t="str">
        <f>VLOOKUP(C405,Classification!$A:$D,2,FALSE)</f>
        <v>F</v>
      </c>
      <c r="G405" s="15" t="b">
        <f t="shared" si="7"/>
        <v>1</v>
      </c>
      <c r="H405" s="10" t="str">
        <f>IF(ISERROR(MATCH(A405,'SegEnds_Xtal_Prot#'!B:B, 0)), "NoXtal", "Xtal")</f>
        <v>NoXtal</v>
      </c>
      <c r="J405" s="3"/>
    </row>
    <row r="406" spans="1:10" x14ac:dyDescent="0.2">
      <c r="A406" s="3" t="s">
        <v>446</v>
      </c>
      <c r="B406" s="1" t="s">
        <v>444</v>
      </c>
      <c r="C406" t="s">
        <v>33</v>
      </c>
      <c r="D406" s="28" t="str">
        <f>VLOOKUP(A406,Classification!$A:$D,2,FALSE)</f>
        <v>F</v>
      </c>
      <c r="E406" s="49" t="str">
        <f>VLOOKUP(B406,Classification!$A:$D,2,FALSE)</f>
        <v>F</v>
      </c>
      <c r="F406" s="15" t="str">
        <f>VLOOKUP(C406,Classification!$A:$D,2,FALSE)</f>
        <v>F</v>
      </c>
      <c r="G406" s="15" t="b">
        <f t="shared" si="7"/>
        <v>1</v>
      </c>
      <c r="H406" s="10" t="str">
        <f>IF(ISERROR(MATCH(A406,'SegEnds_Xtal_Prot#'!B:B, 0)), "NoXtal", "Xtal")</f>
        <v>NoXtal</v>
      </c>
      <c r="J406" s="3"/>
    </row>
    <row r="407" spans="1:10" x14ac:dyDescent="0.2">
      <c r="A407" s="3" t="s">
        <v>33</v>
      </c>
      <c r="B407" s="1" t="s">
        <v>33</v>
      </c>
      <c r="C407" t="s">
        <v>33</v>
      </c>
      <c r="D407" s="28" t="str">
        <f>VLOOKUP(A407,Classification!$A:$D,2,FALSE)</f>
        <v>F</v>
      </c>
      <c r="E407" s="49" t="str">
        <f>VLOOKUP(B407,Classification!$A:$D,2,FALSE)</f>
        <v>F</v>
      </c>
      <c r="F407" s="15" t="str">
        <f>VLOOKUP(C407,Classification!$A:$D,2,FALSE)</f>
        <v>F</v>
      </c>
      <c r="G407" s="15" t="b">
        <f t="shared" si="7"/>
        <v>1</v>
      </c>
      <c r="H407" s="10" t="str">
        <f>IF(ISERROR(MATCH(A407,'SegEnds_Xtal_Prot#'!B:B, 0)), "NoXtal", "Xtal")</f>
        <v>Xtal</v>
      </c>
      <c r="J407" s="3"/>
    </row>
    <row r="408" spans="1:10" x14ac:dyDescent="0.2">
      <c r="A408" s="1" t="s">
        <v>1588</v>
      </c>
      <c r="B408" s="1" t="s">
        <v>1588</v>
      </c>
      <c r="C408" s="1" t="s">
        <v>1588</v>
      </c>
      <c r="D408" s="28" t="str">
        <f>VLOOKUP(A408,Classification!$A:$D,2,FALSE)</f>
        <v>F</v>
      </c>
      <c r="E408" s="49" t="str">
        <f>VLOOKUP(B408,Classification!$A:$D,2,FALSE)</f>
        <v>F</v>
      </c>
      <c r="F408" s="15" t="str">
        <f>VLOOKUP(C408,Classification!$A:$D,2,FALSE)</f>
        <v>F</v>
      </c>
      <c r="G408" s="15" t="b">
        <f>OR(D408=F408,AND(D408="T",F408="A"),AND(D408="B2",F408="B1"),D408="O")</f>
        <v>1</v>
      </c>
      <c r="H408" s="10" t="str">
        <f>IF(ISERROR(MATCH(A408,'SegEnds_Xtal_Prot#'!B:B, 0)), "NoXtal", "Xtal")</f>
        <v>Xtal</v>
      </c>
    </row>
    <row r="409" spans="1:10" x14ac:dyDescent="0.2">
      <c r="A409" s="3" t="s">
        <v>917</v>
      </c>
      <c r="B409" s="1" t="s">
        <v>917</v>
      </c>
      <c r="C409" t="s">
        <v>917</v>
      </c>
      <c r="D409" s="28" t="str">
        <f>VLOOKUP(A409,Classification!$A:$D,2,FALSE)</f>
        <v>A</v>
      </c>
      <c r="E409" s="49" t="str">
        <f>VLOOKUP(B409,Classification!$A:$D,2,FALSE)</f>
        <v>A</v>
      </c>
      <c r="F409" s="15" t="str">
        <f>VLOOKUP(C409,Classification!$A:$D,2,FALSE)</f>
        <v>A</v>
      </c>
      <c r="G409" s="15" t="b">
        <f t="shared" si="7"/>
        <v>1</v>
      </c>
      <c r="H409" s="10" t="str">
        <f>IF(ISERROR(MATCH(A409,'SegEnds_Xtal_Prot#'!B:B, 0)), "NoXtal", "Xtal")</f>
        <v>Xtal</v>
      </c>
      <c r="J409" s="3"/>
    </row>
    <row r="410" spans="1:10" x14ac:dyDescent="0.2">
      <c r="A410" s="3" t="s">
        <v>220</v>
      </c>
      <c r="B410" s="1" t="s">
        <v>104</v>
      </c>
      <c r="C410" t="s">
        <v>917</v>
      </c>
      <c r="D410" s="28" t="str">
        <f>VLOOKUP(A410,Classification!$A:$D,2,FALSE)</f>
        <v>A</v>
      </c>
      <c r="E410" s="49" t="str">
        <f>VLOOKUP(B410,Classification!$A:$D,2,FALSE)</f>
        <v>A</v>
      </c>
      <c r="F410" s="15" t="str">
        <f>VLOOKUP(C410,Classification!$A:$D,2,FALSE)</f>
        <v>A</v>
      </c>
      <c r="G410" s="15" t="b">
        <f t="shared" si="7"/>
        <v>1</v>
      </c>
      <c r="H410" s="10" t="str">
        <f>IF(ISERROR(MATCH(A410,'SegEnds_Xtal_Prot#'!B:B, 0)), "NoXtal", "Xtal")</f>
        <v>NoXtal</v>
      </c>
      <c r="J410" s="3"/>
    </row>
    <row r="411" spans="1:10" x14ac:dyDescent="0.2">
      <c r="A411" s="1" t="s">
        <v>1414</v>
      </c>
      <c r="B411" s="1" t="s">
        <v>1414</v>
      </c>
      <c r="C411" t="s">
        <v>1414</v>
      </c>
      <c r="D411" s="28" t="str">
        <f>VLOOKUP(A411,Classification!$A:$D,2,FALSE)</f>
        <v>B1</v>
      </c>
      <c r="E411" s="49" t="str">
        <f>VLOOKUP(B411,Classification!$A:$D,2,FALSE)</f>
        <v>B1</v>
      </c>
      <c r="F411" s="15" t="str">
        <f>VLOOKUP(C411,Classification!$A:$D,2,FALSE)</f>
        <v>B1</v>
      </c>
      <c r="G411" s="15" t="b">
        <f t="shared" ref="G411:G416" si="8">OR(D411=F411,AND(D411="T",F411="A"),AND(D411="B2",F411="B1"),D411="O")</f>
        <v>1</v>
      </c>
      <c r="H411" s="10" t="str">
        <f>IF(ISERROR(MATCH(A411,'SegEnds_Xtal_Prot#'!B:B, 0)), "NoXtal", "Xtal")</f>
        <v>Xtal</v>
      </c>
    </row>
    <row r="412" spans="1:10" x14ac:dyDescent="0.2">
      <c r="A412" s="1" t="s">
        <v>1489</v>
      </c>
      <c r="B412" s="1" t="s">
        <v>1489</v>
      </c>
      <c r="C412" s="121" t="s">
        <v>1489</v>
      </c>
      <c r="D412" s="28" t="str">
        <f>VLOOKUP(A412,Classification!$A:$D,2,FALSE)</f>
        <v>F</v>
      </c>
      <c r="E412" s="49" t="str">
        <f>VLOOKUP(B412,Classification!$A:$D,2,FALSE)</f>
        <v>F</v>
      </c>
      <c r="F412" s="15" t="str">
        <f>VLOOKUP(C412,Classification!$A:$D,2,FALSE)</f>
        <v>F</v>
      </c>
      <c r="G412" s="15" t="b">
        <f t="shared" si="8"/>
        <v>1</v>
      </c>
      <c r="H412" s="10" t="str">
        <f>IF(ISERROR(MATCH(A412,'SegEnds_Xtal_Prot#'!B:B, 0)), "NoXtal", "Xtal")</f>
        <v>Xtal</v>
      </c>
    </row>
    <row r="413" spans="1:10" x14ac:dyDescent="0.2">
      <c r="A413" s="1" t="s">
        <v>1501</v>
      </c>
      <c r="B413" s="1" t="s">
        <v>1501</v>
      </c>
      <c r="C413" s="121" t="s">
        <v>1501</v>
      </c>
      <c r="D413" s="28" t="str">
        <f>VLOOKUP(A413,Classification!$A:$D,2,FALSE)</f>
        <v>A</v>
      </c>
      <c r="E413" s="49" t="str">
        <f>VLOOKUP(B413,Classification!$A:$D,2,FALSE)</f>
        <v>A</v>
      </c>
      <c r="F413" s="15" t="str">
        <f>VLOOKUP(C413,Classification!$A:$D,2,FALSE)</f>
        <v>A</v>
      </c>
      <c r="G413" s="15" t="b">
        <f t="shared" si="8"/>
        <v>1</v>
      </c>
      <c r="H413" s="10" t="str">
        <f>IF(ISERROR(MATCH(A413,'SegEnds_Xtal_Prot#'!B:B, 0)), "NoXtal", "Xtal")</f>
        <v>Xtal</v>
      </c>
    </row>
    <row r="414" spans="1:10" x14ac:dyDescent="0.2">
      <c r="A414" s="1" t="s">
        <v>1631</v>
      </c>
      <c r="B414" s="1" t="s">
        <v>139</v>
      </c>
      <c r="C414" s="1" t="s">
        <v>139</v>
      </c>
      <c r="D414" s="28" t="str">
        <f>VLOOKUP(A414,Classification!$A:$D,2,FALSE)</f>
        <v>A</v>
      </c>
      <c r="E414" s="49" t="str">
        <f>VLOOKUP(B414,Classification!$A:$D,2,FALSE)</f>
        <v>A</v>
      </c>
      <c r="F414" s="15" t="str">
        <f>VLOOKUP(C414,Classification!$A:$D,2,FALSE)</f>
        <v>A</v>
      </c>
      <c r="G414" s="15" t="b">
        <f t="shared" si="8"/>
        <v>1</v>
      </c>
      <c r="H414" s="10" t="str">
        <f>IF(ISERROR(MATCH(A414,'SegEnds_Xtal_Prot#'!B:B, 0)), "NoXtal", "Xtal")</f>
        <v>NoXtal</v>
      </c>
    </row>
    <row r="415" spans="1:10" x14ac:dyDescent="0.2">
      <c r="A415" s="1" t="s">
        <v>1634</v>
      </c>
      <c r="B415" s="1" t="s">
        <v>170</v>
      </c>
      <c r="C415" s="1" t="s">
        <v>139</v>
      </c>
      <c r="D415" s="28" t="str">
        <f>VLOOKUP(A415,Classification!$A:$D,2,FALSE)</f>
        <v>A</v>
      </c>
      <c r="E415" s="49" t="str">
        <f>VLOOKUP(B415,Classification!$A:$D,2,FALSE)</f>
        <v>A</v>
      </c>
      <c r="F415" s="15" t="str">
        <f>VLOOKUP(C415,Classification!$A:$D,2,FALSE)</f>
        <v>A</v>
      </c>
      <c r="G415" s="15" t="b">
        <f t="shared" si="8"/>
        <v>1</v>
      </c>
      <c r="H415" s="10" t="str">
        <f>IF(ISERROR(MATCH(A415,'SegEnds_Xtal_Prot#'!B:B, 0)), "NoXtal", "Xtal")</f>
        <v>NoXtal</v>
      </c>
    </row>
    <row r="416" spans="1:10" x14ac:dyDescent="0.2">
      <c r="A416" s="1" t="s">
        <v>1636</v>
      </c>
      <c r="B416" s="1" t="s">
        <v>165</v>
      </c>
      <c r="C416" s="1" t="s">
        <v>139</v>
      </c>
      <c r="D416" s="28" t="str">
        <f>VLOOKUP(A416,Classification!$A:$D,2,FALSE)</f>
        <v>A</v>
      </c>
      <c r="E416" s="49" t="str">
        <f>VLOOKUP(B416,Classification!$A:$D,2,FALSE)</f>
        <v>A</v>
      </c>
      <c r="F416" s="15" t="str">
        <f>VLOOKUP(C416,Classification!$A:$D,2,FALSE)</f>
        <v>A</v>
      </c>
      <c r="G416" s="15" t="b">
        <f t="shared" si="8"/>
        <v>1</v>
      </c>
      <c r="H416" s="10" t="str">
        <f>IF(ISERROR(MATCH(A416,'SegEnds_Xtal_Prot#'!B:B, 0)), "NoXtal", "Xtal")</f>
        <v>NoXtal</v>
      </c>
    </row>
    <row r="435" spans="4:7" ht="17" customHeight="1" x14ac:dyDescent="0.2">
      <c r="D435" s="7"/>
      <c r="E435" s="7"/>
      <c r="F435" s="7"/>
      <c r="G435" s="7"/>
    </row>
  </sheetData>
  <sortState xmlns:xlrd2="http://schemas.microsoft.com/office/spreadsheetml/2017/richdata2" ref="A2:I432">
    <sortCondition ref="G2:G432"/>
    <sortCondition ref="B2:B432"/>
    <sortCondition ref="D2:D432"/>
    <sortCondition ref="F2:F432"/>
  </sortState>
  <customSheetViews>
    <customSheetView guid="{3E3401AF-8459-8641-BD70-AD04F80E86ED}" topLeftCell="A141">
      <selection activeCell="C165" sqref="C165"/>
      <pageMargins left="0.7" right="0.7" top="0.75" bottom="0.75" header="0.3" footer="0.3"/>
    </customSheetView>
  </customSheetViews>
  <conditionalFormatting sqref="G1 G408:G1048576">
    <cfRule type="cellIs" dxfId="3" priority="5" operator="equal">
      <formula>FALSE</formula>
    </cfRule>
  </conditionalFormatting>
  <conditionalFormatting sqref="G2:G407">
    <cfRule type="cellIs" dxfId="2" priority="4" operator="equal">
      <formula>FALSE</formula>
    </cfRule>
  </conditionalFormatting>
  <conditionalFormatting sqref="H2:H1048576">
    <cfRule type="cellIs" dxfId="1" priority="1" operator="equal">
      <formula>"Xtal"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448"/>
  <sheetViews>
    <sheetView workbookViewId="0">
      <pane ySplit="1" topLeftCell="A75" activePane="bottomLeft" state="frozenSplit"/>
      <selection pane="bottomLeft" activeCell="A110" sqref="A110"/>
    </sheetView>
  </sheetViews>
  <sheetFormatPr baseColWidth="10" defaultColWidth="10.83203125" defaultRowHeight="16" x14ac:dyDescent="0.2"/>
  <cols>
    <col min="1" max="1" width="16.1640625" style="3" customWidth="1"/>
    <col min="2" max="2" width="4.1640625" style="3" bestFit="1" customWidth="1"/>
    <col min="3" max="3" width="9.83203125" style="3" customWidth="1"/>
    <col min="4" max="4" width="19" style="3" customWidth="1"/>
    <col min="5" max="16384" width="10.83203125" style="3"/>
  </cols>
  <sheetData>
    <row r="1" spans="1:4" s="10" customFormat="1" x14ac:dyDescent="0.2">
      <c r="A1" s="10" t="s">
        <v>101</v>
      </c>
      <c r="B1" s="10" t="s">
        <v>925</v>
      </c>
      <c r="C1" s="10" t="s">
        <v>928</v>
      </c>
      <c r="D1" s="10" t="s">
        <v>929</v>
      </c>
    </row>
    <row r="2" spans="1:4" x14ac:dyDescent="0.2">
      <c r="A2" s="3" t="s">
        <v>128</v>
      </c>
      <c r="B2" s="3" t="s">
        <v>1</v>
      </c>
      <c r="C2" s="3" t="s">
        <v>2</v>
      </c>
      <c r="D2" s="3" t="s">
        <v>930</v>
      </c>
    </row>
    <row r="3" spans="1:4" x14ac:dyDescent="0.2">
      <c r="A3" s="3" t="s">
        <v>34</v>
      </c>
      <c r="B3" s="3" t="s">
        <v>1</v>
      </c>
      <c r="C3" s="3" t="s">
        <v>2</v>
      </c>
      <c r="D3" s="3" t="s">
        <v>930</v>
      </c>
    </row>
    <row r="4" spans="1:4" x14ac:dyDescent="0.2">
      <c r="A4" s="3" t="s">
        <v>129</v>
      </c>
      <c r="B4" s="3" t="s">
        <v>1</v>
      </c>
      <c r="C4" s="3" t="s">
        <v>2</v>
      </c>
      <c r="D4" s="3" t="s">
        <v>930</v>
      </c>
    </row>
    <row r="5" spans="1:4" x14ac:dyDescent="0.2">
      <c r="A5" s="3" t="s">
        <v>130</v>
      </c>
      <c r="B5" s="3" t="s">
        <v>1</v>
      </c>
      <c r="C5" s="3" t="s">
        <v>2</v>
      </c>
      <c r="D5" s="3" t="s">
        <v>930</v>
      </c>
    </row>
    <row r="6" spans="1:4" x14ac:dyDescent="0.2">
      <c r="A6" s="3" t="s">
        <v>131</v>
      </c>
      <c r="B6" s="3" t="s">
        <v>1</v>
      </c>
      <c r="C6" s="3" t="s">
        <v>2</v>
      </c>
      <c r="D6" s="3" t="s">
        <v>930</v>
      </c>
    </row>
    <row r="7" spans="1:4" x14ac:dyDescent="0.2">
      <c r="A7" s="3" t="s">
        <v>132</v>
      </c>
      <c r="B7" s="3" t="s">
        <v>1</v>
      </c>
      <c r="C7" s="3" t="s">
        <v>2</v>
      </c>
      <c r="D7" s="3" t="s">
        <v>930</v>
      </c>
    </row>
    <row r="8" spans="1:4" x14ac:dyDescent="0.2">
      <c r="A8" s="3" t="s">
        <v>35</v>
      </c>
      <c r="B8" s="3" t="s">
        <v>1</v>
      </c>
      <c r="C8" s="3" t="s">
        <v>2</v>
      </c>
      <c r="D8" s="3" t="s">
        <v>930</v>
      </c>
    </row>
    <row r="9" spans="1:4" x14ac:dyDescent="0.2">
      <c r="A9" s="3" t="s">
        <v>133</v>
      </c>
      <c r="B9" s="3" t="s">
        <v>1</v>
      </c>
      <c r="C9" s="3" t="s">
        <v>2</v>
      </c>
      <c r="D9" s="3" t="s">
        <v>930</v>
      </c>
    </row>
    <row r="10" spans="1:4" x14ac:dyDescent="0.2">
      <c r="A10" s="3" t="s">
        <v>134</v>
      </c>
      <c r="B10" s="3" t="s">
        <v>1</v>
      </c>
      <c r="C10" s="3" t="s">
        <v>2</v>
      </c>
      <c r="D10" s="3" t="s">
        <v>930</v>
      </c>
    </row>
    <row r="11" spans="1:4" x14ac:dyDescent="0.2">
      <c r="A11" s="3" t="s">
        <v>135</v>
      </c>
      <c r="B11" s="3" t="s">
        <v>1</v>
      </c>
      <c r="C11" s="3" t="s">
        <v>2</v>
      </c>
      <c r="D11" s="3" t="s">
        <v>930</v>
      </c>
    </row>
    <row r="12" spans="1:4" x14ac:dyDescent="0.2">
      <c r="A12" s="3" t="s">
        <v>136</v>
      </c>
      <c r="B12" s="3" t="s">
        <v>1</v>
      </c>
      <c r="C12" s="3" t="s">
        <v>2</v>
      </c>
      <c r="D12" s="3" t="s">
        <v>930</v>
      </c>
    </row>
    <row r="13" spans="1:4" x14ac:dyDescent="0.2">
      <c r="A13" s="3" t="s">
        <v>137</v>
      </c>
      <c r="B13" s="3" t="s">
        <v>1</v>
      </c>
      <c r="C13" s="3" t="s">
        <v>2</v>
      </c>
      <c r="D13" s="3" t="s">
        <v>930</v>
      </c>
    </row>
    <row r="14" spans="1:4" x14ac:dyDescent="0.2">
      <c r="A14" s="3" t="s">
        <v>146</v>
      </c>
      <c r="B14" s="3" t="s">
        <v>1</v>
      </c>
      <c r="C14" s="3" t="s">
        <v>2</v>
      </c>
      <c r="D14" s="3" t="s">
        <v>932</v>
      </c>
    </row>
    <row r="15" spans="1:4" x14ac:dyDescent="0.2">
      <c r="A15" s="3" t="s">
        <v>147</v>
      </c>
      <c r="B15" s="3" t="s">
        <v>1</v>
      </c>
      <c r="C15" s="3" t="s">
        <v>2</v>
      </c>
      <c r="D15" s="3" t="s">
        <v>932</v>
      </c>
    </row>
    <row r="16" spans="1:4" x14ac:dyDescent="0.2">
      <c r="A16" s="3" t="s">
        <v>148</v>
      </c>
      <c r="B16" s="3" t="s">
        <v>1</v>
      </c>
      <c r="C16" s="3" t="s">
        <v>2</v>
      </c>
      <c r="D16" s="3" t="s">
        <v>932</v>
      </c>
    </row>
    <row r="17" spans="1:4" x14ac:dyDescent="0.2">
      <c r="A17" s="3" t="s">
        <v>48</v>
      </c>
      <c r="B17" s="3" t="s">
        <v>1</v>
      </c>
      <c r="C17" s="3" t="s">
        <v>2</v>
      </c>
      <c r="D17" s="3" t="s">
        <v>932</v>
      </c>
    </row>
    <row r="18" spans="1:4" x14ac:dyDescent="0.2">
      <c r="A18" s="3" t="s">
        <v>149</v>
      </c>
      <c r="B18" s="3" t="s">
        <v>1</v>
      </c>
      <c r="C18" s="3" t="s">
        <v>2</v>
      </c>
      <c r="D18" s="3" t="s">
        <v>932</v>
      </c>
    </row>
    <row r="19" spans="1:4" x14ac:dyDescent="0.2">
      <c r="A19" s="3" t="s">
        <v>150</v>
      </c>
      <c r="B19" s="3" t="s">
        <v>1</v>
      </c>
      <c r="C19" s="3" t="s">
        <v>2</v>
      </c>
      <c r="D19" s="3" t="s">
        <v>932</v>
      </c>
    </row>
    <row r="20" spans="1:4" x14ac:dyDescent="0.2">
      <c r="A20" s="3" t="s">
        <v>138</v>
      </c>
      <c r="B20" s="3" t="s">
        <v>1</v>
      </c>
      <c r="C20" s="3" t="s">
        <v>931</v>
      </c>
      <c r="D20" s="3" t="s">
        <v>15</v>
      </c>
    </row>
    <row r="21" spans="1:4" x14ac:dyDescent="0.2">
      <c r="A21" s="3" t="s">
        <v>139</v>
      </c>
      <c r="B21" s="3" t="s">
        <v>1</v>
      </c>
      <c r="C21" s="3" t="s">
        <v>931</v>
      </c>
      <c r="D21" s="3" t="s">
        <v>15</v>
      </c>
    </row>
    <row r="22" spans="1:4" x14ac:dyDescent="0.2">
      <c r="A22" s="3" t="s">
        <v>140</v>
      </c>
      <c r="B22" s="3" t="s">
        <v>1</v>
      </c>
      <c r="C22" s="3" t="s">
        <v>931</v>
      </c>
      <c r="D22" s="3" t="s">
        <v>15</v>
      </c>
    </row>
    <row r="23" spans="1:4" x14ac:dyDescent="0.2">
      <c r="A23" s="3" t="s">
        <v>141</v>
      </c>
      <c r="B23" s="3" t="s">
        <v>1</v>
      </c>
      <c r="C23" s="3" t="s">
        <v>931</v>
      </c>
      <c r="D23" s="3" t="s">
        <v>15</v>
      </c>
    </row>
    <row r="24" spans="1:4" x14ac:dyDescent="0.2">
      <c r="A24" s="3" t="s">
        <v>1673</v>
      </c>
      <c r="B24" s="3" t="s">
        <v>937</v>
      </c>
      <c r="C24" s="3" t="s">
        <v>938</v>
      </c>
      <c r="D24" s="3" t="s">
        <v>939</v>
      </c>
    </row>
    <row r="25" spans="1:4" x14ac:dyDescent="0.2">
      <c r="A25" s="3" t="s">
        <v>1173</v>
      </c>
      <c r="B25" s="3" t="s">
        <v>937</v>
      </c>
      <c r="C25" s="3" t="s">
        <v>938</v>
      </c>
      <c r="D25" s="3" t="s">
        <v>939</v>
      </c>
    </row>
    <row r="26" spans="1:4" x14ac:dyDescent="0.2">
      <c r="A26" s="3" t="s">
        <v>1174</v>
      </c>
      <c r="B26" s="3" t="s">
        <v>937</v>
      </c>
      <c r="C26" s="3" t="s">
        <v>938</v>
      </c>
      <c r="D26" s="3" t="s">
        <v>939</v>
      </c>
    </row>
    <row r="27" spans="1:4" x14ac:dyDescent="0.2">
      <c r="A27" s="3" t="s">
        <v>1675</v>
      </c>
      <c r="B27" s="3" t="s">
        <v>937</v>
      </c>
      <c r="C27" s="3" t="s">
        <v>938</v>
      </c>
      <c r="D27" s="3" t="s">
        <v>939</v>
      </c>
    </row>
    <row r="28" spans="1:4" x14ac:dyDescent="0.2">
      <c r="A28" s="3" t="s">
        <v>413</v>
      </c>
      <c r="B28" s="3" t="s">
        <v>937</v>
      </c>
      <c r="C28" s="3" t="s">
        <v>938</v>
      </c>
      <c r="D28" s="3" t="s">
        <v>939</v>
      </c>
    </row>
    <row r="29" spans="1:4" x14ac:dyDescent="0.2">
      <c r="A29" s="3" t="s">
        <v>414</v>
      </c>
      <c r="B29" s="3" t="s">
        <v>937</v>
      </c>
      <c r="C29" s="3" t="s">
        <v>938</v>
      </c>
      <c r="D29" s="3" t="s">
        <v>939</v>
      </c>
    </row>
    <row r="30" spans="1:4" x14ac:dyDescent="0.2">
      <c r="A30" s="3" t="s">
        <v>415</v>
      </c>
      <c r="B30" s="3" t="s">
        <v>937</v>
      </c>
      <c r="C30" s="3" t="s">
        <v>938</v>
      </c>
      <c r="D30" s="3" t="s">
        <v>939</v>
      </c>
    </row>
    <row r="31" spans="1:4" x14ac:dyDescent="0.2">
      <c r="A31" s="3" t="s">
        <v>416</v>
      </c>
      <c r="B31" s="3" t="s">
        <v>937</v>
      </c>
      <c r="C31" s="3" t="s">
        <v>938</v>
      </c>
      <c r="D31" s="3" t="s">
        <v>939</v>
      </c>
    </row>
    <row r="32" spans="1:4" x14ac:dyDescent="0.2">
      <c r="A32" s="3" t="s">
        <v>417</v>
      </c>
      <c r="B32" s="3" t="s">
        <v>937</v>
      </c>
      <c r="C32" s="3" t="s">
        <v>938</v>
      </c>
      <c r="D32" s="3" t="s">
        <v>939</v>
      </c>
    </row>
    <row r="33" spans="1:4" x14ac:dyDescent="0.2">
      <c r="A33" s="3" t="s">
        <v>418</v>
      </c>
      <c r="B33" s="3" t="s">
        <v>937</v>
      </c>
      <c r="C33" s="3" t="s">
        <v>938</v>
      </c>
      <c r="D33" s="3" t="s">
        <v>939</v>
      </c>
    </row>
    <row r="34" spans="1:4" x14ac:dyDescent="0.2">
      <c r="A34" s="3" t="s">
        <v>419</v>
      </c>
      <c r="B34" s="3" t="s">
        <v>937</v>
      </c>
      <c r="C34" s="3" t="s">
        <v>938</v>
      </c>
      <c r="D34" s="3" t="s">
        <v>939</v>
      </c>
    </row>
    <row r="35" spans="1:4" x14ac:dyDescent="0.2">
      <c r="A35" s="3" t="s">
        <v>420</v>
      </c>
      <c r="B35" s="3" t="s">
        <v>937</v>
      </c>
      <c r="C35" s="3" t="s">
        <v>938</v>
      </c>
      <c r="D35" s="3" t="s">
        <v>939</v>
      </c>
    </row>
    <row r="36" spans="1:4" x14ac:dyDescent="0.2">
      <c r="A36" s="3" t="s">
        <v>421</v>
      </c>
      <c r="B36" s="3" t="s">
        <v>937</v>
      </c>
      <c r="C36" s="3" t="s">
        <v>938</v>
      </c>
      <c r="D36" s="3" t="s">
        <v>939</v>
      </c>
    </row>
    <row r="37" spans="1:4" x14ac:dyDescent="0.2">
      <c r="A37" s="3" t="s">
        <v>422</v>
      </c>
      <c r="B37" s="3" t="s">
        <v>937</v>
      </c>
      <c r="C37" s="3" t="s">
        <v>938</v>
      </c>
      <c r="D37" s="3" t="s">
        <v>939</v>
      </c>
    </row>
    <row r="38" spans="1:4" x14ac:dyDescent="0.2">
      <c r="A38" s="3" t="s">
        <v>423</v>
      </c>
      <c r="B38" s="3" t="s">
        <v>937</v>
      </c>
      <c r="C38" s="3" t="s">
        <v>938</v>
      </c>
      <c r="D38" s="3" t="s">
        <v>939</v>
      </c>
    </row>
    <row r="39" spans="1:4" x14ac:dyDescent="0.2">
      <c r="A39" s="3" t="s">
        <v>424</v>
      </c>
      <c r="B39" s="3" t="s">
        <v>937</v>
      </c>
      <c r="C39" s="3" t="s">
        <v>938</v>
      </c>
      <c r="D39" s="3" t="s">
        <v>939</v>
      </c>
    </row>
    <row r="40" spans="1:4" x14ac:dyDescent="0.2">
      <c r="A40" s="3" t="s">
        <v>425</v>
      </c>
      <c r="B40" s="3" t="s">
        <v>937</v>
      </c>
      <c r="C40" s="3" t="s">
        <v>938</v>
      </c>
      <c r="D40" s="3" t="s">
        <v>939</v>
      </c>
    </row>
    <row r="41" spans="1:4" x14ac:dyDescent="0.2">
      <c r="A41" s="3" t="s">
        <v>426</v>
      </c>
      <c r="B41" s="3" t="s">
        <v>937</v>
      </c>
      <c r="C41" s="3" t="s">
        <v>938</v>
      </c>
      <c r="D41" s="3" t="s">
        <v>939</v>
      </c>
    </row>
    <row r="42" spans="1:4" x14ac:dyDescent="0.2">
      <c r="A42" s="3" t="s">
        <v>427</v>
      </c>
      <c r="B42" s="3" t="s">
        <v>937</v>
      </c>
      <c r="C42" s="3" t="s">
        <v>938</v>
      </c>
      <c r="D42" s="3" t="s">
        <v>939</v>
      </c>
    </row>
    <row r="43" spans="1:4" x14ac:dyDescent="0.2">
      <c r="A43" s="3" t="s">
        <v>428</v>
      </c>
      <c r="B43" s="3" t="s">
        <v>937</v>
      </c>
      <c r="C43" s="3" t="s">
        <v>938</v>
      </c>
      <c r="D43" s="3" t="s">
        <v>939</v>
      </c>
    </row>
    <row r="44" spans="1:4" x14ac:dyDescent="0.2">
      <c r="A44" s="3" t="s">
        <v>429</v>
      </c>
      <c r="B44" s="3" t="s">
        <v>937</v>
      </c>
      <c r="C44" s="3" t="s">
        <v>938</v>
      </c>
      <c r="D44" s="3" t="s">
        <v>939</v>
      </c>
    </row>
    <row r="45" spans="1:4" x14ac:dyDescent="0.2">
      <c r="A45" s="3" t="s">
        <v>430</v>
      </c>
      <c r="B45" s="3" t="s">
        <v>937</v>
      </c>
      <c r="C45" s="3" t="s">
        <v>938</v>
      </c>
      <c r="D45" s="3" t="s">
        <v>939</v>
      </c>
    </row>
    <row r="46" spans="1:4" x14ac:dyDescent="0.2">
      <c r="A46" s="3" t="s">
        <v>1407</v>
      </c>
      <c r="B46" s="3" t="s">
        <v>937</v>
      </c>
      <c r="C46" s="3" t="s">
        <v>938</v>
      </c>
      <c r="D46" s="3" t="s">
        <v>939</v>
      </c>
    </row>
    <row r="47" spans="1:4" x14ac:dyDescent="0.2">
      <c r="A47" s="3" t="s">
        <v>431</v>
      </c>
      <c r="B47" s="3" t="s">
        <v>937</v>
      </c>
      <c r="C47" s="3" t="s">
        <v>938</v>
      </c>
      <c r="D47" s="3" t="s">
        <v>939</v>
      </c>
    </row>
    <row r="48" spans="1:4" x14ac:dyDescent="0.2">
      <c r="A48" s="3" t="s">
        <v>432</v>
      </c>
      <c r="B48" s="3" t="s">
        <v>937</v>
      </c>
      <c r="C48" s="3" t="s">
        <v>938</v>
      </c>
      <c r="D48" s="3" t="s">
        <v>939</v>
      </c>
    </row>
    <row r="49" spans="1:4" x14ac:dyDescent="0.2">
      <c r="A49" s="3" t="s">
        <v>433</v>
      </c>
      <c r="B49" s="3" t="s">
        <v>937</v>
      </c>
      <c r="C49" s="3" t="s">
        <v>938</v>
      </c>
      <c r="D49" s="3" t="s">
        <v>939</v>
      </c>
    </row>
    <row r="50" spans="1:4" x14ac:dyDescent="0.2">
      <c r="A50" s="3" t="s">
        <v>434</v>
      </c>
      <c r="B50" s="3" t="s">
        <v>937</v>
      </c>
      <c r="C50" s="3" t="s">
        <v>938</v>
      </c>
      <c r="D50" s="3" t="s">
        <v>939</v>
      </c>
    </row>
    <row r="51" spans="1:4" x14ac:dyDescent="0.2">
      <c r="A51" s="3" t="s">
        <v>435</v>
      </c>
      <c r="B51" s="3" t="s">
        <v>937</v>
      </c>
      <c r="C51" s="3" t="s">
        <v>938</v>
      </c>
      <c r="D51" s="3" t="s">
        <v>939</v>
      </c>
    </row>
    <row r="52" spans="1:4" x14ac:dyDescent="0.2">
      <c r="A52" s="3" t="s">
        <v>436</v>
      </c>
      <c r="B52" s="3" t="s">
        <v>937</v>
      </c>
      <c r="C52" s="3" t="s">
        <v>938</v>
      </c>
      <c r="D52" s="3" t="s">
        <v>939</v>
      </c>
    </row>
    <row r="53" spans="1:4" x14ac:dyDescent="0.2">
      <c r="A53" s="3" t="s">
        <v>1674</v>
      </c>
      <c r="B53" s="3" t="s">
        <v>937</v>
      </c>
      <c r="C53" s="3" t="s">
        <v>938</v>
      </c>
      <c r="D53" s="3" t="s">
        <v>939</v>
      </c>
    </row>
    <row r="54" spans="1:4" x14ac:dyDescent="0.2">
      <c r="A54" s="3" t="s">
        <v>437</v>
      </c>
      <c r="B54" s="3" t="s">
        <v>937</v>
      </c>
      <c r="C54" s="3" t="s">
        <v>938</v>
      </c>
      <c r="D54" s="3" t="s">
        <v>939</v>
      </c>
    </row>
    <row r="55" spans="1:4" x14ac:dyDescent="0.2">
      <c r="A55" s="3" t="s">
        <v>438</v>
      </c>
      <c r="B55" s="3" t="s">
        <v>937</v>
      </c>
      <c r="C55" s="3" t="s">
        <v>938</v>
      </c>
      <c r="D55" s="3" t="s">
        <v>939</v>
      </c>
    </row>
    <row r="56" spans="1:4" x14ac:dyDescent="0.2">
      <c r="A56" s="3" t="s">
        <v>439</v>
      </c>
      <c r="B56" s="3" t="s">
        <v>937</v>
      </c>
      <c r="C56" s="3" t="s">
        <v>938</v>
      </c>
      <c r="D56" s="3" t="s">
        <v>939</v>
      </c>
    </row>
    <row r="57" spans="1:4" x14ac:dyDescent="0.2">
      <c r="A57" s="3" t="s">
        <v>152</v>
      </c>
      <c r="B57" s="3" t="s">
        <v>1</v>
      </c>
      <c r="C57" s="3" t="s">
        <v>2</v>
      </c>
      <c r="D57" s="3" t="s">
        <v>934</v>
      </c>
    </row>
    <row r="58" spans="1:4" x14ac:dyDescent="0.2">
      <c r="A58" s="3" t="s">
        <v>153</v>
      </c>
      <c r="B58" s="3" t="s">
        <v>1</v>
      </c>
      <c r="C58" s="3" t="s">
        <v>2</v>
      </c>
      <c r="D58" s="3" t="s">
        <v>934</v>
      </c>
    </row>
    <row r="59" spans="1:4" x14ac:dyDescent="0.2">
      <c r="A59" s="3" t="s">
        <v>154</v>
      </c>
      <c r="B59" s="3" t="s">
        <v>1</v>
      </c>
      <c r="C59" s="3" t="s">
        <v>2</v>
      </c>
      <c r="D59" s="3" t="s">
        <v>934</v>
      </c>
    </row>
    <row r="60" spans="1:4" x14ac:dyDescent="0.2">
      <c r="A60" s="3" t="s">
        <v>155</v>
      </c>
      <c r="B60" s="3" t="s">
        <v>1</v>
      </c>
      <c r="C60" s="3" t="s">
        <v>2</v>
      </c>
      <c r="D60" s="3" t="s">
        <v>934</v>
      </c>
    </row>
    <row r="61" spans="1:4" x14ac:dyDescent="0.2">
      <c r="A61" s="3" t="s">
        <v>156</v>
      </c>
      <c r="B61" s="3" t="s">
        <v>1</v>
      </c>
      <c r="C61" s="3" t="s">
        <v>2</v>
      </c>
      <c r="D61" s="3" t="s">
        <v>934</v>
      </c>
    </row>
    <row r="62" spans="1:4" x14ac:dyDescent="0.2">
      <c r="A62" s="3" t="s">
        <v>157</v>
      </c>
      <c r="B62" s="3" t="s">
        <v>1</v>
      </c>
      <c r="C62" s="3" t="s">
        <v>2</v>
      </c>
      <c r="D62" s="3" t="s">
        <v>934</v>
      </c>
    </row>
    <row r="63" spans="1:4" x14ac:dyDescent="0.2">
      <c r="A63" s="3" t="s">
        <v>125</v>
      </c>
      <c r="B63" s="3" t="s">
        <v>1</v>
      </c>
      <c r="C63" s="3" t="s">
        <v>2</v>
      </c>
      <c r="D63" s="3" t="s">
        <v>934</v>
      </c>
    </row>
    <row r="64" spans="1:4" x14ac:dyDescent="0.2">
      <c r="A64" s="3" t="s">
        <v>47</v>
      </c>
      <c r="B64" s="3" t="s">
        <v>1</v>
      </c>
      <c r="C64" s="3" t="s">
        <v>2</v>
      </c>
      <c r="D64" s="3" t="s">
        <v>934</v>
      </c>
    </row>
    <row r="65" spans="1:4" x14ac:dyDescent="0.2">
      <c r="A65" s="3" t="s">
        <v>126</v>
      </c>
      <c r="B65" s="3" t="s">
        <v>1</v>
      </c>
      <c r="C65" s="3" t="s">
        <v>2</v>
      </c>
      <c r="D65" s="3" t="s">
        <v>934</v>
      </c>
    </row>
    <row r="66" spans="1:4" x14ac:dyDescent="0.2">
      <c r="A66" s="3" t="s">
        <v>102</v>
      </c>
      <c r="B66" s="3" t="s">
        <v>1</v>
      </c>
      <c r="C66" s="3" t="s">
        <v>2</v>
      </c>
      <c r="D66" s="3" t="s">
        <v>934</v>
      </c>
    </row>
    <row r="67" spans="1:4" x14ac:dyDescent="0.2">
      <c r="A67" s="3" t="s">
        <v>158</v>
      </c>
      <c r="B67" s="3" t="s">
        <v>1</v>
      </c>
      <c r="C67" s="3" t="s">
        <v>17</v>
      </c>
      <c r="D67" s="3" t="s">
        <v>935</v>
      </c>
    </row>
    <row r="68" spans="1:4" x14ac:dyDescent="0.2">
      <c r="A68" s="3" t="s">
        <v>159</v>
      </c>
      <c r="B68" s="3" t="s">
        <v>1</v>
      </c>
      <c r="C68" s="3" t="s">
        <v>17</v>
      </c>
      <c r="D68" s="3" t="s">
        <v>935</v>
      </c>
    </row>
    <row r="69" spans="1:4" x14ac:dyDescent="0.2">
      <c r="A69" s="3" t="s">
        <v>160</v>
      </c>
      <c r="B69" s="3" t="s">
        <v>1</v>
      </c>
      <c r="C69" s="3" t="s">
        <v>17</v>
      </c>
      <c r="D69" s="3" t="s">
        <v>936</v>
      </c>
    </row>
    <row r="70" spans="1:4" x14ac:dyDescent="0.2">
      <c r="A70" s="3" t="s">
        <v>234</v>
      </c>
      <c r="B70" s="3" t="s">
        <v>1</v>
      </c>
      <c r="C70" s="3" t="s">
        <v>968</v>
      </c>
      <c r="D70" s="3" t="s">
        <v>969</v>
      </c>
    </row>
    <row r="71" spans="1:4" x14ac:dyDescent="0.2">
      <c r="A71" s="3" t="s">
        <v>163</v>
      </c>
      <c r="B71" s="3" t="s">
        <v>1</v>
      </c>
      <c r="C71" s="3" t="s">
        <v>17</v>
      </c>
      <c r="D71" s="3" t="s">
        <v>941</v>
      </c>
    </row>
    <row r="72" spans="1:4" x14ac:dyDescent="0.2">
      <c r="A72" s="3" t="s">
        <v>273</v>
      </c>
      <c r="B72" s="3" t="s">
        <v>1</v>
      </c>
      <c r="C72" s="3" t="s">
        <v>17</v>
      </c>
      <c r="D72" s="3" t="s">
        <v>941</v>
      </c>
    </row>
    <row r="73" spans="1:4" x14ac:dyDescent="0.2">
      <c r="A73" s="3" t="s">
        <v>316</v>
      </c>
      <c r="B73" s="3" t="s">
        <v>1</v>
      </c>
      <c r="C73" s="3" t="s">
        <v>17</v>
      </c>
      <c r="D73" s="3" t="s">
        <v>941</v>
      </c>
    </row>
    <row r="74" spans="1:4" x14ac:dyDescent="0.2">
      <c r="A74" s="3" t="s">
        <v>161</v>
      </c>
      <c r="B74" s="3" t="s">
        <v>1</v>
      </c>
      <c r="C74" s="3" t="s">
        <v>17</v>
      </c>
      <c r="D74" s="3" t="s">
        <v>940</v>
      </c>
    </row>
    <row r="75" spans="1:4" x14ac:dyDescent="0.2">
      <c r="A75" s="3" t="s">
        <v>162</v>
      </c>
      <c r="B75" s="3" t="s">
        <v>1</v>
      </c>
      <c r="C75" s="3" t="s">
        <v>17</v>
      </c>
      <c r="D75" s="3" t="s">
        <v>940</v>
      </c>
    </row>
    <row r="76" spans="1:4" x14ac:dyDescent="0.2">
      <c r="A76" s="3" t="s">
        <v>400</v>
      </c>
      <c r="B76" s="3" t="s">
        <v>943</v>
      </c>
      <c r="C76" s="3" t="s">
        <v>17</v>
      </c>
      <c r="D76" s="3" t="s">
        <v>944</v>
      </c>
    </row>
    <row r="77" spans="1:4" x14ac:dyDescent="0.2">
      <c r="A77" s="3" t="s">
        <v>401</v>
      </c>
      <c r="B77" s="3" t="s">
        <v>943</v>
      </c>
      <c r="C77" s="3" t="s">
        <v>17</v>
      </c>
      <c r="D77" s="3" t="s">
        <v>944</v>
      </c>
    </row>
    <row r="78" spans="1:4" x14ac:dyDescent="0.2">
      <c r="A78" s="3" t="s">
        <v>105</v>
      </c>
      <c r="B78" s="3" t="s">
        <v>27</v>
      </c>
      <c r="C78" s="3" t="s">
        <v>945</v>
      </c>
      <c r="D78" s="3" t="s">
        <v>946</v>
      </c>
    </row>
    <row r="79" spans="1:4" x14ac:dyDescent="0.2">
      <c r="A79" s="3" t="s">
        <v>114</v>
      </c>
      <c r="B79" s="3" t="s">
        <v>27</v>
      </c>
      <c r="C79" s="3" t="s">
        <v>945</v>
      </c>
      <c r="D79" s="3" t="s">
        <v>946</v>
      </c>
    </row>
    <row r="80" spans="1:4" x14ac:dyDescent="0.2">
      <c r="A80" s="3" t="s">
        <v>182</v>
      </c>
      <c r="B80" s="3" t="s">
        <v>1</v>
      </c>
      <c r="C80" s="3" t="s">
        <v>19</v>
      </c>
      <c r="D80" s="3" t="s">
        <v>950</v>
      </c>
    </row>
    <row r="81" spans="1:4" x14ac:dyDescent="0.2">
      <c r="A81" s="3" t="s">
        <v>183</v>
      </c>
      <c r="B81" s="3" t="s">
        <v>1</v>
      </c>
      <c r="C81" s="3" t="s">
        <v>19</v>
      </c>
      <c r="D81" s="3" t="s">
        <v>950</v>
      </c>
    </row>
    <row r="82" spans="1:4" x14ac:dyDescent="0.2">
      <c r="A82" s="3" t="s">
        <v>181</v>
      </c>
      <c r="B82" s="3" t="s">
        <v>1</v>
      </c>
      <c r="C82" s="3" t="s">
        <v>29</v>
      </c>
      <c r="D82" s="3" t="s">
        <v>949</v>
      </c>
    </row>
    <row r="83" spans="1:4" x14ac:dyDescent="0.2">
      <c r="A83" s="3" t="s">
        <v>142</v>
      </c>
      <c r="B83" s="3" t="s">
        <v>1</v>
      </c>
      <c r="C83" s="3" t="s">
        <v>29</v>
      </c>
      <c r="D83" s="3" t="s">
        <v>926</v>
      </c>
    </row>
    <row r="84" spans="1:4" x14ac:dyDescent="0.2">
      <c r="A84" s="3" t="s">
        <v>143</v>
      </c>
      <c r="B84" s="3" t="s">
        <v>1</v>
      </c>
      <c r="C84" s="3" t="s">
        <v>29</v>
      </c>
      <c r="D84" s="3" t="s">
        <v>926</v>
      </c>
    </row>
    <row r="85" spans="1:4" x14ac:dyDescent="0.2">
      <c r="A85" s="3" t="s">
        <v>144</v>
      </c>
      <c r="B85" s="3" t="s">
        <v>1</v>
      </c>
      <c r="C85" s="3" t="s">
        <v>29</v>
      </c>
      <c r="D85" s="3" t="s">
        <v>926</v>
      </c>
    </row>
    <row r="86" spans="1:4" x14ac:dyDescent="0.2">
      <c r="A86" s="3" t="s">
        <v>145</v>
      </c>
      <c r="B86" s="3" t="s">
        <v>1</v>
      </c>
      <c r="C86" s="3" t="s">
        <v>29</v>
      </c>
      <c r="D86" s="3" t="s">
        <v>926</v>
      </c>
    </row>
    <row r="87" spans="1:4" x14ac:dyDescent="0.2">
      <c r="A87" s="3" t="s">
        <v>168</v>
      </c>
      <c r="B87" s="3" t="s">
        <v>1</v>
      </c>
      <c r="C87" s="3" t="s">
        <v>29</v>
      </c>
      <c r="D87" s="3" t="s">
        <v>926</v>
      </c>
    </row>
    <row r="88" spans="1:4" x14ac:dyDescent="0.2">
      <c r="A88" s="3" t="s">
        <v>169</v>
      </c>
      <c r="B88" s="3" t="s">
        <v>1</v>
      </c>
      <c r="C88" s="3" t="s">
        <v>29</v>
      </c>
      <c r="D88" s="3" t="s">
        <v>926</v>
      </c>
    </row>
    <row r="89" spans="1:4" x14ac:dyDescent="0.2">
      <c r="A89" s="3" t="s">
        <v>170</v>
      </c>
      <c r="B89" s="3" t="s">
        <v>1</v>
      </c>
      <c r="C89" s="3" t="s">
        <v>29</v>
      </c>
      <c r="D89" s="3" t="s">
        <v>926</v>
      </c>
    </row>
    <row r="90" spans="1:4" x14ac:dyDescent="0.2">
      <c r="A90" s="3" t="s">
        <v>171</v>
      </c>
      <c r="B90" s="3" t="s">
        <v>1</v>
      </c>
      <c r="C90" s="3" t="s">
        <v>29</v>
      </c>
      <c r="D90" s="3" t="s">
        <v>926</v>
      </c>
    </row>
    <row r="91" spans="1:4" x14ac:dyDescent="0.2">
      <c r="A91" s="3" t="s">
        <v>172</v>
      </c>
      <c r="B91" s="3" t="s">
        <v>1</v>
      </c>
      <c r="C91" s="3" t="s">
        <v>29</v>
      </c>
      <c r="D91" s="3" t="s">
        <v>926</v>
      </c>
    </row>
    <row r="92" spans="1:4" x14ac:dyDescent="0.2">
      <c r="A92" s="3" t="s">
        <v>173</v>
      </c>
      <c r="B92" s="3" t="s">
        <v>1</v>
      </c>
      <c r="C92" s="3" t="s">
        <v>29</v>
      </c>
      <c r="D92" s="3" t="s">
        <v>926</v>
      </c>
    </row>
    <row r="93" spans="1:4" x14ac:dyDescent="0.2">
      <c r="A93" s="3" t="s">
        <v>174</v>
      </c>
      <c r="B93" s="3" t="s">
        <v>1</v>
      </c>
      <c r="C93" s="3" t="s">
        <v>29</v>
      </c>
      <c r="D93" s="3" t="s">
        <v>926</v>
      </c>
    </row>
    <row r="94" spans="1:4" x14ac:dyDescent="0.2">
      <c r="A94" s="3" t="s">
        <v>175</v>
      </c>
      <c r="B94" s="3" t="s">
        <v>1</v>
      </c>
      <c r="C94" s="3" t="s">
        <v>29</v>
      </c>
      <c r="D94" s="3" t="s">
        <v>926</v>
      </c>
    </row>
    <row r="95" spans="1:4" x14ac:dyDescent="0.2">
      <c r="A95" s="3" t="s">
        <v>176</v>
      </c>
      <c r="B95" s="3" t="s">
        <v>1</v>
      </c>
      <c r="C95" s="3" t="s">
        <v>29</v>
      </c>
      <c r="D95" s="3" t="s">
        <v>926</v>
      </c>
    </row>
    <row r="96" spans="1:4" x14ac:dyDescent="0.2">
      <c r="A96" s="3" t="s">
        <v>177</v>
      </c>
      <c r="B96" s="3" t="s">
        <v>1</v>
      </c>
      <c r="C96" s="3" t="s">
        <v>29</v>
      </c>
      <c r="D96" s="3" t="s">
        <v>926</v>
      </c>
    </row>
    <row r="97" spans="1:4" x14ac:dyDescent="0.2">
      <c r="A97" s="3" t="s">
        <v>178</v>
      </c>
      <c r="B97" s="3" t="s">
        <v>1</v>
      </c>
      <c r="C97" s="3" t="s">
        <v>29</v>
      </c>
      <c r="D97" s="3" t="s">
        <v>926</v>
      </c>
    </row>
    <row r="98" spans="1:4" x14ac:dyDescent="0.2">
      <c r="A98" s="3" t="s">
        <v>184</v>
      </c>
      <c r="B98" s="3" t="s">
        <v>1</v>
      </c>
      <c r="C98" s="3" t="s">
        <v>29</v>
      </c>
      <c r="D98" s="3" t="s">
        <v>926</v>
      </c>
    </row>
    <row r="99" spans="1:4" x14ac:dyDescent="0.2">
      <c r="A99" s="3" t="s">
        <v>185</v>
      </c>
      <c r="B99" s="3" t="s">
        <v>1</v>
      </c>
      <c r="C99" s="3" t="s">
        <v>29</v>
      </c>
      <c r="D99" s="3" t="s">
        <v>926</v>
      </c>
    </row>
    <row r="100" spans="1:4" x14ac:dyDescent="0.2">
      <c r="A100" s="3" t="s">
        <v>186</v>
      </c>
      <c r="B100" s="3" t="s">
        <v>1</v>
      </c>
      <c r="C100" s="3" t="s">
        <v>29</v>
      </c>
      <c r="D100" s="3" t="s">
        <v>926</v>
      </c>
    </row>
    <row r="101" spans="1:4" x14ac:dyDescent="0.2">
      <c r="A101" s="3" t="s">
        <v>187</v>
      </c>
      <c r="B101" s="3" t="s">
        <v>1</v>
      </c>
      <c r="C101" s="3" t="s">
        <v>29</v>
      </c>
      <c r="D101" s="3" t="s">
        <v>926</v>
      </c>
    </row>
    <row r="102" spans="1:4" x14ac:dyDescent="0.2">
      <c r="A102" s="3" t="s">
        <v>1024</v>
      </c>
      <c r="B102" s="3" t="s">
        <v>1</v>
      </c>
      <c r="C102" s="3" t="s">
        <v>29</v>
      </c>
      <c r="D102" s="3" t="s">
        <v>926</v>
      </c>
    </row>
    <row r="103" spans="1:4" x14ac:dyDescent="0.2">
      <c r="A103" s="3" t="s">
        <v>188</v>
      </c>
      <c r="B103" s="3" t="s">
        <v>1</v>
      </c>
      <c r="C103" s="3" t="s">
        <v>29</v>
      </c>
      <c r="D103" s="3" t="s">
        <v>926</v>
      </c>
    </row>
    <row r="104" spans="1:4" x14ac:dyDescent="0.2">
      <c r="A104" s="3" t="s">
        <v>189</v>
      </c>
      <c r="B104" s="3" t="s">
        <v>1</v>
      </c>
      <c r="C104" s="3" t="s">
        <v>29</v>
      </c>
      <c r="D104" s="3" t="s">
        <v>926</v>
      </c>
    </row>
    <row r="105" spans="1:4" x14ac:dyDescent="0.2">
      <c r="A105" s="3" t="s">
        <v>42</v>
      </c>
      <c r="B105" s="3" t="s">
        <v>1</v>
      </c>
      <c r="C105" s="3" t="s">
        <v>17</v>
      </c>
      <c r="D105" s="3" t="s">
        <v>926</v>
      </c>
    </row>
    <row r="106" spans="1:4" x14ac:dyDescent="0.2">
      <c r="A106" s="3" t="s">
        <v>1501</v>
      </c>
      <c r="B106" s="3" t="s">
        <v>1</v>
      </c>
      <c r="C106" s="3" t="s">
        <v>17</v>
      </c>
      <c r="D106" s="3" t="s">
        <v>926</v>
      </c>
    </row>
    <row r="107" spans="1:4" x14ac:dyDescent="0.2">
      <c r="A107" s="3" t="s">
        <v>399</v>
      </c>
      <c r="B107" s="3" t="s">
        <v>1</v>
      </c>
      <c r="C107" s="3" t="s">
        <v>29</v>
      </c>
      <c r="D107" s="3" t="s">
        <v>926</v>
      </c>
    </row>
    <row r="108" spans="1:4" x14ac:dyDescent="0.2">
      <c r="A108" s="3" t="s">
        <v>167</v>
      </c>
      <c r="B108" s="3" t="s">
        <v>1</v>
      </c>
      <c r="C108" s="3" t="s">
        <v>17</v>
      </c>
      <c r="D108" s="3" t="s">
        <v>947</v>
      </c>
    </row>
    <row r="109" spans="1:4" x14ac:dyDescent="0.2">
      <c r="A109" s="3" t="s">
        <v>207</v>
      </c>
      <c r="B109" s="3" t="s">
        <v>1</v>
      </c>
      <c r="C109" s="3" t="s">
        <v>17</v>
      </c>
      <c r="D109" s="3" t="s">
        <v>947</v>
      </c>
    </row>
    <row r="110" spans="1:4" x14ac:dyDescent="0.2">
      <c r="A110" s="3" t="s">
        <v>1676</v>
      </c>
      <c r="B110" s="3" t="s">
        <v>1</v>
      </c>
      <c r="C110" s="3" t="s">
        <v>938</v>
      </c>
      <c r="D110" s="3" t="s">
        <v>954</v>
      </c>
    </row>
    <row r="111" spans="1:4" x14ac:dyDescent="0.2">
      <c r="A111" s="3" t="s">
        <v>211</v>
      </c>
      <c r="B111" s="3" t="s">
        <v>1</v>
      </c>
      <c r="C111" s="3" t="s">
        <v>938</v>
      </c>
      <c r="D111" s="3" t="s">
        <v>954</v>
      </c>
    </row>
    <row r="112" spans="1:4" x14ac:dyDescent="0.2">
      <c r="A112" s="3" t="s">
        <v>213</v>
      </c>
      <c r="B112" s="3" t="s">
        <v>1</v>
      </c>
      <c r="C112" s="3" t="s">
        <v>938</v>
      </c>
      <c r="D112" s="3" t="s">
        <v>954</v>
      </c>
    </row>
    <row r="113" spans="1:4" x14ac:dyDescent="0.2">
      <c r="A113" s="3" t="s">
        <v>214</v>
      </c>
      <c r="B113" s="3" t="s">
        <v>1</v>
      </c>
      <c r="C113" s="3" t="s">
        <v>938</v>
      </c>
      <c r="D113" s="3" t="s">
        <v>954</v>
      </c>
    </row>
    <row r="114" spans="1:4" x14ac:dyDescent="0.2">
      <c r="A114" s="3" t="s">
        <v>215</v>
      </c>
      <c r="B114" s="3" t="s">
        <v>1</v>
      </c>
      <c r="C114" s="3" t="s">
        <v>938</v>
      </c>
      <c r="D114" s="3" t="s">
        <v>954</v>
      </c>
    </row>
    <row r="115" spans="1:4" x14ac:dyDescent="0.2">
      <c r="A115" s="3" t="s">
        <v>216</v>
      </c>
      <c r="B115" s="3" t="s">
        <v>1</v>
      </c>
      <c r="C115" s="3" t="s">
        <v>938</v>
      </c>
      <c r="D115" s="3" t="s">
        <v>954</v>
      </c>
    </row>
    <row r="116" spans="1:4" x14ac:dyDescent="0.2">
      <c r="A116" s="3" t="s">
        <v>217</v>
      </c>
      <c r="B116" s="3" t="s">
        <v>1</v>
      </c>
      <c r="C116" s="3" t="s">
        <v>938</v>
      </c>
      <c r="D116" s="3" t="s">
        <v>954</v>
      </c>
    </row>
    <row r="117" spans="1:4" x14ac:dyDescent="0.2">
      <c r="A117" s="3" t="s">
        <v>218</v>
      </c>
      <c r="B117" s="3" t="s">
        <v>1</v>
      </c>
      <c r="C117" s="3" t="s">
        <v>938</v>
      </c>
      <c r="D117" s="3" t="s">
        <v>954</v>
      </c>
    </row>
    <row r="118" spans="1:4" x14ac:dyDescent="0.2">
      <c r="A118" s="3" t="s">
        <v>219</v>
      </c>
      <c r="B118" s="3" t="s">
        <v>1</v>
      </c>
      <c r="C118" s="3" t="s">
        <v>938</v>
      </c>
      <c r="D118" s="3" t="s">
        <v>954</v>
      </c>
    </row>
    <row r="119" spans="1:4" x14ac:dyDescent="0.2">
      <c r="A119" s="3" t="s">
        <v>220</v>
      </c>
      <c r="B119" s="3" t="s">
        <v>1</v>
      </c>
      <c r="C119" s="3" t="s">
        <v>938</v>
      </c>
      <c r="D119" s="3" t="s">
        <v>954</v>
      </c>
    </row>
    <row r="120" spans="1:4" x14ac:dyDescent="0.2">
      <c r="A120" s="3" t="s">
        <v>221</v>
      </c>
      <c r="B120" s="3" t="s">
        <v>1</v>
      </c>
      <c r="C120" s="3" t="s">
        <v>938</v>
      </c>
      <c r="D120" s="3" t="s">
        <v>954</v>
      </c>
    </row>
    <row r="121" spans="1:4" x14ac:dyDescent="0.2">
      <c r="A121" s="3" t="s">
        <v>222</v>
      </c>
      <c r="B121" s="3" t="s">
        <v>1</v>
      </c>
      <c r="C121" s="3" t="s">
        <v>938</v>
      </c>
      <c r="D121" s="3" t="s">
        <v>954</v>
      </c>
    </row>
    <row r="122" spans="1:4" x14ac:dyDescent="0.2">
      <c r="A122" s="3" t="s">
        <v>223</v>
      </c>
      <c r="B122" s="3" t="s">
        <v>1</v>
      </c>
      <c r="C122" s="3" t="s">
        <v>938</v>
      </c>
      <c r="D122" s="3" t="s">
        <v>954</v>
      </c>
    </row>
    <row r="123" spans="1:4" x14ac:dyDescent="0.2">
      <c r="A123" s="3" t="s">
        <v>224</v>
      </c>
      <c r="B123" s="3" t="s">
        <v>1</v>
      </c>
      <c r="C123" s="3" t="s">
        <v>938</v>
      </c>
      <c r="D123" s="3" t="s">
        <v>954</v>
      </c>
    </row>
    <row r="124" spans="1:4" x14ac:dyDescent="0.2">
      <c r="A124" s="3" t="s">
        <v>225</v>
      </c>
      <c r="B124" s="3" t="s">
        <v>1</v>
      </c>
      <c r="C124" s="3" t="s">
        <v>938</v>
      </c>
      <c r="D124" s="3" t="s">
        <v>954</v>
      </c>
    </row>
    <row r="125" spans="1:4" x14ac:dyDescent="0.2">
      <c r="A125" s="3" t="s">
        <v>226</v>
      </c>
      <c r="B125" s="3" t="s">
        <v>1</v>
      </c>
      <c r="C125" s="3" t="s">
        <v>938</v>
      </c>
      <c r="D125" s="3" t="s">
        <v>954</v>
      </c>
    </row>
    <row r="126" spans="1:4" x14ac:dyDescent="0.2">
      <c r="A126" s="3" t="s">
        <v>227</v>
      </c>
      <c r="B126" s="3" t="s">
        <v>1</v>
      </c>
      <c r="C126" s="3" t="s">
        <v>938</v>
      </c>
      <c r="D126" s="3" t="s">
        <v>954</v>
      </c>
    </row>
    <row r="127" spans="1:4" x14ac:dyDescent="0.2">
      <c r="A127" s="3" t="s">
        <v>228</v>
      </c>
      <c r="B127" s="3" t="s">
        <v>1</v>
      </c>
      <c r="C127" s="3" t="s">
        <v>938</v>
      </c>
      <c r="D127" s="3" t="s">
        <v>954</v>
      </c>
    </row>
    <row r="128" spans="1:4" x14ac:dyDescent="0.2">
      <c r="A128" s="3" t="s">
        <v>229</v>
      </c>
      <c r="B128" s="3" t="s">
        <v>1</v>
      </c>
      <c r="C128" s="3" t="s">
        <v>938</v>
      </c>
      <c r="D128" s="3" t="s">
        <v>954</v>
      </c>
    </row>
    <row r="129" spans="1:4" x14ac:dyDescent="0.2">
      <c r="A129" s="3" t="s">
        <v>230</v>
      </c>
      <c r="B129" s="3" t="s">
        <v>1</v>
      </c>
      <c r="C129" s="3" t="s">
        <v>938</v>
      </c>
      <c r="D129" s="3" t="s">
        <v>954</v>
      </c>
    </row>
    <row r="130" spans="1:4" x14ac:dyDescent="0.2">
      <c r="A130" s="3" t="s">
        <v>231</v>
      </c>
      <c r="B130" s="3" t="s">
        <v>1</v>
      </c>
      <c r="C130" s="3" t="s">
        <v>938</v>
      </c>
      <c r="D130" s="3" t="s">
        <v>954</v>
      </c>
    </row>
    <row r="131" spans="1:4" x14ac:dyDescent="0.2">
      <c r="A131" s="3" t="s">
        <v>232</v>
      </c>
      <c r="B131" s="3" t="s">
        <v>1</v>
      </c>
      <c r="C131" s="3" t="s">
        <v>938</v>
      </c>
      <c r="D131" s="3" t="s">
        <v>954</v>
      </c>
    </row>
    <row r="132" spans="1:4" x14ac:dyDescent="0.2">
      <c r="A132" s="3" t="s">
        <v>233</v>
      </c>
      <c r="B132" s="3" t="s">
        <v>1</v>
      </c>
      <c r="C132" s="3" t="s">
        <v>938</v>
      </c>
      <c r="D132" s="3" t="s">
        <v>954</v>
      </c>
    </row>
    <row r="133" spans="1:4" x14ac:dyDescent="0.2">
      <c r="A133" s="3" t="s">
        <v>236</v>
      </c>
      <c r="B133" s="3" t="s">
        <v>1</v>
      </c>
      <c r="C133" s="3" t="s">
        <v>938</v>
      </c>
      <c r="D133" s="3" t="s">
        <v>954</v>
      </c>
    </row>
    <row r="134" spans="1:4" x14ac:dyDescent="0.2">
      <c r="A134" s="3" t="s">
        <v>237</v>
      </c>
      <c r="B134" s="3" t="s">
        <v>1</v>
      </c>
      <c r="C134" s="3" t="s">
        <v>938</v>
      </c>
      <c r="D134" s="3" t="s">
        <v>954</v>
      </c>
    </row>
    <row r="135" spans="1:4" x14ac:dyDescent="0.2">
      <c r="A135" s="3" t="s">
        <v>238</v>
      </c>
      <c r="B135" s="3" t="s">
        <v>1</v>
      </c>
      <c r="C135" s="3" t="s">
        <v>938</v>
      </c>
      <c r="D135" s="3" t="s">
        <v>954</v>
      </c>
    </row>
    <row r="136" spans="1:4" x14ac:dyDescent="0.2">
      <c r="A136" s="3" t="s">
        <v>239</v>
      </c>
      <c r="B136" s="3" t="s">
        <v>1</v>
      </c>
      <c r="C136" s="3" t="s">
        <v>938</v>
      </c>
      <c r="D136" s="3" t="s">
        <v>954</v>
      </c>
    </row>
    <row r="137" spans="1:4" x14ac:dyDescent="0.2">
      <c r="A137" s="3" t="s">
        <v>241</v>
      </c>
      <c r="B137" s="3" t="s">
        <v>1</v>
      </c>
      <c r="C137" s="3" t="s">
        <v>938</v>
      </c>
      <c r="D137" s="3" t="s">
        <v>954</v>
      </c>
    </row>
    <row r="138" spans="1:4" x14ac:dyDescent="0.2">
      <c r="A138" s="3" t="s">
        <v>242</v>
      </c>
      <c r="B138" s="3" t="s">
        <v>1</v>
      </c>
      <c r="C138" s="3" t="s">
        <v>938</v>
      </c>
      <c r="D138" s="3" t="s">
        <v>954</v>
      </c>
    </row>
    <row r="139" spans="1:4" x14ac:dyDescent="0.2">
      <c r="A139" s="3" t="s">
        <v>243</v>
      </c>
      <c r="B139" s="3" t="s">
        <v>1</v>
      </c>
      <c r="C139" s="3" t="s">
        <v>938</v>
      </c>
      <c r="D139" s="3" t="s">
        <v>954</v>
      </c>
    </row>
    <row r="140" spans="1:4" x14ac:dyDescent="0.2">
      <c r="A140" s="3" t="s">
        <v>244</v>
      </c>
      <c r="B140" s="3" t="s">
        <v>1</v>
      </c>
      <c r="C140" s="3" t="s">
        <v>938</v>
      </c>
      <c r="D140" s="3" t="s">
        <v>954</v>
      </c>
    </row>
    <row r="141" spans="1:4" x14ac:dyDescent="0.2">
      <c r="A141" s="3" t="s">
        <v>245</v>
      </c>
      <c r="B141" s="3" t="s">
        <v>1</v>
      </c>
      <c r="C141" s="3" t="s">
        <v>938</v>
      </c>
      <c r="D141" s="3" t="s">
        <v>954</v>
      </c>
    </row>
    <row r="142" spans="1:4" x14ac:dyDescent="0.2">
      <c r="A142" s="3" t="s">
        <v>246</v>
      </c>
      <c r="B142" s="3" t="s">
        <v>1</v>
      </c>
      <c r="C142" s="3" t="s">
        <v>938</v>
      </c>
      <c r="D142" s="3" t="s">
        <v>954</v>
      </c>
    </row>
    <row r="143" spans="1:4" x14ac:dyDescent="0.2">
      <c r="A143" s="3" t="s">
        <v>247</v>
      </c>
      <c r="B143" s="3" t="s">
        <v>1</v>
      </c>
      <c r="C143" s="3" t="s">
        <v>938</v>
      </c>
      <c r="D143" s="3" t="s">
        <v>954</v>
      </c>
    </row>
    <row r="144" spans="1:4" x14ac:dyDescent="0.2">
      <c r="A144" s="3" t="s">
        <v>248</v>
      </c>
      <c r="B144" s="3" t="s">
        <v>1</v>
      </c>
      <c r="C144" s="3" t="s">
        <v>938</v>
      </c>
      <c r="D144" s="3" t="s">
        <v>954</v>
      </c>
    </row>
    <row r="145" spans="1:4" x14ac:dyDescent="0.2">
      <c r="A145" s="3" t="s">
        <v>249</v>
      </c>
      <c r="B145" s="3" t="s">
        <v>1</v>
      </c>
      <c r="C145" s="3" t="s">
        <v>938</v>
      </c>
      <c r="D145" s="3" t="s">
        <v>954</v>
      </c>
    </row>
    <row r="146" spans="1:4" x14ac:dyDescent="0.2">
      <c r="A146" s="3" t="s">
        <v>250</v>
      </c>
      <c r="B146" s="3" t="s">
        <v>1</v>
      </c>
      <c r="C146" s="3" t="s">
        <v>938</v>
      </c>
      <c r="D146" s="3" t="s">
        <v>954</v>
      </c>
    </row>
    <row r="147" spans="1:4" x14ac:dyDescent="0.2">
      <c r="A147" s="3" t="s">
        <v>251</v>
      </c>
      <c r="B147" s="3" t="s">
        <v>1</v>
      </c>
      <c r="C147" s="3" t="s">
        <v>938</v>
      </c>
      <c r="D147" s="3" t="s">
        <v>954</v>
      </c>
    </row>
    <row r="148" spans="1:4" x14ac:dyDescent="0.2">
      <c r="A148" s="3" t="s">
        <v>252</v>
      </c>
      <c r="B148" s="3" t="s">
        <v>1</v>
      </c>
      <c r="C148" s="3" t="s">
        <v>938</v>
      </c>
      <c r="D148" s="3" t="s">
        <v>954</v>
      </c>
    </row>
    <row r="149" spans="1:4" x14ac:dyDescent="0.2">
      <c r="A149" s="3" t="s">
        <v>253</v>
      </c>
      <c r="B149" s="3" t="s">
        <v>1</v>
      </c>
      <c r="C149" s="3" t="s">
        <v>938</v>
      </c>
      <c r="D149" s="3" t="s">
        <v>954</v>
      </c>
    </row>
    <row r="150" spans="1:4" x14ac:dyDescent="0.2">
      <c r="A150" s="3" t="s">
        <v>254</v>
      </c>
      <c r="B150" s="3" t="s">
        <v>1</v>
      </c>
      <c r="C150" s="3" t="s">
        <v>938</v>
      </c>
      <c r="D150" s="3" t="s">
        <v>954</v>
      </c>
    </row>
    <row r="151" spans="1:4" x14ac:dyDescent="0.2">
      <c r="A151" s="3" t="s">
        <v>255</v>
      </c>
      <c r="B151" s="3" t="s">
        <v>1</v>
      </c>
      <c r="C151" s="3" t="s">
        <v>938</v>
      </c>
      <c r="D151" s="3" t="s">
        <v>954</v>
      </c>
    </row>
    <row r="152" spans="1:4" x14ac:dyDescent="0.2">
      <c r="A152" s="3" t="s">
        <v>256</v>
      </c>
      <c r="B152" s="3" t="s">
        <v>1</v>
      </c>
      <c r="C152" s="3" t="s">
        <v>938</v>
      </c>
      <c r="D152" s="3" t="s">
        <v>954</v>
      </c>
    </row>
    <row r="153" spans="1:4" x14ac:dyDescent="0.2">
      <c r="A153" s="3" t="s">
        <v>258</v>
      </c>
      <c r="B153" s="3" t="s">
        <v>1</v>
      </c>
      <c r="C153" s="3" t="s">
        <v>938</v>
      </c>
      <c r="D153" s="3" t="s">
        <v>954</v>
      </c>
    </row>
    <row r="154" spans="1:4" x14ac:dyDescent="0.2">
      <c r="A154" s="3" t="s">
        <v>259</v>
      </c>
      <c r="B154" s="3" t="s">
        <v>1</v>
      </c>
      <c r="C154" s="3" t="s">
        <v>938</v>
      </c>
      <c r="D154" s="3" t="s">
        <v>954</v>
      </c>
    </row>
    <row r="155" spans="1:4" x14ac:dyDescent="0.2">
      <c r="A155" s="3" t="s">
        <v>261</v>
      </c>
      <c r="B155" s="3" t="s">
        <v>1</v>
      </c>
      <c r="C155" s="3" t="s">
        <v>938</v>
      </c>
      <c r="D155" s="3" t="s">
        <v>954</v>
      </c>
    </row>
    <row r="156" spans="1:4" x14ac:dyDescent="0.2">
      <c r="A156" s="3" t="s">
        <v>262</v>
      </c>
      <c r="B156" s="3" t="s">
        <v>1</v>
      </c>
      <c r="C156" s="3" t="s">
        <v>938</v>
      </c>
      <c r="D156" s="3" t="s">
        <v>954</v>
      </c>
    </row>
    <row r="157" spans="1:4" x14ac:dyDescent="0.2">
      <c r="A157" s="3" t="s">
        <v>263</v>
      </c>
      <c r="B157" s="3" t="s">
        <v>1</v>
      </c>
      <c r="C157" s="3" t="s">
        <v>938</v>
      </c>
      <c r="D157" s="3" t="s">
        <v>954</v>
      </c>
    </row>
    <row r="158" spans="1:4" x14ac:dyDescent="0.2">
      <c r="A158" s="3" t="s">
        <v>264</v>
      </c>
      <c r="B158" s="3" t="s">
        <v>1</v>
      </c>
      <c r="C158" s="3" t="s">
        <v>938</v>
      </c>
      <c r="D158" s="3" t="s">
        <v>954</v>
      </c>
    </row>
    <row r="159" spans="1:4" x14ac:dyDescent="0.2">
      <c r="A159" s="3" t="s">
        <v>265</v>
      </c>
      <c r="B159" s="3" t="s">
        <v>1</v>
      </c>
      <c r="C159" s="3" t="s">
        <v>938</v>
      </c>
      <c r="D159" s="3" t="s">
        <v>954</v>
      </c>
    </row>
    <row r="160" spans="1:4" x14ac:dyDescent="0.2">
      <c r="A160" s="3" t="s">
        <v>266</v>
      </c>
      <c r="B160" s="3" t="s">
        <v>1</v>
      </c>
      <c r="C160" s="3" t="s">
        <v>938</v>
      </c>
      <c r="D160" s="3" t="s">
        <v>954</v>
      </c>
    </row>
    <row r="161" spans="1:4" x14ac:dyDescent="0.2">
      <c r="A161" s="3" t="s">
        <v>267</v>
      </c>
      <c r="B161" s="3" t="s">
        <v>1</v>
      </c>
      <c r="C161" s="3" t="s">
        <v>938</v>
      </c>
      <c r="D161" s="3" t="s">
        <v>954</v>
      </c>
    </row>
    <row r="162" spans="1:4" x14ac:dyDescent="0.2">
      <c r="A162" s="3" t="s">
        <v>268</v>
      </c>
      <c r="B162" s="3" t="s">
        <v>1</v>
      </c>
      <c r="C162" s="3" t="s">
        <v>938</v>
      </c>
      <c r="D162" s="3" t="s">
        <v>954</v>
      </c>
    </row>
    <row r="163" spans="1:4" x14ac:dyDescent="0.2">
      <c r="A163" s="3" t="s">
        <v>269</v>
      </c>
      <c r="B163" s="3" t="s">
        <v>1</v>
      </c>
      <c r="C163" s="3" t="s">
        <v>938</v>
      </c>
      <c r="D163" s="3" t="s">
        <v>954</v>
      </c>
    </row>
    <row r="164" spans="1:4" x14ac:dyDescent="0.2">
      <c r="A164" s="3" t="s">
        <v>270</v>
      </c>
      <c r="B164" s="3" t="s">
        <v>1</v>
      </c>
      <c r="C164" s="3" t="s">
        <v>938</v>
      </c>
      <c r="D164" s="3" t="s">
        <v>954</v>
      </c>
    </row>
    <row r="165" spans="1:4" x14ac:dyDescent="0.2">
      <c r="A165" s="3" t="s">
        <v>271</v>
      </c>
      <c r="B165" s="3" t="s">
        <v>1</v>
      </c>
      <c r="C165" s="3" t="s">
        <v>938</v>
      </c>
      <c r="D165" s="3" t="s">
        <v>954</v>
      </c>
    </row>
    <row r="166" spans="1:4" x14ac:dyDescent="0.2">
      <c r="A166" s="3" t="s">
        <v>272</v>
      </c>
      <c r="B166" s="3" t="s">
        <v>1</v>
      </c>
      <c r="C166" s="3" t="s">
        <v>938</v>
      </c>
      <c r="D166" s="3" t="s">
        <v>954</v>
      </c>
    </row>
    <row r="167" spans="1:4" x14ac:dyDescent="0.2">
      <c r="A167" s="3" t="s">
        <v>282</v>
      </c>
      <c r="B167" s="3" t="s">
        <v>1</v>
      </c>
      <c r="C167" s="3" t="s">
        <v>938</v>
      </c>
      <c r="D167" s="3" t="s">
        <v>954</v>
      </c>
    </row>
    <row r="168" spans="1:4" x14ac:dyDescent="0.2">
      <c r="A168" s="3" t="s">
        <v>283</v>
      </c>
      <c r="B168" s="3" t="s">
        <v>1</v>
      </c>
      <c r="C168" s="3" t="s">
        <v>938</v>
      </c>
      <c r="D168" s="3" t="s">
        <v>954</v>
      </c>
    </row>
    <row r="169" spans="1:4" x14ac:dyDescent="0.2">
      <c r="A169" s="3" t="s">
        <v>284</v>
      </c>
      <c r="B169" s="3" t="s">
        <v>1</v>
      </c>
      <c r="C169" s="3" t="s">
        <v>938</v>
      </c>
      <c r="D169" s="3" t="s">
        <v>954</v>
      </c>
    </row>
    <row r="170" spans="1:4" x14ac:dyDescent="0.2">
      <c r="A170" s="3" t="s">
        <v>293</v>
      </c>
      <c r="B170" s="3" t="s">
        <v>1</v>
      </c>
      <c r="C170" s="3" t="s">
        <v>938</v>
      </c>
      <c r="D170" s="3" t="s">
        <v>954</v>
      </c>
    </row>
    <row r="171" spans="1:4" x14ac:dyDescent="0.2">
      <c r="A171" s="3" t="s">
        <v>294</v>
      </c>
      <c r="B171" s="3" t="s">
        <v>1</v>
      </c>
      <c r="C171" s="3" t="s">
        <v>938</v>
      </c>
      <c r="D171" s="3" t="s">
        <v>954</v>
      </c>
    </row>
    <row r="172" spans="1:4" x14ac:dyDescent="0.2">
      <c r="A172" s="3" t="s">
        <v>300</v>
      </c>
      <c r="B172" s="3" t="s">
        <v>1</v>
      </c>
      <c r="C172" s="3" t="s">
        <v>938</v>
      </c>
      <c r="D172" s="3" t="s">
        <v>954</v>
      </c>
    </row>
    <row r="173" spans="1:4" x14ac:dyDescent="0.2">
      <c r="A173" s="3" t="s">
        <v>301</v>
      </c>
      <c r="B173" s="3" t="s">
        <v>1</v>
      </c>
      <c r="C173" s="3" t="s">
        <v>938</v>
      </c>
      <c r="D173" s="3" t="s">
        <v>954</v>
      </c>
    </row>
    <row r="174" spans="1:4" x14ac:dyDescent="0.2">
      <c r="A174" s="3" t="s">
        <v>302</v>
      </c>
      <c r="B174" s="3" t="s">
        <v>1</v>
      </c>
      <c r="C174" s="3" t="s">
        <v>938</v>
      </c>
      <c r="D174" s="3" t="s">
        <v>954</v>
      </c>
    </row>
    <row r="175" spans="1:4" x14ac:dyDescent="0.2">
      <c r="A175" s="3" t="s">
        <v>303</v>
      </c>
      <c r="B175" s="3" t="s">
        <v>1</v>
      </c>
      <c r="C175" s="3" t="s">
        <v>938</v>
      </c>
      <c r="D175" s="3" t="s">
        <v>954</v>
      </c>
    </row>
    <row r="176" spans="1:4" x14ac:dyDescent="0.2">
      <c r="A176" s="3" t="s">
        <v>304</v>
      </c>
      <c r="B176" s="3" t="s">
        <v>1</v>
      </c>
      <c r="C176" s="3" t="s">
        <v>938</v>
      </c>
      <c r="D176" s="3" t="s">
        <v>954</v>
      </c>
    </row>
    <row r="177" spans="1:4" x14ac:dyDescent="0.2">
      <c r="A177" s="3" t="s">
        <v>305</v>
      </c>
      <c r="B177" s="3" t="s">
        <v>1</v>
      </c>
      <c r="C177" s="3" t="s">
        <v>938</v>
      </c>
      <c r="D177" s="3" t="s">
        <v>954</v>
      </c>
    </row>
    <row r="178" spans="1:4" x14ac:dyDescent="0.2">
      <c r="A178" s="3" t="s">
        <v>306</v>
      </c>
      <c r="B178" s="3" t="s">
        <v>1</v>
      </c>
      <c r="C178" s="3" t="s">
        <v>938</v>
      </c>
      <c r="D178" s="3" t="s">
        <v>954</v>
      </c>
    </row>
    <row r="179" spans="1:4" x14ac:dyDescent="0.2">
      <c r="A179" s="3" t="s">
        <v>307</v>
      </c>
      <c r="B179" s="3" t="s">
        <v>1</v>
      </c>
      <c r="C179" s="3" t="s">
        <v>938</v>
      </c>
      <c r="D179" s="3" t="s">
        <v>954</v>
      </c>
    </row>
    <row r="180" spans="1:4" x14ac:dyDescent="0.2">
      <c r="A180" s="3" t="s">
        <v>312</v>
      </c>
      <c r="B180" s="3" t="s">
        <v>1</v>
      </c>
      <c r="C180" s="3" t="s">
        <v>938</v>
      </c>
      <c r="D180" s="3" t="s">
        <v>954</v>
      </c>
    </row>
    <row r="181" spans="1:4" x14ac:dyDescent="0.2">
      <c r="A181" s="3" t="s">
        <v>330</v>
      </c>
      <c r="B181" s="3" t="s">
        <v>1</v>
      </c>
      <c r="C181" s="3" t="s">
        <v>938</v>
      </c>
      <c r="D181" s="3" t="s">
        <v>954</v>
      </c>
    </row>
    <row r="182" spans="1:4" x14ac:dyDescent="0.2">
      <c r="A182" s="3" t="s">
        <v>348</v>
      </c>
      <c r="B182" s="3" t="s">
        <v>1</v>
      </c>
      <c r="C182" s="3" t="s">
        <v>938</v>
      </c>
      <c r="D182" s="3" t="s">
        <v>954</v>
      </c>
    </row>
    <row r="183" spans="1:4" x14ac:dyDescent="0.2">
      <c r="A183" s="3" t="s">
        <v>349</v>
      </c>
      <c r="B183" s="3" t="s">
        <v>1</v>
      </c>
      <c r="C183" s="3" t="s">
        <v>938</v>
      </c>
      <c r="D183" s="3" t="s">
        <v>954</v>
      </c>
    </row>
    <row r="184" spans="1:4" x14ac:dyDescent="0.2">
      <c r="A184" s="3" t="s">
        <v>369</v>
      </c>
      <c r="B184" s="3" t="s">
        <v>1</v>
      </c>
      <c r="C184" s="3" t="s">
        <v>938</v>
      </c>
      <c r="D184" s="3" t="s">
        <v>954</v>
      </c>
    </row>
    <row r="185" spans="1:4" x14ac:dyDescent="0.2">
      <c r="A185" s="3" t="s">
        <v>387</v>
      </c>
      <c r="B185" s="3" t="s">
        <v>1</v>
      </c>
      <c r="C185" s="3" t="s">
        <v>938</v>
      </c>
      <c r="D185" s="3" t="s">
        <v>954</v>
      </c>
    </row>
    <row r="186" spans="1:4" x14ac:dyDescent="0.2">
      <c r="A186" s="3" t="s">
        <v>388</v>
      </c>
      <c r="B186" s="3" t="s">
        <v>1</v>
      </c>
      <c r="C186" s="3" t="s">
        <v>938</v>
      </c>
      <c r="D186" s="3" t="s">
        <v>954</v>
      </c>
    </row>
    <row r="187" spans="1:4" x14ac:dyDescent="0.2">
      <c r="A187" s="3" t="s">
        <v>389</v>
      </c>
      <c r="B187" s="3" t="s">
        <v>1</v>
      </c>
      <c r="C187" s="3" t="s">
        <v>938</v>
      </c>
      <c r="D187" s="3" t="s">
        <v>954</v>
      </c>
    </row>
    <row r="188" spans="1:4" x14ac:dyDescent="0.2">
      <c r="A188" s="3" t="s">
        <v>390</v>
      </c>
      <c r="B188" s="3" t="s">
        <v>1</v>
      </c>
      <c r="C188" s="3" t="s">
        <v>938</v>
      </c>
      <c r="D188" s="3" t="s">
        <v>954</v>
      </c>
    </row>
    <row r="189" spans="1:4" x14ac:dyDescent="0.2">
      <c r="A189" s="3" t="s">
        <v>391</v>
      </c>
      <c r="B189" s="3" t="s">
        <v>1</v>
      </c>
      <c r="C189" s="3" t="s">
        <v>938</v>
      </c>
      <c r="D189" s="3" t="s">
        <v>954</v>
      </c>
    </row>
    <row r="190" spans="1:4" x14ac:dyDescent="0.2">
      <c r="A190" s="3" t="s">
        <v>392</v>
      </c>
      <c r="B190" s="3" t="s">
        <v>1</v>
      </c>
      <c r="C190" s="3" t="s">
        <v>938</v>
      </c>
      <c r="D190" s="3" t="s">
        <v>954</v>
      </c>
    </row>
    <row r="191" spans="1:4" x14ac:dyDescent="0.2">
      <c r="A191" s="3" t="s">
        <v>108</v>
      </c>
      <c r="B191" s="3" t="s">
        <v>27</v>
      </c>
      <c r="C191" s="3" t="s">
        <v>938</v>
      </c>
      <c r="D191" s="3" t="s">
        <v>967</v>
      </c>
    </row>
    <row r="192" spans="1:4" x14ac:dyDescent="0.2">
      <c r="A192" s="3" t="s">
        <v>109</v>
      </c>
      <c r="B192" s="3" t="s">
        <v>27</v>
      </c>
      <c r="C192" s="3" t="s">
        <v>938</v>
      </c>
      <c r="D192" s="3" t="s">
        <v>967</v>
      </c>
    </row>
    <row r="193" spans="1:4" x14ac:dyDescent="0.2">
      <c r="A193" s="3" t="s">
        <v>110</v>
      </c>
      <c r="B193" s="3" t="s">
        <v>27</v>
      </c>
      <c r="C193" s="3" t="s">
        <v>938</v>
      </c>
      <c r="D193" s="3" t="s">
        <v>967</v>
      </c>
    </row>
    <row r="194" spans="1:4" x14ac:dyDescent="0.2">
      <c r="A194" s="3" t="s">
        <v>111</v>
      </c>
      <c r="B194" s="3" t="s">
        <v>27</v>
      </c>
      <c r="C194" s="3" t="s">
        <v>938</v>
      </c>
      <c r="D194" s="3" t="s">
        <v>967</v>
      </c>
    </row>
    <row r="195" spans="1:4" x14ac:dyDescent="0.2">
      <c r="A195" s="3" t="s">
        <v>112</v>
      </c>
      <c r="B195" s="3" t="s">
        <v>27</v>
      </c>
      <c r="C195" s="3" t="s">
        <v>938</v>
      </c>
      <c r="D195" s="3" t="s">
        <v>967</v>
      </c>
    </row>
    <row r="196" spans="1:4" x14ac:dyDescent="0.2">
      <c r="A196" s="3" t="s">
        <v>113</v>
      </c>
      <c r="B196" s="3" t="s">
        <v>27</v>
      </c>
      <c r="C196" s="3" t="s">
        <v>938</v>
      </c>
      <c r="D196" s="3" t="s">
        <v>967</v>
      </c>
    </row>
    <row r="197" spans="1:4" x14ac:dyDescent="0.2">
      <c r="A197" s="3" t="s">
        <v>121</v>
      </c>
      <c r="B197" s="3" t="s">
        <v>27</v>
      </c>
      <c r="C197" s="3" t="s">
        <v>938</v>
      </c>
      <c r="D197" s="3" t="s">
        <v>967</v>
      </c>
    </row>
    <row r="198" spans="1:4" x14ac:dyDescent="0.2">
      <c r="A198" s="3" t="s">
        <v>164</v>
      </c>
      <c r="B198" s="3" t="s">
        <v>1</v>
      </c>
      <c r="C198" s="3" t="s">
        <v>17</v>
      </c>
      <c r="D198" s="3" t="s">
        <v>942</v>
      </c>
    </row>
    <row r="199" spans="1:4" x14ac:dyDescent="0.2">
      <c r="A199" s="3" t="s">
        <v>165</v>
      </c>
      <c r="B199" s="3" t="s">
        <v>1</v>
      </c>
      <c r="C199" s="3" t="s">
        <v>17</v>
      </c>
      <c r="D199" s="3" t="s">
        <v>942</v>
      </c>
    </row>
    <row r="200" spans="1:4" x14ac:dyDescent="0.2">
      <c r="A200" s="3" t="s">
        <v>166</v>
      </c>
      <c r="B200" s="3" t="s">
        <v>1</v>
      </c>
      <c r="C200" s="3" t="s">
        <v>17</v>
      </c>
      <c r="D200" s="3" t="s">
        <v>942</v>
      </c>
    </row>
    <row r="201" spans="1:4" x14ac:dyDescent="0.2">
      <c r="A201" s="3" t="s">
        <v>38</v>
      </c>
      <c r="B201" s="3" t="s">
        <v>943</v>
      </c>
      <c r="C201" s="3" t="s">
        <v>17</v>
      </c>
      <c r="D201" s="3" t="s">
        <v>951</v>
      </c>
    </row>
    <row r="202" spans="1:4" x14ac:dyDescent="0.2">
      <c r="A202" s="3" t="s">
        <v>402</v>
      </c>
      <c r="B202" s="3" t="s">
        <v>943</v>
      </c>
      <c r="C202" s="3" t="s">
        <v>17</v>
      </c>
      <c r="D202" s="3" t="s">
        <v>951</v>
      </c>
    </row>
    <row r="203" spans="1:4" x14ac:dyDescent="0.2">
      <c r="A203" s="3" t="s">
        <v>190</v>
      </c>
      <c r="B203" s="3" t="s">
        <v>1</v>
      </c>
      <c r="C203" s="3" t="s">
        <v>2</v>
      </c>
      <c r="D203" s="3" t="s">
        <v>952</v>
      </c>
    </row>
    <row r="204" spans="1:4" x14ac:dyDescent="0.2">
      <c r="A204" s="3" t="s">
        <v>191</v>
      </c>
      <c r="B204" s="3" t="s">
        <v>1</v>
      </c>
      <c r="C204" s="3" t="s">
        <v>2</v>
      </c>
      <c r="D204" s="3" t="s">
        <v>952</v>
      </c>
    </row>
    <row r="205" spans="1:4" x14ac:dyDescent="0.2">
      <c r="A205" s="3" t="s">
        <v>192</v>
      </c>
      <c r="B205" s="3" t="s">
        <v>1</v>
      </c>
      <c r="C205" s="3" t="s">
        <v>2</v>
      </c>
      <c r="D205" s="3" t="s">
        <v>952</v>
      </c>
    </row>
    <row r="206" spans="1:4" x14ac:dyDescent="0.2">
      <c r="A206" s="3" t="s">
        <v>193</v>
      </c>
      <c r="B206" s="3" t="s">
        <v>1</v>
      </c>
      <c r="C206" s="3" t="s">
        <v>2</v>
      </c>
      <c r="D206" s="3" t="s">
        <v>952</v>
      </c>
    </row>
    <row r="207" spans="1:4" x14ac:dyDescent="0.2">
      <c r="A207" s="3" t="s">
        <v>194</v>
      </c>
      <c r="B207" s="3" t="s">
        <v>1</v>
      </c>
      <c r="C207" s="3" t="s">
        <v>2</v>
      </c>
      <c r="D207" s="3" t="s">
        <v>952</v>
      </c>
    </row>
    <row r="208" spans="1:4" x14ac:dyDescent="0.2">
      <c r="A208" s="3" t="s">
        <v>195</v>
      </c>
      <c r="B208" s="3" t="s">
        <v>1</v>
      </c>
      <c r="C208" s="3" t="s">
        <v>17</v>
      </c>
      <c r="D208" s="3" t="s">
        <v>953</v>
      </c>
    </row>
    <row r="209" spans="1:4" x14ac:dyDescent="0.2">
      <c r="A209" s="3" t="s">
        <v>196</v>
      </c>
      <c r="B209" s="3" t="s">
        <v>1</v>
      </c>
      <c r="C209" s="3" t="s">
        <v>17</v>
      </c>
      <c r="D209" s="3" t="s">
        <v>953</v>
      </c>
    </row>
    <row r="210" spans="1:4" x14ac:dyDescent="0.2">
      <c r="A210" s="3" t="s">
        <v>235</v>
      </c>
      <c r="B210" s="3" t="s">
        <v>1</v>
      </c>
      <c r="C210" s="3" t="s">
        <v>968</v>
      </c>
      <c r="D210" s="3" t="s">
        <v>970</v>
      </c>
    </row>
    <row r="211" spans="1:4" x14ac:dyDescent="0.2">
      <c r="A211" s="3" t="s">
        <v>200</v>
      </c>
      <c r="B211" s="3" t="s">
        <v>1</v>
      </c>
      <c r="C211" s="3" t="s">
        <v>17</v>
      </c>
      <c r="D211" s="3" t="s">
        <v>956</v>
      </c>
    </row>
    <row r="212" spans="1:4" x14ac:dyDescent="0.2">
      <c r="A212" s="3" t="s">
        <v>201</v>
      </c>
      <c r="B212" s="3" t="s">
        <v>1</v>
      </c>
      <c r="C212" s="3" t="s">
        <v>17</v>
      </c>
      <c r="D212" s="3" t="s">
        <v>956</v>
      </c>
    </row>
    <row r="213" spans="1:4" x14ac:dyDescent="0.2">
      <c r="A213" s="3" t="s">
        <v>202</v>
      </c>
      <c r="B213" s="3" t="s">
        <v>1</v>
      </c>
      <c r="C213" s="3" t="s">
        <v>17</v>
      </c>
      <c r="D213" s="3" t="s">
        <v>956</v>
      </c>
    </row>
    <row r="214" spans="1:4" x14ac:dyDescent="0.2">
      <c r="A214" s="3" t="s">
        <v>1142</v>
      </c>
      <c r="B214" s="3" t="s">
        <v>1</v>
      </c>
      <c r="C214" s="3" t="s">
        <v>19</v>
      </c>
      <c r="D214" s="3" t="s">
        <v>955</v>
      </c>
    </row>
    <row r="215" spans="1:4" x14ac:dyDescent="0.2">
      <c r="A215" s="3" t="s">
        <v>197</v>
      </c>
      <c r="B215" s="3" t="s">
        <v>1</v>
      </c>
      <c r="C215" s="3" t="s">
        <v>19</v>
      </c>
      <c r="D215" s="3" t="s">
        <v>955</v>
      </c>
    </row>
    <row r="216" spans="1:4" x14ac:dyDescent="0.2">
      <c r="A216" s="3" t="s">
        <v>198</v>
      </c>
      <c r="B216" s="3" t="s">
        <v>1</v>
      </c>
      <c r="C216" s="3" t="s">
        <v>19</v>
      </c>
      <c r="D216" s="3" t="s">
        <v>955</v>
      </c>
    </row>
    <row r="217" spans="1:4" x14ac:dyDescent="0.2">
      <c r="A217" s="3" t="s">
        <v>199</v>
      </c>
      <c r="B217" s="3" t="s">
        <v>1</v>
      </c>
      <c r="C217" s="3" t="s">
        <v>19</v>
      </c>
      <c r="D217" s="3" t="s">
        <v>955</v>
      </c>
    </row>
    <row r="218" spans="1:4" x14ac:dyDescent="0.2">
      <c r="A218" s="3" t="s">
        <v>257</v>
      </c>
      <c r="B218" s="3" t="s">
        <v>1</v>
      </c>
      <c r="C218" s="3" t="s">
        <v>19</v>
      </c>
      <c r="D218" s="3" t="s">
        <v>955</v>
      </c>
    </row>
    <row r="219" spans="1:4" x14ac:dyDescent="0.2">
      <c r="A219" s="3" t="s">
        <v>440</v>
      </c>
      <c r="B219" s="3" t="s">
        <v>28</v>
      </c>
      <c r="C219" s="3" t="s">
        <v>29</v>
      </c>
      <c r="D219" s="3" t="s">
        <v>958</v>
      </c>
    </row>
    <row r="220" spans="1:4" x14ac:dyDescent="0.2">
      <c r="A220" s="3" t="s">
        <v>441</v>
      </c>
      <c r="B220" s="3" t="s">
        <v>28</v>
      </c>
      <c r="C220" s="3" t="s">
        <v>29</v>
      </c>
      <c r="D220" s="3" t="s">
        <v>958</v>
      </c>
    </row>
    <row r="221" spans="1:4" x14ac:dyDescent="0.2">
      <c r="A221" s="3" t="s">
        <v>442</v>
      </c>
      <c r="B221" s="3" t="s">
        <v>28</v>
      </c>
      <c r="C221" s="3" t="s">
        <v>29</v>
      </c>
      <c r="D221" s="3" t="s">
        <v>958</v>
      </c>
    </row>
    <row r="222" spans="1:4" x14ac:dyDescent="0.2">
      <c r="A222" s="3" t="s">
        <v>443</v>
      </c>
      <c r="B222" s="3" t="s">
        <v>28</v>
      </c>
      <c r="C222" s="3" t="s">
        <v>29</v>
      </c>
      <c r="D222" s="3" t="s">
        <v>958</v>
      </c>
    </row>
    <row r="223" spans="1:4" x14ac:dyDescent="0.2">
      <c r="A223" s="3" t="s">
        <v>444</v>
      </c>
      <c r="B223" s="3" t="s">
        <v>28</v>
      </c>
      <c r="C223" s="3" t="s">
        <v>29</v>
      </c>
      <c r="D223" s="3" t="s">
        <v>958</v>
      </c>
    </row>
    <row r="224" spans="1:4" x14ac:dyDescent="0.2">
      <c r="A224" s="3" t="s">
        <v>445</v>
      </c>
      <c r="B224" s="3" t="s">
        <v>28</v>
      </c>
      <c r="C224" s="3" t="s">
        <v>29</v>
      </c>
      <c r="D224" s="3" t="s">
        <v>958</v>
      </c>
    </row>
    <row r="225" spans="1:4" x14ac:dyDescent="0.2">
      <c r="A225" s="3" t="s">
        <v>446</v>
      </c>
      <c r="B225" s="3" t="s">
        <v>28</v>
      </c>
      <c r="C225" s="3" t="s">
        <v>29</v>
      </c>
      <c r="D225" s="3" t="s">
        <v>958</v>
      </c>
    </row>
    <row r="226" spans="1:4" x14ac:dyDescent="0.2">
      <c r="A226" s="3" t="s">
        <v>447</v>
      </c>
      <c r="B226" s="3" t="s">
        <v>28</v>
      </c>
      <c r="C226" s="3" t="s">
        <v>29</v>
      </c>
      <c r="D226" s="3" t="s">
        <v>958</v>
      </c>
    </row>
    <row r="227" spans="1:4" x14ac:dyDescent="0.2">
      <c r="A227" s="3" t="s">
        <v>448</v>
      </c>
      <c r="B227" s="3" t="s">
        <v>28</v>
      </c>
      <c r="C227" s="3" t="s">
        <v>29</v>
      </c>
      <c r="D227" s="3" t="s">
        <v>958</v>
      </c>
    </row>
    <row r="228" spans="1:4" x14ac:dyDescent="0.2">
      <c r="A228" s="3" t="s">
        <v>449</v>
      </c>
      <c r="B228" s="3" t="s">
        <v>28</v>
      </c>
      <c r="C228" s="3" t="s">
        <v>29</v>
      </c>
      <c r="D228" s="3" t="s">
        <v>958</v>
      </c>
    </row>
    <row r="229" spans="1:4" x14ac:dyDescent="0.2">
      <c r="A229" s="3" t="s">
        <v>33</v>
      </c>
      <c r="B229" s="3" t="s">
        <v>28</v>
      </c>
      <c r="C229" s="3" t="s">
        <v>29</v>
      </c>
      <c r="D229" s="3" t="s">
        <v>958</v>
      </c>
    </row>
    <row r="230" spans="1:4" x14ac:dyDescent="0.2">
      <c r="A230" s="3" t="s">
        <v>1588</v>
      </c>
      <c r="B230" s="3" t="s">
        <v>28</v>
      </c>
      <c r="C230" s="3" t="s">
        <v>29</v>
      </c>
      <c r="D230" s="3" t="s">
        <v>958</v>
      </c>
    </row>
    <row r="231" spans="1:4" x14ac:dyDescent="0.2">
      <c r="A231" s="121" t="s">
        <v>1489</v>
      </c>
      <c r="B231" s="3" t="s">
        <v>28</v>
      </c>
      <c r="C231" s="3" t="s">
        <v>29</v>
      </c>
      <c r="D231" s="3" t="s">
        <v>958</v>
      </c>
    </row>
    <row r="232" spans="1:4" x14ac:dyDescent="0.2">
      <c r="A232" s="3" t="s">
        <v>106</v>
      </c>
      <c r="B232" s="3" t="s">
        <v>27</v>
      </c>
      <c r="C232" s="3" t="s">
        <v>960</v>
      </c>
      <c r="D232" s="3" t="s">
        <v>961</v>
      </c>
    </row>
    <row r="233" spans="1:4" x14ac:dyDescent="0.2">
      <c r="A233" s="3" t="s">
        <v>107</v>
      </c>
      <c r="B233" s="3" t="s">
        <v>27</v>
      </c>
      <c r="C233" s="3" t="s">
        <v>960</v>
      </c>
      <c r="D233" s="3" t="s">
        <v>961</v>
      </c>
    </row>
    <row r="234" spans="1:4" x14ac:dyDescent="0.2">
      <c r="A234" s="3" t="s">
        <v>204</v>
      </c>
      <c r="B234" s="3" t="s">
        <v>1</v>
      </c>
      <c r="C234" s="3" t="s">
        <v>17</v>
      </c>
      <c r="D234" s="3" t="s">
        <v>962</v>
      </c>
    </row>
    <row r="235" spans="1:4" x14ac:dyDescent="0.2">
      <c r="A235" s="3" t="s">
        <v>205</v>
      </c>
      <c r="B235" s="3" t="s">
        <v>1</v>
      </c>
      <c r="C235" s="3" t="s">
        <v>17</v>
      </c>
      <c r="D235" s="3" t="s">
        <v>962</v>
      </c>
    </row>
    <row r="236" spans="1:4" x14ac:dyDescent="0.2">
      <c r="A236" s="3" t="s">
        <v>206</v>
      </c>
      <c r="B236" s="3" t="s">
        <v>1</v>
      </c>
      <c r="C236" s="3" t="s">
        <v>17</v>
      </c>
      <c r="D236" s="3" t="s">
        <v>962</v>
      </c>
    </row>
    <row r="237" spans="1:4" x14ac:dyDescent="0.2">
      <c r="A237" s="3" t="s">
        <v>208</v>
      </c>
      <c r="B237" s="3" t="s">
        <v>1</v>
      </c>
      <c r="C237" s="3" t="s">
        <v>17</v>
      </c>
      <c r="D237" s="3" t="s">
        <v>964</v>
      </c>
    </row>
    <row r="238" spans="1:4" x14ac:dyDescent="0.2">
      <c r="A238" s="3" t="s">
        <v>403</v>
      </c>
      <c r="B238" s="3" t="s">
        <v>943</v>
      </c>
      <c r="C238" s="3" t="s">
        <v>17</v>
      </c>
      <c r="D238" s="3" t="s">
        <v>963</v>
      </c>
    </row>
    <row r="239" spans="1:4" x14ac:dyDescent="0.2">
      <c r="A239" s="3" t="s">
        <v>404</v>
      </c>
      <c r="B239" s="3" t="s">
        <v>943</v>
      </c>
      <c r="C239" s="3" t="s">
        <v>17</v>
      </c>
      <c r="D239" s="3" t="s">
        <v>963</v>
      </c>
    </row>
    <row r="240" spans="1:4" x14ac:dyDescent="0.2">
      <c r="A240" s="3" t="s">
        <v>405</v>
      </c>
      <c r="B240" s="3" t="s">
        <v>943</v>
      </c>
      <c r="C240" s="3" t="s">
        <v>17</v>
      </c>
      <c r="D240" s="3" t="s">
        <v>963</v>
      </c>
    </row>
    <row r="241" spans="1:4" x14ac:dyDescent="0.2">
      <c r="A241" s="3" t="s">
        <v>406</v>
      </c>
      <c r="B241" s="3" t="s">
        <v>943</v>
      </c>
      <c r="C241" s="3" t="s">
        <v>17</v>
      </c>
      <c r="D241" s="3" t="s">
        <v>963</v>
      </c>
    </row>
    <row r="242" spans="1:4" x14ac:dyDescent="0.2">
      <c r="A242" s="3" t="s">
        <v>32</v>
      </c>
      <c r="B242" s="3" t="s">
        <v>943</v>
      </c>
      <c r="C242" s="3" t="s">
        <v>17</v>
      </c>
      <c r="D242" s="3" t="s">
        <v>963</v>
      </c>
    </row>
    <row r="243" spans="1:4" x14ac:dyDescent="0.2">
      <c r="A243" s="3" t="s">
        <v>410</v>
      </c>
      <c r="B243" s="3" t="s">
        <v>943</v>
      </c>
      <c r="C243" s="3" t="s">
        <v>17</v>
      </c>
      <c r="D243" s="3" t="s">
        <v>963</v>
      </c>
    </row>
    <row r="244" spans="1:4" x14ac:dyDescent="0.2">
      <c r="A244" s="3" t="s">
        <v>1414</v>
      </c>
      <c r="B244" s="3" t="s">
        <v>943</v>
      </c>
      <c r="C244" s="3" t="s">
        <v>17</v>
      </c>
      <c r="D244" s="3" t="s">
        <v>963</v>
      </c>
    </row>
    <row r="245" spans="1:4" x14ac:dyDescent="0.2">
      <c r="A245" s="3" t="s">
        <v>203</v>
      </c>
      <c r="B245" s="3" t="s">
        <v>1</v>
      </c>
      <c r="C245" s="3" t="s">
        <v>29</v>
      </c>
      <c r="D245" s="3" t="s">
        <v>957</v>
      </c>
    </row>
    <row r="246" spans="1:4" x14ac:dyDescent="0.2">
      <c r="A246" s="3" t="s">
        <v>290</v>
      </c>
      <c r="B246" s="3" t="s">
        <v>1</v>
      </c>
      <c r="C246" s="3" t="s">
        <v>29</v>
      </c>
      <c r="D246" s="3" t="s">
        <v>957</v>
      </c>
    </row>
    <row r="247" spans="1:4" x14ac:dyDescent="0.2">
      <c r="A247" s="3" t="s">
        <v>394</v>
      </c>
      <c r="B247" s="3" t="s">
        <v>1</v>
      </c>
      <c r="C247" s="3" t="s">
        <v>29</v>
      </c>
      <c r="D247" s="3" t="s">
        <v>957</v>
      </c>
    </row>
    <row r="248" spans="1:4" x14ac:dyDescent="0.2">
      <c r="A248" s="3" t="s">
        <v>209</v>
      </c>
      <c r="B248" s="3" t="s">
        <v>1</v>
      </c>
      <c r="C248" s="3" t="s">
        <v>17</v>
      </c>
      <c r="D248" s="3" t="s">
        <v>965</v>
      </c>
    </row>
    <row r="249" spans="1:4" x14ac:dyDescent="0.2">
      <c r="A249" s="3" t="s">
        <v>210</v>
      </c>
      <c r="B249" s="3" t="s">
        <v>1</v>
      </c>
      <c r="C249" s="3" t="s">
        <v>17</v>
      </c>
      <c r="D249" s="3" t="s">
        <v>965</v>
      </c>
    </row>
    <row r="250" spans="1:4" x14ac:dyDescent="0.2">
      <c r="A250" s="3" t="s">
        <v>212</v>
      </c>
      <c r="B250" s="3" t="s">
        <v>1</v>
      </c>
      <c r="C250" s="3" t="s">
        <v>19</v>
      </c>
      <c r="D250" s="3" t="s">
        <v>966</v>
      </c>
    </row>
    <row r="251" spans="1:4" x14ac:dyDescent="0.2">
      <c r="A251" s="3" t="s">
        <v>240</v>
      </c>
      <c r="B251" s="3" t="s">
        <v>1</v>
      </c>
      <c r="C251" s="3" t="s">
        <v>19</v>
      </c>
      <c r="D251" s="3" t="s">
        <v>966</v>
      </c>
    </row>
    <row r="252" spans="1:4" x14ac:dyDescent="0.2">
      <c r="A252" s="3" t="s">
        <v>260</v>
      </c>
      <c r="B252" s="3" t="s">
        <v>1</v>
      </c>
      <c r="C252" s="3" t="s">
        <v>19</v>
      </c>
      <c r="D252" s="3" t="s">
        <v>966</v>
      </c>
    </row>
    <row r="253" spans="1:4" x14ac:dyDescent="0.2">
      <c r="A253" s="3" t="s">
        <v>277</v>
      </c>
      <c r="B253" s="3" t="s">
        <v>1</v>
      </c>
      <c r="C253" s="3" t="s">
        <v>2</v>
      </c>
      <c r="D253" s="3" t="s">
        <v>974</v>
      </c>
    </row>
    <row r="254" spans="1:4" x14ac:dyDescent="0.2">
      <c r="A254" s="3" t="s">
        <v>278</v>
      </c>
      <c r="B254" s="3" t="s">
        <v>1</v>
      </c>
      <c r="C254" s="3" t="s">
        <v>2</v>
      </c>
      <c r="D254" s="3" t="s">
        <v>974</v>
      </c>
    </row>
    <row r="255" spans="1:4" x14ac:dyDescent="0.2">
      <c r="A255" s="3" t="s">
        <v>279</v>
      </c>
      <c r="B255" s="3" t="s">
        <v>1</v>
      </c>
      <c r="C255" s="3" t="s">
        <v>2</v>
      </c>
      <c r="D255" s="3" t="s">
        <v>974</v>
      </c>
    </row>
    <row r="256" spans="1:4" x14ac:dyDescent="0.2">
      <c r="A256" s="3" t="s">
        <v>280</v>
      </c>
      <c r="B256" s="3" t="s">
        <v>1</v>
      </c>
      <c r="C256" s="3" t="s">
        <v>2</v>
      </c>
      <c r="D256" s="3" t="s">
        <v>974</v>
      </c>
    </row>
    <row r="257" spans="1:4" x14ac:dyDescent="0.2">
      <c r="A257" s="3" t="s">
        <v>274</v>
      </c>
      <c r="B257" s="3" t="s">
        <v>1</v>
      </c>
      <c r="C257" s="3" t="s">
        <v>972</v>
      </c>
      <c r="D257" s="3" t="s">
        <v>973</v>
      </c>
    </row>
    <row r="258" spans="1:4" x14ac:dyDescent="0.2">
      <c r="A258" s="3" t="s">
        <v>275</v>
      </c>
      <c r="B258" s="3" t="s">
        <v>1</v>
      </c>
      <c r="C258" s="3" t="s">
        <v>972</v>
      </c>
      <c r="D258" s="3" t="s">
        <v>973</v>
      </c>
    </row>
    <row r="259" spans="1:4" x14ac:dyDescent="0.2">
      <c r="A259" s="3" t="s">
        <v>276</v>
      </c>
      <c r="B259" s="3" t="s">
        <v>1</v>
      </c>
      <c r="C259" s="3" t="s">
        <v>972</v>
      </c>
      <c r="D259" s="3" t="s">
        <v>973</v>
      </c>
    </row>
    <row r="260" spans="1:4" x14ac:dyDescent="0.2">
      <c r="A260" s="3" t="s">
        <v>281</v>
      </c>
      <c r="B260" s="3" t="s">
        <v>1</v>
      </c>
      <c r="C260" s="3" t="s">
        <v>17</v>
      </c>
      <c r="D260" s="3" t="s">
        <v>975</v>
      </c>
    </row>
    <row r="261" spans="1:4" x14ac:dyDescent="0.2">
      <c r="A261" s="3" t="s">
        <v>179</v>
      </c>
      <c r="B261" s="3" t="s">
        <v>1</v>
      </c>
      <c r="C261" s="3" t="s">
        <v>19</v>
      </c>
      <c r="D261" s="3" t="s">
        <v>948</v>
      </c>
    </row>
    <row r="262" spans="1:4" x14ac:dyDescent="0.2">
      <c r="A262" s="3" t="s">
        <v>180</v>
      </c>
      <c r="B262" s="3" t="s">
        <v>1</v>
      </c>
      <c r="C262" s="3" t="s">
        <v>19</v>
      </c>
      <c r="D262" s="3" t="s">
        <v>948</v>
      </c>
    </row>
    <row r="263" spans="1:4" x14ac:dyDescent="0.2">
      <c r="A263" s="3" t="s">
        <v>291</v>
      </c>
      <c r="B263" s="3" t="s">
        <v>1</v>
      </c>
      <c r="C263" s="3" t="s">
        <v>19</v>
      </c>
      <c r="D263" s="3" t="s">
        <v>948</v>
      </c>
    </row>
    <row r="264" spans="1:4" x14ac:dyDescent="0.2">
      <c r="A264" s="3" t="s">
        <v>292</v>
      </c>
      <c r="B264" s="3" t="s">
        <v>1</v>
      </c>
      <c r="C264" s="3" t="s">
        <v>19</v>
      </c>
      <c r="D264" s="3" t="s">
        <v>948</v>
      </c>
    </row>
    <row r="265" spans="1:4" x14ac:dyDescent="0.2">
      <c r="A265" s="3" t="s">
        <v>341</v>
      </c>
      <c r="B265" s="3" t="s">
        <v>1</v>
      </c>
      <c r="C265" s="3" t="s">
        <v>19</v>
      </c>
      <c r="D265" s="3" t="s">
        <v>948</v>
      </c>
    </row>
    <row r="266" spans="1:4" x14ac:dyDescent="0.2">
      <c r="A266" s="3" t="s">
        <v>1445</v>
      </c>
      <c r="B266" s="3" t="s">
        <v>1</v>
      </c>
      <c r="C266" s="3" t="s">
        <v>19</v>
      </c>
      <c r="D266" s="3" t="s">
        <v>948</v>
      </c>
    </row>
    <row r="267" spans="1:4" x14ac:dyDescent="0.2">
      <c r="A267" s="3" t="s">
        <v>103</v>
      </c>
      <c r="B267" s="3" t="s">
        <v>1</v>
      </c>
      <c r="C267" s="3" t="s">
        <v>19</v>
      </c>
      <c r="D267" s="3" t="s">
        <v>976</v>
      </c>
    </row>
    <row r="268" spans="1:4" x14ac:dyDescent="0.2">
      <c r="A268" s="3" t="s">
        <v>285</v>
      </c>
      <c r="B268" s="3" t="s">
        <v>1</v>
      </c>
      <c r="C268" s="3" t="s">
        <v>19</v>
      </c>
      <c r="D268" s="3" t="s">
        <v>976</v>
      </c>
    </row>
    <row r="269" spans="1:4" x14ac:dyDescent="0.2">
      <c r="A269" s="3" t="s">
        <v>286</v>
      </c>
      <c r="B269" s="3" t="s">
        <v>1</v>
      </c>
      <c r="C269" s="3" t="s">
        <v>19</v>
      </c>
      <c r="D269" s="3" t="s">
        <v>976</v>
      </c>
    </row>
    <row r="270" spans="1:4" x14ac:dyDescent="0.2">
      <c r="A270" s="3" t="s">
        <v>287</v>
      </c>
      <c r="B270" s="3" t="s">
        <v>1</v>
      </c>
      <c r="C270" s="3" t="s">
        <v>19</v>
      </c>
      <c r="D270" s="3" t="s">
        <v>976</v>
      </c>
    </row>
    <row r="271" spans="1:4" x14ac:dyDescent="0.2">
      <c r="A271" s="3" t="s">
        <v>288</v>
      </c>
      <c r="B271" s="3" t="s">
        <v>1</v>
      </c>
      <c r="C271" s="3" t="s">
        <v>19</v>
      </c>
      <c r="D271" s="3" t="s">
        <v>976</v>
      </c>
    </row>
    <row r="272" spans="1:4" x14ac:dyDescent="0.2">
      <c r="A272" s="3" t="s">
        <v>289</v>
      </c>
      <c r="B272" s="3" t="s">
        <v>1</v>
      </c>
      <c r="C272" s="3" t="s">
        <v>19</v>
      </c>
      <c r="D272" s="3" t="s">
        <v>976</v>
      </c>
    </row>
    <row r="273" spans="1:4" x14ac:dyDescent="0.2">
      <c r="A273" s="3" t="s">
        <v>1434</v>
      </c>
      <c r="B273" s="3" t="s">
        <v>1</v>
      </c>
      <c r="C273" s="3" t="s">
        <v>19</v>
      </c>
      <c r="D273" s="3" t="s">
        <v>976</v>
      </c>
    </row>
    <row r="274" spans="1:4" x14ac:dyDescent="0.2">
      <c r="A274" s="3" t="s">
        <v>104</v>
      </c>
      <c r="B274" s="3" t="s">
        <v>1</v>
      </c>
      <c r="C274" s="3" t="s">
        <v>19</v>
      </c>
      <c r="D274" s="3" t="s">
        <v>1002</v>
      </c>
    </row>
    <row r="275" spans="1:4" x14ac:dyDescent="0.2">
      <c r="A275" s="3" t="s">
        <v>376</v>
      </c>
      <c r="B275" s="3" t="s">
        <v>1</v>
      </c>
      <c r="C275" s="3" t="s">
        <v>19</v>
      </c>
      <c r="D275" s="3" t="s">
        <v>1002</v>
      </c>
    </row>
    <row r="276" spans="1:4" x14ac:dyDescent="0.2">
      <c r="A276" s="3" t="s">
        <v>377</v>
      </c>
      <c r="B276" s="3" t="s">
        <v>1</v>
      </c>
      <c r="C276" s="3" t="s">
        <v>19</v>
      </c>
      <c r="D276" s="3" t="s">
        <v>1002</v>
      </c>
    </row>
    <row r="277" spans="1:4" x14ac:dyDescent="0.2">
      <c r="A277" s="3" t="s">
        <v>378</v>
      </c>
      <c r="B277" s="3" t="s">
        <v>1</v>
      </c>
      <c r="C277" s="3" t="s">
        <v>19</v>
      </c>
      <c r="D277" s="3" t="s">
        <v>1002</v>
      </c>
    </row>
    <row r="278" spans="1:4" x14ac:dyDescent="0.2">
      <c r="A278" s="3" t="s">
        <v>379</v>
      </c>
      <c r="B278" s="3" t="s">
        <v>1</v>
      </c>
      <c r="C278" s="3" t="s">
        <v>19</v>
      </c>
      <c r="D278" s="3" t="s">
        <v>1002</v>
      </c>
    </row>
    <row r="279" spans="1:4" x14ac:dyDescent="0.2">
      <c r="A279" s="3" t="s">
        <v>298</v>
      </c>
      <c r="B279" s="3" t="s">
        <v>1</v>
      </c>
      <c r="C279" s="3" t="s">
        <v>17</v>
      </c>
      <c r="D279" s="3" t="s">
        <v>977</v>
      </c>
    </row>
    <row r="280" spans="1:4" x14ac:dyDescent="0.2">
      <c r="A280" s="3" t="s">
        <v>299</v>
      </c>
      <c r="B280" s="3" t="s">
        <v>1</v>
      </c>
      <c r="C280" s="3" t="s">
        <v>17</v>
      </c>
      <c r="D280" s="3" t="s">
        <v>977</v>
      </c>
    </row>
    <row r="281" spans="1:4" x14ac:dyDescent="0.2">
      <c r="A281" s="3" t="s">
        <v>151</v>
      </c>
      <c r="B281" s="3" t="s">
        <v>1</v>
      </c>
      <c r="C281" s="3" t="s">
        <v>17</v>
      </c>
      <c r="D281" s="3" t="s">
        <v>933</v>
      </c>
    </row>
    <row r="282" spans="1:4" x14ac:dyDescent="0.2">
      <c r="A282" s="3" t="s">
        <v>295</v>
      </c>
      <c r="B282" s="3" t="s">
        <v>1</v>
      </c>
      <c r="C282" s="3" t="s">
        <v>17</v>
      </c>
      <c r="D282" s="3" t="s">
        <v>933</v>
      </c>
    </row>
    <row r="283" spans="1:4" x14ac:dyDescent="0.2">
      <c r="A283" s="3" t="s">
        <v>296</v>
      </c>
      <c r="B283" s="3" t="s">
        <v>1</v>
      </c>
      <c r="C283" s="3" t="s">
        <v>17</v>
      </c>
      <c r="D283" s="3" t="s">
        <v>933</v>
      </c>
    </row>
    <row r="284" spans="1:4" x14ac:dyDescent="0.2">
      <c r="A284" s="3" t="s">
        <v>297</v>
      </c>
      <c r="B284" s="3" t="s">
        <v>1</v>
      </c>
      <c r="C284" s="3" t="s">
        <v>17</v>
      </c>
      <c r="D284" s="3" t="s">
        <v>933</v>
      </c>
    </row>
    <row r="285" spans="1:4" x14ac:dyDescent="0.2">
      <c r="A285" s="3" t="s">
        <v>308</v>
      </c>
      <c r="B285" s="3" t="s">
        <v>1</v>
      </c>
      <c r="C285" s="3" t="s">
        <v>17</v>
      </c>
      <c r="D285" s="3" t="s">
        <v>933</v>
      </c>
    </row>
    <row r="286" spans="1:4" x14ac:dyDescent="0.2">
      <c r="A286" s="3" t="s">
        <v>310</v>
      </c>
      <c r="B286" s="3" t="s">
        <v>1</v>
      </c>
      <c r="C286" s="3" t="s">
        <v>979</v>
      </c>
      <c r="D286" s="3" t="s">
        <v>979</v>
      </c>
    </row>
    <row r="287" spans="1:4" x14ac:dyDescent="0.2">
      <c r="A287" s="3" t="s">
        <v>311</v>
      </c>
      <c r="B287" s="3" t="s">
        <v>1</v>
      </c>
      <c r="C287" s="3" t="s">
        <v>979</v>
      </c>
      <c r="D287" s="3" t="s">
        <v>979</v>
      </c>
    </row>
    <row r="288" spans="1:4" x14ac:dyDescent="0.2">
      <c r="A288" s="3" t="s">
        <v>40</v>
      </c>
      <c r="B288" s="3" t="s">
        <v>27</v>
      </c>
      <c r="C288" s="3" t="s">
        <v>960</v>
      </c>
      <c r="D288" s="3" t="s">
        <v>971</v>
      </c>
    </row>
    <row r="289" spans="1:4" x14ac:dyDescent="0.2">
      <c r="A289" s="3" t="s">
        <v>115</v>
      </c>
      <c r="B289" s="3" t="s">
        <v>27</v>
      </c>
      <c r="C289" s="3" t="s">
        <v>960</v>
      </c>
      <c r="D289" s="3" t="s">
        <v>971</v>
      </c>
    </row>
    <row r="290" spans="1:4" x14ac:dyDescent="0.2">
      <c r="A290" s="3" t="s">
        <v>116</v>
      </c>
      <c r="B290" s="3" t="s">
        <v>27</v>
      </c>
      <c r="C290" s="3" t="s">
        <v>960</v>
      </c>
      <c r="D290" s="3" t="s">
        <v>971</v>
      </c>
    </row>
    <row r="291" spans="1:4" x14ac:dyDescent="0.2">
      <c r="A291" s="3" t="s">
        <v>117</v>
      </c>
      <c r="B291" s="3" t="s">
        <v>27</v>
      </c>
      <c r="C291" s="3" t="s">
        <v>960</v>
      </c>
      <c r="D291" s="3" t="s">
        <v>971</v>
      </c>
    </row>
    <row r="292" spans="1:4" x14ac:dyDescent="0.2">
      <c r="A292" s="3" t="s">
        <v>41</v>
      </c>
      <c r="B292" s="3" t="s">
        <v>27</v>
      </c>
      <c r="C292" s="3" t="s">
        <v>960</v>
      </c>
      <c r="D292" s="3" t="s">
        <v>971</v>
      </c>
    </row>
    <row r="293" spans="1:4" x14ac:dyDescent="0.2">
      <c r="A293" s="3" t="s">
        <v>118</v>
      </c>
      <c r="B293" s="3" t="s">
        <v>27</v>
      </c>
      <c r="C293" s="3" t="s">
        <v>960</v>
      </c>
      <c r="D293" s="3" t="s">
        <v>971</v>
      </c>
    </row>
    <row r="294" spans="1:4" x14ac:dyDescent="0.2">
      <c r="A294" s="3" t="s">
        <v>119</v>
      </c>
      <c r="B294" s="3" t="s">
        <v>27</v>
      </c>
      <c r="C294" s="3" t="s">
        <v>960</v>
      </c>
      <c r="D294" s="3" t="s">
        <v>971</v>
      </c>
    </row>
    <row r="295" spans="1:4" x14ac:dyDescent="0.2">
      <c r="A295" s="3" t="s">
        <v>120</v>
      </c>
      <c r="B295" s="3" t="s">
        <v>27</v>
      </c>
      <c r="C295" s="3" t="s">
        <v>960</v>
      </c>
      <c r="D295" s="3" t="s">
        <v>971</v>
      </c>
    </row>
    <row r="296" spans="1:4" x14ac:dyDescent="0.2">
      <c r="A296" s="3" t="s">
        <v>309</v>
      </c>
      <c r="B296" s="3" t="s">
        <v>1</v>
      </c>
      <c r="C296" s="3" t="s">
        <v>17</v>
      </c>
      <c r="D296" s="3" t="s">
        <v>978</v>
      </c>
    </row>
    <row r="297" spans="1:4" x14ac:dyDescent="0.2">
      <c r="A297" s="3" t="s">
        <v>317</v>
      </c>
      <c r="B297" s="3" t="s">
        <v>1</v>
      </c>
      <c r="C297" s="3" t="s">
        <v>17</v>
      </c>
      <c r="D297" s="3" t="s">
        <v>981</v>
      </c>
    </row>
    <row r="298" spans="1:4" x14ac:dyDescent="0.2">
      <c r="A298" s="3" t="s">
        <v>318</v>
      </c>
      <c r="B298" s="3" t="s">
        <v>1</v>
      </c>
      <c r="C298" s="3" t="s">
        <v>17</v>
      </c>
      <c r="D298" s="3" t="s">
        <v>981</v>
      </c>
    </row>
    <row r="299" spans="1:4" x14ac:dyDescent="0.2">
      <c r="A299" s="3" t="s">
        <v>321</v>
      </c>
      <c r="B299" s="3" t="s">
        <v>1</v>
      </c>
      <c r="C299" s="3" t="s">
        <v>17</v>
      </c>
      <c r="D299" s="3" t="s">
        <v>983</v>
      </c>
    </row>
    <row r="300" spans="1:4" x14ac:dyDescent="0.2">
      <c r="A300" s="3" t="s">
        <v>322</v>
      </c>
      <c r="B300" s="3" t="s">
        <v>1</v>
      </c>
      <c r="C300" s="3" t="s">
        <v>17</v>
      </c>
      <c r="D300" s="3" t="s">
        <v>983</v>
      </c>
    </row>
    <row r="301" spans="1:4" x14ac:dyDescent="0.2">
      <c r="A301" s="3" t="s">
        <v>323</v>
      </c>
      <c r="B301" s="3" t="s">
        <v>1</v>
      </c>
      <c r="C301" s="3" t="s">
        <v>17</v>
      </c>
      <c r="D301" s="3" t="s">
        <v>984</v>
      </c>
    </row>
    <row r="302" spans="1:4" x14ac:dyDescent="0.2">
      <c r="A302" s="3" t="s">
        <v>319</v>
      </c>
      <c r="B302" s="3" t="s">
        <v>1</v>
      </c>
      <c r="C302" s="3" t="s">
        <v>17</v>
      </c>
      <c r="D302" s="3" t="s">
        <v>982</v>
      </c>
    </row>
    <row r="303" spans="1:4" x14ac:dyDescent="0.2">
      <c r="A303" s="3" t="s">
        <v>320</v>
      </c>
      <c r="B303" s="3" t="s">
        <v>1</v>
      </c>
      <c r="C303" s="3" t="s">
        <v>17</v>
      </c>
      <c r="D303" s="3" t="s">
        <v>982</v>
      </c>
    </row>
    <row r="304" spans="1:4" x14ac:dyDescent="0.2">
      <c r="A304" s="3" t="s">
        <v>324</v>
      </c>
      <c r="B304" s="3" t="s">
        <v>1</v>
      </c>
      <c r="C304" s="3" t="s">
        <v>17</v>
      </c>
      <c r="D304" s="3" t="s">
        <v>985</v>
      </c>
    </row>
    <row r="305" spans="1:4" x14ac:dyDescent="0.2">
      <c r="A305" s="3" t="s">
        <v>325</v>
      </c>
      <c r="B305" s="3" t="s">
        <v>1</v>
      </c>
      <c r="C305" s="3" t="s">
        <v>17</v>
      </c>
      <c r="D305" s="3" t="s">
        <v>985</v>
      </c>
    </row>
    <row r="306" spans="1:4" x14ac:dyDescent="0.2">
      <c r="A306" s="3" t="s">
        <v>326</v>
      </c>
      <c r="B306" s="3" t="s">
        <v>1</v>
      </c>
      <c r="C306" s="3" t="s">
        <v>17</v>
      </c>
      <c r="D306" s="3" t="s">
        <v>985</v>
      </c>
    </row>
    <row r="307" spans="1:4" x14ac:dyDescent="0.2">
      <c r="A307" s="3" t="s">
        <v>327</v>
      </c>
      <c r="B307" s="3" t="s">
        <v>1</v>
      </c>
      <c r="C307" s="3" t="s">
        <v>17</v>
      </c>
      <c r="D307" s="3" t="s">
        <v>985</v>
      </c>
    </row>
    <row r="308" spans="1:4" x14ac:dyDescent="0.2">
      <c r="A308" s="3" t="s">
        <v>328</v>
      </c>
      <c r="B308" s="3" t="s">
        <v>1</v>
      </c>
      <c r="C308" s="3" t="s">
        <v>17</v>
      </c>
      <c r="D308" s="3" t="s">
        <v>985</v>
      </c>
    </row>
    <row r="309" spans="1:4" x14ac:dyDescent="0.2">
      <c r="A309" s="3" t="s">
        <v>127</v>
      </c>
      <c r="B309" s="3" t="s">
        <v>1</v>
      </c>
      <c r="C309" s="3" t="s">
        <v>17</v>
      </c>
      <c r="D309" s="3" t="s">
        <v>986</v>
      </c>
    </row>
    <row r="310" spans="1:4" x14ac:dyDescent="0.2">
      <c r="A310" s="3" t="s">
        <v>46</v>
      </c>
      <c r="B310" s="3" t="s">
        <v>1</v>
      </c>
      <c r="C310" s="3" t="s">
        <v>17</v>
      </c>
      <c r="D310" s="3" t="s">
        <v>986</v>
      </c>
    </row>
    <row r="311" spans="1:4" x14ac:dyDescent="0.2">
      <c r="A311" s="3" t="s">
        <v>329</v>
      </c>
      <c r="B311" s="3" t="s">
        <v>1</v>
      </c>
      <c r="C311" s="3" t="s">
        <v>17</v>
      </c>
      <c r="D311" s="3" t="s">
        <v>986</v>
      </c>
    </row>
    <row r="312" spans="1:4" x14ac:dyDescent="0.2">
      <c r="A312" s="3" t="s">
        <v>334</v>
      </c>
      <c r="B312" s="3" t="s">
        <v>1</v>
      </c>
      <c r="C312" s="3" t="s">
        <v>17</v>
      </c>
      <c r="D312" s="3" t="s">
        <v>927</v>
      </c>
    </row>
    <row r="313" spans="1:4" x14ac:dyDescent="0.2">
      <c r="A313" s="3" t="s">
        <v>45</v>
      </c>
      <c r="B313" s="3" t="s">
        <v>1</v>
      </c>
      <c r="C313" s="3" t="s">
        <v>17</v>
      </c>
      <c r="D313" s="3" t="s">
        <v>927</v>
      </c>
    </row>
    <row r="314" spans="1:4" x14ac:dyDescent="0.2">
      <c r="A314" s="3" t="s">
        <v>335</v>
      </c>
      <c r="B314" s="3" t="s">
        <v>1</v>
      </c>
      <c r="C314" s="3" t="s">
        <v>17</v>
      </c>
      <c r="D314" s="3" t="s">
        <v>927</v>
      </c>
    </row>
    <row r="315" spans="1:4" x14ac:dyDescent="0.2">
      <c r="A315" s="3" t="s">
        <v>336</v>
      </c>
      <c r="B315" s="3" t="s">
        <v>1</v>
      </c>
      <c r="C315" s="3" t="s">
        <v>17</v>
      </c>
      <c r="D315" s="3" t="s">
        <v>927</v>
      </c>
    </row>
    <row r="316" spans="1:4" x14ac:dyDescent="0.2">
      <c r="A316" s="3" t="s">
        <v>44</v>
      </c>
      <c r="B316" s="3" t="s">
        <v>1</v>
      </c>
      <c r="C316" s="3" t="s">
        <v>17</v>
      </c>
      <c r="D316" s="3" t="s">
        <v>927</v>
      </c>
    </row>
    <row r="317" spans="1:4" x14ac:dyDescent="0.2">
      <c r="A317" s="3" t="s">
        <v>1147</v>
      </c>
      <c r="B317" s="3" t="s">
        <v>1</v>
      </c>
      <c r="C317" s="3" t="s">
        <v>17</v>
      </c>
      <c r="D317" s="3" t="s">
        <v>927</v>
      </c>
    </row>
    <row r="318" spans="1:4" x14ac:dyDescent="0.2">
      <c r="A318" s="3" t="s">
        <v>331</v>
      </c>
      <c r="B318" s="3" t="s">
        <v>1</v>
      </c>
      <c r="C318" s="3" t="s">
        <v>987</v>
      </c>
      <c r="D318" s="3" t="s">
        <v>988</v>
      </c>
    </row>
    <row r="319" spans="1:4" x14ac:dyDescent="0.2">
      <c r="A319" s="3" t="s">
        <v>332</v>
      </c>
      <c r="B319" s="3" t="s">
        <v>1</v>
      </c>
      <c r="C319" s="3" t="s">
        <v>987</v>
      </c>
      <c r="D319" s="3" t="s">
        <v>988</v>
      </c>
    </row>
    <row r="320" spans="1:4" x14ac:dyDescent="0.2">
      <c r="A320" s="3" t="s">
        <v>333</v>
      </c>
      <c r="B320" s="3" t="s">
        <v>1</v>
      </c>
      <c r="C320" s="3" t="s">
        <v>987</v>
      </c>
      <c r="D320" s="3" t="s">
        <v>988</v>
      </c>
    </row>
    <row r="321" spans="1:4" x14ac:dyDescent="0.2">
      <c r="A321" s="3" t="s">
        <v>337</v>
      </c>
      <c r="B321" s="3" t="s">
        <v>1</v>
      </c>
      <c r="C321" s="3" t="s">
        <v>987</v>
      </c>
      <c r="D321" s="3" t="s">
        <v>988</v>
      </c>
    </row>
    <row r="322" spans="1:4" x14ac:dyDescent="0.2">
      <c r="A322" s="3" t="s">
        <v>43</v>
      </c>
      <c r="B322" s="3" t="s">
        <v>1</v>
      </c>
      <c r="C322" s="3" t="s">
        <v>987</v>
      </c>
      <c r="D322" s="3" t="s">
        <v>988</v>
      </c>
    </row>
    <row r="323" spans="1:4" x14ac:dyDescent="0.2">
      <c r="A323" s="3" t="s">
        <v>338</v>
      </c>
      <c r="B323" s="3" t="s">
        <v>1</v>
      </c>
      <c r="C323" s="3" t="s">
        <v>987</v>
      </c>
      <c r="D323" s="3" t="s">
        <v>988</v>
      </c>
    </row>
    <row r="324" spans="1:4" x14ac:dyDescent="0.2">
      <c r="A324" s="3" t="s">
        <v>98</v>
      </c>
      <c r="B324" s="3" t="s">
        <v>1</v>
      </c>
      <c r="C324" s="3" t="s">
        <v>987</v>
      </c>
      <c r="D324" s="3" t="s">
        <v>988</v>
      </c>
    </row>
    <row r="325" spans="1:4" x14ac:dyDescent="0.2">
      <c r="A325" s="3" t="s">
        <v>339</v>
      </c>
      <c r="B325" s="3" t="s">
        <v>1</v>
      </c>
      <c r="C325" s="3" t="s">
        <v>987</v>
      </c>
      <c r="D325" s="3" t="s">
        <v>988</v>
      </c>
    </row>
    <row r="326" spans="1:4" x14ac:dyDescent="0.2">
      <c r="A326" s="3" t="s">
        <v>340</v>
      </c>
      <c r="B326" s="3" t="s">
        <v>1</v>
      </c>
      <c r="C326" s="3" t="s">
        <v>987</v>
      </c>
      <c r="D326" s="3" t="s">
        <v>988</v>
      </c>
    </row>
    <row r="327" spans="1:4" x14ac:dyDescent="0.2">
      <c r="A327" s="3" t="s">
        <v>1148</v>
      </c>
      <c r="B327" s="3" t="s">
        <v>1</v>
      </c>
      <c r="C327" s="3" t="s">
        <v>17</v>
      </c>
      <c r="D327" s="3" t="s">
        <v>989</v>
      </c>
    </row>
    <row r="328" spans="1:4" x14ac:dyDescent="0.2">
      <c r="A328" s="3" t="s">
        <v>1149</v>
      </c>
      <c r="B328" s="3" t="s">
        <v>1</v>
      </c>
      <c r="C328" s="3" t="s">
        <v>17</v>
      </c>
      <c r="D328" s="3" t="s">
        <v>989</v>
      </c>
    </row>
    <row r="329" spans="1:4" x14ac:dyDescent="0.2">
      <c r="A329" s="3" t="s">
        <v>475</v>
      </c>
      <c r="B329" s="3" t="s">
        <v>924</v>
      </c>
      <c r="C329" s="3" t="s">
        <v>938</v>
      </c>
      <c r="D329" s="3" t="s">
        <v>959</v>
      </c>
    </row>
    <row r="330" spans="1:4" x14ac:dyDescent="0.2">
      <c r="A330" s="3" t="s">
        <v>476</v>
      </c>
      <c r="B330" s="3" t="s">
        <v>924</v>
      </c>
      <c r="C330" s="3" t="s">
        <v>938</v>
      </c>
      <c r="D330" s="3" t="s">
        <v>959</v>
      </c>
    </row>
    <row r="331" spans="1:4" x14ac:dyDescent="0.2">
      <c r="A331" s="3" t="s">
        <v>479</v>
      </c>
      <c r="B331" s="3" t="s">
        <v>924</v>
      </c>
      <c r="C331" s="3" t="s">
        <v>938</v>
      </c>
      <c r="D331" s="3" t="s">
        <v>959</v>
      </c>
    </row>
    <row r="332" spans="1:4" x14ac:dyDescent="0.2">
      <c r="A332" s="3" t="s">
        <v>480</v>
      </c>
      <c r="B332" s="3" t="s">
        <v>924</v>
      </c>
      <c r="C332" s="3" t="s">
        <v>938</v>
      </c>
      <c r="D332" s="3" t="s">
        <v>959</v>
      </c>
    </row>
    <row r="333" spans="1:4" x14ac:dyDescent="0.2">
      <c r="A333" s="3" t="s">
        <v>477</v>
      </c>
      <c r="B333" s="3" t="s">
        <v>924</v>
      </c>
      <c r="C333" s="3" t="s">
        <v>938</v>
      </c>
      <c r="D333" s="3" t="s">
        <v>959</v>
      </c>
    </row>
    <row r="334" spans="1:4" x14ac:dyDescent="0.2">
      <c r="A334" s="3" t="s">
        <v>478</v>
      </c>
      <c r="B334" s="3" t="s">
        <v>924</v>
      </c>
      <c r="C334" s="3" t="s">
        <v>938</v>
      </c>
      <c r="D334" s="3" t="s">
        <v>959</v>
      </c>
    </row>
    <row r="335" spans="1:4" x14ac:dyDescent="0.2">
      <c r="A335" s="3" t="s">
        <v>342</v>
      </c>
      <c r="B335" s="3" t="s">
        <v>1</v>
      </c>
      <c r="C335" s="3" t="s">
        <v>972</v>
      </c>
      <c r="D335" s="3" t="s">
        <v>990</v>
      </c>
    </row>
    <row r="336" spans="1:4" x14ac:dyDescent="0.2">
      <c r="A336" s="3" t="s">
        <v>344</v>
      </c>
      <c r="B336" s="3" t="s">
        <v>1</v>
      </c>
      <c r="C336" s="3" t="s">
        <v>931</v>
      </c>
      <c r="D336" s="3" t="s">
        <v>992</v>
      </c>
    </row>
    <row r="337" spans="1:4" x14ac:dyDescent="0.2">
      <c r="A337" s="3" t="s">
        <v>345</v>
      </c>
      <c r="B337" s="3" t="s">
        <v>1</v>
      </c>
      <c r="C337" s="3" t="s">
        <v>931</v>
      </c>
      <c r="D337" s="3" t="s">
        <v>992</v>
      </c>
    </row>
    <row r="338" spans="1:4" x14ac:dyDescent="0.2">
      <c r="A338" s="3" t="s">
        <v>346</v>
      </c>
      <c r="B338" s="3" t="s">
        <v>1</v>
      </c>
      <c r="C338" s="3" t="s">
        <v>931</v>
      </c>
      <c r="D338" s="3" t="s">
        <v>992</v>
      </c>
    </row>
    <row r="339" spans="1:4" x14ac:dyDescent="0.2">
      <c r="A339" s="3" t="s">
        <v>347</v>
      </c>
      <c r="B339" s="3" t="s">
        <v>1</v>
      </c>
      <c r="C339" s="3" t="s">
        <v>931</v>
      </c>
      <c r="D339" s="3" t="s">
        <v>992</v>
      </c>
    </row>
    <row r="340" spans="1:4" x14ac:dyDescent="0.2">
      <c r="A340" s="3" t="s">
        <v>350</v>
      </c>
      <c r="B340" s="3" t="s">
        <v>1</v>
      </c>
      <c r="C340" s="3" t="s">
        <v>931</v>
      </c>
      <c r="D340" s="3" t="s">
        <v>992</v>
      </c>
    </row>
    <row r="341" spans="1:4" x14ac:dyDescent="0.2">
      <c r="A341" s="3" t="s">
        <v>351</v>
      </c>
      <c r="B341" s="3" t="s">
        <v>1</v>
      </c>
      <c r="C341" s="3" t="s">
        <v>931</v>
      </c>
      <c r="D341" s="3" t="s">
        <v>992</v>
      </c>
    </row>
    <row r="342" spans="1:4" x14ac:dyDescent="0.2">
      <c r="A342" s="3" t="s">
        <v>352</v>
      </c>
      <c r="B342" s="3" t="s">
        <v>1</v>
      </c>
      <c r="C342" s="3" t="s">
        <v>931</v>
      </c>
      <c r="D342" s="3" t="s">
        <v>992</v>
      </c>
    </row>
    <row r="343" spans="1:4" x14ac:dyDescent="0.2">
      <c r="A343" s="3" t="s">
        <v>353</v>
      </c>
      <c r="B343" s="3" t="s">
        <v>1</v>
      </c>
      <c r="C343" s="3" t="s">
        <v>931</v>
      </c>
      <c r="D343" s="3" t="s">
        <v>992</v>
      </c>
    </row>
    <row r="344" spans="1:4" x14ac:dyDescent="0.2">
      <c r="A344" s="3" t="s">
        <v>408</v>
      </c>
      <c r="B344" s="3" t="s">
        <v>943</v>
      </c>
      <c r="C344" s="3" t="s">
        <v>17</v>
      </c>
      <c r="D344" s="3" t="s">
        <v>999</v>
      </c>
    </row>
    <row r="345" spans="1:4" x14ac:dyDescent="0.2">
      <c r="A345" s="3" t="s">
        <v>409</v>
      </c>
      <c r="B345" s="3" t="s">
        <v>943</v>
      </c>
      <c r="C345" s="3" t="s">
        <v>17</v>
      </c>
      <c r="D345" s="3" t="s">
        <v>999</v>
      </c>
    </row>
    <row r="346" spans="1:4" x14ac:dyDescent="0.2">
      <c r="A346" s="3" t="s">
        <v>371</v>
      </c>
      <c r="B346" s="3" t="s">
        <v>1</v>
      </c>
      <c r="C346" s="3" t="s">
        <v>17</v>
      </c>
      <c r="D346" s="3" t="s">
        <v>1000</v>
      </c>
    </row>
    <row r="347" spans="1:4" x14ac:dyDescent="0.2">
      <c r="A347" s="3" t="s">
        <v>370</v>
      </c>
      <c r="B347" s="3" t="s">
        <v>1</v>
      </c>
      <c r="C347" s="3" t="s">
        <v>19</v>
      </c>
      <c r="D347" s="3" t="s">
        <v>998</v>
      </c>
    </row>
    <row r="348" spans="1:4" x14ac:dyDescent="0.2">
      <c r="A348" s="3" t="s">
        <v>366</v>
      </c>
      <c r="B348" s="3" t="s">
        <v>1</v>
      </c>
      <c r="C348" s="3" t="s">
        <v>29</v>
      </c>
      <c r="D348" s="3" t="s">
        <v>996</v>
      </c>
    </row>
    <row r="349" spans="1:4" x14ac:dyDescent="0.2">
      <c r="A349" s="3" t="s">
        <v>367</v>
      </c>
      <c r="B349" s="3" t="s">
        <v>1</v>
      </c>
      <c r="C349" s="3" t="s">
        <v>29</v>
      </c>
      <c r="D349" s="3" t="s">
        <v>996</v>
      </c>
    </row>
    <row r="350" spans="1:4" x14ac:dyDescent="0.2">
      <c r="A350" s="3" t="s">
        <v>368</v>
      </c>
      <c r="B350" s="3" t="s">
        <v>1</v>
      </c>
      <c r="C350" s="3" t="s">
        <v>17</v>
      </c>
      <c r="D350" s="3" t="s">
        <v>997</v>
      </c>
    </row>
    <row r="351" spans="1:4" x14ac:dyDescent="0.2">
      <c r="A351" s="3" t="s">
        <v>358</v>
      </c>
      <c r="B351" s="3" t="s">
        <v>1</v>
      </c>
      <c r="C351" s="3" t="s">
        <v>19</v>
      </c>
      <c r="D351" s="3" t="s">
        <v>995</v>
      </c>
    </row>
    <row r="352" spans="1:4" x14ac:dyDescent="0.2">
      <c r="A352" s="3" t="s">
        <v>359</v>
      </c>
      <c r="B352" s="3" t="s">
        <v>1</v>
      </c>
      <c r="C352" s="3" t="s">
        <v>19</v>
      </c>
      <c r="D352" s="3" t="s">
        <v>995</v>
      </c>
    </row>
    <row r="353" spans="1:4" x14ac:dyDescent="0.2">
      <c r="A353" s="3" t="s">
        <v>360</v>
      </c>
      <c r="B353" s="3" t="s">
        <v>1</v>
      </c>
      <c r="C353" s="3" t="s">
        <v>19</v>
      </c>
      <c r="D353" s="3" t="s">
        <v>995</v>
      </c>
    </row>
    <row r="354" spans="1:4" x14ac:dyDescent="0.2">
      <c r="A354" s="3" t="s">
        <v>361</v>
      </c>
      <c r="B354" s="3" t="s">
        <v>1</v>
      </c>
      <c r="C354" s="3" t="s">
        <v>19</v>
      </c>
      <c r="D354" s="3" t="s">
        <v>995</v>
      </c>
    </row>
    <row r="355" spans="1:4" x14ac:dyDescent="0.2">
      <c r="A355" s="3" t="s">
        <v>362</v>
      </c>
      <c r="B355" s="3" t="s">
        <v>1</v>
      </c>
      <c r="C355" s="3" t="s">
        <v>19</v>
      </c>
      <c r="D355" s="3" t="s">
        <v>995</v>
      </c>
    </row>
    <row r="356" spans="1:4" x14ac:dyDescent="0.2">
      <c r="A356" s="3" t="s">
        <v>363</v>
      </c>
      <c r="B356" s="3" t="s">
        <v>1</v>
      </c>
      <c r="C356" s="3" t="s">
        <v>19</v>
      </c>
      <c r="D356" s="3" t="s">
        <v>995</v>
      </c>
    </row>
    <row r="357" spans="1:4" x14ac:dyDescent="0.2">
      <c r="A357" s="3" t="s">
        <v>364</v>
      </c>
      <c r="B357" s="3" t="s">
        <v>1</v>
      </c>
      <c r="C357" s="3" t="s">
        <v>19</v>
      </c>
      <c r="D357" s="3" t="s">
        <v>995</v>
      </c>
    </row>
    <row r="358" spans="1:4" x14ac:dyDescent="0.2">
      <c r="A358" s="3" t="s">
        <v>365</v>
      </c>
      <c r="B358" s="3" t="s">
        <v>1</v>
      </c>
      <c r="C358" s="3" t="s">
        <v>19</v>
      </c>
      <c r="D358" s="3" t="s">
        <v>995</v>
      </c>
    </row>
    <row r="359" spans="1:4" x14ac:dyDescent="0.2">
      <c r="A359" s="3" t="s">
        <v>467</v>
      </c>
      <c r="B359" s="3" t="s">
        <v>1</v>
      </c>
      <c r="C359" s="3" t="s">
        <v>19</v>
      </c>
      <c r="D359" s="3" t="s">
        <v>995</v>
      </c>
    </row>
    <row r="360" spans="1:4" x14ac:dyDescent="0.2">
      <c r="A360" s="3" t="s">
        <v>354</v>
      </c>
      <c r="B360" s="3" t="s">
        <v>1</v>
      </c>
      <c r="C360" s="3" t="s">
        <v>17</v>
      </c>
      <c r="D360" s="3" t="s">
        <v>994</v>
      </c>
    </row>
    <row r="361" spans="1:4" x14ac:dyDescent="0.2">
      <c r="A361" s="3" t="s">
        <v>355</v>
      </c>
      <c r="B361" s="3" t="s">
        <v>1</v>
      </c>
      <c r="C361" s="3" t="s">
        <v>17</v>
      </c>
      <c r="D361" s="3" t="s">
        <v>994</v>
      </c>
    </row>
    <row r="362" spans="1:4" x14ac:dyDescent="0.2">
      <c r="A362" s="3" t="s">
        <v>356</v>
      </c>
      <c r="B362" s="3" t="s">
        <v>1</v>
      </c>
      <c r="C362" s="3" t="s">
        <v>17</v>
      </c>
      <c r="D362" s="3" t="s">
        <v>994</v>
      </c>
    </row>
    <row r="363" spans="1:4" x14ac:dyDescent="0.2">
      <c r="A363" s="3" t="s">
        <v>357</v>
      </c>
      <c r="B363" s="3" t="s">
        <v>1</v>
      </c>
      <c r="C363" s="3" t="s">
        <v>17</v>
      </c>
      <c r="D363" s="3" t="s">
        <v>994</v>
      </c>
    </row>
    <row r="364" spans="1:4" x14ac:dyDescent="0.2">
      <c r="A364" s="3" t="s">
        <v>372</v>
      </c>
      <c r="B364" s="3" t="s">
        <v>1</v>
      </c>
      <c r="C364" s="3" t="s">
        <v>17</v>
      </c>
      <c r="D364" s="3" t="s">
        <v>1001</v>
      </c>
    </row>
    <row r="365" spans="1:4" x14ac:dyDescent="0.2">
      <c r="A365" s="3" t="s">
        <v>373</v>
      </c>
      <c r="B365" s="3" t="s">
        <v>1</v>
      </c>
      <c r="C365" s="3" t="s">
        <v>17</v>
      </c>
      <c r="D365" s="3" t="s">
        <v>1001</v>
      </c>
    </row>
    <row r="366" spans="1:4" x14ac:dyDescent="0.2">
      <c r="A366" s="3" t="s">
        <v>374</v>
      </c>
      <c r="B366" s="3" t="s">
        <v>1</v>
      </c>
      <c r="C366" s="3" t="s">
        <v>17</v>
      </c>
      <c r="D366" s="3" t="s">
        <v>1001</v>
      </c>
    </row>
    <row r="367" spans="1:4" x14ac:dyDescent="0.2">
      <c r="A367" s="3" t="s">
        <v>375</v>
      </c>
      <c r="B367" s="3" t="s">
        <v>1</v>
      </c>
      <c r="C367" s="3" t="s">
        <v>17</v>
      </c>
      <c r="D367" s="3" t="s">
        <v>1001</v>
      </c>
    </row>
    <row r="368" spans="1:4" x14ac:dyDescent="0.2">
      <c r="A368" s="3" t="s">
        <v>380</v>
      </c>
      <c r="B368" s="3" t="s">
        <v>1</v>
      </c>
      <c r="C368" s="3" t="s">
        <v>17</v>
      </c>
      <c r="D368" s="3" t="s">
        <v>1003</v>
      </c>
    </row>
    <row r="369" spans="1:4" x14ac:dyDescent="0.2">
      <c r="A369" s="3" t="s">
        <v>381</v>
      </c>
      <c r="B369" s="3" t="s">
        <v>1</v>
      </c>
      <c r="C369" s="3" t="s">
        <v>17</v>
      </c>
      <c r="D369" s="3" t="s">
        <v>1003</v>
      </c>
    </row>
    <row r="370" spans="1:4" x14ac:dyDescent="0.2">
      <c r="A370" s="3" t="s">
        <v>382</v>
      </c>
      <c r="B370" s="3" t="s">
        <v>1</v>
      </c>
      <c r="C370" s="3" t="s">
        <v>17</v>
      </c>
      <c r="D370" s="3" t="s">
        <v>1003</v>
      </c>
    </row>
    <row r="371" spans="1:4" x14ac:dyDescent="0.2">
      <c r="A371" s="3" t="s">
        <v>383</v>
      </c>
      <c r="B371" s="3" t="s">
        <v>1</v>
      </c>
      <c r="C371" s="3" t="s">
        <v>17</v>
      </c>
      <c r="D371" s="3" t="s">
        <v>1003</v>
      </c>
    </row>
    <row r="372" spans="1:4" x14ac:dyDescent="0.2">
      <c r="A372" s="3" t="s">
        <v>384</v>
      </c>
      <c r="B372" s="3" t="s">
        <v>1</v>
      </c>
      <c r="C372" s="3" t="s">
        <v>17</v>
      </c>
      <c r="D372" s="3" t="s">
        <v>1003</v>
      </c>
    </row>
    <row r="373" spans="1:4" x14ac:dyDescent="0.2">
      <c r="A373" s="3" t="s">
        <v>385</v>
      </c>
      <c r="B373" s="3" t="s">
        <v>1</v>
      </c>
      <c r="C373" s="3" t="s">
        <v>972</v>
      </c>
      <c r="D373" s="3" t="s">
        <v>1004</v>
      </c>
    </row>
    <row r="374" spans="1:4" x14ac:dyDescent="0.2">
      <c r="A374" s="3" t="s">
        <v>1591</v>
      </c>
      <c r="B374" s="3" t="s">
        <v>1</v>
      </c>
      <c r="C374" s="3" t="s">
        <v>972</v>
      </c>
      <c r="D374" s="3" t="s">
        <v>1004</v>
      </c>
    </row>
    <row r="375" spans="1:4" x14ac:dyDescent="0.2">
      <c r="A375" s="3" t="s">
        <v>313</v>
      </c>
      <c r="B375" s="3" t="s">
        <v>1</v>
      </c>
      <c r="C375" s="3" t="s">
        <v>17</v>
      </c>
      <c r="D375" s="3" t="s">
        <v>980</v>
      </c>
    </row>
    <row r="376" spans="1:4" x14ac:dyDescent="0.2">
      <c r="A376" s="3" t="s">
        <v>314</v>
      </c>
      <c r="B376" s="3" t="s">
        <v>1</v>
      </c>
      <c r="C376" s="3" t="s">
        <v>17</v>
      </c>
      <c r="D376" s="3" t="s">
        <v>980</v>
      </c>
    </row>
    <row r="377" spans="1:4" x14ac:dyDescent="0.2">
      <c r="A377" s="3" t="s">
        <v>315</v>
      </c>
      <c r="B377" s="3" t="s">
        <v>1</v>
      </c>
      <c r="C377" s="3" t="s">
        <v>17</v>
      </c>
      <c r="D377" s="3" t="s">
        <v>980</v>
      </c>
    </row>
    <row r="378" spans="1:4" x14ac:dyDescent="0.2">
      <c r="A378" s="3" t="s">
        <v>122</v>
      </c>
      <c r="B378" s="3" t="s">
        <v>27</v>
      </c>
      <c r="C378" s="3" t="s">
        <v>987</v>
      </c>
      <c r="D378" s="3" t="s">
        <v>1008</v>
      </c>
    </row>
    <row r="379" spans="1:4" x14ac:dyDescent="0.2">
      <c r="A379" s="3" t="s">
        <v>123</v>
      </c>
      <c r="B379" s="3" t="s">
        <v>27</v>
      </c>
      <c r="C379" s="3" t="s">
        <v>987</v>
      </c>
      <c r="D379" s="3" t="s">
        <v>1008</v>
      </c>
    </row>
    <row r="380" spans="1:4" x14ac:dyDescent="0.2">
      <c r="A380" s="3" t="s">
        <v>124</v>
      </c>
      <c r="B380" s="3" t="s">
        <v>27</v>
      </c>
      <c r="C380" s="3" t="s">
        <v>987</v>
      </c>
      <c r="D380" s="3" t="s">
        <v>1008</v>
      </c>
    </row>
    <row r="381" spans="1:4" x14ac:dyDescent="0.2">
      <c r="A381" s="3" t="s">
        <v>450</v>
      </c>
      <c r="B381" s="3" t="s">
        <v>1152</v>
      </c>
      <c r="C381" s="3" t="s">
        <v>987</v>
      </c>
      <c r="D381" s="3" t="s">
        <v>1005</v>
      </c>
    </row>
    <row r="382" spans="1:4" x14ac:dyDescent="0.2">
      <c r="A382" s="3" t="s">
        <v>451</v>
      </c>
      <c r="B382" s="3" t="s">
        <v>1152</v>
      </c>
      <c r="C382" s="3" t="s">
        <v>987</v>
      </c>
      <c r="D382" s="3" t="s">
        <v>1005</v>
      </c>
    </row>
    <row r="383" spans="1:4" x14ac:dyDescent="0.2">
      <c r="A383" s="3" t="s">
        <v>452</v>
      </c>
      <c r="B383" s="3" t="s">
        <v>1152</v>
      </c>
      <c r="C383" s="3" t="s">
        <v>987</v>
      </c>
      <c r="D383" s="3" t="s">
        <v>1005</v>
      </c>
    </row>
    <row r="384" spans="1:4" x14ac:dyDescent="0.2">
      <c r="A384" s="3" t="s">
        <v>453</v>
      </c>
      <c r="B384" s="3" t="s">
        <v>1152</v>
      </c>
      <c r="C384" s="3" t="s">
        <v>987</v>
      </c>
      <c r="D384" s="3" t="s">
        <v>1005</v>
      </c>
    </row>
    <row r="385" spans="1:4" x14ac:dyDescent="0.2">
      <c r="A385" s="3" t="s">
        <v>455</v>
      </c>
      <c r="B385" s="3" t="s">
        <v>1152</v>
      </c>
      <c r="C385" s="3" t="s">
        <v>987</v>
      </c>
      <c r="D385" s="3" t="s">
        <v>1005</v>
      </c>
    </row>
    <row r="386" spans="1:4" x14ac:dyDescent="0.2">
      <c r="A386" s="3" t="s">
        <v>456</v>
      </c>
      <c r="B386" s="3" t="s">
        <v>1152</v>
      </c>
      <c r="C386" s="3" t="s">
        <v>987</v>
      </c>
      <c r="D386" s="3" t="s">
        <v>1005</v>
      </c>
    </row>
    <row r="387" spans="1:4" x14ac:dyDescent="0.2">
      <c r="A387" s="3" t="s">
        <v>457</v>
      </c>
      <c r="B387" s="3" t="s">
        <v>1152</v>
      </c>
      <c r="C387" s="3" t="s">
        <v>987</v>
      </c>
      <c r="D387" s="3" t="s">
        <v>1005</v>
      </c>
    </row>
    <row r="388" spans="1:4" x14ac:dyDescent="0.2">
      <c r="A388" s="3" t="s">
        <v>458</v>
      </c>
      <c r="B388" s="3" t="s">
        <v>1152</v>
      </c>
      <c r="C388" s="3" t="s">
        <v>987</v>
      </c>
      <c r="D388" s="3" t="s">
        <v>1005</v>
      </c>
    </row>
    <row r="389" spans="1:4" x14ac:dyDescent="0.2">
      <c r="A389" s="3" t="s">
        <v>459</v>
      </c>
      <c r="B389" s="3" t="s">
        <v>1152</v>
      </c>
      <c r="C389" s="3" t="s">
        <v>987</v>
      </c>
      <c r="D389" s="3" t="s">
        <v>1005</v>
      </c>
    </row>
    <row r="390" spans="1:4" x14ac:dyDescent="0.2">
      <c r="A390" s="3" t="s">
        <v>460</v>
      </c>
      <c r="B390" s="3" t="s">
        <v>1152</v>
      </c>
      <c r="C390" s="3" t="s">
        <v>987</v>
      </c>
      <c r="D390" s="3" t="s">
        <v>1005</v>
      </c>
    </row>
    <row r="391" spans="1:4" x14ac:dyDescent="0.2">
      <c r="A391" s="3" t="s">
        <v>461</v>
      </c>
      <c r="B391" s="3" t="s">
        <v>1152</v>
      </c>
      <c r="C391" s="3" t="s">
        <v>987</v>
      </c>
      <c r="D391" s="3" t="s">
        <v>1005</v>
      </c>
    </row>
    <row r="392" spans="1:4" x14ac:dyDescent="0.2">
      <c r="A392" s="3" t="s">
        <v>462</v>
      </c>
      <c r="B392" s="3" t="s">
        <v>1152</v>
      </c>
      <c r="C392" s="3" t="s">
        <v>987</v>
      </c>
      <c r="D392" s="3" t="s">
        <v>1005</v>
      </c>
    </row>
    <row r="393" spans="1:4" x14ac:dyDescent="0.2">
      <c r="A393" s="3" t="s">
        <v>463</v>
      </c>
      <c r="B393" s="3" t="s">
        <v>1152</v>
      </c>
      <c r="C393" s="3" t="s">
        <v>987</v>
      </c>
      <c r="D393" s="3" t="s">
        <v>1005</v>
      </c>
    </row>
    <row r="394" spans="1:4" x14ac:dyDescent="0.2">
      <c r="A394" s="3" t="s">
        <v>923</v>
      </c>
      <c r="B394" s="3" t="s">
        <v>1152</v>
      </c>
      <c r="C394" s="3" t="s">
        <v>987</v>
      </c>
      <c r="D394" s="3" t="s">
        <v>1005</v>
      </c>
    </row>
    <row r="395" spans="1:4" x14ac:dyDescent="0.2">
      <c r="A395" s="3" t="s">
        <v>464</v>
      </c>
      <c r="B395" s="3" t="s">
        <v>1152</v>
      </c>
      <c r="C395" s="3" t="s">
        <v>987</v>
      </c>
      <c r="D395" s="3" t="s">
        <v>1005</v>
      </c>
    </row>
    <row r="396" spans="1:4" x14ac:dyDescent="0.2">
      <c r="A396" s="3" t="s">
        <v>465</v>
      </c>
      <c r="B396" s="3" t="s">
        <v>1152</v>
      </c>
      <c r="C396" s="3" t="s">
        <v>987</v>
      </c>
      <c r="D396" s="3" t="s">
        <v>1005</v>
      </c>
    </row>
    <row r="397" spans="1:4" x14ac:dyDescent="0.2">
      <c r="A397" s="3" t="s">
        <v>466</v>
      </c>
      <c r="B397" s="3" t="s">
        <v>1152</v>
      </c>
      <c r="C397" s="3" t="s">
        <v>987</v>
      </c>
      <c r="D397" s="3" t="s">
        <v>1005</v>
      </c>
    </row>
    <row r="398" spans="1:4" x14ac:dyDescent="0.2">
      <c r="A398" s="3" t="s">
        <v>468</v>
      </c>
      <c r="B398" s="3" t="s">
        <v>1152</v>
      </c>
      <c r="C398" s="3" t="s">
        <v>987</v>
      </c>
      <c r="D398" s="3" t="s">
        <v>1005</v>
      </c>
    </row>
    <row r="399" spans="1:4" x14ac:dyDescent="0.2">
      <c r="A399" s="3" t="s">
        <v>469</v>
      </c>
      <c r="B399" s="3" t="s">
        <v>1152</v>
      </c>
      <c r="C399" s="3" t="s">
        <v>987</v>
      </c>
      <c r="D399" s="3" t="s">
        <v>1005</v>
      </c>
    </row>
    <row r="400" spans="1:4" x14ac:dyDescent="0.2">
      <c r="A400" s="3" t="s">
        <v>470</v>
      </c>
      <c r="B400" s="3" t="s">
        <v>1152</v>
      </c>
      <c r="C400" s="3" t="s">
        <v>987</v>
      </c>
      <c r="D400" s="3" t="s">
        <v>1005</v>
      </c>
    </row>
    <row r="401" spans="1:4" x14ac:dyDescent="0.2">
      <c r="A401" s="7" t="s">
        <v>471</v>
      </c>
      <c r="B401" s="3" t="s">
        <v>1152</v>
      </c>
      <c r="C401" s="3" t="s">
        <v>987</v>
      </c>
      <c r="D401" s="3" t="s">
        <v>1005</v>
      </c>
    </row>
    <row r="402" spans="1:4" x14ac:dyDescent="0.2">
      <c r="A402" s="3" t="s">
        <v>472</v>
      </c>
      <c r="B402" s="3" t="s">
        <v>1152</v>
      </c>
      <c r="C402" s="3" t="s">
        <v>987</v>
      </c>
      <c r="D402" s="3" t="s">
        <v>1005</v>
      </c>
    </row>
    <row r="403" spans="1:4" x14ac:dyDescent="0.2">
      <c r="A403" s="3" t="s">
        <v>473</v>
      </c>
      <c r="B403" s="3" t="s">
        <v>1152</v>
      </c>
      <c r="C403" s="3" t="s">
        <v>987</v>
      </c>
      <c r="D403" s="3" t="s">
        <v>1005</v>
      </c>
    </row>
    <row r="404" spans="1:4" x14ac:dyDescent="0.2">
      <c r="A404" s="3" t="s">
        <v>474</v>
      </c>
      <c r="B404" s="3" t="s">
        <v>1152</v>
      </c>
      <c r="C404" s="3" t="s">
        <v>987</v>
      </c>
      <c r="D404" s="3" t="s">
        <v>1005</v>
      </c>
    </row>
    <row r="405" spans="1:4" x14ac:dyDescent="0.2">
      <c r="A405" s="3" t="s">
        <v>922</v>
      </c>
      <c r="B405" s="3" t="s">
        <v>1152</v>
      </c>
      <c r="C405" s="3" t="s">
        <v>987</v>
      </c>
      <c r="D405" s="3" t="s">
        <v>1005</v>
      </c>
    </row>
    <row r="406" spans="1:4" x14ac:dyDescent="0.2">
      <c r="A406" s="3" t="s">
        <v>921</v>
      </c>
      <c r="B406" s="3" t="s">
        <v>1152</v>
      </c>
      <c r="C406" s="3" t="s">
        <v>987</v>
      </c>
      <c r="D406" s="3" t="s">
        <v>1005</v>
      </c>
    </row>
    <row r="407" spans="1:4" x14ac:dyDescent="0.2">
      <c r="A407" s="3" t="s">
        <v>393</v>
      </c>
      <c r="B407" s="3" t="s">
        <v>1</v>
      </c>
      <c r="C407" s="3" t="s">
        <v>17</v>
      </c>
      <c r="D407" s="3" t="s">
        <v>1007</v>
      </c>
    </row>
    <row r="408" spans="1:4" x14ac:dyDescent="0.2">
      <c r="A408" s="3" t="s">
        <v>386</v>
      </c>
      <c r="B408" s="3" t="s">
        <v>1</v>
      </c>
      <c r="C408" s="3" t="s">
        <v>2</v>
      </c>
      <c r="D408" s="3" t="s">
        <v>1006</v>
      </c>
    </row>
    <row r="409" spans="1:4" x14ac:dyDescent="0.2">
      <c r="A409" s="3" t="s">
        <v>919</v>
      </c>
      <c r="B409" s="3" t="s">
        <v>1</v>
      </c>
      <c r="C409" s="3" t="s">
        <v>22</v>
      </c>
      <c r="D409" s="3" t="s">
        <v>1010</v>
      </c>
    </row>
    <row r="410" spans="1:4" x14ac:dyDescent="0.2">
      <c r="A410" s="3" t="s">
        <v>395</v>
      </c>
      <c r="B410" s="3" t="s">
        <v>1</v>
      </c>
      <c r="C410" s="3" t="s">
        <v>17</v>
      </c>
      <c r="D410" s="3" t="s">
        <v>1009</v>
      </c>
    </row>
    <row r="411" spans="1:4" x14ac:dyDescent="0.2">
      <c r="A411" s="3" t="s">
        <v>343</v>
      </c>
      <c r="B411" s="3" t="s">
        <v>1</v>
      </c>
      <c r="C411" s="3" t="s">
        <v>17</v>
      </c>
      <c r="D411" s="3" t="s">
        <v>991</v>
      </c>
    </row>
    <row r="412" spans="1:4" x14ac:dyDescent="0.2">
      <c r="A412" s="3" t="s">
        <v>396</v>
      </c>
      <c r="B412" s="3" t="s">
        <v>1</v>
      </c>
      <c r="C412" s="3" t="s">
        <v>17</v>
      </c>
      <c r="D412" s="3" t="s">
        <v>991</v>
      </c>
    </row>
    <row r="413" spans="1:4" x14ac:dyDescent="0.2">
      <c r="A413" s="3" t="s">
        <v>397</v>
      </c>
      <c r="B413" s="3" t="s">
        <v>1</v>
      </c>
      <c r="C413" s="3" t="s">
        <v>17</v>
      </c>
      <c r="D413" s="3" t="s">
        <v>991</v>
      </c>
    </row>
    <row r="414" spans="1:4" x14ac:dyDescent="0.2">
      <c r="A414" s="3" t="s">
        <v>398</v>
      </c>
      <c r="B414" s="3" t="s">
        <v>1</v>
      </c>
      <c r="C414" s="3" t="s">
        <v>17</v>
      </c>
      <c r="D414" s="3" t="s">
        <v>991</v>
      </c>
    </row>
    <row r="415" spans="1:4" x14ac:dyDescent="0.2">
      <c r="A415" s="3" t="s">
        <v>407</v>
      </c>
      <c r="B415" s="3" t="s">
        <v>943</v>
      </c>
      <c r="C415" s="3" t="s">
        <v>17</v>
      </c>
      <c r="D415" s="3" t="s">
        <v>993</v>
      </c>
    </row>
    <row r="416" spans="1:4" x14ac:dyDescent="0.2">
      <c r="A416" s="3" t="s">
        <v>920</v>
      </c>
      <c r="B416" s="3" t="s">
        <v>943</v>
      </c>
      <c r="C416" s="3" t="s">
        <v>17</v>
      </c>
      <c r="D416" s="3" t="s">
        <v>993</v>
      </c>
    </row>
    <row r="417" spans="1:4" x14ac:dyDescent="0.2">
      <c r="A417" s="25" t="s">
        <v>411</v>
      </c>
      <c r="B417" s="3" t="s">
        <v>943</v>
      </c>
      <c r="C417" s="3" t="s">
        <v>17</v>
      </c>
      <c r="D417" s="3" t="s">
        <v>993</v>
      </c>
    </row>
    <row r="418" spans="1:4" x14ac:dyDescent="0.2">
      <c r="A418" s="3" t="s">
        <v>412</v>
      </c>
      <c r="B418" s="3" t="s">
        <v>943</v>
      </c>
      <c r="C418" s="3" t="s">
        <v>17</v>
      </c>
      <c r="D418" s="3" t="s">
        <v>993</v>
      </c>
    </row>
    <row r="419" spans="1:4" x14ac:dyDescent="0.2">
      <c r="A419" s="25" t="s">
        <v>877</v>
      </c>
      <c r="B419" s="3" t="s">
        <v>937</v>
      </c>
      <c r="C419" s="3" t="s">
        <v>938</v>
      </c>
      <c r="D419" s="3" t="s">
        <v>939</v>
      </c>
    </row>
    <row r="420" spans="1:4" x14ac:dyDescent="0.2">
      <c r="A420" s="7" t="s">
        <v>878</v>
      </c>
      <c r="B420" s="3" t="s">
        <v>937</v>
      </c>
      <c r="C420" s="3" t="s">
        <v>938</v>
      </c>
      <c r="D420" s="3" t="s">
        <v>939</v>
      </c>
    </row>
    <row r="421" spans="1:4" x14ac:dyDescent="0.2">
      <c r="A421" s="1" t="s">
        <v>879</v>
      </c>
      <c r="B421" s="3" t="s">
        <v>937</v>
      </c>
      <c r="C421" s="3" t="s">
        <v>938</v>
      </c>
      <c r="D421" s="3" t="s">
        <v>939</v>
      </c>
    </row>
    <row r="422" spans="1:4" x14ac:dyDescent="0.2">
      <c r="A422" s="1" t="s">
        <v>880</v>
      </c>
      <c r="B422" s="3" t="s">
        <v>937</v>
      </c>
      <c r="C422" s="3" t="s">
        <v>938</v>
      </c>
      <c r="D422" s="3" t="s">
        <v>939</v>
      </c>
    </row>
    <row r="423" spans="1:4" x14ac:dyDescent="0.2">
      <c r="A423" s="1" t="s">
        <v>881</v>
      </c>
      <c r="B423" s="3" t="s">
        <v>937</v>
      </c>
      <c r="C423" s="3" t="s">
        <v>938</v>
      </c>
      <c r="D423" s="3" t="s">
        <v>939</v>
      </c>
    </row>
    <row r="424" spans="1:4" x14ac:dyDescent="0.2">
      <c r="A424" s="1" t="s">
        <v>882</v>
      </c>
      <c r="B424" s="3" t="s">
        <v>937</v>
      </c>
      <c r="C424" s="3" t="s">
        <v>938</v>
      </c>
      <c r="D424" s="3" t="s">
        <v>939</v>
      </c>
    </row>
    <row r="425" spans="1:4" x14ac:dyDescent="0.2">
      <c r="A425" s="1" t="s">
        <v>883</v>
      </c>
      <c r="B425" s="3" t="s">
        <v>937</v>
      </c>
      <c r="C425" s="3" t="s">
        <v>938</v>
      </c>
      <c r="D425" s="3" t="s">
        <v>939</v>
      </c>
    </row>
    <row r="426" spans="1:4" x14ac:dyDescent="0.2">
      <c r="A426" s="1" t="s">
        <v>884</v>
      </c>
      <c r="B426" s="3" t="s">
        <v>937</v>
      </c>
      <c r="C426" s="3" t="s">
        <v>938</v>
      </c>
      <c r="D426" s="3" t="s">
        <v>939</v>
      </c>
    </row>
    <row r="427" spans="1:4" x14ac:dyDescent="0.2">
      <c r="A427" s="7" t="s">
        <v>885</v>
      </c>
      <c r="B427" s="3" t="s">
        <v>937</v>
      </c>
      <c r="C427" s="3" t="s">
        <v>938</v>
      </c>
      <c r="D427" s="3" t="s">
        <v>939</v>
      </c>
    </row>
    <row r="428" spans="1:4" x14ac:dyDescent="0.2">
      <c r="A428" s="7" t="s">
        <v>886</v>
      </c>
      <c r="B428" s="3" t="s">
        <v>937</v>
      </c>
      <c r="C428" s="3" t="s">
        <v>938</v>
      </c>
      <c r="D428" s="3" t="s">
        <v>939</v>
      </c>
    </row>
    <row r="429" spans="1:4" x14ac:dyDescent="0.2">
      <c r="A429" s="1" t="s">
        <v>887</v>
      </c>
      <c r="B429" s="3" t="s">
        <v>937</v>
      </c>
      <c r="C429" s="3" t="s">
        <v>938</v>
      </c>
      <c r="D429" s="3" t="s">
        <v>939</v>
      </c>
    </row>
    <row r="430" spans="1:4" x14ac:dyDescent="0.2">
      <c r="A430" s="1" t="s">
        <v>888</v>
      </c>
      <c r="B430" s="3" t="s">
        <v>937</v>
      </c>
      <c r="C430" s="3" t="s">
        <v>938</v>
      </c>
      <c r="D430" s="3" t="s">
        <v>939</v>
      </c>
    </row>
    <row r="431" spans="1:4" x14ac:dyDescent="0.2">
      <c r="A431" s="1" t="s">
        <v>889</v>
      </c>
      <c r="B431" s="3" t="s">
        <v>937</v>
      </c>
      <c r="C431" s="3" t="s">
        <v>938</v>
      </c>
      <c r="D431" s="3" t="s">
        <v>939</v>
      </c>
    </row>
    <row r="432" spans="1:4" x14ac:dyDescent="0.2">
      <c r="A432" s="1" t="s">
        <v>890</v>
      </c>
      <c r="B432" s="3" t="s">
        <v>937</v>
      </c>
      <c r="C432" s="3" t="s">
        <v>938</v>
      </c>
      <c r="D432" s="3" t="s">
        <v>939</v>
      </c>
    </row>
    <row r="433" spans="1:4" x14ac:dyDescent="0.2">
      <c r="A433" s="1" t="s">
        <v>891</v>
      </c>
      <c r="B433" s="3" t="s">
        <v>937</v>
      </c>
      <c r="C433" s="3" t="s">
        <v>938</v>
      </c>
      <c r="D433" s="3" t="s">
        <v>939</v>
      </c>
    </row>
    <row r="434" spans="1:4" x14ac:dyDescent="0.2">
      <c r="A434" s="1" t="s">
        <v>892</v>
      </c>
      <c r="B434" s="3" t="s">
        <v>937</v>
      </c>
      <c r="C434" s="3" t="s">
        <v>938</v>
      </c>
      <c r="D434" s="3" t="s">
        <v>939</v>
      </c>
    </row>
    <row r="435" spans="1:4" x14ac:dyDescent="0.2">
      <c r="A435" s="1" t="s">
        <v>893</v>
      </c>
      <c r="B435" s="3" t="s">
        <v>937</v>
      </c>
      <c r="C435" s="3" t="s">
        <v>938</v>
      </c>
      <c r="D435" s="3" t="s">
        <v>939</v>
      </c>
    </row>
    <row r="436" spans="1:4" x14ac:dyDescent="0.2">
      <c r="A436" s="1" t="s">
        <v>894</v>
      </c>
      <c r="B436" s="3" t="s">
        <v>937</v>
      </c>
      <c r="C436" s="3" t="s">
        <v>938</v>
      </c>
      <c r="D436" s="3" t="s">
        <v>939</v>
      </c>
    </row>
    <row r="437" spans="1:4" x14ac:dyDescent="0.2">
      <c r="A437" s="1" t="s">
        <v>895</v>
      </c>
      <c r="B437" s="3" t="s">
        <v>937</v>
      </c>
      <c r="C437" s="3" t="s">
        <v>938</v>
      </c>
      <c r="D437" s="3" t="s">
        <v>939</v>
      </c>
    </row>
    <row r="438" spans="1:4" x14ac:dyDescent="0.2">
      <c r="A438" s="1" t="s">
        <v>896</v>
      </c>
      <c r="B438" s="3" t="s">
        <v>937</v>
      </c>
      <c r="C438" s="3" t="s">
        <v>938</v>
      </c>
      <c r="D438" s="3" t="s">
        <v>939</v>
      </c>
    </row>
    <row r="439" spans="1:4" x14ac:dyDescent="0.2">
      <c r="A439" s="1" t="s">
        <v>897</v>
      </c>
      <c r="B439" s="3" t="s">
        <v>937</v>
      </c>
      <c r="C439" s="3" t="s">
        <v>938</v>
      </c>
      <c r="D439" s="3" t="s">
        <v>939</v>
      </c>
    </row>
    <row r="440" spans="1:4" x14ac:dyDescent="0.2">
      <c r="A440" s="1" t="s">
        <v>898</v>
      </c>
      <c r="B440" s="3" t="s">
        <v>937</v>
      </c>
      <c r="C440" s="3" t="s">
        <v>938</v>
      </c>
      <c r="D440" s="3" t="s">
        <v>939</v>
      </c>
    </row>
    <row r="441" spans="1:4" x14ac:dyDescent="0.2">
      <c r="A441" s="1" t="s">
        <v>899</v>
      </c>
      <c r="B441" s="3" t="s">
        <v>937</v>
      </c>
      <c r="C441" s="3" t="s">
        <v>938</v>
      </c>
      <c r="D441" s="3" t="s">
        <v>939</v>
      </c>
    </row>
    <row r="442" spans="1:4" x14ac:dyDescent="0.2">
      <c r="A442" s="1" t="s">
        <v>900</v>
      </c>
      <c r="B442" s="3" t="s">
        <v>937</v>
      </c>
      <c r="C442" s="3" t="s">
        <v>938</v>
      </c>
      <c r="D442" s="3" t="s">
        <v>939</v>
      </c>
    </row>
    <row r="443" spans="1:4" x14ac:dyDescent="0.2">
      <c r="A443" s="1" t="s">
        <v>901</v>
      </c>
      <c r="B443" s="3" t="s">
        <v>937</v>
      </c>
      <c r="C443" s="3" t="s">
        <v>938</v>
      </c>
      <c r="D443" s="3" t="s">
        <v>939</v>
      </c>
    </row>
    <row r="444" spans="1:4" x14ac:dyDescent="0.2">
      <c r="A444" s="1" t="s">
        <v>902</v>
      </c>
      <c r="B444" s="3" t="s">
        <v>937</v>
      </c>
      <c r="C444" s="3" t="s">
        <v>938</v>
      </c>
      <c r="D444" s="3" t="s">
        <v>939</v>
      </c>
    </row>
    <row r="445" spans="1:4" x14ac:dyDescent="0.2">
      <c r="A445" s="7" t="s">
        <v>454</v>
      </c>
      <c r="B445" s="3" t="s">
        <v>1152</v>
      </c>
      <c r="C445" s="3" t="s">
        <v>987</v>
      </c>
      <c r="D445" s="3" t="s">
        <v>1005</v>
      </c>
    </row>
    <row r="446" spans="1:4" x14ac:dyDescent="0.2">
      <c r="A446" s="3" t="s">
        <v>1631</v>
      </c>
      <c r="B446" s="3" t="s">
        <v>1</v>
      </c>
      <c r="C446" s="3" t="s">
        <v>987</v>
      </c>
      <c r="D446" s="3" t="s">
        <v>1633</v>
      </c>
    </row>
    <row r="447" spans="1:4" x14ac:dyDescent="0.2">
      <c r="A447" s="3" t="s">
        <v>1634</v>
      </c>
      <c r="B447" s="3" t="s">
        <v>1</v>
      </c>
      <c r="C447" s="3" t="s">
        <v>987</v>
      </c>
      <c r="D447" s="3" t="s">
        <v>1633</v>
      </c>
    </row>
    <row r="448" spans="1:4" x14ac:dyDescent="0.2">
      <c r="A448" s="3" t="s">
        <v>1636</v>
      </c>
      <c r="B448" s="3" t="s">
        <v>1</v>
      </c>
      <c r="C448" s="3" t="s">
        <v>987</v>
      </c>
      <c r="D448" s="3" t="s">
        <v>1633</v>
      </c>
    </row>
  </sheetData>
  <sortState xmlns:xlrd2="http://schemas.microsoft.com/office/spreadsheetml/2017/richdata2" ref="A2:D438">
    <sortCondition ref="D2:D438"/>
  </sortState>
  <customSheetViews>
    <customSheetView guid="{3E3401AF-8459-8641-BD70-AD04F80E86ED}">
      <pane ySplit="1" topLeftCell="A265" activePane="bottomLeft" state="frozenSplit"/>
      <selection pane="bottomLeft" activeCell="D1" sqref="D1:D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X26"/>
  <sheetViews>
    <sheetView zoomScale="142" zoomScaleNormal="142" zoomScalePageLayoutView="142" workbookViewId="0">
      <selection activeCell="G15" sqref="G15"/>
    </sheetView>
  </sheetViews>
  <sheetFormatPr baseColWidth="10" defaultColWidth="10.83203125" defaultRowHeight="16" x14ac:dyDescent="0.2"/>
  <cols>
    <col min="1" max="1" width="10.83203125" style="3"/>
    <col min="2" max="2" width="19.33203125" style="3" customWidth="1"/>
    <col min="3" max="3" width="13.33203125" style="3" bestFit="1" customWidth="1"/>
    <col min="4" max="4" width="5.6640625" style="3" bestFit="1" customWidth="1"/>
    <col min="5" max="5" width="7.5" style="3" bestFit="1" customWidth="1"/>
    <col min="6" max="6" width="7.83203125" style="3" bestFit="1" customWidth="1"/>
    <col min="7" max="7" width="10.83203125" style="3"/>
    <col min="8" max="8" width="5" style="3" bestFit="1" customWidth="1"/>
    <col min="9" max="9" width="9.1640625" style="16" customWidth="1"/>
    <col min="10" max="10" width="9.5" style="2" customWidth="1"/>
    <col min="11" max="13" width="6.5" style="2" customWidth="1"/>
    <col min="14" max="14" width="7.6640625" style="2" customWidth="1"/>
    <col min="15" max="15" width="7.5" style="2" customWidth="1"/>
    <col min="16" max="16" width="3" style="15" customWidth="1"/>
    <col min="17" max="17" width="6" style="16" bestFit="1" customWidth="1"/>
    <col min="18" max="18" width="7" style="3" bestFit="1" customWidth="1"/>
    <col min="19" max="19" width="6" style="3" customWidth="1"/>
    <col min="20" max="20" width="9.83203125" style="3" bestFit="1" customWidth="1"/>
    <col min="21" max="21" width="6" style="16" bestFit="1" customWidth="1"/>
    <col min="22" max="22" width="8.1640625" style="3" bestFit="1" customWidth="1"/>
    <col min="23" max="23" width="9.83203125" style="23" bestFit="1" customWidth="1"/>
    <col min="24" max="24" width="87.1640625" style="16" customWidth="1"/>
    <col min="25" max="16384" width="10.83203125" style="3"/>
  </cols>
  <sheetData>
    <row r="1" spans="1:24" s="17" customFormat="1" ht="17" thickBot="1" x14ac:dyDescent="0.25">
      <c r="B1" s="17" t="s">
        <v>1122</v>
      </c>
      <c r="C1" s="17" t="s">
        <v>31</v>
      </c>
      <c r="D1" s="17" t="s">
        <v>30</v>
      </c>
      <c r="E1" s="17" t="s">
        <v>1094</v>
      </c>
      <c r="F1" s="17" t="s">
        <v>1092</v>
      </c>
      <c r="G1" s="17" t="s">
        <v>1109</v>
      </c>
      <c r="H1" s="17" t="s">
        <v>1093</v>
      </c>
      <c r="I1" s="83" t="s">
        <v>1139</v>
      </c>
      <c r="J1" s="19" t="s">
        <v>1131</v>
      </c>
      <c r="K1" s="19" t="s">
        <v>1129</v>
      </c>
      <c r="L1" s="19" t="s">
        <v>1128</v>
      </c>
      <c r="M1" s="19" t="s">
        <v>1130</v>
      </c>
      <c r="N1" s="19" t="s">
        <v>1132</v>
      </c>
      <c r="O1" s="19" t="s">
        <v>1101</v>
      </c>
      <c r="P1" s="17" t="s">
        <v>1014</v>
      </c>
      <c r="Q1" s="17" t="s">
        <v>1096</v>
      </c>
      <c r="R1" s="17" t="s">
        <v>1123</v>
      </c>
      <c r="S1" s="17" t="s">
        <v>1120</v>
      </c>
      <c r="T1" s="17" t="s">
        <v>1119</v>
      </c>
      <c r="U1" s="17" t="s">
        <v>1127</v>
      </c>
      <c r="V1" s="17" t="s">
        <v>1125</v>
      </c>
      <c r="W1" s="22" t="s">
        <v>1126</v>
      </c>
      <c r="X1" s="17" t="s">
        <v>1103</v>
      </c>
    </row>
    <row r="2" spans="1:24" ht="17" thickTop="1" x14ac:dyDescent="0.2">
      <c r="A2" s="3" t="s">
        <v>1133</v>
      </c>
      <c r="B2" s="3" t="str">
        <f t="shared" ref="B2:B13" si="0">CONCATENATE(C2,"_",D2)</f>
        <v>US28_hcmva_4XT1</v>
      </c>
      <c r="C2" s="2" t="s">
        <v>42</v>
      </c>
      <c r="D2" s="3" t="s">
        <v>1117</v>
      </c>
      <c r="E2" s="3" t="s">
        <v>1099</v>
      </c>
      <c r="F2" s="3" t="s">
        <v>1105</v>
      </c>
      <c r="G2" s="3" t="s">
        <v>1118</v>
      </c>
      <c r="H2" s="3" t="s">
        <v>1108</v>
      </c>
      <c r="I2" s="16" t="s">
        <v>1136</v>
      </c>
      <c r="J2" s="18" t="e">
        <f>VLOOKUP(CONCATENATE(B2,"_TM6"),#REF!,13,FALSE)-VLOOKUP(CONCATENATE(B2,"_TM5"),#REF!,13,FALSE)</f>
        <v>#REF!</v>
      </c>
      <c r="K2" s="18" t="e">
        <f t="shared" ref="K2:K12" si="1">U2-R2-1</f>
        <v>#REF!</v>
      </c>
      <c r="L2" s="18" t="e">
        <f>K2</f>
        <v>#REF!</v>
      </c>
      <c r="M2" s="18" t="e">
        <f t="shared" ref="M2:M12" si="2">K2-L2</f>
        <v>#REF!</v>
      </c>
      <c r="N2" s="18" t="e">
        <f>J2-K2</f>
        <v>#REF!</v>
      </c>
      <c r="O2" s="18" t="s">
        <v>1121</v>
      </c>
      <c r="R2" s="3" t="e">
        <f>VLOOKUP(CONCATENATE(B2,"_TM5"),#REF!,15,FALSE)</f>
        <v>#REF!</v>
      </c>
      <c r="S2" s="3" t="e">
        <f>VLOOKUP(CONCATENATE(B2,"_TM5"),#REF!,15,FALSE)-VLOOKUP(CONCATENATE(B2,"_TM5"),#REF!,13,FALSE)+50</f>
        <v>#REF!</v>
      </c>
      <c r="T2" s="3">
        <v>66</v>
      </c>
      <c r="U2" s="16" t="e">
        <f>VLOOKUP(CONCATENATE(B2,"_TM6"),#REF!,12,FALSE)</f>
        <v>#REF!</v>
      </c>
      <c r="V2" s="3" t="e">
        <f>VLOOKUP(CONCATENATE(B2,"_TM6"),#REF!,12,FALSE)-VLOOKUP(CONCATENATE(B2,"_TM6"),#REF!,13,FALSE)+50</f>
        <v>#REF!</v>
      </c>
      <c r="W2" s="23" t="e">
        <f>VLOOKUP(CONCATENATE(B2,"_TM6"),#REF!,15,FALSE)</f>
        <v>#REF!</v>
      </c>
      <c r="X2" s="84" t="s">
        <v>1116</v>
      </c>
    </row>
    <row r="3" spans="1:24" x14ac:dyDescent="0.2">
      <c r="A3" s="3" t="s">
        <v>1135</v>
      </c>
      <c r="B3" s="3" t="str">
        <f t="shared" si="0"/>
        <v>OPRM_mouse_5C1M</v>
      </c>
      <c r="C3" s="3" t="s">
        <v>44</v>
      </c>
      <c r="D3" s="3" t="s">
        <v>84</v>
      </c>
      <c r="E3" s="3" t="s">
        <v>1099</v>
      </c>
      <c r="F3" s="3" t="s">
        <v>1105</v>
      </c>
      <c r="G3" s="3" t="s">
        <v>1118</v>
      </c>
      <c r="H3" s="3" t="s">
        <v>1108</v>
      </c>
      <c r="I3" s="16" t="s">
        <v>1136</v>
      </c>
      <c r="J3" s="18" t="e">
        <f>VLOOKUP(CONCATENATE(B3,"_TM6"),#REF!,13,FALSE)-VLOOKUP(CONCATENATE(B3,"_TM5"),#REF!,13,FALSE)</f>
        <v>#REF!</v>
      </c>
      <c r="K3" s="18" t="e">
        <f t="shared" si="1"/>
        <v>#REF!</v>
      </c>
      <c r="L3" s="18" t="e">
        <f>K3</f>
        <v>#REF!</v>
      </c>
      <c r="M3" s="18" t="e">
        <f t="shared" si="2"/>
        <v>#REF!</v>
      </c>
      <c r="N3" s="18" t="e">
        <f>J3-K3</f>
        <v>#REF!</v>
      </c>
      <c r="O3" s="18" t="s">
        <v>1121</v>
      </c>
      <c r="R3" s="3" t="e">
        <f>VLOOKUP(CONCATENATE(B3,"_TM5"),#REF!,15,FALSE)</f>
        <v>#REF!</v>
      </c>
      <c r="S3" s="3" t="e">
        <f>VLOOKUP(CONCATENATE(B3,"_TM5"),#REF!,15,FALSE)-VLOOKUP(CONCATENATE(B3,"_TM5"),#REF!,13,FALSE)+50</f>
        <v>#REF!</v>
      </c>
      <c r="T3" s="3">
        <v>68</v>
      </c>
      <c r="U3" s="16" t="e">
        <f>VLOOKUP(CONCATENATE(B3,"_TM6"),#REF!,12,FALSE)</f>
        <v>#REF!</v>
      </c>
      <c r="V3" s="3" t="e">
        <f>VLOOKUP(CONCATENATE(B3,"_TM6"),#REF!,12,FALSE)-VLOOKUP(CONCATENATE(B3,"_TM6"),#REF!,13,FALSE)+50</f>
        <v>#REF!</v>
      </c>
      <c r="W3" s="23" t="e">
        <f>VLOOKUP(CONCATENATE(B3,"_TM6"),#REF!,15,FALSE)</f>
        <v>#REF!</v>
      </c>
      <c r="X3" s="84" t="s">
        <v>1116</v>
      </c>
    </row>
    <row r="4" spans="1:24" x14ac:dyDescent="0.2">
      <c r="A4" s="3" t="s">
        <v>1134</v>
      </c>
      <c r="B4" s="3" t="str">
        <f t="shared" si="0"/>
        <v>OPSD_bovin_3DQB</v>
      </c>
      <c r="C4" s="3" t="s">
        <v>43</v>
      </c>
      <c r="D4" s="14" t="s">
        <v>54</v>
      </c>
      <c r="E4" s="3" t="s">
        <v>1099</v>
      </c>
      <c r="F4" s="14" t="s">
        <v>24</v>
      </c>
      <c r="G4" s="3" t="s">
        <v>1118</v>
      </c>
      <c r="H4" s="3" t="s">
        <v>1108</v>
      </c>
      <c r="I4" s="16" t="s">
        <v>1136</v>
      </c>
      <c r="J4" s="18" t="e">
        <f>VLOOKUP(CONCATENATE(B4,"_TM6"),#REF!,13,FALSE)-VLOOKUP(CONCATENATE(B4,"_TM5"),#REF!,13,FALSE)</f>
        <v>#REF!</v>
      </c>
      <c r="K4" s="18" t="e">
        <f t="shared" si="1"/>
        <v>#REF!</v>
      </c>
      <c r="L4" s="18" t="e">
        <f>K4</f>
        <v>#REF!</v>
      </c>
      <c r="M4" s="18" t="e">
        <f t="shared" si="2"/>
        <v>#REF!</v>
      </c>
      <c r="N4" s="18" t="e">
        <f>J4-K4</f>
        <v>#REF!</v>
      </c>
      <c r="O4" s="18" t="s">
        <v>1111</v>
      </c>
      <c r="P4" s="15" t="s">
        <v>1013</v>
      </c>
      <c r="Q4" s="16">
        <v>237</v>
      </c>
      <c r="R4" s="3" t="e">
        <f>VLOOKUP(CONCATENATE(B4,"_TM5"),#REF!,15,FALSE)</f>
        <v>#REF!</v>
      </c>
      <c r="S4" s="3" t="e">
        <f>VLOOKUP(CONCATENATE(B4,"_TM5"),#REF!,15,FALSE)-VLOOKUP(CONCATENATE(B4,"_TM5"),#REF!,13,FALSE)+50</f>
        <v>#REF!</v>
      </c>
      <c r="T4" s="3">
        <v>72</v>
      </c>
      <c r="U4" s="16" t="e">
        <f>VLOOKUP(CONCATENATE(B4,"_TM6"),#REF!,12,FALSE)</f>
        <v>#REF!</v>
      </c>
      <c r="V4" s="3" t="e">
        <f>VLOOKUP(CONCATENATE(B4,"_TM6"),#REF!,12,FALSE)-VLOOKUP(CONCATENATE(B4,"_TM6"),#REF!,13,FALSE)+50</f>
        <v>#REF!</v>
      </c>
      <c r="W4" s="23" t="e">
        <f>VLOOKUP(CONCATENATE(B4,"_TM6"),#REF!,15,FALSE)</f>
        <v>#REF!</v>
      </c>
    </row>
    <row r="5" spans="1:24" x14ac:dyDescent="0.2">
      <c r="B5" s="3" t="str">
        <f t="shared" si="0"/>
        <v>AA2AR_human_2YDV</v>
      </c>
      <c r="C5" s="2" t="s">
        <v>36</v>
      </c>
      <c r="D5" s="14" t="s">
        <v>80</v>
      </c>
      <c r="E5" s="3" t="s">
        <v>1099</v>
      </c>
      <c r="F5" s="3" t="s">
        <v>1095</v>
      </c>
      <c r="G5" s="3" t="s">
        <v>1118</v>
      </c>
      <c r="H5" s="3" t="s">
        <v>1108</v>
      </c>
      <c r="I5" s="16" t="s">
        <v>1137</v>
      </c>
      <c r="J5" s="18" t="e">
        <f>VLOOKUP(CONCATENATE(B5,"_TM6"),#REF!,13,FALSE)-VLOOKUP(CONCATENATE(B5,"_TM5"),#REF!,13,FALSE)</f>
        <v>#REF!</v>
      </c>
      <c r="K5" s="18" t="e">
        <f t="shared" si="1"/>
        <v>#REF!</v>
      </c>
      <c r="L5" s="18" t="e">
        <f>K5</f>
        <v>#REF!</v>
      </c>
      <c r="M5" s="18" t="e">
        <f t="shared" si="2"/>
        <v>#REF!</v>
      </c>
      <c r="N5" s="18" t="e">
        <f>J5-K5</f>
        <v>#REF!</v>
      </c>
      <c r="O5" s="2" t="s">
        <v>1111</v>
      </c>
      <c r="P5" s="15" t="s">
        <v>1012</v>
      </c>
      <c r="Q5" s="16">
        <v>213</v>
      </c>
      <c r="R5" s="3" t="e">
        <f>VLOOKUP(CONCATENATE(B5,"_TM5"),#REF!,15,FALSE)</f>
        <v>#REF!</v>
      </c>
      <c r="S5" s="3" t="e">
        <f>VLOOKUP(CONCATENATE(B5,"_TM5"),#REF!,15,FALSE)-VLOOKUP(CONCATENATE(B5,"_TM5"),#REF!,13,FALSE)+50</f>
        <v>#REF!</v>
      </c>
      <c r="T5" s="3">
        <v>74</v>
      </c>
      <c r="U5" s="16" t="e">
        <f>VLOOKUP(CONCATENATE(B5,"_TM6"),#REF!,12,FALSE)</f>
        <v>#REF!</v>
      </c>
      <c r="V5" s="3" t="e">
        <f>VLOOKUP(CONCATENATE(B5,"_TM6"),#REF!,12,FALSE)-VLOOKUP(CONCATENATE(B5,"_TM6"),#REF!,13,FALSE)+50</f>
        <v>#REF!</v>
      </c>
      <c r="W5" s="23" t="e">
        <f>VLOOKUP(CONCATENATE(B5,"_TM6"),#REF!,15,FALSE)</f>
        <v>#REF!</v>
      </c>
      <c r="X5" s="16" t="s">
        <v>1104</v>
      </c>
    </row>
    <row r="6" spans="1:24" x14ac:dyDescent="0.2">
      <c r="B6" s="3" t="str">
        <f t="shared" si="0"/>
        <v>ADRB2_human__wt</v>
      </c>
      <c r="C6" s="3" t="s">
        <v>37</v>
      </c>
      <c r="D6" s="14" t="s">
        <v>100</v>
      </c>
      <c r="E6" s="3" t="s">
        <v>1099</v>
      </c>
      <c r="F6" s="3" t="s">
        <v>16</v>
      </c>
      <c r="G6" s="3" t="s">
        <v>1141</v>
      </c>
      <c r="H6" s="3" t="s">
        <v>1108</v>
      </c>
      <c r="I6" s="16" t="s">
        <v>1137</v>
      </c>
      <c r="J6" s="18" t="e">
        <f>VLOOKUP(CONCATENATE(B6,"_TM6"),#REF!,13,FALSE)-VLOOKUP(CONCATENATE(B6,"_TM5"),#REF!,13,FALSE)</f>
        <v>#REF!</v>
      </c>
      <c r="K6" s="18" t="e">
        <f t="shared" si="1"/>
        <v>#REF!</v>
      </c>
      <c r="L6" s="18" t="e">
        <f>K6</f>
        <v>#REF!</v>
      </c>
      <c r="M6" s="18" t="e">
        <f t="shared" si="2"/>
        <v>#REF!</v>
      </c>
      <c r="N6" s="18" t="e">
        <f>J6-K6</f>
        <v>#REF!</v>
      </c>
      <c r="O6" s="2" t="s">
        <v>1110</v>
      </c>
      <c r="R6" s="3" t="e">
        <f>VLOOKUP(CONCATENATE(B6,"_TM5"),#REF!,15,FALSE)</f>
        <v>#REF!</v>
      </c>
      <c r="S6" s="3" t="e">
        <f>VLOOKUP(CONCATENATE(B6,"_TM5"),#REF!,15,FALSE)-VLOOKUP(CONCATENATE(B6,"_TM5"),#REF!,13,FALSE)+50</f>
        <v>#REF!</v>
      </c>
      <c r="T6" s="3">
        <v>76</v>
      </c>
      <c r="U6" s="16" t="e">
        <f>VLOOKUP(CONCATENATE(B6,"_TM6"),#REF!,12,FALSE)</f>
        <v>#REF!</v>
      </c>
      <c r="V6" s="3" t="e">
        <f>VLOOKUP(CONCATENATE(B6,"_TM6"),#REF!,12,FALSE)-VLOOKUP(CONCATENATE(B6,"_TM6"),#REF!,13,FALSE)+50</f>
        <v>#REF!</v>
      </c>
      <c r="W6" s="23" t="e">
        <f>VLOOKUP(CONCATENATE(B6,"_TM6"),#REF!,15,FALSE)</f>
        <v>#REF!</v>
      </c>
    </row>
    <row r="7" spans="1:24" x14ac:dyDescent="0.2">
      <c r="B7" s="3" t="str">
        <f t="shared" si="0"/>
        <v>ADRB2_human_3P0G</v>
      </c>
      <c r="C7" s="3" t="s">
        <v>37</v>
      </c>
      <c r="D7" s="14" t="s">
        <v>66</v>
      </c>
      <c r="E7" s="3" t="s">
        <v>1099</v>
      </c>
      <c r="F7" s="3" t="s">
        <v>1105</v>
      </c>
      <c r="J7" s="18" t="e">
        <f>VLOOKUP(CONCATENATE(B7,"_TM6"),#REF!,13,FALSE)-VLOOKUP(CONCATENATE(B7,"_TM5"),#REF!,13,FALSE)</f>
        <v>#REF!</v>
      </c>
      <c r="K7" s="18" t="e">
        <f t="shared" si="1"/>
        <v>#REF!</v>
      </c>
      <c r="L7" s="18"/>
      <c r="M7" s="18" t="e">
        <f t="shared" si="2"/>
        <v>#REF!</v>
      </c>
      <c r="N7" s="18"/>
      <c r="O7" s="2" t="s">
        <v>1112</v>
      </c>
      <c r="R7" s="3" t="e">
        <f>VLOOKUP(CONCATENATE(B7,"_TM5"),#REF!,15,FALSE)</f>
        <v>#REF!</v>
      </c>
      <c r="S7" s="3" t="e">
        <f>VLOOKUP(CONCATENATE(B7,"_TM5"),#REF!,15,FALSE)-VLOOKUP(CONCATENATE(B7,"_TM5"),#REF!,13,FALSE)+50</f>
        <v>#REF!</v>
      </c>
      <c r="T7" s="3">
        <v>67</v>
      </c>
      <c r="U7" s="16" t="e">
        <f>VLOOKUP(CONCATENATE(B7,"_TM6"),#REF!,12,FALSE)</f>
        <v>#REF!</v>
      </c>
      <c r="V7" s="3" t="e">
        <f>VLOOKUP(CONCATENATE(B7,"_TM6"),#REF!,12,FALSE)-VLOOKUP(CONCATENATE(B7,"_TM6"),#REF!,13,FALSE)+50</f>
        <v>#REF!</v>
      </c>
      <c r="W7" s="23" t="e">
        <f>VLOOKUP(CONCATENATE(B7,"_TM6"),#REF!,15,FALSE)</f>
        <v>#REF!</v>
      </c>
      <c r="X7" s="84" t="s">
        <v>1106</v>
      </c>
    </row>
    <row r="8" spans="1:24" x14ac:dyDescent="0.2">
      <c r="B8" s="3" t="str">
        <f t="shared" si="0"/>
        <v>ADRB2_human_4LDE</v>
      </c>
      <c r="C8" s="3" t="s">
        <v>37</v>
      </c>
      <c r="D8" s="14" t="s">
        <v>77</v>
      </c>
      <c r="E8" s="3" t="s">
        <v>1099</v>
      </c>
      <c r="F8" s="3" t="s">
        <v>1105</v>
      </c>
      <c r="J8" s="18" t="e">
        <f>VLOOKUP(CONCATENATE(B8,"_TM6"),#REF!,13,FALSE)-VLOOKUP(CONCATENATE(B8,"_TM5"),#REF!,13,FALSE)</f>
        <v>#REF!</v>
      </c>
      <c r="K8" s="18" t="e">
        <f t="shared" si="1"/>
        <v>#REF!</v>
      </c>
      <c r="L8" s="18"/>
      <c r="M8" s="18" t="e">
        <f t="shared" si="2"/>
        <v>#REF!</v>
      </c>
      <c r="N8" s="18"/>
      <c r="O8" s="2" t="s">
        <v>1112</v>
      </c>
      <c r="R8" s="3" t="e">
        <f>VLOOKUP(CONCATENATE(B8,"_TM5"),#REF!,15,FALSE)</f>
        <v>#REF!</v>
      </c>
      <c r="S8" s="3" t="e">
        <f>VLOOKUP(CONCATENATE(B8,"_TM5"),#REF!,15,FALSE)-VLOOKUP(CONCATENATE(B8,"_TM5"),#REF!,13,FALSE)+50</f>
        <v>#REF!</v>
      </c>
      <c r="T8" s="3">
        <v>67</v>
      </c>
      <c r="U8" s="16" t="e">
        <f>VLOOKUP(CONCATENATE(B8,"_TM6"),#REF!,12,FALSE)</f>
        <v>#REF!</v>
      </c>
      <c r="V8" s="3" t="e">
        <f>VLOOKUP(CONCATENATE(B8,"_TM6"),#REF!,12,FALSE)-VLOOKUP(CONCATENATE(B8,"_TM6"),#REF!,13,FALSE)+50</f>
        <v>#REF!</v>
      </c>
      <c r="W8" s="23" t="e">
        <f>VLOOKUP(CONCATENATE(B8,"_TM6"),#REF!,15,FALSE)</f>
        <v>#REF!</v>
      </c>
      <c r="X8" s="84" t="s">
        <v>1106</v>
      </c>
    </row>
    <row r="9" spans="1:24" x14ac:dyDescent="0.2">
      <c r="B9" s="3" t="str">
        <f t="shared" si="0"/>
        <v>ADRB2_human_4QKX</v>
      </c>
      <c r="C9" s="3" t="s">
        <v>37</v>
      </c>
      <c r="D9" s="3" t="s">
        <v>78</v>
      </c>
      <c r="E9" s="3" t="s">
        <v>1099</v>
      </c>
      <c r="F9" s="3" t="s">
        <v>1105</v>
      </c>
      <c r="J9" s="18" t="e">
        <f>VLOOKUP(CONCATENATE(B9,"_TM6"),#REF!,13,FALSE)-VLOOKUP(CONCATENATE(B9,"_TM5"),#REF!,13,FALSE)</f>
        <v>#REF!</v>
      </c>
      <c r="K9" s="18" t="e">
        <f t="shared" si="1"/>
        <v>#REF!</v>
      </c>
      <c r="L9" s="18"/>
      <c r="M9" s="18" t="e">
        <f t="shared" si="2"/>
        <v>#REF!</v>
      </c>
      <c r="N9" s="18"/>
      <c r="O9" s="2" t="s">
        <v>1112</v>
      </c>
      <c r="R9" s="3" t="e">
        <f>VLOOKUP(CONCATENATE(B9,"_TM5"),#REF!,15,FALSE)</f>
        <v>#REF!</v>
      </c>
      <c r="S9" s="3" t="e">
        <f>VLOOKUP(CONCATENATE(B9,"_TM5"),#REF!,15,FALSE)-VLOOKUP(CONCATENATE(B9,"_TM5"),#REF!,13,FALSE)+50</f>
        <v>#REF!</v>
      </c>
      <c r="T9" s="3">
        <v>67</v>
      </c>
      <c r="U9" s="16" t="e">
        <f>VLOOKUP(CONCATENATE(B9,"_TM6"),#REF!,12,FALSE)</f>
        <v>#REF!</v>
      </c>
      <c r="V9" s="3" t="e">
        <f>VLOOKUP(CONCATENATE(B9,"_TM6"),#REF!,12,FALSE)-VLOOKUP(CONCATENATE(B9,"_TM6"),#REF!,13,FALSE)+50</f>
        <v>#REF!</v>
      </c>
      <c r="W9" s="23" t="e">
        <f>VLOOKUP(CONCATENATE(B9,"_TM6"),#REF!,15,FALSE)</f>
        <v>#REF!</v>
      </c>
      <c r="X9" s="84" t="s">
        <v>1106</v>
      </c>
    </row>
    <row r="10" spans="1:24" x14ac:dyDescent="0.2">
      <c r="B10" s="3" t="str">
        <f t="shared" si="0"/>
        <v xml:space="preserve">ACM2_human_4MQS </v>
      </c>
      <c r="C10" s="3" t="s">
        <v>39</v>
      </c>
      <c r="D10" s="3" t="s">
        <v>1107</v>
      </c>
      <c r="E10" s="3" t="s">
        <v>1099</v>
      </c>
      <c r="F10" s="3" t="s">
        <v>1105</v>
      </c>
      <c r="H10" s="3" t="s">
        <v>1108</v>
      </c>
      <c r="J10" s="18" t="e">
        <f>VLOOKUP(CONCATENATE(B10,"_TM6"),#REF!,13,FALSE)-VLOOKUP(CONCATENATE(B10,"_TM5"),#REF!,13,FALSE)</f>
        <v>#REF!</v>
      </c>
      <c r="K10" s="18" t="e">
        <f t="shared" si="1"/>
        <v>#REF!</v>
      </c>
      <c r="L10" s="18"/>
      <c r="M10" s="18" t="e">
        <f t="shared" si="2"/>
        <v>#REF!</v>
      </c>
      <c r="N10" s="18"/>
      <c r="R10" s="3" t="e">
        <f>VLOOKUP(CONCATENATE(B10,"_TM5"),#REF!,15,FALSE)</f>
        <v>#REF!</v>
      </c>
      <c r="S10" s="3" t="e">
        <f>VLOOKUP(CONCATENATE(B10,"_TM5"),#REF!,15,FALSE)-VLOOKUP(CONCATENATE(B10,"_TM5"),#REF!,13,FALSE)+50</f>
        <v>#REF!</v>
      </c>
      <c r="T10" s="3">
        <v>67</v>
      </c>
      <c r="U10" s="16" t="e">
        <f>VLOOKUP(CONCATENATE(B10,"_TM6"),#REF!,12,FALSE)</f>
        <v>#REF!</v>
      </c>
      <c r="V10" s="3" t="e">
        <f>VLOOKUP(CONCATENATE(B10,"_TM6"),#REF!,12,FALSE)-VLOOKUP(CONCATENATE(B10,"_TM6"),#REF!,13,FALSE)+50</f>
        <v>#REF!</v>
      </c>
      <c r="W10" s="23" t="e">
        <f>VLOOKUP(CONCATENATE(B10,"_TM6"),#REF!,15,FALSE)</f>
        <v>#REF!</v>
      </c>
      <c r="X10" s="84" t="s">
        <v>1106</v>
      </c>
    </row>
    <row r="11" spans="1:24" x14ac:dyDescent="0.2">
      <c r="B11" s="3" t="str">
        <f t="shared" si="0"/>
        <v>ACM2_human_4MQT</v>
      </c>
      <c r="C11" s="3" t="s">
        <v>39</v>
      </c>
      <c r="D11" s="14" t="s">
        <v>1040</v>
      </c>
      <c r="E11" s="3" t="s">
        <v>1099</v>
      </c>
      <c r="F11" s="3" t="s">
        <v>1105</v>
      </c>
      <c r="J11" s="18" t="e">
        <f>VLOOKUP(CONCATENATE(B11,"_TM6"),#REF!,13,FALSE)-VLOOKUP(CONCATENATE(B11,"_TM5"),#REF!,13,FALSE)</f>
        <v>#REF!</v>
      </c>
      <c r="K11" s="18" t="e">
        <f t="shared" si="1"/>
        <v>#REF!</v>
      </c>
      <c r="L11" s="18"/>
      <c r="M11" s="18" t="e">
        <f t="shared" si="2"/>
        <v>#REF!</v>
      </c>
      <c r="N11" s="18"/>
      <c r="R11" s="3" t="e">
        <f>VLOOKUP(CONCATENATE(B11,"_TM5"),#REF!,15,FALSE)</f>
        <v>#REF!</v>
      </c>
      <c r="S11" s="3" t="e">
        <f>VLOOKUP(CONCATENATE(B11,"_TM5"),#REF!,15,FALSE)-VLOOKUP(CONCATENATE(B11,"_TM5"),#REF!,13,FALSE)+50</f>
        <v>#REF!</v>
      </c>
      <c r="T11" s="3">
        <v>67</v>
      </c>
      <c r="U11" s="16" t="e">
        <f>VLOOKUP(CONCATENATE(B11,"_TM6"),#REF!,12,FALSE)</f>
        <v>#REF!</v>
      </c>
      <c r="V11" s="3" t="e">
        <f>VLOOKUP(CONCATENATE(B11,"_TM6"),#REF!,12,FALSE)-VLOOKUP(CONCATENATE(B11,"_TM6"),#REF!,13,FALSE)+50</f>
        <v>#REF!</v>
      </c>
      <c r="W11" s="23" t="e">
        <f>VLOOKUP(CONCATENATE(B11,"_TM6"),#REF!,15,FALSE)</f>
        <v>#REF!</v>
      </c>
      <c r="X11" s="84" t="s">
        <v>1106</v>
      </c>
    </row>
    <row r="12" spans="1:24" x14ac:dyDescent="0.2">
      <c r="B12" s="3" t="str">
        <f t="shared" si="0"/>
        <v>AA2AR_human_2YDO</v>
      </c>
      <c r="C12" s="2" t="s">
        <v>36</v>
      </c>
      <c r="D12" s="3" t="s">
        <v>1022</v>
      </c>
      <c r="E12" s="3" t="s">
        <v>1099</v>
      </c>
      <c r="F12" s="3" t="s">
        <v>1095</v>
      </c>
      <c r="J12" s="18" t="e">
        <f>VLOOKUP(CONCATENATE(B12,"_TM6"),#REF!,13,FALSE)-VLOOKUP(CONCATENATE(B12,"_TM5"),#REF!,13,FALSE)</f>
        <v>#REF!</v>
      </c>
      <c r="K12" s="18" t="e">
        <f t="shared" si="1"/>
        <v>#REF!</v>
      </c>
      <c r="L12" s="18"/>
      <c r="M12" s="18" t="e">
        <f t="shared" si="2"/>
        <v>#REF!</v>
      </c>
      <c r="N12" s="18"/>
      <c r="O12" s="2" t="s">
        <v>1111</v>
      </c>
      <c r="P12" s="15" t="s">
        <v>1012</v>
      </c>
      <c r="Q12" s="16">
        <v>213</v>
      </c>
      <c r="R12" s="3" t="e">
        <f>VLOOKUP(CONCATENATE(B12,"_TM5"),#REF!,15,FALSE)</f>
        <v>#REF!</v>
      </c>
      <c r="S12" s="3" t="e">
        <f>VLOOKUP(CONCATENATE(B12,"_TM5"),#REF!,15,FALSE)-VLOOKUP(CONCATENATE(B12,"_TM5"),#REF!,13,FALSE)+50</f>
        <v>#REF!</v>
      </c>
      <c r="T12" s="3">
        <v>74</v>
      </c>
      <c r="U12" s="16" t="e">
        <f>VLOOKUP(CONCATENATE(B12,"_TM6"),#REF!,12,FALSE)</f>
        <v>#REF!</v>
      </c>
      <c r="V12" s="3" t="e">
        <f>VLOOKUP(CONCATENATE(B12,"_TM6"),#REF!,12,FALSE)-VLOOKUP(CONCATENATE(B12,"_TM6"),#REF!,13,FALSE)+50</f>
        <v>#REF!</v>
      </c>
      <c r="W12" s="23" t="e">
        <f>VLOOKUP(CONCATENATE(B12,"_TM6"),#REF!,15,FALSE)</f>
        <v>#REF!</v>
      </c>
      <c r="X12" s="16" t="s">
        <v>1104</v>
      </c>
    </row>
    <row r="13" spans="1:24" x14ac:dyDescent="0.2">
      <c r="B13" s="3" t="str">
        <f t="shared" si="0"/>
        <v>FFAR1_human_4PHU</v>
      </c>
      <c r="C13" s="2" t="s">
        <v>1142</v>
      </c>
      <c r="D13" s="14" t="s">
        <v>52</v>
      </c>
      <c r="E13" s="3" t="s">
        <v>1098</v>
      </c>
      <c r="F13" s="3" t="s">
        <v>23</v>
      </c>
      <c r="G13" s="3" t="s">
        <v>1143</v>
      </c>
      <c r="J13" s="18" t="e">
        <f>VLOOKUP(CONCATENATE(B13,"_TM6"),#REF!,13,FALSE)-VLOOKUP(CONCATENATE(B13,"_TM5"),#REF!,13,FALSE)</f>
        <v>#REF!</v>
      </c>
      <c r="K13" s="18"/>
      <c r="L13" s="18"/>
      <c r="M13" s="18"/>
      <c r="N13" s="18"/>
      <c r="R13" s="3" t="e">
        <f>VLOOKUP(CONCATENATE(B13,"_TM5"),#REF!,15,FALSE)</f>
        <v>#REF!</v>
      </c>
      <c r="S13" s="3" t="e">
        <f>VLOOKUP(CONCATENATE(B13,"_TM5"),#REF!,15,FALSE)-VLOOKUP(CONCATENATE(B13,"_TM5"),#REF!,13,FALSE)+50</f>
        <v>#REF!</v>
      </c>
      <c r="T13" s="3">
        <v>67</v>
      </c>
      <c r="U13" s="16" t="e">
        <f>VLOOKUP(CONCATENATE(B13,"_TM6"),#REF!,12,FALSE)</f>
        <v>#REF!</v>
      </c>
      <c r="V13" s="3" t="e">
        <f>VLOOKUP(CONCATENATE(B13,"_TM6"),#REF!,12,FALSE)-VLOOKUP(CONCATENATE(B13,"_TM6"),#REF!,13,FALSE)+50</f>
        <v>#REF!</v>
      </c>
      <c r="W13" s="23" t="e">
        <f>VLOOKUP(CONCATENATE(B13,"_TM6"),#REF!,15,FALSE)</f>
        <v>#REF!</v>
      </c>
    </row>
    <row r="14" spans="1:24" x14ac:dyDescent="0.2">
      <c r="C14" s="2" t="s">
        <v>36</v>
      </c>
      <c r="D14" s="14" t="s">
        <v>1028</v>
      </c>
      <c r="E14" s="3" t="s">
        <v>1098</v>
      </c>
      <c r="F14" s="14"/>
      <c r="I14" s="16" t="s">
        <v>1136</v>
      </c>
      <c r="J14" s="18"/>
      <c r="K14" s="18"/>
      <c r="L14" s="18"/>
      <c r="M14" s="18"/>
      <c r="N14" s="18"/>
      <c r="O14" s="18"/>
    </row>
    <row r="15" spans="1:24" x14ac:dyDescent="0.2">
      <c r="B15" s="3" t="str">
        <f t="shared" ref="B15:B26" si="3">CONCATENATE(C15,"_",D15)</f>
        <v>OPSD_todpa_2Z73</v>
      </c>
      <c r="C15" s="2" t="s">
        <v>98</v>
      </c>
      <c r="D15" s="14" t="s">
        <v>97</v>
      </c>
      <c r="E15" s="3" t="s">
        <v>1098</v>
      </c>
      <c r="F15" s="3" t="s">
        <v>23</v>
      </c>
      <c r="G15" s="3" t="s">
        <v>1140</v>
      </c>
      <c r="I15" s="16" t="s">
        <v>1136</v>
      </c>
      <c r="J15" s="18" t="e">
        <f>VLOOKUP(CONCATENATE(B15,"_TM6"),#REF!,13,FALSE)-VLOOKUP(CONCATENATE(B15,"_TM5"),#REF!,13,FALSE)</f>
        <v>#REF!</v>
      </c>
      <c r="K15" s="18" t="e">
        <f>U15-R15-1</f>
        <v>#REF!</v>
      </c>
      <c r="L15" s="18" t="e">
        <f>K15</f>
        <v>#REF!</v>
      </c>
      <c r="M15" s="18" t="e">
        <f>K15-L15</f>
        <v>#REF!</v>
      </c>
      <c r="N15" s="18" t="e">
        <f>J15-K15</f>
        <v>#REF!</v>
      </c>
      <c r="O15" s="2" t="s">
        <v>1110</v>
      </c>
      <c r="R15" s="3" t="e">
        <f>VLOOKUP(CONCATENATE(B15,"_TM5"),#REF!,15,FALSE)</f>
        <v>#REF!</v>
      </c>
      <c r="S15" s="3" t="e">
        <f>VLOOKUP(CONCATENATE(B15,"_TM5"),#REF!,15,FALSE)-VLOOKUP(CONCATENATE(B15,"_TM5"),#REF!,13,FALSE)+50</f>
        <v>#REF!</v>
      </c>
      <c r="T15" s="3">
        <v>77</v>
      </c>
      <c r="U15" s="16" t="e">
        <f>VLOOKUP(CONCATENATE(B15,"_TM6"),#REF!,12,FALSE)</f>
        <v>#REF!</v>
      </c>
      <c r="V15" s="3" t="e">
        <f>VLOOKUP(CONCATENATE(B15,"_TM6"),#REF!,12,FALSE)-VLOOKUP(CONCATENATE(B15,"_TM6"),#REF!,13,FALSE)+50</f>
        <v>#REF!</v>
      </c>
      <c r="W15" s="23" t="e">
        <f>VLOOKUP(CONCATENATE(B15,"_TM6"),#REF!,15,FALSE)</f>
        <v>#REF!</v>
      </c>
    </row>
    <row r="16" spans="1:24" x14ac:dyDescent="0.2">
      <c r="B16" s="3" t="str">
        <f t="shared" si="3"/>
        <v>ADRB1_melga_2YCW</v>
      </c>
      <c r="C16" s="2" t="s">
        <v>47</v>
      </c>
      <c r="D16" s="3" t="s">
        <v>1020</v>
      </c>
      <c r="E16" s="3" t="s">
        <v>1098</v>
      </c>
      <c r="F16" s="3" t="s">
        <v>23</v>
      </c>
      <c r="G16" s="3" t="s">
        <v>1118</v>
      </c>
      <c r="I16" s="16" t="s">
        <v>1138</v>
      </c>
      <c r="J16" s="18" t="e">
        <f>VLOOKUP(CONCATENATE(B16,"_TM6"),#REF!,13,FALSE)-VLOOKUP(CONCATENATE(B16,"_TM5"),#REF!,13,FALSE)</f>
        <v>#REF!</v>
      </c>
      <c r="K16" s="18" t="e">
        <f>U16-R16-1</f>
        <v>#REF!</v>
      </c>
      <c r="L16" s="18" t="e">
        <f>K16</f>
        <v>#REF!</v>
      </c>
      <c r="M16" s="18" t="e">
        <f>K16-L16</f>
        <v>#REF!</v>
      </c>
      <c r="N16" s="18" t="e">
        <f>J16-K16</f>
        <v>#REF!</v>
      </c>
      <c r="O16" s="2" t="s">
        <v>1110</v>
      </c>
      <c r="R16" s="3" t="e">
        <f>VLOOKUP(CONCATENATE(B16,"_TM5"),#REF!,15,FALSE)</f>
        <v>#REF!</v>
      </c>
      <c r="S16" s="3" t="e">
        <f>VLOOKUP(CONCATENATE(B16,"_TM5"),#REF!,15,FALSE)-VLOOKUP(CONCATENATE(B16,"_TM5"),#REF!,13,FALSE)+50</f>
        <v>#REF!</v>
      </c>
      <c r="T16" s="3">
        <v>78</v>
      </c>
      <c r="U16" s="16" t="e">
        <f>VLOOKUP(CONCATENATE(B16,"_TM6"),#REF!,12,FALSE)</f>
        <v>#REF!</v>
      </c>
      <c r="V16" s="3" t="e">
        <f>VLOOKUP(CONCATENATE(B16,"_TM6"),#REF!,12,FALSE)-VLOOKUP(CONCATENATE(B16,"_TM6"),#REF!,13,FALSE)+50</f>
        <v>#REF!</v>
      </c>
      <c r="W16" s="23" t="e">
        <f>VLOOKUP(CONCATENATE(B16,"_TM6"),#REF!,15,FALSE)</f>
        <v>#REF!</v>
      </c>
    </row>
    <row r="17" spans="2:24" x14ac:dyDescent="0.2">
      <c r="B17" s="3" t="str">
        <f t="shared" si="3"/>
        <v>OPSD_bovin_most</v>
      </c>
      <c r="C17" s="3" t="s">
        <v>43</v>
      </c>
      <c r="D17" s="3" t="s">
        <v>1113</v>
      </c>
      <c r="E17" s="3" t="s">
        <v>1098</v>
      </c>
      <c r="J17" s="18" t="e">
        <f>VLOOKUP(CONCATENATE(B17,"_TM6"),#REF!,13,FALSE)-VLOOKUP(CONCATENATE(B17,"_TM5"),#REF!,13,FALSE)</f>
        <v>#REF!</v>
      </c>
      <c r="K17" s="18" t="e">
        <f>U17-R17-1</f>
        <v>#REF!</v>
      </c>
      <c r="L17" s="18"/>
      <c r="M17" s="18" t="e">
        <f>K17-L17</f>
        <v>#REF!</v>
      </c>
      <c r="N17" s="18"/>
      <c r="R17" s="3" t="e">
        <f>VLOOKUP(CONCATENATE(B17,"_TM5"),#REF!,15,FALSE)</f>
        <v>#REF!</v>
      </c>
      <c r="S17" s="3" t="e">
        <f>VLOOKUP(CONCATENATE(B17,"_TM5"),#REF!,15,FALSE)-VLOOKUP(CONCATENATE(B17,"_TM5"),#REF!,13,FALSE)+50</f>
        <v>#REF!</v>
      </c>
      <c r="T17" s="3">
        <v>61</v>
      </c>
      <c r="U17" s="16" t="e">
        <f>VLOOKUP(CONCATENATE(B17,"_TM6"),#REF!,12,FALSE)</f>
        <v>#REF!</v>
      </c>
      <c r="V17" s="3" t="e">
        <f>VLOOKUP(CONCATENATE(B17,"_TM6"),#REF!,12,FALSE)-VLOOKUP(CONCATENATE(B17,"_TM6"),#REF!,13,FALSE)+50</f>
        <v>#REF!</v>
      </c>
      <c r="W17" s="23" t="e">
        <f>VLOOKUP(CONCATENATE(B17,"_TM6"),#REF!,15,FALSE)</f>
        <v>#REF!</v>
      </c>
    </row>
    <row r="18" spans="2:24" x14ac:dyDescent="0.2">
      <c r="B18" s="3" t="str">
        <f t="shared" si="3"/>
        <v>ADRB2_human_most</v>
      </c>
      <c r="C18" s="3" t="s">
        <v>37</v>
      </c>
      <c r="D18" s="14" t="s">
        <v>1113</v>
      </c>
      <c r="E18" s="3" t="s">
        <v>1098</v>
      </c>
      <c r="F18" s="3" t="s">
        <v>23</v>
      </c>
      <c r="J18" s="18" t="e">
        <f>VLOOKUP(CONCATENATE(B18,"_TM6"),#REF!,13,FALSE)-VLOOKUP(CONCATENATE(B18,"_TM5"),#REF!,13,FALSE)</f>
        <v>#REF!</v>
      </c>
      <c r="K18" s="18" t="e">
        <f>U18-R18-1</f>
        <v>#REF!</v>
      </c>
      <c r="L18" s="18"/>
      <c r="M18" s="18" t="e">
        <f>K18-L18</f>
        <v>#REF!</v>
      </c>
      <c r="N18" s="18"/>
      <c r="R18" s="3" t="e">
        <f>VLOOKUP(CONCATENATE(B18,"_TM5"),#REF!,15,FALSE)</f>
        <v>#REF!</v>
      </c>
      <c r="S18" s="3" t="e">
        <f>VLOOKUP(CONCATENATE(B18,"_TM5"),#REF!,15,FALSE)-VLOOKUP(CONCATENATE(B18,"_TM5"),#REF!,13,FALSE)+50</f>
        <v>#REF!</v>
      </c>
      <c r="T18" s="3">
        <v>67</v>
      </c>
      <c r="U18" s="16" t="e">
        <f>VLOOKUP(CONCATENATE(B18,"_TM6"),#REF!,12,FALSE)</f>
        <v>#REF!</v>
      </c>
      <c r="V18" s="3" t="e">
        <f>VLOOKUP(CONCATENATE(B18,"_TM6"),#REF!,12,FALSE)-VLOOKUP(CONCATENATE(B18,"_TM6"),#REF!,13,FALSE)+50</f>
        <v>#REF!</v>
      </c>
      <c r="W18" s="23" t="e">
        <f>VLOOKUP(CONCATENATE(B18,"_TM6"),#REF!,15,FALSE)</f>
        <v>#REF!</v>
      </c>
    </row>
    <row r="19" spans="2:24" x14ac:dyDescent="0.2">
      <c r="B19" s="3" t="str">
        <f t="shared" si="3"/>
        <v>NTR1_rat__wt</v>
      </c>
      <c r="C19" s="3" t="s">
        <v>46</v>
      </c>
      <c r="D19" s="3" t="s">
        <v>100</v>
      </c>
      <c r="E19" s="3" t="s">
        <v>1098</v>
      </c>
      <c r="F19" s="3" t="s">
        <v>23</v>
      </c>
      <c r="G19" s="3" t="s">
        <v>1144</v>
      </c>
      <c r="J19" s="18" t="e">
        <f>VLOOKUP(CONCATENATE(B19,"_TM6"),#REF!,13,FALSE)-VLOOKUP(CONCATENATE(B19,"_TM5"),#REF!,13,FALSE)</f>
        <v>#REF!</v>
      </c>
      <c r="K19" s="18"/>
      <c r="L19" s="18"/>
      <c r="M19" s="18"/>
      <c r="N19" s="18"/>
      <c r="O19" s="18"/>
      <c r="S19" s="3" t="e">
        <f>VLOOKUP(CONCATENATE(B19,"_TM5"),#REF!,15,FALSE)-VLOOKUP(CONCATENATE(B19,"_TM5"),#REF!,13,FALSE)+50</f>
        <v>#REF!</v>
      </c>
      <c r="T19" s="3">
        <v>71</v>
      </c>
      <c r="U19" s="16" t="e">
        <f>VLOOKUP(CONCATENATE(B19,"_TM6"),#REF!,12,FALSE)</f>
        <v>#REF!</v>
      </c>
      <c r="V19" s="3" t="e">
        <f>VLOOKUP(CONCATENATE(B19,"_TM6"),#REF!,12,FALSE)-VLOOKUP(CONCATENATE(B19,"_TM6"),#REF!,13,FALSE)+50</f>
        <v>#REF!</v>
      </c>
      <c r="W19" s="23">
        <v>25</v>
      </c>
      <c r="X19" s="84"/>
    </row>
    <row r="20" spans="2:24" x14ac:dyDescent="0.2">
      <c r="B20" s="3" t="str">
        <f t="shared" si="3"/>
        <v>ACM2_human_most</v>
      </c>
      <c r="C20" s="3" t="s">
        <v>39</v>
      </c>
      <c r="D20" s="14" t="s">
        <v>1113</v>
      </c>
      <c r="E20" s="3" t="s">
        <v>1098</v>
      </c>
      <c r="J20" s="18" t="e">
        <f>VLOOKUP(CONCATENATE(B20,"_TM6"),#REF!,13,FALSE)-VLOOKUP(CONCATENATE(B20,"_TM5"),#REF!,13,FALSE)</f>
        <v>#REF!</v>
      </c>
      <c r="K20" s="18" t="e">
        <f t="shared" ref="K20:K26" si="4">U20-R20-1</f>
        <v>#REF!</v>
      </c>
      <c r="L20" s="18"/>
      <c r="M20" s="18" t="e">
        <f t="shared" ref="M20:M26" si="5">K20-L20</f>
        <v>#REF!</v>
      </c>
      <c r="N20" s="18"/>
      <c r="R20" s="3" t="e">
        <f>VLOOKUP(CONCATENATE(B20,"_TM5"),#REF!,15,FALSE)</f>
        <v>#REF!</v>
      </c>
      <c r="S20" s="3" t="e">
        <f>VLOOKUP(CONCATENATE(B20,"_TM5"),#REF!,15,FALSE)-VLOOKUP(CONCATENATE(B20,"_TM5"),#REF!,13,FALSE)+50</f>
        <v>#REF!</v>
      </c>
      <c r="T20" s="3">
        <v>67</v>
      </c>
      <c r="U20" s="16" t="e">
        <f>VLOOKUP(CONCATENATE(B20,"_TM6"),#REF!,12,FALSE)</f>
        <v>#REF!</v>
      </c>
      <c r="V20" s="3" t="e">
        <f>VLOOKUP(CONCATENATE(B20,"_TM6"),#REF!,12,FALSE)-VLOOKUP(CONCATENATE(B20,"_TM6"),#REF!,13,FALSE)+50</f>
        <v>#REF!</v>
      </c>
      <c r="W20" s="23" t="e">
        <f>VLOOKUP(CONCATENATE(B20,"_TM6"),#REF!,15,FALSE)</f>
        <v>#REF!</v>
      </c>
    </row>
    <row r="21" spans="2:24" x14ac:dyDescent="0.2">
      <c r="B21" s="3" t="str">
        <f t="shared" si="3"/>
        <v>OPRM_human_most</v>
      </c>
      <c r="C21" s="3" t="s">
        <v>1091</v>
      </c>
      <c r="D21" s="3" t="s">
        <v>1113</v>
      </c>
      <c r="E21" s="3" t="s">
        <v>1098</v>
      </c>
      <c r="J21" s="18" t="e">
        <f>VLOOKUP(CONCATENATE(B21,"_TM6"),#REF!,13,FALSE)-VLOOKUP(CONCATENATE(B21,"_TM5"),#REF!,13,FALSE)</f>
        <v>#REF!</v>
      </c>
      <c r="K21" s="18" t="e">
        <f t="shared" si="4"/>
        <v>#REF!</v>
      </c>
      <c r="L21" s="18"/>
      <c r="M21" s="18" t="e">
        <f t="shared" si="5"/>
        <v>#REF!</v>
      </c>
      <c r="N21" s="18"/>
      <c r="P21" s="15" t="s">
        <v>1011</v>
      </c>
      <c r="Q21" s="16">
        <v>262</v>
      </c>
      <c r="R21" s="3" t="e">
        <f>VLOOKUP(CONCATENATE(B21,"_TM5"),#REF!,15,FALSE)</f>
        <v>#REF!</v>
      </c>
      <c r="S21" s="3" t="e">
        <f>VLOOKUP(CONCATENATE(B21,"_TM5"),#REF!,15,FALSE)-VLOOKUP(CONCATENATE(B21,"_TM5"),#REF!,13,FALSE)+50</f>
        <v>#REF!</v>
      </c>
      <c r="T21" s="3">
        <v>68</v>
      </c>
      <c r="U21" s="16" t="e">
        <f>VLOOKUP(CONCATENATE(B21,"_TM6"),#REF!,12,FALSE)</f>
        <v>#REF!</v>
      </c>
      <c r="V21" s="3" t="e">
        <f>VLOOKUP(CONCATENATE(B21,"_TM6"),#REF!,12,FALSE)-VLOOKUP(CONCATENATE(B21,"_TM6"),#REF!,13,FALSE)+50</f>
        <v>#REF!</v>
      </c>
      <c r="W21" s="23" t="e">
        <f>VLOOKUP(CONCATENATE(B21,"_TM6"),#REF!,15,FALSE)</f>
        <v>#REF!</v>
      </c>
    </row>
    <row r="22" spans="2:24" x14ac:dyDescent="0.2">
      <c r="B22" s="3" t="str">
        <f t="shared" si="3"/>
        <v>ADRB2_human_4GBR</v>
      </c>
      <c r="C22" s="3" t="s">
        <v>37</v>
      </c>
      <c r="D22" s="14" t="s">
        <v>1100</v>
      </c>
      <c r="E22" s="3" t="s">
        <v>1098</v>
      </c>
      <c r="F22" s="3" t="s">
        <v>23</v>
      </c>
      <c r="J22" s="18" t="e">
        <f>VLOOKUP(CONCATENATE(B22,"_TM6"),#REF!,13,FALSE)-VLOOKUP(CONCATENATE(B22,"_TM5"),#REF!,13,FALSE)</f>
        <v>#REF!</v>
      </c>
      <c r="K22" s="18" t="e">
        <f t="shared" si="4"/>
        <v>#REF!</v>
      </c>
      <c r="L22" s="18"/>
      <c r="M22" s="18" t="e">
        <f t="shared" si="5"/>
        <v>#REF!</v>
      </c>
      <c r="N22" s="18"/>
      <c r="P22" s="15" t="s">
        <v>1015</v>
      </c>
      <c r="Q22" s="16">
        <v>237</v>
      </c>
      <c r="R22" s="3" t="e">
        <f>VLOOKUP(CONCATENATE(B22,"_TM5"),#REF!,15,FALSE)</f>
        <v>#REF!</v>
      </c>
      <c r="S22" s="3" t="e">
        <f>VLOOKUP(CONCATENATE(B22,"_TM5"),#REF!,15,FALSE)-VLOOKUP(CONCATENATE(B22,"_TM5"),#REF!,13,FALSE)+50</f>
        <v>#REF!</v>
      </c>
      <c r="T22" s="3">
        <v>71</v>
      </c>
      <c r="U22" s="16" t="e">
        <f>VLOOKUP(CONCATENATE(B22,"_TM6"),#REF!,12,FALSE)</f>
        <v>#REF!</v>
      </c>
      <c r="V22" s="3" t="e">
        <f>VLOOKUP(CONCATENATE(B22,"_TM6"),#REF!,12,FALSE)-VLOOKUP(CONCATENATE(B22,"_TM6"),#REF!,13,FALSE)+50</f>
        <v>#REF!</v>
      </c>
      <c r="W22" s="23" t="e">
        <f>VLOOKUP(CONCATENATE(B22,"_TM6"),#REF!,15,FALSE)</f>
        <v>#REF!</v>
      </c>
      <c r="X22" s="16" t="s">
        <v>1102</v>
      </c>
    </row>
    <row r="23" spans="2:24" x14ac:dyDescent="0.2">
      <c r="B23" s="3" t="str">
        <f t="shared" si="3"/>
        <v>OPSD_bovin_2J4Y</v>
      </c>
      <c r="C23" s="3" t="s">
        <v>43</v>
      </c>
      <c r="D23" s="14" t="s">
        <v>1124</v>
      </c>
      <c r="E23" s="3" t="s">
        <v>1098</v>
      </c>
      <c r="J23" s="18" t="e">
        <f>VLOOKUP(CONCATENATE(B23,"_TM6"),#REF!,13,FALSE)-VLOOKUP(CONCATENATE(B23,"_TM5"),#REF!,13,FALSE)</f>
        <v>#REF!</v>
      </c>
      <c r="K23" s="18" t="e">
        <f t="shared" si="4"/>
        <v>#REF!</v>
      </c>
      <c r="L23" s="18"/>
      <c r="M23" s="18" t="e">
        <f t="shared" si="5"/>
        <v>#REF!</v>
      </c>
      <c r="N23" s="18"/>
      <c r="O23" s="18" t="s">
        <v>1111</v>
      </c>
      <c r="P23" s="15" t="s">
        <v>1013</v>
      </c>
      <c r="Q23" s="16">
        <v>237</v>
      </c>
      <c r="R23" s="3" t="e">
        <f>VLOOKUP(CONCATENATE(B23,"_TM5"),#REF!,15,FALSE)</f>
        <v>#REF!</v>
      </c>
      <c r="S23" s="3" t="e">
        <f>VLOOKUP(CONCATENATE(B23,"_TM5"),#REF!,15,FALSE)-VLOOKUP(CONCATENATE(B23,"_TM5"),#REF!,13,FALSE)+50</f>
        <v>#REF!</v>
      </c>
      <c r="T23" s="3">
        <v>72</v>
      </c>
      <c r="U23" s="16" t="e">
        <f>VLOOKUP(CONCATENATE(B23,"_TM6"),#REF!,12,FALSE)</f>
        <v>#REF!</v>
      </c>
      <c r="V23" s="3" t="e">
        <f>VLOOKUP(CONCATENATE(B23,"_TM6"),#REF!,12,FALSE)-VLOOKUP(CONCATENATE(B23,"_TM6"),#REF!,13,FALSE)+50</f>
        <v>#REF!</v>
      </c>
      <c r="W23" s="23" t="e">
        <f>VLOOKUP(CONCATENATE(B23,"_TM6"),#REF!,15,FALSE)</f>
        <v>#REF!</v>
      </c>
      <c r="X23" s="84" t="s">
        <v>1115</v>
      </c>
    </row>
    <row r="24" spans="2:24" x14ac:dyDescent="0.2">
      <c r="B24" s="3" t="str">
        <f t="shared" si="3"/>
        <v>OPSD_bovin_3C9M</v>
      </c>
      <c r="C24" s="3" t="s">
        <v>43</v>
      </c>
      <c r="D24" s="14" t="s">
        <v>1114</v>
      </c>
      <c r="E24" s="3" t="s">
        <v>1098</v>
      </c>
      <c r="J24" s="18" t="e">
        <f>VLOOKUP(CONCATENATE(B24,"_TM6"),#REF!,13,FALSE)-VLOOKUP(CONCATENATE(B24,"_TM5"),#REF!,13,FALSE)</f>
        <v>#REF!</v>
      </c>
      <c r="K24" s="18" t="e">
        <f t="shared" si="4"/>
        <v>#REF!</v>
      </c>
      <c r="L24" s="18"/>
      <c r="M24" s="18" t="e">
        <f t="shared" si="5"/>
        <v>#REF!</v>
      </c>
      <c r="N24" s="18"/>
      <c r="O24" s="18" t="s">
        <v>1111</v>
      </c>
      <c r="P24" s="15" t="s">
        <v>1013</v>
      </c>
      <c r="Q24" s="16">
        <v>237</v>
      </c>
      <c r="R24" s="3" t="e">
        <f>VLOOKUP(CONCATENATE(B24,"_TM5"),#REF!,15,FALSE)</f>
        <v>#REF!</v>
      </c>
      <c r="S24" s="3" t="e">
        <f>VLOOKUP(CONCATENATE(B24,"_TM5"),#REF!,15,FALSE)-VLOOKUP(CONCATENATE(B24,"_TM5"),#REF!,13,FALSE)+50</f>
        <v>#REF!</v>
      </c>
      <c r="T24" s="3">
        <v>72</v>
      </c>
      <c r="U24" s="16" t="e">
        <f>VLOOKUP(CONCATENATE(B24,"_TM6"),#REF!,12,FALSE)</f>
        <v>#REF!</v>
      </c>
      <c r="V24" s="3" t="e">
        <f>VLOOKUP(CONCATENATE(B24,"_TM6"),#REF!,12,FALSE)-VLOOKUP(CONCATENATE(B24,"_TM6"),#REF!,13,FALSE)+50</f>
        <v>#REF!</v>
      </c>
      <c r="W24" s="23" t="e">
        <f>VLOOKUP(CONCATENATE(B24,"_TM6"),#REF!,15,FALSE)</f>
        <v>#REF!</v>
      </c>
      <c r="X24" s="84" t="s">
        <v>1115</v>
      </c>
    </row>
    <row r="25" spans="2:24" x14ac:dyDescent="0.2">
      <c r="B25" s="3" t="str">
        <f t="shared" si="3"/>
        <v>AA2AR_human_3REY</v>
      </c>
      <c r="C25" s="2" t="s">
        <v>36</v>
      </c>
      <c r="D25" s="14" t="s">
        <v>83</v>
      </c>
      <c r="E25" s="3" t="s">
        <v>1098</v>
      </c>
      <c r="F25" s="3" t="s">
        <v>23</v>
      </c>
      <c r="J25" s="18" t="e">
        <f>VLOOKUP(CONCATENATE(B25,"_TM6"),#REF!,13,FALSE)-VLOOKUP(CONCATENATE(B25,"_TM5"),#REF!,13,FALSE)</f>
        <v>#REF!</v>
      </c>
      <c r="K25" s="18" t="e">
        <f t="shared" si="4"/>
        <v>#REF!</v>
      </c>
      <c r="L25" s="18"/>
      <c r="M25" s="18" t="e">
        <f t="shared" si="5"/>
        <v>#REF!</v>
      </c>
      <c r="N25" s="18"/>
      <c r="P25" s="15" t="s">
        <v>1012</v>
      </c>
      <c r="Q25" s="16">
        <v>213</v>
      </c>
      <c r="R25" s="3" t="e">
        <f>VLOOKUP(CONCATENATE(B25,"_TM5"),#REF!,15,FALSE)</f>
        <v>#REF!</v>
      </c>
      <c r="S25" s="3" t="e">
        <f>VLOOKUP(CONCATENATE(B25,"_TM5"),#REF!,15,FALSE)-VLOOKUP(CONCATENATE(B25,"_TM5"),#REF!,13,FALSE)+50</f>
        <v>#REF!</v>
      </c>
      <c r="T25" s="3">
        <v>74</v>
      </c>
      <c r="U25" s="16" t="e">
        <f>VLOOKUP(CONCATENATE(B25,"_TM6"),#REF!,12,FALSE)</f>
        <v>#REF!</v>
      </c>
      <c r="V25" s="3" t="e">
        <f>VLOOKUP(CONCATENATE(B25,"_TM6"),#REF!,12,FALSE)-VLOOKUP(CONCATENATE(B25,"_TM6"),#REF!,13,FALSE)+50</f>
        <v>#REF!</v>
      </c>
      <c r="W25" s="23" t="e">
        <f>VLOOKUP(CONCATENATE(B25,"_TM6"),#REF!,15,FALSE)</f>
        <v>#REF!</v>
      </c>
    </row>
    <row r="26" spans="2:24" x14ac:dyDescent="0.2">
      <c r="B26" s="3" t="str">
        <f t="shared" si="3"/>
        <v>AA2AR_human_3VG9</v>
      </c>
      <c r="C26" s="2" t="s">
        <v>36</v>
      </c>
      <c r="D26" s="14" t="s">
        <v>1097</v>
      </c>
      <c r="E26" s="3" t="s">
        <v>1098</v>
      </c>
      <c r="F26" s="3" t="s">
        <v>23</v>
      </c>
      <c r="J26" s="18" t="e">
        <f>VLOOKUP(CONCATENATE(B26,"_TM6"),#REF!,13,FALSE)-VLOOKUP(CONCATENATE(B26,"_TM5"),#REF!,13,FALSE)</f>
        <v>#REF!</v>
      </c>
      <c r="K26" s="18" t="e">
        <f t="shared" si="4"/>
        <v>#REF!</v>
      </c>
      <c r="L26" s="18"/>
      <c r="M26" s="18" t="e">
        <f t="shared" si="5"/>
        <v>#REF!</v>
      </c>
      <c r="N26" s="18"/>
      <c r="P26" s="15" t="s">
        <v>1012</v>
      </c>
      <c r="Q26" s="16">
        <v>213</v>
      </c>
      <c r="R26" s="3" t="e">
        <f>VLOOKUP(CONCATENATE(B26,"_TM5"),#REF!,15,FALSE)</f>
        <v>#REF!</v>
      </c>
      <c r="S26" s="3" t="e">
        <f>VLOOKUP(CONCATENATE(B26,"_TM5"),#REF!,15,FALSE)-VLOOKUP(CONCATENATE(B26,"_TM5"),#REF!,13,FALSE)+50</f>
        <v>#REF!</v>
      </c>
      <c r="T26" s="3">
        <v>74</v>
      </c>
      <c r="U26" s="16" t="e">
        <f>VLOOKUP(CONCATENATE(B26,"_TM6"),#REF!,12,FALSE)</f>
        <v>#REF!</v>
      </c>
      <c r="V26" s="3" t="e">
        <f>VLOOKUP(CONCATENATE(B26,"_TM6"),#REF!,12,FALSE)-VLOOKUP(CONCATENATE(B26,"_TM6"),#REF!,13,FALSE)+50</f>
        <v>#REF!</v>
      </c>
      <c r="W26" s="23" t="e">
        <f>VLOOKUP(CONCATENATE(B26,"_TM6"),#REF!,15,FALSE)</f>
        <v>#REF!</v>
      </c>
    </row>
  </sheetData>
  <sortState xmlns:xlrd2="http://schemas.microsoft.com/office/spreadsheetml/2017/richdata2" ref="A2:X26">
    <sortCondition ref="E2:E26"/>
  </sortState>
  <customSheetViews>
    <customSheetView guid="{3E3401AF-8459-8641-BD70-AD04F80E86ED}" scale="142">
      <selection activeCell="G15" sqref="G15"/>
      <pageMargins left="0.7" right="0.7" top="0.75" bottom="0.75" header="0.3" footer="0.3"/>
    </customSheetView>
  </customSheetViews>
  <conditionalFormatting sqref="E1:E1048576">
    <cfRule type="cellIs" dxfId="0" priority="1" operator="equal">
      <formula>"active"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Y2"/>
  <sheetViews>
    <sheetView workbookViewId="0">
      <selection activeCell="B2" sqref="B2"/>
    </sheetView>
  </sheetViews>
  <sheetFormatPr baseColWidth="10" defaultColWidth="10.83203125" defaultRowHeight="16" x14ac:dyDescent="0.2"/>
  <cols>
    <col min="1" max="1" width="4.6640625" style="1" bestFit="1" customWidth="1"/>
    <col min="2" max="3" width="3.1640625" style="1" bestFit="1" customWidth="1"/>
    <col min="4" max="5" width="3.6640625" style="1" bestFit="1" customWidth="1"/>
    <col min="6" max="7" width="3.1640625" style="1" bestFit="1" customWidth="1"/>
    <col min="8" max="9" width="4.1640625" style="1" bestFit="1" customWidth="1"/>
    <col min="10" max="11" width="3.1640625" style="1" bestFit="1" customWidth="1"/>
    <col min="12" max="13" width="3.6640625" style="1" bestFit="1" customWidth="1"/>
    <col min="14" max="15" width="3.1640625" style="1" bestFit="1" customWidth="1"/>
    <col min="16" max="17" width="4.1640625" style="1" bestFit="1" customWidth="1"/>
    <col min="18" max="25" width="3.1640625" style="1" bestFit="1" customWidth="1"/>
    <col min="26" max="16384" width="10.83203125" style="1"/>
  </cols>
  <sheetData>
    <row r="1" spans="1:25" x14ac:dyDescent="0.2">
      <c r="B1" s="26" t="s">
        <v>1054</v>
      </c>
      <c r="C1" s="8" t="s">
        <v>1055</v>
      </c>
      <c r="D1" s="8" t="s">
        <v>1071</v>
      </c>
      <c r="E1" s="8" t="s">
        <v>1072</v>
      </c>
      <c r="F1" s="8" t="s">
        <v>1056</v>
      </c>
      <c r="G1" s="8" t="s">
        <v>1057</v>
      </c>
      <c r="H1" s="8" t="s">
        <v>1073</v>
      </c>
      <c r="I1" s="8" t="s">
        <v>1074</v>
      </c>
      <c r="J1" s="8" t="s">
        <v>1058</v>
      </c>
      <c r="K1" s="8" t="s">
        <v>1059</v>
      </c>
      <c r="L1" s="8" t="s">
        <v>1086</v>
      </c>
      <c r="M1" s="8" t="s">
        <v>1087</v>
      </c>
      <c r="N1" s="8" t="s">
        <v>1060</v>
      </c>
      <c r="O1" s="8" t="s">
        <v>1061</v>
      </c>
      <c r="P1" s="8" t="s">
        <v>1089</v>
      </c>
      <c r="Q1" s="8" t="s">
        <v>1090</v>
      </c>
      <c r="R1" s="8" t="s">
        <v>1062</v>
      </c>
      <c r="S1" s="8" t="s">
        <v>1063</v>
      </c>
      <c r="T1" s="8" t="s">
        <v>1064</v>
      </c>
      <c r="U1" s="8" t="s">
        <v>1065</v>
      </c>
      <c r="V1" s="8" t="s">
        <v>1066</v>
      </c>
      <c r="W1" s="8" t="s">
        <v>1067</v>
      </c>
      <c r="X1" s="8" t="s">
        <v>1068</v>
      </c>
      <c r="Y1" s="8" t="s">
        <v>1069</v>
      </c>
    </row>
    <row r="2" spans="1:25" x14ac:dyDescent="0.2">
      <c r="A2" s="1" t="s">
        <v>1319</v>
      </c>
      <c r="B2" s="1" t="e">
        <f>MIN('SegEnds_NonXtal_BW#'!C:C)</f>
        <v>#N/A</v>
      </c>
      <c r="C2" s="1">
        <f>MAX('SegEnds_NonXtal_BW#'!D:D)</f>
        <v>64</v>
      </c>
      <c r="D2" s="1">
        <f>MIN('SegEnds_NonXtal_BW#'!E:E)</f>
        <v>47</v>
      </c>
      <c r="E2" s="1">
        <f>MAX('SegEnds_NonXtal_BW#'!F:F)</f>
        <v>53</v>
      </c>
      <c r="F2" s="1">
        <f>MIN('SegEnds_NonXtal_BW#'!G:G)</f>
        <v>36</v>
      </c>
      <c r="G2" s="1">
        <f>MAX('SegEnds_NonXtal_BW#'!H:H)</f>
        <v>74</v>
      </c>
      <c r="H2" s="1">
        <f>MIN('SegEnds_NonXtal_BW#'!I:I)</f>
        <v>47</v>
      </c>
      <c r="I2" s="1">
        <f>MAX('SegEnds_NonXtal_BW#'!J:J)</f>
        <v>56</v>
      </c>
      <c r="J2" s="1">
        <f>MIN('SegEnds_NonXtal_BW#'!K:K)</f>
        <v>18</v>
      </c>
      <c r="K2" s="1">
        <f>MAX('SegEnds_NonXtal_BW#'!L:L)</f>
        <v>59</v>
      </c>
      <c r="L2" s="1">
        <f>MIN('SegEnds_NonXtal_BW#'!M:M)</f>
        <v>50</v>
      </c>
      <c r="M2" s="1">
        <f>MAX('SegEnds_NonXtal_BW#'!N:N)</f>
        <v>58</v>
      </c>
      <c r="N2" s="1">
        <f>MIN('SegEnds_NonXtal_BW#'!O:O)</f>
        <v>35</v>
      </c>
      <c r="O2" s="1">
        <f>MAX('SegEnds_NonXtal_BW#'!P:P)</f>
        <v>69</v>
      </c>
      <c r="P2" s="1">
        <f>MIN('SegEnds_NonXtal_BW#'!Q:Q)</f>
        <v>50</v>
      </c>
      <c r="Q2" s="1">
        <f>MAX('SegEnds_NonXtal_BW#'!R:R)</f>
        <v>52</v>
      </c>
      <c r="R2" s="1">
        <f>MIN('SegEnds_NonXtal_BW#'!S:S)</f>
        <v>23</v>
      </c>
      <c r="S2" s="1">
        <f>MAX('SegEnds_NonXtal_BW#'!T:T)</f>
        <v>76</v>
      </c>
      <c r="T2" s="1">
        <f>MIN('SegEnds_NonXtal_BW#'!U:U)</f>
        <v>20</v>
      </c>
      <c r="U2" s="1">
        <f>MAX('SegEnds_NonXtal_BW#'!V:V)</f>
        <v>81</v>
      </c>
      <c r="V2" s="1">
        <f>MIN('SegEnds_NonXtal_BW#'!W:W)</f>
        <v>24</v>
      </c>
      <c r="W2" s="1">
        <f>MAX('SegEnds_NonXtal_BW#'!X:X)</f>
        <v>64</v>
      </c>
      <c r="X2" s="1">
        <f>MIN('SegEnds_NonXtal_BW#'!Y:Y)</f>
        <v>44</v>
      </c>
      <c r="Y2" s="1">
        <f>MAX('SegEnds_NonXtal_BW#'!Z:Z)</f>
        <v>72</v>
      </c>
    </row>
  </sheetData>
  <customSheetViews>
    <customSheetView guid="{3E3401AF-8459-8641-BD70-AD04F80E86ED}">
      <selection activeCell="B2" sqref="B2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11</vt:i4>
      </vt:variant>
    </vt:vector>
  </HeadingPairs>
  <TitlesOfParts>
    <vt:vector size="25" baseType="lpstr">
      <vt:lpstr>SegEnds_Xtal_Prot#</vt:lpstr>
      <vt:lpstr>SegEnds_Xtal_BW#</vt:lpstr>
      <vt:lpstr>ICL3_classA</vt:lpstr>
      <vt:lpstr>ICL3_classB</vt:lpstr>
      <vt:lpstr>ICL3_classF</vt:lpstr>
      <vt:lpstr>SegEnds_NonXtal_BW#</vt:lpstr>
      <vt:lpstr>SegEnds_NonXtal_Prot#</vt:lpstr>
      <vt:lpstr>Bulges_Constr_NonXtal_GPCRdb#</vt:lpstr>
      <vt:lpstr>Seqs</vt:lpstr>
      <vt:lpstr>Seqs4TemplSearch</vt:lpstr>
      <vt:lpstr>Xtal_Templ</vt:lpstr>
      <vt:lpstr>Classification</vt:lpstr>
      <vt:lpstr>OLD-Templates_ICL3</vt:lpstr>
      <vt:lpstr>SegLen</vt:lpstr>
      <vt:lpstr>Seqs!GPCRdb_alignment</vt:lpstr>
      <vt:lpstr>Seqs!human_GPCR_fasta.fas</vt:lpstr>
      <vt:lpstr>Xtal_Templ!xtal_templates_1</vt:lpstr>
      <vt:lpstr>Xtal_Templ!xtal_templates_10</vt:lpstr>
      <vt:lpstr>Xtal_Templ!xtal_templates_12</vt:lpstr>
      <vt:lpstr>Xtal_Templ!xtal_templates_13</vt:lpstr>
      <vt:lpstr>Xtal_Templ!xtal_templates_3</vt:lpstr>
      <vt:lpstr>Xtal_Templ!xtal_templates_4</vt:lpstr>
      <vt:lpstr>Xtal_Templ!xtal_templates_6</vt:lpstr>
      <vt:lpstr>Xtal_Templ!xtal_templates_7</vt:lpstr>
      <vt:lpstr>Xtal_Templ!xtal_templates_8</vt:lpstr>
    </vt:vector>
  </TitlesOfParts>
  <Manager/>
  <Company>University of Copenhagen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Gloriam</dc:creator>
  <cp:keywords/>
  <dc:description/>
  <cp:lastModifiedBy>Albert</cp:lastModifiedBy>
  <cp:revision/>
  <dcterms:created xsi:type="dcterms:W3CDTF">2016-02-16T16:06:34Z</dcterms:created>
  <dcterms:modified xsi:type="dcterms:W3CDTF">2020-07-17T08:02:01Z</dcterms:modified>
  <cp:category/>
  <cp:contentStatus/>
</cp:coreProperties>
</file>